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https://adminliveunc-my.sharepoint.com/personal/dgorelic_ad_unc_edu/Documents/UNC/Research/IM3/CAP/Data/"/>
    </mc:Choice>
  </mc:AlternateContent>
  <xr:revisionPtr revIDLastSave="1" documentId="13_ncr:1_{134247C6-5A3D-406A-8F2D-3311E05C63FD}" xr6:coauthVersionLast="47" xr6:coauthVersionMax="47" xr10:uidLastSave="{1C031581-307E-474B-88D6-186B71844CC1}"/>
  <bookViews>
    <workbookView xWindow="-28920" yWindow="-120" windowWidth="29040" windowHeight="15840" firstSheet="1" activeTab="8" xr2:uid="{CC9F2FCE-F9FD-4ED3-8CED-8E7A9F5CB8C3}"/>
  </bookViews>
  <sheets>
    <sheet name="2016 AOP" sheetId="8" r:id="rId1"/>
    <sheet name="2016 Actual" sheetId="14" r:id="rId2"/>
    <sheet name="2017 Actual" sheetId="9" r:id="rId3"/>
    <sheet name="2017 AOP" sheetId="7" r:id="rId4"/>
    <sheet name="2018 Actual" sheetId="10" r:id="rId5"/>
    <sheet name="2018 AOP" sheetId="6" r:id="rId6"/>
    <sheet name="2019 Actual" sheetId="11" r:id="rId7"/>
    <sheet name="2019 AOP" sheetId="5" r:id="rId8"/>
    <sheet name="2020 Actual" sheetId="12" r:id="rId9"/>
    <sheet name="2020 AOP" sheetId="4" r:id="rId10"/>
    <sheet name="2021 Actual" sheetId="13" r:id="rId11"/>
    <sheet name="2021 AOP" sheetId="3" r:id="rId12"/>
  </sheets>
  <externalReferences>
    <externalReference r:id="rId13"/>
    <externalReference r:id="rId14"/>
    <externalReference r:id="rId15"/>
    <externalReference r:id="rId16"/>
    <externalReference r:id="rId17"/>
    <externalReference r:id="rId18"/>
    <externalReference r:id="rId19"/>
  </externalReferences>
  <definedNames>
    <definedName name="_xlnm._FilterDatabase" localSheetId="1" hidden="1">'2016 Actual'!$A$31:$R$839</definedName>
    <definedName name="_xlnm._FilterDatabase" localSheetId="0" hidden="1">'2016 AOP'!$A$31:$R$834</definedName>
    <definedName name="_xlnm._FilterDatabase" localSheetId="2" hidden="1">'2017 Actual'!$A$31:$R$873</definedName>
    <definedName name="_xlnm._FilterDatabase" localSheetId="3" hidden="1">'2017 AOP'!$A$31:$R$859</definedName>
    <definedName name="_xlnm._FilterDatabase" localSheetId="4" hidden="1">'2018 Actual'!$A$31:$R$899</definedName>
    <definedName name="_xlnm._FilterDatabase" localSheetId="5" hidden="1">'2018 AOP'!$A$31:$R$889</definedName>
    <definedName name="_xlnm._FilterDatabase" localSheetId="6" hidden="1">'2019 Actual'!$A$31:$R$911</definedName>
    <definedName name="_xlnm._FilterDatabase" localSheetId="7" hidden="1">'2019 AOP'!$A$31:$R$897</definedName>
    <definedName name="_xlnm._FilterDatabase" localSheetId="8" hidden="1">'2020 Actual'!$A$31:$R$965</definedName>
    <definedName name="_xlnm._FilterDatabase" localSheetId="9" hidden="1">'2020 AOP'!$A$31:$R$948</definedName>
    <definedName name="_xlnm._FilterDatabase" localSheetId="10" hidden="1">'2021 Actual'!$A$33:$R$967</definedName>
    <definedName name="_xlnm._FilterDatabase" localSheetId="11" hidden="1">'2021 AOP'!$A$31:$R$958</definedName>
    <definedName name="_xlnm.Print_Area" localSheetId="1">'2016 Actual'!$A$1:$R$838</definedName>
    <definedName name="_xlnm.Print_Area" localSheetId="0">'2016 AOP'!$A$1:$R$833</definedName>
    <definedName name="_xlnm.Print_Area" localSheetId="2">'2017 Actual'!$A$1:$R$872</definedName>
    <definedName name="_xlnm.Print_Area" localSheetId="3">'2017 AOP'!$A$1:$R$858</definedName>
    <definedName name="_xlnm.Print_Area" localSheetId="4">'2018 Actual'!$A$1:$R$898</definedName>
    <definedName name="_xlnm.Print_Area" localSheetId="5">'2018 AOP'!$A$1:$R$888</definedName>
    <definedName name="_xlnm.Print_Area" localSheetId="6">'2019 Actual'!$A$1:$R$910</definedName>
    <definedName name="_xlnm.Print_Area" localSheetId="7">'2019 AOP'!$A$1:$R$896</definedName>
    <definedName name="_xlnm.Print_Area" localSheetId="8">'2020 Actual'!$A$1:$R$954</definedName>
    <definedName name="_xlnm.Print_Area" localSheetId="9">'2020 AOP'!$A$1:$R$937</definedName>
    <definedName name="_xlnm.Print_Area" localSheetId="10">'2021 Actual'!$A$1:$R$956</definedName>
    <definedName name="_xlnm.Print_Area" localSheetId="11">'2021 AOP'!$A$1:$R$947</definedName>
    <definedName name="solver_adj" localSheetId="1" hidden="1">'2016 Actual'!$N$288</definedName>
    <definedName name="solver_adj" localSheetId="0" hidden="1">'2016 AOP'!$N$287</definedName>
    <definedName name="solver_adj" localSheetId="2" hidden="1">'2017 Actual'!$N$304</definedName>
    <definedName name="solver_adj" localSheetId="3" hidden="1">'2017 AOP'!$N$297</definedName>
    <definedName name="solver_adj" localSheetId="4" hidden="1">'2018 Actual'!$N$310</definedName>
    <definedName name="solver_adj" localSheetId="5" hidden="1">'2018 AOP'!$N$304</definedName>
    <definedName name="solver_adj" localSheetId="6" hidden="1">'2019 Actual'!$N$313</definedName>
    <definedName name="solver_adj" localSheetId="7" hidden="1">'2019 AOP'!$N$307</definedName>
    <definedName name="solver_adj" localSheetId="8" hidden="1">'2020 Actual'!$N$325</definedName>
    <definedName name="solver_adj" localSheetId="9" hidden="1">'2020 AOP'!$N$316</definedName>
    <definedName name="solver_adj" localSheetId="10" hidden="1">'2021 Actual'!$N$322</definedName>
    <definedName name="solver_adj" localSheetId="11" hidden="1">'2021 AOP'!$N$317</definedName>
    <definedName name="solver_cvg" localSheetId="1" hidden="1">0.0001</definedName>
    <definedName name="solver_cvg" localSheetId="0" hidden="1">0.0001</definedName>
    <definedName name="solver_cvg" localSheetId="2" hidden="1">0.0001</definedName>
    <definedName name="solver_cvg" localSheetId="3" hidden="1">0.0001</definedName>
    <definedName name="solver_cvg" localSheetId="4" hidden="1">0.0001</definedName>
    <definedName name="solver_cvg" localSheetId="5" hidden="1">0.0001</definedName>
    <definedName name="solver_cvg" localSheetId="6" hidden="1">0.0001</definedName>
    <definedName name="solver_cvg" localSheetId="7" hidden="1">0.0001</definedName>
    <definedName name="solver_cvg" localSheetId="8" hidden="1">0.0001</definedName>
    <definedName name="solver_cvg" localSheetId="9" hidden="1">0.0001</definedName>
    <definedName name="solver_cvg" localSheetId="10" hidden="1">0.0001</definedName>
    <definedName name="solver_cvg" localSheetId="11" hidden="1">0.0001</definedName>
    <definedName name="solver_drv" localSheetId="1" hidden="1">1</definedName>
    <definedName name="solver_drv" localSheetId="0" hidden="1">1</definedName>
    <definedName name="solver_drv" localSheetId="2" hidden="1">1</definedName>
    <definedName name="solver_drv" localSheetId="3" hidden="1">1</definedName>
    <definedName name="solver_drv" localSheetId="4" hidden="1">1</definedName>
    <definedName name="solver_drv" localSheetId="5" hidden="1">1</definedName>
    <definedName name="solver_drv" localSheetId="6" hidden="1">1</definedName>
    <definedName name="solver_drv" localSheetId="7" hidden="1">1</definedName>
    <definedName name="solver_drv" localSheetId="8" hidden="1">1</definedName>
    <definedName name="solver_drv" localSheetId="9" hidden="1">1</definedName>
    <definedName name="solver_drv" localSheetId="10" hidden="1">1</definedName>
    <definedName name="solver_drv" localSheetId="11" hidden="1">1</definedName>
    <definedName name="solver_eng" localSheetId="1" hidden="1">1</definedName>
    <definedName name="solver_eng" localSheetId="0" hidden="1">1</definedName>
    <definedName name="solver_eng" localSheetId="2" hidden="1">1</definedName>
    <definedName name="solver_eng" localSheetId="3" hidden="1">1</definedName>
    <definedName name="solver_eng" localSheetId="4" hidden="1">1</definedName>
    <definedName name="solver_eng" localSheetId="5" hidden="1">1</definedName>
    <definedName name="solver_eng" localSheetId="6" hidden="1">1</definedName>
    <definedName name="solver_eng" localSheetId="7" hidden="1">1</definedName>
    <definedName name="solver_eng" localSheetId="8" hidden="1">1</definedName>
    <definedName name="solver_eng" localSheetId="9" hidden="1">1</definedName>
    <definedName name="solver_eng" localSheetId="10" hidden="1">1</definedName>
    <definedName name="solver_eng" localSheetId="11" hidden="1">1</definedName>
    <definedName name="solver_est" localSheetId="1" hidden="1">1</definedName>
    <definedName name="solver_est" localSheetId="0" hidden="1">1</definedName>
    <definedName name="solver_est" localSheetId="2" hidden="1">1</definedName>
    <definedName name="solver_est" localSheetId="3" hidden="1">1</definedName>
    <definedName name="solver_est" localSheetId="4" hidden="1">1</definedName>
    <definedName name="solver_est" localSheetId="5" hidden="1">1</definedName>
    <definedName name="solver_est" localSheetId="6" hidden="1">1</definedName>
    <definedName name="solver_est" localSheetId="7" hidden="1">1</definedName>
    <definedName name="solver_est" localSheetId="8" hidden="1">1</definedName>
    <definedName name="solver_est" localSheetId="9" hidden="1">1</definedName>
    <definedName name="solver_est" localSheetId="10" hidden="1">1</definedName>
    <definedName name="solver_est" localSheetId="11" hidden="1">1</definedName>
    <definedName name="solver_itr" localSheetId="1" hidden="1">2147483647</definedName>
    <definedName name="solver_itr" localSheetId="0" hidden="1">2147483647</definedName>
    <definedName name="solver_itr" localSheetId="2" hidden="1">2147483647</definedName>
    <definedName name="solver_itr" localSheetId="3" hidden="1">2147483647</definedName>
    <definedName name="solver_itr" localSheetId="4" hidden="1">2147483647</definedName>
    <definedName name="solver_itr" localSheetId="5" hidden="1">2147483647</definedName>
    <definedName name="solver_itr" localSheetId="6" hidden="1">2147483647</definedName>
    <definedName name="solver_itr" localSheetId="7" hidden="1">2147483647</definedName>
    <definedName name="solver_itr" localSheetId="8" hidden="1">2147483647</definedName>
    <definedName name="solver_itr" localSheetId="9" hidden="1">2147483647</definedName>
    <definedName name="solver_itr" localSheetId="10" hidden="1">2147483647</definedName>
    <definedName name="solver_itr" localSheetId="11" hidden="1">2147483647</definedName>
    <definedName name="solver_lhs1" localSheetId="1" hidden="1">'2016 Actual'!$B$30</definedName>
    <definedName name="solver_lhs1" localSheetId="0" hidden="1">'2016 AOP'!$B$30</definedName>
    <definedName name="solver_lhs1" localSheetId="2" hidden="1">'2017 Actual'!$B$30</definedName>
    <definedName name="solver_lhs1" localSheetId="3" hidden="1">'2017 AOP'!$B$30</definedName>
    <definedName name="solver_lhs1" localSheetId="4" hidden="1">'2018 Actual'!$B$30</definedName>
    <definedName name="solver_lhs1" localSheetId="5" hidden="1">'2018 AOP'!$B$30</definedName>
    <definedName name="solver_lhs1" localSheetId="6" hidden="1">'2019 Actual'!$B$30</definedName>
    <definedName name="solver_lhs1" localSheetId="7" hidden="1">'2019 AOP'!$B$30</definedName>
    <definedName name="solver_lhs1" localSheetId="8" hidden="1">'2020 Actual'!$B$30</definedName>
    <definedName name="solver_lhs1" localSheetId="9" hidden="1">'2020 AOP'!$B$30</definedName>
    <definedName name="solver_lhs1" localSheetId="10" hidden="1">'2021 Actual'!$B$32</definedName>
    <definedName name="solver_lhs1" localSheetId="11" hidden="1">'2021 AOP'!$B$30</definedName>
    <definedName name="solver_lin" localSheetId="1" hidden="1">2</definedName>
    <definedName name="solver_lin" localSheetId="0" hidden="1">2</definedName>
    <definedName name="solver_lin" localSheetId="2" hidden="1">2</definedName>
    <definedName name="solver_lin" localSheetId="3" hidden="1">2</definedName>
    <definedName name="solver_lin" localSheetId="4" hidden="1">2</definedName>
    <definedName name="solver_lin" localSheetId="5" hidden="1">2</definedName>
    <definedName name="solver_lin" localSheetId="6" hidden="1">2</definedName>
    <definedName name="solver_lin" localSheetId="7" hidden="1">2</definedName>
    <definedName name="solver_lin" localSheetId="8" hidden="1">2</definedName>
    <definedName name="solver_lin" localSheetId="9" hidden="1">2</definedName>
    <definedName name="solver_lin" localSheetId="10" hidden="1">2</definedName>
    <definedName name="solver_lin" localSheetId="11" hidden="1">2</definedName>
    <definedName name="solver_mip" localSheetId="1" hidden="1">2147483647</definedName>
    <definedName name="solver_mip" localSheetId="0" hidden="1">2147483647</definedName>
    <definedName name="solver_mip" localSheetId="2" hidden="1">2147483647</definedName>
    <definedName name="solver_mip" localSheetId="3" hidden="1">2147483647</definedName>
    <definedName name="solver_mip" localSheetId="4" hidden="1">2147483647</definedName>
    <definedName name="solver_mip" localSheetId="5" hidden="1">2147483647</definedName>
    <definedName name="solver_mip" localSheetId="6" hidden="1">2147483647</definedName>
    <definedName name="solver_mip" localSheetId="7" hidden="1">2147483647</definedName>
    <definedName name="solver_mip" localSheetId="8" hidden="1">2147483647</definedName>
    <definedName name="solver_mip" localSheetId="9" hidden="1">2147483647</definedName>
    <definedName name="solver_mip" localSheetId="10" hidden="1">2147483647</definedName>
    <definedName name="solver_mip" localSheetId="11" hidden="1">2147483647</definedName>
    <definedName name="solver_mni" localSheetId="1" hidden="1">30</definedName>
    <definedName name="solver_mni" localSheetId="0" hidden="1">30</definedName>
    <definedName name="solver_mni" localSheetId="2" hidden="1">30</definedName>
    <definedName name="solver_mni" localSheetId="3" hidden="1">30</definedName>
    <definedName name="solver_mni" localSheetId="4" hidden="1">30</definedName>
    <definedName name="solver_mni" localSheetId="5" hidden="1">30</definedName>
    <definedName name="solver_mni" localSheetId="6" hidden="1">30</definedName>
    <definedName name="solver_mni" localSheetId="7" hidden="1">30</definedName>
    <definedName name="solver_mni" localSheetId="8" hidden="1">30</definedName>
    <definedName name="solver_mni" localSheetId="9" hidden="1">30</definedName>
    <definedName name="solver_mni" localSheetId="10" hidden="1">30</definedName>
    <definedName name="solver_mni" localSheetId="11" hidden="1">30</definedName>
    <definedName name="solver_mrt" localSheetId="1" hidden="1">0.075</definedName>
    <definedName name="solver_mrt" localSheetId="0" hidden="1">0.075</definedName>
    <definedName name="solver_mrt" localSheetId="2" hidden="1">0.075</definedName>
    <definedName name="solver_mrt" localSheetId="3" hidden="1">0.075</definedName>
    <definedName name="solver_mrt" localSheetId="4" hidden="1">0.075</definedName>
    <definedName name="solver_mrt" localSheetId="5" hidden="1">0.075</definedName>
    <definedName name="solver_mrt" localSheetId="6" hidden="1">0.075</definedName>
    <definedName name="solver_mrt" localSheetId="7" hidden="1">0.075</definedName>
    <definedName name="solver_mrt" localSheetId="8" hidden="1">0.075</definedName>
    <definedName name="solver_mrt" localSheetId="9" hidden="1">0.075</definedName>
    <definedName name="solver_mrt" localSheetId="10" hidden="1">0.075</definedName>
    <definedName name="solver_mrt" localSheetId="11" hidden="1">0.075</definedName>
    <definedName name="solver_msl" localSheetId="1" hidden="1">2</definedName>
    <definedName name="solver_msl" localSheetId="0" hidden="1">2</definedName>
    <definedName name="solver_msl" localSheetId="2" hidden="1">2</definedName>
    <definedName name="solver_msl" localSheetId="3" hidden="1">2</definedName>
    <definedName name="solver_msl" localSheetId="4" hidden="1">2</definedName>
    <definedName name="solver_msl" localSheetId="5" hidden="1">2</definedName>
    <definedName name="solver_msl" localSheetId="6" hidden="1">2</definedName>
    <definedName name="solver_msl" localSheetId="7" hidden="1">2</definedName>
    <definedName name="solver_msl" localSheetId="8" hidden="1">2</definedName>
    <definedName name="solver_msl" localSheetId="9" hidden="1">2</definedName>
    <definedName name="solver_msl" localSheetId="10" hidden="1">2</definedName>
    <definedName name="solver_msl" localSheetId="11" hidden="1">2</definedName>
    <definedName name="solver_neg" localSheetId="1" hidden="1">1</definedName>
    <definedName name="solver_neg" localSheetId="0" hidden="1">1</definedName>
    <definedName name="solver_neg" localSheetId="2" hidden="1">1</definedName>
    <definedName name="solver_neg" localSheetId="3" hidden="1">1</definedName>
    <definedName name="solver_neg" localSheetId="4" hidden="1">1</definedName>
    <definedName name="solver_neg" localSheetId="5" hidden="1">1</definedName>
    <definedName name="solver_neg" localSheetId="6" hidden="1">1</definedName>
    <definedName name="solver_neg" localSheetId="7" hidden="1">1</definedName>
    <definedName name="solver_neg" localSheetId="8" hidden="1">1</definedName>
    <definedName name="solver_neg" localSheetId="9" hidden="1">1</definedName>
    <definedName name="solver_neg" localSheetId="10" hidden="1">1</definedName>
    <definedName name="solver_neg" localSheetId="11" hidden="1">1</definedName>
    <definedName name="solver_nod" localSheetId="1" hidden="1">2147483647</definedName>
    <definedName name="solver_nod" localSheetId="0" hidden="1">2147483647</definedName>
    <definedName name="solver_nod" localSheetId="2" hidden="1">2147483647</definedName>
    <definedName name="solver_nod" localSheetId="3" hidden="1">2147483647</definedName>
    <definedName name="solver_nod" localSheetId="4" hidden="1">2147483647</definedName>
    <definedName name="solver_nod" localSheetId="5" hidden="1">2147483647</definedName>
    <definedName name="solver_nod" localSheetId="6" hidden="1">2147483647</definedName>
    <definedName name="solver_nod" localSheetId="7" hidden="1">2147483647</definedName>
    <definedName name="solver_nod" localSheetId="8" hidden="1">2147483647</definedName>
    <definedName name="solver_nod" localSheetId="9" hidden="1">2147483647</definedName>
    <definedName name="solver_nod" localSheetId="10" hidden="1">2147483647</definedName>
    <definedName name="solver_nod" localSheetId="11" hidden="1">2147483647</definedName>
    <definedName name="solver_num" localSheetId="1" hidden="1">0</definedName>
    <definedName name="solver_num" localSheetId="0" hidden="1">0</definedName>
    <definedName name="solver_num" localSheetId="2" hidden="1">0</definedName>
    <definedName name="solver_num" localSheetId="3" hidden="1">0</definedName>
    <definedName name="solver_num" localSheetId="4" hidden="1">0</definedName>
    <definedName name="solver_num" localSheetId="5" hidden="1">0</definedName>
    <definedName name="solver_num" localSheetId="6" hidden="1">0</definedName>
    <definedName name="solver_num" localSheetId="7" hidden="1">0</definedName>
    <definedName name="solver_num" localSheetId="8" hidden="1">0</definedName>
    <definedName name="solver_num" localSheetId="9" hidden="1">0</definedName>
    <definedName name="solver_num" localSheetId="10" hidden="1">0</definedName>
    <definedName name="solver_num" localSheetId="11" hidden="1">0</definedName>
    <definedName name="solver_nwt" localSheetId="1" hidden="1">1</definedName>
    <definedName name="solver_nwt" localSheetId="0" hidden="1">1</definedName>
    <definedName name="solver_nwt" localSheetId="2" hidden="1">1</definedName>
    <definedName name="solver_nwt" localSheetId="3" hidden="1">1</definedName>
    <definedName name="solver_nwt" localSheetId="4" hidden="1">1</definedName>
    <definedName name="solver_nwt" localSheetId="5" hidden="1">1</definedName>
    <definedName name="solver_nwt" localSheetId="6" hidden="1">1</definedName>
    <definedName name="solver_nwt" localSheetId="7" hidden="1">1</definedName>
    <definedName name="solver_nwt" localSheetId="8" hidden="1">1</definedName>
    <definedName name="solver_nwt" localSheetId="9" hidden="1">1</definedName>
    <definedName name="solver_nwt" localSheetId="10" hidden="1">1</definedName>
    <definedName name="solver_nwt" localSheetId="11" hidden="1">1</definedName>
    <definedName name="solver_opt" localSheetId="1" hidden="1">'2016 Actual'!$R$1024</definedName>
    <definedName name="solver_opt" localSheetId="0" hidden="1">'2016 AOP'!$R$1019</definedName>
    <definedName name="solver_opt" localSheetId="2" hidden="1">'2017 Actual'!$R$1058</definedName>
    <definedName name="solver_opt" localSheetId="3" hidden="1">'2017 AOP'!$R$1044</definedName>
    <definedName name="solver_opt" localSheetId="4" hidden="1">'2018 Actual'!$R$1084</definedName>
    <definedName name="solver_opt" localSheetId="5" hidden="1">'2018 AOP'!$R$1074</definedName>
    <definedName name="solver_opt" localSheetId="6" hidden="1">'2019 Actual'!$R$1096</definedName>
    <definedName name="solver_opt" localSheetId="7" hidden="1">'2019 AOP'!$R$1082</definedName>
    <definedName name="solver_opt" localSheetId="8" hidden="1">'2020 Actual'!$R$1140</definedName>
    <definedName name="solver_opt" localSheetId="9" hidden="1">'2020 AOP'!$R$1123</definedName>
    <definedName name="solver_opt" localSheetId="10" hidden="1">'2021 Actual'!#REF!</definedName>
    <definedName name="solver_opt" localSheetId="11" hidden="1">'2021 AOP'!$R$1133</definedName>
    <definedName name="solver_pre" localSheetId="1" hidden="1">0.000001</definedName>
    <definedName name="solver_pre" localSheetId="0" hidden="1">0.000001</definedName>
    <definedName name="solver_pre" localSheetId="2" hidden="1">0.000001</definedName>
    <definedName name="solver_pre" localSheetId="3" hidden="1">0.000001</definedName>
    <definedName name="solver_pre" localSheetId="4" hidden="1">0.000001</definedName>
    <definedName name="solver_pre" localSheetId="5" hidden="1">0.000001</definedName>
    <definedName name="solver_pre" localSheetId="6" hidden="1">0.000001</definedName>
    <definedName name="solver_pre" localSheetId="7" hidden="1">0.000001</definedName>
    <definedName name="solver_pre" localSheetId="8" hidden="1">0.000001</definedName>
    <definedName name="solver_pre" localSheetId="9" hidden="1">0.000001</definedName>
    <definedName name="solver_pre" localSheetId="10" hidden="1">0.000001</definedName>
    <definedName name="solver_pre" localSheetId="11" hidden="1">0.000001</definedName>
    <definedName name="solver_rbv" localSheetId="1" hidden="1">1</definedName>
    <definedName name="solver_rbv" localSheetId="0" hidden="1">1</definedName>
    <definedName name="solver_rbv" localSheetId="2" hidden="1">1</definedName>
    <definedName name="solver_rbv" localSheetId="3" hidden="1">1</definedName>
    <definedName name="solver_rbv" localSheetId="4" hidden="1">1</definedName>
    <definedName name="solver_rbv" localSheetId="5" hidden="1">1</definedName>
    <definedName name="solver_rbv" localSheetId="6" hidden="1">1</definedName>
    <definedName name="solver_rbv" localSheetId="7" hidden="1">1</definedName>
    <definedName name="solver_rbv" localSheetId="8" hidden="1">1</definedName>
    <definedName name="solver_rbv" localSheetId="9" hidden="1">1</definedName>
    <definedName name="solver_rbv" localSheetId="10" hidden="1">1</definedName>
    <definedName name="solver_rbv" localSheetId="11" hidden="1">1</definedName>
    <definedName name="solver_rel1" localSheetId="1" hidden="1">1</definedName>
    <definedName name="solver_rel1" localSheetId="0" hidden="1">1</definedName>
    <definedName name="solver_rel1" localSheetId="2" hidden="1">1</definedName>
    <definedName name="solver_rel1" localSheetId="3" hidden="1">1</definedName>
    <definedName name="solver_rel1" localSheetId="4" hidden="1">1</definedName>
    <definedName name="solver_rel1" localSheetId="5" hidden="1">1</definedName>
    <definedName name="solver_rel1" localSheetId="6" hidden="1">1</definedName>
    <definedName name="solver_rel1" localSheetId="7" hidden="1">1</definedName>
    <definedName name="solver_rel1" localSheetId="8" hidden="1">1</definedName>
    <definedName name="solver_rel1" localSheetId="9" hidden="1">1</definedName>
    <definedName name="solver_rel1" localSheetId="10" hidden="1">1</definedName>
    <definedName name="solver_rel1" localSheetId="11" hidden="1">1</definedName>
    <definedName name="solver_rhs1" localSheetId="1" hidden="1">1400</definedName>
    <definedName name="solver_rhs1" localSheetId="0" hidden="1">1400</definedName>
    <definedName name="solver_rhs1" localSheetId="2" hidden="1">1400</definedName>
    <definedName name="solver_rhs1" localSheetId="3" hidden="1">1400</definedName>
    <definedName name="solver_rhs1" localSheetId="4" hidden="1">1400</definedName>
    <definedName name="solver_rhs1" localSheetId="5" hidden="1">1400</definedName>
    <definedName name="solver_rhs1" localSheetId="6" hidden="1">1400</definedName>
    <definedName name="solver_rhs1" localSheetId="7" hidden="1">1400</definedName>
    <definedName name="solver_rhs1" localSheetId="8" hidden="1">1400</definedName>
    <definedName name="solver_rhs1" localSheetId="9" hidden="1">1400</definedName>
    <definedName name="solver_rhs1" localSheetId="10" hidden="1">1400</definedName>
    <definedName name="solver_rhs1" localSheetId="11" hidden="1">1400</definedName>
    <definedName name="solver_rlx" localSheetId="1" hidden="1">2</definedName>
    <definedName name="solver_rlx" localSheetId="0" hidden="1">2</definedName>
    <definedName name="solver_rlx" localSheetId="2" hidden="1">2</definedName>
    <definedName name="solver_rlx" localSheetId="3" hidden="1">2</definedName>
    <definedName name="solver_rlx" localSheetId="4" hidden="1">2</definedName>
    <definedName name="solver_rlx" localSheetId="5" hidden="1">2</definedName>
    <definedName name="solver_rlx" localSheetId="6" hidden="1">2</definedName>
    <definedName name="solver_rlx" localSheetId="7" hidden="1">2</definedName>
    <definedName name="solver_rlx" localSheetId="8" hidden="1">2</definedName>
    <definedName name="solver_rlx" localSheetId="9" hidden="1">2</definedName>
    <definedName name="solver_rlx" localSheetId="10" hidden="1">2</definedName>
    <definedName name="solver_rlx" localSheetId="11" hidden="1">2</definedName>
    <definedName name="solver_rsd" localSheetId="1" hidden="1">0</definedName>
    <definedName name="solver_rsd" localSheetId="0" hidden="1">0</definedName>
    <definedName name="solver_rsd" localSheetId="2" hidden="1">0</definedName>
    <definedName name="solver_rsd" localSheetId="3" hidden="1">0</definedName>
    <definedName name="solver_rsd" localSheetId="4" hidden="1">0</definedName>
    <definedName name="solver_rsd" localSheetId="5" hidden="1">0</definedName>
    <definedName name="solver_rsd" localSheetId="6" hidden="1">0</definedName>
    <definedName name="solver_rsd" localSheetId="7" hidden="1">0</definedName>
    <definedName name="solver_rsd" localSheetId="8" hidden="1">0</definedName>
    <definedName name="solver_rsd" localSheetId="9" hidden="1">0</definedName>
    <definedName name="solver_rsd" localSheetId="10" hidden="1">0</definedName>
    <definedName name="solver_rsd" localSheetId="11" hidden="1">0</definedName>
    <definedName name="solver_scl" localSheetId="1" hidden="1">1</definedName>
    <definedName name="solver_scl" localSheetId="0" hidden="1">1</definedName>
    <definedName name="solver_scl" localSheetId="2" hidden="1">1</definedName>
    <definedName name="solver_scl" localSheetId="3" hidden="1">1</definedName>
    <definedName name="solver_scl" localSheetId="4" hidden="1">1</definedName>
    <definedName name="solver_scl" localSheetId="5" hidden="1">1</definedName>
    <definedName name="solver_scl" localSheetId="6" hidden="1">1</definedName>
    <definedName name="solver_scl" localSheetId="7" hidden="1">1</definedName>
    <definedName name="solver_scl" localSheetId="8" hidden="1">1</definedName>
    <definedName name="solver_scl" localSheetId="9" hidden="1">1</definedName>
    <definedName name="solver_scl" localSheetId="10" hidden="1">1</definedName>
    <definedName name="solver_scl" localSheetId="11" hidden="1">1</definedName>
    <definedName name="solver_sho" localSheetId="1" hidden="1">2</definedName>
    <definedName name="solver_sho" localSheetId="0" hidden="1">2</definedName>
    <definedName name="solver_sho" localSheetId="2" hidden="1">2</definedName>
    <definedName name="solver_sho" localSheetId="3" hidden="1">2</definedName>
    <definedName name="solver_sho" localSheetId="4" hidden="1">2</definedName>
    <definedName name="solver_sho" localSheetId="5" hidden="1">2</definedName>
    <definedName name="solver_sho" localSheetId="6" hidden="1">2</definedName>
    <definedName name="solver_sho" localSheetId="7" hidden="1">2</definedName>
    <definedName name="solver_sho" localSheetId="8" hidden="1">2</definedName>
    <definedName name="solver_sho" localSheetId="9" hidden="1">2</definedName>
    <definedName name="solver_sho" localSheetId="10" hidden="1">2</definedName>
    <definedName name="solver_sho" localSheetId="11" hidden="1">2</definedName>
    <definedName name="solver_ssz" localSheetId="1" hidden="1">100</definedName>
    <definedName name="solver_ssz" localSheetId="0" hidden="1">100</definedName>
    <definedName name="solver_ssz" localSheetId="2" hidden="1">100</definedName>
    <definedName name="solver_ssz" localSheetId="3" hidden="1">100</definedName>
    <definedName name="solver_ssz" localSheetId="4" hidden="1">100</definedName>
    <definedName name="solver_ssz" localSheetId="5" hidden="1">100</definedName>
    <definedName name="solver_ssz" localSheetId="6" hidden="1">100</definedName>
    <definedName name="solver_ssz" localSheetId="7" hidden="1">100</definedName>
    <definedName name="solver_ssz" localSheetId="8" hidden="1">100</definedName>
    <definedName name="solver_ssz" localSheetId="9" hidden="1">100</definedName>
    <definedName name="solver_ssz" localSheetId="10" hidden="1">100</definedName>
    <definedName name="solver_ssz" localSheetId="11" hidden="1">100</definedName>
    <definedName name="solver_tim" localSheetId="1" hidden="1">2147483647</definedName>
    <definedName name="solver_tim" localSheetId="0" hidden="1">2147483647</definedName>
    <definedName name="solver_tim" localSheetId="2" hidden="1">2147483647</definedName>
    <definedName name="solver_tim" localSheetId="3" hidden="1">2147483647</definedName>
    <definedName name="solver_tim" localSheetId="4" hidden="1">2147483647</definedName>
    <definedName name="solver_tim" localSheetId="5" hidden="1">2147483647</definedName>
    <definedName name="solver_tim" localSheetId="6" hidden="1">2147483647</definedName>
    <definedName name="solver_tim" localSheetId="7" hidden="1">2147483647</definedName>
    <definedName name="solver_tim" localSheetId="8" hidden="1">2147483647</definedName>
    <definedName name="solver_tim" localSheetId="9" hidden="1">2147483647</definedName>
    <definedName name="solver_tim" localSheetId="10" hidden="1">2147483647</definedName>
    <definedName name="solver_tim" localSheetId="11" hidden="1">2147483647</definedName>
    <definedName name="solver_tol" localSheetId="1" hidden="1">0.01</definedName>
    <definedName name="solver_tol" localSheetId="0" hidden="1">0.01</definedName>
    <definedName name="solver_tol" localSheetId="2" hidden="1">0.01</definedName>
    <definedName name="solver_tol" localSheetId="3" hidden="1">0.01</definedName>
    <definedName name="solver_tol" localSheetId="4" hidden="1">0.01</definedName>
    <definedName name="solver_tol" localSheetId="5" hidden="1">0.01</definedName>
    <definedName name="solver_tol" localSheetId="6" hidden="1">0.01</definedName>
    <definedName name="solver_tol" localSheetId="7" hidden="1">0.01</definedName>
    <definedName name="solver_tol" localSheetId="8" hidden="1">0.01</definedName>
    <definedName name="solver_tol" localSheetId="9" hidden="1">0.01</definedName>
    <definedName name="solver_tol" localSheetId="10" hidden="1">0.01</definedName>
    <definedName name="solver_tol" localSheetId="11" hidden="1">0.01</definedName>
    <definedName name="solver_typ" localSheetId="1" hidden="1">3</definedName>
    <definedName name="solver_typ" localSheetId="0" hidden="1">3</definedName>
    <definedName name="solver_typ" localSheetId="2" hidden="1">3</definedName>
    <definedName name="solver_typ" localSheetId="3" hidden="1">3</definedName>
    <definedName name="solver_typ" localSheetId="4" hidden="1">3</definedName>
    <definedName name="solver_typ" localSheetId="5" hidden="1">3</definedName>
    <definedName name="solver_typ" localSheetId="6" hidden="1">3</definedName>
    <definedName name="solver_typ" localSheetId="7" hidden="1">3</definedName>
    <definedName name="solver_typ" localSheetId="8" hidden="1">3</definedName>
    <definedName name="solver_typ" localSheetId="9" hidden="1">3</definedName>
    <definedName name="solver_typ" localSheetId="10" hidden="1">3</definedName>
    <definedName name="solver_typ" localSheetId="11" hidden="1">3</definedName>
    <definedName name="solver_val" localSheetId="1" hidden="1">0</definedName>
    <definedName name="solver_val" localSheetId="0" hidden="1">0</definedName>
    <definedName name="solver_val" localSheetId="2" hidden="1">0</definedName>
    <definedName name="solver_val" localSheetId="3" hidden="1">0</definedName>
    <definedName name="solver_val" localSheetId="4" hidden="1">0</definedName>
    <definedName name="solver_val" localSheetId="5" hidden="1">0</definedName>
    <definedName name="solver_val" localSheetId="6" hidden="1">0</definedName>
    <definedName name="solver_val" localSheetId="7" hidden="1">0</definedName>
    <definedName name="solver_val" localSheetId="8" hidden="1">0</definedName>
    <definedName name="solver_val" localSheetId="9" hidden="1">0</definedName>
    <definedName name="solver_val" localSheetId="10" hidden="1">0</definedName>
    <definedName name="solver_val" localSheetId="11" hidden="1">0</definedName>
    <definedName name="solver_ver" localSheetId="1" hidden="1">3</definedName>
    <definedName name="solver_ver" localSheetId="0" hidden="1">3</definedName>
    <definedName name="solver_ver" localSheetId="2" hidden="1">3</definedName>
    <definedName name="solver_ver" localSheetId="3" hidden="1">3</definedName>
    <definedName name="solver_ver" localSheetId="4" hidden="1">3</definedName>
    <definedName name="solver_ver" localSheetId="5" hidden="1">3</definedName>
    <definedName name="solver_ver" localSheetId="6" hidden="1">3</definedName>
    <definedName name="solver_ver" localSheetId="7" hidden="1">3</definedName>
    <definedName name="solver_ver" localSheetId="8" hidden="1">3</definedName>
    <definedName name="solver_ver" localSheetId="9" hidden="1">3</definedName>
    <definedName name="solver_ver" localSheetId="10" hidden="1">3</definedName>
    <definedName name="solver_ver" localSheetId="11"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H980" i="12" l="1"/>
  <c r="O1078" i="14" l="1"/>
  <c r="K1078" i="14"/>
  <c r="Q1075" i="14"/>
  <c r="N1075" i="14"/>
  <c r="M1075" i="14"/>
  <c r="G1075" i="14"/>
  <c r="I1075" i="14" s="1"/>
  <c r="Q1074" i="14"/>
  <c r="M1074" i="14"/>
  <c r="I1074" i="14"/>
  <c r="G1074" i="14"/>
  <c r="Q1073" i="14"/>
  <c r="R1075" i="14" s="1"/>
  <c r="M1073" i="14"/>
  <c r="I1073" i="14"/>
  <c r="J1075" i="14" s="1"/>
  <c r="G1073" i="14"/>
  <c r="Q1072" i="14"/>
  <c r="M1072" i="14"/>
  <c r="J1072" i="14"/>
  <c r="G1072" i="14"/>
  <c r="I1072" i="14" s="1"/>
  <c r="Q1071" i="14"/>
  <c r="M1071" i="14"/>
  <c r="I1071" i="14"/>
  <c r="G1071" i="14"/>
  <c r="Q1070" i="14"/>
  <c r="R1072" i="14" s="1"/>
  <c r="M1070" i="14"/>
  <c r="N1072" i="14" s="1"/>
  <c r="I1070" i="14"/>
  <c r="G1070" i="14"/>
  <c r="Q1069" i="14"/>
  <c r="M1069" i="14"/>
  <c r="M1078" i="14" s="1"/>
  <c r="G1069" i="14"/>
  <c r="I1069" i="14" s="1"/>
  <c r="Q1068" i="14"/>
  <c r="M1068" i="14"/>
  <c r="I1068" i="14"/>
  <c r="G1068" i="14"/>
  <c r="Q1067" i="14"/>
  <c r="R1069" i="14" s="1"/>
  <c r="M1067" i="14"/>
  <c r="N1069" i="14" s="1"/>
  <c r="G1067" i="14"/>
  <c r="I1067" i="14" s="1"/>
  <c r="J1069" i="14" s="1"/>
  <c r="Q1066" i="14"/>
  <c r="N1066" i="14"/>
  <c r="M1066" i="14"/>
  <c r="I1066" i="14"/>
  <c r="G1066" i="14"/>
  <c r="Q1065" i="14"/>
  <c r="M1065" i="14"/>
  <c r="G1065" i="14"/>
  <c r="Q1064" i="14"/>
  <c r="M1064" i="14"/>
  <c r="I1064" i="14"/>
  <c r="G1058" i="14"/>
  <c r="O1057" i="14"/>
  <c r="K1057" i="14"/>
  <c r="C1057" i="14"/>
  <c r="I1054" i="14"/>
  <c r="J1051" i="14"/>
  <c r="Q1050" i="14"/>
  <c r="P1026" i="14"/>
  <c r="O1026" i="14"/>
  <c r="J1026" i="14"/>
  <c r="I1026" i="14"/>
  <c r="F1026" i="14"/>
  <c r="B999" i="14" s="1"/>
  <c r="P1025" i="14"/>
  <c r="O1025" i="14"/>
  <c r="J1025" i="14"/>
  <c r="I1025" i="14"/>
  <c r="F1025" i="14" s="1"/>
  <c r="B998" i="14" s="1"/>
  <c r="P1024" i="14"/>
  <c r="O1024" i="14"/>
  <c r="L1024" i="14"/>
  <c r="J1024" i="14"/>
  <c r="I1024" i="14"/>
  <c r="G1024" i="14"/>
  <c r="C997" i="14" s="1"/>
  <c r="F1024" i="14"/>
  <c r="P1023" i="14"/>
  <c r="O1023" i="14" s="1"/>
  <c r="L1023" i="14"/>
  <c r="J1023" i="14"/>
  <c r="I1023" i="14"/>
  <c r="G1023" i="14"/>
  <c r="C996" i="14" s="1"/>
  <c r="F1023" i="14"/>
  <c r="P1022" i="14"/>
  <c r="O1022" i="14" s="1"/>
  <c r="L1022" i="14"/>
  <c r="K1022" i="14"/>
  <c r="J1022" i="14"/>
  <c r="I1022" i="14"/>
  <c r="H1022" i="14"/>
  <c r="G1022" i="14"/>
  <c r="C995" i="14" s="1"/>
  <c r="F1022" i="14"/>
  <c r="P1021" i="14"/>
  <c r="O1021" i="14" s="1"/>
  <c r="K1021" i="14"/>
  <c r="H1021" i="14" s="1"/>
  <c r="J1021" i="14"/>
  <c r="I1021" i="14"/>
  <c r="G1021" i="14"/>
  <c r="P1020" i="14"/>
  <c r="O1020" i="14"/>
  <c r="K1020" i="14"/>
  <c r="J1020" i="14"/>
  <c r="G1020" i="14" s="1"/>
  <c r="I1020" i="14"/>
  <c r="L1020" i="14" s="1"/>
  <c r="H1020" i="14"/>
  <c r="F1020" i="14"/>
  <c r="P1019" i="14"/>
  <c r="O1019" i="14"/>
  <c r="J1019" i="14"/>
  <c r="I1019" i="14"/>
  <c r="F1019" i="14" s="1"/>
  <c r="P1018" i="14"/>
  <c r="O1018" i="14"/>
  <c r="L1018" i="14"/>
  <c r="J1018" i="14"/>
  <c r="I1018" i="14"/>
  <c r="G1018" i="14"/>
  <c r="F1018" i="14"/>
  <c r="P1017" i="14"/>
  <c r="O1017" i="14" s="1"/>
  <c r="L1017" i="14"/>
  <c r="J1017" i="14"/>
  <c r="I1017" i="14"/>
  <c r="G1017" i="14"/>
  <c r="C990" i="14" s="1"/>
  <c r="F1017" i="14"/>
  <c r="P1016" i="14"/>
  <c r="O1016" i="14" s="1"/>
  <c r="L1016" i="14"/>
  <c r="J1016" i="14"/>
  <c r="G1016" i="14" s="1"/>
  <c r="I1016" i="14"/>
  <c r="F1016" i="14" s="1"/>
  <c r="B989" i="14" s="1"/>
  <c r="P1015" i="14"/>
  <c r="O1015" i="14" s="1"/>
  <c r="J1015" i="14"/>
  <c r="L1015" i="14" s="1"/>
  <c r="I1015" i="14"/>
  <c r="F1015" i="14" s="1"/>
  <c r="G1015" i="14"/>
  <c r="AD1011" i="14"/>
  <c r="AD1009" i="14"/>
  <c r="B1009" i="14"/>
  <c r="AD1008" i="14"/>
  <c r="AD1006" i="14"/>
  <c r="B1006" i="14"/>
  <c r="Q1005" i="14"/>
  <c r="AD1002" i="14"/>
  <c r="AD1000" i="14"/>
  <c r="B997" i="14"/>
  <c r="B996" i="14"/>
  <c r="D995" i="14"/>
  <c r="B995" i="14"/>
  <c r="D994" i="14"/>
  <c r="C994" i="14"/>
  <c r="D993" i="14"/>
  <c r="C993" i="14"/>
  <c r="B993" i="14"/>
  <c r="B992" i="14"/>
  <c r="C991" i="14"/>
  <c r="B991" i="14"/>
  <c r="B990" i="14"/>
  <c r="AD1010" i="14" s="1"/>
  <c r="AD989" i="14"/>
  <c r="C989" i="14"/>
  <c r="AD988" i="14"/>
  <c r="C988" i="14"/>
  <c r="B988" i="14"/>
  <c r="AE985" i="14"/>
  <c r="B984" i="14"/>
  <c r="B981" i="14"/>
  <c r="Q980" i="14"/>
  <c r="P974" i="14"/>
  <c r="P973" i="14"/>
  <c r="P972" i="14"/>
  <c r="P971" i="14"/>
  <c r="P970" i="14"/>
  <c r="P969" i="14"/>
  <c r="P968" i="14"/>
  <c r="P967" i="14"/>
  <c r="P966" i="14"/>
  <c r="P965" i="14"/>
  <c r="P964" i="14"/>
  <c r="P963" i="14"/>
  <c r="M958" i="14"/>
  <c r="N949" i="14"/>
  <c r="O949" i="14" s="1"/>
  <c r="M949" i="14"/>
  <c r="L949" i="14"/>
  <c r="K949" i="14"/>
  <c r="I949" i="14"/>
  <c r="H949" i="14"/>
  <c r="J949" i="14" s="1"/>
  <c r="O947" i="14"/>
  <c r="J947" i="14"/>
  <c r="R946" i="14"/>
  <c r="Q946" i="14"/>
  <c r="O946" i="14"/>
  <c r="J946" i="14"/>
  <c r="R945" i="14"/>
  <c r="Q945" i="14"/>
  <c r="O945" i="14"/>
  <c r="J945" i="14"/>
  <c r="R944" i="14"/>
  <c r="Q944" i="14"/>
  <c r="O944" i="14"/>
  <c r="J944" i="14"/>
  <c r="Q943" i="14"/>
  <c r="O943" i="14"/>
  <c r="J943" i="14"/>
  <c r="Q942" i="14"/>
  <c r="O942" i="14"/>
  <c r="J942" i="14"/>
  <c r="AR941" i="14"/>
  <c r="AQ941" i="14"/>
  <c r="AP941" i="14"/>
  <c r="AO941" i="14"/>
  <c r="AN941" i="14"/>
  <c r="AM941" i="14"/>
  <c r="AL941" i="14"/>
  <c r="AK941" i="14"/>
  <c r="AJ941" i="14"/>
  <c r="AI941" i="14"/>
  <c r="AH941" i="14"/>
  <c r="AG941" i="14"/>
  <c r="AF941" i="14"/>
  <c r="AE941" i="14"/>
  <c r="AD941" i="14"/>
  <c r="Q941" i="14"/>
  <c r="O941" i="14"/>
  <c r="J941" i="14"/>
  <c r="Q940" i="14"/>
  <c r="R940" i="14" s="1"/>
  <c r="O940" i="14"/>
  <c r="J940" i="14"/>
  <c r="Q939" i="14"/>
  <c r="O939" i="14"/>
  <c r="J939" i="14"/>
  <c r="Q938" i="14"/>
  <c r="R938" i="14" s="1"/>
  <c r="O938" i="14"/>
  <c r="J938" i="14"/>
  <c r="O937" i="14"/>
  <c r="J937" i="14"/>
  <c r="O936" i="14"/>
  <c r="J936" i="14"/>
  <c r="AD931" i="14"/>
  <c r="AD928" i="14"/>
  <c r="B928" i="14"/>
  <c r="AR927" i="14"/>
  <c r="B927" i="14"/>
  <c r="Q926" i="14"/>
  <c r="AR906" i="14"/>
  <c r="AQ906" i="14"/>
  <c r="AP906" i="14"/>
  <c r="AO906" i="14"/>
  <c r="AN906" i="14"/>
  <c r="AM906" i="14"/>
  <c r="AL906" i="14"/>
  <c r="AK906" i="14"/>
  <c r="AJ906" i="14"/>
  <c r="AI906" i="14"/>
  <c r="AH906" i="14"/>
  <c r="AG906" i="14"/>
  <c r="AF906" i="14"/>
  <c r="AE906" i="14"/>
  <c r="AD906" i="14"/>
  <c r="B901" i="14"/>
  <c r="B898" i="14"/>
  <c r="Q897" i="14"/>
  <c r="AD896" i="14"/>
  <c r="AD893" i="14"/>
  <c r="AR892" i="14"/>
  <c r="AS881" i="14"/>
  <c r="AH881" i="14"/>
  <c r="AE880" i="14"/>
  <c r="AH879" i="14"/>
  <c r="AR875" i="14"/>
  <c r="AQ875" i="14"/>
  <c r="AP875" i="14"/>
  <c r="AO875" i="14"/>
  <c r="AG875" i="14"/>
  <c r="AF875" i="14"/>
  <c r="AE875" i="14"/>
  <c r="AD875" i="14"/>
  <c r="B875" i="14"/>
  <c r="B872" i="14"/>
  <c r="Q871" i="14"/>
  <c r="AR870" i="14"/>
  <c r="AG870" i="14"/>
  <c r="AS867" i="14"/>
  <c r="AH867" i="14"/>
  <c r="AS865" i="14"/>
  <c r="T862" i="14"/>
  <c r="AE853" i="14" s="1"/>
  <c r="G862" i="14"/>
  <c r="F862" i="14"/>
  <c r="T861" i="14"/>
  <c r="G861" i="14"/>
  <c r="F861" i="14"/>
  <c r="AG887" i="14" s="1"/>
  <c r="T860" i="14"/>
  <c r="G860" i="14"/>
  <c r="F860" i="14"/>
  <c r="T859" i="14"/>
  <c r="F916" i="14" s="1"/>
  <c r="G859" i="14"/>
  <c r="G916" i="14" s="1"/>
  <c r="F859" i="14"/>
  <c r="AD850" i="14" s="1"/>
  <c r="T858" i="14"/>
  <c r="G915" i="14" s="1"/>
  <c r="G858" i="14"/>
  <c r="F858" i="14"/>
  <c r="T857" i="14"/>
  <c r="G857" i="14"/>
  <c r="F857" i="14"/>
  <c r="AD848" i="14" s="1"/>
  <c r="AO848" i="14" s="1"/>
  <c r="T856" i="14"/>
  <c r="AE847" i="14" s="1"/>
  <c r="G856" i="14"/>
  <c r="F856" i="14"/>
  <c r="T855" i="14"/>
  <c r="G855" i="14"/>
  <c r="F855" i="14"/>
  <c r="AF881" i="14" s="1"/>
  <c r="T854" i="14"/>
  <c r="AE845" i="14" s="1"/>
  <c r="G854" i="14"/>
  <c r="F854" i="14"/>
  <c r="T853" i="14"/>
  <c r="G853" i="14"/>
  <c r="G910" i="14" s="1"/>
  <c r="F853" i="14"/>
  <c r="AE879" i="14" s="1"/>
  <c r="AO852" i="14"/>
  <c r="AE852" i="14"/>
  <c r="AD852" i="14"/>
  <c r="T852" i="14"/>
  <c r="AE843" i="14" s="1"/>
  <c r="G852" i="14"/>
  <c r="F852" i="14"/>
  <c r="AE851" i="14"/>
  <c r="T851" i="14"/>
  <c r="AE842" i="14" s="1"/>
  <c r="G851" i="14"/>
  <c r="F851" i="14"/>
  <c r="AO850" i="14"/>
  <c r="AE850" i="14"/>
  <c r="AE849" i="14"/>
  <c r="AE848" i="14"/>
  <c r="AE846" i="14"/>
  <c r="B846" i="14"/>
  <c r="AD845" i="14"/>
  <c r="AO845" i="14" s="1"/>
  <c r="AE844" i="14"/>
  <c r="AD844" i="14"/>
  <c r="AO844" i="14" s="1"/>
  <c r="AO843" i="14"/>
  <c r="AD843" i="14"/>
  <c r="AF843" i="14" s="1"/>
  <c r="B843" i="14"/>
  <c r="Q842" i="14"/>
  <c r="AF834" i="14"/>
  <c r="AS833" i="14"/>
  <c r="AN833" i="14"/>
  <c r="A824" i="14"/>
  <c r="A822" i="14"/>
  <c r="Q818" i="14"/>
  <c r="C813" i="14"/>
  <c r="P812" i="14"/>
  <c r="O812" i="14"/>
  <c r="N812" i="14"/>
  <c r="L812" i="14"/>
  <c r="K812" i="14"/>
  <c r="J812" i="14"/>
  <c r="M812" i="14" s="1"/>
  <c r="H812" i="14"/>
  <c r="G812" i="14"/>
  <c r="F812" i="14"/>
  <c r="E812" i="14"/>
  <c r="D812" i="14"/>
  <c r="C812" i="14"/>
  <c r="B812" i="14"/>
  <c r="P811" i="14"/>
  <c r="O811" i="14"/>
  <c r="Q811" i="14" s="1"/>
  <c r="N811" i="14"/>
  <c r="L811" i="14"/>
  <c r="K811" i="14"/>
  <c r="J811" i="14"/>
  <c r="M811" i="14" s="1"/>
  <c r="H811" i="14"/>
  <c r="G811" i="14"/>
  <c r="F811" i="14"/>
  <c r="I811" i="14" s="1"/>
  <c r="D811" i="14"/>
  <c r="C811" i="14"/>
  <c r="B811" i="14"/>
  <c r="E811" i="14" s="1"/>
  <c r="P810" i="14"/>
  <c r="P813" i="14" s="1"/>
  <c r="O810" i="14"/>
  <c r="N810" i="14"/>
  <c r="L810" i="14"/>
  <c r="K810" i="14"/>
  <c r="J810" i="14"/>
  <c r="H810" i="14"/>
  <c r="G810" i="14"/>
  <c r="F810" i="14"/>
  <c r="D810" i="14"/>
  <c r="D813" i="14" s="1"/>
  <c r="C810" i="14"/>
  <c r="B810" i="14"/>
  <c r="P809" i="14"/>
  <c r="O809" i="14"/>
  <c r="Q809" i="14" s="1"/>
  <c r="N809" i="14"/>
  <c r="L809" i="14"/>
  <c r="K809" i="14"/>
  <c r="J809" i="14"/>
  <c r="M809" i="14" s="1"/>
  <c r="H809" i="14"/>
  <c r="G809" i="14"/>
  <c r="F809" i="14"/>
  <c r="D809" i="14"/>
  <c r="C809" i="14"/>
  <c r="E809" i="14" s="1"/>
  <c r="B809" i="14"/>
  <c r="P808" i="14"/>
  <c r="O808" i="14"/>
  <c r="N808" i="14"/>
  <c r="L808" i="14"/>
  <c r="K808" i="14"/>
  <c r="J808" i="14"/>
  <c r="M808" i="14" s="1"/>
  <c r="H808" i="14"/>
  <c r="G808" i="14"/>
  <c r="F808" i="14"/>
  <c r="D808" i="14"/>
  <c r="C808" i="14"/>
  <c r="B808" i="14"/>
  <c r="P807" i="14"/>
  <c r="O807" i="14"/>
  <c r="N807" i="14"/>
  <c r="L807" i="14"/>
  <c r="K807" i="14"/>
  <c r="K814" i="14" s="1"/>
  <c r="K836" i="14" s="1"/>
  <c r="J807" i="14"/>
  <c r="H807" i="14"/>
  <c r="G807" i="14"/>
  <c r="F807" i="14"/>
  <c r="D807" i="14"/>
  <c r="C807" i="14"/>
  <c r="B807" i="14"/>
  <c r="E807" i="14" s="1"/>
  <c r="P804" i="14"/>
  <c r="O804" i="14"/>
  <c r="N804" i="14"/>
  <c r="D804" i="14"/>
  <c r="C804" i="14"/>
  <c r="B804" i="14"/>
  <c r="E804" i="14" s="1"/>
  <c r="P803" i="14"/>
  <c r="O803" i="14"/>
  <c r="O805" i="14" s="1"/>
  <c r="O834" i="14" s="1"/>
  <c r="L803" i="14"/>
  <c r="K803" i="14"/>
  <c r="J803" i="14"/>
  <c r="M803" i="14" s="1"/>
  <c r="F803" i="14"/>
  <c r="B801" i="14"/>
  <c r="P800" i="14"/>
  <c r="O800" i="14"/>
  <c r="N800" i="14"/>
  <c r="L800" i="14"/>
  <c r="K800" i="14"/>
  <c r="J800" i="14"/>
  <c r="M800" i="14" s="1"/>
  <c r="H800" i="14"/>
  <c r="G800" i="14"/>
  <c r="F800" i="14"/>
  <c r="D800" i="14"/>
  <c r="C800" i="14"/>
  <c r="B800" i="14"/>
  <c r="E800" i="14" s="1"/>
  <c r="P799" i="14"/>
  <c r="O799" i="14"/>
  <c r="N799" i="14"/>
  <c r="L799" i="14"/>
  <c r="K799" i="14"/>
  <c r="J799" i="14"/>
  <c r="M799" i="14" s="1"/>
  <c r="H799" i="14"/>
  <c r="G799" i="14"/>
  <c r="F799" i="14"/>
  <c r="D799" i="14"/>
  <c r="D801" i="14" s="1"/>
  <c r="D832" i="14" s="1"/>
  <c r="C799" i="14"/>
  <c r="B799" i="14"/>
  <c r="P798" i="14"/>
  <c r="O798" i="14"/>
  <c r="Q798" i="14" s="1"/>
  <c r="N798" i="14"/>
  <c r="L798" i="14"/>
  <c r="K798" i="14"/>
  <c r="K801" i="14" s="1"/>
  <c r="K832" i="14" s="1"/>
  <c r="J798" i="14"/>
  <c r="J801" i="14" s="1"/>
  <c r="H798" i="14"/>
  <c r="H801" i="14" s="1"/>
  <c r="H832" i="14" s="1"/>
  <c r="G798" i="14"/>
  <c r="I798" i="14" s="1"/>
  <c r="F798" i="14"/>
  <c r="D798" i="14"/>
  <c r="C798" i="14"/>
  <c r="C801" i="14" s="1"/>
  <c r="C832" i="14" s="1"/>
  <c r="B798" i="14"/>
  <c r="E798" i="14" s="1"/>
  <c r="P795" i="14"/>
  <c r="O795" i="14"/>
  <c r="N795" i="14"/>
  <c r="L795" i="14"/>
  <c r="K795" i="14"/>
  <c r="J795" i="14"/>
  <c r="M795" i="14" s="1"/>
  <c r="H795" i="14"/>
  <c r="G795" i="14"/>
  <c r="F795" i="14"/>
  <c r="D795" i="14"/>
  <c r="E795" i="14" s="1"/>
  <c r="C795" i="14"/>
  <c r="B795" i="14"/>
  <c r="P794" i="14"/>
  <c r="O794" i="14"/>
  <c r="Q794" i="14" s="1"/>
  <c r="N794" i="14"/>
  <c r="L794" i="14"/>
  <c r="K794" i="14"/>
  <c r="J794" i="14"/>
  <c r="H794" i="14"/>
  <c r="G794" i="14"/>
  <c r="F794" i="14"/>
  <c r="I794" i="14" s="1"/>
  <c r="D794" i="14"/>
  <c r="C794" i="14"/>
  <c r="B794" i="14"/>
  <c r="Q793" i="14"/>
  <c r="P793" i="14"/>
  <c r="O793" i="14"/>
  <c r="N793" i="14"/>
  <c r="L793" i="14"/>
  <c r="K793" i="14"/>
  <c r="J793" i="14"/>
  <c r="M793" i="14" s="1"/>
  <c r="I793" i="14"/>
  <c r="H793" i="14"/>
  <c r="G793" i="14"/>
  <c r="F793" i="14"/>
  <c r="D793" i="14"/>
  <c r="C793" i="14"/>
  <c r="B793" i="14"/>
  <c r="E793" i="14" s="1"/>
  <c r="R793" i="14" s="1"/>
  <c r="P792" i="14"/>
  <c r="O792" i="14"/>
  <c r="N792" i="14"/>
  <c r="Q792" i="14" s="1"/>
  <c r="L792" i="14"/>
  <c r="K792" i="14"/>
  <c r="J792" i="14"/>
  <c r="H792" i="14"/>
  <c r="G792" i="14"/>
  <c r="F792" i="14"/>
  <c r="D792" i="14"/>
  <c r="C792" i="14"/>
  <c r="B792" i="14"/>
  <c r="E792" i="14" s="1"/>
  <c r="P791" i="14"/>
  <c r="O791" i="14"/>
  <c r="N791" i="14"/>
  <c r="L791" i="14"/>
  <c r="K791" i="14"/>
  <c r="J791" i="14"/>
  <c r="H791" i="14"/>
  <c r="G791" i="14"/>
  <c r="I791" i="14" s="1"/>
  <c r="F791" i="14"/>
  <c r="D791" i="14"/>
  <c r="C791" i="14"/>
  <c r="B791" i="14"/>
  <c r="A783" i="14"/>
  <c r="A781" i="14"/>
  <c r="Q777" i="14"/>
  <c r="Q770" i="14"/>
  <c r="M770" i="14"/>
  <c r="I770" i="14"/>
  <c r="R770" i="14" s="1"/>
  <c r="E770" i="14"/>
  <c r="P768" i="14"/>
  <c r="O768" i="14"/>
  <c r="N768" i="14"/>
  <c r="L768" i="14"/>
  <c r="K768" i="14"/>
  <c r="J768" i="14"/>
  <c r="M768" i="14" s="1"/>
  <c r="H768" i="14"/>
  <c r="I768" i="14" s="1"/>
  <c r="G768" i="14"/>
  <c r="F768" i="14"/>
  <c r="D768" i="14"/>
  <c r="C768" i="14"/>
  <c r="B768" i="14"/>
  <c r="P767" i="14"/>
  <c r="O767" i="14"/>
  <c r="N767" i="14"/>
  <c r="L767" i="14"/>
  <c r="K767" i="14"/>
  <c r="J767" i="14"/>
  <c r="H767" i="14"/>
  <c r="G767" i="14"/>
  <c r="F767" i="14"/>
  <c r="I767" i="14" s="1"/>
  <c r="D767" i="14"/>
  <c r="C767" i="14"/>
  <c r="B767" i="14"/>
  <c r="Q764" i="14"/>
  <c r="M764" i="14"/>
  <c r="I764" i="14"/>
  <c r="E764" i="14"/>
  <c r="R764" i="14" s="1"/>
  <c r="Q763" i="14"/>
  <c r="M763" i="14"/>
  <c r="I763" i="14"/>
  <c r="E763" i="14"/>
  <c r="Q761" i="14"/>
  <c r="M761" i="14"/>
  <c r="I761" i="14"/>
  <c r="E761" i="14"/>
  <c r="R761" i="14" s="1"/>
  <c r="Q760" i="14"/>
  <c r="M760" i="14"/>
  <c r="I760" i="14"/>
  <c r="E760" i="14"/>
  <c r="R760" i="14" s="1"/>
  <c r="P757" i="14"/>
  <c r="O757" i="14"/>
  <c r="N757" i="14"/>
  <c r="L757" i="14"/>
  <c r="K757" i="14"/>
  <c r="J757" i="14"/>
  <c r="H757" i="14"/>
  <c r="G757" i="14"/>
  <c r="F757" i="14"/>
  <c r="I757" i="14" s="1"/>
  <c r="D757" i="14"/>
  <c r="C757" i="14"/>
  <c r="B757" i="14"/>
  <c r="Q756" i="14"/>
  <c r="M756" i="14"/>
  <c r="I756" i="14"/>
  <c r="E756" i="14"/>
  <c r="Q755" i="14"/>
  <c r="M755" i="14"/>
  <c r="I755" i="14"/>
  <c r="E755" i="14"/>
  <c r="Q754" i="14"/>
  <c r="M754" i="14"/>
  <c r="I754" i="14"/>
  <c r="E754" i="14"/>
  <c r="R754" i="14" s="1"/>
  <c r="Q753" i="14"/>
  <c r="M753" i="14"/>
  <c r="I753" i="14"/>
  <c r="E753" i="14"/>
  <c r="Q751" i="14"/>
  <c r="M751" i="14"/>
  <c r="I751" i="14"/>
  <c r="E751" i="14"/>
  <c r="Q750" i="14"/>
  <c r="M750" i="14"/>
  <c r="I750" i="14"/>
  <c r="E750" i="14"/>
  <c r="P747" i="14"/>
  <c r="O747" i="14"/>
  <c r="N747" i="14"/>
  <c r="M747" i="14"/>
  <c r="L747" i="14"/>
  <c r="K747" i="14"/>
  <c r="J747" i="14"/>
  <c r="H747" i="14"/>
  <c r="G747" i="14"/>
  <c r="F747" i="14"/>
  <c r="D747" i="14"/>
  <c r="C747" i="14"/>
  <c r="B747" i="14"/>
  <c r="Q745" i="14"/>
  <c r="M745" i="14"/>
  <c r="I745" i="14"/>
  <c r="E745" i="14"/>
  <c r="P742" i="14"/>
  <c r="O742" i="14"/>
  <c r="N742" i="14"/>
  <c r="L742" i="14"/>
  <c r="K742" i="14"/>
  <c r="J742" i="14"/>
  <c r="H742" i="14"/>
  <c r="G742" i="14"/>
  <c r="G769" i="14" s="1"/>
  <c r="G772" i="14" s="1"/>
  <c r="F742" i="14"/>
  <c r="D742" i="14"/>
  <c r="D769" i="14" s="1"/>
  <c r="D772" i="14" s="1"/>
  <c r="C742" i="14"/>
  <c r="B742" i="14"/>
  <c r="Q740" i="14"/>
  <c r="M740" i="14"/>
  <c r="I740" i="14"/>
  <c r="E740" i="14"/>
  <c r="Q737" i="14"/>
  <c r="M737" i="14"/>
  <c r="I737" i="14"/>
  <c r="E737" i="14"/>
  <c r="Q736" i="14"/>
  <c r="M736" i="14"/>
  <c r="I736" i="14"/>
  <c r="E736" i="14"/>
  <c r="Q735" i="14"/>
  <c r="M735" i="14"/>
  <c r="R735" i="14" s="1"/>
  <c r="I735" i="14"/>
  <c r="E735" i="14"/>
  <c r="Q734" i="14"/>
  <c r="M734" i="14"/>
  <c r="I734" i="14"/>
  <c r="E734" i="14"/>
  <c r="R734" i="14" s="1"/>
  <c r="Q722" i="14"/>
  <c r="M722" i="14"/>
  <c r="I722" i="14"/>
  <c r="E722" i="14"/>
  <c r="Q721" i="14"/>
  <c r="M721" i="14"/>
  <c r="I721" i="14"/>
  <c r="E721" i="14"/>
  <c r="R721" i="14" s="1"/>
  <c r="P719" i="14"/>
  <c r="O719" i="14"/>
  <c r="N719" i="14"/>
  <c r="L719" i="14"/>
  <c r="K719" i="14"/>
  <c r="J719" i="14"/>
  <c r="H719" i="14"/>
  <c r="G719" i="14"/>
  <c r="F719" i="14"/>
  <c r="D719" i="14"/>
  <c r="C719" i="14"/>
  <c r="B719" i="14"/>
  <c r="P718" i="14"/>
  <c r="O718" i="14"/>
  <c r="N718" i="14"/>
  <c r="L718" i="14"/>
  <c r="K718" i="14"/>
  <c r="J718" i="14"/>
  <c r="M718" i="14" s="1"/>
  <c r="H718" i="14"/>
  <c r="G718" i="14"/>
  <c r="F718" i="14"/>
  <c r="D718" i="14"/>
  <c r="C718" i="14"/>
  <c r="B718" i="14"/>
  <c r="P712" i="14"/>
  <c r="O712" i="14"/>
  <c r="N712" i="14"/>
  <c r="Q712" i="14" s="1"/>
  <c r="L712" i="14"/>
  <c r="K712" i="14"/>
  <c r="J712" i="14"/>
  <c r="M712" i="14" s="1"/>
  <c r="H712" i="14"/>
  <c r="G712" i="14"/>
  <c r="F712" i="14"/>
  <c r="D712" i="14"/>
  <c r="C712" i="14"/>
  <c r="B712" i="14"/>
  <c r="E712" i="14" s="1"/>
  <c r="P708" i="14"/>
  <c r="O708" i="14"/>
  <c r="N708" i="14"/>
  <c r="L708" i="14"/>
  <c r="K708" i="14"/>
  <c r="J708" i="14"/>
  <c r="H708" i="14"/>
  <c r="G708" i="14"/>
  <c r="F708" i="14"/>
  <c r="D708" i="14"/>
  <c r="C708" i="14"/>
  <c r="B708" i="14"/>
  <c r="P704" i="14"/>
  <c r="O704" i="14"/>
  <c r="N704" i="14"/>
  <c r="L704" i="14"/>
  <c r="K704" i="14"/>
  <c r="J704" i="14"/>
  <c r="H704" i="14"/>
  <c r="G704" i="14"/>
  <c r="G720" i="14" s="1"/>
  <c r="G724" i="14" s="1"/>
  <c r="F704" i="14"/>
  <c r="F720" i="14" s="1"/>
  <c r="F724" i="14" s="1"/>
  <c r="D704" i="14"/>
  <c r="C704" i="14"/>
  <c r="B704" i="14"/>
  <c r="Q700" i="14"/>
  <c r="M700" i="14"/>
  <c r="I700" i="14"/>
  <c r="E700" i="14"/>
  <c r="R700" i="14" s="1"/>
  <c r="P690" i="14"/>
  <c r="O690" i="14"/>
  <c r="N690" i="14"/>
  <c r="Q690" i="14" s="1"/>
  <c r="L690" i="14"/>
  <c r="K690" i="14"/>
  <c r="J690" i="14"/>
  <c r="H690" i="14"/>
  <c r="G690" i="14"/>
  <c r="F690" i="14"/>
  <c r="D690" i="14"/>
  <c r="C690" i="14"/>
  <c r="B690" i="14"/>
  <c r="Q688" i="14"/>
  <c r="M688" i="14"/>
  <c r="I688" i="14"/>
  <c r="E688" i="14"/>
  <c r="Q678" i="14"/>
  <c r="M678" i="14"/>
  <c r="R678" i="14" s="1"/>
  <c r="I678" i="14"/>
  <c r="E678" i="14"/>
  <c r="P676" i="14"/>
  <c r="O676" i="14"/>
  <c r="N676" i="14"/>
  <c r="L676" i="14"/>
  <c r="K676" i="14"/>
  <c r="J676" i="14"/>
  <c r="M676" i="14" s="1"/>
  <c r="H676" i="14"/>
  <c r="G676" i="14"/>
  <c r="F676" i="14"/>
  <c r="D676" i="14"/>
  <c r="C676" i="14"/>
  <c r="B676" i="14"/>
  <c r="P675" i="14"/>
  <c r="O675" i="14"/>
  <c r="N675" i="14"/>
  <c r="Q675" i="14" s="1"/>
  <c r="L675" i="14"/>
  <c r="K675" i="14"/>
  <c r="J675" i="14"/>
  <c r="H675" i="14"/>
  <c r="G675" i="14"/>
  <c r="F675" i="14"/>
  <c r="I675" i="14" s="1"/>
  <c r="D675" i="14"/>
  <c r="C675" i="14"/>
  <c r="B675" i="14"/>
  <c r="Q672" i="14"/>
  <c r="M672" i="14"/>
  <c r="I672" i="14"/>
  <c r="E672" i="14"/>
  <c r="R672" i="14" s="1"/>
  <c r="Q671" i="14"/>
  <c r="M671" i="14"/>
  <c r="I671" i="14"/>
  <c r="E671" i="14"/>
  <c r="Q670" i="14"/>
  <c r="M670" i="14"/>
  <c r="I670" i="14"/>
  <c r="E670" i="14"/>
  <c r="Q669" i="14"/>
  <c r="M669" i="14"/>
  <c r="I669" i="14"/>
  <c r="E669" i="14"/>
  <c r="P665" i="14"/>
  <c r="O665" i="14"/>
  <c r="N665" i="14"/>
  <c r="L665" i="14"/>
  <c r="K665" i="14"/>
  <c r="J665" i="14"/>
  <c r="H665" i="14"/>
  <c r="G665" i="14"/>
  <c r="F665" i="14"/>
  <c r="I665" i="14" s="1"/>
  <c r="D665" i="14"/>
  <c r="C665" i="14"/>
  <c r="B665" i="14"/>
  <c r="Q664" i="14"/>
  <c r="M664" i="14"/>
  <c r="I664" i="14"/>
  <c r="E664" i="14"/>
  <c r="Q663" i="14"/>
  <c r="M663" i="14"/>
  <c r="I663" i="14"/>
  <c r="E663" i="14"/>
  <c r="Q662" i="14"/>
  <c r="M662" i="14"/>
  <c r="I662" i="14"/>
  <c r="E662" i="14"/>
  <c r="Q661" i="14"/>
  <c r="M661" i="14"/>
  <c r="I661" i="14"/>
  <c r="E661" i="14"/>
  <c r="Q659" i="14"/>
  <c r="M659" i="14"/>
  <c r="I659" i="14"/>
  <c r="E659" i="14"/>
  <c r="P656" i="14"/>
  <c r="P677" i="14" s="1"/>
  <c r="P680" i="14" s="1"/>
  <c r="O656" i="14"/>
  <c r="N656" i="14"/>
  <c r="L656" i="14"/>
  <c r="K656" i="14"/>
  <c r="J656" i="14"/>
  <c r="H656" i="14"/>
  <c r="G656" i="14"/>
  <c r="F656" i="14"/>
  <c r="D656" i="14"/>
  <c r="C656" i="14"/>
  <c r="B656" i="14"/>
  <c r="Q652" i="14"/>
  <c r="P652" i="14"/>
  <c r="O652" i="14"/>
  <c r="O677" i="14" s="1"/>
  <c r="O680" i="14" s="1"/>
  <c r="N652" i="14"/>
  <c r="M652" i="14"/>
  <c r="L652" i="14"/>
  <c r="L677" i="14" s="1"/>
  <c r="L680" i="14" s="1"/>
  <c r="K652" i="14"/>
  <c r="K677" i="14" s="1"/>
  <c r="K680" i="14" s="1"/>
  <c r="J652" i="14"/>
  <c r="J677" i="14" s="1"/>
  <c r="I652" i="14"/>
  <c r="H652" i="14"/>
  <c r="G652" i="14"/>
  <c r="G677" i="14" s="1"/>
  <c r="G680" i="14" s="1"/>
  <c r="F652" i="14"/>
  <c r="E652" i="14"/>
  <c r="D652" i="14"/>
  <c r="C652" i="14"/>
  <c r="C677" i="14" s="1"/>
  <c r="C680" i="14" s="1"/>
  <c r="B652" i="14"/>
  <c r="B677" i="14" s="1"/>
  <c r="R648" i="14"/>
  <c r="Q648" i="14"/>
  <c r="M648" i="14"/>
  <c r="I648" i="14"/>
  <c r="E648" i="14"/>
  <c r="Q647" i="14"/>
  <c r="M647" i="14"/>
  <c r="I647" i="14"/>
  <c r="E647" i="14"/>
  <c r="Q646" i="14"/>
  <c r="M646" i="14"/>
  <c r="I646" i="14"/>
  <c r="E646" i="14"/>
  <c r="Q645" i="14"/>
  <c r="M645" i="14"/>
  <c r="I645" i="14"/>
  <c r="E645" i="14"/>
  <c r="Q644" i="14"/>
  <c r="M644" i="14"/>
  <c r="I644" i="14"/>
  <c r="E644" i="14"/>
  <c r="R644" i="14" s="1"/>
  <c r="Q643" i="14"/>
  <c r="M643" i="14"/>
  <c r="I643" i="14"/>
  <c r="E643" i="14"/>
  <c r="R643" i="14" s="1"/>
  <c r="Q631" i="14"/>
  <c r="M631" i="14"/>
  <c r="I631" i="14"/>
  <c r="E631" i="14"/>
  <c r="R631" i="14" s="1"/>
  <c r="P629" i="14"/>
  <c r="O629" i="14"/>
  <c r="N629" i="14"/>
  <c r="L629" i="14"/>
  <c r="K629" i="14"/>
  <c r="J629" i="14"/>
  <c r="M629" i="14" s="1"/>
  <c r="H629" i="14"/>
  <c r="G629" i="14"/>
  <c r="F629" i="14"/>
  <c r="D629" i="14"/>
  <c r="C629" i="14"/>
  <c r="B629" i="14"/>
  <c r="P628" i="14"/>
  <c r="O628" i="14"/>
  <c r="N628" i="14"/>
  <c r="Q628" i="14" s="1"/>
  <c r="L628" i="14"/>
  <c r="K628" i="14"/>
  <c r="J628" i="14"/>
  <c r="M628" i="14" s="1"/>
  <c r="H628" i="14"/>
  <c r="G628" i="14"/>
  <c r="F628" i="14"/>
  <c r="I628" i="14" s="1"/>
  <c r="D628" i="14"/>
  <c r="C628" i="14"/>
  <c r="B628" i="14"/>
  <c r="Q625" i="14"/>
  <c r="M625" i="14"/>
  <c r="I625" i="14"/>
  <c r="E625" i="14"/>
  <c r="R625" i="14" s="1"/>
  <c r="P621" i="14"/>
  <c r="O621" i="14"/>
  <c r="N621" i="14"/>
  <c r="L621" i="14"/>
  <c r="K621" i="14"/>
  <c r="M621" i="14" s="1"/>
  <c r="J621" i="14"/>
  <c r="H621" i="14"/>
  <c r="G621" i="14"/>
  <c r="F621" i="14"/>
  <c r="D621" i="14"/>
  <c r="C621" i="14"/>
  <c r="E621" i="14" s="1"/>
  <c r="B621" i="14"/>
  <c r="P617" i="14"/>
  <c r="O617" i="14"/>
  <c r="N617" i="14"/>
  <c r="L617" i="14"/>
  <c r="K617" i="14"/>
  <c r="J617" i="14"/>
  <c r="H617" i="14"/>
  <c r="G617" i="14"/>
  <c r="F617" i="14"/>
  <c r="D617" i="14"/>
  <c r="C617" i="14"/>
  <c r="B617" i="14"/>
  <c r="Q613" i="14"/>
  <c r="P613" i="14"/>
  <c r="O613" i="14"/>
  <c r="N613" i="14"/>
  <c r="L613" i="14"/>
  <c r="L630" i="14" s="1"/>
  <c r="L633" i="14" s="1"/>
  <c r="K613" i="14"/>
  <c r="M613" i="14" s="1"/>
  <c r="J613" i="14"/>
  <c r="J630" i="14" s="1"/>
  <c r="I613" i="14"/>
  <c r="H613" i="14"/>
  <c r="G613" i="14"/>
  <c r="G630" i="14" s="1"/>
  <c r="G633" i="14" s="1"/>
  <c r="F613" i="14"/>
  <c r="D613" i="14"/>
  <c r="C613" i="14"/>
  <c r="E613" i="14" s="1"/>
  <c r="B613" i="14"/>
  <c r="B630" i="14" s="1"/>
  <c r="R609" i="14"/>
  <c r="Q609" i="14"/>
  <c r="M609" i="14"/>
  <c r="I609" i="14"/>
  <c r="E609" i="14"/>
  <c r="Q608" i="14"/>
  <c r="M608" i="14"/>
  <c r="I608" i="14"/>
  <c r="E608" i="14"/>
  <c r="Q607" i="14"/>
  <c r="M607" i="14"/>
  <c r="I607" i="14"/>
  <c r="E607" i="14"/>
  <c r="R607" i="14" s="1"/>
  <c r="P597" i="14"/>
  <c r="O597" i="14"/>
  <c r="N597" i="14"/>
  <c r="Q597" i="14" s="1"/>
  <c r="L597" i="14"/>
  <c r="K597" i="14"/>
  <c r="J597" i="14"/>
  <c r="H597" i="14"/>
  <c r="G597" i="14"/>
  <c r="F597" i="14"/>
  <c r="I597" i="14" s="1"/>
  <c r="D597" i="14"/>
  <c r="C597" i="14"/>
  <c r="B597" i="14"/>
  <c r="Q595" i="14"/>
  <c r="M595" i="14"/>
  <c r="I595" i="14"/>
  <c r="E595" i="14"/>
  <c r="Q585" i="14"/>
  <c r="M585" i="14"/>
  <c r="R585" i="14" s="1"/>
  <c r="I585" i="14"/>
  <c r="E585" i="14"/>
  <c r="P583" i="14"/>
  <c r="O583" i="14"/>
  <c r="N583" i="14"/>
  <c r="L583" i="14"/>
  <c r="K583" i="14"/>
  <c r="J583" i="14"/>
  <c r="H583" i="14"/>
  <c r="G583" i="14"/>
  <c r="F583" i="14"/>
  <c r="D583" i="14"/>
  <c r="C583" i="14"/>
  <c r="B583" i="14"/>
  <c r="E583" i="14" s="1"/>
  <c r="P582" i="14"/>
  <c r="O582" i="14"/>
  <c r="N582" i="14"/>
  <c r="Q582" i="14" s="1"/>
  <c r="L582" i="14"/>
  <c r="K582" i="14"/>
  <c r="J582" i="14"/>
  <c r="M582" i="14" s="1"/>
  <c r="H582" i="14"/>
  <c r="G582" i="14"/>
  <c r="F582" i="14"/>
  <c r="I582" i="14" s="1"/>
  <c r="D582" i="14"/>
  <c r="C582" i="14"/>
  <c r="B582" i="14"/>
  <c r="E582" i="14" s="1"/>
  <c r="Q581" i="14"/>
  <c r="M581" i="14"/>
  <c r="I581" i="14"/>
  <c r="E581" i="14"/>
  <c r="R581" i="14" s="1"/>
  <c r="Q580" i="14"/>
  <c r="M580" i="14"/>
  <c r="I580" i="14"/>
  <c r="R580" i="14" s="1"/>
  <c r="E580" i="14"/>
  <c r="Q577" i="14"/>
  <c r="M577" i="14"/>
  <c r="I577" i="14"/>
  <c r="E577" i="14"/>
  <c r="R577" i="14" s="1"/>
  <c r="Q576" i="14"/>
  <c r="M576" i="14"/>
  <c r="I576" i="14"/>
  <c r="E576" i="14"/>
  <c r="Q575" i="14"/>
  <c r="M575" i="14"/>
  <c r="I575" i="14"/>
  <c r="E575" i="14"/>
  <c r="R575" i="14" s="1"/>
  <c r="Q574" i="14"/>
  <c r="M574" i="14"/>
  <c r="I574" i="14"/>
  <c r="E574" i="14"/>
  <c r="Q572" i="14"/>
  <c r="M572" i="14"/>
  <c r="I572" i="14"/>
  <c r="E572" i="14"/>
  <c r="Q571" i="14"/>
  <c r="M571" i="14"/>
  <c r="I571" i="14"/>
  <c r="E571" i="14"/>
  <c r="P568" i="14"/>
  <c r="O568" i="14"/>
  <c r="N568" i="14"/>
  <c r="Q568" i="14" s="1"/>
  <c r="L568" i="14"/>
  <c r="K568" i="14"/>
  <c r="J568" i="14"/>
  <c r="H568" i="14"/>
  <c r="G568" i="14"/>
  <c r="F568" i="14"/>
  <c r="I568" i="14" s="1"/>
  <c r="D568" i="14"/>
  <c r="C568" i="14"/>
  <c r="B568" i="14"/>
  <c r="Q567" i="14"/>
  <c r="M567" i="14"/>
  <c r="I567" i="14"/>
  <c r="E567" i="14"/>
  <c r="P563" i="14"/>
  <c r="O563" i="14"/>
  <c r="N563" i="14"/>
  <c r="L563" i="14"/>
  <c r="K563" i="14"/>
  <c r="J563" i="14"/>
  <c r="H563" i="14"/>
  <c r="G563" i="14"/>
  <c r="F563" i="14"/>
  <c r="I563" i="14" s="1"/>
  <c r="D563" i="14"/>
  <c r="C563" i="14"/>
  <c r="B563" i="14"/>
  <c r="Q561" i="14"/>
  <c r="M561" i="14"/>
  <c r="I561" i="14"/>
  <c r="E561" i="14"/>
  <c r="Q560" i="14"/>
  <c r="M560" i="14"/>
  <c r="I560" i="14"/>
  <c r="E560" i="14"/>
  <c r="Q557" i="14"/>
  <c r="P557" i="14"/>
  <c r="O557" i="14"/>
  <c r="O584" i="14" s="1"/>
  <c r="O587" i="14" s="1"/>
  <c r="N557" i="14"/>
  <c r="L557" i="14"/>
  <c r="K557" i="14"/>
  <c r="J557" i="14"/>
  <c r="H557" i="14"/>
  <c r="G557" i="14"/>
  <c r="G584" i="14" s="1"/>
  <c r="G587" i="14" s="1"/>
  <c r="F557" i="14"/>
  <c r="F584" i="14" s="1"/>
  <c r="D557" i="14"/>
  <c r="C557" i="14"/>
  <c r="B557" i="14"/>
  <c r="Q555" i="14"/>
  <c r="M555" i="14"/>
  <c r="R555" i="14" s="1"/>
  <c r="I555" i="14"/>
  <c r="E555" i="14"/>
  <c r="Q553" i="14"/>
  <c r="M553" i="14"/>
  <c r="I553" i="14"/>
  <c r="E553" i="14"/>
  <c r="Q551" i="14"/>
  <c r="M551" i="14"/>
  <c r="I551" i="14"/>
  <c r="E551" i="14"/>
  <c r="Q550" i="14"/>
  <c r="M550" i="14"/>
  <c r="I550" i="14"/>
  <c r="E550" i="14"/>
  <c r="R550" i="14" s="1"/>
  <c r="Q549" i="14"/>
  <c r="M549" i="14"/>
  <c r="I549" i="14"/>
  <c r="E549" i="14"/>
  <c r="Q548" i="14"/>
  <c r="M548" i="14"/>
  <c r="I548" i="14"/>
  <c r="E548" i="14"/>
  <c r="R548" i="14" s="1"/>
  <c r="Q547" i="14"/>
  <c r="M547" i="14"/>
  <c r="I547" i="14"/>
  <c r="E547" i="14"/>
  <c r="Q546" i="14"/>
  <c r="M546" i="14"/>
  <c r="I546" i="14"/>
  <c r="R546" i="14" s="1"/>
  <c r="E546" i="14"/>
  <c r="R545" i="14"/>
  <c r="Q545" i="14"/>
  <c r="M545" i="14"/>
  <c r="I545" i="14"/>
  <c r="E545" i="14"/>
  <c r="Q544" i="14"/>
  <c r="M544" i="14"/>
  <c r="I544" i="14"/>
  <c r="E544" i="14"/>
  <c r="Q543" i="14"/>
  <c r="M543" i="14"/>
  <c r="I543" i="14"/>
  <c r="E543" i="14"/>
  <c r="R543" i="14" s="1"/>
  <c r="Q542" i="14"/>
  <c r="M542" i="14"/>
  <c r="I542" i="14"/>
  <c r="E542" i="14"/>
  <c r="R542" i="14" s="1"/>
  <c r="Q530" i="14"/>
  <c r="M530" i="14"/>
  <c r="I530" i="14"/>
  <c r="E530" i="14"/>
  <c r="R530" i="14" s="1"/>
  <c r="G529" i="14"/>
  <c r="G532" i="14" s="1"/>
  <c r="P528" i="14"/>
  <c r="O528" i="14"/>
  <c r="N528" i="14"/>
  <c r="Q528" i="14" s="1"/>
  <c r="L528" i="14"/>
  <c r="K528" i="14"/>
  <c r="J528" i="14"/>
  <c r="H528" i="14"/>
  <c r="G528" i="14"/>
  <c r="F528" i="14"/>
  <c r="D528" i="14"/>
  <c r="C528" i="14"/>
  <c r="B528" i="14"/>
  <c r="P527" i="14"/>
  <c r="O527" i="14"/>
  <c r="Q527" i="14" s="1"/>
  <c r="N527" i="14"/>
  <c r="L527" i="14"/>
  <c r="K527" i="14"/>
  <c r="M527" i="14" s="1"/>
  <c r="J527" i="14"/>
  <c r="H527" i="14"/>
  <c r="G527" i="14"/>
  <c r="I527" i="14" s="1"/>
  <c r="F527" i="14"/>
  <c r="D527" i="14"/>
  <c r="C527" i="14"/>
  <c r="E527" i="14" s="1"/>
  <c r="B527" i="14"/>
  <c r="Q526" i="14"/>
  <c r="M526" i="14"/>
  <c r="R526" i="14" s="1"/>
  <c r="I526" i="14"/>
  <c r="E526" i="14"/>
  <c r="Q525" i="14"/>
  <c r="M525" i="14"/>
  <c r="I525" i="14"/>
  <c r="E525" i="14"/>
  <c r="Q524" i="14"/>
  <c r="M524" i="14"/>
  <c r="R524" i="14" s="1"/>
  <c r="I524" i="14"/>
  <c r="E524" i="14"/>
  <c r="Q522" i="14"/>
  <c r="M522" i="14"/>
  <c r="I522" i="14"/>
  <c r="E522" i="14"/>
  <c r="P517" i="14"/>
  <c r="O517" i="14"/>
  <c r="N517" i="14"/>
  <c r="L517" i="14"/>
  <c r="K517" i="14"/>
  <c r="J517" i="14"/>
  <c r="H517" i="14"/>
  <c r="G517" i="14"/>
  <c r="F517" i="14"/>
  <c r="D517" i="14"/>
  <c r="C517" i="14"/>
  <c r="B517" i="14"/>
  <c r="Q516" i="14"/>
  <c r="M516" i="14"/>
  <c r="I516" i="14"/>
  <c r="E516" i="14"/>
  <c r="P512" i="14"/>
  <c r="O512" i="14"/>
  <c r="O529" i="14" s="1"/>
  <c r="O532" i="14" s="1"/>
  <c r="N512" i="14"/>
  <c r="L512" i="14"/>
  <c r="K512" i="14"/>
  <c r="J512" i="14"/>
  <c r="H512" i="14"/>
  <c r="G512" i="14"/>
  <c r="F512" i="14"/>
  <c r="D512" i="14"/>
  <c r="C512" i="14"/>
  <c r="B512" i="14"/>
  <c r="Q511" i="14"/>
  <c r="R511" i="14" s="1"/>
  <c r="Q509" i="14"/>
  <c r="M509" i="14"/>
  <c r="I509" i="14"/>
  <c r="R509" i="14" s="1"/>
  <c r="E509" i="14"/>
  <c r="Q508" i="14"/>
  <c r="M508" i="14"/>
  <c r="I508" i="14"/>
  <c r="E508" i="14"/>
  <c r="P505" i="14"/>
  <c r="O505" i="14"/>
  <c r="N505" i="14"/>
  <c r="L505" i="14"/>
  <c r="L529" i="14" s="1"/>
  <c r="L532" i="14" s="1"/>
  <c r="K505" i="14"/>
  <c r="K529" i="14" s="1"/>
  <c r="K532" i="14" s="1"/>
  <c r="J505" i="14"/>
  <c r="H505" i="14"/>
  <c r="G505" i="14"/>
  <c r="F505" i="14"/>
  <c r="D505" i="14"/>
  <c r="C505" i="14"/>
  <c r="C529" i="14" s="1"/>
  <c r="C532" i="14" s="1"/>
  <c r="B505" i="14"/>
  <c r="Q501" i="14"/>
  <c r="M501" i="14"/>
  <c r="I501" i="14"/>
  <c r="E501" i="14"/>
  <c r="Q500" i="14"/>
  <c r="M500" i="14"/>
  <c r="I500" i="14"/>
  <c r="E500" i="14"/>
  <c r="Q499" i="14"/>
  <c r="M499" i="14"/>
  <c r="I499" i="14"/>
  <c r="E499" i="14"/>
  <c r="Q498" i="14"/>
  <c r="M498" i="14"/>
  <c r="I498" i="14"/>
  <c r="E498" i="14"/>
  <c r="Q486" i="14"/>
  <c r="M486" i="14"/>
  <c r="I486" i="14"/>
  <c r="E486" i="14"/>
  <c r="P484" i="14"/>
  <c r="O484" i="14"/>
  <c r="N484" i="14"/>
  <c r="L484" i="14"/>
  <c r="K484" i="14"/>
  <c r="J484" i="14"/>
  <c r="H484" i="14"/>
  <c r="G484" i="14"/>
  <c r="F484" i="14"/>
  <c r="D484" i="14"/>
  <c r="C484" i="14"/>
  <c r="E484" i="14" s="1"/>
  <c r="B484" i="14"/>
  <c r="P483" i="14"/>
  <c r="O483" i="14"/>
  <c r="N483" i="14"/>
  <c r="L483" i="14"/>
  <c r="K483" i="14"/>
  <c r="J483" i="14"/>
  <c r="H483" i="14"/>
  <c r="G483" i="14"/>
  <c r="F483" i="14"/>
  <c r="D483" i="14"/>
  <c r="C483" i="14"/>
  <c r="B483" i="14"/>
  <c r="Q482" i="14"/>
  <c r="M482" i="14"/>
  <c r="I482" i="14"/>
  <c r="E482" i="14"/>
  <c r="Q481" i="14"/>
  <c r="M481" i="14"/>
  <c r="I481" i="14"/>
  <c r="E481" i="14"/>
  <c r="R481" i="14" s="1"/>
  <c r="P475" i="14"/>
  <c r="O475" i="14"/>
  <c r="N475" i="14"/>
  <c r="L475" i="14"/>
  <c r="K475" i="14"/>
  <c r="J475" i="14"/>
  <c r="H475" i="14"/>
  <c r="G475" i="14"/>
  <c r="I475" i="14" s="1"/>
  <c r="F475" i="14"/>
  <c r="D475" i="14"/>
  <c r="C475" i="14"/>
  <c r="B475" i="14"/>
  <c r="E475" i="14" s="1"/>
  <c r="Q474" i="14"/>
  <c r="M474" i="14"/>
  <c r="I474" i="14"/>
  <c r="E474" i="14"/>
  <c r="P470" i="14"/>
  <c r="O470" i="14"/>
  <c r="N470" i="14"/>
  <c r="Q470" i="14" s="1"/>
  <c r="L470" i="14"/>
  <c r="K470" i="14"/>
  <c r="J470" i="14"/>
  <c r="M470" i="14" s="1"/>
  <c r="H470" i="14"/>
  <c r="G470" i="14"/>
  <c r="F470" i="14"/>
  <c r="I470" i="14" s="1"/>
  <c r="D470" i="14"/>
  <c r="C470" i="14"/>
  <c r="B470" i="14"/>
  <c r="E470" i="14" s="1"/>
  <c r="Q468" i="14"/>
  <c r="M468" i="14"/>
  <c r="I468" i="14"/>
  <c r="E468" i="14"/>
  <c r="R468" i="14" s="1"/>
  <c r="P465" i="14"/>
  <c r="O465" i="14"/>
  <c r="N465" i="14"/>
  <c r="N485" i="14" s="1"/>
  <c r="L465" i="14"/>
  <c r="L485" i="14" s="1"/>
  <c r="L488" i="14" s="1"/>
  <c r="K465" i="14"/>
  <c r="K485" i="14" s="1"/>
  <c r="K488" i="14" s="1"/>
  <c r="J465" i="14"/>
  <c r="M465" i="14" s="1"/>
  <c r="H465" i="14"/>
  <c r="H485" i="14" s="1"/>
  <c r="H488" i="14" s="1"/>
  <c r="G465" i="14"/>
  <c r="F465" i="14"/>
  <c r="D465" i="14"/>
  <c r="D485" i="14" s="1"/>
  <c r="D488" i="14" s="1"/>
  <c r="C465" i="14"/>
  <c r="B465" i="14"/>
  <c r="B485" i="14" s="1"/>
  <c r="Q462" i="14"/>
  <c r="M462" i="14"/>
  <c r="I462" i="14"/>
  <c r="E462" i="14"/>
  <c r="Q461" i="14"/>
  <c r="M461" i="14"/>
  <c r="I461" i="14"/>
  <c r="E461" i="14"/>
  <c r="Q459" i="14"/>
  <c r="M459" i="14"/>
  <c r="I459" i="14"/>
  <c r="E459" i="14"/>
  <c r="R459" i="14" s="1"/>
  <c r="Q458" i="14"/>
  <c r="M458" i="14"/>
  <c r="I458" i="14"/>
  <c r="E458" i="14"/>
  <c r="Q457" i="14"/>
  <c r="M457" i="14"/>
  <c r="I457" i="14"/>
  <c r="R457" i="14" s="1"/>
  <c r="E457" i="14"/>
  <c r="Q439" i="14"/>
  <c r="M439" i="14"/>
  <c r="I439" i="14"/>
  <c r="E439" i="14"/>
  <c r="Q438" i="14"/>
  <c r="M438" i="14"/>
  <c r="I438" i="14"/>
  <c r="E438" i="14"/>
  <c r="Q437" i="14"/>
  <c r="M437" i="14"/>
  <c r="I437" i="14"/>
  <c r="E437" i="14"/>
  <c r="P435" i="14"/>
  <c r="O435" i="14"/>
  <c r="N435" i="14"/>
  <c r="Q435" i="14" s="1"/>
  <c r="L435" i="14"/>
  <c r="K435" i="14"/>
  <c r="J435" i="14"/>
  <c r="H435" i="14"/>
  <c r="G435" i="14"/>
  <c r="F435" i="14"/>
  <c r="I435" i="14" s="1"/>
  <c r="D435" i="14"/>
  <c r="C435" i="14"/>
  <c r="B435" i="14"/>
  <c r="P434" i="14"/>
  <c r="O434" i="14"/>
  <c r="N434" i="14"/>
  <c r="L434" i="14"/>
  <c r="K434" i="14"/>
  <c r="J434" i="14"/>
  <c r="M434" i="14" s="1"/>
  <c r="H434" i="14"/>
  <c r="G434" i="14"/>
  <c r="F434" i="14"/>
  <c r="D434" i="14"/>
  <c r="C434" i="14"/>
  <c r="B434" i="14"/>
  <c r="Q433" i="14"/>
  <c r="M433" i="14"/>
  <c r="I433" i="14"/>
  <c r="E433" i="14"/>
  <c r="Q432" i="14"/>
  <c r="M432" i="14"/>
  <c r="I432" i="14"/>
  <c r="E432" i="14"/>
  <c r="R432" i="14" s="1"/>
  <c r="Q431" i="14"/>
  <c r="M431" i="14"/>
  <c r="I431" i="14"/>
  <c r="E431" i="14"/>
  <c r="Q430" i="14"/>
  <c r="M430" i="14"/>
  <c r="I430" i="14"/>
  <c r="E430" i="14"/>
  <c r="R430" i="14" s="1"/>
  <c r="Q429" i="14"/>
  <c r="M429" i="14"/>
  <c r="I429" i="14"/>
  <c r="E429" i="14"/>
  <c r="Q428" i="14"/>
  <c r="M428" i="14"/>
  <c r="I428" i="14"/>
  <c r="E428" i="14"/>
  <c r="Q427" i="14"/>
  <c r="M427" i="14"/>
  <c r="I427" i="14"/>
  <c r="E427" i="14"/>
  <c r="Q426" i="14"/>
  <c r="M426" i="14"/>
  <c r="I426" i="14"/>
  <c r="E426" i="14"/>
  <c r="Q424" i="14"/>
  <c r="M424" i="14"/>
  <c r="I424" i="14"/>
  <c r="E424" i="14"/>
  <c r="Q423" i="14"/>
  <c r="M423" i="14"/>
  <c r="I423" i="14"/>
  <c r="E423" i="14"/>
  <c r="Q422" i="14"/>
  <c r="M422" i="14"/>
  <c r="I422" i="14"/>
  <c r="E422" i="14"/>
  <c r="Q421" i="14"/>
  <c r="M421" i="14"/>
  <c r="I421" i="14"/>
  <c r="E421" i="14"/>
  <c r="R421" i="14" s="1"/>
  <c r="Q420" i="14"/>
  <c r="M420" i="14"/>
  <c r="I420" i="14"/>
  <c r="E420" i="14"/>
  <c r="R420" i="14" s="1"/>
  <c r="Q419" i="14"/>
  <c r="M419" i="14"/>
  <c r="I419" i="14"/>
  <c r="E419" i="14"/>
  <c r="R419" i="14" s="1"/>
  <c r="Q417" i="14"/>
  <c r="M417" i="14"/>
  <c r="I417" i="14"/>
  <c r="E417" i="14"/>
  <c r="Q416" i="14"/>
  <c r="M416" i="14"/>
  <c r="I416" i="14"/>
  <c r="E416" i="14"/>
  <c r="Q414" i="14"/>
  <c r="M414" i="14"/>
  <c r="I414" i="14"/>
  <c r="E414" i="14"/>
  <c r="P411" i="14"/>
  <c r="O411" i="14"/>
  <c r="N411" i="14"/>
  <c r="Q411" i="14" s="1"/>
  <c r="L411" i="14"/>
  <c r="K411" i="14"/>
  <c r="J411" i="14"/>
  <c r="M411" i="14" s="1"/>
  <c r="H411" i="14"/>
  <c r="F411" i="14"/>
  <c r="B411" i="14"/>
  <c r="Q410" i="14"/>
  <c r="M410" i="14"/>
  <c r="I410" i="14"/>
  <c r="E410" i="14"/>
  <c r="Q409" i="14"/>
  <c r="M409" i="14"/>
  <c r="I409" i="14"/>
  <c r="E409" i="14"/>
  <c r="Q408" i="14"/>
  <c r="M408" i="14"/>
  <c r="I408" i="14"/>
  <c r="E408" i="14"/>
  <c r="Q407" i="14"/>
  <c r="M407" i="14"/>
  <c r="I407" i="14"/>
  <c r="R407" i="14" s="1"/>
  <c r="E407" i="14"/>
  <c r="Q406" i="14"/>
  <c r="M406" i="14"/>
  <c r="I406" i="14"/>
  <c r="E406" i="14"/>
  <c r="Q405" i="14"/>
  <c r="M405" i="14"/>
  <c r="I405" i="14"/>
  <c r="E405" i="14"/>
  <c r="R405" i="14" s="1"/>
  <c r="Q404" i="14"/>
  <c r="M404" i="14"/>
  <c r="I404" i="14"/>
  <c r="E404" i="14"/>
  <c r="Q403" i="14"/>
  <c r="M403" i="14"/>
  <c r="I403" i="14"/>
  <c r="E403" i="14"/>
  <c r="R403" i="14" s="1"/>
  <c r="Q402" i="14"/>
  <c r="M402" i="14"/>
  <c r="I402" i="14"/>
  <c r="E402" i="14"/>
  <c r="Q401" i="14"/>
  <c r="M401" i="14"/>
  <c r="I401" i="14"/>
  <c r="E401" i="14"/>
  <c r="Q400" i="14"/>
  <c r="M400" i="14"/>
  <c r="I400" i="14"/>
  <c r="E400" i="14"/>
  <c r="Q399" i="14"/>
  <c r="M399" i="14"/>
  <c r="I399" i="14"/>
  <c r="E399" i="14"/>
  <c r="Q398" i="14"/>
  <c r="M398" i="14"/>
  <c r="I398" i="14"/>
  <c r="R398" i="14" s="1"/>
  <c r="E398" i="14"/>
  <c r="Q397" i="14"/>
  <c r="M397" i="14"/>
  <c r="R397" i="14" s="1"/>
  <c r="I397" i="14"/>
  <c r="E397" i="14"/>
  <c r="Q396" i="14"/>
  <c r="M396" i="14"/>
  <c r="I396" i="14"/>
  <c r="E396" i="14"/>
  <c r="R396" i="14" s="1"/>
  <c r="Q395" i="14"/>
  <c r="M395" i="14"/>
  <c r="I395" i="14"/>
  <c r="E395" i="14"/>
  <c r="Q394" i="14"/>
  <c r="J394" i="14"/>
  <c r="M394" i="14" s="1"/>
  <c r="H394" i="14"/>
  <c r="G394" i="14"/>
  <c r="G804" i="14" s="1"/>
  <c r="F394" i="14"/>
  <c r="E394" i="14"/>
  <c r="Q393" i="14"/>
  <c r="M393" i="14"/>
  <c r="I393" i="14"/>
  <c r="E393" i="14"/>
  <c r="R393" i="14" s="1"/>
  <c r="Q392" i="14"/>
  <c r="M392" i="14"/>
  <c r="I392" i="14"/>
  <c r="E392" i="14"/>
  <c r="Q391" i="14"/>
  <c r="M391" i="14"/>
  <c r="I391" i="14"/>
  <c r="E391" i="14"/>
  <c r="R391" i="14" s="1"/>
  <c r="Q390" i="14"/>
  <c r="M390" i="14"/>
  <c r="I390" i="14"/>
  <c r="E390" i="14"/>
  <c r="Q389" i="14"/>
  <c r="M389" i="14"/>
  <c r="I389" i="14"/>
  <c r="E389" i="14"/>
  <c r="R389" i="14" s="1"/>
  <c r="Q388" i="14"/>
  <c r="M388" i="14"/>
  <c r="I388" i="14"/>
  <c r="E388" i="14"/>
  <c r="Q387" i="14"/>
  <c r="M387" i="14"/>
  <c r="I387" i="14"/>
  <c r="E387" i="14"/>
  <c r="R387" i="14" s="1"/>
  <c r="Q386" i="14"/>
  <c r="M386" i="14"/>
  <c r="I386" i="14"/>
  <c r="E386" i="14"/>
  <c r="Q385" i="14"/>
  <c r="M385" i="14"/>
  <c r="I385" i="14"/>
  <c r="E385" i="14"/>
  <c r="Q384" i="14"/>
  <c r="M384" i="14"/>
  <c r="I384" i="14"/>
  <c r="E384" i="14"/>
  <c r="Q383" i="14"/>
  <c r="M383" i="14"/>
  <c r="I383" i="14"/>
  <c r="E383" i="14"/>
  <c r="Q382" i="14"/>
  <c r="M382" i="14"/>
  <c r="I382" i="14"/>
  <c r="E382" i="14"/>
  <c r="Q381" i="14"/>
  <c r="M381" i="14"/>
  <c r="I381" i="14"/>
  <c r="E381" i="14"/>
  <c r="Q380" i="14"/>
  <c r="M380" i="14"/>
  <c r="I380" i="14"/>
  <c r="E380" i="14"/>
  <c r="Q379" i="14"/>
  <c r="M379" i="14"/>
  <c r="I379" i="14"/>
  <c r="E379" i="14"/>
  <c r="Q378" i="14"/>
  <c r="M378" i="14"/>
  <c r="I378" i="14"/>
  <c r="E378" i="14"/>
  <c r="Q377" i="14"/>
  <c r="M377" i="14"/>
  <c r="I377" i="14"/>
  <c r="E377" i="14"/>
  <c r="Q376" i="14"/>
  <c r="M376" i="14"/>
  <c r="I376" i="14"/>
  <c r="E376" i="14"/>
  <c r="Q375" i="14"/>
  <c r="M375" i="14"/>
  <c r="I375" i="14"/>
  <c r="E375" i="14"/>
  <c r="Q373" i="14"/>
  <c r="N373" i="14"/>
  <c r="N803" i="14" s="1"/>
  <c r="M373" i="14"/>
  <c r="I373" i="14"/>
  <c r="H373" i="14"/>
  <c r="H803" i="14" s="1"/>
  <c r="G373" i="14"/>
  <c r="G803" i="14" s="1"/>
  <c r="E373" i="14"/>
  <c r="D373" i="14"/>
  <c r="D803" i="14" s="1"/>
  <c r="D805" i="14" s="1"/>
  <c r="D834" i="14" s="1"/>
  <c r="C373" i="14"/>
  <c r="B373" i="14"/>
  <c r="B803" i="14" s="1"/>
  <c r="B805" i="14" s="1"/>
  <c r="Q372" i="14"/>
  <c r="M372" i="14"/>
  <c r="I372" i="14"/>
  <c r="E372" i="14"/>
  <c r="P369" i="14"/>
  <c r="O369" i="14"/>
  <c r="N369" i="14"/>
  <c r="L369" i="14"/>
  <c r="K369" i="14"/>
  <c r="J369" i="14"/>
  <c r="H369" i="14"/>
  <c r="G369" i="14"/>
  <c r="F369" i="14"/>
  <c r="I369" i="14" s="1"/>
  <c r="D369" i="14"/>
  <c r="C369" i="14"/>
  <c r="B369" i="14"/>
  <c r="Q368" i="14"/>
  <c r="R368" i="14" s="1"/>
  <c r="Q366" i="14"/>
  <c r="M366" i="14"/>
  <c r="I366" i="14"/>
  <c r="E366" i="14"/>
  <c r="Q365" i="14"/>
  <c r="M365" i="14"/>
  <c r="I365" i="14"/>
  <c r="E365" i="14"/>
  <c r="Q364" i="14"/>
  <c r="M364" i="14"/>
  <c r="I364" i="14"/>
  <c r="E364" i="14"/>
  <c r="AK363" i="14"/>
  <c r="AJ363" i="14"/>
  <c r="AI363" i="14"/>
  <c r="AG363" i="14"/>
  <c r="AF363" i="14"/>
  <c r="AH363" i="14" s="1"/>
  <c r="AE363" i="14"/>
  <c r="AC363" i="14"/>
  <c r="Y363" i="14"/>
  <c r="X363" i="14"/>
  <c r="W363" i="14"/>
  <c r="Z363" i="14" s="1"/>
  <c r="Q363" i="14"/>
  <c r="M363" i="14"/>
  <c r="I363" i="14"/>
  <c r="E363" i="14"/>
  <c r="AK362" i="14"/>
  <c r="AJ362" i="14"/>
  <c r="AI362" i="14"/>
  <c r="AG362" i="14"/>
  <c r="AF362" i="14"/>
  <c r="AE362" i="14"/>
  <c r="AA362" i="14"/>
  <c r="Y362" i="14"/>
  <c r="X362" i="14"/>
  <c r="W362" i="14"/>
  <c r="Q362" i="14"/>
  <c r="M362" i="14"/>
  <c r="I362" i="14"/>
  <c r="E362" i="14"/>
  <c r="AK361" i="14"/>
  <c r="AJ361" i="14"/>
  <c r="AL361" i="14" s="1"/>
  <c r="AI361" i="14"/>
  <c r="AG361" i="14"/>
  <c r="AF361" i="14"/>
  <c r="AE361" i="14"/>
  <c r="AB361" i="14"/>
  <c r="Y361" i="14"/>
  <c r="Z361" i="14" s="1"/>
  <c r="X361" i="14"/>
  <c r="W361" i="14"/>
  <c r="Q361" i="14"/>
  <c r="M361" i="14"/>
  <c r="I361" i="14"/>
  <c r="E361" i="14"/>
  <c r="R361" i="14" s="1"/>
  <c r="AL360" i="14"/>
  <c r="AL363" i="14" s="1"/>
  <c r="AH360" i="14"/>
  <c r="AC360" i="14"/>
  <c r="AC361" i="14" s="1"/>
  <c r="AB360" i="14"/>
  <c r="AB363" i="14" s="1"/>
  <c r="AA360" i="14"/>
  <c r="AA361" i="14" s="1"/>
  <c r="AD361" i="14" s="1"/>
  <c r="Z360" i="14"/>
  <c r="Q360" i="14"/>
  <c r="M360" i="14"/>
  <c r="I360" i="14"/>
  <c r="R360" i="14" s="1"/>
  <c r="E360" i="14"/>
  <c r="Q359" i="14"/>
  <c r="M359" i="14"/>
  <c r="I359" i="14"/>
  <c r="R359" i="14" s="1"/>
  <c r="E359" i="14"/>
  <c r="Q358" i="14"/>
  <c r="M358" i="14"/>
  <c r="I358" i="14"/>
  <c r="E358" i="14"/>
  <c r="W357" i="14"/>
  <c r="P354" i="14"/>
  <c r="O354" i="14"/>
  <c r="O436" i="14" s="1"/>
  <c r="O441" i="14" s="1"/>
  <c r="N354" i="14"/>
  <c r="L354" i="14"/>
  <c r="L436" i="14" s="1"/>
  <c r="L441" i="14" s="1"/>
  <c r="K354" i="14"/>
  <c r="J354" i="14"/>
  <c r="J436" i="14" s="1"/>
  <c r="H354" i="14"/>
  <c r="H436" i="14" s="1"/>
  <c r="H441" i="14" s="1"/>
  <c r="G354" i="14"/>
  <c r="F354" i="14"/>
  <c r="F436" i="14" s="1"/>
  <c r="D354" i="14"/>
  <c r="C354" i="14"/>
  <c r="B354" i="14"/>
  <c r="E354" i="14" s="1"/>
  <c r="Q352" i="14"/>
  <c r="M352" i="14"/>
  <c r="I352" i="14"/>
  <c r="E352" i="14"/>
  <c r="R352" i="14" s="1"/>
  <c r="Q351" i="14"/>
  <c r="M351" i="14"/>
  <c r="I351" i="14"/>
  <c r="E351" i="14"/>
  <c r="R351" i="14" s="1"/>
  <c r="Q350" i="14"/>
  <c r="M350" i="14"/>
  <c r="I350" i="14"/>
  <c r="E350" i="14"/>
  <c r="Q349" i="14"/>
  <c r="M349" i="14"/>
  <c r="I349" i="14"/>
  <c r="E349" i="14"/>
  <c r="R349" i="14" s="1"/>
  <c r="Q347" i="14"/>
  <c r="M347" i="14"/>
  <c r="I347" i="14"/>
  <c r="E347" i="14"/>
  <c r="R347" i="14" s="1"/>
  <c r="Q346" i="14"/>
  <c r="M346" i="14"/>
  <c r="I346" i="14"/>
  <c r="R346" i="14" s="1"/>
  <c r="E346" i="14"/>
  <c r="Q345" i="14"/>
  <c r="M345" i="14"/>
  <c r="I345" i="14"/>
  <c r="E345" i="14"/>
  <c r="Q344" i="14"/>
  <c r="M344" i="14"/>
  <c r="I344" i="14"/>
  <c r="E344" i="14"/>
  <c r="Q343" i="14"/>
  <c r="M343" i="14"/>
  <c r="I343" i="14"/>
  <c r="E343" i="14"/>
  <c r="R343" i="14" s="1"/>
  <c r="Q342" i="14"/>
  <c r="M342" i="14"/>
  <c r="I342" i="14"/>
  <c r="E342" i="14"/>
  <c r="Q341" i="14"/>
  <c r="M341" i="14"/>
  <c r="I341" i="14"/>
  <c r="E341" i="14"/>
  <c r="Q340" i="14"/>
  <c r="M340" i="14"/>
  <c r="I340" i="14"/>
  <c r="E340" i="14"/>
  <c r="Q339" i="14"/>
  <c r="M339" i="14"/>
  <c r="I339" i="14"/>
  <c r="E339" i="14"/>
  <c r="Q338" i="14"/>
  <c r="M338" i="14"/>
  <c r="R338" i="14" s="1"/>
  <c r="I338" i="14"/>
  <c r="E338" i="14"/>
  <c r="Q337" i="14"/>
  <c r="M337" i="14"/>
  <c r="I337" i="14"/>
  <c r="E337" i="14"/>
  <c r="R337" i="14" s="1"/>
  <c r="Q335" i="14"/>
  <c r="M335" i="14"/>
  <c r="R335" i="14" s="1"/>
  <c r="I335" i="14"/>
  <c r="E335" i="14"/>
  <c r="Q334" i="14"/>
  <c r="M334" i="14"/>
  <c r="I334" i="14"/>
  <c r="E334" i="14"/>
  <c r="R334" i="14" s="1"/>
  <c r="Q333" i="14"/>
  <c r="M333" i="14"/>
  <c r="I333" i="14"/>
  <c r="E333" i="14"/>
  <c r="Q332" i="14"/>
  <c r="M332" i="14"/>
  <c r="I332" i="14"/>
  <c r="E332" i="14"/>
  <c r="Q331" i="14"/>
  <c r="M331" i="14"/>
  <c r="I331" i="14"/>
  <c r="E331" i="14"/>
  <c r="Q330" i="14"/>
  <c r="M330" i="14"/>
  <c r="I330" i="14"/>
  <c r="E330" i="14"/>
  <c r="Q329" i="14"/>
  <c r="M329" i="14"/>
  <c r="I329" i="14"/>
  <c r="E329" i="14"/>
  <c r="Q328" i="14"/>
  <c r="M328" i="14"/>
  <c r="I328" i="14"/>
  <c r="E328" i="14"/>
  <c r="Q327" i="14"/>
  <c r="M327" i="14"/>
  <c r="I327" i="14"/>
  <c r="E327" i="14"/>
  <c r="Q326" i="14"/>
  <c r="M326" i="14"/>
  <c r="I326" i="14"/>
  <c r="E326" i="14"/>
  <c r="R326" i="14" s="1"/>
  <c r="Q325" i="14"/>
  <c r="M325" i="14"/>
  <c r="I325" i="14"/>
  <c r="E325" i="14"/>
  <c r="R325" i="14" s="1"/>
  <c r="Q324" i="14"/>
  <c r="M324" i="14"/>
  <c r="I324" i="14"/>
  <c r="E324" i="14"/>
  <c r="Q323" i="14"/>
  <c r="M323" i="14"/>
  <c r="I323" i="14"/>
  <c r="E323" i="14"/>
  <c r="R323" i="14" s="1"/>
  <c r="Q322" i="14"/>
  <c r="M322" i="14"/>
  <c r="I322" i="14"/>
  <c r="E322" i="14"/>
  <c r="R322" i="14" s="1"/>
  <c r="Q321" i="14"/>
  <c r="M321" i="14"/>
  <c r="I321" i="14"/>
  <c r="H321" i="14"/>
  <c r="E321" i="14"/>
  <c r="Q320" i="14"/>
  <c r="M320" i="14"/>
  <c r="I320" i="14"/>
  <c r="E320" i="14"/>
  <c r="Q319" i="14"/>
  <c r="M319" i="14"/>
  <c r="I319" i="14"/>
  <c r="E319" i="14"/>
  <c r="R319" i="14" s="1"/>
  <c r="Q318" i="14"/>
  <c r="M318" i="14"/>
  <c r="I318" i="14"/>
  <c r="R318" i="14" s="1"/>
  <c r="E318" i="14"/>
  <c r="Q317" i="14"/>
  <c r="M317" i="14"/>
  <c r="I317" i="14"/>
  <c r="E317" i="14"/>
  <c r="R317" i="14" s="1"/>
  <c r="Q316" i="14"/>
  <c r="M316" i="14"/>
  <c r="I316" i="14"/>
  <c r="E316" i="14"/>
  <c r="Q315" i="14"/>
  <c r="M315" i="14"/>
  <c r="I315" i="14"/>
  <c r="E315" i="14"/>
  <c r="R315" i="14" s="1"/>
  <c r="Q314" i="14"/>
  <c r="M314" i="14"/>
  <c r="I314" i="14"/>
  <c r="E314" i="14"/>
  <c r="Q313" i="14"/>
  <c r="M313" i="14"/>
  <c r="I313" i="14"/>
  <c r="R313" i="14" s="1"/>
  <c r="E313" i="14"/>
  <c r="Q312" i="14"/>
  <c r="M312" i="14"/>
  <c r="I312" i="14"/>
  <c r="E312" i="14"/>
  <c r="Q311" i="14"/>
  <c r="M311" i="14"/>
  <c r="I311" i="14"/>
  <c r="E311" i="14"/>
  <c r="Q310" i="14"/>
  <c r="M310" i="14"/>
  <c r="I310" i="14"/>
  <c r="E310" i="14"/>
  <c r="P302" i="14"/>
  <c r="O302" i="14"/>
  <c r="N302" i="14"/>
  <c r="Q302" i="14" s="1"/>
  <c r="L302" i="14"/>
  <c r="K302" i="14"/>
  <c r="J302" i="14"/>
  <c r="H302" i="14"/>
  <c r="G302" i="14"/>
  <c r="F302" i="14"/>
  <c r="I302" i="14" s="1"/>
  <c r="D302" i="14"/>
  <c r="C302" i="14"/>
  <c r="B302" i="14"/>
  <c r="Q300" i="14"/>
  <c r="M300" i="14"/>
  <c r="I300" i="14"/>
  <c r="E300" i="14"/>
  <c r="Q289" i="14"/>
  <c r="M289" i="14"/>
  <c r="I289" i="14"/>
  <c r="E289" i="14"/>
  <c r="Q288" i="14"/>
  <c r="M288" i="14"/>
  <c r="I288" i="14"/>
  <c r="E288" i="14"/>
  <c r="Q287" i="14"/>
  <c r="M287" i="14"/>
  <c r="I287" i="14"/>
  <c r="E287" i="14"/>
  <c r="R287" i="14" s="1"/>
  <c r="Q286" i="14"/>
  <c r="M286" i="14"/>
  <c r="I286" i="14"/>
  <c r="E286" i="14"/>
  <c r="R286" i="14" s="1"/>
  <c r="Q285" i="14"/>
  <c r="M285" i="14"/>
  <c r="I285" i="14"/>
  <c r="R285" i="14" s="1"/>
  <c r="E285" i="14"/>
  <c r="Q284" i="14"/>
  <c r="M284" i="14"/>
  <c r="I284" i="14"/>
  <c r="E284" i="14"/>
  <c r="R284" i="14" s="1"/>
  <c r="P282" i="14"/>
  <c r="O282" i="14"/>
  <c r="N282" i="14"/>
  <c r="Q282" i="14" s="1"/>
  <c r="L282" i="14"/>
  <c r="K282" i="14"/>
  <c r="J282" i="14"/>
  <c r="M282" i="14" s="1"/>
  <c r="H282" i="14"/>
  <c r="G282" i="14"/>
  <c r="F282" i="14"/>
  <c r="E282" i="14"/>
  <c r="D282" i="14"/>
  <c r="C282" i="14"/>
  <c r="B282" i="14"/>
  <c r="P281" i="14"/>
  <c r="O281" i="14"/>
  <c r="N281" i="14"/>
  <c r="Q281" i="14" s="1"/>
  <c r="L281" i="14"/>
  <c r="K281" i="14"/>
  <c r="J281" i="14"/>
  <c r="H281" i="14"/>
  <c r="G281" i="14"/>
  <c r="F281" i="14"/>
  <c r="I281" i="14" s="1"/>
  <c r="D281" i="14"/>
  <c r="C281" i="14"/>
  <c r="B281" i="14"/>
  <c r="Q280" i="14"/>
  <c r="M280" i="14"/>
  <c r="I280" i="14"/>
  <c r="E280" i="14"/>
  <c r="Q277" i="14"/>
  <c r="M277" i="14"/>
  <c r="I277" i="14"/>
  <c r="E277" i="14"/>
  <c r="R276" i="14"/>
  <c r="Q276" i="14"/>
  <c r="M276" i="14"/>
  <c r="I276" i="14"/>
  <c r="E276" i="14"/>
  <c r="Q275" i="14"/>
  <c r="M275" i="14"/>
  <c r="I275" i="14"/>
  <c r="E275" i="14"/>
  <c r="R275" i="14" s="1"/>
  <c r="Q274" i="14"/>
  <c r="M274" i="14"/>
  <c r="I274" i="14"/>
  <c r="E274" i="14"/>
  <c r="Q273" i="14"/>
  <c r="M273" i="14"/>
  <c r="I273" i="14"/>
  <c r="R273" i="14" s="1"/>
  <c r="E273" i="14"/>
  <c r="Q272" i="14"/>
  <c r="M272" i="14"/>
  <c r="I272" i="14"/>
  <c r="E272" i="14"/>
  <c r="Q271" i="14"/>
  <c r="M271" i="14"/>
  <c r="I271" i="14"/>
  <c r="E271" i="14"/>
  <c r="Q270" i="14"/>
  <c r="M270" i="14"/>
  <c r="I270" i="14"/>
  <c r="E270" i="14"/>
  <c r="R270" i="14" s="1"/>
  <c r="Q268" i="14"/>
  <c r="M268" i="14"/>
  <c r="I268" i="14"/>
  <c r="E268" i="14"/>
  <c r="Q267" i="14"/>
  <c r="M267" i="14"/>
  <c r="I267" i="14"/>
  <c r="E267" i="14"/>
  <c r="R267" i="14" s="1"/>
  <c r="Q266" i="14"/>
  <c r="M266" i="14"/>
  <c r="I266" i="14"/>
  <c r="E266" i="14"/>
  <c r="P263" i="14"/>
  <c r="O263" i="14"/>
  <c r="N263" i="14"/>
  <c r="Q263" i="14" s="1"/>
  <c r="L263" i="14"/>
  <c r="J263" i="14"/>
  <c r="H263" i="14"/>
  <c r="G263" i="14"/>
  <c r="F263" i="14"/>
  <c r="D263" i="14"/>
  <c r="C263" i="14"/>
  <c r="B263" i="14"/>
  <c r="E263" i="14" s="1"/>
  <c r="Q262" i="14"/>
  <c r="M262" i="14"/>
  <c r="I262" i="14"/>
  <c r="E262" i="14"/>
  <c r="Q261" i="14"/>
  <c r="M261" i="14"/>
  <c r="I261" i="14"/>
  <c r="E261" i="14"/>
  <c r="R261" i="14" s="1"/>
  <c r="Q260" i="14"/>
  <c r="M260" i="14"/>
  <c r="I260" i="14"/>
  <c r="E260" i="14"/>
  <c r="Q259" i="14"/>
  <c r="M259" i="14"/>
  <c r="I259" i="14"/>
  <c r="E259" i="14"/>
  <c r="R259" i="14" s="1"/>
  <c r="Q258" i="14"/>
  <c r="M258" i="14"/>
  <c r="I258" i="14"/>
  <c r="E258" i="14"/>
  <c r="R258" i="14" s="1"/>
  <c r="Q257" i="14"/>
  <c r="M257" i="14"/>
  <c r="I257" i="14"/>
  <c r="E257" i="14"/>
  <c r="Q256" i="14"/>
  <c r="M256" i="14"/>
  <c r="I256" i="14"/>
  <c r="E256" i="14"/>
  <c r="Q255" i="14"/>
  <c r="M255" i="14"/>
  <c r="R255" i="14" s="1"/>
  <c r="I255" i="14"/>
  <c r="E255" i="14"/>
  <c r="Q254" i="14"/>
  <c r="M254" i="14"/>
  <c r="I254" i="14"/>
  <c r="E254" i="14"/>
  <c r="R254" i="14" s="1"/>
  <c r="Q253" i="14"/>
  <c r="M253" i="14"/>
  <c r="I253" i="14"/>
  <c r="E253" i="14"/>
  <c r="R253" i="14" s="1"/>
  <c r="Q252" i="14"/>
  <c r="M252" i="14"/>
  <c r="I252" i="14"/>
  <c r="E252" i="14"/>
  <c r="Q251" i="14"/>
  <c r="M251" i="14"/>
  <c r="I251" i="14"/>
  <c r="E251" i="14"/>
  <c r="Q250" i="14"/>
  <c r="M250" i="14"/>
  <c r="I250" i="14"/>
  <c r="E250" i="14"/>
  <c r="R250" i="14" s="1"/>
  <c r="Q249" i="14"/>
  <c r="M249" i="14"/>
  <c r="I249" i="14"/>
  <c r="E249" i="14"/>
  <c r="Q248" i="14"/>
  <c r="M248" i="14"/>
  <c r="I248" i="14"/>
  <c r="E248" i="14"/>
  <c r="R248" i="14" s="1"/>
  <c r="Q247" i="14"/>
  <c r="M247" i="14"/>
  <c r="L247" i="14"/>
  <c r="L804" i="14" s="1"/>
  <c r="L805" i="14" s="1"/>
  <c r="L834" i="14" s="1"/>
  <c r="K247" i="14"/>
  <c r="K804" i="14" s="1"/>
  <c r="J247" i="14"/>
  <c r="J804" i="14" s="1"/>
  <c r="I247" i="14"/>
  <c r="H247" i="14"/>
  <c r="H804" i="14" s="1"/>
  <c r="E247" i="14"/>
  <c r="R247" i="14" s="1"/>
  <c r="Q246" i="14"/>
  <c r="M246" i="14"/>
  <c r="I246" i="14"/>
  <c r="E246" i="14"/>
  <c r="R246" i="14" s="1"/>
  <c r="Q245" i="14"/>
  <c r="M245" i="14"/>
  <c r="I245" i="14"/>
  <c r="E245" i="14"/>
  <c r="Q244" i="14"/>
  <c r="M244" i="14"/>
  <c r="I244" i="14"/>
  <c r="E244" i="14"/>
  <c r="Q243" i="14"/>
  <c r="M243" i="14"/>
  <c r="I243" i="14"/>
  <c r="E243" i="14"/>
  <c r="R243" i="14" s="1"/>
  <c r="Q242" i="14"/>
  <c r="M242" i="14"/>
  <c r="I242" i="14"/>
  <c r="E242" i="14"/>
  <c r="R241" i="14"/>
  <c r="Q241" i="14"/>
  <c r="M241" i="14"/>
  <c r="I241" i="14"/>
  <c r="E241" i="14"/>
  <c r="Q240" i="14"/>
  <c r="M240" i="14"/>
  <c r="I240" i="14"/>
  <c r="E240" i="14"/>
  <c r="Q239" i="14"/>
  <c r="M239" i="14"/>
  <c r="I239" i="14"/>
  <c r="E239" i="14"/>
  <c r="R239" i="14" s="1"/>
  <c r="Q238" i="14"/>
  <c r="M238" i="14"/>
  <c r="I238" i="14"/>
  <c r="R238" i="14" s="1"/>
  <c r="E238" i="14"/>
  <c r="Q237" i="14"/>
  <c r="M237" i="14"/>
  <c r="I237" i="14"/>
  <c r="E237" i="14"/>
  <c r="Q236" i="14"/>
  <c r="M236" i="14"/>
  <c r="I236" i="14"/>
  <c r="R236" i="14" s="1"/>
  <c r="E236" i="14"/>
  <c r="Q235" i="14"/>
  <c r="M235" i="14"/>
  <c r="I235" i="14"/>
  <c r="E235" i="14"/>
  <c r="R235" i="14" s="1"/>
  <c r="Q234" i="14"/>
  <c r="M234" i="14"/>
  <c r="I234" i="14"/>
  <c r="E234" i="14"/>
  <c r="Q233" i="14"/>
  <c r="M233" i="14"/>
  <c r="I233" i="14"/>
  <c r="E233" i="14"/>
  <c r="Q232" i="14"/>
  <c r="M232" i="14"/>
  <c r="I232" i="14"/>
  <c r="E232" i="14"/>
  <c r="Q231" i="14"/>
  <c r="M231" i="14"/>
  <c r="I231" i="14"/>
  <c r="E231" i="14"/>
  <c r="R230" i="14"/>
  <c r="Q230" i="14"/>
  <c r="M230" i="14"/>
  <c r="I230" i="14"/>
  <c r="E230" i="14"/>
  <c r="Q229" i="14"/>
  <c r="M229" i="14"/>
  <c r="I229" i="14"/>
  <c r="E229" i="14"/>
  <c r="R229" i="14" s="1"/>
  <c r="Q228" i="14"/>
  <c r="M228" i="14"/>
  <c r="I228" i="14"/>
  <c r="E228" i="14"/>
  <c r="R228" i="14" s="1"/>
  <c r="Q227" i="14"/>
  <c r="M227" i="14"/>
  <c r="I227" i="14"/>
  <c r="E227" i="14"/>
  <c r="Q226" i="14"/>
  <c r="M226" i="14"/>
  <c r="I226" i="14"/>
  <c r="E226" i="14"/>
  <c r="R225" i="14"/>
  <c r="Q225" i="14"/>
  <c r="M225" i="14"/>
  <c r="I225" i="14"/>
  <c r="E225" i="14"/>
  <c r="Q224" i="14"/>
  <c r="M224" i="14"/>
  <c r="I224" i="14"/>
  <c r="E224" i="14"/>
  <c r="R224" i="14" s="1"/>
  <c r="Q223" i="14"/>
  <c r="M223" i="14"/>
  <c r="I223" i="14"/>
  <c r="E223" i="14"/>
  <c r="Q222" i="14"/>
  <c r="M222" i="14"/>
  <c r="I222" i="14"/>
  <c r="E222" i="14"/>
  <c r="R222" i="14" s="1"/>
  <c r="Q221" i="14"/>
  <c r="M221" i="14"/>
  <c r="I221" i="14"/>
  <c r="E221" i="14"/>
  <c r="Q220" i="14"/>
  <c r="M220" i="14"/>
  <c r="I220" i="14"/>
  <c r="E220" i="14"/>
  <c r="R219" i="14"/>
  <c r="Q219" i="14"/>
  <c r="M219" i="14"/>
  <c r="I219" i="14"/>
  <c r="E219" i="14"/>
  <c r="Q218" i="14"/>
  <c r="M218" i="14"/>
  <c r="I218" i="14"/>
  <c r="E218" i="14"/>
  <c r="R218" i="14" s="1"/>
  <c r="Q217" i="14"/>
  <c r="M217" i="14"/>
  <c r="I217" i="14"/>
  <c r="E217" i="14"/>
  <c r="R217" i="14" s="1"/>
  <c r="Q216" i="14"/>
  <c r="M216" i="14"/>
  <c r="I216" i="14"/>
  <c r="E216" i="14"/>
  <c r="Q215" i="14"/>
  <c r="M215" i="14"/>
  <c r="I215" i="14"/>
  <c r="E215" i="14"/>
  <c r="Q214" i="14"/>
  <c r="M214" i="14"/>
  <c r="R214" i="14" s="1"/>
  <c r="I214" i="14"/>
  <c r="E214" i="14"/>
  <c r="Q213" i="14"/>
  <c r="M213" i="14"/>
  <c r="I213" i="14"/>
  <c r="E213" i="14"/>
  <c r="R213" i="14" s="1"/>
  <c r="Q212" i="14"/>
  <c r="M212" i="14"/>
  <c r="I212" i="14"/>
  <c r="E212" i="14"/>
  <c r="Q211" i="14"/>
  <c r="M211" i="14"/>
  <c r="I211" i="14"/>
  <c r="E211" i="14"/>
  <c r="P207" i="14"/>
  <c r="O207" i="14"/>
  <c r="N207" i="14"/>
  <c r="L207" i="14"/>
  <c r="K207" i="14"/>
  <c r="J207" i="14"/>
  <c r="M207" i="14" s="1"/>
  <c r="H207" i="14"/>
  <c r="G207" i="14"/>
  <c r="F207" i="14"/>
  <c r="D207" i="14"/>
  <c r="C207" i="14"/>
  <c r="B207" i="14"/>
  <c r="E207" i="14" s="1"/>
  <c r="Q205" i="14"/>
  <c r="M205" i="14"/>
  <c r="I205" i="14"/>
  <c r="E205" i="14"/>
  <c r="Q204" i="14"/>
  <c r="M204" i="14"/>
  <c r="I204" i="14"/>
  <c r="E204" i="14"/>
  <c r="J200" i="14"/>
  <c r="B200" i="14"/>
  <c r="R198" i="14"/>
  <c r="Q198" i="14"/>
  <c r="M198" i="14"/>
  <c r="I198" i="14"/>
  <c r="E198" i="14"/>
  <c r="Q197" i="14"/>
  <c r="M197" i="14"/>
  <c r="I197" i="14"/>
  <c r="E197" i="14"/>
  <c r="R197" i="14" s="1"/>
  <c r="Q196" i="14"/>
  <c r="M196" i="14"/>
  <c r="I196" i="14"/>
  <c r="E196" i="14"/>
  <c r="R196" i="14" s="1"/>
  <c r="Q194" i="14"/>
  <c r="M194" i="14"/>
  <c r="I194" i="14"/>
  <c r="R194" i="14" s="1"/>
  <c r="E194" i="14"/>
  <c r="Q193" i="14"/>
  <c r="M193" i="14"/>
  <c r="I193" i="14"/>
  <c r="E193" i="14"/>
  <c r="R193" i="14" s="1"/>
  <c r="Q192" i="14"/>
  <c r="M192" i="14"/>
  <c r="R192" i="14" s="1"/>
  <c r="I192" i="14"/>
  <c r="E192" i="14"/>
  <c r="Q191" i="14"/>
  <c r="M191" i="14"/>
  <c r="I191" i="14"/>
  <c r="E191" i="14"/>
  <c r="Q190" i="14"/>
  <c r="M190" i="14"/>
  <c r="I190" i="14"/>
  <c r="E190" i="14"/>
  <c r="Q189" i="14"/>
  <c r="M189" i="14"/>
  <c r="I189" i="14"/>
  <c r="E189" i="14"/>
  <c r="Q188" i="14"/>
  <c r="M188" i="14"/>
  <c r="I188" i="14"/>
  <c r="E188" i="14"/>
  <c r="Q187" i="14"/>
  <c r="M187" i="14"/>
  <c r="I187" i="14"/>
  <c r="E187" i="14"/>
  <c r="R186" i="14"/>
  <c r="Q186" i="14"/>
  <c r="M186" i="14"/>
  <c r="I186" i="14"/>
  <c r="E186" i="14"/>
  <c r="Q185" i="14"/>
  <c r="M185" i="14"/>
  <c r="I185" i="14"/>
  <c r="E185" i="14"/>
  <c r="R185" i="14" s="1"/>
  <c r="Q183" i="14"/>
  <c r="M183" i="14"/>
  <c r="I183" i="14"/>
  <c r="E183" i="14"/>
  <c r="R183" i="14" s="1"/>
  <c r="R182" i="14"/>
  <c r="Q182" i="14"/>
  <c r="M182" i="14"/>
  <c r="I182" i="14"/>
  <c r="E182" i="14"/>
  <c r="P181" i="14"/>
  <c r="O181" i="14"/>
  <c r="N181" i="14"/>
  <c r="Q181" i="14" s="1"/>
  <c r="M181" i="14"/>
  <c r="K181" i="14"/>
  <c r="I181" i="14"/>
  <c r="H181" i="14"/>
  <c r="G181" i="14"/>
  <c r="F181" i="14"/>
  <c r="E181" i="14"/>
  <c r="D181" i="14"/>
  <c r="D200" i="14" s="1"/>
  <c r="D283" i="14" s="1"/>
  <c r="D291" i="14" s="1"/>
  <c r="C181" i="14"/>
  <c r="B181" i="14"/>
  <c r="Q180" i="14"/>
  <c r="M180" i="14"/>
  <c r="I180" i="14"/>
  <c r="E180" i="14"/>
  <c r="Q179" i="14"/>
  <c r="M179" i="14"/>
  <c r="I179" i="14"/>
  <c r="E179" i="14"/>
  <c r="R179" i="14" s="1"/>
  <c r="Q178" i="14"/>
  <c r="M178" i="14"/>
  <c r="I178" i="14"/>
  <c r="E178" i="14"/>
  <c r="R178" i="14" s="1"/>
  <c r="Q177" i="14"/>
  <c r="N177" i="14"/>
  <c r="M177" i="14"/>
  <c r="I177" i="14"/>
  <c r="E177" i="14"/>
  <c r="Q176" i="14"/>
  <c r="P176" i="14"/>
  <c r="O176" i="14"/>
  <c r="N176" i="14"/>
  <c r="L176" i="14"/>
  <c r="K176" i="14"/>
  <c r="J176" i="14"/>
  <c r="M176" i="14" s="1"/>
  <c r="I176" i="14"/>
  <c r="H176" i="14"/>
  <c r="G176" i="14"/>
  <c r="F176" i="14"/>
  <c r="D176" i="14"/>
  <c r="C176" i="14"/>
  <c r="B176" i="14"/>
  <c r="E176" i="14" s="1"/>
  <c r="R175" i="14"/>
  <c r="Q175" i="14"/>
  <c r="M175" i="14"/>
  <c r="I175" i="14"/>
  <c r="E175" i="14"/>
  <c r="Q174" i="14"/>
  <c r="M174" i="14"/>
  <c r="K174" i="14"/>
  <c r="J174" i="14"/>
  <c r="I174" i="14"/>
  <c r="E174" i="14"/>
  <c r="P173" i="14"/>
  <c r="P200" i="14" s="1"/>
  <c r="O173" i="14"/>
  <c r="N173" i="14"/>
  <c r="N200" i="14" s="1"/>
  <c r="L173" i="14"/>
  <c r="K173" i="14"/>
  <c r="K200" i="14" s="1"/>
  <c r="J173" i="14"/>
  <c r="M173" i="14" s="1"/>
  <c r="H173" i="14"/>
  <c r="H200" i="14" s="1"/>
  <c r="H283" i="14" s="1"/>
  <c r="H291" i="14" s="1"/>
  <c r="G173" i="14"/>
  <c r="F173" i="14"/>
  <c r="F200" i="14" s="1"/>
  <c r="C173" i="14"/>
  <c r="C200" i="14" s="1"/>
  <c r="B173" i="14"/>
  <c r="Q172" i="14"/>
  <c r="M172" i="14"/>
  <c r="I172" i="14"/>
  <c r="E172" i="14"/>
  <c r="Q171" i="14"/>
  <c r="M171" i="14"/>
  <c r="I171" i="14"/>
  <c r="E171" i="14"/>
  <c r="R171" i="14" s="1"/>
  <c r="Q170" i="14"/>
  <c r="M170" i="14"/>
  <c r="R170" i="14" s="1"/>
  <c r="I170" i="14"/>
  <c r="E170" i="14"/>
  <c r="Q169" i="14"/>
  <c r="M169" i="14"/>
  <c r="I169" i="14"/>
  <c r="E169" i="14"/>
  <c r="R169" i="14" s="1"/>
  <c r="Q168" i="14"/>
  <c r="M168" i="14"/>
  <c r="I168" i="14"/>
  <c r="E168" i="14"/>
  <c r="R168" i="14" s="1"/>
  <c r="Q167" i="14"/>
  <c r="M167" i="14"/>
  <c r="I167" i="14"/>
  <c r="R167" i="14" s="1"/>
  <c r="E167" i="14"/>
  <c r="Q166" i="14"/>
  <c r="M166" i="14"/>
  <c r="I166" i="14"/>
  <c r="E166" i="14"/>
  <c r="Q165" i="14"/>
  <c r="M165" i="14"/>
  <c r="I165" i="14"/>
  <c r="E165" i="14"/>
  <c r="Q164" i="14"/>
  <c r="M164" i="14"/>
  <c r="I164" i="14"/>
  <c r="E164" i="14"/>
  <c r="R164" i="14" s="1"/>
  <c r="Q163" i="14"/>
  <c r="M163" i="14"/>
  <c r="I163" i="14"/>
  <c r="E163" i="14"/>
  <c r="Q162" i="14"/>
  <c r="M162" i="14"/>
  <c r="I162" i="14"/>
  <c r="E162" i="14"/>
  <c r="R162" i="14" s="1"/>
  <c r="Q161" i="14"/>
  <c r="M161" i="14"/>
  <c r="I161" i="14"/>
  <c r="E161" i="14"/>
  <c r="Q160" i="14"/>
  <c r="M160" i="14"/>
  <c r="I160" i="14"/>
  <c r="E160" i="14"/>
  <c r="R160" i="14" s="1"/>
  <c r="Q159" i="14"/>
  <c r="M159" i="14"/>
  <c r="I159" i="14"/>
  <c r="E159" i="14"/>
  <c r="Q158" i="14"/>
  <c r="M158" i="14"/>
  <c r="I158" i="14"/>
  <c r="E158" i="14"/>
  <c r="R158" i="14" s="1"/>
  <c r="Q157" i="14"/>
  <c r="M157" i="14"/>
  <c r="I157" i="14"/>
  <c r="E157" i="14"/>
  <c r="Q156" i="14"/>
  <c r="M156" i="14"/>
  <c r="L156" i="14"/>
  <c r="J156" i="14"/>
  <c r="I156" i="14"/>
  <c r="E156" i="14"/>
  <c r="Q155" i="14"/>
  <c r="M155" i="14"/>
  <c r="I155" i="14"/>
  <c r="E155" i="14"/>
  <c r="R155" i="14" s="1"/>
  <c r="Q154" i="14"/>
  <c r="M154" i="14"/>
  <c r="R154" i="14" s="1"/>
  <c r="I154" i="14"/>
  <c r="E154" i="14"/>
  <c r="Q153" i="14"/>
  <c r="M153" i="14"/>
  <c r="I153" i="14"/>
  <c r="E153" i="14"/>
  <c r="R153" i="14" s="1"/>
  <c r="O152" i="14"/>
  <c r="N152" i="14"/>
  <c r="M152" i="14"/>
  <c r="L152" i="14"/>
  <c r="L790" i="14" s="1"/>
  <c r="L796" i="14" s="1"/>
  <c r="I152" i="14"/>
  <c r="E152" i="14"/>
  <c r="Q151" i="14"/>
  <c r="M151" i="14"/>
  <c r="I151" i="14"/>
  <c r="E151" i="14"/>
  <c r="R151" i="14" s="1"/>
  <c r="Q150" i="14"/>
  <c r="M150" i="14"/>
  <c r="I150" i="14"/>
  <c r="E150" i="14"/>
  <c r="R150" i="14" s="1"/>
  <c r="Q149" i="14"/>
  <c r="M149" i="14"/>
  <c r="I149" i="14"/>
  <c r="E149" i="14"/>
  <c r="Q148" i="14"/>
  <c r="M148" i="14"/>
  <c r="I148" i="14"/>
  <c r="E148" i="14"/>
  <c r="Q147" i="14"/>
  <c r="M147" i="14"/>
  <c r="R147" i="14" s="1"/>
  <c r="I147" i="14"/>
  <c r="E147" i="14"/>
  <c r="Q146" i="14"/>
  <c r="M146" i="14"/>
  <c r="I146" i="14"/>
  <c r="E146" i="14"/>
  <c r="R146" i="14" s="1"/>
  <c r="Q145" i="14"/>
  <c r="M145" i="14"/>
  <c r="I145" i="14"/>
  <c r="E145" i="14"/>
  <c r="R145" i="14" s="1"/>
  <c r="Q144" i="14"/>
  <c r="M144" i="14"/>
  <c r="I144" i="14"/>
  <c r="R144" i="14" s="1"/>
  <c r="E144" i="14"/>
  <c r="Q143" i="14"/>
  <c r="M143" i="14"/>
  <c r="I143" i="14"/>
  <c r="E143" i="14"/>
  <c r="Q142" i="14"/>
  <c r="M142" i="14"/>
  <c r="I142" i="14"/>
  <c r="E142" i="14"/>
  <c r="R142" i="14" s="1"/>
  <c r="Q141" i="14"/>
  <c r="M141" i="14"/>
  <c r="I141" i="14"/>
  <c r="E141" i="14"/>
  <c r="Q140" i="14"/>
  <c r="M140" i="14"/>
  <c r="I140" i="14"/>
  <c r="E140" i="14"/>
  <c r="R140" i="14" s="1"/>
  <c r="Q139" i="14"/>
  <c r="M139" i="14"/>
  <c r="J139" i="14"/>
  <c r="I139" i="14"/>
  <c r="H139" i="14"/>
  <c r="G139" i="14"/>
  <c r="F139" i="14"/>
  <c r="E139" i="14"/>
  <c r="R139" i="14" s="1"/>
  <c r="Q138" i="14"/>
  <c r="M138" i="14"/>
  <c r="I138" i="14"/>
  <c r="E138" i="14"/>
  <c r="R138" i="14" s="1"/>
  <c r="Q126" i="14"/>
  <c r="M126" i="14"/>
  <c r="R126" i="14" s="1"/>
  <c r="I126" i="14"/>
  <c r="E126" i="14"/>
  <c r="P124" i="14"/>
  <c r="O124" i="14"/>
  <c r="N124" i="14"/>
  <c r="L124" i="14"/>
  <c r="K124" i="14"/>
  <c r="J124" i="14"/>
  <c r="H124" i="14"/>
  <c r="G124" i="14"/>
  <c r="F124" i="14"/>
  <c r="D124" i="14"/>
  <c r="C124" i="14"/>
  <c r="B124" i="14"/>
  <c r="P123" i="14"/>
  <c r="O123" i="14"/>
  <c r="N123" i="14"/>
  <c r="Q123" i="14" s="1"/>
  <c r="L123" i="14"/>
  <c r="K123" i="14"/>
  <c r="J123" i="14"/>
  <c r="M123" i="14" s="1"/>
  <c r="H123" i="14"/>
  <c r="G123" i="14"/>
  <c r="F123" i="14"/>
  <c r="I123" i="14" s="1"/>
  <c r="D123" i="14"/>
  <c r="C123" i="14"/>
  <c r="B123" i="14"/>
  <c r="E123" i="14" s="1"/>
  <c r="Q121" i="14"/>
  <c r="M121" i="14"/>
  <c r="I121" i="14"/>
  <c r="E121" i="14"/>
  <c r="R121" i="14" s="1"/>
  <c r="Q119" i="14"/>
  <c r="M119" i="14"/>
  <c r="I119" i="14"/>
  <c r="E119" i="14"/>
  <c r="Q118" i="14"/>
  <c r="M118" i="14"/>
  <c r="I118" i="14"/>
  <c r="E118" i="14"/>
  <c r="Q116" i="14"/>
  <c r="M116" i="14"/>
  <c r="I116" i="14"/>
  <c r="E116" i="14"/>
  <c r="Q115" i="14"/>
  <c r="M115" i="14"/>
  <c r="I115" i="14"/>
  <c r="E115" i="14"/>
  <c r="Q114" i="14"/>
  <c r="M114" i="14"/>
  <c r="I114" i="14"/>
  <c r="E114" i="14"/>
  <c r="R114" i="14" s="1"/>
  <c r="Q113" i="14"/>
  <c r="M113" i="14"/>
  <c r="I113" i="14"/>
  <c r="E113" i="14"/>
  <c r="Q112" i="14"/>
  <c r="M112" i="14"/>
  <c r="I112" i="14"/>
  <c r="E112" i="14"/>
  <c r="R111" i="14"/>
  <c r="Q111" i="14"/>
  <c r="M111" i="14"/>
  <c r="I111" i="14"/>
  <c r="E111" i="14"/>
  <c r="Q110" i="14"/>
  <c r="M110" i="14"/>
  <c r="I110" i="14"/>
  <c r="E110" i="14"/>
  <c r="R110" i="14" s="1"/>
  <c r="Q109" i="14"/>
  <c r="M109" i="14"/>
  <c r="I109" i="14"/>
  <c r="E109" i="14"/>
  <c r="P106" i="14"/>
  <c r="O106" i="14"/>
  <c r="Q106" i="14" s="1"/>
  <c r="N106" i="14"/>
  <c r="M106" i="14"/>
  <c r="L106" i="14"/>
  <c r="K106" i="14"/>
  <c r="J106" i="14"/>
  <c r="H106" i="14"/>
  <c r="G106" i="14"/>
  <c r="I106" i="14" s="1"/>
  <c r="F106" i="14"/>
  <c r="E106" i="14"/>
  <c r="D106" i="14"/>
  <c r="C106" i="14"/>
  <c r="B106" i="14"/>
  <c r="Q105" i="14"/>
  <c r="M105" i="14"/>
  <c r="I105" i="14"/>
  <c r="E105" i="14"/>
  <c r="Q104" i="14"/>
  <c r="M104" i="14"/>
  <c r="I104" i="14"/>
  <c r="E104" i="14"/>
  <c r="Q103" i="14"/>
  <c r="M103" i="14"/>
  <c r="I103" i="14"/>
  <c r="E103" i="14"/>
  <c r="Q102" i="14"/>
  <c r="M102" i="14"/>
  <c r="I102" i="14"/>
  <c r="E102" i="14"/>
  <c r="Q101" i="14"/>
  <c r="M101" i="14"/>
  <c r="I101" i="14"/>
  <c r="E101" i="14"/>
  <c r="Q100" i="14"/>
  <c r="M100" i="14"/>
  <c r="I100" i="14"/>
  <c r="E100" i="14"/>
  <c r="R100" i="14" s="1"/>
  <c r="Q99" i="14"/>
  <c r="M99" i="14"/>
  <c r="I99" i="14"/>
  <c r="E99" i="14"/>
  <c r="P95" i="14"/>
  <c r="O95" i="14"/>
  <c r="N95" i="14"/>
  <c r="Q95" i="14" s="1"/>
  <c r="L95" i="14"/>
  <c r="K95" i="14"/>
  <c r="J95" i="14"/>
  <c r="M95" i="14" s="1"/>
  <c r="H95" i="14"/>
  <c r="G95" i="14"/>
  <c r="F95" i="14"/>
  <c r="I95" i="14" s="1"/>
  <c r="D95" i="14"/>
  <c r="C95" i="14"/>
  <c r="B95" i="14"/>
  <c r="Q93" i="14"/>
  <c r="M93" i="14"/>
  <c r="I93" i="14"/>
  <c r="E93" i="14"/>
  <c r="R93" i="14" s="1"/>
  <c r="Q92" i="14"/>
  <c r="M92" i="14"/>
  <c r="I92" i="14"/>
  <c r="E92" i="14"/>
  <c r="P88" i="14"/>
  <c r="P125" i="14" s="1"/>
  <c r="P128" i="14" s="1"/>
  <c r="O88" i="14"/>
  <c r="N88" i="14"/>
  <c r="L88" i="14"/>
  <c r="K88" i="14"/>
  <c r="J88" i="14"/>
  <c r="H88" i="14"/>
  <c r="H125" i="14" s="1"/>
  <c r="H128" i="14" s="1"/>
  <c r="G88" i="14"/>
  <c r="G125" i="14" s="1"/>
  <c r="G128" i="14" s="1"/>
  <c r="F88" i="14"/>
  <c r="D88" i="14"/>
  <c r="C88" i="14"/>
  <c r="B88" i="14"/>
  <c r="Q86" i="14"/>
  <c r="M86" i="14"/>
  <c r="I86" i="14"/>
  <c r="E86" i="14"/>
  <c r="Q85" i="14"/>
  <c r="M85" i="14"/>
  <c r="I85" i="14"/>
  <c r="E85" i="14"/>
  <c r="R83" i="14"/>
  <c r="Q83" i="14"/>
  <c r="M83" i="14"/>
  <c r="I83" i="14"/>
  <c r="E83" i="14"/>
  <c r="Q81" i="14"/>
  <c r="M81" i="14"/>
  <c r="I81" i="14"/>
  <c r="E81" i="14"/>
  <c r="R81" i="14" s="1"/>
  <c r="Q80" i="14"/>
  <c r="M80" i="14"/>
  <c r="I80" i="14"/>
  <c r="E80" i="14"/>
  <c r="Q79" i="14"/>
  <c r="M79" i="14"/>
  <c r="I79" i="14"/>
  <c r="E79" i="14"/>
  <c r="R79" i="14" s="1"/>
  <c r="Q78" i="14"/>
  <c r="M78" i="14"/>
  <c r="I78" i="14"/>
  <c r="E78" i="14"/>
  <c r="Q77" i="14"/>
  <c r="M77" i="14"/>
  <c r="I77" i="14"/>
  <c r="E77" i="14"/>
  <c r="Q76" i="14"/>
  <c r="M76" i="14"/>
  <c r="I76" i="14"/>
  <c r="E76" i="14"/>
  <c r="R76" i="14" s="1"/>
  <c r="Q75" i="14"/>
  <c r="M75" i="14"/>
  <c r="I75" i="14"/>
  <c r="E75" i="14"/>
  <c r="Q74" i="14"/>
  <c r="M74" i="14"/>
  <c r="I74" i="14"/>
  <c r="E74" i="14"/>
  <c r="Q73" i="14"/>
  <c r="M73" i="14"/>
  <c r="I73" i="14"/>
  <c r="E73" i="14"/>
  <c r="Q72" i="14"/>
  <c r="M72" i="14"/>
  <c r="I72" i="14"/>
  <c r="E72" i="14"/>
  <c r="R72" i="14" s="1"/>
  <c r="Q60" i="14"/>
  <c r="M60" i="14"/>
  <c r="I60" i="14"/>
  <c r="E60" i="14"/>
  <c r="P58" i="14"/>
  <c r="O58" i="14"/>
  <c r="Q58" i="14" s="1"/>
  <c r="N58" i="14"/>
  <c r="L58" i="14"/>
  <c r="K58" i="14"/>
  <c r="J58" i="14"/>
  <c r="M58" i="14" s="1"/>
  <c r="H58" i="14"/>
  <c r="G58" i="14"/>
  <c r="I58" i="14" s="1"/>
  <c r="F58" i="14"/>
  <c r="D58" i="14"/>
  <c r="C58" i="14"/>
  <c r="B58" i="14"/>
  <c r="E58" i="14" s="1"/>
  <c r="P57" i="14"/>
  <c r="O57" i="14"/>
  <c r="N57" i="14"/>
  <c r="L57" i="14"/>
  <c r="K57" i="14"/>
  <c r="J57" i="14"/>
  <c r="H57" i="14"/>
  <c r="G57" i="14"/>
  <c r="F57" i="14"/>
  <c r="D57" i="14"/>
  <c r="C57" i="14"/>
  <c r="B57" i="14"/>
  <c r="Q54" i="14"/>
  <c r="M54" i="14"/>
  <c r="I54" i="14"/>
  <c r="E54" i="14"/>
  <c r="R54" i="14" s="1"/>
  <c r="P50" i="14"/>
  <c r="O50" i="14"/>
  <c r="N50" i="14"/>
  <c r="N59" i="14" s="1"/>
  <c r="L50" i="14"/>
  <c r="K50" i="14"/>
  <c r="J50" i="14"/>
  <c r="H50" i="14"/>
  <c r="G50" i="14"/>
  <c r="I50" i="14" s="1"/>
  <c r="F50" i="14"/>
  <c r="D50" i="14"/>
  <c r="C50" i="14"/>
  <c r="B50" i="14"/>
  <c r="P46" i="14"/>
  <c r="O46" i="14"/>
  <c r="Q46" i="14" s="1"/>
  <c r="N46" i="14"/>
  <c r="L46" i="14"/>
  <c r="K46" i="14"/>
  <c r="J46" i="14"/>
  <c r="H46" i="14"/>
  <c r="G46" i="14"/>
  <c r="I46" i="14" s="1"/>
  <c r="F46" i="14"/>
  <c r="D46" i="14"/>
  <c r="C46" i="14"/>
  <c r="B46" i="14"/>
  <c r="E46" i="14" s="1"/>
  <c r="P41" i="14"/>
  <c r="O41" i="14"/>
  <c r="N41" i="14"/>
  <c r="L41" i="14"/>
  <c r="K41" i="14"/>
  <c r="J41" i="14"/>
  <c r="M41" i="14" s="1"/>
  <c r="H41" i="14"/>
  <c r="H59" i="14" s="1"/>
  <c r="H62" i="14" s="1"/>
  <c r="G41" i="14"/>
  <c r="G59" i="14" s="1"/>
  <c r="G62" i="14" s="1"/>
  <c r="F41" i="14"/>
  <c r="D41" i="14"/>
  <c r="C41" i="14"/>
  <c r="C59" i="14" s="1"/>
  <c r="C62" i="14" s="1"/>
  <c r="B41" i="14"/>
  <c r="Q38" i="14"/>
  <c r="M38" i="14"/>
  <c r="I38" i="14"/>
  <c r="E38" i="14"/>
  <c r="R38" i="14" s="1"/>
  <c r="P27" i="14"/>
  <c r="O27" i="14"/>
  <c r="Q27" i="14" s="1"/>
  <c r="N27" i="14"/>
  <c r="L27" i="14"/>
  <c r="K27" i="14"/>
  <c r="J27" i="14"/>
  <c r="I27" i="14"/>
  <c r="H27" i="14"/>
  <c r="G27" i="14"/>
  <c r="F27" i="14"/>
  <c r="D27" i="14"/>
  <c r="C27" i="14"/>
  <c r="B27" i="14"/>
  <c r="R25" i="14"/>
  <c r="Q25" i="14"/>
  <c r="M25" i="14"/>
  <c r="I25" i="14"/>
  <c r="E25" i="14"/>
  <c r="Q20" i="14"/>
  <c r="M20" i="14"/>
  <c r="I20" i="14"/>
  <c r="E20" i="14"/>
  <c r="R20" i="14" s="1"/>
  <c r="P18" i="14"/>
  <c r="O18" i="14"/>
  <c r="N18" i="14"/>
  <c r="L18" i="14"/>
  <c r="K18" i="14"/>
  <c r="J18" i="14"/>
  <c r="H18" i="14"/>
  <c r="G18" i="14"/>
  <c r="F18" i="14"/>
  <c r="D18" i="14"/>
  <c r="C18" i="14"/>
  <c r="B18" i="14"/>
  <c r="P17" i="14"/>
  <c r="O17" i="14"/>
  <c r="N17" i="14"/>
  <c r="L17" i="14"/>
  <c r="K17" i="14"/>
  <c r="J17" i="14"/>
  <c r="M17" i="14" s="1"/>
  <c r="H17" i="14"/>
  <c r="G17" i="14"/>
  <c r="F17" i="14"/>
  <c r="D17" i="14"/>
  <c r="C17" i="14"/>
  <c r="B17" i="14"/>
  <c r="E17" i="14" s="1"/>
  <c r="P16" i="14"/>
  <c r="O16" i="14"/>
  <c r="N16" i="14"/>
  <c r="Q16" i="14" s="1"/>
  <c r="L16" i="14"/>
  <c r="K16" i="14"/>
  <c r="J16" i="14"/>
  <c r="M16" i="14" s="1"/>
  <c r="I16" i="14"/>
  <c r="H16" i="14"/>
  <c r="G16" i="14"/>
  <c r="F16" i="14"/>
  <c r="D16" i="14"/>
  <c r="C16" i="14"/>
  <c r="B16" i="14"/>
  <c r="E16" i="14" s="1"/>
  <c r="R16" i="14" s="1"/>
  <c r="Q15" i="14"/>
  <c r="P15" i="14"/>
  <c r="O15" i="14"/>
  <c r="N15" i="14"/>
  <c r="L15" i="14"/>
  <c r="K15" i="14"/>
  <c r="J15" i="14"/>
  <c r="M15" i="14" s="1"/>
  <c r="H15" i="14"/>
  <c r="I15" i="14" s="1"/>
  <c r="G15" i="14"/>
  <c r="F15" i="14"/>
  <c r="D15" i="14"/>
  <c r="C15" i="14"/>
  <c r="B15" i="14"/>
  <c r="P14" i="14"/>
  <c r="O14" i="14"/>
  <c r="N14" i="14"/>
  <c r="L14" i="14"/>
  <c r="K14" i="14"/>
  <c r="J14" i="14"/>
  <c r="M14" i="14" s="1"/>
  <c r="H14" i="14"/>
  <c r="G14" i="14"/>
  <c r="I14" i="14" s="1"/>
  <c r="F14" i="14"/>
  <c r="D14" i="14"/>
  <c r="C14" i="14"/>
  <c r="B14" i="14"/>
  <c r="S13" i="14"/>
  <c r="N303" i="14"/>
  <c r="AP851" i="14" s="1"/>
  <c r="L28" i="14"/>
  <c r="K691" i="14"/>
  <c r="D28" i="14"/>
  <c r="C303" i="14"/>
  <c r="AP843" i="14" s="1"/>
  <c r="B28" i="14"/>
  <c r="R1" i="14"/>
  <c r="R871" i="14" s="1"/>
  <c r="F1022" i="13"/>
  <c r="G1021" i="13"/>
  <c r="G1013" i="13"/>
  <c r="B1006" i="13"/>
  <c r="B1003" i="13"/>
  <c r="Q1002" i="13"/>
  <c r="B980" i="13"/>
  <c r="B977" i="13"/>
  <c r="Q976" i="13"/>
  <c r="G969" i="13"/>
  <c r="U967" i="13"/>
  <c r="G967" i="13"/>
  <c r="F967" i="13"/>
  <c r="U966" i="13"/>
  <c r="F1023" i="13" s="1"/>
  <c r="G966" i="13"/>
  <c r="F966" i="13"/>
  <c r="U965" i="13"/>
  <c r="G1022" i="13" s="1"/>
  <c r="G965" i="13"/>
  <c r="F965" i="13"/>
  <c r="U964" i="13"/>
  <c r="G964" i="13"/>
  <c r="F964" i="13"/>
  <c r="F1021" i="13" s="1"/>
  <c r="U963" i="13"/>
  <c r="G963" i="13"/>
  <c r="F963" i="13"/>
  <c r="U962" i="13"/>
  <c r="G962" i="13"/>
  <c r="G1019" i="13" s="1"/>
  <c r="F962" i="13"/>
  <c r="U961" i="13"/>
  <c r="G961" i="13"/>
  <c r="F961" i="13"/>
  <c r="U960" i="13"/>
  <c r="G960" i="13"/>
  <c r="F960" i="13"/>
  <c r="F1017" i="13" s="1"/>
  <c r="U959" i="13"/>
  <c r="G959" i="13"/>
  <c r="F959" i="13"/>
  <c r="U958" i="13"/>
  <c r="F1015" i="13" s="1"/>
  <c r="G958" i="13"/>
  <c r="F958" i="13"/>
  <c r="U957" i="13"/>
  <c r="G1014" i="13" s="1"/>
  <c r="G957" i="13"/>
  <c r="F957" i="13"/>
  <c r="U956" i="13"/>
  <c r="G956" i="13"/>
  <c r="F956" i="13"/>
  <c r="F1013" i="13" s="1"/>
  <c r="B951" i="13"/>
  <c r="B948" i="13"/>
  <c r="Q947" i="13"/>
  <c r="A929" i="13"/>
  <c r="A927" i="13"/>
  <c r="Q923" i="13"/>
  <c r="P919" i="13"/>
  <c r="P941" i="13" s="1"/>
  <c r="H919" i="13"/>
  <c r="H941" i="13" s="1"/>
  <c r="P917" i="13"/>
  <c r="P918" i="13" s="1"/>
  <c r="Q918" i="13" s="1"/>
  <c r="O917" i="13"/>
  <c r="N917" i="13"/>
  <c r="L917" i="13"/>
  <c r="K917" i="13"/>
  <c r="J917" i="13"/>
  <c r="M917" i="13" s="1"/>
  <c r="H917" i="13"/>
  <c r="H918" i="13" s="1"/>
  <c r="I918" i="13" s="1"/>
  <c r="G917" i="13"/>
  <c r="F917" i="13"/>
  <c r="D917" i="13"/>
  <c r="C917" i="13"/>
  <c r="B917" i="13"/>
  <c r="E917" i="13" s="1"/>
  <c r="Q916" i="13"/>
  <c r="P916" i="13"/>
  <c r="O916" i="13"/>
  <c r="N916" i="13"/>
  <c r="L916" i="13"/>
  <c r="K916" i="13"/>
  <c r="J916" i="13"/>
  <c r="I916" i="13"/>
  <c r="H916" i="13"/>
  <c r="G916" i="13"/>
  <c r="F916" i="13"/>
  <c r="D916" i="13"/>
  <c r="C916" i="13"/>
  <c r="B916" i="13"/>
  <c r="E916" i="13" s="1"/>
  <c r="P915" i="13"/>
  <c r="O915" i="13"/>
  <c r="O918" i="13" s="1"/>
  <c r="N915" i="13"/>
  <c r="N918" i="13" s="1"/>
  <c r="L915" i="13"/>
  <c r="L918" i="13" s="1"/>
  <c r="K915" i="13"/>
  <c r="K918" i="13" s="1"/>
  <c r="J915" i="13"/>
  <c r="H915" i="13"/>
  <c r="G915" i="13"/>
  <c r="G918" i="13" s="1"/>
  <c r="F915" i="13"/>
  <c r="F918" i="13" s="1"/>
  <c r="D915" i="13"/>
  <c r="D918" i="13" s="1"/>
  <c r="C915" i="13"/>
  <c r="B915" i="13"/>
  <c r="B918" i="13" s="1"/>
  <c r="P914" i="13"/>
  <c r="O914" i="13"/>
  <c r="Q914" i="13" s="1"/>
  <c r="N914" i="13"/>
  <c r="M914" i="13"/>
  <c r="L914" i="13"/>
  <c r="K914" i="13"/>
  <c r="J914" i="13"/>
  <c r="H914" i="13"/>
  <c r="G914" i="13"/>
  <c r="I914" i="13" s="1"/>
  <c r="F914" i="13"/>
  <c r="E914" i="13"/>
  <c r="D914" i="13"/>
  <c r="C914" i="13"/>
  <c r="B914" i="13"/>
  <c r="P913" i="13"/>
  <c r="O913" i="13"/>
  <c r="N913" i="13"/>
  <c r="Q913" i="13" s="1"/>
  <c r="L913" i="13"/>
  <c r="M913" i="13" s="1"/>
  <c r="K913" i="13"/>
  <c r="J913" i="13"/>
  <c r="H913" i="13"/>
  <c r="G913" i="13"/>
  <c r="F913" i="13"/>
  <c r="I913" i="13" s="1"/>
  <c r="D913" i="13"/>
  <c r="E913" i="13" s="1"/>
  <c r="C913" i="13"/>
  <c r="B913" i="13"/>
  <c r="P912" i="13"/>
  <c r="O912" i="13"/>
  <c r="O919" i="13" s="1"/>
  <c r="O941" i="13" s="1"/>
  <c r="N912" i="13"/>
  <c r="M912" i="13"/>
  <c r="L912" i="13"/>
  <c r="K912" i="13"/>
  <c r="K919" i="13" s="1"/>
  <c r="K941" i="13" s="1"/>
  <c r="J912" i="13"/>
  <c r="J919" i="13" s="1"/>
  <c r="H912" i="13"/>
  <c r="G912" i="13"/>
  <c r="G919" i="13" s="1"/>
  <c r="G941" i="13" s="1"/>
  <c r="F912" i="13"/>
  <c r="F919" i="13" s="1"/>
  <c r="E912" i="13"/>
  <c r="D912" i="13"/>
  <c r="D919" i="13" s="1"/>
  <c r="D941" i="13" s="1"/>
  <c r="C912" i="13"/>
  <c r="B912" i="13"/>
  <c r="B919" i="13" s="1"/>
  <c r="H908" i="13"/>
  <c r="B908" i="13"/>
  <c r="L906" i="13"/>
  <c r="L937" i="13" s="1"/>
  <c r="D906" i="13"/>
  <c r="D937" i="13" s="1"/>
  <c r="P905" i="13"/>
  <c r="O905" i="13"/>
  <c r="N905" i="13"/>
  <c r="Q905" i="13" s="1"/>
  <c r="M905" i="13"/>
  <c r="L905" i="13"/>
  <c r="K905" i="13"/>
  <c r="J905" i="13"/>
  <c r="H905" i="13"/>
  <c r="G905" i="13"/>
  <c r="F905" i="13"/>
  <c r="I905" i="13" s="1"/>
  <c r="E905" i="13"/>
  <c r="D905" i="13"/>
  <c r="C905" i="13"/>
  <c r="B905" i="13"/>
  <c r="P904" i="13"/>
  <c r="O904" i="13"/>
  <c r="N904" i="13"/>
  <c r="Q904" i="13" s="1"/>
  <c r="L904" i="13"/>
  <c r="K904" i="13"/>
  <c r="J904" i="13"/>
  <c r="M904" i="13" s="1"/>
  <c r="H904" i="13"/>
  <c r="F904" i="13"/>
  <c r="D904" i="13"/>
  <c r="C904" i="13"/>
  <c r="B904" i="13"/>
  <c r="E904" i="13" s="1"/>
  <c r="P903" i="13"/>
  <c r="P906" i="13" s="1"/>
  <c r="P937" i="13" s="1"/>
  <c r="O903" i="13"/>
  <c r="N903" i="13"/>
  <c r="L903" i="13"/>
  <c r="K903" i="13"/>
  <c r="K906" i="13" s="1"/>
  <c r="K937" i="13" s="1"/>
  <c r="J903" i="13"/>
  <c r="J906" i="13" s="1"/>
  <c r="H903" i="13"/>
  <c r="H906" i="13" s="1"/>
  <c r="H937" i="13" s="1"/>
  <c r="G903" i="13"/>
  <c r="F903" i="13"/>
  <c r="D903" i="13"/>
  <c r="C903" i="13"/>
  <c r="C906" i="13" s="1"/>
  <c r="C937" i="13" s="1"/>
  <c r="B903" i="13"/>
  <c r="B906" i="13" s="1"/>
  <c r="P900" i="13"/>
  <c r="O900" i="13"/>
  <c r="N900" i="13"/>
  <c r="Q900" i="13" s="1"/>
  <c r="L900" i="13"/>
  <c r="K900" i="13"/>
  <c r="J900" i="13"/>
  <c r="M900" i="13" s="1"/>
  <c r="H900" i="13"/>
  <c r="G900" i="13"/>
  <c r="F900" i="13"/>
  <c r="I900" i="13" s="1"/>
  <c r="R900" i="13" s="1"/>
  <c r="D900" i="13"/>
  <c r="C900" i="13"/>
  <c r="B900" i="13"/>
  <c r="E900" i="13" s="1"/>
  <c r="P899" i="13"/>
  <c r="O899" i="13"/>
  <c r="Q899" i="13" s="1"/>
  <c r="N899" i="13"/>
  <c r="L899" i="13"/>
  <c r="K899" i="13"/>
  <c r="M899" i="13" s="1"/>
  <c r="J899" i="13"/>
  <c r="H899" i="13"/>
  <c r="G899" i="13"/>
  <c r="I899" i="13" s="1"/>
  <c r="F899" i="13"/>
  <c r="D899" i="13"/>
  <c r="C899" i="13"/>
  <c r="E899" i="13" s="1"/>
  <c r="B899" i="13"/>
  <c r="P898" i="13"/>
  <c r="O898" i="13"/>
  <c r="N898" i="13"/>
  <c r="Q898" i="13" s="1"/>
  <c r="L898" i="13"/>
  <c r="K898" i="13"/>
  <c r="J898" i="13"/>
  <c r="M898" i="13" s="1"/>
  <c r="H898" i="13"/>
  <c r="G898" i="13"/>
  <c r="F898" i="13"/>
  <c r="I898" i="13" s="1"/>
  <c r="D898" i="13"/>
  <c r="C898" i="13"/>
  <c r="B898" i="13"/>
  <c r="P897" i="13"/>
  <c r="O897" i="13"/>
  <c r="N897" i="13"/>
  <c r="Q897" i="13" s="1"/>
  <c r="M897" i="13"/>
  <c r="L897" i="13"/>
  <c r="K897" i="13"/>
  <c r="J897" i="13"/>
  <c r="H897" i="13"/>
  <c r="G897" i="13"/>
  <c r="F897" i="13"/>
  <c r="I897" i="13" s="1"/>
  <c r="E897" i="13"/>
  <c r="D897" i="13"/>
  <c r="C897" i="13"/>
  <c r="B897" i="13"/>
  <c r="P896" i="13"/>
  <c r="O896" i="13"/>
  <c r="N896" i="13"/>
  <c r="Q896" i="13" s="1"/>
  <c r="L896" i="13"/>
  <c r="K896" i="13"/>
  <c r="J896" i="13"/>
  <c r="M896" i="13" s="1"/>
  <c r="H896" i="13"/>
  <c r="G896" i="13"/>
  <c r="F896" i="13"/>
  <c r="I896" i="13" s="1"/>
  <c r="D896" i="13"/>
  <c r="C896" i="13"/>
  <c r="B896" i="13"/>
  <c r="E896" i="13" s="1"/>
  <c r="R896" i="13" s="1"/>
  <c r="A888" i="13"/>
  <c r="A886" i="13"/>
  <c r="Q882" i="13"/>
  <c r="P879" i="13"/>
  <c r="Q875" i="13"/>
  <c r="M875" i="13"/>
  <c r="I875" i="13"/>
  <c r="E875" i="13"/>
  <c r="R875" i="13" s="1"/>
  <c r="P873" i="13"/>
  <c r="O873" i="13"/>
  <c r="N873" i="13"/>
  <c r="Q873" i="13" s="1"/>
  <c r="L873" i="13"/>
  <c r="M873" i="13" s="1"/>
  <c r="K873" i="13"/>
  <c r="J873" i="13"/>
  <c r="H873" i="13"/>
  <c r="G873" i="13"/>
  <c r="F873" i="13"/>
  <c r="I873" i="13" s="1"/>
  <c r="D873" i="13"/>
  <c r="E873" i="13" s="1"/>
  <c r="C873" i="13"/>
  <c r="B873" i="13"/>
  <c r="P872" i="13"/>
  <c r="O872" i="13"/>
  <c r="N872" i="13"/>
  <c r="Q872" i="13" s="1"/>
  <c r="M872" i="13"/>
  <c r="L872" i="13"/>
  <c r="K872" i="13"/>
  <c r="J872" i="13"/>
  <c r="H872" i="13"/>
  <c r="G872" i="13"/>
  <c r="F872" i="13"/>
  <c r="I872" i="13" s="1"/>
  <c r="E872" i="13"/>
  <c r="D872" i="13"/>
  <c r="C872" i="13"/>
  <c r="B872" i="13"/>
  <c r="Q869" i="13"/>
  <c r="M869" i="13"/>
  <c r="I869" i="13"/>
  <c r="E869" i="13"/>
  <c r="R869" i="13" s="1"/>
  <c r="Q868" i="13"/>
  <c r="M868" i="13"/>
  <c r="I868" i="13"/>
  <c r="E868" i="13"/>
  <c r="R868" i="13" s="1"/>
  <c r="Q866" i="13"/>
  <c r="M866" i="13"/>
  <c r="R866" i="13" s="1"/>
  <c r="I866" i="13"/>
  <c r="E866" i="13"/>
  <c r="Q865" i="13"/>
  <c r="M865" i="13"/>
  <c r="I865" i="13"/>
  <c r="E865" i="13"/>
  <c r="R865" i="13" s="1"/>
  <c r="N862" i="13"/>
  <c r="L862" i="13"/>
  <c r="J862" i="13"/>
  <c r="F862" i="13"/>
  <c r="B862" i="13"/>
  <c r="P861" i="13"/>
  <c r="P862" i="13" s="1"/>
  <c r="O861" i="13"/>
  <c r="Q861" i="13" s="1"/>
  <c r="N861" i="13"/>
  <c r="L861" i="13"/>
  <c r="K861" i="13"/>
  <c r="J861" i="13"/>
  <c r="H861" i="13"/>
  <c r="H862" i="13" s="1"/>
  <c r="G861" i="13"/>
  <c r="I861" i="13" s="1"/>
  <c r="F861" i="13"/>
  <c r="D861" i="13"/>
  <c r="C861" i="13"/>
  <c r="B861" i="13"/>
  <c r="Q860" i="13"/>
  <c r="M860" i="13"/>
  <c r="I860" i="13"/>
  <c r="E860" i="13"/>
  <c r="R860" i="13" s="1"/>
  <c r="Q859" i="13"/>
  <c r="M859" i="13"/>
  <c r="I859" i="13"/>
  <c r="E859" i="13"/>
  <c r="R859" i="13" s="1"/>
  <c r="Q858" i="13"/>
  <c r="M858" i="13"/>
  <c r="I858" i="13"/>
  <c r="E858" i="13"/>
  <c r="R858" i="13" s="1"/>
  <c r="Q857" i="13"/>
  <c r="M857" i="13"/>
  <c r="I857" i="13"/>
  <c r="E857" i="13"/>
  <c r="R857" i="13" s="1"/>
  <c r="Q856" i="13"/>
  <c r="M856" i="13"/>
  <c r="R856" i="13" s="1"/>
  <c r="I856" i="13"/>
  <c r="E856" i="13"/>
  <c r="Q855" i="13"/>
  <c r="M855" i="13"/>
  <c r="I855" i="13"/>
  <c r="E855" i="13"/>
  <c r="R855" i="13" s="1"/>
  <c r="R853" i="13"/>
  <c r="Q853" i="13"/>
  <c r="M853" i="13"/>
  <c r="I853" i="13"/>
  <c r="E853" i="13"/>
  <c r="Q852" i="13"/>
  <c r="M852" i="13"/>
  <c r="I852" i="13"/>
  <c r="D852" i="13"/>
  <c r="E852" i="13" s="1"/>
  <c r="R852" i="13" s="1"/>
  <c r="P849" i="13"/>
  <c r="O849" i="13"/>
  <c r="Q849" i="13" s="1"/>
  <c r="N849" i="13"/>
  <c r="M849" i="13"/>
  <c r="L849" i="13"/>
  <c r="K849" i="13"/>
  <c r="J849" i="13"/>
  <c r="H849" i="13"/>
  <c r="G849" i="13"/>
  <c r="I849" i="13" s="1"/>
  <c r="F849" i="13"/>
  <c r="E849" i="13"/>
  <c r="R849" i="13" s="1"/>
  <c r="D849" i="13"/>
  <c r="C849" i="13"/>
  <c r="B849" i="13"/>
  <c r="Q847" i="13"/>
  <c r="M847" i="13"/>
  <c r="I847" i="13"/>
  <c r="E847" i="13"/>
  <c r="R847" i="13" s="1"/>
  <c r="P844" i="13"/>
  <c r="P874" i="13" s="1"/>
  <c r="P877" i="13" s="1"/>
  <c r="O844" i="13"/>
  <c r="Q844" i="13" s="1"/>
  <c r="N844" i="13"/>
  <c r="N874" i="13" s="1"/>
  <c r="L844" i="13"/>
  <c r="K844" i="13"/>
  <c r="J844" i="13"/>
  <c r="J874" i="13" s="1"/>
  <c r="H844" i="13"/>
  <c r="G844" i="13"/>
  <c r="I844" i="13" s="1"/>
  <c r="F844" i="13"/>
  <c r="F874" i="13" s="1"/>
  <c r="D844" i="13"/>
  <c r="C844" i="13"/>
  <c r="E844" i="13" s="1"/>
  <c r="B844" i="13"/>
  <c r="Q842" i="13"/>
  <c r="M842" i="13"/>
  <c r="I842" i="13"/>
  <c r="E842" i="13"/>
  <c r="R842" i="13" s="1"/>
  <c r="Q839" i="13"/>
  <c r="M839" i="13"/>
  <c r="I839" i="13"/>
  <c r="E839" i="13"/>
  <c r="Q838" i="13"/>
  <c r="M838" i="13"/>
  <c r="I838" i="13"/>
  <c r="E838" i="13"/>
  <c r="R838" i="13" s="1"/>
  <c r="Q837" i="13"/>
  <c r="M837" i="13"/>
  <c r="I837" i="13"/>
  <c r="E837" i="13"/>
  <c r="R836" i="13"/>
  <c r="Q836" i="13"/>
  <c r="M836" i="13"/>
  <c r="I836" i="13"/>
  <c r="E836" i="13"/>
  <c r="Q835" i="13"/>
  <c r="M835" i="13"/>
  <c r="I835" i="13"/>
  <c r="E835" i="13"/>
  <c r="R835" i="13" s="1"/>
  <c r="R834" i="13"/>
  <c r="Q834" i="13"/>
  <c r="M834" i="13"/>
  <c r="I834" i="13"/>
  <c r="E834" i="13"/>
  <c r="L824" i="13"/>
  <c r="D824" i="13"/>
  <c r="D826" i="13" s="1"/>
  <c r="Q822" i="13"/>
  <c r="R822" i="13" s="1"/>
  <c r="M822" i="13"/>
  <c r="I822" i="13"/>
  <c r="E822" i="13"/>
  <c r="Q821" i="13"/>
  <c r="M821" i="13"/>
  <c r="I821" i="13"/>
  <c r="E821" i="13"/>
  <c r="C820" i="13"/>
  <c r="C824" i="13" s="1"/>
  <c r="P819" i="13"/>
  <c r="O819" i="13"/>
  <c r="N819" i="13"/>
  <c r="L819" i="13"/>
  <c r="M819" i="13" s="1"/>
  <c r="K819" i="13"/>
  <c r="J819" i="13"/>
  <c r="H819" i="13"/>
  <c r="G819" i="13"/>
  <c r="G820" i="13" s="1"/>
  <c r="G824" i="13" s="1"/>
  <c r="F819" i="13"/>
  <c r="D819" i="13"/>
  <c r="E819" i="13" s="1"/>
  <c r="C819" i="13"/>
  <c r="B819" i="13"/>
  <c r="P818" i="13"/>
  <c r="O818" i="13"/>
  <c r="N818" i="13"/>
  <c r="M818" i="13"/>
  <c r="L818" i="13"/>
  <c r="K818" i="13"/>
  <c r="J818" i="13"/>
  <c r="H818" i="13"/>
  <c r="G818" i="13"/>
  <c r="F818" i="13"/>
  <c r="I818" i="13" s="1"/>
  <c r="E818" i="13"/>
  <c r="D818" i="13"/>
  <c r="C818" i="13"/>
  <c r="B818" i="13"/>
  <c r="P812" i="13"/>
  <c r="O812" i="13"/>
  <c r="Q812" i="13" s="1"/>
  <c r="N812" i="13"/>
  <c r="L812" i="13"/>
  <c r="K812" i="13"/>
  <c r="J812" i="13"/>
  <c r="M812" i="13" s="1"/>
  <c r="H812" i="13"/>
  <c r="G812" i="13"/>
  <c r="F812" i="13"/>
  <c r="D812" i="13"/>
  <c r="C812" i="13"/>
  <c r="B812" i="13"/>
  <c r="E812" i="13" s="1"/>
  <c r="P808" i="13"/>
  <c r="O808" i="13"/>
  <c r="N808" i="13"/>
  <c r="N820" i="13" s="1"/>
  <c r="L808" i="13"/>
  <c r="K808" i="13"/>
  <c r="J808" i="13"/>
  <c r="H808" i="13"/>
  <c r="G808" i="13"/>
  <c r="F808" i="13"/>
  <c r="D808" i="13"/>
  <c r="C808" i="13"/>
  <c r="B808" i="13"/>
  <c r="P804" i="13"/>
  <c r="O804" i="13"/>
  <c r="Q804" i="13" s="1"/>
  <c r="N804" i="13"/>
  <c r="L804" i="13"/>
  <c r="L820" i="13" s="1"/>
  <c r="K804" i="13"/>
  <c r="K820" i="13" s="1"/>
  <c r="K824" i="13" s="1"/>
  <c r="J804" i="13"/>
  <c r="H804" i="13"/>
  <c r="G804" i="13"/>
  <c r="I804" i="13" s="1"/>
  <c r="F804" i="13"/>
  <c r="D804" i="13"/>
  <c r="D820" i="13" s="1"/>
  <c r="C804" i="13"/>
  <c r="B804" i="13"/>
  <c r="R800" i="13"/>
  <c r="Q800" i="13"/>
  <c r="M800" i="13"/>
  <c r="I800" i="13"/>
  <c r="E800" i="13"/>
  <c r="P790" i="13"/>
  <c r="O790" i="13"/>
  <c r="N790" i="13"/>
  <c r="L790" i="13"/>
  <c r="K790" i="13"/>
  <c r="J790" i="13"/>
  <c r="H790" i="13"/>
  <c r="G790" i="13"/>
  <c r="F790" i="13"/>
  <c r="D790" i="13"/>
  <c r="C790" i="13"/>
  <c r="B790" i="13"/>
  <c r="E790" i="13" s="1"/>
  <c r="Q788" i="13"/>
  <c r="M788" i="13"/>
  <c r="I788" i="13"/>
  <c r="E788" i="13"/>
  <c r="O780" i="13"/>
  <c r="Q778" i="13"/>
  <c r="M778" i="13"/>
  <c r="I778" i="13"/>
  <c r="E778" i="13"/>
  <c r="R778" i="13" s="1"/>
  <c r="O777" i="13"/>
  <c r="P776" i="13"/>
  <c r="O776" i="13"/>
  <c r="N776" i="13"/>
  <c r="M776" i="13"/>
  <c r="L776" i="13"/>
  <c r="K776" i="13"/>
  <c r="J776" i="13"/>
  <c r="H776" i="13"/>
  <c r="H777" i="13" s="1"/>
  <c r="H780" i="13" s="1"/>
  <c r="G776" i="13"/>
  <c r="F776" i="13"/>
  <c r="I776" i="13" s="1"/>
  <c r="E776" i="13"/>
  <c r="D776" i="13"/>
  <c r="C776" i="13"/>
  <c r="B776" i="13"/>
  <c r="Q775" i="13"/>
  <c r="P775" i="13"/>
  <c r="O775" i="13"/>
  <c r="N775" i="13"/>
  <c r="L775" i="13"/>
  <c r="K775" i="13"/>
  <c r="J775" i="13"/>
  <c r="M775" i="13" s="1"/>
  <c r="I775" i="13"/>
  <c r="H775" i="13"/>
  <c r="G775" i="13"/>
  <c r="F775" i="13"/>
  <c r="D775" i="13"/>
  <c r="C775" i="13"/>
  <c r="B775" i="13"/>
  <c r="E775" i="13" s="1"/>
  <c r="R772" i="13"/>
  <c r="Q772" i="13"/>
  <c r="M772" i="13"/>
  <c r="I772" i="13"/>
  <c r="E772" i="13"/>
  <c r="Q771" i="13"/>
  <c r="M771" i="13"/>
  <c r="I771" i="13"/>
  <c r="R771" i="13" s="1"/>
  <c r="E771" i="13"/>
  <c r="Q770" i="13"/>
  <c r="M770" i="13"/>
  <c r="R770" i="13" s="1"/>
  <c r="I770" i="13"/>
  <c r="E770" i="13"/>
  <c r="Q769" i="13"/>
  <c r="M769" i="13"/>
  <c r="I769" i="13"/>
  <c r="E769" i="13"/>
  <c r="R769" i="13" s="1"/>
  <c r="P765" i="13"/>
  <c r="O765" i="13"/>
  <c r="N765" i="13"/>
  <c r="Q765" i="13" s="1"/>
  <c r="L765" i="13"/>
  <c r="L777" i="13" s="1"/>
  <c r="L780" i="13" s="1"/>
  <c r="K765" i="13"/>
  <c r="J765" i="13"/>
  <c r="H765" i="13"/>
  <c r="G765" i="13"/>
  <c r="F765" i="13"/>
  <c r="I765" i="13" s="1"/>
  <c r="D765" i="13"/>
  <c r="C765" i="13"/>
  <c r="B765" i="13"/>
  <c r="E765" i="13" s="1"/>
  <c r="Q764" i="13"/>
  <c r="M764" i="13"/>
  <c r="I764" i="13"/>
  <c r="R764" i="13" s="1"/>
  <c r="E764" i="13"/>
  <c r="R763" i="13"/>
  <c r="Q763" i="13"/>
  <c r="M763" i="13"/>
  <c r="I763" i="13"/>
  <c r="E763" i="13"/>
  <c r="Q762" i="13"/>
  <c r="M762" i="13"/>
  <c r="I762" i="13"/>
  <c r="E762" i="13"/>
  <c r="R762" i="13" s="1"/>
  <c r="Q761" i="13"/>
  <c r="M761" i="13"/>
  <c r="I761" i="13"/>
  <c r="E761" i="13"/>
  <c r="R761" i="13" s="1"/>
  <c r="Q760" i="13"/>
  <c r="M760" i="13"/>
  <c r="I760" i="13"/>
  <c r="E760" i="13"/>
  <c r="Q759" i="13"/>
  <c r="M759" i="13"/>
  <c r="I759" i="13"/>
  <c r="E759" i="13"/>
  <c r="R759" i="13" s="1"/>
  <c r="Q758" i="13"/>
  <c r="R758" i="13" s="1"/>
  <c r="M758" i="13"/>
  <c r="I758" i="13"/>
  <c r="E758" i="13"/>
  <c r="Q757" i="13"/>
  <c r="M757" i="13"/>
  <c r="I757" i="13"/>
  <c r="E757" i="13"/>
  <c r="R757" i="13" s="1"/>
  <c r="Q756" i="13"/>
  <c r="M756" i="13"/>
  <c r="I756" i="13"/>
  <c r="R756" i="13" s="1"/>
  <c r="E756" i="13"/>
  <c r="Q754" i="13"/>
  <c r="M754" i="13"/>
  <c r="R754" i="13" s="1"/>
  <c r="I754" i="13"/>
  <c r="E754" i="13"/>
  <c r="Q751" i="13"/>
  <c r="P751" i="13"/>
  <c r="O751" i="13"/>
  <c r="N751" i="13"/>
  <c r="M751" i="13"/>
  <c r="L751" i="13"/>
  <c r="K751" i="13"/>
  <c r="J751" i="13"/>
  <c r="I751" i="13"/>
  <c r="H751" i="13"/>
  <c r="G751" i="13"/>
  <c r="F751" i="13"/>
  <c r="E751" i="13"/>
  <c r="R751" i="13" s="1"/>
  <c r="D751" i="13"/>
  <c r="C751" i="13"/>
  <c r="B751" i="13"/>
  <c r="P747" i="13"/>
  <c r="O747" i="13"/>
  <c r="N747" i="13"/>
  <c r="L747" i="13"/>
  <c r="K747" i="13"/>
  <c r="K777" i="13" s="1"/>
  <c r="K780" i="13" s="1"/>
  <c r="J747" i="13"/>
  <c r="H747" i="13"/>
  <c r="G747" i="13"/>
  <c r="G777" i="13" s="1"/>
  <c r="G780" i="13" s="1"/>
  <c r="F747" i="13"/>
  <c r="B747" i="13"/>
  <c r="Q743" i="13"/>
  <c r="M743" i="13"/>
  <c r="I743" i="13"/>
  <c r="E743" i="13"/>
  <c r="Q742" i="13"/>
  <c r="M742" i="13"/>
  <c r="I742" i="13"/>
  <c r="E742" i="13"/>
  <c r="Q741" i="13"/>
  <c r="M741" i="13"/>
  <c r="I741" i="13"/>
  <c r="E741" i="13"/>
  <c r="R741" i="13" s="1"/>
  <c r="Q740" i="13"/>
  <c r="M740" i="13"/>
  <c r="I740" i="13"/>
  <c r="E740" i="13"/>
  <c r="R740" i="13" s="1"/>
  <c r="Q739" i="13"/>
  <c r="M739" i="13"/>
  <c r="I739" i="13"/>
  <c r="R739" i="13" s="1"/>
  <c r="E739" i="13"/>
  <c r="Q738" i="13"/>
  <c r="M738" i="13"/>
  <c r="I738" i="13"/>
  <c r="D738" i="13"/>
  <c r="D747" i="13" s="1"/>
  <c r="D777" i="13" s="1"/>
  <c r="D780" i="13" s="1"/>
  <c r="C738" i="13"/>
  <c r="C747" i="13" s="1"/>
  <c r="C777" i="13" s="1"/>
  <c r="C780" i="13" s="1"/>
  <c r="B738" i="13"/>
  <c r="E738" i="13" s="1"/>
  <c r="Q726" i="13"/>
  <c r="M726" i="13"/>
  <c r="I726" i="13"/>
  <c r="E726" i="13"/>
  <c r="P724" i="13"/>
  <c r="Q724" i="13" s="1"/>
  <c r="O724" i="13"/>
  <c r="N724" i="13"/>
  <c r="L724" i="13"/>
  <c r="K724" i="13"/>
  <c r="J724" i="13"/>
  <c r="M724" i="13" s="1"/>
  <c r="H724" i="13"/>
  <c r="I724" i="13" s="1"/>
  <c r="G724" i="13"/>
  <c r="F724" i="13"/>
  <c r="D724" i="13"/>
  <c r="C724" i="13"/>
  <c r="B724" i="13"/>
  <c r="Q723" i="13"/>
  <c r="P723" i="13"/>
  <c r="O723" i="13"/>
  <c r="N723" i="13"/>
  <c r="L723" i="13"/>
  <c r="K723" i="13"/>
  <c r="M723" i="13" s="1"/>
  <c r="J723" i="13"/>
  <c r="I723" i="13"/>
  <c r="H723" i="13"/>
  <c r="G723" i="13"/>
  <c r="F723" i="13"/>
  <c r="D723" i="13"/>
  <c r="C723" i="13"/>
  <c r="E723" i="13" s="1"/>
  <c r="R723" i="13" s="1"/>
  <c r="B723" i="13"/>
  <c r="Q720" i="13"/>
  <c r="M720" i="13"/>
  <c r="I720" i="13"/>
  <c r="E720" i="13"/>
  <c r="R720" i="13" s="1"/>
  <c r="P716" i="13"/>
  <c r="Q716" i="13" s="1"/>
  <c r="O716" i="13"/>
  <c r="N716" i="13"/>
  <c r="L716" i="13"/>
  <c r="K716" i="13"/>
  <c r="J716" i="13"/>
  <c r="H716" i="13"/>
  <c r="G716" i="13"/>
  <c r="I716" i="13" s="1"/>
  <c r="F716" i="13"/>
  <c r="D716" i="13"/>
  <c r="C716" i="13"/>
  <c r="C725" i="13" s="1"/>
  <c r="C728" i="13" s="1"/>
  <c r="B716" i="13"/>
  <c r="Q712" i="13"/>
  <c r="P712" i="13"/>
  <c r="O712" i="13"/>
  <c r="N712" i="13"/>
  <c r="L712" i="13"/>
  <c r="M712" i="13" s="1"/>
  <c r="K712" i="13"/>
  <c r="J712" i="13"/>
  <c r="H712" i="13"/>
  <c r="I712" i="13" s="1"/>
  <c r="G712" i="13"/>
  <c r="F712" i="13"/>
  <c r="D712" i="13"/>
  <c r="E712" i="13" s="1"/>
  <c r="C712" i="13"/>
  <c r="B712" i="13"/>
  <c r="N708" i="13"/>
  <c r="N725" i="13" s="1"/>
  <c r="N728" i="13" s="1"/>
  <c r="K708" i="13"/>
  <c r="J708" i="13"/>
  <c r="C708" i="13"/>
  <c r="B708" i="13"/>
  <c r="Q704" i="13"/>
  <c r="M704" i="13"/>
  <c r="I704" i="13"/>
  <c r="E704" i="13"/>
  <c r="Q703" i="13"/>
  <c r="M703" i="13"/>
  <c r="I703" i="13"/>
  <c r="E703" i="13"/>
  <c r="P702" i="13"/>
  <c r="O702" i="13"/>
  <c r="O708" i="13" s="1"/>
  <c r="O725" i="13" s="1"/>
  <c r="O728" i="13" s="1"/>
  <c r="N702" i="13"/>
  <c r="L702" i="13"/>
  <c r="L708" i="13" s="1"/>
  <c r="K702" i="13"/>
  <c r="J702" i="13"/>
  <c r="H702" i="13"/>
  <c r="G702" i="13"/>
  <c r="G708" i="13" s="1"/>
  <c r="F702" i="13"/>
  <c r="F708" i="13" s="1"/>
  <c r="F725" i="13" s="1"/>
  <c r="F728" i="13" s="1"/>
  <c r="E702" i="13"/>
  <c r="D702" i="13"/>
  <c r="D708" i="13" s="1"/>
  <c r="C702" i="13"/>
  <c r="B702" i="13"/>
  <c r="P692" i="13"/>
  <c r="O692" i="13"/>
  <c r="N692" i="13"/>
  <c r="L692" i="13"/>
  <c r="K692" i="13"/>
  <c r="J692" i="13"/>
  <c r="H692" i="13"/>
  <c r="G692" i="13"/>
  <c r="F692" i="13"/>
  <c r="D692" i="13"/>
  <c r="C692" i="13"/>
  <c r="B692" i="13"/>
  <c r="Q690" i="13"/>
  <c r="M690" i="13"/>
  <c r="I690" i="13"/>
  <c r="E690" i="13"/>
  <c r="J682" i="13"/>
  <c r="B682" i="13"/>
  <c r="Q680" i="13"/>
  <c r="M680" i="13"/>
  <c r="I680" i="13"/>
  <c r="E680" i="13"/>
  <c r="P679" i="13"/>
  <c r="P682" i="13" s="1"/>
  <c r="H679" i="13"/>
  <c r="H682" i="13" s="1"/>
  <c r="Q678" i="13"/>
  <c r="P678" i="13"/>
  <c r="O678" i="13"/>
  <c r="N678" i="13"/>
  <c r="M678" i="13"/>
  <c r="L678" i="13"/>
  <c r="K678" i="13"/>
  <c r="J678" i="13"/>
  <c r="I678" i="13"/>
  <c r="H678" i="13"/>
  <c r="G678" i="13"/>
  <c r="F678" i="13"/>
  <c r="E678" i="13"/>
  <c r="D678" i="13"/>
  <c r="C678" i="13"/>
  <c r="B678" i="13"/>
  <c r="P677" i="13"/>
  <c r="O677" i="13"/>
  <c r="N677" i="13"/>
  <c r="Q677" i="13" s="1"/>
  <c r="L677" i="13"/>
  <c r="K677" i="13"/>
  <c r="J677" i="13"/>
  <c r="M677" i="13" s="1"/>
  <c r="H677" i="13"/>
  <c r="G677" i="13"/>
  <c r="F677" i="13"/>
  <c r="D677" i="13"/>
  <c r="C677" i="13"/>
  <c r="B677" i="13"/>
  <c r="E677" i="13" s="1"/>
  <c r="Q676" i="13"/>
  <c r="M676" i="13"/>
  <c r="I676" i="13"/>
  <c r="E676" i="13"/>
  <c r="Q675" i="13"/>
  <c r="M675" i="13"/>
  <c r="I675" i="13"/>
  <c r="R675" i="13" s="1"/>
  <c r="E675" i="13"/>
  <c r="Q674" i="13"/>
  <c r="M674" i="13"/>
  <c r="R674" i="13" s="1"/>
  <c r="I674" i="13"/>
  <c r="E674" i="13"/>
  <c r="R672" i="13"/>
  <c r="Q672" i="13"/>
  <c r="M672" i="13"/>
  <c r="I672" i="13"/>
  <c r="E672" i="13"/>
  <c r="R671" i="13"/>
  <c r="Q671" i="13"/>
  <c r="M671" i="13"/>
  <c r="I671" i="13"/>
  <c r="E671" i="13"/>
  <c r="Q669" i="13"/>
  <c r="M669" i="13"/>
  <c r="I669" i="13"/>
  <c r="E669" i="13"/>
  <c r="R669" i="13" s="1"/>
  <c r="Q668" i="13"/>
  <c r="M668" i="13"/>
  <c r="I668" i="13"/>
  <c r="E668" i="13"/>
  <c r="Q667" i="13"/>
  <c r="M667" i="13"/>
  <c r="I667" i="13"/>
  <c r="E667" i="13"/>
  <c r="R667" i="13" s="1"/>
  <c r="R666" i="13"/>
  <c r="Q666" i="13"/>
  <c r="M666" i="13"/>
  <c r="I666" i="13"/>
  <c r="E666" i="13"/>
  <c r="R664" i="13"/>
  <c r="Q664" i="13"/>
  <c r="M664" i="13"/>
  <c r="I664" i="13"/>
  <c r="E664" i="13"/>
  <c r="Q663" i="13"/>
  <c r="M663" i="13"/>
  <c r="I663" i="13"/>
  <c r="R663" i="13" s="1"/>
  <c r="E663" i="13"/>
  <c r="Q660" i="13"/>
  <c r="P660" i="13"/>
  <c r="O660" i="13"/>
  <c r="O679" i="13" s="1"/>
  <c r="O682" i="13" s="1"/>
  <c r="N660" i="13"/>
  <c r="L660" i="13"/>
  <c r="M660" i="13" s="1"/>
  <c r="K660" i="13"/>
  <c r="J660" i="13"/>
  <c r="H660" i="13"/>
  <c r="G660" i="13"/>
  <c r="G679" i="13" s="1"/>
  <c r="G682" i="13" s="1"/>
  <c r="F660" i="13"/>
  <c r="D660" i="13"/>
  <c r="E660" i="13" s="1"/>
  <c r="C660" i="13"/>
  <c r="B660" i="13"/>
  <c r="Q659" i="13"/>
  <c r="M659" i="13"/>
  <c r="R659" i="13" s="1"/>
  <c r="I659" i="13"/>
  <c r="E659" i="13"/>
  <c r="Q658" i="13"/>
  <c r="M658" i="13"/>
  <c r="I658" i="13"/>
  <c r="R658" i="13" s="1"/>
  <c r="E658" i="13"/>
  <c r="R657" i="13"/>
  <c r="Q657" i="13"/>
  <c r="M657" i="13"/>
  <c r="I657" i="13"/>
  <c r="E657" i="13"/>
  <c r="Q656" i="13"/>
  <c r="M656" i="13"/>
  <c r="I656" i="13"/>
  <c r="E656" i="13"/>
  <c r="Q655" i="13"/>
  <c r="M655" i="13"/>
  <c r="I655" i="13"/>
  <c r="E655" i="13"/>
  <c r="Q654" i="13"/>
  <c r="M654" i="13"/>
  <c r="I654" i="13"/>
  <c r="E654" i="13"/>
  <c r="Q653" i="13"/>
  <c r="M653" i="13"/>
  <c r="I653" i="13"/>
  <c r="E653" i="13"/>
  <c r="Q649" i="13"/>
  <c r="P649" i="13"/>
  <c r="O649" i="13"/>
  <c r="N649" i="13"/>
  <c r="M649" i="13"/>
  <c r="L649" i="13"/>
  <c r="K649" i="13"/>
  <c r="J649" i="13"/>
  <c r="J679" i="13" s="1"/>
  <c r="I649" i="13"/>
  <c r="H649" i="13"/>
  <c r="G649" i="13"/>
  <c r="F649" i="13"/>
  <c r="E649" i="13"/>
  <c r="R649" i="13" s="1"/>
  <c r="D649" i="13"/>
  <c r="C649" i="13"/>
  <c r="B649" i="13"/>
  <c r="B679" i="13" s="1"/>
  <c r="Q647" i="13"/>
  <c r="M647" i="13"/>
  <c r="I647" i="13"/>
  <c r="E647" i="13"/>
  <c r="R647" i="13" s="1"/>
  <c r="Q646" i="13"/>
  <c r="M646" i="13"/>
  <c r="I646" i="13"/>
  <c r="E646" i="13"/>
  <c r="R646" i="13" s="1"/>
  <c r="P643" i="13"/>
  <c r="O643" i="13"/>
  <c r="N643" i="13"/>
  <c r="L643" i="13"/>
  <c r="L679" i="13" s="1"/>
  <c r="L682" i="13" s="1"/>
  <c r="K643" i="13"/>
  <c r="J643" i="13"/>
  <c r="H643" i="13"/>
  <c r="G643" i="13"/>
  <c r="F643" i="13"/>
  <c r="D643" i="13"/>
  <c r="D679" i="13" s="1"/>
  <c r="D682" i="13" s="1"/>
  <c r="C643" i="13"/>
  <c r="B643" i="13"/>
  <c r="Q641" i="13"/>
  <c r="M641" i="13"/>
  <c r="I641" i="13"/>
  <c r="E641" i="13"/>
  <c r="R641" i="13" s="1"/>
  <c r="Q639" i="13"/>
  <c r="R639" i="13" s="1"/>
  <c r="M639" i="13"/>
  <c r="I639" i="13"/>
  <c r="E639" i="13"/>
  <c r="Q637" i="13"/>
  <c r="M637" i="13"/>
  <c r="I637" i="13"/>
  <c r="E637" i="13"/>
  <c r="Q636" i="13"/>
  <c r="M636" i="13"/>
  <c r="I636" i="13"/>
  <c r="E636" i="13"/>
  <c r="Q635" i="13"/>
  <c r="M635" i="13"/>
  <c r="I635" i="13"/>
  <c r="E635" i="13"/>
  <c r="R635" i="13" s="1"/>
  <c r="Q634" i="13"/>
  <c r="M634" i="13"/>
  <c r="I634" i="13"/>
  <c r="E634" i="13"/>
  <c r="R634" i="13" s="1"/>
  <c r="Q633" i="13"/>
  <c r="M633" i="13"/>
  <c r="I633" i="13"/>
  <c r="R633" i="13" s="1"/>
  <c r="E633" i="13"/>
  <c r="Q632" i="13"/>
  <c r="M632" i="13"/>
  <c r="I632" i="13"/>
  <c r="E632" i="13"/>
  <c r="Q631" i="13"/>
  <c r="M631" i="13"/>
  <c r="I631" i="13"/>
  <c r="E631" i="13"/>
  <c r="R631" i="13" s="1"/>
  <c r="Q630" i="13"/>
  <c r="M630" i="13"/>
  <c r="I630" i="13"/>
  <c r="R630" i="13" s="1"/>
  <c r="E630" i="13"/>
  <c r="Q629" i="13"/>
  <c r="M629" i="13"/>
  <c r="I629" i="13"/>
  <c r="E629" i="13"/>
  <c r="Q628" i="13"/>
  <c r="M628" i="13"/>
  <c r="I628" i="13"/>
  <c r="E628" i="13"/>
  <c r="Q627" i="13"/>
  <c r="M627" i="13"/>
  <c r="I627" i="13"/>
  <c r="E627" i="13"/>
  <c r="Q626" i="13"/>
  <c r="M626" i="13"/>
  <c r="R626" i="13" s="1"/>
  <c r="I626" i="13"/>
  <c r="E626" i="13"/>
  <c r="Q614" i="13"/>
  <c r="M614" i="13"/>
  <c r="I614" i="13"/>
  <c r="E614" i="13"/>
  <c r="R614" i="13" s="1"/>
  <c r="P613" i="13"/>
  <c r="P616" i="13" s="1"/>
  <c r="O613" i="13"/>
  <c r="O616" i="13" s="1"/>
  <c r="C613" i="13"/>
  <c r="C616" i="13" s="1"/>
  <c r="Q612" i="13"/>
  <c r="P612" i="13"/>
  <c r="O612" i="13"/>
  <c r="N612" i="13"/>
  <c r="L612" i="13"/>
  <c r="K612" i="13"/>
  <c r="J612" i="13"/>
  <c r="H612" i="13"/>
  <c r="I612" i="13" s="1"/>
  <c r="G612" i="13"/>
  <c r="F612" i="13"/>
  <c r="D612" i="13"/>
  <c r="E612" i="13" s="1"/>
  <c r="C612" i="13"/>
  <c r="B612" i="13"/>
  <c r="Q611" i="13"/>
  <c r="P611" i="13"/>
  <c r="O611" i="13"/>
  <c r="N611" i="13"/>
  <c r="M611" i="13"/>
  <c r="L611" i="13"/>
  <c r="K611" i="13"/>
  <c r="J611" i="13"/>
  <c r="I611" i="13"/>
  <c r="H611" i="13"/>
  <c r="G611" i="13"/>
  <c r="F611" i="13"/>
  <c r="E611" i="13"/>
  <c r="R611" i="13" s="1"/>
  <c r="D611" i="13"/>
  <c r="C611" i="13"/>
  <c r="B611" i="13"/>
  <c r="Q610" i="13"/>
  <c r="M610" i="13"/>
  <c r="I610" i="13"/>
  <c r="E610" i="13"/>
  <c r="R610" i="13" s="1"/>
  <c r="Q609" i="13"/>
  <c r="M609" i="13"/>
  <c r="I609" i="13"/>
  <c r="E609" i="13"/>
  <c r="R609" i="13" s="1"/>
  <c r="Q608" i="13"/>
  <c r="M608" i="13"/>
  <c r="I608" i="13"/>
  <c r="E608" i="13"/>
  <c r="R607" i="13"/>
  <c r="Q607" i="13"/>
  <c r="M607" i="13"/>
  <c r="I607" i="13"/>
  <c r="E607" i="13"/>
  <c r="Q605" i="13"/>
  <c r="M605" i="13"/>
  <c r="I605" i="13"/>
  <c r="E605" i="13"/>
  <c r="R605" i="13" s="1"/>
  <c r="P600" i="13"/>
  <c r="O600" i="13"/>
  <c r="N600" i="13"/>
  <c r="Q600" i="13" s="1"/>
  <c r="L600" i="13"/>
  <c r="K600" i="13"/>
  <c r="K613" i="13" s="1"/>
  <c r="K616" i="13" s="1"/>
  <c r="J600" i="13"/>
  <c r="M600" i="13" s="1"/>
  <c r="H600" i="13"/>
  <c r="G600" i="13"/>
  <c r="G613" i="13" s="1"/>
  <c r="G616" i="13" s="1"/>
  <c r="F600" i="13"/>
  <c r="D600" i="13"/>
  <c r="C600" i="13"/>
  <c r="B600" i="13"/>
  <c r="E600" i="13" s="1"/>
  <c r="Q599" i="13"/>
  <c r="M599" i="13"/>
  <c r="I599" i="13"/>
  <c r="E599" i="13"/>
  <c r="P595" i="13"/>
  <c r="Q595" i="13" s="1"/>
  <c r="O595" i="13"/>
  <c r="N595" i="13"/>
  <c r="M595" i="13"/>
  <c r="L595" i="13"/>
  <c r="K595" i="13"/>
  <c r="J595" i="13"/>
  <c r="H595" i="13"/>
  <c r="I595" i="13" s="1"/>
  <c r="G595" i="13"/>
  <c r="F595" i="13"/>
  <c r="E595" i="13"/>
  <c r="D595" i="13"/>
  <c r="C595" i="13"/>
  <c r="B595" i="13"/>
  <c r="Q593" i="13"/>
  <c r="M593" i="13"/>
  <c r="I593" i="13"/>
  <c r="E593" i="13"/>
  <c r="R593" i="13" s="1"/>
  <c r="Q592" i="13"/>
  <c r="M592" i="13"/>
  <c r="I592" i="13"/>
  <c r="E592" i="13"/>
  <c r="P589" i="13"/>
  <c r="O589" i="13"/>
  <c r="N589" i="13"/>
  <c r="N613" i="13" s="1"/>
  <c r="L589" i="13"/>
  <c r="K589" i="13"/>
  <c r="J589" i="13"/>
  <c r="M589" i="13" s="1"/>
  <c r="H589" i="13"/>
  <c r="H613" i="13" s="1"/>
  <c r="H616" i="13" s="1"/>
  <c r="G589" i="13"/>
  <c r="F589" i="13"/>
  <c r="F613" i="13" s="1"/>
  <c r="D589" i="13"/>
  <c r="C589" i="13"/>
  <c r="B589" i="13"/>
  <c r="B613" i="13" s="1"/>
  <c r="Q585" i="13"/>
  <c r="M585" i="13"/>
  <c r="I585" i="13"/>
  <c r="E585" i="13"/>
  <c r="R585" i="13" s="1"/>
  <c r="Q584" i="13"/>
  <c r="M584" i="13"/>
  <c r="I584" i="13"/>
  <c r="E584" i="13"/>
  <c r="R584" i="13" s="1"/>
  <c r="Q583" i="13"/>
  <c r="M583" i="13"/>
  <c r="I583" i="13"/>
  <c r="E583" i="13"/>
  <c r="Q582" i="13"/>
  <c r="M582" i="13"/>
  <c r="I582" i="13"/>
  <c r="E582" i="13"/>
  <c r="R582" i="13" s="1"/>
  <c r="R581" i="13"/>
  <c r="Q581" i="13"/>
  <c r="M581" i="13"/>
  <c r="I581" i="13"/>
  <c r="E581" i="13"/>
  <c r="R569" i="13"/>
  <c r="Q569" i="13"/>
  <c r="M569" i="13"/>
  <c r="I569" i="13"/>
  <c r="E569" i="13"/>
  <c r="F568" i="13"/>
  <c r="P567" i="13"/>
  <c r="O567" i="13"/>
  <c r="N567" i="13"/>
  <c r="L567" i="13"/>
  <c r="K567" i="13"/>
  <c r="J567" i="13"/>
  <c r="H567" i="13"/>
  <c r="G567" i="13"/>
  <c r="F567" i="13"/>
  <c r="I567" i="13" s="1"/>
  <c r="D567" i="13"/>
  <c r="C567" i="13"/>
  <c r="B567" i="13"/>
  <c r="E567" i="13" s="1"/>
  <c r="P566" i="13"/>
  <c r="Q566" i="13" s="1"/>
  <c r="O566" i="13"/>
  <c r="N566" i="13"/>
  <c r="L566" i="13"/>
  <c r="M566" i="13" s="1"/>
  <c r="K566" i="13"/>
  <c r="J566" i="13"/>
  <c r="H566" i="13"/>
  <c r="I566" i="13" s="1"/>
  <c r="G566" i="13"/>
  <c r="F566" i="13"/>
  <c r="D566" i="13"/>
  <c r="E566" i="13" s="1"/>
  <c r="C566" i="13"/>
  <c r="B566" i="13"/>
  <c r="Q565" i="13"/>
  <c r="R565" i="13" s="1"/>
  <c r="M565" i="13"/>
  <c r="I565" i="13"/>
  <c r="E565" i="13"/>
  <c r="Q564" i="13"/>
  <c r="M564" i="13"/>
  <c r="I564" i="13"/>
  <c r="E564" i="13"/>
  <c r="R564" i="13" s="1"/>
  <c r="P558" i="13"/>
  <c r="O558" i="13"/>
  <c r="N558" i="13"/>
  <c r="Q558" i="13" s="1"/>
  <c r="L558" i="13"/>
  <c r="K558" i="13"/>
  <c r="J558" i="13"/>
  <c r="H558" i="13"/>
  <c r="G558" i="13"/>
  <c r="F558" i="13"/>
  <c r="D558" i="13"/>
  <c r="C558" i="13"/>
  <c r="C568" i="13" s="1"/>
  <c r="C571" i="13" s="1"/>
  <c r="B558" i="13"/>
  <c r="Q557" i="13"/>
  <c r="M557" i="13"/>
  <c r="I557" i="13"/>
  <c r="E557" i="13"/>
  <c r="Q556" i="13"/>
  <c r="M556" i="13"/>
  <c r="I556" i="13"/>
  <c r="E556" i="13"/>
  <c r="R556" i="13" s="1"/>
  <c r="Q555" i="13"/>
  <c r="R555" i="13" s="1"/>
  <c r="M555" i="13"/>
  <c r="I555" i="13"/>
  <c r="E555" i="13"/>
  <c r="P551" i="13"/>
  <c r="O551" i="13"/>
  <c r="N551" i="13"/>
  <c r="N568" i="13" s="1"/>
  <c r="N571" i="13" s="1"/>
  <c r="L551" i="13"/>
  <c r="K551" i="13"/>
  <c r="J551" i="13"/>
  <c r="M551" i="13" s="1"/>
  <c r="H551" i="13"/>
  <c r="G551" i="13"/>
  <c r="F551" i="13"/>
  <c r="I551" i="13" s="1"/>
  <c r="D551" i="13"/>
  <c r="C551" i="13"/>
  <c r="B551" i="13"/>
  <c r="E551" i="13" s="1"/>
  <c r="Q549" i="13"/>
  <c r="M549" i="13"/>
  <c r="I549" i="13"/>
  <c r="G549" i="13"/>
  <c r="G904" i="13" s="1"/>
  <c r="E549" i="13"/>
  <c r="P546" i="13"/>
  <c r="O546" i="13"/>
  <c r="N546" i="13"/>
  <c r="M546" i="13"/>
  <c r="L546" i="13"/>
  <c r="K546" i="13"/>
  <c r="J546" i="13"/>
  <c r="J568" i="13" s="1"/>
  <c r="H546" i="13"/>
  <c r="G546" i="13"/>
  <c r="F546" i="13"/>
  <c r="E546" i="13"/>
  <c r="D546" i="13"/>
  <c r="C546" i="13"/>
  <c r="B546" i="13"/>
  <c r="Q543" i="13"/>
  <c r="M543" i="13"/>
  <c r="I543" i="13"/>
  <c r="E543" i="13"/>
  <c r="Q542" i="13"/>
  <c r="M542" i="13"/>
  <c r="I542" i="13"/>
  <c r="R542" i="13" s="1"/>
  <c r="E542" i="13"/>
  <c r="R540" i="13"/>
  <c r="Q540" i="13"/>
  <c r="M540" i="13"/>
  <c r="I540" i="13"/>
  <c r="E540" i="13"/>
  <c r="Q539" i="13"/>
  <c r="M539" i="13"/>
  <c r="I539" i="13"/>
  <c r="E539" i="13"/>
  <c r="R539" i="13" s="1"/>
  <c r="Q538" i="13"/>
  <c r="M538" i="13"/>
  <c r="I538" i="13"/>
  <c r="E538" i="13"/>
  <c r="R538" i="13" s="1"/>
  <c r="Q537" i="13"/>
  <c r="M537" i="13"/>
  <c r="I537" i="13"/>
  <c r="E537" i="13"/>
  <c r="Q536" i="13"/>
  <c r="M536" i="13"/>
  <c r="I536" i="13"/>
  <c r="E536" i="13"/>
  <c r="R536" i="13" s="1"/>
  <c r="Q518" i="13"/>
  <c r="M518" i="13"/>
  <c r="I518" i="13"/>
  <c r="R518" i="13" s="1"/>
  <c r="E518" i="13"/>
  <c r="Q517" i="13"/>
  <c r="M517" i="13"/>
  <c r="R517" i="13" s="1"/>
  <c r="I517" i="13"/>
  <c r="E517" i="13"/>
  <c r="Q516" i="13"/>
  <c r="M516" i="13"/>
  <c r="I516" i="13"/>
  <c r="E516" i="13"/>
  <c r="P514" i="13"/>
  <c r="O514" i="13"/>
  <c r="Q514" i="13" s="1"/>
  <c r="N514" i="13"/>
  <c r="M514" i="13"/>
  <c r="L514" i="13"/>
  <c r="K514" i="13"/>
  <c r="J514" i="13"/>
  <c r="H514" i="13"/>
  <c r="G514" i="13"/>
  <c r="I514" i="13" s="1"/>
  <c r="F514" i="13"/>
  <c r="D514" i="13"/>
  <c r="C514" i="13"/>
  <c r="B514" i="13"/>
  <c r="P513" i="13"/>
  <c r="O513" i="13"/>
  <c r="N513" i="13"/>
  <c r="Q513" i="13" s="1"/>
  <c r="L513" i="13"/>
  <c r="M513" i="13" s="1"/>
  <c r="K513" i="13"/>
  <c r="J513" i="13"/>
  <c r="H513" i="13"/>
  <c r="G513" i="13"/>
  <c r="F513" i="13"/>
  <c r="I513" i="13" s="1"/>
  <c r="D513" i="13"/>
  <c r="E513" i="13" s="1"/>
  <c r="C513" i="13"/>
  <c r="B513" i="13"/>
  <c r="Q512" i="13"/>
  <c r="M512" i="13"/>
  <c r="I512" i="13"/>
  <c r="R512" i="13" s="1"/>
  <c r="E512" i="13"/>
  <c r="R511" i="13"/>
  <c r="Q511" i="13"/>
  <c r="M511" i="13"/>
  <c r="I511" i="13"/>
  <c r="E511" i="13"/>
  <c r="Q510" i="13"/>
  <c r="M510" i="13"/>
  <c r="I510" i="13"/>
  <c r="E510" i="13"/>
  <c r="R510" i="13" s="1"/>
  <c r="Q509" i="13"/>
  <c r="M509" i="13"/>
  <c r="I509" i="13"/>
  <c r="E509" i="13"/>
  <c r="Q508" i="13"/>
  <c r="R508" i="13" s="1"/>
  <c r="M508" i="13"/>
  <c r="I508" i="13"/>
  <c r="E508" i="13"/>
  <c r="Q507" i="13"/>
  <c r="M507" i="13"/>
  <c r="I507" i="13"/>
  <c r="E507" i="13"/>
  <c r="R507" i="13" s="1"/>
  <c r="Q506" i="13"/>
  <c r="M506" i="13"/>
  <c r="I506" i="13"/>
  <c r="E506" i="13"/>
  <c r="Q505" i="13"/>
  <c r="M505" i="13"/>
  <c r="R505" i="13" s="1"/>
  <c r="I505" i="13"/>
  <c r="E505" i="13"/>
  <c r="R504" i="13"/>
  <c r="Q504" i="13"/>
  <c r="M504" i="13"/>
  <c r="I504" i="13"/>
  <c r="E504" i="13"/>
  <c r="Q503" i="13"/>
  <c r="M503" i="13"/>
  <c r="I503" i="13"/>
  <c r="R503" i="13" s="1"/>
  <c r="E503" i="13"/>
  <c r="Q501" i="13"/>
  <c r="M501" i="13"/>
  <c r="I501" i="13"/>
  <c r="E501" i="13"/>
  <c r="Q500" i="13"/>
  <c r="M500" i="13"/>
  <c r="I500" i="13"/>
  <c r="E500" i="13"/>
  <c r="Q499" i="13"/>
  <c r="M499" i="13"/>
  <c r="I499" i="13"/>
  <c r="E499" i="13"/>
  <c r="R499" i="13" s="1"/>
  <c r="Q498" i="13"/>
  <c r="M498" i="13"/>
  <c r="I498" i="13"/>
  <c r="E498" i="13"/>
  <c r="R498" i="13" s="1"/>
  <c r="Q497" i="13"/>
  <c r="M497" i="13"/>
  <c r="I497" i="13"/>
  <c r="E497" i="13"/>
  <c r="R496" i="13"/>
  <c r="Q496" i="13"/>
  <c r="M496" i="13"/>
  <c r="I496" i="13"/>
  <c r="E496" i="13"/>
  <c r="Q494" i="13"/>
  <c r="M494" i="13"/>
  <c r="I494" i="13"/>
  <c r="E494" i="13"/>
  <c r="Q493" i="13"/>
  <c r="M493" i="13"/>
  <c r="I493" i="13"/>
  <c r="E493" i="13"/>
  <c r="R493" i="13" s="1"/>
  <c r="Q491" i="13"/>
  <c r="M491" i="13"/>
  <c r="I491" i="13"/>
  <c r="E491" i="13"/>
  <c r="L488" i="13"/>
  <c r="D488" i="13"/>
  <c r="Q487" i="13"/>
  <c r="P487" i="13"/>
  <c r="O487" i="13"/>
  <c r="N487" i="13"/>
  <c r="L487" i="13"/>
  <c r="M487" i="13" s="1"/>
  <c r="K487" i="13"/>
  <c r="I487" i="13"/>
  <c r="H487" i="13"/>
  <c r="G487" i="13"/>
  <c r="F487" i="13"/>
  <c r="D487" i="13"/>
  <c r="C487" i="13"/>
  <c r="E487" i="13" s="1"/>
  <c r="R487" i="13" s="1"/>
  <c r="B487" i="13"/>
  <c r="B488" i="13" s="1"/>
  <c r="R486" i="13"/>
  <c r="Q486" i="13"/>
  <c r="M486" i="13"/>
  <c r="I486" i="13"/>
  <c r="E486" i="13"/>
  <c r="Q485" i="13"/>
  <c r="M485" i="13"/>
  <c r="I485" i="13"/>
  <c r="R485" i="13" s="1"/>
  <c r="E485" i="13"/>
  <c r="Q484" i="13"/>
  <c r="M484" i="13"/>
  <c r="I484" i="13"/>
  <c r="E484" i="13"/>
  <c r="R484" i="13" s="1"/>
  <c r="Q483" i="13"/>
  <c r="M483" i="13"/>
  <c r="I483" i="13"/>
  <c r="E483" i="13"/>
  <c r="R483" i="13" s="1"/>
  <c r="Q482" i="13"/>
  <c r="M482" i="13"/>
  <c r="I482" i="13"/>
  <c r="E482" i="13"/>
  <c r="R482" i="13" s="1"/>
  <c r="Q481" i="13"/>
  <c r="M481" i="13"/>
  <c r="I481" i="13"/>
  <c r="E481" i="13"/>
  <c r="R481" i="13" s="1"/>
  <c r="Q480" i="13"/>
  <c r="M480" i="13"/>
  <c r="R480" i="13" s="1"/>
  <c r="I480" i="13"/>
  <c r="E480" i="13"/>
  <c r="Q479" i="13"/>
  <c r="M479" i="13"/>
  <c r="I479" i="13"/>
  <c r="R479" i="13" s="1"/>
  <c r="E479" i="13"/>
  <c r="R478" i="13"/>
  <c r="Q478" i="13"/>
  <c r="M478" i="13"/>
  <c r="I478" i="13"/>
  <c r="E478" i="13"/>
  <c r="Q477" i="13"/>
  <c r="M477" i="13"/>
  <c r="I477" i="13"/>
  <c r="R477" i="13" s="1"/>
  <c r="E477" i="13"/>
  <c r="Q476" i="13"/>
  <c r="M476" i="13"/>
  <c r="I476" i="13"/>
  <c r="E476" i="13"/>
  <c r="R476" i="13" s="1"/>
  <c r="Q475" i="13"/>
  <c r="M475" i="13"/>
  <c r="I475" i="13"/>
  <c r="E475" i="13"/>
  <c r="Q474" i="13"/>
  <c r="M474" i="13"/>
  <c r="I474" i="13"/>
  <c r="E474" i="13"/>
  <c r="R474" i="13" s="1"/>
  <c r="Q473" i="13"/>
  <c r="M473" i="13"/>
  <c r="I473" i="13"/>
  <c r="E473" i="13"/>
  <c r="R473" i="13" s="1"/>
  <c r="Q472" i="13"/>
  <c r="M472" i="13"/>
  <c r="R472" i="13" s="1"/>
  <c r="I472" i="13"/>
  <c r="E472" i="13"/>
  <c r="Q471" i="13"/>
  <c r="M471" i="13"/>
  <c r="I471" i="13"/>
  <c r="R471" i="13" s="1"/>
  <c r="E471" i="13"/>
  <c r="R470" i="13"/>
  <c r="Q470" i="13"/>
  <c r="M470" i="13"/>
  <c r="I470" i="13"/>
  <c r="E470" i="13"/>
  <c r="Q469" i="13"/>
  <c r="M469" i="13"/>
  <c r="I469" i="13"/>
  <c r="R469" i="13" s="1"/>
  <c r="E469" i="13"/>
  <c r="Q468" i="13"/>
  <c r="M468" i="13"/>
  <c r="I468" i="13"/>
  <c r="E468" i="13"/>
  <c r="R468" i="13" s="1"/>
  <c r="Q467" i="13"/>
  <c r="M467" i="13"/>
  <c r="I467" i="13"/>
  <c r="E467" i="13"/>
  <c r="R467" i="13" s="1"/>
  <c r="Q466" i="13"/>
  <c r="M466" i="13"/>
  <c r="I466" i="13"/>
  <c r="E466" i="13"/>
  <c r="R466" i="13" s="1"/>
  <c r="Q465" i="13"/>
  <c r="M465" i="13"/>
  <c r="I465" i="13"/>
  <c r="E465" i="13"/>
  <c r="R465" i="13" s="1"/>
  <c r="Q464" i="13"/>
  <c r="M464" i="13"/>
  <c r="R464" i="13" s="1"/>
  <c r="I464" i="13"/>
  <c r="E464" i="13"/>
  <c r="Q463" i="13"/>
  <c r="M463" i="13"/>
  <c r="I463" i="13"/>
  <c r="R463" i="13" s="1"/>
  <c r="E463" i="13"/>
  <c r="R462" i="13"/>
  <c r="Q462" i="13"/>
  <c r="M462" i="13"/>
  <c r="I462" i="13"/>
  <c r="E462" i="13"/>
  <c r="Q461" i="13"/>
  <c r="M461" i="13"/>
  <c r="I461" i="13"/>
  <c r="R461" i="13" s="1"/>
  <c r="E461" i="13"/>
  <c r="Q460" i="13"/>
  <c r="M460" i="13"/>
  <c r="I460" i="13"/>
  <c r="E460" i="13"/>
  <c r="R460" i="13" s="1"/>
  <c r="Q459" i="13"/>
  <c r="M459" i="13"/>
  <c r="I459" i="13"/>
  <c r="E459" i="13"/>
  <c r="Q458" i="13"/>
  <c r="M458" i="13"/>
  <c r="I458" i="13"/>
  <c r="E458" i="13"/>
  <c r="R458" i="13" s="1"/>
  <c r="Q457" i="13"/>
  <c r="M457" i="13"/>
  <c r="I457" i="13"/>
  <c r="E457" i="13"/>
  <c r="R457" i="13" s="1"/>
  <c r="Q456" i="13"/>
  <c r="M456" i="13"/>
  <c r="R456" i="13" s="1"/>
  <c r="I456" i="13"/>
  <c r="E456" i="13"/>
  <c r="Q455" i="13"/>
  <c r="M455" i="13"/>
  <c r="I455" i="13"/>
  <c r="R455" i="13" s="1"/>
  <c r="E455" i="13"/>
  <c r="R454" i="13"/>
  <c r="Q454" i="13"/>
  <c r="M454" i="13"/>
  <c r="I454" i="13"/>
  <c r="E454" i="13"/>
  <c r="Q453" i="13"/>
  <c r="M453" i="13"/>
  <c r="I453" i="13"/>
  <c r="R453" i="13" s="1"/>
  <c r="E453" i="13"/>
  <c r="Q452" i="13"/>
  <c r="M452" i="13"/>
  <c r="I452" i="13"/>
  <c r="E452" i="13"/>
  <c r="R452" i="13" s="1"/>
  <c r="Q451" i="13"/>
  <c r="M451" i="13"/>
  <c r="I451" i="13"/>
  <c r="E451" i="13"/>
  <c r="Q450" i="13"/>
  <c r="M450" i="13"/>
  <c r="I450" i="13"/>
  <c r="E450" i="13"/>
  <c r="R450" i="13" s="1"/>
  <c r="Q449" i="13"/>
  <c r="M449" i="13"/>
  <c r="I449" i="13"/>
  <c r="E449" i="13"/>
  <c r="R449" i="13" s="1"/>
  <c r="Q448" i="13"/>
  <c r="M448" i="13"/>
  <c r="I448" i="13"/>
  <c r="E448" i="13"/>
  <c r="R448" i="13" s="1"/>
  <c r="Q447" i="13"/>
  <c r="M447" i="13"/>
  <c r="I447" i="13"/>
  <c r="E447" i="13"/>
  <c r="R447" i="13" s="1"/>
  <c r="R446" i="13"/>
  <c r="Q446" i="13"/>
  <c r="M446" i="13"/>
  <c r="I446" i="13"/>
  <c r="E446" i="13"/>
  <c r="Q445" i="13"/>
  <c r="M445" i="13"/>
  <c r="I445" i="13"/>
  <c r="R445" i="13" s="1"/>
  <c r="E445" i="13"/>
  <c r="Q444" i="13"/>
  <c r="J444" i="13"/>
  <c r="M444" i="13" s="1"/>
  <c r="H444" i="13"/>
  <c r="H488" i="13" s="1"/>
  <c r="G444" i="13"/>
  <c r="I444" i="13" s="1"/>
  <c r="F444" i="13"/>
  <c r="F909" i="13" s="1"/>
  <c r="E444" i="13"/>
  <c r="D444" i="13"/>
  <c r="C444" i="13"/>
  <c r="Q443" i="13"/>
  <c r="M443" i="13"/>
  <c r="I443" i="13"/>
  <c r="E443" i="13"/>
  <c r="Q442" i="13"/>
  <c r="M442" i="13"/>
  <c r="I442" i="13"/>
  <c r="E442" i="13"/>
  <c r="R442" i="13" s="1"/>
  <c r="Q441" i="13"/>
  <c r="M441" i="13"/>
  <c r="I441" i="13"/>
  <c r="E441" i="13"/>
  <c r="N440" i="13"/>
  <c r="Q440" i="13" s="1"/>
  <c r="M440" i="13"/>
  <c r="I440" i="13"/>
  <c r="E440" i="13"/>
  <c r="Q439" i="13"/>
  <c r="M439" i="13"/>
  <c r="I439" i="13"/>
  <c r="E439" i="13"/>
  <c r="R439" i="13" s="1"/>
  <c r="Q438" i="13"/>
  <c r="M438" i="13"/>
  <c r="I438" i="13"/>
  <c r="E438" i="13"/>
  <c r="P437" i="13"/>
  <c r="P488" i="13" s="1"/>
  <c r="O437" i="13"/>
  <c r="N437" i="13"/>
  <c r="Q437" i="13" s="1"/>
  <c r="M437" i="13"/>
  <c r="L437" i="13"/>
  <c r="I437" i="13"/>
  <c r="E437" i="13"/>
  <c r="Q436" i="13"/>
  <c r="M436" i="13"/>
  <c r="I436" i="13"/>
  <c r="E436" i="13"/>
  <c r="R436" i="13" s="1"/>
  <c r="Q435" i="13"/>
  <c r="M435" i="13"/>
  <c r="I435" i="13"/>
  <c r="D435" i="13"/>
  <c r="C435" i="13"/>
  <c r="E435" i="13" s="1"/>
  <c r="R435" i="13" s="1"/>
  <c r="R434" i="13"/>
  <c r="Q434" i="13"/>
  <c r="M434" i="13"/>
  <c r="I434" i="13"/>
  <c r="E434" i="13"/>
  <c r="Q433" i="13"/>
  <c r="M433" i="13"/>
  <c r="I433" i="13"/>
  <c r="E433" i="13"/>
  <c r="R433" i="13" s="1"/>
  <c r="Q432" i="13"/>
  <c r="M432" i="13"/>
  <c r="I432" i="13"/>
  <c r="E432" i="13"/>
  <c r="R432" i="13" s="1"/>
  <c r="R431" i="13"/>
  <c r="Q431" i="13"/>
  <c r="M431" i="13"/>
  <c r="I431" i="13"/>
  <c r="E431" i="13"/>
  <c r="Q430" i="13"/>
  <c r="M430" i="13"/>
  <c r="I430" i="13"/>
  <c r="E430" i="13"/>
  <c r="Q429" i="13"/>
  <c r="M429" i="13"/>
  <c r="I429" i="13"/>
  <c r="E429" i="13"/>
  <c r="R429" i="13" s="1"/>
  <c r="Q428" i="13"/>
  <c r="M428" i="13"/>
  <c r="I428" i="13"/>
  <c r="E428" i="13"/>
  <c r="Q427" i="13"/>
  <c r="M427" i="13"/>
  <c r="I427" i="13"/>
  <c r="E427" i="13"/>
  <c r="R427" i="13" s="1"/>
  <c r="R426" i="13"/>
  <c r="Q426" i="13"/>
  <c r="M426" i="13"/>
  <c r="I426" i="13"/>
  <c r="E426" i="13"/>
  <c r="Q425" i="13"/>
  <c r="M425" i="13"/>
  <c r="I425" i="13"/>
  <c r="E425" i="13"/>
  <c r="R425" i="13" s="1"/>
  <c r="Q424" i="13"/>
  <c r="M424" i="13"/>
  <c r="I424" i="13"/>
  <c r="E424" i="13"/>
  <c r="R424" i="13" s="1"/>
  <c r="R423" i="13"/>
  <c r="Q423" i="13"/>
  <c r="M423" i="13"/>
  <c r="I423" i="13"/>
  <c r="E423" i="13"/>
  <c r="Q422" i="13"/>
  <c r="M422" i="13"/>
  <c r="I422" i="13"/>
  <c r="E422" i="13"/>
  <c r="R422" i="13" s="1"/>
  <c r="P420" i="13"/>
  <c r="P908" i="13" s="1"/>
  <c r="O420" i="13"/>
  <c r="N420" i="13"/>
  <c r="N908" i="13" s="1"/>
  <c r="L420" i="13"/>
  <c r="L908" i="13" s="1"/>
  <c r="K420" i="13"/>
  <c r="J420" i="13"/>
  <c r="J908" i="13" s="1"/>
  <c r="G420" i="13"/>
  <c r="F420" i="13"/>
  <c r="F908" i="13" s="1"/>
  <c r="D420" i="13"/>
  <c r="D908" i="13" s="1"/>
  <c r="C420" i="13"/>
  <c r="R419" i="13"/>
  <c r="Q419" i="13"/>
  <c r="M419" i="13"/>
  <c r="I419" i="13"/>
  <c r="E419" i="13"/>
  <c r="Q418" i="13"/>
  <c r="M418" i="13"/>
  <c r="I418" i="13"/>
  <c r="E418" i="13"/>
  <c r="Q417" i="13"/>
  <c r="M417" i="13"/>
  <c r="I417" i="13"/>
  <c r="E417" i="13"/>
  <c r="R417" i="13" s="1"/>
  <c r="Q414" i="13"/>
  <c r="P414" i="13"/>
  <c r="O414" i="13"/>
  <c r="N414" i="13"/>
  <c r="L414" i="13"/>
  <c r="K414" i="13"/>
  <c r="J414" i="13"/>
  <c r="M414" i="13" s="1"/>
  <c r="I414" i="13"/>
  <c r="H414" i="13"/>
  <c r="G414" i="13"/>
  <c r="F414" i="13"/>
  <c r="D414" i="13"/>
  <c r="C414" i="13"/>
  <c r="B414" i="13"/>
  <c r="E414" i="13" s="1"/>
  <c r="R414" i="13" s="1"/>
  <c r="R412" i="13"/>
  <c r="Q412" i="13"/>
  <c r="M412" i="13"/>
  <c r="I412" i="13"/>
  <c r="E412" i="13"/>
  <c r="Q411" i="13"/>
  <c r="M411" i="13"/>
  <c r="I411" i="13"/>
  <c r="E411" i="13"/>
  <c r="Q410" i="13"/>
  <c r="M410" i="13"/>
  <c r="I410" i="13"/>
  <c r="E410" i="13"/>
  <c r="R410" i="13" s="1"/>
  <c r="R409" i="13"/>
  <c r="Q409" i="13"/>
  <c r="M409" i="13"/>
  <c r="I409" i="13"/>
  <c r="E409" i="13"/>
  <c r="AK408" i="13"/>
  <c r="AJ408" i="13"/>
  <c r="AI408" i="13"/>
  <c r="AH408" i="13"/>
  <c r="AG408" i="13"/>
  <c r="AF408" i="13"/>
  <c r="AE408" i="13"/>
  <c r="AB408" i="13"/>
  <c r="Z408" i="13"/>
  <c r="Y408" i="13"/>
  <c r="X408" i="13"/>
  <c r="W408" i="13"/>
  <c r="Q408" i="13"/>
  <c r="M408" i="13"/>
  <c r="I408" i="13"/>
  <c r="E408" i="13"/>
  <c r="AK407" i="13"/>
  <c r="AJ407" i="13"/>
  <c r="AL407" i="13" s="1"/>
  <c r="AI407" i="13"/>
  <c r="AH407" i="13"/>
  <c r="AG407" i="13"/>
  <c r="AF407" i="13"/>
  <c r="AE407" i="13"/>
  <c r="AC407" i="13"/>
  <c r="AB407" i="13"/>
  <c r="Z407" i="13"/>
  <c r="Y407" i="13"/>
  <c r="X407" i="13"/>
  <c r="W407" i="13"/>
  <c r="Q407" i="13"/>
  <c r="M407" i="13"/>
  <c r="I407" i="13"/>
  <c r="E407" i="13"/>
  <c r="R407" i="13" s="1"/>
  <c r="AL406" i="13"/>
  <c r="AK406" i="13"/>
  <c r="AJ406" i="13"/>
  <c r="AI406" i="13"/>
  <c r="AG406" i="13"/>
  <c r="AF406" i="13"/>
  <c r="AE406" i="13"/>
  <c r="AH406" i="13" s="1"/>
  <c r="Y406" i="13"/>
  <c r="X406" i="13"/>
  <c r="W406" i="13"/>
  <c r="Z406" i="13" s="1"/>
  <c r="Q406" i="13"/>
  <c r="M406" i="13"/>
  <c r="I406" i="13"/>
  <c r="E406" i="13"/>
  <c r="R406" i="13" s="1"/>
  <c r="AL405" i="13"/>
  <c r="AL408" i="13" s="1"/>
  <c r="AH405" i="13"/>
  <c r="AD405" i="13"/>
  <c r="AC405" i="13"/>
  <c r="AC406" i="13" s="1"/>
  <c r="AB405" i="13"/>
  <c r="AB406" i="13" s="1"/>
  <c r="AA405" i="13"/>
  <c r="AA408" i="13" s="1"/>
  <c r="Z405" i="13"/>
  <c r="AM405" i="13" s="1"/>
  <c r="Q405" i="13"/>
  <c r="M405" i="13"/>
  <c r="I405" i="13"/>
  <c r="R405" i="13" s="1"/>
  <c r="E405" i="13"/>
  <c r="Q404" i="13"/>
  <c r="M404" i="13"/>
  <c r="I404" i="13"/>
  <c r="E404" i="13"/>
  <c r="R404" i="13" s="1"/>
  <c r="W403" i="13"/>
  <c r="L400" i="13"/>
  <c r="D400" i="13"/>
  <c r="D515" i="13" s="1"/>
  <c r="D520" i="13" s="1"/>
  <c r="C400" i="13"/>
  <c r="Q398" i="13"/>
  <c r="M398" i="13"/>
  <c r="I398" i="13"/>
  <c r="E398" i="13"/>
  <c r="R398" i="13" s="1"/>
  <c r="R397" i="13"/>
  <c r="Q397" i="13"/>
  <c r="M397" i="13"/>
  <c r="I397" i="13"/>
  <c r="E397" i="13"/>
  <c r="Q396" i="13"/>
  <c r="M396" i="13"/>
  <c r="I396" i="13"/>
  <c r="E396" i="13"/>
  <c r="Q395" i="13"/>
  <c r="M395" i="13"/>
  <c r="I395" i="13"/>
  <c r="E395" i="13"/>
  <c r="R395" i="13" s="1"/>
  <c r="Q393" i="13"/>
  <c r="M393" i="13"/>
  <c r="I393" i="13"/>
  <c r="R393" i="13" s="1"/>
  <c r="E393" i="13"/>
  <c r="Q392" i="13"/>
  <c r="M392" i="13"/>
  <c r="I392" i="13"/>
  <c r="E392" i="13"/>
  <c r="R392" i="13" s="1"/>
  <c r="R391" i="13"/>
  <c r="Q391" i="13"/>
  <c r="M391" i="13"/>
  <c r="I391" i="13"/>
  <c r="E391" i="13"/>
  <c r="Q390" i="13"/>
  <c r="M390" i="13"/>
  <c r="I390" i="13"/>
  <c r="E390" i="13"/>
  <c r="Q389" i="13"/>
  <c r="M389" i="13"/>
  <c r="I389" i="13"/>
  <c r="E389" i="13"/>
  <c r="R389" i="13" s="1"/>
  <c r="R388" i="13"/>
  <c r="Q388" i="13"/>
  <c r="M388" i="13"/>
  <c r="I388" i="13"/>
  <c r="E388" i="13"/>
  <c r="Q387" i="13"/>
  <c r="M387" i="13"/>
  <c r="I387" i="13"/>
  <c r="E387" i="13"/>
  <c r="R387" i="13" s="1"/>
  <c r="R386" i="13"/>
  <c r="Q386" i="13"/>
  <c r="M386" i="13"/>
  <c r="I386" i="13"/>
  <c r="E386" i="13"/>
  <c r="Q385" i="13"/>
  <c r="M385" i="13"/>
  <c r="I385" i="13"/>
  <c r="R385" i="13" s="1"/>
  <c r="E385" i="13"/>
  <c r="Q384" i="13"/>
  <c r="M384" i="13"/>
  <c r="I384" i="13"/>
  <c r="E384" i="13"/>
  <c r="R384" i="13" s="1"/>
  <c r="R383" i="13"/>
  <c r="Q383" i="13"/>
  <c r="M383" i="13"/>
  <c r="I383" i="13"/>
  <c r="E383" i="13"/>
  <c r="Q381" i="13"/>
  <c r="M381" i="13"/>
  <c r="I381" i="13"/>
  <c r="E381" i="13"/>
  <c r="Q380" i="13"/>
  <c r="M380" i="13"/>
  <c r="I380" i="13"/>
  <c r="E380" i="13"/>
  <c r="R380" i="13" s="1"/>
  <c r="R379" i="13"/>
  <c r="Q379" i="13"/>
  <c r="M379" i="13"/>
  <c r="I379" i="13"/>
  <c r="E379" i="13"/>
  <c r="Q378" i="13"/>
  <c r="M378" i="13"/>
  <c r="I378" i="13"/>
  <c r="E378" i="13"/>
  <c r="Q377" i="13"/>
  <c r="M377" i="13"/>
  <c r="I377" i="13"/>
  <c r="E377" i="13"/>
  <c r="R377" i="13" s="1"/>
  <c r="R376" i="13"/>
  <c r="Q376" i="13"/>
  <c r="M376" i="13"/>
  <c r="G376" i="13"/>
  <c r="I376" i="13" s="1"/>
  <c r="E376" i="13"/>
  <c r="Q375" i="13"/>
  <c r="M375" i="13"/>
  <c r="I375" i="13"/>
  <c r="E375" i="13"/>
  <c r="R375" i="13" s="1"/>
  <c r="Q374" i="13"/>
  <c r="M374" i="13"/>
  <c r="I374" i="13"/>
  <c r="E374" i="13"/>
  <c r="R374" i="13" s="1"/>
  <c r="Q373" i="13"/>
  <c r="M373" i="13"/>
  <c r="H373" i="13"/>
  <c r="I373" i="13" s="1"/>
  <c r="R373" i="13" s="1"/>
  <c r="E373" i="13"/>
  <c r="Q372" i="13"/>
  <c r="M372" i="13"/>
  <c r="I372" i="13"/>
  <c r="E372" i="13"/>
  <c r="R372" i="13" s="1"/>
  <c r="P371" i="13"/>
  <c r="O371" i="13"/>
  <c r="Q371" i="13" s="1"/>
  <c r="N371" i="13"/>
  <c r="M371" i="13"/>
  <c r="I371" i="13"/>
  <c r="E371" i="13"/>
  <c r="D371" i="13"/>
  <c r="C371" i="13"/>
  <c r="Q370" i="13"/>
  <c r="M370" i="13"/>
  <c r="I370" i="13"/>
  <c r="E370" i="13"/>
  <c r="R369" i="13"/>
  <c r="Q369" i="13"/>
  <c r="M369" i="13"/>
  <c r="I369" i="13"/>
  <c r="E369" i="13"/>
  <c r="Q368" i="13"/>
  <c r="M368" i="13"/>
  <c r="I368" i="13"/>
  <c r="R368" i="13" s="1"/>
  <c r="E368" i="13"/>
  <c r="Q367" i="13"/>
  <c r="M367" i="13"/>
  <c r="I367" i="13"/>
  <c r="E367" i="13"/>
  <c r="R367" i="13" s="1"/>
  <c r="R366" i="13"/>
  <c r="Q366" i="13"/>
  <c r="M366" i="13"/>
  <c r="I366" i="13"/>
  <c r="E366" i="13"/>
  <c r="Q365" i="13"/>
  <c r="M365" i="13"/>
  <c r="I365" i="13"/>
  <c r="E365" i="13"/>
  <c r="Q364" i="13"/>
  <c r="M364" i="13"/>
  <c r="I364" i="13"/>
  <c r="E364" i="13"/>
  <c r="R364" i="13" s="1"/>
  <c r="R363" i="13"/>
  <c r="Q363" i="13"/>
  <c r="M363" i="13"/>
  <c r="I363" i="13"/>
  <c r="E363" i="13"/>
  <c r="Q362" i="13"/>
  <c r="M362" i="13"/>
  <c r="I362" i="13"/>
  <c r="E362" i="13"/>
  <c r="R362" i="13" s="1"/>
  <c r="R361" i="13"/>
  <c r="Q361" i="13"/>
  <c r="M361" i="13"/>
  <c r="I361" i="13"/>
  <c r="E361" i="13"/>
  <c r="Q360" i="13"/>
  <c r="M360" i="13"/>
  <c r="I360" i="13"/>
  <c r="E360" i="13"/>
  <c r="Q359" i="13"/>
  <c r="M359" i="13"/>
  <c r="I359" i="13"/>
  <c r="E359" i="13"/>
  <c r="R359" i="13" s="1"/>
  <c r="R358" i="13"/>
  <c r="Q358" i="13"/>
  <c r="M358" i="13"/>
  <c r="I358" i="13"/>
  <c r="E358" i="13"/>
  <c r="Q357" i="13"/>
  <c r="M357" i="13"/>
  <c r="I357" i="13"/>
  <c r="E357" i="13"/>
  <c r="R357" i="13" s="1"/>
  <c r="Q356" i="13"/>
  <c r="M356" i="13"/>
  <c r="I356" i="13"/>
  <c r="E356" i="13"/>
  <c r="R356" i="13" s="1"/>
  <c r="R355" i="13"/>
  <c r="Q355" i="13"/>
  <c r="M355" i="13"/>
  <c r="I355" i="13"/>
  <c r="E355" i="13"/>
  <c r="P354" i="13"/>
  <c r="O354" i="13"/>
  <c r="N354" i="13"/>
  <c r="M354" i="13"/>
  <c r="L354" i="13"/>
  <c r="K354" i="13"/>
  <c r="J354" i="13"/>
  <c r="J400" i="13" s="1"/>
  <c r="M400" i="13" s="1"/>
  <c r="H354" i="13"/>
  <c r="H400" i="13" s="1"/>
  <c r="G354" i="13"/>
  <c r="G400" i="13" s="1"/>
  <c r="F354" i="13"/>
  <c r="F400" i="13" s="1"/>
  <c r="E354" i="13"/>
  <c r="D354" i="13"/>
  <c r="C354" i="13"/>
  <c r="B354" i="13"/>
  <c r="B400" i="13" s="1"/>
  <c r="Q353" i="13"/>
  <c r="M353" i="13"/>
  <c r="I353" i="13"/>
  <c r="E353" i="13"/>
  <c r="R353" i="13" s="1"/>
  <c r="Q352" i="13"/>
  <c r="M352" i="13"/>
  <c r="I352" i="13"/>
  <c r="E352" i="13"/>
  <c r="R352" i="13" s="1"/>
  <c r="R351" i="13"/>
  <c r="Q351" i="13"/>
  <c r="M351" i="13"/>
  <c r="I351" i="13"/>
  <c r="E351" i="13"/>
  <c r="Q350" i="13"/>
  <c r="M350" i="13"/>
  <c r="I350" i="13"/>
  <c r="E350" i="13"/>
  <c r="R350" i="13" s="1"/>
  <c r="R349" i="13"/>
  <c r="Q349" i="13"/>
  <c r="M349" i="13"/>
  <c r="I349" i="13"/>
  <c r="E349" i="13"/>
  <c r="Q348" i="13"/>
  <c r="M348" i="13"/>
  <c r="I348" i="13"/>
  <c r="E348" i="13"/>
  <c r="Q347" i="13"/>
  <c r="M347" i="13"/>
  <c r="I347" i="13"/>
  <c r="E347" i="13"/>
  <c r="R347" i="13" s="1"/>
  <c r="R346" i="13"/>
  <c r="Q346" i="13"/>
  <c r="M346" i="13"/>
  <c r="I346" i="13"/>
  <c r="E346" i="13"/>
  <c r="P345" i="13"/>
  <c r="P400" i="13" s="1"/>
  <c r="P515" i="13" s="1"/>
  <c r="P520" i="13" s="1"/>
  <c r="O345" i="13"/>
  <c r="N345" i="13"/>
  <c r="N400" i="13" s="1"/>
  <c r="L345" i="13"/>
  <c r="K345" i="13"/>
  <c r="K400" i="13" s="1"/>
  <c r="I345" i="13"/>
  <c r="E345" i="13"/>
  <c r="P337" i="13"/>
  <c r="O337" i="13"/>
  <c r="N337" i="13"/>
  <c r="M337" i="13"/>
  <c r="L337" i="13"/>
  <c r="K337" i="13"/>
  <c r="J337" i="13"/>
  <c r="H337" i="13"/>
  <c r="G337" i="13"/>
  <c r="F337" i="13"/>
  <c r="I337" i="13" s="1"/>
  <c r="E337" i="13"/>
  <c r="D337" i="13"/>
  <c r="C337" i="13"/>
  <c r="B337" i="13"/>
  <c r="Q335" i="13"/>
  <c r="M335" i="13"/>
  <c r="I335" i="13"/>
  <c r="E335" i="13"/>
  <c r="R335" i="13" s="1"/>
  <c r="R337" i="13" s="1"/>
  <c r="R331" i="13"/>
  <c r="Q331" i="13"/>
  <c r="M331" i="13"/>
  <c r="I331" i="13"/>
  <c r="E331" i="13"/>
  <c r="R323" i="13"/>
  <c r="Q323" i="13"/>
  <c r="M323" i="13"/>
  <c r="I323" i="13"/>
  <c r="E323" i="13"/>
  <c r="Q322" i="13"/>
  <c r="M322" i="13"/>
  <c r="I322" i="13"/>
  <c r="E322" i="13"/>
  <c r="R322" i="13" s="1"/>
  <c r="Q321" i="13"/>
  <c r="M321" i="13"/>
  <c r="I321" i="13"/>
  <c r="R321" i="13" s="1"/>
  <c r="E321" i="13"/>
  <c r="R320" i="13"/>
  <c r="Q320" i="13"/>
  <c r="M320" i="13"/>
  <c r="I320" i="13"/>
  <c r="E320" i="13"/>
  <c r="Q319" i="13"/>
  <c r="M319" i="13"/>
  <c r="I319" i="13"/>
  <c r="E319" i="13"/>
  <c r="R319" i="13" s="1"/>
  <c r="R318" i="13"/>
  <c r="Q318" i="13"/>
  <c r="M318" i="13"/>
  <c r="I318" i="13"/>
  <c r="E318" i="13"/>
  <c r="R316" i="13"/>
  <c r="Q316" i="13"/>
  <c r="P316" i="13"/>
  <c r="O316" i="13"/>
  <c r="N316" i="13"/>
  <c r="L316" i="13"/>
  <c r="K316" i="13"/>
  <c r="J316" i="13"/>
  <c r="M316" i="13" s="1"/>
  <c r="I316" i="13"/>
  <c r="H316" i="13"/>
  <c r="G316" i="13"/>
  <c r="F316" i="13"/>
  <c r="D316" i="13"/>
  <c r="C316" i="13"/>
  <c r="B316" i="13"/>
  <c r="E316" i="13" s="1"/>
  <c r="Q315" i="13"/>
  <c r="P315" i="13"/>
  <c r="O315" i="13"/>
  <c r="N315" i="13"/>
  <c r="L315" i="13"/>
  <c r="K315" i="13"/>
  <c r="J315" i="13"/>
  <c r="M315" i="13" s="1"/>
  <c r="I315" i="13"/>
  <c r="H315" i="13"/>
  <c r="G315" i="13"/>
  <c r="F315" i="13"/>
  <c r="D315" i="13"/>
  <c r="C315" i="13"/>
  <c r="B315" i="13"/>
  <c r="Q314" i="13"/>
  <c r="M314" i="13"/>
  <c r="I314" i="13"/>
  <c r="E314" i="13"/>
  <c r="R314" i="13" s="1"/>
  <c r="Q312" i="13"/>
  <c r="M312" i="13"/>
  <c r="I312" i="13"/>
  <c r="E312" i="13"/>
  <c r="R312" i="13" s="1"/>
  <c r="Q310" i="13"/>
  <c r="M310" i="13"/>
  <c r="I310" i="13"/>
  <c r="E310" i="13"/>
  <c r="R310" i="13" s="1"/>
  <c r="R309" i="13"/>
  <c r="Q309" i="13"/>
  <c r="M309" i="13"/>
  <c r="I309" i="13"/>
  <c r="E309" i="13"/>
  <c r="Q308" i="13"/>
  <c r="M308" i="13"/>
  <c r="I308" i="13"/>
  <c r="E308" i="13"/>
  <c r="Q307" i="13"/>
  <c r="M307" i="13"/>
  <c r="I307" i="13"/>
  <c r="E307" i="13"/>
  <c r="R307" i="13" s="1"/>
  <c r="R306" i="13"/>
  <c r="Q306" i="13"/>
  <c r="M306" i="13"/>
  <c r="I306" i="13"/>
  <c r="E306" i="13"/>
  <c r="Q305" i="13"/>
  <c r="M305" i="13"/>
  <c r="I305" i="13"/>
  <c r="E305" i="13"/>
  <c r="Q304" i="13"/>
  <c r="M304" i="13"/>
  <c r="I304" i="13"/>
  <c r="E304" i="13"/>
  <c r="R304" i="13" s="1"/>
  <c r="R303" i="13"/>
  <c r="Q303" i="13"/>
  <c r="M303" i="13"/>
  <c r="I303" i="13"/>
  <c r="E303" i="13"/>
  <c r="Q301" i="13"/>
  <c r="M301" i="13"/>
  <c r="I301" i="13"/>
  <c r="E301" i="13"/>
  <c r="R301" i="13" s="1"/>
  <c r="R300" i="13"/>
  <c r="Q300" i="13"/>
  <c r="M300" i="13"/>
  <c r="I300" i="13"/>
  <c r="E300" i="13"/>
  <c r="F297" i="13"/>
  <c r="D297" i="13"/>
  <c r="R296" i="13"/>
  <c r="Q296" i="13"/>
  <c r="M296" i="13"/>
  <c r="I296" i="13"/>
  <c r="E296" i="13"/>
  <c r="Q295" i="13"/>
  <c r="M295" i="13"/>
  <c r="I295" i="13"/>
  <c r="E295" i="13"/>
  <c r="R295" i="13" s="1"/>
  <c r="R294" i="13"/>
  <c r="Q294" i="13"/>
  <c r="M294" i="13"/>
  <c r="I294" i="13"/>
  <c r="E294" i="13"/>
  <c r="Q293" i="13"/>
  <c r="M293" i="13"/>
  <c r="I293" i="13"/>
  <c r="E293" i="13"/>
  <c r="Q292" i="13"/>
  <c r="M292" i="13"/>
  <c r="I292" i="13"/>
  <c r="E292" i="13"/>
  <c r="R292" i="13" s="1"/>
  <c r="Q291" i="13"/>
  <c r="R291" i="13" s="1"/>
  <c r="M291" i="13"/>
  <c r="I291" i="13"/>
  <c r="E291" i="13"/>
  <c r="Q290" i="13"/>
  <c r="M290" i="13"/>
  <c r="I290" i="13"/>
  <c r="E290" i="13"/>
  <c r="Q289" i="13"/>
  <c r="M289" i="13"/>
  <c r="I289" i="13"/>
  <c r="E289" i="13"/>
  <c r="R289" i="13" s="1"/>
  <c r="R288" i="13"/>
  <c r="Q288" i="13"/>
  <c r="M288" i="13"/>
  <c r="I288" i="13"/>
  <c r="E288" i="13"/>
  <c r="Q287" i="13"/>
  <c r="M287" i="13"/>
  <c r="I287" i="13"/>
  <c r="E287" i="13"/>
  <c r="R287" i="13" s="1"/>
  <c r="R286" i="13"/>
  <c r="Q286" i="13"/>
  <c r="M286" i="13"/>
  <c r="I286" i="13"/>
  <c r="E286" i="13"/>
  <c r="Q285" i="13"/>
  <c r="M285" i="13"/>
  <c r="I285" i="13"/>
  <c r="E285" i="13"/>
  <c r="Q284" i="13"/>
  <c r="M284" i="13"/>
  <c r="I284" i="13"/>
  <c r="E284" i="13"/>
  <c r="R284" i="13" s="1"/>
  <c r="Q283" i="13"/>
  <c r="R283" i="13" s="1"/>
  <c r="M283" i="13"/>
  <c r="I283" i="13"/>
  <c r="E283" i="13"/>
  <c r="Q282" i="13"/>
  <c r="M282" i="13"/>
  <c r="I282" i="13"/>
  <c r="E282" i="13"/>
  <c r="R282" i="13" s="1"/>
  <c r="Q281" i="13"/>
  <c r="M281" i="13"/>
  <c r="I281" i="13"/>
  <c r="E281" i="13"/>
  <c r="R281" i="13" s="1"/>
  <c r="R280" i="13"/>
  <c r="Q280" i="13"/>
  <c r="M280" i="13"/>
  <c r="I280" i="13"/>
  <c r="E280" i="13"/>
  <c r="Q279" i="13"/>
  <c r="M279" i="13"/>
  <c r="I279" i="13"/>
  <c r="E279" i="13"/>
  <c r="R278" i="13"/>
  <c r="Q278" i="13"/>
  <c r="M278" i="13"/>
  <c r="I278" i="13"/>
  <c r="E278" i="13"/>
  <c r="Q277" i="13"/>
  <c r="M277" i="13"/>
  <c r="I277" i="13"/>
  <c r="E277" i="13"/>
  <c r="Q276" i="13"/>
  <c r="M276" i="13"/>
  <c r="I276" i="13"/>
  <c r="E276" i="13"/>
  <c r="R276" i="13" s="1"/>
  <c r="Q275" i="13"/>
  <c r="K275" i="13"/>
  <c r="M275" i="13" s="1"/>
  <c r="G275" i="13"/>
  <c r="E275" i="13"/>
  <c r="R274" i="13"/>
  <c r="Q274" i="13"/>
  <c r="M274" i="13"/>
  <c r="I274" i="13"/>
  <c r="E274" i="13"/>
  <c r="Q273" i="13"/>
  <c r="M273" i="13"/>
  <c r="I273" i="13"/>
  <c r="E273" i="13"/>
  <c r="R273" i="13" s="1"/>
  <c r="R272" i="13"/>
  <c r="Q272" i="13"/>
  <c r="M272" i="13"/>
  <c r="I272" i="13"/>
  <c r="E272" i="13"/>
  <c r="Q271" i="13"/>
  <c r="M271" i="13"/>
  <c r="I271" i="13"/>
  <c r="E271" i="13"/>
  <c r="R271" i="13" s="1"/>
  <c r="Q270" i="13"/>
  <c r="M270" i="13"/>
  <c r="I270" i="13"/>
  <c r="E270" i="13"/>
  <c r="R270" i="13" s="1"/>
  <c r="Q269" i="13"/>
  <c r="R269" i="13" s="1"/>
  <c r="M269" i="13"/>
  <c r="I269" i="13"/>
  <c r="E269" i="13"/>
  <c r="Q268" i="13"/>
  <c r="M268" i="13"/>
  <c r="I268" i="13"/>
  <c r="E268" i="13"/>
  <c r="R268" i="13" s="1"/>
  <c r="Q267" i="13"/>
  <c r="M267" i="13"/>
  <c r="I267" i="13"/>
  <c r="E267" i="13"/>
  <c r="R267" i="13" s="1"/>
  <c r="R266" i="13"/>
  <c r="Q266" i="13"/>
  <c r="M266" i="13"/>
  <c r="I266" i="13"/>
  <c r="E266" i="13"/>
  <c r="Q265" i="13"/>
  <c r="M265" i="13"/>
  <c r="I265" i="13"/>
  <c r="E265" i="13"/>
  <c r="R265" i="13" s="1"/>
  <c r="R264" i="13"/>
  <c r="Q264" i="13"/>
  <c r="M264" i="13"/>
  <c r="I264" i="13"/>
  <c r="E264" i="13"/>
  <c r="Q263" i="13"/>
  <c r="M263" i="13"/>
  <c r="I263" i="13"/>
  <c r="E263" i="13"/>
  <c r="Q262" i="13"/>
  <c r="M262" i="13"/>
  <c r="I262" i="13"/>
  <c r="E262" i="13"/>
  <c r="R262" i="13" s="1"/>
  <c r="Q261" i="13"/>
  <c r="R261" i="13" s="1"/>
  <c r="M261" i="13"/>
  <c r="I261" i="13"/>
  <c r="E261" i="13"/>
  <c r="Q260" i="13"/>
  <c r="M260" i="13"/>
  <c r="I260" i="13"/>
  <c r="E260" i="13"/>
  <c r="O259" i="13"/>
  <c r="N259" i="13"/>
  <c r="Q259" i="13" s="1"/>
  <c r="L259" i="13"/>
  <c r="M259" i="13" s="1"/>
  <c r="I259" i="13"/>
  <c r="E259" i="13"/>
  <c r="O258" i="13"/>
  <c r="Q258" i="13" s="1"/>
  <c r="M258" i="13"/>
  <c r="I258" i="13"/>
  <c r="E258" i="13"/>
  <c r="Q257" i="13"/>
  <c r="R257" i="13" s="1"/>
  <c r="M257" i="13"/>
  <c r="I257" i="13"/>
  <c r="E257" i="13"/>
  <c r="Q256" i="13"/>
  <c r="M256" i="13"/>
  <c r="I256" i="13"/>
  <c r="E256" i="13"/>
  <c r="R256" i="13" s="1"/>
  <c r="Q255" i="13"/>
  <c r="M255" i="13"/>
  <c r="I255" i="13"/>
  <c r="E255" i="13"/>
  <c r="R255" i="13" s="1"/>
  <c r="R254" i="13"/>
  <c r="Q254" i="13"/>
  <c r="M254" i="13"/>
  <c r="I254" i="13"/>
  <c r="E254" i="13"/>
  <c r="Q253" i="13"/>
  <c r="M253" i="13"/>
  <c r="I253" i="13"/>
  <c r="E253" i="13"/>
  <c r="R253" i="13" s="1"/>
  <c r="R252" i="13"/>
  <c r="Q252" i="13"/>
  <c r="M252" i="13"/>
  <c r="I252" i="13"/>
  <c r="E252" i="13"/>
  <c r="Q251" i="13"/>
  <c r="M251" i="13"/>
  <c r="I251" i="13"/>
  <c r="E251" i="13"/>
  <c r="Q250" i="13"/>
  <c r="M250" i="13"/>
  <c r="I250" i="13"/>
  <c r="E250" i="13"/>
  <c r="R250" i="13" s="1"/>
  <c r="Q249" i="13"/>
  <c r="R249" i="13" s="1"/>
  <c r="M249" i="13"/>
  <c r="I249" i="13"/>
  <c r="E249" i="13"/>
  <c r="Q248" i="13"/>
  <c r="M248" i="13"/>
  <c r="I248" i="13"/>
  <c r="E248" i="13"/>
  <c r="R248" i="13" s="1"/>
  <c r="Q247" i="13"/>
  <c r="M247" i="13"/>
  <c r="I247" i="13"/>
  <c r="E247" i="13"/>
  <c r="R247" i="13" s="1"/>
  <c r="P246" i="13"/>
  <c r="Q246" i="13" s="1"/>
  <c r="R246" i="13" s="1"/>
  <c r="M246" i="13"/>
  <c r="I246" i="13"/>
  <c r="E246" i="13"/>
  <c r="P245" i="13"/>
  <c r="Q245" i="13" s="1"/>
  <c r="M245" i="13"/>
  <c r="I245" i="13"/>
  <c r="E245" i="13"/>
  <c r="Q244" i="13"/>
  <c r="M244" i="13"/>
  <c r="I244" i="13"/>
  <c r="E244" i="13"/>
  <c r="R244" i="13" s="1"/>
  <c r="Q243" i="13"/>
  <c r="R243" i="13" s="1"/>
  <c r="M243" i="13"/>
  <c r="I243" i="13"/>
  <c r="E243" i="13"/>
  <c r="Q242" i="13"/>
  <c r="M242" i="13"/>
  <c r="I242" i="13"/>
  <c r="E242" i="13"/>
  <c r="Q241" i="13"/>
  <c r="M241" i="13"/>
  <c r="I241" i="13"/>
  <c r="E241" i="13"/>
  <c r="R241" i="13" s="1"/>
  <c r="Q240" i="13"/>
  <c r="M240" i="13"/>
  <c r="I240" i="13"/>
  <c r="C240" i="13"/>
  <c r="C297" i="13" s="1"/>
  <c r="B240" i="13"/>
  <c r="B909" i="13" s="1"/>
  <c r="Q239" i="13"/>
  <c r="M239" i="13"/>
  <c r="I239" i="13"/>
  <c r="R239" i="13" s="1"/>
  <c r="E239" i="13"/>
  <c r="Q238" i="13"/>
  <c r="M238" i="13"/>
  <c r="I238" i="13"/>
  <c r="E238" i="13"/>
  <c r="R238" i="13" s="1"/>
  <c r="Q237" i="13"/>
  <c r="R237" i="13" s="1"/>
  <c r="M237" i="13"/>
  <c r="I237" i="13"/>
  <c r="E237" i="13"/>
  <c r="Q236" i="13"/>
  <c r="M236" i="13"/>
  <c r="I236" i="13"/>
  <c r="E236" i="13"/>
  <c r="R236" i="13" s="1"/>
  <c r="Q235" i="13"/>
  <c r="M235" i="13"/>
  <c r="I235" i="13"/>
  <c r="E235" i="13"/>
  <c r="R235" i="13" s="1"/>
  <c r="R234" i="13"/>
  <c r="Q234" i="13"/>
  <c r="M234" i="13"/>
  <c r="I234" i="13"/>
  <c r="E234" i="13"/>
  <c r="Q233" i="13"/>
  <c r="M233" i="13"/>
  <c r="I233" i="13"/>
  <c r="E233" i="13"/>
  <c r="R233" i="13" s="1"/>
  <c r="R232" i="13"/>
  <c r="Q232" i="13"/>
  <c r="M232" i="13"/>
  <c r="I232" i="13"/>
  <c r="E232" i="13"/>
  <c r="Q231" i="13"/>
  <c r="P231" i="13"/>
  <c r="O231" i="13"/>
  <c r="O909" i="13" s="1"/>
  <c r="N231" i="13"/>
  <c r="L231" i="13"/>
  <c r="K231" i="13"/>
  <c r="K909" i="13" s="1"/>
  <c r="J231" i="13"/>
  <c r="I231" i="13"/>
  <c r="H231" i="13"/>
  <c r="H909" i="13" s="1"/>
  <c r="E231" i="13"/>
  <c r="Q230" i="13"/>
  <c r="M230" i="13"/>
  <c r="I230" i="13"/>
  <c r="E230" i="13"/>
  <c r="R230" i="13" s="1"/>
  <c r="R229" i="13"/>
  <c r="Q229" i="13"/>
  <c r="M229" i="13"/>
  <c r="I229" i="13"/>
  <c r="E229" i="13"/>
  <c r="Q228" i="13"/>
  <c r="M228" i="13"/>
  <c r="I228" i="13"/>
  <c r="E228" i="13"/>
  <c r="P224" i="13"/>
  <c r="O224" i="13"/>
  <c r="N224" i="13"/>
  <c r="Q224" i="13" s="1"/>
  <c r="L224" i="13"/>
  <c r="K224" i="13"/>
  <c r="J224" i="13"/>
  <c r="I224" i="13"/>
  <c r="D224" i="13"/>
  <c r="C224" i="13"/>
  <c r="E224" i="13" s="1"/>
  <c r="B224" i="13"/>
  <c r="R222" i="13"/>
  <c r="Q222" i="13"/>
  <c r="M222" i="13"/>
  <c r="I222" i="13"/>
  <c r="E222" i="13"/>
  <c r="Q221" i="13"/>
  <c r="M221" i="13"/>
  <c r="I221" i="13"/>
  <c r="E221" i="13"/>
  <c r="L217" i="13"/>
  <c r="K217" i="13"/>
  <c r="G217" i="13"/>
  <c r="D217" i="13"/>
  <c r="D317" i="13" s="1"/>
  <c r="D325" i="13" s="1"/>
  <c r="B217" i="13"/>
  <c r="Q215" i="13"/>
  <c r="M215" i="13"/>
  <c r="I215" i="13"/>
  <c r="E215" i="13"/>
  <c r="R215" i="13" s="1"/>
  <c r="R214" i="13"/>
  <c r="Q214" i="13"/>
  <c r="M214" i="13"/>
  <c r="I214" i="13"/>
  <c r="E214" i="13"/>
  <c r="Q213" i="13"/>
  <c r="M213" i="13"/>
  <c r="I213" i="13"/>
  <c r="E213" i="13"/>
  <c r="R211" i="13"/>
  <c r="Q211" i="13"/>
  <c r="M211" i="13"/>
  <c r="I211" i="13"/>
  <c r="E211" i="13"/>
  <c r="Q210" i="13"/>
  <c r="M210" i="13"/>
  <c r="I210" i="13"/>
  <c r="E210" i="13"/>
  <c r="Q209" i="13"/>
  <c r="M209" i="13"/>
  <c r="I209" i="13"/>
  <c r="E209" i="13"/>
  <c r="R209" i="13" s="1"/>
  <c r="R208" i="13"/>
  <c r="Q208" i="13"/>
  <c r="M208" i="13"/>
  <c r="I208" i="13"/>
  <c r="E208" i="13"/>
  <c r="Q207" i="13"/>
  <c r="M207" i="13"/>
  <c r="I207" i="13"/>
  <c r="E207" i="13"/>
  <c r="R207" i="13" s="1"/>
  <c r="Q206" i="13"/>
  <c r="M206" i="13"/>
  <c r="I206" i="13"/>
  <c r="E206" i="13"/>
  <c r="R206" i="13" s="1"/>
  <c r="R205" i="13"/>
  <c r="Q205" i="13"/>
  <c r="M205" i="13"/>
  <c r="I205" i="13"/>
  <c r="E205" i="13"/>
  <c r="Q204" i="13"/>
  <c r="M204" i="13"/>
  <c r="I204" i="13"/>
  <c r="E204" i="13"/>
  <c r="R203" i="13"/>
  <c r="Q203" i="13"/>
  <c r="M203" i="13"/>
  <c r="I203" i="13"/>
  <c r="E203" i="13"/>
  <c r="Q202" i="13"/>
  <c r="M202" i="13"/>
  <c r="I202" i="13"/>
  <c r="E202" i="13"/>
  <c r="Q200" i="13"/>
  <c r="M200" i="13"/>
  <c r="I200" i="13"/>
  <c r="E200" i="13"/>
  <c r="R200" i="13" s="1"/>
  <c r="R199" i="13"/>
  <c r="Q199" i="13"/>
  <c r="M199" i="13"/>
  <c r="I199" i="13"/>
  <c r="E199" i="13"/>
  <c r="Q198" i="13"/>
  <c r="M198" i="13"/>
  <c r="I198" i="13"/>
  <c r="E198" i="13"/>
  <c r="Q197" i="13"/>
  <c r="M197" i="13"/>
  <c r="I197" i="13"/>
  <c r="E197" i="13"/>
  <c r="R197" i="13" s="1"/>
  <c r="R196" i="13"/>
  <c r="Q196" i="13"/>
  <c r="M196" i="13"/>
  <c r="I196" i="13"/>
  <c r="E196" i="13"/>
  <c r="Q195" i="13"/>
  <c r="M195" i="13"/>
  <c r="I195" i="13"/>
  <c r="E195" i="13"/>
  <c r="R195" i="13" s="1"/>
  <c r="Q194" i="13"/>
  <c r="J194" i="13"/>
  <c r="J217" i="13" s="1"/>
  <c r="I194" i="13"/>
  <c r="E194" i="13"/>
  <c r="Q193" i="13"/>
  <c r="L193" i="13"/>
  <c r="M193" i="13" s="1"/>
  <c r="R193" i="13" s="1"/>
  <c r="I193" i="13"/>
  <c r="E193" i="13"/>
  <c r="Q192" i="13"/>
  <c r="M192" i="13"/>
  <c r="I192" i="13"/>
  <c r="E192" i="13"/>
  <c r="Q191" i="13"/>
  <c r="M191" i="13"/>
  <c r="I191" i="13"/>
  <c r="E191" i="13"/>
  <c r="R191" i="13" s="1"/>
  <c r="Q190" i="13"/>
  <c r="P190" i="13"/>
  <c r="O190" i="13"/>
  <c r="M190" i="13"/>
  <c r="I190" i="13"/>
  <c r="G190" i="13"/>
  <c r="E190" i="13"/>
  <c r="R190" i="13" s="1"/>
  <c r="D190" i="13"/>
  <c r="C190" i="13"/>
  <c r="C217" i="13" s="1"/>
  <c r="C317" i="13" s="1"/>
  <c r="C325" i="13" s="1"/>
  <c r="P189" i="13"/>
  <c r="O189" i="13"/>
  <c r="N189" i="13"/>
  <c r="M189" i="13"/>
  <c r="L189" i="13"/>
  <c r="K189" i="13"/>
  <c r="J189" i="13"/>
  <c r="H189" i="13"/>
  <c r="H895" i="13" s="1"/>
  <c r="H901" i="13" s="1"/>
  <c r="G189" i="13"/>
  <c r="F189" i="13"/>
  <c r="D189" i="13"/>
  <c r="D895" i="13" s="1"/>
  <c r="D901" i="13" s="1"/>
  <c r="C189" i="13"/>
  <c r="B189" i="13"/>
  <c r="Q188" i="13"/>
  <c r="M188" i="13"/>
  <c r="I188" i="13"/>
  <c r="E188" i="13"/>
  <c r="R187" i="13"/>
  <c r="Q187" i="13"/>
  <c r="M187" i="13"/>
  <c r="I187" i="13"/>
  <c r="E187" i="13"/>
  <c r="Q186" i="13"/>
  <c r="M186" i="13"/>
  <c r="I186" i="13"/>
  <c r="E186" i="13"/>
  <c r="Q185" i="13"/>
  <c r="M185" i="13"/>
  <c r="I185" i="13"/>
  <c r="E185" i="13"/>
  <c r="R185" i="13" s="1"/>
  <c r="Q184" i="13"/>
  <c r="R184" i="13" s="1"/>
  <c r="M184" i="13"/>
  <c r="I184" i="13"/>
  <c r="E184" i="13"/>
  <c r="Q183" i="13"/>
  <c r="M183" i="13"/>
  <c r="I183" i="13"/>
  <c r="E183" i="13"/>
  <c r="R183" i="13" s="1"/>
  <c r="Q182" i="13"/>
  <c r="M182" i="13"/>
  <c r="I182" i="13"/>
  <c r="R182" i="13" s="1"/>
  <c r="E182" i="13"/>
  <c r="O181" i="13"/>
  <c r="O217" i="13" s="1"/>
  <c r="N181" i="13"/>
  <c r="L181" i="13"/>
  <c r="I181" i="13"/>
  <c r="E181" i="13"/>
  <c r="R180" i="13"/>
  <c r="Q180" i="13"/>
  <c r="M180" i="13"/>
  <c r="I180" i="13"/>
  <c r="E180" i="13"/>
  <c r="Q179" i="13"/>
  <c r="M179" i="13"/>
  <c r="I179" i="13"/>
  <c r="E179" i="13"/>
  <c r="R178" i="13"/>
  <c r="Q178" i="13"/>
  <c r="M178" i="13"/>
  <c r="I178" i="13"/>
  <c r="E178" i="13"/>
  <c r="Q177" i="13"/>
  <c r="M177" i="13"/>
  <c r="I177" i="13"/>
  <c r="E177" i="13"/>
  <c r="Q176" i="13"/>
  <c r="M176" i="13"/>
  <c r="I176" i="13"/>
  <c r="E176" i="13"/>
  <c r="R176" i="13" s="1"/>
  <c r="Q175" i="13"/>
  <c r="R175" i="13" s="1"/>
  <c r="M175" i="13"/>
  <c r="I175" i="13"/>
  <c r="E175" i="13"/>
  <c r="Q174" i="13"/>
  <c r="M174" i="13"/>
  <c r="I174" i="13"/>
  <c r="E174" i="13"/>
  <c r="R174" i="13" s="1"/>
  <c r="Q173" i="13"/>
  <c r="M173" i="13"/>
  <c r="I173" i="13"/>
  <c r="R173" i="13" s="1"/>
  <c r="E173" i="13"/>
  <c r="R172" i="13"/>
  <c r="Q172" i="13"/>
  <c r="M172" i="13"/>
  <c r="I172" i="13"/>
  <c r="E172" i="13"/>
  <c r="Q171" i="13"/>
  <c r="M171" i="13"/>
  <c r="I171" i="13"/>
  <c r="E171" i="13"/>
  <c r="R171" i="13" s="1"/>
  <c r="R170" i="13"/>
  <c r="Q170" i="13"/>
  <c r="M170" i="13"/>
  <c r="I170" i="13"/>
  <c r="E170" i="13"/>
  <c r="Q169" i="13"/>
  <c r="M169" i="13"/>
  <c r="I169" i="13"/>
  <c r="E169" i="13"/>
  <c r="Q168" i="13"/>
  <c r="M168" i="13"/>
  <c r="I168" i="13"/>
  <c r="E168" i="13"/>
  <c r="R168" i="13" s="1"/>
  <c r="Q167" i="13"/>
  <c r="R167" i="13" s="1"/>
  <c r="M167" i="13"/>
  <c r="I167" i="13"/>
  <c r="E167" i="13"/>
  <c r="Q166" i="13"/>
  <c r="M166" i="13"/>
  <c r="I166" i="13"/>
  <c r="E166" i="13"/>
  <c r="R166" i="13" s="1"/>
  <c r="Q165" i="13"/>
  <c r="M165" i="13"/>
  <c r="I165" i="13"/>
  <c r="E165" i="13"/>
  <c r="R165" i="13" s="1"/>
  <c r="Q164" i="13"/>
  <c r="M164" i="13"/>
  <c r="R164" i="13" s="1"/>
  <c r="I164" i="13"/>
  <c r="E164" i="13"/>
  <c r="Q163" i="13"/>
  <c r="M163" i="13"/>
  <c r="I163" i="13"/>
  <c r="E163" i="13"/>
  <c r="R163" i="13" s="1"/>
  <c r="R162" i="13"/>
  <c r="Q162" i="13"/>
  <c r="M162" i="13"/>
  <c r="I162" i="13"/>
  <c r="E162" i="13"/>
  <c r="Q161" i="13"/>
  <c r="M161" i="13"/>
  <c r="I161" i="13"/>
  <c r="E161" i="13"/>
  <c r="Q160" i="13"/>
  <c r="M160" i="13"/>
  <c r="I160" i="13"/>
  <c r="E160" i="13"/>
  <c r="R160" i="13" s="1"/>
  <c r="Q159" i="13"/>
  <c r="R159" i="13" s="1"/>
  <c r="M159" i="13"/>
  <c r="I159" i="13"/>
  <c r="E159" i="13"/>
  <c r="P158" i="13"/>
  <c r="M158" i="13"/>
  <c r="I158" i="13"/>
  <c r="E158" i="13"/>
  <c r="Q157" i="13"/>
  <c r="M157" i="13"/>
  <c r="I157" i="13"/>
  <c r="E157" i="13"/>
  <c r="R157" i="13" s="1"/>
  <c r="Q156" i="13"/>
  <c r="R156" i="13" s="1"/>
  <c r="M156" i="13"/>
  <c r="I156" i="13"/>
  <c r="E156" i="13"/>
  <c r="Q155" i="13"/>
  <c r="M155" i="13"/>
  <c r="I155" i="13"/>
  <c r="E155" i="13"/>
  <c r="R155" i="13" s="1"/>
  <c r="Q154" i="13"/>
  <c r="M154" i="13"/>
  <c r="I154" i="13"/>
  <c r="E154" i="13"/>
  <c r="R154" i="13" s="1"/>
  <c r="R153" i="13"/>
  <c r="Q153" i="13"/>
  <c r="M153" i="13"/>
  <c r="I153" i="13"/>
  <c r="E153" i="13"/>
  <c r="Q152" i="13"/>
  <c r="M152" i="13"/>
  <c r="I152" i="13"/>
  <c r="E152" i="13"/>
  <c r="Q151" i="13"/>
  <c r="M151" i="13"/>
  <c r="I151" i="13"/>
  <c r="E151" i="13"/>
  <c r="R151" i="13" s="1"/>
  <c r="Q150" i="13"/>
  <c r="M150" i="13"/>
  <c r="I150" i="13"/>
  <c r="E150" i="13"/>
  <c r="Q149" i="13"/>
  <c r="M149" i="13"/>
  <c r="I149" i="13"/>
  <c r="E149" i="13"/>
  <c r="R149" i="13" s="1"/>
  <c r="Q148" i="13"/>
  <c r="R148" i="13" s="1"/>
  <c r="M148" i="13"/>
  <c r="I148" i="13"/>
  <c r="E148" i="13"/>
  <c r="Q147" i="13"/>
  <c r="M147" i="13"/>
  <c r="R147" i="13" s="1"/>
  <c r="I147" i="13"/>
  <c r="E147" i="13"/>
  <c r="Q146" i="13"/>
  <c r="M146" i="13"/>
  <c r="I146" i="13"/>
  <c r="E146" i="13"/>
  <c r="R146" i="13" s="1"/>
  <c r="Q145" i="13"/>
  <c r="M145" i="13"/>
  <c r="R145" i="13" s="1"/>
  <c r="I145" i="13"/>
  <c r="E145" i="13"/>
  <c r="F135" i="13"/>
  <c r="Q133" i="13"/>
  <c r="M133" i="13"/>
  <c r="I133" i="13"/>
  <c r="E133" i="13"/>
  <c r="F132" i="13"/>
  <c r="P131" i="13"/>
  <c r="O131" i="13"/>
  <c r="Q131" i="13" s="1"/>
  <c r="N131" i="13"/>
  <c r="M131" i="13"/>
  <c r="L131" i="13"/>
  <c r="K131" i="13"/>
  <c r="J131" i="13"/>
  <c r="H131" i="13"/>
  <c r="G131" i="13"/>
  <c r="I131" i="13" s="1"/>
  <c r="F131" i="13"/>
  <c r="E131" i="13"/>
  <c r="D131" i="13"/>
  <c r="C131" i="13"/>
  <c r="B131" i="13"/>
  <c r="P130" i="13"/>
  <c r="O130" i="13"/>
  <c r="N130" i="13"/>
  <c r="L130" i="13"/>
  <c r="K130" i="13"/>
  <c r="J130" i="13"/>
  <c r="M130" i="13" s="1"/>
  <c r="H130" i="13"/>
  <c r="G130" i="13"/>
  <c r="F130" i="13"/>
  <c r="D130" i="13"/>
  <c r="C130" i="13"/>
  <c r="B130" i="13"/>
  <c r="E130" i="13" s="1"/>
  <c r="Q129" i="13"/>
  <c r="M129" i="13"/>
  <c r="I129" i="13"/>
  <c r="E129" i="13"/>
  <c r="Q128" i="13"/>
  <c r="M128" i="13"/>
  <c r="I128" i="13"/>
  <c r="E128" i="13"/>
  <c r="R126" i="13"/>
  <c r="Q126" i="13"/>
  <c r="M126" i="13"/>
  <c r="I126" i="13"/>
  <c r="E126" i="13"/>
  <c r="R124" i="13"/>
  <c r="Q124" i="13"/>
  <c r="M124" i="13"/>
  <c r="I124" i="13"/>
  <c r="E124" i="13"/>
  <c r="Q123" i="13"/>
  <c r="M123" i="13"/>
  <c r="I123" i="13"/>
  <c r="E123" i="13"/>
  <c r="R123" i="13" s="1"/>
  <c r="Q121" i="13"/>
  <c r="M121" i="13"/>
  <c r="R121" i="13" s="1"/>
  <c r="I121" i="13"/>
  <c r="E121" i="13"/>
  <c r="Q120" i="13"/>
  <c r="M120" i="13"/>
  <c r="I120" i="13"/>
  <c r="E120" i="13"/>
  <c r="Q119" i="13"/>
  <c r="M119" i="13"/>
  <c r="I119" i="13"/>
  <c r="E119" i="13"/>
  <c r="R119" i="13" s="1"/>
  <c r="Q118" i="13"/>
  <c r="M118" i="13"/>
  <c r="I118" i="13"/>
  <c r="E118" i="13"/>
  <c r="Q117" i="13"/>
  <c r="M117" i="13"/>
  <c r="I117" i="13"/>
  <c r="E117" i="13"/>
  <c r="Q116" i="13"/>
  <c r="M116" i="13"/>
  <c r="I116" i="13"/>
  <c r="E116" i="13"/>
  <c r="R116" i="13" s="1"/>
  <c r="Q115" i="13"/>
  <c r="M115" i="13"/>
  <c r="I115" i="13"/>
  <c r="E115" i="13"/>
  <c r="R115" i="13" s="1"/>
  <c r="Q114" i="13"/>
  <c r="M114" i="13"/>
  <c r="I114" i="13"/>
  <c r="E114" i="13"/>
  <c r="Q111" i="13"/>
  <c r="P111" i="13"/>
  <c r="P132" i="13" s="1"/>
  <c r="P135" i="13" s="1"/>
  <c r="O111" i="13"/>
  <c r="N111" i="13"/>
  <c r="L111" i="13"/>
  <c r="M111" i="13" s="1"/>
  <c r="K111" i="13"/>
  <c r="J111" i="13"/>
  <c r="I111" i="13"/>
  <c r="H111" i="13"/>
  <c r="G111" i="13"/>
  <c r="F111" i="13"/>
  <c r="D111" i="13"/>
  <c r="E111" i="13" s="1"/>
  <c r="R111" i="13" s="1"/>
  <c r="C111" i="13"/>
  <c r="B111" i="13"/>
  <c r="Q110" i="13"/>
  <c r="M110" i="13"/>
  <c r="I110" i="13"/>
  <c r="E110" i="13"/>
  <c r="R110" i="13" s="1"/>
  <c r="R109" i="13"/>
  <c r="Q109" i="13"/>
  <c r="M109" i="13"/>
  <c r="I109" i="13"/>
  <c r="E109" i="13"/>
  <c r="Q108" i="13"/>
  <c r="M108" i="13"/>
  <c r="I108" i="13"/>
  <c r="R108" i="13" s="1"/>
  <c r="E108" i="13"/>
  <c r="Q107" i="13"/>
  <c r="M107" i="13"/>
  <c r="R107" i="13" s="1"/>
  <c r="I107" i="13"/>
  <c r="E107" i="13"/>
  <c r="Q106" i="13"/>
  <c r="M106" i="13"/>
  <c r="I106" i="13"/>
  <c r="E106" i="13"/>
  <c r="R106" i="13" s="1"/>
  <c r="Q105" i="13"/>
  <c r="M105" i="13"/>
  <c r="I105" i="13"/>
  <c r="E105" i="13"/>
  <c r="R105" i="13" s="1"/>
  <c r="Q104" i="13"/>
  <c r="M104" i="13"/>
  <c r="I104" i="13"/>
  <c r="E104" i="13"/>
  <c r="Q103" i="13"/>
  <c r="M103" i="13"/>
  <c r="I103" i="13"/>
  <c r="E103" i="13"/>
  <c r="R102" i="13"/>
  <c r="Q102" i="13"/>
  <c r="M102" i="13"/>
  <c r="I102" i="13"/>
  <c r="E102" i="13"/>
  <c r="P98" i="13"/>
  <c r="O98" i="13"/>
  <c r="N98" i="13"/>
  <c r="Q98" i="13" s="1"/>
  <c r="L98" i="13"/>
  <c r="K98" i="13"/>
  <c r="J98" i="13"/>
  <c r="M98" i="13" s="1"/>
  <c r="H98" i="13"/>
  <c r="H132" i="13" s="1"/>
  <c r="H135" i="13" s="1"/>
  <c r="G98" i="13"/>
  <c r="F98" i="13"/>
  <c r="D98" i="13"/>
  <c r="C98" i="13"/>
  <c r="B98" i="13"/>
  <c r="Q96" i="13"/>
  <c r="M96" i="13"/>
  <c r="I96" i="13"/>
  <c r="E96" i="13"/>
  <c r="R96" i="13" s="1"/>
  <c r="Q95" i="13"/>
  <c r="M95" i="13"/>
  <c r="I95" i="13"/>
  <c r="E95" i="13"/>
  <c r="Q91" i="13"/>
  <c r="P91" i="13"/>
  <c r="O91" i="13"/>
  <c r="O132" i="13" s="1"/>
  <c r="O135" i="13" s="1"/>
  <c r="N91" i="13"/>
  <c r="M91" i="13"/>
  <c r="L91" i="13"/>
  <c r="K91" i="13"/>
  <c r="J91" i="13"/>
  <c r="I91" i="13"/>
  <c r="H91" i="13"/>
  <c r="G91" i="13"/>
  <c r="F91" i="13"/>
  <c r="E91" i="13"/>
  <c r="R91" i="13" s="1"/>
  <c r="D91" i="13"/>
  <c r="C91" i="13"/>
  <c r="B91" i="13"/>
  <c r="B132" i="13" s="1"/>
  <c r="Q89" i="13"/>
  <c r="M89" i="13"/>
  <c r="I89" i="13"/>
  <c r="E89" i="13"/>
  <c r="R89" i="13" s="1"/>
  <c r="Q88" i="13"/>
  <c r="M88" i="13"/>
  <c r="I88" i="13"/>
  <c r="E88" i="13"/>
  <c r="Q86" i="13"/>
  <c r="M86" i="13"/>
  <c r="I86" i="13"/>
  <c r="E86" i="13"/>
  <c r="Q84" i="13"/>
  <c r="M84" i="13"/>
  <c r="I84" i="13"/>
  <c r="E84" i="13"/>
  <c r="R84" i="13" s="1"/>
  <c r="Q83" i="13"/>
  <c r="M83" i="13"/>
  <c r="I83" i="13"/>
  <c r="E83" i="13"/>
  <c r="Q82" i="13"/>
  <c r="M82" i="13"/>
  <c r="I82" i="13"/>
  <c r="E82" i="13"/>
  <c r="R82" i="13" s="1"/>
  <c r="Q81" i="13"/>
  <c r="M81" i="13"/>
  <c r="I81" i="13"/>
  <c r="E81" i="13"/>
  <c r="R81" i="13" s="1"/>
  <c r="Q80" i="13"/>
  <c r="M80" i="13"/>
  <c r="I80" i="13"/>
  <c r="E80" i="13"/>
  <c r="R80" i="13" s="1"/>
  <c r="Q79" i="13"/>
  <c r="M79" i="13"/>
  <c r="I79" i="13"/>
  <c r="E79" i="13"/>
  <c r="R79" i="13" s="1"/>
  <c r="Q78" i="13"/>
  <c r="R78" i="13" s="1"/>
  <c r="M78" i="13"/>
  <c r="I78" i="13"/>
  <c r="E78" i="13"/>
  <c r="Q77" i="13"/>
  <c r="M77" i="13"/>
  <c r="I77" i="13"/>
  <c r="E77" i="13"/>
  <c r="R77" i="13" s="1"/>
  <c r="Q76" i="13"/>
  <c r="M76" i="13"/>
  <c r="I76" i="13"/>
  <c r="E76" i="13"/>
  <c r="R76" i="13" s="1"/>
  <c r="Q75" i="13"/>
  <c r="M75" i="13"/>
  <c r="I75" i="13"/>
  <c r="E75" i="13"/>
  <c r="Q74" i="13"/>
  <c r="M74" i="13"/>
  <c r="I74" i="13"/>
  <c r="E74" i="13"/>
  <c r="Q62" i="13"/>
  <c r="M62" i="13"/>
  <c r="I62" i="13"/>
  <c r="E62" i="13"/>
  <c r="R62" i="13" s="1"/>
  <c r="Q60" i="13"/>
  <c r="P60" i="13"/>
  <c r="O60" i="13"/>
  <c r="N60" i="13"/>
  <c r="L60" i="13"/>
  <c r="K60" i="13"/>
  <c r="J60" i="13"/>
  <c r="M60" i="13" s="1"/>
  <c r="I60" i="13"/>
  <c r="H60" i="13"/>
  <c r="G60" i="13"/>
  <c r="F60" i="13"/>
  <c r="D60" i="13"/>
  <c r="C60" i="13"/>
  <c r="B60" i="13"/>
  <c r="E60" i="13" s="1"/>
  <c r="P59" i="13"/>
  <c r="O59" i="13"/>
  <c r="N59" i="13"/>
  <c r="Q59" i="13" s="1"/>
  <c r="L59" i="13"/>
  <c r="K59" i="13"/>
  <c r="J59" i="13"/>
  <c r="H59" i="13"/>
  <c r="G59" i="13"/>
  <c r="F59" i="13"/>
  <c r="D59" i="13"/>
  <c r="C59" i="13"/>
  <c r="B59" i="13"/>
  <c r="Q56" i="13"/>
  <c r="M56" i="13"/>
  <c r="I56" i="13"/>
  <c r="E56" i="13"/>
  <c r="R56" i="13" s="1"/>
  <c r="P52" i="13"/>
  <c r="Q52" i="13" s="1"/>
  <c r="O52" i="13"/>
  <c r="N52" i="13"/>
  <c r="L52" i="13"/>
  <c r="M52" i="13" s="1"/>
  <c r="K52" i="13"/>
  <c r="J52" i="13"/>
  <c r="H52" i="13"/>
  <c r="I52" i="13" s="1"/>
  <c r="G52" i="13"/>
  <c r="F52" i="13"/>
  <c r="D52" i="13"/>
  <c r="E52" i="13" s="1"/>
  <c r="C52" i="13"/>
  <c r="B52" i="13"/>
  <c r="Q48" i="13"/>
  <c r="P48" i="13"/>
  <c r="O48" i="13"/>
  <c r="N48" i="13"/>
  <c r="M48" i="13"/>
  <c r="L48" i="13"/>
  <c r="K48" i="13"/>
  <c r="J48" i="13"/>
  <c r="I48" i="13"/>
  <c r="H48" i="13"/>
  <c r="G48" i="13"/>
  <c r="F48" i="13"/>
  <c r="E48" i="13"/>
  <c r="R48" i="13" s="1"/>
  <c r="D48" i="13"/>
  <c r="C48" i="13"/>
  <c r="B48" i="13"/>
  <c r="P43" i="13"/>
  <c r="O43" i="13"/>
  <c r="O61" i="13" s="1"/>
  <c r="O64" i="13" s="1"/>
  <c r="N43" i="13"/>
  <c r="L43" i="13"/>
  <c r="L61" i="13" s="1"/>
  <c r="L64" i="13" s="1"/>
  <c r="K43" i="13"/>
  <c r="K61" i="13" s="1"/>
  <c r="K64" i="13" s="1"/>
  <c r="J43" i="13"/>
  <c r="H43" i="13"/>
  <c r="G43" i="13"/>
  <c r="G61" i="13" s="1"/>
  <c r="G64" i="13" s="1"/>
  <c r="F43" i="13"/>
  <c r="D43" i="13"/>
  <c r="D61" i="13" s="1"/>
  <c r="D64" i="13" s="1"/>
  <c r="C43" i="13"/>
  <c r="C61" i="13" s="1"/>
  <c r="C64" i="13" s="1"/>
  <c r="B43" i="13"/>
  <c r="B61" i="13" s="1"/>
  <c r="Q40" i="13"/>
  <c r="M40" i="13"/>
  <c r="I40" i="13"/>
  <c r="E40" i="13"/>
  <c r="R40" i="13" s="1"/>
  <c r="Q29" i="13"/>
  <c r="P29" i="13"/>
  <c r="O29" i="13"/>
  <c r="N29" i="13"/>
  <c r="L29" i="13"/>
  <c r="K29" i="13"/>
  <c r="J29" i="13"/>
  <c r="I29" i="13"/>
  <c r="H29" i="13"/>
  <c r="G29" i="13"/>
  <c r="F29" i="13"/>
  <c r="D29" i="13"/>
  <c r="C29" i="13"/>
  <c r="B29" i="13"/>
  <c r="Q27" i="13"/>
  <c r="M27" i="13"/>
  <c r="I27" i="13"/>
  <c r="E27" i="13"/>
  <c r="R27" i="13" s="1"/>
  <c r="M22" i="13"/>
  <c r="I22" i="13"/>
  <c r="E22" i="13"/>
  <c r="K20" i="13"/>
  <c r="H20" i="13"/>
  <c r="P18" i="13"/>
  <c r="O18" i="13"/>
  <c r="N18" i="13"/>
  <c r="L18" i="13"/>
  <c r="K18" i="13"/>
  <c r="J20" i="13" s="1"/>
  <c r="J18" i="13"/>
  <c r="H18" i="13"/>
  <c r="G20" i="13" s="1"/>
  <c r="G18" i="13"/>
  <c r="F18" i="13"/>
  <c r="D18" i="13"/>
  <c r="C18" i="13"/>
  <c r="B18" i="13"/>
  <c r="E18" i="13" s="1"/>
  <c r="P17" i="13"/>
  <c r="O17" i="13"/>
  <c r="Q17" i="13" s="1"/>
  <c r="N17" i="13"/>
  <c r="L17" i="13"/>
  <c r="K17" i="13"/>
  <c r="M17" i="13" s="1"/>
  <c r="J17" i="13"/>
  <c r="H17" i="13"/>
  <c r="G17" i="13"/>
  <c r="I17" i="13" s="1"/>
  <c r="F17" i="13"/>
  <c r="D17" i="13"/>
  <c r="C17" i="13"/>
  <c r="E17" i="13" s="1"/>
  <c r="B17" i="13"/>
  <c r="P16" i="13"/>
  <c r="Q16" i="13" s="1"/>
  <c r="O16" i="13"/>
  <c r="N16" i="13"/>
  <c r="L16" i="13"/>
  <c r="K16" i="13"/>
  <c r="J16" i="13"/>
  <c r="M16" i="13" s="1"/>
  <c r="H16" i="13"/>
  <c r="I16" i="13" s="1"/>
  <c r="G16" i="13"/>
  <c r="F16" i="13"/>
  <c r="D16" i="13"/>
  <c r="E16" i="13" s="1"/>
  <c r="C16" i="13"/>
  <c r="B16" i="13"/>
  <c r="Q15" i="13"/>
  <c r="P15" i="13"/>
  <c r="O15" i="13"/>
  <c r="N15" i="13"/>
  <c r="M15" i="13"/>
  <c r="L15" i="13"/>
  <c r="K15" i="13"/>
  <c r="J15" i="13"/>
  <c r="I15" i="13"/>
  <c r="H15" i="13"/>
  <c r="G15" i="13"/>
  <c r="F15" i="13"/>
  <c r="E15" i="13"/>
  <c r="R15" i="13" s="1"/>
  <c r="D15" i="13"/>
  <c r="C15" i="13"/>
  <c r="B15" i="13"/>
  <c r="P14" i="13"/>
  <c r="O14" i="13"/>
  <c r="N14" i="13"/>
  <c r="L14" i="13"/>
  <c r="K14" i="13"/>
  <c r="J14" i="13"/>
  <c r="H14" i="13"/>
  <c r="G14" i="13"/>
  <c r="F14" i="13"/>
  <c r="D14" i="13"/>
  <c r="C14" i="13"/>
  <c r="B14" i="13"/>
  <c r="P338" i="13"/>
  <c r="L30" i="13"/>
  <c r="J338" i="13"/>
  <c r="H791" i="13"/>
  <c r="F693" i="13"/>
  <c r="D30" i="13"/>
  <c r="C338" i="13"/>
  <c r="B693" i="13"/>
  <c r="R1" i="13"/>
  <c r="O1181" i="12"/>
  <c r="K1181" i="12"/>
  <c r="Q1178" i="12"/>
  <c r="M1178" i="12"/>
  <c r="G1178" i="12"/>
  <c r="I1178" i="12" s="1"/>
  <c r="F1178" i="12"/>
  <c r="E1178" i="12"/>
  <c r="C1178" i="12"/>
  <c r="Q1177" i="12"/>
  <c r="M1177" i="12"/>
  <c r="G1177" i="12"/>
  <c r="I1177" i="12" s="1"/>
  <c r="E1177" i="12"/>
  <c r="C1177" i="12"/>
  <c r="Q1176" i="12"/>
  <c r="R1178" i="12" s="1"/>
  <c r="M1176" i="12"/>
  <c r="N1178" i="12" s="1"/>
  <c r="G1176" i="12"/>
  <c r="I1176" i="12" s="1"/>
  <c r="J1178" i="12" s="1"/>
  <c r="E1176" i="12"/>
  <c r="C1176" i="12"/>
  <c r="Q1175" i="12"/>
  <c r="M1175" i="12"/>
  <c r="I1175" i="12"/>
  <c r="G1175" i="12"/>
  <c r="E1175" i="12"/>
  <c r="C1175" i="12"/>
  <c r="C1181" i="12" s="1"/>
  <c r="Q1174" i="12"/>
  <c r="M1174" i="12"/>
  <c r="G1174" i="12"/>
  <c r="I1174" i="12" s="1"/>
  <c r="E1174" i="12"/>
  <c r="C1174" i="12"/>
  <c r="Q1173" i="12"/>
  <c r="R1175" i="12" s="1"/>
  <c r="M1173" i="12"/>
  <c r="N1175" i="12" s="1"/>
  <c r="I1173" i="12"/>
  <c r="J1175" i="12" s="1"/>
  <c r="G1173" i="12"/>
  <c r="E1173" i="12"/>
  <c r="F1175" i="12" s="1"/>
  <c r="C1173" i="12"/>
  <c r="Q1172" i="12"/>
  <c r="M1172" i="12"/>
  <c r="G1172" i="12"/>
  <c r="I1172" i="12" s="1"/>
  <c r="E1172" i="12"/>
  <c r="C1172" i="12"/>
  <c r="Q1171" i="12"/>
  <c r="M1171" i="12"/>
  <c r="I1171" i="12"/>
  <c r="G1171" i="12"/>
  <c r="E1171" i="12"/>
  <c r="C1171" i="12"/>
  <c r="Q1170" i="12"/>
  <c r="R1172" i="12" s="1"/>
  <c r="M1170" i="12"/>
  <c r="N1172" i="12" s="1"/>
  <c r="G1170" i="12"/>
  <c r="I1170" i="12" s="1"/>
  <c r="J1172" i="12" s="1"/>
  <c r="E1170" i="12"/>
  <c r="F1172" i="12" s="1"/>
  <c r="C1170" i="12"/>
  <c r="Q1169" i="12"/>
  <c r="Q1181" i="12" s="1"/>
  <c r="M1169" i="12"/>
  <c r="I1169" i="12"/>
  <c r="G1169" i="12"/>
  <c r="E1169" i="12"/>
  <c r="C1169" i="12"/>
  <c r="Q1168" i="12"/>
  <c r="M1168" i="12"/>
  <c r="G1168" i="12"/>
  <c r="E1168" i="12"/>
  <c r="C1168" i="12"/>
  <c r="Q1167" i="12"/>
  <c r="R1169" i="12" s="1"/>
  <c r="M1167" i="12"/>
  <c r="M1181" i="12" s="1"/>
  <c r="I1167" i="12"/>
  <c r="E1167" i="12"/>
  <c r="F1169" i="12" s="1"/>
  <c r="C1167" i="12"/>
  <c r="G1161" i="12"/>
  <c r="O1160" i="12"/>
  <c r="K1160" i="12"/>
  <c r="C1160" i="12"/>
  <c r="I1157" i="12"/>
  <c r="J1154" i="12"/>
  <c r="Q1153" i="12"/>
  <c r="P1129" i="12"/>
  <c r="O1129" i="12" s="1"/>
  <c r="J1129" i="12"/>
  <c r="L1129" i="12" s="1"/>
  <c r="I1129" i="12"/>
  <c r="F1129" i="12" s="1"/>
  <c r="P1128" i="12"/>
  <c r="O1128" i="12"/>
  <c r="J1128" i="12"/>
  <c r="L1128" i="12" s="1"/>
  <c r="I1128" i="12"/>
  <c r="F1128" i="12" s="1"/>
  <c r="G1128" i="12"/>
  <c r="N1127" i="12"/>
  <c r="P1127" i="12" s="1"/>
  <c r="O1127" i="12" s="1"/>
  <c r="J1127" i="12"/>
  <c r="I1127" i="12"/>
  <c r="F1127" i="12" s="1"/>
  <c r="G1127" i="12"/>
  <c r="N1126" i="12"/>
  <c r="P1126" i="12" s="1"/>
  <c r="O1126" i="12" s="1"/>
  <c r="J1126" i="12"/>
  <c r="L1126" i="12" s="1"/>
  <c r="I1126" i="12"/>
  <c r="F1126" i="12" s="1"/>
  <c r="G1126" i="12"/>
  <c r="N1125" i="12"/>
  <c r="P1125" i="12" s="1"/>
  <c r="O1125" i="12" s="1"/>
  <c r="J1125" i="12"/>
  <c r="L1125" i="12" s="1"/>
  <c r="I1125" i="12"/>
  <c r="F1125" i="12" s="1"/>
  <c r="G1125" i="12"/>
  <c r="N1124" i="12"/>
  <c r="P1124" i="12" s="1"/>
  <c r="O1124" i="12" s="1"/>
  <c r="J1124" i="12"/>
  <c r="L1124" i="12" s="1"/>
  <c r="I1124" i="12"/>
  <c r="F1124" i="12" s="1"/>
  <c r="G1124" i="12"/>
  <c r="N1123" i="12"/>
  <c r="P1123" i="12" s="1"/>
  <c r="O1123" i="12" s="1"/>
  <c r="J1123" i="12"/>
  <c r="L1123" i="12" s="1"/>
  <c r="I1123" i="12"/>
  <c r="F1123" i="12" s="1"/>
  <c r="G1123" i="12"/>
  <c r="N1122" i="12"/>
  <c r="P1122" i="12" s="1"/>
  <c r="O1122" i="12" s="1"/>
  <c r="J1122" i="12"/>
  <c r="L1122" i="12" s="1"/>
  <c r="I1122" i="12"/>
  <c r="F1122" i="12" s="1"/>
  <c r="G1122" i="12"/>
  <c r="P1121" i="12"/>
  <c r="O1121" i="12"/>
  <c r="L1121" i="12"/>
  <c r="J1121" i="12"/>
  <c r="I1121" i="12"/>
  <c r="G1121" i="12"/>
  <c r="F1121" i="12"/>
  <c r="P1120" i="12"/>
  <c r="O1120" i="12" s="1"/>
  <c r="L1120" i="12"/>
  <c r="J1120" i="12"/>
  <c r="G1120" i="12" s="1"/>
  <c r="I1120" i="12"/>
  <c r="F1120" i="12"/>
  <c r="P1119" i="12"/>
  <c r="O1119" i="12" s="1"/>
  <c r="N1119" i="12"/>
  <c r="L1119" i="12"/>
  <c r="J1119" i="12"/>
  <c r="G1119" i="12" s="1"/>
  <c r="I1119" i="12"/>
  <c r="F1119" i="12"/>
  <c r="P1118" i="12"/>
  <c r="O1118" i="12" s="1"/>
  <c r="J1118" i="12"/>
  <c r="I1118" i="12"/>
  <c r="F1118" i="12" s="1"/>
  <c r="B1112" i="12"/>
  <c r="B1109" i="12"/>
  <c r="Q1108" i="12"/>
  <c r="B1102" i="12"/>
  <c r="C1101" i="12"/>
  <c r="B1101" i="12"/>
  <c r="C1100" i="12"/>
  <c r="B1100" i="12"/>
  <c r="C1099" i="12"/>
  <c r="B1099" i="12"/>
  <c r="D1098" i="12"/>
  <c r="C1098" i="12"/>
  <c r="B1098" i="12"/>
  <c r="AD1097" i="12"/>
  <c r="D1097" i="12"/>
  <c r="C1097" i="12"/>
  <c r="B1097" i="12"/>
  <c r="D1096" i="12"/>
  <c r="C1096" i="12"/>
  <c r="B1096" i="12"/>
  <c r="C1095" i="12"/>
  <c r="B1095" i="12"/>
  <c r="C1094" i="12"/>
  <c r="B1094" i="12"/>
  <c r="C1093" i="12"/>
  <c r="B1093" i="12"/>
  <c r="C1092" i="12"/>
  <c r="AD1099" i="12" s="1"/>
  <c r="B1092" i="12"/>
  <c r="AD1114" i="12" s="1"/>
  <c r="AD1091" i="12"/>
  <c r="B1091" i="12"/>
  <c r="AE1088" i="12"/>
  <c r="B1087" i="12"/>
  <c r="B1084" i="12"/>
  <c r="Q1083" i="12"/>
  <c r="P1077" i="12"/>
  <c r="P1076" i="12"/>
  <c r="P1075" i="12"/>
  <c r="P1074" i="12"/>
  <c r="P1073" i="12"/>
  <c r="P1072" i="12"/>
  <c r="P1071" i="12"/>
  <c r="P1070" i="12"/>
  <c r="P1069" i="12"/>
  <c r="P1068" i="12"/>
  <c r="P1067" i="12"/>
  <c r="P1066" i="12"/>
  <c r="M1061" i="12"/>
  <c r="N1052" i="12"/>
  <c r="L1052" i="12"/>
  <c r="K1052" i="12"/>
  <c r="J1052" i="12"/>
  <c r="I1052" i="12"/>
  <c r="H1052" i="12"/>
  <c r="J1050" i="12"/>
  <c r="J1049" i="12"/>
  <c r="J1048" i="12"/>
  <c r="J1047" i="12"/>
  <c r="J1046" i="12"/>
  <c r="J1045" i="12"/>
  <c r="AR1044" i="12"/>
  <c r="AQ1044" i="12"/>
  <c r="AP1044" i="12"/>
  <c r="AO1044" i="12"/>
  <c r="AN1044" i="12"/>
  <c r="AM1044" i="12"/>
  <c r="AL1044" i="12"/>
  <c r="AK1044" i="12"/>
  <c r="AJ1044" i="12"/>
  <c r="AI1044" i="12"/>
  <c r="AH1044" i="12"/>
  <c r="AG1044" i="12"/>
  <c r="AF1044" i="12"/>
  <c r="AE1044" i="12"/>
  <c r="AD1044" i="12"/>
  <c r="J1044" i="12"/>
  <c r="J1043" i="12"/>
  <c r="J1042" i="12"/>
  <c r="J1041" i="12"/>
  <c r="J1040" i="12"/>
  <c r="J1039" i="12"/>
  <c r="AD1034" i="12"/>
  <c r="AD1031" i="12"/>
  <c r="B1031" i="12"/>
  <c r="AR1030" i="12"/>
  <c r="B1030" i="12"/>
  <c r="Q1029" i="12"/>
  <c r="G1019" i="12"/>
  <c r="G1015" i="12"/>
  <c r="AR1009" i="12"/>
  <c r="AQ1009" i="12"/>
  <c r="AP1009" i="12"/>
  <c r="AO1009" i="12"/>
  <c r="AN1009" i="12"/>
  <c r="AM1009" i="12"/>
  <c r="AL1009" i="12"/>
  <c r="AK1009" i="12"/>
  <c r="AJ1009" i="12"/>
  <c r="AI1009" i="12"/>
  <c r="AH1009" i="12"/>
  <c r="AG1009" i="12"/>
  <c r="AF1009" i="12"/>
  <c r="AE1009" i="12"/>
  <c r="AD1009" i="12"/>
  <c r="B1004" i="12"/>
  <c r="B1001" i="12"/>
  <c r="Q1000" i="12"/>
  <c r="AD999" i="12"/>
  <c r="AD996" i="12"/>
  <c r="AR995" i="12"/>
  <c r="AH991" i="12"/>
  <c r="AG991" i="12"/>
  <c r="AH989" i="12"/>
  <c r="AG989" i="12"/>
  <c r="AH988" i="12"/>
  <c r="AE988" i="12"/>
  <c r="AD988" i="12"/>
  <c r="AF986" i="12"/>
  <c r="AF985" i="12"/>
  <c r="AH984" i="12"/>
  <c r="AG984" i="12"/>
  <c r="AD983" i="12"/>
  <c r="AR978" i="12"/>
  <c r="AQ978" i="12"/>
  <c r="AP978" i="12"/>
  <c r="AO978" i="12"/>
  <c r="AG978" i="12"/>
  <c r="AF978" i="12"/>
  <c r="AE978" i="12"/>
  <c r="AE983" i="12" s="1"/>
  <c r="AD978" i="12"/>
  <c r="B978" i="12"/>
  <c r="B975" i="12"/>
  <c r="Q974" i="12"/>
  <c r="AR973" i="12"/>
  <c r="AG973" i="12"/>
  <c r="AS970" i="12"/>
  <c r="AH970" i="12"/>
  <c r="AS968" i="12"/>
  <c r="T965" i="12"/>
  <c r="G965" i="12"/>
  <c r="F965" i="12"/>
  <c r="T964" i="12"/>
  <c r="G964" i="12"/>
  <c r="G1021" i="12" s="1"/>
  <c r="F964" i="12"/>
  <c r="T963" i="12"/>
  <c r="G963" i="12"/>
  <c r="F963" i="12"/>
  <c r="F1020" i="12" s="1"/>
  <c r="T962" i="12"/>
  <c r="G962" i="12"/>
  <c r="F962" i="12"/>
  <c r="F1019" i="12" s="1"/>
  <c r="T961" i="12"/>
  <c r="G961" i="12"/>
  <c r="G1018" i="12" s="1"/>
  <c r="F961" i="12"/>
  <c r="T960" i="12"/>
  <c r="AE951" i="12" s="1"/>
  <c r="G960" i="12"/>
  <c r="F960" i="12"/>
  <c r="T959" i="12"/>
  <c r="AE950" i="12" s="1"/>
  <c r="AF950" i="12" s="1"/>
  <c r="G959" i="12"/>
  <c r="F959" i="12"/>
  <c r="AH985" i="12" s="1"/>
  <c r="T958" i="12"/>
  <c r="G958" i="12"/>
  <c r="F958" i="12"/>
  <c r="AD984" i="12" s="1"/>
  <c r="T957" i="12"/>
  <c r="F1014" i="12" s="1"/>
  <c r="G957" i="12"/>
  <c r="F957" i="12"/>
  <c r="AE956" i="12"/>
  <c r="AD956" i="12"/>
  <c r="T956" i="12"/>
  <c r="G956" i="12"/>
  <c r="F956" i="12"/>
  <c r="AE955" i="12"/>
  <c r="AD955" i="12"/>
  <c r="T955" i="12"/>
  <c r="AE946" i="12" s="1"/>
  <c r="G955" i="12"/>
  <c r="F955" i="12"/>
  <c r="AG981" i="12" s="1"/>
  <c r="AF954" i="12"/>
  <c r="AE954" i="12"/>
  <c r="AD954" i="12"/>
  <c r="AO954" i="12" s="1"/>
  <c r="T954" i="12"/>
  <c r="G954" i="12"/>
  <c r="F954" i="12"/>
  <c r="AD945" i="12" s="1"/>
  <c r="AE953" i="12"/>
  <c r="AD953" i="12"/>
  <c r="AE952" i="12"/>
  <c r="AD951" i="12"/>
  <c r="AO950" i="12"/>
  <c r="AD950" i="12"/>
  <c r="AE949" i="12"/>
  <c r="AD949" i="12"/>
  <c r="B949" i="12"/>
  <c r="AD948" i="12"/>
  <c r="AO948" i="12" s="1"/>
  <c r="AE947" i="12"/>
  <c r="AD946" i="12"/>
  <c r="AO946" i="12" s="1"/>
  <c r="B946" i="12"/>
  <c r="AO945" i="12"/>
  <c r="AF945" i="12"/>
  <c r="AE945" i="12"/>
  <c r="Q945" i="12"/>
  <c r="AF937" i="12"/>
  <c r="AS936" i="12"/>
  <c r="AN936" i="12"/>
  <c r="A927" i="12"/>
  <c r="A925" i="12"/>
  <c r="Q921" i="12"/>
  <c r="N916" i="12"/>
  <c r="F916" i="12"/>
  <c r="P915" i="12"/>
  <c r="O915" i="12"/>
  <c r="N915" i="12"/>
  <c r="L915" i="12"/>
  <c r="K915" i="12"/>
  <c r="J915" i="12"/>
  <c r="M915" i="12" s="1"/>
  <c r="H915" i="12"/>
  <c r="G915" i="12"/>
  <c r="F915" i="12"/>
  <c r="D915" i="12"/>
  <c r="C915" i="12"/>
  <c r="B915" i="12"/>
  <c r="E915" i="12" s="1"/>
  <c r="P914" i="12"/>
  <c r="O914" i="12"/>
  <c r="N914" i="12"/>
  <c r="L914" i="12"/>
  <c r="K914" i="12"/>
  <c r="H914" i="12"/>
  <c r="G914" i="12"/>
  <c r="F914" i="12"/>
  <c r="D914" i="12"/>
  <c r="C914" i="12"/>
  <c r="B914" i="12"/>
  <c r="E914" i="12" s="1"/>
  <c r="Q913" i="12"/>
  <c r="P913" i="12"/>
  <c r="P916" i="12" s="1"/>
  <c r="O913" i="12"/>
  <c r="O916" i="12" s="1"/>
  <c r="N913" i="12"/>
  <c r="L913" i="12"/>
  <c r="L916" i="12" s="1"/>
  <c r="K913" i="12"/>
  <c r="K916" i="12" s="1"/>
  <c r="J913" i="12"/>
  <c r="I913" i="12"/>
  <c r="H913" i="12"/>
  <c r="H916" i="12" s="1"/>
  <c r="G913" i="12"/>
  <c r="F913" i="12"/>
  <c r="D913" i="12"/>
  <c r="D916" i="12" s="1"/>
  <c r="C913" i="12"/>
  <c r="C916" i="12" s="1"/>
  <c r="B913" i="12"/>
  <c r="B916" i="12" s="1"/>
  <c r="E916" i="12" s="1"/>
  <c r="R912" i="12"/>
  <c r="Q912" i="12"/>
  <c r="P912" i="12"/>
  <c r="P917" i="12" s="1"/>
  <c r="P939" i="12" s="1"/>
  <c r="O912" i="12"/>
  <c r="N912" i="12"/>
  <c r="L912" i="12"/>
  <c r="K912" i="12"/>
  <c r="J912" i="12"/>
  <c r="M912" i="12" s="1"/>
  <c r="I912" i="12"/>
  <c r="H912" i="12"/>
  <c r="G912" i="12"/>
  <c r="F912" i="12"/>
  <c r="D912" i="12"/>
  <c r="C912" i="12"/>
  <c r="B912" i="12"/>
  <c r="E912" i="12" s="1"/>
  <c r="P911" i="12"/>
  <c r="O911" i="12"/>
  <c r="N911" i="12"/>
  <c r="Q911" i="12" s="1"/>
  <c r="L911" i="12"/>
  <c r="K911" i="12"/>
  <c r="J911" i="12"/>
  <c r="M911" i="12" s="1"/>
  <c r="H911" i="12"/>
  <c r="G911" i="12"/>
  <c r="F911" i="12"/>
  <c r="I911" i="12" s="1"/>
  <c r="D911" i="12"/>
  <c r="C911" i="12"/>
  <c r="B911" i="12"/>
  <c r="E911" i="12" s="1"/>
  <c r="R911" i="12" s="1"/>
  <c r="P910" i="12"/>
  <c r="O910" i="12"/>
  <c r="O917" i="12" s="1"/>
  <c r="O939" i="12" s="1"/>
  <c r="N910" i="12"/>
  <c r="Q910" i="12" s="1"/>
  <c r="L910" i="12"/>
  <c r="L917" i="12" s="1"/>
  <c r="L939" i="12" s="1"/>
  <c r="K910" i="12"/>
  <c r="J910" i="12"/>
  <c r="H910" i="12"/>
  <c r="G910" i="12"/>
  <c r="G917" i="12" s="1"/>
  <c r="G939" i="12" s="1"/>
  <c r="F910" i="12"/>
  <c r="I910" i="12" s="1"/>
  <c r="D910" i="12"/>
  <c r="D917" i="12" s="1"/>
  <c r="D939" i="12" s="1"/>
  <c r="C910" i="12"/>
  <c r="B910" i="12"/>
  <c r="B917" i="12" s="1"/>
  <c r="B939" i="12" s="1"/>
  <c r="P906" i="12"/>
  <c r="O906" i="12"/>
  <c r="N906" i="12"/>
  <c r="L906" i="12"/>
  <c r="K906" i="12"/>
  <c r="H906" i="12"/>
  <c r="F906" i="12"/>
  <c r="D906" i="12"/>
  <c r="C906" i="12"/>
  <c r="B906" i="12"/>
  <c r="E906" i="12" s="1"/>
  <c r="P904" i="12"/>
  <c r="P935" i="12" s="1"/>
  <c r="H904" i="12"/>
  <c r="H935" i="12" s="1"/>
  <c r="Q903" i="12"/>
  <c r="P903" i="12"/>
  <c r="O903" i="12"/>
  <c r="N903" i="12"/>
  <c r="L903" i="12"/>
  <c r="K903" i="12"/>
  <c r="J903" i="12"/>
  <c r="M903" i="12" s="1"/>
  <c r="I903" i="12"/>
  <c r="H903" i="12"/>
  <c r="G903" i="12"/>
  <c r="F903" i="12"/>
  <c r="D903" i="12"/>
  <c r="C903" i="12"/>
  <c r="B903" i="12"/>
  <c r="E903" i="12" s="1"/>
  <c r="R903" i="12" s="1"/>
  <c r="P902" i="12"/>
  <c r="O902" i="12"/>
  <c r="N902" i="12"/>
  <c r="Q902" i="12" s="1"/>
  <c r="L902" i="12"/>
  <c r="J902" i="12"/>
  <c r="H902" i="12"/>
  <c r="G902" i="12"/>
  <c r="F902" i="12"/>
  <c r="I902" i="12" s="1"/>
  <c r="C902" i="12"/>
  <c r="B902" i="12"/>
  <c r="P901" i="12"/>
  <c r="O901" i="12"/>
  <c r="O904" i="12" s="1"/>
  <c r="O935" i="12" s="1"/>
  <c r="N901" i="12"/>
  <c r="N904" i="12" s="1"/>
  <c r="N935" i="12" s="1"/>
  <c r="Q935" i="12" s="1"/>
  <c r="L901" i="12"/>
  <c r="L904" i="12" s="1"/>
  <c r="L935" i="12" s="1"/>
  <c r="K901" i="12"/>
  <c r="J901" i="12"/>
  <c r="J904" i="12" s="1"/>
  <c r="H901" i="12"/>
  <c r="G901" i="12"/>
  <c r="G904" i="12" s="1"/>
  <c r="G935" i="12" s="1"/>
  <c r="F901" i="12"/>
  <c r="F904" i="12" s="1"/>
  <c r="F935" i="12" s="1"/>
  <c r="I935" i="12" s="1"/>
  <c r="D901" i="12"/>
  <c r="C901" i="12"/>
  <c r="B901" i="12"/>
  <c r="B904" i="12" s="1"/>
  <c r="P898" i="12"/>
  <c r="O898" i="12"/>
  <c r="N898" i="12"/>
  <c r="L898" i="12"/>
  <c r="K898" i="12"/>
  <c r="J898" i="12"/>
  <c r="M898" i="12" s="1"/>
  <c r="H898" i="12"/>
  <c r="G898" i="12"/>
  <c r="F898" i="12"/>
  <c r="D898" i="12"/>
  <c r="C898" i="12"/>
  <c r="B898" i="12"/>
  <c r="E898" i="12" s="1"/>
  <c r="P897" i="12"/>
  <c r="O897" i="12"/>
  <c r="N897" i="12"/>
  <c r="L897" i="12"/>
  <c r="K897" i="12"/>
  <c r="J897" i="12"/>
  <c r="M897" i="12" s="1"/>
  <c r="H897" i="12"/>
  <c r="G897" i="12"/>
  <c r="F897" i="12"/>
  <c r="D897" i="12"/>
  <c r="C897" i="12"/>
  <c r="B897" i="12"/>
  <c r="E897" i="12" s="1"/>
  <c r="P896" i="12"/>
  <c r="Q896" i="12" s="1"/>
  <c r="O896" i="12"/>
  <c r="N896" i="12"/>
  <c r="L896" i="12"/>
  <c r="K896" i="12"/>
  <c r="M896" i="12" s="1"/>
  <c r="J896" i="12"/>
  <c r="I896" i="12"/>
  <c r="H896" i="12"/>
  <c r="G896" i="12"/>
  <c r="F896" i="12"/>
  <c r="D896" i="12"/>
  <c r="C896" i="12"/>
  <c r="B896" i="12"/>
  <c r="Q895" i="12"/>
  <c r="P895" i="12"/>
  <c r="O895" i="12"/>
  <c r="N895" i="12"/>
  <c r="M895" i="12"/>
  <c r="L895" i="12"/>
  <c r="K895" i="12"/>
  <c r="J895" i="12"/>
  <c r="I895" i="12"/>
  <c r="H895" i="12"/>
  <c r="G895" i="12"/>
  <c r="F895" i="12"/>
  <c r="E895" i="12"/>
  <c r="D895" i="12"/>
  <c r="C895" i="12"/>
  <c r="B895" i="12"/>
  <c r="R894" i="12"/>
  <c r="P894" i="12"/>
  <c r="O894" i="12"/>
  <c r="N894" i="12"/>
  <c r="Q894" i="12" s="1"/>
  <c r="L894" i="12"/>
  <c r="K894" i="12"/>
  <c r="J894" i="12"/>
  <c r="M894" i="12" s="1"/>
  <c r="H894" i="12"/>
  <c r="G894" i="12"/>
  <c r="F894" i="12"/>
  <c r="I894" i="12" s="1"/>
  <c r="D894" i="12"/>
  <c r="C894" i="12"/>
  <c r="B894" i="12"/>
  <c r="E894" i="12" s="1"/>
  <c r="A886" i="12"/>
  <c r="A884" i="12"/>
  <c r="Q880" i="12"/>
  <c r="Q873" i="12"/>
  <c r="M873" i="12"/>
  <c r="I873" i="12"/>
  <c r="E873" i="12"/>
  <c r="R873" i="12" s="1"/>
  <c r="G872" i="12"/>
  <c r="G875" i="12" s="1"/>
  <c r="Q871" i="12"/>
  <c r="P871" i="12"/>
  <c r="O871" i="12"/>
  <c r="N871" i="12"/>
  <c r="L871" i="12"/>
  <c r="K871" i="12"/>
  <c r="M871" i="12" s="1"/>
  <c r="J871" i="12"/>
  <c r="H871" i="12"/>
  <c r="I871" i="12" s="1"/>
  <c r="G871" i="12"/>
  <c r="F871" i="12"/>
  <c r="D871" i="12"/>
  <c r="C871" i="12"/>
  <c r="E871" i="12" s="1"/>
  <c r="B871" i="12"/>
  <c r="Q870" i="12"/>
  <c r="P870" i="12"/>
  <c r="O870" i="12"/>
  <c r="N870" i="12"/>
  <c r="L870" i="12"/>
  <c r="K870" i="12"/>
  <c r="J870" i="12"/>
  <c r="M870" i="12" s="1"/>
  <c r="I870" i="12"/>
  <c r="H870" i="12"/>
  <c r="G870" i="12"/>
  <c r="F870" i="12"/>
  <c r="D870" i="12"/>
  <c r="C870" i="12"/>
  <c r="B870" i="12"/>
  <c r="E870" i="12" s="1"/>
  <c r="R867" i="12"/>
  <c r="Q867" i="12"/>
  <c r="M867" i="12"/>
  <c r="I867" i="12"/>
  <c r="E867" i="12"/>
  <c r="Q866" i="12"/>
  <c r="M866" i="12"/>
  <c r="I866" i="12"/>
  <c r="E866" i="12"/>
  <c r="Q864" i="12"/>
  <c r="M864" i="12"/>
  <c r="I864" i="12"/>
  <c r="E864" i="12"/>
  <c r="Q863" i="12"/>
  <c r="R863" i="12" s="1"/>
  <c r="M863" i="12"/>
  <c r="I863" i="12"/>
  <c r="E863" i="12"/>
  <c r="O860" i="12"/>
  <c r="N860" i="12"/>
  <c r="J860" i="12"/>
  <c r="G860" i="12"/>
  <c r="F860" i="12"/>
  <c r="B860" i="12"/>
  <c r="P859" i="12"/>
  <c r="P860" i="12" s="1"/>
  <c r="O859" i="12"/>
  <c r="N859" i="12"/>
  <c r="L859" i="12"/>
  <c r="L860" i="12" s="1"/>
  <c r="K859" i="12"/>
  <c r="K860" i="12" s="1"/>
  <c r="J859" i="12"/>
  <c r="M859" i="12" s="1"/>
  <c r="H859" i="12"/>
  <c r="H860" i="12" s="1"/>
  <c r="G859" i="12"/>
  <c r="F859" i="12"/>
  <c r="D859" i="12"/>
  <c r="D860" i="12" s="1"/>
  <c r="C859" i="12"/>
  <c r="C860" i="12" s="1"/>
  <c r="B859" i="12"/>
  <c r="Q858" i="12"/>
  <c r="M858" i="12"/>
  <c r="I858" i="12"/>
  <c r="E858" i="12"/>
  <c r="R857" i="12"/>
  <c r="Q857" i="12"/>
  <c r="M857" i="12"/>
  <c r="I857" i="12"/>
  <c r="E857" i="12"/>
  <c r="Q856" i="12"/>
  <c r="M856" i="12"/>
  <c r="I856" i="12"/>
  <c r="E856" i="12"/>
  <c r="Q855" i="12"/>
  <c r="M855" i="12"/>
  <c r="I855" i="12"/>
  <c r="E855" i="12"/>
  <c r="R855" i="12" s="1"/>
  <c r="Q853" i="12"/>
  <c r="M853" i="12"/>
  <c r="I853" i="12"/>
  <c r="E853" i="12"/>
  <c r="Q852" i="12"/>
  <c r="M852" i="12"/>
  <c r="J852" i="12"/>
  <c r="J906" i="12" s="1"/>
  <c r="I852" i="12"/>
  <c r="G852" i="12"/>
  <c r="G906" i="12" s="1"/>
  <c r="E852" i="12"/>
  <c r="R852" i="12" s="1"/>
  <c r="P849" i="12"/>
  <c r="O849" i="12"/>
  <c r="N849" i="12"/>
  <c r="L849" i="12"/>
  <c r="M849" i="12" s="1"/>
  <c r="K849" i="12"/>
  <c r="J849" i="12"/>
  <c r="H849" i="12"/>
  <c r="G849" i="12"/>
  <c r="F849" i="12"/>
  <c r="D849" i="12"/>
  <c r="E849" i="12" s="1"/>
  <c r="C849" i="12"/>
  <c r="B849" i="12"/>
  <c r="Q847" i="12"/>
  <c r="M847" i="12"/>
  <c r="I847" i="12"/>
  <c r="E847" i="12"/>
  <c r="R847" i="12" s="1"/>
  <c r="P844" i="12"/>
  <c r="O844" i="12"/>
  <c r="O872" i="12" s="1"/>
  <c r="O875" i="12" s="1"/>
  <c r="N844" i="12"/>
  <c r="L844" i="12"/>
  <c r="K844" i="12"/>
  <c r="K872" i="12" s="1"/>
  <c r="K875" i="12" s="1"/>
  <c r="J844" i="12"/>
  <c r="H844" i="12"/>
  <c r="G844" i="12"/>
  <c r="F844" i="12"/>
  <c r="D844" i="12"/>
  <c r="C844" i="12"/>
  <c r="C872" i="12" s="1"/>
  <c r="C875" i="12" s="1"/>
  <c r="B844" i="12"/>
  <c r="Q842" i="12"/>
  <c r="M842" i="12"/>
  <c r="I842" i="12"/>
  <c r="R842" i="12" s="1"/>
  <c r="E842" i="12"/>
  <c r="Q839" i="12"/>
  <c r="M839" i="12"/>
  <c r="I839" i="12"/>
  <c r="E839" i="12"/>
  <c r="R838" i="12"/>
  <c r="Q838" i="12"/>
  <c r="M838" i="12"/>
  <c r="I838" i="12"/>
  <c r="E838" i="12"/>
  <c r="Q837" i="12"/>
  <c r="M837" i="12"/>
  <c r="I837" i="12"/>
  <c r="E837" i="12"/>
  <c r="Q836" i="12"/>
  <c r="M836" i="12"/>
  <c r="I836" i="12"/>
  <c r="E836" i="12"/>
  <c r="R836" i="12" s="1"/>
  <c r="Q835" i="12"/>
  <c r="M835" i="12"/>
  <c r="I835" i="12"/>
  <c r="E835" i="12"/>
  <c r="R835" i="12" s="1"/>
  <c r="Q834" i="12"/>
  <c r="M834" i="12"/>
  <c r="I834" i="12"/>
  <c r="E834" i="12"/>
  <c r="R834" i="12" s="1"/>
  <c r="D826" i="12"/>
  <c r="K824" i="12"/>
  <c r="Q822" i="12"/>
  <c r="M822" i="12"/>
  <c r="I822" i="12"/>
  <c r="E822" i="12"/>
  <c r="R822" i="12" s="1"/>
  <c r="Q821" i="12"/>
  <c r="M821" i="12"/>
  <c r="I821" i="12"/>
  <c r="E821" i="12"/>
  <c r="P820" i="12"/>
  <c r="P824" i="12" s="1"/>
  <c r="N820" i="12"/>
  <c r="H820" i="12"/>
  <c r="H824" i="12" s="1"/>
  <c r="F820" i="12"/>
  <c r="P819" i="12"/>
  <c r="O819" i="12"/>
  <c r="Q819" i="12" s="1"/>
  <c r="N819" i="12"/>
  <c r="M819" i="12"/>
  <c r="L819" i="12"/>
  <c r="K819" i="12"/>
  <c r="J819" i="12"/>
  <c r="H819" i="12"/>
  <c r="G819" i="12"/>
  <c r="I819" i="12" s="1"/>
  <c r="F819" i="12"/>
  <c r="E819" i="12"/>
  <c r="D819" i="12"/>
  <c r="C819" i="12"/>
  <c r="B819" i="12"/>
  <c r="P818" i="12"/>
  <c r="O818" i="12"/>
  <c r="N818" i="12"/>
  <c r="Q818" i="12" s="1"/>
  <c r="L818" i="12"/>
  <c r="K818" i="12"/>
  <c r="J818" i="12"/>
  <c r="M818" i="12" s="1"/>
  <c r="H818" i="12"/>
  <c r="G818" i="12"/>
  <c r="F818" i="12"/>
  <c r="D818" i="12"/>
  <c r="C818" i="12"/>
  <c r="B818" i="12"/>
  <c r="E818" i="12" s="1"/>
  <c r="Q812" i="12"/>
  <c r="P812" i="12"/>
  <c r="O812" i="12"/>
  <c r="N812" i="12"/>
  <c r="L812" i="12"/>
  <c r="K812" i="12"/>
  <c r="M812" i="12" s="1"/>
  <c r="J812" i="12"/>
  <c r="H812" i="12"/>
  <c r="G812" i="12"/>
  <c r="I812" i="12" s="1"/>
  <c r="F812" i="12"/>
  <c r="D812" i="12"/>
  <c r="C812" i="12"/>
  <c r="E812" i="12" s="1"/>
  <c r="B812" i="12"/>
  <c r="P808" i="12"/>
  <c r="O808" i="12"/>
  <c r="N808" i="12"/>
  <c r="Q808" i="12" s="1"/>
  <c r="L808" i="12"/>
  <c r="L820" i="12" s="1"/>
  <c r="L824" i="12" s="1"/>
  <c r="K808" i="12"/>
  <c r="J808" i="12"/>
  <c r="H808" i="12"/>
  <c r="G808" i="12"/>
  <c r="F808" i="12"/>
  <c r="D808" i="12"/>
  <c r="D820" i="12" s="1"/>
  <c r="D824" i="12" s="1"/>
  <c r="C808" i="12"/>
  <c r="B808" i="12"/>
  <c r="Q804" i="12"/>
  <c r="P804" i="12"/>
  <c r="O804" i="12"/>
  <c r="O820" i="12" s="1"/>
  <c r="O824" i="12" s="1"/>
  <c r="O826" i="12" s="1"/>
  <c r="N804" i="12"/>
  <c r="L804" i="12"/>
  <c r="K804" i="12"/>
  <c r="K820" i="12" s="1"/>
  <c r="J804" i="12"/>
  <c r="J820" i="12" s="1"/>
  <c r="I804" i="12"/>
  <c r="H804" i="12"/>
  <c r="G804" i="12"/>
  <c r="G820" i="12" s="1"/>
  <c r="G824" i="12" s="1"/>
  <c r="F804" i="12"/>
  <c r="D804" i="12"/>
  <c r="C804" i="12"/>
  <c r="C820" i="12" s="1"/>
  <c r="C824" i="12" s="1"/>
  <c r="B804" i="12"/>
  <c r="B820" i="12" s="1"/>
  <c r="Q800" i="12"/>
  <c r="M800" i="12"/>
  <c r="I800" i="12"/>
  <c r="E800" i="12"/>
  <c r="R800" i="12" s="1"/>
  <c r="P790" i="12"/>
  <c r="O790" i="12"/>
  <c r="N790" i="12"/>
  <c r="L790" i="12"/>
  <c r="K790" i="12"/>
  <c r="J790" i="12"/>
  <c r="H790" i="12"/>
  <c r="G790" i="12"/>
  <c r="F790" i="12"/>
  <c r="D790" i="12"/>
  <c r="C790" i="12"/>
  <c r="B790" i="12"/>
  <c r="Q788" i="12"/>
  <c r="M788" i="12"/>
  <c r="I788" i="12"/>
  <c r="E788" i="12"/>
  <c r="Q778" i="12"/>
  <c r="M778" i="12"/>
  <c r="R778" i="12" s="1"/>
  <c r="I778" i="12"/>
  <c r="E778" i="12"/>
  <c r="P776" i="12"/>
  <c r="O776" i="12"/>
  <c r="N776" i="12"/>
  <c r="L776" i="12"/>
  <c r="K776" i="12"/>
  <c r="J776" i="12"/>
  <c r="M776" i="12" s="1"/>
  <c r="H776" i="12"/>
  <c r="G776" i="12"/>
  <c r="F776" i="12"/>
  <c r="D776" i="12"/>
  <c r="C776" i="12"/>
  <c r="B776" i="12"/>
  <c r="E776" i="12" s="1"/>
  <c r="P775" i="12"/>
  <c r="O775" i="12"/>
  <c r="Q775" i="12" s="1"/>
  <c r="N775" i="12"/>
  <c r="L775" i="12"/>
  <c r="K775" i="12"/>
  <c r="M775" i="12" s="1"/>
  <c r="J775" i="12"/>
  <c r="I775" i="12"/>
  <c r="H775" i="12"/>
  <c r="G775" i="12"/>
  <c r="F775" i="12"/>
  <c r="D775" i="12"/>
  <c r="C775" i="12"/>
  <c r="E775" i="12" s="1"/>
  <c r="B775" i="12"/>
  <c r="Q772" i="12"/>
  <c r="M772" i="12"/>
  <c r="R772" i="12" s="1"/>
  <c r="I772" i="12"/>
  <c r="E772" i="12"/>
  <c r="Q771" i="12"/>
  <c r="M771" i="12"/>
  <c r="I771" i="12"/>
  <c r="E771" i="12"/>
  <c r="R770" i="12"/>
  <c r="Q770" i="12"/>
  <c r="M770" i="12"/>
  <c r="I770" i="12"/>
  <c r="E770" i="12"/>
  <c r="Q769" i="12"/>
  <c r="M769" i="12"/>
  <c r="I769" i="12"/>
  <c r="E769" i="12"/>
  <c r="R769" i="12" s="1"/>
  <c r="P765" i="12"/>
  <c r="O765" i="12"/>
  <c r="N765" i="12"/>
  <c r="Q765" i="12" s="1"/>
  <c r="L765" i="12"/>
  <c r="K765" i="12"/>
  <c r="J765" i="12"/>
  <c r="H765" i="12"/>
  <c r="G765" i="12"/>
  <c r="F765" i="12"/>
  <c r="I765" i="12" s="1"/>
  <c r="D765" i="12"/>
  <c r="C765" i="12"/>
  <c r="B765" i="12"/>
  <c r="E765" i="12" s="1"/>
  <c r="Q764" i="12"/>
  <c r="M764" i="12"/>
  <c r="I764" i="12"/>
  <c r="E764" i="12"/>
  <c r="Q763" i="12"/>
  <c r="M763" i="12"/>
  <c r="I763" i="12"/>
  <c r="E763" i="12"/>
  <c r="R763" i="12" s="1"/>
  <c r="Q762" i="12"/>
  <c r="M762" i="12"/>
  <c r="I762" i="12"/>
  <c r="E762" i="12"/>
  <c r="Q761" i="12"/>
  <c r="M761" i="12"/>
  <c r="I761" i="12"/>
  <c r="E761" i="12"/>
  <c r="Q760" i="12"/>
  <c r="M760" i="12"/>
  <c r="I760" i="12"/>
  <c r="E760" i="12"/>
  <c r="R760" i="12" s="1"/>
  <c r="Q759" i="12"/>
  <c r="M759" i="12"/>
  <c r="I759" i="12"/>
  <c r="E759" i="12"/>
  <c r="R759" i="12" s="1"/>
  <c r="Q758" i="12"/>
  <c r="M758" i="12"/>
  <c r="I758" i="12"/>
  <c r="E758" i="12"/>
  <c r="R757" i="12"/>
  <c r="Q757" i="12"/>
  <c r="M757" i="12"/>
  <c r="I757" i="12"/>
  <c r="E757" i="12"/>
  <c r="Q756" i="12"/>
  <c r="M756" i="12"/>
  <c r="I756" i="12"/>
  <c r="E756" i="12"/>
  <c r="Q754" i="12"/>
  <c r="M754" i="12"/>
  <c r="I754" i="12"/>
  <c r="E754" i="12"/>
  <c r="R754" i="12" s="1"/>
  <c r="P751" i="12"/>
  <c r="O751" i="12"/>
  <c r="N751" i="12"/>
  <c r="L751" i="12"/>
  <c r="K751" i="12"/>
  <c r="M751" i="12" s="1"/>
  <c r="J751" i="12"/>
  <c r="I751" i="12"/>
  <c r="H751" i="12"/>
  <c r="G751" i="12"/>
  <c r="G777" i="12" s="1"/>
  <c r="G780" i="12" s="1"/>
  <c r="F751" i="12"/>
  <c r="D751" i="12"/>
  <c r="C751" i="12"/>
  <c r="E751" i="12" s="1"/>
  <c r="B751" i="12"/>
  <c r="P747" i="12"/>
  <c r="P777" i="12" s="1"/>
  <c r="P780" i="12" s="1"/>
  <c r="O747" i="12"/>
  <c r="N747" i="12"/>
  <c r="L747" i="12"/>
  <c r="L777" i="12" s="1"/>
  <c r="L780" i="12" s="1"/>
  <c r="K747" i="12"/>
  <c r="K777" i="12" s="1"/>
  <c r="K780" i="12" s="1"/>
  <c r="J747" i="12"/>
  <c r="H747" i="12"/>
  <c r="G747" i="12"/>
  <c r="F747" i="12"/>
  <c r="F777" i="12" s="1"/>
  <c r="F780" i="12" s="1"/>
  <c r="D747" i="12"/>
  <c r="D777" i="12" s="1"/>
  <c r="D780" i="12" s="1"/>
  <c r="C747" i="12"/>
  <c r="B747" i="12"/>
  <c r="Q743" i="12"/>
  <c r="M743" i="12"/>
  <c r="I743" i="12"/>
  <c r="E743" i="12"/>
  <c r="R742" i="12"/>
  <c r="Q742" i="12"/>
  <c r="M742" i="12"/>
  <c r="I742" i="12"/>
  <c r="E742" i="12"/>
  <c r="Q741" i="12"/>
  <c r="M741" i="12"/>
  <c r="I741" i="12"/>
  <c r="E741" i="12"/>
  <c r="R741" i="12" s="1"/>
  <c r="Q740" i="12"/>
  <c r="M740" i="12"/>
  <c r="R740" i="12" s="1"/>
  <c r="I740" i="12"/>
  <c r="E740" i="12"/>
  <c r="Q739" i="12"/>
  <c r="M739" i="12"/>
  <c r="I739" i="12"/>
  <c r="R739" i="12" s="1"/>
  <c r="E739" i="12"/>
  <c r="Q738" i="12"/>
  <c r="M738" i="12"/>
  <c r="I738" i="12"/>
  <c r="E738" i="12"/>
  <c r="R738" i="12" s="1"/>
  <c r="L728" i="12"/>
  <c r="D728" i="12"/>
  <c r="Q726" i="12"/>
  <c r="M726" i="12"/>
  <c r="I726" i="12"/>
  <c r="E726" i="12"/>
  <c r="R726" i="12" s="1"/>
  <c r="N725" i="12"/>
  <c r="Q724" i="12"/>
  <c r="P724" i="12"/>
  <c r="O724" i="12"/>
  <c r="N724" i="12"/>
  <c r="L724" i="12"/>
  <c r="K724" i="12"/>
  <c r="M724" i="12" s="1"/>
  <c r="J724" i="12"/>
  <c r="H724" i="12"/>
  <c r="G724" i="12"/>
  <c r="I724" i="12" s="1"/>
  <c r="F724" i="12"/>
  <c r="D724" i="12"/>
  <c r="C724" i="12"/>
  <c r="E724" i="12" s="1"/>
  <c r="B724" i="12"/>
  <c r="P723" i="12"/>
  <c r="O723" i="12"/>
  <c r="N723" i="12"/>
  <c r="Q723" i="12" s="1"/>
  <c r="L723" i="12"/>
  <c r="K723" i="12"/>
  <c r="J723" i="12"/>
  <c r="M723" i="12" s="1"/>
  <c r="H723" i="12"/>
  <c r="G723" i="12"/>
  <c r="F723" i="12"/>
  <c r="D723" i="12"/>
  <c r="C723" i="12"/>
  <c r="B723" i="12"/>
  <c r="Q720" i="12"/>
  <c r="M720" i="12"/>
  <c r="I720" i="12"/>
  <c r="E720" i="12"/>
  <c r="P716" i="12"/>
  <c r="O716" i="12"/>
  <c r="N716" i="12"/>
  <c r="L716" i="12"/>
  <c r="K716" i="12"/>
  <c r="J716" i="12"/>
  <c r="M716" i="12" s="1"/>
  <c r="H716" i="12"/>
  <c r="G716" i="12"/>
  <c r="F716" i="12"/>
  <c r="I716" i="12" s="1"/>
  <c r="D716" i="12"/>
  <c r="C716" i="12"/>
  <c r="B716" i="12"/>
  <c r="Q712" i="12"/>
  <c r="P712" i="12"/>
  <c r="O712" i="12"/>
  <c r="N712" i="12"/>
  <c r="L712" i="12"/>
  <c r="K712" i="12"/>
  <c r="M712" i="12" s="1"/>
  <c r="J712" i="12"/>
  <c r="I712" i="12"/>
  <c r="H712" i="12"/>
  <c r="G712" i="12"/>
  <c r="F712" i="12"/>
  <c r="D712" i="12"/>
  <c r="C712" i="12"/>
  <c r="E712" i="12" s="1"/>
  <c r="B712" i="12"/>
  <c r="P708" i="12"/>
  <c r="P725" i="12" s="1"/>
  <c r="P728" i="12" s="1"/>
  <c r="O708" i="12"/>
  <c r="O725" i="12" s="1"/>
  <c r="O728" i="12" s="1"/>
  <c r="N708" i="12"/>
  <c r="L708" i="12"/>
  <c r="L725" i="12" s="1"/>
  <c r="K708" i="12"/>
  <c r="J708" i="12"/>
  <c r="M708" i="12" s="1"/>
  <c r="H708" i="12"/>
  <c r="H725" i="12" s="1"/>
  <c r="H728" i="12" s="1"/>
  <c r="G708" i="12"/>
  <c r="F708" i="12"/>
  <c r="I708" i="12" s="1"/>
  <c r="D708" i="12"/>
  <c r="D725" i="12" s="1"/>
  <c r="C708" i="12"/>
  <c r="B708" i="12"/>
  <c r="Q704" i="12"/>
  <c r="M704" i="12"/>
  <c r="I704" i="12"/>
  <c r="E704" i="12"/>
  <c r="R703" i="12"/>
  <c r="Q703" i="12"/>
  <c r="M703" i="12"/>
  <c r="I703" i="12"/>
  <c r="E703" i="12"/>
  <c r="Q702" i="12"/>
  <c r="M702" i="12"/>
  <c r="I702" i="12"/>
  <c r="E702" i="12"/>
  <c r="R702" i="12" s="1"/>
  <c r="Q692" i="12"/>
  <c r="P692" i="12"/>
  <c r="O692" i="12"/>
  <c r="N692" i="12"/>
  <c r="M692" i="12"/>
  <c r="L692" i="12"/>
  <c r="K692" i="12"/>
  <c r="J692" i="12"/>
  <c r="I692" i="12"/>
  <c r="H692" i="12"/>
  <c r="G692" i="12"/>
  <c r="F692" i="12"/>
  <c r="E692" i="12"/>
  <c r="R692" i="12" s="1"/>
  <c r="D692" i="12"/>
  <c r="C692" i="12"/>
  <c r="B692" i="12"/>
  <c r="Q690" i="12"/>
  <c r="M690" i="12"/>
  <c r="I690" i="12"/>
  <c r="E690" i="12"/>
  <c r="R690" i="12" s="1"/>
  <c r="Q680" i="12"/>
  <c r="M680" i="12"/>
  <c r="I680" i="12"/>
  <c r="R680" i="12" s="1"/>
  <c r="E680" i="12"/>
  <c r="Q679" i="12"/>
  <c r="R678" i="12"/>
  <c r="Q678" i="12"/>
  <c r="P678" i="12"/>
  <c r="O678" i="12"/>
  <c r="N678" i="12"/>
  <c r="L678" i="12"/>
  <c r="K678" i="12"/>
  <c r="J678" i="12"/>
  <c r="M678" i="12" s="1"/>
  <c r="I678" i="12"/>
  <c r="H678" i="12"/>
  <c r="G678" i="12"/>
  <c r="F678" i="12"/>
  <c r="D678" i="12"/>
  <c r="C678" i="12"/>
  <c r="B678" i="12"/>
  <c r="E678" i="12" s="1"/>
  <c r="P677" i="12"/>
  <c r="O677" i="12"/>
  <c r="N677" i="12"/>
  <c r="Q677" i="12" s="1"/>
  <c r="L677" i="12"/>
  <c r="K677" i="12"/>
  <c r="J677" i="12"/>
  <c r="M677" i="12" s="1"/>
  <c r="H677" i="12"/>
  <c r="G677" i="12"/>
  <c r="F677" i="12"/>
  <c r="I677" i="12" s="1"/>
  <c r="D677" i="12"/>
  <c r="C677" i="12"/>
  <c r="B677" i="12"/>
  <c r="E677" i="12" s="1"/>
  <c r="R677" i="12" s="1"/>
  <c r="Q676" i="12"/>
  <c r="M676" i="12"/>
  <c r="I676" i="12"/>
  <c r="E676" i="12"/>
  <c r="R676" i="12" s="1"/>
  <c r="Q675" i="12"/>
  <c r="M675" i="12"/>
  <c r="I675" i="12"/>
  <c r="E675" i="12"/>
  <c r="R675" i="12" s="1"/>
  <c r="Q674" i="12"/>
  <c r="M674" i="12"/>
  <c r="I674" i="12"/>
  <c r="E674" i="12"/>
  <c r="R674" i="12" s="1"/>
  <c r="Q672" i="12"/>
  <c r="M672" i="12"/>
  <c r="I672" i="12"/>
  <c r="E672" i="12"/>
  <c r="R672" i="12" s="1"/>
  <c r="Q671" i="12"/>
  <c r="M671" i="12"/>
  <c r="I671" i="12"/>
  <c r="E671" i="12"/>
  <c r="R671" i="12" s="1"/>
  <c r="Q669" i="12"/>
  <c r="M669" i="12"/>
  <c r="I669" i="12"/>
  <c r="E669" i="12"/>
  <c r="R669" i="12" s="1"/>
  <c r="R668" i="12"/>
  <c r="Q668" i="12"/>
  <c r="M668" i="12"/>
  <c r="I668" i="12"/>
  <c r="E668" i="12"/>
  <c r="Q667" i="12"/>
  <c r="M667" i="12"/>
  <c r="I667" i="12"/>
  <c r="E667" i="12"/>
  <c r="Q666" i="12"/>
  <c r="M666" i="12"/>
  <c r="I666" i="12"/>
  <c r="R666" i="12" s="1"/>
  <c r="E666" i="12"/>
  <c r="Q664" i="12"/>
  <c r="M664" i="12"/>
  <c r="I664" i="12"/>
  <c r="E664" i="12"/>
  <c r="Q663" i="12"/>
  <c r="M663" i="12"/>
  <c r="I663" i="12"/>
  <c r="E663" i="12"/>
  <c r="R663" i="12" s="1"/>
  <c r="P660" i="12"/>
  <c r="O660" i="12"/>
  <c r="N660" i="12"/>
  <c r="Q660" i="12" s="1"/>
  <c r="L660" i="12"/>
  <c r="K660" i="12"/>
  <c r="J660" i="12"/>
  <c r="H660" i="12"/>
  <c r="G660" i="12"/>
  <c r="F660" i="12"/>
  <c r="I660" i="12" s="1"/>
  <c r="D660" i="12"/>
  <c r="C660" i="12"/>
  <c r="B660" i="12"/>
  <c r="Q659" i="12"/>
  <c r="M659" i="12"/>
  <c r="I659" i="12"/>
  <c r="R659" i="12" s="1"/>
  <c r="E659" i="12"/>
  <c r="Q658" i="12"/>
  <c r="M658" i="12"/>
  <c r="I658" i="12"/>
  <c r="E658" i="12"/>
  <c r="Q657" i="12"/>
  <c r="M657" i="12"/>
  <c r="I657" i="12"/>
  <c r="E657" i="12"/>
  <c r="R657" i="12" s="1"/>
  <c r="Q656" i="12"/>
  <c r="M656" i="12"/>
  <c r="I656" i="12"/>
  <c r="E656" i="12"/>
  <c r="R656" i="12" s="1"/>
  <c r="Q655" i="12"/>
  <c r="M655" i="12"/>
  <c r="I655" i="12"/>
  <c r="E655" i="12"/>
  <c r="Q654" i="12"/>
  <c r="M654" i="12"/>
  <c r="I654" i="12"/>
  <c r="E654" i="12"/>
  <c r="R654" i="12" s="1"/>
  <c r="Q650" i="12"/>
  <c r="P650" i="12"/>
  <c r="O650" i="12"/>
  <c r="N650" i="12"/>
  <c r="L650" i="12"/>
  <c r="K650" i="12"/>
  <c r="J650" i="12"/>
  <c r="M650" i="12" s="1"/>
  <c r="I650" i="12"/>
  <c r="H650" i="12"/>
  <c r="G650" i="12"/>
  <c r="F650" i="12"/>
  <c r="D650" i="12"/>
  <c r="C650" i="12"/>
  <c r="B650" i="12"/>
  <c r="E650" i="12" s="1"/>
  <c r="R650" i="12" s="1"/>
  <c r="Q648" i="12"/>
  <c r="M648" i="12"/>
  <c r="I648" i="12"/>
  <c r="E648" i="12"/>
  <c r="R648" i="12" s="1"/>
  <c r="Q647" i="12"/>
  <c r="M647" i="12"/>
  <c r="I647" i="12"/>
  <c r="E647" i="12"/>
  <c r="P644" i="12"/>
  <c r="P679" i="12" s="1"/>
  <c r="P682" i="12" s="1"/>
  <c r="O644" i="12"/>
  <c r="O679" i="12" s="1"/>
  <c r="O682" i="12" s="1"/>
  <c r="N644" i="12"/>
  <c r="N679" i="12" s="1"/>
  <c r="N682" i="12" s="1"/>
  <c r="M644" i="12"/>
  <c r="L644" i="12"/>
  <c r="L679" i="12" s="1"/>
  <c r="L682" i="12" s="1"/>
  <c r="K644" i="12"/>
  <c r="K679" i="12" s="1"/>
  <c r="K682" i="12" s="1"/>
  <c r="J644" i="12"/>
  <c r="J679" i="12" s="1"/>
  <c r="H644" i="12"/>
  <c r="H679" i="12" s="1"/>
  <c r="H682" i="12" s="1"/>
  <c r="G644" i="12"/>
  <c r="G679" i="12" s="1"/>
  <c r="G682" i="12" s="1"/>
  <c r="E644" i="12"/>
  <c r="D644" i="12"/>
  <c r="D679" i="12" s="1"/>
  <c r="D682" i="12" s="1"/>
  <c r="C644" i="12"/>
  <c r="C679" i="12" s="1"/>
  <c r="C682" i="12" s="1"/>
  <c r="B644" i="12"/>
  <c r="Q642" i="12"/>
  <c r="M642" i="12"/>
  <c r="I642" i="12"/>
  <c r="E642" i="12"/>
  <c r="R642" i="12" s="1"/>
  <c r="Q640" i="12"/>
  <c r="M640" i="12"/>
  <c r="I640" i="12"/>
  <c r="E640" i="12"/>
  <c r="R640" i="12" s="1"/>
  <c r="Q638" i="12"/>
  <c r="M638" i="12"/>
  <c r="I638" i="12"/>
  <c r="E638" i="12"/>
  <c r="R638" i="12" s="1"/>
  <c r="Q637" i="12"/>
  <c r="M637" i="12"/>
  <c r="I637" i="12"/>
  <c r="E637" i="12"/>
  <c r="R637" i="12" s="1"/>
  <c r="R636" i="12"/>
  <c r="Q636" i="12"/>
  <c r="M636" i="12"/>
  <c r="I636" i="12"/>
  <c r="E636" i="12"/>
  <c r="Q635" i="12"/>
  <c r="M635" i="12"/>
  <c r="I635" i="12"/>
  <c r="E635" i="12"/>
  <c r="R635" i="12" s="1"/>
  <c r="Q634" i="12"/>
  <c r="M634" i="12"/>
  <c r="I634" i="12"/>
  <c r="E634" i="12"/>
  <c r="R634" i="12" s="1"/>
  <c r="Q633" i="12"/>
  <c r="M633" i="12"/>
  <c r="I633" i="12"/>
  <c r="E633" i="12"/>
  <c r="R633" i="12" s="1"/>
  <c r="Q632" i="12"/>
  <c r="M632" i="12"/>
  <c r="I632" i="12"/>
  <c r="E632" i="12"/>
  <c r="R632" i="12" s="1"/>
  <c r="Q631" i="12"/>
  <c r="M631" i="12"/>
  <c r="F631" i="12"/>
  <c r="I631" i="12" s="1"/>
  <c r="R631" i="12" s="1"/>
  <c r="E631" i="12"/>
  <c r="Q630" i="12"/>
  <c r="M630" i="12"/>
  <c r="I630" i="12"/>
  <c r="E630" i="12"/>
  <c r="R630" i="12" s="1"/>
  <c r="Q629" i="12"/>
  <c r="M629" i="12"/>
  <c r="I629" i="12"/>
  <c r="E629" i="12"/>
  <c r="R629" i="12" s="1"/>
  <c r="Q628" i="12"/>
  <c r="M628" i="12"/>
  <c r="I628" i="12"/>
  <c r="E628" i="12"/>
  <c r="R628" i="12" s="1"/>
  <c r="Q627" i="12"/>
  <c r="M627" i="12"/>
  <c r="I627" i="12"/>
  <c r="E627" i="12"/>
  <c r="R627" i="12" s="1"/>
  <c r="Q626" i="12"/>
  <c r="M626" i="12"/>
  <c r="I626" i="12"/>
  <c r="E626" i="12"/>
  <c r="R626" i="12" s="1"/>
  <c r="Q614" i="12"/>
  <c r="M614" i="12"/>
  <c r="I614" i="12"/>
  <c r="E614" i="12"/>
  <c r="R614" i="12" s="1"/>
  <c r="Q612" i="12"/>
  <c r="P612" i="12"/>
  <c r="O612" i="12"/>
  <c r="N612" i="12"/>
  <c r="L612" i="12"/>
  <c r="K612" i="12"/>
  <c r="J612" i="12"/>
  <c r="M612" i="12" s="1"/>
  <c r="R612" i="12" s="1"/>
  <c r="I612" i="12"/>
  <c r="H612" i="12"/>
  <c r="G612" i="12"/>
  <c r="F612" i="12"/>
  <c r="D612" i="12"/>
  <c r="C612" i="12"/>
  <c r="B612" i="12"/>
  <c r="E612" i="12" s="1"/>
  <c r="P611" i="12"/>
  <c r="O611" i="12"/>
  <c r="N611" i="12"/>
  <c r="Q611" i="12" s="1"/>
  <c r="L611" i="12"/>
  <c r="K611" i="12"/>
  <c r="J611" i="12"/>
  <c r="H611" i="12"/>
  <c r="G611" i="12"/>
  <c r="F611" i="12"/>
  <c r="I611" i="12" s="1"/>
  <c r="D611" i="12"/>
  <c r="C611" i="12"/>
  <c r="B611" i="12"/>
  <c r="Q610" i="12"/>
  <c r="M610" i="12"/>
  <c r="I610" i="12"/>
  <c r="E610" i="12"/>
  <c r="R610" i="12" s="1"/>
  <c r="Q609" i="12"/>
  <c r="M609" i="12"/>
  <c r="I609" i="12"/>
  <c r="E609" i="12"/>
  <c r="Q608" i="12"/>
  <c r="M608" i="12"/>
  <c r="I608" i="12"/>
  <c r="E608" i="12"/>
  <c r="R608" i="12" s="1"/>
  <c r="Q607" i="12"/>
  <c r="M607" i="12"/>
  <c r="I607" i="12"/>
  <c r="E607" i="12"/>
  <c r="R607" i="12" s="1"/>
  <c r="Q605" i="12"/>
  <c r="M605" i="12"/>
  <c r="I605" i="12"/>
  <c r="E605" i="12"/>
  <c r="P600" i="12"/>
  <c r="O600" i="12"/>
  <c r="Q600" i="12" s="1"/>
  <c r="N600" i="12"/>
  <c r="M600" i="12"/>
  <c r="L600" i="12"/>
  <c r="L613" i="12" s="1"/>
  <c r="L616" i="12" s="1"/>
  <c r="K600" i="12"/>
  <c r="J600" i="12"/>
  <c r="H600" i="12"/>
  <c r="G600" i="12"/>
  <c r="I600" i="12" s="1"/>
  <c r="F600" i="12"/>
  <c r="E600" i="12"/>
  <c r="D600" i="12"/>
  <c r="D613" i="12" s="1"/>
  <c r="D616" i="12" s="1"/>
  <c r="C600" i="12"/>
  <c r="B600" i="12"/>
  <c r="Q599" i="12"/>
  <c r="M599" i="12"/>
  <c r="I599" i="12"/>
  <c r="E599" i="12"/>
  <c r="R599" i="12" s="1"/>
  <c r="P595" i="12"/>
  <c r="O595" i="12"/>
  <c r="N595" i="12"/>
  <c r="Q595" i="12" s="1"/>
  <c r="L595" i="12"/>
  <c r="K595" i="12"/>
  <c r="J595" i="12"/>
  <c r="H595" i="12"/>
  <c r="G595" i="12"/>
  <c r="F595" i="12"/>
  <c r="I595" i="12" s="1"/>
  <c r="D595" i="12"/>
  <c r="C595" i="12"/>
  <c r="B595" i="12"/>
  <c r="Q593" i="12"/>
  <c r="M593" i="12"/>
  <c r="I593" i="12"/>
  <c r="E593" i="12"/>
  <c r="R593" i="12" s="1"/>
  <c r="R592" i="12"/>
  <c r="Q592" i="12"/>
  <c r="M592" i="12"/>
  <c r="K592" i="12"/>
  <c r="K902" i="12" s="1"/>
  <c r="I592" i="12"/>
  <c r="E592" i="12"/>
  <c r="P589" i="12"/>
  <c r="P613" i="12" s="1"/>
  <c r="P616" i="12" s="1"/>
  <c r="O589" i="12"/>
  <c r="O613" i="12" s="1"/>
  <c r="O616" i="12" s="1"/>
  <c r="N589" i="12"/>
  <c r="N613" i="12" s="1"/>
  <c r="N616" i="12" s="1"/>
  <c r="L589" i="12"/>
  <c r="K589" i="12"/>
  <c r="J589" i="12"/>
  <c r="M589" i="12" s="1"/>
  <c r="H589" i="12"/>
  <c r="H613" i="12" s="1"/>
  <c r="H616" i="12" s="1"/>
  <c r="G589" i="12"/>
  <c r="G613" i="12" s="1"/>
  <c r="G616" i="12" s="1"/>
  <c r="F589" i="12"/>
  <c r="F613" i="12" s="1"/>
  <c r="F616" i="12" s="1"/>
  <c r="D589" i="12"/>
  <c r="C589" i="12"/>
  <c r="B589" i="12"/>
  <c r="E589" i="12" s="1"/>
  <c r="Q585" i="12"/>
  <c r="M585" i="12"/>
  <c r="I585" i="12"/>
  <c r="E585" i="12"/>
  <c r="Q584" i="12"/>
  <c r="M584" i="12"/>
  <c r="I584" i="12"/>
  <c r="E584" i="12"/>
  <c r="R584" i="12" s="1"/>
  <c r="Q583" i="12"/>
  <c r="M583" i="12"/>
  <c r="I583" i="12"/>
  <c r="E583" i="12"/>
  <c r="R583" i="12" s="1"/>
  <c r="Q582" i="12"/>
  <c r="M582" i="12"/>
  <c r="I582" i="12"/>
  <c r="E582" i="12"/>
  <c r="R582" i="12" s="1"/>
  <c r="Q581" i="12"/>
  <c r="M581" i="12"/>
  <c r="I581" i="12"/>
  <c r="E581" i="12"/>
  <c r="R581" i="12" s="1"/>
  <c r="K571" i="12"/>
  <c r="Q569" i="12"/>
  <c r="M569" i="12"/>
  <c r="I569" i="12"/>
  <c r="R569" i="12" s="1"/>
  <c r="E569" i="12"/>
  <c r="R567" i="12"/>
  <c r="Q567" i="12"/>
  <c r="P567" i="12"/>
  <c r="O567" i="12"/>
  <c r="N567" i="12"/>
  <c r="L567" i="12"/>
  <c r="K567" i="12"/>
  <c r="J567" i="12"/>
  <c r="M567" i="12" s="1"/>
  <c r="I567" i="12"/>
  <c r="H567" i="12"/>
  <c r="G567" i="12"/>
  <c r="F567" i="12"/>
  <c r="D567" i="12"/>
  <c r="C567" i="12"/>
  <c r="B567" i="12"/>
  <c r="E567" i="12" s="1"/>
  <c r="P566" i="12"/>
  <c r="O566" i="12"/>
  <c r="N566" i="12"/>
  <c r="Q566" i="12" s="1"/>
  <c r="L566" i="12"/>
  <c r="K566" i="12"/>
  <c r="J566" i="12"/>
  <c r="M566" i="12" s="1"/>
  <c r="H566" i="12"/>
  <c r="G566" i="12"/>
  <c r="F566" i="12"/>
  <c r="I566" i="12" s="1"/>
  <c r="D566" i="12"/>
  <c r="C566" i="12"/>
  <c r="B566" i="12"/>
  <c r="E566" i="12" s="1"/>
  <c r="R566" i="12" s="1"/>
  <c r="Q565" i="12"/>
  <c r="M565" i="12"/>
  <c r="I565" i="12"/>
  <c r="R565" i="12" s="1"/>
  <c r="E565" i="12"/>
  <c r="Q564" i="12"/>
  <c r="M564" i="12"/>
  <c r="I564" i="12"/>
  <c r="E564" i="12"/>
  <c r="R564" i="12" s="1"/>
  <c r="P558" i="12"/>
  <c r="O558" i="12"/>
  <c r="N558" i="12"/>
  <c r="Q558" i="12" s="1"/>
  <c r="M558" i="12"/>
  <c r="L558" i="12"/>
  <c r="K558" i="12"/>
  <c r="J558" i="12"/>
  <c r="H558" i="12"/>
  <c r="G558" i="12"/>
  <c r="F558" i="12"/>
  <c r="I558" i="12" s="1"/>
  <c r="E558" i="12"/>
  <c r="R558" i="12" s="1"/>
  <c r="D558" i="12"/>
  <c r="C558" i="12"/>
  <c r="B558" i="12"/>
  <c r="Q557" i="12"/>
  <c r="M557" i="12"/>
  <c r="I557" i="12"/>
  <c r="E557" i="12"/>
  <c r="R557" i="12" s="1"/>
  <c r="Q556" i="12"/>
  <c r="M556" i="12"/>
  <c r="I556" i="12"/>
  <c r="R556" i="12" s="1"/>
  <c r="E556" i="12"/>
  <c r="Q555" i="12"/>
  <c r="M555" i="12"/>
  <c r="I555" i="12"/>
  <c r="E555" i="12"/>
  <c r="R555" i="12" s="1"/>
  <c r="P551" i="12"/>
  <c r="O551" i="12"/>
  <c r="N551" i="12"/>
  <c r="Q551" i="12" s="1"/>
  <c r="M551" i="12"/>
  <c r="L551" i="12"/>
  <c r="K551" i="12"/>
  <c r="J551" i="12"/>
  <c r="H551" i="12"/>
  <c r="G551" i="12"/>
  <c r="F551" i="12"/>
  <c r="I551" i="12" s="1"/>
  <c r="C551" i="12"/>
  <c r="B551" i="12"/>
  <c r="Q549" i="12"/>
  <c r="M549" i="12"/>
  <c r="I549" i="12"/>
  <c r="E549" i="12"/>
  <c r="R549" i="12" s="1"/>
  <c r="D549" i="12"/>
  <c r="D902" i="12" s="1"/>
  <c r="P546" i="12"/>
  <c r="P568" i="12" s="1"/>
  <c r="P571" i="12" s="1"/>
  <c r="O546" i="12"/>
  <c r="O568" i="12" s="1"/>
  <c r="O571" i="12" s="1"/>
  <c r="N546" i="12"/>
  <c r="N568" i="12" s="1"/>
  <c r="N571" i="12" s="1"/>
  <c r="M546" i="12"/>
  <c r="L546" i="12"/>
  <c r="L568" i="12" s="1"/>
  <c r="L571" i="12" s="1"/>
  <c r="K546" i="12"/>
  <c r="K568" i="12" s="1"/>
  <c r="J546" i="12"/>
  <c r="J568" i="12" s="1"/>
  <c r="H546" i="12"/>
  <c r="H568" i="12" s="1"/>
  <c r="H571" i="12" s="1"/>
  <c r="G546" i="12"/>
  <c r="G568" i="12" s="1"/>
  <c r="G571" i="12" s="1"/>
  <c r="F546" i="12"/>
  <c r="E546" i="12"/>
  <c r="D546" i="12"/>
  <c r="C546" i="12"/>
  <c r="C568" i="12" s="1"/>
  <c r="C571" i="12" s="1"/>
  <c r="B546" i="12"/>
  <c r="Q543" i="12"/>
  <c r="M543" i="12"/>
  <c r="I543" i="12"/>
  <c r="E543" i="12"/>
  <c r="R543" i="12" s="1"/>
  <c r="Q542" i="12"/>
  <c r="M542" i="12"/>
  <c r="I542" i="12"/>
  <c r="E542" i="12"/>
  <c r="R542" i="12" s="1"/>
  <c r="Q540" i="12"/>
  <c r="M540" i="12"/>
  <c r="I540" i="12"/>
  <c r="E540" i="12"/>
  <c r="Q539" i="12"/>
  <c r="M539" i="12"/>
  <c r="I539" i="12"/>
  <c r="E539" i="12"/>
  <c r="R539" i="12" s="1"/>
  <c r="R538" i="12"/>
  <c r="Q538" i="12"/>
  <c r="M538" i="12"/>
  <c r="I538" i="12"/>
  <c r="E538" i="12"/>
  <c r="Q537" i="12"/>
  <c r="M537" i="12"/>
  <c r="I537" i="12"/>
  <c r="E537" i="12"/>
  <c r="R537" i="12" s="1"/>
  <c r="Q536" i="12"/>
  <c r="M536" i="12"/>
  <c r="I536" i="12"/>
  <c r="R536" i="12" s="1"/>
  <c r="E536" i="12"/>
  <c r="Q518" i="12"/>
  <c r="M518" i="12"/>
  <c r="I518" i="12"/>
  <c r="E518" i="12"/>
  <c r="R518" i="12" s="1"/>
  <c r="Q517" i="12"/>
  <c r="M517" i="12"/>
  <c r="I517" i="12"/>
  <c r="E517" i="12"/>
  <c r="Q516" i="12"/>
  <c r="M516" i="12"/>
  <c r="I516" i="12"/>
  <c r="R516" i="12" s="1"/>
  <c r="E516" i="12"/>
  <c r="P514" i="12"/>
  <c r="O514" i="12"/>
  <c r="N514" i="12"/>
  <c r="Q514" i="12" s="1"/>
  <c r="L514" i="12"/>
  <c r="K514" i="12"/>
  <c r="J514" i="12"/>
  <c r="M514" i="12" s="1"/>
  <c r="H514" i="12"/>
  <c r="G514" i="12"/>
  <c r="F514" i="12"/>
  <c r="I514" i="12" s="1"/>
  <c r="D514" i="12"/>
  <c r="C514" i="12"/>
  <c r="B514" i="12"/>
  <c r="P513" i="12"/>
  <c r="O513" i="12"/>
  <c r="N513" i="12"/>
  <c r="Q513" i="12" s="1"/>
  <c r="L513" i="12"/>
  <c r="K513" i="12"/>
  <c r="J513" i="12"/>
  <c r="H513" i="12"/>
  <c r="G513" i="12"/>
  <c r="F513" i="12"/>
  <c r="I513" i="12" s="1"/>
  <c r="D513" i="12"/>
  <c r="C513" i="12"/>
  <c r="B513" i="12"/>
  <c r="Q512" i="12"/>
  <c r="M512" i="12"/>
  <c r="I512" i="12"/>
  <c r="E512" i="12"/>
  <c r="R512" i="12" s="1"/>
  <c r="Q511" i="12"/>
  <c r="M511" i="12"/>
  <c r="R511" i="12" s="1"/>
  <c r="I511" i="12"/>
  <c r="E511" i="12"/>
  <c r="Q510" i="12"/>
  <c r="M510" i="12"/>
  <c r="I510" i="12"/>
  <c r="E510" i="12"/>
  <c r="R510" i="12" s="1"/>
  <c r="R509" i="12"/>
  <c r="Q509" i="12"/>
  <c r="M509" i="12"/>
  <c r="I509" i="12"/>
  <c r="E509" i="12"/>
  <c r="Q508" i="12"/>
  <c r="M508" i="12"/>
  <c r="I508" i="12"/>
  <c r="E508" i="12"/>
  <c r="R508" i="12" s="1"/>
  <c r="Q507" i="12"/>
  <c r="M507" i="12"/>
  <c r="J507" i="12"/>
  <c r="J914" i="12" s="1"/>
  <c r="M914" i="12" s="1"/>
  <c r="I507" i="12"/>
  <c r="E507" i="12"/>
  <c r="R506" i="12"/>
  <c r="Q506" i="12"/>
  <c r="M506" i="12"/>
  <c r="I506" i="12"/>
  <c r="E506" i="12"/>
  <c r="Q505" i="12"/>
  <c r="M505" i="12"/>
  <c r="I505" i="12"/>
  <c r="E505" i="12"/>
  <c r="Q504" i="12"/>
  <c r="M504" i="12"/>
  <c r="I504" i="12"/>
  <c r="E504" i="12"/>
  <c r="R504" i="12" s="1"/>
  <c r="Q503" i="12"/>
  <c r="M503" i="12"/>
  <c r="I503" i="12"/>
  <c r="E503" i="12"/>
  <c r="R503" i="12" s="1"/>
  <c r="Q501" i="12"/>
  <c r="M501" i="12"/>
  <c r="I501" i="12"/>
  <c r="E501" i="12"/>
  <c r="Q500" i="12"/>
  <c r="M500" i="12"/>
  <c r="I500" i="12"/>
  <c r="E500" i="12"/>
  <c r="R500" i="12" s="1"/>
  <c r="Q499" i="12"/>
  <c r="M499" i="12"/>
  <c r="R499" i="12" s="1"/>
  <c r="I499" i="12"/>
  <c r="E499" i="12"/>
  <c r="Q498" i="12"/>
  <c r="M498" i="12"/>
  <c r="I498" i="12"/>
  <c r="R498" i="12" s="1"/>
  <c r="E498" i="12"/>
  <c r="R497" i="12"/>
  <c r="Q497" i="12"/>
  <c r="M497" i="12"/>
  <c r="I497" i="12"/>
  <c r="E497" i="12"/>
  <c r="Q496" i="12"/>
  <c r="M496" i="12"/>
  <c r="I496" i="12"/>
  <c r="E496" i="12"/>
  <c r="Q494" i="12"/>
  <c r="M494" i="12"/>
  <c r="I494" i="12"/>
  <c r="E494" i="12"/>
  <c r="Q493" i="12"/>
  <c r="R493" i="12" s="1"/>
  <c r="M493" i="12"/>
  <c r="I493" i="12"/>
  <c r="E493" i="12"/>
  <c r="Q491" i="12"/>
  <c r="M491" i="12"/>
  <c r="I491" i="12"/>
  <c r="E491" i="12"/>
  <c r="R491" i="12" s="1"/>
  <c r="O488" i="12"/>
  <c r="C488" i="12"/>
  <c r="P487" i="12"/>
  <c r="P488" i="12" s="1"/>
  <c r="O487" i="12"/>
  <c r="N487" i="12"/>
  <c r="Q487" i="12" s="1"/>
  <c r="L487" i="12"/>
  <c r="L488" i="12" s="1"/>
  <c r="K487" i="12"/>
  <c r="J487" i="12"/>
  <c r="H487" i="12"/>
  <c r="G487" i="12"/>
  <c r="F487" i="12"/>
  <c r="I487" i="12" s="1"/>
  <c r="D487" i="12"/>
  <c r="E487" i="12" s="1"/>
  <c r="C487" i="12"/>
  <c r="B487" i="12"/>
  <c r="Q486" i="12"/>
  <c r="M486" i="12"/>
  <c r="I486" i="12"/>
  <c r="E486" i="12"/>
  <c r="R486" i="12" s="1"/>
  <c r="Q485" i="12"/>
  <c r="M485" i="12"/>
  <c r="I485" i="12"/>
  <c r="E485" i="12"/>
  <c r="R485" i="12" s="1"/>
  <c r="Q484" i="12"/>
  <c r="M484" i="12"/>
  <c r="I484" i="12"/>
  <c r="R484" i="12" s="1"/>
  <c r="E484" i="12"/>
  <c r="Q483" i="12"/>
  <c r="M483" i="12"/>
  <c r="I483" i="12"/>
  <c r="E483" i="12"/>
  <c r="Q482" i="12"/>
  <c r="M482" i="12"/>
  <c r="I482" i="12"/>
  <c r="E482" i="12"/>
  <c r="R482" i="12" s="1"/>
  <c r="R481" i="12"/>
  <c r="Q481" i="12"/>
  <c r="M481" i="12"/>
  <c r="I481" i="12"/>
  <c r="E481" i="12"/>
  <c r="Q480" i="12"/>
  <c r="M480" i="12"/>
  <c r="I480" i="12"/>
  <c r="E480" i="12"/>
  <c r="R480" i="12" s="1"/>
  <c r="Q479" i="12"/>
  <c r="M479" i="12"/>
  <c r="R479" i="12" s="1"/>
  <c r="I479" i="12"/>
  <c r="E479" i="12"/>
  <c r="Q478" i="12"/>
  <c r="M478" i="12"/>
  <c r="I478" i="12"/>
  <c r="E478" i="12"/>
  <c r="R478" i="12" s="1"/>
  <c r="Q477" i="12"/>
  <c r="M477" i="12"/>
  <c r="I477" i="12"/>
  <c r="E477" i="12"/>
  <c r="R477" i="12" s="1"/>
  <c r="Q476" i="12"/>
  <c r="M476" i="12"/>
  <c r="I476" i="12"/>
  <c r="E476" i="12"/>
  <c r="Q475" i="12"/>
  <c r="M475" i="12"/>
  <c r="I475" i="12"/>
  <c r="E475" i="12"/>
  <c r="R474" i="12"/>
  <c r="Q474" i="12"/>
  <c r="M474" i="12"/>
  <c r="I474" i="12"/>
  <c r="E474" i="12"/>
  <c r="Q473" i="12"/>
  <c r="M473" i="12"/>
  <c r="I473" i="12"/>
  <c r="R473" i="12" s="1"/>
  <c r="E473" i="12"/>
  <c r="Q472" i="12"/>
  <c r="M472" i="12"/>
  <c r="I472" i="12"/>
  <c r="E472" i="12"/>
  <c r="R472" i="12" s="1"/>
  <c r="Q471" i="12"/>
  <c r="M471" i="12"/>
  <c r="R471" i="12" s="1"/>
  <c r="I471" i="12"/>
  <c r="E471" i="12"/>
  <c r="Q470" i="12"/>
  <c r="M470" i="12"/>
  <c r="I470" i="12"/>
  <c r="E470" i="12"/>
  <c r="R470" i="12" s="1"/>
  <c r="R469" i="12"/>
  <c r="Q469" i="12"/>
  <c r="M469" i="12"/>
  <c r="I469" i="12"/>
  <c r="E469" i="12"/>
  <c r="Q468" i="12"/>
  <c r="M468" i="12"/>
  <c r="I468" i="12"/>
  <c r="E468" i="12"/>
  <c r="R468" i="12" s="1"/>
  <c r="Q467" i="12"/>
  <c r="M467" i="12"/>
  <c r="I467" i="12"/>
  <c r="E467" i="12"/>
  <c r="Q466" i="12"/>
  <c r="O466" i="12"/>
  <c r="M466" i="12"/>
  <c r="I466" i="12"/>
  <c r="E466" i="12"/>
  <c r="R466" i="12" s="1"/>
  <c r="Q465" i="12"/>
  <c r="M465" i="12"/>
  <c r="I465" i="12"/>
  <c r="E465" i="12"/>
  <c r="R465" i="12" s="1"/>
  <c r="Q464" i="12"/>
  <c r="M464" i="12"/>
  <c r="L464" i="12"/>
  <c r="K464" i="12"/>
  <c r="I464" i="12"/>
  <c r="E464" i="12"/>
  <c r="Q463" i="12"/>
  <c r="M463" i="12"/>
  <c r="L463" i="12"/>
  <c r="K463" i="12"/>
  <c r="I463" i="12"/>
  <c r="E463" i="12"/>
  <c r="R463" i="12" s="1"/>
  <c r="Q462" i="12"/>
  <c r="M462" i="12"/>
  <c r="I462" i="12"/>
  <c r="E462" i="12"/>
  <c r="R462" i="12" s="1"/>
  <c r="Q461" i="12"/>
  <c r="M461" i="12"/>
  <c r="I461" i="12"/>
  <c r="E461" i="12"/>
  <c r="Q460" i="12"/>
  <c r="M460" i="12"/>
  <c r="I460" i="12"/>
  <c r="E460" i="12"/>
  <c r="R459" i="12"/>
  <c r="Q459" i="12"/>
  <c r="N459" i="12"/>
  <c r="M459" i="12"/>
  <c r="I459" i="12"/>
  <c r="E459" i="12"/>
  <c r="Q458" i="12"/>
  <c r="M458" i="12"/>
  <c r="I458" i="12"/>
  <c r="E458" i="12"/>
  <c r="Q457" i="12"/>
  <c r="M457" i="12"/>
  <c r="I457" i="12"/>
  <c r="E457" i="12"/>
  <c r="Q456" i="12"/>
  <c r="M456" i="12"/>
  <c r="I456" i="12"/>
  <c r="E456" i="12"/>
  <c r="R456" i="12" s="1"/>
  <c r="Q455" i="12"/>
  <c r="M455" i="12"/>
  <c r="I455" i="12"/>
  <c r="E455" i="12"/>
  <c r="R455" i="12" s="1"/>
  <c r="Q454" i="12"/>
  <c r="M454" i="12"/>
  <c r="I454" i="12"/>
  <c r="R454" i="12" s="1"/>
  <c r="E454" i="12"/>
  <c r="Q453" i="12"/>
  <c r="M453" i="12"/>
  <c r="R453" i="12" s="1"/>
  <c r="I453" i="12"/>
  <c r="E453" i="12"/>
  <c r="Q452" i="12"/>
  <c r="K452" i="12"/>
  <c r="M452" i="12" s="1"/>
  <c r="I452" i="12"/>
  <c r="E452" i="12"/>
  <c r="R452" i="12" s="1"/>
  <c r="Q451" i="12"/>
  <c r="M451" i="12"/>
  <c r="I451" i="12"/>
  <c r="R451" i="12" s="1"/>
  <c r="E451" i="12"/>
  <c r="R450" i="12"/>
  <c r="Q450" i="12"/>
  <c r="M450" i="12"/>
  <c r="I450" i="12"/>
  <c r="E450" i="12"/>
  <c r="Q449" i="12"/>
  <c r="M449" i="12"/>
  <c r="I449" i="12"/>
  <c r="R449" i="12" s="1"/>
  <c r="E449" i="12"/>
  <c r="Q448" i="12"/>
  <c r="M448" i="12"/>
  <c r="I448" i="12"/>
  <c r="E448" i="12"/>
  <c r="R448" i="12" s="1"/>
  <c r="Q447" i="12"/>
  <c r="M447" i="12"/>
  <c r="I447" i="12"/>
  <c r="E447" i="12"/>
  <c r="Q446" i="12"/>
  <c r="M446" i="12"/>
  <c r="I446" i="12"/>
  <c r="E446" i="12"/>
  <c r="R446" i="12" s="1"/>
  <c r="Q445" i="12"/>
  <c r="M445" i="12"/>
  <c r="I445" i="12"/>
  <c r="E445" i="12"/>
  <c r="R445" i="12" s="1"/>
  <c r="Q444" i="12"/>
  <c r="M444" i="12"/>
  <c r="I444" i="12"/>
  <c r="E444" i="12"/>
  <c r="R444" i="12" s="1"/>
  <c r="Q443" i="12"/>
  <c r="M443" i="12"/>
  <c r="H443" i="12"/>
  <c r="G443" i="12"/>
  <c r="F443" i="12"/>
  <c r="I443" i="12" s="1"/>
  <c r="E443" i="12"/>
  <c r="D443" i="12"/>
  <c r="C443" i="12"/>
  <c r="Q442" i="12"/>
  <c r="M442" i="12"/>
  <c r="I442" i="12"/>
  <c r="E442" i="12"/>
  <c r="R442" i="12" s="1"/>
  <c r="Q441" i="12"/>
  <c r="M441" i="12"/>
  <c r="H441" i="12"/>
  <c r="H488" i="12" s="1"/>
  <c r="G441" i="12"/>
  <c r="F441" i="12"/>
  <c r="E441" i="12"/>
  <c r="Q440" i="12"/>
  <c r="M440" i="12"/>
  <c r="I440" i="12"/>
  <c r="E440" i="12"/>
  <c r="R440" i="12" s="1"/>
  <c r="O439" i="12"/>
  <c r="N439" i="12"/>
  <c r="Q439" i="12" s="1"/>
  <c r="J439" i="12"/>
  <c r="J488" i="12" s="1"/>
  <c r="I439" i="12"/>
  <c r="E439" i="12"/>
  <c r="Q438" i="12"/>
  <c r="M438" i="12"/>
  <c r="I438" i="12"/>
  <c r="G438" i="12"/>
  <c r="E438" i="12"/>
  <c r="R438" i="12" s="1"/>
  <c r="Q437" i="12"/>
  <c r="P437" i="12"/>
  <c r="O437" i="12"/>
  <c r="N437" i="12"/>
  <c r="M437" i="12"/>
  <c r="L437" i="12"/>
  <c r="K437" i="12"/>
  <c r="I437" i="12"/>
  <c r="E437" i="12"/>
  <c r="R437" i="12" s="1"/>
  <c r="Q436" i="12"/>
  <c r="M436" i="12"/>
  <c r="I436" i="12"/>
  <c r="E436" i="12"/>
  <c r="R436" i="12" s="1"/>
  <c r="Q435" i="12"/>
  <c r="M435" i="12"/>
  <c r="K435" i="12"/>
  <c r="I435" i="12"/>
  <c r="G435" i="12"/>
  <c r="G488" i="12" s="1"/>
  <c r="F435" i="12"/>
  <c r="D435" i="12"/>
  <c r="C435" i="12"/>
  <c r="B435" i="12"/>
  <c r="Q434" i="12"/>
  <c r="M434" i="12"/>
  <c r="I434" i="12"/>
  <c r="E434" i="12"/>
  <c r="Q433" i="12"/>
  <c r="M433" i="12"/>
  <c r="I433" i="12"/>
  <c r="E433" i="12"/>
  <c r="R432" i="12"/>
  <c r="Q432" i="12"/>
  <c r="M432" i="12"/>
  <c r="I432" i="12"/>
  <c r="E432" i="12"/>
  <c r="Q431" i="12"/>
  <c r="M431" i="12"/>
  <c r="I431" i="12"/>
  <c r="R431" i="12" s="1"/>
  <c r="E431" i="12"/>
  <c r="Q430" i="12"/>
  <c r="M430" i="12"/>
  <c r="I430" i="12"/>
  <c r="E430" i="12"/>
  <c r="R430" i="12" s="1"/>
  <c r="Q429" i="12"/>
  <c r="M429" i="12"/>
  <c r="R429" i="12" s="1"/>
  <c r="I429" i="12"/>
  <c r="E429" i="12"/>
  <c r="Q428" i="12"/>
  <c r="M428" i="12"/>
  <c r="I428" i="12"/>
  <c r="E428" i="12"/>
  <c r="R428" i="12" s="1"/>
  <c r="R427" i="12"/>
  <c r="Q427" i="12"/>
  <c r="M427" i="12"/>
  <c r="I427" i="12"/>
  <c r="E427" i="12"/>
  <c r="Q426" i="12"/>
  <c r="M426" i="12"/>
  <c r="I426" i="12"/>
  <c r="E426" i="12"/>
  <c r="R426" i="12" s="1"/>
  <c r="Q425" i="12"/>
  <c r="M425" i="12"/>
  <c r="I425" i="12"/>
  <c r="E425" i="12"/>
  <c r="Q424" i="12"/>
  <c r="R424" i="12" s="1"/>
  <c r="M424" i="12"/>
  <c r="I424" i="12"/>
  <c r="E424" i="12"/>
  <c r="Q423" i="12"/>
  <c r="M423" i="12"/>
  <c r="I423" i="12"/>
  <c r="E423" i="12"/>
  <c r="R423" i="12" s="1"/>
  <c r="Q421" i="12"/>
  <c r="M421" i="12"/>
  <c r="I421" i="12"/>
  <c r="E421" i="12"/>
  <c r="Q420" i="12"/>
  <c r="M420" i="12"/>
  <c r="R420" i="12" s="1"/>
  <c r="I420" i="12"/>
  <c r="E420" i="12"/>
  <c r="R419" i="12"/>
  <c r="Q419" i="12"/>
  <c r="M419" i="12"/>
  <c r="I419" i="12"/>
  <c r="E419" i="12"/>
  <c r="Q418" i="12"/>
  <c r="M418" i="12"/>
  <c r="I418" i="12"/>
  <c r="R418" i="12" s="1"/>
  <c r="E418" i="12"/>
  <c r="Q417" i="12"/>
  <c r="M417" i="12"/>
  <c r="I417" i="12"/>
  <c r="E417" i="12"/>
  <c r="Q414" i="12"/>
  <c r="P414" i="12"/>
  <c r="O414" i="12"/>
  <c r="N414" i="12"/>
  <c r="M414" i="12"/>
  <c r="L414" i="12"/>
  <c r="K414" i="12"/>
  <c r="J414" i="12"/>
  <c r="I414" i="12"/>
  <c r="H414" i="12"/>
  <c r="G414" i="12"/>
  <c r="F414" i="12"/>
  <c r="E414" i="12"/>
  <c r="R414" i="12" s="1"/>
  <c r="D414" i="12"/>
  <c r="C414" i="12"/>
  <c r="B414" i="12"/>
  <c r="Q412" i="12"/>
  <c r="M412" i="12"/>
  <c r="I412" i="12"/>
  <c r="E412" i="12"/>
  <c r="R412" i="12" s="1"/>
  <c r="Q411" i="12"/>
  <c r="M411" i="12"/>
  <c r="I411" i="12"/>
  <c r="E411" i="12"/>
  <c r="R411" i="12" s="1"/>
  <c r="Q410" i="12"/>
  <c r="M410" i="12"/>
  <c r="I410" i="12"/>
  <c r="E410" i="12"/>
  <c r="Q409" i="12"/>
  <c r="M409" i="12"/>
  <c r="I409" i="12"/>
  <c r="E409" i="12"/>
  <c r="AL408" i="12"/>
  <c r="AK408" i="12"/>
  <c r="AJ408" i="12"/>
  <c r="AI408" i="12"/>
  <c r="AG408" i="12"/>
  <c r="AF408" i="12"/>
  <c r="AE408" i="12"/>
  <c r="AH408" i="12" s="1"/>
  <c r="Y408" i="12"/>
  <c r="X408" i="12"/>
  <c r="W408" i="12"/>
  <c r="Z408" i="12" s="1"/>
  <c r="Q408" i="12"/>
  <c r="M408" i="12"/>
  <c r="I408" i="12"/>
  <c r="E408" i="12"/>
  <c r="R408" i="12" s="1"/>
  <c r="AK407" i="12"/>
  <c r="AJ407" i="12"/>
  <c r="AL407" i="12" s="1"/>
  <c r="AI407" i="12"/>
  <c r="AG407" i="12"/>
  <c r="AF407" i="12"/>
  <c r="AE407" i="12"/>
  <c r="AC407" i="12"/>
  <c r="AB407" i="12"/>
  <c r="Y407" i="12"/>
  <c r="X407" i="12"/>
  <c r="W407" i="12"/>
  <c r="Q407" i="12"/>
  <c r="R407" i="12" s="1"/>
  <c r="M407" i="12"/>
  <c r="I407" i="12"/>
  <c r="E407" i="12"/>
  <c r="AK406" i="12"/>
  <c r="AJ406" i="12"/>
  <c r="AI406" i="12"/>
  <c r="AL406" i="12" s="1"/>
  <c r="AG406" i="12"/>
  <c r="AF406" i="12"/>
  <c r="AE406" i="12"/>
  <c r="AH406" i="12" s="1"/>
  <c r="AB406" i="12"/>
  <c r="Z406" i="12"/>
  <c r="Y406" i="12"/>
  <c r="X406" i="12"/>
  <c r="W406" i="12"/>
  <c r="Q406" i="12"/>
  <c r="M406" i="12"/>
  <c r="I406" i="12"/>
  <c r="E406" i="12"/>
  <c r="R406" i="12" s="1"/>
  <c r="AL405" i="12"/>
  <c r="AH405" i="12"/>
  <c r="AC405" i="12"/>
  <c r="AC408" i="12" s="1"/>
  <c r="AB405" i="12"/>
  <c r="AB408" i="12" s="1"/>
  <c r="AA405" i="12"/>
  <c r="AA407" i="12" s="1"/>
  <c r="AD407" i="12" s="1"/>
  <c r="Z405" i="12"/>
  <c r="Q405" i="12"/>
  <c r="M405" i="12"/>
  <c r="I405" i="12"/>
  <c r="E405" i="12"/>
  <c r="R405" i="12" s="1"/>
  <c r="Q404" i="12"/>
  <c r="M404" i="12"/>
  <c r="R404" i="12" s="1"/>
  <c r="I404" i="12"/>
  <c r="E404" i="12"/>
  <c r="W403" i="12"/>
  <c r="K400" i="12"/>
  <c r="H400" i="12"/>
  <c r="B400" i="12"/>
  <c r="Q398" i="12"/>
  <c r="M398" i="12"/>
  <c r="I398" i="12"/>
  <c r="E398" i="12"/>
  <c r="Q397" i="12"/>
  <c r="M397" i="12"/>
  <c r="R397" i="12" s="1"/>
  <c r="I397" i="12"/>
  <c r="E397" i="12"/>
  <c r="R396" i="12"/>
  <c r="Q396" i="12"/>
  <c r="M396" i="12"/>
  <c r="I396" i="12"/>
  <c r="E396" i="12"/>
  <c r="Q395" i="12"/>
  <c r="M395" i="12"/>
  <c r="I395" i="12"/>
  <c r="R395" i="12" s="1"/>
  <c r="E395" i="12"/>
  <c r="Q393" i="12"/>
  <c r="M393" i="12"/>
  <c r="I393" i="12"/>
  <c r="E393" i="12"/>
  <c r="Q392" i="12"/>
  <c r="M392" i="12"/>
  <c r="I392" i="12"/>
  <c r="E392" i="12"/>
  <c r="R392" i="12" s="1"/>
  <c r="Q391" i="12"/>
  <c r="M391" i="12"/>
  <c r="I391" i="12"/>
  <c r="R391" i="12" s="1"/>
  <c r="E391" i="12"/>
  <c r="R390" i="12"/>
  <c r="Q390" i="12"/>
  <c r="M390" i="12"/>
  <c r="I390" i="12"/>
  <c r="E390" i="12"/>
  <c r="Q389" i="12"/>
  <c r="M389" i="12"/>
  <c r="I389" i="12"/>
  <c r="E389" i="12"/>
  <c r="R389" i="12" s="1"/>
  <c r="Q388" i="12"/>
  <c r="M388" i="12"/>
  <c r="I388" i="12"/>
  <c r="E388" i="12"/>
  <c r="R388" i="12" s="1"/>
  <c r="R387" i="12"/>
  <c r="Q387" i="12"/>
  <c r="M387" i="12"/>
  <c r="I387" i="12"/>
  <c r="E387" i="12"/>
  <c r="Q386" i="12"/>
  <c r="M386" i="12"/>
  <c r="I386" i="12"/>
  <c r="R386" i="12" s="1"/>
  <c r="E386" i="12"/>
  <c r="R385" i="12"/>
  <c r="Q385" i="12"/>
  <c r="M385" i="12"/>
  <c r="I385" i="12"/>
  <c r="E385" i="12"/>
  <c r="Q384" i="12"/>
  <c r="M384" i="12"/>
  <c r="I384" i="12"/>
  <c r="R384" i="12" s="1"/>
  <c r="E384" i="12"/>
  <c r="Q383" i="12"/>
  <c r="M383" i="12"/>
  <c r="I383" i="12"/>
  <c r="E383" i="12"/>
  <c r="R383" i="12" s="1"/>
  <c r="Q381" i="12"/>
  <c r="M381" i="12"/>
  <c r="I381" i="12"/>
  <c r="E381" i="12"/>
  <c r="R381" i="12" s="1"/>
  <c r="Q380" i="12"/>
  <c r="M380" i="12"/>
  <c r="I380" i="12"/>
  <c r="R380" i="12" s="1"/>
  <c r="E380" i="12"/>
  <c r="Q379" i="12"/>
  <c r="M379" i="12"/>
  <c r="I379" i="12"/>
  <c r="E379" i="12"/>
  <c r="R379" i="12" s="1"/>
  <c r="Q378" i="12"/>
  <c r="M378" i="12"/>
  <c r="I378" i="12"/>
  <c r="E378" i="12"/>
  <c r="R378" i="12" s="1"/>
  <c r="Q377" i="12"/>
  <c r="M377" i="12"/>
  <c r="I377" i="12"/>
  <c r="E377" i="12"/>
  <c r="R377" i="12" s="1"/>
  <c r="Q376" i="12"/>
  <c r="M376" i="12"/>
  <c r="I376" i="12"/>
  <c r="E376" i="12"/>
  <c r="Q375" i="12"/>
  <c r="L375" i="12"/>
  <c r="M375" i="12" s="1"/>
  <c r="I375" i="12"/>
  <c r="E375" i="12"/>
  <c r="D375" i="12"/>
  <c r="C375" i="12"/>
  <c r="B375" i="12"/>
  <c r="Q374" i="12"/>
  <c r="M374" i="12"/>
  <c r="R374" i="12" s="1"/>
  <c r="I374" i="12"/>
  <c r="E374" i="12"/>
  <c r="Q373" i="12"/>
  <c r="M373" i="12"/>
  <c r="I373" i="12"/>
  <c r="H373" i="12"/>
  <c r="E373" i="12"/>
  <c r="R373" i="12" s="1"/>
  <c r="D373" i="12"/>
  <c r="Q372" i="12"/>
  <c r="M372" i="12"/>
  <c r="I372" i="12"/>
  <c r="E372" i="12"/>
  <c r="R372" i="12" s="1"/>
  <c r="Q371" i="12"/>
  <c r="P371" i="12"/>
  <c r="P400" i="12" s="1"/>
  <c r="P515" i="12" s="1"/>
  <c r="P520" i="12" s="1"/>
  <c r="O371" i="12"/>
  <c r="N371" i="12"/>
  <c r="L371" i="12"/>
  <c r="K371" i="12"/>
  <c r="M371" i="12" s="1"/>
  <c r="J371" i="12"/>
  <c r="I371" i="12"/>
  <c r="H371" i="12"/>
  <c r="E371" i="12"/>
  <c r="R371" i="12" s="1"/>
  <c r="D371" i="12"/>
  <c r="C371" i="12"/>
  <c r="B371" i="12"/>
  <c r="Q370" i="12"/>
  <c r="M370" i="12"/>
  <c r="R370" i="12" s="1"/>
  <c r="I370" i="12"/>
  <c r="E370" i="12"/>
  <c r="Q369" i="12"/>
  <c r="M369" i="12"/>
  <c r="I369" i="12"/>
  <c r="E369" i="12"/>
  <c r="R369" i="12" s="1"/>
  <c r="R368" i="12"/>
  <c r="Q368" i="12"/>
  <c r="M368" i="12"/>
  <c r="I368" i="12"/>
  <c r="E368" i="12"/>
  <c r="Q367" i="12"/>
  <c r="M367" i="12"/>
  <c r="I367" i="12"/>
  <c r="R367" i="12" s="1"/>
  <c r="E367" i="12"/>
  <c r="Q366" i="12"/>
  <c r="M366" i="12"/>
  <c r="I366" i="12"/>
  <c r="E366" i="12"/>
  <c r="R366" i="12" s="1"/>
  <c r="Q365" i="12"/>
  <c r="M365" i="12"/>
  <c r="I365" i="12"/>
  <c r="E365" i="12"/>
  <c r="R365" i="12" s="1"/>
  <c r="Q364" i="12"/>
  <c r="M364" i="12"/>
  <c r="I364" i="12"/>
  <c r="E364" i="12"/>
  <c r="R364" i="12" s="1"/>
  <c r="Q363" i="12"/>
  <c r="M363" i="12"/>
  <c r="I363" i="12"/>
  <c r="E363" i="12"/>
  <c r="R363" i="12" s="1"/>
  <c r="Q362" i="12"/>
  <c r="M362" i="12"/>
  <c r="R362" i="12" s="1"/>
  <c r="I362" i="12"/>
  <c r="E362" i="12"/>
  <c r="Q361" i="12"/>
  <c r="M361" i="12"/>
  <c r="I361" i="12"/>
  <c r="E361" i="12"/>
  <c r="R361" i="12" s="1"/>
  <c r="R360" i="12"/>
  <c r="Q360" i="12"/>
  <c r="M360" i="12"/>
  <c r="K360" i="12"/>
  <c r="I360" i="12"/>
  <c r="E360" i="12"/>
  <c r="Q359" i="12"/>
  <c r="M359" i="12"/>
  <c r="R359" i="12" s="1"/>
  <c r="I359" i="12"/>
  <c r="E359" i="12"/>
  <c r="C359" i="12"/>
  <c r="Q358" i="12"/>
  <c r="M358" i="12"/>
  <c r="I358" i="12"/>
  <c r="E358" i="12"/>
  <c r="R358" i="12" s="1"/>
  <c r="Q357" i="12"/>
  <c r="M357" i="12"/>
  <c r="I357" i="12"/>
  <c r="E357" i="12"/>
  <c r="R357" i="12" s="1"/>
  <c r="O356" i="12"/>
  <c r="O400" i="12" s="1"/>
  <c r="O515" i="12" s="1"/>
  <c r="O520" i="12" s="1"/>
  <c r="N356" i="12"/>
  <c r="N400" i="12" s="1"/>
  <c r="M356" i="12"/>
  <c r="L356" i="12"/>
  <c r="K356" i="12"/>
  <c r="J356" i="12"/>
  <c r="H356" i="12"/>
  <c r="G356" i="12"/>
  <c r="G400" i="12" s="1"/>
  <c r="F356" i="12"/>
  <c r="F400" i="12" s="1"/>
  <c r="E356" i="12"/>
  <c r="D356" i="12"/>
  <c r="D400" i="12" s="1"/>
  <c r="C356" i="12"/>
  <c r="C400" i="12" s="1"/>
  <c r="C515" i="12" s="1"/>
  <c r="C520" i="12" s="1"/>
  <c r="B356" i="12"/>
  <c r="Q355" i="12"/>
  <c r="M355" i="12"/>
  <c r="R355" i="12" s="1"/>
  <c r="I355" i="12"/>
  <c r="E355" i="12"/>
  <c r="Q354" i="12"/>
  <c r="J354" i="12"/>
  <c r="M354" i="12" s="1"/>
  <c r="I354" i="12"/>
  <c r="E354" i="12"/>
  <c r="R354" i="12" s="1"/>
  <c r="Q353" i="12"/>
  <c r="M353" i="12"/>
  <c r="I353" i="12"/>
  <c r="E353" i="12"/>
  <c r="R353" i="12" s="1"/>
  <c r="Q352" i="12"/>
  <c r="M352" i="12"/>
  <c r="R352" i="12" s="1"/>
  <c r="I352" i="12"/>
  <c r="E352" i="12"/>
  <c r="Q351" i="12"/>
  <c r="M351" i="12"/>
  <c r="I351" i="12"/>
  <c r="R351" i="12" s="1"/>
  <c r="E351" i="12"/>
  <c r="R350" i="12"/>
  <c r="Q350" i="12"/>
  <c r="M350" i="12"/>
  <c r="I350" i="12"/>
  <c r="E350" i="12"/>
  <c r="Q349" i="12"/>
  <c r="M349" i="12"/>
  <c r="I349" i="12"/>
  <c r="R349" i="12" s="1"/>
  <c r="E349" i="12"/>
  <c r="Q348" i="12"/>
  <c r="M348" i="12"/>
  <c r="I348" i="12"/>
  <c r="E348" i="12"/>
  <c r="R348" i="12" s="1"/>
  <c r="Q347" i="12"/>
  <c r="J347" i="12"/>
  <c r="J400" i="12" s="1"/>
  <c r="I347" i="12"/>
  <c r="E347" i="12"/>
  <c r="Q339" i="12"/>
  <c r="P339" i="12"/>
  <c r="O339" i="12"/>
  <c r="N339" i="12"/>
  <c r="L339" i="12"/>
  <c r="K339" i="12"/>
  <c r="M339" i="12" s="1"/>
  <c r="J339" i="12"/>
  <c r="I339" i="12"/>
  <c r="H339" i="12"/>
  <c r="G339" i="12"/>
  <c r="F339" i="12"/>
  <c r="D339" i="12"/>
  <c r="C339" i="12"/>
  <c r="E339" i="12" s="1"/>
  <c r="B339" i="12"/>
  <c r="Q337" i="12"/>
  <c r="M337" i="12"/>
  <c r="I337" i="12"/>
  <c r="E337" i="12"/>
  <c r="R337" i="12" s="1"/>
  <c r="R339" i="12" s="1"/>
  <c r="Q333" i="12"/>
  <c r="M333" i="12"/>
  <c r="I333" i="12"/>
  <c r="E333" i="12"/>
  <c r="R333" i="12" s="1"/>
  <c r="Q326" i="12"/>
  <c r="M326" i="12"/>
  <c r="I326" i="12"/>
  <c r="E326" i="12"/>
  <c r="R326" i="12" s="1"/>
  <c r="Q325" i="12"/>
  <c r="M325" i="12"/>
  <c r="I325" i="12"/>
  <c r="E325" i="12"/>
  <c r="R325" i="12" s="1"/>
  <c r="Q324" i="12"/>
  <c r="M324" i="12"/>
  <c r="I324" i="12"/>
  <c r="E324" i="12"/>
  <c r="R324" i="12" s="1"/>
  <c r="Q323" i="12"/>
  <c r="M323" i="12"/>
  <c r="I323" i="12"/>
  <c r="E323" i="12"/>
  <c r="R323" i="12" s="1"/>
  <c r="Q322" i="12"/>
  <c r="M322" i="12"/>
  <c r="R322" i="12" s="1"/>
  <c r="I322" i="12"/>
  <c r="E322" i="12"/>
  <c r="Q321" i="12"/>
  <c r="M321" i="12"/>
  <c r="I321" i="12"/>
  <c r="R321" i="12" s="1"/>
  <c r="E321" i="12"/>
  <c r="Q319" i="12"/>
  <c r="P319" i="12"/>
  <c r="O319" i="12"/>
  <c r="N319" i="12"/>
  <c r="L319" i="12"/>
  <c r="K319" i="12"/>
  <c r="M319" i="12" s="1"/>
  <c r="J319" i="12"/>
  <c r="I319" i="12"/>
  <c r="H319" i="12"/>
  <c r="G319" i="12"/>
  <c r="F319" i="12"/>
  <c r="D319" i="12"/>
  <c r="C319" i="12"/>
  <c r="E319" i="12" s="1"/>
  <c r="B319" i="12"/>
  <c r="P318" i="12"/>
  <c r="O318" i="12"/>
  <c r="N318" i="12"/>
  <c r="Q318" i="12" s="1"/>
  <c r="L318" i="12"/>
  <c r="K318" i="12"/>
  <c r="J318" i="12"/>
  <c r="M318" i="12" s="1"/>
  <c r="H318" i="12"/>
  <c r="G318" i="12"/>
  <c r="F318" i="12"/>
  <c r="I318" i="12" s="1"/>
  <c r="D318" i="12"/>
  <c r="C318" i="12"/>
  <c r="B318" i="12"/>
  <c r="E318" i="12" s="1"/>
  <c r="R318" i="12" s="1"/>
  <c r="Q317" i="12"/>
  <c r="M317" i="12"/>
  <c r="I317" i="12"/>
  <c r="E317" i="12"/>
  <c r="R317" i="12" s="1"/>
  <c r="R315" i="12"/>
  <c r="Q315" i="12"/>
  <c r="M315" i="12"/>
  <c r="I315" i="12"/>
  <c r="E315" i="12"/>
  <c r="Q313" i="12"/>
  <c r="M313" i="12"/>
  <c r="I313" i="12"/>
  <c r="R313" i="12" s="1"/>
  <c r="E313" i="12"/>
  <c r="Q312" i="12"/>
  <c r="M312" i="12"/>
  <c r="I312" i="12"/>
  <c r="E312" i="12"/>
  <c r="R312" i="12" s="1"/>
  <c r="Q311" i="12"/>
  <c r="M311" i="12"/>
  <c r="I311" i="12"/>
  <c r="E311" i="12"/>
  <c r="R311" i="12" s="1"/>
  <c r="Q310" i="12"/>
  <c r="M310" i="12"/>
  <c r="I310" i="12"/>
  <c r="E310" i="12"/>
  <c r="R310" i="12" s="1"/>
  <c r="Q309" i="12"/>
  <c r="M309" i="12"/>
  <c r="I309" i="12"/>
  <c r="E309" i="12"/>
  <c r="R309" i="12" s="1"/>
  <c r="Q308" i="12"/>
  <c r="M308" i="12"/>
  <c r="I308" i="12"/>
  <c r="E308" i="12"/>
  <c r="R308" i="12" s="1"/>
  <c r="Q307" i="12"/>
  <c r="M307" i="12"/>
  <c r="I307" i="12"/>
  <c r="E307" i="12"/>
  <c r="R307" i="12" s="1"/>
  <c r="Q306" i="12"/>
  <c r="M306" i="12"/>
  <c r="I306" i="12"/>
  <c r="E306" i="12"/>
  <c r="R306" i="12" s="1"/>
  <c r="Q304" i="12"/>
  <c r="M304" i="12"/>
  <c r="I304" i="12"/>
  <c r="E304" i="12"/>
  <c r="R304" i="12" s="1"/>
  <c r="Q303" i="12"/>
  <c r="M303" i="12"/>
  <c r="I303" i="12"/>
  <c r="R303" i="12" s="1"/>
  <c r="E303" i="12"/>
  <c r="R302" i="12"/>
  <c r="Q302" i="12"/>
  <c r="M302" i="12"/>
  <c r="I302" i="12"/>
  <c r="E302" i="12"/>
  <c r="O299" i="12"/>
  <c r="G299" i="12"/>
  <c r="F299" i="12"/>
  <c r="B299" i="12"/>
  <c r="Q298" i="12"/>
  <c r="M298" i="12"/>
  <c r="I298" i="12"/>
  <c r="E298" i="12"/>
  <c r="R298" i="12" s="1"/>
  <c r="Q297" i="12"/>
  <c r="J297" i="12"/>
  <c r="J907" i="12" s="1"/>
  <c r="H297" i="12"/>
  <c r="I297" i="12" s="1"/>
  <c r="E297" i="12"/>
  <c r="Q296" i="12"/>
  <c r="M296" i="12"/>
  <c r="I296" i="12"/>
  <c r="E296" i="12"/>
  <c r="R296" i="12" s="1"/>
  <c r="Q295" i="12"/>
  <c r="M295" i="12"/>
  <c r="I295" i="12"/>
  <c r="E295" i="12"/>
  <c r="R295" i="12" s="1"/>
  <c r="Q294" i="12"/>
  <c r="M294" i="12"/>
  <c r="I294" i="12"/>
  <c r="E294" i="12"/>
  <c r="R294" i="12" s="1"/>
  <c r="Q293" i="12"/>
  <c r="M293" i="12"/>
  <c r="I293" i="12"/>
  <c r="D293" i="12"/>
  <c r="D907" i="12" s="1"/>
  <c r="D908" i="12" s="1"/>
  <c r="D937" i="12" s="1"/>
  <c r="C293" i="12"/>
  <c r="R292" i="12"/>
  <c r="Q292" i="12"/>
  <c r="M292" i="12"/>
  <c r="I292" i="12"/>
  <c r="E292" i="12"/>
  <c r="Q291" i="12"/>
  <c r="M291" i="12"/>
  <c r="I291" i="12"/>
  <c r="R291" i="12" s="1"/>
  <c r="E291" i="12"/>
  <c r="Q290" i="12"/>
  <c r="M290" i="12"/>
  <c r="I290" i="12"/>
  <c r="E290" i="12"/>
  <c r="R290" i="12" s="1"/>
  <c r="Q289" i="12"/>
  <c r="M289" i="12"/>
  <c r="I289" i="12"/>
  <c r="E289" i="12"/>
  <c r="R289" i="12" s="1"/>
  <c r="Q288" i="12"/>
  <c r="M288" i="12"/>
  <c r="I288" i="12"/>
  <c r="E288" i="12"/>
  <c r="R288" i="12" s="1"/>
  <c r="Q287" i="12"/>
  <c r="M287" i="12"/>
  <c r="I287" i="12"/>
  <c r="E287" i="12"/>
  <c r="R287" i="12" s="1"/>
  <c r="Q286" i="12"/>
  <c r="M286" i="12"/>
  <c r="R286" i="12" s="1"/>
  <c r="I286" i="12"/>
  <c r="E286" i="12"/>
  <c r="Q285" i="12"/>
  <c r="M285" i="12"/>
  <c r="I285" i="12"/>
  <c r="R285" i="12" s="1"/>
  <c r="E285" i="12"/>
  <c r="R284" i="12"/>
  <c r="Q284" i="12"/>
  <c r="M284" i="12"/>
  <c r="I284" i="12"/>
  <c r="E284" i="12"/>
  <c r="Q283" i="12"/>
  <c r="M283" i="12"/>
  <c r="I283" i="12"/>
  <c r="R283" i="12" s="1"/>
  <c r="E283" i="12"/>
  <c r="Q282" i="12"/>
  <c r="M282" i="12"/>
  <c r="I282" i="12"/>
  <c r="E282" i="12"/>
  <c r="R282" i="12" s="1"/>
  <c r="Q281" i="12"/>
  <c r="M281" i="12"/>
  <c r="I281" i="12"/>
  <c r="E281" i="12"/>
  <c r="R281" i="12" s="1"/>
  <c r="Q280" i="12"/>
  <c r="M280" i="12"/>
  <c r="I280" i="12"/>
  <c r="E280" i="12"/>
  <c r="R280" i="12" s="1"/>
  <c r="Q279" i="12"/>
  <c r="M279" i="12"/>
  <c r="I279" i="12"/>
  <c r="E279" i="12"/>
  <c r="R279" i="12" s="1"/>
  <c r="Q278" i="12"/>
  <c r="M278" i="12"/>
  <c r="H278" i="12"/>
  <c r="I278" i="12" s="1"/>
  <c r="R278" i="12" s="1"/>
  <c r="E278" i="12"/>
  <c r="Q277" i="12"/>
  <c r="M277" i="12"/>
  <c r="H277" i="12"/>
  <c r="H907" i="12" s="1"/>
  <c r="E277" i="12"/>
  <c r="Q276" i="12"/>
  <c r="M276" i="12"/>
  <c r="I276" i="12"/>
  <c r="E276" i="12"/>
  <c r="R276" i="12" s="1"/>
  <c r="Q275" i="12"/>
  <c r="M275" i="12"/>
  <c r="I275" i="12"/>
  <c r="E275" i="12"/>
  <c r="R275" i="12" s="1"/>
  <c r="Q274" i="12"/>
  <c r="M274" i="12"/>
  <c r="I274" i="12"/>
  <c r="E274" i="12"/>
  <c r="R274" i="12" s="1"/>
  <c r="Q273" i="12"/>
  <c r="M273" i="12"/>
  <c r="I273" i="12"/>
  <c r="E273" i="12"/>
  <c r="R273" i="12" s="1"/>
  <c r="Q272" i="12"/>
  <c r="M272" i="12"/>
  <c r="R272" i="12" s="1"/>
  <c r="I272" i="12"/>
  <c r="E272" i="12"/>
  <c r="Q271" i="12"/>
  <c r="M271" i="12"/>
  <c r="I271" i="12"/>
  <c r="E271" i="12"/>
  <c r="R271" i="12" s="1"/>
  <c r="R270" i="12"/>
  <c r="Q270" i="12"/>
  <c r="M270" i="12"/>
  <c r="I270" i="12"/>
  <c r="E270" i="12"/>
  <c r="Q269" i="12"/>
  <c r="M269" i="12"/>
  <c r="I269" i="12"/>
  <c r="R269" i="12" s="1"/>
  <c r="E269" i="12"/>
  <c r="Q268" i="12"/>
  <c r="M268" i="12"/>
  <c r="I268" i="12"/>
  <c r="E268" i="12"/>
  <c r="R268" i="12" s="1"/>
  <c r="Q267" i="12"/>
  <c r="M267" i="12"/>
  <c r="I267" i="12"/>
  <c r="E267" i="12"/>
  <c r="R267" i="12" s="1"/>
  <c r="Q266" i="12"/>
  <c r="M266" i="12"/>
  <c r="I266" i="12"/>
  <c r="E266" i="12"/>
  <c r="R266" i="12" s="1"/>
  <c r="Q265" i="12"/>
  <c r="M265" i="12"/>
  <c r="I265" i="12"/>
  <c r="E265" i="12"/>
  <c r="R265" i="12" s="1"/>
  <c r="Q264" i="12"/>
  <c r="M264" i="12"/>
  <c r="R264" i="12" s="1"/>
  <c r="I264" i="12"/>
  <c r="E264" i="12"/>
  <c r="Q263" i="12"/>
  <c r="M263" i="12"/>
  <c r="I263" i="12"/>
  <c r="E263" i="12"/>
  <c r="R263" i="12" s="1"/>
  <c r="R262" i="12"/>
  <c r="Q262" i="12"/>
  <c r="M262" i="12"/>
  <c r="I262" i="12"/>
  <c r="G262" i="12"/>
  <c r="G907" i="12" s="1"/>
  <c r="E262" i="12"/>
  <c r="Q261" i="12"/>
  <c r="M261" i="12"/>
  <c r="R261" i="12" s="1"/>
  <c r="I261" i="12"/>
  <c r="E261" i="12"/>
  <c r="Q260" i="12"/>
  <c r="K260" i="12"/>
  <c r="M260" i="12" s="1"/>
  <c r="I260" i="12"/>
  <c r="E260" i="12"/>
  <c r="Q259" i="12"/>
  <c r="M259" i="12"/>
  <c r="I259" i="12"/>
  <c r="E259" i="12"/>
  <c r="R259" i="12" s="1"/>
  <c r="Q258" i="12"/>
  <c r="M258" i="12"/>
  <c r="R258" i="12" s="1"/>
  <c r="I258" i="12"/>
  <c r="E258" i="12"/>
  <c r="Q257" i="12"/>
  <c r="M257" i="12"/>
  <c r="I257" i="12"/>
  <c r="E257" i="12"/>
  <c r="R257" i="12" s="1"/>
  <c r="R256" i="12"/>
  <c r="Q256" i="12"/>
  <c r="M256" i="12"/>
  <c r="I256" i="12"/>
  <c r="E256" i="12"/>
  <c r="Q255" i="12"/>
  <c r="M255" i="12"/>
  <c r="I255" i="12"/>
  <c r="R255" i="12" s="1"/>
  <c r="E255" i="12"/>
  <c r="Q254" i="12"/>
  <c r="M254" i="12"/>
  <c r="I254" i="12"/>
  <c r="E254" i="12"/>
  <c r="R254" i="12" s="1"/>
  <c r="C254" i="12"/>
  <c r="C907" i="12" s="1"/>
  <c r="R253" i="12"/>
  <c r="Q253" i="12"/>
  <c r="M253" i="12"/>
  <c r="I253" i="12"/>
  <c r="E253" i="12"/>
  <c r="Q252" i="12"/>
  <c r="M252" i="12"/>
  <c r="I252" i="12"/>
  <c r="R252" i="12" s="1"/>
  <c r="E252" i="12"/>
  <c r="Q251" i="12"/>
  <c r="M251" i="12"/>
  <c r="I251" i="12"/>
  <c r="E251" i="12"/>
  <c r="R251" i="12" s="1"/>
  <c r="Q250" i="12"/>
  <c r="M250" i="12"/>
  <c r="I250" i="12"/>
  <c r="R250" i="12" s="1"/>
  <c r="E250" i="12"/>
  <c r="Q249" i="12"/>
  <c r="M249" i="12"/>
  <c r="I249" i="12"/>
  <c r="E249" i="12"/>
  <c r="R249" i="12" s="1"/>
  <c r="Q248" i="12"/>
  <c r="M248" i="12"/>
  <c r="I248" i="12"/>
  <c r="E248" i="12"/>
  <c r="R248" i="12" s="1"/>
  <c r="Q247" i="12"/>
  <c r="M247" i="12"/>
  <c r="R247" i="12" s="1"/>
  <c r="I247" i="12"/>
  <c r="E247" i="12"/>
  <c r="Q246" i="12"/>
  <c r="M246" i="12"/>
  <c r="I246" i="12"/>
  <c r="E246" i="12"/>
  <c r="R246" i="12" s="1"/>
  <c r="R245" i="12"/>
  <c r="Q245" i="12"/>
  <c r="M245" i="12"/>
  <c r="I245" i="12"/>
  <c r="E245" i="12"/>
  <c r="Q244" i="12"/>
  <c r="M244" i="12"/>
  <c r="I244" i="12"/>
  <c r="R244" i="12" s="1"/>
  <c r="E244" i="12"/>
  <c r="Q243" i="12"/>
  <c r="M243" i="12"/>
  <c r="I243" i="12"/>
  <c r="E243" i="12"/>
  <c r="R243" i="12" s="1"/>
  <c r="Q242" i="12"/>
  <c r="M242" i="12"/>
  <c r="I242" i="12"/>
  <c r="R242" i="12" s="1"/>
  <c r="E242" i="12"/>
  <c r="Q241" i="12"/>
  <c r="M241" i="12"/>
  <c r="I241" i="12"/>
  <c r="E241" i="12"/>
  <c r="R241" i="12" s="1"/>
  <c r="Q240" i="12"/>
  <c r="M240" i="12"/>
  <c r="I240" i="12"/>
  <c r="E240" i="12"/>
  <c r="R240" i="12" s="1"/>
  <c r="Q239" i="12"/>
  <c r="M239" i="12"/>
  <c r="R239" i="12" s="1"/>
  <c r="I239" i="12"/>
  <c r="E239" i="12"/>
  <c r="Q238" i="12"/>
  <c r="M238" i="12"/>
  <c r="I238" i="12"/>
  <c r="E238" i="12"/>
  <c r="R238" i="12" s="1"/>
  <c r="R237" i="12"/>
  <c r="Q237" i="12"/>
  <c r="M237" i="12"/>
  <c r="I237" i="12"/>
  <c r="E237" i="12"/>
  <c r="Q236" i="12"/>
  <c r="M236" i="12"/>
  <c r="I236" i="12"/>
  <c r="R236" i="12" s="1"/>
  <c r="E236" i="12"/>
  <c r="Q235" i="12"/>
  <c r="M235" i="12"/>
  <c r="I235" i="12"/>
  <c r="E235" i="12"/>
  <c r="R235" i="12" s="1"/>
  <c r="Q234" i="12"/>
  <c r="P234" i="12"/>
  <c r="P907" i="12" s="1"/>
  <c r="O234" i="12"/>
  <c r="O907" i="12" s="1"/>
  <c r="N234" i="12"/>
  <c r="N299" i="12" s="1"/>
  <c r="L234" i="12"/>
  <c r="L907" i="12" s="1"/>
  <c r="L908" i="12" s="1"/>
  <c r="L937" i="12" s="1"/>
  <c r="K234" i="12"/>
  <c r="K907" i="12" s="1"/>
  <c r="I234" i="12"/>
  <c r="E234" i="12"/>
  <c r="Q233" i="12"/>
  <c r="M233" i="12"/>
  <c r="I233" i="12"/>
  <c r="E233" i="12"/>
  <c r="R233" i="12" s="1"/>
  <c r="Q232" i="12"/>
  <c r="M232" i="12"/>
  <c r="R232" i="12" s="1"/>
  <c r="I232" i="12"/>
  <c r="E232" i="12"/>
  <c r="Q231" i="12"/>
  <c r="M231" i="12"/>
  <c r="I231" i="12"/>
  <c r="E231" i="12"/>
  <c r="R231" i="12" s="1"/>
  <c r="P227" i="12"/>
  <c r="O227" i="12"/>
  <c r="N227" i="12"/>
  <c r="Q227" i="12" s="1"/>
  <c r="L227" i="12"/>
  <c r="K227" i="12"/>
  <c r="J227" i="12"/>
  <c r="M227" i="12" s="1"/>
  <c r="I227" i="12"/>
  <c r="E227" i="12"/>
  <c r="D227" i="12"/>
  <c r="C227" i="12"/>
  <c r="B227" i="12"/>
  <c r="Q225" i="12"/>
  <c r="M225" i="12"/>
  <c r="R225" i="12" s="1"/>
  <c r="I225" i="12"/>
  <c r="E225" i="12"/>
  <c r="Q224" i="12"/>
  <c r="M224" i="12"/>
  <c r="I224" i="12"/>
  <c r="E224" i="12"/>
  <c r="R224" i="12" s="1"/>
  <c r="J220" i="12"/>
  <c r="D220" i="12"/>
  <c r="B220" i="12"/>
  <c r="Q218" i="12"/>
  <c r="M218" i="12"/>
  <c r="I218" i="12"/>
  <c r="E218" i="12"/>
  <c r="R218" i="12" s="1"/>
  <c r="Q217" i="12"/>
  <c r="M217" i="12"/>
  <c r="R217" i="12" s="1"/>
  <c r="I217" i="12"/>
  <c r="E217" i="12"/>
  <c r="Q216" i="12"/>
  <c r="M216" i="12"/>
  <c r="I216" i="12"/>
  <c r="E216" i="12"/>
  <c r="R216" i="12" s="1"/>
  <c r="R214" i="12"/>
  <c r="Q214" i="12"/>
  <c r="M214" i="12"/>
  <c r="I214" i="12"/>
  <c r="E214" i="12"/>
  <c r="Q213" i="12"/>
  <c r="M213" i="12"/>
  <c r="I213" i="12"/>
  <c r="R213" i="12" s="1"/>
  <c r="E213" i="12"/>
  <c r="Q212" i="12"/>
  <c r="M212" i="12"/>
  <c r="I212" i="12"/>
  <c r="E212" i="12"/>
  <c r="R212" i="12" s="1"/>
  <c r="Q211" i="12"/>
  <c r="M211" i="12"/>
  <c r="I211" i="12"/>
  <c r="R211" i="12" s="1"/>
  <c r="E211" i="12"/>
  <c r="Q210" i="12"/>
  <c r="M210" i="12"/>
  <c r="I210" i="12"/>
  <c r="E210" i="12"/>
  <c r="R210" i="12" s="1"/>
  <c r="Q209" i="12"/>
  <c r="M209" i="12"/>
  <c r="I209" i="12"/>
  <c r="E209" i="12"/>
  <c r="R209" i="12" s="1"/>
  <c r="Q208" i="12"/>
  <c r="M208" i="12"/>
  <c r="R208" i="12" s="1"/>
  <c r="I208" i="12"/>
  <c r="E208" i="12"/>
  <c r="Q207" i="12"/>
  <c r="M207" i="12"/>
  <c r="I207" i="12"/>
  <c r="E207" i="12"/>
  <c r="R207" i="12" s="1"/>
  <c r="R206" i="12"/>
  <c r="Q206" i="12"/>
  <c r="M206" i="12"/>
  <c r="I206" i="12"/>
  <c r="E206" i="12"/>
  <c r="Q205" i="12"/>
  <c r="M205" i="12"/>
  <c r="I205" i="12"/>
  <c r="R205" i="12" s="1"/>
  <c r="E205" i="12"/>
  <c r="Q203" i="12"/>
  <c r="M203" i="12"/>
  <c r="I203" i="12"/>
  <c r="E203" i="12"/>
  <c r="R203" i="12" s="1"/>
  <c r="R202" i="12"/>
  <c r="Q202" i="12"/>
  <c r="M202" i="12"/>
  <c r="I202" i="12"/>
  <c r="E202" i="12"/>
  <c r="Q201" i="12"/>
  <c r="M201" i="12"/>
  <c r="I201" i="12"/>
  <c r="R201" i="12" s="1"/>
  <c r="E201" i="12"/>
  <c r="Q200" i="12"/>
  <c r="M200" i="12"/>
  <c r="I200" i="12"/>
  <c r="E200" i="12"/>
  <c r="R200" i="12" s="1"/>
  <c r="Q199" i="12"/>
  <c r="M199" i="12"/>
  <c r="I199" i="12"/>
  <c r="R199" i="12" s="1"/>
  <c r="E199" i="12"/>
  <c r="Q198" i="12"/>
  <c r="M198" i="12"/>
  <c r="I198" i="12"/>
  <c r="E198" i="12"/>
  <c r="R198" i="12" s="1"/>
  <c r="Q197" i="12"/>
  <c r="K197" i="12"/>
  <c r="M197" i="12" s="1"/>
  <c r="I197" i="12"/>
  <c r="E197" i="12"/>
  <c r="Q196" i="12"/>
  <c r="P196" i="12"/>
  <c r="O196" i="12"/>
  <c r="N196" i="12"/>
  <c r="L196" i="12"/>
  <c r="K196" i="12"/>
  <c r="J196" i="12"/>
  <c r="M196" i="12" s="1"/>
  <c r="I196" i="12"/>
  <c r="E196" i="12"/>
  <c r="Q195" i="12"/>
  <c r="M195" i="12"/>
  <c r="I195" i="12"/>
  <c r="E195" i="12"/>
  <c r="R195" i="12" s="1"/>
  <c r="Q194" i="12"/>
  <c r="M194" i="12"/>
  <c r="I194" i="12"/>
  <c r="E194" i="12"/>
  <c r="R194" i="12" s="1"/>
  <c r="Q193" i="12"/>
  <c r="M193" i="12"/>
  <c r="H193" i="12"/>
  <c r="I193" i="12" s="1"/>
  <c r="D193" i="12"/>
  <c r="C193" i="12"/>
  <c r="E193" i="12" s="1"/>
  <c r="R193" i="12" s="1"/>
  <c r="P192" i="12"/>
  <c r="P893" i="12" s="1"/>
  <c r="P899" i="12" s="1"/>
  <c r="O192" i="12"/>
  <c r="N192" i="12"/>
  <c r="Q192" i="12" s="1"/>
  <c r="L192" i="12"/>
  <c r="L220" i="12" s="1"/>
  <c r="K192" i="12"/>
  <c r="M192" i="12" s="1"/>
  <c r="J192" i="12"/>
  <c r="J893" i="12" s="1"/>
  <c r="H192" i="12"/>
  <c r="G192" i="12"/>
  <c r="F192" i="12"/>
  <c r="I192" i="12" s="1"/>
  <c r="D192" i="12"/>
  <c r="C192" i="12"/>
  <c r="C893" i="12" s="1"/>
  <c r="C899" i="12" s="1"/>
  <c r="B192" i="12"/>
  <c r="E192" i="12" s="1"/>
  <c r="Q191" i="12"/>
  <c r="M191" i="12"/>
  <c r="I191" i="12"/>
  <c r="R191" i="12" s="1"/>
  <c r="E191" i="12"/>
  <c r="Q190" i="12"/>
  <c r="M190" i="12"/>
  <c r="I190" i="12"/>
  <c r="E190" i="12"/>
  <c r="R190" i="12" s="1"/>
  <c r="Q189" i="12"/>
  <c r="M189" i="12"/>
  <c r="I189" i="12"/>
  <c r="E189" i="12"/>
  <c r="R189" i="12" s="1"/>
  <c r="Q188" i="12"/>
  <c r="M188" i="12"/>
  <c r="I188" i="12"/>
  <c r="E188" i="12"/>
  <c r="R188" i="12" s="1"/>
  <c r="Q187" i="12"/>
  <c r="M187" i="12"/>
  <c r="I187" i="12"/>
  <c r="E187" i="12"/>
  <c r="R187" i="12" s="1"/>
  <c r="Q186" i="12"/>
  <c r="M186" i="12"/>
  <c r="R186" i="12" s="1"/>
  <c r="I186" i="12"/>
  <c r="E186" i="12"/>
  <c r="Q185" i="12"/>
  <c r="M185" i="12"/>
  <c r="I185" i="12"/>
  <c r="R185" i="12" s="1"/>
  <c r="E185" i="12"/>
  <c r="O184" i="12"/>
  <c r="O220" i="12" s="1"/>
  <c r="O320" i="12" s="1"/>
  <c r="O328" i="12" s="1"/>
  <c r="N184" i="12"/>
  <c r="N220" i="12" s="1"/>
  <c r="L184" i="12"/>
  <c r="K184" i="12"/>
  <c r="K893" i="12" s="1"/>
  <c r="K899" i="12" s="1"/>
  <c r="G184" i="12"/>
  <c r="G893" i="12" s="1"/>
  <c r="G899" i="12" s="1"/>
  <c r="F184" i="12"/>
  <c r="E184" i="12"/>
  <c r="D184" i="12"/>
  <c r="B184" i="12"/>
  <c r="B893" i="12" s="1"/>
  <c r="Q183" i="12"/>
  <c r="M183" i="12"/>
  <c r="I183" i="12"/>
  <c r="R183" i="12" s="1"/>
  <c r="E183" i="12"/>
  <c r="Q182" i="12"/>
  <c r="M182" i="12"/>
  <c r="I182" i="12"/>
  <c r="E182" i="12"/>
  <c r="R182" i="12" s="1"/>
  <c r="Q181" i="12"/>
  <c r="M181" i="12"/>
  <c r="I181" i="12"/>
  <c r="E181" i="12"/>
  <c r="R181" i="12" s="1"/>
  <c r="Q180" i="12"/>
  <c r="M180" i="12"/>
  <c r="I180" i="12"/>
  <c r="E180" i="12"/>
  <c r="R180" i="12" s="1"/>
  <c r="Q179" i="12"/>
  <c r="M179" i="12"/>
  <c r="I179" i="12"/>
  <c r="E179" i="12"/>
  <c r="R179" i="12" s="1"/>
  <c r="Q178" i="12"/>
  <c r="M178" i="12"/>
  <c r="R178" i="12" s="1"/>
  <c r="I178" i="12"/>
  <c r="E178" i="12"/>
  <c r="Q177" i="12"/>
  <c r="M177" i="12"/>
  <c r="I177" i="12"/>
  <c r="R177" i="12" s="1"/>
  <c r="E177" i="12"/>
  <c r="R176" i="12"/>
  <c r="Q176" i="12"/>
  <c r="M176" i="12"/>
  <c r="I176" i="12"/>
  <c r="E176" i="12"/>
  <c r="Q175" i="12"/>
  <c r="M175" i="12"/>
  <c r="I175" i="12"/>
  <c r="R175" i="12" s="1"/>
  <c r="E175" i="12"/>
  <c r="Q174" i="12"/>
  <c r="M174" i="12"/>
  <c r="I174" i="12"/>
  <c r="E174" i="12"/>
  <c r="R174" i="12" s="1"/>
  <c r="Q173" i="12"/>
  <c r="M173" i="12"/>
  <c r="I173" i="12"/>
  <c r="E173" i="12"/>
  <c r="R173" i="12" s="1"/>
  <c r="Q172" i="12"/>
  <c r="M172" i="12"/>
  <c r="I172" i="12"/>
  <c r="E172" i="12"/>
  <c r="R172" i="12" s="1"/>
  <c r="Q171" i="12"/>
  <c r="M171" i="12"/>
  <c r="I171" i="12"/>
  <c r="E171" i="12"/>
  <c r="R171" i="12" s="1"/>
  <c r="Q170" i="12"/>
  <c r="M170" i="12"/>
  <c r="R170" i="12" s="1"/>
  <c r="I170" i="12"/>
  <c r="E170" i="12"/>
  <c r="Q169" i="12"/>
  <c r="M169" i="12"/>
  <c r="I169" i="12"/>
  <c r="R169" i="12" s="1"/>
  <c r="E169" i="12"/>
  <c r="R168" i="12"/>
  <c r="Q168" i="12"/>
  <c r="M168" i="12"/>
  <c r="I168" i="12"/>
  <c r="E168" i="12"/>
  <c r="Q167" i="12"/>
  <c r="M167" i="12"/>
  <c r="I167" i="12"/>
  <c r="R167" i="12" s="1"/>
  <c r="E167" i="12"/>
  <c r="Q166" i="12"/>
  <c r="M166" i="12"/>
  <c r="I166" i="12"/>
  <c r="E166" i="12"/>
  <c r="R166" i="12" s="1"/>
  <c r="Q165" i="12"/>
  <c r="M165" i="12"/>
  <c r="I165" i="12"/>
  <c r="E165" i="12"/>
  <c r="R165" i="12" s="1"/>
  <c r="Q164" i="12"/>
  <c r="M164" i="12"/>
  <c r="I164" i="12"/>
  <c r="E164" i="12"/>
  <c r="R164" i="12" s="1"/>
  <c r="Q163" i="12"/>
  <c r="M163" i="12"/>
  <c r="I163" i="12"/>
  <c r="E163" i="12"/>
  <c r="R163" i="12" s="1"/>
  <c r="Q162" i="12"/>
  <c r="M162" i="12"/>
  <c r="R162" i="12" s="1"/>
  <c r="I162" i="12"/>
  <c r="E162" i="12"/>
  <c r="Q161" i="12"/>
  <c r="M161" i="12"/>
  <c r="I161" i="12"/>
  <c r="R161" i="12" s="1"/>
  <c r="E161" i="12"/>
  <c r="R160" i="12"/>
  <c r="Q160" i="12"/>
  <c r="M160" i="12"/>
  <c r="I160" i="12"/>
  <c r="E160" i="12"/>
  <c r="Q159" i="12"/>
  <c r="M159" i="12"/>
  <c r="I159" i="12"/>
  <c r="R159" i="12" s="1"/>
  <c r="E159" i="12"/>
  <c r="Q158" i="12"/>
  <c r="M158" i="12"/>
  <c r="I158" i="12"/>
  <c r="E158" i="12"/>
  <c r="R158" i="12" s="1"/>
  <c r="Q157" i="12"/>
  <c r="M157" i="12"/>
  <c r="I157" i="12"/>
  <c r="E157" i="12"/>
  <c r="R157" i="12" s="1"/>
  <c r="Q156" i="12"/>
  <c r="M156" i="12"/>
  <c r="I156" i="12"/>
  <c r="E156" i="12"/>
  <c r="R156" i="12" s="1"/>
  <c r="Q155" i="12"/>
  <c r="M155" i="12"/>
  <c r="I155" i="12"/>
  <c r="E155" i="12"/>
  <c r="R155" i="12" s="1"/>
  <c r="Q154" i="12"/>
  <c r="M154" i="12"/>
  <c r="R154" i="12" s="1"/>
  <c r="I154" i="12"/>
  <c r="E154" i="12"/>
  <c r="Q153" i="12"/>
  <c r="M153" i="12"/>
  <c r="I153" i="12"/>
  <c r="R153" i="12" s="1"/>
  <c r="E153" i="12"/>
  <c r="R152" i="12"/>
  <c r="Q152" i="12"/>
  <c r="M152" i="12"/>
  <c r="I152" i="12"/>
  <c r="E152" i="12"/>
  <c r="Q151" i="12"/>
  <c r="M151" i="12"/>
  <c r="I151" i="12"/>
  <c r="R151" i="12" s="1"/>
  <c r="E151" i="12"/>
  <c r="Q150" i="12"/>
  <c r="M150" i="12"/>
  <c r="I150" i="12"/>
  <c r="E150" i="12"/>
  <c r="R150" i="12" s="1"/>
  <c r="Q149" i="12"/>
  <c r="M149" i="12"/>
  <c r="I149" i="12"/>
  <c r="E149" i="12"/>
  <c r="R149" i="12" s="1"/>
  <c r="Q148" i="12"/>
  <c r="M148" i="12"/>
  <c r="I148" i="12"/>
  <c r="E148" i="12"/>
  <c r="R148" i="12" s="1"/>
  <c r="L138" i="12"/>
  <c r="D138" i="12"/>
  <c r="Q136" i="12"/>
  <c r="M136" i="12"/>
  <c r="I136" i="12"/>
  <c r="R136" i="12" s="1"/>
  <c r="E136" i="12"/>
  <c r="L135" i="12"/>
  <c r="J135" i="12"/>
  <c r="J138" i="12" s="1"/>
  <c r="D135" i="12"/>
  <c r="B135" i="12"/>
  <c r="B138" i="12" s="1"/>
  <c r="Q134" i="12"/>
  <c r="P134" i="12"/>
  <c r="O134" i="12"/>
  <c r="N134" i="12"/>
  <c r="L134" i="12"/>
  <c r="K134" i="12"/>
  <c r="M134" i="12" s="1"/>
  <c r="J134" i="12"/>
  <c r="I134" i="12"/>
  <c r="H134" i="12"/>
  <c r="G134" i="12"/>
  <c r="F134" i="12"/>
  <c r="D134" i="12"/>
  <c r="C134" i="12"/>
  <c r="E134" i="12" s="1"/>
  <c r="B134" i="12"/>
  <c r="P133" i="12"/>
  <c r="O133" i="12"/>
  <c r="N133" i="12"/>
  <c r="Q133" i="12" s="1"/>
  <c r="L133" i="12"/>
  <c r="K133" i="12"/>
  <c r="J133" i="12"/>
  <c r="M133" i="12" s="1"/>
  <c r="H133" i="12"/>
  <c r="G133" i="12"/>
  <c r="F133" i="12"/>
  <c r="I133" i="12" s="1"/>
  <c r="D133" i="12"/>
  <c r="C133" i="12"/>
  <c r="B133" i="12"/>
  <c r="E133" i="12" s="1"/>
  <c r="Q132" i="12"/>
  <c r="M132" i="12"/>
  <c r="I132" i="12"/>
  <c r="R132" i="12" s="1"/>
  <c r="E132" i="12"/>
  <c r="R131" i="12"/>
  <c r="Q131" i="12"/>
  <c r="M131" i="12"/>
  <c r="I131" i="12"/>
  <c r="E131" i="12"/>
  <c r="Q129" i="12"/>
  <c r="M129" i="12"/>
  <c r="I129" i="12"/>
  <c r="R129" i="12" s="1"/>
  <c r="E129" i="12"/>
  <c r="Q127" i="12"/>
  <c r="M127" i="12"/>
  <c r="I127" i="12"/>
  <c r="E127" i="12"/>
  <c r="R127" i="12" s="1"/>
  <c r="Q126" i="12"/>
  <c r="M126" i="12"/>
  <c r="I126" i="12"/>
  <c r="E126" i="12"/>
  <c r="R126" i="12" s="1"/>
  <c r="Q124" i="12"/>
  <c r="M124" i="12"/>
  <c r="I124" i="12"/>
  <c r="E124" i="12"/>
  <c r="R124" i="12" s="1"/>
  <c r="Q123" i="12"/>
  <c r="M123" i="12"/>
  <c r="I123" i="12"/>
  <c r="E123" i="12"/>
  <c r="R123" i="12" s="1"/>
  <c r="Q122" i="12"/>
  <c r="M122" i="12"/>
  <c r="R122" i="12" s="1"/>
  <c r="I122" i="12"/>
  <c r="E122" i="12"/>
  <c r="Q121" i="12"/>
  <c r="M121" i="12"/>
  <c r="I121" i="12"/>
  <c r="R121" i="12" s="1"/>
  <c r="E121" i="12"/>
  <c r="R120" i="12"/>
  <c r="Q120" i="12"/>
  <c r="M120" i="12"/>
  <c r="I120" i="12"/>
  <c r="E120" i="12"/>
  <c r="Q119" i="12"/>
  <c r="M119" i="12"/>
  <c r="I119" i="12"/>
  <c r="R119" i="12" s="1"/>
  <c r="E119" i="12"/>
  <c r="Q118" i="12"/>
  <c r="M118" i="12"/>
  <c r="I118" i="12"/>
  <c r="E118" i="12"/>
  <c r="R118" i="12" s="1"/>
  <c r="Q117" i="12"/>
  <c r="M117" i="12"/>
  <c r="I117" i="12"/>
  <c r="E117" i="12"/>
  <c r="R117" i="12" s="1"/>
  <c r="P114" i="12"/>
  <c r="O114" i="12"/>
  <c r="N114" i="12"/>
  <c r="Q114" i="12" s="1"/>
  <c r="L114" i="12"/>
  <c r="K114" i="12"/>
  <c r="J114" i="12"/>
  <c r="M114" i="12" s="1"/>
  <c r="H114" i="12"/>
  <c r="G114" i="12"/>
  <c r="F114" i="12"/>
  <c r="I114" i="12" s="1"/>
  <c r="D114" i="12"/>
  <c r="C114" i="12"/>
  <c r="B114" i="12"/>
  <c r="E114" i="12" s="1"/>
  <c r="Q113" i="12"/>
  <c r="M113" i="12"/>
  <c r="I113" i="12"/>
  <c r="R113" i="12" s="1"/>
  <c r="E113" i="12"/>
  <c r="Q112" i="12"/>
  <c r="M112" i="12"/>
  <c r="I112" i="12"/>
  <c r="E112" i="12"/>
  <c r="R112" i="12" s="1"/>
  <c r="Q111" i="12"/>
  <c r="M111" i="12"/>
  <c r="I111" i="12"/>
  <c r="E111" i="12"/>
  <c r="R111" i="12" s="1"/>
  <c r="Q110" i="12"/>
  <c r="M110" i="12"/>
  <c r="I110" i="12"/>
  <c r="E110" i="12"/>
  <c r="R110" i="12" s="1"/>
  <c r="Q109" i="12"/>
  <c r="M109" i="12"/>
  <c r="I109" i="12"/>
  <c r="E109" i="12"/>
  <c r="R109" i="12" s="1"/>
  <c r="Q108" i="12"/>
  <c r="M108" i="12"/>
  <c r="R108" i="12" s="1"/>
  <c r="I108" i="12"/>
  <c r="E108" i="12"/>
  <c r="Q107" i="12"/>
  <c r="M107" i="12"/>
  <c r="I107" i="12"/>
  <c r="R107" i="12" s="1"/>
  <c r="E107" i="12"/>
  <c r="R106" i="12"/>
  <c r="Q106" i="12"/>
  <c r="M106" i="12"/>
  <c r="I106" i="12"/>
  <c r="E106" i="12"/>
  <c r="Q105" i="12"/>
  <c r="M105" i="12"/>
  <c r="I105" i="12"/>
  <c r="R105" i="12" s="1"/>
  <c r="E105" i="12"/>
  <c r="Q104" i="12"/>
  <c r="M104" i="12"/>
  <c r="I104" i="12"/>
  <c r="E104" i="12"/>
  <c r="R104" i="12" s="1"/>
  <c r="Q103" i="12"/>
  <c r="M103" i="12"/>
  <c r="I103" i="12"/>
  <c r="E103" i="12"/>
  <c r="R103" i="12" s="1"/>
  <c r="P99" i="12"/>
  <c r="P135" i="12" s="1"/>
  <c r="P138" i="12" s="1"/>
  <c r="O99" i="12"/>
  <c r="N99" i="12"/>
  <c r="Q99" i="12" s="1"/>
  <c r="L99" i="12"/>
  <c r="K99" i="12"/>
  <c r="J99" i="12"/>
  <c r="M99" i="12" s="1"/>
  <c r="H99" i="12"/>
  <c r="H135" i="12" s="1"/>
  <c r="H138" i="12" s="1"/>
  <c r="G99" i="12"/>
  <c r="F99" i="12"/>
  <c r="I99" i="12" s="1"/>
  <c r="D99" i="12"/>
  <c r="C99" i="12"/>
  <c r="B99" i="12"/>
  <c r="E99" i="12" s="1"/>
  <c r="Q97" i="12"/>
  <c r="M97" i="12"/>
  <c r="I97" i="12"/>
  <c r="R97" i="12" s="1"/>
  <c r="E97" i="12"/>
  <c r="Q96" i="12"/>
  <c r="M96" i="12"/>
  <c r="I96" i="12"/>
  <c r="E96" i="12"/>
  <c r="R96" i="12" s="1"/>
  <c r="Q92" i="12"/>
  <c r="P92" i="12"/>
  <c r="O92" i="12"/>
  <c r="O135" i="12" s="1"/>
  <c r="O138" i="12" s="1"/>
  <c r="N92" i="12"/>
  <c r="N135" i="12" s="1"/>
  <c r="L92" i="12"/>
  <c r="K92" i="12"/>
  <c r="K135" i="12" s="1"/>
  <c r="K138" i="12" s="1"/>
  <c r="J92" i="12"/>
  <c r="M92" i="12" s="1"/>
  <c r="I92" i="12"/>
  <c r="H92" i="12"/>
  <c r="G92" i="12"/>
  <c r="G135" i="12" s="1"/>
  <c r="G138" i="12" s="1"/>
  <c r="F92" i="12"/>
  <c r="F135" i="12" s="1"/>
  <c r="D92" i="12"/>
  <c r="C92" i="12"/>
  <c r="C135" i="12" s="1"/>
  <c r="C138" i="12" s="1"/>
  <c r="B92" i="12"/>
  <c r="E92" i="12" s="1"/>
  <c r="R92" i="12" s="1"/>
  <c r="R90" i="12"/>
  <c r="Q90" i="12"/>
  <c r="M90" i="12"/>
  <c r="I90" i="12"/>
  <c r="E90" i="12"/>
  <c r="Q89" i="12"/>
  <c r="M89" i="12"/>
  <c r="I89" i="12"/>
  <c r="R89" i="12" s="1"/>
  <c r="E89" i="12"/>
  <c r="Q87" i="12"/>
  <c r="M87" i="12"/>
  <c r="I87" i="12"/>
  <c r="E87" i="12"/>
  <c r="R87" i="12" s="1"/>
  <c r="R85" i="12"/>
  <c r="Q85" i="12"/>
  <c r="M85" i="12"/>
  <c r="I85" i="12"/>
  <c r="E85" i="12"/>
  <c r="Q84" i="12"/>
  <c r="M84" i="12"/>
  <c r="I84" i="12"/>
  <c r="R84" i="12" s="1"/>
  <c r="E84" i="12"/>
  <c r="Q83" i="12"/>
  <c r="M83" i="12"/>
  <c r="I83" i="12"/>
  <c r="E83" i="12"/>
  <c r="R83" i="12" s="1"/>
  <c r="Q82" i="12"/>
  <c r="M82" i="12"/>
  <c r="I82" i="12"/>
  <c r="E82" i="12"/>
  <c r="R82" i="12" s="1"/>
  <c r="Q81" i="12"/>
  <c r="M81" i="12"/>
  <c r="I81" i="12"/>
  <c r="E81" i="12"/>
  <c r="R81" i="12" s="1"/>
  <c r="Q80" i="12"/>
  <c r="M80" i="12"/>
  <c r="I80" i="12"/>
  <c r="E80" i="12"/>
  <c r="R80" i="12" s="1"/>
  <c r="Q79" i="12"/>
  <c r="M79" i="12"/>
  <c r="R79" i="12" s="1"/>
  <c r="I79" i="12"/>
  <c r="E79" i="12"/>
  <c r="Q78" i="12"/>
  <c r="M78" i="12"/>
  <c r="I78" i="12"/>
  <c r="R78" i="12" s="1"/>
  <c r="E78" i="12"/>
  <c r="R77" i="12"/>
  <c r="Q77" i="12"/>
  <c r="M77" i="12"/>
  <c r="I77" i="12"/>
  <c r="E77" i="12"/>
  <c r="Q76" i="12"/>
  <c r="M76" i="12"/>
  <c r="I76" i="12"/>
  <c r="R76" i="12" s="1"/>
  <c r="E76" i="12"/>
  <c r="Q75" i="12"/>
  <c r="M75" i="12"/>
  <c r="I75" i="12"/>
  <c r="E75" i="12"/>
  <c r="R75" i="12" s="1"/>
  <c r="Q74" i="12"/>
  <c r="M74" i="12"/>
  <c r="I74" i="12"/>
  <c r="E74" i="12"/>
  <c r="R74" i="12" s="1"/>
  <c r="Q73" i="12"/>
  <c r="M73" i="12"/>
  <c r="I73" i="12"/>
  <c r="E73" i="12"/>
  <c r="R73" i="12" s="1"/>
  <c r="Q72" i="12"/>
  <c r="M72" i="12"/>
  <c r="I72" i="12"/>
  <c r="E72" i="12"/>
  <c r="R72" i="12" s="1"/>
  <c r="R60" i="12"/>
  <c r="Q60" i="12"/>
  <c r="M60" i="12"/>
  <c r="I60" i="12"/>
  <c r="E60" i="12"/>
  <c r="P58" i="12"/>
  <c r="O58" i="12"/>
  <c r="N58" i="12"/>
  <c r="Q58" i="12" s="1"/>
  <c r="L58" i="12"/>
  <c r="K58" i="12"/>
  <c r="J58" i="12"/>
  <c r="M58" i="12" s="1"/>
  <c r="H58" i="12"/>
  <c r="G58" i="12"/>
  <c r="F58" i="12"/>
  <c r="I58" i="12" s="1"/>
  <c r="D58" i="12"/>
  <c r="C58" i="12"/>
  <c r="B58" i="12"/>
  <c r="E58" i="12" s="1"/>
  <c r="R58" i="12" s="1"/>
  <c r="Q57" i="12"/>
  <c r="P57" i="12"/>
  <c r="O57" i="12"/>
  <c r="N57" i="12"/>
  <c r="L57" i="12"/>
  <c r="K57" i="12"/>
  <c r="J57" i="12"/>
  <c r="M57" i="12" s="1"/>
  <c r="I57" i="12"/>
  <c r="H57" i="12"/>
  <c r="G57" i="12"/>
  <c r="F57" i="12"/>
  <c r="D57" i="12"/>
  <c r="C57" i="12"/>
  <c r="B57" i="12"/>
  <c r="E57" i="12" s="1"/>
  <c r="R57" i="12" s="1"/>
  <c r="R54" i="12"/>
  <c r="Q54" i="12"/>
  <c r="M54" i="12"/>
  <c r="I54" i="12"/>
  <c r="E54" i="12"/>
  <c r="P50" i="12"/>
  <c r="O50" i="12"/>
  <c r="O59" i="12" s="1"/>
  <c r="O62" i="12" s="1"/>
  <c r="N50" i="12"/>
  <c r="M50" i="12"/>
  <c r="L50" i="12"/>
  <c r="K50" i="12"/>
  <c r="J50" i="12"/>
  <c r="H50" i="12"/>
  <c r="G50" i="12"/>
  <c r="I50" i="12" s="1"/>
  <c r="F50" i="12"/>
  <c r="E50" i="12"/>
  <c r="D50" i="12"/>
  <c r="C50" i="12"/>
  <c r="B50" i="12"/>
  <c r="P46" i="12"/>
  <c r="O46" i="12"/>
  <c r="N46" i="12"/>
  <c r="Q46" i="12" s="1"/>
  <c r="L46" i="12"/>
  <c r="K46" i="12"/>
  <c r="J46" i="12"/>
  <c r="M46" i="12" s="1"/>
  <c r="H46" i="12"/>
  <c r="G46" i="12"/>
  <c r="F46" i="12"/>
  <c r="I46" i="12" s="1"/>
  <c r="D46" i="12"/>
  <c r="C46" i="12"/>
  <c r="B46" i="12"/>
  <c r="E46" i="12" s="1"/>
  <c r="Q41" i="12"/>
  <c r="P41" i="12"/>
  <c r="P59" i="12" s="1"/>
  <c r="P62" i="12" s="1"/>
  <c r="O41" i="12"/>
  <c r="N41" i="12"/>
  <c r="N59" i="12" s="1"/>
  <c r="L41" i="12"/>
  <c r="L59" i="12" s="1"/>
  <c r="L62" i="12" s="1"/>
  <c r="K41" i="12"/>
  <c r="K59" i="12" s="1"/>
  <c r="K62" i="12" s="1"/>
  <c r="J41" i="12"/>
  <c r="M41" i="12" s="1"/>
  <c r="I41" i="12"/>
  <c r="H41" i="12"/>
  <c r="H59" i="12" s="1"/>
  <c r="H62" i="12" s="1"/>
  <c r="G41" i="12"/>
  <c r="F41" i="12"/>
  <c r="F59" i="12" s="1"/>
  <c r="D41" i="12"/>
  <c r="D59" i="12" s="1"/>
  <c r="D62" i="12" s="1"/>
  <c r="C41" i="12"/>
  <c r="C59" i="12" s="1"/>
  <c r="C62" i="12" s="1"/>
  <c r="B41" i="12"/>
  <c r="E41" i="12" s="1"/>
  <c r="R38" i="12"/>
  <c r="Q38" i="12"/>
  <c r="M38" i="12"/>
  <c r="I38" i="12"/>
  <c r="E38" i="12"/>
  <c r="P27" i="12"/>
  <c r="O27" i="12"/>
  <c r="N27" i="12"/>
  <c r="L27" i="12"/>
  <c r="K27" i="12"/>
  <c r="J27" i="12"/>
  <c r="M27" i="12" s="1"/>
  <c r="H27" i="12"/>
  <c r="G27" i="12"/>
  <c r="F27" i="12"/>
  <c r="D27" i="12"/>
  <c r="C27" i="12"/>
  <c r="B27" i="12"/>
  <c r="E27" i="12" s="1"/>
  <c r="Q25" i="12"/>
  <c r="M25" i="12"/>
  <c r="I25" i="12"/>
  <c r="E25" i="12"/>
  <c r="R25" i="12" s="1"/>
  <c r="Q20" i="12"/>
  <c r="M20" i="12"/>
  <c r="I20" i="12"/>
  <c r="E20" i="12"/>
  <c r="R20" i="12" s="1"/>
  <c r="P18" i="12"/>
  <c r="O18" i="12"/>
  <c r="N18" i="12"/>
  <c r="Q18" i="12" s="1"/>
  <c r="L18" i="12"/>
  <c r="K18" i="12"/>
  <c r="J18" i="12"/>
  <c r="M18" i="12" s="1"/>
  <c r="H18" i="12"/>
  <c r="G18" i="12"/>
  <c r="F18" i="12"/>
  <c r="I18" i="12" s="1"/>
  <c r="D18" i="12"/>
  <c r="C18" i="12"/>
  <c r="B18" i="12"/>
  <c r="E18" i="12" s="1"/>
  <c r="P17" i="12"/>
  <c r="O17" i="12"/>
  <c r="N17" i="12"/>
  <c r="Q17" i="12" s="1"/>
  <c r="M17" i="12"/>
  <c r="L17" i="12"/>
  <c r="K17" i="12"/>
  <c r="J17" i="12"/>
  <c r="H17" i="12"/>
  <c r="G17" i="12"/>
  <c r="F17" i="12"/>
  <c r="I17" i="12" s="1"/>
  <c r="E17" i="12"/>
  <c r="R17" i="12" s="1"/>
  <c r="D17" i="12"/>
  <c r="C17" i="12"/>
  <c r="B17" i="12"/>
  <c r="P16" i="12"/>
  <c r="O16" i="12"/>
  <c r="N16" i="12"/>
  <c r="Q16" i="12" s="1"/>
  <c r="L16" i="12"/>
  <c r="K16" i="12"/>
  <c r="J16" i="12"/>
  <c r="M16" i="12" s="1"/>
  <c r="H16" i="12"/>
  <c r="G16" i="12"/>
  <c r="F16" i="12"/>
  <c r="I16" i="12" s="1"/>
  <c r="D16" i="12"/>
  <c r="C16" i="12"/>
  <c r="B16" i="12"/>
  <c r="E16" i="12" s="1"/>
  <c r="R16" i="12" s="1"/>
  <c r="P15" i="12"/>
  <c r="O15" i="12"/>
  <c r="Q15" i="12" s="1"/>
  <c r="N15" i="12"/>
  <c r="M15" i="12"/>
  <c r="L15" i="12"/>
  <c r="K15" i="12"/>
  <c r="J15" i="12"/>
  <c r="H15" i="12"/>
  <c r="G15" i="12"/>
  <c r="I15" i="12" s="1"/>
  <c r="F15" i="12"/>
  <c r="E15" i="12"/>
  <c r="R15" i="12" s="1"/>
  <c r="D15" i="12"/>
  <c r="C15" i="12"/>
  <c r="B15" i="12"/>
  <c r="P14" i="12"/>
  <c r="O14" i="12"/>
  <c r="N14" i="12"/>
  <c r="Q14" i="12" s="1"/>
  <c r="L14" i="12"/>
  <c r="K14" i="12"/>
  <c r="J14" i="12"/>
  <c r="M14" i="12" s="1"/>
  <c r="H14" i="12"/>
  <c r="G14" i="12"/>
  <c r="F14" i="12"/>
  <c r="I14" i="12" s="1"/>
  <c r="D14" i="12"/>
  <c r="C14" i="12"/>
  <c r="B14" i="12"/>
  <c r="E14" i="12" s="1"/>
  <c r="L340" i="12"/>
  <c r="AP953" i="12" s="1"/>
  <c r="K28" i="12"/>
  <c r="B693" i="12"/>
  <c r="R1" i="12"/>
  <c r="O1150" i="11"/>
  <c r="K1150" i="11"/>
  <c r="Q1147" i="11"/>
  <c r="M1147" i="11"/>
  <c r="I1147" i="11"/>
  <c r="G1147" i="11"/>
  <c r="F1147" i="11"/>
  <c r="E1147" i="11"/>
  <c r="C1147" i="11"/>
  <c r="Q1146" i="11"/>
  <c r="M1146" i="11"/>
  <c r="G1146" i="11"/>
  <c r="I1146" i="11" s="1"/>
  <c r="E1146" i="11"/>
  <c r="C1146" i="11"/>
  <c r="Q1145" i="11"/>
  <c r="R1147" i="11" s="1"/>
  <c r="M1145" i="11"/>
  <c r="N1147" i="11" s="1"/>
  <c r="G1145" i="11"/>
  <c r="I1145" i="11" s="1"/>
  <c r="J1147" i="11" s="1"/>
  <c r="E1145" i="11"/>
  <c r="C1145" i="11"/>
  <c r="Q1144" i="11"/>
  <c r="M1144" i="11"/>
  <c r="I1144" i="11"/>
  <c r="G1144" i="11"/>
  <c r="F1144" i="11"/>
  <c r="E1144" i="11"/>
  <c r="C1144" i="11"/>
  <c r="Q1143" i="11"/>
  <c r="M1143" i="11"/>
  <c r="G1143" i="11"/>
  <c r="I1143" i="11" s="1"/>
  <c r="E1143" i="11"/>
  <c r="C1143" i="11"/>
  <c r="Q1142" i="11"/>
  <c r="R1144" i="11" s="1"/>
  <c r="M1142" i="11"/>
  <c r="N1144" i="11" s="1"/>
  <c r="G1142" i="11"/>
  <c r="I1142" i="11" s="1"/>
  <c r="J1144" i="11" s="1"/>
  <c r="E1142" i="11"/>
  <c r="C1142" i="11"/>
  <c r="Q1141" i="11"/>
  <c r="M1141" i="11"/>
  <c r="I1141" i="11"/>
  <c r="G1141" i="11"/>
  <c r="F1141" i="11"/>
  <c r="E1141" i="11"/>
  <c r="C1141" i="11"/>
  <c r="Q1140" i="11"/>
  <c r="M1140" i="11"/>
  <c r="G1140" i="11"/>
  <c r="I1140" i="11" s="1"/>
  <c r="E1140" i="11"/>
  <c r="C1140" i="11"/>
  <c r="Q1139" i="11"/>
  <c r="R1141" i="11" s="1"/>
  <c r="M1139" i="11"/>
  <c r="G1139" i="11"/>
  <c r="I1139" i="11" s="1"/>
  <c r="J1141" i="11" s="1"/>
  <c r="E1139" i="11"/>
  <c r="C1139" i="11"/>
  <c r="Q1138" i="11"/>
  <c r="M1138" i="11"/>
  <c r="I1138" i="11"/>
  <c r="G1138" i="11"/>
  <c r="E1138" i="11"/>
  <c r="C1138" i="11"/>
  <c r="Q1137" i="11"/>
  <c r="M1137" i="11"/>
  <c r="G1137" i="11"/>
  <c r="E1137" i="11"/>
  <c r="C1137" i="11"/>
  <c r="Q1136" i="11"/>
  <c r="Q1150" i="11" s="1"/>
  <c r="M1136" i="11"/>
  <c r="I1136" i="11"/>
  <c r="E1136" i="11"/>
  <c r="F1138" i="11" s="1"/>
  <c r="C1136" i="11"/>
  <c r="G1130" i="11"/>
  <c r="O1129" i="11"/>
  <c r="K1129" i="11"/>
  <c r="C1129" i="11"/>
  <c r="I1126" i="11"/>
  <c r="J1123" i="11"/>
  <c r="Q1122" i="11"/>
  <c r="P1098" i="11"/>
  <c r="O1098" i="11" s="1"/>
  <c r="J1098" i="11"/>
  <c r="I1098" i="11"/>
  <c r="L1098" i="11" s="1"/>
  <c r="G1098" i="11"/>
  <c r="P1097" i="11"/>
  <c r="O1097" i="11"/>
  <c r="L1097" i="11"/>
  <c r="J1097" i="11"/>
  <c r="I1097" i="11"/>
  <c r="G1097" i="11"/>
  <c r="F1097" i="11"/>
  <c r="P1096" i="11"/>
  <c r="O1096" i="11" s="1"/>
  <c r="N1096" i="11"/>
  <c r="J1096" i="11"/>
  <c r="I1096" i="11"/>
  <c r="G1096" i="11"/>
  <c r="P1095" i="11"/>
  <c r="O1095" i="11" s="1"/>
  <c r="N1095" i="11"/>
  <c r="J1095" i="11"/>
  <c r="I1095" i="11"/>
  <c r="G1095" i="11"/>
  <c r="P1094" i="11"/>
  <c r="O1094" i="11" s="1"/>
  <c r="N1094" i="11"/>
  <c r="J1094" i="11"/>
  <c r="I1094" i="11"/>
  <c r="G1094" i="11"/>
  <c r="N1093" i="11"/>
  <c r="P1093" i="11" s="1"/>
  <c r="O1093" i="11" s="1"/>
  <c r="L1093" i="11"/>
  <c r="J1093" i="11"/>
  <c r="I1093" i="11"/>
  <c r="G1093" i="11"/>
  <c r="F1093" i="11"/>
  <c r="N1092" i="11"/>
  <c r="P1092" i="11" s="1"/>
  <c r="O1092" i="11" s="1"/>
  <c r="L1092" i="11"/>
  <c r="J1092" i="11"/>
  <c r="I1092" i="11"/>
  <c r="G1092" i="11"/>
  <c r="F1092" i="11"/>
  <c r="N1091" i="11"/>
  <c r="P1091" i="11" s="1"/>
  <c r="O1091" i="11" s="1"/>
  <c r="L1091" i="11"/>
  <c r="J1091" i="11"/>
  <c r="I1091" i="11"/>
  <c r="G1091" i="11"/>
  <c r="F1091" i="11"/>
  <c r="P1090" i="11"/>
  <c r="O1090" i="11" s="1"/>
  <c r="J1090" i="11"/>
  <c r="L1090" i="11" s="1"/>
  <c r="I1090" i="11"/>
  <c r="G1090" i="11"/>
  <c r="F1090" i="11"/>
  <c r="P1089" i="11"/>
  <c r="O1089" i="11"/>
  <c r="J1089" i="11"/>
  <c r="L1089" i="11" s="1"/>
  <c r="I1089" i="11"/>
  <c r="F1089" i="11"/>
  <c r="P1088" i="11"/>
  <c r="O1088" i="11" s="1"/>
  <c r="N1088" i="11"/>
  <c r="J1088" i="11"/>
  <c r="L1088" i="11" s="1"/>
  <c r="I1088" i="11"/>
  <c r="F1088" i="11"/>
  <c r="B1061" i="11" s="1"/>
  <c r="P1087" i="11"/>
  <c r="O1087" i="11"/>
  <c r="J1087" i="11"/>
  <c r="I1087" i="11"/>
  <c r="F1087" i="11" s="1"/>
  <c r="B1081" i="11"/>
  <c r="B1078" i="11"/>
  <c r="Q1077" i="11"/>
  <c r="C1071" i="11"/>
  <c r="C1070" i="11"/>
  <c r="B1070" i="11"/>
  <c r="C1069" i="11"/>
  <c r="C1068" i="11"/>
  <c r="D1067" i="11"/>
  <c r="C1067" i="11"/>
  <c r="D1066" i="11"/>
  <c r="C1066" i="11"/>
  <c r="B1066" i="11"/>
  <c r="AD1065" i="11"/>
  <c r="D1065" i="11"/>
  <c r="C1065" i="11"/>
  <c r="B1065" i="11"/>
  <c r="C1064" i="11"/>
  <c r="B1064" i="11"/>
  <c r="C1063" i="11"/>
  <c r="B1063" i="11"/>
  <c r="B1062" i="11"/>
  <c r="B1060" i="11"/>
  <c r="AE1057" i="11"/>
  <c r="B1056" i="11"/>
  <c r="B1053" i="11"/>
  <c r="Q1052" i="11"/>
  <c r="P1046" i="11"/>
  <c r="P1045" i="11"/>
  <c r="P1044" i="11"/>
  <c r="P1043" i="11"/>
  <c r="P1042" i="11"/>
  <c r="P1041" i="11"/>
  <c r="P1040" i="11"/>
  <c r="P1039" i="11"/>
  <c r="P1038" i="11"/>
  <c r="P1037" i="11"/>
  <c r="P1036" i="11"/>
  <c r="P1035" i="11"/>
  <c r="M1030" i="11"/>
  <c r="N1021" i="11"/>
  <c r="L1021" i="11"/>
  <c r="K1021" i="11"/>
  <c r="J1021" i="11"/>
  <c r="I1021" i="11"/>
  <c r="H1021" i="11"/>
  <c r="J1019" i="11"/>
  <c r="J1018" i="11"/>
  <c r="J1017" i="11"/>
  <c r="J1016" i="11"/>
  <c r="G1016" i="11"/>
  <c r="J1015" i="11"/>
  <c r="J1014" i="11"/>
  <c r="AR1013" i="11"/>
  <c r="AQ1013" i="11"/>
  <c r="AP1013" i="11"/>
  <c r="AO1013" i="11"/>
  <c r="AN1013" i="11"/>
  <c r="AM1013" i="11"/>
  <c r="AL1013" i="11"/>
  <c r="AK1013" i="11"/>
  <c r="AJ1013" i="11"/>
  <c r="AI1013" i="11"/>
  <c r="AH1013" i="11"/>
  <c r="AG1013" i="11"/>
  <c r="AF1013" i="11"/>
  <c r="AE1013" i="11"/>
  <c r="AD1013" i="11"/>
  <c r="J1013" i="11"/>
  <c r="J1012" i="11"/>
  <c r="J1011" i="11"/>
  <c r="J1010" i="11"/>
  <c r="J1009" i="11"/>
  <c r="G1009" i="11"/>
  <c r="J1008" i="11"/>
  <c r="AD1003" i="11"/>
  <c r="AD1000" i="11"/>
  <c r="B1000" i="11"/>
  <c r="AR999" i="11"/>
  <c r="B999" i="11"/>
  <c r="Q998" i="11"/>
  <c r="G991" i="11"/>
  <c r="F989" i="11"/>
  <c r="AH1024" i="11" s="1"/>
  <c r="G988" i="11"/>
  <c r="F985" i="11"/>
  <c r="AH1020" i="11" s="1"/>
  <c r="G984" i="11"/>
  <c r="F981" i="11"/>
  <c r="G980" i="11"/>
  <c r="F980" i="11"/>
  <c r="AR978" i="11"/>
  <c r="AQ978" i="11"/>
  <c r="AP978" i="11"/>
  <c r="AO978" i="11"/>
  <c r="AN978" i="11"/>
  <c r="AM978" i="11"/>
  <c r="AL978" i="11"/>
  <c r="AK978" i="11"/>
  <c r="AJ978" i="11"/>
  <c r="AI978" i="11"/>
  <c r="AH978" i="11"/>
  <c r="AG978" i="11"/>
  <c r="AF978" i="11"/>
  <c r="AE978" i="11"/>
  <c r="AD978" i="11"/>
  <c r="B973" i="11"/>
  <c r="B970" i="11"/>
  <c r="Q969" i="11"/>
  <c r="AD968" i="11"/>
  <c r="AD965" i="11"/>
  <c r="AR964" i="11"/>
  <c r="AH960" i="11"/>
  <c r="AG960" i="11"/>
  <c r="AD959" i="11"/>
  <c r="AH958" i="11"/>
  <c r="AG958" i="11"/>
  <c r="AD958" i="11"/>
  <c r="AH956" i="11"/>
  <c r="AD956" i="11"/>
  <c r="AS955" i="11"/>
  <c r="AG955" i="11"/>
  <c r="AS954" i="11"/>
  <c r="AG954" i="11"/>
  <c r="AF954" i="11"/>
  <c r="AD954" i="11"/>
  <c r="AD953" i="11"/>
  <c r="AS950" i="11"/>
  <c r="AH950" i="11"/>
  <c r="AH949" i="11"/>
  <c r="AD949" i="11"/>
  <c r="AR947" i="11"/>
  <c r="AQ947" i="11"/>
  <c r="AP947" i="11"/>
  <c r="AO947" i="11"/>
  <c r="AG947" i="11"/>
  <c r="AG950" i="11" s="1"/>
  <c r="AF947" i="11"/>
  <c r="AF950" i="11" s="1"/>
  <c r="AE947" i="11"/>
  <c r="AD947" i="11"/>
  <c r="B947" i="11"/>
  <c r="B944" i="11"/>
  <c r="Q943" i="11"/>
  <c r="AR942" i="11"/>
  <c r="AG942" i="11"/>
  <c r="AS939" i="11"/>
  <c r="AH939" i="11"/>
  <c r="AS937" i="11"/>
  <c r="T934" i="11"/>
  <c r="AE925" i="11" s="1"/>
  <c r="G934" i="11"/>
  <c r="F934" i="11"/>
  <c r="T933" i="11"/>
  <c r="AH959" i="11" s="1"/>
  <c r="G933" i="11"/>
  <c r="F933" i="11"/>
  <c r="T932" i="11"/>
  <c r="G932" i="11"/>
  <c r="F932" i="11"/>
  <c r="AS958" i="11" s="1"/>
  <c r="T931" i="11"/>
  <c r="G931" i="11"/>
  <c r="F931" i="11"/>
  <c r="T930" i="11"/>
  <c r="G930" i="11"/>
  <c r="F930" i="11"/>
  <c r="T929" i="11"/>
  <c r="G929" i="11"/>
  <c r="F929" i="11"/>
  <c r="T928" i="11"/>
  <c r="G928" i="11"/>
  <c r="F928" i="11"/>
  <c r="AH954" i="11" s="1"/>
  <c r="T927" i="11"/>
  <c r="F984" i="11" s="1"/>
  <c r="G927" i="11"/>
  <c r="F927" i="11"/>
  <c r="AG953" i="11" s="1"/>
  <c r="T926" i="11"/>
  <c r="G926" i="11"/>
  <c r="G983" i="11" s="1"/>
  <c r="F926" i="11"/>
  <c r="AD917" i="11" s="1"/>
  <c r="AD925" i="11"/>
  <c r="T925" i="11"/>
  <c r="G925" i="11"/>
  <c r="F925" i="11"/>
  <c r="AE924" i="11"/>
  <c r="AD924" i="11"/>
  <c r="AO924" i="11" s="1"/>
  <c r="T924" i="11"/>
  <c r="G924" i="11"/>
  <c r="G981" i="11" s="1"/>
  <c r="F924" i="11"/>
  <c r="AE950" i="11" s="1"/>
  <c r="AE923" i="11"/>
  <c r="AD923" i="11"/>
  <c r="T923" i="11"/>
  <c r="G923" i="11"/>
  <c r="F923" i="11"/>
  <c r="AF922" i="11"/>
  <c r="AE922" i="11"/>
  <c r="AD922" i="11"/>
  <c r="AO922" i="11" s="1"/>
  <c r="AE921" i="11"/>
  <c r="AD921" i="11"/>
  <c r="AE920" i="11"/>
  <c r="AD920" i="11"/>
  <c r="AF920" i="11" s="1"/>
  <c r="AE919" i="11"/>
  <c r="AD919" i="11"/>
  <c r="AE918" i="11"/>
  <c r="AD918" i="11"/>
  <c r="B918" i="11"/>
  <c r="AE917" i="11"/>
  <c r="AO916" i="11"/>
  <c r="AE916" i="11"/>
  <c r="AD916" i="11"/>
  <c r="AF916" i="11" s="1"/>
  <c r="AE915" i="11"/>
  <c r="AD915" i="11"/>
  <c r="B915" i="11"/>
  <c r="AO914" i="11"/>
  <c r="AE914" i="11"/>
  <c r="AF914" i="11" s="1"/>
  <c r="AD914" i="11"/>
  <c r="Q914" i="11"/>
  <c r="AF906" i="11"/>
  <c r="N906" i="11"/>
  <c r="AS905" i="11"/>
  <c r="AN905" i="11"/>
  <c r="O904" i="11"/>
  <c r="A896" i="11"/>
  <c r="A894" i="11"/>
  <c r="Q890" i="11"/>
  <c r="P884" i="11"/>
  <c r="O884" i="11"/>
  <c r="N884" i="11"/>
  <c r="L884" i="11"/>
  <c r="K884" i="11"/>
  <c r="J884" i="11"/>
  <c r="H884" i="11"/>
  <c r="G884" i="11"/>
  <c r="F884" i="11"/>
  <c r="I884" i="11" s="1"/>
  <c r="D884" i="11"/>
  <c r="C884" i="11"/>
  <c r="B884" i="11"/>
  <c r="Q883" i="11"/>
  <c r="P883" i="11"/>
  <c r="O883" i="11"/>
  <c r="O885" i="11" s="1"/>
  <c r="N883" i="11"/>
  <c r="L883" i="11"/>
  <c r="K883" i="11"/>
  <c r="J883" i="11"/>
  <c r="H883" i="11"/>
  <c r="I883" i="11" s="1"/>
  <c r="G883" i="11"/>
  <c r="G885" i="11" s="1"/>
  <c r="F883" i="11"/>
  <c r="D883" i="11"/>
  <c r="C883" i="11"/>
  <c r="E883" i="11" s="1"/>
  <c r="B883" i="11"/>
  <c r="P882" i="11"/>
  <c r="P885" i="11" s="1"/>
  <c r="O882" i="11"/>
  <c r="N882" i="11"/>
  <c r="L882" i="11"/>
  <c r="L885" i="11" s="1"/>
  <c r="K882" i="11"/>
  <c r="J882" i="11"/>
  <c r="H882" i="11"/>
  <c r="H885" i="11" s="1"/>
  <c r="G882" i="11"/>
  <c r="F882" i="11"/>
  <c r="D882" i="11"/>
  <c r="D885" i="11" s="1"/>
  <c r="C882" i="11"/>
  <c r="B882" i="11"/>
  <c r="Q881" i="11"/>
  <c r="P881" i="11"/>
  <c r="O881" i="11"/>
  <c r="N881" i="11"/>
  <c r="M881" i="11"/>
  <c r="L881" i="11"/>
  <c r="K881" i="11"/>
  <c r="J881" i="11"/>
  <c r="I881" i="11"/>
  <c r="H881" i="11"/>
  <c r="G881" i="11"/>
  <c r="F881" i="11"/>
  <c r="D881" i="11"/>
  <c r="C881" i="11"/>
  <c r="E881" i="11" s="1"/>
  <c r="R881" i="11" s="1"/>
  <c r="B881" i="11"/>
  <c r="P880" i="11"/>
  <c r="O880" i="11"/>
  <c r="N880" i="11"/>
  <c r="Q880" i="11" s="1"/>
  <c r="L880" i="11"/>
  <c r="K880" i="11"/>
  <c r="J880" i="11"/>
  <c r="H880" i="11"/>
  <c r="G880" i="11"/>
  <c r="F880" i="11"/>
  <c r="F886" i="11" s="1"/>
  <c r="D880" i="11"/>
  <c r="C880" i="11"/>
  <c r="B880" i="11"/>
  <c r="E880" i="11" s="1"/>
  <c r="P879" i="11"/>
  <c r="P886" i="11" s="1"/>
  <c r="P908" i="11" s="1"/>
  <c r="O879" i="11"/>
  <c r="N879" i="11"/>
  <c r="M879" i="11"/>
  <c r="L879" i="11"/>
  <c r="K879" i="11"/>
  <c r="J879" i="11"/>
  <c r="H879" i="11"/>
  <c r="H886" i="11" s="1"/>
  <c r="H908" i="11" s="1"/>
  <c r="G879" i="11"/>
  <c r="F879" i="11"/>
  <c r="D879" i="11"/>
  <c r="D886" i="11" s="1"/>
  <c r="D908" i="11" s="1"/>
  <c r="C879" i="11"/>
  <c r="E879" i="11" s="1"/>
  <c r="B879" i="11"/>
  <c r="N877" i="11"/>
  <c r="P876" i="11"/>
  <c r="O876" i="11"/>
  <c r="N876" i="11"/>
  <c r="P875" i="11"/>
  <c r="O875" i="11"/>
  <c r="Q875" i="11" s="1"/>
  <c r="N875" i="11"/>
  <c r="Q872" i="11"/>
  <c r="P872" i="11"/>
  <c r="O872" i="11"/>
  <c r="N872" i="11"/>
  <c r="L872" i="11"/>
  <c r="K872" i="11"/>
  <c r="M872" i="11" s="1"/>
  <c r="J872" i="11"/>
  <c r="I872" i="11"/>
  <c r="H872" i="11"/>
  <c r="G872" i="11"/>
  <c r="F872" i="11"/>
  <c r="D872" i="11"/>
  <c r="C872" i="11"/>
  <c r="E872" i="11" s="1"/>
  <c r="B872" i="11"/>
  <c r="P871" i="11"/>
  <c r="O871" i="11"/>
  <c r="G871" i="11"/>
  <c r="F871" i="11"/>
  <c r="D871" i="11"/>
  <c r="C871" i="11"/>
  <c r="B871" i="11"/>
  <c r="E871" i="11" s="1"/>
  <c r="P870" i="11"/>
  <c r="P873" i="11" s="1"/>
  <c r="P904" i="11" s="1"/>
  <c r="O870" i="11"/>
  <c r="O873" i="11" s="1"/>
  <c r="N870" i="11"/>
  <c r="L870" i="11"/>
  <c r="K870" i="11"/>
  <c r="J870" i="11"/>
  <c r="H870" i="11"/>
  <c r="G870" i="11"/>
  <c r="F870" i="11"/>
  <c r="F873" i="11" s="1"/>
  <c r="D870" i="11"/>
  <c r="D873" i="11" s="1"/>
  <c r="D904" i="11" s="1"/>
  <c r="C870" i="11"/>
  <c r="B870" i="11"/>
  <c r="Q867" i="11"/>
  <c r="P867" i="11"/>
  <c r="O867" i="11"/>
  <c r="N867" i="11"/>
  <c r="L867" i="11"/>
  <c r="K867" i="11"/>
  <c r="M867" i="11" s="1"/>
  <c r="J867" i="11"/>
  <c r="I867" i="11"/>
  <c r="H867" i="11"/>
  <c r="G867" i="11"/>
  <c r="F867" i="11"/>
  <c r="D867" i="11"/>
  <c r="C867" i="11"/>
  <c r="E867" i="11" s="1"/>
  <c r="B867" i="11"/>
  <c r="P866" i="11"/>
  <c r="O866" i="11"/>
  <c r="N866" i="11"/>
  <c r="Q866" i="11" s="1"/>
  <c r="L866" i="11"/>
  <c r="K866" i="11"/>
  <c r="J866" i="11"/>
  <c r="M866" i="11" s="1"/>
  <c r="H866" i="11"/>
  <c r="G866" i="11"/>
  <c r="F866" i="11"/>
  <c r="I866" i="11" s="1"/>
  <c r="D866" i="11"/>
  <c r="C866" i="11"/>
  <c r="B866" i="11"/>
  <c r="E866" i="11" s="1"/>
  <c r="R866" i="11" s="1"/>
  <c r="P865" i="11"/>
  <c r="O865" i="11"/>
  <c r="Q865" i="11" s="1"/>
  <c r="N865" i="11"/>
  <c r="M865" i="11"/>
  <c r="L865" i="11"/>
  <c r="K865" i="11"/>
  <c r="J865" i="11"/>
  <c r="H865" i="11"/>
  <c r="G865" i="11"/>
  <c r="I865" i="11" s="1"/>
  <c r="F865" i="11"/>
  <c r="D865" i="11"/>
  <c r="C865" i="11"/>
  <c r="E865" i="11" s="1"/>
  <c r="R865" i="11" s="1"/>
  <c r="B865" i="11"/>
  <c r="P864" i="11"/>
  <c r="O864" i="11"/>
  <c r="N864" i="11"/>
  <c r="L864" i="11"/>
  <c r="K864" i="11"/>
  <c r="J864" i="11"/>
  <c r="G864" i="11"/>
  <c r="F864" i="11"/>
  <c r="D864" i="11"/>
  <c r="C864" i="11"/>
  <c r="B864" i="11"/>
  <c r="E864" i="11" s="1"/>
  <c r="P863" i="11"/>
  <c r="O863" i="11"/>
  <c r="Q863" i="11" s="1"/>
  <c r="N863" i="11"/>
  <c r="M863" i="11"/>
  <c r="L863" i="11"/>
  <c r="K863" i="11"/>
  <c r="J863" i="11"/>
  <c r="H863" i="11"/>
  <c r="G863" i="11"/>
  <c r="I863" i="11" s="1"/>
  <c r="F863" i="11"/>
  <c r="E863" i="11"/>
  <c r="D863" i="11"/>
  <c r="C863" i="11"/>
  <c r="B863" i="11"/>
  <c r="P862" i="11"/>
  <c r="P868" i="11" s="1"/>
  <c r="A855" i="11"/>
  <c r="A853" i="11"/>
  <c r="Q849" i="11"/>
  <c r="O846" i="11"/>
  <c r="Q842" i="11"/>
  <c r="M842" i="11"/>
  <c r="I842" i="11"/>
  <c r="E842" i="11"/>
  <c r="L841" i="11"/>
  <c r="L844" i="11" s="1"/>
  <c r="F841" i="11"/>
  <c r="B841" i="11"/>
  <c r="P840" i="11"/>
  <c r="O840" i="11"/>
  <c r="Q840" i="11" s="1"/>
  <c r="N840" i="11"/>
  <c r="M840" i="11"/>
  <c r="L840" i="11"/>
  <c r="K840" i="11"/>
  <c r="J840" i="11"/>
  <c r="H840" i="11"/>
  <c r="G840" i="11"/>
  <c r="I840" i="11" s="1"/>
  <c r="F840" i="11"/>
  <c r="E840" i="11"/>
  <c r="D840" i="11"/>
  <c r="C840" i="11"/>
  <c r="B840" i="11"/>
  <c r="P839" i="11"/>
  <c r="O839" i="11"/>
  <c r="N839" i="11"/>
  <c r="Q839" i="11" s="1"/>
  <c r="L839" i="11"/>
  <c r="K839" i="11"/>
  <c r="J839" i="11"/>
  <c r="M839" i="11" s="1"/>
  <c r="H839" i="11"/>
  <c r="G839" i="11"/>
  <c r="F839" i="11"/>
  <c r="D839" i="11"/>
  <c r="C839" i="11"/>
  <c r="B839" i="11"/>
  <c r="Q836" i="11"/>
  <c r="M836" i="11"/>
  <c r="I836" i="11"/>
  <c r="E836" i="11"/>
  <c r="Q835" i="11"/>
  <c r="M835" i="11"/>
  <c r="I835" i="11"/>
  <c r="E835" i="11"/>
  <c r="R835" i="11" s="1"/>
  <c r="Q833" i="11"/>
  <c r="M833" i="11"/>
  <c r="I833" i="11"/>
  <c r="E833" i="11"/>
  <c r="Q832" i="11"/>
  <c r="M832" i="11"/>
  <c r="I832" i="11"/>
  <c r="E832" i="11"/>
  <c r="R832" i="11" s="1"/>
  <c r="Q829" i="11"/>
  <c r="P829" i="11"/>
  <c r="O829" i="11"/>
  <c r="N829" i="11"/>
  <c r="J829" i="11"/>
  <c r="F829" i="11"/>
  <c r="C829" i="11"/>
  <c r="E829" i="11" s="1"/>
  <c r="B829" i="11"/>
  <c r="R828" i="11"/>
  <c r="Q828" i="11"/>
  <c r="L828" i="11"/>
  <c r="L829" i="11" s="1"/>
  <c r="K828" i="11"/>
  <c r="M828" i="11" s="1"/>
  <c r="J828" i="11"/>
  <c r="I828" i="11"/>
  <c r="H828" i="11"/>
  <c r="H829" i="11" s="1"/>
  <c r="I829" i="11" s="1"/>
  <c r="G828" i="11"/>
  <c r="G829" i="11" s="1"/>
  <c r="F828" i="11"/>
  <c r="D828" i="11"/>
  <c r="D829" i="11" s="1"/>
  <c r="C828" i="11"/>
  <c r="E828" i="11" s="1"/>
  <c r="Q827" i="11"/>
  <c r="M827" i="11"/>
  <c r="I827" i="11"/>
  <c r="E827" i="11"/>
  <c r="R827" i="11" s="1"/>
  <c r="Q826" i="11"/>
  <c r="M826" i="11"/>
  <c r="I826" i="11"/>
  <c r="E826" i="11"/>
  <c r="Q825" i="11"/>
  <c r="M825" i="11"/>
  <c r="I825" i="11"/>
  <c r="E825" i="11"/>
  <c r="R825" i="11" s="1"/>
  <c r="Q823" i="11"/>
  <c r="M823" i="11"/>
  <c r="I823" i="11"/>
  <c r="E823" i="11"/>
  <c r="R823" i="11" s="1"/>
  <c r="Q822" i="11"/>
  <c r="M822" i="11"/>
  <c r="I822" i="11"/>
  <c r="R822" i="11" s="1"/>
  <c r="E822" i="11"/>
  <c r="P819" i="11"/>
  <c r="O819" i="11"/>
  <c r="N819" i="11"/>
  <c r="Q819" i="11" s="1"/>
  <c r="M819" i="11"/>
  <c r="L819" i="11"/>
  <c r="K819" i="11"/>
  <c r="J819" i="11"/>
  <c r="H819" i="11"/>
  <c r="G819" i="11"/>
  <c r="F819" i="11"/>
  <c r="D819" i="11"/>
  <c r="C819" i="11"/>
  <c r="B819" i="11"/>
  <c r="E819" i="11" s="1"/>
  <c r="Q817" i="11"/>
  <c r="M817" i="11"/>
  <c r="I817" i="11"/>
  <c r="E817" i="11"/>
  <c r="R817" i="11" s="1"/>
  <c r="P814" i="11"/>
  <c r="P841" i="11" s="1"/>
  <c r="P844" i="11" s="1"/>
  <c r="O814" i="11"/>
  <c r="O841" i="11" s="1"/>
  <c r="O844" i="11" s="1"/>
  <c r="N814" i="11"/>
  <c r="L814" i="11"/>
  <c r="K814" i="11"/>
  <c r="J814" i="11"/>
  <c r="J841" i="11" s="1"/>
  <c r="H814" i="11"/>
  <c r="G814" i="11"/>
  <c r="G841" i="11" s="1"/>
  <c r="G844" i="11" s="1"/>
  <c r="F814" i="11"/>
  <c r="I814" i="11" s="1"/>
  <c r="D814" i="11"/>
  <c r="D841" i="11" s="1"/>
  <c r="D844" i="11" s="1"/>
  <c r="C814" i="11"/>
  <c r="B814" i="11"/>
  <c r="E814" i="11" s="1"/>
  <c r="Q812" i="11"/>
  <c r="M812" i="11"/>
  <c r="I812" i="11"/>
  <c r="E812" i="11"/>
  <c r="R812" i="11" s="1"/>
  <c r="Q809" i="11"/>
  <c r="M809" i="11"/>
  <c r="I809" i="11"/>
  <c r="E809" i="11"/>
  <c r="R809" i="11" s="1"/>
  <c r="Q808" i="11"/>
  <c r="M808" i="11"/>
  <c r="I808" i="11"/>
  <c r="E808" i="11"/>
  <c r="Q807" i="11"/>
  <c r="M807" i="11"/>
  <c r="I807" i="11"/>
  <c r="E807" i="11"/>
  <c r="R807" i="11" s="1"/>
  <c r="Q806" i="11"/>
  <c r="M806" i="11"/>
  <c r="I806" i="11"/>
  <c r="E806" i="11"/>
  <c r="R806" i="11" s="1"/>
  <c r="Q805" i="11"/>
  <c r="M805" i="11"/>
  <c r="I805" i="11"/>
  <c r="E805" i="11"/>
  <c r="H797" i="11"/>
  <c r="K795" i="11"/>
  <c r="R793" i="11"/>
  <c r="Q793" i="11"/>
  <c r="M793" i="11"/>
  <c r="I793" i="11"/>
  <c r="E793" i="11"/>
  <c r="Q792" i="11"/>
  <c r="M792" i="11"/>
  <c r="I792" i="11"/>
  <c r="R792" i="11" s="1"/>
  <c r="E792" i="11"/>
  <c r="N791" i="11"/>
  <c r="L791" i="11"/>
  <c r="L795" i="11" s="1"/>
  <c r="H791" i="11"/>
  <c r="H795" i="11" s="1"/>
  <c r="F791" i="11"/>
  <c r="Q790" i="11"/>
  <c r="P790" i="11"/>
  <c r="O790" i="11"/>
  <c r="N790" i="11"/>
  <c r="M790" i="11"/>
  <c r="L790" i="11"/>
  <c r="K790" i="11"/>
  <c r="J790" i="11"/>
  <c r="I790" i="11"/>
  <c r="H790" i="11"/>
  <c r="G790" i="11"/>
  <c r="F790" i="11"/>
  <c r="E790" i="11"/>
  <c r="R790" i="11" s="1"/>
  <c r="D790" i="11"/>
  <c r="C790" i="11"/>
  <c r="B790" i="11"/>
  <c r="P789" i="11"/>
  <c r="O789" i="11"/>
  <c r="N789" i="11"/>
  <c r="L789" i="11"/>
  <c r="K789" i="11"/>
  <c r="J789" i="11"/>
  <c r="M789" i="11" s="1"/>
  <c r="H789" i="11"/>
  <c r="G789" i="11"/>
  <c r="F789" i="11"/>
  <c r="I789" i="11" s="1"/>
  <c r="D789" i="11"/>
  <c r="C789" i="11"/>
  <c r="B789" i="11"/>
  <c r="E789" i="11" s="1"/>
  <c r="Q783" i="11"/>
  <c r="P783" i="11"/>
  <c r="O783" i="11"/>
  <c r="N783" i="11"/>
  <c r="L783" i="11"/>
  <c r="K783" i="11"/>
  <c r="J783" i="11"/>
  <c r="M783" i="11" s="1"/>
  <c r="I783" i="11"/>
  <c r="H783" i="11"/>
  <c r="G783" i="11"/>
  <c r="F783" i="11"/>
  <c r="D783" i="11"/>
  <c r="C783" i="11"/>
  <c r="B783" i="11"/>
  <c r="P779" i="11"/>
  <c r="P791" i="11" s="1"/>
  <c r="P795" i="11" s="1"/>
  <c r="O779" i="11"/>
  <c r="O791" i="11" s="1"/>
  <c r="O795" i="11" s="1"/>
  <c r="O797" i="11" s="1"/>
  <c r="O763" i="11" s="1"/>
  <c r="N779" i="11"/>
  <c r="L779" i="11"/>
  <c r="K779" i="11"/>
  <c r="J779" i="11"/>
  <c r="H779" i="11"/>
  <c r="G779" i="11"/>
  <c r="G791" i="11" s="1"/>
  <c r="G795" i="11" s="1"/>
  <c r="F779" i="11"/>
  <c r="I779" i="11" s="1"/>
  <c r="D779" i="11"/>
  <c r="D791" i="11" s="1"/>
  <c r="D795" i="11" s="1"/>
  <c r="D797" i="11" s="1"/>
  <c r="C779" i="11"/>
  <c r="B779" i="11"/>
  <c r="Q775" i="11"/>
  <c r="P775" i="11"/>
  <c r="O775" i="11"/>
  <c r="N775" i="11"/>
  <c r="M775" i="11"/>
  <c r="L775" i="11"/>
  <c r="K775" i="11"/>
  <c r="K791" i="11" s="1"/>
  <c r="J775" i="11"/>
  <c r="I775" i="11"/>
  <c r="H775" i="11"/>
  <c r="G775" i="11"/>
  <c r="F775" i="11"/>
  <c r="E775" i="11"/>
  <c r="R775" i="11" s="1"/>
  <c r="D775" i="11"/>
  <c r="C775" i="11"/>
  <c r="B775" i="11"/>
  <c r="Q771" i="11"/>
  <c r="M771" i="11"/>
  <c r="I771" i="11"/>
  <c r="E771" i="11"/>
  <c r="R771" i="11" s="1"/>
  <c r="P761" i="11"/>
  <c r="O761" i="11"/>
  <c r="N761" i="11"/>
  <c r="L761" i="11"/>
  <c r="K761" i="11"/>
  <c r="J761" i="11"/>
  <c r="H761" i="11"/>
  <c r="G761" i="11"/>
  <c r="F761" i="11"/>
  <c r="D761" i="11"/>
  <c r="C761" i="11"/>
  <c r="B761" i="11"/>
  <c r="Q759" i="11"/>
  <c r="M759" i="11"/>
  <c r="I759" i="11"/>
  <c r="E759" i="11"/>
  <c r="R749" i="11"/>
  <c r="Q749" i="11"/>
  <c r="M749" i="11"/>
  <c r="I749" i="11"/>
  <c r="E749" i="11"/>
  <c r="O748" i="11"/>
  <c r="O751" i="11" s="1"/>
  <c r="P747" i="11"/>
  <c r="O747" i="11"/>
  <c r="N747" i="11"/>
  <c r="Q747" i="11" s="1"/>
  <c r="L747" i="11"/>
  <c r="K747" i="11"/>
  <c r="J747" i="11"/>
  <c r="M747" i="11" s="1"/>
  <c r="H747" i="11"/>
  <c r="G747" i="11"/>
  <c r="F747" i="11"/>
  <c r="D747" i="11"/>
  <c r="C747" i="11"/>
  <c r="B747" i="11"/>
  <c r="E747" i="11" s="1"/>
  <c r="Q746" i="11"/>
  <c r="P746" i="11"/>
  <c r="O746" i="11"/>
  <c r="N746" i="11"/>
  <c r="L746" i="11"/>
  <c r="K746" i="11"/>
  <c r="J746" i="11"/>
  <c r="M746" i="11" s="1"/>
  <c r="H746" i="11"/>
  <c r="G746" i="11"/>
  <c r="I746" i="11" s="1"/>
  <c r="F746" i="11"/>
  <c r="D746" i="11"/>
  <c r="C746" i="11"/>
  <c r="B746" i="11"/>
  <c r="E746" i="11" s="1"/>
  <c r="R743" i="11"/>
  <c r="Q743" i="11"/>
  <c r="M743" i="11"/>
  <c r="I743" i="11"/>
  <c r="E743" i="11"/>
  <c r="Q742" i="11"/>
  <c r="M742" i="11"/>
  <c r="I742" i="11"/>
  <c r="R742" i="11" s="1"/>
  <c r="E742" i="11"/>
  <c r="Q741" i="11"/>
  <c r="M741" i="11"/>
  <c r="I741" i="11"/>
  <c r="E741" i="11"/>
  <c r="R741" i="11" s="1"/>
  <c r="Q740" i="11"/>
  <c r="M740" i="11"/>
  <c r="I740" i="11"/>
  <c r="E740" i="11"/>
  <c r="P736" i="11"/>
  <c r="O736" i="11"/>
  <c r="N736" i="11"/>
  <c r="L736" i="11"/>
  <c r="K736" i="11"/>
  <c r="J736" i="11"/>
  <c r="M736" i="11" s="1"/>
  <c r="H736" i="11"/>
  <c r="G736" i="11"/>
  <c r="F736" i="11"/>
  <c r="I736" i="11" s="1"/>
  <c r="D736" i="11"/>
  <c r="C736" i="11"/>
  <c r="B736" i="11"/>
  <c r="Q735" i="11"/>
  <c r="M735" i="11"/>
  <c r="I735" i="11"/>
  <c r="R735" i="11" s="1"/>
  <c r="E735" i="11"/>
  <c r="R734" i="11"/>
  <c r="Q734" i="11"/>
  <c r="M734" i="11"/>
  <c r="I734" i="11"/>
  <c r="E734" i="11"/>
  <c r="Q733" i="11"/>
  <c r="M733" i="11"/>
  <c r="I733" i="11"/>
  <c r="E733" i="11"/>
  <c r="R733" i="11" s="1"/>
  <c r="Q732" i="11"/>
  <c r="M732" i="11"/>
  <c r="I732" i="11"/>
  <c r="E732" i="11"/>
  <c r="Q731" i="11"/>
  <c r="M731" i="11"/>
  <c r="I731" i="11"/>
  <c r="E731" i="11"/>
  <c r="R731" i="11" s="1"/>
  <c r="Q730" i="11"/>
  <c r="M730" i="11"/>
  <c r="I730" i="11"/>
  <c r="E730" i="11"/>
  <c r="R730" i="11" s="1"/>
  <c r="Q729" i="11"/>
  <c r="M729" i="11"/>
  <c r="I729" i="11"/>
  <c r="E729" i="11"/>
  <c r="R728" i="11"/>
  <c r="Q728" i="11"/>
  <c r="M728" i="11"/>
  <c r="I728" i="11"/>
  <c r="E728" i="11"/>
  <c r="Q727" i="11"/>
  <c r="M727" i="11"/>
  <c r="I727" i="11"/>
  <c r="R727" i="11" s="1"/>
  <c r="E727" i="11"/>
  <c r="R725" i="11"/>
  <c r="Q725" i="11"/>
  <c r="M725" i="11"/>
  <c r="I725" i="11"/>
  <c r="E725" i="11"/>
  <c r="Q722" i="11"/>
  <c r="P722" i="11"/>
  <c r="O722" i="11"/>
  <c r="N722" i="11"/>
  <c r="L722" i="11"/>
  <c r="K722" i="11"/>
  <c r="J722" i="11"/>
  <c r="M722" i="11" s="1"/>
  <c r="H722" i="11"/>
  <c r="G722" i="11"/>
  <c r="G748" i="11" s="1"/>
  <c r="G751" i="11" s="1"/>
  <c r="F722" i="11"/>
  <c r="D722" i="11"/>
  <c r="C722" i="11"/>
  <c r="B722" i="11"/>
  <c r="E722" i="11" s="1"/>
  <c r="P718" i="11"/>
  <c r="O718" i="11"/>
  <c r="N718" i="11"/>
  <c r="L718" i="11"/>
  <c r="L748" i="11" s="1"/>
  <c r="L751" i="11" s="1"/>
  <c r="K718" i="11"/>
  <c r="J718" i="11"/>
  <c r="H718" i="11"/>
  <c r="G718" i="11"/>
  <c r="F718" i="11"/>
  <c r="D718" i="11"/>
  <c r="D748" i="11" s="1"/>
  <c r="D751" i="11" s="1"/>
  <c r="C718" i="11"/>
  <c r="C748" i="11" s="1"/>
  <c r="C751" i="11" s="1"/>
  <c r="B718" i="11"/>
  <c r="Q714" i="11"/>
  <c r="M714" i="11"/>
  <c r="I714" i="11"/>
  <c r="E714" i="11"/>
  <c r="R714" i="11" s="1"/>
  <c r="Q713" i="11"/>
  <c r="M713" i="11"/>
  <c r="I713" i="11"/>
  <c r="E713" i="11"/>
  <c r="R713" i="11" s="1"/>
  <c r="Q712" i="11"/>
  <c r="M712" i="11"/>
  <c r="I712" i="11"/>
  <c r="E712" i="11"/>
  <c r="R711" i="11"/>
  <c r="Q711" i="11"/>
  <c r="M711" i="11"/>
  <c r="I711" i="11"/>
  <c r="E711" i="11"/>
  <c r="Q710" i="11"/>
  <c r="M710" i="11"/>
  <c r="I710" i="11"/>
  <c r="E710" i="11"/>
  <c r="Q709" i="11"/>
  <c r="M709" i="11"/>
  <c r="I709" i="11"/>
  <c r="E709" i="11"/>
  <c r="R709" i="11" s="1"/>
  <c r="Q708" i="11"/>
  <c r="M708" i="11"/>
  <c r="I708" i="11"/>
  <c r="E708" i="11"/>
  <c r="Q696" i="11"/>
  <c r="M696" i="11"/>
  <c r="I696" i="11"/>
  <c r="E696" i="11"/>
  <c r="R696" i="11" s="1"/>
  <c r="C695" i="11"/>
  <c r="C698" i="11" s="1"/>
  <c r="P694" i="11"/>
  <c r="O694" i="11"/>
  <c r="N694" i="11"/>
  <c r="L694" i="11"/>
  <c r="K694" i="11"/>
  <c r="M694" i="11" s="1"/>
  <c r="J694" i="11"/>
  <c r="H694" i="11"/>
  <c r="G694" i="11"/>
  <c r="F694" i="11"/>
  <c r="D694" i="11"/>
  <c r="C694" i="11"/>
  <c r="B694" i="11"/>
  <c r="E694" i="11" s="1"/>
  <c r="P693" i="11"/>
  <c r="O693" i="11"/>
  <c r="Q693" i="11" s="1"/>
  <c r="N693" i="11"/>
  <c r="M693" i="11"/>
  <c r="L693" i="11"/>
  <c r="K693" i="11"/>
  <c r="J693" i="11"/>
  <c r="H693" i="11"/>
  <c r="G693" i="11"/>
  <c r="I693" i="11" s="1"/>
  <c r="F693" i="11"/>
  <c r="E693" i="11"/>
  <c r="D693" i="11"/>
  <c r="C693" i="11"/>
  <c r="B693" i="11"/>
  <c r="Q690" i="11"/>
  <c r="M690" i="11"/>
  <c r="R690" i="11" s="1"/>
  <c r="I690" i="11"/>
  <c r="E690" i="11"/>
  <c r="P686" i="11"/>
  <c r="O686" i="11"/>
  <c r="N686" i="11"/>
  <c r="Q686" i="11" s="1"/>
  <c r="L686" i="11"/>
  <c r="K686" i="11"/>
  <c r="J686" i="11"/>
  <c r="H686" i="11"/>
  <c r="G686" i="11"/>
  <c r="F686" i="11"/>
  <c r="E686" i="11"/>
  <c r="D686" i="11"/>
  <c r="C686" i="11"/>
  <c r="B686" i="11"/>
  <c r="P682" i="11"/>
  <c r="P695" i="11" s="1"/>
  <c r="P698" i="11" s="1"/>
  <c r="O682" i="11"/>
  <c r="N682" i="11"/>
  <c r="L682" i="11"/>
  <c r="K682" i="11"/>
  <c r="J682" i="11"/>
  <c r="I682" i="11"/>
  <c r="H682" i="11"/>
  <c r="G682" i="11"/>
  <c r="F682" i="11"/>
  <c r="D682" i="11"/>
  <c r="C682" i="11"/>
  <c r="B682" i="11"/>
  <c r="E682" i="11" s="1"/>
  <c r="Q678" i="11"/>
  <c r="P678" i="11"/>
  <c r="O678" i="11"/>
  <c r="O695" i="11" s="1"/>
  <c r="O698" i="11" s="1"/>
  <c r="N678" i="11"/>
  <c r="L678" i="11"/>
  <c r="L695" i="11" s="1"/>
  <c r="L698" i="11" s="1"/>
  <c r="J678" i="11"/>
  <c r="H678" i="11"/>
  <c r="G678" i="11"/>
  <c r="G695" i="11" s="1"/>
  <c r="G698" i="11" s="1"/>
  <c r="F678" i="11"/>
  <c r="F695" i="11" s="1"/>
  <c r="D678" i="11"/>
  <c r="D695" i="11" s="1"/>
  <c r="D698" i="11" s="1"/>
  <c r="C678" i="11"/>
  <c r="B678" i="11"/>
  <c r="Q674" i="11"/>
  <c r="M674" i="11"/>
  <c r="I674" i="11"/>
  <c r="E674" i="11"/>
  <c r="R674" i="11" s="1"/>
  <c r="Q673" i="11"/>
  <c r="M673" i="11"/>
  <c r="I673" i="11"/>
  <c r="E673" i="11"/>
  <c r="R672" i="11"/>
  <c r="Q672" i="11"/>
  <c r="M672" i="11"/>
  <c r="K672" i="11"/>
  <c r="K678" i="11" s="1"/>
  <c r="I672" i="11"/>
  <c r="E672" i="11"/>
  <c r="P662" i="11"/>
  <c r="O662" i="11"/>
  <c r="N662" i="11"/>
  <c r="L662" i="11"/>
  <c r="K662" i="11"/>
  <c r="J662" i="11"/>
  <c r="I662" i="11"/>
  <c r="H662" i="11"/>
  <c r="G662" i="11"/>
  <c r="F662" i="11"/>
  <c r="D662" i="11"/>
  <c r="C662" i="11"/>
  <c r="B662" i="11"/>
  <c r="R660" i="11"/>
  <c r="Q660" i="11"/>
  <c r="M660" i="11"/>
  <c r="I660" i="11"/>
  <c r="E660" i="11"/>
  <c r="Q650" i="11"/>
  <c r="M650" i="11"/>
  <c r="I650" i="11"/>
  <c r="E650" i="11"/>
  <c r="N649" i="11"/>
  <c r="H649" i="11"/>
  <c r="H652" i="11" s="1"/>
  <c r="F649" i="11"/>
  <c r="Q648" i="11"/>
  <c r="P648" i="11"/>
  <c r="O648" i="11"/>
  <c r="N648" i="11"/>
  <c r="M648" i="11"/>
  <c r="L648" i="11"/>
  <c r="K648" i="11"/>
  <c r="J648" i="11"/>
  <c r="I648" i="11"/>
  <c r="H648" i="11"/>
  <c r="G648" i="11"/>
  <c r="F648" i="11"/>
  <c r="E648" i="11"/>
  <c r="D648" i="11"/>
  <c r="C648" i="11"/>
  <c r="B648" i="11"/>
  <c r="P647" i="11"/>
  <c r="O647" i="11"/>
  <c r="N647" i="11"/>
  <c r="Q647" i="11" s="1"/>
  <c r="L647" i="11"/>
  <c r="K647" i="11"/>
  <c r="J647" i="11"/>
  <c r="M647" i="11" s="1"/>
  <c r="H647" i="11"/>
  <c r="G647" i="11"/>
  <c r="F647" i="11"/>
  <c r="D647" i="11"/>
  <c r="C647" i="11"/>
  <c r="B647" i="11"/>
  <c r="E647" i="11" s="1"/>
  <c r="Q646" i="11"/>
  <c r="M646" i="11"/>
  <c r="I646" i="11"/>
  <c r="E646" i="11"/>
  <c r="R646" i="11" s="1"/>
  <c r="Q645" i="11"/>
  <c r="M645" i="11"/>
  <c r="I645" i="11"/>
  <c r="E645" i="11"/>
  <c r="R645" i="11" s="1"/>
  <c r="Q644" i="11"/>
  <c r="M644" i="11"/>
  <c r="I644" i="11"/>
  <c r="E644" i="11"/>
  <c r="R644" i="11" s="1"/>
  <c r="Q642" i="11"/>
  <c r="M642" i="11"/>
  <c r="R642" i="11" s="1"/>
  <c r="I642" i="11"/>
  <c r="E642" i="11"/>
  <c r="Q641" i="11"/>
  <c r="M641" i="11"/>
  <c r="I641" i="11"/>
  <c r="R641" i="11" s="1"/>
  <c r="E641" i="11"/>
  <c r="R639" i="11"/>
  <c r="Q639" i="11"/>
  <c r="M639" i="11"/>
  <c r="I639" i="11"/>
  <c r="E639" i="11"/>
  <c r="Q638" i="11"/>
  <c r="M638" i="11"/>
  <c r="I638" i="11"/>
  <c r="E638" i="11"/>
  <c r="Q637" i="11"/>
  <c r="M637" i="11"/>
  <c r="I637" i="11"/>
  <c r="E637" i="11"/>
  <c r="R637" i="11" s="1"/>
  <c r="Q636" i="11"/>
  <c r="M636" i="11"/>
  <c r="I636" i="11"/>
  <c r="E636" i="11"/>
  <c r="Q634" i="11"/>
  <c r="M634" i="11"/>
  <c r="I634" i="11"/>
  <c r="E634" i="11"/>
  <c r="R634" i="11" s="1"/>
  <c r="Q633" i="11"/>
  <c r="M633" i="11"/>
  <c r="I633" i="11"/>
  <c r="E633" i="11"/>
  <c r="R633" i="11" s="1"/>
  <c r="P630" i="11"/>
  <c r="P649" i="11" s="1"/>
  <c r="P652" i="11" s="1"/>
  <c r="O630" i="11"/>
  <c r="N630" i="11"/>
  <c r="Q630" i="11" s="1"/>
  <c r="L630" i="11"/>
  <c r="K630" i="11"/>
  <c r="J630" i="11"/>
  <c r="M630" i="11" s="1"/>
  <c r="H630" i="11"/>
  <c r="G630" i="11"/>
  <c r="F630" i="11"/>
  <c r="I630" i="11" s="1"/>
  <c r="D630" i="11"/>
  <c r="C630" i="11"/>
  <c r="B630" i="11"/>
  <c r="E630" i="11" s="1"/>
  <c r="R630" i="11" s="1"/>
  <c r="Q629" i="11"/>
  <c r="M629" i="11"/>
  <c r="I629" i="11"/>
  <c r="E629" i="11"/>
  <c r="Q628" i="11"/>
  <c r="M628" i="11"/>
  <c r="I628" i="11"/>
  <c r="E628" i="11"/>
  <c r="R628" i="11" s="1"/>
  <c r="Q627" i="11"/>
  <c r="M627" i="11"/>
  <c r="I627" i="11"/>
  <c r="E627" i="11"/>
  <c r="R627" i="11" s="1"/>
  <c r="Q626" i="11"/>
  <c r="M626" i="11"/>
  <c r="R626" i="11" s="1"/>
  <c r="I626" i="11"/>
  <c r="E626" i="11"/>
  <c r="Q625" i="11"/>
  <c r="M625" i="11"/>
  <c r="I625" i="11"/>
  <c r="E625" i="11"/>
  <c r="R625" i="11" s="1"/>
  <c r="P621" i="11"/>
  <c r="Q621" i="11" s="1"/>
  <c r="O621" i="11"/>
  <c r="N621" i="11"/>
  <c r="L621" i="11"/>
  <c r="K621" i="11"/>
  <c r="J621" i="11"/>
  <c r="H621" i="11"/>
  <c r="I621" i="11" s="1"/>
  <c r="G621" i="11"/>
  <c r="F621" i="11"/>
  <c r="D621" i="11"/>
  <c r="C621" i="11"/>
  <c r="B621" i="11"/>
  <c r="Q619" i="11"/>
  <c r="R619" i="11" s="1"/>
  <c r="M619" i="11"/>
  <c r="I619" i="11"/>
  <c r="E619" i="11"/>
  <c r="R618" i="11"/>
  <c r="Q618" i="11"/>
  <c r="M618" i="11"/>
  <c r="I618" i="11"/>
  <c r="E618" i="11"/>
  <c r="P615" i="11"/>
  <c r="O615" i="11"/>
  <c r="N615" i="11"/>
  <c r="M615" i="11"/>
  <c r="L615" i="11"/>
  <c r="L649" i="11" s="1"/>
  <c r="L652" i="11" s="1"/>
  <c r="K615" i="11"/>
  <c r="K649" i="11" s="1"/>
  <c r="K652" i="11" s="1"/>
  <c r="J615" i="11"/>
  <c r="H615" i="11"/>
  <c r="G615" i="11"/>
  <c r="F615" i="11"/>
  <c r="E615" i="11"/>
  <c r="D615" i="11"/>
  <c r="C615" i="11"/>
  <c r="C649" i="11" s="1"/>
  <c r="C652" i="11" s="1"/>
  <c r="B615" i="11"/>
  <c r="Q613" i="11"/>
  <c r="M613" i="11"/>
  <c r="I613" i="11"/>
  <c r="E613" i="11"/>
  <c r="R613" i="11" s="1"/>
  <c r="Q611" i="11"/>
  <c r="R611" i="11" s="1"/>
  <c r="M611" i="11"/>
  <c r="I611" i="11"/>
  <c r="E611" i="11"/>
  <c r="Q609" i="11"/>
  <c r="M609" i="11"/>
  <c r="R609" i="11" s="1"/>
  <c r="I609" i="11"/>
  <c r="E609" i="11"/>
  <c r="Q608" i="11"/>
  <c r="M608" i="11"/>
  <c r="I608" i="11"/>
  <c r="E608" i="11"/>
  <c r="R607" i="11"/>
  <c r="Q607" i="11"/>
  <c r="M607" i="11"/>
  <c r="I607" i="11"/>
  <c r="E607" i="11"/>
  <c r="Q606" i="11"/>
  <c r="M606" i="11"/>
  <c r="I606" i="11"/>
  <c r="E606" i="11"/>
  <c r="Q605" i="11"/>
  <c r="M605" i="11"/>
  <c r="I605" i="11"/>
  <c r="E605" i="11"/>
  <c r="R605" i="11" s="1"/>
  <c r="Q604" i="11"/>
  <c r="M604" i="11"/>
  <c r="I604" i="11"/>
  <c r="E604" i="11"/>
  <c r="Q603" i="11"/>
  <c r="M603" i="11"/>
  <c r="I603" i="11"/>
  <c r="E603" i="11"/>
  <c r="R603" i="11" s="1"/>
  <c r="Q602" i="11"/>
  <c r="R602" i="11" s="1"/>
  <c r="M602" i="11"/>
  <c r="I602" i="11"/>
  <c r="E602" i="11"/>
  <c r="R601" i="11"/>
  <c r="Q601" i="11"/>
  <c r="M601" i="11"/>
  <c r="I601" i="11"/>
  <c r="E601" i="11"/>
  <c r="Q600" i="11"/>
  <c r="M600" i="11"/>
  <c r="I600" i="11"/>
  <c r="E600" i="11"/>
  <c r="R599" i="11"/>
  <c r="Q599" i="11"/>
  <c r="M599" i="11"/>
  <c r="I599" i="11"/>
  <c r="E599" i="11"/>
  <c r="Q598" i="11"/>
  <c r="M598" i="11"/>
  <c r="I598" i="11"/>
  <c r="E598" i="11"/>
  <c r="R598" i="11" s="1"/>
  <c r="Q597" i="11"/>
  <c r="M597" i="11"/>
  <c r="I597" i="11"/>
  <c r="E597" i="11"/>
  <c r="R597" i="11" s="1"/>
  <c r="Q596" i="11"/>
  <c r="M596" i="11"/>
  <c r="I596" i="11"/>
  <c r="E596" i="11"/>
  <c r="R596" i="11" s="1"/>
  <c r="Q595" i="11"/>
  <c r="M595" i="11"/>
  <c r="I595" i="11"/>
  <c r="E595" i="11"/>
  <c r="Q583" i="11"/>
  <c r="M583" i="11"/>
  <c r="I583" i="11"/>
  <c r="E583" i="11"/>
  <c r="R583" i="11" s="1"/>
  <c r="D582" i="11"/>
  <c r="D585" i="11" s="1"/>
  <c r="B582" i="11"/>
  <c r="Q581" i="11"/>
  <c r="P581" i="11"/>
  <c r="O581" i="11"/>
  <c r="N581" i="11"/>
  <c r="M581" i="11"/>
  <c r="L581" i="11"/>
  <c r="K581" i="11"/>
  <c r="J581" i="11"/>
  <c r="I581" i="11"/>
  <c r="H581" i="11"/>
  <c r="G581" i="11"/>
  <c r="F581" i="11"/>
  <c r="E581" i="11"/>
  <c r="R581" i="11" s="1"/>
  <c r="D581" i="11"/>
  <c r="C581" i="11"/>
  <c r="B581" i="11"/>
  <c r="P580" i="11"/>
  <c r="O580" i="11"/>
  <c r="N580" i="11"/>
  <c r="Q580" i="11" s="1"/>
  <c r="L580" i="11"/>
  <c r="K580" i="11"/>
  <c r="J580" i="11"/>
  <c r="H580" i="11"/>
  <c r="G580" i="11"/>
  <c r="F580" i="11"/>
  <c r="I580" i="11" s="1"/>
  <c r="D580" i="11"/>
  <c r="C580" i="11"/>
  <c r="B580" i="11"/>
  <c r="E580" i="11" s="1"/>
  <c r="Q579" i="11"/>
  <c r="M579" i="11"/>
  <c r="I579" i="11"/>
  <c r="E579" i="11"/>
  <c r="R579" i="11" s="1"/>
  <c r="R578" i="11"/>
  <c r="Q578" i="11"/>
  <c r="M578" i="11"/>
  <c r="I578" i="11"/>
  <c r="E578" i="11"/>
  <c r="Q577" i="11"/>
  <c r="M577" i="11"/>
  <c r="I577" i="11"/>
  <c r="E577" i="11"/>
  <c r="Q576" i="11"/>
  <c r="M576" i="11"/>
  <c r="I576" i="11"/>
  <c r="E576" i="11"/>
  <c r="R576" i="11" s="1"/>
  <c r="Q574" i="11"/>
  <c r="M574" i="11"/>
  <c r="I574" i="11"/>
  <c r="R574" i="11" s="1"/>
  <c r="E574" i="11"/>
  <c r="P569" i="11"/>
  <c r="O569" i="11"/>
  <c r="N569" i="11"/>
  <c r="Q569" i="11" s="1"/>
  <c r="L569" i="11"/>
  <c r="M569" i="11" s="1"/>
  <c r="K569" i="11"/>
  <c r="J569" i="11"/>
  <c r="H569" i="11"/>
  <c r="G569" i="11"/>
  <c r="F569" i="11"/>
  <c r="D569" i="11"/>
  <c r="E569" i="11" s="1"/>
  <c r="C569" i="11"/>
  <c r="B569" i="11"/>
  <c r="Q568" i="11"/>
  <c r="M568" i="11"/>
  <c r="I568" i="11"/>
  <c r="E568" i="11"/>
  <c r="P564" i="11"/>
  <c r="O564" i="11"/>
  <c r="N564" i="11"/>
  <c r="Q564" i="11" s="1"/>
  <c r="L564" i="11"/>
  <c r="L582" i="11" s="1"/>
  <c r="L585" i="11" s="1"/>
  <c r="K564" i="11"/>
  <c r="J564" i="11"/>
  <c r="H564" i="11"/>
  <c r="G564" i="11"/>
  <c r="F564" i="11"/>
  <c r="I564" i="11" s="1"/>
  <c r="D564" i="11"/>
  <c r="C564" i="11"/>
  <c r="B564" i="11"/>
  <c r="E564" i="11" s="1"/>
  <c r="Q562" i="11"/>
  <c r="M562" i="11"/>
  <c r="I562" i="11"/>
  <c r="E562" i="11"/>
  <c r="Q561" i="11"/>
  <c r="M561" i="11"/>
  <c r="I561" i="11"/>
  <c r="E561" i="11"/>
  <c r="R561" i="11" s="1"/>
  <c r="P558" i="11"/>
  <c r="P582" i="11" s="1"/>
  <c r="P585" i="11" s="1"/>
  <c r="O558" i="11"/>
  <c r="O582" i="11" s="1"/>
  <c r="O585" i="11" s="1"/>
  <c r="N558" i="11"/>
  <c r="N582" i="11" s="1"/>
  <c r="N585" i="11" s="1"/>
  <c r="L558" i="11"/>
  <c r="K558" i="11"/>
  <c r="J558" i="11"/>
  <c r="H558" i="11"/>
  <c r="G558" i="11"/>
  <c r="G582" i="11" s="1"/>
  <c r="G585" i="11" s="1"/>
  <c r="F558" i="11"/>
  <c r="F582" i="11" s="1"/>
  <c r="D558" i="11"/>
  <c r="C558" i="11"/>
  <c r="B558" i="11"/>
  <c r="E558" i="11" s="1"/>
  <c r="Q554" i="11"/>
  <c r="M554" i="11"/>
  <c r="I554" i="11"/>
  <c r="E554" i="11"/>
  <c r="R554" i="11" s="1"/>
  <c r="Q553" i="11"/>
  <c r="M553" i="11"/>
  <c r="I553" i="11"/>
  <c r="E553" i="11"/>
  <c r="Q552" i="11"/>
  <c r="R552" i="11" s="1"/>
  <c r="M552" i="11"/>
  <c r="I552" i="11"/>
  <c r="E552" i="11"/>
  <c r="R551" i="11"/>
  <c r="Q551" i="11"/>
  <c r="M551" i="11"/>
  <c r="I551" i="11"/>
  <c r="E551" i="11"/>
  <c r="Q550" i="11"/>
  <c r="M550" i="11"/>
  <c r="I550" i="11"/>
  <c r="E550" i="11"/>
  <c r="R550" i="11" s="1"/>
  <c r="K540" i="11"/>
  <c r="Q538" i="11"/>
  <c r="M538" i="11"/>
  <c r="I538" i="11"/>
  <c r="E538" i="11"/>
  <c r="R538" i="11" s="1"/>
  <c r="K537" i="11"/>
  <c r="C537" i="11"/>
  <c r="C540" i="11" s="1"/>
  <c r="P536" i="11"/>
  <c r="Q536" i="11" s="1"/>
  <c r="O536" i="11"/>
  <c r="N536" i="11"/>
  <c r="L536" i="11"/>
  <c r="K536" i="11"/>
  <c r="J536" i="11"/>
  <c r="H536" i="11"/>
  <c r="I536" i="11" s="1"/>
  <c r="G536" i="11"/>
  <c r="F536" i="11"/>
  <c r="D536" i="11"/>
  <c r="C536" i="11"/>
  <c r="B536" i="11"/>
  <c r="E536" i="11" s="1"/>
  <c r="Q535" i="11"/>
  <c r="P535" i="11"/>
  <c r="O535" i="11"/>
  <c r="N535" i="11"/>
  <c r="M535" i="11"/>
  <c r="L535" i="11"/>
  <c r="K535" i="11"/>
  <c r="J535" i="11"/>
  <c r="I535" i="11"/>
  <c r="H535" i="11"/>
  <c r="G535" i="11"/>
  <c r="F535" i="11"/>
  <c r="E535" i="11"/>
  <c r="R535" i="11" s="1"/>
  <c r="D535" i="11"/>
  <c r="C535" i="11"/>
  <c r="B535" i="11"/>
  <c r="Q534" i="11"/>
  <c r="M534" i="11"/>
  <c r="I534" i="11"/>
  <c r="E534" i="11"/>
  <c r="R534" i="11" s="1"/>
  <c r="Q533" i="11"/>
  <c r="M533" i="11"/>
  <c r="I533" i="11"/>
  <c r="E533" i="11"/>
  <c r="P527" i="11"/>
  <c r="O527" i="11"/>
  <c r="N527" i="11"/>
  <c r="L527" i="11"/>
  <c r="M527" i="11" s="1"/>
  <c r="K527" i="11"/>
  <c r="J527" i="11"/>
  <c r="H527" i="11"/>
  <c r="G527" i="11"/>
  <c r="F527" i="11"/>
  <c r="I527" i="11" s="1"/>
  <c r="D527" i="11"/>
  <c r="E527" i="11" s="1"/>
  <c r="C527" i="11"/>
  <c r="B527" i="11"/>
  <c r="Q526" i="11"/>
  <c r="M526" i="11"/>
  <c r="I526" i="11"/>
  <c r="E526" i="11"/>
  <c r="Q525" i="11"/>
  <c r="M525" i="11"/>
  <c r="I525" i="11"/>
  <c r="E525" i="11"/>
  <c r="R525" i="11" s="1"/>
  <c r="Q521" i="11"/>
  <c r="P521" i="11"/>
  <c r="O521" i="11"/>
  <c r="O537" i="11" s="1"/>
  <c r="O540" i="11" s="1"/>
  <c r="N521" i="11"/>
  <c r="L521" i="11"/>
  <c r="K521" i="11"/>
  <c r="G521" i="11"/>
  <c r="G537" i="11" s="1"/>
  <c r="G540" i="11" s="1"/>
  <c r="F521" i="11"/>
  <c r="D521" i="11"/>
  <c r="C521" i="11"/>
  <c r="E521" i="11" s="1"/>
  <c r="B521" i="11"/>
  <c r="Q519" i="11"/>
  <c r="M519" i="11"/>
  <c r="K519" i="11"/>
  <c r="J519" i="11"/>
  <c r="J871" i="11" s="1"/>
  <c r="H519" i="11"/>
  <c r="E519" i="11"/>
  <c r="P516" i="11"/>
  <c r="P537" i="11" s="1"/>
  <c r="P540" i="11" s="1"/>
  <c r="O516" i="11"/>
  <c r="N516" i="11"/>
  <c r="N537" i="11" s="1"/>
  <c r="N540" i="11" s="1"/>
  <c r="L516" i="11"/>
  <c r="L537" i="11" s="1"/>
  <c r="L540" i="11" s="1"/>
  <c r="K516" i="11"/>
  <c r="J516" i="11"/>
  <c r="H516" i="11"/>
  <c r="G516" i="11"/>
  <c r="F516" i="11"/>
  <c r="F537" i="11" s="1"/>
  <c r="D516" i="11"/>
  <c r="C516" i="11"/>
  <c r="B516" i="11"/>
  <c r="Q513" i="11"/>
  <c r="R513" i="11" s="1"/>
  <c r="M513" i="11"/>
  <c r="I513" i="11"/>
  <c r="E513" i="11"/>
  <c r="R512" i="11"/>
  <c r="Q512" i="11"/>
  <c r="M512" i="11"/>
  <c r="I512" i="11"/>
  <c r="E512" i="11"/>
  <c r="Q510" i="11"/>
  <c r="M510" i="11"/>
  <c r="I510" i="11"/>
  <c r="E510" i="11"/>
  <c r="R510" i="11" s="1"/>
  <c r="R509" i="11"/>
  <c r="Q509" i="11"/>
  <c r="M509" i="11"/>
  <c r="I509" i="11"/>
  <c r="E509" i="11"/>
  <c r="Q508" i="11"/>
  <c r="M508" i="11"/>
  <c r="I508" i="11"/>
  <c r="E508" i="11"/>
  <c r="Q507" i="11"/>
  <c r="M507" i="11"/>
  <c r="I507" i="11"/>
  <c r="E507" i="11"/>
  <c r="R507" i="11" s="1"/>
  <c r="Q506" i="11"/>
  <c r="M506" i="11"/>
  <c r="I506" i="11"/>
  <c r="E506" i="11"/>
  <c r="Q488" i="11"/>
  <c r="M488" i="11"/>
  <c r="I488" i="11"/>
  <c r="E488" i="11"/>
  <c r="R488" i="11" s="1"/>
  <c r="Q487" i="11"/>
  <c r="M487" i="11"/>
  <c r="I487" i="11"/>
  <c r="E487" i="11"/>
  <c r="R486" i="11"/>
  <c r="Q486" i="11"/>
  <c r="M486" i="11"/>
  <c r="I486" i="11"/>
  <c r="E486" i="11"/>
  <c r="P484" i="11"/>
  <c r="O484" i="11"/>
  <c r="N484" i="11"/>
  <c r="Q484" i="11" s="1"/>
  <c r="L484" i="11"/>
  <c r="K484" i="11"/>
  <c r="J484" i="11"/>
  <c r="M484" i="11" s="1"/>
  <c r="H484" i="11"/>
  <c r="G484" i="11"/>
  <c r="F484" i="11"/>
  <c r="D484" i="11"/>
  <c r="C484" i="11"/>
  <c r="B484" i="11"/>
  <c r="P483" i="11"/>
  <c r="O483" i="11"/>
  <c r="Q483" i="11" s="1"/>
  <c r="N483" i="11"/>
  <c r="L483" i="11"/>
  <c r="K483" i="11"/>
  <c r="M483" i="11" s="1"/>
  <c r="J483" i="11"/>
  <c r="I483" i="11"/>
  <c r="H483" i="11"/>
  <c r="G483" i="11"/>
  <c r="F483" i="11"/>
  <c r="D483" i="11"/>
  <c r="C483" i="11"/>
  <c r="B483" i="11"/>
  <c r="R482" i="11"/>
  <c r="Q482" i="11"/>
  <c r="M482" i="11"/>
  <c r="I482" i="11"/>
  <c r="E482" i="11"/>
  <c r="Q481" i="11"/>
  <c r="M481" i="11"/>
  <c r="I481" i="11"/>
  <c r="R481" i="11" s="1"/>
  <c r="E481" i="11"/>
  <c r="Q480" i="11"/>
  <c r="M480" i="11"/>
  <c r="I480" i="11"/>
  <c r="R480" i="11" s="1"/>
  <c r="E480" i="11"/>
  <c r="Q479" i="11"/>
  <c r="M479" i="11"/>
  <c r="I479" i="11"/>
  <c r="E479" i="11"/>
  <c r="Q478" i="11"/>
  <c r="M478" i="11"/>
  <c r="I478" i="11"/>
  <c r="E478" i="11"/>
  <c r="Q477" i="11"/>
  <c r="R477" i="11" s="1"/>
  <c r="M477" i="11"/>
  <c r="I477" i="11"/>
  <c r="E477" i="11"/>
  <c r="Q476" i="11"/>
  <c r="M476" i="11"/>
  <c r="I476" i="11"/>
  <c r="E476" i="11"/>
  <c r="R476" i="11" s="1"/>
  <c r="Q475" i="11"/>
  <c r="M475" i="11"/>
  <c r="I475" i="11"/>
  <c r="E475" i="11"/>
  <c r="R474" i="11"/>
  <c r="Q474" i="11"/>
  <c r="M474" i="11"/>
  <c r="I474" i="11"/>
  <c r="E474" i="11"/>
  <c r="Q473" i="11"/>
  <c r="M473" i="11"/>
  <c r="I473" i="11"/>
  <c r="R473" i="11" s="1"/>
  <c r="E473" i="11"/>
  <c r="R471" i="11"/>
  <c r="Q471" i="11"/>
  <c r="M471" i="11"/>
  <c r="I471" i="11"/>
  <c r="E471" i="11"/>
  <c r="Q470" i="11"/>
  <c r="M470" i="11"/>
  <c r="I470" i="11"/>
  <c r="E470" i="11"/>
  <c r="Q469" i="11"/>
  <c r="M469" i="11"/>
  <c r="I469" i="11"/>
  <c r="E469" i="11"/>
  <c r="Q468" i="11"/>
  <c r="M468" i="11"/>
  <c r="I468" i="11"/>
  <c r="E468" i="11"/>
  <c r="Q467" i="11"/>
  <c r="M467" i="11"/>
  <c r="I467" i="11"/>
  <c r="E467" i="11"/>
  <c r="R467" i="11" s="1"/>
  <c r="Q466" i="11"/>
  <c r="M466" i="11"/>
  <c r="I466" i="11"/>
  <c r="E466" i="11"/>
  <c r="Q464" i="11"/>
  <c r="M464" i="11"/>
  <c r="R464" i="11" s="1"/>
  <c r="I464" i="11"/>
  <c r="E464" i="11"/>
  <c r="Q463" i="11"/>
  <c r="R463" i="11" s="1"/>
  <c r="M463" i="11"/>
  <c r="I463" i="11"/>
  <c r="E463" i="11"/>
  <c r="Q461" i="11"/>
  <c r="M461" i="11"/>
  <c r="I461" i="11"/>
  <c r="E461" i="11"/>
  <c r="R461" i="11" s="1"/>
  <c r="Q458" i="11"/>
  <c r="P458" i="11"/>
  <c r="O458" i="11"/>
  <c r="N458" i="11"/>
  <c r="L458" i="11"/>
  <c r="Q457" i="11"/>
  <c r="L457" i="11"/>
  <c r="K457" i="11"/>
  <c r="J457" i="11"/>
  <c r="M457" i="11" s="1"/>
  <c r="H457" i="11"/>
  <c r="G457" i="11"/>
  <c r="F457" i="11"/>
  <c r="I457" i="11" s="1"/>
  <c r="D457" i="11"/>
  <c r="C457" i="11"/>
  <c r="B457" i="11"/>
  <c r="E457" i="11" s="1"/>
  <c r="Q456" i="11"/>
  <c r="M456" i="11"/>
  <c r="I456" i="11"/>
  <c r="R456" i="11" s="1"/>
  <c r="E456" i="11"/>
  <c r="Q455" i="11"/>
  <c r="M455" i="11"/>
  <c r="I455" i="11"/>
  <c r="E455" i="11"/>
  <c r="Q454" i="11"/>
  <c r="M454" i="11"/>
  <c r="R454" i="11" s="1"/>
  <c r="I454" i="11"/>
  <c r="E454" i="11"/>
  <c r="R453" i="11"/>
  <c r="Q453" i="11"/>
  <c r="M453" i="11"/>
  <c r="I453" i="11"/>
  <c r="E453" i="11"/>
  <c r="R452" i="11"/>
  <c r="Q452" i="11"/>
  <c r="M452" i="11"/>
  <c r="I452" i="11"/>
  <c r="E452" i="11"/>
  <c r="Q451" i="11"/>
  <c r="M451" i="11"/>
  <c r="I451" i="11"/>
  <c r="E451" i="11"/>
  <c r="R451" i="11" s="1"/>
  <c r="Q450" i="11"/>
  <c r="M450" i="11"/>
  <c r="I450" i="11"/>
  <c r="E450" i="11"/>
  <c r="Q449" i="11"/>
  <c r="R449" i="11" s="1"/>
  <c r="M449" i="11"/>
  <c r="I449" i="11"/>
  <c r="E449" i="11"/>
  <c r="R448" i="11"/>
  <c r="Q448" i="11"/>
  <c r="M448" i="11"/>
  <c r="I448" i="11"/>
  <c r="E448" i="11"/>
  <c r="Q447" i="11"/>
  <c r="M447" i="11"/>
  <c r="I447" i="11"/>
  <c r="E447" i="11"/>
  <c r="R446" i="11"/>
  <c r="Q446" i="11"/>
  <c r="M446" i="11"/>
  <c r="I446" i="11"/>
  <c r="E446" i="11"/>
  <c r="R445" i="11"/>
  <c r="Q445" i="11"/>
  <c r="M445" i="11"/>
  <c r="I445" i="11"/>
  <c r="E445" i="11"/>
  <c r="Q444" i="11"/>
  <c r="M444" i="11"/>
  <c r="I444" i="11"/>
  <c r="R444" i="11" s="1"/>
  <c r="E444" i="11"/>
  <c r="Q443" i="11"/>
  <c r="M443" i="11"/>
  <c r="I443" i="11"/>
  <c r="E443" i="11"/>
  <c r="Q442" i="11"/>
  <c r="M442" i="11"/>
  <c r="I442" i="11"/>
  <c r="E442" i="11"/>
  <c r="R441" i="11"/>
  <c r="Q441" i="11"/>
  <c r="M441" i="11"/>
  <c r="I441" i="11"/>
  <c r="E441" i="11"/>
  <c r="Q440" i="11"/>
  <c r="M440" i="11"/>
  <c r="I440" i="11"/>
  <c r="E440" i="11"/>
  <c r="Q439" i="11"/>
  <c r="M439" i="11"/>
  <c r="I439" i="11"/>
  <c r="E439" i="11"/>
  <c r="Q438" i="11"/>
  <c r="M438" i="11"/>
  <c r="R438" i="11" s="1"/>
  <c r="I438" i="11"/>
  <c r="E438" i="11"/>
  <c r="Q437" i="11"/>
  <c r="M437" i="11"/>
  <c r="I437" i="11"/>
  <c r="R437" i="11" s="1"/>
  <c r="E437" i="11"/>
  <c r="R436" i="11"/>
  <c r="Q436" i="11"/>
  <c r="M436" i="11"/>
  <c r="I436" i="11"/>
  <c r="E436" i="11"/>
  <c r="Q435" i="11"/>
  <c r="M435" i="11"/>
  <c r="I435" i="11"/>
  <c r="E435" i="11"/>
  <c r="Q434" i="11"/>
  <c r="M434" i="11"/>
  <c r="I434" i="11"/>
  <c r="E434" i="11"/>
  <c r="Q433" i="11"/>
  <c r="M433" i="11"/>
  <c r="I433" i="11"/>
  <c r="E433" i="11"/>
  <c r="Q432" i="11"/>
  <c r="M432" i="11"/>
  <c r="I432" i="11"/>
  <c r="E432" i="11"/>
  <c r="R432" i="11" s="1"/>
  <c r="Q431" i="11"/>
  <c r="M431" i="11"/>
  <c r="I431" i="11"/>
  <c r="E431" i="11"/>
  <c r="Q430" i="11"/>
  <c r="M430" i="11"/>
  <c r="R430" i="11" s="1"/>
  <c r="I430" i="11"/>
  <c r="E430" i="11"/>
  <c r="Q429" i="11"/>
  <c r="R429" i="11" s="1"/>
  <c r="M429" i="11"/>
  <c r="I429" i="11"/>
  <c r="E429" i="11"/>
  <c r="Q428" i="11"/>
  <c r="M428" i="11"/>
  <c r="I428" i="11"/>
  <c r="E428" i="11"/>
  <c r="R428" i="11" s="1"/>
  <c r="Q427" i="11"/>
  <c r="M427" i="11"/>
  <c r="I427" i="11"/>
  <c r="E427" i="11"/>
  <c r="Q426" i="11"/>
  <c r="M426" i="11"/>
  <c r="I426" i="11"/>
  <c r="E426" i="11"/>
  <c r="Q425" i="11"/>
  <c r="M425" i="11"/>
  <c r="I425" i="11"/>
  <c r="E425" i="11"/>
  <c r="R425" i="11" s="1"/>
  <c r="Q424" i="11"/>
  <c r="M424" i="11"/>
  <c r="I424" i="11"/>
  <c r="E424" i="11"/>
  <c r="Q423" i="11"/>
  <c r="M423" i="11"/>
  <c r="I423" i="11"/>
  <c r="E423" i="11"/>
  <c r="R422" i="11"/>
  <c r="Q422" i="11"/>
  <c r="M422" i="11"/>
  <c r="I422" i="11"/>
  <c r="E422" i="11"/>
  <c r="Q421" i="11"/>
  <c r="J421" i="11"/>
  <c r="M421" i="11" s="1"/>
  <c r="I421" i="11"/>
  <c r="H421" i="11"/>
  <c r="H458" i="11" s="1"/>
  <c r="G421" i="11"/>
  <c r="F421" i="11"/>
  <c r="E421" i="11"/>
  <c r="D421" i="11"/>
  <c r="C421" i="11"/>
  <c r="Q420" i="11"/>
  <c r="M420" i="11"/>
  <c r="R420" i="11" s="1"/>
  <c r="I420" i="11"/>
  <c r="E420" i="11"/>
  <c r="Q419" i="11"/>
  <c r="M419" i="11"/>
  <c r="I419" i="11"/>
  <c r="E419" i="11"/>
  <c r="R419" i="11" s="1"/>
  <c r="R418" i="11"/>
  <c r="Q418" i="11"/>
  <c r="L418" i="11"/>
  <c r="M418" i="11" s="1"/>
  <c r="I418" i="11"/>
  <c r="E418" i="11"/>
  <c r="Q417" i="11"/>
  <c r="M417" i="11"/>
  <c r="R417" i="11" s="1"/>
  <c r="I417" i="11"/>
  <c r="E417" i="11"/>
  <c r="Q416" i="11"/>
  <c r="L416" i="11"/>
  <c r="K416" i="11"/>
  <c r="J416" i="11"/>
  <c r="H416" i="11"/>
  <c r="G416" i="11"/>
  <c r="F416" i="11"/>
  <c r="D416" i="11"/>
  <c r="D458" i="11" s="1"/>
  <c r="C416" i="11"/>
  <c r="E416" i="11" s="1"/>
  <c r="Q415" i="11"/>
  <c r="M415" i="11"/>
  <c r="I415" i="11"/>
  <c r="E415" i="11"/>
  <c r="R415" i="11" s="1"/>
  <c r="Q414" i="11"/>
  <c r="M414" i="11"/>
  <c r="I414" i="11"/>
  <c r="E414" i="11"/>
  <c r="Q413" i="11"/>
  <c r="M413" i="11"/>
  <c r="I413" i="11"/>
  <c r="E413" i="11"/>
  <c r="Q412" i="11"/>
  <c r="M412" i="11"/>
  <c r="I412" i="11"/>
  <c r="E412" i="11"/>
  <c r="R412" i="11" s="1"/>
  <c r="Q411" i="11"/>
  <c r="M411" i="11"/>
  <c r="I411" i="11"/>
  <c r="E411" i="11"/>
  <c r="R411" i="11" s="1"/>
  <c r="Q410" i="11"/>
  <c r="M410" i="11"/>
  <c r="I410" i="11"/>
  <c r="E410" i="11"/>
  <c r="R409" i="11"/>
  <c r="Q409" i="11"/>
  <c r="M409" i="11"/>
  <c r="I409" i="11"/>
  <c r="E409" i="11"/>
  <c r="Q408" i="11"/>
  <c r="M408" i="11"/>
  <c r="I408" i="11"/>
  <c r="E408" i="11"/>
  <c r="Q407" i="11"/>
  <c r="M407" i="11"/>
  <c r="I407" i="11"/>
  <c r="E407" i="11"/>
  <c r="R407" i="11" s="1"/>
  <c r="Q406" i="11"/>
  <c r="M406" i="11"/>
  <c r="I406" i="11"/>
  <c r="E406" i="11"/>
  <c r="Q404" i="11"/>
  <c r="L404" i="11"/>
  <c r="L875" i="11" s="1"/>
  <c r="K404" i="11"/>
  <c r="J404" i="11"/>
  <c r="I404" i="11"/>
  <c r="H404" i="11"/>
  <c r="H875" i="11" s="1"/>
  <c r="G404" i="11"/>
  <c r="G875" i="11" s="1"/>
  <c r="F404" i="11"/>
  <c r="D404" i="11"/>
  <c r="D875" i="11" s="1"/>
  <c r="C404" i="11"/>
  <c r="B404" i="11"/>
  <c r="R403" i="11"/>
  <c r="Q403" i="11"/>
  <c r="M403" i="11"/>
  <c r="I403" i="11"/>
  <c r="E403" i="11"/>
  <c r="P400" i="11"/>
  <c r="Q400" i="11" s="1"/>
  <c r="O400" i="11"/>
  <c r="N400" i="11"/>
  <c r="L400" i="11"/>
  <c r="K400" i="11"/>
  <c r="J400" i="11"/>
  <c r="H400" i="11"/>
  <c r="G400" i="11"/>
  <c r="I400" i="11" s="1"/>
  <c r="F400" i="11"/>
  <c r="D400" i="11"/>
  <c r="C400" i="11"/>
  <c r="E400" i="11" s="1"/>
  <c r="B400" i="11"/>
  <c r="Q398" i="11"/>
  <c r="M398" i="11"/>
  <c r="L398" i="11"/>
  <c r="I398" i="11"/>
  <c r="E398" i="11"/>
  <c r="R398" i="11" s="1"/>
  <c r="R397" i="11"/>
  <c r="Q397" i="11"/>
  <c r="M397" i="11"/>
  <c r="I397" i="11"/>
  <c r="E397" i="11"/>
  <c r="Q396" i="11"/>
  <c r="M396" i="11"/>
  <c r="I396" i="11"/>
  <c r="E396" i="11"/>
  <c r="R396" i="11" s="1"/>
  <c r="R395" i="11"/>
  <c r="Q395" i="11"/>
  <c r="M395" i="11"/>
  <c r="I395" i="11"/>
  <c r="E395" i="11"/>
  <c r="AL394" i="11"/>
  <c r="AK394" i="11"/>
  <c r="AJ394" i="11"/>
  <c r="AI394" i="11"/>
  <c r="AH394" i="11"/>
  <c r="AG394" i="11"/>
  <c r="AF394" i="11"/>
  <c r="AE394" i="11"/>
  <c r="AB394" i="11"/>
  <c r="Y394" i="11"/>
  <c r="X394" i="11"/>
  <c r="W394" i="11"/>
  <c r="Z394" i="11" s="1"/>
  <c r="Q394" i="11"/>
  <c r="M394" i="11"/>
  <c r="I394" i="11"/>
  <c r="E394" i="11"/>
  <c r="AK393" i="11"/>
  <c r="AJ393" i="11"/>
  <c r="AI393" i="11"/>
  <c r="AG393" i="11"/>
  <c r="AF393" i="11"/>
  <c r="AE393" i="11"/>
  <c r="AC393" i="11"/>
  <c r="AB393" i="11"/>
  <c r="Y393" i="11"/>
  <c r="Z393" i="11" s="1"/>
  <c r="X393" i="11"/>
  <c r="W393" i="11"/>
  <c r="Q393" i="11"/>
  <c r="M393" i="11"/>
  <c r="I393" i="11"/>
  <c r="E393" i="11"/>
  <c r="AL392" i="11"/>
  <c r="AK392" i="11"/>
  <c r="AJ392" i="11"/>
  <c r="AI392" i="11"/>
  <c r="AH392" i="11"/>
  <c r="AG392" i="11"/>
  <c r="AF392" i="11"/>
  <c r="AE392" i="11"/>
  <c r="Z392" i="11"/>
  <c r="Y392" i="11"/>
  <c r="X392" i="11"/>
  <c r="W392" i="11"/>
  <c r="Q392" i="11"/>
  <c r="M392" i="11"/>
  <c r="I392" i="11"/>
  <c r="E392" i="11"/>
  <c r="R392" i="11" s="1"/>
  <c r="AL391" i="11"/>
  <c r="AH391" i="11"/>
  <c r="AC391" i="11"/>
  <c r="AC392" i="11" s="1"/>
  <c r="AB391" i="11"/>
  <c r="AB392" i="11" s="1"/>
  <c r="AA391" i="11"/>
  <c r="Z391" i="11"/>
  <c r="Q391" i="11"/>
  <c r="M391" i="11"/>
  <c r="I391" i="11"/>
  <c r="E391" i="11"/>
  <c r="Q390" i="11"/>
  <c r="M390" i="11"/>
  <c r="I390" i="11"/>
  <c r="E390" i="11"/>
  <c r="W389" i="11"/>
  <c r="P386" i="11"/>
  <c r="K386" i="11"/>
  <c r="J386" i="11"/>
  <c r="G386" i="11"/>
  <c r="D386" i="11"/>
  <c r="B386" i="11"/>
  <c r="Q384" i="11"/>
  <c r="M384" i="11"/>
  <c r="I384" i="11"/>
  <c r="E384" i="11"/>
  <c r="R384" i="11" s="1"/>
  <c r="Q383" i="11"/>
  <c r="M383" i="11"/>
  <c r="H383" i="11"/>
  <c r="H864" i="11" s="1"/>
  <c r="E383" i="11"/>
  <c r="Q382" i="11"/>
  <c r="M382" i="11"/>
  <c r="I382" i="11"/>
  <c r="R382" i="11" s="1"/>
  <c r="E382" i="11"/>
  <c r="Q381" i="11"/>
  <c r="M381" i="11"/>
  <c r="I381" i="11"/>
  <c r="E381" i="11"/>
  <c r="R381" i="11" s="1"/>
  <c r="Q379" i="11"/>
  <c r="M379" i="11"/>
  <c r="R379" i="11" s="1"/>
  <c r="I379" i="11"/>
  <c r="E379" i="11"/>
  <c r="Q378" i="11"/>
  <c r="M378" i="11"/>
  <c r="I378" i="11"/>
  <c r="E378" i="11"/>
  <c r="R378" i="11" s="1"/>
  <c r="R377" i="11"/>
  <c r="Q377" i="11"/>
  <c r="M377" i="11"/>
  <c r="I377" i="11"/>
  <c r="E377" i="11"/>
  <c r="Q376" i="11"/>
  <c r="M376" i="11"/>
  <c r="I376" i="11"/>
  <c r="E376" i="11"/>
  <c r="Q375" i="11"/>
  <c r="M375" i="11"/>
  <c r="I375" i="11"/>
  <c r="E375" i="11"/>
  <c r="R374" i="11"/>
  <c r="Q374" i="11"/>
  <c r="M374" i="11"/>
  <c r="I374" i="11"/>
  <c r="E374" i="11"/>
  <c r="Q373" i="11"/>
  <c r="M373" i="11"/>
  <c r="I373" i="11"/>
  <c r="E373" i="11"/>
  <c r="Q372" i="11"/>
  <c r="M372" i="11"/>
  <c r="I372" i="11"/>
  <c r="E372" i="11"/>
  <c r="Q371" i="11"/>
  <c r="M371" i="11"/>
  <c r="R371" i="11" s="1"/>
  <c r="I371" i="11"/>
  <c r="E371" i="11"/>
  <c r="R370" i="11"/>
  <c r="Q370" i="11"/>
  <c r="M370" i="11"/>
  <c r="I370" i="11"/>
  <c r="E370" i="11"/>
  <c r="Q369" i="11"/>
  <c r="M369" i="11"/>
  <c r="I369" i="11"/>
  <c r="R369" i="11" s="1"/>
  <c r="E369" i="11"/>
  <c r="Q367" i="11"/>
  <c r="M367" i="11"/>
  <c r="I367" i="11"/>
  <c r="E367" i="11"/>
  <c r="R367" i="11" s="1"/>
  <c r="Q366" i="11"/>
  <c r="M366" i="11"/>
  <c r="I366" i="11"/>
  <c r="E366" i="11"/>
  <c r="Q365" i="11"/>
  <c r="M365" i="11"/>
  <c r="I365" i="11"/>
  <c r="E365" i="11"/>
  <c r="R365" i="11" s="1"/>
  <c r="Q364" i="11"/>
  <c r="M364" i="11"/>
  <c r="I364" i="11"/>
  <c r="E364" i="11"/>
  <c r="Q363" i="11"/>
  <c r="M363" i="11"/>
  <c r="I363" i="11"/>
  <c r="E363" i="11"/>
  <c r="R362" i="11"/>
  <c r="Q362" i="11"/>
  <c r="M362" i="11"/>
  <c r="I362" i="11"/>
  <c r="E362" i="11"/>
  <c r="Q361" i="11"/>
  <c r="M361" i="11"/>
  <c r="I361" i="11"/>
  <c r="R361" i="11" s="1"/>
  <c r="E361" i="11"/>
  <c r="D361" i="11"/>
  <c r="C361" i="11"/>
  <c r="B361" i="11"/>
  <c r="Q360" i="11"/>
  <c r="M360" i="11"/>
  <c r="I360" i="11"/>
  <c r="R360" i="11" s="1"/>
  <c r="E360" i="11"/>
  <c r="Q359" i="11"/>
  <c r="M359" i="11"/>
  <c r="I359" i="11"/>
  <c r="E359" i="11"/>
  <c r="R359" i="11" s="1"/>
  <c r="Q358" i="11"/>
  <c r="M358" i="11"/>
  <c r="L358" i="11"/>
  <c r="I358" i="11"/>
  <c r="E358" i="11"/>
  <c r="R358" i="11" s="1"/>
  <c r="N357" i="11"/>
  <c r="Q357" i="11" s="1"/>
  <c r="L357" i="11"/>
  <c r="M357" i="11" s="1"/>
  <c r="K357" i="11"/>
  <c r="J357" i="11"/>
  <c r="H357" i="11"/>
  <c r="G357" i="11"/>
  <c r="F357" i="11"/>
  <c r="I357" i="11" s="1"/>
  <c r="R357" i="11" s="1"/>
  <c r="E357" i="11"/>
  <c r="R356" i="11"/>
  <c r="Q356" i="11"/>
  <c r="M356" i="11"/>
  <c r="I356" i="11"/>
  <c r="E356" i="11"/>
  <c r="Q355" i="11"/>
  <c r="M355" i="11"/>
  <c r="I355" i="11"/>
  <c r="E355" i="11"/>
  <c r="Q354" i="11"/>
  <c r="M354" i="11"/>
  <c r="I354" i="11"/>
  <c r="E354" i="11"/>
  <c r="Q353" i="11"/>
  <c r="M353" i="11"/>
  <c r="I353" i="11"/>
  <c r="E353" i="11"/>
  <c r="Q352" i="11"/>
  <c r="M352" i="11"/>
  <c r="I352" i="11"/>
  <c r="E352" i="11"/>
  <c r="R352" i="11" s="1"/>
  <c r="Q351" i="11"/>
  <c r="M351" i="11"/>
  <c r="I351" i="11"/>
  <c r="E351" i="11"/>
  <c r="Q350" i="11"/>
  <c r="M350" i="11"/>
  <c r="I350" i="11"/>
  <c r="C350" i="11"/>
  <c r="E350" i="11" s="1"/>
  <c r="R350" i="11" s="1"/>
  <c r="R349" i="11"/>
  <c r="Q349" i="11"/>
  <c r="M349" i="11"/>
  <c r="I349" i="11"/>
  <c r="E349" i="11"/>
  <c r="Q348" i="11"/>
  <c r="M348" i="11"/>
  <c r="I348" i="11"/>
  <c r="E348" i="11"/>
  <c r="R347" i="11"/>
  <c r="Q347" i="11"/>
  <c r="M347" i="11"/>
  <c r="I347" i="11"/>
  <c r="E347" i="11"/>
  <c r="Q346" i="11"/>
  <c r="M346" i="11"/>
  <c r="I346" i="11"/>
  <c r="R346" i="11" s="1"/>
  <c r="E346" i="11"/>
  <c r="Q345" i="11"/>
  <c r="M345" i="11"/>
  <c r="I345" i="11"/>
  <c r="E345" i="11"/>
  <c r="R345" i="11" s="1"/>
  <c r="Q344" i="11"/>
  <c r="M344" i="11"/>
  <c r="I344" i="11"/>
  <c r="E344" i="11"/>
  <c r="Q343" i="11"/>
  <c r="O343" i="11"/>
  <c r="N343" i="11"/>
  <c r="L343" i="11"/>
  <c r="L386" i="11" s="1"/>
  <c r="L485" i="11" s="1"/>
  <c r="L490" i="11" s="1"/>
  <c r="K343" i="11"/>
  <c r="J343" i="11"/>
  <c r="H343" i="11"/>
  <c r="G343" i="11"/>
  <c r="F343" i="11"/>
  <c r="D343" i="11"/>
  <c r="C343" i="11"/>
  <c r="C386" i="11" s="1"/>
  <c r="B343" i="11"/>
  <c r="Q342" i="11"/>
  <c r="M342" i="11"/>
  <c r="I342" i="11"/>
  <c r="E342" i="11"/>
  <c r="R341" i="11"/>
  <c r="Q341" i="11"/>
  <c r="M341" i="11"/>
  <c r="I341" i="11"/>
  <c r="E341" i="11"/>
  <c r="Q340" i="11"/>
  <c r="M340" i="11"/>
  <c r="I340" i="11"/>
  <c r="E340" i="11"/>
  <c r="R340" i="11" s="1"/>
  <c r="Q339" i="11"/>
  <c r="M339" i="11"/>
  <c r="I339" i="11"/>
  <c r="E339" i="11"/>
  <c r="Q338" i="11"/>
  <c r="M338" i="11"/>
  <c r="R338" i="11" s="1"/>
  <c r="I338" i="11"/>
  <c r="E338" i="11"/>
  <c r="R337" i="11"/>
  <c r="Q337" i="11"/>
  <c r="M337" i="11"/>
  <c r="I337" i="11"/>
  <c r="E337" i="11"/>
  <c r="R336" i="11"/>
  <c r="Q336" i="11"/>
  <c r="M336" i="11"/>
  <c r="I336" i="11"/>
  <c r="E336" i="11"/>
  <c r="O335" i="11"/>
  <c r="O386" i="11" s="1"/>
  <c r="O485" i="11" s="1"/>
  <c r="O490" i="11" s="1"/>
  <c r="N335" i="11"/>
  <c r="Q335" i="11" s="1"/>
  <c r="L335" i="11"/>
  <c r="K335" i="11"/>
  <c r="M335" i="11" s="1"/>
  <c r="I335" i="11"/>
  <c r="E335" i="11"/>
  <c r="Q327" i="11"/>
  <c r="P327" i="11"/>
  <c r="O327" i="11"/>
  <c r="N327" i="11"/>
  <c r="M327" i="11"/>
  <c r="L327" i="11"/>
  <c r="K327" i="11"/>
  <c r="J327" i="11"/>
  <c r="I327" i="11"/>
  <c r="H327" i="11"/>
  <c r="G327" i="11"/>
  <c r="F327" i="11"/>
  <c r="E327" i="11"/>
  <c r="D327" i="11"/>
  <c r="C327" i="11"/>
  <c r="B327" i="11"/>
  <c r="Q325" i="11"/>
  <c r="M325" i="11"/>
  <c r="I325" i="11"/>
  <c r="E325" i="11"/>
  <c r="R325" i="11" s="1"/>
  <c r="R327" i="11" s="1"/>
  <c r="Q314" i="11"/>
  <c r="M314" i="11"/>
  <c r="I314" i="11"/>
  <c r="R314" i="11" s="1"/>
  <c r="E314" i="11"/>
  <c r="Q313" i="11"/>
  <c r="M313" i="11"/>
  <c r="I313" i="11"/>
  <c r="E313" i="11"/>
  <c r="R312" i="11"/>
  <c r="Q312" i="11"/>
  <c r="M312" i="11"/>
  <c r="I312" i="11"/>
  <c r="E312" i="11"/>
  <c r="Q311" i="11"/>
  <c r="M311" i="11"/>
  <c r="I311" i="11"/>
  <c r="E311" i="11"/>
  <c r="Q310" i="11"/>
  <c r="M310" i="11"/>
  <c r="I310" i="11"/>
  <c r="E310" i="11"/>
  <c r="R310" i="11" s="1"/>
  <c r="Q309" i="11"/>
  <c r="M309" i="11"/>
  <c r="I309" i="11"/>
  <c r="E309" i="11"/>
  <c r="P308" i="11"/>
  <c r="P316" i="11" s="1"/>
  <c r="P307" i="11"/>
  <c r="O307" i="11"/>
  <c r="N307" i="11"/>
  <c r="Q307" i="11" s="1"/>
  <c r="M307" i="11"/>
  <c r="L307" i="11"/>
  <c r="K307" i="11"/>
  <c r="J307" i="11"/>
  <c r="H307" i="11"/>
  <c r="G307" i="11"/>
  <c r="F307" i="11"/>
  <c r="I307" i="11" s="1"/>
  <c r="E307" i="11"/>
  <c r="D307" i="11"/>
  <c r="C307" i="11"/>
  <c r="B307" i="11"/>
  <c r="P306" i="11"/>
  <c r="O306" i="11"/>
  <c r="N306" i="11"/>
  <c r="Q306" i="11" s="1"/>
  <c r="L306" i="11"/>
  <c r="K306" i="11"/>
  <c r="J306" i="11"/>
  <c r="M306" i="11" s="1"/>
  <c r="H306" i="11"/>
  <c r="G306" i="11"/>
  <c r="F306" i="11"/>
  <c r="D306" i="11"/>
  <c r="C306" i="11"/>
  <c r="B306" i="11"/>
  <c r="E306" i="11" s="1"/>
  <c r="Q305" i="11"/>
  <c r="M305" i="11"/>
  <c r="I305" i="11"/>
  <c r="E305" i="11"/>
  <c r="Q303" i="11"/>
  <c r="M303" i="11"/>
  <c r="I303" i="11"/>
  <c r="E303" i="11"/>
  <c r="R301" i="11"/>
  <c r="Q301" i="11"/>
  <c r="M301" i="11"/>
  <c r="I301" i="11"/>
  <c r="E301" i="11"/>
  <c r="Q300" i="11"/>
  <c r="M300" i="11"/>
  <c r="I300" i="11"/>
  <c r="R300" i="11" s="1"/>
  <c r="E300" i="11"/>
  <c r="Q299" i="11"/>
  <c r="M299" i="11"/>
  <c r="I299" i="11"/>
  <c r="E299" i="11"/>
  <c r="R299" i="11" s="1"/>
  <c r="R298" i="11"/>
  <c r="Q298" i="11"/>
  <c r="M298" i="11"/>
  <c r="I298" i="11"/>
  <c r="E298" i="11"/>
  <c r="Q297" i="11"/>
  <c r="M297" i="11"/>
  <c r="I297" i="11"/>
  <c r="E297" i="11"/>
  <c r="R297" i="11" s="1"/>
  <c r="Q296" i="11"/>
  <c r="M296" i="11"/>
  <c r="I296" i="11"/>
  <c r="E296" i="11"/>
  <c r="R296" i="11" s="1"/>
  <c r="Q295" i="11"/>
  <c r="R295" i="11" s="1"/>
  <c r="M295" i="11"/>
  <c r="I295" i="11"/>
  <c r="E295" i="11"/>
  <c r="Q294" i="11"/>
  <c r="M294" i="11"/>
  <c r="I294" i="11"/>
  <c r="E294" i="11"/>
  <c r="Q292" i="11"/>
  <c r="M292" i="11"/>
  <c r="I292" i="11"/>
  <c r="E292" i="11"/>
  <c r="R292" i="11" s="1"/>
  <c r="Q291" i="11"/>
  <c r="M291" i="11"/>
  <c r="I291" i="11"/>
  <c r="E291" i="11"/>
  <c r="Q290" i="11"/>
  <c r="M290" i="11"/>
  <c r="I290" i="11"/>
  <c r="E290" i="11"/>
  <c r="Q287" i="11"/>
  <c r="P287" i="11"/>
  <c r="O287" i="11"/>
  <c r="N287" i="11"/>
  <c r="H287" i="11"/>
  <c r="G287" i="11"/>
  <c r="B287" i="11"/>
  <c r="Q286" i="11"/>
  <c r="M286" i="11"/>
  <c r="I286" i="11"/>
  <c r="E286" i="11"/>
  <c r="R286" i="11" s="1"/>
  <c r="Q285" i="11"/>
  <c r="M285" i="11"/>
  <c r="I285" i="11"/>
  <c r="E285" i="11"/>
  <c r="Q284" i="11"/>
  <c r="M284" i="11"/>
  <c r="I284" i="11"/>
  <c r="E284" i="11"/>
  <c r="R284" i="11" s="1"/>
  <c r="R283" i="11"/>
  <c r="Q283" i="11"/>
  <c r="M283" i="11"/>
  <c r="I283" i="11"/>
  <c r="E283" i="11"/>
  <c r="Q282" i="11"/>
  <c r="M282" i="11"/>
  <c r="I282" i="11"/>
  <c r="R282" i="11" s="1"/>
  <c r="E282" i="11"/>
  <c r="Q281" i="11"/>
  <c r="M281" i="11"/>
  <c r="I281" i="11"/>
  <c r="E281" i="11"/>
  <c r="R281" i="11" s="1"/>
  <c r="Q280" i="11"/>
  <c r="R280" i="11" s="1"/>
  <c r="M280" i="11"/>
  <c r="I280" i="11"/>
  <c r="E280" i="11"/>
  <c r="Q279" i="11"/>
  <c r="M279" i="11"/>
  <c r="I279" i="11"/>
  <c r="E279" i="11"/>
  <c r="Q278" i="11"/>
  <c r="M278" i="11"/>
  <c r="J278" i="11"/>
  <c r="I278" i="11"/>
  <c r="R278" i="11" s="1"/>
  <c r="E278" i="11"/>
  <c r="Q277" i="11"/>
  <c r="R277" i="11" s="1"/>
  <c r="M277" i="11"/>
  <c r="I277" i="11"/>
  <c r="E277" i="11"/>
  <c r="Q276" i="11"/>
  <c r="M276" i="11"/>
  <c r="I276" i="11"/>
  <c r="E276" i="11"/>
  <c r="Q275" i="11"/>
  <c r="M275" i="11"/>
  <c r="I275" i="11"/>
  <c r="E275" i="11"/>
  <c r="R275" i="11" s="1"/>
  <c r="Q274" i="11"/>
  <c r="M274" i="11"/>
  <c r="I274" i="11"/>
  <c r="E274" i="11"/>
  <c r="Q273" i="11"/>
  <c r="M273" i="11"/>
  <c r="I273" i="11"/>
  <c r="E273" i="11"/>
  <c r="R273" i="11" s="1"/>
  <c r="R272" i="11"/>
  <c r="Q272" i="11"/>
  <c r="M272" i="11"/>
  <c r="I272" i="11"/>
  <c r="E272" i="11"/>
  <c r="Q271" i="11"/>
  <c r="M271" i="11"/>
  <c r="I271" i="11"/>
  <c r="R271" i="11" s="1"/>
  <c r="E271" i="11"/>
  <c r="Q270" i="11"/>
  <c r="M270" i="11"/>
  <c r="I270" i="11"/>
  <c r="R270" i="11" s="1"/>
  <c r="E270" i="11"/>
  <c r="R269" i="11"/>
  <c r="Q269" i="11"/>
  <c r="M269" i="11"/>
  <c r="K269" i="11"/>
  <c r="I269" i="11"/>
  <c r="E269" i="11"/>
  <c r="Q268" i="11"/>
  <c r="M268" i="11"/>
  <c r="I268" i="11"/>
  <c r="R268" i="11" s="1"/>
  <c r="E268" i="11"/>
  <c r="Q267" i="11"/>
  <c r="M267" i="11"/>
  <c r="I267" i="11"/>
  <c r="R267" i="11" s="1"/>
  <c r="E267" i="11"/>
  <c r="Q266" i="11"/>
  <c r="R266" i="11" s="1"/>
  <c r="M266" i="11"/>
  <c r="I266" i="11"/>
  <c r="E266" i="11"/>
  <c r="Q265" i="11"/>
  <c r="M265" i="11"/>
  <c r="I265" i="11"/>
  <c r="E265" i="11"/>
  <c r="Q264" i="11"/>
  <c r="M264" i="11"/>
  <c r="I264" i="11"/>
  <c r="E264" i="11"/>
  <c r="R264" i="11" s="1"/>
  <c r="Q263" i="11"/>
  <c r="M263" i="11"/>
  <c r="I263" i="11"/>
  <c r="E263" i="11"/>
  <c r="Q262" i="11"/>
  <c r="M262" i="11"/>
  <c r="I262" i="11"/>
  <c r="E262" i="11"/>
  <c r="Q261" i="11"/>
  <c r="L261" i="11"/>
  <c r="M261" i="11" s="1"/>
  <c r="I261" i="11"/>
  <c r="E261" i="11"/>
  <c r="R261" i="11" s="1"/>
  <c r="Q260" i="11"/>
  <c r="M260" i="11"/>
  <c r="L260" i="11"/>
  <c r="I260" i="11"/>
  <c r="E260" i="11"/>
  <c r="Q259" i="11"/>
  <c r="M259" i="11"/>
  <c r="I259" i="11"/>
  <c r="E259" i="11"/>
  <c r="Q258" i="11"/>
  <c r="M258" i="11"/>
  <c r="I258" i="11"/>
  <c r="E258" i="11"/>
  <c r="R258" i="11" s="1"/>
  <c r="Q257" i="11"/>
  <c r="M257" i="11"/>
  <c r="I257" i="11"/>
  <c r="E257" i="11"/>
  <c r="R257" i="11" s="1"/>
  <c r="Q256" i="11"/>
  <c r="M256" i="11"/>
  <c r="I256" i="11"/>
  <c r="E256" i="11"/>
  <c r="R256" i="11" s="1"/>
  <c r="R255" i="11"/>
  <c r="Q255" i="11"/>
  <c r="M255" i="11"/>
  <c r="I255" i="11"/>
  <c r="E255" i="11"/>
  <c r="Q254" i="11"/>
  <c r="M254" i="11"/>
  <c r="I254" i="11"/>
  <c r="R254" i="11" s="1"/>
  <c r="F254" i="11"/>
  <c r="E254" i="11"/>
  <c r="Q253" i="11"/>
  <c r="M253" i="11"/>
  <c r="I253" i="11"/>
  <c r="E253" i="11"/>
  <c r="Q252" i="11"/>
  <c r="R252" i="11" s="1"/>
  <c r="M252" i="11"/>
  <c r="I252" i="11"/>
  <c r="E252" i="11"/>
  <c r="Q251" i="11"/>
  <c r="M251" i="11"/>
  <c r="I251" i="11"/>
  <c r="E251" i="11"/>
  <c r="R251" i="11" s="1"/>
  <c r="Q250" i="11"/>
  <c r="M250" i="11"/>
  <c r="I250" i="11"/>
  <c r="E250" i="11"/>
  <c r="Q249" i="11"/>
  <c r="M249" i="11"/>
  <c r="R249" i="11" s="1"/>
  <c r="I249" i="11"/>
  <c r="E249" i="11"/>
  <c r="Q248" i="11"/>
  <c r="M248" i="11"/>
  <c r="I248" i="11"/>
  <c r="E248" i="11"/>
  <c r="Q247" i="11"/>
  <c r="M247" i="11"/>
  <c r="I247" i="11"/>
  <c r="E247" i="11"/>
  <c r="R247" i="11" s="1"/>
  <c r="Q246" i="11"/>
  <c r="M246" i="11"/>
  <c r="I246" i="11"/>
  <c r="E246" i="11"/>
  <c r="Q245" i="11"/>
  <c r="M245" i="11"/>
  <c r="I245" i="11"/>
  <c r="E245" i="11"/>
  <c r="R245" i="11" s="1"/>
  <c r="D245" i="11"/>
  <c r="C245" i="11"/>
  <c r="C876" i="11" s="1"/>
  <c r="Q244" i="11"/>
  <c r="M244" i="11"/>
  <c r="I244" i="11"/>
  <c r="E244" i="11"/>
  <c r="R244" i="11" s="1"/>
  <c r="Q243" i="11"/>
  <c r="M243" i="11"/>
  <c r="R243" i="11" s="1"/>
  <c r="I243" i="11"/>
  <c r="E243" i="11"/>
  <c r="Q242" i="11"/>
  <c r="M242" i="11"/>
  <c r="I242" i="11"/>
  <c r="E242" i="11"/>
  <c r="R241" i="11"/>
  <c r="Q241" i="11"/>
  <c r="M241" i="11"/>
  <c r="I241" i="11"/>
  <c r="E241" i="11"/>
  <c r="Q240" i="11"/>
  <c r="M240" i="11"/>
  <c r="I240" i="11"/>
  <c r="E240" i="11"/>
  <c r="R240" i="11" s="1"/>
  <c r="Q239" i="11"/>
  <c r="M239" i="11"/>
  <c r="I239" i="11"/>
  <c r="E239" i="11"/>
  <c r="Q238" i="11"/>
  <c r="R238" i="11" s="1"/>
  <c r="M238" i="11"/>
  <c r="I238" i="11"/>
  <c r="E238" i="11"/>
  <c r="Q237" i="11"/>
  <c r="M237" i="11"/>
  <c r="I237" i="11"/>
  <c r="E237" i="11"/>
  <c r="R237" i="11" s="1"/>
  <c r="Q236" i="11"/>
  <c r="M236" i="11"/>
  <c r="I236" i="11"/>
  <c r="E236" i="11"/>
  <c r="Q235" i="11"/>
  <c r="M235" i="11"/>
  <c r="R235" i="11" s="1"/>
  <c r="I235" i="11"/>
  <c r="E235" i="11"/>
  <c r="Q234" i="11"/>
  <c r="M234" i="11"/>
  <c r="I234" i="11"/>
  <c r="E234" i="11"/>
  <c r="Q233" i="11"/>
  <c r="M233" i="11"/>
  <c r="I233" i="11"/>
  <c r="E233" i="11"/>
  <c r="R233" i="11" s="1"/>
  <c r="Q232" i="11"/>
  <c r="M232" i="11"/>
  <c r="I232" i="11"/>
  <c r="E232" i="11"/>
  <c r="Q231" i="11"/>
  <c r="M231" i="11"/>
  <c r="I231" i="11"/>
  <c r="E231" i="11"/>
  <c r="R231" i="11" s="1"/>
  <c r="R230" i="11"/>
  <c r="Q230" i="11"/>
  <c r="M230" i="11"/>
  <c r="I230" i="11"/>
  <c r="E230" i="11"/>
  <c r="Q229" i="11"/>
  <c r="M229" i="11"/>
  <c r="I229" i="11"/>
  <c r="R229" i="11" s="1"/>
  <c r="E229" i="11"/>
  <c r="Q228" i="11"/>
  <c r="M228" i="11"/>
  <c r="I228" i="11"/>
  <c r="E228" i="11"/>
  <c r="R228" i="11" s="1"/>
  <c r="Q227" i="11"/>
  <c r="M227" i="11"/>
  <c r="R227" i="11" s="1"/>
  <c r="I227" i="11"/>
  <c r="E227" i="11"/>
  <c r="Q226" i="11"/>
  <c r="L226" i="11"/>
  <c r="K226" i="11"/>
  <c r="K876" i="11" s="1"/>
  <c r="J226" i="11"/>
  <c r="I226" i="11"/>
  <c r="E226" i="11"/>
  <c r="B226" i="11"/>
  <c r="B876" i="11" s="1"/>
  <c r="Q225" i="11"/>
  <c r="M225" i="11"/>
  <c r="I225" i="11"/>
  <c r="R225" i="11" s="1"/>
  <c r="E225" i="11"/>
  <c r="Q224" i="11"/>
  <c r="M224" i="11"/>
  <c r="I224" i="11"/>
  <c r="E224" i="11"/>
  <c r="Q223" i="11"/>
  <c r="M223" i="11"/>
  <c r="R223" i="11" s="1"/>
  <c r="I223" i="11"/>
  <c r="E223" i="11"/>
  <c r="Q219" i="11"/>
  <c r="P219" i="11"/>
  <c r="O219" i="11"/>
  <c r="N219" i="11"/>
  <c r="M219" i="11"/>
  <c r="L219" i="11"/>
  <c r="K219" i="11"/>
  <c r="J219" i="11"/>
  <c r="I219" i="11"/>
  <c r="D219" i="11"/>
  <c r="C219" i="11"/>
  <c r="B219" i="11"/>
  <c r="Q217" i="11"/>
  <c r="M217" i="11"/>
  <c r="I217" i="11"/>
  <c r="E217" i="11"/>
  <c r="R217" i="11" s="1"/>
  <c r="R216" i="11"/>
  <c r="Q216" i="11"/>
  <c r="M216" i="11"/>
  <c r="I216" i="11"/>
  <c r="E216" i="11"/>
  <c r="P212" i="11"/>
  <c r="O212" i="11"/>
  <c r="O308" i="11" s="1"/>
  <c r="O316" i="11" s="1"/>
  <c r="N212" i="11"/>
  <c r="N308" i="11" s="1"/>
  <c r="Q210" i="11"/>
  <c r="M210" i="11"/>
  <c r="I210" i="11"/>
  <c r="E210" i="11"/>
  <c r="R210" i="11" s="1"/>
  <c r="Q209" i="11"/>
  <c r="M209" i="11"/>
  <c r="I209" i="11"/>
  <c r="E209" i="11"/>
  <c r="R208" i="11"/>
  <c r="Q208" i="11"/>
  <c r="M208" i="11"/>
  <c r="I208" i="11"/>
  <c r="E208" i="11"/>
  <c r="Q206" i="11"/>
  <c r="M206" i="11"/>
  <c r="I206" i="11"/>
  <c r="E206" i="11"/>
  <c r="R206" i="11" s="1"/>
  <c r="R205" i="11"/>
  <c r="Q205" i="11"/>
  <c r="M205" i="11"/>
  <c r="I205" i="11"/>
  <c r="E205" i="11"/>
  <c r="Q204" i="11"/>
  <c r="M204" i="11"/>
  <c r="I204" i="11"/>
  <c r="R204" i="11" s="1"/>
  <c r="E204" i="11"/>
  <c r="Q203" i="11"/>
  <c r="M203" i="11"/>
  <c r="I203" i="11"/>
  <c r="E203" i="11"/>
  <c r="R203" i="11" s="1"/>
  <c r="R202" i="11"/>
  <c r="Q202" i="11"/>
  <c r="M202" i="11"/>
  <c r="I202" i="11"/>
  <c r="E202" i="11"/>
  <c r="Q201" i="11"/>
  <c r="M201" i="11"/>
  <c r="I201" i="11"/>
  <c r="R201" i="11" s="1"/>
  <c r="E201" i="11"/>
  <c r="Q200" i="11"/>
  <c r="M200" i="11"/>
  <c r="I200" i="11"/>
  <c r="E200" i="11"/>
  <c r="Q199" i="11"/>
  <c r="M199" i="11"/>
  <c r="R199" i="11" s="1"/>
  <c r="I199" i="11"/>
  <c r="E199" i="11"/>
  <c r="Q198" i="11"/>
  <c r="M198" i="11"/>
  <c r="I198" i="11"/>
  <c r="E198" i="11"/>
  <c r="Q197" i="11"/>
  <c r="M197" i="11"/>
  <c r="I197" i="11"/>
  <c r="E197" i="11"/>
  <c r="R197" i="11" s="1"/>
  <c r="Q195" i="11"/>
  <c r="M195" i="11"/>
  <c r="I195" i="11"/>
  <c r="E195" i="11"/>
  <c r="Q194" i="11"/>
  <c r="M194" i="11"/>
  <c r="I194" i="11"/>
  <c r="E194" i="11"/>
  <c r="Q193" i="11"/>
  <c r="M193" i="11"/>
  <c r="I193" i="11"/>
  <c r="E193" i="11"/>
  <c r="R193" i="11" s="1"/>
  <c r="Q192" i="11"/>
  <c r="M192" i="11"/>
  <c r="I192" i="11"/>
  <c r="E192" i="11"/>
  <c r="Q191" i="11"/>
  <c r="M191" i="11"/>
  <c r="I191" i="11"/>
  <c r="E191" i="11"/>
  <c r="R191" i="11" s="1"/>
  <c r="Q190" i="11"/>
  <c r="R190" i="11" s="1"/>
  <c r="M190" i="11"/>
  <c r="I190" i="11"/>
  <c r="E190" i="11"/>
  <c r="N189" i="11"/>
  <c r="Q189" i="11" s="1"/>
  <c r="M189" i="11"/>
  <c r="L189" i="11"/>
  <c r="K189" i="11"/>
  <c r="J189" i="11"/>
  <c r="H189" i="11"/>
  <c r="I189" i="11" s="1"/>
  <c r="R189" i="11" s="1"/>
  <c r="E189" i="11"/>
  <c r="O188" i="11"/>
  <c r="Q188" i="11" s="1"/>
  <c r="N188" i="11"/>
  <c r="L188" i="11"/>
  <c r="K188" i="11"/>
  <c r="M188" i="11" s="1"/>
  <c r="J188" i="11"/>
  <c r="H188" i="11"/>
  <c r="I188" i="11" s="1"/>
  <c r="E188" i="11"/>
  <c r="R188" i="11" s="1"/>
  <c r="Q187" i="11"/>
  <c r="M187" i="11"/>
  <c r="I187" i="11"/>
  <c r="E187" i="11"/>
  <c r="Q186" i="11"/>
  <c r="M186" i="11"/>
  <c r="J186" i="11"/>
  <c r="H186" i="11"/>
  <c r="G186" i="11"/>
  <c r="I186" i="11" s="1"/>
  <c r="F186" i="11"/>
  <c r="E186" i="11"/>
  <c r="R186" i="11" s="1"/>
  <c r="D186" i="11"/>
  <c r="C186" i="11"/>
  <c r="Q185" i="11"/>
  <c r="M185" i="11"/>
  <c r="I185" i="11"/>
  <c r="E185" i="11"/>
  <c r="Q184" i="11"/>
  <c r="M184" i="11"/>
  <c r="K184" i="11"/>
  <c r="J184" i="11"/>
  <c r="H184" i="11"/>
  <c r="G184" i="11"/>
  <c r="F184" i="11"/>
  <c r="E184" i="11"/>
  <c r="D184" i="11"/>
  <c r="C184" i="11"/>
  <c r="B184" i="11"/>
  <c r="Q183" i="11"/>
  <c r="L183" i="11"/>
  <c r="K183" i="11"/>
  <c r="J183" i="11"/>
  <c r="H183" i="11"/>
  <c r="G183" i="11"/>
  <c r="F183" i="11"/>
  <c r="I183" i="11" s="1"/>
  <c r="D183" i="11"/>
  <c r="C183" i="11"/>
  <c r="B183" i="11"/>
  <c r="Q182" i="11"/>
  <c r="M182" i="11"/>
  <c r="I182" i="11"/>
  <c r="E182" i="11"/>
  <c r="R181" i="11"/>
  <c r="Q181" i="11"/>
  <c r="M181" i="11"/>
  <c r="I181" i="11"/>
  <c r="E181" i="11"/>
  <c r="Q180" i="11"/>
  <c r="M180" i="11"/>
  <c r="I180" i="11"/>
  <c r="E180" i="11"/>
  <c r="Q179" i="11"/>
  <c r="M179" i="11"/>
  <c r="I179" i="11"/>
  <c r="E179" i="11"/>
  <c r="R179" i="11" s="1"/>
  <c r="Q178" i="11"/>
  <c r="M178" i="11"/>
  <c r="I178" i="11"/>
  <c r="E178" i="11"/>
  <c r="Q177" i="11"/>
  <c r="M177" i="11"/>
  <c r="I177" i="11"/>
  <c r="E177" i="11"/>
  <c r="R176" i="11"/>
  <c r="Q176" i="11"/>
  <c r="M176" i="11"/>
  <c r="I176" i="11"/>
  <c r="E176" i="11"/>
  <c r="Q175" i="11"/>
  <c r="M175" i="11"/>
  <c r="I175" i="11"/>
  <c r="E175" i="11"/>
  <c r="R175" i="11" s="1"/>
  <c r="Q174" i="11"/>
  <c r="L174" i="11"/>
  <c r="K174" i="11"/>
  <c r="J174" i="11"/>
  <c r="I174" i="11"/>
  <c r="H174" i="11"/>
  <c r="G174" i="11"/>
  <c r="F174" i="11"/>
  <c r="E174" i="11"/>
  <c r="Q173" i="11"/>
  <c r="M173" i="11"/>
  <c r="I173" i="11"/>
  <c r="E173" i="11"/>
  <c r="R173" i="11" s="1"/>
  <c r="Q172" i="11"/>
  <c r="M172" i="11"/>
  <c r="I172" i="11"/>
  <c r="E172" i="11"/>
  <c r="Q171" i="11"/>
  <c r="M171" i="11"/>
  <c r="R171" i="11" s="1"/>
  <c r="I171" i="11"/>
  <c r="E171" i="11"/>
  <c r="Q170" i="11"/>
  <c r="M170" i="11"/>
  <c r="I170" i="11"/>
  <c r="E170" i="11"/>
  <c r="Q169" i="11"/>
  <c r="M169" i="11"/>
  <c r="I169" i="11"/>
  <c r="E169" i="11"/>
  <c r="R169" i="11" s="1"/>
  <c r="Q168" i="11"/>
  <c r="M168" i="11"/>
  <c r="I168" i="11"/>
  <c r="E168" i="11"/>
  <c r="Q167" i="11"/>
  <c r="M167" i="11"/>
  <c r="I167" i="11"/>
  <c r="E167" i="11"/>
  <c r="R167" i="11" s="1"/>
  <c r="R166" i="11"/>
  <c r="Q166" i="11"/>
  <c r="M166" i="11"/>
  <c r="I166" i="11"/>
  <c r="E166" i="11"/>
  <c r="Q165" i="11"/>
  <c r="M165" i="11"/>
  <c r="I165" i="11"/>
  <c r="E165" i="11"/>
  <c r="R165" i="11" s="1"/>
  <c r="Q164" i="11"/>
  <c r="M164" i="11"/>
  <c r="I164" i="11"/>
  <c r="E164" i="11"/>
  <c r="R163" i="11"/>
  <c r="Q163" i="11"/>
  <c r="M163" i="11"/>
  <c r="I163" i="11"/>
  <c r="E163" i="11"/>
  <c r="Q162" i="11"/>
  <c r="M162" i="11"/>
  <c r="I162" i="11"/>
  <c r="E162" i="11"/>
  <c r="R162" i="11" s="1"/>
  <c r="R161" i="11"/>
  <c r="Q161" i="11"/>
  <c r="M161" i="11"/>
  <c r="I161" i="11"/>
  <c r="E161" i="11"/>
  <c r="Q160" i="11"/>
  <c r="M160" i="11"/>
  <c r="I160" i="11"/>
  <c r="E160" i="11"/>
  <c r="Q159" i="11"/>
  <c r="M159" i="11"/>
  <c r="I159" i="11"/>
  <c r="E159" i="11"/>
  <c r="R159" i="11" s="1"/>
  <c r="Q158" i="11"/>
  <c r="L158" i="11"/>
  <c r="I158" i="11"/>
  <c r="E158" i="11"/>
  <c r="Q157" i="11"/>
  <c r="M157" i="11"/>
  <c r="I157" i="11"/>
  <c r="E157" i="11"/>
  <c r="R157" i="11" s="1"/>
  <c r="O156" i="11"/>
  <c r="N156" i="11"/>
  <c r="M156" i="11"/>
  <c r="K156" i="11"/>
  <c r="I156" i="11"/>
  <c r="E156" i="11"/>
  <c r="Q155" i="11"/>
  <c r="M155" i="11"/>
  <c r="I155" i="11"/>
  <c r="E155" i="11"/>
  <c r="R155" i="11" s="1"/>
  <c r="R154" i="11"/>
  <c r="Q154" i="11"/>
  <c r="M154" i="11"/>
  <c r="I154" i="11"/>
  <c r="E154" i="11"/>
  <c r="Q153" i="11"/>
  <c r="M153" i="11"/>
  <c r="I153" i="11"/>
  <c r="R153" i="11" s="1"/>
  <c r="E153" i="11"/>
  <c r="Q152" i="11"/>
  <c r="M152" i="11"/>
  <c r="H152" i="11"/>
  <c r="G152" i="11"/>
  <c r="G862" i="11" s="1"/>
  <c r="G868" i="11" s="1"/>
  <c r="F152" i="11"/>
  <c r="F862" i="11" s="1"/>
  <c r="E152" i="11"/>
  <c r="D152" i="11"/>
  <c r="Q151" i="11"/>
  <c r="M151" i="11"/>
  <c r="I151" i="11"/>
  <c r="E151" i="11"/>
  <c r="R151" i="11" s="1"/>
  <c r="Q150" i="11"/>
  <c r="R150" i="11" s="1"/>
  <c r="M150" i="11"/>
  <c r="I150" i="11"/>
  <c r="E150" i="11"/>
  <c r="Q149" i="11"/>
  <c r="M149" i="11"/>
  <c r="I149" i="11"/>
  <c r="E149" i="11"/>
  <c r="R149" i="11" s="1"/>
  <c r="Q148" i="11"/>
  <c r="M148" i="11"/>
  <c r="I148" i="11"/>
  <c r="E148" i="11"/>
  <c r="R148" i="11" s="1"/>
  <c r="Q147" i="11"/>
  <c r="R147" i="11" s="1"/>
  <c r="M147" i="11"/>
  <c r="I147" i="11"/>
  <c r="E147" i="11"/>
  <c r="Q146" i="11"/>
  <c r="M146" i="11"/>
  <c r="I146" i="11"/>
  <c r="E146" i="11"/>
  <c r="R145" i="11"/>
  <c r="Q145" i="11"/>
  <c r="M145" i="11"/>
  <c r="I145" i="11"/>
  <c r="E145" i="11"/>
  <c r="Q144" i="11"/>
  <c r="M144" i="11"/>
  <c r="I144" i="11"/>
  <c r="R144" i="11" s="1"/>
  <c r="E144" i="11"/>
  <c r="Q143" i="11"/>
  <c r="M143" i="11"/>
  <c r="I143" i="11"/>
  <c r="E143" i="11"/>
  <c r="Q142" i="11"/>
  <c r="R142" i="11" s="1"/>
  <c r="M142" i="11"/>
  <c r="I142" i="11"/>
  <c r="E142" i="11"/>
  <c r="R141" i="11"/>
  <c r="Q141" i="11"/>
  <c r="M141" i="11"/>
  <c r="I141" i="11"/>
  <c r="E141" i="11"/>
  <c r="Q129" i="11"/>
  <c r="M129" i="11"/>
  <c r="I129" i="11"/>
  <c r="R129" i="11" s="1"/>
  <c r="E129" i="11"/>
  <c r="P127" i="11"/>
  <c r="O127" i="11"/>
  <c r="N127" i="11"/>
  <c r="Q127" i="11" s="1"/>
  <c r="M127" i="11"/>
  <c r="L127" i="11"/>
  <c r="K127" i="11"/>
  <c r="J127" i="11"/>
  <c r="H127" i="11"/>
  <c r="G127" i="11"/>
  <c r="F127" i="11"/>
  <c r="I127" i="11" s="1"/>
  <c r="E127" i="11"/>
  <c r="D127" i="11"/>
  <c r="C127" i="11"/>
  <c r="B127" i="11"/>
  <c r="P126" i="11"/>
  <c r="O126" i="11"/>
  <c r="N126" i="11"/>
  <c r="Q126" i="11" s="1"/>
  <c r="M126" i="11"/>
  <c r="L126" i="11"/>
  <c r="K126" i="11"/>
  <c r="J126" i="11"/>
  <c r="H126" i="11"/>
  <c r="G126" i="11"/>
  <c r="F126" i="11"/>
  <c r="I126" i="11" s="1"/>
  <c r="E126" i="11"/>
  <c r="D126" i="11"/>
  <c r="C126" i="11"/>
  <c r="B126" i="11"/>
  <c r="Q125" i="11"/>
  <c r="M125" i="11"/>
  <c r="I125" i="11"/>
  <c r="R125" i="11" s="1"/>
  <c r="E125" i="11"/>
  <c r="Q124" i="11"/>
  <c r="M124" i="11"/>
  <c r="I124" i="11"/>
  <c r="E124" i="11"/>
  <c r="R124" i="11" s="1"/>
  <c r="R122" i="11"/>
  <c r="Q122" i="11"/>
  <c r="M122" i="11"/>
  <c r="I122" i="11"/>
  <c r="E122" i="11"/>
  <c r="Q120" i="11"/>
  <c r="M120" i="11"/>
  <c r="I120" i="11"/>
  <c r="E120" i="11"/>
  <c r="R120" i="11" s="1"/>
  <c r="Q119" i="11"/>
  <c r="M119" i="11"/>
  <c r="I119" i="11"/>
  <c r="E119" i="11"/>
  <c r="R119" i="11" s="1"/>
  <c r="Q117" i="11"/>
  <c r="M117" i="11"/>
  <c r="I117" i="11"/>
  <c r="R117" i="11" s="1"/>
  <c r="E117" i="11"/>
  <c r="Q116" i="11"/>
  <c r="M116" i="11"/>
  <c r="I116" i="11"/>
  <c r="E116" i="11"/>
  <c r="R116" i="11" s="1"/>
  <c r="R115" i="11"/>
  <c r="Q115" i="11"/>
  <c r="M115" i="11"/>
  <c r="I115" i="11"/>
  <c r="E115" i="11"/>
  <c r="Q114" i="11"/>
  <c r="M114" i="11"/>
  <c r="I114" i="11"/>
  <c r="R114" i="11" s="1"/>
  <c r="E114" i="11"/>
  <c r="Q113" i="11"/>
  <c r="M113" i="11"/>
  <c r="I113" i="11"/>
  <c r="E113" i="11"/>
  <c r="R113" i="11" s="1"/>
  <c r="R112" i="11"/>
  <c r="Q112" i="11"/>
  <c r="M112" i="11"/>
  <c r="I112" i="11"/>
  <c r="E112" i="11"/>
  <c r="Q111" i="11"/>
  <c r="M111" i="11"/>
  <c r="I111" i="11"/>
  <c r="E111" i="11"/>
  <c r="R111" i="11" s="1"/>
  <c r="Q110" i="11"/>
  <c r="M110" i="11"/>
  <c r="I110" i="11"/>
  <c r="E110" i="11"/>
  <c r="R110" i="11" s="1"/>
  <c r="Q107" i="11"/>
  <c r="P107" i="11"/>
  <c r="O107" i="11"/>
  <c r="N107" i="11"/>
  <c r="L107" i="11"/>
  <c r="K107" i="11"/>
  <c r="M107" i="11" s="1"/>
  <c r="J107" i="11"/>
  <c r="I107" i="11"/>
  <c r="H107" i="11"/>
  <c r="G107" i="11"/>
  <c r="F107" i="11"/>
  <c r="D107" i="11"/>
  <c r="C107" i="11"/>
  <c r="E107" i="11" s="1"/>
  <c r="R107" i="11" s="1"/>
  <c r="B107" i="11"/>
  <c r="R106" i="11"/>
  <c r="Q106" i="11"/>
  <c r="M106" i="11"/>
  <c r="I106" i="11"/>
  <c r="E106" i="11"/>
  <c r="Q105" i="11"/>
  <c r="M105" i="11"/>
  <c r="I105" i="11"/>
  <c r="E105" i="11"/>
  <c r="R105" i="11" s="1"/>
  <c r="Q104" i="11"/>
  <c r="M104" i="11"/>
  <c r="I104" i="11"/>
  <c r="E104" i="11"/>
  <c r="R104" i="11" s="1"/>
  <c r="Q103" i="11"/>
  <c r="M103" i="11"/>
  <c r="I103" i="11"/>
  <c r="E103" i="11"/>
  <c r="R103" i="11" s="1"/>
  <c r="Q102" i="11"/>
  <c r="M102" i="11"/>
  <c r="I102" i="11"/>
  <c r="E102" i="11"/>
  <c r="R102" i="11" s="1"/>
  <c r="R101" i="11"/>
  <c r="Q101" i="11"/>
  <c r="M101" i="11"/>
  <c r="I101" i="11"/>
  <c r="E101" i="11"/>
  <c r="Q100" i="11"/>
  <c r="M100" i="11"/>
  <c r="I100" i="11"/>
  <c r="R100" i="11" s="1"/>
  <c r="E100" i="11"/>
  <c r="P96" i="11"/>
  <c r="O96" i="11"/>
  <c r="O128" i="11" s="1"/>
  <c r="O131" i="11" s="1"/>
  <c r="J96" i="11"/>
  <c r="H96" i="11"/>
  <c r="G96" i="11"/>
  <c r="I96" i="11" s="1"/>
  <c r="F96" i="11"/>
  <c r="E96" i="11"/>
  <c r="D96" i="11"/>
  <c r="D128" i="11" s="1"/>
  <c r="D131" i="11" s="1"/>
  <c r="C96" i="11"/>
  <c r="B96" i="11"/>
  <c r="N94" i="11"/>
  <c r="N871" i="11" s="1"/>
  <c r="Q871" i="11" s="1"/>
  <c r="L94" i="11"/>
  <c r="L871" i="11" s="1"/>
  <c r="L873" i="11" s="1"/>
  <c r="L904" i="11" s="1"/>
  <c r="K94" i="11"/>
  <c r="K96" i="11" s="1"/>
  <c r="I94" i="11"/>
  <c r="E94" i="11"/>
  <c r="Q93" i="11"/>
  <c r="M93" i="11"/>
  <c r="I93" i="11"/>
  <c r="E93" i="11"/>
  <c r="R93" i="11" s="1"/>
  <c r="Q89" i="11"/>
  <c r="P89" i="11"/>
  <c r="P128" i="11" s="1"/>
  <c r="P131" i="11" s="1"/>
  <c r="O89" i="11"/>
  <c r="N89" i="11"/>
  <c r="L89" i="11"/>
  <c r="K89" i="11"/>
  <c r="J89" i="11"/>
  <c r="J128" i="11" s="1"/>
  <c r="I89" i="11"/>
  <c r="H89" i="11"/>
  <c r="H128" i="11" s="1"/>
  <c r="H131" i="11" s="1"/>
  <c r="G89" i="11"/>
  <c r="F89" i="11"/>
  <c r="F128" i="11" s="1"/>
  <c r="D89" i="11"/>
  <c r="C89" i="11"/>
  <c r="C128" i="11" s="1"/>
  <c r="C131" i="11" s="1"/>
  <c r="B89" i="11"/>
  <c r="B128" i="11" s="1"/>
  <c r="Q87" i="11"/>
  <c r="M87" i="11"/>
  <c r="I87" i="11"/>
  <c r="E87" i="11"/>
  <c r="R87" i="11" s="1"/>
  <c r="Q86" i="11"/>
  <c r="M86" i="11"/>
  <c r="I86" i="11"/>
  <c r="E86" i="11"/>
  <c r="R86" i="11" s="1"/>
  <c r="Q84" i="11"/>
  <c r="M84" i="11"/>
  <c r="I84" i="11"/>
  <c r="E84" i="11"/>
  <c r="R84" i="11" s="1"/>
  <c r="Q82" i="11"/>
  <c r="M82" i="11"/>
  <c r="I82" i="11"/>
  <c r="E82" i="11"/>
  <c r="R82" i="11" s="1"/>
  <c r="Q81" i="11"/>
  <c r="M81" i="11"/>
  <c r="I81" i="11"/>
  <c r="E81" i="11"/>
  <c r="R81" i="11" s="1"/>
  <c r="Q80" i="11"/>
  <c r="M80" i="11"/>
  <c r="I80" i="11"/>
  <c r="E80" i="11"/>
  <c r="R80" i="11" s="1"/>
  <c r="R79" i="11"/>
  <c r="Q79" i="11"/>
  <c r="M79" i="11"/>
  <c r="I79" i="11"/>
  <c r="E79" i="11"/>
  <c r="Q78" i="11"/>
  <c r="M78" i="11"/>
  <c r="I78" i="11"/>
  <c r="R78" i="11" s="1"/>
  <c r="E78" i="11"/>
  <c r="Q77" i="11"/>
  <c r="M77" i="11"/>
  <c r="I77" i="11"/>
  <c r="E77" i="11"/>
  <c r="R77" i="11" s="1"/>
  <c r="R76" i="11"/>
  <c r="Q76" i="11"/>
  <c r="M76" i="11"/>
  <c r="I76" i="11"/>
  <c r="E76" i="11"/>
  <c r="Q75" i="11"/>
  <c r="M75" i="11"/>
  <c r="I75" i="11"/>
  <c r="E75" i="11"/>
  <c r="R75" i="11" s="1"/>
  <c r="Q74" i="11"/>
  <c r="M74" i="11"/>
  <c r="I74" i="11"/>
  <c r="E74" i="11"/>
  <c r="R74" i="11" s="1"/>
  <c r="Q73" i="11"/>
  <c r="M73" i="11"/>
  <c r="I73" i="11"/>
  <c r="E73" i="11"/>
  <c r="R73" i="11" s="1"/>
  <c r="Q72" i="11"/>
  <c r="M72" i="11"/>
  <c r="I72" i="11"/>
  <c r="E72" i="11"/>
  <c r="R72" i="11" s="1"/>
  <c r="Q60" i="11"/>
  <c r="M60" i="11"/>
  <c r="I60" i="11"/>
  <c r="E60" i="11"/>
  <c r="R60" i="11" s="1"/>
  <c r="Q58" i="11"/>
  <c r="P58" i="11"/>
  <c r="O58" i="11"/>
  <c r="N58" i="11"/>
  <c r="L58" i="11"/>
  <c r="K58" i="11"/>
  <c r="J58" i="11"/>
  <c r="M58" i="11" s="1"/>
  <c r="I58" i="11"/>
  <c r="H58" i="11"/>
  <c r="G58" i="11"/>
  <c r="F58" i="11"/>
  <c r="D58" i="11"/>
  <c r="C58" i="11"/>
  <c r="B58" i="11"/>
  <c r="E58" i="11" s="1"/>
  <c r="R58" i="11" s="1"/>
  <c r="P57" i="11"/>
  <c r="O57" i="11"/>
  <c r="N57" i="11"/>
  <c r="Q57" i="11" s="1"/>
  <c r="L57" i="11"/>
  <c r="K57" i="11"/>
  <c r="J57" i="11"/>
  <c r="M57" i="11" s="1"/>
  <c r="H57" i="11"/>
  <c r="G57" i="11"/>
  <c r="F57" i="11"/>
  <c r="I57" i="11" s="1"/>
  <c r="D57" i="11"/>
  <c r="C57" i="11"/>
  <c r="B57" i="11"/>
  <c r="E57" i="11" s="1"/>
  <c r="R57" i="11" s="1"/>
  <c r="Q54" i="11"/>
  <c r="M54" i="11"/>
  <c r="I54" i="11"/>
  <c r="E54" i="11"/>
  <c r="R54" i="11" s="1"/>
  <c r="Q50" i="11"/>
  <c r="P50" i="11"/>
  <c r="P59" i="11" s="1"/>
  <c r="P62" i="11" s="1"/>
  <c r="O50" i="11"/>
  <c r="N50" i="11"/>
  <c r="L50" i="11"/>
  <c r="K50" i="11"/>
  <c r="J50" i="11"/>
  <c r="J59" i="11" s="1"/>
  <c r="I50" i="11"/>
  <c r="H50" i="11"/>
  <c r="H59" i="11" s="1"/>
  <c r="H62" i="11" s="1"/>
  <c r="G50" i="11"/>
  <c r="F50" i="11"/>
  <c r="D50" i="11"/>
  <c r="C50" i="11"/>
  <c r="B50" i="11"/>
  <c r="B59" i="11" s="1"/>
  <c r="Q46" i="11"/>
  <c r="P46" i="11"/>
  <c r="O46" i="11"/>
  <c r="N46" i="11"/>
  <c r="L46" i="11"/>
  <c r="K46" i="11"/>
  <c r="J46" i="11"/>
  <c r="M46" i="11" s="1"/>
  <c r="I46" i="11"/>
  <c r="H46" i="11"/>
  <c r="G46" i="11"/>
  <c r="F46" i="11"/>
  <c r="D46" i="11"/>
  <c r="C46" i="11"/>
  <c r="B46" i="11"/>
  <c r="E46" i="11" s="1"/>
  <c r="R46" i="11" s="1"/>
  <c r="P41" i="11"/>
  <c r="O41" i="11"/>
  <c r="O59" i="11" s="1"/>
  <c r="O62" i="11" s="1"/>
  <c r="N41" i="11"/>
  <c r="Q41" i="11" s="1"/>
  <c r="L41" i="11"/>
  <c r="L59" i="11" s="1"/>
  <c r="L62" i="11" s="1"/>
  <c r="K41" i="11"/>
  <c r="K59" i="11" s="1"/>
  <c r="K62" i="11" s="1"/>
  <c r="J41" i="11"/>
  <c r="M41" i="11" s="1"/>
  <c r="H41" i="11"/>
  <c r="G41" i="11"/>
  <c r="G59" i="11" s="1"/>
  <c r="G62" i="11" s="1"/>
  <c r="F41" i="11"/>
  <c r="I41" i="11" s="1"/>
  <c r="D41" i="11"/>
  <c r="D59" i="11" s="1"/>
  <c r="D62" i="11" s="1"/>
  <c r="C41" i="11"/>
  <c r="C59" i="11" s="1"/>
  <c r="C62" i="11" s="1"/>
  <c r="B41" i="11"/>
  <c r="E41" i="11" s="1"/>
  <c r="R41" i="11" s="1"/>
  <c r="Q38" i="11"/>
  <c r="M38" i="11"/>
  <c r="I38" i="11"/>
  <c r="E38" i="11"/>
  <c r="R38" i="11" s="1"/>
  <c r="Q27" i="11"/>
  <c r="P27" i="11"/>
  <c r="O27" i="11"/>
  <c r="N27" i="11"/>
  <c r="L27" i="11"/>
  <c r="K27" i="11"/>
  <c r="J27" i="11"/>
  <c r="I27" i="11"/>
  <c r="H27" i="11"/>
  <c r="G27" i="11"/>
  <c r="F27" i="11"/>
  <c r="D27" i="11"/>
  <c r="C27" i="11"/>
  <c r="B27" i="11"/>
  <c r="Q25" i="11"/>
  <c r="M25" i="11"/>
  <c r="I25" i="11"/>
  <c r="E25" i="11"/>
  <c r="R25" i="11" s="1"/>
  <c r="M20" i="11"/>
  <c r="I20" i="11"/>
  <c r="E20" i="11"/>
  <c r="P18" i="11"/>
  <c r="O18" i="11"/>
  <c r="N18" i="11"/>
  <c r="Q18" i="11" s="1"/>
  <c r="L18" i="11"/>
  <c r="K18" i="11"/>
  <c r="J18" i="11"/>
  <c r="M18" i="11" s="1"/>
  <c r="H18" i="11"/>
  <c r="G18" i="11"/>
  <c r="F18" i="11"/>
  <c r="I18" i="11" s="1"/>
  <c r="D18" i="11"/>
  <c r="C18" i="11"/>
  <c r="B18" i="11"/>
  <c r="E18" i="11" s="1"/>
  <c r="Q17" i="11"/>
  <c r="P17" i="11"/>
  <c r="O17" i="11"/>
  <c r="N17" i="11"/>
  <c r="L17" i="11"/>
  <c r="K17" i="11"/>
  <c r="M17" i="11" s="1"/>
  <c r="J17" i="11"/>
  <c r="I17" i="11"/>
  <c r="H17" i="11"/>
  <c r="G17" i="11"/>
  <c r="F17" i="11"/>
  <c r="D17" i="11"/>
  <c r="C17" i="11"/>
  <c r="E17" i="11" s="1"/>
  <c r="R17" i="11" s="1"/>
  <c r="B17" i="11"/>
  <c r="Q16" i="11"/>
  <c r="P16" i="11"/>
  <c r="O16" i="11"/>
  <c r="N16" i="11"/>
  <c r="L16" i="11"/>
  <c r="K16" i="11"/>
  <c r="J16" i="11"/>
  <c r="M16" i="11" s="1"/>
  <c r="I16" i="11"/>
  <c r="H16" i="11"/>
  <c r="G16" i="11"/>
  <c r="F16" i="11"/>
  <c r="D16" i="11"/>
  <c r="C16" i="11"/>
  <c r="B16" i="11"/>
  <c r="E16" i="11" s="1"/>
  <c r="Q15" i="11"/>
  <c r="P15" i="11"/>
  <c r="O15" i="11"/>
  <c r="N15" i="11"/>
  <c r="L15" i="11"/>
  <c r="K15" i="11"/>
  <c r="J15" i="11"/>
  <c r="M15" i="11" s="1"/>
  <c r="I15" i="11"/>
  <c r="H15" i="11"/>
  <c r="G15" i="11"/>
  <c r="F15" i="11"/>
  <c r="D15" i="11"/>
  <c r="C15" i="11"/>
  <c r="B15" i="11"/>
  <c r="E15" i="11" s="1"/>
  <c r="P14" i="11"/>
  <c r="O14" i="11"/>
  <c r="N14" i="11"/>
  <c r="Q14" i="11" s="1"/>
  <c r="L14" i="11"/>
  <c r="K14" i="11"/>
  <c r="J14" i="11"/>
  <c r="M14" i="11" s="1"/>
  <c r="H14" i="11"/>
  <c r="G14" i="11"/>
  <c r="F14" i="11"/>
  <c r="I14" i="11" s="1"/>
  <c r="D14" i="11"/>
  <c r="C14" i="11"/>
  <c r="B14" i="11"/>
  <c r="E14" i="11" s="1"/>
  <c r="P317" i="11"/>
  <c r="L28" i="11"/>
  <c r="K762" i="11"/>
  <c r="H328" i="11"/>
  <c r="AP919" i="11" s="1"/>
  <c r="C328" i="11"/>
  <c r="AP915" i="11" s="1"/>
  <c r="B28" i="11"/>
  <c r="R1" i="11"/>
  <c r="O1138" i="10"/>
  <c r="K1138" i="10"/>
  <c r="Q1135" i="10"/>
  <c r="M1135" i="10"/>
  <c r="G1135" i="10"/>
  <c r="I1135" i="10" s="1"/>
  <c r="E1135" i="10"/>
  <c r="C1135" i="10"/>
  <c r="Q1134" i="10"/>
  <c r="M1134" i="10"/>
  <c r="I1134" i="10"/>
  <c r="G1134" i="10"/>
  <c r="E1134" i="10"/>
  <c r="C1134" i="10"/>
  <c r="Q1133" i="10"/>
  <c r="R1135" i="10" s="1"/>
  <c r="M1133" i="10"/>
  <c r="N1135" i="10" s="1"/>
  <c r="G1133" i="10"/>
  <c r="I1133" i="10" s="1"/>
  <c r="J1135" i="10" s="1"/>
  <c r="E1133" i="10"/>
  <c r="F1135" i="10" s="1"/>
  <c r="C1133" i="10"/>
  <c r="Q1132" i="10"/>
  <c r="N1132" i="10"/>
  <c r="M1132" i="10"/>
  <c r="G1132" i="10"/>
  <c r="I1132" i="10" s="1"/>
  <c r="E1132" i="10"/>
  <c r="E1138" i="10" s="1"/>
  <c r="C1132" i="10"/>
  <c r="Q1131" i="10"/>
  <c r="M1131" i="10"/>
  <c r="G1131" i="10"/>
  <c r="I1131" i="10" s="1"/>
  <c r="E1131" i="10"/>
  <c r="C1131" i="10"/>
  <c r="Q1130" i="10"/>
  <c r="R1132" i="10" s="1"/>
  <c r="M1130" i="10"/>
  <c r="I1130" i="10"/>
  <c r="J1132" i="10" s="1"/>
  <c r="G1130" i="10"/>
  <c r="E1130" i="10"/>
  <c r="C1130" i="10"/>
  <c r="Q1129" i="10"/>
  <c r="N1129" i="10"/>
  <c r="M1129" i="10"/>
  <c r="G1129" i="10"/>
  <c r="I1129" i="10" s="1"/>
  <c r="E1129" i="10"/>
  <c r="C1129" i="10"/>
  <c r="Q1128" i="10"/>
  <c r="M1128" i="10"/>
  <c r="I1128" i="10"/>
  <c r="G1128" i="10"/>
  <c r="E1128" i="10"/>
  <c r="C1128" i="10"/>
  <c r="Q1127" i="10"/>
  <c r="R1129" i="10" s="1"/>
  <c r="M1127" i="10"/>
  <c r="I1127" i="10"/>
  <c r="J1129" i="10" s="1"/>
  <c r="G1127" i="10"/>
  <c r="E1127" i="10"/>
  <c r="F1129" i="10" s="1"/>
  <c r="C1127" i="10"/>
  <c r="Q1126" i="10"/>
  <c r="N1126" i="10"/>
  <c r="M1126" i="10"/>
  <c r="G1126" i="10"/>
  <c r="I1126" i="10" s="1"/>
  <c r="E1126" i="10"/>
  <c r="C1126" i="10"/>
  <c r="Q1125" i="10"/>
  <c r="M1125" i="10"/>
  <c r="I1125" i="10"/>
  <c r="J1126" i="10" s="1"/>
  <c r="G1125" i="10"/>
  <c r="G1138" i="10" s="1"/>
  <c r="E1125" i="10"/>
  <c r="C1125" i="10"/>
  <c r="Q1124" i="10"/>
  <c r="R1126" i="10" s="1"/>
  <c r="M1124" i="10"/>
  <c r="M1138" i="10" s="1"/>
  <c r="I1124" i="10"/>
  <c r="E1124" i="10"/>
  <c r="F1126" i="10" s="1"/>
  <c r="C1124" i="10"/>
  <c r="C1138" i="10" s="1"/>
  <c r="G1118" i="10"/>
  <c r="O1117" i="10"/>
  <c r="K1117" i="10"/>
  <c r="C1117" i="10"/>
  <c r="I1114" i="10"/>
  <c r="J1111" i="10"/>
  <c r="Q1110" i="10"/>
  <c r="P1086" i="10"/>
  <c r="O1086" i="10"/>
  <c r="J1086" i="10"/>
  <c r="G1086" i="10" s="1"/>
  <c r="I1086" i="10"/>
  <c r="L1086" i="10" s="1"/>
  <c r="F1086" i="10"/>
  <c r="B1059" i="10" s="1"/>
  <c r="P1085" i="10"/>
  <c r="O1085" i="10" s="1"/>
  <c r="J1085" i="10"/>
  <c r="L1085" i="10" s="1"/>
  <c r="I1085" i="10"/>
  <c r="F1085" i="10" s="1"/>
  <c r="G1085" i="10"/>
  <c r="N1084" i="10"/>
  <c r="P1084" i="10" s="1"/>
  <c r="O1084" i="10" s="1"/>
  <c r="J1084" i="10"/>
  <c r="I1084" i="10"/>
  <c r="F1084" i="10" s="1"/>
  <c r="N1083" i="10"/>
  <c r="P1083" i="10" s="1"/>
  <c r="O1083" i="10" s="1"/>
  <c r="J1083" i="10"/>
  <c r="I1083" i="10"/>
  <c r="F1083" i="10" s="1"/>
  <c r="N1082" i="10"/>
  <c r="P1082" i="10" s="1"/>
  <c r="O1082" i="10" s="1"/>
  <c r="J1082" i="10"/>
  <c r="I1082" i="10"/>
  <c r="F1082" i="10" s="1"/>
  <c r="O1081" i="10"/>
  <c r="N1081" i="10"/>
  <c r="P1081" i="10" s="1"/>
  <c r="J1081" i="10"/>
  <c r="L1081" i="10" s="1"/>
  <c r="I1081" i="10"/>
  <c r="F1081" i="10" s="1"/>
  <c r="G1081" i="10"/>
  <c r="O1080" i="10"/>
  <c r="N1080" i="10"/>
  <c r="P1080" i="10" s="1"/>
  <c r="J1080" i="10"/>
  <c r="L1080" i="10" s="1"/>
  <c r="I1080" i="10"/>
  <c r="F1080" i="10" s="1"/>
  <c r="G1080" i="10"/>
  <c r="N1079" i="10"/>
  <c r="P1079" i="10" s="1"/>
  <c r="O1079" i="10" s="1"/>
  <c r="J1079" i="10"/>
  <c r="L1079" i="10" s="1"/>
  <c r="I1079" i="10"/>
  <c r="F1079" i="10" s="1"/>
  <c r="G1079" i="10"/>
  <c r="P1078" i="10"/>
  <c r="O1078" i="10"/>
  <c r="J1078" i="10"/>
  <c r="I1078" i="10"/>
  <c r="G1078" i="10"/>
  <c r="P1077" i="10"/>
  <c r="O1077" i="10" s="1"/>
  <c r="J1077" i="10"/>
  <c r="L1077" i="10" s="1"/>
  <c r="I1077" i="10"/>
  <c r="G1077" i="10"/>
  <c r="F1077" i="10"/>
  <c r="P1076" i="10"/>
  <c r="O1076" i="10"/>
  <c r="N1076" i="10"/>
  <c r="J1076" i="10"/>
  <c r="L1076" i="10" s="1"/>
  <c r="I1076" i="10"/>
  <c r="G1076" i="10"/>
  <c r="F1076" i="10"/>
  <c r="P1075" i="10"/>
  <c r="O1075" i="10"/>
  <c r="L1075" i="10"/>
  <c r="J1075" i="10"/>
  <c r="G1075" i="10" s="1"/>
  <c r="I1075" i="10"/>
  <c r="F1075" i="10" s="1"/>
  <c r="B1069" i="10"/>
  <c r="B1066" i="10"/>
  <c r="Q1065" i="10"/>
  <c r="C1059" i="10"/>
  <c r="C1058" i="10"/>
  <c r="B1058" i="10"/>
  <c r="B1057" i="10"/>
  <c r="B1056" i="10"/>
  <c r="D1055" i="10"/>
  <c r="B1055" i="10"/>
  <c r="AD1054" i="10"/>
  <c r="D1054" i="10"/>
  <c r="C1054" i="10"/>
  <c r="B1054" i="10"/>
  <c r="AD1053" i="10"/>
  <c r="D1053" i="10"/>
  <c r="C1053" i="10"/>
  <c r="B1053" i="10"/>
  <c r="C1052" i="10"/>
  <c r="B1052" i="10"/>
  <c r="C1051" i="10"/>
  <c r="C1050" i="10"/>
  <c r="B1050" i="10"/>
  <c r="C1049" i="10"/>
  <c r="B1049" i="10"/>
  <c r="AD1071" i="10" s="1"/>
  <c r="AD1048" i="10"/>
  <c r="C1048" i="10"/>
  <c r="B1048" i="10"/>
  <c r="AE1045" i="10"/>
  <c r="B1044" i="10"/>
  <c r="B1041" i="10"/>
  <c r="Q1040" i="10"/>
  <c r="P1034" i="10"/>
  <c r="P1033" i="10"/>
  <c r="P1032" i="10"/>
  <c r="P1031" i="10"/>
  <c r="P1030" i="10"/>
  <c r="P1029" i="10"/>
  <c r="P1028" i="10"/>
  <c r="P1027" i="10"/>
  <c r="P1026" i="10"/>
  <c r="P1025" i="10"/>
  <c r="P1024" i="10"/>
  <c r="P1023" i="10"/>
  <c r="M1018" i="10"/>
  <c r="AH1013" i="10"/>
  <c r="AH1009" i="10"/>
  <c r="N1009" i="10"/>
  <c r="L1009" i="10"/>
  <c r="K1009" i="10"/>
  <c r="I1009" i="10"/>
  <c r="H1009" i="10"/>
  <c r="J1009" i="10" s="1"/>
  <c r="J1007" i="10"/>
  <c r="J1006" i="10"/>
  <c r="J1005" i="10"/>
  <c r="J1004" i="10"/>
  <c r="J1003" i="10"/>
  <c r="J1002" i="10"/>
  <c r="AR1001" i="10"/>
  <c r="AQ1001" i="10"/>
  <c r="AP1001" i="10"/>
  <c r="AO1001" i="10"/>
  <c r="AN1001" i="10"/>
  <c r="AM1001" i="10"/>
  <c r="AL1001" i="10"/>
  <c r="AK1001" i="10"/>
  <c r="AJ1001" i="10"/>
  <c r="AI1001" i="10"/>
  <c r="AH1001" i="10"/>
  <c r="AG1001" i="10"/>
  <c r="AF1001" i="10"/>
  <c r="AE1001" i="10"/>
  <c r="AD1001" i="10"/>
  <c r="J1001" i="10"/>
  <c r="J1000" i="10"/>
  <c r="J999" i="10"/>
  <c r="J998" i="10"/>
  <c r="J997" i="10"/>
  <c r="G997" i="10"/>
  <c r="J996" i="10"/>
  <c r="AD991" i="10"/>
  <c r="AD988" i="10"/>
  <c r="B988" i="10"/>
  <c r="AR987" i="10"/>
  <c r="B987" i="10"/>
  <c r="Q986" i="10"/>
  <c r="F978" i="10"/>
  <c r="G974" i="10"/>
  <c r="F974" i="10"/>
  <c r="G969" i="10"/>
  <c r="AR966" i="10"/>
  <c r="AQ966" i="10"/>
  <c r="AP966" i="10"/>
  <c r="AO966" i="10"/>
  <c r="AN966" i="10"/>
  <c r="AM966" i="10"/>
  <c r="AL966" i="10"/>
  <c r="AK966" i="10"/>
  <c r="AJ966" i="10"/>
  <c r="AI966" i="10"/>
  <c r="AH966" i="10"/>
  <c r="AG966" i="10"/>
  <c r="AF966" i="10"/>
  <c r="AE966" i="10"/>
  <c r="AD966" i="10"/>
  <c r="B961" i="10"/>
  <c r="B958" i="10"/>
  <c r="Q957" i="10"/>
  <c r="AD956" i="10"/>
  <c r="AD953" i="10"/>
  <c r="AR952" i="10"/>
  <c r="AE948" i="10"/>
  <c r="AS947" i="10"/>
  <c r="AH947" i="10"/>
  <c r="AE947" i="10"/>
  <c r="AD947" i="10"/>
  <c r="AE946" i="10"/>
  <c r="AD946" i="10"/>
  <c r="AS945" i="10"/>
  <c r="AG945" i="10"/>
  <c r="AS943" i="10"/>
  <c r="AH943" i="10"/>
  <c r="AG943" i="10"/>
  <c r="AH942" i="10"/>
  <c r="AE942" i="10"/>
  <c r="AD942" i="10"/>
  <c r="AS939" i="10"/>
  <c r="AD939" i="10"/>
  <c r="AR935" i="10"/>
  <c r="AQ935" i="10"/>
  <c r="AP935" i="10"/>
  <c r="AO935" i="10"/>
  <c r="AG935" i="10"/>
  <c r="AG939" i="10" s="1"/>
  <c r="AF935" i="10"/>
  <c r="AF947" i="10" s="1"/>
  <c r="AE935" i="10"/>
  <c r="AD935" i="10"/>
  <c r="B935" i="10"/>
  <c r="B932" i="10"/>
  <c r="Q931" i="10"/>
  <c r="AR930" i="10"/>
  <c r="AG930" i="10"/>
  <c r="AS927" i="10"/>
  <c r="AH927" i="10"/>
  <c r="AS925" i="10"/>
  <c r="T922" i="10"/>
  <c r="G922" i="10"/>
  <c r="G979" i="10" s="1"/>
  <c r="F922" i="10"/>
  <c r="T921" i="10"/>
  <c r="G921" i="10"/>
  <c r="G978" i="10" s="1"/>
  <c r="F921" i="10"/>
  <c r="T920" i="10"/>
  <c r="G920" i="10"/>
  <c r="G977" i="10" s="1"/>
  <c r="F920" i="10"/>
  <c r="T919" i="10"/>
  <c r="G919" i="10"/>
  <c r="F919" i="10"/>
  <c r="AE945" i="10" s="1"/>
  <c r="T918" i="10"/>
  <c r="AE909" i="10" s="1"/>
  <c r="G918" i="10"/>
  <c r="F918" i="10"/>
  <c r="T917" i="10"/>
  <c r="G917" i="10"/>
  <c r="F917" i="10"/>
  <c r="AE943" i="10" s="1"/>
  <c r="T916" i="10"/>
  <c r="G916" i="10"/>
  <c r="G973" i="10" s="1"/>
  <c r="G1001" i="10" s="1"/>
  <c r="F916" i="10"/>
  <c r="T915" i="10"/>
  <c r="G972" i="10" s="1"/>
  <c r="G915" i="10"/>
  <c r="F915" i="10"/>
  <c r="AH941" i="10" s="1"/>
  <c r="T914" i="10"/>
  <c r="AE905" i="10" s="1"/>
  <c r="G914" i="10"/>
  <c r="F914" i="10"/>
  <c r="AE940" i="10" s="1"/>
  <c r="AE913" i="10"/>
  <c r="T913" i="10"/>
  <c r="G913" i="10"/>
  <c r="F913" i="10"/>
  <c r="F970" i="10" s="1"/>
  <c r="AO912" i="10"/>
  <c r="AE912" i="10"/>
  <c r="AF912" i="10" s="1"/>
  <c r="AD912" i="10"/>
  <c r="T912" i="10"/>
  <c r="AE903" i="10" s="1"/>
  <c r="G912" i="10"/>
  <c r="F912" i="10"/>
  <c r="AD938" i="10" s="1"/>
  <c r="AE911" i="10"/>
  <c r="T911" i="10"/>
  <c r="G968" i="10" s="1"/>
  <c r="G911" i="10"/>
  <c r="F911" i="10"/>
  <c r="AE910" i="10"/>
  <c r="AO908" i="10"/>
  <c r="AF908" i="10"/>
  <c r="AE908" i="10"/>
  <c r="AD908" i="10"/>
  <c r="AK907" i="10"/>
  <c r="AE907" i="10"/>
  <c r="AE906" i="10"/>
  <c r="B906" i="10"/>
  <c r="AO904" i="10"/>
  <c r="AE904" i="10"/>
  <c r="AD904" i="10"/>
  <c r="AF904" i="10" s="1"/>
  <c r="AK903" i="10"/>
  <c r="B903" i="10"/>
  <c r="AE902" i="10"/>
  <c r="Q902" i="10"/>
  <c r="AF894" i="10"/>
  <c r="AS893" i="10"/>
  <c r="AN893" i="10"/>
  <c r="A884" i="10"/>
  <c r="A882" i="10"/>
  <c r="Q878" i="10"/>
  <c r="J873" i="10"/>
  <c r="H873" i="10"/>
  <c r="P872" i="10"/>
  <c r="O872" i="10"/>
  <c r="Q872" i="10" s="1"/>
  <c r="N872" i="10"/>
  <c r="L872" i="10"/>
  <c r="K872" i="10"/>
  <c r="M872" i="10" s="1"/>
  <c r="J872" i="10"/>
  <c r="H872" i="10"/>
  <c r="G872" i="10"/>
  <c r="I872" i="10" s="1"/>
  <c r="F872" i="10"/>
  <c r="D872" i="10"/>
  <c r="C872" i="10"/>
  <c r="B872" i="10"/>
  <c r="P871" i="10"/>
  <c r="P873" i="10" s="1"/>
  <c r="O871" i="10"/>
  <c r="N871" i="10"/>
  <c r="M871" i="10"/>
  <c r="L871" i="10"/>
  <c r="L873" i="10" s="1"/>
  <c r="K871" i="10"/>
  <c r="J871" i="10"/>
  <c r="H871" i="10"/>
  <c r="I871" i="10" s="1"/>
  <c r="G871" i="10"/>
  <c r="F871" i="10"/>
  <c r="E871" i="10"/>
  <c r="D871" i="10"/>
  <c r="C871" i="10"/>
  <c r="B871" i="10"/>
  <c r="P870" i="10"/>
  <c r="O870" i="10"/>
  <c r="O873" i="10" s="1"/>
  <c r="N870" i="10"/>
  <c r="M870" i="10"/>
  <c r="L870" i="10"/>
  <c r="K870" i="10"/>
  <c r="J870" i="10"/>
  <c r="H870" i="10"/>
  <c r="G870" i="10"/>
  <c r="G873" i="10" s="1"/>
  <c r="F870" i="10"/>
  <c r="E870" i="10"/>
  <c r="D870" i="10"/>
  <c r="C870" i="10"/>
  <c r="C873" i="10" s="1"/>
  <c r="B870" i="10"/>
  <c r="B873" i="10" s="1"/>
  <c r="P869" i="10"/>
  <c r="O869" i="10"/>
  <c r="N869" i="10"/>
  <c r="L869" i="10"/>
  <c r="K869" i="10"/>
  <c r="J869" i="10"/>
  <c r="H869" i="10"/>
  <c r="G869" i="10"/>
  <c r="F869" i="10"/>
  <c r="D869" i="10"/>
  <c r="C869" i="10"/>
  <c r="B869" i="10"/>
  <c r="O868" i="10"/>
  <c r="N868" i="10"/>
  <c r="L868" i="10"/>
  <c r="K868" i="10"/>
  <c r="J868" i="10"/>
  <c r="I868" i="10"/>
  <c r="H868" i="10"/>
  <c r="G868" i="10"/>
  <c r="F868" i="10"/>
  <c r="D868" i="10"/>
  <c r="C868" i="10"/>
  <c r="E868" i="10" s="1"/>
  <c r="B868" i="10"/>
  <c r="P867" i="10"/>
  <c r="O867" i="10"/>
  <c r="N867" i="10"/>
  <c r="Q867" i="10" s="1"/>
  <c r="L867" i="10"/>
  <c r="K867" i="10"/>
  <c r="J867" i="10"/>
  <c r="J874" i="10" s="1"/>
  <c r="H867" i="10"/>
  <c r="G867" i="10"/>
  <c r="F867" i="10"/>
  <c r="I867" i="10" s="1"/>
  <c r="D867" i="10"/>
  <c r="C867" i="10"/>
  <c r="B867" i="10"/>
  <c r="B874" i="10" s="1"/>
  <c r="B896" i="10" s="1"/>
  <c r="P863" i="10"/>
  <c r="O863" i="10"/>
  <c r="N863" i="10"/>
  <c r="Q863" i="10" s="1"/>
  <c r="L863" i="10"/>
  <c r="K863" i="10"/>
  <c r="J863" i="10"/>
  <c r="M863" i="10" s="1"/>
  <c r="B863" i="10"/>
  <c r="O861" i="10"/>
  <c r="O892" i="10" s="1"/>
  <c r="J861" i="10"/>
  <c r="G861" i="10"/>
  <c r="G892" i="10" s="1"/>
  <c r="P860" i="10"/>
  <c r="Q860" i="10" s="1"/>
  <c r="O860" i="10"/>
  <c r="N860" i="10"/>
  <c r="L860" i="10"/>
  <c r="K860" i="10"/>
  <c r="J860" i="10"/>
  <c r="M860" i="10" s="1"/>
  <c r="H860" i="10"/>
  <c r="I860" i="10" s="1"/>
  <c r="G860" i="10"/>
  <c r="F860" i="10"/>
  <c r="D860" i="10"/>
  <c r="C860" i="10"/>
  <c r="B860" i="10"/>
  <c r="E860" i="10" s="1"/>
  <c r="R860" i="10" s="1"/>
  <c r="Q859" i="10"/>
  <c r="P859" i="10"/>
  <c r="O859" i="10"/>
  <c r="N859" i="10"/>
  <c r="J859" i="10"/>
  <c r="I859" i="10"/>
  <c r="H859" i="10"/>
  <c r="G859" i="10"/>
  <c r="F859" i="10"/>
  <c r="D859" i="10"/>
  <c r="C859" i="10"/>
  <c r="B859" i="10"/>
  <c r="P858" i="10"/>
  <c r="P861" i="10" s="1"/>
  <c r="P892" i="10" s="1"/>
  <c r="O858" i="10"/>
  <c r="N858" i="10"/>
  <c r="N861" i="10" s="1"/>
  <c r="N892" i="10" s="1"/>
  <c r="L858" i="10"/>
  <c r="K858" i="10"/>
  <c r="J858" i="10"/>
  <c r="M858" i="10" s="1"/>
  <c r="H858" i="10"/>
  <c r="H861" i="10" s="1"/>
  <c r="H892" i="10" s="1"/>
  <c r="G858" i="10"/>
  <c r="F858" i="10"/>
  <c r="F861" i="10" s="1"/>
  <c r="F892" i="10" s="1"/>
  <c r="I892" i="10" s="1"/>
  <c r="D858" i="10"/>
  <c r="C858" i="10"/>
  <c r="B858" i="10"/>
  <c r="E858" i="10" s="1"/>
  <c r="P855" i="10"/>
  <c r="O855" i="10"/>
  <c r="N855" i="10"/>
  <c r="M855" i="10"/>
  <c r="L855" i="10"/>
  <c r="K855" i="10"/>
  <c r="J855" i="10"/>
  <c r="H855" i="10"/>
  <c r="G855" i="10"/>
  <c r="F855" i="10"/>
  <c r="I855" i="10" s="1"/>
  <c r="E855" i="10"/>
  <c r="D855" i="10"/>
  <c r="C855" i="10"/>
  <c r="B855" i="10"/>
  <c r="P854" i="10"/>
  <c r="O854" i="10"/>
  <c r="N854" i="10"/>
  <c r="Q854" i="10" s="1"/>
  <c r="L854" i="10"/>
  <c r="K854" i="10"/>
  <c r="J854" i="10"/>
  <c r="M854" i="10" s="1"/>
  <c r="H854" i="10"/>
  <c r="I854" i="10" s="1"/>
  <c r="G854" i="10"/>
  <c r="F854" i="10"/>
  <c r="D854" i="10"/>
  <c r="C854" i="10"/>
  <c r="B854" i="10"/>
  <c r="E854" i="10" s="1"/>
  <c r="Q853" i="10"/>
  <c r="P853" i="10"/>
  <c r="O853" i="10"/>
  <c r="N853" i="10"/>
  <c r="L853" i="10"/>
  <c r="K853" i="10"/>
  <c r="J853" i="10"/>
  <c r="M853" i="10" s="1"/>
  <c r="I853" i="10"/>
  <c r="R853" i="10" s="1"/>
  <c r="H853" i="10"/>
  <c r="G853" i="10"/>
  <c r="F853" i="10"/>
  <c r="D853" i="10"/>
  <c r="C853" i="10"/>
  <c r="B853" i="10"/>
  <c r="E853" i="10" s="1"/>
  <c r="P852" i="10"/>
  <c r="Q852" i="10" s="1"/>
  <c r="O852" i="10"/>
  <c r="N852" i="10"/>
  <c r="H852" i="10"/>
  <c r="G852" i="10"/>
  <c r="F852" i="10"/>
  <c r="D852" i="10"/>
  <c r="C852" i="10"/>
  <c r="B852" i="10"/>
  <c r="E852" i="10" s="1"/>
  <c r="Q851" i="10"/>
  <c r="P851" i="10"/>
  <c r="O851" i="10"/>
  <c r="N851" i="10"/>
  <c r="L851" i="10"/>
  <c r="K851" i="10"/>
  <c r="J851" i="10"/>
  <c r="I851" i="10"/>
  <c r="H851" i="10"/>
  <c r="G851" i="10"/>
  <c r="F851" i="10"/>
  <c r="D851" i="10"/>
  <c r="C851" i="10"/>
  <c r="B851" i="10"/>
  <c r="E851" i="10" s="1"/>
  <c r="A843" i="10"/>
  <c r="A841" i="10"/>
  <c r="Q837" i="10"/>
  <c r="C832" i="10"/>
  <c r="Q830" i="10"/>
  <c r="M830" i="10"/>
  <c r="I830" i="10"/>
  <c r="E830" i="10"/>
  <c r="R830" i="10" s="1"/>
  <c r="Q828" i="10"/>
  <c r="P828" i="10"/>
  <c r="O828" i="10"/>
  <c r="N828" i="10"/>
  <c r="L828" i="10"/>
  <c r="K828" i="10"/>
  <c r="J828" i="10"/>
  <c r="M828" i="10" s="1"/>
  <c r="H828" i="10"/>
  <c r="G828" i="10"/>
  <c r="I828" i="10" s="1"/>
  <c r="F828" i="10"/>
  <c r="D828" i="10"/>
  <c r="C828" i="10"/>
  <c r="B828" i="10"/>
  <c r="E828" i="10" s="1"/>
  <c r="R828" i="10" s="1"/>
  <c r="P827" i="10"/>
  <c r="O827" i="10"/>
  <c r="N827" i="10"/>
  <c r="Q827" i="10" s="1"/>
  <c r="L827" i="10"/>
  <c r="K827" i="10"/>
  <c r="J827" i="10"/>
  <c r="H827" i="10"/>
  <c r="G827" i="10"/>
  <c r="F827" i="10"/>
  <c r="D827" i="10"/>
  <c r="C827" i="10"/>
  <c r="B827" i="10"/>
  <c r="Q824" i="10"/>
  <c r="M824" i="10"/>
  <c r="I824" i="10"/>
  <c r="E824" i="10"/>
  <c r="Q823" i="10"/>
  <c r="M823" i="10"/>
  <c r="I823" i="10"/>
  <c r="E823" i="10"/>
  <c r="Q821" i="10"/>
  <c r="M821" i="10"/>
  <c r="I821" i="10"/>
  <c r="E821" i="10"/>
  <c r="R821" i="10" s="1"/>
  <c r="Q820" i="10"/>
  <c r="M820" i="10"/>
  <c r="R820" i="10" s="1"/>
  <c r="I820" i="10"/>
  <c r="E820" i="10"/>
  <c r="O817" i="10"/>
  <c r="H817" i="10"/>
  <c r="G817" i="10"/>
  <c r="F817" i="10"/>
  <c r="E817" i="10"/>
  <c r="D817" i="10"/>
  <c r="C817" i="10"/>
  <c r="B817" i="10"/>
  <c r="P816" i="10"/>
  <c r="P817" i="10" s="1"/>
  <c r="O816" i="10"/>
  <c r="N816" i="10"/>
  <c r="L816" i="10"/>
  <c r="L817" i="10" s="1"/>
  <c r="K816" i="10"/>
  <c r="K817" i="10" s="1"/>
  <c r="J816" i="10"/>
  <c r="J817" i="10" s="1"/>
  <c r="M817" i="10" s="1"/>
  <c r="I816" i="10"/>
  <c r="E816" i="10"/>
  <c r="Q815" i="10"/>
  <c r="M815" i="10"/>
  <c r="I815" i="10"/>
  <c r="R815" i="10" s="1"/>
  <c r="E815" i="10"/>
  <c r="Q814" i="10"/>
  <c r="M814" i="10"/>
  <c r="I814" i="10"/>
  <c r="E814" i="10"/>
  <c r="R814" i="10" s="1"/>
  <c r="Q813" i="10"/>
  <c r="M813" i="10"/>
  <c r="I813" i="10"/>
  <c r="E813" i="10"/>
  <c r="R813" i="10" s="1"/>
  <c r="Q811" i="10"/>
  <c r="M811" i="10"/>
  <c r="I811" i="10"/>
  <c r="E811" i="10"/>
  <c r="Q810" i="10"/>
  <c r="M810" i="10"/>
  <c r="I810" i="10"/>
  <c r="E810" i="10"/>
  <c r="R810" i="10" s="1"/>
  <c r="R807" i="10"/>
  <c r="P807" i="10"/>
  <c r="Q807" i="10" s="1"/>
  <c r="O807" i="10"/>
  <c r="N807" i="10"/>
  <c r="L807" i="10"/>
  <c r="K807" i="10"/>
  <c r="J807" i="10"/>
  <c r="M807" i="10" s="1"/>
  <c r="H807" i="10"/>
  <c r="I807" i="10" s="1"/>
  <c r="G807" i="10"/>
  <c r="F807" i="10"/>
  <c r="D807" i="10"/>
  <c r="C807" i="10"/>
  <c r="B807" i="10"/>
  <c r="E807" i="10" s="1"/>
  <c r="Q805" i="10"/>
  <c r="M805" i="10"/>
  <c r="I805" i="10"/>
  <c r="E805" i="10"/>
  <c r="R805" i="10" s="1"/>
  <c r="P802" i="10"/>
  <c r="P829" i="10" s="1"/>
  <c r="P832" i="10" s="1"/>
  <c r="O802" i="10"/>
  <c r="O829" i="10" s="1"/>
  <c r="O832" i="10" s="1"/>
  <c r="N802" i="10"/>
  <c r="L802" i="10"/>
  <c r="K802" i="10"/>
  <c r="K829" i="10" s="1"/>
  <c r="K832" i="10" s="1"/>
  <c r="K834" i="10" s="1"/>
  <c r="J802" i="10"/>
  <c r="H802" i="10"/>
  <c r="H829" i="10" s="1"/>
  <c r="H832" i="10" s="1"/>
  <c r="G802" i="10"/>
  <c r="G829" i="10" s="1"/>
  <c r="G832" i="10" s="1"/>
  <c r="F802" i="10"/>
  <c r="F829" i="10" s="1"/>
  <c r="D802" i="10"/>
  <c r="C802" i="10"/>
  <c r="C829" i="10" s="1"/>
  <c r="B802" i="10"/>
  <c r="Q800" i="10"/>
  <c r="M800" i="10"/>
  <c r="I800" i="10"/>
  <c r="E800" i="10"/>
  <c r="Q797" i="10"/>
  <c r="M797" i="10"/>
  <c r="I797" i="10"/>
  <c r="E797" i="10"/>
  <c r="R797" i="10" s="1"/>
  <c r="Q796" i="10"/>
  <c r="M796" i="10"/>
  <c r="I796" i="10"/>
  <c r="E796" i="10"/>
  <c r="R796" i="10" s="1"/>
  <c r="Q795" i="10"/>
  <c r="M795" i="10"/>
  <c r="I795" i="10"/>
  <c r="E795" i="10"/>
  <c r="Q794" i="10"/>
  <c r="M794" i="10"/>
  <c r="I794" i="10"/>
  <c r="E794" i="10"/>
  <c r="R794" i="10" s="1"/>
  <c r="R793" i="10"/>
  <c r="Q793" i="10"/>
  <c r="M793" i="10"/>
  <c r="I793" i="10"/>
  <c r="E793" i="10"/>
  <c r="K785" i="10"/>
  <c r="Q781" i="10"/>
  <c r="M781" i="10"/>
  <c r="I781" i="10"/>
  <c r="E781" i="10"/>
  <c r="Q780" i="10"/>
  <c r="M780" i="10"/>
  <c r="I780" i="10"/>
  <c r="E780" i="10"/>
  <c r="R780" i="10" s="1"/>
  <c r="K779" i="10"/>
  <c r="K783" i="10" s="1"/>
  <c r="C779" i="10"/>
  <c r="C783" i="10" s="1"/>
  <c r="C785" i="10" s="1"/>
  <c r="P778" i="10"/>
  <c r="O778" i="10"/>
  <c r="N778" i="10"/>
  <c r="Q778" i="10" s="1"/>
  <c r="L778" i="10"/>
  <c r="K778" i="10"/>
  <c r="J778" i="10"/>
  <c r="H778" i="10"/>
  <c r="G778" i="10"/>
  <c r="F778" i="10"/>
  <c r="I778" i="10" s="1"/>
  <c r="D778" i="10"/>
  <c r="C778" i="10"/>
  <c r="B778" i="10"/>
  <c r="P777" i="10"/>
  <c r="O777" i="10"/>
  <c r="Q777" i="10" s="1"/>
  <c r="N777" i="10"/>
  <c r="M777" i="10"/>
  <c r="L777" i="10"/>
  <c r="K777" i="10"/>
  <c r="J777" i="10"/>
  <c r="H777" i="10"/>
  <c r="G777" i="10"/>
  <c r="I777" i="10" s="1"/>
  <c r="F777" i="10"/>
  <c r="E777" i="10"/>
  <c r="D777" i="10"/>
  <c r="C777" i="10"/>
  <c r="B777" i="10"/>
  <c r="P771" i="10"/>
  <c r="O771" i="10"/>
  <c r="N771" i="10"/>
  <c r="L771" i="10"/>
  <c r="M771" i="10" s="1"/>
  <c r="K771" i="10"/>
  <c r="J771" i="10"/>
  <c r="H771" i="10"/>
  <c r="G771" i="10"/>
  <c r="F771" i="10"/>
  <c r="E771" i="10"/>
  <c r="D771" i="10"/>
  <c r="C771" i="10"/>
  <c r="B771" i="10"/>
  <c r="P767" i="10"/>
  <c r="O767" i="10"/>
  <c r="N767" i="10"/>
  <c r="Q767" i="10" s="1"/>
  <c r="L767" i="10"/>
  <c r="K767" i="10"/>
  <c r="J767" i="10"/>
  <c r="M767" i="10" s="1"/>
  <c r="H767" i="10"/>
  <c r="G767" i="10"/>
  <c r="F767" i="10"/>
  <c r="I767" i="10" s="1"/>
  <c r="D767" i="10"/>
  <c r="C767" i="10"/>
  <c r="B767" i="10"/>
  <c r="E767" i="10" s="1"/>
  <c r="P763" i="10"/>
  <c r="P779" i="10" s="1"/>
  <c r="P783" i="10" s="1"/>
  <c r="O763" i="10"/>
  <c r="N763" i="10"/>
  <c r="L763" i="10"/>
  <c r="K763" i="10"/>
  <c r="J763" i="10"/>
  <c r="J779" i="10" s="1"/>
  <c r="H763" i="10"/>
  <c r="H779" i="10" s="1"/>
  <c r="H783" i="10" s="1"/>
  <c r="G763" i="10"/>
  <c r="F763" i="10"/>
  <c r="D763" i="10"/>
  <c r="C763" i="10"/>
  <c r="B763" i="10"/>
  <c r="B779" i="10" s="1"/>
  <c r="Q759" i="10"/>
  <c r="M759" i="10"/>
  <c r="I759" i="10"/>
  <c r="E759" i="10"/>
  <c r="P749" i="10"/>
  <c r="O749" i="10"/>
  <c r="N749" i="10"/>
  <c r="L749" i="10"/>
  <c r="K749" i="10"/>
  <c r="J749" i="10"/>
  <c r="M749" i="10" s="1"/>
  <c r="H749" i="10"/>
  <c r="G749" i="10"/>
  <c r="F749" i="10"/>
  <c r="D749" i="10"/>
  <c r="C749" i="10"/>
  <c r="B749" i="10"/>
  <c r="E749" i="10" s="1"/>
  <c r="Q747" i="10"/>
  <c r="M747" i="10"/>
  <c r="I747" i="10"/>
  <c r="E747" i="10"/>
  <c r="R747" i="10" s="1"/>
  <c r="Q737" i="10"/>
  <c r="M737" i="10"/>
  <c r="I737" i="10"/>
  <c r="R737" i="10" s="1"/>
  <c r="E737" i="10"/>
  <c r="O736" i="10"/>
  <c r="O739" i="10" s="1"/>
  <c r="L736" i="10"/>
  <c r="L739" i="10" s="1"/>
  <c r="G736" i="10"/>
  <c r="G739" i="10" s="1"/>
  <c r="D736" i="10"/>
  <c r="D739" i="10" s="1"/>
  <c r="P735" i="10"/>
  <c r="O735" i="10"/>
  <c r="Q735" i="10" s="1"/>
  <c r="N735" i="10"/>
  <c r="M735" i="10"/>
  <c r="L735" i="10"/>
  <c r="K735" i="10"/>
  <c r="J735" i="10"/>
  <c r="H735" i="10"/>
  <c r="G735" i="10"/>
  <c r="I735" i="10" s="1"/>
  <c r="F735" i="10"/>
  <c r="E735" i="10"/>
  <c r="R735" i="10" s="1"/>
  <c r="D735" i="10"/>
  <c r="C735" i="10"/>
  <c r="B735" i="10"/>
  <c r="P734" i="10"/>
  <c r="O734" i="10"/>
  <c r="N734" i="10"/>
  <c r="Q734" i="10" s="1"/>
  <c r="M734" i="10"/>
  <c r="L734" i="10"/>
  <c r="K734" i="10"/>
  <c r="J734" i="10"/>
  <c r="H734" i="10"/>
  <c r="G734" i="10"/>
  <c r="F734" i="10"/>
  <c r="I734" i="10" s="1"/>
  <c r="E734" i="10"/>
  <c r="R734" i="10" s="1"/>
  <c r="D734" i="10"/>
  <c r="C734" i="10"/>
  <c r="B734" i="10"/>
  <c r="Q731" i="10"/>
  <c r="M731" i="10"/>
  <c r="I731" i="10"/>
  <c r="R731" i="10" s="1"/>
  <c r="E731" i="10"/>
  <c r="Q730" i="10"/>
  <c r="M730" i="10"/>
  <c r="I730" i="10"/>
  <c r="R730" i="10" s="1"/>
  <c r="E730" i="10"/>
  <c r="Q729" i="10"/>
  <c r="M729" i="10"/>
  <c r="I729" i="10"/>
  <c r="E729" i="10"/>
  <c r="Q728" i="10"/>
  <c r="M728" i="10"/>
  <c r="I728" i="10"/>
  <c r="E728" i="10"/>
  <c r="R728" i="10" s="1"/>
  <c r="P724" i="10"/>
  <c r="O724" i="10"/>
  <c r="N724" i="10"/>
  <c r="Q724" i="10" s="1"/>
  <c r="L724" i="10"/>
  <c r="K724" i="10"/>
  <c r="J724" i="10"/>
  <c r="H724" i="10"/>
  <c r="G724" i="10"/>
  <c r="F724" i="10"/>
  <c r="I724" i="10" s="1"/>
  <c r="D724" i="10"/>
  <c r="C724" i="10"/>
  <c r="B724" i="10"/>
  <c r="E724" i="10" s="1"/>
  <c r="Q723" i="10"/>
  <c r="M723" i="10"/>
  <c r="I723" i="10"/>
  <c r="R723" i="10" s="1"/>
  <c r="E723" i="10"/>
  <c r="Q722" i="10"/>
  <c r="M722" i="10"/>
  <c r="I722" i="10"/>
  <c r="E722" i="10"/>
  <c r="Q721" i="10"/>
  <c r="M721" i="10"/>
  <c r="I721" i="10"/>
  <c r="E721" i="10"/>
  <c r="R721" i="10" s="1"/>
  <c r="Q720" i="10"/>
  <c r="M720" i="10"/>
  <c r="I720" i="10"/>
  <c r="E720" i="10"/>
  <c r="R720" i="10" s="1"/>
  <c r="Q719" i="10"/>
  <c r="M719" i="10"/>
  <c r="I719" i="10"/>
  <c r="E719" i="10"/>
  <c r="R719" i="10" s="1"/>
  <c r="Q718" i="10"/>
  <c r="M718" i="10"/>
  <c r="I718" i="10"/>
  <c r="E718" i="10"/>
  <c r="R718" i="10" s="1"/>
  <c r="R717" i="10"/>
  <c r="Q717" i="10"/>
  <c r="M717" i="10"/>
  <c r="I717" i="10"/>
  <c r="E717" i="10"/>
  <c r="Q716" i="10"/>
  <c r="M716" i="10"/>
  <c r="I716" i="10"/>
  <c r="R716" i="10" s="1"/>
  <c r="E716" i="10"/>
  <c r="Q714" i="10"/>
  <c r="M714" i="10"/>
  <c r="I714" i="10"/>
  <c r="R714" i="10" s="1"/>
  <c r="E714" i="10"/>
  <c r="Q711" i="10"/>
  <c r="P711" i="10"/>
  <c r="O711" i="10"/>
  <c r="N711" i="10"/>
  <c r="L711" i="10"/>
  <c r="K711" i="10"/>
  <c r="K736" i="10" s="1"/>
  <c r="K739" i="10" s="1"/>
  <c r="J711" i="10"/>
  <c r="I711" i="10"/>
  <c r="H711" i="10"/>
  <c r="G711" i="10"/>
  <c r="F711" i="10"/>
  <c r="D711" i="10"/>
  <c r="C711" i="10"/>
  <c r="B711" i="10"/>
  <c r="Q707" i="10"/>
  <c r="P707" i="10"/>
  <c r="P736" i="10" s="1"/>
  <c r="P739" i="10" s="1"/>
  <c r="O707" i="10"/>
  <c r="N707" i="10"/>
  <c r="L707" i="10"/>
  <c r="K707" i="10"/>
  <c r="J707" i="10"/>
  <c r="I707" i="10"/>
  <c r="H707" i="10"/>
  <c r="H736" i="10" s="1"/>
  <c r="H739" i="10" s="1"/>
  <c r="G707" i="10"/>
  <c r="F707" i="10"/>
  <c r="D707" i="10"/>
  <c r="C707" i="10"/>
  <c r="B707" i="10"/>
  <c r="Q703" i="10"/>
  <c r="M703" i="10"/>
  <c r="I703" i="10"/>
  <c r="E703" i="10"/>
  <c r="R703" i="10" s="1"/>
  <c r="Q702" i="10"/>
  <c r="M702" i="10"/>
  <c r="I702" i="10"/>
  <c r="E702" i="10"/>
  <c r="Q701" i="10"/>
  <c r="M701" i="10"/>
  <c r="I701" i="10"/>
  <c r="E701" i="10"/>
  <c r="R701" i="10" s="1"/>
  <c r="R700" i="10"/>
  <c r="Q700" i="10"/>
  <c r="M700" i="10"/>
  <c r="I700" i="10"/>
  <c r="E700" i="10"/>
  <c r="Q699" i="10"/>
  <c r="M699" i="10"/>
  <c r="I699" i="10"/>
  <c r="R699" i="10" s="1"/>
  <c r="E699" i="10"/>
  <c r="P698" i="10"/>
  <c r="Q698" i="10" s="1"/>
  <c r="M698" i="10"/>
  <c r="R698" i="10" s="1"/>
  <c r="I698" i="10"/>
  <c r="E698" i="10"/>
  <c r="C688" i="10"/>
  <c r="Q686" i="10"/>
  <c r="M686" i="10"/>
  <c r="I686" i="10"/>
  <c r="R686" i="10" s="1"/>
  <c r="E686" i="10"/>
  <c r="Q684" i="10"/>
  <c r="P684" i="10"/>
  <c r="O684" i="10"/>
  <c r="N684" i="10"/>
  <c r="L684" i="10"/>
  <c r="K684" i="10"/>
  <c r="J684" i="10"/>
  <c r="M684" i="10" s="1"/>
  <c r="I684" i="10"/>
  <c r="H684" i="10"/>
  <c r="G684" i="10"/>
  <c r="F684" i="10"/>
  <c r="D684" i="10"/>
  <c r="C684" i="10"/>
  <c r="B684" i="10"/>
  <c r="E684" i="10" s="1"/>
  <c r="R684" i="10" s="1"/>
  <c r="P683" i="10"/>
  <c r="O683" i="10"/>
  <c r="N683" i="10"/>
  <c r="Q683" i="10" s="1"/>
  <c r="L683" i="10"/>
  <c r="K683" i="10"/>
  <c r="J683" i="10"/>
  <c r="H683" i="10"/>
  <c r="G683" i="10"/>
  <c r="F683" i="10"/>
  <c r="I683" i="10" s="1"/>
  <c r="D683" i="10"/>
  <c r="C683" i="10"/>
  <c r="B683" i="10"/>
  <c r="Q680" i="10"/>
  <c r="M680" i="10"/>
  <c r="I680" i="10"/>
  <c r="R680" i="10" s="1"/>
  <c r="E680" i="10"/>
  <c r="Q676" i="10"/>
  <c r="P676" i="10"/>
  <c r="O676" i="10"/>
  <c r="O685" i="10" s="1"/>
  <c r="O688" i="10" s="1"/>
  <c r="N676" i="10"/>
  <c r="L676" i="10"/>
  <c r="K676" i="10"/>
  <c r="M676" i="10" s="1"/>
  <c r="J676" i="10"/>
  <c r="I676" i="10"/>
  <c r="H676" i="10"/>
  <c r="G676" i="10"/>
  <c r="G685" i="10" s="1"/>
  <c r="G688" i="10" s="1"/>
  <c r="F676" i="10"/>
  <c r="D676" i="10"/>
  <c r="D685" i="10" s="1"/>
  <c r="D688" i="10" s="1"/>
  <c r="C676" i="10"/>
  <c r="E676" i="10" s="1"/>
  <c r="B676" i="10"/>
  <c r="Q672" i="10"/>
  <c r="P672" i="10"/>
  <c r="P685" i="10" s="1"/>
  <c r="P688" i="10" s="1"/>
  <c r="O672" i="10"/>
  <c r="N672" i="10"/>
  <c r="L672" i="10"/>
  <c r="K672" i="10"/>
  <c r="J672" i="10"/>
  <c r="M672" i="10" s="1"/>
  <c r="I672" i="10"/>
  <c r="H672" i="10"/>
  <c r="H685" i="10" s="1"/>
  <c r="H688" i="10" s="1"/>
  <c r="G672" i="10"/>
  <c r="F672" i="10"/>
  <c r="D672" i="10"/>
  <c r="C672" i="10"/>
  <c r="B672" i="10"/>
  <c r="E672" i="10" s="1"/>
  <c r="R672" i="10" s="1"/>
  <c r="P668" i="10"/>
  <c r="O668" i="10"/>
  <c r="N668" i="10"/>
  <c r="Q668" i="10" s="1"/>
  <c r="J668" i="10"/>
  <c r="H668" i="10"/>
  <c r="G668" i="10"/>
  <c r="F668" i="10"/>
  <c r="I668" i="10" s="1"/>
  <c r="D668" i="10"/>
  <c r="C668" i="10"/>
  <c r="C685" i="10" s="1"/>
  <c r="B668" i="10"/>
  <c r="E668" i="10" s="1"/>
  <c r="Q664" i="10"/>
  <c r="M664" i="10"/>
  <c r="I664" i="10"/>
  <c r="R664" i="10" s="1"/>
  <c r="E664" i="10"/>
  <c r="Q663" i="10"/>
  <c r="M663" i="10"/>
  <c r="I663" i="10"/>
  <c r="E663" i="10"/>
  <c r="Q662" i="10"/>
  <c r="L662" i="10"/>
  <c r="L668" i="10" s="1"/>
  <c r="L685" i="10" s="1"/>
  <c r="L688" i="10" s="1"/>
  <c r="K662" i="10"/>
  <c r="I662" i="10"/>
  <c r="E662" i="10"/>
  <c r="Q652" i="10"/>
  <c r="P652" i="10"/>
  <c r="O652" i="10"/>
  <c r="N652" i="10"/>
  <c r="M652" i="10"/>
  <c r="L652" i="10"/>
  <c r="K652" i="10"/>
  <c r="J652" i="10"/>
  <c r="I652" i="10"/>
  <c r="H652" i="10"/>
  <c r="G652" i="10"/>
  <c r="F652" i="10"/>
  <c r="E652" i="10"/>
  <c r="D652" i="10"/>
  <c r="C652" i="10"/>
  <c r="B652" i="10"/>
  <c r="R650" i="10"/>
  <c r="Q650" i="10"/>
  <c r="M650" i="10"/>
  <c r="I650" i="10"/>
  <c r="E650" i="10"/>
  <c r="Q640" i="10"/>
  <c r="M640" i="10"/>
  <c r="I640" i="10"/>
  <c r="E640" i="10"/>
  <c r="R640" i="10" s="1"/>
  <c r="K639" i="10"/>
  <c r="K642" i="10" s="1"/>
  <c r="C639" i="10"/>
  <c r="C642" i="10" s="1"/>
  <c r="P638" i="10"/>
  <c r="O638" i="10"/>
  <c r="N638" i="10"/>
  <c r="Q638" i="10" s="1"/>
  <c r="L638" i="10"/>
  <c r="K638" i="10"/>
  <c r="J638" i="10"/>
  <c r="M638" i="10" s="1"/>
  <c r="H638" i="10"/>
  <c r="G638" i="10"/>
  <c r="F638" i="10"/>
  <c r="D638" i="10"/>
  <c r="C638" i="10"/>
  <c r="B638" i="10"/>
  <c r="E638" i="10" s="1"/>
  <c r="P637" i="10"/>
  <c r="O637" i="10"/>
  <c r="Q637" i="10" s="1"/>
  <c r="N637" i="10"/>
  <c r="M637" i="10"/>
  <c r="L637" i="10"/>
  <c r="K637" i="10"/>
  <c r="J637" i="10"/>
  <c r="H637" i="10"/>
  <c r="G637" i="10"/>
  <c r="F637" i="10"/>
  <c r="E637" i="10"/>
  <c r="D637" i="10"/>
  <c r="C637" i="10"/>
  <c r="B637" i="10"/>
  <c r="Q636" i="10"/>
  <c r="M636" i="10"/>
  <c r="I636" i="10"/>
  <c r="E636" i="10"/>
  <c r="R636" i="10" s="1"/>
  <c r="Q635" i="10"/>
  <c r="M635" i="10"/>
  <c r="I635" i="10"/>
  <c r="E635" i="10"/>
  <c r="R635" i="10" s="1"/>
  <c r="Q634" i="10"/>
  <c r="M634" i="10"/>
  <c r="I634" i="10"/>
  <c r="E634" i="10"/>
  <c r="R634" i="10" s="1"/>
  <c r="Q632" i="10"/>
  <c r="M632" i="10"/>
  <c r="I632" i="10"/>
  <c r="E632" i="10"/>
  <c r="Q631" i="10"/>
  <c r="R631" i="10" s="1"/>
  <c r="M631" i="10"/>
  <c r="I631" i="10"/>
  <c r="E631" i="10"/>
  <c r="Q629" i="10"/>
  <c r="M629" i="10"/>
  <c r="I629" i="10"/>
  <c r="E629" i="10"/>
  <c r="R629" i="10" s="1"/>
  <c r="Q628" i="10"/>
  <c r="M628" i="10"/>
  <c r="I628" i="10"/>
  <c r="R628" i="10" s="1"/>
  <c r="E628" i="10"/>
  <c r="Q627" i="10"/>
  <c r="M627" i="10"/>
  <c r="I627" i="10"/>
  <c r="E627" i="10"/>
  <c r="R627" i="10" s="1"/>
  <c r="Q626" i="10"/>
  <c r="M626" i="10"/>
  <c r="I626" i="10"/>
  <c r="E626" i="10"/>
  <c r="R626" i="10" s="1"/>
  <c r="Q624" i="10"/>
  <c r="M624" i="10"/>
  <c r="I624" i="10"/>
  <c r="E624" i="10"/>
  <c r="R624" i="10" s="1"/>
  <c r="Q623" i="10"/>
  <c r="M623" i="10"/>
  <c r="I623" i="10"/>
  <c r="E623" i="10"/>
  <c r="P620" i="10"/>
  <c r="O620" i="10"/>
  <c r="Q620" i="10" s="1"/>
  <c r="N620" i="10"/>
  <c r="L620" i="10"/>
  <c r="M620" i="10" s="1"/>
  <c r="K620" i="10"/>
  <c r="J620" i="10"/>
  <c r="H620" i="10"/>
  <c r="G620" i="10"/>
  <c r="I620" i="10" s="1"/>
  <c r="F620" i="10"/>
  <c r="E620" i="10"/>
  <c r="D620" i="10"/>
  <c r="C620" i="10"/>
  <c r="B620" i="10"/>
  <c r="Q619" i="10"/>
  <c r="M619" i="10"/>
  <c r="I619" i="10"/>
  <c r="E619" i="10"/>
  <c r="R618" i="10"/>
  <c r="Q618" i="10"/>
  <c r="M618" i="10"/>
  <c r="I618" i="10"/>
  <c r="E618" i="10"/>
  <c r="Q617" i="10"/>
  <c r="M617" i="10"/>
  <c r="I617" i="10"/>
  <c r="E617" i="10"/>
  <c r="R617" i="10" s="1"/>
  <c r="Q616" i="10"/>
  <c r="M616" i="10"/>
  <c r="I616" i="10"/>
  <c r="E616" i="10"/>
  <c r="Q615" i="10"/>
  <c r="R615" i="10" s="1"/>
  <c r="M615" i="10"/>
  <c r="I615" i="10"/>
  <c r="E615" i="10"/>
  <c r="P611" i="10"/>
  <c r="O611" i="10"/>
  <c r="N611" i="10"/>
  <c r="N639" i="10" s="1"/>
  <c r="M611" i="10"/>
  <c r="L611" i="10"/>
  <c r="K611" i="10"/>
  <c r="J611" i="10"/>
  <c r="I611" i="10"/>
  <c r="H611" i="10"/>
  <c r="G611" i="10"/>
  <c r="F611" i="10"/>
  <c r="F639" i="10" s="1"/>
  <c r="E611" i="10"/>
  <c r="D611" i="10"/>
  <c r="C611" i="10"/>
  <c r="B611" i="10"/>
  <c r="R609" i="10"/>
  <c r="Q609" i="10"/>
  <c r="M609" i="10"/>
  <c r="I609" i="10"/>
  <c r="E609" i="10"/>
  <c r="Q608" i="10"/>
  <c r="M608" i="10"/>
  <c r="I608" i="10"/>
  <c r="E608" i="10"/>
  <c r="R608" i="10" s="1"/>
  <c r="Q605" i="10"/>
  <c r="P605" i="10"/>
  <c r="O605" i="10"/>
  <c r="N605" i="10"/>
  <c r="M605" i="10"/>
  <c r="L605" i="10"/>
  <c r="K605" i="10"/>
  <c r="J605" i="10"/>
  <c r="J639" i="10" s="1"/>
  <c r="I605" i="10"/>
  <c r="H605" i="10"/>
  <c r="H639" i="10" s="1"/>
  <c r="H642" i="10" s="1"/>
  <c r="G605" i="10"/>
  <c r="F605" i="10"/>
  <c r="E605" i="10"/>
  <c r="R605" i="10" s="1"/>
  <c r="D605" i="10"/>
  <c r="D639" i="10" s="1"/>
  <c r="D642" i="10" s="1"/>
  <c r="C605" i="10"/>
  <c r="B605" i="10"/>
  <c r="B639" i="10" s="1"/>
  <c r="Q603" i="10"/>
  <c r="M603" i="10"/>
  <c r="I603" i="10"/>
  <c r="E603" i="10"/>
  <c r="R603" i="10" s="1"/>
  <c r="Q601" i="10"/>
  <c r="M601" i="10"/>
  <c r="I601" i="10"/>
  <c r="R601" i="10" s="1"/>
  <c r="E601" i="10"/>
  <c r="Q599" i="10"/>
  <c r="M599" i="10"/>
  <c r="I599" i="10"/>
  <c r="E599" i="10"/>
  <c r="R598" i="10"/>
  <c r="Q598" i="10"/>
  <c r="M598" i="10"/>
  <c r="I598" i="10"/>
  <c r="E598" i="10"/>
  <c r="Q597" i="10"/>
  <c r="M597" i="10"/>
  <c r="I597" i="10"/>
  <c r="R597" i="10" s="1"/>
  <c r="E597" i="10"/>
  <c r="Q596" i="10"/>
  <c r="M596" i="10"/>
  <c r="I596" i="10"/>
  <c r="E596" i="10"/>
  <c r="R596" i="10" s="1"/>
  <c r="Q595" i="10"/>
  <c r="M595" i="10"/>
  <c r="I595" i="10"/>
  <c r="E595" i="10"/>
  <c r="Q594" i="10"/>
  <c r="M594" i="10"/>
  <c r="I594" i="10"/>
  <c r="E594" i="10"/>
  <c r="R594" i="10" s="1"/>
  <c r="Q593" i="10"/>
  <c r="R593" i="10" s="1"/>
  <c r="M593" i="10"/>
  <c r="I593" i="10"/>
  <c r="E593" i="10"/>
  <c r="Q592" i="10"/>
  <c r="M592" i="10"/>
  <c r="I592" i="10"/>
  <c r="E592" i="10"/>
  <c r="R592" i="10" s="1"/>
  <c r="Q591" i="10"/>
  <c r="M591" i="10"/>
  <c r="I591" i="10"/>
  <c r="E591" i="10"/>
  <c r="Q590" i="10"/>
  <c r="R590" i="10" s="1"/>
  <c r="M590" i="10"/>
  <c r="I590" i="10"/>
  <c r="E590" i="10"/>
  <c r="Q589" i="10"/>
  <c r="M589" i="10"/>
  <c r="I589" i="10"/>
  <c r="E589" i="10"/>
  <c r="R589" i="10" s="1"/>
  <c r="Q588" i="10"/>
  <c r="M588" i="10"/>
  <c r="I588" i="10"/>
  <c r="R588" i="10" s="1"/>
  <c r="E588" i="10"/>
  <c r="R576" i="10"/>
  <c r="Q576" i="10"/>
  <c r="M576" i="10"/>
  <c r="I576" i="10"/>
  <c r="E576" i="10"/>
  <c r="N575" i="10"/>
  <c r="Q574" i="10"/>
  <c r="P574" i="10"/>
  <c r="O574" i="10"/>
  <c r="N574" i="10"/>
  <c r="L574" i="10"/>
  <c r="K574" i="10"/>
  <c r="M574" i="10" s="1"/>
  <c r="J574" i="10"/>
  <c r="H574" i="10"/>
  <c r="G574" i="10"/>
  <c r="F574" i="10"/>
  <c r="D574" i="10"/>
  <c r="C574" i="10"/>
  <c r="E574" i="10" s="1"/>
  <c r="B574" i="10"/>
  <c r="P573" i="10"/>
  <c r="Q573" i="10" s="1"/>
  <c r="O573" i="10"/>
  <c r="N573" i="10"/>
  <c r="L573" i="10"/>
  <c r="K573" i="10"/>
  <c r="J573" i="10"/>
  <c r="M573" i="10" s="1"/>
  <c r="H573" i="10"/>
  <c r="I573" i="10" s="1"/>
  <c r="G573" i="10"/>
  <c r="F573" i="10"/>
  <c r="D573" i="10"/>
  <c r="C573" i="10"/>
  <c r="B573" i="10"/>
  <c r="E573" i="10" s="1"/>
  <c r="Q572" i="10"/>
  <c r="R572" i="10" s="1"/>
  <c r="M572" i="10"/>
  <c r="I572" i="10"/>
  <c r="E572" i="10"/>
  <c r="Q571" i="10"/>
  <c r="M571" i="10"/>
  <c r="I571" i="10"/>
  <c r="E571" i="10"/>
  <c r="R571" i="10" s="1"/>
  <c r="Q570" i="10"/>
  <c r="M570" i="10"/>
  <c r="I570" i="10"/>
  <c r="E570" i="10"/>
  <c r="Q569" i="10"/>
  <c r="R569" i="10" s="1"/>
  <c r="M569" i="10"/>
  <c r="I569" i="10"/>
  <c r="E569" i="10"/>
  <c r="Q567" i="10"/>
  <c r="M567" i="10"/>
  <c r="I567" i="10"/>
  <c r="E567" i="10"/>
  <c r="R567" i="10" s="1"/>
  <c r="P562" i="10"/>
  <c r="O562" i="10"/>
  <c r="O575" i="10" s="1"/>
  <c r="O578" i="10" s="1"/>
  <c r="N562" i="10"/>
  <c r="Q562" i="10" s="1"/>
  <c r="L562" i="10"/>
  <c r="K562" i="10"/>
  <c r="K575" i="10" s="1"/>
  <c r="K578" i="10" s="1"/>
  <c r="J562" i="10"/>
  <c r="M562" i="10" s="1"/>
  <c r="H562" i="10"/>
  <c r="G562" i="10"/>
  <c r="G575" i="10" s="1"/>
  <c r="G578" i="10" s="1"/>
  <c r="F562" i="10"/>
  <c r="I562" i="10" s="1"/>
  <c r="D562" i="10"/>
  <c r="C562" i="10"/>
  <c r="C575" i="10" s="1"/>
  <c r="C578" i="10" s="1"/>
  <c r="B562" i="10"/>
  <c r="Q561" i="10"/>
  <c r="M561" i="10"/>
  <c r="I561" i="10"/>
  <c r="E561" i="10"/>
  <c r="P557" i="10"/>
  <c r="P575" i="10" s="1"/>
  <c r="P578" i="10" s="1"/>
  <c r="O557" i="10"/>
  <c r="N557" i="10"/>
  <c r="L557" i="10"/>
  <c r="K557" i="10"/>
  <c r="J557" i="10"/>
  <c r="H557" i="10"/>
  <c r="I557" i="10" s="1"/>
  <c r="G557" i="10"/>
  <c r="F557" i="10"/>
  <c r="D557" i="10"/>
  <c r="C557" i="10"/>
  <c r="B557" i="10"/>
  <c r="Q555" i="10"/>
  <c r="M555" i="10"/>
  <c r="I555" i="10"/>
  <c r="E555" i="10"/>
  <c r="R555" i="10" s="1"/>
  <c r="Q554" i="10"/>
  <c r="M554" i="10"/>
  <c r="I554" i="10"/>
  <c r="E554" i="10"/>
  <c r="P551" i="10"/>
  <c r="O551" i="10"/>
  <c r="N551" i="10"/>
  <c r="Q551" i="10" s="1"/>
  <c r="L551" i="10"/>
  <c r="K551" i="10"/>
  <c r="J551" i="10"/>
  <c r="H551" i="10"/>
  <c r="G551" i="10"/>
  <c r="F551" i="10"/>
  <c r="I551" i="10" s="1"/>
  <c r="D551" i="10"/>
  <c r="C551" i="10"/>
  <c r="B551" i="10"/>
  <c r="Q547" i="10"/>
  <c r="M547" i="10"/>
  <c r="I547" i="10"/>
  <c r="E547" i="10"/>
  <c r="R547" i="10" s="1"/>
  <c r="R546" i="10"/>
  <c r="Q546" i="10"/>
  <c r="M546" i="10"/>
  <c r="I546" i="10"/>
  <c r="E546" i="10"/>
  <c r="Q545" i="10"/>
  <c r="M545" i="10"/>
  <c r="I545" i="10"/>
  <c r="E545" i="10"/>
  <c r="R545" i="10" s="1"/>
  <c r="Q544" i="10"/>
  <c r="M544" i="10"/>
  <c r="I544" i="10"/>
  <c r="E544" i="10"/>
  <c r="Q543" i="10"/>
  <c r="R543" i="10" s="1"/>
  <c r="M543" i="10"/>
  <c r="I543" i="10"/>
  <c r="E543" i="10"/>
  <c r="P533" i="10"/>
  <c r="Q531" i="10"/>
  <c r="M531" i="10"/>
  <c r="R531" i="10" s="1"/>
  <c r="I531" i="10"/>
  <c r="E531" i="10"/>
  <c r="J530" i="10"/>
  <c r="P529" i="10"/>
  <c r="O529" i="10"/>
  <c r="N529" i="10"/>
  <c r="L529" i="10"/>
  <c r="K529" i="10"/>
  <c r="J529" i="10"/>
  <c r="M529" i="10" s="1"/>
  <c r="H529" i="10"/>
  <c r="G529" i="10"/>
  <c r="F529" i="10"/>
  <c r="D529" i="10"/>
  <c r="C529" i="10"/>
  <c r="B529" i="10"/>
  <c r="E529" i="10" s="1"/>
  <c r="P528" i="10"/>
  <c r="O528" i="10"/>
  <c r="Q528" i="10" s="1"/>
  <c r="N528" i="10"/>
  <c r="L528" i="10"/>
  <c r="K528" i="10"/>
  <c r="M528" i="10" s="1"/>
  <c r="J528" i="10"/>
  <c r="I528" i="10"/>
  <c r="H528" i="10"/>
  <c r="G528" i="10"/>
  <c r="F528" i="10"/>
  <c r="D528" i="10"/>
  <c r="C528" i="10"/>
  <c r="B528" i="10"/>
  <c r="Q527" i="10"/>
  <c r="R527" i="10" s="1"/>
  <c r="M527" i="10"/>
  <c r="I527" i="10"/>
  <c r="E527" i="10"/>
  <c r="R526" i="10"/>
  <c r="Q526" i="10"/>
  <c r="M526" i="10"/>
  <c r="I526" i="10"/>
  <c r="E526" i="10"/>
  <c r="P520" i="10"/>
  <c r="O520" i="10"/>
  <c r="N520" i="10"/>
  <c r="Q520" i="10" s="1"/>
  <c r="L520" i="10"/>
  <c r="K520" i="10"/>
  <c r="J520" i="10"/>
  <c r="H520" i="10"/>
  <c r="G520" i="10"/>
  <c r="F520" i="10"/>
  <c r="I520" i="10" s="1"/>
  <c r="D520" i="10"/>
  <c r="C520" i="10"/>
  <c r="B520" i="10"/>
  <c r="Q519" i="10"/>
  <c r="M519" i="10"/>
  <c r="I519" i="10"/>
  <c r="E519" i="10"/>
  <c r="Q518" i="10"/>
  <c r="M518" i="10"/>
  <c r="R518" i="10" s="1"/>
  <c r="I518" i="10"/>
  <c r="E518" i="10"/>
  <c r="Q514" i="10"/>
  <c r="P514" i="10"/>
  <c r="O514" i="10"/>
  <c r="N514" i="10"/>
  <c r="J514" i="10"/>
  <c r="I514" i="10"/>
  <c r="H514" i="10"/>
  <c r="G514" i="10"/>
  <c r="F514" i="10"/>
  <c r="E514" i="10"/>
  <c r="D514" i="10"/>
  <c r="C514" i="10"/>
  <c r="B514" i="10"/>
  <c r="R512" i="10"/>
  <c r="Q512" i="10"/>
  <c r="M512" i="10"/>
  <c r="L512" i="10"/>
  <c r="K512" i="10"/>
  <c r="I512" i="10"/>
  <c r="E512" i="10"/>
  <c r="Q509" i="10"/>
  <c r="P509" i="10"/>
  <c r="P530" i="10" s="1"/>
  <c r="O509" i="10"/>
  <c r="N509" i="10"/>
  <c r="M509" i="10"/>
  <c r="L509" i="10"/>
  <c r="K509" i="10"/>
  <c r="J509" i="10"/>
  <c r="I509" i="10"/>
  <c r="H509" i="10"/>
  <c r="G509" i="10"/>
  <c r="G530" i="10" s="1"/>
  <c r="G533" i="10" s="1"/>
  <c r="F509" i="10"/>
  <c r="F530" i="10" s="1"/>
  <c r="E509" i="10"/>
  <c r="D509" i="10"/>
  <c r="D530" i="10" s="1"/>
  <c r="D533" i="10" s="1"/>
  <c r="C509" i="10"/>
  <c r="C530" i="10" s="1"/>
  <c r="C533" i="10" s="1"/>
  <c r="B509" i="10"/>
  <c r="R506" i="10"/>
  <c r="Q506" i="10"/>
  <c r="M506" i="10"/>
  <c r="I506" i="10"/>
  <c r="E506" i="10"/>
  <c r="Q505" i="10"/>
  <c r="M505" i="10"/>
  <c r="I505" i="10"/>
  <c r="E505" i="10"/>
  <c r="R505" i="10" s="1"/>
  <c r="Q503" i="10"/>
  <c r="R503" i="10" s="1"/>
  <c r="M503" i="10"/>
  <c r="I503" i="10"/>
  <c r="E503" i="10"/>
  <c r="R502" i="10"/>
  <c r="Q502" i="10"/>
  <c r="M502" i="10"/>
  <c r="I502" i="10"/>
  <c r="E502" i="10"/>
  <c r="Q501" i="10"/>
  <c r="M501" i="10"/>
  <c r="I501" i="10"/>
  <c r="E501" i="10"/>
  <c r="R501" i="10" s="1"/>
  <c r="Q500" i="10"/>
  <c r="M500" i="10"/>
  <c r="I500" i="10"/>
  <c r="E500" i="10"/>
  <c r="Q499" i="10"/>
  <c r="M499" i="10"/>
  <c r="I499" i="10"/>
  <c r="E499" i="10"/>
  <c r="Q481" i="10"/>
  <c r="M481" i="10"/>
  <c r="I481" i="10"/>
  <c r="E481" i="10"/>
  <c r="R481" i="10" s="1"/>
  <c r="R480" i="10"/>
  <c r="Q480" i="10"/>
  <c r="M480" i="10"/>
  <c r="I480" i="10"/>
  <c r="E480" i="10"/>
  <c r="Q479" i="10"/>
  <c r="M479" i="10"/>
  <c r="I479" i="10"/>
  <c r="E479" i="10"/>
  <c r="R479" i="10" s="1"/>
  <c r="B478" i="10"/>
  <c r="P477" i="10"/>
  <c r="O477" i="10"/>
  <c r="Q477" i="10" s="1"/>
  <c r="N477" i="10"/>
  <c r="M477" i="10"/>
  <c r="L477" i="10"/>
  <c r="K477" i="10"/>
  <c r="J477" i="10"/>
  <c r="H477" i="10"/>
  <c r="G477" i="10"/>
  <c r="F477" i="10"/>
  <c r="D477" i="10"/>
  <c r="E477" i="10" s="1"/>
  <c r="C477" i="10"/>
  <c r="B477" i="10"/>
  <c r="P476" i="10"/>
  <c r="O476" i="10"/>
  <c r="N476" i="10"/>
  <c r="L476" i="10"/>
  <c r="M476" i="10" s="1"/>
  <c r="K476" i="10"/>
  <c r="J476" i="10"/>
  <c r="H476" i="10"/>
  <c r="G476" i="10"/>
  <c r="F476" i="10"/>
  <c r="D476" i="10"/>
  <c r="E476" i="10" s="1"/>
  <c r="C476" i="10"/>
  <c r="B476" i="10"/>
  <c r="Q475" i="10"/>
  <c r="M475" i="10"/>
  <c r="I475" i="10"/>
  <c r="E475" i="10"/>
  <c r="R475" i="10" s="1"/>
  <c r="R474" i="10"/>
  <c r="Q474" i="10"/>
  <c r="M474" i="10"/>
  <c r="I474" i="10"/>
  <c r="E474" i="10"/>
  <c r="Q473" i="10"/>
  <c r="M473" i="10"/>
  <c r="I473" i="10"/>
  <c r="R473" i="10" s="1"/>
  <c r="E473" i="10"/>
  <c r="Q472" i="10"/>
  <c r="M472" i="10"/>
  <c r="I472" i="10"/>
  <c r="E472" i="10"/>
  <c r="R472" i="10" s="1"/>
  <c r="Q471" i="10"/>
  <c r="R471" i="10" s="1"/>
  <c r="M471" i="10"/>
  <c r="I471" i="10"/>
  <c r="E471" i="10"/>
  <c r="Q470" i="10"/>
  <c r="M470" i="10"/>
  <c r="R470" i="10" s="1"/>
  <c r="I470" i="10"/>
  <c r="E470" i="10"/>
  <c r="Q469" i="10"/>
  <c r="M469" i="10"/>
  <c r="I469" i="10"/>
  <c r="E469" i="10"/>
  <c r="Q468" i="10"/>
  <c r="R468" i="10" s="1"/>
  <c r="M468" i="10"/>
  <c r="I468" i="10"/>
  <c r="E468" i="10"/>
  <c r="R467" i="10"/>
  <c r="Q467" i="10"/>
  <c r="M467" i="10"/>
  <c r="I467" i="10"/>
  <c r="E467" i="10"/>
  <c r="Q466" i="10"/>
  <c r="M466" i="10"/>
  <c r="I466" i="10"/>
  <c r="R466" i="10" s="1"/>
  <c r="E466" i="10"/>
  <c r="Q464" i="10"/>
  <c r="M464" i="10"/>
  <c r="I464" i="10"/>
  <c r="E464" i="10"/>
  <c r="Q463" i="10"/>
  <c r="M463" i="10"/>
  <c r="I463" i="10"/>
  <c r="E463" i="10"/>
  <c r="R462" i="10"/>
  <c r="Q462" i="10"/>
  <c r="M462" i="10"/>
  <c r="I462" i="10"/>
  <c r="E462" i="10"/>
  <c r="Q461" i="10"/>
  <c r="M461" i="10"/>
  <c r="I461" i="10"/>
  <c r="R461" i="10" s="1"/>
  <c r="E461" i="10"/>
  <c r="Q460" i="10"/>
  <c r="M460" i="10"/>
  <c r="I460" i="10"/>
  <c r="E460" i="10"/>
  <c r="R460" i="10" s="1"/>
  <c r="Q459" i="10"/>
  <c r="M459" i="10"/>
  <c r="R459" i="10" s="1"/>
  <c r="I459" i="10"/>
  <c r="E459" i="10"/>
  <c r="Q457" i="10"/>
  <c r="M457" i="10"/>
  <c r="I457" i="10"/>
  <c r="E457" i="10"/>
  <c r="R456" i="10"/>
  <c r="Q456" i="10"/>
  <c r="M456" i="10"/>
  <c r="I456" i="10"/>
  <c r="E456" i="10"/>
  <c r="Q454" i="10"/>
  <c r="M454" i="10"/>
  <c r="I454" i="10"/>
  <c r="E454" i="10"/>
  <c r="P451" i="10"/>
  <c r="B451" i="10"/>
  <c r="P450" i="10"/>
  <c r="O450" i="10"/>
  <c r="N450" i="10"/>
  <c r="Q450" i="10" s="1"/>
  <c r="M450" i="10"/>
  <c r="L450" i="10"/>
  <c r="I450" i="10"/>
  <c r="E450" i="10"/>
  <c r="Q449" i="10"/>
  <c r="M449" i="10"/>
  <c r="I449" i="10"/>
  <c r="R449" i="10" s="1"/>
  <c r="E449" i="10"/>
  <c r="Q448" i="10"/>
  <c r="M448" i="10"/>
  <c r="I448" i="10"/>
  <c r="E448" i="10"/>
  <c r="Q447" i="10"/>
  <c r="M447" i="10"/>
  <c r="I447" i="10"/>
  <c r="E447" i="10"/>
  <c r="R447" i="10" s="1"/>
  <c r="Q446" i="10"/>
  <c r="M446" i="10"/>
  <c r="I446" i="10"/>
  <c r="R446" i="10" s="1"/>
  <c r="E446" i="10"/>
  <c r="R445" i="10"/>
  <c r="Q445" i="10"/>
  <c r="M445" i="10"/>
  <c r="I445" i="10"/>
  <c r="E445" i="10"/>
  <c r="Q444" i="10"/>
  <c r="M444" i="10"/>
  <c r="I444" i="10"/>
  <c r="E444" i="10"/>
  <c r="R444" i="10" s="1"/>
  <c r="Q443" i="10"/>
  <c r="M443" i="10"/>
  <c r="I443" i="10"/>
  <c r="E443" i="10"/>
  <c r="R443" i="10" s="1"/>
  <c r="R442" i="10"/>
  <c r="Q442" i="10"/>
  <c r="M442" i="10"/>
  <c r="I442" i="10"/>
  <c r="E442" i="10"/>
  <c r="Q441" i="10"/>
  <c r="M441" i="10"/>
  <c r="I441" i="10"/>
  <c r="R441" i="10" s="1"/>
  <c r="E441" i="10"/>
  <c r="Q440" i="10"/>
  <c r="M440" i="10"/>
  <c r="I440" i="10"/>
  <c r="E440" i="10"/>
  <c r="Q439" i="10"/>
  <c r="M439" i="10"/>
  <c r="I439" i="10"/>
  <c r="E439" i="10"/>
  <c r="Q438" i="10"/>
  <c r="M438" i="10"/>
  <c r="I438" i="10"/>
  <c r="E438" i="10"/>
  <c r="R438" i="10" s="1"/>
  <c r="Q437" i="10"/>
  <c r="M437" i="10"/>
  <c r="I437" i="10"/>
  <c r="E437" i="10"/>
  <c r="R437" i="10" s="1"/>
  <c r="Q436" i="10"/>
  <c r="M436" i="10"/>
  <c r="I436" i="10"/>
  <c r="E436" i="10"/>
  <c r="R436" i="10" s="1"/>
  <c r="Q435" i="10"/>
  <c r="M435" i="10"/>
  <c r="I435" i="10"/>
  <c r="E435" i="10"/>
  <c r="Q434" i="10"/>
  <c r="M434" i="10"/>
  <c r="I434" i="10"/>
  <c r="E434" i="10"/>
  <c r="R434" i="10" s="1"/>
  <c r="Q433" i="10"/>
  <c r="M433" i="10"/>
  <c r="I433" i="10"/>
  <c r="E433" i="10"/>
  <c r="R433" i="10" s="1"/>
  <c r="Q432" i="10"/>
  <c r="M432" i="10"/>
  <c r="I432" i="10"/>
  <c r="E432" i="10"/>
  <c r="R431" i="10"/>
  <c r="Q431" i="10"/>
  <c r="M431" i="10"/>
  <c r="I431" i="10"/>
  <c r="E431" i="10"/>
  <c r="Q430" i="10"/>
  <c r="M430" i="10"/>
  <c r="I430" i="10"/>
  <c r="E430" i="10"/>
  <c r="R430" i="10" s="1"/>
  <c r="Q429" i="10"/>
  <c r="M429" i="10"/>
  <c r="I429" i="10"/>
  <c r="E429" i="10"/>
  <c r="Q428" i="10"/>
  <c r="M428" i="10"/>
  <c r="I428" i="10"/>
  <c r="E428" i="10"/>
  <c r="R428" i="10" s="1"/>
  <c r="Q427" i="10"/>
  <c r="M427" i="10"/>
  <c r="I427" i="10"/>
  <c r="E427" i="10"/>
  <c r="R427" i="10" s="1"/>
  <c r="Q426" i="10"/>
  <c r="M426" i="10"/>
  <c r="I426" i="10"/>
  <c r="R426" i="10" s="1"/>
  <c r="H426" i="10"/>
  <c r="G426" i="10"/>
  <c r="G864" i="10" s="1"/>
  <c r="E426" i="10"/>
  <c r="Q425" i="10"/>
  <c r="M425" i="10"/>
  <c r="H425" i="10"/>
  <c r="E425" i="10"/>
  <c r="R424" i="10"/>
  <c r="Q424" i="10"/>
  <c r="M424" i="10"/>
  <c r="I424" i="10"/>
  <c r="E424" i="10"/>
  <c r="Q423" i="10"/>
  <c r="M423" i="10"/>
  <c r="I423" i="10"/>
  <c r="R423" i="10" s="1"/>
  <c r="E423" i="10"/>
  <c r="R422" i="10"/>
  <c r="Q422" i="10"/>
  <c r="M422" i="10"/>
  <c r="I422" i="10"/>
  <c r="E422" i="10"/>
  <c r="Q421" i="10"/>
  <c r="M421" i="10"/>
  <c r="I421" i="10"/>
  <c r="E421" i="10"/>
  <c r="R421" i="10" s="1"/>
  <c r="Q420" i="10"/>
  <c r="M420" i="10"/>
  <c r="I420" i="10"/>
  <c r="E420" i="10"/>
  <c r="R420" i="10" s="1"/>
  <c r="Q419" i="10"/>
  <c r="M419" i="10"/>
  <c r="I419" i="10"/>
  <c r="E419" i="10"/>
  <c r="R419" i="10" s="1"/>
  <c r="Q418" i="10"/>
  <c r="M418" i="10"/>
  <c r="I418" i="10"/>
  <c r="E418" i="10"/>
  <c r="R418" i="10" s="1"/>
  <c r="Q417" i="10"/>
  <c r="M417" i="10"/>
  <c r="I417" i="10"/>
  <c r="R417" i="10" s="1"/>
  <c r="E417" i="10"/>
  <c r="Q416" i="10"/>
  <c r="M416" i="10"/>
  <c r="R416" i="10" s="1"/>
  <c r="I416" i="10"/>
  <c r="E416" i="10"/>
  <c r="Q415" i="10"/>
  <c r="M415" i="10"/>
  <c r="I415" i="10"/>
  <c r="E415" i="10"/>
  <c r="Q414" i="10"/>
  <c r="M414" i="10"/>
  <c r="I414" i="10"/>
  <c r="E414" i="10"/>
  <c r="R414" i="10" s="1"/>
  <c r="Q413" i="10"/>
  <c r="P413" i="10"/>
  <c r="O413" i="10"/>
  <c r="N413" i="10"/>
  <c r="N451" i="10" s="1"/>
  <c r="L413" i="10"/>
  <c r="L451" i="10" s="1"/>
  <c r="K413" i="10"/>
  <c r="J413" i="10"/>
  <c r="I413" i="10"/>
  <c r="E413" i="10"/>
  <c r="Q412" i="10"/>
  <c r="M412" i="10"/>
  <c r="I412" i="10"/>
  <c r="E412" i="10"/>
  <c r="R412" i="10" s="1"/>
  <c r="Q411" i="10"/>
  <c r="J411" i="10"/>
  <c r="I411" i="10"/>
  <c r="E411" i="10"/>
  <c r="Q410" i="10"/>
  <c r="M410" i="10"/>
  <c r="I410" i="10"/>
  <c r="R410" i="10" s="1"/>
  <c r="E410" i="10"/>
  <c r="R409" i="10"/>
  <c r="Q409" i="10"/>
  <c r="M409" i="10"/>
  <c r="I409" i="10"/>
  <c r="E409" i="10"/>
  <c r="Q408" i="10"/>
  <c r="M408" i="10"/>
  <c r="I408" i="10"/>
  <c r="E408" i="10"/>
  <c r="R408" i="10" s="1"/>
  <c r="Q407" i="10"/>
  <c r="M407" i="10"/>
  <c r="I407" i="10"/>
  <c r="E407" i="10"/>
  <c r="Q406" i="10"/>
  <c r="M406" i="10"/>
  <c r="I406" i="10"/>
  <c r="E406" i="10"/>
  <c r="R406" i="10" s="1"/>
  <c r="Q405" i="10"/>
  <c r="M405" i="10"/>
  <c r="I405" i="10"/>
  <c r="E405" i="10"/>
  <c r="R405" i="10" s="1"/>
  <c r="Q404" i="10"/>
  <c r="M404" i="10"/>
  <c r="I404" i="10"/>
  <c r="R404" i="10" s="1"/>
  <c r="E404" i="10"/>
  <c r="R403" i="10"/>
  <c r="Q403" i="10"/>
  <c r="M403" i="10"/>
  <c r="I403" i="10"/>
  <c r="E403" i="10"/>
  <c r="Q402" i="10"/>
  <c r="M402" i="10"/>
  <c r="I402" i="10"/>
  <c r="R402" i="10" s="1"/>
  <c r="E402" i="10"/>
  <c r="Q400" i="10"/>
  <c r="M400" i="10"/>
  <c r="H400" i="10"/>
  <c r="G400" i="10"/>
  <c r="F400" i="10"/>
  <c r="F451" i="10" s="1"/>
  <c r="D400" i="10"/>
  <c r="D863" i="10" s="1"/>
  <c r="D865" i="10" s="1"/>
  <c r="D894" i="10" s="1"/>
  <c r="C400" i="10"/>
  <c r="E400" i="10" s="1"/>
  <c r="Q399" i="10"/>
  <c r="M399" i="10"/>
  <c r="I399" i="10"/>
  <c r="E399" i="10"/>
  <c r="R399" i="10" s="1"/>
  <c r="Q396" i="10"/>
  <c r="P396" i="10"/>
  <c r="O396" i="10"/>
  <c r="N396" i="10"/>
  <c r="L396" i="10"/>
  <c r="K396" i="10"/>
  <c r="M396" i="10" s="1"/>
  <c r="J396" i="10"/>
  <c r="I396" i="10"/>
  <c r="H396" i="10"/>
  <c r="G396" i="10"/>
  <c r="F396" i="10"/>
  <c r="D396" i="10"/>
  <c r="C396" i="10"/>
  <c r="E396" i="10" s="1"/>
  <c r="B396" i="10"/>
  <c r="Q394" i="10"/>
  <c r="M394" i="10"/>
  <c r="I394" i="10"/>
  <c r="E394" i="10"/>
  <c r="R394" i="10" s="1"/>
  <c r="Q393" i="10"/>
  <c r="M393" i="10"/>
  <c r="I393" i="10"/>
  <c r="E393" i="10"/>
  <c r="Q392" i="10"/>
  <c r="M392" i="10"/>
  <c r="I392" i="10"/>
  <c r="E392" i="10"/>
  <c r="Q391" i="10"/>
  <c r="M391" i="10"/>
  <c r="I391" i="10"/>
  <c r="E391" i="10"/>
  <c r="AK390" i="10"/>
  <c r="AJ390" i="10"/>
  <c r="AI390" i="10"/>
  <c r="AG390" i="10"/>
  <c r="AF390" i="10"/>
  <c r="AE390" i="10"/>
  <c r="AH390" i="10" s="1"/>
  <c r="AC390" i="10"/>
  <c r="AA390" i="10"/>
  <c r="Y390" i="10"/>
  <c r="X390" i="10"/>
  <c r="W390" i="10"/>
  <c r="Z390" i="10" s="1"/>
  <c r="Q390" i="10"/>
  <c r="M390" i="10"/>
  <c r="I390" i="10"/>
  <c r="E390" i="10"/>
  <c r="AK389" i="10"/>
  <c r="AJ389" i="10"/>
  <c r="AI389" i="10"/>
  <c r="AG389" i="10"/>
  <c r="AF389" i="10"/>
  <c r="AE389" i="10"/>
  <c r="AH389" i="10" s="1"/>
  <c r="AC389" i="10"/>
  <c r="Y389" i="10"/>
  <c r="X389" i="10"/>
  <c r="W389" i="10"/>
  <c r="Q389" i="10"/>
  <c r="M389" i="10"/>
  <c r="I389" i="10"/>
  <c r="R389" i="10" s="1"/>
  <c r="E389" i="10"/>
  <c r="AK388" i="10"/>
  <c r="AJ388" i="10"/>
  <c r="AI388" i="10"/>
  <c r="AL388" i="10" s="1"/>
  <c r="AG388" i="10"/>
  <c r="AF388" i="10"/>
  <c r="AE388" i="10"/>
  <c r="AH388" i="10" s="1"/>
  <c r="AA388" i="10"/>
  <c r="Y388" i="10"/>
  <c r="X388" i="10"/>
  <c r="W388" i="10"/>
  <c r="Z388" i="10" s="1"/>
  <c r="Q388" i="10"/>
  <c r="M388" i="10"/>
  <c r="I388" i="10"/>
  <c r="R388" i="10" s="1"/>
  <c r="E388" i="10"/>
  <c r="AL387" i="10"/>
  <c r="AL390" i="10" s="1"/>
  <c r="AH387" i="10"/>
  <c r="AM387" i="10" s="1"/>
  <c r="AC387" i="10"/>
  <c r="AC388" i="10" s="1"/>
  <c r="AB387" i="10"/>
  <c r="AB388" i="10" s="1"/>
  <c r="AA387" i="10"/>
  <c r="AD387" i="10" s="1"/>
  <c r="Z387" i="10"/>
  <c r="R387" i="10"/>
  <c r="Q387" i="10"/>
  <c r="M387" i="10"/>
  <c r="I387" i="10"/>
  <c r="E387" i="10"/>
  <c r="Q386" i="10"/>
  <c r="M386" i="10"/>
  <c r="I386" i="10"/>
  <c r="E386" i="10"/>
  <c r="W385" i="10"/>
  <c r="K382" i="10"/>
  <c r="H382" i="10"/>
  <c r="G382" i="10"/>
  <c r="F382" i="10"/>
  <c r="I382" i="10" s="1"/>
  <c r="E382" i="10"/>
  <c r="D382" i="10"/>
  <c r="C382" i="10"/>
  <c r="B382" i="10"/>
  <c r="Q380" i="10"/>
  <c r="M380" i="10"/>
  <c r="I380" i="10"/>
  <c r="E380" i="10"/>
  <c r="Q379" i="10"/>
  <c r="L379" i="10"/>
  <c r="L852" i="10" s="1"/>
  <c r="K379" i="10"/>
  <c r="J379" i="10"/>
  <c r="I379" i="10"/>
  <c r="E379" i="10"/>
  <c r="Q378" i="10"/>
  <c r="K378" i="10"/>
  <c r="I378" i="10"/>
  <c r="E378" i="10"/>
  <c r="Q377" i="10"/>
  <c r="M377" i="10"/>
  <c r="I377" i="10"/>
  <c r="E377" i="10"/>
  <c r="R377" i="10" s="1"/>
  <c r="Q375" i="10"/>
  <c r="M375" i="10"/>
  <c r="I375" i="10"/>
  <c r="E375" i="10"/>
  <c r="R375" i="10" s="1"/>
  <c r="Q374" i="10"/>
  <c r="M374" i="10"/>
  <c r="I374" i="10"/>
  <c r="E374" i="10"/>
  <c r="R374" i="10" s="1"/>
  <c r="Q373" i="10"/>
  <c r="M373" i="10"/>
  <c r="I373" i="10"/>
  <c r="E373" i="10"/>
  <c r="R373" i="10" s="1"/>
  <c r="Q372" i="10"/>
  <c r="M372" i="10"/>
  <c r="I372" i="10"/>
  <c r="E372" i="10"/>
  <c r="Q371" i="10"/>
  <c r="M371" i="10"/>
  <c r="R371" i="10" s="1"/>
  <c r="I371" i="10"/>
  <c r="E371" i="10"/>
  <c r="Q370" i="10"/>
  <c r="M370" i="10"/>
  <c r="I370" i="10"/>
  <c r="E370" i="10"/>
  <c r="Q369" i="10"/>
  <c r="M369" i="10"/>
  <c r="I369" i="10"/>
  <c r="E369" i="10"/>
  <c r="R369" i="10" s="1"/>
  <c r="Q368" i="10"/>
  <c r="M368" i="10"/>
  <c r="I368" i="10"/>
  <c r="E368" i="10"/>
  <c r="Q367" i="10"/>
  <c r="M367" i="10"/>
  <c r="I367" i="10"/>
  <c r="E367" i="10"/>
  <c r="R367" i="10" s="1"/>
  <c r="Q366" i="10"/>
  <c r="M366" i="10"/>
  <c r="I366" i="10"/>
  <c r="E366" i="10"/>
  <c r="Q365" i="10"/>
  <c r="M365" i="10"/>
  <c r="I365" i="10"/>
  <c r="E365" i="10"/>
  <c r="R365" i="10" s="1"/>
  <c r="Q364" i="10"/>
  <c r="M364" i="10"/>
  <c r="I364" i="10"/>
  <c r="E364" i="10"/>
  <c r="Q362" i="10"/>
  <c r="M362" i="10"/>
  <c r="R362" i="10" s="1"/>
  <c r="I362" i="10"/>
  <c r="E362" i="10"/>
  <c r="Q361" i="10"/>
  <c r="M361" i="10"/>
  <c r="I361" i="10"/>
  <c r="E361" i="10"/>
  <c r="R361" i="10" s="1"/>
  <c r="Q360" i="10"/>
  <c r="M360" i="10"/>
  <c r="I360" i="10"/>
  <c r="E360" i="10"/>
  <c r="R359" i="10"/>
  <c r="Q359" i="10"/>
  <c r="M359" i="10"/>
  <c r="I359" i="10"/>
  <c r="E359" i="10"/>
  <c r="R358" i="10"/>
  <c r="Q358" i="10"/>
  <c r="M358" i="10"/>
  <c r="I358" i="10"/>
  <c r="E358" i="10"/>
  <c r="Q357" i="10"/>
  <c r="M357" i="10"/>
  <c r="I357" i="10"/>
  <c r="E357" i="10"/>
  <c r="R357" i="10" s="1"/>
  <c r="Q356" i="10"/>
  <c r="L356" i="10"/>
  <c r="M356" i="10" s="1"/>
  <c r="I356" i="10"/>
  <c r="E356" i="10"/>
  <c r="R355" i="10"/>
  <c r="Q355" i="10"/>
  <c r="M355" i="10"/>
  <c r="I355" i="10"/>
  <c r="E355" i="10"/>
  <c r="P354" i="10"/>
  <c r="O354" i="10"/>
  <c r="N354" i="10"/>
  <c r="Q354" i="10" s="1"/>
  <c r="L354" i="10"/>
  <c r="K354" i="10"/>
  <c r="J354" i="10"/>
  <c r="I354" i="10"/>
  <c r="H354" i="10"/>
  <c r="E354" i="10"/>
  <c r="Q353" i="10"/>
  <c r="M353" i="10"/>
  <c r="I353" i="10"/>
  <c r="E353" i="10"/>
  <c r="R353" i="10" s="1"/>
  <c r="Q352" i="10"/>
  <c r="M352" i="10"/>
  <c r="I352" i="10"/>
  <c r="E352" i="10"/>
  <c r="R351" i="10"/>
  <c r="Q351" i="10"/>
  <c r="M351" i="10"/>
  <c r="I351" i="10"/>
  <c r="E351" i="10"/>
  <c r="Q350" i="10"/>
  <c r="M350" i="10"/>
  <c r="I350" i="10"/>
  <c r="R350" i="10" s="1"/>
  <c r="E350" i="10"/>
  <c r="R349" i="10"/>
  <c r="Q349" i="10"/>
  <c r="M349" i="10"/>
  <c r="I349" i="10"/>
  <c r="E349" i="10"/>
  <c r="Q348" i="10"/>
  <c r="M348" i="10"/>
  <c r="I348" i="10"/>
  <c r="E348" i="10"/>
  <c r="R348" i="10" s="1"/>
  <c r="Q347" i="10"/>
  <c r="M347" i="10"/>
  <c r="I347" i="10"/>
  <c r="E347" i="10"/>
  <c r="R347" i="10" s="1"/>
  <c r="Q346" i="10"/>
  <c r="M346" i="10"/>
  <c r="I346" i="10"/>
  <c r="E346" i="10"/>
  <c r="R346" i="10" s="1"/>
  <c r="Q345" i="10"/>
  <c r="M345" i="10"/>
  <c r="I345" i="10"/>
  <c r="E345" i="10"/>
  <c r="R345" i="10" s="1"/>
  <c r="Q344" i="10"/>
  <c r="M344" i="10"/>
  <c r="I344" i="10"/>
  <c r="E344" i="10"/>
  <c r="Q343" i="10"/>
  <c r="M343" i="10"/>
  <c r="R343" i="10" s="1"/>
  <c r="I343" i="10"/>
  <c r="E343" i="10"/>
  <c r="Q342" i="10"/>
  <c r="R342" i="10" s="1"/>
  <c r="M342" i="10"/>
  <c r="I342" i="10"/>
  <c r="E342" i="10"/>
  <c r="Q341" i="10"/>
  <c r="M341" i="10"/>
  <c r="I341" i="10"/>
  <c r="E341" i="10"/>
  <c r="R341" i="10" s="1"/>
  <c r="Q340" i="10"/>
  <c r="M340" i="10"/>
  <c r="I340" i="10"/>
  <c r="E340" i="10"/>
  <c r="P339" i="10"/>
  <c r="O339" i="10"/>
  <c r="N339" i="10"/>
  <c r="Q339" i="10" s="1"/>
  <c r="L339" i="10"/>
  <c r="K339" i="10"/>
  <c r="J339" i="10"/>
  <c r="M339" i="10" s="1"/>
  <c r="I339" i="10"/>
  <c r="E339" i="10"/>
  <c r="Q338" i="10"/>
  <c r="M338" i="10"/>
  <c r="I338" i="10"/>
  <c r="E338" i="10"/>
  <c r="Q337" i="10"/>
  <c r="M337" i="10"/>
  <c r="I337" i="10"/>
  <c r="E337" i="10"/>
  <c r="Q336" i="10"/>
  <c r="M336" i="10"/>
  <c r="I336" i="10"/>
  <c r="E336" i="10"/>
  <c r="Q335" i="10"/>
  <c r="M335" i="10"/>
  <c r="I335" i="10"/>
  <c r="E335" i="10"/>
  <c r="R335" i="10" s="1"/>
  <c r="Q334" i="10"/>
  <c r="M334" i="10"/>
  <c r="I334" i="10"/>
  <c r="E334" i="10"/>
  <c r="R333" i="10"/>
  <c r="Q333" i="10"/>
  <c r="M333" i="10"/>
  <c r="I333" i="10"/>
  <c r="E333" i="10"/>
  <c r="P332" i="10"/>
  <c r="O332" i="10"/>
  <c r="Q332" i="10" s="1"/>
  <c r="L332" i="10"/>
  <c r="L382" i="10" s="1"/>
  <c r="L478" i="10" s="1"/>
  <c r="L483" i="10" s="1"/>
  <c r="K332" i="10"/>
  <c r="J332" i="10"/>
  <c r="J382" i="10" s="1"/>
  <c r="M382" i="10" s="1"/>
  <c r="I332" i="10"/>
  <c r="E332" i="10"/>
  <c r="P324" i="10"/>
  <c r="O324" i="10"/>
  <c r="N324" i="10"/>
  <c r="L324" i="10"/>
  <c r="K324" i="10"/>
  <c r="J324" i="10"/>
  <c r="H324" i="10"/>
  <c r="I324" i="10" s="1"/>
  <c r="G324" i="10"/>
  <c r="F324" i="10"/>
  <c r="D324" i="10"/>
  <c r="C324" i="10"/>
  <c r="B324" i="10"/>
  <c r="E324" i="10" s="1"/>
  <c r="Q322" i="10"/>
  <c r="M322" i="10"/>
  <c r="I322" i="10"/>
  <c r="E322" i="10"/>
  <c r="R322" i="10" s="1"/>
  <c r="R324" i="10" s="1"/>
  <c r="Q311" i="10"/>
  <c r="M311" i="10"/>
  <c r="I311" i="10"/>
  <c r="E311" i="10"/>
  <c r="R311" i="10" s="1"/>
  <c r="Q310" i="10"/>
  <c r="M310" i="10"/>
  <c r="I310" i="10"/>
  <c r="E310" i="10"/>
  <c r="R310" i="10" s="1"/>
  <c r="Q309" i="10"/>
  <c r="M309" i="10"/>
  <c r="I309" i="10"/>
  <c r="E309" i="10"/>
  <c r="R309" i="10" s="1"/>
  <c r="Q308" i="10"/>
  <c r="M308" i="10"/>
  <c r="I308" i="10"/>
  <c r="E308" i="10"/>
  <c r="R308" i="10" s="1"/>
  <c r="R307" i="10"/>
  <c r="Q307" i="10"/>
  <c r="M307" i="10"/>
  <c r="I307" i="10"/>
  <c r="E307" i="10"/>
  <c r="Q306" i="10"/>
  <c r="M306" i="10"/>
  <c r="I306" i="10"/>
  <c r="R306" i="10" s="1"/>
  <c r="E306" i="10"/>
  <c r="D305" i="10"/>
  <c r="D313" i="10" s="1"/>
  <c r="O304" i="10"/>
  <c r="N304" i="10"/>
  <c r="M304" i="10"/>
  <c r="L304" i="10"/>
  <c r="K304" i="10"/>
  <c r="J304" i="10"/>
  <c r="H304" i="10"/>
  <c r="G304" i="10"/>
  <c r="I304" i="10" s="1"/>
  <c r="F304" i="10"/>
  <c r="E304" i="10"/>
  <c r="D304" i="10"/>
  <c r="C304" i="10"/>
  <c r="B304" i="10"/>
  <c r="P303" i="10"/>
  <c r="O303" i="10"/>
  <c r="N303" i="10"/>
  <c r="Q303" i="10" s="1"/>
  <c r="L303" i="10"/>
  <c r="M303" i="10" s="1"/>
  <c r="K303" i="10"/>
  <c r="J303" i="10"/>
  <c r="H303" i="10"/>
  <c r="G303" i="10"/>
  <c r="F303" i="10"/>
  <c r="I303" i="10" s="1"/>
  <c r="D303" i="10"/>
  <c r="E303" i="10" s="1"/>
  <c r="C303" i="10"/>
  <c r="B303" i="10"/>
  <c r="Q302" i="10"/>
  <c r="M302" i="10"/>
  <c r="I302" i="10"/>
  <c r="R302" i="10" s="1"/>
  <c r="E302" i="10"/>
  <c r="R300" i="10"/>
  <c r="Q300" i="10"/>
  <c r="M300" i="10"/>
  <c r="I300" i="10"/>
  <c r="E300" i="10"/>
  <c r="Q298" i="10"/>
  <c r="M298" i="10"/>
  <c r="I298" i="10"/>
  <c r="E298" i="10"/>
  <c r="R298" i="10" s="1"/>
  <c r="Q297" i="10"/>
  <c r="M297" i="10"/>
  <c r="I297" i="10"/>
  <c r="E297" i="10"/>
  <c r="R297" i="10" s="1"/>
  <c r="Q296" i="10"/>
  <c r="M296" i="10"/>
  <c r="I296" i="10"/>
  <c r="E296" i="10"/>
  <c r="R296" i="10" s="1"/>
  <c r="Q295" i="10"/>
  <c r="M295" i="10"/>
  <c r="I295" i="10"/>
  <c r="E295" i="10"/>
  <c r="R295" i="10" s="1"/>
  <c r="Q294" i="10"/>
  <c r="M294" i="10"/>
  <c r="I294" i="10"/>
  <c r="E294" i="10"/>
  <c r="R294" i="10" s="1"/>
  <c r="R293" i="10"/>
  <c r="Q293" i="10"/>
  <c r="M293" i="10"/>
  <c r="I293" i="10"/>
  <c r="E293" i="10"/>
  <c r="Q292" i="10"/>
  <c r="M292" i="10"/>
  <c r="I292" i="10"/>
  <c r="E292" i="10"/>
  <c r="R292" i="10" s="1"/>
  <c r="P291" i="10"/>
  <c r="P868" i="10" s="1"/>
  <c r="Q868" i="10" s="1"/>
  <c r="M291" i="10"/>
  <c r="I291" i="10"/>
  <c r="E291" i="10"/>
  <c r="Q289" i="10"/>
  <c r="M289" i="10"/>
  <c r="I289" i="10"/>
  <c r="E289" i="10"/>
  <c r="R289" i="10" s="1"/>
  <c r="Q288" i="10"/>
  <c r="M288" i="10"/>
  <c r="I288" i="10"/>
  <c r="E288" i="10"/>
  <c r="R288" i="10" s="1"/>
  <c r="Q287" i="10"/>
  <c r="M287" i="10"/>
  <c r="I287" i="10"/>
  <c r="E287" i="10"/>
  <c r="R287" i="10" s="1"/>
  <c r="P284" i="10"/>
  <c r="O284" i="10"/>
  <c r="L284" i="10"/>
  <c r="J284" i="10"/>
  <c r="H284" i="10"/>
  <c r="G284" i="10"/>
  <c r="D284" i="10"/>
  <c r="B284" i="10"/>
  <c r="Q283" i="10"/>
  <c r="M283" i="10"/>
  <c r="I283" i="10"/>
  <c r="E283" i="10"/>
  <c r="R283" i="10" s="1"/>
  <c r="Q282" i="10"/>
  <c r="M282" i="10"/>
  <c r="I282" i="10"/>
  <c r="E282" i="10"/>
  <c r="R282" i="10" s="1"/>
  <c r="Q281" i="10"/>
  <c r="M281" i="10"/>
  <c r="I281" i="10"/>
  <c r="R281" i="10" s="1"/>
  <c r="E281" i="10"/>
  <c r="R280" i="10"/>
  <c r="Q280" i="10"/>
  <c r="M280" i="10"/>
  <c r="I280" i="10"/>
  <c r="E280" i="10"/>
  <c r="Q279" i="10"/>
  <c r="M279" i="10"/>
  <c r="I279" i="10"/>
  <c r="R279" i="10" s="1"/>
  <c r="E279" i="10"/>
  <c r="R278" i="10"/>
  <c r="Q278" i="10"/>
  <c r="M278" i="10"/>
  <c r="I278" i="10"/>
  <c r="E278" i="10"/>
  <c r="Q277" i="10"/>
  <c r="M277" i="10"/>
  <c r="I277" i="10"/>
  <c r="E277" i="10"/>
  <c r="R277" i="10" s="1"/>
  <c r="Q276" i="10"/>
  <c r="M276" i="10"/>
  <c r="I276" i="10"/>
  <c r="E276" i="10"/>
  <c r="R276" i="10" s="1"/>
  <c r="Q275" i="10"/>
  <c r="M275" i="10"/>
  <c r="I275" i="10"/>
  <c r="E275" i="10"/>
  <c r="R275" i="10" s="1"/>
  <c r="Q274" i="10"/>
  <c r="M274" i="10"/>
  <c r="I274" i="10"/>
  <c r="E274" i="10"/>
  <c r="R274" i="10" s="1"/>
  <c r="Q273" i="10"/>
  <c r="M273" i="10"/>
  <c r="I273" i="10"/>
  <c r="R273" i="10" s="1"/>
  <c r="E273" i="10"/>
  <c r="R272" i="10"/>
  <c r="Q272" i="10"/>
  <c r="M272" i="10"/>
  <c r="I272" i="10"/>
  <c r="E272" i="10"/>
  <c r="Q271" i="10"/>
  <c r="M271" i="10"/>
  <c r="I271" i="10"/>
  <c r="R271" i="10" s="1"/>
  <c r="E271" i="10"/>
  <c r="R270" i="10"/>
  <c r="Q270" i="10"/>
  <c r="M270" i="10"/>
  <c r="I270" i="10"/>
  <c r="E270" i="10"/>
  <c r="Q269" i="10"/>
  <c r="M269" i="10"/>
  <c r="I269" i="10"/>
  <c r="E269" i="10"/>
  <c r="R269" i="10" s="1"/>
  <c r="Q268" i="10"/>
  <c r="M268" i="10"/>
  <c r="I268" i="10"/>
  <c r="E268" i="10"/>
  <c r="R268" i="10" s="1"/>
  <c r="Q267" i="10"/>
  <c r="M267" i="10"/>
  <c r="I267" i="10"/>
  <c r="E267" i="10"/>
  <c r="R267" i="10" s="1"/>
  <c r="Q266" i="10"/>
  <c r="M266" i="10"/>
  <c r="I266" i="10"/>
  <c r="E266" i="10"/>
  <c r="R266" i="10" s="1"/>
  <c r="P265" i="10"/>
  <c r="Q265" i="10" s="1"/>
  <c r="M265" i="10"/>
  <c r="I265" i="10"/>
  <c r="E265" i="10"/>
  <c r="R265" i="10" s="1"/>
  <c r="Q264" i="10"/>
  <c r="M264" i="10"/>
  <c r="I264" i="10"/>
  <c r="E264" i="10"/>
  <c r="R264" i="10" s="1"/>
  <c r="Q263" i="10"/>
  <c r="M263" i="10"/>
  <c r="I263" i="10"/>
  <c r="E263" i="10"/>
  <c r="R263" i="10" s="1"/>
  <c r="Q262" i="10"/>
  <c r="M262" i="10"/>
  <c r="I262" i="10"/>
  <c r="E262" i="10"/>
  <c r="R262" i="10" s="1"/>
  <c r="R261" i="10"/>
  <c r="Q261" i="10"/>
  <c r="M261" i="10"/>
  <c r="I261" i="10"/>
  <c r="E261" i="10"/>
  <c r="Q260" i="10"/>
  <c r="M260" i="10"/>
  <c r="I260" i="10"/>
  <c r="R260" i="10" s="1"/>
  <c r="E260" i="10"/>
  <c r="R259" i="10"/>
  <c r="Q259" i="10"/>
  <c r="M259" i="10"/>
  <c r="I259" i="10"/>
  <c r="E259" i="10"/>
  <c r="Q258" i="10"/>
  <c r="M258" i="10"/>
  <c r="I258" i="10"/>
  <c r="E258" i="10"/>
  <c r="R258" i="10" s="1"/>
  <c r="Q257" i="10"/>
  <c r="M257" i="10"/>
  <c r="F257" i="10"/>
  <c r="I257" i="10" s="1"/>
  <c r="E257" i="10"/>
  <c r="R257" i="10" s="1"/>
  <c r="R256" i="10"/>
  <c r="Q256" i="10"/>
  <c r="M256" i="10"/>
  <c r="I256" i="10"/>
  <c r="E256" i="10"/>
  <c r="Q255" i="10"/>
  <c r="M255" i="10"/>
  <c r="I255" i="10"/>
  <c r="E255" i="10"/>
  <c r="R255" i="10" s="1"/>
  <c r="Q254" i="10"/>
  <c r="M254" i="10"/>
  <c r="I254" i="10"/>
  <c r="E254" i="10"/>
  <c r="R254" i="10" s="1"/>
  <c r="Q253" i="10"/>
  <c r="M253" i="10"/>
  <c r="I253" i="10"/>
  <c r="E253" i="10"/>
  <c r="R253" i="10" s="1"/>
  <c r="Q252" i="10"/>
  <c r="M252" i="10"/>
  <c r="I252" i="10"/>
  <c r="E252" i="10"/>
  <c r="R252" i="10" s="1"/>
  <c r="Q251" i="10"/>
  <c r="M251" i="10"/>
  <c r="I251" i="10"/>
  <c r="E251" i="10"/>
  <c r="R251" i="10" s="1"/>
  <c r="Q250" i="10"/>
  <c r="M250" i="10"/>
  <c r="F250" i="10"/>
  <c r="I250" i="10" s="1"/>
  <c r="R250" i="10" s="1"/>
  <c r="E250" i="10"/>
  <c r="Q249" i="10"/>
  <c r="M249" i="10"/>
  <c r="F249" i="10"/>
  <c r="I249" i="10" s="1"/>
  <c r="R249" i="10" s="1"/>
  <c r="E249" i="10"/>
  <c r="Q248" i="10"/>
  <c r="M248" i="10"/>
  <c r="F248" i="10"/>
  <c r="F864" i="10" s="1"/>
  <c r="E248" i="10"/>
  <c r="R247" i="10"/>
  <c r="Q247" i="10"/>
  <c r="M247" i="10"/>
  <c r="I247" i="10"/>
  <c r="E247" i="10"/>
  <c r="Q246" i="10"/>
  <c r="M246" i="10"/>
  <c r="I246" i="10"/>
  <c r="E246" i="10"/>
  <c r="R246" i="10" s="1"/>
  <c r="Q245" i="10"/>
  <c r="M245" i="10"/>
  <c r="I245" i="10"/>
  <c r="E245" i="10"/>
  <c r="R245" i="10" s="1"/>
  <c r="Q244" i="10"/>
  <c r="M244" i="10"/>
  <c r="I244" i="10"/>
  <c r="E244" i="10"/>
  <c r="R244" i="10" s="1"/>
  <c r="Q243" i="10"/>
  <c r="M243" i="10"/>
  <c r="I243" i="10"/>
  <c r="E243" i="10"/>
  <c r="R243" i="10" s="1"/>
  <c r="Q242" i="10"/>
  <c r="M242" i="10"/>
  <c r="I242" i="10"/>
  <c r="E242" i="10"/>
  <c r="R242" i="10" s="1"/>
  <c r="R241" i="10"/>
  <c r="Q241" i="10"/>
  <c r="M241" i="10"/>
  <c r="I241" i="10"/>
  <c r="E241" i="10"/>
  <c r="Q240" i="10"/>
  <c r="M240" i="10"/>
  <c r="I240" i="10"/>
  <c r="R240" i="10" s="1"/>
  <c r="E240" i="10"/>
  <c r="R239" i="10"/>
  <c r="Q239" i="10"/>
  <c r="M239" i="10"/>
  <c r="I239" i="10"/>
  <c r="E239" i="10"/>
  <c r="Q238" i="10"/>
  <c r="M238" i="10"/>
  <c r="I238" i="10"/>
  <c r="R238" i="10" s="1"/>
  <c r="E238" i="10"/>
  <c r="Q237" i="10"/>
  <c r="M237" i="10"/>
  <c r="I237" i="10"/>
  <c r="E237" i="10"/>
  <c r="R237" i="10" s="1"/>
  <c r="Q236" i="10"/>
  <c r="M236" i="10"/>
  <c r="I236" i="10"/>
  <c r="E236" i="10"/>
  <c r="R236" i="10" s="1"/>
  <c r="Q235" i="10"/>
  <c r="M235" i="10"/>
  <c r="I235" i="10"/>
  <c r="E235" i="10"/>
  <c r="R235" i="10" s="1"/>
  <c r="Q234" i="10"/>
  <c r="M234" i="10"/>
  <c r="I234" i="10"/>
  <c r="E234" i="10"/>
  <c r="R234" i="10" s="1"/>
  <c r="R233" i="10"/>
  <c r="Q233" i="10"/>
  <c r="M233" i="10"/>
  <c r="I233" i="10"/>
  <c r="E233" i="10"/>
  <c r="Q232" i="10"/>
  <c r="M232" i="10"/>
  <c r="I232" i="10"/>
  <c r="R232" i="10" s="1"/>
  <c r="E232" i="10"/>
  <c r="R231" i="10"/>
  <c r="Q231" i="10"/>
  <c r="M231" i="10"/>
  <c r="I231" i="10"/>
  <c r="E231" i="10"/>
  <c r="Q230" i="10"/>
  <c r="M230" i="10"/>
  <c r="I230" i="10"/>
  <c r="E230" i="10"/>
  <c r="R230" i="10" s="1"/>
  <c r="Q229" i="10"/>
  <c r="M229" i="10"/>
  <c r="I229" i="10"/>
  <c r="E229" i="10"/>
  <c r="R229" i="10" s="1"/>
  <c r="Q228" i="10"/>
  <c r="M228" i="10"/>
  <c r="I228" i="10"/>
  <c r="E228" i="10"/>
  <c r="R228" i="10" s="1"/>
  <c r="Q227" i="10"/>
  <c r="M227" i="10"/>
  <c r="I227" i="10"/>
  <c r="E227" i="10"/>
  <c r="R227" i="10" s="1"/>
  <c r="Q226" i="10"/>
  <c r="M226" i="10"/>
  <c r="I226" i="10"/>
  <c r="E226" i="10"/>
  <c r="R226" i="10" s="1"/>
  <c r="R225" i="10"/>
  <c r="Q225" i="10"/>
  <c r="M225" i="10"/>
  <c r="I225" i="10"/>
  <c r="E225" i="10"/>
  <c r="Q224" i="10"/>
  <c r="M224" i="10"/>
  <c r="I224" i="10"/>
  <c r="R224" i="10" s="1"/>
  <c r="E224" i="10"/>
  <c r="P223" i="10"/>
  <c r="N223" i="10"/>
  <c r="N864" i="10" s="1"/>
  <c r="L223" i="10"/>
  <c r="L864" i="10" s="1"/>
  <c r="L865" i="10" s="1"/>
  <c r="L894" i="10" s="1"/>
  <c r="K223" i="10"/>
  <c r="K864" i="10" s="1"/>
  <c r="J223" i="10"/>
  <c r="J864" i="10" s="1"/>
  <c r="I223" i="10"/>
  <c r="D223" i="10"/>
  <c r="D864" i="10" s="1"/>
  <c r="C223" i="10"/>
  <c r="C864" i="10" s="1"/>
  <c r="B223" i="10"/>
  <c r="B864" i="10" s="1"/>
  <c r="Q222" i="10"/>
  <c r="M222" i="10"/>
  <c r="I222" i="10"/>
  <c r="R222" i="10" s="1"/>
  <c r="E222" i="10"/>
  <c r="Q221" i="10"/>
  <c r="M221" i="10"/>
  <c r="I221" i="10"/>
  <c r="E221" i="10"/>
  <c r="R221" i="10" s="1"/>
  <c r="Q220" i="10"/>
  <c r="M220" i="10"/>
  <c r="I220" i="10"/>
  <c r="E220" i="10"/>
  <c r="R220" i="10" s="1"/>
  <c r="P216" i="10"/>
  <c r="O216" i="10"/>
  <c r="N216" i="10"/>
  <c r="Q216" i="10" s="1"/>
  <c r="L216" i="10"/>
  <c r="K216" i="10"/>
  <c r="J216" i="10"/>
  <c r="M216" i="10" s="1"/>
  <c r="I216" i="10"/>
  <c r="E216" i="10"/>
  <c r="R216" i="10" s="1"/>
  <c r="D216" i="10"/>
  <c r="C216" i="10"/>
  <c r="B216" i="10"/>
  <c r="Q214" i="10"/>
  <c r="M214" i="10"/>
  <c r="I214" i="10"/>
  <c r="E214" i="10"/>
  <c r="R214" i="10" s="1"/>
  <c r="Q213" i="10"/>
  <c r="M213" i="10"/>
  <c r="I213" i="10"/>
  <c r="E213" i="10"/>
  <c r="R213" i="10" s="1"/>
  <c r="P209" i="10"/>
  <c r="H209" i="10"/>
  <c r="H305" i="10" s="1"/>
  <c r="H313" i="10" s="1"/>
  <c r="D209" i="10"/>
  <c r="C209" i="10"/>
  <c r="Q207" i="10"/>
  <c r="M207" i="10"/>
  <c r="I207" i="10"/>
  <c r="R207" i="10" s="1"/>
  <c r="E207" i="10"/>
  <c r="Q206" i="10"/>
  <c r="M206" i="10"/>
  <c r="I206" i="10"/>
  <c r="E206" i="10"/>
  <c r="R206" i="10" s="1"/>
  <c r="Q205" i="10"/>
  <c r="M205" i="10"/>
  <c r="I205" i="10"/>
  <c r="E205" i="10"/>
  <c r="R205" i="10" s="1"/>
  <c r="Q203" i="10"/>
  <c r="M203" i="10"/>
  <c r="I203" i="10"/>
  <c r="E203" i="10"/>
  <c r="R203" i="10" s="1"/>
  <c r="Q202" i="10"/>
  <c r="M202" i="10"/>
  <c r="I202" i="10"/>
  <c r="E202" i="10"/>
  <c r="R202" i="10" s="1"/>
  <c r="R201" i="10"/>
  <c r="Q201" i="10"/>
  <c r="M201" i="10"/>
  <c r="I201" i="10"/>
  <c r="E201" i="10"/>
  <c r="Q200" i="10"/>
  <c r="M200" i="10"/>
  <c r="I200" i="10"/>
  <c r="R200" i="10" s="1"/>
  <c r="E200" i="10"/>
  <c r="R199" i="10"/>
  <c r="Q199" i="10"/>
  <c r="M199" i="10"/>
  <c r="I199" i="10"/>
  <c r="E199" i="10"/>
  <c r="Q198" i="10"/>
  <c r="M198" i="10"/>
  <c r="I198" i="10"/>
  <c r="R198" i="10" s="1"/>
  <c r="E198" i="10"/>
  <c r="Q197" i="10"/>
  <c r="M197" i="10"/>
  <c r="I197" i="10"/>
  <c r="E197" i="10"/>
  <c r="R197" i="10" s="1"/>
  <c r="Q196" i="10"/>
  <c r="M196" i="10"/>
  <c r="I196" i="10"/>
  <c r="E196" i="10"/>
  <c r="R196" i="10" s="1"/>
  <c r="Q195" i="10"/>
  <c r="M195" i="10"/>
  <c r="I195" i="10"/>
  <c r="E195" i="10"/>
  <c r="R195" i="10" s="1"/>
  <c r="Q194" i="10"/>
  <c r="M194" i="10"/>
  <c r="I194" i="10"/>
  <c r="E194" i="10"/>
  <c r="R194" i="10" s="1"/>
  <c r="R193" i="10"/>
  <c r="Q193" i="10"/>
  <c r="M193" i="10"/>
  <c r="I193" i="10"/>
  <c r="E193" i="10"/>
  <c r="Q192" i="10"/>
  <c r="M192" i="10"/>
  <c r="I192" i="10"/>
  <c r="R192" i="10" s="1"/>
  <c r="E192" i="10"/>
  <c r="R190" i="10"/>
  <c r="Q190" i="10"/>
  <c r="M190" i="10"/>
  <c r="I190" i="10"/>
  <c r="E190" i="10"/>
  <c r="R189" i="10"/>
  <c r="Q189" i="10"/>
  <c r="M189" i="10"/>
  <c r="I189" i="10"/>
  <c r="E189" i="10"/>
  <c r="Q188" i="10"/>
  <c r="M188" i="10"/>
  <c r="I188" i="10"/>
  <c r="R188" i="10" s="1"/>
  <c r="H188" i="10"/>
  <c r="G188" i="10"/>
  <c r="F188" i="10"/>
  <c r="E188" i="10"/>
  <c r="Q187" i="10"/>
  <c r="M187" i="10"/>
  <c r="I187" i="10"/>
  <c r="R187" i="10" s="1"/>
  <c r="E187" i="10"/>
  <c r="R186" i="10"/>
  <c r="Q186" i="10"/>
  <c r="M186" i="10"/>
  <c r="I186" i="10"/>
  <c r="E186" i="10"/>
  <c r="Q185" i="10"/>
  <c r="M185" i="10"/>
  <c r="I185" i="10"/>
  <c r="R185" i="10" s="1"/>
  <c r="E185" i="10"/>
  <c r="Q184" i="10"/>
  <c r="M184" i="10"/>
  <c r="I184" i="10"/>
  <c r="E184" i="10"/>
  <c r="R184" i="10" s="1"/>
  <c r="Q183" i="10"/>
  <c r="P183" i="10"/>
  <c r="O183" i="10"/>
  <c r="N183" i="10"/>
  <c r="L183" i="10"/>
  <c r="K183" i="10"/>
  <c r="M183" i="10" s="1"/>
  <c r="J183" i="10"/>
  <c r="I183" i="10"/>
  <c r="H183" i="10"/>
  <c r="G183" i="10"/>
  <c r="F183" i="10"/>
  <c r="F209" i="10" s="1"/>
  <c r="E183" i="10"/>
  <c r="R183" i="10" s="1"/>
  <c r="Q182" i="10"/>
  <c r="M182" i="10"/>
  <c r="I182" i="10"/>
  <c r="R182" i="10" s="1"/>
  <c r="E182" i="10"/>
  <c r="P181" i="10"/>
  <c r="O181" i="10"/>
  <c r="N181" i="10"/>
  <c r="Q181" i="10" s="1"/>
  <c r="L181" i="10"/>
  <c r="M181" i="10" s="1"/>
  <c r="K181" i="10"/>
  <c r="J181" i="10"/>
  <c r="I181" i="10"/>
  <c r="H181" i="10"/>
  <c r="H850" i="10" s="1"/>
  <c r="H856" i="10" s="1"/>
  <c r="G181" i="10"/>
  <c r="E181" i="10"/>
  <c r="R181" i="10" s="1"/>
  <c r="Q180" i="10"/>
  <c r="P180" i="10"/>
  <c r="O180" i="10"/>
  <c r="N180" i="10"/>
  <c r="M180" i="10"/>
  <c r="L180" i="10"/>
  <c r="I180" i="10"/>
  <c r="G180" i="10"/>
  <c r="G209" i="10" s="1"/>
  <c r="G305" i="10" s="1"/>
  <c r="G313" i="10" s="1"/>
  <c r="E180" i="10"/>
  <c r="R180" i="10" s="1"/>
  <c r="D180" i="10"/>
  <c r="D850" i="10" s="1"/>
  <c r="D856" i="10" s="1"/>
  <c r="C180" i="10"/>
  <c r="C850" i="10" s="1"/>
  <c r="C856" i="10" s="1"/>
  <c r="B180" i="10"/>
  <c r="B850" i="10" s="1"/>
  <c r="Q179" i="10"/>
  <c r="M179" i="10"/>
  <c r="I179" i="10"/>
  <c r="E179" i="10"/>
  <c r="R179" i="10" s="1"/>
  <c r="Q178" i="10"/>
  <c r="M178" i="10"/>
  <c r="I178" i="10"/>
  <c r="R178" i="10" s="1"/>
  <c r="E178" i="10"/>
  <c r="R177" i="10"/>
  <c r="Q177" i="10"/>
  <c r="M177" i="10"/>
  <c r="I177" i="10"/>
  <c r="E177" i="10"/>
  <c r="Q176" i="10"/>
  <c r="M176" i="10"/>
  <c r="I176" i="10"/>
  <c r="R176" i="10" s="1"/>
  <c r="E176" i="10"/>
  <c r="Q175" i="10"/>
  <c r="M175" i="10"/>
  <c r="I175" i="10"/>
  <c r="R175" i="10" s="1"/>
  <c r="E175" i="10"/>
  <c r="Q174" i="10"/>
  <c r="M174" i="10"/>
  <c r="I174" i="10"/>
  <c r="E174" i="10"/>
  <c r="R174" i="10" s="1"/>
  <c r="Q173" i="10"/>
  <c r="M173" i="10"/>
  <c r="I173" i="10"/>
  <c r="E173" i="10"/>
  <c r="R173" i="10" s="1"/>
  <c r="Q172" i="10"/>
  <c r="L172" i="10"/>
  <c r="K172" i="10"/>
  <c r="J172" i="10"/>
  <c r="J850" i="10" s="1"/>
  <c r="I172" i="10"/>
  <c r="E172" i="10"/>
  <c r="Q171" i="10"/>
  <c r="M171" i="10"/>
  <c r="I171" i="10"/>
  <c r="E171" i="10"/>
  <c r="R171" i="10" s="1"/>
  <c r="Q170" i="10"/>
  <c r="M170" i="10"/>
  <c r="I170" i="10"/>
  <c r="E170" i="10"/>
  <c r="R170" i="10" s="1"/>
  <c r="Q169" i="10"/>
  <c r="M169" i="10"/>
  <c r="I169" i="10"/>
  <c r="R169" i="10" s="1"/>
  <c r="E169" i="10"/>
  <c r="R168" i="10"/>
  <c r="Q168" i="10"/>
  <c r="M168" i="10"/>
  <c r="I168" i="10"/>
  <c r="E168" i="10"/>
  <c r="Q167" i="10"/>
  <c r="M167" i="10"/>
  <c r="I167" i="10"/>
  <c r="R167" i="10" s="1"/>
  <c r="E167" i="10"/>
  <c r="Q166" i="10"/>
  <c r="M166" i="10"/>
  <c r="I166" i="10"/>
  <c r="R166" i="10" s="1"/>
  <c r="E166" i="10"/>
  <c r="Q165" i="10"/>
  <c r="M165" i="10"/>
  <c r="I165" i="10"/>
  <c r="E165" i="10"/>
  <c r="R165" i="10" s="1"/>
  <c r="Q164" i="10"/>
  <c r="M164" i="10"/>
  <c r="I164" i="10"/>
  <c r="E164" i="10"/>
  <c r="R164" i="10" s="1"/>
  <c r="Q163" i="10"/>
  <c r="M163" i="10"/>
  <c r="I163" i="10"/>
  <c r="E163" i="10"/>
  <c r="R163" i="10" s="1"/>
  <c r="Q162" i="10"/>
  <c r="M162" i="10"/>
  <c r="I162" i="10"/>
  <c r="E162" i="10"/>
  <c r="R162" i="10" s="1"/>
  <c r="Q161" i="10"/>
  <c r="M161" i="10"/>
  <c r="I161" i="10"/>
  <c r="R161" i="10" s="1"/>
  <c r="E161" i="10"/>
  <c r="R160" i="10"/>
  <c r="Q160" i="10"/>
  <c r="M160" i="10"/>
  <c r="I160" i="10"/>
  <c r="E160" i="10"/>
  <c r="Q159" i="10"/>
  <c r="M159" i="10"/>
  <c r="I159" i="10"/>
  <c r="R159" i="10" s="1"/>
  <c r="E159" i="10"/>
  <c r="Q158" i="10"/>
  <c r="M158" i="10"/>
  <c r="I158" i="10"/>
  <c r="R158" i="10" s="1"/>
  <c r="E158" i="10"/>
  <c r="Q157" i="10"/>
  <c r="M157" i="10"/>
  <c r="I157" i="10"/>
  <c r="G157" i="10"/>
  <c r="F157" i="10"/>
  <c r="E157" i="10"/>
  <c r="R157" i="10" s="1"/>
  <c r="Q156" i="10"/>
  <c r="M156" i="10"/>
  <c r="I156" i="10"/>
  <c r="E156" i="10"/>
  <c r="R156" i="10" s="1"/>
  <c r="Q155" i="10"/>
  <c r="M155" i="10"/>
  <c r="I155" i="10"/>
  <c r="R155" i="10" s="1"/>
  <c r="E155" i="10"/>
  <c r="R154" i="10"/>
  <c r="Q154" i="10"/>
  <c r="M154" i="10"/>
  <c r="I154" i="10"/>
  <c r="E154" i="10"/>
  <c r="Q153" i="10"/>
  <c r="M153" i="10"/>
  <c r="I153" i="10"/>
  <c r="R153" i="10" s="1"/>
  <c r="E153" i="10"/>
  <c r="P152" i="10"/>
  <c r="O152" i="10"/>
  <c r="O850" i="10" s="1"/>
  <c r="O856" i="10" s="1"/>
  <c r="M152" i="10"/>
  <c r="I152" i="10"/>
  <c r="E152" i="10"/>
  <c r="Q151" i="10"/>
  <c r="M151" i="10"/>
  <c r="I151" i="10"/>
  <c r="E151" i="10"/>
  <c r="R151" i="10" s="1"/>
  <c r="Q150" i="10"/>
  <c r="M150" i="10"/>
  <c r="I150" i="10"/>
  <c r="E150" i="10"/>
  <c r="R150" i="10" s="1"/>
  <c r="Q149" i="10"/>
  <c r="M149" i="10"/>
  <c r="I149" i="10"/>
  <c r="R149" i="10" s="1"/>
  <c r="E149" i="10"/>
  <c r="R148" i="10"/>
  <c r="Q148" i="10"/>
  <c r="M148" i="10"/>
  <c r="I148" i="10"/>
  <c r="E148" i="10"/>
  <c r="Q147" i="10"/>
  <c r="M147" i="10"/>
  <c r="I147" i="10"/>
  <c r="R147" i="10" s="1"/>
  <c r="E147" i="10"/>
  <c r="Q146" i="10"/>
  <c r="M146" i="10"/>
  <c r="I146" i="10"/>
  <c r="R146" i="10" s="1"/>
  <c r="E146" i="10"/>
  <c r="Q145" i="10"/>
  <c r="M145" i="10"/>
  <c r="I145" i="10"/>
  <c r="E145" i="10"/>
  <c r="R145" i="10" s="1"/>
  <c r="Q144" i="10"/>
  <c r="M144" i="10"/>
  <c r="I144" i="10"/>
  <c r="E144" i="10"/>
  <c r="R144" i="10" s="1"/>
  <c r="Q143" i="10"/>
  <c r="M143" i="10"/>
  <c r="I143" i="10"/>
  <c r="E143" i="10"/>
  <c r="R143" i="10" s="1"/>
  <c r="Q142" i="10"/>
  <c r="M142" i="10"/>
  <c r="I142" i="10"/>
  <c r="E142" i="10"/>
  <c r="R142" i="10" s="1"/>
  <c r="Q141" i="10"/>
  <c r="M141" i="10"/>
  <c r="I141" i="10"/>
  <c r="R141" i="10" s="1"/>
  <c r="E141" i="10"/>
  <c r="Q129" i="10"/>
  <c r="M129" i="10"/>
  <c r="I129" i="10"/>
  <c r="R129" i="10" s="1"/>
  <c r="E129" i="10"/>
  <c r="P127" i="10"/>
  <c r="Q127" i="10" s="1"/>
  <c r="O127" i="10"/>
  <c r="N127" i="10"/>
  <c r="L127" i="10"/>
  <c r="K127" i="10"/>
  <c r="J127" i="10"/>
  <c r="M127" i="10" s="1"/>
  <c r="H127" i="10"/>
  <c r="I127" i="10" s="1"/>
  <c r="G127" i="10"/>
  <c r="F127" i="10"/>
  <c r="D127" i="10"/>
  <c r="C127" i="10"/>
  <c r="B127" i="10"/>
  <c r="E127" i="10" s="1"/>
  <c r="R127" i="10" s="1"/>
  <c r="P126" i="10"/>
  <c r="O126" i="10"/>
  <c r="N126" i="10"/>
  <c r="Q126" i="10" s="1"/>
  <c r="L126" i="10"/>
  <c r="K126" i="10"/>
  <c r="M126" i="10" s="1"/>
  <c r="J126" i="10"/>
  <c r="H126" i="10"/>
  <c r="G126" i="10"/>
  <c r="F126" i="10"/>
  <c r="I126" i="10" s="1"/>
  <c r="D126" i="10"/>
  <c r="C126" i="10"/>
  <c r="E126" i="10" s="1"/>
  <c r="R126" i="10" s="1"/>
  <c r="B126" i="10"/>
  <c r="Q125" i="10"/>
  <c r="M125" i="10"/>
  <c r="I125" i="10"/>
  <c r="R125" i="10" s="1"/>
  <c r="E125" i="10"/>
  <c r="Q124" i="10"/>
  <c r="M124" i="10"/>
  <c r="I124" i="10"/>
  <c r="E124" i="10"/>
  <c r="R124" i="10" s="1"/>
  <c r="Q122" i="10"/>
  <c r="M122" i="10"/>
  <c r="I122" i="10"/>
  <c r="E122" i="10"/>
  <c r="R122" i="10" s="1"/>
  <c r="Q120" i="10"/>
  <c r="M120" i="10"/>
  <c r="I120" i="10"/>
  <c r="E120" i="10"/>
  <c r="R120" i="10" s="1"/>
  <c r="Q119" i="10"/>
  <c r="M119" i="10"/>
  <c r="I119" i="10"/>
  <c r="E119" i="10"/>
  <c r="R119" i="10" s="1"/>
  <c r="Q117" i="10"/>
  <c r="M117" i="10"/>
  <c r="I117" i="10"/>
  <c r="E117" i="10"/>
  <c r="R117" i="10" s="1"/>
  <c r="R116" i="10"/>
  <c r="Q116" i="10"/>
  <c r="M116" i="10"/>
  <c r="I116" i="10"/>
  <c r="E116" i="10"/>
  <c r="Q115" i="10"/>
  <c r="M115" i="10"/>
  <c r="I115" i="10"/>
  <c r="R115" i="10" s="1"/>
  <c r="E115" i="10"/>
  <c r="Q114" i="10"/>
  <c r="M114" i="10"/>
  <c r="I114" i="10"/>
  <c r="R114" i="10" s="1"/>
  <c r="E114" i="10"/>
  <c r="Q113" i="10"/>
  <c r="M113" i="10"/>
  <c r="I113" i="10"/>
  <c r="E113" i="10"/>
  <c r="R113" i="10" s="1"/>
  <c r="Q112" i="10"/>
  <c r="M112" i="10"/>
  <c r="I112" i="10"/>
  <c r="E112" i="10"/>
  <c r="R112" i="10" s="1"/>
  <c r="Q111" i="10"/>
  <c r="M111" i="10"/>
  <c r="I111" i="10"/>
  <c r="E111" i="10"/>
  <c r="R111" i="10" s="1"/>
  <c r="Q110" i="10"/>
  <c r="M110" i="10"/>
  <c r="I110" i="10"/>
  <c r="E110" i="10"/>
  <c r="R110" i="10" s="1"/>
  <c r="P107" i="10"/>
  <c r="O107" i="10"/>
  <c r="Q107" i="10" s="1"/>
  <c r="N107" i="10"/>
  <c r="M107" i="10"/>
  <c r="L107" i="10"/>
  <c r="K107" i="10"/>
  <c r="J107" i="10"/>
  <c r="H107" i="10"/>
  <c r="G107" i="10"/>
  <c r="I107" i="10" s="1"/>
  <c r="F107" i="10"/>
  <c r="E107" i="10"/>
  <c r="R107" i="10" s="1"/>
  <c r="D107" i="10"/>
  <c r="C107" i="10"/>
  <c r="B107" i="10"/>
  <c r="Q106" i="10"/>
  <c r="M106" i="10"/>
  <c r="I106" i="10"/>
  <c r="E106" i="10"/>
  <c r="R106" i="10" s="1"/>
  <c r="Q105" i="10"/>
  <c r="M105" i="10"/>
  <c r="I105" i="10"/>
  <c r="E105" i="10"/>
  <c r="R105" i="10" s="1"/>
  <c r="Q104" i="10"/>
  <c r="M104" i="10"/>
  <c r="I104" i="10"/>
  <c r="E104" i="10"/>
  <c r="R104" i="10" s="1"/>
  <c r="Q103" i="10"/>
  <c r="M103" i="10"/>
  <c r="I103" i="10"/>
  <c r="E103" i="10"/>
  <c r="R103" i="10" s="1"/>
  <c r="R102" i="10"/>
  <c r="Q102" i="10"/>
  <c r="M102" i="10"/>
  <c r="I102" i="10"/>
  <c r="E102" i="10"/>
  <c r="Q101" i="10"/>
  <c r="M101" i="10"/>
  <c r="I101" i="10"/>
  <c r="R101" i="10" s="1"/>
  <c r="E101" i="10"/>
  <c r="Q100" i="10"/>
  <c r="M100" i="10"/>
  <c r="I100" i="10"/>
  <c r="E100" i="10"/>
  <c r="R100" i="10" s="1"/>
  <c r="Q96" i="10"/>
  <c r="P96" i="10"/>
  <c r="P128" i="10" s="1"/>
  <c r="P131" i="10" s="1"/>
  <c r="O96" i="10"/>
  <c r="N96" i="10"/>
  <c r="L96" i="10"/>
  <c r="K96" i="10"/>
  <c r="M96" i="10" s="1"/>
  <c r="J96" i="10"/>
  <c r="I96" i="10"/>
  <c r="H96" i="10"/>
  <c r="H128" i="10" s="1"/>
  <c r="H131" i="10" s="1"/>
  <c r="G96" i="10"/>
  <c r="F96" i="10"/>
  <c r="D96" i="10"/>
  <c r="C96" i="10"/>
  <c r="E96" i="10" s="1"/>
  <c r="B96" i="10"/>
  <c r="R94" i="10"/>
  <c r="Q94" i="10"/>
  <c r="M94" i="10"/>
  <c r="I94" i="10"/>
  <c r="E94" i="10"/>
  <c r="Q93" i="10"/>
  <c r="M93" i="10"/>
  <c r="I93" i="10"/>
  <c r="R93" i="10" s="1"/>
  <c r="E93" i="10"/>
  <c r="P89" i="10"/>
  <c r="O89" i="10"/>
  <c r="O128" i="10" s="1"/>
  <c r="O131" i="10" s="1"/>
  <c r="N89" i="10"/>
  <c r="N128" i="10" s="1"/>
  <c r="L89" i="10"/>
  <c r="L128" i="10" s="1"/>
  <c r="L131" i="10" s="1"/>
  <c r="K89" i="10"/>
  <c r="J89" i="10"/>
  <c r="J128" i="10" s="1"/>
  <c r="H89" i="10"/>
  <c r="G89" i="10"/>
  <c r="G128" i="10" s="1"/>
  <c r="G131" i="10" s="1"/>
  <c r="F89" i="10"/>
  <c r="F128" i="10" s="1"/>
  <c r="D89" i="10"/>
  <c r="D128" i="10" s="1"/>
  <c r="D131" i="10" s="1"/>
  <c r="C89" i="10"/>
  <c r="B89" i="10"/>
  <c r="B128" i="10" s="1"/>
  <c r="Q87" i="10"/>
  <c r="M87" i="10"/>
  <c r="I87" i="10"/>
  <c r="E87" i="10"/>
  <c r="R87" i="10" s="1"/>
  <c r="R86" i="10"/>
  <c r="Q86" i="10"/>
  <c r="M86" i="10"/>
  <c r="I86" i="10"/>
  <c r="E86" i="10"/>
  <c r="Q84" i="10"/>
  <c r="M84" i="10"/>
  <c r="I84" i="10"/>
  <c r="R84" i="10" s="1"/>
  <c r="E84" i="10"/>
  <c r="Q82" i="10"/>
  <c r="M82" i="10"/>
  <c r="I82" i="10"/>
  <c r="E82" i="10"/>
  <c r="R82" i="10" s="1"/>
  <c r="R81" i="10"/>
  <c r="Q81" i="10"/>
  <c r="M81" i="10"/>
  <c r="I81" i="10"/>
  <c r="E81" i="10"/>
  <c r="Q80" i="10"/>
  <c r="M80" i="10"/>
  <c r="I80" i="10"/>
  <c r="R80" i="10" s="1"/>
  <c r="E80" i="10"/>
  <c r="Q79" i="10"/>
  <c r="M79" i="10"/>
  <c r="I79" i="10"/>
  <c r="E79" i="10"/>
  <c r="R79" i="10" s="1"/>
  <c r="Q78" i="10"/>
  <c r="M78" i="10"/>
  <c r="I78" i="10"/>
  <c r="E78" i="10"/>
  <c r="R78" i="10" s="1"/>
  <c r="Q77" i="10"/>
  <c r="M77" i="10"/>
  <c r="I77" i="10"/>
  <c r="E77" i="10"/>
  <c r="R77" i="10" s="1"/>
  <c r="Q76" i="10"/>
  <c r="M76" i="10"/>
  <c r="I76" i="10"/>
  <c r="E76" i="10"/>
  <c r="R76" i="10" s="1"/>
  <c r="Q75" i="10"/>
  <c r="M75" i="10"/>
  <c r="I75" i="10"/>
  <c r="E75" i="10"/>
  <c r="R75" i="10" s="1"/>
  <c r="Q74" i="10"/>
  <c r="M74" i="10"/>
  <c r="I74" i="10"/>
  <c r="E74" i="10"/>
  <c r="R74" i="10" s="1"/>
  <c r="R73" i="10"/>
  <c r="Q73" i="10"/>
  <c r="M73" i="10"/>
  <c r="I73" i="10"/>
  <c r="E73" i="10"/>
  <c r="Q72" i="10"/>
  <c r="M72" i="10"/>
  <c r="I72" i="10"/>
  <c r="R72" i="10" s="1"/>
  <c r="E72" i="10"/>
  <c r="Q60" i="10"/>
  <c r="M60" i="10"/>
  <c r="I60" i="10"/>
  <c r="E60" i="10"/>
  <c r="R60" i="10" s="1"/>
  <c r="P58" i="10"/>
  <c r="O58" i="10"/>
  <c r="N58" i="10"/>
  <c r="Q58" i="10" s="1"/>
  <c r="L58" i="10"/>
  <c r="K58" i="10"/>
  <c r="J58" i="10"/>
  <c r="M58" i="10" s="1"/>
  <c r="H58" i="10"/>
  <c r="G58" i="10"/>
  <c r="F58" i="10"/>
  <c r="I58" i="10" s="1"/>
  <c r="D58" i="10"/>
  <c r="C58" i="10"/>
  <c r="B58" i="10"/>
  <c r="E58" i="10" s="1"/>
  <c r="P57" i="10"/>
  <c r="O57" i="10"/>
  <c r="Q57" i="10" s="1"/>
  <c r="N57" i="10"/>
  <c r="M57" i="10"/>
  <c r="L57" i="10"/>
  <c r="K57" i="10"/>
  <c r="J57" i="10"/>
  <c r="H57" i="10"/>
  <c r="G57" i="10"/>
  <c r="I57" i="10" s="1"/>
  <c r="F57" i="10"/>
  <c r="E57" i="10"/>
  <c r="D57" i="10"/>
  <c r="C57" i="10"/>
  <c r="B57" i="10"/>
  <c r="Q54" i="10"/>
  <c r="M54" i="10"/>
  <c r="I54" i="10"/>
  <c r="E54" i="10"/>
  <c r="R54" i="10" s="1"/>
  <c r="P50" i="10"/>
  <c r="O50" i="10"/>
  <c r="N50" i="10"/>
  <c r="Q50" i="10" s="1"/>
  <c r="L50" i="10"/>
  <c r="K50" i="10"/>
  <c r="K59" i="10" s="1"/>
  <c r="K62" i="10" s="1"/>
  <c r="J50" i="10"/>
  <c r="H50" i="10"/>
  <c r="G50" i="10"/>
  <c r="F50" i="10"/>
  <c r="I50" i="10" s="1"/>
  <c r="D50" i="10"/>
  <c r="C50" i="10"/>
  <c r="C59" i="10" s="1"/>
  <c r="C62" i="10" s="1"/>
  <c r="B50" i="10"/>
  <c r="P46" i="10"/>
  <c r="O46" i="10"/>
  <c r="N46" i="10"/>
  <c r="Q46" i="10" s="1"/>
  <c r="L46" i="10"/>
  <c r="K46" i="10"/>
  <c r="J46" i="10"/>
  <c r="J59" i="10" s="1"/>
  <c r="H46" i="10"/>
  <c r="G46" i="10"/>
  <c r="F46" i="10"/>
  <c r="I46" i="10" s="1"/>
  <c r="D46" i="10"/>
  <c r="C46" i="10"/>
  <c r="B46" i="10"/>
  <c r="B59" i="10" s="1"/>
  <c r="P41" i="10"/>
  <c r="P59" i="10" s="1"/>
  <c r="P62" i="10" s="1"/>
  <c r="O41" i="10"/>
  <c r="O59" i="10" s="1"/>
  <c r="O62" i="10" s="1"/>
  <c r="N41" i="10"/>
  <c r="M41" i="10"/>
  <c r="L41" i="10"/>
  <c r="L59" i="10" s="1"/>
  <c r="L62" i="10" s="1"/>
  <c r="K41" i="10"/>
  <c r="J41" i="10"/>
  <c r="H41" i="10"/>
  <c r="H59" i="10" s="1"/>
  <c r="H62" i="10" s="1"/>
  <c r="G41" i="10"/>
  <c r="G59" i="10" s="1"/>
  <c r="G62" i="10" s="1"/>
  <c r="F41" i="10"/>
  <c r="E41" i="10"/>
  <c r="D41" i="10"/>
  <c r="D59" i="10" s="1"/>
  <c r="D62" i="10" s="1"/>
  <c r="C41" i="10"/>
  <c r="B41" i="10"/>
  <c r="Q38" i="10"/>
  <c r="M38" i="10"/>
  <c r="I38" i="10"/>
  <c r="E38" i="10"/>
  <c r="R38" i="10" s="1"/>
  <c r="P27" i="10"/>
  <c r="O27" i="10"/>
  <c r="N27" i="10"/>
  <c r="L27" i="10"/>
  <c r="K27" i="10"/>
  <c r="J27" i="10"/>
  <c r="H27" i="10"/>
  <c r="G27" i="10"/>
  <c r="F27" i="10"/>
  <c r="D27" i="10"/>
  <c r="C27" i="10"/>
  <c r="B27" i="10"/>
  <c r="Q25" i="10"/>
  <c r="M25" i="10"/>
  <c r="I25" i="10"/>
  <c r="E25" i="10"/>
  <c r="R25" i="10" s="1"/>
  <c r="R20" i="10"/>
  <c r="Q20" i="10"/>
  <c r="M20" i="10"/>
  <c r="I20" i="10"/>
  <c r="E20" i="10"/>
  <c r="P18" i="10"/>
  <c r="O18" i="10"/>
  <c r="N18" i="10"/>
  <c r="Q18" i="10" s="1"/>
  <c r="L18" i="10"/>
  <c r="K18" i="10"/>
  <c r="J18" i="10"/>
  <c r="M18" i="10" s="1"/>
  <c r="H18" i="10"/>
  <c r="G18" i="10"/>
  <c r="F18" i="10"/>
  <c r="I18" i="10" s="1"/>
  <c r="D18" i="10"/>
  <c r="C18" i="10"/>
  <c r="B18" i="10"/>
  <c r="E18" i="10" s="1"/>
  <c r="Q17" i="10"/>
  <c r="P17" i="10"/>
  <c r="O17" i="10"/>
  <c r="N17" i="10"/>
  <c r="L17" i="10"/>
  <c r="K17" i="10"/>
  <c r="M17" i="10" s="1"/>
  <c r="J17" i="10"/>
  <c r="I17" i="10"/>
  <c r="H17" i="10"/>
  <c r="G17" i="10"/>
  <c r="F17" i="10"/>
  <c r="D17" i="10"/>
  <c r="C17" i="10"/>
  <c r="E17" i="10" s="1"/>
  <c r="R17" i="10" s="1"/>
  <c r="B17" i="10"/>
  <c r="P16" i="10"/>
  <c r="Q16" i="10" s="1"/>
  <c r="O16" i="10"/>
  <c r="N16" i="10"/>
  <c r="L16" i="10"/>
  <c r="K16" i="10"/>
  <c r="J16" i="10"/>
  <c r="M16" i="10" s="1"/>
  <c r="H16" i="10"/>
  <c r="I16" i="10" s="1"/>
  <c r="G16" i="10"/>
  <c r="F16" i="10"/>
  <c r="D16" i="10"/>
  <c r="C16" i="10"/>
  <c r="B16" i="10"/>
  <c r="E16" i="10" s="1"/>
  <c r="P15" i="10"/>
  <c r="O15" i="10"/>
  <c r="N15" i="10"/>
  <c r="Q15" i="10" s="1"/>
  <c r="L15" i="10"/>
  <c r="K15" i="10"/>
  <c r="M15" i="10" s="1"/>
  <c r="J15" i="10"/>
  <c r="H15" i="10"/>
  <c r="G15" i="10"/>
  <c r="F15" i="10"/>
  <c r="I15" i="10" s="1"/>
  <c r="D15" i="10"/>
  <c r="C15" i="10"/>
  <c r="E15" i="10" s="1"/>
  <c r="B15" i="10"/>
  <c r="P14" i="10"/>
  <c r="O14" i="10"/>
  <c r="N14" i="10"/>
  <c r="Q14" i="10" s="1"/>
  <c r="L14" i="10"/>
  <c r="K14" i="10"/>
  <c r="J14" i="10"/>
  <c r="M14" i="10" s="1"/>
  <c r="H14" i="10"/>
  <c r="G14" i="10"/>
  <c r="F14" i="10"/>
  <c r="I14" i="10" s="1"/>
  <c r="D14" i="10"/>
  <c r="C14" i="10"/>
  <c r="B14" i="10"/>
  <c r="E14" i="10" s="1"/>
  <c r="N28" i="10"/>
  <c r="G325" i="10"/>
  <c r="AP906" i="10" s="1"/>
  <c r="R1" i="10"/>
  <c r="O1112" i="9"/>
  <c r="K1112" i="9"/>
  <c r="G1112" i="9"/>
  <c r="Q1109" i="9"/>
  <c r="M1109" i="9"/>
  <c r="G1109" i="9"/>
  <c r="I1109" i="9" s="1"/>
  <c r="E1109" i="9"/>
  <c r="C1109" i="9"/>
  <c r="Q1108" i="9"/>
  <c r="M1108" i="9"/>
  <c r="G1108" i="9"/>
  <c r="I1108" i="9" s="1"/>
  <c r="E1108" i="9"/>
  <c r="C1108" i="9"/>
  <c r="Q1107" i="9"/>
  <c r="R1109" i="9" s="1"/>
  <c r="M1107" i="9"/>
  <c r="N1109" i="9" s="1"/>
  <c r="G1107" i="9"/>
  <c r="I1107" i="9" s="1"/>
  <c r="J1109" i="9" s="1"/>
  <c r="E1107" i="9"/>
  <c r="C1107" i="9"/>
  <c r="Q1106" i="9"/>
  <c r="M1106" i="9"/>
  <c r="G1106" i="9"/>
  <c r="I1106" i="9" s="1"/>
  <c r="E1106" i="9"/>
  <c r="F1106" i="9" s="1"/>
  <c r="C1106" i="9"/>
  <c r="Q1105" i="9"/>
  <c r="M1105" i="9"/>
  <c r="G1105" i="9"/>
  <c r="I1105" i="9" s="1"/>
  <c r="E1105" i="9"/>
  <c r="C1105" i="9"/>
  <c r="Q1104" i="9"/>
  <c r="R1106" i="9" s="1"/>
  <c r="M1104" i="9"/>
  <c r="N1106" i="9" s="1"/>
  <c r="G1104" i="9"/>
  <c r="I1104" i="9" s="1"/>
  <c r="J1106" i="9" s="1"/>
  <c r="E1104" i="9"/>
  <c r="C1104" i="9"/>
  <c r="Q1103" i="9"/>
  <c r="M1103" i="9"/>
  <c r="G1103" i="9"/>
  <c r="I1103" i="9" s="1"/>
  <c r="E1103" i="9"/>
  <c r="F1103" i="9" s="1"/>
  <c r="C1103" i="9"/>
  <c r="Q1102" i="9"/>
  <c r="M1102" i="9"/>
  <c r="G1102" i="9"/>
  <c r="I1102" i="9" s="1"/>
  <c r="E1102" i="9"/>
  <c r="C1102" i="9"/>
  <c r="Q1101" i="9"/>
  <c r="R1103" i="9" s="1"/>
  <c r="M1101" i="9"/>
  <c r="N1103" i="9" s="1"/>
  <c r="I1101" i="9"/>
  <c r="J1103" i="9" s="1"/>
  <c r="G1101" i="9"/>
  <c r="E1101" i="9"/>
  <c r="C1101" i="9"/>
  <c r="Q1100" i="9"/>
  <c r="M1100" i="9"/>
  <c r="I1100" i="9"/>
  <c r="G1100" i="9"/>
  <c r="E1100" i="9"/>
  <c r="C1100" i="9"/>
  <c r="Q1099" i="9"/>
  <c r="M1099" i="9"/>
  <c r="I1099" i="9"/>
  <c r="J1100" i="9" s="1"/>
  <c r="G1099" i="9"/>
  <c r="E1099" i="9"/>
  <c r="C1099" i="9"/>
  <c r="Q1098" i="9"/>
  <c r="M1098" i="9"/>
  <c r="I1098" i="9"/>
  <c r="E1098" i="9"/>
  <c r="F1100" i="9" s="1"/>
  <c r="C1098" i="9"/>
  <c r="C1112" i="9" s="1"/>
  <c r="G1092" i="9"/>
  <c r="O1091" i="9"/>
  <c r="K1091" i="9"/>
  <c r="C1091" i="9"/>
  <c r="I1088" i="9"/>
  <c r="J1085" i="9"/>
  <c r="Q1084" i="9"/>
  <c r="P1060" i="9"/>
  <c r="O1060" i="9" s="1"/>
  <c r="J1060" i="9"/>
  <c r="L1060" i="9" s="1"/>
  <c r="I1060" i="9"/>
  <c r="G1060" i="9"/>
  <c r="F1060" i="9"/>
  <c r="B1033" i="9" s="1"/>
  <c r="P1059" i="9"/>
  <c r="O1059" i="9" s="1"/>
  <c r="J1059" i="9"/>
  <c r="L1059" i="9" s="1"/>
  <c r="I1059" i="9"/>
  <c r="G1059" i="9"/>
  <c r="F1059" i="9"/>
  <c r="B1032" i="9" s="1"/>
  <c r="N1058" i="9"/>
  <c r="P1058" i="9" s="1"/>
  <c r="O1058" i="9" s="1"/>
  <c r="J1058" i="9"/>
  <c r="G1058" i="9" s="1"/>
  <c r="I1058" i="9"/>
  <c r="F1058" i="9" s="1"/>
  <c r="N1057" i="9"/>
  <c r="P1057" i="9" s="1"/>
  <c r="O1057" i="9" s="1"/>
  <c r="J1057" i="9"/>
  <c r="I1057" i="9"/>
  <c r="F1057" i="9" s="1"/>
  <c r="N1056" i="9"/>
  <c r="P1056" i="9" s="1"/>
  <c r="O1056" i="9" s="1"/>
  <c r="J1056" i="9"/>
  <c r="G1056" i="9" s="1"/>
  <c r="I1056" i="9"/>
  <c r="F1056" i="9" s="1"/>
  <c r="P1055" i="9"/>
  <c r="O1055" i="9" s="1"/>
  <c r="N1055" i="9"/>
  <c r="J1055" i="9"/>
  <c r="L1055" i="9" s="1"/>
  <c r="I1055" i="9"/>
  <c r="G1055" i="9"/>
  <c r="F1055" i="9"/>
  <c r="P1054" i="9"/>
  <c r="O1054" i="9" s="1"/>
  <c r="N1054" i="9"/>
  <c r="J1054" i="9"/>
  <c r="L1054" i="9" s="1"/>
  <c r="I1054" i="9"/>
  <c r="G1054" i="9"/>
  <c r="F1054" i="9"/>
  <c r="P1053" i="9"/>
  <c r="O1053" i="9" s="1"/>
  <c r="N1053" i="9"/>
  <c r="J1053" i="9"/>
  <c r="L1053" i="9" s="1"/>
  <c r="I1053" i="9"/>
  <c r="G1053" i="9"/>
  <c r="F1053" i="9"/>
  <c r="P1052" i="9"/>
  <c r="O1052" i="9" s="1"/>
  <c r="J1052" i="9"/>
  <c r="I1052" i="9"/>
  <c r="F1052" i="9" s="1"/>
  <c r="P1051" i="9"/>
  <c r="O1051" i="9" s="1"/>
  <c r="J1051" i="9"/>
  <c r="L1051" i="9" s="1"/>
  <c r="I1051" i="9"/>
  <c r="F1051" i="9" s="1"/>
  <c r="G1051" i="9"/>
  <c r="N1050" i="9"/>
  <c r="P1050" i="9" s="1"/>
  <c r="O1050" i="9" s="1"/>
  <c r="J1050" i="9"/>
  <c r="I1050" i="9"/>
  <c r="F1050" i="9" s="1"/>
  <c r="G1050" i="9"/>
  <c r="P1049" i="9"/>
  <c r="O1049" i="9"/>
  <c r="L1049" i="9"/>
  <c r="J1049" i="9"/>
  <c r="I1049" i="9"/>
  <c r="F1049" i="9" s="1"/>
  <c r="G1049" i="9"/>
  <c r="B1043" i="9"/>
  <c r="B1040" i="9"/>
  <c r="AD1039" i="9"/>
  <c r="Q1039" i="9"/>
  <c r="C1033" i="9"/>
  <c r="C1032" i="9"/>
  <c r="C1031" i="9"/>
  <c r="B1031" i="9"/>
  <c r="B1030" i="9"/>
  <c r="D1029" i="9"/>
  <c r="C1029" i="9"/>
  <c r="B1029" i="9"/>
  <c r="D1028" i="9"/>
  <c r="C1028" i="9"/>
  <c r="B1028" i="9"/>
  <c r="D1027" i="9"/>
  <c r="C1027" i="9"/>
  <c r="B1027" i="9"/>
  <c r="C1026" i="9"/>
  <c r="B1026" i="9"/>
  <c r="B1025" i="9"/>
  <c r="AD1024" i="9"/>
  <c r="C1024" i="9"/>
  <c r="B1024" i="9"/>
  <c r="C1023" i="9"/>
  <c r="AD1030" i="9" s="1"/>
  <c r="B1023" i="9"/>
  <c r="AD1022" i="9"/>
  <c r="C1022" i="9"/>
  <c r="B1022" i="9"/>
  <c r="AE1019" i="9"/>
  <c r="B1018" i="9"/>
  <c r="B1015" i="9"/>
  <c r="Q1014" i="9"/>
  <c r="P1008" i="9"/>
  <c r="P1007" i="9"/>
  <c r="P1006" i="9"/>
  <c r="P1005" i="9"/>
  <c r="P1004" i="9"/>
  <c r="P1003" i="9"/>
  <c r="P1002" i="9"/>
  <c r="P1001" i="9"/>
  <c r="P1000" i="9"/>
  <c r="P999" i="9"/>
  <c r="P998" i="9"/>
  <c r="P997" i="9"/>
  <c r="M992" i="9"/>
  <c r="R983" i="9"/>
  <c r="N983" i="9"/>
  <c r="L983" i="9"/>
  <c r="K983" i="9"/>
  <c r="I983" i="9"/>
  <c r="H983" i="9"/>
  <c r="J983" i="9" s="1"/>
  <c r="J981" i="9"/>
  <c r="J980" i="9"/>
  <c r="J979" i="9"/>
  <c r="J978" i="9"/>
  <c r="J977" i="9"/>
  <c r="J976" i="9"/>
  <c r="AR975" i="9"/>
  <c r="AQ975" i="9"/>
  <c r="AP975" i="9"/>
  <c r="AO975" i="9"/>
  <c r="AN975" i="9"/>
  <c r="AM975" i="9"/>
  <c r="AL975" i="9"/>
  <c r="AK975" i="9"/>
  <c r="AJ975" i="9"/>
  <c r="AI975" i="9"/>
  <c r="AH975" i="9"/>
  <c r="AG975" i="9"/>
  <c r="AF975" i="9"/>
  <c r="AE975" i="9"/>
  <c r="AD975" i="9"/>
  <c r="J975" i="9"/>
  <c r="J974" i="9"/>
  <c r="J973" i="9"/>
  <c r="J972" i="9"/>
  <c r="J971" i="9"/>
  <c r="J970" i="9"/>
  <c r="AD965" i="9"/>
  <c r="AD962" i="9"/>
  <c r="B962" i="9"/>
  <c r="AR961" i="9"/>
  <c r="B961" i="9"/>
  <c r="Q960" i="9"/>
  <c r="F951" i="9"/>
  <c r="G942" i="9"/>
  <c r="AR940" i="9"/>
  <c r="AQ940" i="9"/>
  <c r="AP940" i="9"/>
  <c r="AO940" i="9"/>
  <c r="AN940" i="9"/>
  <c r="AM940" i="9"/>
  <c r="AL940" i="9"/>
  <c r="AK940" i="9"/>
  <c r="AJ940" i="9"/>
  <c r="AI940" i="9"/>
  <c r="AH940" i="9"/>
  <c r="AH947" i="9" s="1"/>
  <c r="AG940" i="9"/>
  <c r="AF940" i="9"/>
  <c r="AE940" i="9"/>
  <c r="AD940" i="9"/>
  <c r="B935" i="9"/>
  <c r="B932" i="9"/>
  <c r="Q931" i="9"/>
  <c r="AD930" i="9"/>
  <c r="AD927" i="9"/>
  <c r="AR926" i="9"/>
  <c r="AS922" i="9"/>
  <c r="AD922" i="9"/>
  <c r="AS920" i="9"/>
  <c r="AH920" i="9"/>
  <c r="AS916" i="9"/>
  <c r="AH916" i="9"/>
  <c r="AD916" i="9"/>
  <c r="AS914" i="9"/>
  <c r="AD914" i="9"/>
  <c r="AG913" i="9"/>
  <c r="AS912" i="9"/>
  <c r="AH912" i="9"/>
  <c r="AD912" i="9"/>
  <c r="AE911" i="9"/>
  <c r="AD911" i="9"/>
  <c r="AR909" i="9"/>
  <c r="AQ909" i="9"/>
  <c r="AP909" i="9"/>
  <c r="AO909" i="9"/>
  <c r="AG909" i="9"/>
  <c r="AG920" i="9" s="1"/>
  <c r="AF909" i="9"/>
  <c r="AE909" i="9"/>
  <c r="AE914" i="9" s="1"/>
  <c r="AD909" i="9"/>
  <c r="B909" i="9"/>
  <c r="B906" i="9"/>
  <c r="Q905" i="9"/>
  <c r="AR904" i="9"/>
  <c r="AG904" i="9"/>
  <c r="AS901" i="9"/>
  <c r="AH901" i="9"/>
  <c r="AS899" i="9"/>
  <c r="T896" i="9"/>
  <c r="G896" i="9"/>
  <c r="F896" i="9"/>
  <c r="AG922" i="9" s="1"/>
  <c r="T895" i="9"/>
  <c r="G895" i="9"/>
  <c r="F895" i="9"/>
  <c r="T894" i="9"/>
  <c r="G894" i="9"/>
  <c r="F894" i="9"/>
  <c r="T893" i="9"/>
  <c r="G893" i="9"/>
  <c r="F893" i="9"/>
  <c r="T892" i="9"/>
  <c r="G892" i="9"/>
  <c r="F892" i="9"/>
  <c r="T891" i="9"/>
  <c r="AE882" i="9" s="1"/>
  <c r="G891" i="9"/>
  <c r="G948" i="9" s="1"/>
  <c r="F891" i="9"/>
  <c r="AG917" i="9" s="1"/>
  <c r="T890" i="9"/>
  <c r="G890" i="9"/>
  <c r="F890" i="9"/>
  <c r="F947" i="9" s="1"/>
  <c r="T889" i="9"/>
  <c r="AH915" i="9" s="1"/>
  <c r="G889" i="9"/>
  <c r="F889" i="9"/>
  <c r="T888" i="9"/>
  <c r="AH914" i="9" s="1"/>
  <c r="G888" i="9"/>
  <c r="G945" i="9" s="1"/>
  <c r="F888" i="9"/>
  <c r="AE887" i="9"/>
  <c r="AD887" i="9"/>
  <c r="AO887" i="9" s="1"/>
  <c r="T887" i="9"/>
  <c r="G887" i="9"/>
  <c r="F887" i="9"/>
  <c r="AE886" i="9"/>
  <c r="AD886" i="9"/>
  <c r="T886" i="9"/>
  <c r="G886" i="9"/>
  <c r="F886" i="9"/>
  <c r="AE885" i="9"/>
  <c r="AD885" i="9"/>
  <c r="AO885" i="9" s="1"/>
  <c r="T885" i="9"/>
  <c r="G885" i="9"/>
  <c r="F885" i="9"/>
  <c r="F942" i="9" s="1"/>
  <c r="AE884" i="9"/>
  <c r="AD884" i="9"/>
  <c r="AE883" i="9"/>
  <c r="AD883" i="9"/>
  <c r="AD882" i="9"/>
  <c r="AE881" i="9"/>
  <c r="AD881" i="9"/>
  <c r="AD880" i="9"/>
  <c r="B880" i="9"/>
  <c r="AE879" i="9"/>
  <c r="AE878" i="9"/>
  <c r="AO877" i="9"/>
  <c r="AE877" i="9"/>
  <c r="AF877" i="9" s="1"/>
  <c r="AD877" i="9"/>
  <c r="B877" i="9"/>
  <c r="AO876" i="9"/>
  <c r="AF876" i="9"/>
  <c r="AE876" i="9"/>
  <c r="AD876" i="9"/>
  <c r="Q876" i="9"/>
  <c r="D870" i="9"/>
  <c r="AF868" i="9"/>
  <c r="AS867" i="9"/>
  <c r="AN867" i="9"/>
  <c r="F866" i="9"/>
  <c r="A858" i="9"/>
  <c r="A856" i="9"/>
  <c r="Q852" i="9"/>
  <c r="K848" i="9"/>
  <c r="K870" i="9" s="1"/>
  <c r="O847" i="9"/>
  <c r="N847" i="9"/>
  <c r="L847" i="9"/>
  <c r="P846" i="9"/>
  <c r="Q846" i="9" s="1"/>
  <c r="O846" i="9"/>
  <c r="N846" i="9"/>
  <c r="M846" i="9"/>
  <c r="L846" i="9"/>
  <c r="K846" i="9"/>
  <c r="J846" i="9"/>
  <c r="H846" i="9"/>
  <c r="I846" i="9" s="1"/>
  <c r="G846" i="9"/>
  <c r="F846" i="9"/>
  <c r="E846" i="9"/>
  <c r="D846" i="9"/>
  <c r="C846" i="9"/>
  <c r="B846" i="9"/>
  <c r="Q845" i="9"/>
  <c r="P845" i="9"/>
  <c r="P847" i="9" s="1"/>
  <c r="O845" i="9"/>
  <c r="N845" i="9"/>
  <c r="L845" i="9"/>
  <c r="K845" i="9"/>
  <c r="J845" i="9"/>
  <c r="M845" i="9" s="1"/>
  <c r="H845" i="9"/>
  <c r="H847" i="9" s="1"/>
  <c r="G845" i="9"/>
  <c r="F845" i="9"/>
  <c r="I845" i="9" s="1"/>
  <c r="D845" i="9"/>
  <c r="D847" i="9" s="1"/>
  <c r="C845" i="9"/>
  <c r="B845" i="9"/>
  <c r="Q844" i="9"/>
  <c r="P844" i="9"/>
  <c r="O844" i="9"/>
  <c r="N844" i="9"/>
  <c r="L844" i="9"/>
  <c r="K844" i="9"/>
  <c r="K847" i="9" s="1"/>
  <c r="J844" i="9"/>
  <c r="I844" i="9"/>
  <c r="H844" i="9"/>
  <c r="G844" i="9"/>
  <c r="G847" i="9" s="1"/>
  <c r="F844" i="9"/>
  <c r="D844" i="9"/>
  <c r="C844" i="9"/>
  <c r="C847" i="9" s="1"/>
  <c r="B844" i="9"/>
  <c r="E844" i="9" s="1"/>
  <c r="P843" i="9"/>
  <c r="O843" i="9"/>
  <c r="N843" i="9"/>
  <c r="L843" i="9"/>
  <c r="K843" i="9"/>
  <c r="J843" i="9"/>
  <c r="H843" i="9"/>
  <c r="G843" i="9"/>
  <c r="F843" i="9"/>
  <c r="D843" i="9"/>
  <c r="C843" i="9"/>
  <c r="B843" i="9"/>
  <c r="P842" i="9"/>
  <c r="O842" i="9"/>
  <c r="N842" i="9"/>
  <c r="L842" i="9"/>
  <c r="K842" i="9"/>
  <c r="M842" i="9" s="1"/>
  <c r="J842" i="9"/>
  <c r="H842" i="9"/>
  <c r="G842" i="9"/>
  <c r="F842" i="9"/>
  <c r="D842" i="9"/>
  <c r="C842" i="9"/>
  <c r="E842" i="9" s="1"/>
  <c r="B842" i="9"/>
  <c r="P841" i="9"/>
  <c r="O841" i="9"/>
  <c r="N841" i="9"/>
  <c r="Q841" i="9" s="1"/>
  <c r="M841" i="9"/>
  <c r="L841" i="9"/>
  <c r="K841" i="9"/>
  <c r="J841" i="9"/>
  <c r="H841" i="9"/>
  <c r="G841" i="9"/>
  <c r="F841" i="9"/>
  <c r="D841" i="9"/>
  <c r="D848" i="9" s="1"/>
  <c r="C841" i="9"/>
  <c r="B841" i="9"/>
  <c r="N839" i="9"/>
  <c r="Q838" i="9"/>
  <c r="P838" i="9"/>
  <c r="O838" i="9"/>
  <c r="N838" i="9"/>
  <c r="E838" i="9"/>
  <c r="D838" i="9"/>
  <c r="C838" i="9"/>
  <c r="B838" i="9"/>
  <c r="N837" i="9"/>
  <c r="L837" i="9"/>
  <c r="P834" i="9"/>
  <c r="O834" i="9"/>
  <c r="N834" i="9"/>
  <c r="L834" i="9"/>
  <c r="K834" i="9"/>
  <c r="K835" i="9" s="1"/>
  <c r="K866" i="9" s="1"/>
  <c r="J834" i="9"/>
  <c r="H834" i="9"/>
  <c r="G834" i="9"/>
  <c r="F834" i="9"/>
  <c r="I834" i="9" s="1"/>
  <c r="D834" i="9"/>
  <c r="C834" i="9"/>
  <c r="B834" i="9"/>
  <c r="Q833" i="9"/>
  <c r="P833" i="9"/>
  <c r="O833" i="9"/>
  <c r="O835" i="9" s="1"/>
  <c r="O866" i="9" s="1"/>
  <c r="N833" i="9"/>
  <c r="M833" i="9"/>
  <c r="L833" i="9"/>
  <c r="K833" i="9"/>
  <c r="J833" i="9"/>
  <c r="I833" i="9"/>
  <c r="H833" i="9"/>
  <c r="G833" i="9"/>
  <c r="F833" i="9"/>
  <c r="E833" i="9"/>
  <c r="D833" i="9"/>
  <c r="C833" i="9"/>
  <c r="C835" i="9" s="1"/>
  <c r="C866" i="9" s="1"/>
  <c r="B833" i="9"/>
  <c r="P832" i="9"/>
  <c r="P835" i="9" s="1"/>
  <c r="P866" i="9" s="1"/>
  <c r="O832" i="9"/>
  <c r="N832" i="9"/>
  <c r="N835" i="9" s="1"/>
  <c r="Q835" i="9" s="1"/>
  <c r="L832" i="9"/>
  <c r="L835" i="9" s="1"/>
  <c r="L866" i="9" s="1"/>
  <c r="K832" i="9"/>
  <c r="J832" i="9"/>
  <c r="H832" i="9"/>
  <c r="H835" i="9" s="1"/>
  <c r="H866" i="9" s="1"/>
  <c r="G832" i="9"/>
  <c r="G835" i="9" s="1"/>
  <c r="G866" i="9" s="1"/>
  <c r="F832" i="9"/>
  <c r="F835" i="9" s="1"/>
  <c r="D832" i="9"/>
  <c r="D835" i="9" s="1"/>
  <c r="D866" i="9" s="1"/>
  <c r="C832" i="9"/>
  <c r="B832" i="9"/>
  <c r="D830" i="9"/>
  <c r="Q829" i="9"/>
  <c r="P829" i="9"/>
  <c r="O829" i="9"/>
  <c r="N829" i="9"/>
  <c r="M829" i="9"/>
  <c r="L829" i="9"/>
  <c r="K829" i="9"/>
  <c r="J829" i="9"/>
  <c r="I829" i="9"/>
  <c r="H829" i="9"/>
  <c r="G829" i="9"/>
  <c r="F829" i="9"/>
  <c r="E829" i="9"/>
  <c r="R829" i="9" s="1"/>
  <c r="D829" i="9"/>
  <c r="C829" i="9"/>
  <c r="B829" i="9"/>
  <c r="O828" i="9"/>
  <c r="Q828" i="9" s="1"/>
  <c r="N828" i="9"/>
  <c r="M828" i="9"/>
  <c r="L828" i="9"/>
  <c r="K828" i="9"/>
  <c r="J828" i="9"/>
  <c r="I828" i="9"/>
  <c r="H828" i="9"/>
  <c r="G828" i="9"/>
  <c r="F828" i="9"/>
  <c r="E828" i="9"/>
  <c r="D828" i="9"/>
  <c r="C828" i="9"/>
  <c r="B828" i="9"/>
  <c r="P827" i="9"/>
  <c r="O827" i="9"/>
  <c r="N827" i="9"/>
  <c r="Q827" i="9" s="1"/>
  <c r="L827" i="9"/>
  <c r="K827" i="9"/>
  <c r="J827" i="9"/>
  <c r="M827" i="9" s="1"/>
  <c r="H827" i="9"/>
  <c r="G827" i="9"/>
  <c r="F827" i="9"/>
  <c r="I827" i="9" s="1"/>
  <c r="D827" i="9"/>
  <c r="C827" i="9"/>
  <c r="B827" i="9"/>
  <c r="E827" i="9" s="1"/>
  <c r="P826" i="9"/>
  <c r="O826" i="9"/>
  <c r="N826" i="9"/>
  <c r="Q826" i="9" s="1"/>
  <c r="L826" i="9"/>
  <c r="K826" i="9"/>
  <c r="M826" i="9" s="1"/>
  <c r="J826" i="9"/>
  <c r="H826" i="9"/>
  <c r="G826" i="9"/>
  <c r="F826" i="9"/>
  <c r="D826" i="9"/>
  <c r="C826" i="9"/>
  <c r="E826" i="9" s="1"/>
  <c r="B826" i="9"/>
  <c r="P825" i="9"/>
  <c r="O825" i="9"/>
  <c r="N825" i="9"/>
  <c r="Q825" i="9" s="1"/>
  <c r="L825" i="9"/>
  <c r="K825" i="9"/>
  <c r="J825" i="9"/>
  <c r="M825" i="9" s="1"/>
  <c r="H825" i="9"/>
  <c r="G825" i="9"/>
  <c r="F825" i="9"/>
  <c r="F830" i="9" s="1"/>
  <c r="D825" i="9"/>
  <c r="C825" i="9"/>
  <c r="B825" i="9"/>
  <c r="E825" i="9" s="1"/>
  <c r="F824" i="9"/>
  <c r="D824" i="9"/>
  <c r="A817" i="9"/>
  <c r="A815" i="9"/>
  <c r="Q811" i="9"/>
  <c r="B808" i="9"/>
  <c r="Q804" i="9"/>
  <c r="M804" i="9"/>
  <c r="I804" i="9"/>
  <c r="E804" i="9"/>
  <c r="P802" i="9"/>
  <c r="O802" i="9"/>
  <c r="N802" i="9"/>
  <c r="Q802" i="9" s="1"/>
  <c r="L802" i="9"/>
  <c r="K802" i="9"/>
  <c r="J802" i="9"/>
  <c r="M802" i="9" s="1"/>
  <c r="H802" i="9"/>
  <c r="G802" i="9"/>
  <c r="F802" i="9"/>
  <c r="I802" i="9" s="1"/>
  <c r="D802" i="9"/>
  <c r="C802" i="9"/>
  <c r="B802" i="9"/>
  <c r="E802" i="9" s="1"/>
  <c r="P801" i="9"/>
  <c r="O801" i="9"/>
  <c r="N801" i="9"/>
  <c r="Q801" i="9" s="1"/>
  <c r="M801" i="9"/>
  <c r="L801" i="9"/>
  <c r="K801" i="9"/>
  <c r="J801" i="9"/>
  <c r="H801" i="9"/>
  <c r="G801" i="9"/>
  <c r="F801" i="9"/>
  <c r="I801" i="9" s="1"/>
  <c r="E801" i="9"/>
  <c r="R801" i="9" s="1"/>
  <c r="D801" i="9"/>
  <c r="C801" i="9"/>
  <c r="B801" i="9"/>
  <c r="Q798" i="9"/>
  <c r="M798" i="9"/>
  <c r="I798" i="9"/>
  <c r="E798" i="9"/>
  <c r="Q797" i="9"/>
  <c r="M797" i="9"/>
  <c r="I797" i="9"/>
  <c r="R797" i="9" s="1"/>
  <c r="E797" i="9"/>
  <c r="R795" i="9"/>
  <c r="Q795" i="9"/>
  <c r="M795" i="9"/>
  <c r="I795" i="9"/>
  <c r="E795" i="9"/>
  <c r="Q794" i="9"/>
  <c r="M794" i="9"/>
  <c r="I794" i="9"/>
  <c r="E794" i="9"/>
  <c r="R794" i="9" s="1"/>
  <c r="P791" i="9"/>
  <c r="O791" i="9"/>
  <c r="N791" i="9"/>
  <c r="Q791" i="9" s="1"/>
  <c r="L791" i="9"/>
  <c r="L803" i="9" s="1"/>
  <c r="L806" i="9" s="1"/>
  <c r="K791" i="9"/>
  <c r="J791" i="9"/>
  <c r="H791" i="9"/>
  <c r="G791" i="9"/>
  <c r="F791" i="9"/>
  <c r="I791" i="9" s="1"/>
  <c r="D791" i="9"/>
  <c r="D803" i="9" s="1"/>
  <c r="D806" i="9" s="1"/>
  <c r="C791" i="9"/>
  <c r="B791" i="9"/>
  <c r="E791" i="9" s="1"/>
  <c r="Q790" i="9"/>
  <c r="M790" i="9"/>
  <c r="I790" i="9"/>
  <c r="R790" i="9" s="1"/>
  <c r="E790" i="9"/>
  <c r="R789" i="9"/>
  <c r="Q789" i="9"/>
  <c r="M789" i="9"/>
  <c r="I789" i="9"/>
  <c r="E789" i="9"/>
  <c r="Q788" i="9"/>
  <c r="M788" i="9"/>
  <c r="I788" i="9"/>
  <c r="E788" i="9"/>
  <c r="R787" i="9"/>
  <c r="Q787" i="9"/>
  <c r="M787" i="9"/>
  <c r="I787" i="9"/>
  <c r="E787" i="9"/>
  <c r="Q785" i="9"/>
  <c r="M785" i="9"/>
  <c r="I785" i="9"/>
  <c r="E785" i="9"/>
  <c r="Q784" i="9"/>
  <c r="M784" i="9"/>
  <c r="I784" i="9"/>
  <c r="E784" i="9"/>
  <c r="R784" i="9" s="1"/>
  <c r="Q781" i="9"/>
  <c r="P781" i="9"/>
  <c r="O781" i="9"/>
  <c r="N781" i="9"/>
  <c r="L781" i="9"/>
  <c r="K781" i="9"/>
  <c r="K803" i="9" s="1"/>
  <c r="K806" i="9" s="1"/>
  <c r="J781" i="9"/>
  <c r="I781" i="9"/>
  <c r="H781" i="9"/>
  <c r="G781" i="9"/>
  <c r="F781" i="9"/>
  <c r="D781" i="9"/>
  <c r="C781" i="9"/>
  <c r="C803" i="9" s="1"/>
  <c r="C806" i="9" s="1"/>
  <c r="B781" i="9"/>
  <c r="E781" i="9" s="1"/>
  <c r="R779" i="9"/>
  <c r="Q779" i="9"/>
  <c r="M779" i="9"/>
  <c r="I779" i="9"/>
  <c r="E779" i="9"/>
  <c r="Q776" i="9"/>
  <c r="P776" i="9"/>
  <c r="P803" i="9" s="1"/>
  <c r="P806" i="9" s="1"/>
  <c r="O776" i="9"/>
  <c r="O803" i="9" s="1"/>
  <c r="O806" i="9" s="1"/>
  <c r="N776" i="9"/>
  <c r="M776" i="9"/>
  <c r="L776" i="9"/>
  <c r="K776" i="9"/>
  <c r="J776" i="9"/>
  <c r="J803" i="9" s="1"/>
  <c r="J806" i="9" s="1"/>
  <c r="I776" i="9"/>
  <c r="H776" i="9"/>
  <c r="H803" i="9" s="1"/>
  <c r="H806" i="9" s="1"/>
  <c r="G776" i="9"/>
  <c r="G803" i="9" s="1"/>
  <c r="G806" i="9" s="1"/>
  <c r="F776" i="9"/>
  <c r="E776" i="9"/>
  <c r="D776" i="9"/>
  <c r="C776" i="9"/>
  <c r="B776" i="9"/>
  <c r="B803" i="9" s="1"/>
  <c r="B806" i="9" s="1"/>
  <c r="R774" i="9"/>
  <c r="Q774" i="9"/>
  <c r="M774" i="9"/>
  <c r="I774" i="9"/>
  <c r="E774" i="9"/>
  <c r="Q771" i="9"/>
  <c r="M771" i="9"/>
  <c r="I771" i="9"/>
  <c r="E771" i="9"/>
  <c r="R770" i="9"/>
  <c r="Q770" i="9"/>
  <c r="M770" i="9"/>
  <c r="I770" i="9"/>
  <c r="E770" i="9"/>
  <c r="Q769" i="9"/>
  <c r="M769" i="9"/>
  <c r="I769" i="9"/>
  <c r="E769" i="9"/>
  <c r="Q768" i="9"/>
  <c r="M768" i="9"/>
  <c r="I768" i="9"/>
  <c r="E768" i="9"/>
  <c r="R768" i="9" s="1"/>
  <c r="Q767" i="9"/>
  <c r="M767" i="9"/>
  <c r="I767" i="9"/>
  <c r="E767" i="9"/>
  <c r="Q755" i="9"/>
  <c r="M755" i="9"/>
  <c r="I755" i="9"/>
  <c r="E755" i="9"/>
  <c r="R755" i="9" s="1"/>
  <c r="Q754" i="9"/>
  <c r="M754" i="9"/>
  <c r="I754" i="9"/>
  <c r="E754" i="9"/>
  <c r="R754" i="9" s="1"/>
  <c r="P753" i="9"/>
  <c r="P757" i="9" s="1"/>
  <c r="J753" i="9"/>
  <c r="H753" i="9"/>
  <c r="H757" i="9" s="1"/>
  <c r="D753" i="9"/>
  <c r="D757" i="9" s="1"/>
  <c r="B753" i="9"/>
  <c r="Q752" i="9"/>
  <c r="P752" i="9"/>
  <c r="O752" i="9"/>
  <c r="N752" i="9"/>
  <c r="L752" i="9"/>
  <c r="K752" i="9"/>
  <c r="M752" i="9" s="1"/>
  <c r="J752" i="9"/>
  <c r="I752" i="9"/>
  <c r="H752" i="9"/>
  <c r="G752" i="9"/>
  <c r="F752" i="9"/>
  <c r="D752" i="9"/>
  <c r="C752" i="9"/>
  <c r="E752" i="9" s="1"/>
  <c r="B752" i="9"/>
  <c r="P751" i="9"/>
  <c r="O751" i="9"/>
  <c r="N751" i="9"/>
  <c r="Q751" i="9" s="1"/>
  <c r="L751" i="9"/>
  <c r="K751" i="9"/>
  <c r="J751" i="9"/>
  <c r="M751" i="9" s="1"/>
  <c r="H751" i="9"/>
  <c r="G751" i="9"/>
  <c r="F751" i="9"/>
  <c r="I751" i="9" s="1"/>
  <c r="D751" i="9"/>
  <c r="C751" i="9"/>
  <c r="B751" i="9"/>
  <c r="P745" i="9"/>
  <c r="O745" i="9"/>
  <c r="N745" i="9"/>
  <c r="L745" i="9"/>
  <c r="K745" i="9"/>
  <c r="M745" i="9" s="1"/>
  <c r="J745" i="9"/>
  <c r="H745" i="9"/>
  <c r="G745" i="9"/>
  <c r="F745" i="9"/>
  <c r="I745" i="9" s="1"/>
  <c r="D745" i="9"/>
  <c r="C745" i="9"/>
  <c r="E745" i="9" s="1"/>
  <c r="B745" i="9"/>
  <c r="P741" i="9"/>
  <c r="O741" i="9"/>
  <c r="N741" i="9"/>
  <c r="L741" i="9"/>
  <c r="L753" i="9" s="1"/>
  <c r="L757" i="9" s="1"/>
  <c r="K741" i="9"/>
  <c r="J741" i="9"/>
  <c r="H741" i="9"/>
  <c r="G741" i="9"/>
  <c r="F741" i="9"/>
  <c r="D741" i="9"/>
  <c r="C741" i="9"/>
  <c r="B741" i="9"/>
  <c r="E741" i="9" s="1"/>
  <c r="P737" i="9"/>
  <c r="O737" i="9"/>
  <c r="N737" i="9"/>
  <c r="M737" i="9"/>
  <c r="L737" i="9"/>
  <c r="K737" i="9"/>
  <c r="J737" i="9"/>
  <c r="H737" i="9"/>
  <c r="G737" i="9"/>
  <c r="F737" i="9"/>
  <c r="E737" i="9"/>
  <c r="D737" i="9"/>
  <c r="C737" i="9"/>
  <c r="B737" i="9"/>
  <c r="Q733" i="9"/>
  <c r="M733" i="9"/>
  <c r="I733" i="9"/>
  <c r="E733" i="9"/>
  <c r="R733" i="9" s="1"/>
  <c r="P723" i="9"/>
  <c r="O723" i="9"/>
  <c r="N723" i="9"/>
  <c r="L723" i="9"/>
  <c r="K723" i="9"/>
  <c r="J723" i="9"/>
  <c r="H723" i="9"/>
  <c r="G723" i="9"/>
  <c r="F723" i="9"/>
  <c r="D723" i="9"/>
  <c r="C723" i="9"/>
  <c r="B723" i="9"/>
  <c r="Q721" i="9"/>
  <c r="M721" i="9"/>
  <c r="I721" i="9"/>
  <c r="E721" i="9"/>
  <c r="R721" i="9" s="1"/>
  <c r="Q711" i="9"/>
  <c r="M711" i="9"/>
  <c r="I711" i="9"/>
  <c r="E711" i="9"/>
  <c r="R711" i="9" s="1"/>
  <c r="O710" i="9"/>
  <c r="O713" i="9" s="1"/>
  <c r="C710" i="9"/>
  <c r="C713" i="9" s="1"/>
  <c r="P709" i="9"/>
  <c r="O709" i="9"/>
  <c r="N709" i="9"/>
  <c r="Q709" i="9" s="1"/>
  <c r="L709" i="9"/>
  <c r="K709" i="9"/>
  <c r="J709" i="9"/>
  <c r="M709" i="9" s="1"/>
  <c r="H709" i="9"/>
  <c r="G709" i="9"/>
  <c r="F709" i="9"/>
  <c r="I709" i="9" s="1"/>
  <c r="E709" i="9"/>
  <c r="D709" i="9"/>
  <c r="C709" i="9"/>
  <c r="B709" i="9"/>
  <c r="Q708" i="9"/>
  <c r="P708" i="9"/>
  <c r="O708" i="9"/>
  <c r="N708" i="9"/>
  <c r="M708" i="9"/>
  <c r="L708" i="9"/>
  <c r="K708" i="9"/>
  <c r="J708" i="9"/>
  <c r="I708" i="9"/>
  <c r="H708" i="9"/>
  <c r="G708" i="9"/>
  <c r="F708" i="9"/>
  <c r="E708" i="9"/>
  <c r="D708" i="9"/>
  <c r="C708" i="9"/>
  <c r="B708" i="9"/>
  <c r="R705" i="9"/>
  <c r="Q705" i="9"/>
  <c r="M705" i="9"/>
  <c r="I705" i="9"/>
  <c r="E705" i="9"/>
  <c r="Q704" i="9"/>
  <c r="M704" i="9"/>
  <c r="I704" i="9"/>
  <c r="E704" i="9"/>
  <c r="R704" i="9" s="1"/>
  <c r="Q703" i="9"/>
  <c r="M703" i="9"/>
  <c r="I703" i="9"/>
  <c r="E703" i="9"/>
  <c r="R703" i="9" s="1"/>
  <c r="Q702" i="9"/>
  <c r="M702" i="9"/>
  <c r="I702" i="9"/>
  <c r="E702" i="9"/>
  <c r="P698" i="9"/>
  <c r="O698" i="9"/>
  <c r="N698" i="9"/>
  <c r="Q698" i="9" s="1"/>
  <c r="L698" i="9"/>
  <c r="K698" i="9"/>
  <c r="J698" i="9"/>
  <c r="M698" i="9" s="1"/>
  <c r="H698" i="9"/>
  <c r="G698" i="9"/>
  <c r="F698" i="9"/>
  <c r="I698" i="9" s="1"/>
  <c r="D698" i="9"/>
  <c r="C698" i="9"/>
  <c r="B698" i="9"/>
  <c r="Q697" i="9"/>
  <c r="M697" i="9"/>
  <c r="I697" i="9"/>
  <c r="E697" i="9"/>
  <c r="Q696" i="9"/>
  <c r="M696" i="9"/>
  <c r="R696" i="9" s="1"/>
  <c r="I696" i="9"/>
  <c r="E696" i="9"/>
  <c r="Q695" i="9"/>
  <c r="M695" i="9"/>
  <c r="I695" i="9"/>
  <c r="E695" i="9"/>
  <c r="Q694" i="9"/>
  <c r="M694" i="9"/>
  <c r="I694" i="9"/>
  <c r="E694" i="9"/>
  <c r="R694" i="9" s="1"/>
  <c r="Q693" i="9"/>
  <c r="M693" i="9"/>
  <c r="I693" i="9"/>
  <c r="E693" i="9"/>
  <c r="R693" i="9" s="1"/>
  <c r="R691" i="9"/>
  <c r="Q691" i="9"/>
  <c r="M691" i="9"/>
  <c r="I691" i="9"/>
  <c r="E691" i="9"/>
  <c r="P688" i="9"/>
  <c r="O688" i="9"/>
  <c r="Q688" i="9" s="1"/>
  <c r="N688" i="9"/>
  <c r="M688" i="9"/>
  <c r="L688" i="9"/>
  <c r="K688" i="9"/>
  <c r="J688" i="9"/>
  <c r="H688" i="9"/>
  <c r="G688" i="9"/>
  <c r="I688" i="9" s="1"/>
  <c r="F688" i="9"/>
  <c r="E688" i="9"/>
  <c r="D688" i="9"/>
  <c r="C688" i="9"/>
  <c r="B688" i="9"/>
  <c r="P684" i="9"/>
  <c r="P710" i="9" s="1"/>
  <c r="P713" i="9" s="1"/>
  <c r="O684" i="9"/>
  <c r="N684" i="9"/>
  <c r="L684" i="9"/>
  <c r="L710" i="9" s="1"/>
  <c r="L713" i="9" s="1"/>
  <c r="K684" i="9"/>
  <c r="K710" i="9" s="1"/>
  <c r="K713" i="9" s="1"/>
  <c r="J684" i="9"/>
  <c r="H684" i="9"/>
  <c r="H710" i="9" s="1"/>
  <c r="H713" i="9" s="1"/>
  <c r="G684" i="9"/>
  <c r="F684" i="9"/>
  <c r="D684" i="9"/>
  <c r="D710" i="9" s="1"/>
  <c r="D713" i="9" s="1"/>
  <c r="C684" i="9"/>
  <c r="B684" i="9"/>
  <c r="Q680" i="9"/>
  <c r="M680" i="9"/>
  <c r="I680" i="9"/>
  <c r="E680" i="9"/>
  <c r="Q679" i="9"/>
  <c r="M679" i="9"/>
  <c r="I679" i="9"/>
  <c r="E679" i="9"/>
  <c r="R679" i="9" s="1"/>
  <c r="Q678" i="9"/>
  <c r="M678" i="9"/>
  <c r="I678" i="9"/>
  <c r="E678" i="9"/>
  <c r="R678" i="9" s="1"/>
  <c r="R677" i="9"/>
  <c r="Q677" i="9"/>
  <c r="M677" i="9"/>
  <c r="I677" i="9"/>
  <c r="E677" i="9"/>
  <c r="Q676" i="9"/>
  <c r="M676" i="9"/>
  <c r="I676" i="9"/>
  <c r="E676" i="9"/>
  <c r="Q675" i="9"/>
  <c r="M675" i="9"/>
  <c r="I675" i="9"/>
  <c r="E675" i="9"/>
  <c r="L665" i="9"/>
  <c r="Q663" i="9"/>
  <c r="M663" i="9"/>
  <c r="I663" i="9"/>
  <c r="E663" i="9"/>
  <c r="L662" i="9"/>
  <c r="Q661" i="9"/>
  <c r="P661" i="9"/>
  <c r="O661" i="9"/>
  <c r="N661" i="9"/>
  <c r="M661" i="9"/>
  <c r="L661" i="9"/>
  <c r="K661" i="9"/>
  <c r="J661" i="9"/>
  <c r="I661" i="9"/>
  <c r="H661" i="9"/>
  <c r="G661" i="9"/>
  <c r="F661" i="9"/>
  <c r="E661" i="9"/>
  <c r="D661" i="9"/>
  <c r="C661" i="9"/>
  <c r="B661" i="9"/>
  <c r="P660" i="9"/>
  <c r="O660" i="9"/>
  <c r="N660" i="9"/>
  <c r="Q660" i="9" s="1"/>
  <c r="L660" i="9"/>
  <c r="K660" i="9"/>
  <c r="J660" i="9"/>
  <c r="H660" i="9"/>
  <c r="G660" i="9"/>
  <c r="F660" i="9"/>
  <c r="D660" i="9"/>
  <c r="C660" i="9"/>
  <c r="B660" i="9"/>
  <c r="E660" i="9" s="1"/>
  <c r="Q657" i="9"/>
  <c r="M657" i="9"/>
  <c r="I657" i="9"/>
  <c r="E657" i="9"/>
  <c r="R657" i="9" s="1"/>
  <c r="P653" i="9"/>
  <c r="O653" i="9"/>
  <c r="N653" i="9"/>
  <c r="Q653" i="9" s="1"/>
  <c r="L653" i="9"/>
  <c r="K653" i="9"/>
  <c r="J653" i="9"/>
  <c r="M653" i="9" s="1"/>
  <c r="H653" i="9"/>
  <c r="G653" i="9"/>
  <c r="F653" i="9"/>
  <c r="I653" i="9" s="1"/>
  <c r="D653" i="9"/>
  <c r="D662" i="9" s="1"/>
  <c r="D665" i="9" s="1"/>
  <c r="C653" i="9"/>
  <c r="B653" i="9"/>
  <c r="P649" i="9"/>
  <c r="O649" i="9"/>
  <c r="Q649" i="9" s="1"/>
  <c r="N649" i="9"/>
  <c r="L649" i="9"/>
  <c r="K649" i="9"/>
  <c r="J649" i="9"/>
  <c r="M649" i="9" s="1"/>
  <c r="H649" i="9"/>
  <c r="G649" i="9"/>
  <c r="I649" i="9" s="1"/>
  <c r="R649" i="9" s="1"/>
  <c r="F649" i="9"/>
  <c r="D649" i="9"/>
  <c r="C649" i="9"/>
  <c r="B649" i="9"/>
  <c r="E649" i="9" s="1"/>
  <c r="P645" i="9"/>
  <c r="P662" i="9" s="1"/>
  <c r="P665" i="9" s="1"/>
  <c r="O645" i="9"/>
  <c r="O662" i="9" s="1"/>
  <c r="O665" i="9" s="1"/>
  <c r="N645" i="9"/>
  <c r="Q645" i="9" s="1"/>
  <c r="L645" i="9"/>
  <c r="K645" i="9"/>
  <c r="J645" i="9"/>
  <c r="H645" i="9"/>
  <c r="H662" i="9" s="1"/>
  <c r="H665" i="9" s="1"/>
  <c r="G645" i="9"/>
  <c r="F645" i="9"/>
  <c r="D645" i="9"/>
  <c r="C645" i="9"/>
  <c r="C662" i="9" s="1"/>
  <c r="C665" i="9" s="1"/>
  <c r="B645" i="9"/>
  <c r="B662" i="9" s="1"/>
  <c r="Q641" i="9"/>
  <c r="M641" i="9"/>
  <c r="I641" i="9"/>
  <c r="E641" i="9"/>
  <c r="Q640" i="9"/>
  <c r="M640" i="9"/>
  <c r="I640" i="9"/>
  <c r="E640" i="9"/>
  <c r="R640" i="9" s="1"/>
  <c r="Q639" i="9"/>
  <c r="M639" i="9"/>
  <c r="I639" i="9"/>
  <c r="E639" i="9"/>
  <c r="Q629" i="9"/>
  <c r="P629" i="9"/>
  <c r="O629" i="9"/>
  <c r="N629" i="9"/>
  <c r="L629" i="9"/>
  <c r="K629" i="9"/>
  <c r="J629" i="9"/>
  <c r="I629" i="9"/>
  <c r="H629" i="9"/>
  <c r="G629" i="9"/>
  <c r="F629" i="9"/>
  <c r="D629" i="9"/>
  <c r="C629" i="9"/>
  <c r="B629" i="9"/>
  <c r="R627" i="9"/>
  <c r="Q627" i="9"/>
  <c r="M627" i="9"/>
  <c r="I627" i="9"/>
  <c r="E627" i="9"/>
  <c r="Q617" i="9"/>
  <c r="M617" i="9"/>
  <c r="I617" i="9"/>
  <c r="E617" i="9"/>
  <c r="P616" i="9"/>
  <c r="P619" i="9" s="1"/>
  <c r="H616" i="9"/>
  <c r="H619" i="9" s="1"/>
  <c r="B616" i="9"/>
  <c r="B619" i="9" s="1"/>
  <c r="Q615" i="9"/>
  <c r="P615" i="9"/>
  <c r="O615" i="9"/>
  <c r="N615" i="9"/>
  <c r="L615" i="9"/>
  <c r="K615" i="9"/>
  <c r="M615" i="9" s="1"/>
  <c r="J615" i="9"/>
  <c r="I615" i="9"/>
  <c r="H615" i="9"/>
  <c r="G615" i="9"/>
  <c r="F615" i="9"/>
  <c r="D615" i="9"/>
  <c r="C615" i="9"/>
  <c r="E615" i="9" s="1"/>
  <c r="B615" i="9"/>
  <c r="P614" i="9"/>
  <c r="O614" i="9"/>
  <c r="N614" i="9"/>
  <c r="L614" i="9"/>
  <c r="K614" i="9"/>
  <c r="J614" i="9"/>
  <c r="H614" i="9"/>
  <c r="G614" i="9"/>
  <c r="F614" i="9"/>
  <c r="I614" i="9" s="1"/>
  <c r="D614" i="9"/>
  <c r="C614" i="9"/>
  <c r="B614" i="9"/>
  <c r="E614" i="9" s="1"/>
  <c r="Q613" i="9"/>
  <c r="M613" i="9"/>
  <c r="I613" i="9"/>
  <c r="E613" i="9"/>
  <c r="R612" i="9"/>
  <c r="Q612" i="9"/>
  <c r="M612" i="9"/>
  <c r="I612" i="9"/>
  <c r="E612" i="9"/>
  <c r="Q609" i="9"/>
  <c r="M609" i="9"/>
  <c r="I609" i="9"/>
  <c r="E609" i="9"/>
  <c r="R609" i="9" s="1"/>
  <c r="Q608" i="9"/>
  <c r="M608" i="9"/>
  <c r="I608" i="9"/>
  <c r="E608" i="9"/>
  <c r="R608" i="9" s="1"/>
  <c r="Q607" i="9"/>
  <c r="M607" i="9"/>
  <c r="I607" i="9"/>
  <c r="E607" i="9"/>
  <c r="Q606" i="9"/>
  <c r="M606" i="9"/>
  <c r="R606" i="9" s="1"/>
  <c r="I606" i="9"/>
  <c r="E606" i="9"/>
  <c r="Q604" i="9"/>
  <c r="R604" i="9" s="1"/>
  <c r="M604" i="9"/>
  <c r="I604" i="9"/>
  <c r="E604" i="9"/>
  <c r="Q603" i="9"/>
  <c r="M603" i="9"/>
  <c r="I603" i="9"/>
  <c r="E603" i="9"/>
  <c r="R603" i="9" s="1"/>
  <c r="P600" i="9"/>
  <c r="O600" i="9"/>
  <c r="Q600" i="9" s="1"/>
  <c r="N600" i="9"/>
  <c r="M600" i="9"/>
  <c r="L600" i="9"/>
  <c r="K600" i="9"/>
  <c r="J600" i="9"/>
  <c r="H600" i="9"/>
  <c r="G600" i="9"/>
  <c r="I600" i="9" s="1"/>
  <c r="F600" i="9"/>
  <c r="E600" i="9"/>
  <c r="D600" i="9"/>
  <c r="C600" i="9"/>
  <c r="B600" i="9"/>
  <c r="Q599" i="9"/>
  <c r="M599" i="9"/>
  <c r="I599" i="9"/>
  <c r="E599" i="9"/>
  <c r="R599" i="9" s="1"/>
  <c r="Q598" i="9"/>
  <c r="R598" i="9" s="1"/>
  <c r="M598" i="9"/>
  <c r="I598" i="9"/>
  <c r="E598" i="9"/>
  <c r="Q597" i="9"/>
  <c r="M597" i="9"/>
  <c r="I597" i="9"/>
  <c r="E597" i="9"/>
  <c r="R597" i="9" s="1"/>
  <c r="Q593" i="9"/>
  <c r="P593" i="9"/>
  <c r="O593" i="9"/>
  <c r="N593" i="9"/>
  <c r="M593" i="9"/>
  <c r="L593" i="9"/>
  <c r="K593" i="9"/>
  <c r="J593" i="9"/>
  <c r="I593" i="9"/>
  <c r="H593" i="9"/>
  <c r="G593" i="9"/>
  <c r="F593" i="9"/>
  <c r="E593" i="9"/>
  <c r="D593" i="9"/>
  <c r="C593" i="9"/>
  <c r="B593" i="9"/>
  <c r="R591" i="9"/>
  <c r="Q591" i="9"/>
  <c r="M591" i="9"/>
  <c r="I591" i="9"/>
  <c r="E591" i="9"/>
  <c r="Q590" i="9"/>
  <c r="M590" i="9"/>
  <c r="I590" i="9"/>
  <c r="R590" i="9" s="1"/>
  <c r="E590" i="9"/>
  <c r="P587" i="9"/>
  <c r="O587" i="9"/>
  <c r="O616" i="9" s="1"/>
  <c r="O619" i="9" s="1"/>
  <c r="N587" i="9"/>
  <c r="N616" i="9" s="1"/>
  <c r="N619" i="9" s="1"/>
  <c r="L587" i="9"/>
  <c r="L616" i="9" s="1"/>
  <c r="L619" i="9" s="1"/>
  <c r="K587" i="9"/>
  <c r="J587" i="9"/>
  <c r="M587" i="9" s="1"/>
  <c r="H587" i="9"/>
  <c r="G587" i="9"/>
  <c r="G616" i="9" s="1"/>
  <c r="G619" i="9" s="1"/>
  <c r="F587" i="9"/>
  <c r="I587" i="9" s="1"/>
  <c r="D587" i="9"/>
  <c r="D616" i="9" s="1"/>
  <c r="D619" i="9" s="1"/>
  <c r="C587" i="9"/>
  <c r="C616" i="9" s="1"/>
  <c r="C619" i="9" s="1"/>
  <c r="B587" i="9"/>
  <c r="Q585" i="9"/>
  <c r="M585" i="9"/>
  <c r="I585" i="9"/>
  <c r="E585" i="9"/>
  <c r="Q583" i="9"/>
  <c r="M583" i="9"/>
  <c r="R583" i="9" s="1"/>
  <c r="I583" i="9"/>
  <c r="E583" i="9"/>
  <c r="R581" i="9"/>
  <c r="Q581" i="9"/>
  <c r="M581" i="9"/>
  <c r="I581" i="9"/>
  <c r="E581" i="9"/>
  <c r="Q580" i="9"/>
  <c r="M580" i="9"/>
  <c r="I580" i="9"/>
  <c r="R580" i="9" s="1"/>
  <c r="E580" i="9"/>
  <c r="Q579" i="9"/>
  <c r="M579" i="9"/>
  <c r="I579" i="9"/>
  <c r="E579" i="9"/>
  <c r="Q578" i="9"/>
  <c r="M578" i="9"/>
  <c r="I578" i="9"/>
  <c r="E578" i="9"/>
  <c r="Q577" i="9"/>
  <c r="M577" i="9"/>
  <c r="I577" i="9"/>
  <c r="E577" i="9"/>
  <c r="Q576" i="9"/>
  <c r="M576" i="9"/>
  <c r="I576" i="9"/>
  <c r="E576" i="9"/>
  <c r="R576" i="9" s="1"/>
  <c r="Q575" i="9"/>
  <c r="M575" i="9"/>
  <c r="I575" i="9"/>
  <c r="E575" i="9"/>
  <c r="Q574" i="9"/>
  <c r="M574" i="9"/>
  <c r="I574" i="9"/>
  <c r="E574" i="9"/>
  <c r="R574" i="9" s="1"/>
  <c r="Q573" i="9"/>
  <c r="M573" i="9"/>
  <c r="I573" i="9"/>
  <c r="R573" i="9" s="1"/>
  <c r="E573" i="9"/>
  <c r="Q572" i="9"/>
  <c r="M572" i="9"/>
  <c r="I572" i="9"/>
  <c r="E572" i="9"/>
  <c r="R572" i="9" s="1"/>
  <c r="Q571" i="9"/>
  <c r="M571" i="9"/>
  <c r="I571" i="9"/>
  <c r="E571" i="9"/>
  <c r="G561" i="9"/>
  <c r="Q559" i="9"/>
  <c r="M559" i="9"/>
  <c r="I559" i="9"/>
  <c r="E559" i="9"/>
  <c r="R559" i="9" s="1"/>
  <c r="G558" i="9"/>
  <c r="Q557" i="9"/>
  <c r="P557" i="9"/>
  <c r="O557" i="9"/>
  <c r="N557" i="9"/>
  <c r="L557" i="9"/>
  <c r="K557" i="9"/>
  <c r="J557" i="9"/>
  <c r="H557" i="9"/>
  <c r="I557" i="9" s="1"/>
  <c r="G557" i="9"/>
  <c r="F557" i="9"/>
  <c r="D557" i="9"/>
  <c r="C557" i="9"/>
  <c r="B557" i="9"/>
  <c r="E557" i="9" s="1"/>
  <c r="Q556" i="9"/>
  <c r="P556" i="9"/>
  <c r="O556" i="9"/>
  <c r="N556" i="9"/>
  <c r="L556" i="9"/>
  <c r="K556" i="9"/>
  <c r="M556" i="9" s="1"/>
  <c r="J556" i="9"/>
  <c r="I556" i="9"/>
  <c r="H556" i="9"/>
  <c r="G556" i="9"/>
  <c r="F556" i="9"/>
  <c r="D556" i="9"/>
  <c r="C556" i="9"/>
  <c r="E556" i="9" s="1"/>
  <c r="B556" i="9"/>
  <c r="Q555" i="9"/>
  <c r="M555" i="9"/>
  <c r="I555" i="9"/>
  <c r="E555" i="9"/>
  <c r="R555" i="9" s="1"/>
  <c r="Q554" i="9"/>
  <c r="M554" i="9"/>
  <c r="I554" i="9"/>
  <c r="E554" i="9"/>
  <c r="Q553" i="9"/>
  <c r="M553" i="9"/>
  <c r="I553" i="9"/>
  <c r="E553" i="9"/>
  <c r="R553" i="9" s="1"/>
  <c r="Q551" i="9"/>
  <c r="M551" i="9"/>
  <c r="I551" i="9"/>
  <c r="R551" i="9" s="1"/>
  <c r="E551" i="9"/>
  <c r="P546" i="9"/>
  <c r="O546" i="9"/>
  <c r="O558" i="9" s="1"/>
  <c r="O561" i="9" s="1"/>
  <c r="N546" i="9"/>
  <c r="L546" i="9"/>
  <c r="K546" i="9"/>
  <c r="K558" i="9" s="1"/>
  <c r="K561" i="9" s="1"/>
  <c r="J546" i="9"/>
  <c r="M546" i="9" s="1"/>
  <c r="H546" i="9"/>
  <c r="G546" i="9"/>
  <c r="F546" i="9"/>
  <c r="I546" i="9" s="1"/>
  <c r="D546" i="9"/>
  <c r="C546" i="9"/>
  <c r="C558" i="9" s="1"/>
  <c r="C561" i="9" s="1"/>
  <c r="B546" i="9"/>
  <c r="Q545" i="9"/>
  <c r="M545" i="9"/>
  <c r="I545" i="9"/>
  <c r="E545" i="9"/>
  <c r="Q541" i="9"/>
  <c r="P541" i="9"/>
  <c r="O541" i="9"/>
  <c r="N541" i="9"/>
  <c r="M541" i="9"/>
  <c r="L541" i="9"/>
  <c r="K541" i="9"/>
  <c r="J541" i="9"/>
  <c r="I541" i="9"/>
  <c r="H541" i="9"/>
  <c r="G541" i="9"/>
  <c r="F541" i="9"/>
  <c r="E541" i="9"/>
  <c r="R541" i="9" s="1"/>
  <c r="D541" i="9"/>
  <c r="C541" i="9"/>
  <c r="B541" i="9"/>
  <c r="Q539" i="9"/>
  <c r="M539" i="9"/>
  <c r="I539" i="9"/>
  <c r="E539" i="9"/>
  <c r="R539" i="9" s="1"/>
  <c r="Q538" i="9"/>
  <c r="M538" i="9"/>
  <c r="I538" i="9"/>
  <c r="E538" i="9"/>
  <c r="P535" i="9"/>
  <c r="O535" i="9"/>
  <c r="N535" i="9"/>
  <c r="L535" i="9"/>
  <c r="K535" i="9"/>
  <c r="J535" i="9"/>
  <c r="H535" i="9"/>
  <c r="G535" i="9"/>
  <c r="F535" i="9"/>
  <c r="D535" i="9"/>
  <c r="C535" i="9"/>
  <c r="B535" i="9"/>
  <c r="Q531" i="9"/>
  <c r="M531" i="9"/>
  <c r="I531" i="9"/>
  <c r="E531" i="9"/>
  <c r="R531" i="9" s="1"/>
  <c r="R530" i="9"/>
  <c r="Q530" i="9"/>
  <c r="M530" i="9"/>
  <c r="I530" i="9"/>
  <c r="E530" i="9"/>
  <c r="Q529" i="9"/>
  <c r="M529" i="9"/>
  <c r="I529" i="9"/>
  <c r="E529" i="9"/>
  <c r="R529" i="9" s="1"/>
  <c r="Q528" i="9"/>
  <c r="M528" i="9"/>
  <c r="I528" i="9"/>
  <c r="R528" i="9" s="1"/>
  <c r="E528" i="9"/>
  <c r="Q527" i="9"/>
  <c r="M527" i="9"/>
  <c r="I527" i="9"/>
  <c r="E527" i="9"/>
  <c r="R527" i="9" s="1"/>
  <c r="B517" i="9"/>
  <c r="Q515" i="9"/>
  <c r="M515" i="9"/>
  <c r="I515" i="9"/>
  <c r="E515" i="9"/>
  <c r="Q513" i="9"/>
  <c r="P513" i="9"/>
  <c r="O513" i="9"/>
  <c r="N513" i="9"/>
  <c r="M513" i="9"/>
  <c r="L513" i="9"/>
  <c r="K513" i="9"/>
  <c r="J513" i="9"/>
  <c r="I513" i="9"/>
  <c r="H513" i="9"/>
  <c r="G513" i="9"/>
  <c r="F513" i="9"/>
  <c r="E513" i="9"/>
  <c r="R513" i="9" s="1"/>
  <c r="D513" i="9"/>
  <c r="C513" i="9"/>
  <c r="B513" i="9"/>
  <c r="P512" i="9"/>
  <c r="O512" i="9"/>
  <c r="N512" i="9"/>
  <c r="Q512" i="9" s="1"/>
  <c r="M512" i="9"/>
  <c r="R512" i="9" s="1"/>
  <c r="L512" i="9"/>
  <c r="K512" i="9"/>
  <c r="J512" i="9"/>
  <c r="H512" i="9"/>
  <c r="G512" i="9"/>
  <c r="F512" i="9"/>
  <c r="I512" i="9" s="1"/>
  <c r="E512" i="9"/>
  <c r="D512" i="9"/>
  <c r="C512" i="9"/>
  <c r="B512" i="9"/>
  <c r="Q511" i="9"/>
  <c r="M511" i="9"/>
  <c r="I511" i="9"/>
  <c r="E511" i="9"/>
  <c r="R511" i="9" s="1"/>
  <c r="Q510" i="9"/>
  <c r="M510" i="9"/>
  <c r="I510" i="9"/>
  <c r="E510" i="9"/>
  <c r="P504" i="9"/>
  <c r="P514" i="9" s="1"/>
  <c r="P517" i="9" s="1"/>
  <c r="O504" i="9"/>
  <c r="N504" i="9"/>
  <c r="M504" i="9"/>
  <c r="L504" i="9"/>
  <c r="K504" i="9"/>
  <c r="J504" i="9"/>
  <c r="H504" i="9"/>
  <c r="H514" i="9" s="1"/>
  <c r="H517" i="9" s="1"/>
  <c r="G504" i="9"/>
  <c r="F504" i="9"/>
  <c r="E504" i="9"/>
  <c r="D504" i="9"/>
  <c r="C504" i="9"/>
  <c r="B504" i="9"/>
  <c r="Q503" i="9"/>
  <c r="M503" i="9"/>
  <c r="I503" i="9"/>
  <c r="E503" i="9"/>
  <c r="R503" i="9" s="1"/>
  <c r="P499" i="9"/>
  <c r="O499" i="9"/>
  <c r="N499" i="9"/>
  <c r="L499" i="9"/>
  <c r="K499" i="9"/>
  <c r="M499" i="9" s="1"/>
  <c r="J499" i="9"/>
  <c r="H499" i="9"/>
  <c r="G499" i="9"/>
  <c r="F499" i="9"/>
  <c r="I499" i="9" s="1"/>
  <c r="D499" i="9"/>
  <c r="C499" i="9"/>
  <c r="E499" i="9" s="1"/>
  <c r="B499" i="9"/>
  <c r="Q497" i="9"/>
  <c r="M497" i="9"/>
  <c r="I497" i="9"/>
  <c r="E497" i="9"/>
  <c r="R497" i="9" s="1"/>
  <c r="Q494" i="9"/>
  <c r="P494" i="9"/>
  <c r="O494" i="9"/>
  <c r="N494" i="9"/>
  <c r="N514" i="9" s="1"/>
  <c r="N517" i="9" s="1"/>
  <c r="M494" i="9"/>
  <c r="L494" i="9"/>
  <c r="L514" i="9" s="1"/>
  <c r="L517" i="9" s="1"/>
  <c r="K494" i="9"/>
  <c r="J494" i="9"/>
  <c r="J514" i="9" s="1"/>
  <c r="I494" i="9"/>
  <c r="H494" i="9"/>
  <c r="G494" i="9"/>
  <c r="G514" i="9" s="1"/>
  <c r="G517" i="9" s="1"/>
  <c r="F494" i="9"/>
  <c r="E494" i="9"/>
  <c r="R494" i="9" s="1"/>
  <c r="D494" i="9"/>
  <c r="D514" i="9" s="1"/>
  <c r="D517" i="9" s="1"/>
  <c r="C494" i="9"/>
  <c r="B494" i="9"/>
  <c r="B514" i="9" s="1"/>
  <c r="Q491" i="9"/>
  <c r="M491" i="9"/>
  <c r="I491" i="9"/>
  <c r="E491" i="9"/>
  <c r="R491" i="9" s="1"/>
  <c r="Q490" i="9"/>
  <c r="M490" i="9"/>
  <c r="I490" i="9"/>
  <c r="R490" i="9" s="1"/>
  <c r="E490" i="9"/>
  <c r="Q488" i="9"/>
  <c r="M488" i="9"/>
  <c r="I488" i="9"/>
  <c r="E488" i="9"/>
  <c r="Q487" i="9"/>
  <c r="M487" i="9"/>
  <c r="I487" i="9"/>
  <c r="E487" i="9"/>
  <c r="R487" i="9" s="1"/>
  <c r="R486" i="9"/>
  <c r="Q486" i="9"/>
  <c r="M486" i="9"/>
  <c r="I486" i="9"/>
  <c r="E486" i="9"/>
  <c r="Q485" i="9"/>
  <c r="M485" i="9"/>
  <c r="I485" i="9"/>
  <c r="E485" i="9"/>
  <c r="Q467" i="9"/>
  <c r="M467" i="9"/>
  <c r="I467" i="9"/>
  <c r="R467" i="9" s="1"/>
  <c r="E467" i="9"/>
  <c r="Q466" i="9"/>
  <c r="M466" i="9"/>
  <c r="I466" i="9"/>
  <c r="E466" i="9"/>
  <c r="R466" i="9" s="1"/>
  <c r="Q465" i="9"/>
  <c r="M465" i="9"/>
  <c r="I465" i="9"/>
  <c r="R465" i="9" s="1"/>
  <c r="E465" i="9"/>
  <c r="Q463" i="9"/>
  <c r="P463" i="9"/>
  <c r="O463" i="9"/>
  <c r="N463" i="9"/>
  <c r="M463" i="9"/>
  <c r="L463" i="9"/>
  <c r="K463" i="9"/>
  <c r="J463" i="9"/>
  <c r="I463" i="9"/>
  <c r="H463" i="9"/>
  <c r="G463" i="9"/>
  <c r="F463" i="9"/>
  <c r="E463" i="9"/>
  <c r="R463" i="9" s="1"/>
  <c r="D463" i="9"/>
  <c r="C463" i="9"/>
  <c r="B463" i="9"/>
  <c r="P462" i="9"/>
  <c r="O462" i="9"/>
  <c r="N462" i="9"/>
  <c r="Q462" i="9" s="1"/>
  <c r="L462" i="9"/>
  <c r="K462" i="9"/>
  <c r="J462" i="9"/>
  <c r="M462" i="9" s="1"/>
  <c r="H462" i="9"/>
  <c r="G462" i="9"/>
  <c r="F462" i="9"/>
  <c r="I462" i="9" s="1"/>
  <c r="D462" i="9"/>
  <c r="C462" i="9"/>
  <c r="B462" i="9"/>
  <c r="E462" i="9" s="1"/>
  <c r="Q461" i="9"/>
  <c r="M461" i="9"/>
  <c r="I461" i="9"/>
  <c r="R461" i="9" s="1"/>
  <c r="E461" i="9"/>
  <c r="Q460" i="9"/>
  <c r="M460" i="9"/>
  <c r="I460" i="9"/>
  <c r="E460" i="9"/>
  <c r="R460" i="9" s="1"/>
  <c r="Q459" i="9"/>
  <c r="M459" i="9"/>
  <c r="I459" i="9"/>
  <c r="E459" i="9"/>
  <c r="R459" i="9" s="1"/>
  <c r="R458" i="9"/>
  <c r="Q458" i="9"/>
  <c r="M458" i="9"/>
  <c r="I458" i="9"/>
  <c r="E458" i="9"/>
  <c r="Q457" i="9"/>
  <c r="M457" i="9"/>
  <c r="I457" i="9"/>
  <c r="E457" i="9"/>
  <c r="R457" i="9" s="1"/>
  <c r="Q456" i="9"/>
  <c r="M456" i="9"/>
  <c r="R456" i="9" s="1"/>
  <c r="I456" i="9"/>
  <c r="E456" i="9"/>
  <c r="Q455" i="9"/>
  <c r="M455" i="9"/>
  <c r="I455" i="9"/>
  <c r="R455" i="9" s="1"/>
  <c r="E455" i="9"/>
  <c r="Q454" i="9"/>
  <c r="M454" i="9"/>
  <c r="I454" i="9"/>
  <c r="E454" i="9"/>
  <c r="R454" i="9" s="1"/>
  <c r="Q452" i="9"/>
  <c r="M452" i="9"/>
  <c r="I452" i="9"/>
  <c r="R452" i="9" s="1"/>
  <c r="E452" i="9"/>
  <c r="Q451" i="9"/>
  <c r="M451" i="9"/>
  <c r="I451" i="9"/>
  <c r="E451" i="9"/>
  <c r="R451" i="9" s="1"/>
  <c r="Q450" i="9"/>
  <c r="M450" i="9"/>
  <c r="I450" i="9"/>
  <c r="E450" i="9"/>
  <c r="R450" i="9" s="1"/>
  <c r="R449" i="9"/>
  <c r="Q449" i="9"/>
  <c r="M449" i="9"/>
  <c r="I449" i="9"/>
  <c r="E449" i="9"/>
  <c r="Q448" i="9"/>
  <c r="M448" i="9"/>
  <c r="I448" i="9"/>
  <c r="E448" i="9"/>
  <c r="R448" i="9" s="1"/>
  <c r="Q447" i="9"/>
  <c r="M447" i="9"/>
  <c r="R447" i="9" s="1"/>
  <c r="I447" i="9"/>
  <c r="E447" i="9"/>
  <c r="Q445" i="9"/>
  <c r="M445" i="9"/>
  <c r="I445" i="9"/>
  <c r="R445" i="9" s="1"/>
  <c r="E445" i="9"/>
  <c r="Q444" i="9"/>
  <c r="M444" i="9"/>
  <c r="I444" i="9"/>
  <c r="E444" i="9"/>
  <c r="R444" i="9" s="1"/>
  <c r="Q442" i="9"/>
  <c r="M442" i="9"/>
  <c r="I442" i="9"/>
  <c r="R442" i="9" s="1"/>
  <c r="E442" i="9"/>
  <c r="P439" i="9"/>
  <c r="P464" i="9" s="1"/>
  <c r="P469" i="9" s="1"/>
  <c r="N439" i="9"/>
  <c r="L439" i="9"/>
  <c r="L464" i="9" s="1"/>
  <c r="L469" i="9" s="1"/>
  <c r="H439" i="9"/>
  <c r="H464" i="9" s="1"/>
  <c r="H469" i="9" s="1"/>
  <c r="D439" i="9"/>
  <c r="D464" i="9" s="1"/>
  <c r="D469" i="9" s="1"/>
  <c r="Q438" i="9"/>
  <c r="M438" i="9"/>
  <c r="I438" i="9"/>
  <c r="R438" i="9" s="1"/>
  <c r="E438" i="9"/>
  <c r="Q437" i="9"/>
  <c r="M437" i="9"/>
  <c r="I437" i="9"/>
  <c r="E437" i="9"/>
  <c r="R437" i="9" s="1"/>
  <c r="Q436" i="9"/>
  <c r="M436" i="9"/>
  <c r="I436" i="9"/>
  <c r="R436" i="9" s="1"/>
  <c r="E436" i="9"/>
  <c r="Q435" i="9"/>
  <c r="M435" i="9"/>
  <c r="I435" i="9"/>
  <c r="E435" i="9"/>
  <c r="R435" i="9" s="1"/>
  <c r="Q434" i="9"/>
  <c r="M434" i="9"/>
  <c r="I434" i="9"/>
  <c r="E434" i="9"/>
  <c r="R434" i="9" s="1"/>
  <c r="R433" i="9"/>
  <c r="Q433" i="9"/>
  <c r="M433" i="9"/>
  <c r="I433" i="9"/>
  <c r="E433" i="9"/>
  <c r="Q432" i="9"/>
  <c r="M432" i="9"/>
  <c r="I432" i="9"/>
  <c r="E432" i="9"/>
  <c r="R432" i="9" s="1"/>
  <c r="Q431" i="9"/>
  <c r="M431" i="9"/>
  <c r="R431" i="9" s="1"/>
  <c r="I431" i="9"/>
  <c r="E431" i="9"/>
  <c r="Q430" i="9"/>
  <c r="M430" i="9"/>
  <c r="I430" i="9"/>
  <c r="R430" i="9" s="1"/>
  <c r="E430" i="9"/>
  <c r="Q429" i="9"/>
  <c r="M429" i="9"/>
  <c r="I429" i="9"/>
  <c r="E429" i="9"/>
  <c r="R429" i="9" s="1"/>
  <c r="Q428" i="9"/>
  <c r="M428" i="9"/>
  <c r="I428" i="9"/>
  <c r="R428" i="9" s="1"/>
  <c r="E428" i="9"/>
  <c r="Q427" i="9"/>
  <c r="M427" i="9"/>
  <c r="I427" i="9"/>
  <c r="E427" i="9"/>
  <c r="R427" i="9" s="1"/>
  <c r="Q426" i="9"/>
  <c r="M426" i="9"/>
  <c r="I426" i="9"/>
  <c r="E426" i="9"/>
  <c r="R426" i="9" s="1"/>
  <c r="R425" i="9"/>
  <c r="Q425" i="9"/>
  <c r="M425" i="9"/>
  <c r="I425" i="9"/>
  <c r="E425" i="9"/>
  <c r="Q424" i="9"/>
  <c r="M424" i="9"/>
  <c r="I424" i="9"/>
  <c r="E424" i="9"/>
  <c r="R424" i="9" s="1"/>
  <c r="Q423" i="9"/>
  <c r="M423" i="9"/>
  <c r="R423" i="9" s="1"/>
  <c r="I423" i="9"/>
  <c r="E423" i="9"/>
  <c r="Q422" i="9"/>
  <c r="M422" i="9"/>
  <c r="I422" i="9"/>
  <c r="R422" i="9" s="1"/>
  <c r="E422" i="9"/>
  <c r="Q421" i="9"/>
  <c r="M421" i="9"/>
  <c r="I421" i="9"/>
  <c r="E421" i="9"/>
  <c r="R421" i="9" s="1"/>
  <c r="Q420" i="9"/>
  <c r="M420" i="9"/>
  <c r="I420" i="9"/>
  <c r="R420" i="9" s="1"/>
  <c r="E420" i="9"/>
  <c r="Q419" i="9"/>
  <c r="M419" i="9"/>
  <c r="I419" i="9"/>
  <c r="E419" i="9"/>
  <c r="R419" i="9" s="1"/>
  <c r="Q418" i="9"/>
  <c r="M418" i="9"/>
  <c r="I418" i="9"/>
  <c r="E418" i="9"/>
  <c r="R418" i="9" s="1"/>
  <c r="R417" i="9"/>
  <c r="Q417" i="9"/>
  <c r="M417" i="9"/>
  <c r="I417" i="9"/>
  <c r="E417" i="9"/>
  <c r="Q416" i="9"/>
  <c r="M416" i="9"/>
  <c r="I416" i="9"/>
  <c r="E416" i="9"/>
  <c r="R416" i="9" s="1"/>
  <c r="Q415" i="9"/>
  <c r="M415" i="9"/>
  <c r="R415" i="9" s="1"/>
  <c r="I415" i="9"/>
  <c r="E415" i="9"/>
  <c r="Q414" i="9"/>
  <c r="M414" i="9"/>
  <c r="I414" i="9"/>
  <c r="R414" i="9" s="1"/>
  <c r="E414" i="9"/>
  <c r="Q413" i="9"/>
  <c r="M413" i="9"/>
  <c r="I413" i="9"/>
  <c r="E413" i="9"/>
  <c r="R413" i="9" s="1"/>
  <c r="Q412" i="9"/>
  <c r="M412" i="9"/>
  <c r="I412" i="9"/>
  <c r="R412" i="9" s="1"/>
  <c r="E412" i="9"/>
  <c r="Q411" i="9"/>
  <c r="M411" i="9"/>
  <c r="I411" i="9"/>
  <c r="E411" i="9"/>
  <c r="R411" i="9" s="1"/>
  <c r="Q410" i="9"/>
  <c r="M410" i="9"/>
  <c r="I410" i="9"/>
  <c r="E410" i="9"/>
  <c r="R410" i="9" s="1"/>
  <c r="R409" i="9"/>
  <c r="Q409" i="9"/>
  <c r="M409" i="9"/>
  <c r="I409" i="9"/>
  <c r="E409" i="9"/>
  <c r="Q408" i="9"/>
  <c r="M408" i="9"/>
  <c r="I408" i="9"/>
  <c r="E408" i="9"/>
  <c r="R408" i="9" s="1"/>
  <c r="Q407" i="9"/>
  <c r="M407" i="9"/>
  <c r="R407" i="9" s="1"/>
  <c r="I407" i="9"/>
  <c r="E407" i="9"/>
  <c r="Q406" i="9"/>
  <c r="M406" i="9"/>
  <c r="I406" i="9"/>
  <c r="R406" i="9" s="1"/>
  <c r="E406" i="9"/>
  <c r="Q405" i="9"/>
  <c r="M405" i="9"/>
  <c r="I405" i="9"/>
  <c r="E405" i="9"/>
  <c r="R405" i="9" s="1"/>
  <c r="Q404" i="9"/>
  <c r="M404" i="9"/>
  <c r="I404" i="9"/>
  <c r="R404" i="9" s="1"/>
  <c r="E404" i="9"/>
  <c r="Q403" i="9"/>
  <c r="M403" i="9"/>
  <c r="I403" i="9"/>
  <c r="E403" i="9"/>
  <c r="R403" i="9" s="1"/>
  <c r="Q402" i="9"/>
  <c r="M402" i="9"/>
  <c r="I402" i="9"/>
  <c r="E402" i="9"/>
  <c r="R402" i="9" s="1"/>
  <c r="R401" i="9"/>
  <c r="Q401" i="9"/>
  <c r="M401" i="9"/>
  <c r="I401" i="9"/>
  <c r="E401" i="9"/>
  <c r="Q400" i="9"/>
  <c r="M400" i="9"/>
  <c r="I400" i="9"/>
  <c r="E400" i="9"/>
  <c r="R400" i="9" s="1"/>
  <c r="Q399" i="9"/>
  <c r="M399" i="9"/>
  <c r="R399" i="9" s="1"/>
  <c r="I399" i="9"/>
  <c r="E399" i="9"/>
  <c r="Q398" i="9"/>
  <c r="M398" i="9"/>
  <c r="I398" i="9"/>
  <c r="R398" i="9" s="1"/>
  <c r="E398" i="9"/>
  <c r="Q397" i="9"/>
  <c r="M397" i="9"/>
  <c r="I397" i="9"/>
  <c r="E397" i="9"/>
  <c r="R397" i="9" s="1"/>
  <c r="P395" i="9"/>
  <c r="P837" i="9" s="1"/>
  <c r="P839" i="9" s="1"/>
  <c r="P868" i="9" s="1"/>
  <c r="O395" i="9"/>
  <c r="O837" i="9" s="1"/>
  <c r="O839" i="9" s="1"/>
  <c r="O868" i="9" s="1"/>
  <c r="K395" i="9"/>
  <c r="K837" i="9" s="1"/>
  <c r="J395" i="9"/>
  <c r="J837" i="9" s="1"/>
  <c r="I395" i="9"/>
  <c r="H395" i="9"/>
  <c r="H837" i="9" s="1"/>
  <c r="G395" i="9"/>
  <c r="G837" i="9" s="1"/>
  <c r="F395" i="9"/>
  <c r="F837" i="9" s="1"/>
  <c r="E395" i="9"/>
  <c r="D395" i="9"/>
  <c r="D837" i="9" s="1"/>
  <c r="D839" i="9" s="1"/>
  <c r="D868" i="9" s="1"/>
  <c r="C395" i="9"/>
  <c r="C837" i="9" s="1"/>
  <c r="C839" i="9" s="1"/>
  <c r="C868" i="9" s="1"/>
  <c r="B395" i="9"/>
  <c r="B837" i="9" s="1"/>
  <c r="Q394" i="9"/>
  <c r="M394" i="9"/>
  <c r="I394" i="9"/>
  <c r="E394" i="9"/>
  <c r="R394" i="9" s="1"/>
  <c r="P391" i="9"/>
  <c r="O391" i="9"/>
  <c r="Q391" i="9" s="1"/>
  <c r="N391" i="9"/>
  <c r="L391" i="9"/>
  <c r="K391" i="9"/>
  <c r="M391" i="9" s="1"/>
  <c r="J391" i="9"/>
  <c r="H391" i="9"/>
  <c r="G391" i="9"/>
  <c r="I391" i="9" s="1"/>
  <c r="F391" i="9"/>
  <c r="D391" i="9"/>
  <c r="C391" i="9"/>
  <c r="E391" i="9" s="1"/>
  <c r="B391" i="9"/>
  <c r="Q389" i="9"/>
  <c r="M389" i="9"/>
  <c r="R389" i="9" s="1"/>
  <c r="I389" i="9"/>
  <c r="E389" i="9"/>
  <c r="Q388" i="9"/>
  <c r="M388" i="9"/>
  <c r="I388" i="9"/>
  <c r="E388" i="9"/>
  <c r="R388" i="9" s="1"/>
  <c r="Q387" i="9"/>
  <c r="M387" i="9"/>
  <c r="I387" i="9"/>
  <c r="E387" i="9"/>
  <c r="R387" i="9" s="1"/>
  <c r="Q386" i="9"/>
  <c r="M386" i="9"/>
  <c r="I386" i="9"/>
  <c r="E386" i="9"/>
  <c r="R386" i="9" s="1"/>
  <c r="AK385" i="9"/>
  <c r="AJ385" i="9"/>
  <c r="AI385" i="9"/>
  <c r="AG385" i="9"/>
  <c r="AF385" i="9"/>
  <c r="AE385" i="9"/>
  <c r="AH385" i="9" s="1"/>
  <c r="Y385" i="9"/>
  <c r="X385" i="9"/>
  <c r="W385" i="9"/>
  <c r="Z385" i="9" s="1"/>
  <c r="Q385" i="9"/>
  <c r="M385" i="9"/>
  <c r="I385" i="9"/>
  <c r="E385" i="9"/>
  <c r="R385" i="9" s="1"/>
  <c r="AK384" i="9"/>
  <c r="AJ384" i="9"/>
  <c r="AI384" i="9"/>
  <c r="AL384" i="9" s="1"/>
  <c r="AG384" i="9"/>
  <c r="AF384" i="9"/>
  <c r="AE384" i="9"/>
  <c r="AH384" i="9" s="1"/>
  <c r="AA384" i="9"/>
  <c r="Y384" i="9"/>
  <c r="X384" i="9"/>
  <c r="W384" i="9"/>
  <c r="Z384" i="9" s="1"/>
  <c r="Q384" i="9"/>
  <c r="M384" i="9"/>
  <c r="I384" i="9"/>
  <c r="R384" i="9" s="1"/>
  <c r="E384" i="9"/>
  <c r="AK383" i="9"/>
  <c r="AJ383" i="9"/>
  <c r="AI383" i="9"/>
  <c r="AL383" i="9" s="1"/>
  <c r="AG383" i="9"/>
  <c r="AF383" i="9"/>
  <c r="AE383" i="9"/>
  <c r="AH383" i="9" s="1"/>
  <c r="Y383" i="9"/>
  <c r="X383" i="9"/>
  <c r="W383" i="9"/>
  <c r="Z383" i="9" s="1"/>
  <c r="Q383" i="9"/>
  <c r="M383" i="9"/>
  <c r="I383" i="9"/>
  <c r="E383" i="9"/>
  <c r="R383" i="9" s="1"/>
  <c r="AL382" i="9"/>
  <c r="AL385" i="9" s="1"/>
  <c r="AH382" i="9"/>
  <c r="AC382" i="9"/>
  <c r="AC383" i="9" s="1"/>
  <c r="AB382" i="9"/>
  <c r="AB383" i="9" s="1"/>
  <c r="AA382" i="9"/>
  <c r="AA385" i="9" s="1"/>
  <c r="Z382" i="9"/>
  <c r="R382" i="9"/>
  <c r="Q382" i="9"/>
  <c r="M382" i="9"/>
  <c r="I382" i="9"/>
  <c r="E382" i="9"/>
  <c r="Q381" i="9"/>
  <c r="M381" i="9"/>
  <c r="I381" i="9"/>
  <c r="R381" i="9" s="1"/>
  <c r="E381" i="9"/>
  <c r="W380" i="9"/>
  <c r="Q377" i="9"/>
  <c r="P377" i="9"/>
  <c r="O377" i="9"/>
  <c r="N377" i="9"/>
  <c r="N464" i="9" s="1"/>
  <c r="M377" i="9"/>
  <c r="L377" i="9"/>
  <c r="K377" i="9"/>
  <c r="J377" i="9"/>
  <c r="I377" i="9"/>
  <c r="H377" i="9"/>
  <c r="G377" i="9"/>
  <c r="F377" i="9"/>
  <c r="D377" i="9"/>
  <c r="Q375" i="9"/>
  <c r="M375" i="9"/>
  <c r="I375" i="9"/>
  <c r="E375" i="9"/>
  <c r="R375" i="9" s="1"/>
  <c r="Q374" i="9"/>
  <c r="M374" i="9"/>
  <c r="I374" i="9"/>
  <c r="E374" i="9"/>
  <c r="R374" i="9" s="1"/>
  <c r="Q373" i="9"/>
  <c r="M373" i="9"/>
  <c r="R373" i="9" s="1"/>
  <c r="I373" i="9"/>
  <c r="E373" i="9"/>
  <c r="Q372" i="9"/>
  <c r="M372" i="9"/>
  <c r="I372" i="9"/>
  <c r="E372" i="9"/>
  <c r="R372" i="9" s="1"/>
  <c r="R370" i="9"/>
  <c r="Q370" i="9"/>
  <c r="M370" i="9"/>
  <c r="I370" i="9"/>
  <c r="E370" i="9"/>
  <c r="Q369" i="9"/>
  <c r="M369" i="9"/>
  <c r="I369" i="9"/>
  <c r="E369" i="9"/>
  <c r="R369" i="9" s="1"/>
  <c r="Q368" i="9"/>
  <c r="M368" i="9"/>
  <c r="I368" i="9"/>
  <c r="E368" i="9"/>
  <c r="R368" i="9" s="1"/>
  <c r="Q367" i="9"/>
  <c r="M367" i="9"/>
  <c r="I367" i="9"/>
  <c r="E367" i="9"/>
  <c r="R367" i="9" s="1"/>
  <c r="Q366" i="9"/>
  <c r="M366" i="9"/>
  <c r="I366" i="9"/>
  <c r="E366" i="9"/>
  <c r="R366" i="9" s="1"/>
  <c r="Q365" i="9"/>
  <c r="M365" i="9"/>
  <c r="I365" i="9"/>
  <c r="E365" i="9"/>
  <c r="R365" i="9" s="1"/>
  <c r="Q364" i="9"/>
  <c r="M364" i="9"/>
  <c r="I364" i="9"/>
  <c r="E364" i="9"/>
  <c r="R364" i="9" s="1"/>
  <c r="Q363" i="9"/>
  <c r="M363" i="9"/>
  <c r="I363" i="9"/>
  <c r="E363" i="9"/>
  <c r="R363" i="9" s="1"/>
  <c r="R362" i="9"/>
  <c r="Q362" i="9"/>
  <c r="M362" i="9"/>
  <c r="I362" i="9"/>
  <c r="E362" i="9"/>
  <c r="Q361" i="9"/>
  <c r="M361" i="9"/>
  <c r="I361" i="9"/>
  <c r="E361" i="9"/>
  <c r="R361" i="9" s="1"/>
  <c r="Q360" i="9"/>
  <c r="M360" i="9"/>
  <c r="I360" i="9"/>
  <c r="E360" i="9"/>
  <c r="R360" i="9" s="1"/>
  <c r="Q359" i="9"/>
  <c r="M359" i="9"/>
  <c r="I359" i="9"/>
  <c r="R359" i="9" s="1"/>
  <c r="E359" i="9"/>
  <c r="Q358" i="9"/>
  <c r="M358" i="9"/>
  <c r="I358" i="9"/>
  <c r="E358" i="9"/>
  <c r="R358" i="9" s="1"/>
  <c r="Q356" i="9"/>
  <c r="M356" i="9"/>
  <c r="I356" i="9"/>
  <c r="E356" i="9"/>
  <c r="R356" i="9" s="1"/>
  <c r="Q355" i="9"/>
  <c r="M355" i="9"/>
  <c r="I355" i="9"/>
  <c r="R355" i="9" s="1"/>
  <c r="E355" i="9"/>
  <c r="Q354" i="9"/>
  <c r="M354" i="9"/>
  <c r="I354" i="9"/>
  <c r="E354" i="9"/>
  <c r="R354" i="9" s="1"/>
  <c r="Q353" i="9"/>
  <c r="M353" i="9"/>
  <c r="I353" i="9"/>
  <c r="R353" i="9" s="1"/>
  <c r="E353" i="9"/>
  <c r="Q352" i="9"/>
  <c r="M352" i="9"/>
  <c r="I352" i="9"/>
  <c r="E352" i="9"/>
  <c r="R352" i="9" s="1"/>
  <c r="Q351" i="9"/>
  <c r="M351" i="9"/>
  <c r="I351" i="9"/>
  <c r="E351" i="9"/>
  <c r="R351" i="9" s="1"/>
  <c r="R350" i="9"/>
  <c r="Q350" i="9"/>
  <c r="M350" i="9"/>
  <c r="I350" i="9"/>
  <c r="E350" i="9"/>
  <c r="Q349" i="9"/>
  <c r="M349" i="9"/>
  <c r="I349" i="9"/>
  <c r="E349" i="9"/>
  <c r="R349" i="9" s="1"/>
  <c r="Q348" i="9"/>
  <c r="M348" i="9"/>
  <c r="I348" i="9"/>
  <c r="E348" i="9"/>
  <c r="R348" i="9" s="1"/>
  <c r="Q347" i="9"/>
  <c r="M347" i="9"/>
  <c r="I347" i="9"/>
  <c r="E347" i="9"/>
  <c r="R347" i="9" s="1"/>
  <c r="Q346" i="9"/>
  <c r="M346" i="9"/>
  <c r="I346" i="9"/>
  <c r="E346" i="9"/>
  <c r="R346" i="9" s="1"/>
  <c r="Q345" i="9"/>
  <c r="M345" i="9"/>
  <c r="I345" i="9"/>
  <c r="R345" i="9" s="1"/>
  <c r="E345" i="9"/>
  <c r="Q344" i="9"/>
  <c r="M344" i="9"/>
  <c r="I344" i="9"/>
  <c r="E344" i="9"/>
  <c r="R344" i="9" s="1"/>
  <c r="Q343" i="9"/>
  <c r="M343" i="9"/>
  <c r="I343" i="9"/>
  <c r="E343" i="9"/>
  <c r="R343" i="9" s="1"/>
  <c r="R342" i="9"/>
  <c r="Q342" i="9"/>
  <c r="M342" i="9"/>
  <c r="I342" i="9"/>
  <c r="E342" i="9"/>
  <c r="Q341" i="9"/>
  <c r="M341" i="9"/>
  <c r="I341" i="9"/>
  <c r="E341" i="9"/>
  <c r="R341" i="9" s="1"/>
  <c r="Q340" i="9"/>
  <c r="M340" i="9"/>
  <c r="I340" i="9"/>
  <c r="E340" i="9"/>
  <c r="R340" i="9" s="1"/>
  <c r="Q339" i="9"/>
  <c r="M339" i="9"/>
  <c r="I339" i="9"/>
  <c r="E339" i="9"/>
  <c r="R339" i="9" s="1"/>
  <c r="Q338" i="9"/>
  <c r="M338" i="9"/>
  <c r="I338" i="9"/>
  <c r="E338" i="9"/>
  <c r="R338" i="9" s="1"/>
  <c r="Q337" i="9"/>
  <c r="M337" i="9"/>
  <c r="I337" i="9"/>
  <c r="R337" i="9" s="1"/>
  <c r="E337" i="9"/>
  <c r="Q336" i="9"/>
  <c r="M336" i="9"/>
  <c r="I336" i="9"/>
  <c r="E336" i="9"/>
  <c r="R336" i="9" s="1"/>
  <c r="Q335" i="9"/>
  <c r="M335" i="9"/>
  <c r="I335" i="9"/>
  <c r="E335" i="9"/>
  <c r="R335" i="9" s="1"/>
  <c r="R334" i="9"/>
  <c r="Q334" i="9"/>
  <c r="M334" i="9"/>
  <c r="I334" i="9"/>
  <c r="E334" i="9"/>
  <c r="Q333" i="9"/>
  <c r="M333" i="9"/>
  <c r="I333" i="9"/>
  <c r="E333" i="9"/>
  <c r="R333" i="9" s="1"/>
  <c r="Q332" i="9"/>
  <c r="M332" i="9"/>
  <c r="I332" i="9"/>
  <c r="C332" i="9"/>
  <c r="C824" i="9" s="1"/>
  <c r="C830" i="9" s="1"/>
  <c r="B332" i="9"/>
  <c r="B824" i="9" s="1"/>
  <c r="Q331" i="9"/>
  <c r="M331" i="9"/>
  <c r="I331" i="9"/>
  <c r="R331" i="9" s="1"/>
  <c r="E331" i="9"/>
  <c r="Q330" i="9"/>
  <c r="M330" i="9"/>
  <c r="I330" i="9"/>
  <c r="E330" i="9"/>
  <c r="R330" i="9" s="1"/>
  <c r="Q329" i="9"/>
  <c r="M329" i="9"/>
  <c r="I329" i="9"/>
  <c r="E329" i="9"/>
  <c r="R329" i="9" s="1"/>
  <c r="R328" i="9"/>
  <c r="Q328" i="9"/>
  <c r="M328" i="9"/>
  <c r="I328" i="9"/>
  <c r="E328" i="9"/>
  <c r="Q327" i="9"/>
  <c r="M327" i="9"/>
  <c r="I327" i="9"/>
  <c r="R327" i="9" s="1"/>
  <c r="E327" i="9"/>
  <c r="Q326" i="9"/>
  <c r="M326" i="9"/>
  <c r="I326" i="9"/>
  <c r="E326" i="9"/>
  <c r="R326" i="9" s="1"/>
  <c r="Q318" i="9"/>
  <c r="P318" i="9"/>
  <c r="O318" i="9"/>
  <c r="N318" i="9"/>
  <c r="M318" i="9"/>
  <c r="L318" i="9"/>
  <c r="K318" i="9"/>
  <c r="J318" i="9"/>
  <c r="I318" i="9"/>
  <c r="H318" i="9"/>
  <c r="G318" i="9"/>
  <c r="F318" i="9"/>
  <c r="E318" i="9"/>
  <c r="D318" i="9"/>
  <c r="C318" i="9"/>
  <c r="B318" i="9"/>
  <c r="Q316" i="9"/>
  <c r="M316" i="9"/>
  <c r="I316" i="9"/>
  <c r="E316" i="9"/>
  <c r="R316" i="9" s="1"/>
  <c r="R318" i="9" s="1"/>
  <c r="Q305" i="9"/>
  <c r="R305" i="9" s="1"/>
  <c r="M305" i="9"/>
  <c r="I305" i="9"/>
  <c r="E305" i="9"/>
  <c r="Q304" i="9"/>
  <c r="M304" i="9"/>
  <c r="I304" i="9"/>
  <c r="E304" i="9"/>
  <c r="R304" i="9" s="1"/>
  <c r="Q303" i="9"/>
  <c r="M303" i="9"/>
  <c r="I303" i="9"/>
  <c r="R303" i="9" s="1"/>
  <c r="E303" i="9"/>
  <c r="Q302" i="9"/>
  <c r="M302" i="9"/>
  <c r="I302" i="9"/>
  <c r="E302" i="9"/>
  <c r="R302" i="9" s="1"/>
  <c r="Q301" i="9"/>
  <c r="M301" i="9"/>
  <c r="I301" i="9"/>
  <c r="E301" i="9"/>
  <c r="R301" i="9" s="1"/>
  <c r="R300" i="9"/>
  <c r="Q300" i="9"/>
  <c r="M300" i="9"/>
  <c r="I300" i="9"/>
  <c r="E300" i="9"/>
  <c r="C299" i="9"/>
  <c r="C307" i="9" s="1"/>
  <c r="P298" i="9"/>
  <c r="O298" i="9"/>
  <c r="N298" i="9"/>
  <c r="Q298" i="9" s="1"/>
  <c r="L298" i="9"/>
  <c r="K298" i="9"/>
  <c r="J298" i="9"/>
  <c r="M298" i="9" s="1"/>
  <c r="H298" i="9"/>
  <c r="G298" i="9"/>
  <c r="F298" i="9"/>
  <c r="D298" i="9"/>
  <c r="C298" i="9"/>
  <c r="B298" i="9"/>
  <c r="E298" i="9" s="1"/>
  <c r="Q297" i="9"/>
  <c r="P297" i="9"/>
  <c r="O297" i="9"/>
  <c r="N297" i="9"/>
  <c r="M297" i="9"/>
  <c r="L297" i="9"/>
  <c r="K297" i="9"/>
  <c r="J297" i="9"/>
  <c r="I297" i="9"/>
  <c r="H297" i="9"/>
  <c r="G297" i="9"/>
  <c r="F297" i="9"/>
  <c r="E297" i="9"/>
  <c r="R297" i="9" s="1"/>
  <c r="D297" i="9"/>
  <c r="C297" i="9"/>
  <c r="B297" i="9"/>
  <c r="R296" i="9"/>
  <c r="Q296" i="9"/>
  <c r="M296" i="9"/>
  <c r="I296" i="9"/>
  <c r="E296" i="9"/>
  <c r="Q294" i="9"/>
  <c r="M294" i="9"/>
  <c r="I294" i="9"/>
  <c r="E294" i="9"/>
  <c r="R294" i="9" s="1"/>
  <c r="Q292" i="9"/>
  <c r="M292" i="9"/>
  <c r="I292" i="9"/>
  <c r="E292" i="9"/>
  <c r="R292" i="9" s="1"/>
  <c r="Q291" i="9"/>
  <c r="M291" i="9"/>
  <c r="I291" i="9"/>
  <c r="E291" i="9"/>
  <c r="Q290" i="9"/>
  <c r="M290" i="9"/>
  <c r="I290" i="9"/>
  <c r="E290" i="9"/>
  <c r="R290" i="9" s="1"/>
  <c r="Q289" i="9"/>
  <c r="M289" i="9"/>
  <c r="I289" i="9"/>
  <c r="E289" i="9"/>
  <c r="R289" i="9" s="1"/>
  <c r="Q288" i="9"/>
  <c r="M288" i="9"/>
  <c r="I288" i="9"/>
  <c r="E288" i="9"/>
  <c r="Q287" i="9"/>
  <c r="M287" i="9"/>
  <c r="I287" i="9"/>
  <c r="E287" i="9"/>
  <c r="Q286" i="9"/>
  <c r="M286" i="9"/>
  <c r="I286" i="9"/>
  <c r="E286" i="9"/>
  <c r="R286" i="9" s="1"/>
  <c r="Q285" i="9"/>
  <c r="M285" i="9"/>
  <c r="I285" i="9"/>
  <c r="E285" i="9"/>
  <c r="R285" i="9" s="1"/>
  <c r="Q283" i="9"/>
  <c r="M283" i="9"/>
  <c r="I283" i="9"/>
  <c r="E283" i="9"/>
  <c r="Q282" i="9"/>
  <c r="M282" i="9"/>
  <c r="I282" i="9"/>
  <c r="E282" i="9"/>
  <c r="R282" i="9" s="1"/>
  <c r="Q281" i="9"/>
  <c r="M281" i="9"/>
  <c r="I281" i="9"/>
  <c r="R281" i="9" s="1"/>
  <c r="E281" i="9"/>
  <c r="P278" i="9"/>
  <c r="O278" i="9"/>
  <c r="N278" i="9"/>
  <c r="Q278" i="9" s="1"/>
  <c r="L278" i="9"/>
  <c r="H278" i="9"/>
  <c r="D278" i="9"/>
  <c r="C278" i="9"/>
  <c r="B278" i="9"/>
  <c r="E278" i="9" s="1"/>
  <c r="Q277" i="9"/>
  <c r="M277" i="9"/>
  <c r="I277" i="9"/>
  <c r="E277" i="9"/>
  <c r="R277" i="9" s="1"/>
  <c r="Q276" i="9"/>
  <c r="M276" i="9"/>
  <c r="I276" i="9"/>
  <c r="E276" i="9"/>
  <c r="R276" i="9" s="1"/>
  <c r="Q275" i="9"/>
  <c r="M275" i="9"/>
  <c r="I275" i="9"/>
  <c r="R275" i="9" s="1"/>
  <c r="E275" i="9"/>
  <c r="Q274" i="9"/>
  <c r="M274" i="9"/>
  <c r="I274" i="9"/>
  <c r="E274" i="9"/>
  <c r="Q273" i="9"/>
  <c r="M273" i="9"/>
  <c r="I273" i="9"/>
  <c r="E273" i="9"/>
  <c r="R272" i="9"/>
  <c r="Q272" i="9"/>
  <c r="M272" i="9"/>
  <c r="I272" i="9"/>
  <c r="E272" i="9"/>
  <c r="Q271" i="9"/>
  <c r="M271" i="9"/>
  <c r="I271" i="9"/>
  <c r="E271" i="9"/>
  <c r="R271" i="9" s="1"/>
  <c r="Q270" i="9"/>
  <c r="M270" i="9"/>
  <c r="I270" i="9"/>
  <c r="E270" i="9"/>
  <c r="Q269" i="9"/>
  <c r="M269" i="9"/>
  <c r="L269" i="9"/>
  <c r="L838" i="9" s="1"/>
  <c r="I269" i="9"/>
  <c r="E269" i="9"/>
  <c r="R269" i="9" s="1"/>
  <c r="Q268" i="9"/>
  <c r="M268" i="9"/>
  <c r="I268" i="9"/>
  <c r="E268" i="9"/>
  <c r="Q267" i="9"/>
  <c r="M267" i="9"/>
  <c r="R267" i="9" s="1"/>
  <c r="I267" i="9"/>
  <c r="E267" i="9"/>
  <c r="Q266" i="9"/>
  <c r="M266" i="9"/>
  <c r="I266" i="9"/>
  <c r="E266" i="9"/>
  <c r="R265" i="9"/>
  <c r="Q265" i="9"/>
  <c r="M265" i="9"/>
  <c r="I265" i="9"/>
  <c r="E265" i="9"/>
  <c r="Q264" i="9"/>
  <c r="M264" i="9"/>
  <c r="I264" i="9"/>
  <c r="R264" i="9" s="1"/>
  <c r="E264" i="9"/>
  <c r="Q263" i="9"/>
  <c r="M263" i="9"/>
  <c r="I263" i="9"/>
  <c r="E263" i="9"/>
  <c r="R263" i="9" s="1"/>
  <c r="Q262" i="9"/>
  <c r="M262" i="9"/>
  <c r="I262" i="9"/>
  <c r="E262" i="9"/>
  <c r="R262" i="9" s="1"/>
  <c r="Q261" i="9"/>
  <c r="K261" i="9"/>
  <c r="K838" i="9" s="1"/>
  <c r="J261" i="9"/>
  <c r="H261" i="9"/>
  <c r="H838" i="9" s="1"/>
  <c r="E261" i="9"/>
  <c r="Q260" i="9"/>
  <c r="M260" i="9"/>
  <c r="I260" i="9"/>
  <c r="E260" i="9"/>
  <c r="R260" i="9" s="1"/>
  <c r="Q259" i="9"/>
  <c r="M259" i="9"/>
  <c r="I259" i="9"/>
  <c r="E259" i="9"/>
  <c r="R259" i="9" s="1"/>
  <c r="Q258" i="9"/>
  <c r="M258" i="9"/>
  <c r="R258" i="9" s="1"/>
  <c r="I258" i="9"/>
  <c r="E258" i="9"/>
  <c r="Q257" i="9"/>
  <c r="M257" i="9"/>
  <c r="I257" i="9"/>
  <c r="E257" i="9"/>
  <c r="Q256" i="9"/>
  <c r="M256" i="9"/>
  <c r="I256" i="9"/>
  <c r="E256" i="9"/>
  <c r="R256" i="9" s="1"/>
  <c r="Q255" i="9"/>
  <c r="M255" i="9"/>
  <c r="I255" i="9"/>
  <c r="E255" i="9"/>
  <c r="R255" i="9" s="1"/>
  <c r="Q254" i="9"/>
  <c r="M254" i="9"/>
  <c r="I254" i="9"/>
  <c r="E254" i="9"/>
  <c r="R254" i="9" s="1"/>
  <c r="Q253" i="9"/>
  <c r="M253" i="9"/>
  <c r="I253" i="9"/>
  <c r="R253" i="9" s="1"/>
  <c r="E253" i="9"/>
  <c r="Q252" i="9"/>
  <c r="M252" i="9"/>
  <c r="I252" i="9"/>
  <c r="E252" i="9"/>
  <c r="R252" i="9" s="1"/>
  <c r="Q251" i="9"/>
  <c r="M251" i="9"/>
  <c r="I251" i="9"/>
  <c r="E251" i="9"/>
  <c r="Q250" i="9"/>
  <c r="M250" i="9"/>
  <c r="I250" i="9"/>
  <c r="E250" i="9"/>
  <c r="Q249" i="9"/>
  <c r="M249" i="9"/>
  <c r="I249" i="9"/>
  <c r="E249" i="9"/>
  <c r="R248" i="9"/>
  <c r="Q248" i="9"/>
  <c r="M248" i="9"/>
  <c r="I248" i="9"/>
  <c r="E248" i="9"/>
  <c r="Q247" i="9"/>
  <c r="M247" i="9"/>
  <c r="I247" i="9"/>
  <c r="G247" i="9"/>
  <c r="G838" i="9" s="1"/>
  <c r="E247" i="9"/>
  <c r="R247" i="9" s="1"/>
  <c r="Q246" i="9"/>
  <c r="M246" i="9"/>
  <c r="I246" i="9"/>
  <c r="E246" i="9"/>
  <c r="Q245" i="9"/>
  <c r="M245" i="9"/>
  <c r="F245" i="9"/>
  <c r="E245" i="9"/>
  <c r="Q244" i="9"/>
  <c r="M244" i="9"/>
  <c r="I244" i="9"/>
  <c r="E244" i="9"/>
  <c r="R244" i="9" s="1"/>
  <c r="Q243" i="9"/>
  <c r="M243" i="9"/>
  <c r="I243" i="9"/>
  <c r="E243" i="9"/>
  <c r="R243" i="9" s="1"/>
  <c r="Q242" i="9"/>
  <c r="M242" i="9"/>
  <c r="I242" i="9"/>
  <c r="E242" i="9"/>
  <c r="R242" i="9" s="1"/>
  <c r="Q241" i="9"/>
  <c r="M241" i="9"/>
  <c r="I241" i="9"/>
  <c r="E241" i="9"/>
  <c r="Q240" i="9"/>
  <c r="M240" i="9"/>
  <c r="I240" i="9"/>
  <c r="E240" i="9"/>
  <c r="Q239" i="9"/>
  <c r="M239" i="9"/>
  <c r="I239" i="9"/>
  <c r="R239" i="9" s="1"/>
  <c r="E239" i="9"/>
  <c r="Q238" i="9"/>
  <c r="M238" i="9"/>
  <c r="I238" i="9"/>
  <c r="E238" i="9"/>
  <c r="R238" i="9" s="1"/>
  <c r="Q237" i="9"/>
  <c r="M237" i="9"/>
  <c r="I237" i="9"/>
  <c r="R237" i="9" s="1"/>
  <c r="E237" i="9"/>
  <c r="Q236" i="9"/>
  <c r="M236" i="9"/>
  <c r="I236" i="9"/>
  <c r="E236" i="9"/>
  <c r="Q235" i="9"/>
  <c r="M235" i="9"/>
  <c r="I235" i="9"/>
  <c r="E235" i="9"/>
  <c r="Q234" i="9"/>
  <c r="M234" i="9"/>
  <c r="I234" i="9"/>
  <c r="E234" i="9"/>
  <c r="R234" i="9" s="1"/>
  <c r="Q233" i="9"/>
  <c r="M233" i="9"/>
  <c r="I233" i="9"/>
  <c r="E233" i="9"/>
  <c r="R233" i="9" s="1"/>
  <c r="Q232" i="9"/>
  <c r="M232" i="9"/>
  <c r="I232" i="9"/>
  <c r="E232" i="9"/>
  <c r="R232" i="9" s="1"/>
  <c r="Q231" i="9"/>
  <c r="M231" i="9"/>
  <c r="I231" i="9"/>
  <c r="E231" i="9"/>
  <c r="Q230" i="9"/>
  <c r="M230" i="9"/>
  <c r="I230" i="9"/>
  <c r="E230" i="9"/>
  <c r="R230" i="9" s="1"/>
  <c r="Q229" i="9"/>
  <c r="M229" i="9"/>
  <c r="I229" i="9"/>
  <c r="R229" i="9" s="1"/>
  <c r="E229" i="9"/>
  <c r="Q228" i="9"/>
  <c r="M228" i="9"/>
  <c r="I228" i="9"/>
  <c r="E228" i="9"/>
  <c r="R228" i="9" s="1"/>
  <c r="Q227" i="9"/>
  <c r="M227" i="9"/>
  <c r="I227" i="9"/>
  <c r="E227" i="9"/>
  <c r="R227" i="9" s="1"/>
  <c r="R226" i="9"/>
  <c r="Q226" i="9"/>
  <c r="M226" i="9"/>
  <c r="I226" i="9"/>
  <c r="E226" i="9"/>
  <c r="Q225" i="9"/>
  <c r="M225" i="9"/>
  <c r="I225" i="9"/>
  <c r="E225" i="9"/>
  <c r="Q224" i="9"/>
  <c r="M224" i="9"/>
  <c r="I224" i="9"/>
  <c r="E224" i="9"/>
  <c r="Q223" i="9"/>
  <c r="M223" i="9"/>
  <c r="I223" i="9"/>
  <c r="R223" i="9" s="1"/>
  <c r="E223" i="9"/>
  <c r="Q222" i="9"/>
  <c r="M222" i="9"/>
  <c r="I222" i="9"/>
  <c r="E222" i="9"/>
  <c r="R222" i="9" s="1"/>
  <c r="Q221" i="9"/>
  <c r="M221" i="9"/>
  <c r="I221" i="9"/>
  <c r="R221" i="9" s="1"/>
  <c r="E221" i="9"/>
  <c r="Q220" i="9"/>
  <c r="M220" i="9"/>
  <c r="I220" i="9"/>
  <c r="E220" i="9"/>
  <c r="Q219" i="9"/>
  <c r="M219" i="9"/>
  <c r="I219" i="9"/>
  <c r="E219" i="9"/>
  <c r="Q218" i="9"/>
  <c r="M218" i="9"/>
  <c r="I218" i="9"/>
  <c r="E218" i="9"/>
  <c r="R218" i="9" s="1"/>
  <c r="Q217" i="9"/>
  <c r="M217" i="9"/>
  <c r="I217" i="9"/>
  <c r="E217" i="9"/>
  <c r="R217" i="9" s="1"/>
  <c r="P213" i="9"/>
  <c r="O213" i="9"/>
  <c r="N213" i="9"/>
  <c r="L213" i="9"/>
  <c r="K213" i="9"/>
  <c r="J213" i="9"/>
  <c r="I213" i="9"/>
  <c r="E213" i="9"/>
  <c r="D213" i="9"/>
  <c r="C213" i="9"/>
  <c r="B213" i="9"/>
  <c r="Q211" i="9"/>
  <c r="M211" i="9"/>
  <c r="I211" i="9"/>
  <c r="E211" i="9"/>
  <c r="R211" i="9" s="1"/>
  <c r="Q210" i="9"/>
  <c r="M210" i="9"/>
  <c r="I210" i="9"/>
  <c r="E210" i="9"/>
  <c r="R210" i="9" s="1"/>
  <c r="P206" i="9"/>
  <c r="P299" i="9" s="1"/>
  <c r="P307" i="9" s="1"/>
  <c r="H206" i="9"/>
  <c r="F206" i="9"/>
  <c r="D206" i="9"/>
  <c r="D299" i="9" s="1"/>
  <c r="D307" i="9" s="1"/>
  <c r="C206" i="9"/>
  <c r="B206" i="9"/>
  <c r="B299" i="9" s="1"/>
  <c r="Q204" i="9"/>
  <c r="M204" i="9"/>
  <c r="I204" i="9"/>
  <c r="E204" i="9"/>
  <c r="Q203" i="9"/>
  <c r="M203" i="9"/>
  <c r="I203" i="9"/>
  <c r="E203" i="9"/>
  <c r="R203" i="9" s="1"/>
  <c r="Q202" i="9"/>
  <c r="M202" i="9"/>
  <c r="I202" i="9"/>
  <c r="E202" i="9"/>
  <c r="R202" i="9" s="1"/>
  <c r="Q200" i="9"/>
  <c r="M200" i="9"/>
  <c r="I200" i="9"/>
  <c r="E200" i="9"/>
  <c r="R200" i="9" s="1"/>
  <c r="Q199" i="9"/>
  <c r="M199" i="9"/>
  <c r="I199" i="9"/>
  <c r="E199" i="9"/>
  <c r="Q198" i="9"/>
  <c r="M198" i="9"/>
  <c r="I198" i="9"/>
  <c r="E198" i="9"/>
  <c r="R198" i="9" s="1"/>
  <c r="Q197" i="9"/>
  <c r="M197" i="9"/>
  <c r="I197" i="9"/>
  <c r="R197" i="9" s="1"/>
  <c r="E197" i="9"/>
  <c r="Q196" i="9"/>
  <c r="M196" i="9"/>
  <c r="I196" i="9"/>
  <c r="E196" i="9"/>
  <c r="R196" i="9" s="1"/>
  <c r="Q195" i="9"/>
  <c r="M195" i="9"/>
  <c r="I195" i="9"/>
  <c r="E195" i="9"/>
  <c r="R195" i="9" s="1"/>
  <c r="Q194" i="9"/>
  <c r="M194" i="9"/>
  <c r="I194" i="9"/>
  <c r="E194" i="9"/>
  <c r="R194" i="9" s="1"/>
  <c r="Q193" i="9"/>
  <c r="M193" i="9"/>
  <c r="I193" i="9"/>
  <c r="E193" i="9"/>
  <c r="Q192" i="9"/>
  <c r="M192" i="9"/>
  <c r="I192" i="9"/>
  <c r="E192" i="9"/>
  <c r="Q191" i="9"/>
  <c r="M191" i="9"/>
  <c r="I191" i="9"/>
  <c r="R191" i="9" s="1"/>
  <c r="E191" i="9"/>
  <c r="Q190" i="9"/>
  <c r="M190" i="9"/>
  <c r="I190" i="9"/>
  <c r="E190" i="9"/>
  <c r="R190" i="9" s="1"/>
  <c r="Q189" i="9"/>
  <c r="M189" i="9"/>
  <c r="I189" i="9"/>
  <c r="R189" i="9" s="1"/>
  <c r="E189" i="9"/>
  <c r="Q187" i="9"/>
  <c r="M187" i="9"/>
  <c r="I187" i="9"/>
  <c r="E187" i="9"/>
  <c r="Q186" i="9"/>
  <c r="M186" i="9"/>
  <c r="I186" i="9"/>
  <c r="E186" i="9"/>
  <c r="R186" i="9" s="1"/>
  <c r="Q185" i="9"/>
  <c r="M185" i="9"/>
  <c r="I185" i="9"/>
  <c r="R185" i="9" s="1"/>
  <c r="E185" i="9"/>
  <c r="Q184" i="9"/>
  <c r="M184" i="9"/>
  <c r="I184" i="9"/>
  <c r="R184" i="9" s="1"/>
  <c r="E184" i="9"/>
  <c r="Q183" i="9"/>
  <c r="M183" i="9"/>
  <c r="I183" i="9"/>
  <c r="E183" i="9"/>
  <c r="Q182" i="9"/>
  <c r="M182" i="9"/>
  <c r="I182" i="9"/>
  <c r="E182" i="9"/>
  <c r="R182" i="9" s="1"/>
  <c r="Q181" i="9"/>
  <c r="J181" i="9"/>
  <c r="M181" i="9" s="1"/>
  <c r="I181" i="9"/>
  <c r="E181" i="9"/>
  <c r="R181" i="9" s="1"/>
  <c r="Q180" i="9"/>
  <c r="P180" i="9"/>
  <c r="O180" i="9"/>
  <c r="N180" i="9"/>
  <c r="M180" i="9"/>
  <c r="L180" i="9"/>
  <c r="K180" i="9"/>
  <c r="J180" i="9"/>
  <c r="I180" i="9"/>
  <c r="H180" i="9"/>
  <c r="H824" i="9" s="1"/>
  <c r="H830" i="9" s="1"/>
  <c r="G180" i="9"/>
  <c r="G824" i="9" s="1"/>
  <c r="E180" i="9"/>
  <c r="R180" i="9" s="1"/>
  <c r="R179" i="9"/>
  <c r="Q179" i="9"/>
  <c r="M179" i="9"/>
  <c r="I179" i="9"/>
  <c r="E179" i="9"/>
  <c r="Q178" i="9"/>
  <c r="P178" i="9"/>
  <c r="M178" i="9"/>
  <c r="L178" i="9"/>
  <c r="K178" i="9"/>
  <c r="K824" i="9" s="1"/>
  <c r="K830" i="9" s="1"/>
  <c r="I178" i="9"/>
  <c r="E178" i="9"/>
  <c r="P177" i="9"/>
  <c r="P824" i="9" s="1"/>
  <c r="P830" i="9" s="1"/>
  <c r="O177" i="9"/>
  <c r="Q177" i="9" s="1"/>
  <c r="N177" i="9"/>
  <c r="N824" i="9" s="1"/>
  <c r="M177" i="9"/>
  <c r="I177" i="9"/>
  <c r="E177" i="9"/>
  <c r="Q176" i="9"/>
  <c r="M176" i="9"/>
  <c r="I176" i="9"/>
  <c r="E176" i="9"/>
  <c r="R176" i="9" s="1"/>
  <c r="Q175" i="9"/>
  <c r="M175" i="9"/>
  <c r="R175" i="9" s="1"/>
  <c r="I175" i="9"/>
  <c r="E175" i="9"/>
  <c r="Q174" i="9"/>
  <c r="M174" i="9"/>
  <c r="I174" i="9"/>
  <c r="E174" i="9"/>
  <c r="Q173" i="9"/>
  <c r="M173" i="9"/>
  <c r="I173" i="9"/>
  <c r="E173" i="9"/>
  <c r="R173" i="9" s="1"/>
  <c r="Q172" i="9"/>
  <c r="M172" i="9"/>
  <c r="I172" i="9"/>
  <c r="E172" i="9"/>
  <c r="R172" i="9" s="1"/>
  <c r="Q171" i="9"/>
  <c r="M171" i="9"/>
  <c r="I171" i="9"/>
  <c r="E171" i="9"/>
  <c r="R171" i="9" s="1"/>
  <c r="Q170" i="9"/>
  <c r="M170" i="9"/>
  <c r="I170" i="9"/>
  <c r="E170" i="9"/>
  <c r="Q169" i="9"/>
  <c r="M169" i="9"/>
  <c r="I169" i="9"/>
  <c r="E169" i="9"/>
  <c r="R169" i="9" s="1"/>
  <c r="Q168" i="9"/>
  <c r="M168" i="9"/>
  <c r="I168" i="9"/>
  <c r="E168" i="9"/>
  <c r="R168" i="9" s="1"/>
  <c r="Q167" i="9"/>
  <c r="M167" i="9"/>
  <c r="I167" i="9"/>
  <c r="E167" i="9"/>
  <c r="R167" i="9" s="1"/>
  <c r="Q166" i="9"/>
  <c r="M166" i="9"/>
  <c r="I166" i="9"/>
  <c r="R166" i="9" s="1"/>
  <c r="E166" i="9"/>
  <c r="Q165" i="9"/>
  <c r="M165" i="9"/>
  <c r="R165" i="9" s="1"/>
  <c r="I165" i="9"/>
  <c r="E165" i="9"/>
  <c r="Q164" i="9"/>
  <c r="M164" i="9"/>
  <c r="I164" i="9"/>
  <c r="E164" i="9"/>
  <c r="R164" i="9" s="1"/>
  <c r="Q163" i="9"/>
  <c r="M163" i="9"/>
  <c r="I163" i="9"/>
  <c r="E163" i="9"/>
  <c r="R163" i="9" s="1"/>
  <c r="Q162" i="9"/>
  <c r="M162" i="9"/>
  <c r="I162" i="9"/>
  <c r="E162" i="9"/>
  <c r="R162" i="9" s="1"/>
  <c r="Q161" i="9"/>
  <c r="M161" i="9"/>
  <c r="I161" i="9"/>
  <c r="R161" i="9" s="1"/>
  <c r="E161" i="9"/>
  <c r="Q160" i="9"/>
  <c r="M160" i="9"/>
  <c r="R160" i="9" s="1"/>
  <c r="I160" i="9"/>
  <c r="E160" i="9"/>
  <c r="Q159" i="9"/>
  <c r="M159" i="9"/>
  <c r="I159" i="9"/>
  <c r="E159" i="9"/>
  <c r="R159" i="9" s="1"/>
  <c r="Q158" i="9"/>
  <c r="M158" i="9"/>
  <c r="I158" i="9"/>
  <c r="E158" i="9"/>
  <c r="R158" i="9" s="1"/>
  <c r="Q157" i="9"/>
  <c r="M157" i="9"/>
  <c r="I157" i="9"/>
  <c r="E157" i="9"/>
  <c r="R157" i="9" s="1"/>
  <c r="Q156" i="9"/>
  <c r="M156" i="9"/>
  <c r="I156" i="9"/>
  <c r="E156" i="9"/>
  <c r="R156" i="9" s="1"/>
  <c r="Q155" i="9"/>
  <c r="M155" i="9"/>
  <c r="I155" i="9"/>
  <c r="E155" i="9"/>
  <c r="R155" i="9" s="1"/>
  <c r="Q154" i="9"/>
  <c r="M154" i="9"/>
  <c r="L154" i="9"/>
  <c r="L824" i="9" s="1"/>
  <c r="L830" i="9" s="1"/>
  <c r="I154" i="9"/>
  <c r="R154" i="9" s="1"/>
  <c r="E154" i="9"/>
  <c r="Q153" i="9"/>
  <c r="M153" i="9"/>
  <c r="I153" i="9"/>
  <c r="E153" i="9"/>
  <c r="R153" i="9" s="1"/>
  <c r="Q152" i="9"/>
  <c r="R152" i="9" s="1"/>
  <c r="M152" i="9"/>
  <c r="I152" i="9"/>
  <c r="E152" i="9"/>
  <c r="Q151" i="9"/>
  <c r="M151" i="9"/>
  <c r="I151" i="9"/>
  <c r="E151" i="9"/>
  <c r="R151" i="9" s="1"/>
  <c r="Q150" i="9"/>
  <c r="M150" i="9"/>
  <c r="I150" i="9"/>
  <c r="E150" i="9"/>
  <c r="R150" i="9" s="1"/>
  <c r="Q149" i="9"/>
  <c r="M149" i="9"/>
  <c r="R149" i="9" s="1"/>
  <c r="I149" i="9"/>
  <c r="E149" i="9"/>
  <c r="Q148" i="9"/>
  <c r="M148" i="9"/>
  <c r="I148" i="9"/>
  <c r="E148" i="9"/>
  <c r="R148" i="9" s="1"/>
  <c r="Q147" i="9"/>
  <c r="M147" i="9"/>
  <c r="I147" i="9"/>
  <c r="E147" i="9"/>
  <c r="R147" i="9" s="1"/>
  <c r="Q146" i="9"/>
  <c r="M146" i="9"/>
  <c r="I146" i="9"/>
  <c r="E146" i="9"/>
  <c r="R146" i="9" s="1"/>
  <c r="Q145" i="9"/>
  <c r="M145" i="9"/>
  <c r="I145" i="9"/>
  <c r="E145" i="9"/>
  <c r="R145" i="9" s="1"/>
  <c r="Q144" i="9"/>
  <c r="R144" i="9" s="1"/>
  <c r="M144" i="9"/>
  <c r="I144" i="9"/>
  <c r="E144" i="9"/>
  <c r="Q143" i="9"/>
  <c r="M143" i="9"/>
  <c r="I143" i="9"/>
  <c r="E143" i="9"/>
  <c r="R143" i="9" s="1"/>
  <c r="Q142" i="9"/>
  <c r="M142" i="9"/>
  <c r="I142" i="9"/>
  <c r="E142" i="9"/>
  <c r="R142" i="9" s="1"/>
  <c r="Q141" i="9"/>
  <c r="M141" i="9"/>
  <c r="R141" i="9" s="1"/>
  <c r="I141" i="9"/>
  <c r="E141" i="9"/>
  <c r="Q140" i="9"/>
  <c r="M140" i="9"/>
  <c r="I140" i="9"/>
  <c r="E140" i="9"/>
  <c r="R140" i="9" s="1"/>
  <c r="Q139" i="9"/>
  <c r="M139" i="9"/>
  <c r="I139" i="9"/>
  <c r="E139" i="9"/>
  <c r="R139" i="9" s="1"/>
  <c r="Q127" i="9"/>
  <c r="R127" i="9" s="1"/>
  <c r="M127" i="9"/>
  <c r="I127" i="9"/>
  <c r="E127" i="9"/>
  <c r="N126" i="9"/>
  <c r="J126" i="9"/>
  <c r="J129" i="9" s="1"/>
  <c r="F126" i="9"/>
  <c r="B126" i="9"/>
  <c r="B129" i="9" s="1"/>
  <c r="P125" i="9"/>
  <c r="O125" i="9"/>
  <c r="Q125" i="9" s="1"/>
  <c r="N125" i="9"/>
  <c r="L125" i="9"/>
  <c r="K125" i="9"/>
  <c r="M125" i="9" s="1"/>
  <c r="J125" i="9"/>
  <c r="H125" i="9"/>
  <c r="G125" i="9"/>
  <c r="I125" i="9" s="1"/>
  <c r="F125" i="9"/>
  <c r="D125" i="9"/>
  <c r="C125" i="9"/>
  <c r="E125" i="9" s="1"/>
  <c r="B125" i="9"/>
  <c r="P124" i="9"/>
  <c r="Q124" i="9" s="1"/>
  <c r="O124" i="9"/>
  <c r="N124" i="9"/>
  <c r="L124" i="9"/>
  <c r="K124" i="9"/>
  <c r="J124" i="9"/>
  <c r="M124" i="9" s="1"/>
  <c r="H124" i="9"/>
  <c r="I124" i="9" s="1"/>
  <c r="G124" i="9"/>
  <c r="F124" i="9"/>
  <c r="D124" i="9"/>
  <c r="C124" i="9"/>
  <c r="B124" i="9"/>
  <c r="E124" i="9" s="1"/>
  <c r="Q122" i="9"/>
  <c r="R122" i="9" s="1"/>
  <c r="M122" i="9"/>
  <c r="I122" i="9"/>
  <c r="E122" i="9"/>
  <c r="Q120" i="9"/>
  <c r="M120" i="9"/>
  <c r="I120" i="9"/>
  <c r="E120" i="9"/>
  <c r="R120" i="9" s="1"/>
  <c r="Q119" i="9"/>
  <c r="M119" i="9"/>
  <c r="I119" i="9"/>
  <c r="E119" i="9"/>
  <c r="R119" i="9" s="1"/>
  <c r="Q117" i="9"/>
  <c r="M117" i="9"/>
  <c r="R117" i="9" s="1"/>
  <c r="I117" i="9"/>
  <c r="E117" i="9"/>
  <c r="Q116" i="9"/>
  <c r="M116" i="9"/>
  <c r="I116" i="9"/>
  <c r="E116" i="9"/>
  <c r="R116" i="9" s="1"/>
  <c r="Q115" i="9"/>
  <c r="M115" i="9"/>
  <c r="I115" i="9"/>
  <c r="E115" i="9"/>
  <c r="R115" i="9" s="1"/>
  <c r="Q114" i="9"/>
  <c r="M114" i="9"/>
  <c r="I114" i="9"/>
  <c r="E114" i="9"/>
  <c r="R114" i="9" s="1"/>
  <c r="Q113" i="9"/>
  <c r="M113" i="9"/>
  <c r="I113" i="9"/>
  <c r="E113" i="9"/>
  <c r="R113" i="9" s="1"/>
  <c r="Q112" i="9"/>
  <c r="R112" i="9" s="1"/>
  <c r="M112" i="9"/>
  <c r="I112" i="9"/>
  <c r="E112" i="9"/>
  <c r="Q111" i="9"/>
  <c r="M111" i="9"/>
  <c r="I111" i="9"/>
  <c r="E111" i="9"/>
  <c r="R111" i="9" s="1"/>
  <c r="Q110" i="9"/>
  <c r="M110" i="9"/>
  <c r="I110" i="9"/>
  <c r="E110" i="9"/>
  <c r="R110" i="9" s="1"/>
  <c r="P107" i="9"/>
  <c r="Q107" i="9" s="1"/>
  <c r="O107" i="9"/>
  <c r="N107" i="9"/>
  <c r="L107" i="9"/>
  <c r="M107" i="9" s="1"/>
  <c r="K107" i="9"/>
  <c r="J107" i="9"/>
  <c r="H107" i="9"/>
  <c r="I107" i="9" s="1"/>
  <c r="G107" i="9"/>
  <c r="F107" i="9"/>
  <c r="D107" i="9"/>
  <c r="E107" i="9" s="1"/>
  <c r="C107" i="9"/>
  <c r="B107" i="9"/>
  <c r="Q106" i="9"/>
  <c r="R106" i="9" s="1"/>
  <c r="M106" i="9"/>
  <c r="I106" i="9"/>
  <c r="E106" i="9"/>
  <c r="Q105" i="9"/>
  <c r="M105" i="9"/>
  <c r="I105" i="9"/>
  <c r="E105" i="9"/>
  <c r="R105" i="9" s="1"/>
  <c r="Q104" i="9"/>
  <c r="M104" i="9"/>
  <c r="I104" i="9"/>
  <c r="E104" i="9"/>
  <c r="R104" i="9" s="1"/>
  <c r="Q103" i="9"/>
  <c r="M103" i="9"/>
  <c r="R103" i="9" s="1"/>
  <c r="I103" i="9"/>
  <c r="E103" i="9"/>
  <c r="Q102" i="9"/>
  <c r="M102" i="9"/>
  <c r="I102" i="9"/>
  <c r="E102" i="9"/>
  <c r="R102" i="9" s="1"/>
  <c r="Q101" i="9"/>
  <c r="M101" i="9"/>
  <c r="I101" i="9"/>
  <c r="E101" i="9"/>
  <c r="R101" i="9" s="1"/>
  <c r="Q100" i="9"/>
  <c r="M100" i="9"/>
  <c r="I100" i="9"/>
  <c r="E100" i="9"/>
  <c r="R100" i="9" s="1"/>
  <c r="P96" i="9"/>
  <c r="Q96" i="9" s="1"/>
  <c r="O96" i="9"/>
  <c r="N96" i="9"/>
  <c r="L96" i="9"/>
  <c r="M96" i="9" s="1"/>
  <c r="K96" i="9"/>
  <c r="J96" i="9"/>
  <c r="H96" i="9"/>
  <c r="I96" i="9" s="1"/>
  <c r="G96" i="9"/>
  <c r="F96" i="9"/>
  <c r="D96" i="9"/>
  <c r="E96" i="9" s="1"/>
  <c r="C96" i="9"/>
  <c r="B96" i="9"/>
  <c r="Q94" i="9"/>
  <c r="M94" i="9"/>
  <c r="I94" i="9"/>
  <c r="E94" i="9"/>
  <c r="R94" i="9" s="1"/>
  <c r="Q93" i="9"/>
  <c r="M93" i="9"/>
  <c r="I93" i="9"/>
  <c r="E93" i="9"/>
  <c r="R93" i="9" s="1"/>
  <c r="P89" i="9"/>
  <c r="P126" i="9" s="1"/>
  <c r="P129" i="9" s="1"/>
  <c r="O89" i="9"/>
  <c r="Q89" i="9" s="1"/>
  <c r="N89" i="9"/>
  <c r="L89" i="9"/>
  <c r="L126" i="9" s="1"/>
  <c r="L129" i="9" s="1"/>
  <c r="K89" i="9"/>
  <c r="M89" i="9" s="1"/>
  <c r="J89" i="9"/>
  <c r="H89" i="9"/>
  <c r="H126" i="9" s="1"/>
  <c r="H129" i="9" s="1"/>
  <c r="G89" i="9"/>
  <c r="I89" i="9" s="1"/>
  <c r="F89" i="9"/>
  <c r="D89" i="9"/>
  <c r="D126" i="9" s="1"/>
  <c r="D129" i="9" s="1"/>
  <c r="C89" i="9"/>
  <c r="E89" i="9" s="1"/>
  <c r="B89" i="9"/>
  <c r="Q87" i="9"/>
  <c r="M87" i="9"/>
  <c r="R87" i="9" s="1"/>
  <c r="I87" i="9"/>
  <c r="E87" i="9"/>
  <c r="Q86" i="9"/>
  <c r="M86" i="9"/>
  <c r="I86" i="9"/>
  <c r="E86" i="9"/>
  <c r="R86" i="9" s="1"/>
  <c r="Q84" i="9"/>
  <c r="M84" i="9"/>
  <c r="I84" i="9"/>
  <c r="E84" i="9"/>
  <c r="R84" i="9" s="1"/>
  <c r="Q82" i="9"/>
  <c r="M82" i="9"/>
  <c r="I82" i="9"/>
  <c r="E82" i="9"/>
  <c r="R82" i="9" s="1"/>
  <c r="Q81" i="9"/>
  <c r="M81" i="9"/>
  <c r="I81" i="9"/>
  <c r="E81" i="9"/>
  <c r="R81" i="9" s="1"/>
  <c r="Q80" i="9"/>
  <c r="M80" i="9"/>
  <c r="I80" i="9"/>
  <c r="E80" i="9"/>
  <c r="R80" i="9" s="1"/>
  <c r="Q79" i="9"/>
  <c r="M79" i="9"/>
  <c r="I79" i="9"/>
  <c r="E79" i="9"/>
  <c r="R79" i="9" s="1"/>
  <c r="Q78" i="9"/>
  <c r="M78" i="9"/>
  <c r="I78" i="9"/>
  <c r="E78" i="9"/>
  <c r="R78" i="9" s="1"/>
  <c r="Q77" i="9"/>
  <c r="M77" i="9"/>
  <c r="I77" i="9"/>
  <c r="E77" i="9"/>
  <c r="R77" i="9" s="1"/>
  <c r="Q76" i="9"/>
  <c r="M76" i="9"/>
  <c r="I76" i="9"/>
  <c r="E76" i="9"/>
  <c r="R76" i="9" s="1"/>
  <c r="Q75" i="9"/>
  <c r="M75" i="9"/>
  <c r="I75" i="9"/>
  <c r="E75" i="9"/>
  <c r="R75" i="9" s="1"/>
  <c r="Q74" i="9"/>
  <c r="M74" i="9"/>
  <c r="I74" i="9"/>
  <c r="E74" i="9"/>
  <c r="R74" i="9" s="1"/>
  <c r="Q73" i="9"/>
  <c r="M73" i="9"/>
  <c r="I73" i="9"/>
  <c r="E73" i="9"/>
  <c r="R73" i="9" s="1"/>
  <c r="Q72" i="9"/>
  <c r="M72" i="9"/>
  <c r="I72" i="9"/>
  <c r="E72" i="9"/>
  <c r="R72" i="9" s="1"/>
  <c r="Q60" i="9"/>
  <c r="M60" i="9"/>
  <c r="I60" i="9"/>
  <c r="E60" i="9"/>
  <c r="R60" i="9" s="1"/>
  <c r="P58" i="9"/>
  <c r="O58" i="9"/>
  <c r="Q58" i="9" s="1"/>
  <c r="N58" i="9"/>
  <c r="L58" i="9"/>
  <c r="K58" i="9"/>
  <c r="M58" i="9" s="1"/>
  <c r="J58" i="9"/>
  <c r="H58" i="9"/>
  <c r="G58" i="9"/>
  <c r="I58" i="9" s="1"/>
  <c r="F58" i="9"/>
  <c r="D58" i="9"/>
  <c r="C58" i="9"/>
  <c r="E58" i="9" s="1"/>
  <c r="B58" i="9"/>
  <c r="P57" i="9"/>
  <c r="Q57" i="9" s="1"/>
  <c r="O57" i="9"/>
  <c r="N57" i="9"/>
  <c r="L57" i="9"/>
  <c r="M57" i="9" s="1"/>
  <c r="K57" i="9"/>
  <c r="J57" i="9"/>
  <c r="H57" i="9"/>
  <c r="I57" i="9" s="1"/>
  <c r="G57" i="9"/>
  <c r="F57" i="9"/>
  <c r="D57" i="9"/>
  <c r="E57" i="9" s="1"/>
  <c r="C57" i="9"/>
  <c r="B57" i="9"/>
  <c r="Q54" i="9"/>
  <c r="M54" i="9"/>
  <c r="I54" i="9"/>
  <c r="E54" i="9"/>
  <c r="R54" i="9" s="1"/>
  <c r="P50" i="9"/>
  <c r="O50" i="9"/>
  <c r="N50" i="9"/>
  <c r="Q50" i="9" s="1"/>
  <c r="L50" i="9"/>
  <c r="K50" i="9"/>
  <c r="J50" i="9"/>
  <c r="J59" i="9" s="1"/>
  <c r="H50" i="9"/>
  <c r="G50" i="9"/>
  <c r="F50" i="9"/>
  <c r="I50" i="9" s="1"/>
  <c r="D50" i="9"/>
  <c r="C50" i="9"/>
  <c r="B50" i="9"/>
  <c r="B59" i="9" s="1"/>
  <c r="P46" i="9"/>
  <c r="O46" i="9"/>
  <c r="Q46" i="9" s="1"/>
  <c r="N46" i="9"/>
  <c r="L46" i="9"/>
  <c r="K46" i="9"/>
  <c r="M46" i="9" s="1"/>
  <c r="J46" i="9"/>
  <c r="H46" i="9"/>
  <c r="G46" i="9"/>
  <c r="I46" i="9" s="1"/>
  <c r="F46" i="9"/>
  <c r="D46" i="9"/>
  <c r="C46" i="9"/>
  <c r="E46" i="9" s="1"/>
  <c r="B46" i="9"/>
  <c r="P41" i="9"/>
  <c r="P59" i="9" s="1"/>
  <c r="P62" i="9" s="1"/>
  <c r="O41" i="9"/>
  <c r="N41" i="9"/>
  <c r="L41" i="9"/>
  <c r="L59" i="9" s="1"/>
  <c r="L62" i="9" s="1"/>
  <c r="K41" i="9"/>
  <c r="J41" i="9"/>
  <c r="H41" i="9"/>
  <c r="H59" i="9" s="1"/>
  <c r="H62" i="9" s="1"/>
  <c r="G41" i="9"/>
  <c r="F41" i="9"/>
  <c r="D41" i="9"/>
  <c r="D59" i="9" s="1"/>
  <c r="D62" i="9" s="1"/>
  <c r="C41" i="9"/>
  <c r="B41" i="9"/>
  <c r="Q38" i="9"/>
  <c r="M38" i="9"/>
  <c r="I38" i="9"/>
  <c r="E38" i="9"/>
  <c r="R38" i="9" s="1"/>
  <c r="P27" i="9"/>
  <c r="O27" i="9"/>
  <c r="Q27" i="9" s="1"/>
  <c r="N27" i="9"/>
  <c r="L27" i="9"/>
  <c r="K27" i="9"/>
  <c r="J27" i="9"/>
  <c r="H27" i="9"/>
  <c r="G27" i="9"/>
  <c r="I27" i="9" s="1"/>
  <c r="F27" i="9"/>
  <c r="D27" i="9"/>
  <c r="C27" i="9"/>
  <c r="B27" i="9"/>
  <c r="Q25" i="9"/>
  <c r="M25" i="9"/>
  <c r="I25" i="9"/>
  <c r="E25" i="9"/>
  <c r="R25" i="9" s="1"/>
  <c r="Q20" i="9"/>
  <c r="M20" i="9"/>
  <c r="I20" i="9"/>
  <c r="E20" i="9"/>
  <c r="R20" i="9" s="1"/>
  <c r="P18" i="9"/>
  <c r="O18" i="9"/>
  <c r="Q18" i="9" s="1"/>
  <c r="N18" i="9"/>
  <c r="L18" i="9"/>
  <c r="K18" i="9"/>
  <c r="M18" i="9" s="1"/>
  <c r="J18" i="9"/>
  <c r="H18" i="9"/>
  <c r="G18" i="9"/>
  <c r="I18" i="9" s="1"/>
  <c r="F18" i="9"/>
  <c r="D18" i="9"/>
  <c r="C18" i="9"/>
  <c r="E18" i="9" s="1"/>
  <c r="R18" i="9" s="1"/>
  <c r="B18" i="9"/>
  <c r="P17" i="9"/>
  <c r="Q17" i="9" s="1"/>
  <c r="O17" i="9"/>
  <c r="N17" i="9"/>
  <c r="L17" i="9"/>
  <c r="M17" i="9" s="1"/>
  <c r="K17" i="9"/>
  <c r="J17" i="9"/>
  <c r="H17" i="9"/>
  <c r="I17" i="9" s="1"/>
  <c r="G17" i="9"/>
  <c r="F17" i="9"/>
  <c r="D17" i="9"/>
  <c r="E17" i="9" s="1"/>
  <c r="C17" i="9"/>
  <c r="B17" i="9"/>
  <c r="Q16" i="9"/>
  <c r="P16" i="9"/>
  <c r="O16" i="9"/>
  <c r="N16" i="9"/>
  <c r="M16" i="9"/>
  <c r="L16" i="9"/>
  <c r="K16" i="9"/>
  <c r="J16" i="9"/>
  <c r="I16" i="9"/>
  <c r="H16" i="9"/>
  <c r="G16" i="9"/>
  <c r="F16" i="9"/>
  <c r="E16" i="9"/>
  <c r="R16" i="9" s="1"/>
  <c r="D16" i="9"/>
  <c r="C16" i="9"/>
  <c r="B16" i="9"/>
  <c r="P15" i="9"/>
  <c r="O15" i="9"/>
  <c r="N15" i="9"/>
  <c r="Q15" i="9" s="1"/>
  <c r="L15" i="9"/>
  <c r="K15" i="9"/>
  <c r="J15" i="9"/>
  <c r="M15" i="9" s="1"/>
  <c r="H15" i="9"/>
  <c r="G15" i="9"/>
  <c r="F15" i="9"/>
  <c r="I15" i="9" s="1"/>
  <c r="D15" i="9"/>
  <c r="C15" i="9"/>
  <c r="B15" i="9"/>
  <c r="E15" i="9" s="1"/>
  <c r="P14" i="9"/>
  <c r="O14" i="9"/>
  <c r="Q14" i="9" s="1"/>
  <c r="N14" i="9"/>
  <c r="L14" i="9"/>
  <c r="K14" i="9"/>
  <c r="M14" i="9" s="1"/>
  <c r="J14" i="9"/>
  <c r="H14" i="9"/>
  <c r="G14" i="9"/>
  <c r="I14" i="9" s="1"/>
  <c r="F14" i="9"/>
  <c r="D14" i="9"/>
  <c r="C14" i="9"/>
  <c r="E14" i="9" s="1"/>
  <c r="R14" i="9" s="1"/>
  <c r="B14" i="9"/>
  <c r="S13" i="9"/>
  <c r="N28" i="9"/>
  <c r="L28" i="9"/>
  <c r="B28" i="9"/>
  <c r="R1" i="9"/>
  <c r="Q14" i="14" l="1"/>
  <c r="R106" i="14"/>
  <c r="R123" i="14"/>
  <c r="F125" i="14"/>
  <c r="F128" i="14" s="1"/>
  <c r="J283" i="14"/>
  <c r="Q475" i="14"/>
  <c r="I712" i="14"/>
  <c r="R712" i="14" s="1"/>
  <c r="Q767" i="14"/>
  <c r="E15" i="14"/>
  <c r="R15" i="14" s="1"/>
  <c r="R103" i="14"/>
  <c r="R105" i="14"/>
  <c r="R189" i="14"/>
  <c r="R227" i="14"/>
  <c r="R233" i="14"/>
  <c r="N436" i="14"/>
  <c r="N441" i="14" s="1"/>
  <c r="R366" i="14"/>
  <c r="R582" i="14"/>
  <c r="Q88" i="14"/>
  <c r="N125" i="14"/>
  <c r="N128" i="14" s="1"/>
  <c r="O813" i="14"/>
  <c r="O125" i="14"/>
  <c r="O128" i="14" s="1"/>
  <c r="O129" i="14" s="1"/>
  <c r="R109" i="14"/>
  <c r="J485" i="14"/>
  <c r="M485" i="14" s="1"/>
  <c r="M675" i="14"/>
  <c r="J769" i="14"/>
  <c r="J772" i="14" s="1"/>
  <c r="M742" i="14"/>
  <c r="R115" i="14"/>
  <c r="R118" i="14"/>
  <c r="R157" i="14"/>
  <c r="R163" i="14"/>
  <c r="R165" i="14"/>
  <c r="T271" i="14" s="1"/>
  <c r="R547" i="14"/>
  <c r="E628" i="14"/>
  <c r="R628" i="14" s="1"/>
  <c r="I792" i="14"/>
  <c r="R811" i="14"/>
  <c r="E14" i="14"/>
  <c r="R17" i="14"/>
  <c r="R92" i="14"/>
  <c r="E95" i="14"/>
  <c r="R95" i="14" s="1"/>
  <c r="R211" i="14"/>
  <c r="R240" i="14"/>
  <c r="R362" i="14"/>
  <c r="M484" i="14"/>
  <c r="E675" i="14"/>
  <c r="R675" i="14" s="1"/>
  <c r="E719" i="14"/>
  <c r="AF848" i="14"/>
  <c r="I18" i="14"/>
  <c r="Q50" i="14"/>
  <c r="I57" i="14"/>
  <c r="R85" i="14"/>
  <c r="E88" i="14"/>
  <c r="L125" i="14"/>
  <c r="L128" i="14" s="1"/>
  <c r="I124" i="14"/>
  <c r="R176" i="14"/>
  <c r="R187" i="14"/>
  <c r="B283" i="14"/>
  <c r="B291" i="14" s="1"/>
  <c r="R220" i="14"/>
  <c r="R231" i="14"/>
  <c r="R242" i="14"/>
  <c r="R252" i="14"/>
  <c r="R277" i="14"/>
  <c r="E281" i="14"/>
  <c r="I282" i="14"/>
  <c r="R282" i="14" s="1"/>
  <c r="R289" i="14"/>
  <c r="R311" i="14"/>
  <c r="R328" i="14"/>
  <c r="R330" i="14"/>
  <c r="R344" i="14"/>
  <c r="Q369" i="14"/>
  <c r="R375" i="14"/>
  <c r="R379" i="14"/>
  <c r="R381" i="14"/>
  <c r="R383" i="14"/>
  <c r="R428" i="14"/>
  <c r="R438" i="14"/>
  <c r="I465" i="14"/>
  <c r="M483" i="14"/>
  <c r="R498" i="14"/>
  <c r="R500" i="14"/>
  <c r="I517" i="14"/>
  <c r="I557" i="14"/>
  <c r="R560" i="14"/>
  <c r="E563" i="14"/>
  <c r="E568" i="14"/>
  <c r="R608" i="14"/>
  <c r="E617" i="14"/>
  <c r="I621" i="14"/>
  <c r="R621" i="14" s="1"/>
  <c r="R647" i="14"/>
  <c r="E656" i="14"/>
  <c r="R661" i="14"/>
  <c r="E665" i="14"/>
  <c r="L720" i="14"/>
  <c r="L724" i="14" s="1"/>
  <c r="L726" i="14" s="1"/>
  <c r="P859" i="14" s="1"/>
  <c r="I708" i="14"/>
  <c r="E757" i="14"/>
  <c r="Q791" i="14"/>
  <c r="M794" i="14"/>
  <c r="P801" i="14"/>
  <c r="P832" i="14" s="1"/>
  <c r="C814" i="14"/>
  <c r="C836" i="14" s="1"/>
  <c r="AF844" i="14"/>
  <c r="R324" i="14"/>
  <c r="AH361" i="14"/>
  <c r="R373" i="14"/>
  <c r="P485" i="14"/>
  <c r="P488" i="14" s="1"/>
  <c r="R474" i="14"/>
  <c r="Q656" i="14"/>
  <c r="Q665" i="14"/>
  <c r="I690" i="14"/>
  <c r="D720" i="14"/>
  <c r="D724" i="14" s="1"/>
  <c r="N720" i="14"/>
  <c r="E718" i="14"/>
  <c r="Q719" i="14"/>
  <c r="R737" i="14"/>
  <c r="L769" i="14"/>
  <c r="L772" i="14" s="1"/>
  <c r="R750" i="14"/>
  <c r="E768" i="14"/>
  <c r="E794" i="14"/>
  <c r="R794" i="14" s="1"/>
  <c r="H814" i="14"/>
  <c r="H836" i="14" s="1"/>
  <c r="Q17" i="14"/>
  <c r="K28" i="14"/>
  <c r="K59" i="14"/>
  <c r="K62" i="14" s="1"/>
  <c r="K63" i="14" s="1"/>
  <c r="J59" i="14"/>
  <c r="J62" i="14" s="1"/>
  <c r="R78" i="14"/>
  <c r="D125" i="14"/>
  <c r="D128" i="14" s="1"/>
  <c r="R102" i="14"/>
  <c r="R112" i="14"/>
  <c r="R148" i="14"/>
  <c r="R191" i="14"/>
  <c r="R204" i="14"/>
  <c r="R215" i="14"/>
  <c r="R226" i="14"/>
  <c r="R237" i="14"/>
  <c r="R244" i="14"/>
  <c r="R256" i="14"/>
  <c r="R272" i="14"/>
  <c r="R332" i="14"/>
  <c r="R339" i="14"/>
  <c r="R345" i="14"/>
  <c r="P436" i="14"/>
  <c r="P441" i="14" s="1"/>
  <c r="AL362" i="14"/>
  <c r="R372" i="14"/>
  <c r="G805" i="14"/>
  <c r="G834" i="14" s="1"/>
  <c r="R377" i="14"/>
  <c r="R385" i="14"/>
  <c r="R400" i="14"/>
  <c r="R402" i="14"/>
  <c r="R423" i="14"/>
  <c r="Q484" i="14"/>
  <c r="R486" i="14"/>
  <c r="D529" i="14"/>
  <c r="D532" i="14" s="1"/>
  <c r="D533" i="14" s="1"/>
  <c r="R516" i="14"/>
  <c r="R525" i="14"/>
  <c r="E528" i="14"/>
  <c r="B584" i="14"/>
  <c r="R595" i="14"/>
  <c r="D630" i="14"/>
  <c r="D633" i="14" s="1"/>
  <c r="D677" i="14"/>
  <c r="D680" i="14" s="1"/>
  <c r="D681" i="14" s="1"/>
  <c r="R663" i="14"/>
  <c r="R670" i="14"/>
  <c r="R688" i="14"/>
  <c r="O720" i="14"/>
  <c r="O724" i="14" s="1"/>
  <c r="O726" i="14" s="1"/>
  <c r="I719" i="14"/>
  <c r="E747" i="14"/>
  <c r="P769" i="14"/>
  <c r="P772" i="14" s="1"/>
  <c r="O814" i="14"/>
  <c r="O836" i="14" s="1"/>
  <c r="G813" i="14"/>
  <c r="AF845" i="14"/>
  <c r="E41" i="14"/>
  <c r="L59" i="14"/>
  <c r="L62" i="14" s="1"/>
  <c r="B59" i="14"/>
  <c r="E59" i="14" s="1"/>
  <c r="R59" i="14" s="1"/>
  <c r="M57" i="14"/>
  <c r="R74" i="14"/>
  <c r="R80" i="14"/>
  <c r="I88" i="14"/>
  <c r="R104" i="14"/>
  <c r="R116" i="14"/>
  <c r="M124" i="14"/>
  <c r="R141" i="14"/>
  <c r="C283" i="14"/>
  <c r="C291" i="14" s="1"/>
  <c r="R249" i="14"/>
  <c r="R260" i="14"/>
  <c r="R274" i="14"/>
  <c r="R341" i="14"/>
  <c r="I484" i="14"/>
  <c r="R484" i="14" s="1"/>
  <c r="L584" i="14"/>
  <c r="L587" i="14" s="1"/>
  <c r="K813" i="14"/>
  <c r="AS883" i="14"/>
  <c r="I17" i="14"/>
  <c r="M18" i="14"/>
  <c r="Q41" i="14"/>
  <c r="R86" i="14"/>
  <c r="R119" i="14"/>
  <c r="R143" i="14"/>
  <c r="R166" i="14"/>
  <c r="P283" i="14"/>
  <c r="P291" i="14" s="1"/>
  <c r="R180" i="14"/>
  <c r="R188" i="14"/>
  <c r="R221" i="14"/>
  <c r="R232" i="14"/>
  <c r="R251" i="14"/>
  <c r="R262" i="14"/>
  <c r="I263" i="14"/>
  <c r="R288" i="14"/>
  <c r="R300" i="14"/>
  <c r="R302" i="14" s="1"/>
  <c r="R312" i="14"/>
  <c r="R321" i="14"/>
  <c r="R327" i="14"/>
  <c r="R331" i="14"/>
  <c r="R333" i="14"/>
  <c r="R350" i="14"/>
  <c r="Z362" i="14"/>
  <c r="R380" i="14"/>
  <c r="R382" i="14"/>
  <c r="R427" i="14"/>
  <c r="R499" i="14"/>
  <c r="R501" i="14"/>
  <c r="D584" i="14"/>
  <c r="D587" i="14" s="1"/>
  <c r="N584" i="14"/>
  <c r="N587" i="14" s="1"/>
  <c r="R567" i="14"/>
  <c r="F630" i="14"/>
  <c r="N630" i="14"/>
  <c r="R659" i="14"/>
  <c r="H720" i="14"/>
  <c r="H724" i="14" s="1"/>
  <c r="Q704" i="14"/>
  <c r="I718" i="14"/>
  <c r="Q768" i="14"/>
  <c r="Q812" i="14"/>
  <c r="AF852" i="14"/>
  <c r="AG879" i="14"/>
  <c r="D59" i="14"/>
  <c r="D62" i="14" s="1"/>
  <c r="O59" i="14"/>
  <c r="O62" i="14" s="1"/>
  <c r="M46" i="14"/>
  <c r="R46" i="14" s="1"/>
  <c r="E57" i="14"/>
  <c r="R57" i="14" s="1"/>
  <c r="R60" i="14"/>
  <c r="R73" i="14"/>
  <c r="R75" i="14"/>
  <c r="R99" i="14"/>
  <c r="E124" i="14"/>
  <c r="R159" i="14"/>
  <c r="R174" i="14"/>
  <c r="R190" i="14"/>
  <c r="Q207" i="14"/>
  <c r="R212" i="14"/>
  <c r="R223" i="14"/>
  <c r="R234" i="14"/>
  <c r="R245" i="14"/>
  <c r="R266" i="14"/>
  <c r="R268" i="14"/>
  <c r="R280" i="14"/>
  <c r="R310" i="14"/>
  <c r="R314" i="14"/>
  <c r="R329" i="14"/>
  <c r="R363" i="14"/>
  <c r="E369" i="14"/>
  <c r="R376" i="14"/>
  <c r="R378" i="14"/>
  <c r="R386" i="14"/>
  <c r="R388" i="14"/>
  <c r="R395" i="14"/>
  <c r="R406" i="14"/>
  <c r="R422" i="14"/>
  <c r="E435" i="14"/>
  <c r="R461" i="14"/>
  <c r="I483" i="14"/>
  <c r="E512" i="14"/>
  <c r="R512" i="14" s="1"/>
  <c r="E517" i="14"/>
  <c r="R551" i="14"/>
  <c r="R571" i="14"/>
  <c r="R574" i="14"/>
  <c r="M583" i="14"/>
  <c r="E629" i="14"/>
  <c r="R646" i="14"/>
  <c r="H677" i="14"/>
  <c r="H680" i="14" s="1"/>
  <c r="R664" i="14"/>
  <c r="R671" i="14"/>
  <c r="E676" i="14"/>
  <c r="I704" i="14"/>
  <c r="R740" i="14"/>
  <c r="Q742" i="14"/>
  <c r="I747" i="14"/>
  <c r="O769" i="14"/>
  <c r="O772" i="14" s="1"/>
  <c r="R751" i="14"/>
  <c r="L801" i="14"/>
  <c r="L832" i="14" s="1"/>
  <c r="Q800" i="14"/>
  <c r="I809" i="14"/>
  <c r="E18" i="14"/>
  <c r="Q18" i="14"/>
  <c r="I41" i="14"/>
  <c r="P59" i="14"/>
  <c r="P62" i="14" s="1"/>
  <c r="P63" i="14" s="1"/>
  <c r="F59" i="14"/>
  <c r="Q57" i="14"/>
  <c r="R77" i="14"/>
  <c r="S81" i="14" s="1"/>
  <c r="M88" i="14"/>
  <c r="C125" i="14"/>
  <c r="C128" i="14" s="1"/>
  <c r="K125" i="14"/>
  <c r="K128" i="14" s="1"/>
  <c r="K129" i="14" s="1"/>
  <c r="R101" i="14"/>
  <c r="R113" i="14"/>
  <c r="Q124" i="14"/>
  <c r="R149" i="14"/>
  <c r="R156" i="14"/>
  <c r="R161" i="14"/>
  <c r="R172" i="14"/>
  <c r="R177" i="14"/>
  <c r="R205" i="14"/>
  <c r="I207" i="14"/>
  <c r="R207" i="14" s="1"/>
  <c r="R216" i="14"/>
  <c r="R257" i="14"/>
  <c r="R271" i="14"/>
  <c r="M281" i="14"/>
  <c r="R316" i="14"/>
  <c r="R320" i="14"/>
  <c r="R340" i="14"/>
  <c r="R342" i="14"/>
  <c r="R399" i="14"/>
  <c r="R416" i="14"/>
  <c r="R424" i="14"/>
  <c r="R431" i="14"/>
  <c r="R458" i="14"/>
  <c r="C485" i="14"/>
  <c r="C488" i="14" s="1"/>
  <c r="F485" i="14"/>
  <c r="F488" i="14" s="1"/>
  <c r="F489" i="14" s="1"/>
  <c r="Q512" i="14"/>
  <c r="Q517" i="14"/>
  <c r="M563" i="14"/>
  <c r="M568" i="14"/>
  <c r="M617" i="14"/>
  <c r="Q621" i="14"/>
  <c r="Q629" i="14"/>
  <c r="M656" i="14"/>
  <c r="M665" i="14"/>
  <c r="R665" i="14" s="1"/>
  <c r="Q676" i="14"/>
  <c r="Q708" i="14"/>
  <c r="R745" i="14"/>
  <c r="M757" i="14"/>
  <c r="E791" i="14"/>
  <c r="I800" i="14"/>
  <c r="R800" i="14" s="1"/>
  <c r="J814" i="14"/>
  <c r="D814" i="14"/>
  <c r="D836" i="14" s="1"/>
  <c r="AS879" i="14"/>
  <c r="L338" i="13"/>
  <c r="B303" i="14"/>
  <c r="AP842" i="14" s="1"/>
  <c r="L303" i="14"/>
  <c r="AP850" i="14" s="1"/>
  <c r="L533" i="14"/>
  <c r="N28" i="14"/>
  <c r="F28" i="14"/>
  <c r="D303" i="14"/>
  <c r="AP844" i="14" s="1"/>
  <c r="O303" i="14"/>
  <c r="AP852" i="14" s="1"/>
  <c r="G28" i="14"/>
  <c r="P303" i="14"/>
  <c r="AP853" i="14" s="1"/>
  <c r="H28" i="14"/>
  <c r="G303" i="14"/>
  <c r="AP846" i="14" s="1"/>
  <c r="D588" i="14"/>
  <c r="H303" i="14"/>
  <c r="AP847" i="14" s="1"/>
  <c r="J28" i="14"/>
  <c r="J303" i="14"/>
  <c r="AP848" i="14" s="1"/>
  <c r="G63" i="14"/>
  <c r="H63" i="14"/>
  <c r="L129" i="14"/>
  <c r="E283" i="14"/>
  <c r="L489" i="14"/>
  <c r="R58" i="14"/>
  <c r="F129" i="14"/>
  <c r="I128" i="14"/>
  <c r="J291" i="14"/>
  <c r="M59" i="14"/>
  <c r="D129" i="14"/>
  <c r="G129" i="14"/>
  <c r="Q200" i="14"/>
  <c r="N283" i="14"/>
  <c r="D292" i="14"/>
  <c r="F441" i="14"/>
  <c r="P442" i="14"/>
  <c r="H489" i="14"/>
  <c r="O725" i="14"/>
  <c r="R41" i="14"/>
  <c r="L63" i="14"/>
  <c r="B62" i="14"/>
  <c r="P129" i="14"/>
  <c r="Q128" i="14"/>
  <c r="N129" i="14"/>
  <c r="C292" i="14"/>
  <c r="R181" i="14"/>
  <c r="R14" i="14"/>
  <c r="C63" i="14"/>
  <c r="F283" i="14"/>
  <c r="P292" i="14"/>
  <c r="H442" i="14"/>
  <c r="D63" i="14"/>
  <c r="O63" i="14"/>
  <c r="Q59" i="14"/>
  <c r="N62" i="14"/>
  <c r="H129" i="14"/>
  <c r="R124" i="14"/>
  <c r="S334" i="14"/>
  <c r="J441" i="14"/>
  <c r="AM361" i="14"/>
  <c r="D489" i="14"/>
  <c r="O773" i="14"/>
  <c r="O774" i="14"/>
  <c r="I59" i="14"/>
  <c r="F62" i="14"/>
  <c r="C129" i="14"/>
  <c r="H292" i="14"/>
  <c r="O588" i="14"/>
  <c r="D773" i="14"/>
  <c r="D774" i="14"/>
  <c r="H965" i="14"/>
  <c r="N965" i="14"/>
  <c r="L965" i="14"/>
  <c r="K965" i="14"/>
  <c r="J965" i="14"/>
  <c r="F882" i="14"/>
  <c r="M965" i="14"/>
  <c r="I965" i="14"/>
  <c r="D691" i="14"/>
  <c r="D598" i="14"/>
  <c r="H973" i="14"/>
  <c r="N973" i="14"/>
  <c r="M973" i="14"/>
  <c r="L973" i="14"/>
  <c r="K973" i="14"/>
  <c r="I973" i="14"/>
  <c r="O691" i="14"/>
  <c r="O598" i="14"/>
  <c r="C28" i="14"/>
  <c r="F790" i="14"/>
  <c r="N790" i="14"/>
  <c r="I173" i="14"/>
  <c r="Q173" i="14"/>
  <c r="D790" i="14"/>
  <c r="D796" i="14" s="1"/>
  <c r="E302" i="14"/>
  <c r="M302" i="14"/>
  <c r="I354" i="14"/>
  <c r="R364" i="14"/>
  <c r="R392" i="14"/>
  <c r="R410" i="14"/>
  <c r="R414" i="14"/>
  <c r="E434" i="14"/>
  <c r="E465" i="14"/>
  <c r="Q465" i="14"/>
  <c r="R482" i="14"/>
  <c r="N529" i="14"/>
  <c r="Q505" i="14"/>
  <c r="R549" i="14"/>
  <c r="F587" i="14"/>
  <c r="I584" i="14"/>
  <c r="R561" i="14"/>
  <c r="E597" i="14"/>
  <c r="B598" i="14"/>
  <c r="B633" i="14"/>
  <c r="J633" i="14"/>
  <c r="I629" i="14"/>
  <c r="R629" i="14" s="1"/>
  <c r="R645" i="14"/>
  <c r="E677" i="14"/>
  <c r="B680" i="14"/>
  <c r="M677" i="14"/>
  <c r="J680" i="14"/>
  <c r="I676" i="14"/>
  <c r="R676" i="14" s="1"/>
  <c r="P691" i="14"/>
  <c r="G726" i="14"/>
  <c r="G725" i="14"/>
  <c r="M708" i="14"/>
  <c r="J720" i="14"/>
  <c r="Q718" i="14"/>
  <c r="R718" i="14" s="1"/>
  <c r="I720" i="14"/>
  <c r="J773" i="14"/>
  <c r="J836" i="14"/>
  <c r="L966" i="14"/>
  <c r="K966" i="14"/>
  <c r="M966" i="14"/>
  <c r="H966" i="14"/>
  <c r="I966" i="14"/>
  <c r="N966" i="14"/>
  <c r="L974" i="14"/>
  <c r="K974" i="14"/>
  <c r="I974" i="14"/>
  <c r="N974" i="14"/>
  <c r="M974" i="14"/>
  <c r="H974" i="14"/>
  <c r="E27" i="14"/>
  <c r="R27" i="14" s="1"/>
  <c r="M27" i="14"/>
  <c r="O28" i="14"/>
  <c r="I125" i="14"/>
  <c r="G790" i="14"/>
  <c r="G796" i="14" s="1"/>
  <c r="O790" i="14"/>
  <c r="O796" i="14" s="1"/>
  <c r="L200" i="14"/>
  <c r="L283" i="14" s="1"/>
  <c r="L291" i="14" s="1"/>
  <c r="F303" i="14"/>
  <c r="AP845" i="14" s="1"/>
  <c r="F804" i="14"/>
  <c r="I804" i="14" s="1"/>
  <c r="R804" i="14" s="1"/>
  <c r="I394" i="14"/>
  <c r="R394" i="14" s="1"/>
  <c r="R401" i="14"/>
  <c r="R462" i="14"/>
  <c r="O485" i="14"/>
  <c r="O488" i="14" s="1"/>
  <c r="I512" i="14"/>
  <c r="R527" i="14"/>
  <c r="I528" i="14"/>
  <c r="P584" i="14"/>
  <c r="P587" i="14" s="1"/>
  <c r="R576" i="14"/>
  <c r="C598" i="14"/>
  <c r="Q617" i="14"/>
  <c r="G634" i="14"/>
  <c r="C681" i="14"/>
  <c r="G691" i="14"/>
  <c r="H726" i="14"/>
  <c r="H725" i="14"/>
  <c r="J832" i="14"/>
  <c r="M832" i="14" s="1"/>
  <c r="M801" i="14"/>
  <c r="B832" i="14"/>
  <c r="E832" i="14" s="1"/>
  <c r="E801" i="14"/>
  <c r="C489" i="14"/>
  <c r="B529" i="14"/>
  <c r="E505" i="14"/>
  <c r="H967" i="14"/>
  <c r="I967" i="14"/>
  <c r="M967" i="14"/>
  <c r="L967" i="14"/>
  <c r="K967" i="14"/>
  <c r="N967" i="14"/>
  <c r="P28" i="14"/>
  <c r="E50" i="14"/>
  <c r="R50" i="14" s="1"/>
  <c r="M50" i="14"/>
  <c r="B125" i="14"/>
  <c r="J125" i="14"/>
  <c r="H790" i="14"/>
  <c r="H796" i="14" s="1"/>
  <c r="Q152" i="14"/>
  <c r="R152" i="14" s="1"/>
  <c r="B790" i="14"/>
  <c r="K790" i="14"/>
  <c r="K796" i="14" s="1"/>
  <c r="E200" i="14"/>
  <c r="M804" i="14"/>
  <c r="K436" i="14"/>
  <c r="K441" i="14" s="1"/>
  <c r="N805" i="14"/>
  <c r="Q803" i="14"/>
  <c r="R408" i="14"/>
  <c r="R429" i="14"/>
  <c r="Q434" i="14"/>
  <c r="R437" i="14"/>
  <c r="R439" i="14"/>
  <c r="G485" i="14"/>
  <c r="G488" i="14" s="1"/>
  <c r="I488" i="14" s="1"/>
  <c r="F529" i="14"/>
  <c r="I505" i="14"/>
  <c r="P529" i="14"/>
  <c r="P532" i="14" s="1"/>
  <c r="C533" i="14"/>
  <c r="H584" i="14"/>
  <c r="H587" i="14" s="1"/>
  <c r="D634" i="14"/>
  <c r="L634" i="14"/>
  <c r="O630" i="14"/>
  <c r="O633" i="14" s="1"/>
  <c r="L681" i="14"/>
  <c r="G681" i="14"/>
  <c r="H691" i="14"/>
  <c r="B720" i="14"/>
  <c r="E708" i="14"/>
  <c r="R708" i="14" s="1"/>
  <c r="I742" i="14"/>
  <c r="H769" i="14"/>
  <c r="H772" i="14" s="1"/>
  <c r="L968" i="14"/>
  <c r="K968" i="14"/>
  <c r="H968" i="14"/>
  <c r="N968" i="14"/>
  <c r="M968" i="14"/>
  <c r="I968" i="14"/>
  <c r="J968" i="14"/>
  <c r="C790" i="14"/>
  <c r="C796" i="14" s="1"/>
  <c r="D436" i="14"/>
  <c r="D441" i="14" s="1"/>
  <c r="L442" i="14"/>
  <c r="R358" i="14"/>
  <c r="C803" i="14"/>
  <c r="C805" i="14" s="1"/>
  <c r="C834" i="14" s="1"/>
  <c r="C411" i="14"/>
  <c r="C436" i="14" s="1"/>
  <c r="C441" i="14" s="1"/>
  <c r="B436" i="14"/>
  <c r="R470" i="14"/>
  <c r="P489" i="14"/>
  <c r="G533" i="14"/>
  <c r="R544" i="14"/>
  <c r="Q583" i="14"/>
  <c r="P598" i="14"/>
  <c r="R613" i="14"/>
  <c r="I617" i="14"/>
  <c r="R617" i="14" s="1"/>
  <c r="R652" i="14"/>
  <c r="I656" i="14"/>
  <c r="R656" i="14" s="1"/>
  <c r="P681" i="14"/>
  <c r="K681" i="14"/>
  <c r="J691" i="14"/>
  <c r="M690" i="14"/>
  <c r="L972" i="14"/>
  <c r="K972" i="14"/>
  <c r="I972" i="14"/>
  <c r="N972" i="14"/>
  <c r="H972" i="14"/>
  <c r="M972" i="14"/>
  <c r="Q584" i="14"/>
  <c r="I724" i="14"/>
  <c r="F726" i="14"/>
  <c r="F725" i="14"/>
  <c r="P790" i="14"/>
  <c r="P796" i="14" s="1"/>
  <c r="F1021" i="14"/>
  <c r="B994" i="14" s="1"/>
  <c r="L1021" i="14"/>
  <c r="H969" i="14"/>
  <c r="M969" i="14"/>
  <c r="I969" i="14"/>
  <c r="N969" i="14"/>
  <c r="L969" i="14"/>
  <c r="K969" i="14"/>
  <c r="F886" i="14"/>
  <c r="J790" i="14"/>
  <c r="E173" i="14"/>
  <c r="G200" i="14"/>
  <c r="G283" i="14" s="1"/>
  <c r="G291" i="14" s="1"/>
  <c r="O200" i="14"/>
  <c r="O283" i="14" s="1"/>
  <c r="O291" i="14" s="1"/>
  <c r="K263" i="14"/>
  <c r="M263" i="14" s="1"/>
  <c r="R263" i="14" s="1"/>
  <c r="M354" i="14"/>
  <c r="AD360" i="14"/>
  <c r="AM360" i="14" s="1"/>
  <c r="AB362" i="14"/>
  <c r="R365" i="14"/>
  <c r="R409" i="14"/>
  <c r="R433" i="14"/>
  <c r="I434" i="14"/>
  <c r="M435" i="14"/>
  <c r="M475" i="14"/>
  <c r="E483" i="14"/>
  <c r="R483" i="14" s="1"/>
  <c r="H529" i="14"/>
  <c r="H532" i="14" s="1"/>
  <c r="R508" i="14"/>
  <c r="S508" i="14" s="1"/>
  <c r="M512" i="14"/>
  <c r="R522" i="14"/>
  <c r="M528" i="14"/>
  <c r="K533" i="14"/>
  <c r="J584" i="14"/>
  <c r="Q563" i="14"/>
  <c r="R563" i="14" s="1"/>
  <c r="R572" i="14"/>
  <c r="G598" i="14"/>
  <c r="F633" i="14"/>
  <c r="N633" i="14"/>
  <c r="F677" i="14"/>
  <c r="N677" i="14"/>
  <c r="O681" i="14"/>
  <c r="K720" i="14"/>
  <c r="K724" i="14" s="1"/>
  <c r="M704" i="14"/>
  <c r="J805" i="14"/>
  <c r="L964" i="14"/>
  <c r="K964" i="14"/>
  <c r="N964" i="14"/>
  <c r="I964" i="14"/>
  <c r="M964" i="14"/>
  <c r="H964" i="14"/>
  <c r="R1050" i="14"/>
  <c r="R1005" i="14"/>
  <c r="R980" i="14"/>
  <c r="AS892" i="14"/>
  <c r="R897" i="14"/>
  <c r="R926" i="14"/>
  <c r="AS927" i="14"/>
  <c r="R818" i="14"/>
  <c r="R777" i="14"/>
  <c r="AT833" i="14"/>
  <c r="AT865" i="14"/>
  <c r="R842" i="14"/>
  <c r="L970" i="14"/>
  <c r="K970" i="14"/>
  <c r="I970" i="14"/>
  <c r="N970" i="14"/>
  <c r="M970" i="14"/>
  <c r="H970" i="14"/>
  <c r="K303" i="14"/>
  <c r="AP849" i="14" s="1"/>
  <c r="Q354" i="14"/>
  <c r="R384" i="14"/>
  <c r="R426" i="14"/>
  <c r="R435" i="14"/>
  <c r="K489" i="14"/>
  <c r="R475" i="14"/>
  <c r="Q483" i="14"/>
  <c r="N488" i="14"/>
  <c r="J529" i="14"/>
  <c r="M505" i="14"/>
  <c r="M517" i="14"/>
  <c r="R517" i="14" s="1"/>
  <c r="O533" i="14"/>
  <c r="R553" i="14"/>
  <c r="B587" i="14"/>
  <c r="K584" i="14"/>
  <c r="K587" i="14" s="1"/>
  <c r="M557" i="14"/>
  <c r="I583" i="14"/>
  <c r="R583" i="14" s="1"/>
  <c r="H598" i="14"/>
  <c r="K598" i="14"/>
  <c r="H681" i="14"/>
  <c r="R662" i="14"/>
  <c r="R669" i="14"/>
  <c r="E690" i="14"/>
  <c r="B691" i="14"/>
  <c r="L692" i="14"/>
  <c r="C720" i="14"/>
  <c r="C724" i="14" s="1"/>
  <c r="E704" i="14"/>
  <c r="L773" i="14"/>
  <c r="L774" i="14"/>
  <c r="R768" i="14"/>
  <c r="H963" i="14"/>
  <c r="N963" i="14"/>
  <c r="M963" i="14"/>
  <c r="K963" i="14"/>
  <c r="L963" i="14"/>
  <c r="G880" i="14"/>
  <c r="O970" i="14"/>
  <c r="I963" i="14"/>
  <c r="H971" i="14"/>
  <c r="N971" i="14"/>
  <c r="M971" i="14"/>
  <c r="I971" i="14"/>
  <c r="L971" i="14"/>
  <c r="K971" i="14"/>
  <c r="F888" i="14"/>
  <c r="L691" i="14"/>
  <c r="L598" i="14"/>
  <c r="L830" i="14"/>
  <c r="O442" i="14"/>
  <c r="AH362" i="14"/>
  <c r="M369" i="14"/>
  <c r="R369" i="14" s="1"/>
  <c r="R390" i="14"/>
  <c r="R404" i="14"/>
  <c r="R417" i="14"/>
  <c r="B488" i="14"/>
  <c r="C584" i="14"/>
  <c r="C587" i="14" s="1"/>
  <c r="E557" i="14"/>
  <c r="L588" i="14"/>
  <c r="G588" i="14"/>
  <c r="J598" i="14"/>
  <c r="M597" i="14"/>
  <c r="H630" i="14"/>
  <c r="H633" i="14" s="1"/>
  <c r="P630" i="14"/>
  <c r="P633" i="14" s="1"/>
  <c r="C691" i="14"/>
  <c r="D725" i="14"/>
  <c r="D726" i="14"/>
  <c r="D692" i="14" s="1"/>
  <c r="N724" i="14"/>
  <c r="Q720" i="14"/>
  <c r="P774" i="14"/>
  <c r="P773" i="14"/>
  <c r="AA363" i="14"/>
  <c r="AD363" i="14" s="1"/>
  <c r="AM363" i="14" s="1"/>
  <c r="R756" i="14"/>
  <c r="M798" i="14"/>
  <c r="R798" i="14" s="1"/>
  <c r="F801" i="14"/>
  <c r="I799" i="14"/>
  <c r="G801" i="14"/>
  <c r="G832" i="14" s="1"/>
  <c r="K805" i="14"/>
  <c r="K834" i="14" s="1"/>
  <c r="F813" i="14"/>
  <c r="I810" i="14"/>
  <c r="AH882" i="14"/>
  <c r="AG882" i="14"/>
  <c r="AS882" i="14"/>
  <c r="AF882" i="14"/>
  <c r="AD847" i="14"/>
  <c r="F885" i="14"/>
  <c r="AE882" i="14"/>
  <c r="AD882" i="14"/>
  <c r="F913" i="14"/>
  <c r="H805" i="14"/>
  <c r="H834" i="14" s="1"/>
  <c r="D411" i="14"/>
  <c r="E411" i="14" s="1"/>
  <c r="N598" i="14"/>
  <c r="N691" i="14"/>
  <c r="L727" i="14"/>
  <c r="B769" i="14"/>
  <c r="K769" i="14"/>
  <c r="K772" i="14" s="1"/>
  <c r="R763" i="14"/>
  <c r="M767" i="14"/>
  <c r="G884" i="14"/>
  <c r="G912" i="14"/>
  <c r="M719" i="14"/>
  <c r="C769" i="14"/>
  <c r="C772" i="14" s="1"/>
  <c r="E767" i="14"/>
  <c r="R809" i="14"/>
  <c r="F919" i="14"/>
  <c r="AE888" i="14"/>
  <c r="AD888" i="14"/>
  <c r="AH888" i="14"/>
  <c r="F891" i="14"/>
  <c r="AG888" i="14"/>
  <c r="AF888" i="14"/>
  <c r="AS888" i="14"/>
  <c r="AD853" i="14"/>
  <c r="AD887" i="14"/>
  <c r="AD883" i="14"/>
  <c r="F598" i="14"/>
  <c r="C630" i="14"/>
  <c r="C633" i="14" s="1"/>
  <c r="K630" i="14"/>
  <c r="K633" i="14" s="1"/>
  <c r="F691" i="14"/>
  <c r="R722" i="14"/>
  <c r="R753" i="14"/>
  <c r="G773" i="14"/>
  <c r="G774" i="14"/>
  <c r="J774" i="14"/>
  <c r="O801" i="14"/>
  <c r="O832" i="14" s="1"/>
  <c r="G938" i="14"/>
  <c r="I990" i="14"/>
  <c r="G911" i="14"/>
  <c r="G883" i="14"/>
  <c r="F915" i="14"/>
  <c r="AS884" i="14"/>
  <c r="AF884" i="14"/>
  <c r="AE884" i="14"/>
  <c r="AH884" i="14"/>
  <c r="AD849" i="14"/>
  <c r="F887" i="14"/>
  <c r="AG884" i="14"/>
  <c r="AD884" i="14"/>
  <c r="AJ884" i="14" s="1"/>
  <c r="AC362" i="14"/>
  <c r="B834" i="14"/>
  <c r="G411" i="14"/>
  <c r="G436" i="14" s="1"/>
  <c r="P720" i="14"/>
  <c r="P724" i="14" s="1"/>
  <c r="R736" i="14"/>
  <c r="E742" i="14"/>
  <c r="N769" i="14"/>
  <c r="R755" i="14"/>
  <c r="M792" i="14"/>
  <c r="R792" i="14" s="1"/>
  <c r="B814" i="14"/>
  <c r="N814" i="14"/>
  <c r="Q808" i="14"/>
  <c r="F864" i="14"/>
  <c r="AH877" i="14"/>
  <c r="F880" i="14"/>
  <c r="AG877" i="14"/>
  <c r="F908" i="14"/>
  <c r="AE877" i="14"/>
  <c r="AF877" i="14"/>
  <c r="AD877" i="14"/>
  <c r="AD842" i="14"/>
  <c r="AS877" i="14"/>
  <c r="P888" i="14"/>
  <c r="P916" i="14"/>
  <c r="F769" i="14"/>
  <c r="Q757" i="14"/>
  <c r="R757" i="14" s="1"/>
  <c r="B813" i="14"/>
  <c r="E813" i="14" s="1"/>
  <c r="E810" i="14"/>
  <c r="L813" i="14"/>
  <c r="L814" i="14"/>
  <c r="L836" i="14" s="1"/>
  <c r="G890" i="14"/>
  <c r="G918" i="14"/>
  <c r="L725" i="14"/>
  <c r="Q747" i="14"/>
  <c r="R747" i="14" s="1"/>
  <c r="M791" i="14"/>
  <c r="N801" i="14"/>
  <c r="Q799" i="14"/>
  <c r="I803" i="14"/>
  <c r="M807" i="14"/>
  <c r="F814" i="14"/>
  <c r="I808" i="14"/>
  <c r="P814" i="14"/>
  <c r="P836" i="14" s="1"/>
  <c r="G914" i="14"/>
  <c r="G886" i="14"/>
  <c r="I995" i="14"/>
  <c r="G943" i="14"/>
  <c r="AE886" i="14"/>
  <c r="F889" i="14"/>
  <c r="F917" i="14"/>
  <c r="AG886" i="14"/>
  <c r="AH886" i="14"/>
  <c r="AD851" i="14"/>
  <c r="AF886" i="14"/>
  <c r="AD886" i="14"/>
  <c r="AS886" i="14"/>
  <c r="AD879" i="14"/>
  <c r="AJ879" i="14" s="1"/>
  <c r="G814" i="14"/>
  <c r="G836" i="14" s="1"/>
  <c r="H813" i="14"/>
  <c r="H996" i="14"/>
  <c r="AH951" i="14"/>
  <c r="AH916" i="14"/>
  <c r="G919" i="14"/>
  <c r="P805" i="14"/>
  <c r="P834" i="14" s="1"/>
  <c r="J813" i="14"/>
  <c r="M813" i="14" s="1"/>
  <c r="M810" i="14"/>
  <c r="AD878" i="14"/>
  <c r="F909" i="14"/>
  <c r="AH878" i="14"/>
  <c r="AS878" i="14"/>
  <c r="AF878" i="14"/>
  <c r="AF850" i="14"/>
  <c r="G864" i="14"/>
  <c r="AE878" i="14"/>
  <c r="F881" i="14"/>
  <c r="I807" i="14"/>
  <c r="R807" i="14" s="1"/>
  <c r="Q807" i="14"/>
  <c r="G881" i="14"/>
  <c r="F911" i="14"/>
  <c r="AH880" i="14"/>
  <c r="F883" i="14"/>
  <c r="AS880" i="14"/>
  <c r="AF880" i="14"/>
  <c r="AD880" i="14"/>
  <c r="G888" i="14"/>
  <c r="AG878" i="14"/>
  <c r="G882" i="14"/>
  <c r="I996" i="14"/>
  <c r="G944" i="14"/>
  <c r="G971" i="14" s="1"/>
  <c r="Q795" i="14"/>
  <c r="E799" i="14"/>
  <c r="Q804" i="14"/>
  <c r="E808" i="14"/>
  <c r="N813" i="14"/>
  <c r="Q813" i="14" s="1"/>
  <c r="Q810" i="14"/>
  <c r="I812" i="14"/>
  <c r="R812" i="14" s="1"/>
  <c r="AG880" i="14"/>
  <c r="J969" i="14"/>
  <c r="I795" i="14"/>
  <c r="R795" i="14" s="1"/>
  <c r="F912" i="14"/>
  <c r="AE881" i="14"/>
  <c r="AD881" i="14"/>
  <c r="F884" i="14"/>
  <c r="AG881" i="14"/>
  <c r="AD846" i="14"/>
  <c r="AF879" i="14"/>
  <c r="AF885" i="14"/>
  <c r="AF883" i="14"/>
  <c r="G908" i="14"/>
  <c r="G913" i="14"/>
  <c r="G885" i="14"/>
  <c r="F914" i="14"/>
  <c r="AH883" i="14"/>
  <c r="AG883" i="14"/>
  <c r="F910" i="14"/>
  <c r="O963" i="14"/>
  <c r="Q936" i="14"/>
  <c r="Q949" i="14" s="1"/>
  <c r="P949" i="14" s="1"/>
  <c r="R943" i="14"/>
  <c r="O972" i="14"/>
  <c r="G887" i="14"/>
  <c r="AG885" i="14"/>
  <c r="AS885" i="14"/>
  <c r="AD885" i="14"/>
  <c r="AE883" i="14"/>
  <c r="AE885" i="14"/>
  <c r="J971" i="14"/>
  <c r="J973" i="14"/>
  <c r="Q947" i="14"/>
  <c r="R947" i="14" s="1"/>
  <c r="O974" i="14"/>
  <c r="G909" i="14"/>
  <c r="G889" i="14"/>
  <c r="G917" i="14"/>
  <c r="F918" i="14"/>
  <c r="AS887" i="14"/>
  <c r="AF887" i="14"/>
  <c r="AE887" i="14"/>
  <c r="F890" i="14"/>
  <c r="AH885" i="14"/>
  <c r="AH887" i="14"/>
  <c r="G891" i="14"/>
  <c r="J967" i="14"/>
  <c r="O968" i="14"/>
  <c r="O967" i="14"/>
  <c r="J964" i="14"/>
  <c r="O964" i="14"/>
  <c r="R937" i="14"/>
  <c r="Q937" i="14"/>
  <c r="O965" i="14"/>
  <c r="AW991" i="14"/>
  <c r="AW990" i="14"/>
  <c r="AW989" i="14"/>
  <c r="AW988" i="14"/>
  <c r="AW1012" i="14" s="1"/>
  <c r="J970" i="14"/>
  <c r="J966" i="14"/>
  <c r="J963" i="14"/>
  <c r="O966" i="14"/>
  <c r="J972" i="14"/>
  <c r="R939" i="14"/>
  <c r="R941" i="14"/>
  <c r="O969" i="14"/>
  <c r="R942" i="14"/>
  <c r="J974" i="14"/>
  <c r="AD1007" i="14"/>
  <c r="AD996" i="14"/>
  <c r="AD994" i="14"/>
  <c r="AD1005" i="14"/>
  <c r="AD998" i="14"/>
  <c r="AD1003" i="14"/>
  <c r="AD1001" i="14"/>
  <c r="AD999" i="14"/>
  <c r="AD1004" i="14"/>
  <c r="AD997" i="14"/>
  <c r="AD995" i="14"/>
  <c r="O971" i="14"/>
  <c r="O973" i="14"/>
  <c r="AW993" i="14"/>
  <c r="Q1078" i="14"/>
  <c r="AW1011" i="14"/>
  <c r="AW1009" i="14"/>
  <c r="AW1004" i="14"/>
  <c r="AW1002" i="14"/>
  <c r="AW1000" i="14"/>
  <c r="AW1007" i="14"/>
  <c r="AW996" i="14"/>
  <c r="AW994" i="14"/>
  <c r="AW998" i="14"/>
  <c r="AW1010" i="14"/>
  <c r="AW1003" i="14"/>
  <c r="AW1001" i="14"/>
  <c r="AW999" i="14"/>
  <c r="AW1008" i="14"/>
  <c r="AW1006" i="14"/>
  <c r="AD992" i="14"/>
  <c r="AW995" i="14"/>
  <c r="AW997" i="14"/>
  <c r="G1078" i="14"/>
  <c r="I1065" i="14"/>
  <c r="I1078" i="14" s="1"/>
  <c r="AD991" i="14"/>
  <c r="AD993" i="14"/>
  <c r="G1026" i="14"/>
  <c r="C999" i="14" s="1"/>
  <c r="L1026" i="14"/>
  <c r="R1066" i="14"/>
  <c r="AD990" i="14"/>
  <c r="AW992" i="14"/>
  <c r="AW1005" i="14"/>
  <c r="L1019" i="14"/>
  <c r="G1019" i="14"/>
  <c r="C992" i="14" s="1"/>
  <c r="L1025" i="14"/>
  <c r="G1025" i="14"/>
  <c r="C998" i="14" s="1"/>
  <c r="J1066" i="14"/>
  <c r="P30" i="13"/>
  <c r="B338" i="13"/>
  <c r="G30" i="13"/>
  <c r="B30" i="13"/>
  <c r="L617" i="12"/>
  <c r="G338" i="13"/>
  <c r="F30" i="13"/>
  <c r="F338" i="13"/>
  <c r="K30" i="13"/>
  <c r="G65" i="13"/>
  <c r="R52" i="13"/>
  <c r="R16" i="13"/>
  <c r="K65" i="13"/>
  <c r="H136" i="13"/>
  <c r="B64" i="13"/>
  <c r="E61" i="13"/>
  <c r="L65" i="13"/>
  <c r="R60" i="13"/>
  <c r="P136" i="13"/>
  <c r="C65" i="13"/>
  <c r="D65" i="13"/>
  <c r="O65" i="13"/>
  <c r="E132" i="13"/>
  <c r="C30" i="13"/>
  <c r="I135" i="13"/>
  <c r="R976" i="13"/>
  <c r="R947" i="13"/>
  <c r="R1002" i="13"/>
  <c r="R923" i="13"/>
  <c r="R882" i="13"/>
  <c r="K693" i="13"/>
  <c r="K338" i="13"/>
  <c r="Q14" i="13"/>
  <c r="Q43" i="13"/>
  <c r="N61" i="13"/>
  <c r="M59" i="13"/>
  <c r="P61" i="13"/>
  <c r="P64" i="13" s="1"/>
  <c r="R75" i="13"/>
  <c r="I98" i="13"/>
  <c r="R118" i="13"/>
  <c r="R120" i="13"/>
  <c r="Q130" i="13"/>
  <c r="L132" i="13"/>
  <c r="L135" i="13" s="1"/>
  <c r="B135" i="13"/>
  <c r="F136" i="13"/>
  <c r="R179" i="13"/>
  <c r="R188" i="13"/>
  <c r="M217" i="13"/>
  <c r="R213" i="13"/>
  <c r="K317" i="13"/>
  <c r="K325" i="13" s="1"/>
  <c r="R242" i="13"/>
  <c r="R263" i="13"/>
  <c r="R293" i="13"/>
  <c r="R305" i="13"/>
  <c r="R348" i="13"/>
  <c r="H515" i="13"/>
  <c r="H520" i="13" s="1"/>
  <c r="R371" i="13"/>
  <c r="R378" i="13"/>
  <c r="R390" i="13"/>
  <c r="R441" i="13"/>
  <c r="R443" i="13"/>
  <c r="R475" i="13"/>
  <c r="O136" i="13"/>
  <c r="C326" i="13"/>
  <c r="I14" i="13"/>
  <c r="M18" i="13"/>
  <c r="I43" i="13"/>
  <c r="F61" i="13"/>
  <c r="E59" i="13"/>
  <c r="I130" i="13"/>
  <c r="N132" i="13"/>
  <c r="P895" i="13"/>
  <c r="P901" i="13" s="1"/>
  <c r="P217" i="13"/>
  <c r="Q158" i="13"/>
  <c r="R158" i="13" s="1"/>
  <c r="R221" i="13"/>
  <c r="R231" i="13"/>
  <c r="E315" i="13"/>
  <c r="R315" i="13" s="1"/>
  <c r="B515" i="13"/>
  <c r="E400" i="13"/>
  <c r="R370" i="13"/>
  <c r="R418" i="13"/>
  <c r="C908" i="13"/>
  <c r="C488" i="13"/>
  <c r="E488" i="13" s="1"/>
  <c r="E420" i="13"/>
  <c r="R494" i="13"/>
  <c r="G132" i="13"/>
  <c r="G135" i="13" s="1"/>
  <c r="D791" i="13"/>
  <c r="D693" i="13"/>
  <c r="D338" i="13"/>
  <c r="O617" i="13"/>
  <c r="O338" i="13"/>
  <c r="E29" i="13"/>
  <c r="M29" i="13"/>
  <c r="H61" i="13"/>
  <c r="H64" i="13" s="1"/>
  <c r="R88" i="13"/>
  <c r="R104" i="13"/>
  <c r="R117" i="13"/>
  <c r="R129" i="13"/>
  <c r="R161" i="13"/>
  <c r="R258" i="13"/>
  <c r="N338" i="13"/>
  <c r="Q337" i="13"/>
  <c r="D521" i="13"/>
  <c r="R513" i="13"/>
  <c r="P617" i="13"/>
  <c r="D683" i="13"/>
  <c r="K826" i="13"/>
  <c r="K825" i="13"/>
  <c r="I808" i="13"/>
  <c r="F820" i="13"/>
  <c r="P958" i="13"/>
  <c r="D827" i="13"/>
  <c r="N30" i="13"/>
  <c r="J30" i="13"/>
  <c r="R74" i="13"/>
  <c r="J132" i="13"/>
  <c r="D132" i="13"/>
  <c r="D135" i="13" s="1"/>
  <c r="R133" i="13"/>
  <c r="R202" i="13"/>
  <c r="R224" i="13"/>
  <c r="R260" i="13"/>
  <c r="R277" i="13"/>
  <c r="R290" i="13"/>
  <c r="R365" i="13"/>
  <c r="L515" i="13"/>
  <c r="L520" i="13" s="1"/>
  <c r="R408" i="13"/>
  <c r="R438" i="13"/>
  <c r="R440" i="13"/>
  <c r="M14" i="13"/>
  <c r="Q18" i="13"/>
  <c r="M43" i="13"/>
  <c r="I59" i="13"/>
  <c r="J61" i="13"/>
  <c r="R83" i="13"/>
  <c r="C132" i="13"/>
  <c r="C135" i="13" s="1"/>
  <c r="K132" i="13"/>
  <c r="K135" i="13" s="1"/>
  <c r="R95" i="13"/>
  <c r="E98" i="13"/>
  <c r="R98" i="13" s="1"/>
  <c r="R114" i="13"/>
  <c r="R150" i="13"/>
  <c r="R169" i="13"/>
  <c r="O317" i="13"/>
  <c r="O325" i="13" s="1"/>
  <c r="R204" i="13"/>
  <c r="B317" i="13"/>
  <c r="R228" i="13"/>
  <c r="R245" i="13"/>
  <c r="R251" i="13"/>
  <c r="R279" i="13"/>
  <c r="R308" i="13"/>
  <c r="O400" i="13"/>
  <c r="O515" i="13" s="1"/>
  <c r="O520" i="13" s="1"/>
  <c r="Q354" i="13"/>
  <c r="R381" i="13"/>
  <c r="R396" i="13"/>
  <c r="R411" i="13"/>
  <c r="R437" i="13"/>
  <c r="R451" i="13"/>
  <c r="L317" i="13"/>
  <c r="L325" i="13" s="1"/>
  <c r="J571" i="13"/>
  <c r="H30" i="13"/>
  <c r="I132" i="13"/>
  <c r="R152" i="13"/>
  <c r="Q189" i="13"/>
  <c r="N217" i="13"/>
  <c r="R192" i="13"/>
  <c r="R194" i="13"/>
  <c r="D326" i="13"/>
  <c r="R285" i="13"/>
  <c r="H338" i="13"/>
  <c r="P521" i="13"/>
  <c r="I400" i="13"/>
  <c r="R360" i="13"/>
  <c r="R430" i="13"/>
  <c r="R444" i="13"/>
  <c r="R459" i="13"/>
  <c r="E514" i="13"/>
  <c r="R514" i="13" s="1"/>
  <c r="F571" i="13"/>
  <c r="E14" i="13"/>
  <c r="R17" i="13"/>
  <c r="I18" i="13"/>
  <c r="R18" i="13" s="1"/>
  <c r="O30" i="13"/>
  <c r="E43" i="13"/>
  <c r="R86" i="13"/>
  <c r="R103" i="13"/>
  <c r="R128" i="13"/>
  <c r="R131" i="13"/>
  <c r="R177" i="13"/>
  <c r="R186" i="13"/>
  <c r="F895" i="13"/>
  <c r="I189" i="13"/>
  <c r="F217" i="13"/>
  <c r="R198" i="13"/>
  <c r="R210" i="13"/>
  <c r="M224" i="13"/>
  <c r="R259" i="13"/>
  <c r="AD408" i="13"/>
  <c r="AM408" i="13" s="1"/>
  <c r="R428" i="13"/>
  <c r="L781" i="13"/>
  <c r="L791" i="13"/>
  <c r="L693" i="13"/>
  <c r="G895" i="13"/>
  <c r="G901" i="13" s="1"/>
  <c r="E217" i="13"/>
  <c r="J909" i="13"/>
  <c r="B297" i="13"/>
  <c r="E297" i="13" s="1"/>
  <c r="J297" i="13"/>
  <c r="J317" i="13" s="1"/>
  <c r="Q345" i="13"/>
  <c r="AA407" i="13"/>
  <c r="AD407" i="13" s="1"/>
  <c r="AM407" i="13" s="1"/>
  <c r="AC408" i="13"/>
  <c r="D910" i="13"/>
  <c r="D939" i="13" s="1"/>
  <c r="M420" i="13"/>
  <c r="D909" i="13"/>
  <c r="R497" i="13"/>
  <c r="B568" i="13"/>
  <c r="K568" i="13"/>
  <c r="K571" i="13" s="1"/>
  <c r="Q568" i="13"/>
  <c r="R595" i="13"/>
  <c r="H781" i="13"/>
  <c r="H935" i="13"/>
  <c r="G909" i="13"/>
  <c r="I909" i="13" s="1"/>
  <c r="K297" i="13"/>
  <c r="I354" i="13"/>
  <c r="R354" i="13" s="1"/>
  <c r="N910" i="13"/>
  <c r="N488" i="13"/>
  <c r="R566" i="13"/>
  <c r="B616" i="13"/>
  <c r="N729" i="13"/>
  <c r="Q728" i="13"/>
  <c r="C729" i="13"/>
  <c r="L895" i="13"/>
  <c r="L901" i="13" s="1"/>
  <c r="M194" i="13"/>
  <c r="L909" i="13"/>
  <c r="L910" i="13" s="1"/>
  <c r="L939" i="13" s="1"/>
  <c r="C909" i="13"/>
  <c r="E909" i="13" s="1"/>
  <c r="I275" i="13"/>
  <c r="R275" i="13" s="1"/>
  <c r="L297" i="13"/>
  <c r="AA406" i="13"/>
  <c r="AD406" i="13" s="1"/>
  <c r="AM406" i="13" s="1"/>
  <c r="F910" i="13"/>
  <c r="O908" i="13"/>
  <c r="O910" i="13" s="1"/>
  <c r="O939" i="13" s="1"/>
  <c r="O488" i="13"/>
  <c r="R501" i="13"/>
  <c r="N616" i="13"/>
  <c r="Q613" i="13"/>
  <c r="J941" i="13"/>
  <c r="M181" i="13"/>
  <c r="B895" i="13"/>
  <c r="J895" i="13"/>
  <c r="H217" i="13"/>
  <c r="H317" i="13" s="1"/>
  <c r="H325" i="13" s="1"/>
  <c r="M231" i="13"/>
  <c r="E240" i="13"/>
  <c r="R240" i="13" s="1"/>
  <c r="G908" i="13"/>
  <c r="G488" i="13"/>
  <c r="G515" i="13" s="1"/>
  <c r="G520" i="13" s="1"/>
  <c r="F488" i="13"/>
  <c r="I488" i="13" s="1"/>
  <c r="R509" i="13"/>
  <c r="R546" i="13"/>
  <c r="G617" i="13"/>
  <c r="O683" i="13"/>
  <c r="O729" i="13"/>
  <c r="N895" i="13"/>
  <c r="C895" i="13"/>
  <c r="C901" i="13" s="1"/>
  <c r="K895" i="13"/>
  <c r="K901" i="13" s="1"/>
  <c r="N909" i="13"/>
  <c r="N297" i="13"/>
  <c r="M345" i="13"/>
  <c r="R345" i="13" s="1"/>
  <c r="S380" i="13" s="1"/>
  <c r="I420" i="13"/>
  <c r="Q420" i="13"/>
  <c r="R516" i="13"/>
  <c r="R543" i="13"/>
  <c r="O568" i="13"/>
  <c r="O571" i="13" s="1"/>
  <c r="Q546" i="13"/>
  <c r="N572" i="13"/>
  <c r="Q571" i="13"/>
  <c r="C572" i="13"/>
  <c r="F616" i="13"/>
  <c r="I613" i="13"/>
  <c r="P683" i="13"/>
  <c r="D781" i="13"/>
  <c r="R775" i="13"/>
  <c r="O895" i="13"/>
  <c r="O901" i="13" s="1"/>
  <c r="D935" i="13"/>
  <c r="G297" i="13"/>
  <c r="I297" i="13" s="1"/>
  <c r="O297" i="13"/>
  <c r="J910" i="13"/>
  <c r="R491" i="13"/>
  <c r="R506" i="13"/>
  <c r="I546" i="13"/>
  <c r="G568" i="13"/>
  <c r="G571" i="13" s="1"/>
  <c r="C617" i="13"/>
  <c r="G683" i="13"/>
  <c r="B725" i="13"/>
  <c r="E708" i="13"/>
  <c r="Q776" i="13"/>
  <c r="Q820" i="13"/>
  <c r="N824" i="13"/>
  <c r="Q181" i="13"/>
  <c r="E189" i="13"/>
  <c r="P909" i="13"/>
  <c r="P910" i="13" s="1"/>
  <c r="P939" i="13" s="1"/>
  <c r="H297" i="13"/>
  <c r="P297" i="13"/>
  <c r="K908" i="13"/>
  <c r="K910" i="13" s="1"/>
  <c r="K939" i="13" s="1"/>
  <c r="K488" i="13"/>
  <c r="K515" i="13" s="1"/>
  <c r="K520" i="13" s="1"/>
  <c r="J488" i="13"/>
  <c r="M488" i="13" s="1"/>
  <c r="R500" i="13"/>
  <c r="R537" i="13"/>
  <c r="R549" i="13"/>
  <c r="H617" i="13"/>
  <c r="K617" i="13"/>
  <c r="H708" i="13"/>
  <c r="H725" i="13" s="1"/>
  <c r="H728" i="13" s="1"/>
  <c r="I702" i="13"/>
  <c r="G781" i="13"/>
  <c r="G825" i="13"/>
  <c r="G826" i="13"/>
  <c r="C826" i="13"/>
  <c r="C825" i="13"/>
  <c r="H568" i="13"/>
  <c r="H571" i="13" s="1"/>
  <c r="P568" i="13"/>
  <c r="P571" i="13" s="1"/>
  <c r="Q551" i="13"/>
  <c r="R551" i="13" s="1"/>
  <c r="E558" i="13"/>
  <c r="Q567" i="13"/>
  <c r="I589" i="13"/>
  <c r="Q589" i="13"/>
  <c r="R608" i="13"/>
  <c r="M612" i="13"/>
  <c r="R612" i="13" s="1"/>
  <c r="R628" i="13"/>
  <c r="R637" i="13"/>
  <c r="F679" i="13"/>
  <c r="I643" i="13"/>
  <c r="R656" i="13"/>
  <c r="I660" i="13"/>
  <c r="R660" i="13" s="1"/>
  <c r="R690" i="13"/>
  <c r="G693" i="13"/>
  <c r="E724" i="13"/>
  <c r="R724" i="13" s="1"/>
  <c r="R738" i="13"/>
  <c r="E804" i="13"/>
  <c r="Q818" i="13"/>
  <c r="R678" i="13"/>
  <c r="H683" i="13"/>
  <c r="B683" i="13"/>
  <c r="F729" i="13"/>
  <c r="C781" i="13"/>
  <c r="I790" i="13"/>
  <c r="F791" i="13"/>
  <c r="R592" i="13"/>
  <c r="S592" i="13" s="1"/>
  <c r="H693" i="13"/>
  <c r="L725" i="13"/>
  <c r="L728" i="13" s="1"/>
  <c r="I708" i="13"/>
  <c r="R712" i="13"/>
  <c r="R788" i="13"/>
  <c r="J820" i="13"/>
  <c r="M808" i="13"/>
  <c r="I558" i="13"/>
  <c r="D613" i="13"/>
  <c r="D616" i="13" s="1"/>
  <c r="L613" i="13"/>
  <c r="L616" i="13" s="1"/>
  <c r="J613" i="13"/>
  <c r="R653" i="13"/>
  <c r="R655" i="13"/>
  <c r="R668" i="13"/>
  <c r="M702" i="13"/>
  <c r="R702" i="13" s="1"/>
  <c r="R704" i="13"/>
  <c r="J725" i="13"/>
  <c r="M708" i="13"/>
  <c r="I728" i="13"/>
  <c r="N777" i="13"/>
  <c r="Q747" i="13"/>
  <c r="B791" i="13"/>
  <c r="P820" i="13"/>
  <c r="P824" i="13" s="1"/>
  <c r="I812" i="13"/>
  <c r="R812" i="13" s="1"/>
  <c r="O820" i="13"/>
  <c r="O824" i="13" s="1"/>
  <c r="D568" i="13"/>
  <c r="D571" i="13" s="1"/>
  <c r="L568" i="13"/>
  <c r="L571" i="13" s="1"/>
  <c r="R557" i="13"/>
  <c r="R583" i="13"/>
  <c r="E589" i="13"/>
  <c r="R589" i="13" s="1"/>
  <c r="I600" i="13"/>
  <c r="R600" i="13" s="1"/>
  <c r="R627" i="13"/>
  <c r="R629" i="13"/>
  <c r="R632" i="13"/>
  <c r="K679" i="13"/>
  <c r="K682" i="13" s="1"/>
  <c r="M643" i="13"/>
  <c r="I677" i="13"/>
  <c r="R677" i="13" s="1"/>
  <c r="E692" i="13"/>
  <c r="K725" i="13"/>
  <c r="K728" i="13" s="1"/>
  <c r="R726" i="13"/>
  <c r="R742" i="13"/>
  <c r="B777" i="13"/>
  <c r="E747" i="13"/>
  <c r="R747" i="13" s="1"/>
  <c r="R776" i="13"/>
  <c r="G791" i="13"/>
  <c r="R821" i="13"/>
  <c r="J877" i="13"/>
  <c r="M861" i="13"/>
  <c r="K862" i="13"/>
  <c r="Q967" i="13"/>
  <c r="P880" i="13"/>
  <c r="M567" i="13"/>
  <c r="R567" i="13" s="1"/>
  <c r="R599" i="13"/>
  <c r="L683" i="13"/>
  <c r="R676" i="13"/>
  <c r="R680" i="13"/>
  <c r="J683" i="13"/>
  <c r="M682" i="13"/>
  <c r="C693" i="13"/>
  <c r="N693" i="13"/>
  <c r="Q692" i="13"/>
  <c r="F777" i="13"/>
  <c r="I747" i="13"/>
  <c r="P777" i="13"/>
  <c r="P780" i="13" s="1"/>
  <c r="K781" i="13"/>
  <c r="K791" i="13"/>
  <c r="Q808" i="13"/>
  <c r="D825" i="13"/>
  <c r="M558" i="13"/>
  <c r="E643" i="13"/>
  <c r="N679" i="13"/>
  <c r="Q643" i="13"/>
  <c r="C679" i="13"/>
  <c r="C682" i="13" s="1"/>
  <c r="E682" i="13" s="1"/>
  <c r="O693" i="13"/>
  <c r="G725" i="13"/>
  <c r="G728" i="13" s="1"/>
  <c r="P708" i="13"/>
  <c r="P725" i="13" s="1"/>
  <c r="P728" i="13" s="1"/>
  <c r="Q702" i="13"/>
  <c r="Q708" i="13"/>
  <c r="E716" i="13"/>
  <c r="D725" i="13"/>
  <c r="D728" i="13" s="1"/>
  <c r="O781" i="13"/>
  <c r="P791" i="13"/>
  <c r="M804" i="13"/>
  <c r="I819" i="13"/>
  <c r="L825" i="13"/>
  <c r="L826" i="13"/>
  <c r="I692" i="13"/>
  <c r="P693" i="13"/>
  <c r="M716" i="13"/>
  <c r="M765" i="13"/>
  <c r="R765" i="13" s="1"/>
  <c r="M790" i="13"/>
  <c r="J791" i="13"/>
  <c r="M844" i="13"/>
  <c r="K874" i="13"/>
  <c r="K877" i="13" s="1"/>
  <c r="R636" i="13"/>
  <c r="R654" i="13"/>
  <c r="M692" i="13"/>
  <c r="J693" i="13"/>
  <c r="R743" i="13"/>
  <c r="R760" i="13"/>
  <c r="C791" i="13"/>
  <c r="N791" i="13"/>
  <c r="Q790" i="13"/>
  <c r="H820" i="13"/>
  <c r="H824" i="13" s="1"/>
  <c r="I904" i="13"/>
  <c r="R904" i="13" s="1"/>
  <c r="E908" i="13"/>
  <c r="R703" i="13"/>
  <c r="J777" i="13"/>
  <c r="M747" i="13"/>
  <c r="O791" i="13"/>
  <c r="B820" i="13"/>
  <c r="E808" i="13"/>
  <c r="R808" i="13" s="1"/>
  <c r="R818" i="13"/>
  <c r="Q819" i="13"/>
  <c r="R819" i="13" s="1"/>
  <c r="F877" i="13"/>
  <c r="P878" i="13"/>
  <c r="E862" i="13"/>
  <c r="H874" i="13"/>
  <c r="H877" i="13" s="1"/>
  <c r="M862" i="13"/>
  <c r="R897" i="13"/>
  <c r="R899" i="13"/>
  <c r="J937" i="13"/>
  <c r="M937" i="13" s="1"/>
  <c r="M906" i="13"/>
  <c r="J918" i="13"/>
  <c r="M918" i="13" s="1"/>
  <c r="B937" i="13"/>
  <c r="E937" i="13" s="1"/>
  <c r="E906" i="13"/>
  <c r="B941" i="13"/>
  <c r="E919" i="13"/>
  <c r="R913" i="13"/>
  <c r="E918" i="13"/>
  <c r="R918" i="13" s="1"/>
  <c r="F987" i="13"/>
  <c r="R837" i="13"/>
  <c r="R839" i="13"/>
  <c r="B874" i="13"/>
  <c r="L874" i="13"/>
  <c r="L877" i="13" s="1"/>
  <c r="E861" i="13"/>
  <c r="R861" i="13" s="1"/>
  <c r="C862" i="13"/>
  <c r="C874" i="13" s="1"/>
  <c r="C877" i="13" s="1"/>
  <c r="E898" i="13"/>
  <c r="R898" i="13" s="1"/>
  <c r="N906" i="13"/>
  <c r="H910" i="13"/>
  <c r="H939" i="13" s="1"/>
  <c r="C919" i="13"/>
  <c r="C941" i="13" s="1"/>
  <c r="L919" i="13"/>
  <c r="L941" i="13" s="1"/>
  <c r="C918" i="13"/>
  <c r="F1018" i="13"/>
  <c r="F990" i="13"/>
  <c r="R844" i="13"/>
  <c r="N877" i="13"/>
  <c r="R873" i="13"/>
  <c r="O906" i="13"/>
  <c r="O937" i="13" s="1"/>
  <c r="Q903" i="13"/>
  <c r="R905" i="13"/>
  <c r="F906" i="13"/>
  <c r="N919" i="13"/>
  <c r="M916" i="13"/>
  <c r="G985" i="13"/>
  <c r="G906" i="13"/>
  <c r="G937" i="13" s="1"/>
  <c r="I903" i="13"/>
  <c r="F941" i="13"/>
  <c r="I941" i="13" s="1"/>
  <c r="I919" i="13"/>
  <c r="R916" i="13"/>
  <c r="G988" i="13"/>
  <c r="F1019" i="13"/>
  <c r="F1026" i="13" s="1"/>
  <c r="F991" i="13"/>
  <c r="I862" i="13"/>
  <c r="R872" i="13"/>
  <c r="R914" i="13"/>
  <c r="F986" i="13"/>
  <c r="B910" i="13"/>
  <c r="E915" i="13"/>
  <c r="M915" i="13"/>
  <c r="G986" i="13"/>
  <c r="G987" i="13"/>
  <c r="G1015" i="13"/>
  <c r="G1017" i="13"/>
  <c r="G989" i="13"/>
  <c r="G1018" i="13"/>
  <c r="G990" i="13"/>
  <c r="F1020" i="13"/>
  <c r="F996" i="13"/>
  <c r="F1024" i="13"/>
  <c r="D862" i="13"/>
  <c r="D874" i="13" s="1"/>
  <c r="D877" i="13" s="1"/>
  <c r="I912" i="13"/>
  <c r="R912" i="13" s="1"/>
  <c r="Q912" i="13"/>
  <c r="G1020" i="13"/>
  <c r="G993" i="13"/>
  <c r="F994" i="13"/>
  <c r="F995" i="13"/>
  <c r="G996" i="13"/>
  <c r="G994" i="13"/>
  <c r="G995" i="13"/>
  <c r="G1023" i="13"/>
  <c r="O874" i="13"/>
  <c r="O877" i="13" s="1"/>
  <c r="G862" i="13"/>
  <c r="G874" i="13" s="1"/>
  <c r="O862" i="13"/>
  <c r="Q862" i="13" s="1"/>
  <c r="I915" i="13"/>
  <c r="Q915" i="13"/>
  <c r="E903" i="13"/>
  <c r="M903" i="13"/>
  <c r="F1014" i="13"/>
  <c r="I917" i="13"/>
  <c r="R917" i="13" s="1"/>
  <c r="Q917" i="13"/>
  <c r="F988" i="13"/>
  <c r="F1016" i="13"/>
  <c r="F985" i="13"/>
  <c r="F989" i="13"/>
  <c r="F992" i="13"/>
  <c r="F993" i="13"/>
  <c r="G1016" i="13"/>
  <c r="G1026" i="13" s="1"/>
  <c r="G1024" i="13"/>
  <c r="G991" i="13"/>
  <c r="G992" i="13"/>
  <c r="F969" i="13"/>
  <c r="H340" i="12"/>
  <c r="AP950" i="12" s="1"/>
  <c r="B340" i="12"/>
  <c r="AP945" i="12" s="1"/>
  <c r="L28" i="12"/>
  <c r="C28" i="12"/>
  <c r="N28" i="12"/>
  <c r="D28" i="12"/>
  <c r="O28" i="12"/>
  <c r="F28" i="12"/>
  <c r="P28" i="12"/>
  <c r="N340" i="12"/>
  <c r="AP954" i="12" s="1"/>
  <c r="L572" i="12"/>
  <c r="F340" i="12"/>
  <c r="AP948" i="12" s="1"/>
  <c r="D683" i="12"/>
  <c r="G340" i="12"/>
  <c r="AP949" i="12" s="1"/>
  <c r="P63" i="12"/>
  <c r="S85" i="12"/>
  <c r="C139" i="12"/>
  <c r="P139" i="12"/>
  <c r="R133" i="12"/>
  <c r="O329" i="12"/>
  <c r="H63" i="12"/>
  <c r="R50" i="12"/>
  <c r="N138" i="12"/>
  <c r="Q135" i="12"/>
  <c r="C521" i="12"/>
  <c r="R14" i="12"/>
  <c r="R46" i="12"/>
  <c r="O63" i="12"/>
  <c r="F138" i="12"/>
  <c r="I135" i="12"/>
  <c r="O139" i="12"/>
  <c r="H139" i="12"/>
  <c r="E138" i="12"/>
  <c r="B139" i="12"/>
  <c r="R227" i="12"/>
  <c r="G139" i="12"/>
  <c r="Q400" i="12"/>
  <c r="K683" i="12"/>
  <c r="R41" i="12"/>
  <c r="K63" i="12"/>
  <c r="J139" i="12"/>
  <c r="M138" i="12"/>
  <c r="M220" i="12"/>
  <c r="I400" i="12"/>
  <c r="O521" i="12"/>
  <c r="P521" i="12"/>
  <c r="C63" i="12"/>
  <c r="L63" i="12"/>
  <c r="R99" i="12"/>
  <c r="R134" i="12"/>
  <c r="R192" i="12"/>
  <c r="R260" i="12"/>
  <c r="J515" i="12"/>
  <c r="G515" i="12"/>
  <c r="G520" i="12" s="1"/>
  <c r="C572" i="12"/>
  <c r="C683" i="12"/>
  <c r="R18" i="12"/>
  <c r="D63" i="12"/>
  <c r="N62" i="12"/>
  <c r="Q59" i="12"/>
  <c r="R114" i="12"/>
  <c r="R196" i="12"/>
  <c r="R319" i="12"/>
  <c r="F62" i="12"/>
  <c r="K139" i="12"/>
  <c r="N320" i="12"/>
  <c r="R197" i="12"/>
  <c r="R375" i="12"/>
  <c r="AM408" i="12"/>
  <c r="H28" i="12"/>
  <c r="B320" i="12"/>
  <c r="L1068" i="12"/>
  <c r="K1068" i="12"/>
  <c r="H1068" i="12"/>
  <c r="N1068" i="12"/>
  <c r="I1068" i="12"/>
  <c r="D693" i="12"/>
  <c r="L1076" i="12"/>
  <c r="K1076" i="12"/>
  <c r="H1076" i="12"/>
  <c r="N1076" i="12"/>
  <c r="I1076" i="12"/>
  <c r="F993" i="12"/>
  <c r="O791" i="12"/>
  <c r="O693" i="12"/>
  <c r="G28" i="12"/>
  <c r="L139" i="12"/>
  <c r="F893" i="12"/>
  <c r="Q184" i="12"/>
  <c r="K340" i="12"/>
  <c r="AP952" i="12" s="1"/>
  <c r="M347" i="12"/>
  <c r="R347" i="12" s="1"/>
  <c r="S380" i="12" s="1"/>
  <c r="AA406" i="12"/>
  <c r="AH407" i="12"/>
  <c r="R443" i="12"/>
  <c r="R458" i="12"/>
  <c r="R501" i="12"/>
  <c r="M513" i="12"/>
  <c r="R585" i="12"/>
  <c r="G617" i="12"/>
  <c r="M595" i="12"/>
  <c r="R605" i="12"/>
  <c r="Q613" i="12"/>
  <c r="J682" i="12"/>
  <c r="M679" i="12"/>
  <c r="D729" i="12"/>
  <c r="K826" i="12"/>
  <c r="K825" i="12"/>
  <c r="G59" i="12"/>
  <c r="G62" i="12" s="1"/>
  <c r="H617" i="12"/>
  <c r="L1070" i="12"/>
  <c r="K1070" i="12"/>
  <c r="H1070" i="12"/>
  <c r="N1070" i="12"/>
  <c r="F987" i="12"/>
  <c r="I1070" i="12"/>
  <c r="G987" i="12"/>
  <c r="I27" i="12"/>
  <c r="R27" i="12" s="1"/>
  <c r="Q27" i="12"/>
  <c r="J28" i="12"/>
  <c r="D139" i="12"/>
  <c r="I184" i="12"/>
  <c r="C220" i="12"/>
  <c r="E220" i="12" s="1"/>
  <c r="K220" i="12"/>
  <c r="I277" i="12"/>
  <c r="R277" i="12" s="1"/>
  <c r="H299" i="12"/>
  <c r="I299" i="12" s="1"/>
  <c r="P299" i="12"/>
  <c r="Q299" i="12" s="1"/>
  <c r="C340" i="12"/>
  <c r="AP946" i="12" s="1"/>
  <c r="Q356" i="12"/>
  <c r="Z407" i="12"/>
  <c r="R409" i="12"/>
  <c r="R433" i="12"/>
  <c r="B907" i="12"/>
  <c r="E907" i="12" s="1"/>
  <c r="B488" i="12"/>
  <c r="E488" i="12" s="1"/>
  <c r="E435" i="12"/>
  <c r="R435" i="12" s="1"/>
  <c r="R460" i="12"/>
  <c r="R475" i="12"/>
  <c r="D488" i="12"/>
  <c r="R496" i="12"/>
  <c r="E513" i="12"/>
  <c r="R540" i="12"/>
  <c r="F568" i="12"/>
  <c r="O572" i="12"/>
  <c r="E595" i="12"/>
  <c r="R595" i="12" s="1"/>
  <c r="M611" i="12"/>
  <c r="B679" i="12"/>
  <c r="L683" i="12"/>
  <c r="R655" i="12"/>
  <c r="E716" i="12"/>
  <c r="B725" i="12"/>
  <c r="I1077" i="12"/>
  <c r="H1077" i="12"/>
  <c r="N1077" i="12"/>
  <c r="L1077" i="12"/>
  <c r="K1077" i="12"/>
  <c r="G994" i="12"/>
  <c r="F994" i="12"/>
  <c r="P693" i="12"/>
  <c r="H1071" i="12"/>
  <c r="N1071" i="12"/>
  <c r="L1071" i="12"/>
  <c r="K1071" i="12"/>
  <c r="J1071" i="12"/>
  <c r="I1071" i="12"/>
  <c r="F988" i="12"/>
  <c r="H791" i="12"/>
  <c r="Q50" i="12"/>
  <c r="K933" i="12"/>
  <c r="H893" i="12"/>
  <c r="H899" i="12" s="1"/>
  <c r="P933" i="12"/>
  <c r="M907" i="12"/>
  <c r="D340" i="12"/>
  <c r="AP947" i="12" s="1"/>
  <c r="O340" i="12"/>
  <c r="AP955" i="12" s="1"/>
  <c r="I356" i="12"/>
  <c r="R356" i="12" s="1"/>
  <c r="E400" i="12"/>
  <c r="G572" i="12"/>
  <c r="P572" i="12"/>
  <c r="Q568" i="12"/>
  <c r="K613" i="12"/>
  <c r="K616" i="12" s="1"/>
  <c r="P729" i="12"/>
  <c r="N728" i="12"/>
  <c r="Q725" i="12"/>
  <c r="D825" i="12"/>
  <c r="K515" i="12"/>
  <c r="K520" i="12" s="1"/>
  <c r="L1072" i="12"/>
  <c r="K1072" i="12"/>
  <c r="H1072" i="12"/>
  <c r="N1072" i="12"/>
  <c r="J1072" i="12"/>
  <c r="I1072" i="12"/>
  <c r="J693" i="12"/>
  <c r="B28" i="12"/>
  <c r="B59" i="12"/>
  <c r="J59" i="12"/>
  <c r="E135" i="12"/>
  <c r="M135" i="12"/>
  <c r="L893" i="12"/>
  <c r="L899" i="12" s="1"/>
  <c r="E293" i="12"/>
  <c r="R293" i="12" s="1"/>
  <c r="M297" i="12"/>
  <c r="R297" i="12" s="1"/>
  <c r="J299" i="12"/>
  <c r="J320" i="12" s="1"/>
  <c r="P340" i="12"/>
  <c r="AP956" i="12" s="1"/>
  <c r="R393" i="12"/>
  <c r="AD405" i="12"/>
  <c r="AM405" i="12" s="1"/>
  <c r="R417" i="12"/>
  <c r="N488" i="12"/>
  <c r="Q488" i="12" s="1"/>
  <c r="R457" i="12"/>
  <c r="M487" i="12"/>
  <c r="R487" i="12" s="1"/>
  <c r="H572" i="12"/>
  <c r="D617" i="12"/>
  <c r="R609" i="12"/>
  <c r="E611" i="12"/>
  <c r="R611" i="12" s="1"/>
  <c r="Q682" i="12"/>
  <c r="N683" i="12"/>
  <c r="M660" i="12"/>
  <c r="K781" i="12"/>
  <c r="O777" i="12"/>
  <c r="O780" i="12" s="1"/>
  <c r="Q751" i="12"/>
  <c r="F791" i="12"/>
  <c r="P791" i="12"/>
  <c r="C826" i="12"/>
  <c r="C825" i="12"/>
  <c r="Q571" i="12"/>
  <c r="N572" i="12"/>
  <c r="L825" i="12"/>
  <c r="L826" i="12"/>
  <c r="R1153" i="12"/>
  <c r="R1108" i="12"/>
  <c r="R1083" i="12"/>
  <c r="AS1030" i="12"/>
  <c r="R1029" i="12"/>
  <c r="R1000" i="12"/>
  <c r="AS995" i="12"/>
  <c r="AT968" i="12"/>
  <c r="R974" i="12"/>
  <c r="AT936" i="12"/>
  <c r="R945" i="12"/>
  <c r="R880" i="12"/>
  <c r="R921" i="12"/>
  <c r="H1073" i="12"/>
  <c r="N1073" i="12"/>
  <c r="L1073" i="12"/>
  <c r="K1073" i="12"/>
  <c r="I1073" i="12"/>
  <c r="K791" i="12"/>
  <c r="B899" i="12"/>
  <c r="M184" i="12"/>
  <c r="J899" i="12"/>
  <c r="F220" i="12"/>
  <c r="M234" i="12"/>
  <c r="R234" i="12" s="1"/>
  <c r="C299" i="12"/>
  <c r="K299" i="12"/>
  <c r="R425" i="12"/>
  <c r="F907" i="12"/>
  <c r="F488" i="12"/>
  <c r="I488" i="12" s="1"/>
  <c r="I441" i="12"/>
  <c r="R441" i="12" s="1"/>
  <c r="R447" i="12"/>
  <c r="R464" i="12"/>
  <c r="R467" i="12"/>
  <c r="R494" i="12"/>
  <c r="J571" i="12"/>
  <c r="M568" i="12"/>
  <c r="C613" i="12"/>
  <c r="C616" i="12" s="1"/>
  <c r="Q616" i="12"/>
  <c r="N617" i="12"/>
  <c r="S592" i="12"/>
  <c r="R600" i="12"/>
  <c r="O683" i="12"/>
  <c r="H729" i="12"/>
  <c r="B777" i="12"/>
  <c r="E747" i="12"/>
  <c r="L781" i="12"/>
  <c r="G781" i="12"/>
  <c r="H825" i="12"/>
  <c r="H826" i="12"/>
  <c r="H1069" i="12"/>
  <c r="N1069" i="12"/>
  <c r="L1069" i="12"/>
  <c r="K1069" i="12"/>
  <c r="J1069" i="12"/>
  <c r="I1069" i="12"/>
  <c r="G986" i="12"/>
  <c r="G933" i="12"/>
  <c r="K572" i="12"/>
  <c r="P956" i="12"/>
  <c r="D827" i="12"/>
  <c r="L1066" i="12"/>
  <c r="K1066" i="12"/>
  <c r="H1066" i="12"/>
  <c r="I1066" i="12"/>
  <c r="N1066" i="12"/>
  <c r="L1074" i="12"/>
  <c r="K1074" i="12"/>
  <c r="H1074" i="12"/>
  <c r="N1074" i="12"/>
  <c r="I1074" i="12"/>
  <c r="F991" i="12"/>
  <c r="L693" i="12"/>
  <c r="D893" i="12"/>
  <c r="D899" i="12" s="1"/>
  <c r="N893" i="12"/>
  <c r="C933" i="12"/>
  <c r="G220" i="12"/>
  <c r="G320" i="12" s="1"/>
  <c r="G328" i="12" s="1"/>
  <c r="N907" i="12"/>
  <c r="D299" i="12"/>
  <c r="D320" i="12" s="1"/>
  <c r="D328" i="12" s="1"/>
  <c r="L299" i="12"/>
  <c r="L320" i="12" s="1"/>
  <c r="L328" i="12" s="1"/>
  <c r="D515" i="12"/>
  <c r="D520" i="12" s="1"/>
  <c r="L400" i="12"/>
  <c r="L515" i="12" s="1"/>
  <c r="L520" i="12" s="1"/>
  <c r="R410" i="12"/>
  <c r="R434" i="12"/>
  <c r="R461" i="12"/>
  <c r="R476" i="12"/>
  <c r="K488" i="12"/>
  <c r="M488" i="12" s="1"/>
  <c r="R505" i="12"/>
  <c r="R507" i="12"/>
  <c r="E514" i="12"/>
  <c r="R514" i="12" s="1"/>
  <c r="R517" i="12"/>
  <c r="B568" i="12"/>
  <c r="O617" i="12"/>
  <c r="G683" i="12"/>
  <c r="P683" i="12"/>
  <c r="R658" i="12"/>
  <c r="E660" i="12"/>
  <c r="R660" i="12" s="1"/>
  <c r="R664" i="12"/>
  <c r="R667" i="12"/>
  <c r="H1067" i="12"/>
  <c r="N1067" i="12"/>
  <c r="L1067" i="12"/>
  <c r="K1067" i="12"/>
  <c r="I1067" i="12"/>
  <c r="J1067" i="12"/>
  <c r="C791" i="12"/>
  <c r="I1075" i="12"/>
  <c r="H1075" i="12"/>
  <c r="N1075" i="12"/>
  <c r="L1075" i="12"/>
  <c r="K1075" i="12"/>
  <c r="N791" i="12"/>
  <c r="O893" i="12"/>
  <c r="O899" i="12" s="1"/>
  <c r="H220" i="12"/>
  <c r="P220" i="12"/>
  <c r="P320" i="12" s="1"/>
  <c r="P328" i="12" s="1"/>
  <c r="J340" i="12"/>
  <c r="AP951" i="12" s="1"/>
  <c r="R398" i="12"/>
  <c r="H515" i="12"/>
  <c r="H520" i="12" s="1"/>
  <c r="AA408" i="12"/>
  <c r="AD408" i="12" s="1"/>
  <c r="R421" i="12"/>
  <c r="R483" i="12"/>
  <c r="I616" i="12"/>
  <c r="F617" i="12"/>
  <c r="P617" i="12"/>
  <c r="I613" i="12"/>
  <c r="H683" i="12"/>
  <c r="R647" i="12"/>
  <c r="K877" i="12"/>
  <c r="K876" i="12"/>
  <c r="AC406" i="12"/>
  <c r="I589" i="12"/>
  <c r="R589" i="12" s="1"/>
  <c r="Q589" i="12"/>
  <c r="B613" i="12"/>
  <c r="J613" i="12"/>
  <c r="F644" i="12"/>
  <c r="C693" i="12"/>
  <c r="K693" i="12"/>
  <c r="R704" i="12"/>
  <c r="G725" i="12"/>
  <c r="G728" i="12" s="1"/>
  <c r="Q716" i="12"/>
  <c r="E723" i="12"/>
  <c r="C777" i="12"/>
  <c r="C780" i="12" s="1"/>
  <c r="N777" i="12"/>
  <c r="R756" i="12"/>
  <c r="R758" i="12"/>
  <c r="R788" i="12"/>
  <c r="G791" i="12"/>
  <c r="E804" i="12"/>
  <c r="R804" i="12" s="1"/>
  <c r="M804" i="12"/>
  <c r="I808" i="12"/>
  <c r="R819" i="12"/>
  <c r="R837" i="12"/>
  <c r="B872" i="12"/>
  <c r="E844" i="12"/>
  <c r="D781" i="12"/>
  <c r="R762" i="12"/>
  <c r="I790" i="12"/>
  <c r="N824" i="12"/>
  <c r="Q820" i="12"/>
  <c r="C877" i="12"/>
  <c r="C876" i="12"/>
  <c r="N872" i="12"/>
  <c r="Q844" i="12"/>
  <c r="R712" i="12"/>
  <c r="L729" i="12"/>
  <c r="F781" i="12"/>
  <c r="P781" i="12"/>
  <c r="M790" i="12"/>
  <c r="J791" i="12"/>
  <c r="G825" i="12"/>
  <c r="G826" i="12"/>
  <c r="P964" i="12"/>
  <c r="O827" i="12"/>
  <c r="P825" i="12"/>
  <c r="O877" i="12"/>
  <c r="O876" i="12"/>
  <c r="E902" i="12"/>
  <c r="I546" i="12"/>
  <c r="R546" i="12" s="1"/>
  <c r="Q546" i="12"/>
  <c r="Q644" i="12"/>
  <c r="F693" i="12"/>
  <c r="N693" i="12"/>
  <c r="K725" i="12"/>
  <c r="K728" i="12" s="1"/>
  <c r="I723" i="12"/>
  <c r="R743" i="12"/>
  <c r="R764" i="12"/>
  <c r="Q776" i="12"/>
  <c r="M808" i="12"/>
  <c r="R812" i="12"/>
  <c r="I818" i="12"/>
  <c r="R818" i="12" s="1"/>
  <c r="F872" i="12"/>
  <c r="I844" i="12"/>
  <c r="R895" i="12"/>
  <c r="M439" i="12"/>
  <c r="R439" i="12" s="1"/>
  <c r="G693" i="12"/>
  <c r="E708" i="12"/>
  <c r="R708" i="12" s="1"/>
  <c r="R720" i="12"/>
  <c r="F725" i="12"/>
  <c r="H777" i="12"/>
  <c r="H780" i="12" s="1"/>
  <c r="M765" i="12"/>
  <c r="R771" i="12"/>
  <c r="E790" i="12"/>
  <c r="B791" i="12"/>
  <c r="L791" i="12"/>
  <c r="R821" i="12"/>
  <c r="P826" i="12"/>
  <c r="P872" i="12"/>
  <c r="P875" i="12" s="1"/>
  <c r="Q849" i="12"/>
  <c r="R856" i="12"/>
  <c r="I859" i="12"/>
  <c r="R870" i="12"/>
  <c r="D551" i="12"/>
  <c r="E551" i="12" s="1"/>
  <c r="R551" i="12" s="1"/>
  <c r="H693" i="12"/>
  <c r="C725" i="12"/>
  <c r="C728" i="12" s="1"/>
  <c r="Q708" i="12"/>
  <c r="J777" i="12"/>
  <c r="M747" i="12"/>
  <c r="R751" i="12"/>
  <c r="R761" i="12"/>
  <c r="R775" i="12"/>
  <c r="I776" i="12"/>
  <c r="R776" i="12" s="1"/>
  <c r="B824" i="12"/>
  <c r="E820" i="12"/>
  <c r="R820" i="12" s="1"/>
  <c r="J824" i="12"/>
  <c r="M820" i="12"/>
  <c r="E808" i="12"/>
  <c r="R808" i="12" s="1"/>
  <c r="O729" i="12"/>
  <c r="R724" i="12"/>
  <c r="J725" i="12"/>
  <c r="R765" i="12"/>
  <c r="D791" i="12"/>
  <c r="F824" i="12"/>
  <c r="I820" i="12"/>
  <c r="O825" i="12"/>
  <c r="J872" i="12"/>
  <c r="M844" i="12"/>
  <c r="H872" i="12"/>
  <c r="H875" i="12" s="1"/>
  <c r="I849" i="12"/>
  <c r="R849" i="12" s="1"/>
  <c r="I860" i="12"/>
  <c r="I747" i="12"/>
  <c r="Q747" i="12"/>
  <c r="Q790" i="12"/>
  <c r="R853" i="12"/>
  <c r="I898" i="12"/>
  <c r="C908" i="12"/>
  <c r="C937" i="12" s="1"/>
  <c r="P908" i="12"/>
  <c r="P937" i="12" s="1"/>
  <c r="G916" i="12"/>
  <c r="I916" i="12" s="1"/>
  <c r="R916" i="12" s="1"/>
  <c r="I915" i="12"/>
  <c r="R839" i="12"/>
  <c r="G908" i="12"/>
  <c r="G937" i="12" s="1"/>
  <c r="R858" i="12"/>
  <c r="E860" i="12"/>
  <c r="R866" i="12"/>
  <c r="Q897" i="12"/>
  <c r="I906" i="12"/>
  <c r="H917" i="12"/>
  <c r="H939" i="12" s="1"/>
  <c r="Q914" i="12"/>
  <c r="Q916" i="12"/>
  <c r="F1013" i="12"/>
  <c r="AH982" i="12"/>
  <c r="F985" i="12"/>
  <c r="AG982" i="12"/>
  <c r="AS982" i="12"/>
  <c r="AF982" i="12"/>
  <c r="AD982" i="12"/>
  <c r="AJ982" i="12" s="1"/>
  <c r="AD947" i="12"/>
  <c r="AE982" i="12"/>
  <c r="G876" i="12"/>
  <c r="G877" i="12"/>
  <c r="J935" i="12"/>
  <c r="H908" i="12"/>
  <c r="H937" i="12" s="1"/>
  <c r="J917" i="12"/>
  <c r="J916" i="12"/>
  <c r="M916" i="12" s="1"/>
  <c r="AO951" i="12"/>
  <c r="AF951" i="12"/>
  <c r="G967" i="12"/>
  <c r="G1011" i="12"/>
  <c r="G983" i="12"/>
  <c r="H1094" i="12"/>
  <c r="X1094" i="12" s="1"/>
  <c r="AH1049" i="12"/>
  <c r="AH1014" i="12"/>
  <c r="M906" i="12"/>
  <c r="J908" i="12"/>
  <c r="E896" i="12"/>
  <c r="R896" i="12" s="1"/>
  <c r="I897" i="12"/>
  <c r="R897" i="12" s="1"/>
  <c r="K904" i="12"/>
  <c r="K935" i="12" s="1"/>
  <c r="I904" i="12"/>
  <c r="K908" i="12"/>
  <c r="K937" i="12" s="1"/>
  <c r="K917" i="12"/>
  <c r="K939" i="12" s="1"/>
  <c r="D872" i="12"/>
  <c r="D875" i="12" s="1"/>
  <c r="L872" i="12"/>
  <c r="L875" i="12" s="1"/>
  <c r="M860" i="12"/>
  <c r="R871" i="12"/>
  <c r="B935" i="12"/>
  <c r="E904" i="12"/>
  <c r="I914" i="12"/>
  <c r="R914" i="12" s="1"/>
  <c r="R915" i="12"/>
  <c r="AO949" i="12"/>
  <c r="AF949" i="12"/>
  <c r="E859" i="12"/>
  <c r="R859" i="12" s="1"/>
  <c r="Q860" i="12"/>
  <c r="R864" i="12"/>
  <c r="Q898" i="12"/>
  <c r="C904" i="12"/>
  <c r="C935" i="12" s="1"/>
  <c r="M902" i="12"/>
  <c r="Q904" i="12"/>
  <c r="Q906" i="12"/>
  <c r="R906" i="12" s="1"/>
  <c r="C917" i="12"/>
  <c r="Q915" i="12"/>
  <c r="Q859" i="12"/>
  <c r="D904" i="12"/>
  <c r="D935" i="12" s="1"/>
  <c r="O908" i="12"/>
  <c r="O937" i="12" s="1"/>
  <c r="AF953" i="12"/>
  <c r="AO953" i="12"/>
  <c r="AO955" i="12"/>
  <c r="AF955" i="12"/>
  <c r="E901" i="12"/>
  <c r="M901" i="12"/>
  <c r="E910" i="12"/>
  <c r="R910" i="12" s="1"/>
  <c r="M910" i="12"/>
  <c r="F917" i="12"/>
  <c r="N917" i="12"/>
  <c r="G1013" i="12"/>
  <c r="G985" i="12"/>
  <c r="G1016" i="12"/>
  <c r="G988" i="12"/>
  <c r="F1017" i="12"/>
  <c r="AD986" i="12"/>
  <c r="AH986" i="12"/>
  <c r="AG986" i="12"/>
  <c r="AF981" i="12"/>
  <c r="AE986" i="12"/>
  <c r="I1095" i="12"/>
  <c r="Y1095" i="12" s="1"/>
  <c r="G1043" i="12"/>
  <c r="G1017" i="12"/>
  <c r="G989" i="12"/>
  <c r="F1018" i="12"/>
  <c r="AG987" i="12"/>
  <c r="AS987" i="12"/>
  <c r="AF987" i="12"/>
  <c r="F990" i="12"/>
  <c r="AE987" i="12"/>
  <c r="AH983" i="12"/>
  <c r="AS985" i="12"/>
  <c r="F1012" i="12"/>
  <c r="AE981" i="12"/>
  <c r="AD981" i="12"/>
  <c r="AJ981" i="12" s="1"/>
  <c r="AH981" i="12"/>
  <c r="B908" i="12"/>
  <c r="E913" i="12"/>
  <c r="R913" i="12" s="1"/>
  <c r="M913" i="12"/>
  <c r="AE948" i="12"/>
  <c r="AF948" i="12" s="1"/>
  <c r="AD952" i="12"/>
  <c r="G1012" i="12"/>
  <c r="G984" i="12"/>
  <c r="G991" i="12"/>
  <c r="F1021" i="12"/>
  <c r="AH990" i="12"/>
  <c r="AS990" i="12"/>
  <c r="AF990" i="12"/>
  <c r="AE990" i="12"/>
  <c r="AD980" i="12"/>
  <c r="AS981" i="12"/>
  <c r="F983" i="12"/>
  <c r="AD987" i="12"/>
  <c r="AD990" i="12"/>
  <c r="I901" i="12"/>
  <c r="Q901" i="12"/>
  <c r="AF946" i="12"/>
  <c r="AO956" i="12"/>
  <c r="AF956" i="12"/>
  <c r="G1020" i="12"/>
  <c r="G992" i="12"/>
  <c r="I1101" i="12"/>
  <c r="Y1101" i="12" s="1"/>
  <c r="G1049" i="12"/>
  <c r="AG980" i="12"/>
  <c r="AG993" i="12" s="1"/>
  <c r="AS986" i="12"/>
  <c r="AH987" i="12"/>
  <c r="F989" i="12"/>
  <c r="AG990" i="12"/>
  <c r="I1099" i="12"/>
  <c r="Y1099" i="12" s="1"/>
  <c r="G1047" i="12"/>
  <c r="G1074" i="12" s="1"/>
  <c r="F1011" i="12"/>
  <c r="F967" i="12"/>
  <c r="AS980" i="12"/>
  <c r="AF980" i="12"/>
  <c r="AE980" i="12"/>
  <c r="F986" i="12"/>
  <c r="F984" i="12"/>
  <c r="I1098" i="12"/>
  <c r="Y1098" i="12" s="1"/>
  <c r="G1046" i="12"/>
  <c r="H1099" i="12"/>
  <c r="X1099" i="12" s="1"/>
  <c r="AH1054" i="12"/>
  <c r="AF983" i="12"/>
  <c r="AJ983" i="12" s="1"/>
  <c r="AS983" i="12"/>
  <c r="AD985" i="12"/>
  <c r="AF988" i="12"/>
  <c r="AJ988" i="12" s="1"/>
  <c r="AS988" i="12"/>
  <c r="AH1019" i="12"/>
  <c r="H1100" i="12"/>
  <c r="X1100" i="12" s="1"/>
  <c r="AH1020" i="12"/>
  <c r="AH1055" i="12"/>
  <c r="AG983" i="12"/>
  <c r="AE985" i="12"/>
  <c r="AG988" i="12"/>
  <c r="F1022" i="12"/>
  <c r="AG985" i="12"/>
  <c r="AD989" i="12"/>
  <c r="AJ989" i="12" s="1"/>
  <c r="AD991" i="12"/>
  <c r="F992" i="12"/>
  <c r="G993" i="12"/>
  <c r="J1073" i="12"/>
  <c r="G1014" i="12"/>
  <c r="F1015" i="12"/>
  <c r="G1022" i="12"/>
  <c r="AE984" i="12"/>
  <c r="AJ984" i="12" s="1"/>
  <c r="AE989" i="12"/>
  <c r="G990" i="12"/>
  <c r="AE991" i="12"/>
  <c r="F1016" i="12"/>
  <c r="AF984" i="12"/>
  <c r="AS984" i="12"/>
  <c r="AF989" i="12"/>
  <c r="AS989" i="12"/>
  <c r="AF991" i="12"/>
  <c r="AS991" i="12"/>
  <c r="J1068" i="12"/>
  <c r="J1075" i="12"/>
  <c r="J1077" i="12"/>
  <c r="J1066" i="12"/>
  <c r="J1070" i="12"/>
  <c r="J1076" i="12"/>
  <c r="G1181" i="12"/>
  <c r="I1168" i="12"/>
  <c r="J1074" i="12"/>
  <c r="AD1098" i="12"/>
  <c r="AD1101" i="12"/>
  <c r="AD1103" i="12"/>
  <c r="AD1104" i="12"/>
  <c r="G1118" i="12"/>
  <c r="C1091" i="12" s="1"/>
  <c r="L1118" i="12"/>
  <c r="L1127" i="12"/>
  <c r="AD1093" i="12"/>
  <c r="AD1095" i="12"/>
  <c r="AD1102" i="12"/>
  <c r="AD1092" i="12"/>
  <c r="AD1094" i="12"/>
  <c r="AD1111" i="12"/>
  <c r="AD1109" i="12"/>
  <c r="AD1112" i="12"/>
  <c r="AD1110" i="12"/>
  <c r="AD1108" i="12"/>
  <c r="AD1096" i="12"/>
  <c r="AD1107" i="12"/>
  <c r="I1181" i="12"/>
  <c r="AD1100" i="12"/>
  <c r="AD1105" i="12"/>
  <c r="AD1106" i="12"/>
  <c r="AD1113" i="12"/>
  <c r="J1169" i="12"/>
  <c r="E1181" i="12"/>
  <c r="G1129" i="12"/>
  <c r="C1102" i="12" s="1"/>
  <c r="N1169" i="12"/>
  <c r="F28" i="11"/>
  <c r="H28" i="11"/>
  <c r="G28" i="11"/>
  <c r="J28" i="11"/>
  <c r="N28" i="11"/>
  <c r="P132" i="11"/>
  <c r="R18" i="11"/>
  <c r="C63" i="11"/>
  <c r="J62" i="11"/>
  <c r="M59" i="11"/>
  <c r="H132" i="11"/>
  <c r="R127" i="11"/>
  <c r="D63" i="11"/>
  <c r="O63" i="11"/>
  <c r="B62" i="11"/>
  <c r="E59" i="11"/>
  <c r="S82" i="11"/>
  <c r="R14" i="11"/>
  <c r="J131" i="11"/>
  <c r="O132" i="11"/>
  <c r="R126" i="11"/>
  <c r="L586" i="11"/>
  <c r="G63" i="11"/>
  <c r="B131" i="11"/>
  <c r="E128" i="11"/>
  <c r="K128" i="11"/>
  <c r="K131" i="11" s="1"/>
  <c r="R16" i="11"/>
  <c r="C132" i="11"/>
  <c r="D132" i="11"/>
  <c r="Q308" i="11"/>
  <c r="N316" i="11"/>
  <c r="P63" i="11"/>
  <c r="N128" i="11"/>
  <c r="O317" i="11"/>
  <c r="L63" i="11"/>
  <c r="R15" i="11"/>
  <c r="K63" i="11"/>
  <c r="H63" i="11"/>
  <c r="F131" i="11"/>
  <c r="F868" i="11"/>
  <c r="I862" i="11"/>
  <c r="L1035" i="11"/>
  <c r="K1035" i="11"/>
  <c r="H1035" i="11"/>
  <c r="J1035" i="11"/>
  <c r="I1035" i="11"/>
  <c r="G952" i="11"/>
  <c r="F952" i="11"/>
  <c r="N1035" i="11"/>
  <c r="B663" i="11"/>
  <c r="I1043" i="11"/>
  <c r="H1043" i="11"/>
  <c r="K1043" i="11"/>
  <c r="L1043" i="11"/>
  <c r="N1043" i="11"/>
  <c r="G960" i="11"/>
  <c r="L752" i="11"/>
  <c r="L663" i="11"/>
  <c r="K28" i="11"/>
  <c r="L96" i="11"/>
  <c r="L128" i="11" s="1"/>
  <c r="L131" i="11" s="1"/>
  <c r="R160" i="11"/>
  <c r="R182" i="11"/>
  <c r="R187" i="11"/>
  <c r="R194" i="11"/>
  <c r="D876" i="11"/>
  <c r="D287" i="11"/>
  <c r="R259" i="11"/>
  <c r="R373" i="11"/>
  <c r="B485" i="11"/>
  <c r="R440" i="11"/>
  <c r="F540" i="11"/>
  <c r="I1037" i="11"/>
  <c r="H1037" i="11"/>
  <c r="K1037" i="11"/>
  <c r="L1037" i="11"/>
  <c r="N1037" i="11"/>
  <c r="D699" i="11"/>
  <c r="I1045" i="11"/>
  <c r="H1045" i="11"/>
  <c r="K1045" i="11"/>
  <c r="L1045" i="11"/>
  <c r="N1045" i="11"/>
  <c r="O762" i="11"/>
  <c r="O328" i="11"/>
  <c r="AP924" i="11" s="1"/>
  <c r="C28" i="11"/>
  <c r="M94" i="11"/>
  <c r="R94" i="11" s="1"/>
  <c r="N96" i="11"/>
  <c r="Q96" i="11" s="1"/>
  <c r="G887" i="11"/>
  <c r="G902" i="11"/>
  <c r="O862" i="11"/>
  <c r="O868" i="11" s="1"/>
  <c r="Q156" i="11"/>
  <c r="R164" i="11"/>
  <c r="R177" i="11"/>
  <c r="M183" i="11"/>
  <c r="I184" i="11"/>
  <c r="R184" i="11" s="1"/>
  <c r="R185" i="11"/>
  <c r="R209" i="11"/>
  <c r="J876" i="11"/>
  <c r="M226" i="11"/>
  <c r="R226" i="11" s="1"/>
  <c r="R242" i="11"/>
  <c r="R263" i="11"/>
  <c r="R265" i="11"/>
  <c r="R279" i="11"/>
  <c r="J287" i="11"/>
  <c r="M287" i="11" s="1"/>
  <c r="R290" i="11"/>
  <c r="R303" i="11"/>
  <c r="R307" i="11"/>
  <c r="B328" i="11"/>
  <c r="AP914" i="11" s="1"/>
  <c r="O491" i="11"/>
  <c r="M343" i="11"/>
  <c r="R363" i="11"/>
  <c r="F386" i="11"/>
  <c r="AA393" i="11"/>
  <c r="AD393" i="11" s="1"/>
  <c r="AD391" i="11"/>
  <c r="AA392" i="11"/>
  <c r="AD392" i="11" s="1"/>
  <c r="AA394" i="11"/>
  <c r="AH393" i="11"/>
  <c r="R433" i="11"/>
  <c r="R435" i="11"/>
  <c r="R457" i="11"/>
  <c r="O699" i="11"/>
  <c r="M686" i="11"/>
  <c r="K695" i="11"/>
  <c r="K698" i="11" s="1"/>
  <c r="H762" i="11"/>
  <c r="H876" i="11"/>
  <c r="P541" i="11"/>
  <c r="G752" i="11"/>
  <c r="L1038" i="11"/>
  <c r="K1038" i="11"/>
  <c r="I1038" i="11"/>
  <c r="H1038" i="11"/>
  <c r="N1038" i="11"/>
  <c r="J1038" i="11"/>
  <c r="L1046" i="11"/>
  <c r="K1046" i="11"/>
  <c r="I1046" i="11"/>
  <c r="H1046" i="11"/>
  <c r="N1046" i="11"/>
  <c r="G963" i="11"/>
  <c r="F963" i="11"/>
  <c r="P663" i="11"/>
  <c r="P328" i="11"/>
  <c r="AP925" i="11" s="1"/>
  <c r="E27" i="11"/>
  <c r="R27" i="11" s="1"/>
  <c r="M27" i="11"/>
  <c r="D28" i="11"/>
  <c r="O28" i="11"/>
  <c r="E89" i="11"/>
  <c r="R89" i="11" s="1"/>
  <c r="M89" i="11"/>
  <c r="G128" i="11"/>
  <c r="G131" i="11" s="1"/>
  <c r="Q212" i="11"/>
  <c r="K287" i="11"/>
  <c r="K328" i="11"/>
  <c r="AP921" i="11" s="1"/>
  <c r="D328" i="11"/>
  <c r="AP916" i="11" s="1"/>
  <c r="L491" i="11"/>
  <c r="G876" i="11"/>
  <c r="G458" i="11"/>
  <c r="G485" i="11" s="1"/>
  <c r="G490" i="11" s="1"/>
  <c r="K541" i="11"/>
  <c r="P586" i="11"/>
  <c r="M558" i="11"/>
  <c r="J582" i="11"/>
  <c r="I1039" i="11"/>
  <c r="H1039" i="11"/>
  <c r="K1039" i="11"/>
  <c r="L1039" i="11"/>
  <c r="G956" i="11"/>
  <c r="N1039" i="11"/>
  <c r="F956" i="11"/>
  <c r="G663" i="11"/>
  <c r="P28" i="11"/>
  <c r="E50" i="11"/>
  <c r="M50" i="11"/>
  <c r="Q94" i="11"/>
  <c r="R146" i="11"/>
  <c r="I152" i="11"/>
  <c r="R152" i="11" s="1"/>
  <c r="R168" i="11"/>
  <c r="J862" i="11"/>
  <c r="J212" i="11"/>
  <c r="M174" i="11"/>
  <c r="B862" i="11"/>
  <c r="B212" i="11"/>
  <c r="E183" i="11"/>
  <c r="R183" i="11" s="1"/>
  <c r="R195" i="11"/>
  <c r="F212" i="11"/>
  <c r="L876" i="11"/>
  <c r="L287" i="11"/>
  <c r="R260" i="11"/>
  <c r="R274" i="11"/>
  <c r="R276" i="11"/>
  <c r="K875" i="11"/>
  <c r="K877" i="11" s="1"/>
  <c r="K906" i="11" s="1"/>
  <c r="M404" i="11"/>
  <c r="K458" i="11"/>
  <c r="R413" i="11"/>
  <c r="O541" i="11"/>
  <c r="Q585" i="11"/>
  <c r="N586" i="11"/>
  <c r="B585" i="11"/>
  <c r="C653" i="11"/>
  <c r="L653" i="11"/>
  <c r="L1040" i="11"/>
  <c r="K1040" i="11"/>
  <c r="I1040" i="11"/>
  <c r="H1040" i="11"/>
  <c r="N1040" i="11"/>
  <c r="J1040" i="11"/>
  <c r="F957" i="11"/>
  <c r="F59" i="11"/>
  <c r="N59" i="11"/>
  <c r="R170" i="11"/>
  <c r="C862" i="11"/>
  <c r="C868" i="11" s="1"/>
  <c r="C212" i="11"/>
  <c r="R198" i="11"/>
  <c r="G212" i="11"/>
  <c r="G308" i="11" s="1"/>
  <c r="G316" i="11" s="1"/>
  <c r="E219" i="11"/>
  <c r="R219" i="11" s="1"/>
  <c r="R232" i="11"/>
  <c r="R239" i="11"/>
  <c r="R246" i="11"/>
  <c r="R253" i="11"/>
  <c r="R285" i="11"/>
  <c r="I306" i="11"/>
  <c r="R306" i="11" s="1"/>
  <c r="R309" i="11"/>
  <c r="R311" i="11"/>
  <c r="R335" i="11"/>
  <c r="E343" i="11"/>
  <c r="R376" i="11"/>
  <c r="K485" i="11"/>
  <c r="K490" i="11" s="1"/>
  <c r="C875" i="11"/>
  <c r="C877" i="11" s="1"/>
  <c r="C906" i="11" s="1"/>
  <c r="C458" i="11"/>
  <c r="C485" i="11" s="1"/>
  <c r="C490" i="11" s="1"/>
  <c r="E404" i="11"/>
  <c r="R421" i="11"/>
  <c r="R424" i="11"/>
  <c r="R426" i="11"/>
  <c r="G541" i="11"/>
  <c r="C541" i="11"/>
  <c r="D586" i="11"/>
  <c r="P653" i="11"/>
  <c r="L1044" i="11"/>
  <c r="K1044" i="11"/>
  <c r="I1044" i="11"/>
  <c r="H1044" i="11"/>
  <c r="N1044" i="11"/>
  <c r="F961" i="11"/>
  <c r="N762" i="11"/>
  <c r="N663" i="11"/>
  <c r="N328" i="11"/>
  <c r="AP923" i="11" s="1"/>
  <c r="I1041" i="11"/>
  <c r="H1041" i="11"/>
  <c r="K1041" i="11"/>
  <c r="L1041" i="11"/>
  <c r="N1041" i="11"/>
  <c r="J663" i="11"/>
  <c r="J328" i="11"/>
  <c r="AP920" i="11" s="1"/>
  <c r="R156" i="11"/>
  <c r="R172" i="11"/>
  <c r="R178" i="11"/>
  <c r="R200" i="11"/>
  <c r="R224" i="11"/>
  <c r="R234" i="11"/>
  <c r="R248" i="11"/>
  <c r="R262" i="11"/>
  <c r="C287" i="11"/>
  <c r="E287" i="11" s="1"/>
  <c r="R287" i="11" s="1"/>
  <c r="R294" i="11"/>
  <c r="R305" i="11"/>
  <c r="R313" i="11"/>
  <c r="F328" i="11"/>
  <c r="AP917" i="11" s="1"/>
  <c r="R353" i="11"/>
  <c r="AM392" i="11"/>
  <c r="R468" i="11"/>
  <c r="E516" i="11"/>
  <c r="B537" i="11"/>
  <c r="L541" i="11"/>
  <c r="F585" i="11"/>
  <c r="L796" i="11"/>
  <c r="H1036" i="11"/>
  <c r="L1036" i="11"/>
  <c r="N1036" i="11"/>
  <c r="I1036" i="11"/>
  <c r="F953" i="11"/>
  <c r="K1036" i="11"/>
  <c r="C663" i="11"/>
  <c r="C762" i="11"/>
  <c r="R1122" i="11"/>
  <c r="R1077" i="11"/>
  <c r="R1052" i="11"/>
  <c r="AS999" i="11"/>
  <c r="AS964" i="11"/>
  <c r="AT937" i="11"/>
  <c r="R969" i="11"/>
  <c r="R943" i="11"/>
  <c r="R914" i="11"/>
  <c r="R998" i="11"/>
  <c r="R890" i="11"/>
  <c r="AT905" i="11"/>
  <c r="R849" i="11"/>
  <c r="L1042" i="11"/>
  <c r="K1042" i="11"/>
  <c r="I1042" i="11"/>
  <c r="H1042" i="11"/>
  <c r="N1042" i="11"/>
  <c r="J1042" i="11"/>
  <c r="R143" i="11"/>
  <c r="S194" i="11" s="1"/>
  <c r="K862" i="11"/>
  <c r="K868" i="11" s="1"/>
  <c r="K212" i="11"/>
  <c r="K308" i="11" s="1"/>
  <c r="K316" i="11" s="1"/>
  <c r="R174" i="11"/>
  <c r="T295" i="11" s="1"/>
  <c r="R180" i="11"/>
  <c r="R192" i="11"/>
  <c r="R236" i="11"/>
  <c r="R250" i="11"/>
  <c r="R291" i="11"/>
  <c r="R366" i="11"/>
  <c r="R394" i="11"/>
  <c r="R408" i="11"/>
  <c r="R447" i="11"/>
  <c r="F652" i="11"/>
  <c r="D663" i="11"/>
  <c r="F876" i="11"/>
  <c r="I876" i="11" s="1"/>
  <c r="R339" i="11"/>
  <c r="R351" i="11"/>
  <c r="R372" i="11"/>
  <c r="D485" i="11"/>
  <c r="D490" i="11" s="1"/>
  <c r="P485" i="11"/>
  <c r="P490" i="11" s="1"/>
  <c r="R406" i="11"/>
  <c r="I416" i="11"/>
  <c r="R416" i="11" s="1"/>
  <c r="R431" i="11"/>
  <c r="R450" i="11"/>
  <c r="R455" i="11"/>
  <c r="R466" i="11"/>
  <c r="E484" i="11"/>
  <c r="O586" i="11"/>
  <c r="R562" i="11"/>
  <c r="R568" i="11"/>
  <c r="R577" i="11"/>
  <c r="R595" i="11"/>
  <c r="K653" i="11"/>
  <c r="B695" i="11"/>
  <c r="E678" i="11"/>
  <c r="J844" i="11"/>
  <c r="B844" i="11"/>
  <c r="R470" i="11"/>
  <c r="Q540" i="11"/>
  <c r="N541" i="11"/>
  <c r="Q527" i="11"/>
  <c r="G586" i="11"/>
  <c r="M564" i="11"/>
  <c r="R564" i="11" s="1"/>
  <c r="D649" i="11"/>
  <c r="D652" i="11" s="1"/>
  <c r="C752" i="11"/>
  <c r="P925" i="11"/>
  <c r="D798" i="11"/>
  <c r="O933" i="11"/>
  <c r="O764" i="11"/>
  <c r="N795" i="11"/>
  <c r="Q791" i="11"/>
  <c r="H862" i="11"/>
  <c r="H868" i="11" s="1"/>
  <c r="N862" i="11"/>
  <c r="H212" i="11"/>
  <c r="H308" i="11" s="1"/>
  <c r="H316" i="11" s="1"/>
  <c r="L328" i="11"/>
  <c r="AP922" i="11" s="1"/>
  <c r="R348" i="11"/>
  <c r="R355" i="11"/>
  <c r="M386" i="11"/>
  <c r="R390" i="11"/>
  <c r="AM391" i="11"/>
  <c r="B875" i="11"/>
  <c r="B458" i="11"/>
  <c r="J875" i="11"/>
  <c r="J458" i="11"/>
  <c r="R410" i="11"/>
  <c r="M416" i="11"/>
  <c r="R423" i="11"/>
  <c r="R442" i="11"/>
  <c r="R478" i="11"/>
  <c r="E483" i="11"/>
  <c r="R483" i="11" s="1"/>
  <c r="I484" i="11"/>
  <c r="R506" i="11"/>
  <c r="R508" i="11"/>
  <c r="D537" i="11"/>
  <c r="D540" i="11" s="1"/>
  <c r="R527" i="11"/>
  <c r="M536" i="11"/>
  <c r="R536" i="11" s="1"/>
  <c r="H582" i="11"/>
  <c r="H585" i="11" s="1"/>
  <c r="M580" i="11"/>
  <c r="N652" i="11"/>
  <c r="D752" i="11"/>
  <c r="P796" i="11"/>
  <c r="P797" i="11"/>
  <c r="Q615" i="11"/>
  <c r="O649" i="11"/>
  <c r="O652" i="11" s="1"/>
  <c r="R648" i="11"/>
  <c r="H653" i="11"/>
  <c r="G699" i="11"/>
  <c r="G796" i="11"/>
  <c r="G797" i="11"/>
  <c r="Q789" i="11"/>
  <c r="R789" i="11" s="1"/>
  <c r="P902" i="11"/>
  <c r="E876" i="11"/>
  <c r="F287" i="11"/>
  <c r="I287" i="11" s="1"/>
  <c r="R342" i="11"/>
  <c r="I343" i="11"/>
  <c r="R375" i="11"/>
  <c r="AL393" i="11"/>
  <c r="AM393" i="11" s="1"/>
  <c r="R414" i="11"/>
  <c r="R427" i="11"/>
  <c r="R439" i="11"/>
  <c r="R475" i="11"/>
  <c r="R487" i="11"/>
  <c r="R526" i="11"/>
  <c r="R533" i="11"/>
  <c r="Q537" i="11"/>
  <c r="K582" i="11"/>
  <c r="K585" i="11" s="1"/>
  <c r="R580" i="11"/>
  <c r="R600" i="11"/>
  <c r="I615" i="11"/>
  <c r="R615" i="11" s="1"/>
  <c r="G649" i="11"/>
  <c r="G652" i="11" s="1"/>
  <c r="J649" i="11"/>
  <c r="M621" i="11"/>
  <c r="R629" i="11"/>
  <c r="R650" i="11"/>
  <c r="O752" i="11"/>
  <c r="O753" i="11"/>
  <c r="P846" i="11"/>
  <c r="P845" i="11"/>
  <c r="L862" i="11"/>
  <c r="L868" i="11" s="1"/>
  <c r="G328" i="11"/>
  <c r="AP918" i="11" s="1"/>
  <c r="R354" i="11"/>
  <c r="R364" i="11"/>
  <c r="E386" i="11"/>
  <c r="N386" i="11"/>
  <c r="R393" i="11"/>
  <c r="R434" i="11"/>
  <c r="R469" i="11"/>
  <c r="R553" i="11"/>
  <c r="R604" i="11"/>
  <c r="R606" i="11"/>
  <c r="R636" i="11"/>
  <c r="R638" i="11"/>
  <c r="J695" i="11"/>
  <c r="M678" i="11"/>
  <c r="J791" i="11"/>
  <c r="M779" i="11"/>
  <c r="D796" i="11"/>
  <c r="D862" i="11"/>
  <c r="D868" i="11" s="1"/>
  <c r="M158" i="11"/>
  <c r="R158" i="11" s="1"/>
  <c r="D212" i="11"/>
  <c r="D308" i="11" s="1"/>
  <c r="D316" i="11" s="1"/>
  <c r="L212" i="11"/>
  <c r="L308" i="11" s="1"/>
  <c r="L316" i="11" s="1"/>
  <c r="H386" i="11"/>
  <c r="H485" i="11" s="1"/>
  <c r="H490" i="11" s="1"/>
  <c r="R344" i="11"/>
  <c r="R391" i="11"/>
  <c r="M400" i="11"/>
  <c r="R400" i="11" s="1"/>
  <c r="F875" i="11"/>
  <c r="F458" i="11"/>
  <c r="I458" i="11" s="1"/>
  <c r="R443" i="11"/>
  <c r="R479" i="11"/>
  <c r="M516" i="11"/>
  <c r="J537" i="11"/>
  <c r="H871" i="11"/>
  <c r="H873" i="11" s="1"/>
  <c r="H904" i="11" s="1"/>
  <c r="H521" i="11"/>
  <c r="I521" i="11" s="1"/>
  <c r="R521" i="11" s="1"/>
  <c r="I519" i="11"/>
  <c r="R519" i="11" s="1"/>
  <c r="S561" i="11" s="1"/>
  <c r="C582" i="11"/>
  <c r="C585" i="11" s="1"/>
  <c r="Q582" i="11"/>
  <c r="I569" i="11"/>
  <c r="R569" i="11" s="1"/>
  <c r="R608" i="11"/>
  <c r="B649" i="11"/>
  <c r="E621" i="11"/>
  <c r="R621" i="11" s="1"/>
  <c r="I647" i="11"/>
  <c r="R647" i="11" s="1"/>
  <c r="E662" i="11"/>
  <c r="R662" i="11" s="1"/>
  <c r="K663" i="11"/>
  <c r="P928" i="11"/>
  <c r="H798" i="11"/>
  <c r="AC394" i="11"/>
  <c r="D877" i="11"/>
  <c r="D906" i="11" s="1"/>
  <c r="L877" i="11"/>
  <c r="L906" i="11" s="1"/>
  <c r="J521" i="11"/>
  <c r="M521" i="11" s="1"/>
  <c r="I558" i="11"/>
  <c r="Q558" i="11"/>
  <c r="R673" i="11"/>
  <c r="I678" i="11"/>
  <c r="M682" i="11"/>
  <c r="R682" i="11" s="1"/>
  <c r="R710" i="11"/>
  <c r="R712" i="11"/>
  <c r="F748" i="11"/>
  <c r="P748" i="11"/>
  <c r="P751" i="11" s="1"/>
  <c r="I722" i="11"/>
  <c r="R740" i="11"/>
  <c r="M761" i="11"/>
  <c r="J762" i="11"/>
  <c r="E783" i="11"/>
  <c r="R783" i="11" s="1"/>
  <c r="L797" i="11"/>
  <c r="R805" i="11"/>
  <c r="F663" i="11"/>
  <c r="O663" i="11"/>
  <c r="L699" i="11"/>
  <c r="H748" i="11"/>
  <c r="H751" i="11" s="1"/>
  <c r="R722" i="11"/>
  <c r="R746" i="11"/>
  <c r="E761" i="11"/>
  <c r="B762" i="11"/>
  <c r="L762" i="11"/>
  <c r="Q814" i="11"/>
  <c r="N841" i="11"/>
  <c r="F844" i="11"/>
  <c r="G877" i="11"/>
  <c r="G906" i="11" s="1"/>
  <c r="M871" i="11"/>
  <c r="J873" i="11"/>
  <c r="I686" i="11"/>
  <c r="R686" i="11" s="1"/>
  <c r="Q694" i="11"/>
  <c r="J748" i="11"/>
  <c r="M718" i="11"/>
  <c r="R732" i="11"/>
  <c r="I747" i="11"/>
  <c r="R747" i="11" s="1"/>
  <c r="Q761" i="11"/>
  <c r="B791" i="11"/>
  <c r="E779" i="11"/>
  <c r="D846" i="11"/>
  <c r="D845" i="11"/>
  <c r="L845" i="11"/>
  <c r="L846" i="11"/>
  <c r="Q933" i="11"/>
  <c r="O847" i="11"/>
  <c r="R867" i="11"/>
  <c r="M882" i="11"/>
  <c r="J885" i="11"/>
  <c r="I383" i="11"/>
  <c r="R383" i="11" s="1"/>
  <c r="H877" i="11"/>
  <c r="H906" i="11" s="1"/>
  <c r="K871" i="11"/>
  <c r="Q662" i="11"/>
  <c r="N695" i="11"/>
  <c r="K748" i="11"/>
  <c r="K751" i="11" s="1"/>
  <c r="E736" i="11"/>
  <c r="D762" i="11"/>
  <c r="D763" i="11"/>
  <c r="C791" i="11"/>
  <c r="C795" i="11" s="1"/>
  <c r="Q779" i="11"/>
  <c r="F795" i="11"/>
  <c r="I791" i="11"/>
  <c r="O796" i="11"/>
  <c r="I695" i="11"/>
  <c r="F698" i="11"/>
  <c r="P699" i="11"/>
  <c r="R693" i="11"/>
  <c r="I694" i="11"/>
  <c r="R694" i="11" s="1"/>
  <c r="B748" i="11"/>
  <c r="E718" i="11"/>
  <c r="Q736" i="11"/>
  <c r="F762" i="11"/>
  <c r="P762" i="11"/>
  <c r="P763" i="11"/>
  <c r="P933" i="11"/>
  <c r="O798" i="11"/>
  <c r="H796" i="11"/>
  <c r="K797" i="11"/>
  <c r="K796" i="11"/>
  <c r="R808" i="11"/>
  <c r="R842" i="11"/>
  <c r="I516" i="11"/>
  <c r="Q516" i="11"/>
  <c r="M662" i="11"/>
  <c r="H695" i="11"/>
  <c r="H698" i="11" s="1"/>
  <c r="Q682" i="11"/>
  <c r="C699" i="11"/>
  <c r="R708" i="11"/>
  <c r="N748" i="11"/>
  <c r="R729" i="11"/>
  <c r="R759" i="11"/>
  <c r="G762" i="11"/>
  <c r="R872" i="11"/>
  <c r="H663" i="11"/>
  <c r="I718" i="11"/>
  <c r="Q718" i="11"/>
  <c r="I761" i="11"/>
  <c r="C841" i="11"/>
  <c r="C844" i="11" s="1"/>
  <c r="R833" i="11"/>
  <c r="I839" i="11"/>
  <c r="N873" i="11"/>
  <c r="AO917" i="11"/>
  <c r="AF917" i="11"/>
  <c r="O845" i="11"/>
  <c r="R836" i="11"/>
  <c r="Q864" i="11"/>
  <c r="F904" i="11"/>
  <c r="L886" i="11"/>
  <c r="L908" i="11" s="1"/>
  <c r="F908" i="11"/>
  <c r="I908" i="11" s="1"/>
  <c r="B885" i="11"/>
  <c r="E882" i="11"/>
  <c r="G845" i="11"/>
  <c r="R840" i="11"/>
  <c r="R863" i="11"/>
  <c r="I864" i="11"/>
  <c r="R864" i="11" s="1"/>
  <c r="AF921" i="11"/>
  <c r="AO921" i="11"/>
  <c r="G954" i="11"/>
  <c r="G982" i="11"/>
  <c r="H841" i="11"/>
  <c r="H844" i="11" s="1"/>
  <c r="I819" i="11"/>
  <c r="R819" i="11" s="1"/>
  <c r="R826" i="11"/>
  <c r="E839" i="11"/>
  <c r="B873" i="11"/>
  <c r="Q879" i="11"/>
  <c r="O886" i="11"/>
  <c r="O908" i="11" s="1"/>
  <c r="M880" i="11"/>
  <c r="G986" i="11"/>
  <c r="G958" i="11"/>
  <c r="M814" i="11"/>
  <c r="R814" i="11" s="1"/>
  <c r="K829" i="11"/>
  <c r="M829" i="11" s="1"/>
  <c r="R829" i="11" s="1"/>
  <c r="G846" i="11"/>
  <c r="Q884" i="11"/>
  <c r="N886" i="11"/>
  <c r="N885" i="11"/>
  <c r="Q885" i="11" s="1"/>
  <c r="M864" i="11"/>
  <c r="G873" i="11"/>
  <c r="G904" i="11" s="1"/>
  <c r="I882" i="11"/>
  <c r="Q882" i="11"/>
  <c r="E884" i="11"/>
  <c r="AO920" i="11"/>
  <c r="AF923" i="11"/>
  <c r="AH951" i="11"/>
  <c r="AH962" i="11" s="1"/>
  <c r="F954" i="11"/>
  <c r="AG951" i="11"/>
  <c r="AD951" i="11"/>
  <c r="F982" i="11"/>
  <c r="AF951" i="11"/>
  <c r="AE951" i="11"/>
  <c r="H1064" i="11"/>
  <c r="X1064" i="11" s="1"/>
  <c r="AH1019" i="11"/>
  <c r="AH984" i="11"/>
  <c r="G985" i="11"/>
  <c r="G957" i="11"/>
  <c r="F986" i="11"/>
  <c r="AD955" i="11"/>
  <c r="AH955" i="11"/>
  <c r="AF955" i="11"/>
  <c r="AE955" i="11"/>
  <c r="G990" i="11"/>
  <c r="G962" i="11"/>
  <c r="AE956" i="11"/>
  <c r="AE949" i="11"/>
  <c r="AE962" i="11" s="1"/>
  <c r="F958" i="11"/>
  <c r="G1036" i="11"/>
  <c r="AK915" i="11"/>
  <c r="I870" i="11"/>
  <c r="Q870" i="11"/>
  <c r="O877" i="11"/>
  <c r="I879" i="11"/>
  <c r="R879" i="11" s="1"/>
  <c r="G886" i="11"/>
  <c r="G908" i="11" s="1"/>
  <c r="C885" i="11"/>
  <c r="K885" i="11"/>
  <c r="M883" i="11"/>
  <c r="AF924" i="11"/>
  <c r="AE952" i="11"/>
  <c r="R883" i="11"/>
  <c r="F988" i="11"/>
  <c r="AG957" i="11"/>
  <c r="AD957" i="11"/>
  <c r="F960" i="11"/>
  <c r="AF957" i="11"/>
  <c r="AH952" i="11"/>
  <c r="H1061" i="11"/>
  <c r="AH981" i="11"/>
  <c r="I1064" i="11"/>
  <c r="Y1064" i="11" s="1"/>
  <c r="G1012" i="11"/>
  <c r="C873" i="11"/>
  <c r="C904" i="11" s="1"/>
  <c r="K873" i="11"/>
  <c r="K904" i="11" s="1"/>
  <c r="J886" i="11"/>
  <c r="AO918" i="11"/>
  <c r="AF918" i="11"/>
  <c r="AO919" i="11"/>
  <c r="AF919" i="11"/>
  <c r="AO923" i="11"/>
  <c r="AS951" i="11"/>
  <c r="AH953" i="11"/>
  <c r="AE957" i="11"/>
  <c r="I1071" i="11"/>
  <c r="Y1071" i="11" s="1"/>
  <c r="G1019" i="11"/>
  <c r="J1046" i="11"/>
  <c r="P877" i="11"/>
  <c r="P906" i="11" s="1"/>
  <c r="B886" i="11"/>
  <c r="K886" i="11"/>
  <c r="K908" i="11" s="1"/>
  <c r="AO915" i="11"/>
  <c r="AF915" i="11"/>
  <c r="AH957" i="11"/>
  <c r="E870" i="11"/>
  <c r="M870" i="11"/>
  <c r="Q876" i="11"/>
  <c r="C886" i="11"/>
  <c r="C908" i="11" s="1"/>
  <c r="I880" i="11"/>
  <c r="R880" i="11" s="1"/>
  <c r="M884" i="11"/>
  <c r="G989" i="11"/>
  <c r="G993" i="11" s="1"/>
  <c r="G961" i="11"/>
  <c r="AS957" i="11"/>
  <c r="AH1016" i="11"/>
  <c r="F885" i="11"/>
  <c r="I885" i="11" s="1"/>
  <c r="F983" i="11"/>
  <c r="F955" i="11"/>
  <c r="AG952" i="11"/>
  <c r="AF952" i="11"/>
  <c r="AD952" i="11"/>
  <c r="AS952" i="11"/>
  <c r="J1044" i="11"/>
  <c r="I1063" i="11"/>
  <c r="Y1063" i="11" s="1"/>
  <c r="F990" i="11"/>
  <c r="AS959" i="11"/>
  <c r="AF959" i="11"/>
  <c r="G953" i="11"/>
  <c r="F962" i="11"/>
  <c r="J1036" i="11"/>
  <c r="H1060" i="11"/>
  <c r="X1060" i="11" s="1"/>
  <c r="AH1015" i="11"/>
  <c r="G1043" i="11"/>
  <c r="J1045" i="11"/>
  <c r="G1150" i="11"/>
  <c r="I1137" i="11"/>
  <c r="I1060" i="11"/>
  <c r="Y1060" i="11" s="1"/>
  <c r="G1008" i="11"/>
  <c r="J1039" i="11"/>
  <c r="J1043" i="11"/>
  <c r="F1096" i="11"/>
  <c r="B1069" i="11" s="1"/>
  <c r="L1096" i="11"/>
  <c r="F936" i="11"/>
  <c r="I1061" i="11"/>
  <c r="Y1061" i="11" s="1"/>
  <c r="AO925" i="11"/>
  <c r="AF925" i="11"/>
  <c r="AG956" i="11"/>
  <c r="F987" i="11"/>
  <c r="AS956" i="11"/>
  <c r="AF956" i="11"/>
  <c r="AJ956" i="11" s="1"/>
  <c r="AS960" i="11"/>
  <c r="AF960" i="11"/>
  <c r="AE960" i="11"/>
  <c r="F991" i="11"/>
  <c r="F959" i="11"/>
  <c r="AE959" i="11"/>
  <c r="AJ959" i="11" s="1"/>
  <c r="G1011" i="11"/>
  <c r="AD927" i="11"/>
  <c r="G936" i="11"/>
  <c r="AS953" i="11"/>
  <c r="AF953" i="11"/>
  <c r="AE953" i="11"/>
  <c r="AJ953" i="11" s="1"/>
  <c r="G987" i="11"/>
  <c r="G959" i="11"/>
  <c r="AG949" i="11"/>
  <c r="G955" i="11"/>
  <c r="AG959" i="11"/>
  <c r="AD960" i="11"/>
  <c r="AJ960" i="11" s="1"/>
  <c r="AH980" i="11"/>
  <c r="H1065" i="11"/>
  <c r="X1065" i="11" s="1"/>
  <c r="AH985" i="11"/>
  <c r="I1068" i="11"/>
  <c r="Y1068" i="11" s="1"/>
  <c r="H1069" i="11"/>
  <c r="X1069" i="11" s="1"/>
  <c r="AH989" i="11"/>
  <c r="C1150" i="11"/>
  <c r="J1037" i="11"/>
  <c r="AF949" i="11"/>
  <c r="AS949" i="11"/>
  <c r="AE954" i="11"/>
  <c r="AJ954" i="11" s="1"/>
  <c r="AD950" i="11"/>
  <c r="AJ950" i="11" s="1"/>
  <c r="AE958" i="11"/>
  <c r="AJ958" i="11" s="1"/>
  <c r="J1041" i="11"/>
  <c r="AF958" i="11"/>
  <c r="AD1083" i="11"/>
  <c r="AD1066" i="11"/>
  <c r="AD1064" i="11"/>
  <c r="AD1062" i="11"/>
  <c r="AD1060" i="11"/>
  <c r="AD1063" i="11"/>
  <c r="AD1061" i="11"/>
  <c r="F1095" i="11"/>
  <c r="B1068" i="11" s="1"/>
  <c r="L1095" i="11"/>
  <c r="G1087" i="11"/>
  <c r="C1060" i="11" s="1"/>
  <c r="L1087" i="11"/>
  <c r="I1150" i="11"/>
  <c r="F1094" i="11"/>
  <c r="B1067" i="11" s="1"/>
  <c r="L1094" i="11"/>
  <c r="M1150" i="11"/>
  <c r="N1141" i="11"/>
  <c r="G1088" i="11"/>
  <c r="C1061" i="11" s="1"/>
  <c r="G1089" i="11"/>
  <c r="C1062" i="11" s="1"/>
  <c r="F1098" i="11"/>
  <c r="B1071" i="11" s="1"/>
  <c r="J1138" i="11"/>
  <c r="E1150" i="11"/>
  <c r="N1138" i="11"/>
  <c r="R1138" i="11"/>
  <c r="G28" i="10"/>
  <c r="J325" i="10"/>
  <c r="AP908" i="10" s="1"/>
  <c r="H28" i="10"/>
  <c r="L325" i="10"/>
  <c r="AP910" i="10" s="1"/>
  <c r="J28" i="10"/>
  <c r="D325" i="10"/>
  <c r="AP904" i="10" s="1"/>
  <c r="O325" i="10"/>
  <c r="AP912" i="10" s="1"/>
  <c r="B28" i="10"/>
  <c r="L28" i="10"/>
  <c r="K579" i="10"/>
  <c r="O28" i="10"/>
  <c r="R18" i="10"/>
  <c r="C63" i="10"/>
  <c r="B131" i="10"/>
  <c r="E128" i="10"/>
  <c r="L132" i="10"/>
  <c r="I209" i="10"/>
  <c r="O63" i="10"/>
  <c r="J62" i="10"/>
  <c r="M59" i="10"/>
  <c r="Q128" i="10"/>
  <c r="N131" i="10"/>
  <c r="P132" i="10"/>
  <c r="G314" i="10"/>
  <c r="M284" i="10"/>
  <c r="R291" i="10"/>
  <c r="G63" i="10"/>
  <c r="P63" i="10"/>
  <c r="R57" i="10"/>
  <c r="D132" i="10"/>
  <c r="O132" i="10"/>
  <c r="H132" i="10"/>
  <c r="R396" i="10"/>
  <c r="R15" i="10"/>
  <c r="H63" i="10"/>
  <c r="B62" i="10"/>
  <c r="E59" i="10"/>
  <c r="I128" i="10"/>
  <c r="F131" i="10"/>
  <c r="Q304" i="10"/>
  <c r="R304" i="10" s="1"/>
  <c r="G132" i="10"/>
  <c r="R152" i="10"/>
  <c r="T292" i="10" s="1"/>
  <c r="D314" i="10"/>
  <c r="R58" i="10"/>
  <c r="R303" i="10"/>
  <c r="R14" i="10"/>
  <c r="R16" i="10"/>
  <c r="L63" i="10"/>
  <c r="K63" i="10"/>
  <c r="S82" i="10"/>
  <c r="J131" i="10"/>
  <c r="M128" i="10"/>
  <c r="R96" i="10"/>
  <c r="H314" i="10"/>
  <c r="R248" i="10"/>
  <c r="D63" i="10"/>
  <c r="H1025" i="10"/>
  <c r="L1025" i="10"/>
  <c r="K1025" i="10"/>
  <c r="N1025" i="10"/>
  <c r="J1025" i="10"/>
  <c r="I1025" i="10"/>
  <c r="D653" i="10"/>
  <c r="D750" i="10"/>
  <c r="F942" i="10"/>
  <c r="D643" i="10"/>
  <c r="K1033" i="10"/>
  <c r="N1033" i="10"/>
  <c r="I1033" i="10"/>
  <c r="L1033" i="10"/>
  <c r="H1033" i="10"/>
  <c r="F950" i="10"/>
  <c r="O653" i="10"/>
  <c r="E27" i="10"/>
  <c r="M27" i="10"/>
  <c r="D28" i="10"/>
  <c r="E46" i="10"/>
  <c r="M46" i="10"/>
  <c r="E89" i="10"/>
  <c r="M89" i="10"/>
  <c r="I248" i="10"/>
  <c r="C284" i="10"/>
  <c r="E284" i="10" s="1"/>
  <c r="R284" i="10" s="1"/>
  <c r="K284" i="10"/>
  <c r="C325" i="10"/>
  <c r="AP903" i="10" s="1"/>
  <c r="K325" i="10"/>
  <c r="AP909" i="10" s="1"/>
  <c r="R337" i="10"/>
  <c r="R339" i="10"/>
  <c r="R352" i="10"/>
  <c r="O382" i="10"/>
  <c r="O478" i="10" s="1"/>
  <c r="O483" i="10" s="1"/>
  <c r="AA389" i="10"/>
  <c r="R390" i="10"/>
  <c r="R391" i="10"/>
  <c r="R393" i="10"/>
  <c r="K451" i="10"/>
  <c r="M413" i="10"/>
  <c r="H864" i="10"/>
  <c r="I425" i="10"/>
  <c r="R425" i="10" s="1"/>
  <c r="R454" i="10"/>
  <c r="D534" i="10"/>
  <c r="J533" i="10"/>
  <c r="G579" i="10"/>
  <c r="M662" i="10"/>
  <c r="R662" i="10" s="1"/>
  <c r="K668" i="10"/>
  <c r="K685" i="10" s="1"/>
  <c r="K688" i="10" s="1"/>
  <c r="H785" i="10"/>
  <c r="H784" i="10"/>
  <c r="J852" i="10"/>
  <c r="M379" i="10"/>
  <c r="L575" i="10"/>
  <c r="L578" i="10" s="1"/>
  <c r="M551" i="10"/>
  <c r="L1026" i="10"/>
  <c r="K1026" i="10"/>
  <c r="H1026" i="10"/>
  <c r="N1026" i="10"/>
  <c r="I1026" i="10"/>
  <c r="K1034" i="10"/>
  <c r="N1034" i="10"/>
  <c r="H1034" i="10"/>
  <c r="L1034" i="10"/>
  <c r="I1034" i="10"/>
  <c r="F951" i="10"/>
  <c r="P750" i="10"/>
  <c r="P740" i="10"/>
  <c r="P653" i="10"/>
  <c r="F28" i="10"/>
  <c r="P28" i="10"/>
  <c r="E50" i="10"/>
  <c r="M50" i="10"/>
  <c r="C128" i="10"/>
  <c r="C131" i="10" s="1"/>
  <c r="K128" i="10"/>
  <c r="K131" i="10" s="1"/>
  <c r="J856" i="10"/>
  <c r="M850" i="10"/>
  <c r="H890" i="10"/>
  <c r="B209" i="10"/>
  <c r="J209" i="10"/>
  <c r="E864" i="10"/>
  <c r="M223" i="10"/>
  <c r="L484" i="10"/>
  <c r="R340" i="10"/>
  <c r="R356" i="10"/>
  <c r="R364" i="10"/>
  <c r="AD388" i="10"/>
  <c r="AM388" i="10" s="1"/>
  <c r="H863" i="10"/>
  <c r="H865" i="10" s="1"/>
  <c r="H894" i="10" s="1"/>
  <c r="H451" i="10"/>
  <c r="H478" i="10" s="1"/>
  <c r="H483" i="10" s="1"/>
  <c r="R457" i="10"/>
  <c r="R509" i="10"/>
  <c r="D575" i="10"/>
  <c r="D578" i="10" s="1"/>
  <c r="E551" i="10"/>
  <c r="J575" i="10"/>
  <c r="M557" i="10"/>
  <c r="B325" i="10"/>
  <c r="AP902" i="10" s="1"/>
  <c r="H1027" i="10"/>
  <c r="L1027" i="10"/>
  <c r="I1027" i="10"/>
  <c r="N1027" i="10"/>
  <c r="K1027" i="10"/>
  <c r="G944" i="10"/>
  <c r="F59" i="10"/>
  <c r="N59" i="10"/>
  <c r="O890" i="10"/>
  <c r="K850" i="10"/>
  <c r="B856" i="10"/>
  <c r="E850" i="10"/>
  <c r="N850" i="10"/>
  <c r="K209" i="10"/>
  <c r="K305" i="10" s="1"/>
  <c r="K313" i="10" s="1"/>
  <c r="P304" i="10"/>
  <c r="P305" i="10" s="1"/>
  <c r="P313" i="10" s="1"/>
  <c r="M324" i="10"/>
  <c r="H325" i="10"/>
  <c r="AP907" i="10" s="1"/>
  <c r="R366" i="10"/>
  <c r="R368" i="10"/>
  <c r="Q451" i="10"/>
  <c r="F533" i="10"/>
  <c r="K643" i="10"/>
  <c r="F653" i="10"/>
  <c r="P912" i="10"/>
  <c r="C786" i="10"/>
  <c r="K1028" i="10"/>
  <c r="H1028" i="10"/>
  <c r="N1028" i="10"/>
  <c r="G945" i="10"/>
  <c r="L1028" i="10"/>
  <c r="I1028" i="10"/>
  <c r="I41" i="10"/>
  <c r="R41" i="10" s="1"/>
  <c r="Q41" i="10"/>
  <c r="P850" i="10"/>
  <c r="P856" i="10" s="1"/>
  <c r="F850" i="10"/>
  <c r="L850" i="10"/>
  <c r="L856" i="10" s="1"/>
  <c r="C890" i="10"/>
  <c r="L209" i="10"/>
  <c r="L305" i="10" s="1"/>
  <c r="L313" i="10" s="1"/>
  <c r="P864" i="10"/>
  <c r="P865" i="10" s="1"/>
  <c r="P894" i="10" s="1"/>
  <c r="F284" i="10"/>
  <c r="I284" i="10" s="1"/>
  <c r="N284" i="10"/>
  <c r="Q284" i="10" s="1"/>
  <c r="Q291" i="10"/>
  <c r="F325" i="10"/>
  <c r="AP905" i="10" s="1"/>
  <c r="Q324" i="10"/>
  <c r="N325" i="10"/>
  <c r="AP911" i="10" s="1"/>
  <c r="P382" i="10"/>
  <c r="P478" i="10" s="1"/>
  <c r="P483" i="10" s="1"/>
  <c r="R334" i="10"/>
  <c r="R360" i="10"/>
  <c r="R380" i="10"/>
  <c r="R386" i="10"/>
  <c r="R407" i="10"/>
  <c r="O864" i="10"/>
  <c r="O865" i="10" s="1"/>
  <c r="O894" i="10" s="1"/>
  <c r="O451" i="10"/>
  <c r="R429" i="10"/>
  <c r="E451" i="10"/>
  <c r="Q476" i="10"/>
  <c r="G534" i="10"/>
  <c r="O530" i="10"/>
  <c r="O533" i="10" s="1"/>
  <c r="E557" i="10"/>
  <c r="B575" i="10"/>
  <c r="C689" i="10"/>
  <c r="K740" i="10"/>
  <c r="C534" i="10"/>
  <c r="K1029" i="10"/>
  <c r="I1029" i="10"/>
  <c r="H1029" i="10"/>
  <c r="N1029" i="10"/>
  <c r="L1029" i="10"/>
  <c r="J1029" i="10"/>
  <c r="F946" i="10"/>
  <c r="J653" i="10"/>
  <c r="I27" i="10"/>
  <c r="Q27" i="10"/>
  <c r="I89" i="10"/>
  <c r="Q89" i="10"/>
  <c r="Q152" i="10"/>
  <c r="G850" i="10"/>
  <c r="G856" i="10" s="1"/>
  <c r="M172" i="10"/>
  <c r="R172" i="10" s="1"/>
  <c r="D890" i="10"/>
  <c r="E223" i="10"/>
  <c r="R223" i="10" s="1"/>
  <c r="Q223" i="10"/>
  <c r="R336" i="10"/>
  <c r="R338" i="10"/>
  <c r="R344" i="10"/>
  <c r="M354" i="10"/>
  <c r="R354" i="10" s="1"/>
  <c r="R370" i="10"/>
  <c r="R372" i="10"/>
  <c r="R392" i="10"/>
  <c r="R411" i="10"/>
  <c r="R415" i="10"/>
  <c r="R435" i="10"/>
  <c r="R450" i="10"/>
  <c r="D451" i="10"/>
  <c r="D478" i="10" s="1"/>
  <c r="D483" i="10" s="1"/>
  <c r="R469" i="10"/>
  <c r="H575" i="10"/>
  <c r="H578" i="10" s="1"/>
  <c r="R573" i="10"/>
  <c r="I574" i="10"/>
  <c r="J736" i="10"/>
  <c r="M707" i="10"/>
  <c r="P918" i="10"/>
  <c r="K786" i="10"/>
  <c r="K1032" i="10"/>
  <c r="L1032" i="10"/>
  <c r="H1032" i="10"/>
  <c r="N1032" i="10"/>
  <c r="G949" i="10"/>
  <c r="I1032" i="10"/>
  <c r="J1032" i="10"/>
  <c r="AD390" i="10"/>
  <c r="AM390" i="10" s="1"/>
  <c r="R1110" i="10"/>
  <c r="R1065" i="10"/>
  <c r="R1040" i="10"/>
  <c r="AS952" i="10"/>
  <c r="AS987" i="10"/>
  <c r="R957" i="10"/>
  <c r="AT925" i="10"/>
  <c r="AT893" i="10"/>
  <c r="R986" i="10"/>
  <c r="R902" i="10"/>
  <c r="R878" i="10"/>
  <c r="R931" i="10"/>
  <c r="R837" i="10"/>
  <c r="K1030" i="10"/>
  <c r="I1030" i="10"/>
  <c r="L1030" i="10"/>
  <c r="H1030" i="10"/>
  <c r="N1030" i="10"/>
  <c r="G947" i="10"/>
  <c r="K653" i="10"/>
  <c r="K750" i="10"/>
  <c r="K28" i="10"/>
  <c r="N209" i="10"/>
  <c r="P325" i="10"/>
  <c r="AP913" i="10" s="1"/>
  <c r="N382" i="10"/>
  <c r="R379" i="10"/>
  <c r="Z389" i="10"/>
  <c r="AL389" i="10"/>
  <c r="R413" i="10"/>
  <c r="R439" i="10"/>
  <c r="I476" i="10"/>
  <c r="R476" i="10" s="1"/>
  <c r="C579" i="10"/>
  <c r="N578" i="10"/>
  <c r="Q575" i="10"/>
  <c r="F642" i="10"/>
  <c r="N642" i="10"/>
  <c r="O750" i="10"/>
  <c r="L1024" i="10"/>
  <c r="K1024" i="10"/>
  <c r="H1024" i="10"/>
  <c r="I1024" i="10"/>
  <c r="G941" i="10"/>
  <c r="N1024" i="10"/>
  <c r="J1024" i="10"/>
  <c r="C653" i="10"/>
  <c r="C28" i="10"/>
  <c r="I864" i="10"/>
  <c r="F863" i="10"/>
  <c r="I400" i="10"/>
  <c r="R400" i="10" s="1"/>
  <c r="H1023" i="10"/>
  <c r="L1023" i="10"/>
  <c r="K1023" i="10"/>
  <c r="I1023" i="10"/>
  <c r="N1023" i="10"/>
  <c r="G940" i="10"/>
  <c r="K1031" i="10"/>
  <c r="L1031" i="10"/>
  <c r="H1031" i="10"/>
  <c r="N1031" i="10"/>
  <c r="I1031" i="10"/>
  <c r="L750" i="10"/>
  <c r="L689" i="10"/>
  <c r="O209" i="10"/>
  <c r="O305" i="10" s="1"/>
  <c r="O313" i="10" s="1"/>
  <c r="M864" i="10"/>
  <c r="K478" i="10"/>
  <c r="K483" i="10" s="1"/>
  <c r="J451" i="10"/>
  <c r="M451" i="10" s="1"/>
  <c r="M411" i="10"/>
  <c r="P579" i="10"/>
  <c r="O579" i="10"/>
  <c r="H643" i="10"/>
  <c r="O689" i="10"/>
  <c r="P784" i="10"/>
  <c r="P785" i="10"/>
  <c r="M332" i="10"/>
  <c r="R332" i="10" s="1"/>
  <c r="S361" i="10" s="1"/>
  <c r="AB390" i="10"/>
  <c r="R432" i="10"/>
  <c r="B483" i="10"/>
  <c r="H530" i="10"/>
  <c r="H533" i="10" s="1"/>
  <c r="M520" i="10"/>
  <c r="Q529" i="10"/>
  <c r="Q557" i="10"/>
  <c r="B642" i="10"/>
  <c r="E639" i="10"/>
  <c r="J642" i="10"/>
  <c r="M639" i="10"/>
  <c r="R637" i="10"/>
  <c r="H653" i="10"/>
  <c r="D689" i="10"/>
  <c r="E683" i="10"/>
  <c r="C750" i="10"/>
  <c r="N750" i="10"/>
  <c r="R759" i="10"/>
  <c r="G779" i="10"/>
  <c r="G783" i="10" s="1"/>
  <c r="R767" i="10"/>
  <c r="F779" i="10"/>
  <c r="I771" i="10"/>
  <c r="R771" i="10" s="1"/>
  <c r="F832" i="10"/>
  <c r="I829" i="10"/>
  <c r="P833" i="10"/>
  <c r="P834" i="10"/>
  <c r="J892" i="10"/>
  <c r="F968" i="10"/>
  <c r="F940" i="10"/>
  <c r="AG937" i="10"/>
  <c r="F924" i="10"/>
  <c r="AF937" i="10"/>
  <c r="AE937" i="10"/>
  <c r="AS937" i="10"/>
  <c r="AD937" i="10"/>
  <c r="AD902" i="10"/>
  <c r="AH937" i="10"/>
  <c r="AB389" i="10"/>
  <c r="G863" i="10"/>
  <c r="G865" i="10" s="1"/>
  <c r="G894" i="10" s="1"/>
  <c r="G451" i="10"/>
  <c r="G478" i="10" s="1"/>
  <c r="G483" i="10" s="1"/>
  <c r="R463" i="10"/>
  <c r="F478" i="10"/>
  <c r="R499" i="10"/>
  <c r="E520" i="10"/>
  <c r="R520" i="10" s="1"/>
  <c r="E528" i="10"/>
  <c r="R528" i="10" s="1"/>
  <c r="I529" i="10"/>
  <c r="R561" i="10"/>
  <c r="R599" i="10"/>
  <c r="L639" i="10"/>
  <c r="L642" i="10" s="1"/>
  <c r="I637" i="10"/>
  <c r="B653" i="10"/>
  <c r="M668" i="10"/>
  <c r="R668" i="10" s="1"/>
  <c r="G689" i="10"/>
  <c r="R702" i="10"/>
  <c r="B736" i="10"/>
  <c r="E707" i="10"/>
  <c r="R707" i="10" s="1"/>
  <c r="C736" i="10"/>
  <c r="C739" i="10" s="1"/>
  <c r="M724" i="10"/>
  <c r="F750" i="10"/>
  <c r="J783" i="10"/>
  <c r="R781" i="10"/>
  <c r="R800" i="10"/>
  <c r="H834" i="10"/>
  <c r="H833" i="10"/>
  <c r="K530" i="10"/>
  <c r="K533" i="10" s="1"/>
  <c r="N530" i="10"/>
  <c r="R620" i="10"/>
  <c r="P689" i="10"/>
  <c r="G750" i="10"/>
  <c r="C784" i="10"/>
  <c r="N817" i="10"/>
  <c r="Q816" i="10"/>
  <c r="R448" i="10"/>
  <c r="L530" i="10"/>
  <c r="L533" i="10" s="1"/>
  <c r="B530" i="10"/>
  <c r="P534" i="10"/>
  <c r="F575" i="10"/>
  <c r="R619" i="10"/>
  <c r="L653" i="10"/>
  <c r="R663" i="10"/>
  <c r="H689" i="10"/>
  <c r="R722" i="10"/>
  <c r="R724" i="10"/>
  <c r="D740" i="10"/>
  <c r="H750" i="10"/>
  <c r="B783" i="10"/>
  <c r="L779" i="10"/>
  <c r="L783" i="10" s="1"/>
  <c r="R777" i="10"/>
  <c r="K784" i="10"/>
  <c r="Q918" i="10"/>
  <c r="K835" i="10"/>
  <c r="C833" i="10"/>
  <c r="C834" i="10"/>
  <c r="Q869" i="10"/>
  <c r="N874" i="10"/>
  <c r="K852" i="10"/>
  <c r="K514" i="10"/>
  <c r="M514" i="10" s="1"/>
  <c r="R514" i="10" s="1"/>
  <c r="K859" i="10"/>
  <c r="R544" i="10"/>
  <c r="R570" i="10"/>
  <c r="R574" i="10"/>
  <c r="R591" i="10"/>
  <c r="G639" i="10"/>
  <c r="G642" i="10" s="1"/>
  <c r="O639" i="10"/>
  <c r="O642" i="10" s="1"/>
  <c r="R632" i="10"/>
  <c r="R652" i="10"/>
  <c r="R729" i="10"/>
  <c r="G740" i="10"/>
  <c r="Q763" i="10"/>
  <c r="M778" i="10"/>
  <c r="R795" i="10"/>
  <c r="K833" i="10"/>
  <c r="G1024" i="10"/>
  <c r="M378" i="10"/>
  <c r="R378" i="10" s="1"/>
  <c r="C863" i="10"/>
  <c r="C865" i="10" s="1"/>
  <c r="C894" i="10" s="1"/>
  <c r="C451" i="10"/>
  <c r="C478" i="10" s="1"/>
  <c r="R440" i="10"/>
  <c r="R464" i="10"/>
  <c r="I477" i="10"/>
  <c r="R477" i="10" s="1"/>
  <c r="R500" i="10"/>
  <c r="L514" i="10"/>
  <c r="L859" i="10"/>
  <c r="M859" i="10" s="1"/>
  <c r="R519" i="10"/>
  <c r="E562" i="10"/>
  <c r="R562" i="10" s="1"/>
  <c r="P639" i="10"/>
  <c r="P642" i="10" s="1"/>
  <c r="Q611" i="10"/>
  <c r="R611" i="10" s="1"/>
  <c r="R623" i="10"/>
  <c r="I638" i="10"/>
  <c r="R638" i="10" s="1"/>
  <c r="N653" i="10"/>
  <c r="M683" i="10"/>
  <c r="L740" i="10"/>
  <c r="K751" i="10"/>
  <c r="D779" i="10"/>
  <c r="D783" i="10" s="1"/>
  <c r="O779" i="10"/>
  <c r="O783" i="10" s="1"/>
  <c r="N779" i="10"/>
  <c r="Q771" i="10"/>
  <c r="Q802" i="10"/>
  <c r="R811" i="10"/>
  <c r="R554" i="10"/>
  <c r="S554" i="10" s="1"/>
  <c r="R595" i="10"/>
  <c r="R616" i="10"/>
  <c r="C643" i="10"/>
  <c r="G653" i="10"/>
  <c r="R676" i="10"/>
  <c r="H740" i="10"/>
  <c r="O740" i="10"/>
  <c r="I763" i="10"/>
  <c r="E778" i="10"/>
  <c r="R778" i="10" s="1"/>
  <c r="B685" i="10"/>
  <c r="J685" i="10"/>
  <c r="I802" i="10"/>
  <c r="I817" i="10"/>
  <c r="R823" i="10"/>
  <c r="E827" i="10"/>
  <c r="R827" i="10" s="1"/>
  <c r="I852" i="10"/>
  <c r="R854" i="10"/>
  <c r="K865" i="10"/>
  <c r="K894" i="10" s="1"/>
  <c r="N865" i="10"/>
  <c r="F736" i="10"/>
  <c r="N736" i="10"/>
  <c r="I749" i="10"/>
  <c r="R749" i="10" s="1"/>
  <c r="Q749" i="10"/>
  <c r="J750" i="10"/>
  <c r="B829" i="10"/>
  <c r="J829" i="10"/>
  <c r="Q855" i="10"/>
  <c r="R855" i="10" s="1"/>
  <c r="E859" i="10"/>
  <c r="Q861" i="10"/>
  <c r="M868" i="10"/>
  <c r="R868" i="10" s="1"/>
  <c r="I1048" i="10"/>
  <c r="Y1048" i="10" s="1"/>
  <c r="G996" i="10"/>
  <c r="H1050" i="10"/>
  <c r="X1050" i="10" s="1"/>
  <c r="AH1005" i="10"/>
  <c r="AH970" i="10"/>
  <c r="G976" i="10"/>
  <c r="G948" i="10"/>
  <c r="K861" i="10"/>
  <c r="K892" i="10" s="1"/>
  <c r="E896" i="10"/>
  <c r="E873" i="10"/>
  <c r="J896" i="10"/>
  <c r="G946" i="10"/>
  <c r="I1054" i="10"/>
  <c r="Y1054" i="10" s="1"/>
  <c r="G1002" i="10"/>
  <c r="E711" i="10"/>
  <c r="M711" i="10"/>
  <c r="B750" i="10"/>
  <c r="D829" i="10"/>
  <c r="D832" i="10" s="1"/>
  <c r="L829" i="10"/>
  <c r="L832" i="10" s="1"/>
  <c r="I827" i="10"/>
  <c r="C861" i="10"/>
  <c r="C892" i="10" s="1"/>
  <c r="L861" i="10"/>
  <c r="L892" i="10" s="1"/>
  <c r="L874" i="10"/>
  <c r="L896" i="10" s="1"/>
  <c r="I1059" i="10"/>
  <c r="Y1059" i="10" s="1"/>
  <c r="G1007" i="10"/>
  <c r="F685" i="10"/>
  <c r="N685" i="10"/>
  <c r="E763" i="10"/>
  <c r="M763" i="10"/>
  <c r="E802" i="10"/>
  <c r="M802" i="10"/>
  <c r="R824" i="10"/>
  <c r="D861" i="10"/>
  <c r="D892" i="10" s="1"/>
  <c r="B861" i="10"/>
  <c r="D874" i="10"/>
  <c r="D896" i="10" s="1"/>
  <c r="M867" i="10"/>
  <c r="O874" i="10"/>
  <c r="O896" i="10" s="1"/>
  <c r="E874" i="10"/>
  <c r="I1052" i="10"/>
  <c r="Y1052" i="10" s="1"/>
  <c r="G1000" i="10"/>
  <c r="I1057" i="10"/>
  <c r="Y1057" i="10" s="1"/>
  <c r="G1005" i="10"/>
  <c r="G1032" i="10" s="1"/>
  <c r="Q892" i="10"/>
  <c r="E867" i="10"/>
  <c r="R867" i="10" s="1"/>
  <c r="G874" i="10"/>
  <c r="G896" i="10" s="1"/>
  <c r="R870" i="10"/>
  <c r="N873" i="10"/>
  <c r="Q873" i="10" s="1"/>
  <c r="Q870" i="10"/>
  <c r="F945" i="10"/>
  <c r="G833" i="10"/>
  <c r="G834" i="10"/>
  <c r="O833" i="10"/>
  <c r="O834" i="10"/>
  <c r="M816" i="10"/>
  <c r="R816" i="10" s="1"/>
  <c r="M827" i="10"/>
  <c r="M851" i="10"/>
  <c r="R851" i="10" s="1"/>
  <c r="I861" i="10"/>
  <c r="F873" i="10"/>
  <c r="I873" i="10" s="1"/>
  <c r="I870" i="10"/>
  <c r="F874" i="10"/>
  <c r="C874" i="10"/>
  <c r="C896" i="10" s="1"/>
  <c r="K874" i="10"/>
  <c r="K896" i="10" s="1"/>
  <c r="E869" i="10"/>
  <c r="D873" i="10"/>
  <c r="E872" i="10"/>
  <c r="R872" i="10" s="1"/>
  <c r="G943" i="10"/>
  <c r="G971" i="10"/>
  <c r="I1058" i="10"/>
  <c r="Y1058" i="10" s="1"/>
  <c r="G1006" i="10"/>
  <c r="G924" i="10"/>
  <c r="F975" i="10"/>
  <c r="AH944" i="10"/>
  <c r="AG944" i="10"/>
  <c r="AD944" i="10"/>
  <c r="AD909" i="10"/>
  <c r="AF944" i="10"/>
  <c r="AE944" i="10"/>
  <c r="AS944" i="10"/>
  <c r="F947" i="10"/>
  <c r="I1049" i="10"/>
  <c r="Y1049" i="10" s="1"/>
  <c r="I869" i="10"/>
  <c r="K873" i="10"/>
  <c r="M873" i="10" s="1"/>
  <c r="AG938" i="10"/>
  <c r="AG942" i="10"/>
  <c r="J1027" i="10"/>
  <c r="AH938" i="10"/>
  <c r="J1028" i="10"/>
  <c r="B865" i="10"/>
  <c r="J865" i="10"/>
  <c r="H874" i="10"/>
  <c r="H896" i="10" s="1"/>
  <c r="P874" i="10"/>
  <c r="P896" i="10" s="1"/>
  <c r="Q871" i="10"/>
  <c r="R871" i="10" s="1"/>
  <c r="G951" i="10"/>
  <c r="I858" i="10"/>
  <c r="R858" i="10" s="1"/>
  <c r="Q858" i="10"/>
  <c r="M869" i="10"/>
  <c r="F944" i="10"/>
  <c r="AG941" i="10"/>
  <c r="AD906" i="10"/>
  <c r="AS941" i="10"/>
  <c r="AF941" i="10"/>
  <c r="F972" i="10"/>
  <c r="AE941" i="10"/>
  <c r="AD941" i="10"/>
  <c r="G950" i="10"/>
  <c r="F971" i="10"/>
  <c r="AD940" i="10"/>
  <c r="AH940" i="10"/>
  <c r="AG940" i="10"/>
  <c r="AF940" i="10"/>
  <c r="AD905" i="10"/>
  <c r="F943" i="10"/>
  <c r="AS940" i="10"/>
  <c r="J1030" i="10"/>
  <c r="AD903" i="10"/>
  <c r="F977" i="10"/>
  <c r="AG946" i="10"/>
  <c r="AS946" i="10"/>
  <c r="AF946" i="10"/>
  <c r="AJ946" i="10" s="1"/>
  <c r="AD911" i="10"/>
  <c r="AH946" i="10"/>
  <c r="I1053" i="10"/>
  <c r="Y1053" i="10" s="1"/>
  <c r="F979" i="10"/>
  <c r="AG948" i="10"/>
  <c r="AS948" i="10"/>
  <c r="AF948" i="10"/>
  <c r="AF939" i="10"/>
  <c r="AF943" i="10"/>
  <c r="F948" i="10"/>
  <c r="AD948" i="10"/>
  <c r="H1058" i="10"/>
  <c r="X1058" i="10" s="1"/>
  <c r="AH978" i="10"/>
  <c r="J1023" i="10"/>
  <c r="F969" i="10"/>
  <c r="AS938" i="10"/>
  <c r="AF938" i="10"/>
  <c r="AE938" i="10"/>
  <c r="AJ938" i="10" s="1"/>
  <c r="G970" i="10"/>
  <c r="G981" i="10" s="1"/>
  <c r="G942" i="10"/>
  <c r="G1028" i="10"/>
  <c r="G975" i="10"/>
  <c r="AH948" i="10"/>
  <c r="F949" i="10"/>
  <c r="AD913" i="10"/>
  <c r="F941" i="10"/>
  <c r="F976" i="10"/>
  <c r="AD945" i="10"/>
  <c r="AD910" i="10"/>
  <c r="AH945" i="10"/>
  <c r="AG947" i="10"/>
  <c r="AJ947" i="10" s="1"/>
  <c r="AF945" i="10"/>
  <c r="H1054" i="10"/>
  <c r="X1054" i="10" s="1"/>
  <c r="AH974" i="10"/>
  <c r="AD907" i="10"/>
  <c r="AE939" i="10"/>
  <c r="AJ939" i="10" s="1"/>
  <c r="AF942" i="10"/>
  <c r="AJ942" i="10" s="1"/>
  <c r="AS942" i="10"/>
  <c r="J1031" i="10"/>
  <c r="F973" i="10"/>
  <c r="AH939" i="10"/>
  <c r="AD943" i="10"/>
  <c r="AJ943" i="10" s="1"/>
  <c r="J1026" i="10"/>
  <c r="J1033" i="10"/>
  <c r="J1034" i="10"/>
  <c r="AD1068" i="10"/>
  <c r="AD1066" i="10"/>
  <c r="AD1069" i="10"/>
  <c r="AD1064" i="10"/>
  <c r="AD1062" i="10"/>
  <c r="AD1060" i="10"/>
  <c r="AD1058" i="10"/>
  <c r="AD1065" i="10"/>
  <c r="AD1070" i="10"/>
  <c r="AD1063" i="10"/>
  <c r="AD1061" i="10"/>
  <c r="AD1059" i="10"/>
  <c r="AD1057" i="10"/>
  <c r="AD1067" i="10"/>
  <c r="AD1055" i="10"/>
  <c r="AD1056" i="10"/>
  <c r="AD1049" i="10"/>
  <c r="AD1051" i="10"/>
  <c r="I1138" i="10"/>
  <c r="Q1138" i="10"/>
  <c r="G1082" i="10"/>
  <c r="C1055" i="10" s="1"/>
  <c r="L1082" i="10"/>
  <c r="G1084" i="10"/>
  <c r="C1057" i="10" s="1"/>
  <c r="L1084" i="10"/>
  <c r="F1078" i="10"/>
  <c r="B1051" i="10" s="1"/>
  <c r="L1078" i="10"/>
  <c r="F1132" i="10"/>
  <c r="AD1050" i="10"/>
  <c r="AD1052" i="10"/>
  <c r="G1083" i="10"/>
  <c r="C1056" i="10" s="1"/>
  <c r="L1083" i="10"/>
  <c r="K28" i="9"/>
  <c r="F28" i="9"/>
  <c r="P28" i="9"/>
  <c r="H28" i="9"/>
  <c r="J62" i="9"/>
  <c r="M59" i="9"/>
  <c r="D130" i="9"/>
  <c r="P130" i="9"/>
  <c r="R17" i="9"/>
  <c r="L63" i="9"/>
  <c r="B62" i="9"/>
  <c r="R124" i="9"/>
  <c r="B130" i="9"/>
  <c r="S186" i="9"/>
  <c r="H130" i="9"/>
  <c r="I126" i="9"/>
  <c r="R177" i="9"/>
  <c r="R15" i="9"/>
  <c r="D63" i="9"/>
  <c r="R57" i="9"/>
  <c r="R96" i="9"/>
  <c r="R107" i="9"/>
  <c r="J130" i="9"/>
  <c r="P63" i="9"/>
  <c r="S82" i="9"/>
  <c r="L130" i="9"/>
  <c r="H63" i="9"/>
  <c r="R46" i="9"/>
  <c r="R58" i="9"/>
  <c r="R89" i="9"/>
  <c r="R125" i="9"/>
  <c r="K999" i="9"/>
  <c r="I999" i="9"/>
  <c r="L999" i="9"/>
  <c r="H999" i="9"/>
  <c r="N999" i="9"/>
  <c r="D319" i="9"/>
  <c r="AP878" i="9" s="1"/>
  <c r="I1007" i="9"/>
  <c r="N1007" i="9"/>
  <c r="L1007" i="9"/>
  <c r="K1007" i="9"/>
  <c r="H1007" i="9"/>
  <c r="J1007" i="9"/>
  <c r="O630" i="9"/>
  <c r="O319" i="9"/>
  <c r="AP886" i="9" s="1"/>
  <c r="C28" i="9"/>
  <c r="E41" i="9"/>
  <c r="M41" i="9"/>
  <c r="C59" i="9"/>
  <c r="C62" i="9" s="1"/>
  <c r="K59" i="9"/>
  <c r="K62" i="9" s="1"/>
  <c r="C126" i="9"/>
  <c r="C129" i="9" s="1"/>
  <c r="K126" i="9"/>
  <c r="K129" i="9" s="1"/>
  <c r="R246" i="9"/>
  <c r="R257" i="9"/>
  <c r="R266" i="9"/>
  <c r="R268" i="9"/>
  <c r="F319" i="9"/>
  <c r="AP879" i="9" s="1"/>
  <c r="N319" i="9"/>
  <c r="AP885" i="9" s="1"/>
  <c r="N1000" i="9"/>
  <c r="K1000" i="9"/>
  <c r="I1000" i="9"/>
  <c r="L1000" i="9"/>
  <c r="H1000" i="9"/>
  <c r="J1000" i="9"/>
  <c r="I1008" i="9"/>
  <c r="N1008" i="9"/>
  <c r="L1008" i="9"/>
  <c r="K1008" i="9"/>
  <c r="H1008" i="9"/>
  <c r="F925" i="9"/>
  <c r="P724" i="9"/>
  <c r="P714" i="9"/>
  <c r="P319" i="9"/>
  <c r="AP887" i="9" s="1"/>
  <c r="P620" i="9"/>
  <c r="E27" i="9"/>
  <c r="M27" i="9"/>
  <c r="D28" i="9"/>
  <c r="O28" i="9"/>
  <c r="F129" i="9"/>
  <c r="N129" i="9"/>
  <c r="E299" i="9"/>
  <c r="B307" i="9"/>
  <c r="Q213" i="9"/>
  <c r="R220" i="9"/>
  <c r="R231" i="9"/>
  <c r="R235" i="9"/>
  <c r="R270" i="9"/>
  <c r="R287" i="9"/>
  <c r="R291" i="9"/>
  <c r="G319" i="9"/>
  <c r="AP880" i="9" s="1"/>
  <c r="R391" i="9"/>
  <c r="D470" i="9"/>
  <c r="N518" i="9"/>
  <c r="K1001" i="9"/>
  <c r="I1001" i="9"/>
  <c r="N1001" i="9"/>
  <c r="H1001" i="9"/>
  <c r="G918" i="9"/>
  <c r="L1001" i="9"/>
  <c r="E50" i="9"/>
  <c r="R50" i="9" s="1"/>
  <c r="M50" i="9"/>
  <c r="E126" i="9"/>
  <c r="M126" i="9"/>
  <c r="R170" i="9"/>
  <c r="R193" i="9"/>
  <c r="R224" i="9"/>
  <c r="R241" i="9"/>
  <c r="R250" i="9"/>
  <c r="R274" i="9"/>
  <c r="H319" i="9"/>
  <c r="AP881" i="9" s="1"/>
  <c r="H470" i="9"/>
  <c r="N1002" i="9"/>
  <c r="K1002" i="9"/>
  <c r="I1002" i="9"/>
  <c r="L1002" i="9"/>
  <c r="F919" i="9"/>
  <c r="J1002" i="9"/>
  <c r="H1002" i="9"/>
  <c r="G28" i="9"/>
  <c r="F59" i="9"/>
  <c r="N59" i="9"/>
  <c r="R178" i="9"/>
  <c r="D308" i="9"/>
  <c r="J838" i="9"/>
  <c r="M838" i="9" s="1"/>
  <c r="J278" i="9"/>
  <c r="M261" i="9"/>
  <c r="L470" i="9"/>
  <c r="D620" i="9"/>
  <c r="K1003" i="9"/>
  <c r="I1003" i="9"/>
  <c r="H1003" i="9"/>
  <c r="N1003" i="9"/>
  <c r="L1003" i="9"/>
  <c r="J319" i="9"/>
  <c r="AP882" i="9" s="1"/>
  <c r="J630" i="9"/>
  <c r="I41" i="9"/>
  <c r="Q41" i="9"/>
  <c r="G59" i="9"/>
  <c r="G62" i="9" s="1"/>
  <c r="O59" i="9"/>
  <c r="O62" i="9" s="1"/>
  <c r="G126" i="9"/>
  <c r="G129" i="9" s="1"/>
  <c r="O126" i="9"/>
  <c r="O129" i="9" s="1"/>
  <c r="L864" i="9"/>
  <c r="R183" i="9"/>
  <c r="F838" i="9"/>
  <c r="I838" i="9" s="1"/>
  <c r="I245" i="9"/>
  <c r="R245" i="9" s="1"/>
  <c r="F278" i="9"/>
  <c r="R283" i="9"/>
  <c r="B319" i="9"/>
  <c r="AP876" i="9" s="1"/>
  <c r="N469" i="9"/>
  <c r="R462" i="9"/>
  <c r="H620" i="9"/>
  <c r="R1084" i="9"/>
  <c r="R1039" i="9"/>
  <c r="R1014" i="9"/>
  <c r="R960" i="9"/>
  <c r="R931" i="9"/>
  <c r="AS926" i="9"/>
  <c r="AT867" i="9"/>
  <c r="AS961" i="9"/>
  <c r="R876" i="9"/>
  <c r="AT899" i="9"/>
  <c r="R811" i="9"/>
  <c r="R905" i="9"/>
  <c r="R852" i="9"/>
  <c r="N1004" i="9"/>
  <c r="K1004" i="9"/>
  <c r="I1004" i="9"/>
  <c r="L1004" i="9"/>
  <c r="H1004" i="9"/>
  <c r="J1004" i="9"/>
  <c r="K724" i="9"/>
  <c r="J28" i="9"/>
  <c r="K849" i="9"/>
  <c r="K864" i="9"/>
  <c r="R199" i="9"/>
  <c r="R204" i="9"/>
  <c r="H299" i="9"/>
  <c r="H307" i="9" s="1"/>
  <c r="R219" i="9"/>
  <c r="R236" i="9"/>
  <c r="T286" i="9" s="1"/>
  <c r="R288" i="9"/>
  <c r="I298" i="9"/>
  <c r="R298" i="9" s="1"/>
  <c r="C319" i="9"/>
  <c r="AP877" i="9" s="1"/>
  <c r="K319" i="9"/>
  <c r="AP883" i="9" s="1"/>
  <c r="P470" i="9"/>
  <c r="K997" i="9"/>
  <c r="I997" i="9"/>
  <c r="N997" i="9"/>
  <c r="H997" i="9"/>
  <c r="L997" i="9"/>
  <c r="F914" i="9"/>
  <c r="B630" i="9"/>
  <c r="K1005" i="9"/>
  <c r="I1005" i="9"/>
  <c r="N1005" i="9"/>
  <c r="H1005" i="9"/>
  <c r="L1005" i="9"/>
  <c r="L630" i="9"/>
  <c r="R174" i="9"/>
  <c r="R187" i="9"/>
  <c r="R192" i="9"/>
  <c r="L206" i="9"/>
  <c r="L299" i="9" s="1"/>
  <c r="L307" i="9" s="1"/>
  <c r="M213" i="9"/>
  <c r="R213" i="9" s="1"/>
  <c r="R225" i="9"/>
  <c r="R240" i="9"/>
  <c r="R249" i="9"/>
  <c r="R251" i="9"/>
  <c r="R273" i="9"/>
  <c r="C308" i="9"/>
  <c r="L319" i="9"/>
  <c r="AP884" i="9" s="1"/>
  <c r="P518" i="9"/>
  <c r="N998" i="9"/>
  <c r="K998" i="9"/>
  <c r="I998" i="9"/>
  <c r="J998" i="9"/>
  <c r="L998" i="9"/>
  <c r="H998" i="9"/>
  <c r="F915" i="9"/>
  <c r="C724" i="9"/>
  <c r="I1006" i="9"/>
  <c r="L1006" i="9"/>
  <c r="K1006" i="9"/>
  <c r="H1006" i="9"/>
  <c r="N1006" i="9"/>
  <c r="N630" i="9"/>
  <c r="O824" i="9"/>
  <c r="O830" i="9" s="1"/>
  <c r="O206" i="9"/>
  <c r="O299" i="9" s="1"/>
  <c r="O307" i="9" s="1"/>
  <c r="P308" i="9"/>
  <c r="D518" i="9"/>
  <c r="L518" i="9"/>
  <c r="H518" i="9"/>
  <c r="N830" i="9"/>
  <c r="K206" i="9"/>
  <c r="I261" i="9"/>
  <c r="R261" i="9" s="1"/>
  <c r="K278" i="9"/>
  <c r="F299" i="9"/>
  <c r="AB385" i="9"/>
  <c r="AD385" i="9" s="1"/>
  <c r="AM385" i="9" s="1"/>
  <c r="M395" i="9"/>
  <c r="R395" i="9" s="1"/>
  <c r="C439" i="9"/>
  <c r="K439" i="9"/>
  <c r="K464" i="9" s="1"/>
  <c r="K469" i="9" s="1"/>
  <c r="R488" i="9"/>
  <c r="R515" i="9"/>
  <c r="R556" i="9"/>
  <c r="L620" i="9"/>
  <c r="R593" i="9"/>
  <c r="Q616" i="9"/>
  <c r="B830" i="9"/>
  <c r="E824" i="9"/>
  <c r="AC385" i="9"/>
  <c r="L558" i="9"/>
  <c r="L561" i="9" s="1"/>
  <c r="M535" i="9"/>
  <c r="G562" i="9"/>
  <c r="C620" i="9"/>
  <c r="Q619" i="9"/>
  <c r="N620" i="9"/>
  <c r="H666" i="9"/>
  <c r="C714" i="9"/>
  <c r="L758" i="9"/>
  <c r="L759" i="9"/>
  <c r="P864" i="9"/>
  <c r="E206" i="9"/>
  <c r="C864" i="9"/>
  <c r="AB384" i="9"/>
  <c r="AD384" i="9" s="1"/>
  <c r="AM384" i="9" s="1"/>
  <c r="I837" i="9"/>
  <c r="F514" i="9"/>
  <c r="I504" i="9"/>
  <c r="R504" i="9" s="1"/>
  <c r="Q504" i="9"/>
  <c r="C514" i="9"/>
  <c r="C517" i="9" s="1"/>
  <c r="O620" i="9"/>
  <c r="J662" i="9"/>
  <c r="O714" i="9"/>
  <c r="G830" i="9"/>
  <c r="I824" i="9"/>
  <c r="N206" i="9"/>
  <c r="E332" i="9"/>
  <c r="R332" i="9" s="1"/>
  <c r="S355" i="9" s="1"/>
  <c r="AA383" i="9"/>
  <c r="AD383" i="9" s="1"/>
  <c r="AM383" i="9" s="1"/>
  <c r="AC384" i="9"/>
  <c r="G839" i="9"/>
  <c r="G868" i="9" s="1"/>
  <c r="Q395" i="9"/>
  <c r="F439" i="9"/>
  <c r="I439" i="9" s="1"/>
  <c r="R485" i="9"/>
  <c r="G518" i="9"/>
  <c r="O514" i="9"/>
  <c r="O517" i="9" s="1"/>
  <c r="Q517" i="9" s="1"/>
  <c r="Q499" i="9"/>
  <c r="R499" i="9" s="1"/>
  <c r="R510" i="9"/>
  <c r="D558" i="9"/>
  <c r="D561" i="9" s="1"/>
  <c r="E535" i="9"/>
  <c r="C562" i="9"/>
  <c r="E619" i="9"/>
  <c r="B620" i="9"/>
  <c r="R675" i="9"/>
  <c r="K714" i="9"/>
  <c r="R688" i="9"/>
  <c r="H864" i="9"/>
  <c r="G206" i="9"/>
  <c r="G299" i="9" s="1"/>
  <c r="G307" i="9" s="1"/>
  <c r="G278" i="9"/>
  <c r="H839" i="9"/>
  <c r="H868" i="9" s="1"/>
  <c r="G439" i="9"/>
  <c r="G464" i="9" s="1"/>
  <c r="G469" i="9" s="1"/>
  <c r="O439" i="9"/>
  <c r="O464" i="9" s="1"/>
  <c r="B518" i="9"/>
  <c r="Q535" i="9"/>
  <c r="P558" i="9"/>
  <c r="P561" i="9" s="1"/>
  <c r="O562" i="9"/>
  <c r="K562" i="9"/>
  <c r="E662" i="9"/>
  <c r="B665" i="9"/>
  <c r="L714" i="9"/>
  <c r="N724" i="9"/>
  <c r="D758" i="9"/>
  <c r="K514" i="9"/>
  <c r="K517" i="9" s="1"/>
  <c r="R557" i="9"/>
  <c r="D630" i="9"/>
  <c r="C666" i="9"/>
  <c r="R661" i="9"/>
  <c r="J824" i="9"/>
  <c r="B377" i="9"/>
  <c r="AD382" i="9"/>
  <c r="AM382" i="9" s="1"/>
  <c r="E837" i="9"/>
  <c r="B839" i="9"/>
  <c r="M837" i="9"/>
  <c r="J839" i="9"/>
  <c r="E514" i="9"/>
  <c r="M514" i="9"/>
  <c r="I535" i="9"/>
  <c r="H558" i="9"/>
  <c r="H561" i="9" s="1"/>
  <c r="R615" i="9"/>
  <c r="J616" i="9"/>
  <c r="F630" i="9"/>
  <c r="D714" i="9"/>
  <c r="R752" i="9"/>
  <c r="J206" i="9"/>
  <c r="C377" i="9"/>
  <c r="C464" i="9" s="1"/>
  <c r="C469" i="9" s="1"/>
  <c r="K839" i="9"/>
  <c r="K868" i="9" s="1"/>
  <c r="B439" i="9"/>
  <c r="E439" i="9" s="1"/>
  <c r="J439" i="9"/>
  <c r="M439" i="9" s="1"/>
  <c r="J517" i="9"/>
  <c r="R578" i="9"/>
  <c r="P666" i="9"/>
  <c r="D666" i="9"/>
  <c r="L666" i="9"/>
  <c r="R709" i="9"/>
  <c r="G808" i="9"/>
  <c r="G807" i="9"/>
  <c r="O807" i="9"/>
  <c r="O808" i="9"/>
  <c r="B558" i="9"/>
  <c r="J558" i="9"/>
  <c r="E546" i="9"/>
  <c r="R546" i="9" s="1"/>
  <c r="M557" i="9"/>
  <c r="R577" i="9"/>
  <c r="E587" i="9"/>
  <c r="H630" i="9"/>
  <c r="P630" i="9"/>
  <c r="K662" i="9"/>
  <c r="K665" i="9" s="1"/>
  <c r="M660" i="9"/>
  <c r="Q684" i="9"/>
  <c r="N710" i="9"/>
  <c r="E698" i="9"/>
  <c r="R698" i="9" s="1"/>
  <c r="D724" i="9"/>
  <c r="D725" i="9"/>
  <c r="D715" i="9" s="1"/>
  <c r="O724" i="9"/>
  <c r="E751" i="9"/>
  <c r="R751" i="9" s="1"/>
  <c r="J757" i="9"/>
  <c r="M753" i="9"/>
  <c r="D759" i="9"/>
  <c r="R767" i="9"/>
  <c r="R771" i="9"/>
  <c r="R785" i="9"/>
  <c r="D807" i="9"/>
  <c r="D808" i="9"/>
  <c r="I826" i="9"/>
  <c r="R828" i="9"/>
  <c r="I835" i="9"/>
  <c r="L839" i="9"/>
  <c r="L868" i="9" s="1"/>
  <c r="J847" i="9"/>
  <c r="M847" i="9" s="1"/>
  <c r="M844" i="9"/>
  <c r="R844" i="9" s="1"/>
  <c r="R538" i="9"/>
  <c r="S538" i="9" s="1"/>
  <c r="Q546" i="9"/>
  <c r="R579" i="9"/>
  <c r="Q587" i="9"/>
  <c r="R600" i="9"/>
  <c r="M614" i="9"/>
  <c r="R614" i="9" s="1"/>
  <c r="E616" i="9"/>
  <c r="E645" i="9"/>
  <c r="R645" i="9" s="1"/>
  <c r="R676" i="9"/>
  <c r="G710" i="9"/>
  <c r="G713" i="9" s="1"/>
  <c r="I723" i="9"/>
  <c r="F753" i="9"/>
  <c r="I741" i="9"/>
  <c r="E806" i="9"/>
  <c r="B807" i="9"/>
  <c r="M806" i="9"/>
  <c r="J807" i="9"/>
  <c r="R788" i="9"/>
  <c r="R802" i="9"/>
  <c r="R827" i="9"/>
  <c r="Q837" i="9"/>
  <c r="AO884" i="9"/>
  <c r="AF884" i="9"/>
  <c r="I1025" i="9"/>
  <c r="Y1025" i="9" s="1"/>
  <c r="G973" i="9"/>
  <c r="F662" i="9"/>
  <c r="I684" i="9"/>
  <c r="F710" i="9"/>
  <c r="R708" i="9"/>
  <c r="G724" i="9"/>
  <c r="P758" i="9"/>
  <c r="P759" i="9"/>
  <c r="F616" i="9"/>
  <c r="K630" i="9"/>
  <c r="C630" i="9"/>
  <c r="O666" i="9"/>
  <c r="R663" i="9"/>
  <c r="R680" i="9"/>
  <c r="R695" i="9"/>
  <c r="F724" i="9"/>
  <c r="G753" i="9"/>
  <c r="G757" i="9" s="1"/>
  <c r="O753" i="9"/>
  <c r="O757" i="9" s="1"/>
  <c r="D864" i="9"/>
  <c r="D872" i="9" s="1"/>
  <c r="D13" i="9" s="1"/>
  <c r="D849" i="9"/>
  <c r="J835" i="9"/>
  <c r="M832" i="9"/>
  <c r="Q839" i="9"/>
  <c r="N868" i="9"/>
  <c r="Q868" i="9" s="1"/>
  <c r="O848" i="9"/>
  <c r="O870" i="9" s="1"/>
  <c r="Q842" i="9"/>
  <c r="B847" i="9"/>
  <c r="E847" i="9" s="1"/>
  <c r="AO880" i="9"/>
  <c r="F558" i="9"/>
  <c r="N558" i="9"/>
  <c r="R545" i="9"/>
  <c r="R571" i="9"/>
  <c r="R585" i="9"/>
  <c r="G620" i="9"/>
  <c r="Q614" i="9"/>
  <c r="R617" i="9"/>
  <c r="R639" i="9"/>
  <c r="I645" i="9"/>
  <c r="H714" i="9"/>
  <c r="R697" i="9"/>
  <c r="H724" i="9"/>
  <c r="M741" i="9"/>
  <c r="R776" i="9"/>
  <c r="M791" i="9"/>
  <c r="F864" i="9"/>
  <c r="AO881" i="9"/>
  <c r="AF881" i="9"/>
  <c r="G943" i="9"/>
  <c r="G915" i="9"/>
  <c r="AF920" i="9"/>
  <c r="AF916" i="9"/>
  <c r="AF914" i="9"/>
  <c r="AF922" i="9"/>
  <c r="R607" i="9"/>
  <c r="E629" i="9"/>
  <c r="M629" i="9"/>
  <c r="G630" i="9"/>
  <c r="R641" i="9"/>
  <c r="G662" i="9"/>
  <c r="G665" i="9" s="1"/>
  <c r="I660" i="9"/>
  <c r="R660" i="9" s="1"/>
  <c r="J710" i="9"/>
  <c r="M684" i="9"/>
  <c r="R702" i="9"/>
  <c r="I737" i="9"/>
  <c r="R737" i="9" s="1"/>
  <c r="Q737" i="9"/>
  <c r="Q745" i="9"/>
  <c r="R745" i="9" s="1"/>
  <c r="B757" i="9"/>
  <c r="F803" i="9"/>
  <c r="N803" i="9"/>
  <c r="M781" i="9"/>
  <c r="E803" i="9"/>
  <c r="B835" i="9"/>
  <c r="E832" i="9"/>
  <c r="R832" i="9" s="1"/>
  <c r="G848" i="9"/>
  <c r="G870" i="9" s="1"/>
  <c r="I842" i="9"/>
  <c r="R842" i="9" s="1"/>
  <c r="I866" i="9"/>
  <c r="AF912" i="9"/>
  <c r="AJ912" i="9" s="1"/>
  <c r="L724" i="9"/>
  <c r="R741" i="9"/>
  <c r="R781" i="9"/>
  <c r="K807" i="9"/>
  <c r="K808" i="9"/>
  <c r="R791" i="9"/>
  <c r="L807" i="9"/>
  <c r="L808" i="9"/>
  <c r="L725" i="9" s="1"/>
  <c r="M803" i="9"/>
  <c r="Q885" i="9"/>
  <c r="B809" i="9"/>
  <c r="R826" i="9"/>
  <c r="AO882" i="9"/>
  <c r="AF882" i="9"/>
  <c r="AO886" i="9"/>
  <c r="AF886" i="9"/>
  <c r="R554" i="9"/>
  <c r="R575" i="9"/>
  <c r="K616" i="9"/>
  <c r="K619" i="9" s="1"/>
  <c r="R613" i="9"/>
  <c r="M645" i="9"/>
  <c r="E653" i="9"/>
  <c r="R653" i="9" s="1"/>
  <c r="N662" i="9"/>
  <c r="B710" i="9"/>
  <c r="E684" i="9"/>
  <c r="Q723" i="9"/>
  <c r="C753" i="9"/>
  <c r="C757" i="9" s="1"/>
  <c r="K753" i="9"/>
  <c r="K757" i="9" s="1"/>
  <c r="N753" i="9"/>
  <c r="Q741" i="9"/>
  <c r="H758" i="9"/>
  <c r="H759" i="9"/>
  <c r="R769" i="9"/>
  <c r="H808" i="9"/>
  <c r="H807" i="9"/>
  <c r="P807" i="9"/>
  <c r="P808" i="9"/>
  <c r="C807" i="9"/>
  <c r="C808" i="9"/>
  <c r="R798" i="9"/>
  <c r="R804" i="9"/>
  <c r="J808" i="9"/>
  <c r="I841" i="9"/>
  <c r="F848" i="9"/>
  <c r="AO883" i="9"/>
  <c r="AF883" i="9"/>
  <c r="I1028" i="9"/>
  <c r="Y1028" i="9" s="1"/>
  <c r="G976" i="9"/>
  <c r="J724" i="9"/>
  <c r="I825" i="9"/>
  <c r="R825" i="9" s="1"/>
  <c r="E834" i="9"/>
  <c r="P848" i="9"/>
  <c r="P870" i="9" s="1"/>
  <c r="M843" i="9"/>
  <c r="E845" i="9"/>
  <c r="R845" i="9" s="1"/>
  <c r="AE880" i="9"/>
  <c r="AF880" i="9" s="1"/>
  <c r="AS915" i="9"/>
  <c r="AF915" i="9"/>
  <c r="F946" i="9"/>
  <c r="AD915" i="9"/>
  <c r="F918" i="9"/>
  <c r="F949" i="9"/>
  <c r="AS918" i="9"/>
  <c r="AF918" i="9"/>
  <c r="AH918" i="9"/>
  <c r="AG918" i="9"/>
  <c r="AE918" i="9"/>
  <c r="AD918" i="9"/>
  <c r="F921" i="9"/>
  <c r="F953" i="9"/>
  <c r="AH922" i="9"/>
  <c r="AG911" i="9"/>
  <c r="AG912" i="9"/>
  <c r="Q834" i="9"/>
  <c r="H848" i="9"/>
  <c r="H870" i="9" s="1"/>
  <c r="F847" i="9"/>
  <c r="I847" i="9" s="1"/>
  <c r="N848" i="9"/>
  <c r="AH913" i="9"/>
  <c r="AD878" i="9"/>
  <c r="AS913" i="9"/>
  <c r="AF913" i="9"/>
  <c r="F944" i="9"/>
  <c r="AE913" i="9"/>
  <c r="AD913" i="9"/>
  <c r="AD924" i="9" s="1"/>
  <c r="G921" i="9"/>
  <c r="G949" i="9"/>
  <c r="G951" i="9"/>
  <c r="G923" i="9"/>
  <c r="G953" i="9"/>
  <c r="G925" i="9"/>
  <c r="I1022" i="9"/>
  <c r="Y1022" i="9" s="1"/>
  <c r="B724" i="9"/>
  <c r="J848" i="9"/>
  <c r="E843" i="9"/>
  <c r="R846" i="9"/>
  <c r="C848" i="9"/>
  <c r="C870" i="9" s="1"/>
  <c r="G898" i="9"/>
  <c r="G914" i="9"/>
  <c r="G916" i="9"/>
  <c r="G944" i="9"/>
  <c r="G919" i="9"/>
  <c r="G947" i="9"/>
  <c r="F916" i="9"/>
  <c r="AE917" i="9"/>
  <c r="R833" i="9"/>
  <c r="B848" i="9"/>
  <c r="Q843" i="9"/>
  <c r="F898" i="9"/>
  <c r="AE915" i="9"/>
  <c r="AE924" i="9" s="1"/>
  <c r="AE919" i="9"/>
  <c r="E723" i="9"/>
  <c r="M723" i="9"/>
  <c r="L848" i="9"/>
  <c r="L870" i="9" s="1"/>
  <c r="N866" i="9"/>
  <c r="Q866" i="9" s="1"/>
  <c r="AS919" i="9"/>
  <c r="AF919" i="9"/>
  <c r="AD919" i="9"/>
  <c r="F922" i="9"/>
  <c r="F950" i="9"/>
  <c r="AH919" i="9"/>
  <c r="AG919" i="9"/>
  <c r="AE921" i="9"/>
  <c r="F924" i="9"/>
  <c r="AH921" i="9"/>
  <c r="AG921" i="9"/>
  <c r="AF921" i="9"/>
  <c r="F952" i="9"/>
  <c r="AD921" i="9"/>
  <c r="AS921" i="9"/>
  <c r="AJ914" i="9"/>
  <c r="AG915" i="9"/>
  <c r="I843" i="9"/>
  <c r="AF885" i="9"/>
  <c r="F917" i="9"/>
  <c r="F948" i="9"/>
  <c r="AH917" i="9"/>
  <c r="AF917" i="9"/>
  <c r="F920" i="9"/>
  <c r="AD917" i="9"/>
  <c r="AS917" i="9"/>
  <c r="I832" i="9"/>
  <c r="Q832" i="9"/>
  <c r="M834" i="9"/>
  <c r="R838" i="9"/>
  <c r="E841" i="9"/>
  <c r="Q847" i="9"/>
  <c r="G917" i="9"/>
  <c r="G920" i="9"/>
  <c r="G970" i="9"/>
  <c r="AD879" i="9"/>
  <c r="F943" i="9"/>
  <c r="G950" i="9"/>
  <c r="G922" i="9"/>
  <c r="AE920" i="9"/>
  <c r="AF911" i="9"/>
  <c r="AS911" i="9"/>
  <c r="AG914" i="9"/>
  <c r="AE916" i="9"/>
  <c r="AJ916" i="9" s="1"/>
  <c r="J997" i="9"/>
  <c r="AH942" i="9"/>
  <c r="F945" i="9"/>
  <c r="G952" i="9"/>
  <c r="G924" i="9"/>
  <c r="AE922" i="9"/>
  <c r="AJ922" i="9" s="1"/>
  <c r="AH911" i="9"/>
  <c r="AG916" i="9"/>
  <c r="F923" i="9"/>
  <c r="J1001" i="9"/>
  <c r="H1022" i="9"/>
  <c r="X1022" i="9" s="1"/>
  <c r="AH977" i="9"/>
  <c r="F955" i="9"/>
  <c r="AF887" i="9"/>
  <c r="G946" i="9"/>
  <c r="H1027" i="9"/>
  <c r="X1027" i="9" s="1"/>
  <c r="AH982" i="9"/>
  <c r="AE912" i="9"/>
  <c r="AD920" i="9"/>
  <c r="H1031" i="9"/>
  <c r="X1031" i="9" s="1"/>
  <c r="AH986" i="9"/>
  <c r="AH951" i="9"/>
  <c r="J999" i="9"/>
  <c r="J1006" i="9"/>
  <c r="J1005" i="9"/>
  <c r="J1008" i="9"/>
  <c r="J1003" i="9"/>
  <c r="AD1045" i="9"/>
  <c r="AD1026" i="9"/>
  <c r="AD1027" i="9"/>
  <c r="AD1025" i="9"/>
  <c r="AD1028" i="9"/>
  <c r="AD1023" i="9"/>
  <c r="G1057" i="9"/>
  <c r="C1030" i="9" s="1"/>
  <c r="L1057" i="9"/>
  <c r="N1100" i="9"/>
  <c r="I1112" i="9"/>
  <c r="L1056" i="9"/>
  <c r="M1112" i="9"/>
  <c r="AD1042" i="9"/>
  <c r="AD1040" i="9"/>
  <c r="AD1043" i="9"/>
  <c r="AD1038" i="9"/>
  <c r="AD1036" i="9"/>
  <c r="AD1034" i="9"/>
  <c r="AD1032" i="9"/>
  <c r="AD1041" i="9"/>
  <c r="AD1044" i="9"/>
  <c r="AD1037" i="9"/>
  <c r="AD1035" i="9"/>
  <c r="AD1033" i="9"/>
  <c r="AD1031" i="9"/>
  <c r="L1050" i="9"/>
  <c r="Q1112" i="9"/>
  <c r="E1112" i="9"/>
  <c r="F1109" i="9"/>
  <c r="AD1029" i="9"/>
  <c r="L1052" i="9"/>
  <c r="G1052" i="9"/>
  <c r="C1025" i="9" s="1"/>
  <c r="L1058" i="9"/>
  <c r="R1100" i="9"/>
  <c r="M1093" i="11"/>
  <c r="M1026" i="14"/>
  <c r="M1081" i="10"/>
  <c r="M1092" i="11"/>
  <c r="M1057" i="9"/>
  <c r="M1082" i="10"/>
  <c r="M1084" i="10"/>
  <c r="M1049" i="9"/>
  <c r="M1051" i="9"/>
  <c r="M1077" i="10"/>
  <c r="M1124" i="12"/>
  <c r="M1025" i="14"/>
  <c r="M1059" i="9"/>
  <c r="M1126" i="12"/>
  <c r="M1121" i="12"/>
  <c r="M1090" i="11"/>
  <c r="M1097" i="11"/>
  <c r="M1023" i="14"/>
  <c r="M1056" i="9"/>
  <c r="M1129" i="12"/>
  <c r="M1021" i="14"/>
  <c r="M1017" i="14"/>
  <c r="M1088" i="11"/>
  <c r="M1053" i="9"/>
  <c r="M1125" i="12"/>
  <c r="M1098" i="11"/>
  <c r="M1016" i="14"/>
  <c r="M1089" i="11"/>
  <c r="M1095" i="11"/>
  <c r="M1096" i="11"/>
  <c r="M1127" i="12"/>
  <c r="M1091" i="11"/>
  <c r="M1083" i="10"/>
  <c r="M1050" i="9"/>
  <c r="M1087" i="11"/>
  <c r="M1120" i="12"/>
  <c r="M1086" i="10"/>
  <c r="M1015" i="14"/>
  <c r="M1123" i="12"/>
  <c r="M1018" i="14"/>
  <c r="M1118" i="12"/>
  <c r="M1128" i="12"/>
  <c r="M1085" i="10"/>
  <c r="M1122" i="12"/>
  <c r="M1055" i="9"/>
  <c r="M1079" i="10"/>
  <c r="M1080" i="10"/>
  <c r="M1022" i="14"/>
  <c r="M1094" i="11"/>
  <c r="M1054" i="9"/>
  <c r="M1019" i="14"/>
  <c r="M1076" i="10"/>
  <c r="M1058" i="9"/>
  <c r="M1119" i="12"/>
  <c r="M1024" i="14"/>
  <c r="M1075" i="10"/>
  <c r="M1020" i="14"/>
  <c r="M1078" i="10"/>
  <c r="M1060" i="9"/>
  <c r="M1052" i="9"/>
  <c r="S182" i="14" l="1"/>
  <c r="I411" i="14"/>
  <c r="Q485" i="14"/>
  <c r="R18" i="14"/>
  <c r="R281" i="14"/>
  <c r="M769" i="14"/>
  <c r="J488" i="14"/>
  <c r="Q436" i="14"/>
  <c r="R791" i="14"/>
  <c r="R767" i="14"/>
  <c r="L838" i="14"/>
  <c r="L13" i="14" s="1"/>
  <c r="R568" i="14"/>
  <c r="R799" i="14"/>
  <c r="E485" i="14"/>
  <c r="R597" i="14"/>
  <c r="R354" i="14"/>
  <c r="R88" i="14"/>
  <c r="R719" i="14"/>
  <c r="R173" i="14"/>
  <c r="Q125" i="14"/>
  <c r="R465" i="14"/>
  <c r="R528" i="14"/>
  <c r="M814" i="14"/>
  <c r="AJ887" i="14"/>
  <c r="R411" i="14"/>
  <c r="AD362" i="14"/>
  <c r="AM362" i="14" s="1"/>
  <c r="B1018" i="14"/>
  <c r="Q1018" i="14" s="1"/>
  <c r="B1026" i="14"/>
  <c r="Q1026" i="14" s="1"/>
  <c r="B1019" i="14"/>
  <c r="Q1019" i="14" s="1"/>
  <c r="B1023" i="14"/>
  <c r="Q1023" i="14" s="1"/>
  <c r="B1022" i="14"/>
  <c r="Q1022" i="14" s="1"/>
  <c r="B1021" i="14"/>
  <c r="Q1021" i="14" s="1"/>
  <c r="B1016" i="14"/>
  <c r="Q1016" i="14" s="1"/>
  <c r="B1017" i="14"/>
  <c r="Q1017" i="14" s="1"/>
  <c r="B1015" i="14"/>
  <c r="Q1015" i="14" s="1"/>
  <c r="B1024" i="14"/>
  <c r="Q1024" i="14" s="1"/>
  <c r="B1025" i="14"/>
  <c r="Q1025" i="14" s="1"/>
  <c r="B1020" i="14"/>
  <c r="Q1020" i="14" s="1"/>
  <c r="C442" i="14"/>
  <c r="G441" i="14"/>
  <c r="I436" i="14"/>
  <c r="O853" i="14"/>
  <c r="D693" i="14"/>
  <c r="D682" i="14"/>
  <c r="Q973" i="14"/>
  <c r="R973" i="14" s="1"/>
  <c r="Q969" i="14"/>
  <c r="R969" i="14" s="1"/>
  <c r="Q965" i="14"/>
  <c r="R965" i="14" s="1"/>
  <c r="Q968" i="14"/>
  <c r="R968" i="14" s="1"/>
  <c r="AO846" i="14"/>
  <c r="AF846" i="14"/>
  <c r="H997" i="14"/>
  <c r="AH952" i="14"/>
  <c r="AH917" i="14"/>
  <c r="N832" i="14"/>
  <c r="Q832" i="14" s="1"/>
  <c r="Q801" i="14"/>
  <c r="R810" i="14"/>
  <c r="AS890" i="14"/>
  <c r="AH890" i="14"/>
  <c r="N772" i="14"/>
  <c r="Q769" i="14"/>
  <c r="H995" i="14"/>
  <c r="AH950" i="14"/>
  <c r="AH915" i="14"/>
  <c r="Q857" i="14"/>
  <c r="J775" i="14"/>
  <c r="N680" i="14"/>
  <c r="Q677" i="14"/>
  <c r="Q441" i="14"/>
  <c r="N442" i="14"/>
  <c r="K442" i="14"/>
  <c r="H815" i="14"/>
  <c r="H830" i="14"/>
  <c r="H838" i="14" s="1"/>
  <c r="H13" i="14" s="1"/>
  <c r="N532" i="14"/>
  <c r="Q529" i="14"/>
  <c r="Q971" i="14"/>
  <c r="R971" i="14" s="1"/>
  <c r="H998" i="14"/>
  <c r="AH953" i="14"/>
  <c r="AH918" i="14"/>
  <c r="Q972" i="14"/>
  <c r="R972" i="14" s="1"/>
  <c r="AH949" i="14"/>
  <c r="AH914" i="14"/>
  <c r="H994" i="14"/>
  <c r="AO842" i="14"/>
  <c r="AF842" i="14"/>
  <c r="AD855" i="14"/>
  <c r="R742" i="14"/>
  <c r="Q855" i="14"/>
  <c r="G775" i="14"/>
  <c r="AJ883" i="14"/>
  <c r="AJ888" i="14"/>
  <c r="K774" i="14"/>
  <c r="M774" i="14" s="1"/>
  <c r="K773" i="14"/>
  <c r="H993" i="14"/>
  <c r="AH913" i="14"/>
  <c r="AH948" i="14"/>
  <c r="Q862" i="14"/>
  <c r="P775" i="14"/>
  <c r="P634" i="14"/>
  <c r="R557" i="14"/>
  <c r="L815" i="14"/>
  <c r="L775" i="14"/>
  <c r="Q859" i="14"/>
  <c r="F680" i="14"/>
  <c r="I677" i="14"/>
  <c r="R677" i="14" s="1"/>
  <c r="H533" i="14"/>
  <c r="J796" i="14"/>
  <c r="M790" i="14"/>
  <c r="O634" i="14"/>
  <c r="M125" i="14"/>
  <c r="J128" i="14"/>
  <c r="I485" i="14"/>
  <c r="N796" i="14"/>
  <c r="Q790" i="14"/>
  <c r="I62" i="14"/>
  <c r="F63" i="14"/>
  <c r="B63" i="14"/>
  <c r="E62" i="14"/>
  <c r="J292" i="14"/>
  <c r="I997" i="14"/>
  <c r="G945" i="14"/>
  <c r="G972" i="14" s="1"/>
  <c r="E803" i="14"/>
  <c r="R803" i="14" s="1"/>
  <c r="AJ877" i="14"/>
  <c r="AD890" i="14"/>
  <c r="I991" i="14"/>
  <c r="G939" i="14"/>
  <c r="E769" i="14"/>
  <c r="B772" i="14"/>
  <c r="AJ882" i="14"/>
  <c r="H634" i="14"/>
  <c r="C588" i="14"/>
  <c r="J834" i="14"/>
  <c r="M834" i="14" s="1"/>
  <c r="M805" i="14"/>
  <c r="M584" i="14"/>
  <c r="J587" i="14"/>
  <c r="N588" i="14"/>
  <c r="Q587" i="14"/>
  <c r="P533" i="14"/>
  <c r="E125" i="14"/>
  <c r="B128" i="14"/>
  <c r="R832" i="14"/>
  <c r="M633" i="14"/>
  <c r="J634" i="14"/>
  <c r="F796" i="14"/>
  <c r="I790" i="14"/>
  <c r="Q853" i="14"/>
  <c r="D775" i="14"/>
  <c r="Q964" i="14"/>
  <c r="R964" i="14" s="1"/>
  <c r="AJ885" i="14"/>
  <c r="R936" i="14"/>
  <c r="R949" i="14" s="1"/>
  <c r="G941" i="14"/>
  <c r="I993" i="14"/>
  <c r="AJ881" i="14"/>
  <c r="AH946" i="14"/>
  <c r="AH911" i="14"/>
  <c r="H991" i="14"/>
  <c r="I999" i="14"/>
  <c r="G947" i="14"/>
  <c r="AJ886" i="14"/>
  <c r="G970" i="14"/>
  <c r="AK849" i="14"/>
  <c r="I814" i="14"/>
  <c r="F836" i="14"/>
  <c r="I836" i="14" s="1"/>
  <c r="AF890" i="14"/>
  <c r="Q814" i="14"/>
  <c r="N836" i="14"/>
  <c r="Q836" i="14" s="1"/>
  <c r="P726" i="14"/>
  <c r="P725" i="14"/>
  <c r="AO849" i="14"/>
  <c r="AF849" i="14"/>
  <c r="AF853" i="14"/>
  <c r="AO853" i="14"/>
  <c r="H999" i="14"/>
  <c r="AH954" i="14"/>
  <c r="AH919" i="14"/>
  <c r="I813" i="14"/>
  <c r="R813" i="14" s="1"/>
  <c r="R704" i="14"/>
  <c r="K588" i="14"/>
  <c r="M529" i="14"/>
  <c r="J532" i="14"/>
  <c r="Q630" i="14"/>
  <c r="B724" i="14"/>
  <c r="E720" i="14"/>
  <c r="M200" i="14"/>
  <c r="J724" i="14"/>
  <c r="M720" i="14"/>
  <c r="M680" i="14"/>
  <c r="J681" i="14"/>
  <c r="M630" i="14"/>
  <c r="F442" i="14"/>
  <c r="E291" i="14"/>
  <c r="B292" i="14"/>
  <c r="I989" i="14"/>
  <c r="G937" i="14"/>
  <c r="I988" i="14"/>
  <c r="G936" i="14"/>
  <c r="G921" i="14"/>
  <c r="G946" i="14"/>
  <c r="I998" i="14"/>
  <c r="AE890" i="14"/>
  <c r="B836" i="14"/>
  <c r="E836" i="14" s="1"/>
  <c r="E814" i="14"/>
  <c r="G965" i="14"/>
  <c r="AK844" i="14"/>
  <c r="I992" i="14"/>
  <c r="G940" i="14"/>
  <c r="C726" i="14"/>
  <c r="C725" i="14"/>
  <c r="E587" i="14"/>
  <c r="B588" i="14"/>
  <c r="Q488" i="14"/>
  <c r="N489" i="14"/>
  <c r="N634" i="14"/>
  <c r="Q633" i="14"/>
  <c r="D442" i="14"/>
  <c r="F532" i="14"/>
  <c r="I529" i="14"/>
  <c r="M488" i="14"/>
  <c r="J489" i="14"/>
  <c r="E633" i="14"/>
  <c r="B634" i="14"/>
  <c r="J442" i="14"/>
  <c r="M441" i="14"/>
  <c r="N63" i="14"/>
  <c r="Q62" i="14"/>
  <c r="AD1012" i="14"/>
  <c r="Q967" i="14"/>
  <c r="R967" i="14" s="1"/>
  <c r="Q974" i="14"/>
  <c r="R974" i="14" s="1"/>
  <c r="Q963" i="14"/>
  <c r="R963" i="14" s="1"/>
  <c r="H992" i="14"/>
  <c r="AH912" i="14"/>
  <c r="AH947" i="14"/>
  <c r="R808" i="14"/>
  <c r="AO851" i="14"/>
  <c r="AF851" i="14"/>
  <c r="I769" i="14"/>
  <c r="F772" i="14"/>
  <c r="AH943" i="14"/>
  <c r="H988" i="14"/>
  <c r="AH908" i="14"/>
  <c r="F921" i="14"/>
  <c r="E805" i="14"/>
  <c r="AF847" i="14"/>
  <c r="AO847" i="14"/>
  <c r="Q724" i="14"/>
  <c r="N726" i="14"/>
  <c r="N725" i="14"/>
  <c r="Q970" i="14"/>
  <c r="R970" i="14" s="1"/>
  <c r="L693" i="14"/>
  <c r="O859" i="14"/>
  <c r="L682" i="14"/>
  <c r="E584" i="14"/>
  <c r="K725" i="14"/>
  <c r="K726" i="14"/>
  <c r="I630" i="14"/>
  <c r="P815" i="14"/>
  <c r="P830" i="14"/>
  <c r="P838" i="14" s="1"/>
  <c r="P13" i="14" s="1"/>
  <c r="C830" i="14"/>
  <c r="C838" i="14" s="1"/>
  <c r="C13" i="14" s="1"/>
  <c r="C815" i="14"/>
  <c r="K830" i="14"/>
  <c r="K838" i="14" s="1"/>
  <c r="K13" i="14" s="1"/>
  <c r="K815" i="14"/>
  <c r="L292" i="14"/>
  <c r="M836" i="14"/>
  <c r="E680" i="14"/>
  <c r="B681" i="14"/>
  <c r="E630" i="14"/>
  <c r="F588" i="14"/>
  <c r="I587" i="14"/>
  <c r="R434" i="14"/>
  <c r="O775" i="14"/>
  <c r="Q861" i="14"/>
  <c r="M436" i="14"/>
  <c r="P861" i="14"/>
  <c r="O727" i="14"/>
  <c r="O692" i="14"/>
  <c r="K283" i="14"/>
  <c r="Q966" i="14"/>
  <c r="R966" i="14" s="1"/>
  <c r="H990" i="14"/>
  <c r="AH945" i="14"/>
  <c r="AH910" i="14"/>
  <c r="AJ880" i="14"/>
  <c r="AH944" i="14"/>
  <c r="AH909" i="14"/>
  <c r="H989" i="14"/>
  <c r="I994" i="14"/>
  <c r="G942" i="14"/>
  <c r="F805" i="14"/>
  <c r="R996" i="14"/>
  <c r="AQ951" i="14"/>
  <c r="AQ916" i="14"/>
  <c r="AG890" i="14"/>
  <c r="E834" i="14"/>
  <c r="K634" i="14"/>
  <c r="C774" i="14"/>
  <c r="C773" i="14"/>
  <c r="P853" i="14"/>
  <c r="D727" i="14"/>
  <c r="E488" i="14"/>
  <c r="R488" i="14" s="1"/>
  <c r="B489" i="14"/>
  <c r="F634" i="14"/>
  <c r="I633" i="14"/>
  <c r="O292" i="14"/>
  <c r="E436" i="14"/>
  <c r="B441" i="14"/>
  <c r="B796" i="14"/>
  <c r="E790" i="14"/>
  <c r="R790" i="14" s="1"/>
  <c r="T806" i="14" s="1"/>
  <c r="R505" i="14"/>
  <c r="P856" i="14"/>
  <c r="H727" i="14"/>
  <c r="O489" i="14"/>
  <c r="O830" i="14"/>
  <c r="O838" i="14" s="1"/>
  <c r="O13" i="14" s="1"/>
  <c r="O815" i="14"/>
  <c r="P855" i="14"/>
  <c r="G727" i="14"/>
  <c r="G692" i="14"/>
  <c r="D815" i="14"/>
  <c r="D830" i="14"/>
  <c r="D838" i="14" s="1"/>
  <c r="D13" i="14" s="1"/>
  <c r="F291" i="14"/>
  <c r="I283" i="14"/>
  <c r="J63" i="14"/>
  <c r="M62" i="14"/>
  <c r="AJ878" i="14"/>
  <c r="M772" i="14"/>
  <c r="C634" i="14"/>
  <c r="F832" i="14"/>
  <c r="I832" i="14" s="1"/>
  <c r="I801" i="14"/>
  <c r="R801" i="14" s="1"/>
  <c r="R690" i="14"/>
  <c r="G292" i="14"/>
  <c r="P854" i="14"/>
  <c r="F727" i="14"/>
  <c r="I726" i="14"/>
  <c r="H773" i="14"/>
  <c r="H774" i="14"/>
  <c r="H588" i="14"/>
  <c r="G489" i="14"/>
  <c r="N834" i="14"/>
  <c r="Q834" i="14" s="1"/>
  <c r="Q805" i="14"/>
  <c r="E529" i="14"/>
  <c r="B532" i="14"/>
  <c r="P588" i="14"/>
  <c r="G830" i="14"/>
  <c r="G838" i="14" s="1"/>
  <c r="G13" i="14" s="1"/>
  <c r="G815" i="14"/>
  <c r="I200" i="14"/>
  <c r="R200" i="14" s="1"/>
  <c r="N291" i="14"/>
  <c r="Q283" i="14"/>
  <c r="D879" i="13"/>
  <c r="D878" i="13"/>
  <c r="G521" i="13"/>
  <c r="G877" i="13"/>
  <c r="I874" i="13"/>
  <c r="M317" i="13"/>
  <c r="J325" i="13"/>
  <c r="K521" i="13"/>
  <c r="T304" i="13"/>
  <c r="N617" i="13"/>
  <c r="Q616" i="13"/>
  <c r="O326" i="13"/>
  <c r="R915" i="13"/>
  <c r="H878" i="13"/>
  <c r="H879" i="13"/>
  <c r="B824" i="13"/>
  <c r="E820" i="13"/>
  <c r="R692" i="13"/>
  <c r="P826" i="13"/>
  <c r="P825" i="13"/>
  <c r="M725" i="13"/>
  <c r="J728" i="13"/>
  <c r="D617" i="13"/>
  <c r="L729" i="13"/>
  <c r="R790" i="13"/>
  <c r="P572" i="13"/>
  <c r="R189" i="13"/>
  <c r="U189" i="13" s="1"/>
  <c r="M908" i="13"/>
  <c r="M895" i="13"/>
  <c r="J901" i="13"/>
  <c r="F901" i="13"/>
  <c r="I895" i="13"/>
  <c r="R43" i="13"/>
  <c r="M61" i="13"/>
  <c r="R61" i="13" s="1"/>
  <c r="J64" i="13"/>
  <c r="H65" i="13"/>
  <c r="G136" i="13"/>
  <c r="B877" i="13"/>
  <c r="E874" i="13"/>
  <c r="H326" i="13"/>
  <c r="B939" i="13"/>
  <c r="N941" i="13"/>
  <c r="Q941" i="13" s="1"/>
  <c r="Q919" i="13"/>
  <c r="N878" i="13"/>
  <c r="N879" i="13"/>
  <c r="Q877" i="13"/>
  <c r="R862" i="13"/>
  <c r="P729" i="13"/>
  <c r="Q679" i="13"/>
  <c r="N682" i="13"/>
  <c r="Q996" i="13"/>
  <c r="Q1024" i="13"/>
  <c r="H572" i="13"/>
  <c r="H729" i="13"/>
  <c r="Q297" i="13"/>
  <c r="E895" i="13"/>
  <c r="B901" i="13"/>
  <c r="B617" i="13"/>
  <c r="E616" i="13"/>
  <c r="J515" i="13"/>
  <c r="C515" i="13"/>
  <c r="C520" i="13" s="1"/>
  <c r="G935" i="13"/>
  <c r="L326" i="13"/>
  <c r="I61" i="13"/>
  <c r="F64" i="13"/>
  <c r="R903" i="13"/>
  <c r="Q874" i="13"/>
  <c r="N937" i="13"/>
  <c r="Q937" i="13" s="1"/>
  <c r="Q906" i="13"/>
  <c r="H826" i="13"/>
  <c r="H825" i="13"/>
  <c r="G729" i="13"/>
  <c r="R643" i="13"/>
  <c r="P781" i="13"/>
  <c r="B780" i="13"/>
  <c r="E777" i="13"/>
  <c r="R777" i="13" s="1"/>
  <c r="N826" i="13"/>
  <c r="N825" i="13"/>
  <c r="Q824" i="13"/>
  <c r="M679" i="13"/>
  <c r="Q909" i="13"/>
  <c r="R181" i="13"/>
  <c r="S199" i="13" s="1"/>
  <c r="E613" i="13"/>
  <c r="K572" i="13"/>
  <c r="L521" i="13"/>
  <c r="P987" i="13"/>
  <c r="P1015" i="13"/>
  <c r="R29" i="13"/>
  <c r="P317" i="13"/>
  <c r="P325" i="13" s="1"/>
  <c r="O521" i="13"/>
  <c r="F937" i="13"/>
  <c r="I937" i="13" s="1"/>
  <c r="R937" i="13" s="1"/>
  <c r="I906" i="13"/>
  <c r="R906" i="13" s="1"/>
  <c r="F879" i="13"/>
  <c r="I877" i="13"/>
  <c r="F878" i="13"/>
  <c r="J824" i="13"/>
  <c r="M820" i="13"/>
  <c r="E679" i="13"/>
  <c r="P957" i="13"/>
  <c r="C827" i="13"/>
  <c r="G572" i="13"/>
  <c r="D943" i="13"/>
  <c r="D13" i="13" s="1"/>
  <c r="O572" i="13"/>
  <c r="K935" i="13"/>
  <c r="K943" i="13" s="1"/>
  <c r="K13" i="13" s="1"/>
  <c r="K920" i="13"/>
  <c r="M941" i="13"/>
  <c r="F939" i="13"/>
  <c r="L920" i="13"/>
  <c r="L935" i="13"/>
  <c r="L943" i="13" s="1"/>
  <c r="L13" i="13" s="1"/>
  <c r="H920" i="13"/>
  <c r="B571" i="13"/>
  <c r="E568" i="13"/>
  <c r="M297" i="13"/>
  <c r="G317" i="13"/>
  <c r="G325" i="13" s="1"/>
  <c r="F824" i="13"/>
  <c r="I820" i="13"/>
  <c r="R400" i="13"/>
  <c r="P935" i="13"/>
  <c r="P943" i="13" s="1"/>
  <c r="P13" i="13" s="1"/>
  <c r="P920" i="13"/>
  <c r="C683" i="13"/>
  <c r="M910" i="13"/>
  <c r="J939" i="13"/>
  <c r="M939" i="13" s="1"/>
  <c r="H521" i="13"/>
  <c r="C878" i="13"/>
  <c r="C879" i="13"/>
  <c r="C792" i="13" s="1"/>
  <c r="I777" i="13"/>
  <c r="F780" i="13"/>
  <c r="M874" i="13"/>
  <c r="K683" i="13"/>
  <c r="L572" i="13"/>
  <c r="Q777" i="13"/>
  <c r="N780" i="13"/>
  <c r="R804" i="13"/>
  <c r="P960" i="13"/>
  <c r="G827" i="13"/>
  <c r="D920" i="13"/>
  <c r="F617" i="13"/>
  <c r="I616" i="13"/>
  <c r="C935" i="13"/>
  <c r="G910" i="13"/>
  <c r="G939" i="13" s="1"/>
  <c r="M919" i="13"/>
  <c r="I908" i="13"/>
  <c r="R908" i="13" s="1"/>
  <c r="Q488" i="13"/>
  <c r="R488" i="13" s="1"/>
  <c r="H943" i="13"/>
  <c r="H13" i="13" s="1"/>
  <c r="R297" i="13"/>
  <c r="R14" i="13"/>
  <c r="N515" i="13"/>
  <c r="D136" i="13"/>
  <c r="R420" i="13"/>
  <c r="E515" i="13"/>
  <c r="B520" i="13"/>
  <c r="Q132" i="13"/>
  <c r="N135" i="13"/>
  <c r="P65" i="13"/>
  <c r="E64" i="13"/>
  <c r="B65" i="13"/>
  <c r="O879" i="13"/>
  <c r="O878" i="13"/>
  <c r="L617" i="13"/>
  <c r="R919" i="13"/>
  <c r="M777" i="13"/>
  <c r="J780" i="13"/>
  <c r="K878" i="13"/>
  <c r="K879" i="13"/>
  <c r="D729" i="13"/>
  <c r="J878" i="13"/>
  <c r="J879" i="13"/>
  <c r="M877" i="13"/>
  <c r="K729" i="13"/>
  <c r="D572" i="13"/>
  <c r="R708" i="13"/>
  <c r="O935" i="13"/>
  <c r="O943" i="13" s="1"/>
  <c r="O13" i="13" s="1"/>
  <c r="O920" i="13"/>
  <c r="N901" i="13"/>
  <c r="Q895" i="13"/>
  <c r="N939" i="13"/>
  <c r="Q939" i="13" s="1"/>
  <c r="Q910" i="13"/>
  <c r="M909" i="13"/>
  <c r="R909" i="13" s="1"/>
  <c r="I568" i="13"/>
  <c r="M568" i="13"/>
  <c r="E317" i="13"/>
  <c r="B325" i="13"/>
  <c r="K136" i="13"/>
  <c r="Q400" i="13"/>
  <c r="M132" i="13"/>
  <c r="R132" i="13" s="1"/>
  <c r="J135" i="13"/>
  <c r="R130" i="13"/>
  <c r="K326" i="13"/>
  <c r="E135" i="13"/>
  <c r="B136" i="13"/>
  <c r="N317" i="13"/>
  <c r="Q217" i="13"/>
  <c r="L878" i="13"/>
  <c r="L879" i="13"/>
  <c r="E941" i="13"/>
  <c r="R941" i="13" s="1"/>
  <c r="P964" i="13"/>
  <c r="L827" i="13"/>
  <c r="R716" i="13"/>
  <c r="O825" i="13"/>
  <c r="O826" i="13"/>
  <c r="Q725" i="13"/>
  <c r="M613" i="13"/>
  <c r="J616" i="13"/>
  <c r="I725" i="13"/>
  <c r="I679" i="13"/>
  <c r="F682" i="13"/>
  <c r="R558" i="13"/>
  <c r="E725" i="13"/>
  <c r="B728" i="13"/>
  <c r="Q908" i="13"/>
  <c r="R217" i="13"/>
  <c r="F317" i="13"/>
  <c r="I217" i="13"/>
  <c r="F572" i="13"/>
  <c r="I571" i="13"/>
  <c r="F515" i="13"/>
  <c r="M571" i="13"/>
  <c r="J572" i="13"/>
  <c r="C136" i="13"/>
  <c r="S84" i="13"/>
  <c r="P963" i="13"/>
  <c r="K827" i="13"/>
  <c r="C910" i="13"/>
  <c r="C939" i="13" s="1"/>
  <c r="R59" i="13"/>
  <c r="L136" i="13"/>
  <c r="N64" i="13"/>
  <c r="Q61" i="13"/>
  <c r="B1121" i="12"/>
  <c r="Q1121" i="12" s="1"/>
  <c r="B1124" i="12"/>
  <c r="Q1124" i="12" s="1"/>
  <c r="B1126" i="12"/>
  <c r="Q1126" i="12" s="1"/>
  <c r="B1125" i="12"/>
  <c r="Q1125" i="12" s="1"/>
  <c r="B1123" i="12"/>
  <c r="Q1123" i="12" s="1"/>
  <c r="B1122" i="12"/>
  <c r="Q1122" i="12" s="1"/>
  <c r="B1127" i="12"/>
  <c r="Q1127" i="12" s="1"/>
  <c r="B1118" i="12"/>
  <c r="Q1118" i="12" s="1"/>
  <c r="B1128" i="12"/>
  <c r="Q1128" i="12" s="1"/>
  <c r="B1120" i="12"/>
  <c r="Q1120" i="12" s="1"/>
  <c r="B1129" i="12"/>
  <c r="Q1129" i="12" s="1"/>
  <c r="B1119" i="12"/>
  <c r="Q1119" i="12" s="1"/>
  <c r="D329" i="12"/>
  <c r="L329" i="12"/>
  <c r="J328" i="12"/>
  <c r="AH1141" i="12"/>
  <c r="AH1140" i="12"/>
  <c r="H1092" i="12"/>
  <c r="AH1047" i="12"/>
  <c r="AH1012" i="12"/>
  <c r="C939" i="12"/>
  <c r="E939" i="12" s="1"/>
  <c r="E917" i="12"/>
  <c r="J939" i="12"/>
  <c r="M939" i="12" s="1"/>
  <c r="M917" i="12"/>
  <c r="H781" i="12"/>
  <c r="K918" i="12"/>
  <c r="G521" i="12"/>
  <c r="I1102" i="12"/>
  <c r="Y1102" i="12" s="1"/>
  <c r="G1050" i="12"/>
  <c r="G1073" i="12"/>
  <c r="AK952" i="12"/>
  <c r="AJ980" i="12"/>
  <c r="AD993" i="12"/>
  <c r="I1092" i="12"/>
  <c r="Y1092" i="12" s="1"/>
  <c r="G1040" i="12"/>
  <c r="I1093" i="12"/>
  <c r="Y1093" i="12" s="1"/>
  <c r="G1041" i="12"/>
  <c r="E935" i="12"/>
  <c r="AG1128" i="12"/>
  <c r="AG1129" i="12"/>
  <c r="AO947" i="12"/>
  <c r="AF947" i="12"/>
  <c r="AD958" i="12"/>
  <c r="R860" i="12"/>
  <c r="P958" i="12"/>
  <c r="G827" i="12"/>
  <c r="G792" i="12"/>
  <c r="N825" i="12"/>
  <c r="N826" i="12"/>
  <c r="Q824" i="12"/>
  <c r="C918" i="12"/>
  <c r="G918" i="12"/>
  <c r="R747" i="12"/>
  <c r="E299" i="12"/>
  <c r="L933" i="12"/>
  <c r="L941" i="12" s="1"/>
  <c r="L13" i="12" s="1"/>
  <c r="L918" i="12"/>
  <c r="K941" i="12"/>
  <c r="K13" i="12" s="1"/>
  <c r="R716" i="12"/>
  <c r="I59" i="12"/>
  <c r="Q138" i="12"/>
  <c r="N139" i="12"/>
  <c r="I1094" i="12"/>
  <c r="Y1094" i="12" s="1"/>
  <c r="G1042" i="12"/>
  <c r="G1076" i="12"/>
  <c r="AK955" i="12"/>
  <c r="AJ986" i="12"/>
  <c r="F939" i="12"/>
  <c r="I939" i="12" s="1"/>
  <c r="I917" i="12"/>
  <c r="I1091" i="12"/>
  <c r="Y1091" i="12" s="1"/>
  <c r="G1039" i="12"/>
  <c r="G1024" i="12"/>
  <c r="H876" i="12"/>
  <c r="H877" i="12"/>
  <c r="F728" i="12"/>
  <c r="I725" i="12"/>
  <c r="R902" i="12"/>
  <c r="C781" i="12"/>
  <c r="C782" i="12"/>
  <c r="Q961" i="12"/>
  <c r="K878" i="12"/>
  <c r="H320" i="12"/>
  <c r="H328" i="12" s="1"/>
  <c r="D521" i="12"/>
  <c r="D933" i="12"/>
  <c r="D941" i="12" s="1"/>
  <c r="D13" i="12" s="1"/>
  <c r="D918" i="12"/>
  <c r="P959" i="12"/>
  <c r="H827" i="12"/>
  <c r="F320" i="12"/>
  <c r="I220" i="12"/>
  <c r="R220" i="12" s="1"/>
  <c r="P955" i="12"/>
  <c r="C827" i="12"/>
  <c r="C792" i="12"/>
  <c r="R135" i="12"/>
  <c r="AD406" i="12"/>
  <c r="AM406" i="12" s="1"/>
  <c r="M515" i="12"/>
  <c r="J520" i="12"/>
  <c r="N515" i="12"/>
  <c r="H1095" i="12"/>
  <c r="X1095" i="12" s="1"/>
  <c r="AH1050" i="12"/>
  <c r="AH1015" i="12"/>
  <c r="N939" i="12"/>
  <c r="Q939" i="12" s="1"/>
  <c r="Q917" i="12"/>
  <c r="N780" i="12"/>
  <c r="Q777" i="12"/>
  <c r="L521" i="12"/>
  <c r="F571" i="12"/>
  <c r="I568" i="12"/>
  <c r="AH1016" i="12"/>
  <c r="H1096" i="12"/>
  <c r="X1096" i="12" s="1"/>
  <c r="AH1051" i="12"/>
  <c r="AJ985" i="12"/>
  <c r="AH1144" i="12"/>
  <c r="AH1143" i="12"/>
  <c r="AH1150" i="12"/>
  <c r="AH1149" i="12"/>
  <c r="I1097" i="12"/>
  <c r="Y1097" i="12" s="1"/>
  <c r="G1045" i="12"/>
  <c r="H1097" i="12"/>
  <c r="X1097" i="12" s="1"/>
  <c r="AH1052" i="12"/>
  <c r="AH1017" i="12"/>
  <c r="L876" i="12"/>
  <c r="L877" i="12"/>
  <c r="M904" i="12"/>
  <c r="R898" i="12"/>
  <c r="J826" i="12"/>
  <c r="J825" i="12"/>
  <c r="M824" i="12"/>
  <c r="I777" i="12"/>
  <c r="R723" i="12"/>
  <c r="F679" i="12"/>
  <c r="I644" i="12"/>
  <c r="R644" i="12" s="1"/>
  <c r="O918" i="12"/>
  <c r="O933" i="12"/>
  <c r="O941" i="12" s="1"/>
  <c r="O13" i="12" s="1"/>
  <c r="P1013" i="12"/>
  <c r="P985" i="12"/>
  <c r="C617" i="12"/>
  <c r="M893" i="12"/>
  <c r="M59" i="12"/>
  <c r="J62" i="12"/>
  <c r="R513" i="12"/>
  <c r="K320" i="12"/>
  <c r="K328" i="12" s="1"/>
  <c r="M400" i="12"/>
  <c r="R400" i="12" s="1"/>
  <c r="AD1115" i="12"/>
  <c r="AE993" i="12"/>
  <c r="AJ990" i="12"/>
  <c r="G1070" i="12"/>
  <c r="AK949" i="12"/>
  <c r="D876" i="12"/>
  <c r="D877" i="12"/>
  <c r="M908" i="12"/>
  <c r="J937" i="12"/>
  <c r="M937" i="12" s="1"/>
  <c r="M935" i="12"/>
  <c r="M872" i="12"/>
  <c r="J875" i="12"/>
  <c r="R790" i="12"/>
  <c r="F875" i="12"/>
  <c r="I872" i="12"/>
  <c r="K729" i="12"/>
  <c r="Q964" i="12"/>
  <c r="O878" i="12"/>
  <c r="O792" i="12"/>
  <c r="N875" i="12"/>
  <c r="Q872" i="12"/>
  <c r="J616" i="12"/>
  <c r="M613" i="12"/>
  <c r="M899" i="12"/>
  <c r="J918" i="12"/>
  <c r="M918" i="12" s="1"/>
  <c r="J933" i="12"/>
  <c r="E59" i="12"/>
  <c r="B62" i="12"/>
  <c r="B682" i="12"/>
  <c r="E679" i="12"/>
  <c r="C320" i="12"/>
  <c r="C328" i="12" s="1"/>
  <c r="D568" i="12"/>
  <c r="D571" i="12" s="1"/>
  <c r="Q220" i="12"/>
  <c r="F515" i="12"/>
  <c r="I138" i="12"/>
  <c r="F139" i="12"/>
  <c r="AO952" i="12"/>
  <c r="AF952" i="12"/>
  <c r="Q893" i="12"/>
  <c r="N899" i="12"/>
  <c r="K617" i="12"/>
  <c r="R488" i="12"/>
  <c r="P961" i="12"/>
  <c r="K827" i="12"/>
  <c r="K792" i="12"/>
  <c r="F63" i="12"/>
  <c r="I62" i="12"/>
  <c r="AF993" i="12"/>
  <c r="I1100" i="12"/>
  <c r="Y1100" i="12" s="1"/>
  <c r="G1048" i="12"/>
  <c r="G1075" i="12" s="1"/>
  <c r="AJ987" i="12"/>
  <c r="H1101" i="12"/>
  <c r="X1101" i="12" s="1"/>
  <c r="AH1056" i="12"/>
  <c r="AH1021" i="12"/>
  <c r="E908" i="12"/>
  <c r="B937" i="12"/>
  <c r="E937" i="12" s="1"/>
  <c r="AH1132" i="12"/>
  <c r="AH1131" i="12"/>
  <c r="I1096" i="12"/>
  <c r="Y1096" i="12" s="1"/>
  <c r="G1044" i="12"/>
  <c r="G878" i="12"/>
  <c r="Q958" i="12"/>
  <c r="M725" i="12"/>
  <c r="J728" i="12"/>
  <c r="B826" i="12"/>
  <c r="E824" i="12"/>
  <c r="B825" i="12"/>
  <c r="J780" i="12"/>
  <c r="M777" i="12"/>
  <c r="G729" i="12"/>
  <c r="B616" i="12"/>
  <c r="E613" i="12"/>
  <c r="R613" i="12" s="1"/>
  <c r="Q907" i="12"/>
  <c r="N908" i="12"/>
  <c r="I907" i="12"/>
  <c r="R907" i="12" s="1"/>
  <c r="F908" i="12"/>
  <c r="L827" i="12"/>
  <c r="P962" i="12"/>
  <c r="M299" i="12"/>
  <c r="Q728" i="12"/>
  <c r="N729" i="12"/>
  <c r="P941" i="12"/>
  <c r="P13" i="12" s="1"/>
  <c r="AM407" i="12"/>
  <c r="R184" i="12"/>
  <c r="J683" i="12"/>
  <c r="M682" i="12"/>
  <c r="N328" i="12"/>
  <c r="Q320" i="12"/>
  <c r="R138" i="12"/>
  <c r="H1091" i="12"/>
  <c r="X1091" i="12" s="1"/>
  <c r="F1024" i="12"/>
  <c r="AH1046" i="12"/>
  <c r="AH1011" i="12"/>
  <c r="AH1024" i="12" s="1"/>
  <c r="AJ991" i="12"/>
  <c r="AS993" i="12"/>
  <c r="R901" i="12"/>
  <c r="P876" i="12"/>
  <c r="P877" i="12"/>
  <c r="I780" i="12"/>
  <c r="Q955" i="12"/>
  <c r="C878" i="12"/>
  <c r="R844" i="12"/>
  <c r="H521" i="12"/>
  <c r="B571" i="12"/>
  <c r="E568" i="12"/>
  <c r="R568" i="12" s="1"/>
  <c r="G329" i="12"/>
  <c r="J572" i="12"/>
  <c r="M571" i="12"/>
  <c r="E893" i="12"/>
  <c r="P918" i="12"/>
  <c r="E320" i="12"/>
  <c r="B328" i="12"/>
  <c r="H1102" i="12"/>
  <c r="X1102" i="12" s="1"/>
  <c r="AH1022" i="12"/>
  <c r="AH1057" i="12"/>
  <c r="H1098" i="12"/>
  <c r="X1098" i="12" s="1"/>
  <c r="AH1018" i="12"/>
  <c r="AH1053" i="12"/>
  <c r="P329" i="12"/>
  <c r="B780" i="12"/>
  <c r="E777" i="12"/>
  <c r="K521" i="12"/>
  <c r="AG1147" i="12"/>
  <c r="AG1146" i="12"/>
  <c r="AG1144" i="12"/>
  <c r="AG1143" i="12"/>
  <c r="AH993" i="12"/>
  <c r="R904" i="12"/>
  <c r="AF958" i="12"/>
  <c r="H1093" i="12"/>
  <c r="X1093" i="12" s="1"/>
  <c r="AH1048" i="12"/>
  <c r="AH1013" i="12"/>
  <c r="F825" i="12"/>
  <c r="I824" i="12"/>
  <c r="F826" i="12"/>
  <c r="C729" i="12"/>
  <c r="C730" i="12"/>
  <c r="P965" i="12"/>
  <c r="P827" i="12"/>
  <c r="P993" i="12"/>
  <c r="P1021" i="12"/>
  <c r="E872" i="12"/>
  <c r="R872" i="12" s="1"/>
  <c r="B875" i="12"/>
  <c r="C941" i="12"/>
  <c r="C13" i="12" s="1"/>
  <c r="G941" i="12"/>
  <c r="G13" i="12" s="1"/>
  <c r="E899" i="12"/>
  <c r="B918" i="12"/>
  <c r="E918" i="12" s="1"/>
  <c r="B933" i="12"/>
  <c r="O781" i="12"/>
  <c r="O782" i="12"/>
  <c r="B515" i="12"/>
  <c r="H918" i="12"/>
  <c r="H933" i="12"/>
  <c r="H941" i="12" s="1"/>
  <c r="H13" i="12" s="1"/>
  <c r="E725" i="12"/>
  <c r="B728" i="12"/>
  <c r="G63" i="12"/>
  <c r="I893" i="12"/>
  <c r="F899" i="12"/>
  <c r="N63" i="12"/>
  <c r="Q62" i="12"/>
  <c r="B1093" i="11"/>
  <c r="Q1093" i="11" s="1"/>
  <c r="B1091" i="11"/>
  <c r="Q1091" i="11" s="1"/>
  <c r="B1095" i="11"/>
  <c r="Q1095" i="11" s="1"/>
  <c r="B1094" i="11"/>
  <c r="Q1094" i="11" s="1"/>
  <c r="B1096" i="11"/>
  <c r="Q1096" i="11" s="1"/>
  <c r="B1098" i="11"/>
  <c r="Q1098" i="11" s="1"/>
  <c r="B1087" i="11"/>
  <c r="Q1087" i="11" s="1"/>
  <c r="B1089" i="11"/>
  <c r="Q1089" i="11" s="1"/>
  <c r="B1092" i="11"/>
  <c r="Q1092" i="11" s="1"/>
  <c r="B1088" i="11"/>
  <c r="Q1088" i="11" s="1"/>
  <c r="B1097" i="11"/>
  <c r="Q1097" i="11" s="1"/>
  <c r="B1090" i="11"/>
  <c r="Q1090" i="11" s="1"/>
  <c r="C491" i="11"/>
  <c r="G491" i="11"/>
  <c r="R870" i="11"/>
  <c r="AH1101" i="11"/>
  <c r="AH1100" i="11"/>
  <c r="AJ949" i="11"/>
  <c r="AJ955" i="11"/>
  <c r="R884" i="11"/>
  <c r="I1066" i="11"/>
  <c r="Y1066" i="11" s="1"/>
  <c r="G1014" i="11"/>
  <c r="I886" i="11"/>
  <c r="N751" i="11"/>
  <c r="Q748" i="11"/>
  <c r="P962" i="11"/>
  <c r="P990" i="11"/>
  <c r="C797" i="11"/>
  <c r="C796" i="11"/>
  <c r="L847" i="11"/>
  <c r="Q931" i="11"/>
  <c r="R761" i="11"/>
  <c r="G653" i="11"/>
  <c r="E458" i="11"/>
  <c r="H317" i="11"/>
  <c r="O962" i="11"/>
  <c r="O990" i="11"/>
  <c r="B845" i="11"/>
  <c r="B846" i="11"/>
  <c r="E844" i="11"/>
  <c r="R516" i="11"/>
  <c r="R404" i="11"/>
  <c r="G317" i="11"/>
  <c r="B308" i="11"/>
  <c r="E212" i="11"/>
  <c r="I386" i="11"/>
  <c r="F485" i="11"/>
  <c r="G910" i="11"/>
  <c r="G13" i="11" s="1"/>
  <c r="E62" i="11"/>
  <c r="B63" i="11"/>
  <c r="AD1080" i="11"/>
  <c r="AD1078" i="11"/>
  <c r="AD1081" i="11"/>
  <c r="AD1076" i="11"/>
  <c r="AD1074" i="11"/>
  <c r="AD1072" i="11"/>
  <c r="AD1070" i="11"/>
  <c r="AD1079" i="11"/>
  <c r="AD1077" i="11"/>
  <c r="AD1071" i="11"/>
  <c r="AD1069" i="11"/>
  <c r="AD1082" i="11"/>
  <c r="AD1067" i="11"/>
  <c r="AD1073" i="11"/>
  <c r="AD1068" i="11"/>
  <c r="AD1075" i="11"/>
  <c r="H1066" i="11"/>
  <c r="X1066" i="11" s="1"/>
  <c r="AH986" i="11"/>
  <c r="AH1021" i="11"/>
  <c r="H1062" i="11"/>
  <c r="X1062" i="11" s="1"/>
  <c r="AH1017" i="11"/>
  <c r="AH1028" i="11" s="1"/>
  <c r="AH982" i="11"/>
  <c r="AH993" i="11" s="1"/>
  <c r="N908" i="11"/>
  <c r="Q908" i="11" s="1"/>
  <c r="Q886" i="11"/>
  <c r="H846" i="11"/>
  <c r="H845" i="11"/>
  <c r="O934" i="11"/>
  <c r="P764" i="11"/>
  <c r="O925" i="11"/>
  <c r="D764" i="11"/>
  <c r="F846" i="11"/>
  <c r="I844" i="11"/>
  <c r="F845" i="11"/>
  <c r="P847" i="11"/>
  <c r="Q934" i="11"/>
  <c r="P934" i="11"/>
  <c r="P798" i="11"/>
  <c r="H586" i="11"/>
  <c r="E875" i="11"/>
  <c r="R875" i="11" s="1"/>
  <c r="B877" i="11"/>
  <c r="N868" i="11"/>
  <c r="Q862" i="11"/>
  <c r="K317" i="11"/>
  <c r="E862" i="11"/>
  <c r="B868" i="11"/>
  <c r="B490" i="11"/>
  <c r="E485" i="11"/>
  <c r="Q128" i="11"/>
  <c r="N131" i="11"/>
  <c r="AH1088" i="11"/>
  <c r="AH1089" i="11"/>
  <c r="F993" i="11"/>
  <c r="AH1121" i="11"/>
  <c r="AH1122" i="11"/>
  <c r="AH1079" i="11"/>
  <c r="AH1077" i="11"/>
  <c r="AH1082" i="11"/>
  <c r="AH1075" i="11"/>
  <c r="AH1073" i="11"/>
  <c r="AH1071" i="11"/>
  <c r="AH1080" i="11"/>
  <c r="AH1078" i="11"/>
  <c r="AH1083" i="11"/>
  <c r="AH1074" i="11"/>
  <c r="AH1065" i="11"/>
  <c r="X1061" i="11"/>
  <c r="AH1063" i="11"/>
  <c r="AH1061" i="11"/>
  <c r="AH1068" i="11"/>
  <c r="AH1076" i="11"/>
  <c r="AH1066" i="11"/>
  <c r="AH1072" i="11"/>
  <c r="AH1064" i="11"/>
  <c r="AH1062" i="11"/>
  <c r="AH1060" i="11"/>
  <c r="AH1081" i="11"/>
  <c r="AH1067" i="11"/>
  <c r="AH1069" i="11"/>
  <c r="AH1070" i="11"/>
  <c r="O906" i="11"/>
  <c r="Q906" i="11" s="1"/>
  <c r="Q877" i="11"/>
  <c r="AJ951" i="11"/>
  <c r="I1062" i="11"/>
  <c r="Y1062" i="11" s="1"/>
  <c r="G1010" i="11"/>
  <c r="F699" i="11"/>
  <c r="I698" i="11"/>
  <c r="J751" i="11"/>
  <c r="M748" i="11"/>
  <c r="I841" i="11"/>
  <c r="E649" i="11"/>
  <c r="B652" i="11"/>
  <c r="J540" i="11"/>
  <c r="M537" i="11"/>
  <c r="J795" i="11"/>
  <c r="M791" i="11"/>
  <c r="Q386" i="11"/>
  <c r="N485" i="11"/>
  <c r="N933" i="11"/>
  <c r="O754" i="11"/>
  <c r="H887" i="11"/>
  <c r="H902" i="11"/>
  <c r="H910" i="11" s="1"/>
  <c r="H13" i="11" s="1"/>
  <c r="P982" i="11"/>
  <c r="P954" i="11"/>
  <c r="J845" i="11"/>
  <c r="J846" i="11"/>
  <c r="K887" i="11"/>
  <c r="K902" i="11"/>
  <c r="K910" i="11" s="1"/>
  <c r="K13" i="11" s="1"/>
  <c r="C308" i="11"/>
  <c r="C316" i="11" s="1"/>
  <c r="R50" i="11"/>
  <c r="F887" i="11"/>
  <c r="I887" i="11" s="1"/>
  <c r="F902" i="11"/>
  <c r="I868" i="11"/>
  <c r="M131" i="11"/>
  <c r="J132" i="11"/>
  <c r="J63" i="11"/>
  <c r="M62" i="11"/>
  <c r="AD1072" i="10"/>
  <c r="AS962" i="11"/>
  <c r="AG1088" i="11"/>
  <c r="AG1089" i="11"/>
  <c r="H1070" i="11"/>
  <c r="X1070" i="11" s="1"/>
  <c r="AH1025" i="11"/>
  <c r="AH990" i="11"/>
  <c r="H1063" i="11"/>
  <c r="X1063" i="11" s="1"/>
  <c r="AH1018" i="11"/>
  <c r="AH983" i="11"/>
  <c r="AF927" i="11"/>
  <c r="I1065" i="11"/>
  <c r="Y1065" i="11" s="1"/>
  <c r="G1013" i="11"/>
  <c r="Q927" i="11"/>
  <c r="G847" i="11"/>
  <c r="I873" i="11"/>
  <c r="N904" i="11"/>
  <c r="Q904" i="11" s="1"/>
  <c r="Q873" i="11"/>
  <c r="R736" i="11"/>
  <c r="M885" i="11"/>
  <c r="Q925" i="11"/>
  <c r="D847" i="11"/>
  <c r="Q841" i="11"/>
  <c r="N844" i="11"/>
  <c r="K841" i="11"/>
  <c r="H491" i="11"/>
  <c r="R386" i="11"/>
  <c r="P910" i="11"/>
  <c r="P13" i="11" s="1"/>
  <c r="D753" i="11"/>
  <c r="I585" i="11"/>
  <c r="F586" i="11"/>
  <c r="K491" i="11"/>
  <c r="C887" i="11"/>
  <c r="C902" i="11"/>
  <c r="C910" i="11" s="1"/>
  <c r="C13" i="11" s="1"/>
  <c r="J308" i="11"/>
  <c r="M212" i="11"/>
  <c r="M128" i="11"/>
  <c r="G1046" i="11"/>
  <c r="AK925" i="11"/>
  <c r="AF962" i="11"/>
  <c r="AG1116" i="11"/>
  <c r="AG1115" i="11"/>
  <c r="AG962" i="11"/>
  <c r="G1038" i="11"/>
  <c r="AK917" i="11"/>
  <c r="AH1097" i="11"/>
  <c r="AH1098" i="11"/>
  <c r="J908" i="11"/>
  <c r="M908" i="11" s="1"/>
  <c r="M886" i="11"/>
  <c r="I1070" i="11"/>
  <c r="Y1070" i="11" s="1"/>
  <c r="G1018" i="11"/>
  <c r="R882" i="11"/>
  <c r="I904" i="11"/>
  <c r="K752" i="11"/>
  <c r="R779" i="11"/>
  <c r="H752" i="11"/>
  <c r="P752" i="11"/>
  <c r="P753" i="11"/>
  <c r="P985" i="11"/>
  <c r="P957" i="11"/>
  <c r="L317" i="11"/>
  <c r="J698" i="11"/>
  <c r="M695" i="11"/>
  <c r="K586" i="11"/>
  <c r="P887" i="11"/>
  <c r="D541" i="11"/>
  <c r="R678" i="11"/>
  <c r="P491" i="11"/>
  <c r="I649" i="11"/>
  <c r="I582" i="11"/>
  <c r="E582" i="11"/>
  <c r="M862" i="11"/>
  <c r="J868" i="11"/>
  <c r="K699" i="11"/>
  <c r="AD394" i="11"/>
  <c r="AM394" i="11" s="1"/>
  <c r="L132" i="11"/>
  <c r="I131" i="11"/>
  <c r="F132" i="11"/>
  <c r="N317" i="11"/>
  <c r="Q316" i="11"/>
  <c r="AH1113" i="11"/>
  <c r="AH1112" i="11"/>
  <c r="H1067" i="11"/>
  <c r="X1067" i="11" s="1"/>
  <c r="AH1022" i="11"/>
  <c r="AH987" i="11"/>
  <c r="B904" i="11"/>
  <c r="E904" i="11" s="1"/>
  <c r="R904" i="11" s="1"/>
  <c r="E873" i="11"/>
  <c r="E885" i="11"/>
  <c r="R885" i="11" s="1"/>
  <c r="H699" i="11"/>
  <c r="P930" i="11"/>
  <c r="K798" i="11"/>
  <c r="R718" i="11"/>
  <c r="Q695" i="11"/>
  <c r="N698" i="11"/>
  <c r="B795" i="11"/>
  <c r="E791" i="11"/>
  <c r="R791" i="11" s="1"/>
  <c r="L763" i="11"/>
  <c r="P931" i="11"/>
  <c r="L798" i="11"/>
  <c r="F751" i="11"/>
  <c r="I748" i="11"/>
  <c r="R558" i="11"/>
  <c r="D317" i="11"/>
  <c r="O653" i="11"/>
  <c r="Q649" i="11"/>
  <c r="B698" i="11"/>
  <c r="E695" i="11"/>
  <c r="R695" i="11" s="1"/>
  <c r="R484" i="11"/>
  <c r="D491" i="11"/>
  <c r="F653" i="11"/>
  <c r="I652" i="11"/>
  <c r="R343" i="11"/>
  <c r="N62" i="11"/>
  <c r="Q59" i="11"/>
  <c r="R59" i="11" s="1"/>
  <c r="B586" i="11"/>
  <c r="E585" i="11"/>
  <c r="I212" i="11"/>
  <c r="F308" i="11"/>
  <c r="G132" i="11"/>
  <c r="I128" i="11"/>
  <c r="R128" i="11" s="1"/>
  <c r="K132" i="11"/>
  <c r="AH1092" i="11"/>
  <c r="AH1091" i="11"/>
  <c r="H1068" i="11"/>
  <c r="X1068" i="11" s="1"/>
  <c r="AH1023" i="11"/>
  <c r="AH988" i="11"/>
  <c r="G1015" i="11"/>
  <c r="I1067" i="11"/>
  <c r="Y1067" i="11" s="1"/>
  <c r="AD962" i="11"/>
  <c r="I871" i="11"/>
  <c r="R871" i="11" s="1"/>
  <c r="B908" i="11"/>
  <c r="E908" i="11" s="1"/>
  <c r="R908" i="11" s="1"/>
  <c r="E886" i="11"/>
  <c r="AG1101" i="11"/>
  <c r="AG1100" i="11"/>
  <c r="R839" i="11"/>
  <c r="C846" i="11"/>
  <c r="C845" i="11"/>
  <c r="B751" i="11"/>
  <c r="E748" i="11"/>
  <c r="F796" i="11"/>
  <c r="F797" i="11"/>
  <c r="I795" i="11"/>
  <c r="J904" i="11"/>
  <c r="M904" i="11" s="1"/>
  <c r="M873" i="11"/>
  <c r="C586" i="11"/>
  <c r="H537" i="11"/>
  <c r="P927" i="11"/>
  <c r="G798" i="11"/>
  <c r="G763" i="11"/>
  <c r="N653" i="11"/>
  <c r="Q652" i="11"/>
  <c r="M458" i="11"/>
  <c r="J485" i="11"/>
  <c r="N796" i="11"/>
  <c r="Q795" i="11"/>
  <c r="N797" i="11"/>
  <c r="S366" i="11"/>
  <c r="F62" i="11"/>
  <c r="I59" i="11"/>
  <c r="J585" i="11"/>
  <c r="M582" i="11"/>
  <c r="F541" i="11"/>
  <c r="M96" i="11"/>
  <c r="R96" i="11" s="1"/>
  <c r="G1035" i="11"/>
  <c r="AK914" i="11"/>
  <c r="I1069" i="11"/>
  <c r="Y1069" i="11" s="1"/>
  <c r="G1017" i="11"/>
  <c r="G1044" i="11" s="1"/>
  <c r="AG1104" i="11"/>
  <c r="AG1103" i="11"/>
  <c r="H1071" i="11"/>
  <c r="X1071" i="11" s="1"/>
  <c r="AH1026" i="11"/>
  <c r="AH991" i="11"/>
  <c r="AJ952" i="11"/>
  <c r="G1039" i="11"/>
  <c r="AK918" i="11"/>
  <c r="AJ957" i="11"/>
  <c r="Q990" i="11"/>
  <c r="Q962" i="11"/>
  <c r="F877" i="11"/>
  <c r="I875" i="11"/>
  <c r="D902" i="11"/>
  <c r="D910" i="11" s="1"/>
  <c r="D13" i="11" s="1"/>
  <c r="D887" i="11"/>
  <c r="L902" i="11"/>
  <c r="L910" i="11" s="1"/>
  <c r="L13" i="11" s="1"/>
  <c r="L887" i="11"/>
  <c r="M649" i="11"/>
  <c r="J652" i="11"/>
  <c r="M875" i="11"/>
  <c r="J877" i="11"/>
  <c r="D653" i="11"/>
  <c r="E841" i="11"/>
  <c r="B540" i="11"/>
  <c r="E537" i="11"/>
  <c r="O700" i="11"/>
  <c r="M876" i="11"/>
  <c r="R876" i="11" s="1"/>
  <c r="O887" i="11"/>
  <c r="O902" i="11"/>
  <c r="O910" i="11" s="1"/>
  <c r="O13" i="11" s="1"/>
  <c r="E131" i="11"/>
  <c r="B132" i="11"/>
  <c r="B1082" i="10"/>
  <c r="Q1082" i="10" s="1"/>
  <c r="B1080" i="10"/>
  <c r="Q1080" i="10" s="1"/>
  <c r="B1083" i="10"/>
  <c r="Q1083" i="10" s="1"/>
  <c r="B1081" i="10"/>
  <c r="Q1081" i="10" s="1"/>
  <c r="B1084" i="10"/>
  <c r="Q1084" i="10" s="1"/>
  <c r="B1085" i="10"/>
  <c r="Q1085" i="10" s="1"/>
  <c r="B1078" i="10"/>
  <c r="Q1078" i="10" s="1"/>
  <c r="B1075" i="10"/>
  <c r="Q1075" i="10" s="1"/>
  <c r="B1076" i="10"/>
  <c r="Q1076" i="10" s="1"/>
  <c r="B1079" i="10"/>
  <c r="Q1079" i="10" s="1"/>
  <c r="B1077" i="10"/>
  <c r="Q1077" i="10" s="1"/>
  <c r="B1086" i="10"/>
  <c r="Q1086" i="10" s="1"/>
  <c r="C483" i="10"/>
  <c r="E478" i="10"/>
  <c r="H484" i="10"/>
  <c r="P314" i="10"/>
  <c r="I1051" i="10"/>
  <c r="Y1051" i="10" s="1"/>
  <c r="G999" i="10"/>
  <c r="AG1083" i="10"/>
  <c r="AG1082" i="10"/>
  <c r="K534" i="10"/>
  <c r="K314" i="10"/>
  <c r="I59" i="10"/>
  <c r="R59" i="10" s="1"/>
  <c r="F62" i="10"/>
  <c r="J875" i="10"/>
  <c r="J890" i="10"/>
  <c r="L579" i="10"/>
  <c r="O484" i="10"/>
  <c r="R128" i="10"/>
  <c r="AG1095" i="10"/>
  <c r="AG1094" i="10"/>
  <c r="AO913" i="10"/>
  <c r="AF913" i="10"/>
  <c r="H1052" i="10"/>
  <c r="X1052" i="10" s="1"/>
  <c r="AH1007" i="10"/>
  <c r="AH972" i="10"/>
  <c r="H1055" i="10"/>
  <c r="X1055" i="10" s="1"/>
  <c r="AH1010" i="10"/>
  <c r="AH975" i="10"/>
  <c r="Q915" i="10"/>
  <c r="G835" i="10"/>
  <c r="R763" i="10"/>
  <c r="E863" i="10"/>
  <c r="G1023" i="10"/>
  <c r="AK902" i="10"/>
  <c r="P643" i="10"/>
  <c r="E779" i="10"/>
  <c r="B533" i="10"/>
  <c r="E530" i="10"/>
  <c r="R529" i="10"/>
  <c r="AG950" i="10"/>
  <c r="R639" i="10"/>
  <c r="O314" i="10"/>
  <c r="Q639" i="10"/>
  <c r="J478" i="10"/>
  <c r="D898" i="10"/>
  <c r="D13" i="10" s="1"/>
  <c r="P484" i="10"/>
  <c r="L314" i="10"/>
  <c r="Q850" i="10"/>
  <c r="N856" i="10"/>
  <c r="K132" i="10"/>
  <c r="M530" i="10"/>
  <c r="R27" i="10"/>
  <c r="J132" i="10"/>
  <c r="M131" i="10"/>
  <c r="C305" i="10"/>
  <c r="C313" i="10" s="1"/>
  <c r="I131" i="10"/>
  <c r="F132" i="10"/>
  <c r="B132" i="10"/>
  <c r="E131" i="10"/>
  <c r="F896" i="10"/>
  <c r="I896" i="10" s="1"/>
  <c r="R896" i="10" s="1"/>
  <c r="I874" i="10"/>
  <c r="N643" i="10"/>
  <c r="Q642" i="10"/>
  <c r="H579" i="10"/>
  <c r="AG1107" i="10"/>
  <c r="AG1106" i="10"/>
  <c r="H1059" i="10"/>
  <c r="X1059" i="10" s="1"/>
  <c r="AH1014" i="10"/>
  <c r="AH979" i="10"/>
  <c r="H1057" i="10"/>
  <c r="X1057" i="10" s="1"/>
  <c r="AH1012" i="10"/>
  <c r="AH977" i="10"/>
  <c r="N688" i="10"/>
  <c r="Q685" i="10"/>
  <c r="M829" i="10"/>
  <c r="J832" i="10"/>
  <c r="Q912" i="10"/>
  <c r="C835" i="10"/>
  <c r="B785" i="10"/>
  <c r="E783" i="10"/>
  <c r="B784" i="10"/>
  <c r="L534" i="10"/>
  <c r="C740" i="10"/>
  <c r="C741" i="10"/>
  <c r="AH950" i="10"/>
  <c r="F833" i="10"/>
  <c r="I832" i="10"/>
  <c r="F834" i="10"/>
  <c r="R683" i="10"/>
  <c r="B643" i="10"/>
  <c r="E642" i="10"/>
  <c r="R642" i="10" s="1"/>
  <c r="I863" i="10"/>
  <c r="F865" i="10"/>
  <c r="I642" i="10"/>
  <c r="F643" i="10"/>
  <c r="D875" i="10"/>
  <c r="E575" i="10"/>
  <c r="B578" i="10"/>
  <c r="C898" i="10"/>
  <c r="C13" i="10" s="1"/>
  <c r="P941" i="10"/>
  <c r="P969" i="10"/>
  <c r="C132" i="10"/>
  <c r="M852" i="10"/>
  <c r="R852" i="10" s="1"/>
  <c r="M533" i="10"/>
  <c r="J534" i="10"/>
  <c r="AF905" i="10"/>
  <c r="AO905" i="10"/>
  <c r="N896" i="10"/>
  <c r="Q896" i="10" s="1"/>
  <c r="Q874" i="10"/>
  <c r="J63" i="10"/>
  <c r="M62" i="10"/>
  <c r="H1049" i="10"/>
  <c r="AH969" i="10"/>
  <c r="AH1004" i="10"/>
  <c r="AJ948" i="10"/>
  <c r="AH1092" i="10"/>
  <c r="AH1091" i="10"/>
  <c r="AF903" i="10"/>
  <c r="AO903" i="10"/>
  <c r="AH1104" i="10"/>
  <c r="AH1103" i="10"/>
  <c r="E861" i="10"/>
  <c r="B892" i="10"/>
  <c r="E892" i="10" s="1"/>
  <c r="F688" i="10"/>
  <c r="I685" i="10"/>
  <c r="R711" i="10"/>
  <c r="AH1076" i="10"/>
  <c r="AH1077" i="10"/>
  <c r="E829" i="10"/>
  <c r="B832" i="10"/>
  <c r="Q865" i="10"/>
  <c r="N894" i="10"/>
  <c r="Q894" i="10" s="1"/>
  <c r="N783" i="10"/>
  <c r="Q779" i="10"/>
  <c r="Q916" i="10"/>
  <c r="H835" i="10"/>
  <c r="AO902" i="10"/>
  <c r="AF902" i="10"/>
  <c r="AD915" i="10"/>
  <c r="AH1003" i="10"/>
  <c r="F981" i="10"/>
  <c r="H1048" i="10"/>
  <c r="X1048" i="10" s="1"/>
  <c r="AH968" i="10"/>
  <c r="P922" i="10"/>
  <c r="P751" i="10"/>
  <c r="P786" i="10"/>
  <c r="I639" i="10"/>
  <c r="P947" i="10"/>
  <c r="P975" i="10"/>
  <c r="D484" i="10"/>
  <c r="R557" i="10"/>
  <c r="C875" i="10"/>
  <c r="B875" i="10"/>
  <c r="B890" i="10"/>
  <c r="E856" i="10"/>
  <c r="M575" i="10"/>
  <c r="J578" i="10"/>
  <c r="J305" i="10"/>
  <c r="M209" i="10"/>
  <c r="R89" i="10"/>
  <c r="I451" i="10"/>
  <c r="I1055" i="10"/>
  <c r="Y1055" i="10" s="1"/>
  <c r="G1003" i="10"/>
  <c r="AJ940" i="10"/>
  <c r="AO906" i="10"/>
  <c r="AF906" i="10"/>
  <c r="G1027" i="10"/>
  <c r="AK906" i="10"/>
  <c r="G1034" i="10"/>
  <c r="AK913" i="10"/>
  <c r="G1029" i="10"/>
  <c r="AK908" i="10"/>
  <c r="C751" i="10"/>
  <c r="O784" i="10"/>
  <c r="O785" i="10"/>
  <c r="B739" i="10"/>
  <c r="E736" i="10"/>
  <c r="AD950" i="10"/>
  <c r="AJ937" i="10"/>
  <c r="M892" i="10"/>
  <c r="F783" i="10"/>
  <c r="I779" i="10"/>
  <c r="G875" i="10"/>
  <c r="G890" i="10"/>
  <c r="G898" i="10" s="1"/>
  <c r="G13" i="10" s="1"/>
  <c r="O534" i="10"/>
  <c r="L890" i="10"/>
  <c r="L898" i="10" s="1"/>
  <c r="L13" i="10" s="1"/>
  <c r="L875" i="10"/>
  <c r="K856" i="10"/>
  <c r="R551" i="10"/>
  <c r="B305" i="10"/>
  <c r="E209" i="10"/>
  <c r="R50" i="10"/>
  <c r="P916" i="10"/>
  <c r="H751" i="10"/>
  <c r="H786" i="10"/>
  <c r="B63" i="10"/>
  <c r="E62" i="10"/>
  <c r="F305" i="10"/>
  <c r="AH1080" i="10"/>
  <c r="AH1079" i="10"/>
  <c r="L784" i="10"/>
  <c r="L785" i="10"/>
  <c r="AF910" i="10"/>
  <c r="AO910" i="10"/>
  <c r="H1051" i="10"/>
  <c r="X1051" i="10" s="1"/>
  <c r="AH971" i="10"/>
  <c r="AH1006" i="10"/>
  <c r="AO909" i="10"/>
  <c r="AF909" i="10"/>
  <c r="R869" i="10"/>
  <c r="AH1089" i="10"/>
  <c r="AH1088" i="10"/>
  <c r="AH1109" i="10"/>
  <c r="AH1110" i="10"/>
  <c r="L834" i="10"/>
  <c r="L833" i="10"/>
  <c r="AH1095" i="10"/>
  <c r="AH1094" i="10"/>
  <c r="I1056" i="10"/>
  <c r="Y1056" i="10" s="1"/>
  <c r="G1004" i="10"/>
  <c r="G1031" i="10" s="1"/>
  <c r="M874" i="10"/>
  <c r="J688" i="10"/>
  <c r="M685" i="10"/>
  <c r="D784" i="10"/>
  <c r="D785" i="10"/>
  <c r="Q947" i="10"/>
  <c r="Q975" i="10"/>
  <c r="L643" i="10"/>
  <c r="I478" i="10"/>
  <c r="F483" i="10"/>
  <c r="AS950" i="10"/>
  <c r="M861" i="10"/>
  <c r="Q578" i="10"/>
  <c r="N579" i="10"/>
  <c r="J739" i="10"/>
  <c r="M736" i="10"/>
  <c r="I850" i="10"/>
  <c r="R850" i="10" s="1"/>
  <c r="F856" i="10"/>
  <c r="O898" i="10"/>
  <c r="O13" i="10" s="1"/>
  <c r="D579" i="10"/>
  <c r="H898" i="10"/>
  <c r="H13" i="10" s="1"/>
  <c r="K689" i="10"/>
  <c r="R46" i="10"/>
  <c r="Q131" i="10"/>
  <c r="N132" i="10"/>
  <c r="S189" i="10"/>
  <c r="I736" i="10"/>
  <c r="F739" i="10"/>
  <c r="N305" i="10"/>
  <c r="Q209" i="10"/>
  <c r="R451" i="10"/>
  <c r="AO907" i="10"/>
  <c r="AF907" i="10"/>
  <c r="AJ945" i="10"/>
  <c r="AO911" i="10"/>
  <c r="AF911" i="10"/>
  <c r="J894" i="10"/>
  <c r="M894" i="10" s="1"/>
  <c r="M865" i="10"/>
  <c r="AJ944" i="10"/>
  <c r="G1033" i="10"/>
  <c r="AK912" i="10"/>
  <c r="R874" i="10"/>
  <c r="D833" i="10"/>
  <c r="D834" i="10"/>
  <c r="B688" i="10"/>
  <c r="E685" i="10"/>
  <c r="O918" i="10"/>
  <c r="K752" i="10"/>
  <c r="F578" i="10"/>
  <c r="I575" i="10"/>
  <c r="M779" i="10"/>
  <c r="AE950" i="10"/>
  <c r="G784" i="10"/>
  <c r="G785" i="10"/>
  <c r="H534" i="10"/>
  <c r="N478" i="10"/>
  <c r="Q382" i="10"/>
  <c r="R382" i="10" s="1"/>
  <c r="K741" i="10"/>
  <c r="P875" i="10"/>
  <c r="P890" i="10"/>
  <c r="P898" i="10" s="1"/>
  <c r="P13" i="10" s="1"/>
  <c r="I530" i="10"/>
  <c r="O875" i="10"/>
  <c r="H875" i="10"/>
  <c r="R873" i="10"/>
  <c r="G643" i="10"/>
  <c r="J643" i="10"/>
  <c r="M642" i="10"/>
  <c r="H1053" i="10"/>
  <c r="X1053" i="10" s="1"/>
  <c r="AH973" i="10"/>
  <c r="AH1008" i="10"/>
  <c r="H1056" i="10"/>
  <c r="X1056" i="10" s="1"/>
  <c r="AH1011" i="10"/>
  <c r="AH976" i="10"/>
  <c r="I1050" i="10"/>
  <c r="Y1050" i="10" s="1"/>
  <c r="G998" i="10"/>
  <c r="G1009" i="10" s="1"/>
  <c r="AJ941" i="10"/>
  <c r="B894" i="10"/>
  <c r="E894" i="10" s="1"/>
  <c r="E865" i="10"/>
  <c r="AH1107" i="10"/>
  <c r="AH1106" i="10"/>
  <c r="Q921" i="10"/>
  <c r="O835" i="10"/>
  <c r="R802" i="10"/>
  <c r="M896" i="10"/>
  <c r="R859" i="10"/>
  <c r="Q736" i="10"/>
  <c r="N739" i="10"/>
  <c r="O643" i="10"/>
  <c r="Q817" i="10"/>
  <c r="R817" i="10" s="1"/>
  <c r="N829" i="10"/>
  <c r="N533" i="10"/>
  <c r="Q530" i="10"/>
  <c r="J785" i="10"/>
  <c r="M783" i="10"/>
  <c r="J784" i="10"/>
  <c r="G484" i="10"/>
  <c r="AF950" i="10"/>
  <c r="Q922" i="10"/>
  <c r="P835" i="10"/>
  <c r="E483" i="10"/>
  <c r="B484" i="10"/>
  <c r="K484" i="10"/>
  <c r="F534" i="10"/>
  <c r="I533" i="10"/>
  <c r="Q864" i="10"/>
  <c r="R864" i="10" s="1"/>
  <c r="Q59" i="10"/>
  <c r="N62" i="10"/>
  <c r="AD389" i="10"/>
  <c r="AM389" i="10" s="1"/>
  <c r="B1052" i="9"/>
  <c r="Q1052" i="9" s="1"/>
  <c r="B1049" i="9"/>
  <c r="Q1049" i="9" s="1"/>
  <c r="B1055" i="9"/>
  <c r="Q1055" i="9" s="1"/>
  <c r="B1054" i="9"/>
  <c r="Q1054" i="9" s="1"/>
  <c r="B1057" i="9"/>
  <c r="Q1057" i="9" s="1"/>
  <c r="B1059" i="9"/>
  <c r="Q1059" i="9" s="1"/>
  <c r="B1053" i="9"/>
  <c r="Q1053" i="9" s="1"/>
  <c r="B1056" i="9"/>
  <c r="Q1056" i="9" s="1"/>
  <c r="B1058" i="9"/>
  <c r="Q1058" i="9" s="1"/>
  <c r="B1060" i="9"/>
  <c r="Q1060" i="9" s="1"/>
  <c r="B1051" i="9"/>
  <c r="Q1051" i="9" s="1"/>
  <c r="B1050" i="9"/>
  <c r="Q1050" i="9" s="1"/>
  <c r="O893" i="9"/>
  <c r="L726" i="9"/>
  <c r="L715" i="9"/>
  <c r="O469" i="9"/>
  <c r="Q469" i="9" s="1"/>
  <c r="Q464" i="9"/>
  <c r="G470" i="9"/>
  <c r="N887" i="9"/>
  <c r="D716" i="9"/>
  <c r="D667" i="9"/>
  <c r="K470" i="9"/>
  <c r="AO879" i="9"/>
  <c r="AF879" i="9"/>
  <c r="AF924" i="9"/>
  <c r="AJ919" i="9"/>
  <c r="I1027" i="9"/>
  <c r="Y1027" i="9" s="1"/>
  <c r="G975" i="9"/>
  <c r="R843" i="9"/>
  <c r="I1031" i="9"/>
  <c r="Y1031" i="9" s="1"/>
  <c r="G979" i="9"/>
  <c r="G1006" i="9" s="1"/>
  <c r="AO878" i="9"/>
  <c r="AF878" i="9"/>
  <c r="G1003" i="9"/>
  <c r="AK882" i="9"/>
  <c r="H760" i="9"/>
  <c r="P890" i="9"/>
  <c r="R684" i="9"/>
  <c r="Q942" i="9"/>
  <c r="Q914" i="9"/>
  <c r="B758" i="9"/>
  <c r="B759" i="9"/>
  <c r="E757" i="9"/>
  <c r="G666" i="9"/>
  <c r="F561" i="9"/>
  <c r="I558" i="9"/>
  <c r="H725" i="9"/>
  <c r="F713" i="9"/>
  <c r="I710" i="9"/>
  <c r="Q895" i="9"/>
  <c r="O809" i="9"/>
  <c r="R535" i="9"/>
  <c r="C849" i="9"/>
  <c r="N864" i="9"/>
  <c r="N849" i="9"/>
  <c r="Q830" i="9"/>
  <c r="K872" i="9"/>
  <c r="K13" i="9" s="1"/>
  <c r="I59" i="9"/>
  <c r="F62" i="9"/>
  <c r="R27" i="9"/>
  <c r="I1032" i="9"/>
  <c r="Y1032" i="9" s="1"/>
  <c r="G980" i="9"/>
  <c r="I1029" i="9"/>
  <c r="Y1029" i="9" s="1"/>
  <c r="G977" i="9"/>
  <c r="H1033" i="9"/>
  <c r="X1033" i="9" s="1"/>
  <c r="AH988" i="9"/>
  <c r="AH953" i="9"/>
  <c r="H1029" i="9"/>
  <c r="X1029" i="9" s="1"/>
  <c r="AH984" i="9"/>
  <c r="AH949" i="9"/>
  <c r="AH1069" i="9"/>
  <c r="AH1068" i="9"/>
  <c r="Q886" i="9"/>
  <c r="C809" i="9"/>
  <c r="B713" i="9"/>
  <c r="E710" i="9"/>
  <c r="E808" i="9"/>
  <c r="I616" i="9"/>
  <c r="F619" i="9"/>
  <c r="D726" i="9"/>
  <c r="O887" i="9"/>
  <c r="M839" i="9"/>
  <c r="J868" i="9"/>
  <c r="M868" i="9" s="1"/>
  <c r="P562" i="9"/>
  <c r="G308" i="9"/>
  <c r="D562" i="9"/>
  <c r="G849" i="9"/>
  <c r="G864" i="9"/>
  <c r="G872" i="9" s="1"/>
  <c r="G13" i="9" s="1"/>
  <c r="L849" i="9"/>
  <c r="N130" i="9"/>
  <c r="Q129" i="9"/>
  <c r="J870" i="9"/>
  <c r="M870" i="9" s="1"/>
  <c r="M848" i="9"/>
  <c r="AG1066" i="9"/>
  <c r="AG1065" i="9"/>
  <c r="AH945" i="9"/>
  <c r="H1025" i="9"/>
  <c r="X1025" i="9" s="1"/>
  <c r="AH980" i="9"/>
  <c r="AJ917" i="9"/>
  <c r="I1024" i="9"/>
  <c r="Y1024" i="9" s="1"/>
  <c r="G972" i="9"/>
  <c r="N870" i="9"/>
  <c r="Q870" i="9" s="1"/>
  <c r="Q848" i="9"/>
  <c r="N665" i="9"/>
  <c r="Q662" i="9"/>
  <c r="B866" i="9"/>
  <c r="E866" i="9" s="1"/>
  <c r="R866" i="9" s="1"/>
  <c r="E835" i="9"/>
  <c r="R835" i="9" s="1"/>
  <c r="M835" i="9"/>
  <c r="J866" i="9"/>
  <c r="M866" i="9" s="1"/>
  <c r="AJ911" i="9"/>
  <c r="I662" i="9"/>
  <c r="R662" i="9" s="1"/>
  <c r="F665" i="9"/>
  <c r="F757" i="9"/>
  <c r="I753" i="9"/>
  <c r="R616" i="9"/>
  <c r="R587" i="9"/>
  <c r="M616" i="9"/>
  <c r="J619" i="9"/>
  <c r="H849" i="9"/>
  <c r="Q514" i="9"/>
  <c r="P872" i="9"/>
  <c r="P13" i="9" s="1"/>
  <c r="O308" i="9"/>
  <c r="Q439" i="9"/>
  <c r="R439" i="9" s="1"/>
  <c r="L872" i="9"/>
  <c r="L13" i="9" s="1"/>
  <c r="M278" i="9"/>
  <c r="I129" i="9"/>
  <c r="F130" i="9"/>
  <c r="K130" i="9"/>
  <c r="E59" i="9"/>
  <c r="I1026" i="9"/>
  <c r="Y1026" i="9" s="1"/>
  <c r="G974" i="9"/>
  <c r="AD1046" i="9"/>
  <c r="I1030" i="9"/>
  <c r="Y1030" i="9" s="1"/>
  <c r="G978" i="9"/>
  <c r="G1005" i="9" s="1"/>
  <c r="AD889" i="9"/>
  <c r="G955" i="9"/>
  <c r="AJ913" i="9"/>
  <c r="AJ918" i="9"/>
  <c r="AJ915" i="9"/>
  <c r="P809" i="9"/>
  <c r="Q896" i="9"/>
  <c r="N757" i="9"/>
  <c r="Q753" i="9"/>
  <c r="Q893" i="9"/>
  <c r="L809" i="9"/>
  <c r="I1023" i="9"/>
  <c r="Y1023" i="9" s="1"/>
  <c r="G971" i="9"/>
  <c r="G1000" i="9"/>
  <c r="AK879" i="9"/>
  <c r="G809" i="9"/>
  <c r="Q889" i="9"/>
  <c r="C470" i="9"/>
  <c r="E839" i="9"/>
  <c r="B868" i="9"/>
  <c r="E868" i="9" s="1"/>
  <c r="E665" i="9"/>
  <c r="B666" i="9"/>
  <c r="H872" i="9"/>
  <c r="H13" i="9" s="1"/>
  <c r="I514" i="9"/>
  <c r="R514" i="9" s="1"/>
  <c r="F517" i="9"/>
  <c r="P849" i="9"/>
  <c r="F307" i="9"/>
  <c r="I299" i="9"/>
  <c r="O849" i="9"/>
  <c r="O864" i="9"/>
  <c r="O872" i="9" s="1"/>
  <c r="O13" i="9" s="1"/>
  <c r="I278" i="9"/>
  <c r="R278" i="9" s="1"/>
  <c r="O130" i="9"/>
  <c r="J464" i="9"/>
  <c r="C130" i="9"/>
  <c r="B63" i="9"/>
  <c r="E62" i="9"/>
  <c r="AH978" i="9"/>
  <c r="H1023" i="9"/>
  <c r="AH943" i="9"/>
  <c r="AH955" i="9" s="1"/>
  <c r="R841" i="9"/>
  <c r="B870" i="9"/>
  <c r="E870" i="9" s="1"/>
  <c r="E848" i="9"/>
  <c r="AH1050" i="9"/>
  <c r="AH1051" i="9"/>
  <c r="H1026" i="9"/>
  <c r="X1026" i="9" s="1"/>
  <c r="AH981" i="9"/>
  <c r="AH946" i="9"/>
  <c r="R834" i="9"/>
  <c r="I848" i="9"/>
  <c r="F870" i="9"/>
  <c r="I870" i="9" s="1"/>
  <c r="K759" i="9"/>
  <c r="K758" i="9"/>
  <c r="R629" i="9"/>
  <c r="R847" i="9"/>
  <c r="P896" i="9"/>
  <c r="P760" i="9"/>
  <c r="AH1059" i="9"/>
  <c r="AH1060" i="9"/>
  <c r="P725" i="9"/>
  <c r="P887" i="9"/>
  <c r="D760" i="9"/>
  <c r="Q710" i="9"/>
  <c r="N713" i="9"/>
  <c r="J299" i="9"/>
  <c r="M206" i="9"/>
  <c r="H562" i="9"/>
  <c r="R837" i="9"/>
  <c r="M662" i="9"/>
  <c r="J665" i="9"/>
  <c r="F839" i="9"/>
  <c r="L760" i="9"/>
  <c r="P893" i="9"/>
  <c r="L562" i="9"/>
  <c r="G130" i="9"/>
  <c r="K63" i="9"/>
  <c r="Q126" i="9"/>
  <c r="R126" i="9" s="1"/>
  <c r="AG1078" i="9"/>
  <c r="AG1077" i="9"/>
  <c r="AJ921" i="9"/>
  <c r="H1024" i="9"/>
  <c r="X1024" i="9" s="1"/>
  <c r="AH979" i="9"/>
  <c r="AH944" i="9"/>
  <c r="C759" i="9"/>
  <c r="C758" i="9"/>
  <c r="N806" i="9"/>
  <c r="Q803" i="9"/>
  <c r="O759" i="9"/>
  <c r="O758" i="9"/>
  <c r="O518" i="9"/>
  <c r="H308" i="9"/>
  <c r="N470" i="9"/>
  <c r="O63" i="9"/>
  <c r="C63" i="9"/>
  <c r="AH924" i="9"/>
  <c r="G983" i="9"/>
  <c r="G997" i="9"/>
  <c r="AK876" i="9"/>
  <c r="H1028" i="9"/>
  <c r="X1028" i="9" s="1"/>
  <c r="AH983" i="9"/>
  <c r="AH990" i="9" s="1"/>
  <c r="AH948" i="9"/>
  <c r="H1032" i="9"/>
  <c r="X1032" i="9" s="1"/>
  <c r="AH987" i="9"/>
  <c r="AH952" i="9"/>
  <c r="H1030" i="9"/>
  <c r="X1030" i="9" s="1"/>
  <c r="AH985" i="9"/>
  <c r="AH950" i="9"/>
  <c r="I1033" i="9"/>
  <c r="Y1033" i="9" s="1"/>
  <c r="G981" i="9"/>
  <c r="Q891" i="9"/>
  <c r="J809" i="9"/>
  <c r="M808" i="9"/>
  <c r="H809" i="9"/>
  <c r="Q890" i="9"/>
  <c r="K620" i="9"/>
  <c r="Q892" i="9"/>
  <c r="K809" i="9"/>
  <c r="F806" i="9"/>
  <c r="I803" i="9"/>
  <c r="R803" i="9" s="1"/>
  <c r="J713" i="9"/>
  <c r="M710" i="9"/>
  <c r="I830" i="9"/>
  <c r="G759" i="9"/>
  <c r="G758" i="9"/>
  <c r="J758" i="9"/>
  <c r="J759" i="9"/>
  <c r="M757" i="9"/>
  <c r="J561" i="9"/>
  <c r="M558" i="9"/>
  <c r="B464" i="9"/>
  <c r="E377" i="9"/>
  <c r="R377" i="9" s="1"/>
  <c r="K518" i="9"/>
  <c r="K299" i="9"/>
  <c r="K307" i="9" s="1"/>
  <c r="G63" i="9"/>
  <c r="E129" i="9"/>
  <c r="R129" i="9" s="1"/>
  <c r="J63" i="9"/>
  <c r="M62" i="9"/>
  <c r="AJ920" i="9"/>
  <c r="AG1050" i="9"/>
  <c r="AG1051" i="9"/>
  <c r="AS924" i="9"/>
  <c r="R723" i="9"/>
  <c r="AG924" i="9"/>
  <c r="E753" i="9"/>
  <c r="R753" i="9" s="1"/>
  <c r="I864" i="9"/>
  <c r="N561" i="9"/>
  <c r="Q558" i="9"/>
  <c r="G714" i="9"/>
  <c r="Q887" i="9"/>
  <c r="D809" i="9"/>
  <c r="K666" i="9"/>
  <c r="B561" i="9"/>
  <c r="E558" i="9"/>
  <c r="R558" i="9" s="1"/>
  <c r="J518" i="9"/>
  <c r="M517" i="9"/>
  <c r="J830" i="9"/>
  <c r="M824" i="9"/>
  <c r="R824" i="9" s="1"/>
  <c r="T840" i="9" s="1"/>
  <c r="Q206" i="9"/>
  <c r="N299" i="9"/>
  <c r="C518" i="9"/>
  <c r="E517" i="9"/>
  <c r="C872" i="9"/>
  <c r="C13" i="9" s="1"/>
  <c r="B864" i="9"/>
  <c r="B849" i="9"/>
  <c r="E849" i="9" s="1"/>
  <c r="E830" i="9"/>
  <c r="Q824" i="9"/>
  <c r="L308" i="9"/>
  <c r="F464" i="9"/>
  <c r="I206" i="9"/>
  <c r="R206" i="9" s="1"/>
  <c r="Q59" i="9"/>
  <c r="N62" i="9"/>
  <c r="E307" i="9"/>
  <c r="B308" i="9"/>
  <c r="R41" i="9"/>
  <c r="M129" i="9"/>
  <c r="AH1084" i="11" l="1"/>
  <c r="R584" i="14"/>
  <c r="R485" i="14"/>
  <c r="R62" i="14"/>
  <c r="R814" i="14"/>
  <c r="R283" i="14"/>
  <c r="E441" i="14"/>
  <c r="B442" i="14"/>
  <c r="N681" i="14"/>
  <c r="Q680" i="14"/>
  <c r="P883" i="14"/>
  <c r="P911" i="14"/>
  <c r="B815" i="14"/>
  <c r="E815" i="14" s="1"/>
  <c r="B830" i="14"/>
  <c r="E796" i="14"/>
  <c r="P918" i="14"/>
  <c r="P890" i="14"/>
  <c r="R630" i="14"/>
  <c r="I772" i="14"/>
  <c r="F773" i="14"/>
  <c r="F774" i="14"/>
  <c r="G967" i="14"/>
  <c r="AK846" i="14"/>
  <c r="G973" i="14"/>
  <c r="AK852" i="14"/>
  <c r="P862" i="14"/>
  <c r="P727" i="14"/>
  <c r="P692" i="14"/>
  <c r="G968" i="14"/>
  <c r="AK847" i="14"/>
  <c r="N815" i="14"/>
  <c r="Q815" i="14" s="1"/>
  <c r="N830" i="14"/>
  <c r="Q796" i="14"/>
  <c r="J815" i="14"/>
  <c r="M815" i="14" s="1"/>
  <c r="M796" i="14"/>
  <c r="J830" i="14"/>
  <c r="AF855" i="14"/>
  <c r="N533" i="14"/>
  <c r="Q532" i="14"/>
  <c r="R436" i="14"/>
  <c r="Q890" i="14"/>
  <c r="Q918" i="14"/>
  <c r="O916" i="14"/>
  <c r="O888" i="14"/>
  <c r="R633" i="14"/>
  <c r="G963" i="14"/>
  <c r="G949" i="14"/>
  <c r="AK842" i="14"/>
  <c r="M532" i="14"/>
  <c r="J533" i="14"/>
  <c r="E128" i="14"/>
  <c r="B129" i="14"/>
  <c r="B774" i="14"/>
  <c r="E772" i="14"/>
  <c r="B773" i="14"/>
  <c r="F292" i="14"/>
  <c r="I291" i="14"/>
  <c r="G974" i="14"/>
  <c r="AK853" i="14"/>
  <c r="G442" i="14"/>
  <c r="R805" i="14"/>
  <c r="Q910" i="14"/>
  <c r="Q882" i="14"/>
  <c r="R125" i="14"/>
  <c r="R769" i="14"/>
  <c r="M128" i="14"/>
  <c r="J129" i="14"/>
  <c r="F533" i="14"/>
  <c r="I532" i="14"/>
  <c r="M587" i="14"/>
  <c r="R587" i="14" s="1"/>
  <c r="J588" i="14"/>
  <c r="Q858" i="14"/>
  <c r="K775" i="14"/>
  <c r="E532" i="14"/>
  <c r="B533" i="14"/>
  <c r="Q856" i="14"/>
  <c r="H775" i="14"/>
  <c r="H692" i="14"/>
  <c r="P910" i="14"/>
  <c r="P882" i="14"/>
  <c r="G964" i="14"/>
  <c r="AK843" i="14"/>
  <c r="M724" i="14"/>
  <c r="J725" i="14"/>
  <c r="J726" i="14"/>
  <c r="G966" i="14"/>
  <c r="AK845" i="14"/>
  <c r="F681" i="14"/>
  <c r="I680" i="14"/>
  <c r="R680" i="14" s="1"/>
  <c r="Q919" i="14"/>
  <c r="Q891" i="14"/>
  <c r="Q914" i="14"/>
  <c r="Q886" i="14"/>
  <c r="N859" i="14"/>
  <c r="L683" i="14"/>
  <c r="L635" i="14"/>
  <c r="R529" i="14"/>
  <c r="O855" i="14"/>
  <c r="G693" i="14"/>
  <c r="G682" i="14"/>
  <c r="P885" i="14"/>
  <c r="P913" i="14"/>
  <c r="K291" i="14"/>
  <c r="M283" i="14"/>
  <c r="AH921" i="14"/>
  <c r="R836" i="14"/>
  <c r="F815" i="14"/>
  <c r="I815" i="14" s="1"/>
  <c r="F830" i="14"/>
  <c r="I796" i="14"/>
  <c r="Q916" i="14"/>
  <c r="Q888" i="14"/>
  <c r="Q912" i="14"/>
  <c r="Q884" i="14"/>
  <c r="N853" i="14"/>
  <c r="D683" i="14"/>
  <c r="D635" i="14"/>
  <c r="N292" i="14"/>
  <c r="Q291" i="14"/>
  <c r="Q852" i="14"/>
  <c r="C775" i="14"/>
  <c r="F834" i="14"/>
  <c r="I834" i="14" s="1"/>
  <c r="I805" i="14"/>
  <c r="O861" i="14"/>
  <c r="O693" i="14"/>
  <c r="O682" i="14"/>
  <c r="P858" i="14"/>
  <c r="K692" i="14"/>
  <c r="K727" i="14"/>
  <c r="I441" i="14"/>
  <c r="R720" i="14"/>
  <c r="R834" i="14"/>
  <c r="N773" i="14"/>
  <c r="Q772" i="14"/>
  <c r="N774" i="14"/>
  <c r="P912" i="14"/>
  <c r="P884" i="14"/>
  <c r="G969" i="14"/>
  <c r="AK848" i="14"/>
  <c r="AH1005" i="14"/>
  <c r="AH998" i="14"/>
  <c r="AH1008" i="14"/>
  <c r="AH1006" i="14"/>
  <c r="AH1011" i="14"/>
  <c r="AH1009" i="14"/>
  <c r="AH1004" i="14"/>
  <c r="AH1002" i="14"/>
  <c r="AH1000" i="14"/>
  <c r="AH995" i="14"/>
  <c r="AH1010" i="14"/>
  <c r="AH1007" i="14"/>
  <c r="AH994" i="14"/>
  <c r="AH1001" i="14"/>
  <c r="AH997" i="14"/>
  <c r="AH988" i="14"/>
  <c r="AH999" i="14"/>
  <c r="AH989" i="14"/>
  <c r="AH1003" i="14"/>
  <c r="AH996" i="14"/>
  <c r="AH991" i="14"/>
  <c r="AH993" i="14"/>
  <c r="AH990" i="14"/>
  <c r="AH992" i="14"/>
  <c r="P860" i="14"/>
  <c r="N727" i="14"/>
  <c r="Q726" i="14"/>
  <c r="N692" i="14"/>
  <c r="N682" i="14" s="1"/>
  <c r="AH956" i="14"/>
  <c r="C727" i="14"/>
  <c r="P852" i="14"/>
  <c r="C692" i="14"/>
  <c r="E724" i="14"/>
  <c r="R724" i="14" s="1"/>
  <c r="B726" i="14"/>
  <c r="B725" i="14"/>
  <c r="AJ890" i="14"/>
  <c r="O910" i="14"/>
  <c r="O882" i="14"/>
  <c r="Q1027" i="14"/>
  <c r="O957" i="13"/>
  <c r="C793" i="13"/>
  <c r="C782" i="13"/>
  <c r="R679" i="13"/>
  <c r="P965" i="13"/>
  <c r="Q826" i="13"/>
  <c r="N827" i="13"/>
  <c r="N792" i="13"/>
  <c r="J65" i="13"/>
  <c r="M64" i="13"/>
  <c r="M728" i="13"/>
  <c r="J729" i="13"/>
  <c r="Q961" i="13"/>
  <c r="H880" i="13"/>
  <c r="F325" i="13"/>
  <c r="I317" i="13"/>
  <c r="P993" i="13"/>
  <c r="P1021" i="13"/>
  <c r="J781" i="13"/>
  <c r="M780" i="13"/>
  <c r="P961" i="13"/>
  <c r="H827" i="13"/>
  <c r="H792" i="13"/>
  <c r="Q965" i="13"/>
  <c r="N880" i="13"/>
  <c r="Q879" i="13"/>
  <c r="M616" i="13"/>
  <c r="J617" i="13"/>
  <c r="E325" i="13"/>
  <c r="B326" i="13"/>
  <c r="N920" i="13"/>
  <c r="Q920" i="13" s="1"/>
  <c r="N935" i="13"/>
  <c r="Q901" i="13"/>
  <c r="J826" i="13"/>
  <c r="J825" i="13"/>
  <c r="M824" i="13"/>
  <c r="P326" i="13"/>
  <c r="R613" i="13"/>
  <c r="B781" i="13"/>
  <c r="E780" i="13"/>
  <c r="G920" i="13"/>
  <c r="E901" i="13"/>
  <c r="B920" i="13"/>
  <c r="B935" i="13"/>
  <c r="R874" i="13"/>
  <c r="Q964" i="13"/>
  <c r="L880" i="13"/>
  <c r="L792" i="13"/>
  <c r="Q962" i="13"/>
  <c r="M879" i="13"/>
  <c r="J880" i="13"/>
  <c r="P1017" i="13"/>
  <c r="P989" i="13"/>
  <c r="F826" i="13"/>
  <c r="I824" i="13"/>
  <c r="F825" i="13"/>
  <c r="I910" i="13"/>
  <c r="G943" i="13"/>
  <c r="G13" i="13" s="1"/>
  <c r="R895" i="13"/>
  <c r="T911" i="13" s="1"/>
  <c r="N683" i="13"/>
  <c r="Q682" i="13"/>
  <c r="B878" i="13"/>
  <c r="B879" i="13"/>
  <c r="E877" i="13"/>
  <c r="R877" i="13" s="1"/>
  <c r="P967" i="13"/>
  <c r="P827" i="13"/>
  <c r="P792" i="13"/>
  <c r="G879" i="13"/>
  <c r="G878" i="13"/>
  <c r="I515" i="13"/>
  <c r="R515" i="13" s="1"/>
  <c r="F520" i="13"/>
  <c r="B729" i="13"/>
  <c r="E728" i="13"/>
  <c r="R728" i="13" s="1"/>
  <c r="Q515" i="13"/>
  <c r="N520" i="13"/>
  <c r="C943" i="13"/>
  <c r="C13" i="13" s="1"/>
  <c r="I780" i="13"/>
  <c r="F781" i="13"/>
  <c r="G326" i="13"/>
  <c r="I939" i="13"/>
  <c r="F920" i="13"/>
  <c r="F935" i="13"/>
  <c r="I901" i="13"/>
  <c r="P992" i="13"/>
  <c r="P1020" i="13"/>
  <c r="R725" i="13"/>
  <c r="P966" i="13"/>
  <c r="O827" i="13"/>
  <c r="O792" i="13"/>
  <c r="M135" i="13"/>
  <c r="R135" i="13" s="1"/>
  <c r="J136" i="13"/>
  <c r="N136" i="13"/>
  <c r="Q135" i="13"/>
  <c r="C920" i="13"/>
  <c r="N781" i="13"/>
  <c r="N782" i="13"/>
  <c r="Q780" i="13"/>
  <c r="F880" i="13"/>
  <c r="Q959" i="13"/>
  <c r="I879" i="13"/>
  <c r="C521" i="13"/>
  <c r="E910" i="13"/>
  <c r="R910" i="13" s="1"/>
  <c r="J935" i="13"/>
  <c r="M901" i="13"/>
  <c r="J920" i="13"/>
  <c r="M920" i="13" s="1"/>
  <c r="N325" i="13"/>
  <c r="Q317" i="13"/>
  <c r="R317" i="13" s="1"/>
  <c r="Q957" i="13"/>
  <c r="C880" i="13"/>
  <c r="R568" i="13"/>
  <c r="I64" i="13"/>
  <c r="R64" i="13" s="1"/>
  <c r="F65" i="13"/>
  <c r="M515" i="13"/>
  <c r="J520" i="13"/>
  <c r="E939" i="13"/>
  <c r="R939" i="13" s="1"/>
  <c r="R820" i="13"/>
  <c r="J326" i="13"/>
  <c r="M325" i="13"/>
  <c r="Q64" i="13"/>
  <c r="N65" i="13"/>
  <c r="I682" i="13"/>
  <c r="R682" i="13" s="1"/>
  <c r="F683" i="13"/>
  <c r="Q963" i="13"/>
  <c r="K880" i="13"/>
  <c r="K792" i="13"/>
  <c r="Q966" i="13"/>
  <c r="O880" i="13"/>
  <c r="B521" i="13"/>
  <c r="E520" i="13"/>
  <c r="B572" i="13"/>
  <c r="E571" i="13"/>
  <c r="R571" i="13" s="1"/>
  <c r="P986" i="13"/>
  <c r="P1014" i="13"/>
  <c r="R616" i="13"/>
  <c r="B826" i="13"/>
  <c r="B825" i="13"/>
  <c r="E824" i="13"/>
  <c r="R824" i="13" s="1"/>
  <c r="Q958" i="13"/>
  <c r="D880" i="13"/>
  <c r="D792" i="13"/>
  <c r="AG1132" i="12"/>
  <c r="AG1131" i="12"/>
  <c r="M955" i="12"/>
  <c r="C731" i="12"/>
  <c r="C694" i="12"/>
  <c r="B329" i="12"/>
  <c r="E328" i="12"/>
  <c r="Q328" i="12"/>
  <c r="N329" i="12"/>
  <c r="R824" i="12"/>
  <c r="F520" i="12"/>
  <c r="I515" i="12"/>
  <c r="M933" i="12"/>
  <c r="M941" i="12" s="1"/>
  <c r="J941" i="12"/>
  <c r="J13" i="12" s="1"/>
  <c r="M13" i="12" s="1"/>
  <c r="I571" i="12"/>
  <c r="F572" i="12"/>
  <c r="O955" i="12"/>
  <c r="C793" i="12"/>
  <c r="AH1128" i="12"/>
  <c r="AH1129" i="12"/>
  <c r="P1015" i="12"/>
  <c r="P987" i="12"/>
  <c r="G1068" i="12"/>
  <c r="AK947" i="12"/>
  <c r="G1077" i="12"/>
  <c r="AK956" i="12"/>
  <c r="R320" i="12"/>
  <c r="F933" i="12"/>
  <c r="F918" i="12"/>
  <c r="I918" i="12" s="1"/>
  <c r="I899" i="12"/>
  <c r="B520" i="12"/>
  <c r="E515" i="12"/>
  <c r="B877" i="12"/>
  <c r="B792" i="12" s="1"/>
  <c r="B876" i="12"/>
  <c r="E875" i="12"/>
  <c r="R875" i="12" s="1"/>
  <c r="P957" i="12"/>
  <c r="I826" i="12"/>
  <c r="F827" i="12"/>
  <c r="E571" i="12"/>
  <c r="B572" i="12"/>
  <c r="AH1059" i="12"/>
  <c r="E616" i="12"/>
  <c r="B617" i="12"/>
  <c r="M728" i="12"/>
  <c r="J729" i="12"/>
  <c r="R937" i="12"/>
  <c r="D572" i="12"/>
  <c r="N520" i="12"/>
  <c r="Q515" i="12"/>
  <c r="P1012" i="12"/>
  <c r="P984" i="12"/>
  <c r="F729" i="12"/>
  <c r="I728" i="12"/>
  <c r="G1067" i="12"/>
  <c r="AK946" i="12"/>
  <c r="Q965" i="12"/>
  <c r="P878" i="12"/>
  <c r="P954" i="12"/>
  <c r="B827" i="12"/>
  <c r="E826" i="12"/>
  <c r="R826" i="12" s="1"/>
  <c r="Q993" i="12"/>
  <c r="Q1021" i="12"/>
  <c r="P792" i="12"/>
  <c r="N964" i="12"/>
  <c r="O783" i="12"/>
  <c r="O730" i="12"/>
  <c r="AG1141" i="12"/>
  <c r="AG1140" i="12"/>
  <c r="R893" i="12"/>
  <c r="T909" i="12" s="1"/>
  <c r="P1019" i="12"/>
  <c r="P991" i="12"/>
  <c r="O961" i="12"/>
  <c r="K793" i="12"/>
  <c r="K782" i="12"/>
  <c r="C329" i="12"/>
  <c r="K329" i="12"/>
  <c r="R1093" i="12"/>
  <c r="AQ1048" i="12"/>
  <c r="AQ1013" i="12"/>
  <c r="AG1138" i="12"/>
  <c r="AG1137" i="12"/>
  <c r="J521" i="12"/>
  <c r="M520" i="12"/>
  <c r="H329" i="12"/>
  <c r="Q959" i="12"/>
  <c r="H878" i="12"/>
  <c r="H792" i="12"/>
  <c r="AH1123" i="12"/>
  <c r="AH1122" i="12"/>
  <c r="R917" i="12"/>
  <c r="J329" i="12"/>
  <c r="M328" i="12"/>
  <c r="N933" i="12"/>
  <c r="Q899" i="12"/>
  <c r="N918" i="12"/>
  <c r="Q918" i="12" s="1"/>
  <c r="R1101" i="12"/>
  <c r="AQ1056" i="12"/>
  <c r="AQ1021" i="12"/>
  <c r="AG1119" i="12"/>
  <c r="AG1120" i="12"/>
  <c r="T307" i="12"/>
  <c r="S202" i="12"/>
  <c r="Q1015" i="12"/>
  <c r="Q987" i="12"/>
  <c r="J617" i="12"/>
  <c r="M616" i="12"/>
  <c r="P960" i="12"/>
  <c r="J827" i="12"/>
  <c r="M826" i="12"/>
  <c r="G1072" i="12"/>
  <c r="AK951" i="12"/>
  <c r="AG1135" i="12"/>
  <c r="AG1134" i="12"/>
  <c r="N781" i="12"/>
  <c r="Q780" i="12"/>
  <c r="F328" i="12"/>
  <c r="I320" i="12"/>
  <c r="P963" i="12"/>
  <c r="Q826" i="12"/>
  <c r="N827" i="12"/>
  <c r="N792" i="12"/>
  <c r="N782" i="12" s="1"/>
  <c r="R939" i="12"/>
  <c r="M320" i="12"/>
  <c r="AH1152" i="12"/>
  <c r="AH1153" i="12"/>
  <c r="AD1084" i="11"/>
  <c r="E933" i="12"/>
  <c r="B941" i="12"/>
  <c r="B13" i="12" s="1"/>
  <c r="E13" i="12" s="1"/>
  <c r="R777" i="12"/>
  <c r="F937" i="12"/>
  <c r="I937" i="12" s="1"/>
  <c r="I908" i="12"/>
  <c r="R908" i="12" s="1"/>
  <c r="P1018" i="12"/>
  <c r="P990" i="12"/>
  <c r="B683" i="12"/>
  <c r="E682" i="12"/>
  <c r="F876" i="12"/>
  <c r="F877" i="12"/>
  <c r="I875" i="12"/>
  <c r="Q956" i="12"/>
  <c r="D878" i="12"/>
  <c r="D792" i="12"/>
  <c r="Q1130" i="12"/>
  <c r="M62" i="12"/>
  <c r="J63" i="12"/>
  <c r="AH1138" i="12"/>
  <c r="AH1137" i="12"/>
  <c r="Q1018" i="12"/>
  <c r="Q990" i="12"/>
  <c r="AJ993" i="12"/>
  <c r="AH1147" i="12"/>
  <c r="AH1146" i="12"/>
  <c r="AH1126" i="12"/>
  <c r="AH1125" i="12"/>
  <c r="E728" i="12"/>
  <c r="B729" i="12"/>
  <c r="R918" i="12"/>
  <c r="E780" i="12"/>
  <c r="R780" i="12" s="1"/>
  <c r="B781" i="12"/>
  <c r="M780" i="12"/>
  <c r="J781" i="12"/>
  <c r="G1071" i="12"/>
  <c r="AK950" i="12"/>
  <c r="AG1150" i="12"/>
  <c r="AG1149" i="12"/>
  <c r="E62" i="12"/>
  <c r="R62" i="12" s="1"/>
  <c r="B63" i="12"/>
  <c r="N876" i="12"/>
  <c r="N877" i="12"/>
  <c r="Q875" i="12"/>
  <c r="P1016" i="12"/>
  <c r="P988" i="12"/>
  <c r="N955" i="12"/>
  <c r="C783" i="12"/>
  <c r="G1052" i="12"/>
  <c r="G1066" i="12"/>
  <c r="AK945" i="12"/>
  <c r="O958" i="12"/>
  <c r="G793" i="12"/>
  <c r="G782" i="12"/>
  <c r="R725" i="12"/>
  <c r="R899" i="12"/>
  <c r="T899" i="12" s="1"/>
  <c r="P1022" i="12"/>
  <c r="P994" i="12"/>
  <c r="AG1126" i="12"/>
  <c r="AG1125" i="12"/>
  <c r="AG1152" i="12"/>
  <c r="AG1153" i="12"/>
  <c r="Q1012" i="12"/>
  <c r="Q984" i="12"/>
  <c r="N937" i="12"/>
  <c r="Q937" i="12" s="1"/>
  <c r="Q908" i="12"/>
  <c r="AH1135" i="12"/>
  <c r="AH1134" i="12"/>
  <c r="R59" i="12"/>
  <c r="O964" i="12"/>
  <c r="O793" i="12"/>
  <c r="J877" i="12"/>
  <c r="J792" i="12" s="1"/>
  <c r="J876" i="12"/>
  <c r="M875" i="12"/>
  <c r="F682" i="12"/>
  <c r="I679" i="12"/>
  <c r="R679" i="12" s="1"/>
  <c r="Q962" i="12"/>
  <c r="L878" i="12"/>
  <c r="L792" i="12"/>
  <c r="AH1119" i="12"/>
  <c r="AH1120" i="12"/>
  <c r="G1069" i="12"/>
  <c r="AK948" i="12"/>
  <c r="R299" i="12"/>
  <c r="R935" i="12"/>
  <c r="AH1110" i="12"/>
  <c r="AH1108" i="12"/>
  <c r="AH1113" i="12"/>
  <c r="AH1111" i="12"/>
  <c r="AH1109" i="12"/>
  <c r="AH1099" i="12"/>
  <c r="AH1097" i="12"/>
  <c r="AH1112" i="12"/>
  <c r="AH1095" i="12"/>
  <c r="AH1093" i="12"/>
  <c r="AH1091" i="12"/>
  <c r="AH1098" i="12"/>
  <c r="AH1114" i="12"/>
  <c r="AH1103" i="12"/>
  <c r="AH1102" i="12"/>
  <c r="AH1101" i="12"/>
  <c r="AH1096" i="12"/>
  <c r="X1092" i="12"/>
  <c r="AH1105" i="12"/>
  <c r="AH1104" i="12"/>
  <c r="AH1094" i="12"/>
  <c r="AH1092" i="12"/>
  <c r="AH1107" i="12"/>
  <c r="AH1106" i="12"/>
  <c r="AH1100" i="12"/>
  <c r="I62" i="11"/>
  <c r="F63" i="11"/>
  <c r="Q924" i="11"/>
  <c r="C847" i="11"/>
  <c r="O931" i="11"/>
  <c r="L764" i="11"/>
  <c r="L753" i="11"/>
  <c r="P987" i="11"/>
  <c r="P959" i="11"/>
  <c r="J887" i="11"/>
  <c r="M887" i="11" s="1"/>
  <c r="J902" i="11"/>
  <c r="M868" i="11"/>
  <c r="AG1097" i="11"/>
  <c r="AG1098" i="11"/>
  <c r="J541" i="11"/>
  <c r="M540" i="11"/>
  <c r="N132" i="11"/>
  <c r="Q131" i="11"/>
  <c r="Q991" i="11"/>
  <c r="Q963" i="11"/>
  <c r="O991" i="11"/>
  <c r="O963" i="11"/>
  <c r="J906" i="11"/>
  <c r="M906" i="11" s="1"/>
  <c r="M877" i="11"/>
  <c r="AH1110" i="11"/>
  <c r="AH1109" i="11"/>
  <c r="AG1110" i="11"/>
  <c r="AG1109" i="11"/>
  <c r="J316" i="11"/>
  <c r="M308" i="11"/>
  <c r="N925" i="11"/>
  <c r="D754" i="11"/>
  <c r="D700" i="11"/>
  <c r="Q984" i="11"/>
  <c r="Q956" i="11"/>
  <c r="B653" i="11"/>
  <c r="E652" i="11"/>
  <c r="R652" i="11" s="1"/>
  <c r="G1037" i="11"/>
  <c r="AK916" i="11"/>
  <c r="N887" i="11"/>
  <c r="Q887" i="11" s="1"/>
  <c r="N902" i="11"/>
  <c r="Q868" i="11"/>
  <c r="R62" i="11"/>
  <c r="G1041" i="11"/>
  <c r="AK920" i="11"/>
  <c r="I877" i="11"/>
  <c r="F906" i="11"/>
  <c r="I906" i="11" s="1"/>
  <c r="P932" i="11"/>
  <c r="Q797" i="11"/>
  <c r="N798" i="11"/>
  <c r="O927" i="11"/>
  <c r="G764" i="11"/>
  <c r="G753" i="11"/>
  <c r="G1042" i="11"/>
  <c r="AK921" i="11"/>
  <c r="B797" i="11"/>
  <c r="E795" i="11"/>
  <c r="B796" i="11"/>
  <c r="R582" i="11"/>
  <c r="R1065" i="11"/>
  <c r="AQ985" i="11"/>
  <c r="AQ1020" i="11"/>
  <c r="Q982" i="11"/>
  <c r="Q954" i="11"/>
  <c r="G1040" i="11"/>
  <c r="AK919" i="11"/>
  <c r="AK927" i="11" s="1"/>
  <c r="Q929" i="11"/>
  <c r="J847" i="11"/>
  <c r="N990" i="11"/>
  <c r="N962" i="11"/>
  <c r="R649" i="11"/>
  <c r="AH1095" i="11"/>
  <c r="AH1094" i="11"/>
  <c r="B906" i="11"/>
  <c r="E906" i="11" s="1"/>
  <c r="E877" i="11"/>
  <c r="R877" i="11" s="1"/>
  <c r="Q928" i="11"/>
  <c r="H847" i="11"/>
  <c r="H763" i="11"/>
  <c r="AG1107" i="11"/>
  <c r="AG1106" i="11"/>
  <c r="P924" i="11"/>
  <c r="C798" i="11"/>
  <c r="C763" i="11"/>
  <c r="AH1107" i="11"/>
  <c r="AH1106" i="11"/>
  <c r="M933" i="11"/>
  <c r="O701" i="11"/>
  <c r="O664" i="11"/>
  <c r="J653" i="11"/>
  <c r="M652" i="11"/>
  <c r="P926" i="11"/>
  <c r="I797" i="11"/>
  <c r="F763" i="11"/>
  <c r="F798" i="11"/>
  <c r="N699" i="11"/>
  <c r="Q698" i="11"/>
  <c r="N934" i="11"/>
  <c r="P754" i="11"/>
  <c r="P700" i="11"/>
  <c r="AH1104" i="11"/>
  <c r="AH1103" i="11"/>
  <c r="AG1119" i="11"/>
  <c r="AG1118" i="11"/>
  <c r="I902" i="11"/>
  <c r="Q485" i="11"/>
  <c r="N490" i="11"/>
  <c r="AG1092" i="11"/>
  <c r="AG1091" i="11"/>
  <c r="B491" i="11"/>
  <c r="E490" i="11"/>
  <c r="R458" i="11"/>
  <c r="R1070" i="11"/>
  <c r="AQ990" i="11"/>
  <c r="AQ1025" i="11"/>
  <c r="R537" i="11"/>
  <c r="S1070" i="11"/>
  <c r="AR990" i="11"/>
  <c r="AR1025" i="11"/>
  <c r="AG1121" i="11"/>
  <c r="AG1122" i="11"/>
  <c r="AH1116" i="11"/>
  <c r="AH1115" i="11"/>
  <c r="P984" i="11"/>
  <c r="P956" i="11"/>
  <c r="Q62" i="11"/>
  <c r="N63" i="11"/>
  <c r="G1045" i="11"/>
  <c r="AK924" i="11"/>
  <c r="B887" i="11"/>
  <c r="E887" i="11" s="1"/>
  <c r="E868" i="11"/>
  <c r="R868" i="11" s="1"/>
  <c r="T868" i="11" s="1"/>
  <c r="B902" i="11"/>
  <c r="F847" i="11"/>
  <c r="Q926" i="11"/>
  <c r="I846" i="11"/>
  <c r="F490" i="11"/>
  <c r="I485" i="11"/>
  <c r="R485" i="11" s="1"/>
  <c r="B541" i="11"/>
  <c r="E540" i="11"/>
  <c r="J490" i="11"/>
  <c r="M485" i="11"/>
  <c r="H540" i="11"/>
  <c r="I537" i="11"/>
  <c r="R748" i="11"/>
  <c r="R886" i="11"/>
  <c r="B699" i="11"/>
  <c r="E698" i="11"/>
  <c r="R698" i="11" s="1"/>
  <c r="F752" i="11"/>
  <c r="F753" i="11"/>
  <c r="I751" i="11"/>
  <c r="R873" i="11"/>
  <c r="AH1119" i="11"/>
  <c r="AH1118" i="11"/>
  <c r="R1062" i="11"/>
  <c r="AQ982" i="11"/>
  <c r="AQ1017" i="11"/>
  <c r="M751" i="11"/>
  <c r="J752" i="11"/>
  <c r="R862" i="11"/>
  <c r="T878" i="11" s="1"/>
  <c r="Q923" i="11"/>
  <c r="E846" i="11"/>
  <c r="B847" i="11"/>
  <c r="AJ962" i="11"/>
  <c r="Q1099" i="11"/>
  <c r="J586" i="11"/>
  <c r="M585" i="11"/>
  <c r="R585" i="11" s="1"/>
  <c r="E751" i="11"/>
  <c r="B752" i="11"/>
  <c r="AG1113" i="11"/>
  <c r="AG1112" i="11"/>
  <c r="I308" i="11"/>
  <c r="F316" i="11"/>
  <c r="M698" i="11"/>
  <c r="J699" i="11"/>
  <c r="K844" i="11"/>
  <c r="M841" i="11"/>
  <c r="R841" i="11" s="1"/>
  <c r="C317" i="11"/>
  <c r="J797" i="11"/>
  <c r="M795" i="11"/>
  <c r="J796" i="11"/>
  <c r="O954" i="11"/>
  <c r="O982" i="11"/>
  <c r="R212" i="11"/>
  <c r="N752" i="11"/>
  <c r="Q751" i="11"/>
  <c r="R131" i="11"/>
  <c r="G1021" i="11"/>
  <c r="P988" i="11"/>
  <c r="P960" i="11"/>
  <c r="N846" i="11"/>
  <c r="Q844" i="11"/>
  <c r="N845" i="11"/>
  <c r="P991" i="11"/>
  <c r="P963" i="11"/>
  <c r="AG1095" i="11"/>
  <c r="AG1094" i="11"/>
  <c r="B316" i="11"/>
  <c r="E308" i="11"/>
  <c r="Q1070" i="11"/>
  <c r="AP1025" i="11"/>
  <c r="AP990" i="11"/>
  <c r="Q960" i="11"/>
  <c r="Q988" i="11"/>
  <c r="T866" i="10"/>
  <c r="N63" i="10"/>
  <c r="Q62" i="10"/>
  <c r="N918" i="10"/>
  <c r="K742" i="10"/>
  <c r="Q305" i="10"/>
  <c r="N313" i="10"/>
  <c r="K690" i="10"/>
  <c r="J689" i="10"/>
  <c r="M688" i="10"/>
  <c r="P945" i="10"/>
  <c r="P973" i="10"/>
  <c r="AJ950" i="10"/>
  <c r="G1030" i="10"/>
  <c r="AK909" i="10"/>
  <c r="E875" i="10"/>
  <c r="AF915" i="10"/>
  <c r="B834" i="10"/>
  <c r="E832" i="10"/>
  <c r="B833" i="10"/>
  <c r="R861" i="10"/>
  <c r="R131" i="10"/>
  <c r="I62" i="10"/>
  <c r="R62" i="10" s="1"/>
  <c r="F63" i="10"/>
  <c r="G1026" i="10"/>
  <c r="AK905" i="10"/>
  <c r="Q1087" i="10"/>
  <c r="I739" i="10"/>
  <c r="F740" i="10"/>
  <c r="P917" i="10"/>
  <c r="J786" i="10"/>
  <c r="M785" i="10"/>
  <c r="Q478" i="10"/>
  <c r="N483" i="10"/>
  <c r="F579" i="10"/>
  <c r="I578" i="10"/>
  <c r="I305" i="10"/>
  <c r="F313" i="10"/>
  <c r="R209" i="10"/>
  <c r="R736" i="10"/>
  <c r="P979" i="10"/>
  <c r="P951" i="10"/>
  <c r="AH1067" i="10"/>
  <c r="AH1065" i="10"/>
  <c r="AH1070" i="10"/>
  <c r="AH1063" i="10"/>
  <c r="AH1061" i="10"/>
  <c r="AH1059" i="10"/>
  <c r="AH1071" i="10"/>
  <c r="AH1069" i="10"/>
  <c r="AH1064" i="10"/>
  <c r="AH1062" i="10"/>
  <c r="AH1060" i="10"/>
  <c r="AH1058" i="10"/>
  <c r="AH1068" i="10"/>
  <c r="AH1056" i="10"/>
  <c r="AH1051" i="10"/>
  <c r="AH1049" i="10"/>
  <c r="AH1066" i="10"/>
  <c r="AH1054" i="10"/>
  <c r="AH1052" i="10"/>
  <c r="AH1050" i="10"/>
  <c r="AH1048" i="10"/>
  <c r="AH1072" i="10" s="1"/>
  <c r="AH1055" i="10"/>
  <c r="X1049" i="10"/>
  <c r="AH1057" i="10"/>
  <c r="AH1053" i="10"/>
  <c r="R575" i="10"/>
  <c r="J834" i="10"/>
  <c r="M832" i="10"/>
  <c r="J833" i="10"/>
  <c r="AG1098" i="10"/>
  <c r="AG1097" i="10"/>
  <c r="R478" i="10"/>
  <c r="AG1101" i="10"/>
  <c r="AG1100" i="10"/>
  <c r="S1055" i="10"/>
  <c r="AR1010" i="10"/>
  <c r="AR975" i="10"/>
  <c r="AH1101" i="10"/>
  <c r="AH1100" i="10"/>
  <c r="B313" i="10"/>
  <c r="E305" i="10"/>
  <c r="E739" i="10"/>
  <c r="R739" i="10" s="1"/>
  <c r="B740" i="10"/>
  <c r="J313" i="10"/>
  <c r="M305" i="10"/>
  <c r="AH981" i="10"/>
  <c r="Q945" i="10"/>
  <c r="Q973" i="10"/>
  <c r="C484" i="10"/>
  <c r="AH1085" i="10"/>
  <c r="AH1086" i="10"/>
  <c r="Q951" i="10"/>
  <c r="Q979" i="10"/>
  <c r="Q533" i="10"/>
  <c r="N534" i="10"/>
  <c r="AG1092" i="10"/>
  <c r="AG1091" i="10"/>
  <c r="O975" i="10"/>
  <c r="O947" i="10"/>
  <c r="P921" i="10"/>
  <c r="O786" i="10"/>
  <c r="O751" i="10"/>
  <c r="J579" i="10"/>
  <c r="M578" i="10"/>
  <c r="AG1076" i="10"/>
  <c r="AG1077" i="10"/>
  <c r="AG1109" i="10"/>
  <c r="AG1110" i="10"/>
  <c r="R530" i="10"/>
  <c r="R863" i="10"/>
  <c r="AG1085" i="10"/>
  <c r="AG1086" i="10"/>
  <c r="O922" i="10"/>
  <c r="P752" i="10"/>
  <c r="P741" i="10"/>
  <c r="AG1104" i="10"/>
  <c r="AG1103" i="10"/>
  <c r="N832" i="10"/>
  <c r="Q829" i="10"/>
  <c r="R829" i="10" s="1"/>
  <c r="G1025" i="10"/>
  <c r="AK904" i="10"/>
  <c r="AK915" i="10" s="1"/>
  <c r="P915" i="10"/>
  <c r="G786" i="10"/>
  <c r="G751" i="10"/>
  <c r="R685" i="10"/>
  <c r="P913" i="10"/>
  <c r="D786" i="10"/>
  <c r="D751" i="10"/>
  <c r="K875" i="10"/>
  <c r="M875" i="10" s="1"/>
  <c r="K890" i="10"/>
  <c r="K898" i="10" s="1"/>
  <c r="K13" i="10" s="1"/>
  <c r="R1055" i="10"/>
  <c r="AQ1010" i="10"/>
  <c r="AQ975" i="10"/>
  <c r="N784" i="10"/>
  <c r="N785" i="10"/>
  <c r="Q783" i="10"/>
  <c r="Q914" i="10"/>
  <c r="I834" i="10"/>
  <c r="F835" i="10"/>
  <c r="M478" i="10"/>
  <c r="J483" i="10"/>
  <c r="E533" i="10"/>
  <c r="R533" i="10" s="1"/>
  <c r="B534" i="10"/>
  <c r="AG1089" i="10"/>
  <c r="AG1088" i="10"/>
  <c r="M856" i="10"/>
  <c r="N740" i="10"/>
  <c r="Q739" i="10"/>
  <c r="AH1098" i="10"/>
  <c r="AH1097" i="10"/>
  <c r="N912" i="10"/>
  <c r="C742" i="10"/>
  <c r="C690" i="10"/>
  <c r="AH1083" i="10"/>
  <c r="AH1082" i="10"/>
  <c r="E688" i="10"/>
  <c r="B689" i="10"/>
  <c r="F890" i="10"/>
  <c r="F875" i="10"/>
  <c r="I875" i="10" s="1"/>
  <c r="I856" i="10"/>
  <c r="P919" i="10"/>
  <c r="L751" i="10"/>
  <c r="L786" i="10"/>
  <c r="F784" i="10"/>
  <c r="F785" i="10"/>
  <c r="I783" i="10"/>
  <c r="O912" i="10"/>
  <c r="C752" i="10"/>
  <c r="R856" i="10"/>
  <c r="T856" i="10" s="1"/>
  <c r="AH1016" i="10"/>
  <c r="I688" i="10"/>
  <c r="F689" i="10"/>
  <c r="AQ1004" i="10"/>
  <c r="AQ969" i="10"/>
  <c r="R1049" i="10"/>
  <c r="R783" i="10"/>
  <c r="Q688" i="10"/>
  <c r="N689" i="10"/>
  <c r="C314" i="10"/>
  <c r="N890" i="10"/>
  <c r="Q856" i="10"/>
  <c r="N875" i="10"/>
  <c r="Q875" i="10" s="1"/>
  <c r="R779" i="10"/>
  <c r="M890" i="10"/>
  <c r="M898" i="10" s="1"/>
  <c r="J898" i="10"/>
  <c r="J13" i="10" s="1"/>
  <c r="M13" i="10" s="1"/>
  <c r="M739" i="10"/>
  <c r="J740" i="10"/>
  <c r="B579" i="10"/>
  <c r="E578" i="10"/>
  <c r="R578" i="10" s="1"/>
  <c r="Q941" i="10"/>
  <c r="Q969" i="10"/>
  <c r="Q950" i="10"/>
  <c r="Q978" i="10"/>
  <c r="Q913" i="10"/>
  <c r="D835" i="10"/>
  <c r="I483" i="10"/>
  <c r="F484" i="10"/>
  <c r="Q919" i="10"/>
  <c r="L835" i="10"/>
  <c r="O916" i="10"/>
  <c r="H752" i="10"/>
  <c r="H741" i="10"/>
  <c r="E890" i="10"/>
  <c r="B898" i="10"/>
  <c r="B13" i="10" s="1"/>
  <c r="E13" i="10" s="1"/>
  <c r="R892" i="10"/>
  <c r="I865" i="10"/>
  <c r="R865" i="10" s="1"/>
  <c r="F894" i="10"/>
  <c r="I894" i="10" s="1"/>
  <c r="R894" i="10" s="1"/>
  <c r="P911" i="10"/>
  <c r="E785" i="10"/>
  <c r="B751" i="10"/>
  <c r="B741" i="10" s="1"/>
  <c r="B786" i="10"/>
  <c r="Q972" i="10"/>
  <c r="Q944" i="10"/>
  <c r="B469" i="9"/>
  <c r="E464" i="9"/>
  <c r="AG1069" i="9"/>
  <c r="AG1068" i="9"/>
  <c r="I839" i="9"/>
  <c r="F868" i="9"/>
  <c r="F849" i="9"/>
  <c r="I849" i="9" s="1"/>
  <c r="R848" i="9"/>
  <c r="J620" i="9"/>
  <c r="M619" i="9"/>
  <c r="AJ924" i="9"/>
  <c r="B714" i="9"/>
  <c r="E713" i="9"/>
  <c r="H726" i="9"/>
  <c r="O890" i="9"/>
  <c r="H715" i="9"/>
  <c r="AF889" i="9"/>
  <c r="N307" i="9"/>
  <c r="Q299" i="9"/>
  <c r="E561" i="9"/>
  <c r="R561" i="9" s="1"/>
  <c r="B562" i="9"/>
  <c r="N562" i="9"/>
  <c r="Q561" i="9"/>
  <c r="Q919" i="9"/>
  <c r="Q947" i="9"/>
  <c r="J666" i="9"/>
  <c r="M665" i="9"/>
  <c r="M299" i="9"/>
  <c r="R299" i="9" s="1"/>
  <c r="J307" i="9"/>
  <c r="R870" i="9"/>
  <c r="N758" i="9"/>
  <c r="N759" i="9"/>
  <c r="Q757" i="9"/>
  <c r="O916" i="9"/>
  <c r="O944" i="9"/>
  <c r="M887" i="9"/>
  <c r="D668" i="9"/>
  <c r="D631" i="9"/>
  <c r="N893" i="9"/>
  <c r="L716" i="9"/>
  <c r="L667" i="9"/>
  <c r="P886" i="9"/>
  <c r="C725" i="9"/>
  <c r="C760" i="9"/>
  <c r="J562" i="9"/>
  <c r="M561" i="9"/>
  <c r="J714" i="9"/>
  <c r="M713" i="9"/>
  <c r="AG1075" i="9"/>
  <c r="AG1074" i="9"/>
  <c r="AG1056" i="9"/>
  <c r="AG1057" i="9"/>
  <c r="N714" i="9"/>
  <c r="Q713" i="9"/>
  <c r="P953" i="9"/>
  <c r="P925" i="9"/>
  <c r="F308" i="9"/>
  <c r="I307" i="9"/>
  <c r="G998" i="9"/>
  <c r="AK877" i="9"/>
  <c r="AK889" i="9" s="1"/>
  <c r="Q953" i="9"/>
  <c r="Q925" i="9"/>
  <c r="AH1075" i="9"/>
  <c r="AH1074" i="9"/>
  <c r="R59" i="9"/>
  <c r="G999" i="9"/>
  <c r="AK878" i="9"/>
  <c r="Q943" i="9"/>
  <c r="Q915" i="9"/>
  <c r="AG1084" i="9"/>
  <c r="AG1083" i="9"/>
  <c r="I62" i="9"/>
  <c r="F63" i="9"/>
  <c r="F562" i="9"/>
  <c r="I561" i="9"/>
  <c r="S1022" i="9"/>
  <c r="AR977" i="9"/>
  <c r="AR942" i="9"/>
  <c r="K308" i="9"/>
  <c r="P895" i="9"/>
  <c r="O760" i="9"/>
  <c r="O725" i="9"/>
  <c r="J469" i="9"/>
  <c r="M464" i="9"/>
  <c r="R839" i="9"/>
  <c r="AH1054" i="9"/>
  <c r="AH1053" i="9"/>
  <c r="AH1057" i="9"/>
  <c r="AH1056" i="9"/>
  <c r="I619" i="9"/>
  <c r="R619" i="9" s="1"/>
  <c r="F620" i="9"/>
  <c r="G1004" i="9"/>
  <c r="AK883" i="9"/>
  <c r="AH1078" i="9"/>
  <c r="AH1077" i="9"/>
  <c r="N944" i="9"/>
  <c r="N916" i="9"/>
  <c r="O950" i="9"/>
  <c r="O922" i="9"/>
  <c r="N63" i="9"/>
  <c r="Q62" i="9"/>
  <c r="B872" i="9"/>
  <c r="B13" i="9" s="1"/>
  <c r="E13" i="9" s="1"/>
  <c r="E864" i="9"/>
  <c r="J864" i="9"/>
  <c r="J849" i="9"/>
  <c r="M849" i="9" s="1"/>
  <c r="R849" i="9" s="1"/>
  <c r="M830" i="9"/>
  <c r="R830" i="9" s="1"/>
  <c r="T830" i="9" s="1"/>
  <c r="P891" i="9"/>
  <c r="J760" i="9"/>
  <c r="M759" i="9"/>
  <c r="J725" i="9"/>
  <c r="F807" i="9"/>
  <c r="F808" i="9"/>
  <c r="I806" i="9"/>
  <c r="AH1041" i="9"/>
  <c r="AH1039" i="9"/>
  <c r="AH1044" i="9"/>
  <c r="AH1037" i="9"/>
  <c r="AH1035" i="9"/>
  <c r="AH1033" i="9"/>
  <c r="AH1042" i="9"/>
  <c r="AH1040" i="9"/>
  <c r="AH1045" i="9"/>
  <c r="AH1043" i="9"/>
  <c r="AH1038" i="9"/>
  <c r="AH1036" i="9"/>
  <c r="AH1034" i="9"/>
  <c r="AH1032" i="9"/>
  <c r="AH1030" i="9"/>
  <c r="AH1028" i="9"/>
  <c r="AH1026" i="9"/>
  <c r="AH1029" i="9"/>
  <c r="AH1023" i="9"/>
  <c r="AH1027" i="9"/>
  <c r="AH1025" i="9"/>
  <c r="AH1024" i="9"/>
  <c r="X1023" i="9"/>
  <c r="AH1022" i="9"/>
  <c r="AH1031" i="9"/>
  <c r="I517" i="9"/>
  <c r="F518" i="9"/>
  <c r="AH1072" i="9"/>
  <c r="AH1071" i="9"/>
  <c r="Q952" i="9"/>
  <c r="Q924" i="9"/>
  <c r="P919" i="9"/>
  <c r="P947" i="9"/>
  <c r="Q916" i="9"/>
  <c r="Q944" i="9"/>
  <c r="Q948" i="9"/>
  <c r="Q920" i="9"/>
  <c r="AG1081" i="9"/>
  <c r="AG1080" i="9"/>
  <c r="N807" i="9"/>
  <c r="N808" i="9"/>
  <c r="Q806" i="9"/>
  <c r="P944" i="9"/>
  <c r="P916" i="9"/>
  <c r="AG1063" i="9"/>
  <c r="AG1062" i="9"/>
  <c r="G1001" i="9"/>
  <c r="AK880" i="9"/>
  <c r="F758" i="9"/>
  <c r="F759" i="9"/>
  <c r="I757" i="9"/>
  <c r="R757" i="9" s="1"/>
  <c r="G1007" i="9"/>
  <c r="AK886" i="9"/>
  <c r="G1002" i="9"/>
  <c r="AK881" i="9"/>
  <c r="I464" i="9"/>
  <c r="F469" i="9"/>
  <c r="R517" i="9"/>
  <c r="Q949" i="9"/>
  <c r="Q921" i="9"/>
  <c r="G1008" i="9"/>
  <c r="AK887" i="9"/>
  <c r="P922" i="9"/>
  <c r="P950" i="9"/>
  <c r="O896" i="9"/>
  <c r="P726" i="9"/>
  <c r="P715" i="9"/>
  <c r="R62" i="9"/>
  <c r="Q946" i="9"/>
  <c r="Q918" i="9"/>
  <c r="Q922" i="9"/>
  <c r="Q950" i="9"/>
  <c r="AH1063" i="9"/>
  <c r="AH1062" i="9"/>
  <c r="I665" i="9"/>
  <c r="R665" i="9" s="1"/>
  <c r="F666" i="9"/>
  <c r="Q665" i="9"/>
  <c r="N666" i="9"/>
  <c r="AG1059" i="9"/>
  <c r="AG1060" i="9"/>
  <c r="AH1081" i="9"/>
  <c r="AH1080" i="9"/>
  <c r="Q849" i="9"/>
  <c r="B760" i="9"/>
  <c r="P885" i="9"/>
  <c r="E759" i="9"/>
  <c r="B725" i="9"/>
  <c r="AH1066" i="9"/>
  <c r="AH1065" i="9"/>
  <c r="Q1061" i="9"/>
  <c r="G760" i="9"/>
  <c r="P889" i="9"/>
  <c r="G725" i="9"/>
  <c r="AH1083" i="9"/>
  <c r="AH1084" i="9"/>
  <c r="P892" i="9"/>
  <c r="K760" i="9"/>
  <c r="K725" i="9"/>
  <c r="R710" i="9"/>
  <c r="AG1072" i="9"/>
  <c r="AG1071" i="9"/>
  <c r="N872" i="9"/>
  <c r="N13" i="9" s="1"/>
  <c r="Q13" i="9" s="1"/>
  <c r="Q864" i="9"/>
  <c r="Q872" i="9" s="1"/>
  <c r="F714" i="9"/>
  <c r="I713" i="9"/>
  <c r="O470" i="9"/>
  <c r="AH1115" i="12" l="1"/>
  <c r="AH1046" i="9"/>
  <c r="AH1012" i="14"/>
  <c r="N860" i="14"/>
  <c r="N683" i="14"/>
  <c r="N635" i="14"/>
  <c r="Q881" i="14"/>
  <c r="Q909" i="14"/>
  <c r="P857" i="14"/>
  <c r="M726" i="14"/>
  <c r="J727" i="14"/>
  <c r="J692" i="14"/>
  <c r="E726" i="14"/>
  <c r="B727" i="14"/>
  <c r="P851" i="14"/>
  <c r="B692" i="14"/>
  <c r="P915" i="14"/>
  <c r="P887" i="14"/>
  <c r="M859" i="14"/>
  <c r="L636" i="14"/>
  <c r="L599" i="14"/>
  <c r="S999" i="14"/>
  <c r="AR954" i="14"/>
  <c r="AR919" i="14"/>
  <c r="O856" i="14"/>
  <c r="H693" i="14"/>
  <c r="H682" i="14"/>
  <c r="Q996" i="14"/>
  <c r="AP951" i="14"/>
  <c r="AP916" i="14"/>
  <c r="Q830" i="14"/>
  <c r="Q838" i="14" s="1"/>
  <c r="N838" i="14"/>
  <c r="N13" i="14" s="1"/>
  <c r="Q13" i="14" s="1"/>
  <c r="O858" i="14"/>
  <c r="K693" i="14"/>
  <c r="K682" i="14"/>
  <c r="Q915" i="14"/>
  <c r="Q887" i="14"/>
  <c r="P917" i="14"/>
  <c r="P889" i="14"/>
  <c r="N861" i="14"/>
  <c r="O683" i="14"/>
  <c r="O635" i="14"/>
  <c r="S996" i="14"/>
  <c r="AR916" i="14"/>
  <c r="AR951" i="14"/>
  <c r="K292" i="14"/>
  <c r="M291" i="14"/>
  <c r="R291" i="14" s="1"/>
  <c r="R772" i="14"/>
  <c r="AK855" i="14"/>
  <c r="S992" i="14"/>
  <c r="AR912" i="14"/>
  <c r="AR947" i="14"/>
  <c r="O852" i="14"/>
  <c r="C693" i="14"/>
  <c r="C682" i="14"/>
  <c r="AQ948" i="14"/>
  <c r="R993" i="14"/>
  <c r="AQ913" i="14"/>
  <c r="N916" i="14"/>
  <c r="N888" i="14"/>
  <c r="Q913" i="14"/>
  <c r="Q885" i="14"/>
  <c r="Q851" i="14"/>
  <c r="B775" i="14"/>
  <c r="E774" i="14"/>
  <c r="S998" i="14"/>
  <c r="AR953" i="14"/>
  <c r="AR918" i="14"/>
  <c r="R998" i="14"/>
  <c r="AQ953" i="14"/>
  <c r="AQ918" i="14"/>
  <c r="P909" i="14"/>
  <c r="P881" i="14"/>
  <c r="O890" i="14"/>
  <c r="O918" i="14"/>
  <c r="M853" i="14"/>
  <c r="D636" i="14"/>
  <c r="D599" i="14"/>
  <c r="I830" i="14"/>
  <c r="I838" i="14" s="1"/>
  <c r="F838" i="14"/>
  <c r="F13" i="14" s="1"/>
  <c r="I13" i="14" s="1"/>
  <c r="R796" i="14"/>
  <c r="T796" i="14" s="1"/>
  <c r="N855" i="14"/>
  <c r="G683" i="14"/>
  <c r="G635" i="14"/>
  <c r="R532" i="14"/>
  <c r="R128" i="14"/>
  <c r="J838" i="14"/>
  <c r="J13" i="14" s="1"/>
  <c r="M13" i="14" s="1"/>
  <c r="M830" i="14"/>
  <c r="M838" i="14" s="1"/>
  <c r="O862" i="14"/>
  <c r="P693" i="14"/>
  <c r="P682" i="14"/>
  <c r="Q682" i="14" s="1"/>
  <c r="E830" i="14"/>
  <c r="B838" i="14"/>
  <c r="B13" i="14" s="1"/>
  <c r="E13" i="14" s="1"/>
  <c r="R441" i="14"/>
  <c r="Q990" i="14"/>
  <c r="AP945" i="14"/>
  <c r="AP910" i="14"/>
  <c r="AQ947" i="14"/>
  <c r="R992" i="14"/>
  <c r="AQ912" i="14"/>
  <c r="N910" i="14"/>
  <c r="N882" i="14"/>
  <c r="S990" i="14"/>
  <c r="AR945" i="14"/>
  <c r="AR910" i="14"/>
  <c r="Q854" i="14"/>
  <c r="I774" i="14"/>
  <c r="F775" i="14"/>
  <c r="F692" i="14"/>
  <c r="R815" i="14"/>
  <c r="O860" i="14"/>
  <c r="N693" i="14"/>
  <c r="Q692" i="14"/>
  <c r="Q860" i="14"/>
  <c r="Q774" i="14"/>
  <c r="N775" i="14"/>
  <c r="O912" i="14"/>
  <c r="O884" i="14"/>
  <c r="S994" i="14"/>
  <c r="AR949" i="14"/>
  <c r="AR914" i="14"/>
  <c r="R990" i="14"/>
  <c r="AQ945" i="14"/>
  <c r="AQ910" i="14"/>
  <c r="P891" i="14"/>
  <c r="P919" i="14"/>
  <c r="R991" i="14"/>
  <c r="AQ946" i="14"/>
  <c r="AQ911" i="14"/>
  <c r="O966" i="13"/>
  <c r="O793" i="13"/>
  <c r="O782" i="13"/>
  <c r="I920" i="13"/>
  <c r="Q520" i="13"/>
  <c r="N521" i="13"/>
  <c r="Q960" i="13"/>
  <c r="G880" i="13"/>
  <c r="G792" i="13"/>
  <c r="Q993" i="13"/>
  <c r="Q1021" i="13"/>
  <c r="P956" i="13"/>
  <c r="B827" i="13"/>
  <c r="E826" i="13"/>
  <c r="B792" i="13"/>
  <c r="O967" i="13"/>
  <c r="P793" i="13"/>
  <c r="P782" i="13"/>
  <c r="N943" i="13"/>
  <c r="N13" i="13" s="1"/>
  <c r="Q13" i="13" s="1"/>
  <c r="Q935" i="13"/>
  <c r="Q943" i="13" s="1"/>
  <c r="P994" i="13"/>
  <c r="P1022" i="13"/>
  <c r="Q1014" i="13"/>
  <c r="Q986" i="13"/>
  <c r="P995" i="13"/>
  <c r="P1023" i="13"/>
  <c r="E935" i="13"/>
  <c r="B943" i="13"/>
  <c r="B13" i="13" s="1"/>
  <c r="E13" i="13" s="1"/>
  <c r="J521" i="13"/>
  <c r="M520" i="13"/>
  <c r="P996" i="13"/>
  <c r="P1024" i="13"/>
  <c r="E920" i="13"/>
  <c r="R920" i="13" s="1"/>
  <c r="Q994" i="13"/>
  <c r="Q1022" i="13"/>
  <c r="O958" i="13"/>
  <c r="D793" i="13"/>
  <c r="D782" i="13"/>
  <c r="Q995" i="13"/>
  <c r="Q1023" i="13"/>
  <c r="Q325" i="13"/>
  <c r="N326" i="13"/>
  <c r="Q988" i="13"/>
  <c r="Q1016" i="13"/>
  <c r="Q991" i="13"/>
  <c r="Q1019" i="13"/>
  <c r="R901" i="13"/>
  <c r="T901" i="13" s="1"/>
  <c r="O961" i="13"/>
  <c r="H793" i="13"/>
  <c r="H782" i="13"/>
  <c r="O963" i="13"/>
  <c r="K793" i="13"/>
  <c r="K782" i="13"/>
  <c r="I520" i="13"/>
  <c r="R520" i="13" s="1"/>
  <c r="F521" i="13"/>
  <c r="E879" i="13"/>
  <c r="R879" i="13" s="1"/>
  <c r="Q956" i="13"/>
  <c r="B880" i="13"/>
  <c r="I325" i="13"/>
  <c r="R325" i="13" s="1"/>
  <c r="F326" i="13"/>
  <c r="N957" i="13"/>
  <c r="C783" i="13"/>
  <c r="C730" i="13"/>
  <c r="Q987" i="13"/>
  <c r="Q1015" i="13"/>
  <c r="O964" i="13"/>
  <c r="L793" i="13"/>
  <c r="L782" i="13"/>
  <c r="R780" i="13"/>
  <c r="P962" i="13"/>
  <c r="J827" i="13"/>
  <c r="J792" i="13"/>
  <c r="M826" i="13"/>
  <c r="P1018" i="13"/>
  <c r="P990" i="13"/>
  <c r="O965" i="13"/>
  <c r="N793" i="13"/>
  <c r="Q792" i="13"/>
  <c r="Q992" i="13"/>
  <c r="Q1020" i="13"/>
  <c r="J943" i="13"/>
  <c r="J13" i="13" s="1"/>
  <c r="M13" i="13" s="1"/>
  <c r="M935" i="13"/>
  <c r="M943" i="13" s="1"/>
  <c r="N965" i="13"/>
  <c r="N783" i="13"/>
  <c r="Q782" i="13"/>
  <c r="N730" i="13"/>
  <c r="I935" i="13"/>
  <c r="I943" i="13" s="1"/>
  <c r="F943" i="13"/>
  <c r="F13" i="13" s="1"/>
  <c r="I13" i="13" s="1"/>
  <c r="I826" i="13"/>
  <c r="P959" i="13"/>
  <c r="F827" i="13"/>
  <c r="F792" i="13"/>
  <c r="Q1018" i="13"/>
  <c r="Q990" i="13"/>
  <c r="O986" i="13"/>
  <c r="O1014" i="13"/>
  <c r="N963" i="12"/>
  <c r="Q782" i="12"/>
  <c r="N783" i="12"/>
  <c r="N730" i="12"/>
  <c r="O954" i="12"/>
  <c r="E792" i="12"/>
  <c r="B793" i="12"/>
  <c r="B782" i="12"/>
  <c r="O960" i="12"/>
  <c r="J793" i="12"/>
  <c r="M792" i="12"/>
  <c r="J782" i="12"/>
  <c r="P1020" i="12"/>
  <c r="P992" i="12"/>
  <c r="Q1019" i="12"/>
  <c r="Q991" i="12"/>
  <c r="N1012" i="12"/>
  <c r="N984" i="12"/>
  <c r="P1014" i="12"/>
  <c r="P986" i="12"/>
  <c r="F941" i="12"/>
  <c r="F13" i="12" s="1"/>
  <c r="I13" i="12" s="1"/>
  <c r="I933" i="12"/>
  <c r="I941" i="12" s="1"/>
  <c r="R1098" i="12"/>
  <c r="AQ1053" i="12"/>
  <c r="AQ1018" i="12"/>
  <c r="F683" i="12"/>
  <c r="I682" i="12"/>
  <c r="R1096" i="12"/>
  <c r="AQ1051" i="12"/>
  <c r="AQ1016" i="12"/>
  <c r="M964" i="12"/>
  <c r="O731" i="12"/>
  <c r="O694" i="12"/>
  <c r="I520" i="12"/>
  <c r="F521" i="12"/>
  <c r="L955" i="12"/>
  <c r="C695" i="12"/>
  <c r="C684" i="12"/>
  <c r="O987" i="12"/>
  <c r="O1015" i="12"/>
  <c r="Q957" i="12"/>
  <c r="I877" i="12"/>
  <c r="F878" i="12"/>
  <c r="I328" i="12"/>
  <c r="F329" i="12"/>
  <c r="O1018" i="12"/>
  <c r="O990" i="12"/>
  <c r="P1011" i="12"/>
  <c r="P983" i="12"/>
  <c r="P967" i="12"/>
  <c r="R571" i="12"/>
  <c r="B878" i="12"/>
  <c r="Q954" i="12"/>
  <c r="E877" i="12"/>
  <c r="O1012" i="12"/>
  <c r="O984" i="12"/>
  <c r="R1102" i="12"/>
  <c r="AQ1022" i="12"/>
  <c r="AQ1057" i="12"/>
  <c r="AK958" i="12"/>
  <c r="Q963" i="12"/>
  <c r="Q877" i="12"/>
  <c r="N878" i="12"/>
  <c r="S1095" i="12"/>
  <c r="AR1050" i="12"/>
  <c r="AR1015" i="12"/>
  <c r="N1021" i="12"/>
  <c r="N993" i="12"/>
  <c r="R515" i="12"/>
  <c r="M1012" i="12"/>
  <c r="M984" i="12"/>
  <c r="N958" i="12"/>
  <c r="G783" i="12"/>
  <c r="G730" i="12"/>
  <c r="Q960" i="12"/>
  <c r="J878" i="12"/>
  <c r="M877" i="12"/>
  <c r="R728" i="12"/>
  <c r="R682" i="12"/>
  <c r="O965" i="12"/>
  <c r="P793" i="12"/>
  <c r="P782" i="12"/>
  <c r="Q994" i="12"/>
  <c r="Q1022" i="12"/>
  <c r="R1092" i="12"/>
  <c r="AQ1047" i="12"/>
  <c r="AQ1012" i="12"/>
  <c r="F792" i="12"/>
  <c r="B521" i="12"/>
  <c r="E520" i="12"/>
  <c r="R520" i="12" s="1"/>
  <c r="Q1013" i="12"/>
  <c r="Q985" i="12"/>
  <c r="Q988" i="12"/>
  <c r="Q1016" i="12"/>
  <c r="N961" i="12"/>
  <c r="K783" i="12"/>
  <c r="K730" i="12"/>
  <c r="AG1123" i="12"/>
  <c r="AG1122" i="12"/>
  <c r="O962" i="12"/>
  <c r="L793" i="12"/>
  <c r="L782" i="12"/>
  <c r="S1092" i="12"/>
  <c r="AR1047" i="12"/>
  <c r="AR1012" i="12"/>
  <c r="E941" i="12"/>
  <c r="R933" i="12"/>
  <c r="R941" i="12" s="1"/>
  <c r="Q792" i="12"/>
  <c r="N793" i="12"/>
  <c r="O963" i="12"/>
  <c r="P1017" i="12"/>
  <c r="P989" i="12"/>
  <c r="N941" i="12"/>
  <c r="N13" i="12" s="1"/>
  <c r="Q13" i="12" s="1"/>
  <c r="R13" i="12" s="1"/>
  <c r="Q933" i="12"/>
  <c r="Q941" i="12" s="1"/>
  <c r="R1099" i="12"/>
  <c r="AQ1019" i="12"/>
  <c r="AQ1054" i="12"/>
  <c r="S1101" i="12"/>
  <c r="AR1056" i="12"/>
  <c r="AR1021" i="12"/>
  <c r="O1021" i="12"/>
  <c r="O993" i="12"/>
  <c r="S1098" i="12"/>
  <c r="AR1053" i="12"/>
  <c r="AR1018" i="12"/>
  <c r="O956" i="12"/>
  <c r="D793" i="12"/>
  <c r="D782" i="12"/>
  <c r="O959" i="12"/>
  <c r="H793" i="12"/>
  <c r="H782" i="12"/>
  <c r="Q520" i="12"/>
  <c r="N521" i="12"/>
  <c r="R616" i="12"/>
  <c r="R1095" i="12"/>
  <c r="AQ1050" i="12"/>
  <c r="AQ1015" i="12"/>
  <c r="R328" i="12"/>
  <c r="I316" i="11"/>
  <c r="F317" i="11"/>
  <c r="R887" i="11"/>
  <c r="L933" i="11"/>
  <c r="O665" i="11"/>
  <c r="O654" i="11"/>
  <c r="P953" i="11"/>
  <c r="P981" i="11"/>
  <c r="N927" i="11"/>
  <c r="G754" i="11"/>
  <c r="G700" i="11"/>
  <c r="M925" i="11"/>
  <c r="D701" i="11"/>
  <c r="D664" i="11"/>
  <c r="S1071" i="11"/>
  <c r="AR1026" i="11"/>
  <c r="AR991" i="11"/>
  <c r="O988" i="11"/>
  <c r="O960" i="11"/>
  <c r="R308" i="11"/>
  <c r="R1071" i="11"/>
  <c r="AQ991" i="11"/>
  <c r="AQ1026" i="11"/>
  <c r="Q952" i="11"/>
  <c r="Q980" i="11"/>
  <c r="J491" i="11"/>
  <c r="M490" i="11"/>
  <c r="F491" i="11"/>
  <c r="I490" i="11"/>
  <c r="R906" i="11"/>
  <c r="B317" i="11"/>
  <c r="E316" i="11"/>
  <c r="Q1062" i="11"/>
  <c r="AP1017" i="11"/>
  <c r="AP982" i="11"/>
  <c r="O926" i="11"/>
  <c r="I763" i="11"/>
  <c r="F764" i="11"/>
  <c r="M990" i="11"/>
  <c r="M962" i="11"/>
  <c r="Q986" i="11"/>
  <c r="Q958" i="11"/>
  <c r="O984" i="11"/>
  <c r="O956" i="11"/>
  <c r="N954" i="11"/>
  <c r="N982" i="11"/>
  <c r="M902" i="11"/>
  <c r="M910" i="11" s="1"/>
  <c r="J910" i="11"/>
  <c r="J13" i="11" s="1"/>
  <c r="M13" i="11" s="1"/>
  <c r="K845" i="11"/>
  <c r="K846" i="11"/>
  <c r="M844" i="11"/>
  <c r="R844" i="11" s="1"/>
  <c r="R540" i="11"/>
  <c r="N491" i="11"/>
  <c r="Q490" i="11"/>
  <c r="M934" i="11"/>
  <c r="P701" i="11"/>
  <c r="P664" i="11"/>
  <c r="Q981" i="11"/>
  <c r="Q953" i="11"/>
  <c r="S1068" i="11"/>
  <c r="AR1023" i="11"/>
  <c r="AR988" i="11"/>
  <c r="Q932" i="11"/>
  <c r="N847" i="11"/>
  <c r="Q846" i="11"/>
  <c r="Q955" i="11"/>
  <c r="Q983" i="11"/>
  <c r="P955" i="11"/>
  <c r="P983" i="11"/>
  <c r="R795" i="11"/>
  <c r="N763" i="11"/>
  <c r="M316" i="11"/>
  <c r="J317" i="11"/>
  <c r="F910" i="11"/>
  <c r="F13" i="11" s="1"/>
  <c r="I13" i="11" s="1"/>
  <c r="N963" i="11"/>
  <c r="N991" i="11"/>
  <c r="O928" i="11"/>
  <c r="H764" i="11"/>
  <c r="H753" i="11"/>
  <c r="P923" i="11"/>
  <c r="B798" i="11"/>
  <c r="E797" i="11"/>
  <c r="B763" i="11"/>
  <c r="R1067" i="11"/>
  <c r="AQ987" i="11"/>
  <c r="AQ1022" i="11"/>
  <c r="R1068" i="11"/>
  <c r="AQ1023" i="11"/>
  <c r="AQ988" i="11"/>
  <c r="P929" i="11"/>
  <c r="J798" i="11"/>
  <c r="M797" i="11"/>
  <c r="J763" i="11"/>
  <c r="R751" i="11"/>
  <c r="E902" i="11"/>
  <c r="B910" i="11"/>
  <c r="B13" i="11" s="1"/>
  <c r="E13" i="11" s="1"/>
  <c r="R490" i="11"/>
  <c r="I910" i="11"/>
  <c r="O924" i="11"/>
  <c r="C764" i="11"/>
  <c r="C753" i="11"/>
  <c r="S1062" i="11"/>
  <c r="AR982" i="11"/>
  <c r="AR1017" i="11"/>
  <c r="P989" i="11"/>
  <c r="P961" i="11"/>
  <c r="Q1071" i="11"/>
  <c r="AP1026" i="11"/>
  <c r="AP991" i="11"/>
  <c r="N931" i="11"/>
  <c r="L754" i="11"/>
  <c r="L700" i="11"/>
  <c r="N926" i="11"/>
  <c r="F754" i="11"/>
  <c r="F700" i="11"/>
  <c r="H541" i="11"/>
  <c r="I540" i="11"/>
  <c r="R1064" i="11"/>
  <c r="AQ1019" i="11"/>
  <c r="AQ984" i="11"/>
  <c r="Q957" i="11"/>
  <c r="Q985" i="11"/>
  <c r="P1070" i="11"/>
  <c r="AO1025" i="11"/>
  <c r="AO990" i="11"/>
  <c r="Q902" i="11"/>
  <c r="Q910" i="11" s="1"/>
  <c r="N910" i="11"/>
  <c r="N13" i="11" s="1"/>
  <c r="Q13" i="11" s="1"/>
  <c r="S1064" i="11"/>
  <c r="AR1019" i="11"/>
  <c r="AR984" i="11"/>
  <c r="N911" i="10"/>
  <c r="B742" i="10"/>
  <c r="B690" i="10"/>
  <c r="P968" i="10"/>
  <c r="P940" i="10"/>
  <c r="Q483" i="10"/>
  <c r="R483" i="10" s="1"/>
  <c r="N484" i="10"/>
  <c r="N916" i="10"/>
  <c r="H742" i="10"/>
  <c r="H690" i="10"/>
  <c r="R688" i="10"/>
  <c r="P972" i="10"/>
  <c r="P944" i="10"/>
  <c r="P920" i="10"/>
  <c r="Q785" i="10"/>
  <c r="N786" i="10"/>
  <c r="O951" i="10"/>
  <c r="O979" i="10"/>
  <c r="O921" i="10"/>
  <c r="O752" i="10"/>
  <c r="O741" i="10"/>
  <c r="AR1008" i="10"/>
  <c r="AR973" i="10"/>
  <c r="S1053" i="10"/>
  <c r="R305" i="10"/>
  <c r="AG1080" i="10"/>
  <c r="AG1079" i="10"/>
  <c r="R1059" i="10"/>
  <c r="AQ1014" i="10"/>
  <c r="AQ979" i="10"/>
  <c r="O919" i="10"/>
  <c r="L752" i="10"/>
  <c r="L741" i="10"/>
  <c r="P978" i="10"/>
  <c r="P950" i="10"/>
  <c r="S1059" i="10"/>
  <c r="AR1014" i="10"/>
  <c r="AR979" i="10"/>
  <c r="R875" i="10"/>
  <c r="O973" i="10"/>
  <c r="O945" i="10"/>
  <c r="Q976" i="10"/>
  <c r="Q948" i="10"/>
  <c r="AQ1070" i="10"/>
  <c r="AQ1063" i="10"/>
  <c r="AQ1061" i="10"/>
  <c r="AQ1059" i="10"/>
  <c r="AQ1057" i="10"/>
  <c r="AQ1068" i="10"/>
  <c r="AQ1066" i="10"/>
  <c r="AQ1067" i="10"/>
  <c r="AQ1060" i="10"/>
  <c r="AQ1058" i="10"/>
  <c r="AQ1053" i="10"/>
  <c r="AQ1065" i="10"/>
  <c r="AQ1062" i="10"/>
  <c r="AQ1064" i="10"/>
  <c r="AQ1069" i="10"/>
  <c r="AQ1054" i="10"/>
  <c r="AQ1071" i="10"/>
  <c r="AQ1056" i="10"/>
  <c r="AQ1055" i="10"/>
  <c r="AQ1050" i="10"/>
  <c r="AQ1048" i="10"/>
  <c r="AQ1051" i="10"/>
  <c r="AQ1052" i="10"/>
  <c r="AQ1049" i="10"/>
  <c r="M912" i="10"/>
  <c r="C691" i="10"/>
  <c r="C654" i="10"/>
  <c r="P970" i="10"/>
  <c r="P942" i="10"/>
  <c r="N833" i="10"/>
  <c r="Q832" i="10"/>
  <c r="R832" i="10" s="1"/>
  <c r="N834" i="10"/>
  <c r="I313" i="10"/>
  <c r="F314" i="10"/>
  <c r="M918" i="10"/>
  <c r="K691" i="10"/>
  <c r="K654" i="10"/>
  <c r="S1049" i="10"/>
  <c r="AR969" i="10"/>
  <c r="AR1004" i="10"/>
  <c r="N898" i="10"/>
  <c r="N13" i="10" s="1"/>
  <c r="Q13" i="10" s="1"/>
  <c r="Q890" i="10"/>
  <c r="Q898" i="10" s="1"/>
  <c r="O969" i="10"/>
  <c r="O941" i="10"/>
  <c r="Q1055" i="10"/>
  <c r="AP1010" i="10"/>
  <c r="AP975" i="10"/>
  <c r="J314" i="10"/>
  <c r="M313" i="10"/>
  <c r="Q917" i="10"/>
  <c r="J835" i="10"/>
  <c r="M834" i="10"/>
  <c r="J751" i="10"/>
  <c r="N314" i="10"/>
  <c r="Q313" i="10"/>
  <c r="Q970" i="10"/>
  <c r="Q942" i="10"/>
  <c r="B314" i="10"/>
  <c r="E313" i="10"/>
  <c r="R313" i="10" s="1"/>
  <c r="P976" i="10"/>
  <c r="P948" i="10"/>
  <c r="S1052" i="10"/>
  <c r="AR1007" i="10"/>
  <c r="AR972" i="10"/>
  <c r="I890" i="10"/>
  <c r="I898" i="10" s="1"/>
  <c r="F898" i="10"/>
  <c r="F13" i="10" s="1"/>
  <c r="I13" i="10" s="1"/>
  <c r="R13" i="10" s="1"/>
  <c r="N969" i="10"/>
  <c r="N941" i="10"/>
  <c r="O915" i="10"/>
  <c r="G752" i="10"/>
  <c r="G741" i="10"/>
  <c r="O913" i="10"/>
  <c r="D752" i="10"/>
  <c r="D741" i="10"/>
  <c r="S1058" i="10"/>
  <c r="AR1013" i="10"/>
  <c r="AR978" i="10"/>
  <c r="J484" i="10"/>
  <c r="M483" i="10"/>
  <c r="R890" i="10"/>
  <c r="R898" i="10" s="1"/>
  <c r="E898" i="10"/>
  <c r="P914" i="10"/>
  <c r="P924" i="10" s="1"/>
  <c r="I785" i="10"/>
  <c r="R785" i="10" s="1"/>
  <c r="F786" i="10"/>
  <c r="F751" i="10"/>
  <c r="Q943" i="10"/>
  <c r="Q971" i="10"/>
  <c r="N922" i="10"/>
  <c r="P742" i="10"/>
  <c r="P690" i="10"/>
  <c r="R1053" i="10"/>
  <c r="AQ1008" i="10"/>
  <c r="AQ973" i="10"/>
  <c r="O911" i="10"/>
  <c r="E751" i="10"/>
  <c r="B752" i="10"/>
  <c r="P974" i="10"/>
  <c r="P946" i="10"/>
  <c r="Q911" i="10"/>
  <c r="E834" i="10"/>
  <c r="B835" i="10"/>
  <c r="N975" i="10"/>
  <c r="N947" i="10"/>
  <c r="O889" i="9"/>
  <c r="G726" i="9"/>
  <c r="G715" i="9"/>
  <c r="E725" i="9"/>
  <c r="O885" i="9"/>
  <c r="B726" i="9"/>
  <c r="O953" i="9"/>
  <c r="O925" i="9"/>
  <c r="I469" i="9"/>
  <c r="F470" i="9"/>
  <c r="P948" i="9"/>
  <c r="P920" i="9"/>
  <c r="O886" i="9"/>
  <c r="C726" i="9"/>
  <c r="C715" i="9"/>
  <c r="M944" i="9"/>
  <c r="M916" i="9"/>
  <c r="P918" i="9"/>
  <c r="P946" i="9"/>
  <c r="S1030" i="9"/>
  <c r="AR985" i="9"/>
  <c r="AR950" i="9"/>
  <c r="R1030" i="9"/>
  <c r="AQ950" i="9"/>
  <c r="AQ985" i="9"/>
  <c r="P943" i="9"/>
  <c r="P915" i="9"/>
  <c r="Q1024" i="9"/>
  <c r="AP979" i="9"/>
  <c r="AP944" i="9"/>
  <c r="N890" i="9"/>
  <c r="H716" i="9"/>
  <c r="H667" i="9"/>
  <c r="P942" i="9"/>
  <c r="P914" i="9"/>
  <c r="S1028" i="9"/>
  <c r="AR983" i="9"/>
  <c r="AR948" i="9"/>
  <c r="S1032" i="9"/>
  <c r="AR987" i="9"/>
  <c r="AR952" i="9"/>
  <c r="R806" i="9"/>
  <c r="AP985" i="9"/>
  <c r="AP950" i="9"/>
  <c r="Q1030" i="9"/>
  <c r="J470" i="9"/>
  <c r="M469" i="9"/>
  <c r="O947" i="9"/>
  <c r="O919" i="9"/>
  <c r="R464" i="9"/>
  <c r="P888" i="9"/>
  <c r="P898" i="9" s="1"/>
  <c r="I759" i="9"/>
  <c r="R759" i="9" s="1"/>
  <c r="F760" i="9"/>
  <c r="F725" i="9"/>
  <c r="AQ979" i="9"/>
  <c r="AQ944" i="9"/>
  <c r="R1024" i="9"/>
  <c r="S1024" i="9"/>
  <c r="AR979" i="9"/>
  <c r="AR944" i="9"/>
  <c r="AG1054" i="9"/>
  <c r="AG1053" i="9"/>
  <c r="I808" i="9"/>
  <c r="Q888" i="9"/>
  <c r="F809" i="9"/>
  <c r="J872" i="9"/>
  <c r="J13" i="9" s="1"/>
  <c r="M13" i="9" s="1"/>
  <c r="M864" i="9"/>
  <c r="M872" i="9" s="1"/>
  <c r="O895" i="9"/>
  <c r="O726" i="9"/>
  <c r="O715" i="9"/>
  <c r="M893" i="9"/>
  <c r="L668" i="9"/>
  <c r="L631" i="9"/>
  <c r="E469" i="9"/>
  <c r="B470" i="9"/>
  <c r="O892" i="9"/>
  <c r="K726" i="9"/>
  <c r="K715" i="9"/>
  <c r="S1026" i="9"/>
  <c r="AR981" i="9"/>
  <c r="AR946" i="9"/>
  <c r="R864" i="9"/>
  <c r="E872" i="9"/>
  <c r="P1024" i="9"/>
  <c r="AO979" i="9"/>
  <c r="AO944" i="9"/>
  <c r="P894" i="9"/>
  <c r="Q759" i="9"/>
  <c r="N760" i="9"/>
  <c r="N725" i="9"/>
  <c r="R713" i="9"/>
  <c r="P949" i="9"/>
  <c r="P921" i="9"/>
  <c r="Q808" i="9"/>
  <c r="N809" i="9"/>
  <c r="Q894" i="9"/>
  <c r="O891" i="9"/>
  <c r="M725" i="9"/>
  <c r="J726" i="9"/>
  <c r="P952" i="9"/>
  <c r="P924" i="9"/>
  <c r="N922" i="9"/>
  <c r="N950" i="9"/>
  <c r="S1027" i="9"/>
  <c r="AR982" i="9"/>
  <c r="AR947" i="9"/>
  <c r="N896" i="9"/>
  <c r="P716" i="9"/>
  <c r="P667" i="9"/>
  <c r="S1029" i="9"/>
  <c r="AR984" i="9"/>
  <c r="AR949" i="9"/>
  <c r="S1033" i="9"/>
  <c r="AR988" i="9"/>
  <c r="AR953" i="9"/>
  <c r="R1033" i="9"/>
  <c r="AQ953" i="9"/>
  <c r="AQ988" i="9"/>
  <c r="J715" i="9"/>
  <c r="L887" i="9"/>
  <c r="D632" i="9"/>
  <c r="D621" i="9"/>
  <c r="N308" i="9"/>
  <c r="Q307" i="9"/>
  <c r="B715" i="9"/>
  <c r="I868" i="9"/>
  <c r="F872" i="9"/>
  <c r="F13" i="9" s="1"/>
  <c r="I13" i="9" s="1"/>
  <c r="R13" i="9" s="1"/>
  <c r="R1027" i="9"/>
  <c r="AQ982" i="9"/>
  <c r="AQ947" i="9"/>
  <c r="AR978" i="9"/>
  <c r="S1023" i="9"/>
  <c r="AR943" i="9"/>
  <c r="M307" i="9"/>
  <c r="R307" i="9" s="1"/>
  <c r="J308" i="9"/>
  <c r="AQ1072" i="10" l="1"/>
  <c r="R774" i="14"/>
  <c r="O889" i="14"/>
  <c r="O917" i="14"/>
  <c r="AR1010" i="14"/>
  <c r="AR1003" i="14"/>
  <c r="AR1001" i="14"/>
  <c r="AR999" i="14"/>
  <c r="AR1008" i="14"/>
  <c r="AR1006" i="14"/>
  <c r="AR1011" i="14"/>
  <c r="AR1009" i="14"/>
  <c r="AR1004" i="14"/>
  <c r="AR1002" i="14"/>
  <c r="AR1000" i="14"/>
  <c r="AR1007" i="14"/>
  <c r="AR996" i="14"/>
  <c r="AR994" i="14"/>
  <c r="AR1005" i="14"/>
  <c r="AR997" i="14"/>
  <c r="AR988" i="14"/>
  <c r="AR989" i="14"/>
  <c r="AR998" i="14"/>
  <c r="AR990" i="14"/>
  <c r="AR991" i="14"/>
  <c r="AR992" i="14"/>
  <c r="AR995" i="14"/>
  <c r="AR993" i="14"/>
  <c r="AP1005" i="14"/>
  <c r="AP998" i="14"/>
  <c r="AP1008" i="14"/>
  <c r="AP1006" i="14"/>
  <c r="AP1011" i="14"/>
  <c r="AP1009" i="14"/>
  <c r="AP1004" i="14"/>
  <c r="AP1002" i="14"/>
  <c r="AP1000" i="14"/>
  <c r="AP995" i="14"/>
  <c r="AP996" i="14"/>
  <c r="AP993" i="14"/>
  <c r="AP999" i="14"/>
  <c r="AP988" i="14"/>
  <c r="AP994" i="14"/>
  <c r="AP989" i="14"/>
  <c r="AP990" i="14"/>
  <c r="AP992" i="14"/>
  <c r="AP1010" i="14"/>
  <c r="AP1001" i="14"/>
  <c r="AP991" i="14"/>
  <c r="AP1007" i="14"/>
  <c r="AP1003" i="14"/>
  <c r="AP997" i="14"/>
  <c r="O887" i="14"/>
  <c r="O915" i="14"/>
  <c r="O913" i="14"/>
  <c r="O885" i="14"/>
  <c r="AQ950" i="14"/>
  <c r="R995" i="14"/>
  <c r="AQ915" i="14"/>
  <c r="P914" i="14"/>
  <c r="P886" i="14"/>
  <c r="R989" i="14"/>
  <c r="AQ909" i="14"/>
  <c r="AQ944" i="14"/>
  <c r="R999" i="14"/>
  <c r="AQ954" i="14"/>
  <c r="AQ919" i="14"/>
  <c r="L853" i="14"/>
  <c r="D600" i="14"/>
  <c r="D589" i="14"/>
  <c r="Q908" i="14"/>
  <c r="Q880" i="14"/>
  <c r="Q864" i="14"/>
  <c r="N852" i="14"/>
  <c r="C683" i="14"/>
  <c r="C635" i="14"/>
  <c r="N918" i="14"/>
  <c r="N890" i="14"/>
  <c r="O851" i="14"/>
  <c r="B693" i="14"/>
  <c r="E692" i="14"/>
  <c r="B682" i="14"/>
  <c r="S989" i="14"/>
  <c r="AR944" i="14"/>
  <c r="AR909" i="14"/>
  <c r="M861" i="14"/>
  <c r="O636" i="14"/>
  <c r="O599" i="14"/>
  <c r="Q992" i="14"/>
  <c r="AP947" i="14"/>
  <c r="AP912" i="14"/>
  <c r="O854" i="14"/>
  <c r="I692" i="14"/>
  <c r="F693" i="14"/>
  <c r="F682" i="14"/>
  <c r="AO910" i="14"/>
  <c r="P990" i="14"/>
  <c r="AO945" i="14"/>
  <c r="R13" i="14"/>
  <c r="P880" i="14"/>
  <c r="P908" i="14"/>
  <c r="P864" i="14"/>
  <c r="R830" i="14"/>
  <c r="R838" i="14" s="1"/>
  <c r="E838" i="14"/>
  <c r="M855" i="14"/>
  <c r="G636" i="14"/>
  <c r="G599" i="14"/>
  <c r="M910" i="14"/>
  <c r="M882" i="14"/>
  <c r="S993" i="14"/>
  <c r="AR948" i="14"/>
  <c r="AR913" i="14"/>
  <c r="O909" i="14"/>
  <c r="O881" i="14"/>
  <c r="R997" i="14"/>
  <c r="AQ952" i="14"/>
  <c r="AQ917" i="14"/>
  <c r="M860" i="14"/>
  <c r="N636" i="14"/>
  <c r="N599" i="14"/>
  <c r="N862" i="14"/>
  <c r="P683" i="14"/>
  <c r="P635" i="14"/>
  <c r="Q635" i="14" s="1"/>
  <c r="Q998" i="14"/>
  <c r="AP953" i="14"/>
  <c r="AP918" i="14"/>
  <c r="L859" i="14"/>
  <c r="L600" i="14"/>
  <c r="L589" i="14"/>
  <c r="R726" i="14"/>
  <c r="AQ998" i="14"/>
  <c r="AQ1010" i="14"/>
  <c r="AQ1003" i="14"/>
  <c r="AQ1001" i="14"/>
  <c r="AQ999" i="14"/>
  <c r="AQ1011" i="14"/>
  <c r="AQ1009" i="14"/>
  <c r="AQ1004" i="14"/>
  <c r="AQ1002" i="14"/>
  <c r="AQ1000" i="14"/>
  <c r="AQ995" i="14"/>
  <c r="AQ1007" i="14"/>
  <c r="AQ996" i="14"/>
  <c r="AQ1008" i="14"/>
  <c r="AQ1005" i="14"/>
  <c r="AQ988" i="14"/>
  <c r="AQ994" i="14"/>
  <c r="AQ989" i="14"/>
  <c r="AQ1006" i="14"/>
  <c r="AQ990" i="14"/>
  <c r="AQ992" i="14"/>
  <c r="AQ991" i="14"/>
  <c r="AQ997" i="14"/>
  <c r="AQ993" i="14"/>
  <c r="Q889" i="14"/>
  <c r="Q917" i="14"/>
  <c r="Q883" i="14"/>
  <c r="Q911" i="14"/>
  <c r="N884" i="14"/>
  <c r="N912" i="14"/>
  <c r="P996" i="14"/>
  <c r="AO951" i="14"/>
  <c r="AO916" i="14"/>
  <c r="S995" i="14"/>
  <c r="AR915" i="14"/>
  <c r="AR950" i="14"/>
  <c r="O857" i="14"/>
  <c r="J693" i="14"/>
  <c r="M692" i="14"/>
  <c r="J682" i="14"/>
  <c r="O891" i="14"/>
  <c r="O919" i="14"/>
  <c r="N858" i="14"/>
  <c r="K683" i="14"/>
  <c r="K635" i="14"/>
  <c r="N856" i="14"/>
  <c r="H683" i="14"/>
  <c r="H635" i="14"/>
  <c r="M888" i="14"/>
  <c r="M916" i="14"/>
  <c r="N917" i="14"/>
  <c r="N889" i="14"/>
  <c r="O987" i="13"/>
  <c r="O1015" i="13"/>
  <c r="O1020" i="13"/>
  <c r="O992" i="13"/>
  <c r="R826" i="13"/>
  <c r="M957" i="13"/>
  <c r="C731" i="13"/>
  <c r="C694" i="13"/>
  <c r="R13" i="13"/>
  <c r="P985" i="13"/>
  <c r="P969" i="13"/>
  <c r="P1013" i="13"/>
  <c r="M965" i="13"/>
  <c r="N731" i="13"/>
  <c r="N694" i="13"/>
  <c r="P1019" i="13"/>
  <c r="P991" i="13"/>
  <c r="O1018" i="13"/>
  <c r="O990" i="13"/>
  <c r="E943" i="13"/>
  <c r="R935" i="13"/>
  <c r="R943" i="13" s="1"/>
  <c r="N986" i="13"/>
  <c r="N1014" i="13"/>
  <c r="N967" i="13"/>
  <c r="P783" i="13"/>
  <c r="P730" i="13"/>
  <c r="Q730" i="13" s="1"/>
  <c r="N966" i="13"/>
  <c r="O783" i="13"/>
  <c r="O730" i="13"/>
  <c r="O959" i="13"/>
  <c r="F793" i="13"/>
  <c r="I792" i="13"/>
  <c r="F782" i="13"/>
  <c r="O994" i="13"/>
  <c r="O1022" i="13"/>
  <c r="N964" i="13"/>
  <c r="L783" i="13"/>
  <c r="L730" i="13"/>
  <c r="O960" i="13"/>
  <c r="G793" i="13"/>
  <c r="G782" i="13"/>
  <c r="O962" i="13"/>
  <c r="J793" i="13"/>
  <c r="M792" i="13"/>
  <c r="J782" i="13"/>
  <c r="Q1013" i="13"/>
  <c r="Q1026" i="13" s="1"/>
  <c r="Q969" i="13"/>
  <c r="Q985" i="13"/>
  <c r="N994" i="13"/>
  <c r="N1022" i="13"/>
  <c r="N963" i="13"/>
  <c r="K783" i="13"/>
  <c r="K730" i="13"/>
  <c r="O996" i="13"/>
  <c r="O1024" i="13"/>
  <c r="O995" i="13"/>
  <c r="O1023" i="13"/>
  <c r="N961" i="13"/>
  <c r="H783" i="13"/>
  <c r="H730" i="13"/>
  <c r="P988" i="13"/>
  <c r="P1016" i="13"/>
  <c r="O993" i="13"/>
  <c r="O1021" i="13"/>
  <c r="N958" i="13"/>
  <c r="D783" i="13"/>
  <c r="D730" i="13"/>
  <c r="O956" i="13"/>
  <c r="E792" i="13"/>
  <c r="R792" i="13" s="1"/>
  <c r="B793" i="13"/>
  <c r="B782" i="13"/>
  <c r="Q1017" i="13"/>
  <c r="Q989" i="13"/>
  <c r="N959" i="12"/>
  <c r="H783" i="12"/>
  <c r="H730" i="12"/>
  <c r="O1019" i="12"/>
  <c r="O991" i="12"/>
  <c r="AQ1113" i="12"/>
  <c r="AQ1106" i="12"/>
  <c r="AQ1104" i="12"/>
  <c r="AQ1102" i="12"/>
  <c r="AQ1100" i="12"/>
  <c r="AQ1111" i="12"/>
  <c r="AQ1109" i="12"/>
  <c r="AQ1114" i="12"/>
  <c r="AQ1112" i="12"/>
  <c r="AQ1107" i="12"/>
  <c r="AQ1105" i="12"/>
  <c r="AQ1103" i="12"/>
  <c r="AQ1101" i="12"/>
  <c r="AQ1099" i="12"/>
  <c r="AQ1095" i="12"/>
  <c r="AQ1093" i="12"/>
  <c r="AQ1091" i="12"/>
  <c r="AQ1115" i="12" s="1"/>
  <c r="AQ1098" i="12"/>
  <c r="AQ1094" i="12"/>
  <c r="AQ1092" i="12"/>
  <c r="AQ1108" i="12"/>
  <c r="AQ1110" i="12"/>
  <c r="AQ1097" i="12"/>
  <c r="AQ1096" i="12"/>
  <c r="O1092" i="12"/>
  <c r="AN1047" i="12"/>
  <c r="AN1012" i="12"/>
  <c r="R877" i="12"/>
  <c r="P1092" i="12"/>
  <c r="AO1047" i="12"/>
  <c r="AO1012" i="12"/>
  <c r="O1017" i="12"/>
  <c r="O989" i="12"/>
  <c r="N1020" i="12"/>
  <c r="N992" i="12"/>
  <c r="S1093" i="12"/>
  <c r="AR1048" i="12"/>
  <c r="AR1013" i="12"/>
  <c r="S1102" i="12"/>
  <c r="AR1057" i="12"/>
  <c r="AR1022" i="12"/>
  <c r="Q992" i="12"/>
  <c r="Q1020" i="12"/>
  <c r="Q1011" i="12"/>
  <c r="Q983" i="12"/>
  <c r="Q967" i="12"/>
  <c r="K955" i="12"/>
  <c r="C685" i="12"/>
  <c r="C618" i="12"/>
  <c r="M993" i="12"/>
  <c r="M1021" i="12"/>
  <c r="N954" i="12"/>
  <c r="E782" i="12"/>
  <c r="B783" i="12"/>
  <c r="B730" i="12"/>
  <c r="Q1101" i="12"/>
  <c r="AP1056" i="12"/>
  <c r="AP1021" i="12"/>
  <c r="S1099" i="12"/>
  <c r="AR1054" i="12"/>
  <c r="AR1019" i="12"/>
  <c r="N956" i="12"/>
  <c r="D783" i="12"/>
  <c r="D730" i="12"/>
  <c r="M961" i="12"/>
  <c r="K731" i="12"/>
  <c r="K694" i="12"/>
  <c r="N965" i="12"/>
  <c r="P783" i="12"/>
  <c r="P730" i="12"/>
  <c r="Q1017" i="12"/>
  <c r="Q989" i="12"/>
  <c r="P1101" i="12"/>
  <c r="AO1056" i="12"/>
  <c r="AO1021" i="12"/>
  <c r="L1012" i="12"/>
  <c r="L984" i="12"/>
  <c r="R792" i="12"/>
  <c r="O1016" i="12"/>
  <c r="O988" i="12"/>
  <c r="R1097" i="12"/>
  <c r="AQ1052" i="12"/>
  <c r="AQ1017" i="12"/>
  <c r="M958" i="12"/>
  <c r="G731" i="12"/>
  <c r="G694" i="12"/>
  <c r="R1100" i="12"/>
  <c r="AQ1020" i="12"/>
  <c r="AQ1055" i="12"/>
  <c r="O967" i="12"/>
  <c r="O983" i="12"/>
  <c r="O1011" i="12"/>
  <c r="O985" i="12"/>
  <c r="O1013" i="12"/>
  <c r="O1020" i="12"/>
  <c r="O992" i="12"/>
  <c r="AR1113" i="12"/>
  <c r="AR1106" i="12"/>
  <c r="AR1104" i="12"/>
  <c r="AR1102" i="12"/>
  <c r="AR1100" i="12"/>
  <c r="AR1111" i="12"/>
  <c r="AR1109" i="12"/>
  <c r="AR1114" i="12"/>
  <c r="AR1112" i="12"/>
  <c r="AR1107" i="12"/>
  <c r="AR1105" i="12"/>
  <c r="AR1103" i="12"/>
  <c r="AR1101" i="12"/>
  <c r="AR1110" i="12"/>
  <c r="AR1095" i="12"/>
  <c r="AR1093" i="12"/>
  <c r="AR1091" i="12"/>
  <c r="AR1115" i="12" s="1"/>
  <c r="AR1098" i="12"/>
  <c r="AR1099" i="12"/>
  <c r="AR1096" i="12"/>
  <c r="AR1108" i="12"/>
  <c r="AR1097" i="12"/>
  <c r="AR1092" i="12"/>
  <c r="AR1094" i="12"/>
  <c r="N990" i="12"/>
  <c r="N1018" i="12"/>
  <c r="O957" i="12"/>
  <c r="I792" i="12"/>
  <c r="F793" i="12"/>
  <c r="F782" i="12"/>
  <c r="O1022" i="12"/>
  <c r="O994" i="12"/>
  <c r="N960" i="12"/>
  <c r="J783" i="12"/>
  <c r="M782" i="12"/>
  <c r="J730" i="12"/>
  <c r="M963" i="12"/>
  <c r="Q730" i="12"/>
  <c r="N731" i="12"/>
  <c r="N694" i="12"/>
  <c r="N962" i="12"/>
  <c r="L783" i="12"/>
  <c r="L730" i="12"/>
  <c r="S1096" i="12"/>
  <c r="AR1051" i="12"/>
  <c r="AR1016" i="12"/>
  <c r="N1015" i="12"/>
  <c r="N987" i="12"/>
  <c r="R1091" i="12"/>
  <c r="AQ1046" i="12"/>
  <c r="AQ1059" i="12" s="1"/>
  <c r="P1024" i="12"/>
  <c r="AQ1011" i="12"/>
  <c r="Q1014" i="12"/>
  <c r="Q986" i="12"/>
  <c r="R1094" i="12"/>
  <c r="AQ1049" i="12"/>
  <c r="AQ1014" i="12"/>
  <c r="Q1092" i="12"/>
  <c r="AP1047" i="12"/>
  <c r="AP1012" i="12"/>
  <c r="Q1095" i="12"/>
  <c r="AP1050" i="12"/>
  <c r="AP1015" i="12"/>
  <c r="L964" i="12"/>
  <c r="O695" i="12"/>
  <c r="O684" i="12"/>
  <c r="Q1098" i="12"/>
  <c r="AP1018" i="12"/>
  <c r="AP1053" i="12"/>
  <c r="R1069" i="11"/>
  <c r="AQ989" i="11"/>
  <c r="AQ1024" i="11"/>
  <c r="E910" i="11"/>
  <c r="R902" i="11"/>
  <c r="R910" i="11" s="1"/>
  <c r="N928" i="11"/>
  <c r="H754" i="11"/>
  <c r="H700" i="11"/>
  <c r="L934" i="11"/>
  <c r="P665" i="11"/>
  <c r="P654" i="11"/>
  <c r="Q930" i="11"/>
  <c r="K847" i="11"/>
  <c r="K763" i="11"/>
  <c r="M846" i="11"/>
  <c r="R846" i="11" s="1"/>
  <c r="L925" i="11"/>
  <c r="D665" i="11"/>
  <c r="D654" i="11"/>
  <c r="K933" i="11"/>
  <c r="O655" i="11"/>
  <c r="O587" i="11"/>
  <c r="N983" i="11"/>
  <c r="N955" i="11"/>
  <c r="S1063" i="11"/>
  <c r="AR1018" i="11"/>
  <c r="AR983" i="11"/>
  <c r="R1061" i="11"/>
  <c r="AQ1016" i="11"/>
  <c r="AQ981" i="11"/>
  <c r="N988" i="11"/>
  <c r="N960" i="11"/>
  <c r="S1066" i="11"/>
  <c r="AR1021" i="11"/>
  <c r="AR986" i="11"/>
  <c r="L962" i="11"/>
  <c r="L990" i="11"/>
  <c r="P1071" i="11"/>
  <c r="AO1026" i="11"/>
  <c r="AO991" i="11"/>
  <c r="O1070" i="11"/>
  <c r="AN1025" i="11"/>
  <c r="AN990" i="11"/>
  <c r="R316" i="11"/>
  <c r="M927" i="11"/>
  <c r="G701" i="11"/>
  <c r="G664" i="11"/>
  <c r="N924" i="11"/>
  <c r="C754" i="11"/>
  <c r="C700" i="11"/>
  <c r="O932" i="11"/>
  <c r="Q763" i="11"/>
  <c r="N764" i="11"/>
  <c r="N753" i="11"/>
  <c r="Q989" i="11"/>
  <c r="Q961" i="11"/>
  <c r="M926" i="11"/>
  <c r="F701" i="11"/>
  <c r="I700" i="11"/>
  <c r="F664" i="11"/>
  <c r="O981" i="11"/>
  <c r="O953" i="11"/>
  <c r="O923" i="11"/>
  <c r="E763" i="11"/>
  <c r="R763" i="11" s="1"/>
  <c r="B764" i="11"/>
  <c r="B753" i="11"/>
  <c r="AQ1018" i="11"/>
  <c r="R1063" i="11"/>
  <c r="AQ983" i="11"/>
  <c r="P1062" i="11"/>
  <c r="AO1017" i="11"/>
  <c r="AO982" i="11"/>
  <c r="Q1068" i="11"/>
  <c r="AP1023" i="11"/>
  <c r="AP988" i="11"/>
  <c r="O929" i="11"/>
  <c r="J764" i="11"/>
  <c r="M763" i="11"/>
  <c r="J753" i="11"/>
  <c r="O985" i="11"/>
  <c r="O957" i="11"/>
  <c r="M991" i="11"/>
  <c r="M963" i="11"/>
  <c r="M982" i="11"/>
  <c r="M954" i="11"/>
  <c r="S1065" i="11"/>
  <c r="AR1020" i="11"/>
  <c r="AR985" i="11"/>
  <c r="I753" i="11"/>
  <c r="P958" i="11"/>
  <c r="P986" i="11"/>
  <c r="R797" i="11"/>
  <c r="S1060" i="11"/>
  <c r="AR1015" i="11"/>
  <c r="AR980" i="11"/>
  <c r="N984" i="11"/>
  <c r="N956" i="11"/>
  <c r="O983" i="11"/>
  <c r="O955" i="11"/>
  <c r="M931" i="11"/>
  <c r="L701" i="11"/>
  <c r="L664" i="11"/>
  <c r="R13" i="11"/>
  <c r="P952" i="11"/>
  <c r="P936" i="11"/>
  <c r="P980" i="11"/>
  <c r="S1061" i="11"/>
  <c r="AR1016" i="11"/>
  <c r="AR981" i="11"/>
  <c r="Q1064" i="11"/>
  <c r="AP1019" i="11"/>
  <c r="AP984" i="11"/>
  <c r="T13" i="10"/>
  <c r="S13" i="10"/>
  <c r="Q920" i="10"/>
  <c r="Q834" i="10"/>
  <c r="N835" i="10"/>
  <c r="N979" i="10"/>
  <c r="N951" i="10"/>
  <c r="R1058" i="10"/>
  <c r="AQ1013" i="10"/>
  <c r="AQ978" i="10"/>
  <c r="P1055" i="10"/>
  <c r="AO1010" i="10"/>
  <c r="AO975" i="10"/>
  <c r="O940" i="10"/>
  <c r="O968" i="10"/>
  <c r="S1051" i="10"/>
  <c r="AR1006" i="10"/>
  <c r="AR971" i="10"/>
  <c r="O942" i="10"/>
  <c r="O970" i="10"/>
  <c r="L918" i="10"/>
  <c r="K655" i="10"/>
  <c r="K644" i="10"/>
  <c r="N919" i="10"/>
  <c r="L742" i="10"/>
  <c r="L690" i="10"/>
  <c r="N913" i="10"/>
  <c r="D742" i="10"/>
  <c r="D690" i="10"/>
  <c r="O978" i="10"/>
  <c r="O950" i="10"/>
  <c r="O917" i="10"/>
  <c r="J752" i="10"/>
  <c r="M751" i="10"/>
  <c r="J741" i="10"/>
  <c r="AR1070" i="10"/>
  <c r="AR1063" i="10"/>
  <c r="AR1061" i="10"/>
  <c r="AR1059" i="10"/>
  <c r="AR1057" i="10"/>
  <c r="AR1068" i="10"/>
  <c r="AR1066" i="10"/>
  <c r="AR1071" i="10"/>
  <c r="AR1069" i="10"/>
  <c r="AR1064" i="10"/>
  <c r="AR1062" i="10"/>
  <c r="AR1060" i="10"/>
  <c r="AR1058" i="10"/>
  <c r="AR1056" i="10"/>
  <c r="AR1065" i="10"/>
  <c r="AR1051" i="10"/>
  <c r="AR1054" i="10"/>
  <c r="AR1052" i="10"/>
  <c r="AR1067" i="10"/>
  <c r="AR1055" i="10"/>
  <c r="AR1050" i="10"/>
  <c r="AR1049" i="10"/>
  <c r="AR1053" i="10"/>
  <c r="AR1048" i="10"/>
  <c r="AR1072" i="10" s="1"/>
  <c r="S1056" i="10"/>
  <c r="AR1011" i="10"/>
  <c r="AR976" i="10"/>
  <c r="Q1059" i="10"/>
  <c r="AP1014" i="10"/>
  <c r="AP979" i="10"/>
  <c r="R1052" i="10"/>
  <c r="AQ972" i="10"/>
  <c r="AQ1007" i="10"/>
  <c r="Q1053" i="10"/>
  <c r="AP1008" i="10"/>
  <c r="AP973" i="10"/>
  <c r="N751" i="10"/>
  <c r="M916" i="10"/>
  <c r="H654" i="10"/>
  <c r="H691" i="10"/>
  <c r="R1048" i="10"/>
  <c r="AQ968" i="10"/>
  <c r="AQ1003" i="10"/>
  <c r="N940" i="10"/>
  <c r="N968" i="10"/>
  <c r="O914" i="10"/>
  <c r="I751" i="10"/>
  <c r="F752" i="10"/>
  <c r="F741" i="10"/>
  <c r="Q946" i="10"/>
  <c r="Q974" i="10"/>
  <c r="R1050" i="10"/>
  <c r="AQ970" i="10"/>
  <c r="AQ1005" i="10"/>
  <c r="O976" i="10"/>
  <c r="O948" i="10"/>
  <c r="Q940" i="10"/>
  <c r="Q968" i="10"/>
  <c r="Q924" i="10"/>
  <c r="S1050" i="10"/>
  <c r="AR1005" i="10"/>
  <c r="AR970" i="10"/>
  <c r="L912" i="10"/>
  <c r="C655" i="10"/>
  <c r="C644" i="10"/>
  <c r="N973" i="10"/>
  <c r="N945" i="10"/>
  <c r="M911" i="10"/>
  <c r="E690" i="10"/>
  <c r="B691" i="10"/>
  <c r="B654" i="10"/>
  <c r="R1056" i="10"/>
  <c r="AQ1011" i="10"/>
  <c r="AQ976" i="10"/>
  <c r="R834" i="10"/>
  <c r="M975" i="10"/>
  <c r="M947" i="10"/>
  <c r="O972" i="10"/>
  <c r="O944" i="10"/>
  <c r="N921" i="10"/>
  <c r="O742" i="10"/>
  <c r="O690" i="10"/>
  <c r="P949" i="10"/>
  <c r="P977" i="10"/>
  <c r="P1049" i="10"/>
  <c r="AO969" i="10"/>
  <c r="AO1004" i="10"/>
  <c r="N915" i="10"/>
  <c r="G742" i="10"/>
  <c r="G690" i="10"/>
  <c r="Q1049" i="10"/>
  <c r="AP1004" i="10"/>
  <c r="AP969" i="10"/>
  <c r="R1054" i="10"/>
  <c r="AQ1009" i="10"/>
  <c r="AQ974" i="10"/>
  <c r="M922" i="10"/>
  <c r="P654" i="10"/>
  <c r="P691" i="10"/>
  <c r="P971" i="10"/>
  <c r="P981" i="10" s="1"/>
  <c r="P943" i="10"/>
  <c r="M941" i="10"/>
  <c r="M969" i="10"/>
  <c r="E741" i="10"/>
  <c r="U13" i="9"/>
  <c r="T13" i="9"/>
  <c r="AR1044" i="9"/>
  <c r="AR1037" i="9"/>
  <c r="AR1035" i="9"/>
  <c r="AR1033" i="9"/>
  <c r="AR1031" i="9"/>
  <c r="AR1042" i="9"/>
  <c r="AR1040" i="9"/>
  <c r="AR1039" i="9"/>
  <c r="AR1028" i="9"/>
  <c r="AR1041" i="9"/>
  <c r="AR1030" i="9"/>
  <c r="AR1038" i="9"/>
  <c r="AR1026" i="9"/>
  <c r="AR1024" i="9"/>
  <c r="AR1022" i="9"/>
  <c r="AR1045" i="9"/>
  <c r="AR1029" i="9"/>
  <c r="AR1036" i="9"/>
  <c r="AR1043" i="9"/>
  <c r="AR1027" i="9"/>
  <c r="AR1034" i="9"/>
  <c r="AR1032" i="9"/>
  <c r="AR1025" i="9"/>
  <c r="AR1023" i="9"/>
  <c r="M896" i="9"/>
  <c r="P668" i="9"/>
  <c r="P631" i="9"/>
  <c r="L632" i="9"/>
  <c r="L893" i="9"/>
  <c r="L621" i="9"/>
  <c r="O943" i="9"/>
  <c r="O915" i="9"/>
  <c r="R1032" i="9"/>
  <c r="AQ952" i="9"/>
  <c r="AQ987" i="9"/>
  <c r="Q945" i="9"/>
  <c r="Q917" i="9"/>
  <c r="Q898" i="9"/>
  <c r="AP982" i="9"/>
  <c r="Q1027" i="9"/>
  <c r="AP947" i="9"/>
  <c r="O942" i="9"/>
  <c r="O914" i="9"/>
  <c r="N953" i="9"/>
  <c r="N925" i="9"/>
  <c r="R1029" i="9"/>
  <c r="AQ984" i="9"/>
  <c r="AQ949" i="9"/>
  <c r="N892" i="9"/>
  <c r="K716" i="9"/>
  <c r="K667" i="9"/>
  <c r="M950" i="9"/>
  <c r="M922" i="9"/>
  <c r="R808" i="9"/>
  <c r="AQ942" i="9"/>
  <c r="P955" i="9"/>
  <c r="AQ977" i="9"/>
  <c r="R1022" i="9"/>
  <c r="R1023" i="9"/>
  <c r="AQ978" i="9"/>
  <c r="AQ943" i="9"/>
  <c r="AQ981" i="9"/>
  <c r="R1026" i="9"/>
  <c r="AQ946" i="9"/>
  <c r="R1028" i="9"/>
  <c r="AQ948" i="9"/>
  <c r="AQ983" i="9"/>
  <c r="R725" i="9"/>
  <c r="K887" i="9"/>
  <c r="D622" i="9"/>
  <c r="D563" i="9"/>
  <c r="N895" i="9"/>
  <c r="O716" i="9"/>
  <c r="O667" i="9"/>
  <c r="O888" i="9"/>
  <c r="F726" i="9"/>
  <c r="I725" i="9"/>
  <c r="F715" i="9"/>
  <c r="M890" i="9"/>
  <c r="H668" i="9"/>
  <c r="H631" i="9"/>
  <c r="N889" i="9"/>
  <c r="G716" i="9"/>
  <c r="G667" i="9"/>
  <c r="O894" i="9"/>
  <c r="N726" i="9"/>
  <c r="Q725" i="9"/>
  <c r="N715" i="9"/>
  <c r="O949" i="9"/>
  <c r="O921" i="9"/>
  <c r="L944" i="9"/>
  <c r="L916" i="9"/>
  <c r="O920" i="9"/>
  <c r="O948" i="9"/>
  <c r="O952" i="9"/>
  <c r="O924" i="9"/>
  <c r="N919" i="9"/>
  <c r="N947" i="9"/>
  <c r="O1024" i="9"/>
  <c r="AN979" i="9"/>
  <c r="AN944" i="9"/>
  <c r="O946" i="9"/>
  <c r="O918" i="9"/>
  <c r="I872" i="9"/>
  <c r="R868" i="9"/>
  <c r="R872" i="9" s="1"/>
  <c r="J716" i="9"/>
  <c r="N891" i="9"/>
  <c r="M715" i="9"/>
  <c r="J667" i="9"/>
  <c r="P1030" i="9"/>
  <c r="AO985" i="9"/>
  <c r="AO950" i="9"/>
  <c r="Q951" i="9"/>
  <c r="Q923" i="9"/>
  <c r="R469" i="9"/>
  <c r="P945" i="9"/>
  <c r="P917" i="9"/>
  <c r="N886" i="9"/>
  <c r="C716" i="9"/>
  <c r="C667" i="9"/>
  <c r="N885" i="9"/>
  <c r="E715" i="9"/>
  <c r="B716" i="9"/>
  <c r="B667" i="9"/>
  <c r="P951" i="9"/>
  <c r="P923" i="9"/>
  <c r="Q1033" i="9"/>
  <c r="AP988" i="9"/>
  <c r="AP953" i="9"/>
  <c r="AR1046" i="9" l="1"/>
  <c r="AQ1012" i="14"/>
  <c r="AR1012" i="14"/>
  <c r="AP1012" i="14"/>
  <c r="N919" i="14"/>
  <c r="N891" i="14"/>
  <c r="N909" i="14"/>
  <c r="N881" i="14"/>
  <c r="N913" i="14"/>
  <c r="N885" i="14"/>
  <c r="P992" i="14"/>
  <c r="AO947" i="14"/>
  <c r="AO912" i="14"/>
  <c r="N600" i="14"/>
  <c r="L860" i="14"/>
  <c r="N589" i="14"/>
  <c r="AP944" i="14"/>
  <c r="AP909" i="14"/>
  <c r="Q989" i="14"/>
  <c r="M912" i="14"/>
  <c r="M884" i="14"/>
  <c r="AO1007" i="14"/>
  <c r="AO1005" i="14"/>
  <c r="AO997" i="14"/>
  <c r="AO993" i="14"/>
  <c r="AO1010" i="14"/>
  <c r="AO1003" i="14"/>
  <c r="AO1001" i="14"/>
  <c r="AO999" i="14"/>
  <c r="AO1008" i="14"/>
  <c r="AO1006" i="14"/>
  <c r="AO1004" i="14"/>
  <c r="AO1011" i="14"/>
  <c r="AO996" i="14"/>
  <c r="AO1002" i="14"/>
  <c r="AO1009" i="14"/>
  <c r="AO998" i="14"/>
  <c r="AO988" i="14"/>
  <c r="AO990" i="14"/>
  <c r="AO1000" i="14"/>
  <c r="AO994" i="14"/>
  <c r="AO995" i="14"/>
  <c r="AO989" i="14"/>
  <c r="AO991" i="14"/>
  <c r="AO992" i="14"/>
  <c r="R692" i="14"/>
  <c r="K859" i="14"/>
  <c r="L590" i="14"/>
  <c r="L534" i="14"/>
  <c r="N851" i="14"/>
  <c r="B683" i="14"/>
  <c r="E682" i="14"/>
  <c r="B635" i="14"/>
  <c r="M858" i="14"/>
  <c r="K636" i="14"/>
  <c r="K599" i="14"/>
  <c r="O886" i="14"/>
  <c r="O914" i="14"/>
  <c r="L916" i="14"/>
  <c r="L888" i="14"/>
  <c r="L861" i="14"/>
  <c r="O600" i="14"/>
  <c r="O589" i="14"/>
  <c r="S991" i="14"/>
  <c r="AR946" i="14"/>
  <c r="AR911" i="14"/>
  <c r="N854" i="14"/>
  <c r="I682" i="14"/>
  <c r="F683" i="14"/>
  <c r="F635" i="14"/>
  <c r="O880" i="14"/>
  <c r="O864" i="14"/>
  <c r="O908" i="14"/>
  <c r="S988" i="14"/>
  <c r="Q921" i="14"/>
  <c r="AR908" i="14"/>
  <c r="AR943" i="14"/>
  <c r="Q993" i="14"/>
  <c r="AP913" i="14"/>
  <c r="AP948" i="14"/>
  <c r="AO952" i="14"/>
  <c r="P997" i="14"/>
  <c r="AO917" i="14"/>
  <c r="N915" i="14"/>
  <c r="N887" i="14"/>
  <c r="M917" i="14"/>
  <c r="M889" i="14"/>
  <c r="M918" i="14"/>
  <c r="M890" i="14"/>
  <c r="K853" i="14"/>
  <c r="D590" i="14"/>
  <c r="D534" i="14"/>
  <c r="Q995" i="14"/>
  <c r="AP950" i="14"/>
  <c r="AP915" i="14"/>
  <c r="O996" i="14"/>
  <c r="AN916" i="14"/>
  <c r="AN951" i="14"/>
  <c r="Q999" i="14"/>
  <c r="AP954" i="14"/>
  <c r="AP919" i="14"/>
  <c r="S997" i="14"/>
  <c r="AR952" i="14"/>
  <c r="AR917" i="14"/>
  <c r="R988" i="14"/>
  <c r="AQ943" i="14"/>
  <c r="P921" i="14"/>
  <c r="AQ908" i="14"/>
  <c r="P998" i="14"/>
  <c r="AO918" i="14"/>
  <c r="AO953" i="14"/>
  <c r="M862" i="14"/>
  <c r="P636" i="14"/>
  <c r="P599" i="14"/>
  <c r="O990" i="14"/>
  <c r="AN945" i="14"/>
  <c r="AN910" i="14"/>
  <c r="O911" i="14"/>
  <c r="O883" i="14"/>
  <c r="M852" i="14"/>
  <c r="C599" i="14"/>
  <c r="C636" i="14"/>
  <c r="L910" i="14"/>
  <c r="L882" i="14"/>
  <c r="R994" i="14"/>
  <c r="AQ949" i="14"/>
  <c r="AQ914" i="14"/>
  <c r="Q997" i="14"/>
  <c r="AP952" i="14"/>
  <c r="AP917" i="14"/>
  <c r="H636" i="14"/>
  <c r="M856" i="14"/>
  <c r="H599" i="14"/>
  <c r="N857" i="14"/>
  <c r="J683" i="14"/>
  <c r="M682" i="14"/>
  <c r="J635" i="14"/>
  <c r="L855" i="14"/>
  <c r="G600" i="14"/>
  <c r="G589" i="14"/>
  <c r="U13" i="14"/>
  <c r="T13" i="14"/>
  <c r="O1019" i="13"/>
  <c r="O991" i="13"/>
  <c r="N956" i="13"/>
  <c r="B783" i="13"/>
  <c r="E782" i="13"/>
  <c r="R782" i="13" s="1"/>
  <c r="B730" i="13"/>
  <c r="O1017" i="13"/>
  <c r="O989" i="13"/>
  <c r="L965" i="13"/>
  <c r="N695" i="13"/>
  <c r="N684" i="13"/>
  <c r="L957" i="13"/>
  <c r="C695" i="13"/>
  <c r="C684" i="13"/>
  <c r="O988" i="13"/>
  <c r="O1016" i="13"/>
  <c r="M963" i="13"/>
  <c r="K731" i="13"/>
  <c r="K694" i="13"/>
  <c r="N962" i="13"/>
  <c r="M782" i="13"/>
  <c r="J783" i="13"/>
  <c r="J730" i="13"/>
  <c r="M966" i="13"/>
  <c r="O731" i="13"/>
  <c r="O694" i="13"/>
  <c r="M1014" i="13"/>
  <c r="M986" i="13"/>
  <c r="O985" i="13"/>
  <c r="O969" i="13"/>
  <c r="O1013" i="13"/>
  <c r="M961" i="13"/>
  <c r="H731" i="13"/>
  <c r="H694" i="13"/>
  <c r="N1021" i="13"/>
  <c r="N993" i="13"/>
  <c r="M1022" i="13"/>
  <c r="M994" i="13"/>
  <c r="M964" i="13"/>
  <c r="L731" i="13"/>
  <c r="L694" i="13"/>
  <c r="M958" i="13"/>
  <c r="D731" i="13"/>
  <c r="D694" i="13"/>
  <c r="N1020" i="13"/>
  <c r="N992" i="13"/>
  <c r="N995" i="13"/>
  <c r="N1023" i="13"/>
  <c r="P1026" i="13"/>
  <c r="N1018" i="13"/>
  <c r="N990" i="13"/>
  <c r="M967" i="13"/>
  <c r="P731" i="13"/>
  <c r="P694" i="13"/>
  <c r="N987" i="13"/>
  <c r="N1015" i="13"/>
  <c r="N960" i="13"/>
  <c r="G783" i="13"/>
  <c r="G730" i="13"/>
  <c r="N959" i="13"/>
  <c r="F783" i="13"/>
  <c r="I782" i="13"/>
  <c r="F730" i="13"/>
  <c r="N996" i="13"/>
  <c r="N1024" i="13"/>
  <c r="S1094" i="12"/>
  <c r="AR1049" i="12"/>
  <c r="AR1014" i="12"/>
  <c r="R782" i="12"/>
  <c r="M962" i="12"/>
  <c r="L731" i="12"/>
  <c r="L694" i="12"/>
  <c r="O1014" i="12"/>
  <c r="O986" i="12"/>
  <c r="L961" i="12"/>
  <c r="K695" i="12"/>
  <c r="K684" i="12"/>
  <c r="O1101" i="12"/>
  <c r="AN1056" i="12"/>
  <c r="AN1021" i="12"/>
  <c r="S1100" i="12"/>
  <c r="AR1055" i="12"/>
  <c r="AR1020" i="12"/>
  <c r="K964" i="12"/>
  <c r="O685" i="12"/>
  <c r="O618" i="12"/>
  <c r="AP1110" i="12"/>
  <c r="AP1108" i="12"/>
  <c r="AP1113" i="12"/>
  <c r="AP1111" i="12"/>
  <c r="AP1109" i="12"/>
  <c r="AP1097" i="12"/>
  <c r="AP1112" i="12"/>
  <c r="AP1103" i="12"/>
  <c r="AP1102" i="12"/>
  <c r="AP1101" i="12"/>
  <c r="AP1095" i="12"/>
  <c r="AP1093" i="12"/>
  <c r="AP1091" i="12"/>
  <c r="AP1105" i="12"/>
  <c r="AP1104" i="12"/>
  <c r="AP1099" i="12"/>
  <c r="AP1098" i="12"/>
  <c r="AP1096" i="12"/>
  <c r="AP1094" i="12"/>
  <c r="AP1092" i="12"/>
  <c r="AP1100" i="12"/>
  <c r="AP1107" i="12"/>
  <c r="AP1106" i="12"/>
  <c r="AP1114" i="12"/>
  <c r="P1098" i="12"/>
  <c r="AO1053" i="12"/>
  <c r="AO1018" i="12"/>
  <c r="N1019" i="12"/>
  <c r="N991" i="12"/>
  <c r="N1017" i="12"/>
  <c r="N989" i="12"/>
  <c r="M1018" i="12"/>
  <c r="M990" i="12"/>
  <c r="J955" i="12"/>
  <c r="C619" i="12"/>
  <c r="C573" i="12"/>
  <c r="AN1114" i="12"/>
  <c r="AN1112" i="12"/>
  <c r="AN1107" i="12"/>
  <c r="AN1105" i="12"/>
  <c r="AN1103" i="12"/>
  <c r="AN1101" i="12"/>
  <c r="AN1099" i="12"/>
  <c r="AN1110" i="12"/>
  <c r="AN1108" i="12"/>
  <c r="AN1113" i="12"/>
  <c r="AN1106" i="12"/>
  <c r="AN1104" i="12"/>
  <c r="AN1102" i="12"/>
  <c r="AN1100" i="12"/>
  <c r="AN1111" i="12"/>
  <c r="AN1109" i="12"/>
  <c r="AN1094" i="12"/>
  <c r="AN1092" i="12"/>
  <c r="AN1097" i="12"/>
  <c r="AN1098" i="12"/>
  <c r="AN1096" i="12"/>
  <c r="AN1091" i="12"/>
  <c r="AN1115" i="12" s="1"/>
  <c r="AN1095" i="12"/>
  <c r="AN1093" i="12"/>
  <c r="P1100" i="12"/>
  <c r="AO1055" i="12"/>
  <c r="AO1020" i="12"/>
  <c r="L1021" i="12"/>
  <c r="L993" i="12"/>
  <c r="L963" i="12"/>
  <c r="N695" i="12"/>
  <c r="N684" i="12"/>
  <c r="M956" i="12"/>
  <c r="D694" i="12"/>
  <c r="D731" i="12"/>
  <c r="Q1097" i="12"/>
  <c r="AP1052" i="12"/>
  <c r="AP1017" i="12"/>
  <c r="P1095" i="12"/>
  <c r="AO1050" i="12"/>
  <c r="AO1015" i="12"/>
  <c r="AR1052" i="12"/>
  <c r="S1097" i="12"/>
  <c r="AR1017" i="12"/>
  <c r="K1012" i="12"/>
  <c r="K984" i="12"/>
  <c r="Q1102" i="12"/>
  <c r="AP1022" i="12"/>
  <c r="AP1057" i="12"/>
  <c r="Q1100" i="12"/>
  <c r="AP1020" i="12"/>
  <c r="AP1055" i="12"/>
  <c r="Q1096" i="12"/>
  <c r="AP1051" i="12"/>
  <c r="AP1016" i="12"/>
  <c r="M954" i="12"/>
  <c r="E730" i="12"/>
  <c r="B731" i="12"/>
  <c r="B694" i="12"/>
  <c r="Q1099" i="12"/>
  <c r="AP1054" i="12"/>
  <c r="AP1019" i="12"/>
  <c r="N957" i="12"/>
  <c r="I782" i="12"/>
  <c r="F783" i="12"/>
  <c r="F730" i="12"/>
  <c r="Q1093" i="12"/>
  <c r="AP1013" i="12"/>
  <c r="AP1048" i="12"/>
  <c r="L958" i="12"/>
  <c r="G695" i="12"/>
  <c r="G684" i="12"/>
  <c r="P731" i="12"/>
  <c r="M965" i="12"/>
  <c r="P694" i="12"/>
  <c r="Q694" i="12" s="1"/>
  <c r="N1013" i="12"/>
  <c r="N985" i="12"/>
  <c r="M959" i="12"/>
  <c r="H731" i="12"/>
  <c r="H694" i="12"/>
  <c r="M1020" i="12"/>
  <c r="M992" i="12"/>
  <c r="AO1114" i="12"/>
  <c r="AO1112" i="12"/>
  <c r="AO1110" i="12"/>
  <c r="AO1108" i="12"/>
  <c r="AO1113" i="12"/>
  <c r="AO1106" i="12"/>
  <c r="AO1104" i="12"/>
  <c r="AO1102" i="12"/>
  <c r="AO1100" i="12"/>
  <c r="AO1111" i="12"/>
  <c r="AO1109" i="12"/>
  <c r="AO1097" i="12"/>
  <c r="AO1103" i="12"/>
  <c r="AO1101" i="12"/>
  <c r="AO1095" i="12"/>
  <c r="AO1093" i="12"/>
  <c r="AO1091" i="12"/>
  <c r="AO1107" i="12"/>
  <c r="AO1096" i="12"/>
  <c r="AO1094" i="12"/>
  <c r="AO1092" i="12"/>
  <c r="AO1099" i="12"/>
  <c r="AO1105" i="12"/>
  <c r="AO1098" i="12"/>
  <c r="AQ1024" i="12"/>
  <c r="M960" i="12"/>
  <c r="J731" i="12"/>
  <c r="M730" i="12"/>
  <c r="J694" i="12"/>
  <c r="Q1091" i="12"/>
  <c r="O1024" i="12"/>
  <c r="AP1046" i="12"/>
  <c r="AP1011" i="12"/>
  <c r="M1015" i="12"/>
  <c r="M987" i="12"/>
  <c r="N1092" i="12"/>
  <c r="AM1047" i="12"/>
  <c r="AM1012" i="12"/>
  <c r="AW976" i="12"/>
  <c r="N1022" i="12"/>
  <c r="N994" i="12"/>
  <c r="N1011" i="12"/>
  <c r="N967" i="12"/>
  <c r="N983" i="12"/>
  <c r="S1091" i="12"/>
  <c r="AR1046" i="12"/>
  <c r="Q1024" i="12"/>
  <c r="AR1011" i="12"/>
  <c r="N1016" i="12"/>
  <c r="N988" i="12"/>
  <c r="AO1019" i="11"/>
  <c r="P1064" i="11"/>
  <c r="AO984" i="11"/>
  <c r="M983" i="11"/>
  <c r="M955" i="11"/>
  <c r="L982" i="11"/>
  <c r="L954" i="11"/>
  <c r="M928" i="11"/>
  <c r="H701" i="11"/>
  <c r="H664" i="11"/>
  <c r="I664" i="11" s="1"/>
  <c r="L931" i="11"/>
  <c r="L665" i="11"/>
  <c r="L654" i="11"/>
  <c r="N929" i="11"/>
  <c r="J754" i="11"/>
  <c r="J700" i="11"/>
  <c r="O952" i="11"/>
  <c r="O980" i="11"/>
  <c r="S1069" i="11"/>
  <c r="AR989" i="11"/>
  <c r="AR1024" i="11"/>
  <c r="L927" i="11"/>
  <c r="G665" i="11"/>
  <c r="G654" i="11"/>
  <c r="P1068" i="11"/>
  <c r="AO1023" i="11"/>
  <c r="AO988" i="11"/>
  <c r="P1063" i="11"/>
  <c r="AO983" i="11"/>
  <c r="AO1018" i="11"/>
  <c r="O930" i="11"/>
  <c r="O936" i="11" s="1"/>
  <c r="K764" i="11"/>
  <c r="K753" i="11"/>
  <c r="N957" i="11"/>
  <c r="N985" i="11"/>
  <c r="T13" i="11"/>
  <c r="S13" i="11"/>
  <c r="AP985" i="11"/>
  <c r="AP1020" i="11"/>
  <c r="Q1065" i="11"/>
  <c r="N981" i="11"/>
  <c r="N953" i="11"/>
  <c r="N932" i="11"/>
  <c r="Q753" i="11"/>
  <c r="N754" i="11"/>
  <c r="N700" i="11"/>
  <c r="J933" i="11"/>
  <c r="O588" i="11"/>
  <c r="O542" i="11"/>
  <c r="Q1061" i="11"/>
  <c r="AP1016" i="11"/>
  <c r="AP981" i="11"/>
  <c r="Q987" i="11"/>
  <c r="Q959" i="11"/>
  <c r="Q936" i="11"/>
  <c r="M988" i="11"/>
  <c r="M960" i="11"/>
  <c r="N1070" i="11"/>
  <c r="AW954" i="11"/>
  <c r="AM1025" i="11"/>
  <c r="AM990" i="11"/>
  <c r="AR1082" i="11"/>
  <c r="AR1075" i="11"/>
  <c r="AR1073" i="11"/>
  <c r="AR1071" i="11"/>
  <c r="AR1080" i="11"/>
  <c r="AR1078" i="11"/>
  <c r="AR1083" i="11"/>
  <c r="AR1081" i="11"/>
  <c r="AR1076" i="11"/>
  <c r="AR1074" i="11"/>
  <c r="AR1072" i="11"/>
  <c r="AR1070" i="11"/>
  <c r="AR1079" i="11"/>
  <c r="AR1077" i="11"/>
  <c r="AR1063" i="11"/>
  <c r="AR1061" i="11"/>
  <c r="AR1069" i="11"/>
  <c r="AR1066" i="11"/>
  <c r="AR1064" i="11"/>
  <c r="AR1062" i="11"/>
  <c r="AR1060" i="11"/>
  <c r="AR1067" i="11"/>
  <c r="AR1068" i="11"/>
  <c r="AR1065" i="11"/>
  <c r="O1062" i="11"/>
  <c r="AN1017" i="11"/>
  <c r="AN982" i="11"/>
  <c r="O986" i="11"/>
  <c r="O958" i="11"/>
  <c r="L926" i="11"/>
  <c r="F665" i="11"/>
  <c r="F654" i="11"/>
  <c r="AQ1077" i="11"/>
  <c r="AQ1082" i="11"/>
  <c r="AQ1075" i="11"/>
  <c r="AQ1073" i="11"/>
  <c r="AQ1071" i="11"/>
  <c r="AQ1069" i="11"/>
  <c r="AQ1067" i="11"/>
  <c r="AQ1080" i="11"/>
  <c r="AQ1078" i="11"/>
  <c r="AQ1083" i="11"/>
  <c r="AQ1081" i="11"/>
  <c r="AQ1076" i="11"/>
  <c r="AQ1074" i="11"/>
  <c r="AQ1072" i="11"/>
  <c r="AQ1070" i="11"/>
  <c r="AQ1068" i="11"/>
  <c r="AQ1065" i="11"/>
  <c r="AQ1063" i="11"/>
  <c r="AQ1061" i="11"/>
  <c r="AQ1079" i="11"/>
  <c r="AQ1066" i="11"/>
  <c r="AQ1064" i="11"/>
  <c r="AQ1060" i="11"/>
  <c r="AQ1084" i="11" s="1"/>
  <c r="AQ1062" i="11"/>
  <c r="K990" i="11"/>
  <c r="K962" i="11"/>
  <c r="K934" i="11"/>
  <c r="P655" i="11"/>
  <c r="P587" i="11"/>
  <c r="M984" i="11"/>
  <c r="M956" i="11"/>
  <c r="R1060" i="11"/>
  <c r="P993" i="11"/>
  <c r="AQ1015" i="11"/>
  <c r="AQ1028" i="11" s="1"/>
  <c r="AQ980" i="11"/>
  <c r="AQ993" i="11" s="1"/>
  <c r="Q1063" i="11"/>
  <c r="AP1018" i="11"/>
  <c r="AP983" i="11"/>
  <c r="R1066" i="11"/>
  <c r="AQ1021" i="11"/>
  <c r="AQ986" i="11"/>
  <c r="O989" i="11"/>
  <c r="O961" i="11"/>
  <c r="K925" i="11"/>
  <c r="D655" i="11"/>
  <c r="D587" i="11"/>
  <c r="O1071" i="11"/>
  <c r="AN1026" i="11"/>
  <c r="AN991" i="11"/>
  <c r="N923" i="11"/>
  <c r="E753" i="11"/>
  <c r="B754" i="11"/>
  <c r="B700" i="11"/>
  <c r="M924" i="11"/>
  <c r="C701" i="11"/>
  <c r="C664" i="11"/>
  <c r="L991" i="11"/>
  <c r="L963" i="11"/>
  <c r="O924" i="10"/>
  <c r="M921" i="10"/>
  <c r="O691" i="10"/>
  <c r="O654" i="10"/>
  <c r="Q1048" i="10"/>
  <c r="AP1003" i="10"/>
  <c r="AP968" i="10"/>
  <c r="K912" i="10"/>
  <c r="C645" i="10"/>
  <c r="C580" i="10"/>
  <c r="N972" i="10"/>
  <c r="N944" i="10"/>
  <c r="N978" i="10"/>
  <c r="N950" i="10"/>
  <c r="M913" i="10"/>
  <c r="D691" i="10"/>
  <c r="D654" i="10"/>
  <c r="L947" i="10"/>
  <c r="L975" i="10"/>
  <c r="P1059" i="10"/>
  <c r="AO1014" i="10"/>
  <c r="AO979" i="10"/>
  <c r="G654" i="10"/>
  <c r="M915" i="10"/>
  <c r="G691" i="10"/>
  <c r="S1048" i="10"/>
  <c r="AR1003" i="10"/>
  <c r="AR968" i="10"/>
  <c r="M979" i="10"/>
  <c r="M951" i="10"/>
  <c r="N914" i="10"/>
  <c r="F742" i="10"/>
  <c r="I741" i="10"/>
  <c r="F690" i="10"/>
  <c r="Q1058" i="10"/>
  <c r="AP1013" i="10"/>
  <c r="AP978" i="10"/>
  <c r="O1049" i="10"/>
  <c r="AN969" i="10"/>
  <c r="AN1004" i="10"/>
  <c r="L911" i="10"/>
  <c r="E654" i="10"/>
  <c r="B655" i="10"/>
  <c r="B644" i="10"/>
  <c r="L941" i="10"/>
  <c r="L969" i="10"/>
  <c r="Q1056" i="10"/>
  <c r="AP1011" i="10"/>
  <c r="AP976" i="10"/>
  <c r="Q1050" i="10"/>
  <c r="AP970" i="10"/>
  <c r="AP1005" i="10"/>
  <c r="AO1071" i="10"/>
  <c r="AO1069" i="10"/>
  <c r="AO1067" i="10"/>
  <c r="AO1065" i="10"/>
  <c r="AO1070" i="10"/>
  <c r="AO1068" i="10"/>
  <c r="AO1066" i="10"/>
  <c r="AO1059" i="10"/>
  <c r="AO1055" i="10"/>
  <c r="AO1061" i="10"/>
  <c r="AO1060" i="10"/>
  <c r="AO1058" i="10"/>
  <c r="AO1063" i="10"/>
  <c r="AO1062" i="10"/>
  <c r="AO1053" i="10"/>
  <c r="AO1064" i="10"/>
  <c r="AO1051" i="10"/>
  <c r="AO1049" i="10"/>
  <c r="AO1057" i="10"/>
  <c r="AO1056" i="10"/>
  <c r="AO1054" i="10"/>
  <c r="AO1048" i="10"/>
  <c r="AO1050" i="10"/>
  <c r="AO1052" i="10"/>
  <c r="L916" i="10"/>
  <c r="H655" i="10"/>
  <c r="H644" i="10"/>
  <c r="M919" i="10"/>
  <c r="L691" i="10"/>
  <c r="L654" i="10"/>
  <c r="L922" i="10"/>
  <c r="P655" i="10"/>
  <c r="P644" i="10"/>
  <c r="AQ1016" i="10"/>
  <c r="AQ1006" i="10"/>
  <c r="R1051" i="10"/>
  <c r="AQ971" i="10"/>
  <c r="AQ981" i="10" s="1"/>
  <c r="R1057" i="10"/>
  <c r="AQ977" i="10"/>
  <c r="AQ1012" i="10"/>
  <c r="AN1010" i="10"/>
  <c r="AN975" i="10"/>
  <c r="O1055" i="10"/>
  <c r="M968" i="10"/>
  <c r="M940" i="10"/>
  <c r="AO1003" i="10"/>
  <c r="P1048" i="10"/>
  <c r="AO968" i="10"/>
  <c r="M945" i="10"/>
  <c r="M973" i="10"/>
  <c r="Q977" i="10"/>
  <c r="Q949" i="10"/>
  <c r="P1053" i="10"/>
  <c r="AO1008" i="10"/>
  <c r="AO973" i="10"/>
  <c r="K918" i="10"/>
  <c r="K645" i="10"/>
  <c r="K580" i="10"/>
  <c r="Q1052" i="10"/>
  <c r="AP1007" i="10"/>
  <c r="AP972" i="10"/>
  <c r="O971" i="10"/>
  <c r="O943" i="10"/>
  <c r="N917" i="10"/>
  <c r="M741" i="10"/>
  <c r="J742" i="10"/>
  <c r="J690" i="10"/>
  <c r="N942" i="10"/>
  <c r="N970" i="10"/>
  <c r="AP1067" i="10"/>
  <c r="AP1065" i="10"/>
  <c r="AP1070" i="10"/>
  <c r="AP1063" i="10"/>
  <c r="AP1061" i="10"/>
  <c r="AP1059" i="10"/>
  <c r="AP1071" i="10"/>
  <c r="AP1069" i="10"/>
  <c r="AP1064" i="10"/>
  <c r="AP1062" i="10"/>
  <c r="AP1060" i="10"/>
  <c r="AP1058" i="10"/>
  <c r="AP1068" i="10"/>
  <c r="AP1066" i="10"/>
  <c r="AP1051" i="10"/>
  <c r="AP1049" i="10"/>
  <c r="AP1057" i="10"/>
  <c r="AP1054" i="10"/>
  <c r="AP1056" i="10"/>
  <c r="AP1052" i="10"/>
  <c r="AP1050" i="10"/>
  <c r="AP1048" i="10"/>
  <c r="AP1053" i="10"/>
  <c r="AP1055" i="10"/>
  <c r="S1054" i="10"/>
  <c r="AR1009" i="10"/>
  <c r="AR974" i="10"/>
  <c r="O920" i="10"/>
  <c r="Q751" i="10"/>
  <c r="R751" i="10" s="1"/>
  <c r="N752" i="10"/>
  <c r="N741" i="10"/>
  <c r="O974" i="10"/>
  <c r="O946" i="10"/>
  <c r="N976" i="10"/>
  <c r="N948" i="10"/>
  <c r="P1027" i="9"/>
  <c r="AO982" i="9"/>
  <c r="AO947" i="9"/>
  <c r="N1024" i="9"/>
  <c r="AM944" i="9"/>
  <c r="AM979" i="9"/>
  <c r="AW908" i="9"/>
  <c r="O945" i="9"/>
  <c r="O955" i="9" s="1"/>
  <c r="O917" i="9"/>
  <c r="AQ1039" i="9"/>
  <c r="AQ1044" i="9"/>
  <c r="AQ1037" i="9"/>
  <c r="AQ1035" i="9"/>
  <c r="AQ1033" i="9"/>
  <c r="AQ1031" i="9"/>
  <c r="AQ1042" i="9"/>
  <c r="AQ1040" i="9"/>
  <c r="AQ1041" i="9"/>
  <c r="AQ1028" i="9"/>
  <c r="AQ1030" i="9"/>
  <c r="AQ1038" i="9"/>
  <c r="AQ1026" i="9"/>
  <c r="AQ1024" i="9"/>
  <c r="AQ1022" i="9"/>
  <c r="AQ1045" i="9"/>
  <c r="AQ1029" i="9"/>
  <c r="AQ1036" i="9"/>
  <c r="AQ1043" i="9"/>
  <c r="AQ1027" i="9"/>
  <c r="AQ1025" i="9"/>
  <c r="AQ1023" i="9"/>
  <c r="AQ1034" i="9"/>
  <c r="AQ1032" i="9"/>
  <c r="M892" i="9"/>
  <c r="K668" i="9"/>
  <c r="K631" i="9"/>
  <c r="S1025" i="9"/>
  <c r="AR945" i="9"/>
  <c r="AR980" i="9"/>
  <c r="Q955" i="9"/>
  <c r="N942" i="9"/>
  <c r="N914" i="9"/>
  <c r="S1031" i="9"/>
  <c r="AR986" i="9"/>
  <c r="AR951" i="9"/>
  <c r="N946" i="9"/>
  <c r="N918" i="9"/>
  <c r="M895" i="9"/>
  <c r="O668" i="9"/>
  <c r="O631" i="9"/>
  <c r="O898" i="9"/>
  <c r="L896" i="9"/>
  <c r="P632" i="9"/>
  <c r="P621" i="9"/>
  <c r="M889" i="9"/>
  <c r="G668" i="9"/>
  <c r="G631" i="9"/>
  <c r="C668" i="9"/>
  <c r="M886" i="9"/>
  <c r="C631" i="9"/>
  <c r="Q1029" i="9"/>
  <c r="AP984" i="9"/>
  <c r="AP949" i="9"/>
  <c r="L890" i="9"/>
  <c r="H632" i="9"/>
  <c r="H621" i="9"/>
  <c r="AQ990" i="9"/>
  <c r="N949" i="9"/>
  <c r="N921" i="9"/>
  <c r="Q1022" i="9"/>
  <c r="AP977" i="9"/>
  <c r="AP942" i="9"/>
  <c r="N952" i="9"/>
  <c r="N924" i="9"/>
  <c r="M925" i="9"/>
  <c r="M953" i="9"/>
  <c r="N894" i="9"/>
  <c r="Q715" i="9"/>
  <c r="N716" i="9"/>
  <c r="N667" i="9"/>
  <c r="N943" i="9"/>
  <c r="N915" i="9"/>
  <c r="Q1026" i="9"/>
  <c r="AP981" i="9"/>
  <c r="AP946" i="9"/>
  <c r="M947" i="9"/>
  <c r="M919" i="9"/>
  <c r="J887" i="9"/>
  <c r="D564" i="9"/>
  <c r="D519" i="9"/>
  <c r="Q1032" i="9"/>
  <c r="AP987" i="9"/>
  <c r="AP952" i="9"/>
  <c r="R1031" i="9"/>
  <c r="AQ951" i="9"/>
  <c r="AQ986" i="9"/>
  <c r="M891" i="9"/>
  <c r="J631" i="9"/>
  <c r="J668" i="9"/>
  <c r="M667" i="9"/>
  <c r="Q1028" i="9"/>
  <c r="AP983" i="9"/>
  <c r="AP948" i="9"/>
  <c r="N888" i="9"/>
  <c r="I715" i="9"/>
  <c r="R715" i="9" s="1"/>
  <c r="F716" i="9"/>
  <c r="F667" i="9"/>
  <c r="Q1023" i="9"/>
  <c r="AP978" i="9"/>
  <c r="AP943" i="9"/>
  <c r="M885" i="9"/>
  <c r="B668" i="9"/>
  <c r="E667" i="9"/>
  <c r="B631" i="9"/>
  <c r="R1025" i="9"/>
  <c r="AQ980" i="9"/>
  <c r="AQ945" i="9"/>
  <c r="AQ955" i="9" s="1"/>
  <c r="O923" i="9"/>
  <c r="O951" i="9"/>
  <c r="K944" i="9"/>
  <c r="K916" i="9"/>
  <c r="K893" i="9"/>
  <c r="L622" i="9"/>
  <c r="L563" i="9"/>
  <c r="N948" i="9"/>
  <c r="N920" i="9"/>
  <c r="O1030" i="9"/>
  <c r="AN985" i="9"/>
  <c r="AN950" i="9"/>
  <c r="P1033" i="9"/>
  <c r="AO953" i="9"/>
  <c r="AO988" i="9"/>
  <c r="L922" i="9"/>
  <c r="L950" i="9"/>
  <c r="AO1115" i="12" l="1"/>
  <c r="AP1115" i="12"/>
  <c r="AR1084" i="11"/>
  <c r="AO1072" i="10"/>
  <c r="AP1072" i="10"/>
  <c r="AQ1046" i="9"/>
  <c r="AO1012" i="14"/>
  <c r="AQ921" i="14"/>
  <c r="AR921" i="14"/>
  <c r="K855" i="14"/>
  <c r="G590" i="14"/>
  <c r="G534" i="14"/>
  <c r="N990" i="14"/>
  <c r="AM945" i="14"/>
  <c r="AM910" i="14"/>
  <c r="AW874" i="14"/>
  <c r="N911" i="14"/>
  <c r="N883" i="14"/>
  <c r="L912" i="14"/>
  <c r="L884" i="14"/>
  <c r="L862" i="14"/>
  <c r="P600" i="14"/>
  <c r="P589" i="14"/>
  <c r="AQ956" i="14"/>
  <c r="K910" i="14"/>
  <c r="K882" i="14"/>
  <c r="Q994" i="14"/>
  <c r="AP949" i="14"/>
  <c r="AP914" i="14"/>
  <c r="N908" i="14"/>
  <c r="N864" i="14"/>
  <c r="N880" i="14"/>
  <c r="J636" i="14"/>
  <c r="M857" i="14"/>
  <c r="M635" i="14"/>
  <c r="J599" i="14"/>
  <c r="C600" i="14"/>
  <c r="L852" i="14"/>
  <c r="C589" i="14"/>
  <c r="Q988" i="14"/>
  <c r="AP943" i="14"/>
  <c r="O921" i="14"/>
  <c r="AP908" i="14"/>
  <c r="J859" i="14"/>
  <c r="L535" i="14"/>
  <c r="L490" i="14"/>
  <c r="M881" i="14"/>
  <c r="M909" i="14"/>
  <c r="M891" i="14"/>
  <c r="M919" i="14"/>
  <c r="O998" i="14"/>
  <c r="AN918" i="14"/>
  <c r="AN953" i="14"/>
  <c r="L858" i="14"/>
  <c r="K600" i="14"/>
  <c r="K589" i="14"/>
  <c r="K860" i="14"/>
  <c r="Q589" i="14"/>
  <c r="N590" i="14"/>
  <c r="N534" i="14"/>
  <c r="P993" i="14"/>
  <c r="AO948" i="14"/>
  <c r="AO913" i="14"/>
  <c r="P995" i="14"/>
  <c r="AO915" i="14"/>
  <c r="AO950" i="14"/>
  <c r="K861" i="14"/>
  <c r="O590" i="14"/>
  <c r="O534" i="14"/>
  <c r="K888" i="14"/>
  <c r="K916" i="14"/>
  <c r="L889" i="14"/>
  <c r="L917" i="14"/>
  <c r="M885" i="14"/>
  <c r="M913" i="14"/>
  <c r="AN1011" i="14"/>
  <c r="AN1009" i="14"/>
  <c r="AN1004" i="14"/>
  <c r="AN1002" i="14"/>
  <c r="AN1000" i="14"/>
  <c r="AN1007" i="14"/>
  <c r="AN996" i="14"/>
  <c r="AN994" i="14"/>
  <c r="AN998" i="14"/>
  <c r="AN1010" i="14"/>
  <c r="AN1003" i="14"/>
  <c r="AN1001" i="14"/>
  <c r="AN999" i="14"/>
  <c r="AN1008" i="14"/>
  <c r="AN1006" i="14"/>
  <c r="AN992" i="14"/>
  <c r="AN993" i="14"/>
  <c r="AN1005" i="14"/>
  <c r="AN995" i="14"/>
  <c r="AN997" i="14"/>
  <c r="AN991" i="14"/>
  <c r="AN990" i="14"/>
  <c r="AN989" i="14"/>
  <c r="AN988" i="14"/>
  <c r="AN1012" i="14" s="1"/>
  <c r="N996" i="14"/>
  <c r="AM951" i="14"/>
  <c r="AM916" i="14"/>
  <c r="AW880" i="14"/>
  <c r="N914" i="14"/>
  <c r="N886" i="14"/>
  <c r="Q991" i="14"/>
  <c r="AP946" i="14"/>
  <c r="AP911" i="14"/>
  <c r="O997" i="14"/>
  <c r="AN952" i="14"/>
  <c r="AN917" i="14"/>
  <c r="M854" i="14"/>
  <c r="I635" i="14"/>
  <c r="F636" i="14"/>
  <c r="F599" i="14"/>
  <c r="M887" i="14"/>
  <c r="M915" i="14"/>
  <c r="Q599" i="14"/>
  <c r="P989" i="14"/>
  <c r="AO944" i="14"/>
  <c r="AO909" i="14"/>
  <c r="J853" i="14"/>
  <c r="D535" i="14"/>
  <c r="D490" i="14"/>
  <c r="L856" i="14"/>
  <c r="H600" i="14"/>
  <c r="H589" i="14"/>
  <c r="AR956" i="14"/>
  <c r="L890" i="14"/>
  <c r="L918" i="14"/>
  <c r="M851" i="14"/>
  <c r="B636" i="14"/>
  <c r="E635" i="14"/>
  <c r="R635" i="14" s="1"/>
  <c r="B599" i="14"/>
  <c r="R682" i="14"/>
  <c r="O992" i="14"/>
  <c r="AN947" i="14"/>
  <c r="AN912" i="14"/>
  <c r="P999" i="14"/>
  <c r="AO919" i="14"/>
  <c r="AO954" i="14"/>
  <c r="M959" i="13"/>
  <c r="F731" i="13"/>
  <c r="I730" i="13"/>
  <c r="F694" i="13"/>
  <c r="M1021" i="13"/>
  <c r="M993" i="13"/>
  <c r="O1026" i="13"/>
  <c r="M962" i="13"/>
  <c r="J731" i="13"/>
  <c r="M730" i="13"/>
  <c r="J694" i="13"/>
  <c r="L967" i="13"/>
  <c r="P695" i="13"/>
  <c r="P684" i="13"/>
  <c r="K957" i="13"/>
  <c r="C685" i="13"/>
  <c r="C618" i="13"/>
  <c r="M956" i="13"/>
  <c r="B731" i="13"/>
  <c r="E730" i="13"/>
  <c r="B694" i="13"/>
  <c r="N988" i="13"/>
  <c r="N1016" i="13"/>
  <c r="M996" i="13"/>
  <c r="M1024" i="13"/>
  <c r="L958" i="13"/>
  <c r="D695" i="13"/>
  <c r="D684" i="13"/>
  <c r="N1019" i="13"/>
  <c r="N991" i="13"/>
  <c r="L1014" i="13"/>
  <c r="L986" i="13"/>
  <c r="M960" i="13"/>
  <c r="G731" i="13"/>
  <c r="G694" i="13"/>
  <c r="L963" i="13"/>
  <c r="K695" i="13"/>
  <c r="K684" i="13"/>
  <c r="K965" i="13"/>
  <c r="N685" i="13"/>
  <c r="N618" i="13"/>
  <c r="M987" i="13"/>
  <c r="M1015" i="13"/>
  <c r="L961" i="13"/>
  <c r="H695" i="13"/>
  <c r="H684" i="13"/>
  <c r="L966" i="13"/>
  <c r="O695" i="13"/>
  <c r="O684" i="13"/>
  <c r="Q684" i="13" s="1"/>
  <c r="Q694" i="13"/>
  <c r="N1013" i="13"/>
  <c r="N969" i="13"/>
  <c r="N985" i="13"/>
  <c r="N1017" i="13"/>
  <c r="N989" i="13"/>
  <c r="L964" i="13"/>
  <c r="L695" i="13"/>
  <c r="L684" i="13"/>
  <c r="M1020" i="13"/>
  <c r="M992" i="13"/>
  <c r="M1018" i="13"/>
  <c r="M990" i="13"/>
  <c r="M995" i="13"/>
  <c r="M1023" i="13"/>
  <c r="L1022" i="13"/>
  <c r="L994" i="13"/>
  <c r="AM1114" i="12"/>
  <c r="AM1112" i="12"/>
  <c r="AM1107" i="12"/>
  <c r="AM1105" i="12"/>
  <c r="AM1103" i="12"/>
  <c r="AM1101" i="12"/>
  <c r="AM1099" i="12"/>
  <c r="AM1110" i="12"/>
  <c r="AM1108" i="12"/>
  <c r="AM1113" i="12"/>
  <c r="AM1106" i="12"/>
  <c r="AM1104" i="12"/>
  <c r="AM1102" i="12"/>
  <c r="AM1100" i="12"/>
  <c r="AM1096" i="12"/>
  <c r="AM1094" i="12"/>
  <c r="AM1092" i="12"/>
  <c r="AM1109" i="12"/>
  <c r="AM1097" i="12"/>
  <c r="AM1111" i="12"/>
  <c r="AM1095" i="12"/>
  <c r="AM1093" i="12"/>
  <c r="AM1091" i="12"/>
  <c r="AM1098" i="12"/>
  <c r="M1016" i="12"/>
  <c r="M988" i="12"/>
  <c r="L987" i="12"/>
  <c r="L1015" i="12"/>
  <c r="AP1049" i="12"/>
  <c r="AP1059" i="12" s="1"/>
  <c r="AP1014" i="12"/>
  <c r="AP1024" i="12" s="1"/>
  <c r="Q1094" i="12"/>
  <c r="L962" i="12"/>
  <c r="L695" i="12"/>
  <c r="L684" i="12"/>
  <c r="P1091" i="12"/>
  <c r="AO1046" i="12"/>
  <c r="AO1011" i="12"/>
  <c r="O1095" i="12"/>
  <c r="AN1050" i="12"/>
  <c r="AN1015" i="12"/>
  <c r="M1017" i="12"/>
  <c r="M989" i="12"/>
  <c r="P1093" i="12"/>
  <c r="AO1048" i="12"/>
  <c r="AO1013" i="12"/>
  <c r="J984" i="12"/>
  <c r="J1012" i="12"/>
  <c r="AO1051" i="12"/>
  <c r="AO1016" i="12"/>
  <c r="P1096" i="12"/>
  <c r="L965" i="12"/>
  <c r="P695" i="12"/>
  <c r="P684" i="12"/>
  <c r="L954" i="12"/>
  <c r="B695" i="12"/>
  <c r="E694" i="12"/>
  <c r="B684" i="12"/>
  <c r="AM1056" i="12"/>
  <c r="N1101" i="12"/>
  <c r="AM1021" i="12"/>
  <c r="AW985" i="12"/>
  <c r="O1098" i="12"/>
  <c r="AN1053" i="12"/>
  <c r="AN1018" i="12"/>
  <c r="J964" i="12"/>
  <c r="O619" i="12"/>
  <c r="O573" i="12"/>
  <c r="M1019" i="12"/>
  <c r="M991" i="12"/>
  <c r="AR1024" i="12"/>
  <c r="P1102" i="12"/>
  <c r="AO1057" i="12"/>
  <c r="AO1022" i="12"/>
  <c r="M994" i="12"/>
  <c r="M1022" i="12"/>
  <c r="M957" i="12"/>
  <c r="I730" i="12"/>
  <c r="F731" i="12"/>
  <c r="F694" i="12"/>
  <c r="L956" i="12"/>
  <c r="D695" i="12"/>
  <c r="D684" i="12"/>
  <c r="K961" i="12"/>
  <c r="K685" i="12"/>
  <c r="K618" i="12"/>
  <c r="O1100" i="12"/>
  <c r="AN1055" i="12"/>
  <c r="AN1020" i="12"/>
  <c r="R730" i="12"/>
  <c r="M1013" i="12"/>
  <c r="M985" i="12"/>
  <c r="P1097" i="12"/>
  <c r="AO1052" i="12"/>
  <c r="AO1017" i="12"/>
  <c r="K1021" i="12"/>
  <c r="K993" i="12"/>
  <c r="L1020" i="12"/>
  <c r="L992" i="12"/>
  <c r="AR1059" i="12"/>
  <c r="L959" i="12"/>
  <c r="H695" i="12"/>
  <c r="H684" i="12"/>
  <c r="K958" i="12"/>
  <c r="G685" i="12"/>
  <c r="G618" i="12"/>
  <c r="M1011" i="12"/>
  <c r="M967" i="12"/>
  <c r="M983" i="12"/>
  <c r="K963" i="12"/>
  <c r="Q684" i="12"/>
  <c r="N685" i="12"/>
  <c r="N618" i="12"/>
  <c r="L1018" i="12"/>
  <c r="L990" i="12"/>
  <c r="M1092" i="12"/>
  <c r="AL1047" i="12"/>
  <c r="AL1012" i="12"/>
  <c r="L960" i="12"/>
  <c r="J695" i="12"/>
  <c r="M694" i="12"/>
  <c r="J684" i="12"/>
  <c r="N1014" i="12"/>
  <c r="N986" i="12"/>
  <c r="I955" i="12"/>
  <c r="C529" i="12"/>
  <c r="C528" i="12" s="1"/>
  <c r="C527" i="12" s="1"/>
  <c r="C526" i="12" s="1"/>
  <c r="C525" i="12" s="1"/>
  <c r="C524" i="12" s="1"/>
  <c r="C574" i="12"/>
  <c r="C522" i="12"/>
  <c r="P1099" i="12"/>
  <c r="AO1054" i="12"/>
  <c r="AO1019" i="12"/>
  <c r="M981" i="11"/>
  <c r="M953" i="11"/>
  <c r="J925" i="11"/>
  <c r="D588" i="11"/>
  <c r="D542" i="11"/>
  <c r="O1064" i="11"/>
  <c r="AN984" i="11"/>
  <c r="AN1019" i="11"/>
  <c r="M957" i="11"/>
  <c r="M985" i="11"/>
  <c r="M923" i="11"/>
  <c r="E700" i="11"/>
  <c r="B701" i="11"/>
  <c r="B664" i="11"/>
  <c r="J934" i="11"/>
  <c r="P588" i="11"/>
  <c r="P542" i="11"/>
  <c r="L983" i="11"/>
  <c r="L955" i="11"/>
  <c r="N989" i="11"/>
  <c r="N961" i="11"/>
  <c r="N986" i="11"/>
  <c r="N958" i="11"/>
  <c r="K954" i="11"/>
  <c r="K982" i="11"/>
  <c r="AP1079" i="11"/>
  <c r="AP1077" i="11"/>
  <c r="AP1082" i="11"/>
  <c r="AP1075" i="11"/>
  <c r="AP1073" i="11"/>
  <c r="AP1071" i="11"/>
  <c r="AP1080" i="11"/>
  <c r="AP1078" i="11"/>
  <c r="AP1074" i="11"/>
  <c r="AP1065" i="11"/>
  <c r="AP1063" i="11"/>
  <c r="AP1061" i="11"/>
  <c r="AP1076" i="11"/>
  <c r="AP1069" i="11"/>
  <c r="AP1081" i="11"/>
  <c r="AP1066" i="11"/>
  <c r="AP1070" i="11"/>
  <c r="AP1068" i="11"/>
  <c r="AP1064" i="11"/>
  <c r="AP1062" i="11"/>
  <c r="AP1060" i="11"/>
  <c r="AP1083" i="11"/>
  <c r="AP1072" i="11"/>
  <c r="AP1067" i="11"/>
  <c r="P1065" i="11"/>
  <c r="AO1020" i="11"/>
  <c r="AO985" i="11"/>
  <c r="K931" i="11"/>
  <c r="L655" i="11"/>
  <c r="L587" i="11"/>
  <c r="N1062" i="11"/>
  <c r="AM1017" i="11"/>
  <c r="AM982" i="11"/>
  <c r="AW946" i="11"/>
  <c r="K991" i="11"/>
  <c r="K963" i="11"/>
  <c r="Q1066" i="11"/>
  <c r="AP986" i="11"/>
  <c r="AP1021" i="11"/>
  <c r="I933" i="11"/>
  <c r="O543" i="11"/>
  <c r="O499" i="11"/>
  <c r="O498" i="11" s="1"/>
  <c r="O497" i="11" s="1"/>
  <c r="O496" i="11" s="1"/>
  <c r="O495" i="11" s="1"/>
  <c r="O494" i="11" s="1"/>
  <c r="O492" i="11"/>
  <c r="Q1060" i="11"/>
  <c r="AP1015" i="11"/>
  <c r="AP980" i="11"/>
  <c r="N936" i="11"/>
  <c r="N980" i="11"/>
  <c r="N952" i="11"/>
  <c r="AP989" i="11"/>
  <c r="Q1069" i="11"/>
  <c r="AP1024" i="11"/>
  <c r="AN1023" i="11"/>
  <c r="O1068" i="11"/>
  <c r="AN988" i="11"/>
  <c r="P1061" i="11"/>
  <c r="AO1016" i="11"/>
  <c r="AO981" i="11"/>
  <c r="N930" i="11"/>
  <c r="K754" i="11"/>
  <c r="K700" i="11"/>
  <c r="L960" i="11"/>
  <c r="L988" i="11"/>
  <c r="O1063" i="11"/>
  <c r="AN1018" i="11"/>
  <c r="AN983" i="11"/>
  <c r="N1071" i="11"/>
  <c r="AM991" i="11"/>
  <c r="AW955" i="11"/>
  <c r="AM1026" i="11"/>
  <c r="M1070" i="11"/>
  <c r="AL1025" i="11"/>
  <c r="AL990" i="11"/>
  <c r="J990" i="11"/>
  <c r="J962" i="11"/>
  <c r="K927" i="11"/>
  <c r="G655" i="11"/>
  <c r="G587" i="11"/>
  <c r="L924" i="11"/>
  <c r="C665" i="11"/>
  <c r="C654" i="11"/>
  <c r="K926" i="11"/>
  <c r="F655" i="11"/>
  <c r="F587" i="11"/>
  <c r="Q700" i="11"/>
  <c r="N701" i="11"/>
  <c r="N664" i="11"/>
  <c r="M932" i="11"/>
  <c r="O959" i="11"/>
  <c r="O987" i="11"/>
  <c r="O993" i="11" s="1"/>
  <c r="M929" i="11"/>
  <c r="M700" i="11"/>
  <c r="J701" i="11"/>
  <c r="J664" i="11"/>
  <c r="L928" i="11"/>
  <c r="H665" i="11"/>
  <c r="H654" i="11"/>
  <c r="I654" i="11" s="1"/>
  <c r="S1067" i="11"/>
  <c r="AR1022" i="11"/>
  <c r="AR1028" i="11" s="1"/>
  <c r="AR987" i="11"/>
  <c r="AR993" i="11" s="1"/>
  <c r="Q993" i="11"/>
  <c r="L984" i="11"/>
  <c r="L956" i="11"/>
  <c r="M753" i="11"/>
  <c r="R753" i="11" s="1"/>
  <c r="J918" i="10"/>
  <c r="K581" i="10"/>
  <c r="K535" i="10"/>
  <c r="AN1008" i="10"/>
  <c r="O1053" i="10"/>
  <c r="AN973" i="10"/>
  <c r="O1048" i="10"/>
  <c r="AN1003" i="10"/>
  <c r="AN968" i="10"/>
  <c r="M948" i="10"/>
  <c r="M976" i="10"/>
  <c r="L968" i="10"/>
  <c r="L940" i="10"/>
  <c r="M917" i="10"/>
  <c r="M690" i="10"/>
  <c r="J691" i="10"/>
  <c r="J654" i="10"/>
  <c r="AO1007" i="10"/>
  <c r="P1052" i="10"/>
  <c r="AO972" i="10"/>
  <c r="O949" i="10"/>
  <c r="O977" i="10"/>
  <c r="K916" i="10"/>
  <c r="H645" i="10"/>
  <c r="H580" i="10"/>
  <c r="L913" i="10"/>
  <c r="D655" i="10"/>
  <c r="D644" i="10"/>
  <c r="E644" i="10" s="1"/>
  <c r="L921" i="10"/>
  <c r="O655" i="10"/>
  <c r="O644" i="10"/>
  <c r="N1055" i="10"/>
  <c r="AM1010" i="10"/>
  <c r="AM975" i="10"/>
  <c r="AW939" i="10"/>
  <c r="N946" i="10"/>
  <c r="N974" i="10"/>
  <c r="K947" i="10"/>
  <c r="K975" i="10"/>
  <c r="N971" i="10"/>
  <c r="N943" i="10"/>
  <c r="M972" i="10"/>
  <c r="M944" i="10"/>
  <c r="J912" i="10"/>
  <c r="C581" i="10"/>
  <c r="C535" i="10"/>
  <c r="AR1016" i="10"/>
  <c r="P1056" i="10"/>
  <c r="AO1011" i="10"/>
  <c r="AO976" i="10"/>
  <c r="K922" i="10"/>
  <c r="P645" i="10"/>
  <c r="P580" i="10"/>
  <c r="L973" i="10"/>
  <c r="L945" i="10"/>
  <c r="N1049" i="10"/>
  <c r="AM1004" i="10"/>
  <c r="AW933" i="10"/>
  <c r="AM969" i="10"/>
  <c r="AN1071" i="10"/>
  <c r="AN1069" i="10"/>
  <c r="AN1064" i="10"/>
  <c r="AN1062" i="10"/>
  <c r="AN1060" i="10"/>
  <c r="AN1058" i="10"/>
  <c r="AN1056" i="10"/>
  <c r="AN1067" i="10"/>
  <c r="AN1065" i="10"/>
  <c r="AN1070" i="10"/>
  <c r="AN1063" i="10"/>
  <c r="AN1061" i="10"/>
  <c r="AN1059" i="10"/>
  <c r="AN1057" i="10"/>
  <c r="AN1052" i="10"/>
  <c r="AN1050" i="10"/>
  <c r="AN1068" i="10"/>
  <c r="AN1055" i="10"/>
  <c r="AN1066" i="10"/>
  <c r="AN1053" i="10"/>
  <c r="AN1051" i="10"/>
  <c r="AN1054" i="10"/>
  <c r="AN1048" i="10"/>
  <c r="AN1072" i="10" s="1"/>
  <c r="AN1049" i="10"/>
  <c r="L915" i="10"/>
  <c r="G655" i="10"/>
  <c r="G644" i="10"/>
  <c r="M970" i="10"/>
  <c r="M942" i="10"/>
  <c r="M950" i="10"/>
  <c r="M978" i="10"/>
  <c r="S1057" i="10"/>
  <c r="AR1012" i="10"/>
  <c r="AR977" i="10"/>
  <c r="Q1051" i="10"/>
  <c r="AP971" i="10"/>
  <c r="AP1006" i="10"/>
  <c r="O1059" i="10"/>
  <c r="AN1014" i="10"/>
  <c r="AN979" i="10"/>
  <c r="K941" i="10"/>
  <c r="K969" i="10"/>
  <c r="M914" i="10"/>
  <c r="I690" i="10"/>
  <c r="F691" i="10"/>
  <c r="F654" i="10"/>
  <c r="Q1054" i="10"/>
  <c r="AP1009" i="10"/>
  <c r="AP974" i="10"/>
  <c r="AO1005" i="10"/>
  <c r="P1050" i="10"/>
  <c r="AO970" i="10"/>
  <c r="L951" i="10"/>
  <c r="L979" i="10"/>
  <c r="K911" i="10"/>
  <c r="B645" i="10"/>
  <c r="B580" i="10"/>
  <c r="Q981" i="10"/>
  <c r="P1058" i="10"/>
  <c r="AO1013" i="10"/>
  <c r="AO978" i="10"/>
  <c r="O981" i="10"/>
  <c r="N924" i="10"/>
  <c r="N920" i="10"/>
  <c r="N742" i="10"/>
  <c r="Q741" i="10"/>
  <c r="R741" i="10" s="1"/>
  <c r="N690" i="10"/>
  <c r="L919" i="10"/>
  <c r="L655" i="10"/>
  <c r="L644" i="10"/>
  <c r="AR981" i="10"/>
  <c r="L564" i="9"/>
  <c r="J893" i="9"/>
  <c r="L519" i="9"/>
  <c r="AP1041" i="9"/>
  <c r="AP1039" i="9"/>
  <c r="AP1044" i="9"/>
  <c r="AP1037" i="9"/>
  <c r="AP1035" i="9"/>
  <c r="AP1033" i="9"/>
  <c r="AP1042" i="9"/>
  <c r="AP1040" i="9"/>
  <c r="AP1045" i="9"/>
  <c r="AP1043" i="9"/>
  <c r="AP1038" i="9"/>
  <c r="AP1036" i="9"/>
  <c r="AP1034" i="9"/>
  <c r="AP1032" i="9"/>
  <c r="AP1025" i="9"/>
  <c r="AP1031" i="9"/>
  <c r="AP1028" i="9"/>
  <c r="AP1030" i="9"/>
  <c r="AP1026" i="9"/>
  <c r="AP1029" i="9"/>
  <c r="AP1024" i="9"/>
  <c r="AP1022" i="9"/>
  <c r="AP1027" i="9"/>
  <c r="AP1023" i="9"/>
  <c r="N951" i="9"/>
  <c r="N923" i="9"/>
  <c r="K896" i="9"/>
  <c r="P622" i="9"/>
  <c r="P563" i="9"/>
  <c r="P1026" i="9"/>
  <c r="AO946" i="9"/>
  <c r="AO981" i="9"/>
  <c r="AR990" i="9"/>
  <c r="M888" i="9"/>
  <c r="F631" i="9"/>
  <c r="F668" i="9"/>
  <c r="I667" i="9"/>
  <c r="O1033" i="9"/>
  <c r="AN988" i="9"/>
  <c r="AN953" i="9"/>
  <c r="AR955" i="9"/>
  <c r="K950" i="9"/>
  <c r="K922" i="9"/>
  <c r="L885" i="9"/>
  <c r="E631" i="9"/>
  <c r="B632" i="9"/>
  <c r="B621" i="9"/>
  <c r="M631" i="9"/>
  <c r="L891" i="9"/>
  <c r="J632" i="9"/>
  <c r="J621" i="9"/>
  <c r="P1029" i="9"/>
  <c r="AO984" i="9"/>
  <c r="AO949" i="9"/>
  <c r="L886" i="9"/>
  <c r="C632" i="9"/>
  <c r="C621" i="9"/>
  <c r="L953" i="9"/>
  <c r="L925" i="9"/>
  <c r="M948" i="9"/>
  <c r="M920" i="9"/>
  <c r="I887" i="9"/>
  <c r="D478" i="9"/>
  <c r="D477" i="9" s="1"/>
  <c r="D476" i="9" s="1"/>
  <c r="D475" i="9" s="1"/>
  <c r="D474" i="9" s="1"/>
  <c r="D473" i="9" s="1"/>
  <c r="D520" i="9"/>
  <c r="D471" i="9"/>
  <c r="M943" i="9"/>
  <c r="M915" i="9"/>
  <c r="L892" i="9"/>
  <c r="K632" i="9"/>
  <c r="K621" i="9"/>
  <c r="M1024" i="9"/>
  <c r="AL979" i="9"/>
  <c r="AL944" i="9"/>
  <c r="N945" i="9"/>
  <c r="N917" i="9"/>
  <c r="P1023" i="9"/>
  <c r="AO943" i="9"/>
  <c r="AO978" i="9"/>
  <c r="P1032" i="9"/>
  <c r="AO987" i="9"/>
  <c r="AO952" i="9"/>
  <c r="K890" i="9"/>
  <c r="H622" i="9"/>
  <c r="H563" i="9"/>
  <c r="O632" i="9"/>
  <c r="L895" i="9"/>
  <c r="O621" i="9"/>
  <c r="N898" i="9"/>
  <c r="Q1031" i="9"/>
  <c r="AP986" i="9"/>
  <c r="AP951" i="9"/>
  <c r="M942" i="9"/>
  <c r="M914" i="9"/>
  <c r="J944" i="9"/>
  <c r="J916" i="9"/>
  <c r="M894" i="9"/>
  <c r="N668" i="9"/>
  <c r="Q667" i="9"/>
  <c r="R667" i="9" s="1"/>
  <c r="N631" i="9"/>
  <c r="L889" i="9"/>
  <c r="G632" i="9"/>
  <c r="G621" i="9"/>
  <c r="M949" i="9"/>
  <c r="M921" i="9"/>
  <c r="N1030" i="9"/>
  <c r="AM985" i="9"/>
  <c r="AW914" i="9"/>
  <c r="AM950" i="9"/>
  <c r="L919" i="9"/>
  <c r="L947" i="9"/>
  <c r="M952" i="9"/>
  <c r="M924" i="9"/>
  <c r="P1022" i="9"/>
  <c r="AO977" i="9"/>
  <c r="N955" i="9"/>
  <c r="AO942" i="9"/>
  <c r="P1028" i="9"/>
  <c r="AO983" i="9"/>
  <c r="AO948" i="9"/>
  <c r="AN982" i="9"/>
  <c r="AN947" i="9"/>
  <c r="O1027" i="9"/>
  <c r="AP990" i="9"/>
  <c r="M946" i="9"/>
  <c r="M918" i="9"/>
  <c r="Q1025" i="9"/>
  <c r="AP945" i="9"/>
  <c r="AP955" i="9" s="1"/>
  <c r="AP980" i="9"/>
  <c r="AM1115" i="12" l="1"/>
  <c r="AP1084" i="11"/>
  <c r="AP1046" i="9"/>
  <c r="AM952" i="14"/>
  <c r="N997" i="14"/>
  <c r="AM917" i="14"/>
  <c r="AW881" i="14"/>
  <c r="K889" i="14"/>
  <c r="K917" i="14"/>
  <c r="AP956" i="14"/>
  <c r="M990" i="14"/>
  <c r="AL945" i="14"/>
  <c r="AL910" i="14"/>
  <c r="AO911" i="14"/>
  <c r="AO946" i="14"/>
  <c r="P991" i="14"/>
  <c r="M883" i="14"/>
  <c r="M911" i="14"/>
  <c r="P994" i="14"/>
  <c r="AO914" i="14"/>
  <c r="AO949" i="14"/>
  <c r="K858" i="14"/>
  <c r="K590" i="14"/>
  <c r="K534" i="14"/>
  <c r="O989" i="14"/>
  <c r="AN944" i="14"/>
  <c r="AN909" i="14"/>
  <c r="K856" i="14"/>
  <c r="H590" i="14"/>
  <c r="H534" i="14"/>
  <c r="M996" i="14"/>
  <c r="AL951" i="14"/>
  <c r="AL916" i="14"/>
  <c r="K852" i="14"/>
  <c r="C590" i="14"/>
  <c r="C534" i="14"/>
  <c r="K862" i="14"/>
  <c r="P590" i="14"/>
  <c r="P534" i="14"/>
  <c r="L851" i="14"/>
  <c r="B600" i="14"/>
  <c r="E599" i="14"/>
  <c r="B589" i="14"/>
  <c r="L915" i="14"/>
  <c r="L887" i="14"/>
  <c r="I859" i="14"/>
  <c r="L491" i="14"/>
  <c r="L450" i="14"/>
  <c r="L449" i="14" s="1"/>
  <c r="L448" i="14" s="1"/>
  <c r="L447" i="14" s="1"/>
  <c r="L446" i="14" s="1"/>
  <c r="L445" i="14" s="1"/>
  <c r="L443" i="14"/>
  <c r="L909" i="14"/>
  <c r="L881" i="14"/>
  <c r="P988" i="14"/>
  <c r="N921" i="14"/>
  <c r="AO943" i="14"/>
  <c r="AO908" i="14"/>
  <c r="AO921" i="14" s="1"/>
  <c r="L885" i="14"/>
  <c r="L913" i="14"/>
  <c r="O995" i="14"/>
  <c r="AN950" i="14"/>
  <c r="AN915" i="14"/>
  <c r="J861" i="14"/>
  <c r="O535" i="14"/>
  <c r="O490" i="14"/>
  <c r="L919" i="14"/>
  <c r="L891" i="14"/>
  <c r="AM1011" i="14"/>
  <c r="AM1009" i="14"/>
  <c r="AM1004" i="14"/>
  <c r="AM1002" i="14"/>
  <c r="AM1000" i="14"/>
  <c r="AM995" i="14"/>
  <c r="AM1005" i="14"/>
  <c r="AM997" i="14"/>
  <c r="AM998" i="14"/>
  <c r="AM1010" i="14"/>
  <c r="AM1003" i="14"/>
  <c r="AM1001" i="14"/>
  <c r="AM999" i="14"/>
  <c r="AM1008" i="14"/>
  <c r="AM1006" i="14"/>
  <c r="AM991" i="14"/>
  <c r="AM992" i="14"/>
  <c r="AM996" i="14"/>
  <c r="AM993" i="14"/>
  <c r="AM989" i="14"/>
  <c r="AM1007" i="14"/>
  <c r="AM990" i="14"/>
  <c r="AM988" i="14"/>
  <c r="AM1012" i="14" s="1"/>
  <c r="AM994" i="14"/>
  <c r="I853" i="14"/>
  <c r="D491" i="14"/>
  <c r="D450" i="14"/>
  <c r="D449" i="14" s="1"/>
  <c r="D448" i="14" s="1"/>
  <c r="D447" i="14" s="1"/>
  <c r="D446" i="14" s="1"/>
  <c r="D445" i="14" s="1"/>
  <c r="D443" i="14"/>
  <c r="Q534" i="14"/>
  <c r="J860" i="14"/>
  <c r="N535" i="14"/>
  <c r="N490" i="14"/>
  <c r="J916" i="14"/>
  <c r="J888" i="14"/>
  <c r="J600" i="14"/>
  <c r="M599" i="14"/>
  <c r="L857" i="14"/>
  <c r="J589" i="14"/>
  <c r="J855" i="14"/>
  <c r="G535" i="14"/>
  <c r="G490" i="14"/>
  <c r="M908" i="14"/>
  <c r="M864" i="14"/>
  <c r="M880" i="14"/>
  <c r="L854" i="14"/>
  <c r="I599" i="14"/>
  <c r="F600" i="14"/>
  <c r="F589" i="14"/>
  <c r="O993" i="14"/>
  <c r="AN948" i="14"/>
  <c r="AN913" i="14"/>
  <c r="K890" i="14"/>
  <c r="K918" i="14"/>
  <c r="AP921" i="14"/>
  <c r="N992" i="14"/>
  <c r="AM947" i="14"/>
  <c r="AM912" i="14"/>
  <c r="AW876" i="14"/>
  <c r="N998" i="14"/>
  <c r="AM953" i="14"/>
  <c r="AW882" i="14"/>
  <c r="AM918" i="14"/>
  <c r="J910" i="14"/>
  <c r="J882" i="14"/>
  <c r="O999" i="14"/>
  <c r="AN919" i="14"/>
  <c r="AN954" i="14"/>
  <c r="M914" i="14"/>
  <c r="M886" i="14"/>
  <c r="K912" i="14"/>
  <c r="K884" i="14"/>
  <c r="L1023" i="13"/>
  <c r="L995" i="13"/>
  <c r="M1019" i="13"/>
  <c r="M991" i="13"/>
  <c r="K961" i="13"/>
  <c r="H685" i="13"/>
  <c r="H618" i="13"/>
  <c r="K1022" i="13"/>
  <c r="K994" i="13"/>
  <c r="K1014" i="13"/>
  <c r="K986" i="13"/>
  <c r="K963" i="13"/>
  <c r="K685" i="13"/>
  <c r="K618" i="13"/>
  <c r="K967" i="13"/>
  <c r="P685" i="13"/>
  <c r="P618" i="13"/>
  <c r="L1018" i="13"/>
  <c r="L990" i="13"/>
  <c r="L956" i="13"/>
  <c r="B695" i="13"/>
  <c r="E694" i="13"/>
  <c r="R694" i="13" s="1"/>
  <c r="B684" i="13"/>
  <c r="N1026" i="13"/>
  <c r="L1020" i="13"/>
  <c r="L992" i="13"/>
  <c r="K958" i="13"/>
  <c r="D685" i="13"/>
  <c r="D618" i="13"/>
  <c r="R730" i="13"/>
  <c r="L996" i="13"/>
  <c r="L1024" i="13"/>
  <c r="L959" i="13"/>
  <c r="F695" i="13"/>
  <c r="I694" i="13"/>
  <c r="F684" i="13"/>
  <c r="K964" i="13"/>
  <c r="L685" i="13"/>
  <c r="L618" i="13"/>
  <c r="L960" i="13"/>
  <c r="G695" i="13"/>
  <c r="G684" i="13"/>
  <c r="L962" i="13"/>
  <c r="M694" i="13"/>
  <c r="J695" i="13"/>
  <c r="J684" i="13"/>
  <c r="K966" i="13"/>
  <c r="O685" i="13"/>
  <c r="O618" i="13"/>
  <c r="Q618" i="13" s="1"/>
  <c r="J965" i="13"/>
  <c r="N619" i="13"/>
  <c r="N573" i="13"/>
  <c r="L1015" i="13"/>
  <c r="L987" i="13"/>
  <c r="M1013" i="13"/>
  <c r="M985" i="13"/>
  <c r="M969" i="13"/>
  <c r="L1021" i="13"/>
  <c r="L993" i="13"/>
  <c r="M1017" i="13"/>
  <c r="M989" i="13"/>
  <c r="J957" i="13"/>
  <c r="C619" i="13"/>
  <c r="C573" i="13"/>
  <c r="M988" i="13"/>
  <c r="M1016" i="13"/>
  <c r="K1020" i="12"/>
  <c r="K992" i="12"/>
  <c r="J961" i="12"/>
  <c r="K619" i="12"/>
  <c r="K573" i="12"/>
  <c r="L983" i="12"/>
  <c r="L1011" i="12"/>
  <c r="L1092" i="12"/>
  <c r="AK1047" i="12"/>
  <c r="AK1012" i="12"/>
  <c r="L991" i="12"/>
  <c r="L1019" i="12"/>
  <c r="I1012" i="12"/>
  <c r="I984" i="12"/>
  <c r="L1016" i="12"/>
  <c r="L988" i="12"/>
  <c r="M1014" i="12"/>
  <c r="M1024" i="12" s="1"/>
  <c r="M986" i="12"/>
  <c r="K965" i="12"/>
  <c r="P685" i="12"/>
  <c r="P618" i="12"/>
  <c r="AL1111" i="12"/>
  <c r="AL1109" i="12"/>
  <c r="AL1114" i="12"/>
  <c r="AL1112" i="12"/>
  <c r="AL1110" i="12"/>
  <c r="AL1108" i="12"/>
  <c r="AL1096" i="12"/>
  <c r="AL1094" i="12"/>
  <c r="AL1092" i="12"/>
  <c r="AL1102" i="12"/>
  <c r="AL1106" i="12"/>
  <c r="AL1105" i="12"/>
  <c r="AL1100" i="12"/>
  <c r="AL1099" i="12"/>
  <c r="AL1107" i="12"/>
  <c r="AL1095" i="12"/>
  <c r="AL1093" i="12"/>
  <c r="AL1091" i="12"/>
  <c r="AL1113" i="12"/>
  <c r="AL1098" i="12"/>
  <c r="AL1103" i="12"/>
  <c r="AL1101" i="12"/>
  <c r="AL1097" i="12"/>
  <c r="AL1104" i="12"/>
  <c r="K1018" i="12"/>
  <c r="K990" i="12"/>
  <c r="O1102" i="12"/>
  <c r="AN1057" i="12"/>
  <c r="AN1022" i="12"/>
  <c r="O1099" i="12"/>
  <c r="AN1054" i="12"/>
  <c r="AN1019" i="12"/>
  <c r="P1094" i="12"/>
  <c r="AO1049" i="12"/>
  <c r="AO1059" i="12" s="1"/>
  <c r="AO1014" i="12"/>
  <c r="AO1024" i="12" s="1"/>
  <c r="O1091" i="12"/>
  <c r="AN1046" i="12"/>
  <c r="AN1011" i="12"/>
  <c r="O1093" i="12"/>
  <c r="AN1048" i="12"/>
  <c r="AN1013" i="12"/>
  <c r="K956" i="12"/>
  <c r="D685" i="12"/>
  <c r="D618" i="12"/>
  <c r="I964" i="12"/>
  <c r="O574" i="12"/>
  <c r="O529" i="12"/>
  <c r="O528" i="12" s="1"/>
  <c r="O527" i="12" s="1"/>
  <c r="O526" i="12" s="1"/>
  <c r="O525" i="12" s="1"/>
  <c r="O524" i="12" s="1"/>
  <c r="O522" i="12"/>
  <c r="L1022" i="12"/>
  <c r="L994" i="12"/>
  <c r="N1024" i="12"/>
  <c r="K960" i="12"/>
  <c r="J685" i="12"/>
  <c r="M684" i="12"/>
  <c r="J618" i="12"/>
  <c r="AM1053" i="12"/>
  <c r="AM1018" i="12"/>
  <c r="AW982" i="12"/>
  <c r="N1098" i="12"/>
  <c r="J958" i="12"/>
  <c r="G619" i="12"/>
  <c r="G573" i="12"/>
  <c r="N1100" i="12"/>
  <c r="AM1055" i="12"/>
  <c r="AM1020" i="12"/>
  <c r="AW984" i="12"/>
  <c r="N1095" i="12"/>
  <c r="AM1050" i="12"/>
  <c r="AM1015" i="12"/>
  <c r="AW979" i="12"/>
  <c r="J963" i="12"/>
  <c r="N619" i="12"/>
  <c r="N573" i="12"/>
  <c r="L1013" i="12"/>
  <c r="L985" i="12"/>
  <c r="J1021" i="12"/>
  <c r="J993" i="12"/>
  <c r="K954" i="12"/>
  <c r="E684" i="12"/>
  <c r="B685" i="12"/>
  <c r="B618" i="12"/>
  <c r="H955" i="12"/>
  <c r="C523" i="12"/>
  <c r="C330" i="12"/>
  <c r="K987" i="12"/>
  <c r="K1015" i="12"/>
  <c r="M1101" i="12"/>
  <c r="AL1056" i="12"/>
  <c r="AL1021" i="12"/>
  <c r="L957" i="12"/>
  <c r="L967" i="12" s="1"/>
  <c r="I694" i="12"/>
  <c r="R694" i="12" s="1"/>
  <c r="F695" i="12"/>
  <c r="F684" i="12"/>
  <c r="O1097" i="12"/>
  <c r="AN1052" i="12"/>
  <c r="AN1017" i="12"/>
  <c r="K962" i="12"/>
  <c r="L685" i="12"/>
  <c r="L618" i="12"/>
  <c r="L1017" i="12"/>
  <c r="L989" i="12"/>
  <c r="K959" i="12"/>
  <c r="H685" i="12"/>
  <c r="H618" i="12"/>
  <c r="O1096" i="12"/>
  <c r="AN1051" i="12"/>
  <c r="AN1016" i="12"/>
  <c r="J926" i="11"/>
  <c r="F588" i="11"/>
  <c r="F542" i="11"/>
  <c r="M930" i="11"/>
  <c r="M936" i="11" s="1"/>
  <c r="K701" i="11"/>
  <c r="K664" i="11"/>
  <c r="M986" i="11"/>
  <c r="M958" i="11"/>
  <c r="K984" i="11"/>
  <c r="K956" i="11"/>
  <c r="J931" i="11"/>
  <c r="L588" i="11"/>
  <c r="L542" i="11"/>
  <c r="J991" i="11"/>
  <c r="J963" i="11"/>
  <c r="K924" i="11"/>
  <c r="C655" i="11"/>
  <c r="C587" i="11"/>
  <c r="Q1067" i="11"/>
  <c r="AP1022" i="11"/>
  <c r="AP1028" i="11" s="1"/>
  <c r="AP987" i="11"/>
  <c r="N987" i="11"/>
  <c r="N959" i="11"/>
  <c r="P1066" i="11"/>
  <c r="AO1021" i="11"/>
  <c r="AO986" i="11"/>
  <c r="L923" i="11"/>
  <c r="E664" i="11"/>
  <c r="B665" i="11"/>
  <c r="B654" i="11"/>
  <c r="K928" i="11"/>
  <c r="H655" i="11"/>
  <c r="H587" i="11"/>
  <c r="K983" i="11"/>
  <c r="K955" i="11"/>
  <c r="L1070" i="11"/>
  <c r="AK1025" i="11"/>
  <c r="AK990" i="11"/>
  <c r="H933" i="11"/>
  <c r="O493" i="11"/>
  <c r="O318" i="11"/>
  <c r="M1071" i="11"/>
  <c r="AL991" i="11"/>
  <c r="AL1026" i="11"/>
  <c r="K960" i="11"/>
  <c r="K988" i="11"/>
  <c r="I925" i="11"/>
  <c r="D543" i="11"/>
  <c r="D499" i="11"/>
  <c r="D498" i="11" s="1"/>
  <c r="D497" i="11" s="1"/>
  <c r="D496" i="11" s="1"/>
  <c r="D495" i="11" s="1"/>
  <c r="D494" i="11" s="1"/>
  <c r="D492" i="11"/>
  <c r="M961" i="11"/>
  <c r="M989" i="11"/>
  <c r="P1069" i="11"/>
  <c r="AO1024" i="11"/>
  <c r="AO989" i="11"/>
  <c r="R700" i="11"/>
  <c r="L985" i="11"/>
  <c r="L957" i="11"/>
  <c r="L932" i="11"/>
  <c r="Q664" i="11"/>
  <c r="N665" i="11"/>
  <c r="N654" i="11"/>
  <c r="AO1083" i="11"/>
  <c r="AO1081" i="11"/>
  <c r="AO1076" i="11"/>
  <c r="AO1074" i="11"/>
  <c r="AO1072" i="11"/>
  <c r="AO1070" i="11"/>
  <c r="AO1068" i="11"/>
  <c r="AO1079" i="11"/>
  <c r="AO1077" i="11"/>
  <c r="AO1082" i="11"/>
  <c r="AO1075" i="11"/>
  <c r="AO1073" i="11"/>
  <c r="AO1071" i="11"/>
  <c r="AO1069" i="11"/>
  <c r="AO1080" i="11"/>
  <c r="AO1078" i="11"/>
  <c r="AO1067" i="11"/>
  <c r="AO1065" i="11"/>
  <c r="AO1063" i="11"/>
  <c r="AO1061" i="11"/>
  <c r="AO1064" i="11"/>
  <c r="AO1060" i="11"/>
  <c r="AO1066" i="11"/>
  <c r="AO1062" i="11"/>
  <c r="AO1015" i="11"/>
  <c r="N993" i="11"/>
  <c r="P1060" i="11"/>
  <c r="AO980" i="11"/>
  <c r="M980" i="11"/>
  <c r="M952" i="11"/>
  <c r="J982" i="11"/>
  <c r="J954" i="11"/>
  <c r="N1064" i="11"/>
  <c r="AM984" i="11"/>
  <c r="AM1019" i="11"/>
  <c r="AW948" i="11"/>
  <c r="L929" i="11"/>
  <c r="J665" i="11"/>
  <c r="M664" i="11"/>
  <c r="J654" i="11"/>
  <c r="L953" i="11"/>
  <c r="L981" i="11"/>
  <c r="N1068" i="11"/>
  <c r="AM988" i="11"/>
  <c r="AW952" i="11"/>
  <c r="AM1023" i="11"/>
  <c r="I990" i="11"/>
  <c r="I962" i="11"/>
  <c r="N1063" i="11"/>
  <c r="AM1018" i="11"/>
  <c r="AW947" i="11"/>
  <c r="AM983" i="11"/>
  <c r="O1065" i="11"/>
  <c r="AN1020" i="11"/>
  <c r="AN985" i="11"/>
  <c r="J927" i="11"/>
  <c r="G588" i="11"/>
  <c r="G542" i="11"/>
  <c r="AP993" i="11"/>
  <c r="M1062" i="11"/>
  <c r="AL1017" i="11"/>
  <c r="AL982" i="11"/>
  <c r="I934" i="11"/>
  <c r="P499" i="11"/>
  <c r="P498" i="11" s="1"/>
  <c r="P497" i="11" s="1"/>
  <c r="P496" i="11" s="1"/>
  <c r="P495" i="11" s="1"/>
  <c r="P494" i="11" s="1"/>
  <c r="P543" i="11"/>
  <c r="P492" i="11"/>
  <c r="O1061" i="11"/>
  <c r="AN981" i="11"/>
  <c r="AN1016" i="11"/>
  <c r="O1056" i="10"/>
  <c r="AN976" i="10"/>
  <c r="AN1011" i="10"/>
  <c r="L976" i="10"/>
  <c r="L948" i="10"/>
  <c r="L914" i="10"/>
  <c r="F655" i="10"/>
  <c r="I654" i="10"/>
  <c r="F644" i="10"/>
  <c r="O1058" i="10"/>
  <c r="AN1013" i="10"/>
  <c r="AN978" i="10"/>
  <c r="O1052" i="10"/>
  <c r="AN1007" i="10"/>
  <c r="AN972" i="10"/>
  <c r="AM968" i="10"/>
  <c r="N1048" i="10"/>
  <c r="AM1003" i="10"/>
  <c r="AW932" i="10"/>
  <c r="AM1071" i="10"/>
  <c r="AM1069" i="10"/>
  <c r="AM1064" i="10"/>
  <c r="AM1062" i="10"/>
  <c r="AM1060" i="10"/>
  <c r="AM1058" i="10"/>
  <c r="AM1056" i="10"/>
  <c r="AM1067" i="10"/>
  <c r="AM1068" i="10"/>
  <c r="AM1066" i="10"/>
  <c r="AM1059" i="10"/>
  <c r="AM1065" i="10"/>
  <c r="AM1061" i="10"/>
  <c r="AM1055" i="10"/>
  <c r="AM1063" i="10"/>
  <c r="AM1053" i="10"/>
  <c r="AM1057" i="10"/>
  <c r="AM1051" i="10"/>
  <c r="AM1054" i="10"/>
  <c r="AM1048" i="10"/>
  <c r="AM1070" i="10"/>
  <c r="AM1049" i="10"/>
  <c r="AM1050" i="10"/>
  <c r="AM1052" i="10"/>
  <c r="P1051" i="10"/>
  <c r="AO1006" i="10"/>
  <c r="AO971" i="10"/>
  <c r="J916" i="10"/>
  <c r="H581" i="10"/>
  <c r="H535" i="10"/>
  <c r="L917" i="10"/>
  <c r="M654" i="10"/>
  <c r="J655" i="10"/>
  <c r="J644" i="10"/>
  <c r="I918" i="10"/>
  <c r="K492" i="10"/>
  <c r="K491" i="10" s="1"/>
  <c r="K490" i="10" s="1"/>
  <c r="K489" i="10" s="1"/>
  <c r="K488" i="10" s="1"/>
  <c r="K487" i="10" s="1"/>
  <c r="K536" i="10"/>
  <c r="K485" i="10"/>
  <c r="J911" i="10"/>
  <c r="B581" i="10"/>
  <c r="B535" i="10"/>
  <c r="M943" i="10"/>
  <c r="M971" i="10"/>
  <c r="O1050" i="10"/>
  <c r="AN970" i="10"/>
  <c r="AN1005" i="10"/>
  <c r="N977" i="10"/>
  <c r="N949" i="10"/>
  <c r="M1049" i="10"/>
  <c r="AL1004" i="10"/>
  <c r="AL969" i="10"/>
  <c r="K915" i="10"/>
  <c r="G645" i="10"/>
  <c r="G580" i="10"/>
  <c r="N1053" i="10"/>
  <c r="AM1008" i="10"/>
  <c r="AM973" i="10"/>
  <c r="AW937" i="10"/>
  <c r="I912" i="10"/>
  <c r="C492" i="10"/>
  <c r="C491" i="10" s="1"/>
  <c r="C490" i="10" s="1"/>
  <c r="C489" i="10" s="1"/>
  <c r="C488" i="10" s="1"/>
  <c r="C487" i="10" s="1"/>
  <c r="C536" i="10"/>
  <c r="C485" i="10"/>
  <c r="M1055" i="10"/>
  <c r="AL1010" i="10"/>
  <c r="AL975" i="10"/>
  <c r="K921" i="10"/>
  <c r="O645" i="10"/>
  <c r="O580" i="10"/>
  <c r="K973" i="10"/>
  <c r="K945" i="10"/>
  <c r="J975" i="10"/>
  <c r="J947" i="10"/>
  <c r="M920" i="10"/>
  <c r="N691" i="10"/>
  <c r="Q690" i="10"/>
  <c r="R690" i="10" s="1"/>
  <c r="N654" i="10"/>
  <c r="J922" i="10"/>
  <c r="P581" i="10"/>
  <c r="P535" i="10"/>
  <c r="Q1057" i="10"/>
  <c r="AP1012" i="10"/>
  <c r="AP1016" i="10" s="1"/>
  <c r="AP977" i="10"/>
  <c r="AP981" i="10" s="1"/>
  <c r="M946" i="10"/>
  <c r="M974" i="10"/>
  <c r="K919" i="10"/>
  <c r="L645" i="10"/>
  <c r="L580" i="10"/>
  <c r="K968" i="10"/>
  <c r="K940" i="10"/>
  <c r="L972" i="10"/>
  <c r="L944" i="10"/>
  <c r="J969" i="10"/>
  <c r="J941" i="10"/>
  <c r="P1054" i="10"/>
  <c r="AO1009" i="10"/>
  <c r="AO974" i="10"/>
  <c r="L978" i="10"/>
  <c r="L950" i="10"/>
  <c r="L970" i="10"/>
  <c r="L942" i="10"/>
  <c r="N1059" i="10"/>
  <c r="AM1014" i="10"/>
  <c r="AM979" i="10"/>
  <c r="AW943" i="10"/>
  <c r="K979" i="10"/>
  <c r="K951" i="10"/>
  <c r="K913" i="10"/>
  <c r="D645" i="10"/>
  <c r="D580" i="10"/>
  <c r="AO990" i="9"/>
  <c r="L894" i="9"/>
  <c r="Q631" i="9"/>
  <c r="N632" i="9"/>
  <c r="N621" i="9"/>
  <c r="AN977" i="9"/>
  <c r="O1022" i="9"/>
  <c r="AN942" i="9"/>
  <c r="J890" i="9"/>
  <c r="H564" i="9"/>
  <c r="H519" i="9"/>
  <c r="AO1045" i="9"/>
  <c r="AO1043" i="9"/>
  <c r="AO1038" i="9"/>
  <c r="AO1036" i="9"/>
  <c r="AO1034" i="9"/>
  <c r="AO1032" i="9"/>
  <c r="AO1030" i="9"/>
  <c r="AO1041" i="9"/>
  <c r="AO1039" i="9"/>
  <c r="AO1044" i="9"/>
  <c r="AO1037" i="9"/>
  <c r="AO1035" i="9"/>
  <c r="AO1033" i="9"/>
  <c r="AO1027" i="9"/>
  <c r="AO1031" i="9"/>
  <c r="AO1028" i="9"/>
  <c r="AO1042" i="9"/>
  <c r="AO1040" i="9"/>
  <c r="AO1029" i="9"/>
  <c r="AO1024" i="9"/>
  <c r="AO1022" i="9"/>
  <c r="AO1025" i="9"/>
  <c r="AO1023" i="9"/>
  <c r="AO1026" i="9"/>
  <c r="L949" i="9"/>
  <c r="L921" i="9"/>
  <c r="O1028" i="9"/>
  <c r="AN983" i="9"/>
  <c r="AN948" i="9"/>
  <c r="J896" i="9"/>
  <c r="P564" i="9"/>
  <c r="P519" i="9"/>
  <c r="L942" i="9"/>
  <c r="L914" i="9"/>
  <c r="K919" i="9"/>
  <c r="K947" i="9"/>
  <c r="AO980" i="9"/>
  <c r="P1025" i="9"/>
  <c r="AO945" i="9"/>
  <c r="AO955" i="9" s="1"/>
  <c r="O1023" i="9"/>
  <c r="AN978" i="9"/>
  <c r="AN943" i="9"/>
  <c r="K891" i="9"/>
  <c r="J622" i="9"/>
  <c r="M621" i="9"/>
  <c r="J563" i="9"/>
  <c r="L888" i="9"/>
  <c r="L898" i="9" s="1"/>
  <c r="I631" i="9"/>
  <c r="R631" i="9" s="1"/>
  <c r="F632" i="9"/>
  <c r="F621" i="9"/>
  <c r="K925" i="9"/>
  <c r="K953" i="9"/>
  <c r="O1032" i="9"/>
  <c r="AN987" i="9"/>
  <c r="AN952" i="9"/>
  <c r="O1029" i="9"/>
  <c r="AN984" i="9"/>
  <c r="AN949" i="9"/>
  <c r="M951" i="9"/>
  <c r="M923" i="9"/>
  <c r="H887" i="9"/>
  <c r="D472" i="9"/>
  <c r="D309" i="9"/>
  <c r="N1033" i="9"/>
  <c r="AM988" i="9"/>
  <c r="AW917" i="9"/>
  <c r="AM953" i="9"/>
  <c r="M1030" i="9"/>
  <c r="AL985" i="9"/>
  <c r="AL950" i="9"/>
  <c r="M917" i="9"/>
  <c r="M945" i="9"/>
  <c r="M955" i="9" s="1"/>
  <c r="N1027" i="9"/>
  <c r="AM982" i="9"/>
  <c r="AM947" i="9"/>
  <c r="AW911" i="9"/>
  <c r="K889" i="9"/>
  <c r="G622" i="9"/>
  <c r="G563" i="9"/>
  <c r="C622" i="9"/>
  <c r="K886" i="9"/>
  <c r="C563" i="9"/>
  <c r="L948" i="9"/>
  <c r="L920" i="9"/>
  <c r="P1031" i="9"/>
  <c r="AO986" i="9"/>
  <c r="AO951" i="9"/>
  <c r="L1024" i="9"/>
  <c r="AK979" i="9"/>
  <c r="AK944" i="9"/>
  <c r="K895" i="9"/>
  <c r="O622" i="9"/>
  <c r="O563" i="9"/>
  <c r="I893" i="9"/>
  <c r="L478" i="9"/>
  <c r="L477" i="9" s="1"/>
  <c r="L476" i="9" s="1"/>
  <c r="L475" i="9" s="1"/>
  <c r="L474" i="9" s="1"/>
  <c r="L473" i="9" s="1"/>
  <c r="L520" i="9"/>
  <c r="L471" i="9"/>
  <c r="O1026" i="9"/>
  <c r="AN981" i="9"/>
  <c r="AN946" i="9"/>
  <c r="L946" i="9"/>
  <c r="L918" i="9"/>
  <c r="L952" i="9"/>
  <c r="L924" i="9"/>
  <c r="K892" i="9"/>
  <c r="K622" i="9"/>
  <c r="K563" i="9"/>
  <c r="I916" i="9"/>
  <c r="I944" i="9"/>
  <c r="L943" i="9"/>
  <c r="L915" i="9"/>
  <c r="K885" i="9"/>
  <c r="B622" i="9"/>
  <c r="E621" i="9"/>
  <c r="B563" i="9"/>
  <c r="J950" i="9"/>
  <c r="J922" i="9"/>
  <c r="M898" i="9"/>
  <c r="AL1115" i="12" l="1"/>
  <c r="AO1084" i="11"/>
  <c r="AM1072" i="10"/>
  <c r="AO1046" i="9"/>
  <c r="R599" i="14"/>
  <c r="O988" i="14"/>
  <c r="AN943" i="14"/>
  <c r="AN908" i="14"/>
  <c r="M921" i="14"/>
  <c r="K851" i="14"/>
  <c r="B590" i="14"/>
  <c r="E589" i="14"/>
  <c r="B534" i="14"/>
  <c r="AL1007" i="14"/>
  <c r="AL996" i="14"/>
  <c r="AL994" i="14"/>
  <c r="AL1005" i="14"/>
  <c r="AL998" i="14"/>
  <c r="AL1010" i="14"/>
  <c r="AL1003" i="14"/>
  <c r="AL1001" i="14"/>
  <c r="AL999" i="14"/>
  <c r="AL990" i="14"/>
  <c r="AL1004" i="14"/>
  <c r="AL991" i="14"/>
  <c r="AL1011" i="14"/>
  <c r="AL1008" i="14"/>
  <c r="AL992" i="14"/>
  <c r="AL1002" i="14"/>
  <c r="AL993" i="14"/>
  <c r="AL997" i="14"/>
  <c r="AL989" i="14"/>
  <c r="AL1009" i="14"/>
  <c r="AL1006" i="14"/>
  <c r="AL995" i="14"/>
  <c r="AL988" i="14"/>
  <c r="AL1000" i="14"/>
  <c r="I855" i="14"/>
  <c r="G450" i="14"/>
  <c r="G449" i="14" s="1"/>
  <c r="G448" i="14" s="1"/>
  <c r="G447" i="14" s="1"/>
  <c r="G446" i="14" s="1"/>
  <c r="G445" i="14" s="1"/>
  <c r="G491" i="14"/>
  <c r="G443" i="14"/>
  <c r="L996" i="14"/>
  <c r="AK951" i="14"/>
  <c r="AK916" i="14"/>
  <c r="I910" i="14"/>
  <c r="I882" i="14"/>
  <c r="N989" i="14"/>
  <c r="AM944" i="14"/>
  <c r="AW873" i="14"/>
  <c r="AM909" i="14"/>
  <c r="K854" i="14"/>
  <c r="I589" i="14"/>
  <c r="F590" i="14"/>
  <c r="F534" i="14"/>
  <c r="I860" i="14"/>
  <c r="N450" i="14"/>
  <c r="N449" i="14" s="1"/>
  <c r="N448" i="14" s="1"/>
  <c r="N447" i="14" s="1"/>
  <c r="N446" i="14" s="1"/>
  <c r="N445" i="14" s="1"/>
  <c r="N491" i="14"/>
  <c r="N443" i="14"/>
  <c r="N993" i="14"/>
  <c r="AM948" i="14"/>
  <c r="AM913" i="14"/>
  <c r="AW877" i="14"/>
  <c r="H859" i="14"/>
  <c r="L444" i="14"/>
  <c r="L293" i="14"/>
  <c r="M997" i="14"/>
  <c r="AL952" i="14"/>
  <c r="AL917" i="14"/>
  <c r="L990" i="14"/>
  <c r="AK945" i="14"/>
  <c r="AK910" i="14"/>
  <c r="J912" i="14"/>
  <c r="J884" i="14"/>
  <c r="N999" i="14"/>
  <c r="AM954" i="14"/>
  <c r="AM919" i="14"/>
  <c r="AW883" i="14"/>
  <c r="L908" i="14"/>
  <c r="L864" i="14"/>
  <c r="L880" i="14"/>
  <c r="J858" i="14"/>
  <c r="K535" i="14"/>
  <c r="K490" i="14"/>
  <c r="O991" i="14"/>
  <c r="AN946" i="14"/>
  <c r="AN911" i="14"/>
  <c r="M992" i="14"/>
  <c r="AL947" i="14"/>
  <c r="AL912" i="14"/>
  <c r="K857" i="14"/>
  <c r="J590" i="14"/>
  <c r="M589" i="14"/>
  <c r="J534" i="14"/>
  <c r="J917" i="14"/>
  <c r="J889" i="14"/>
  <c r="I861" i="14"/>
  <c r="O491" i="14"/>
  <c r="O450" i="14"/>
  <c r="O449" i="14" s="1"/>
  <c r="O448" i="14" s="1"/>
  <c r="O447" i="14" s="1"/>
  <c r="O446" i="14" s="1"/>
  <c r="O445" i="14" s="1"/>
  <c r="O443" i="14"/>
  <c r="J862" i="14"/>
  <c r="P535" i="14"/>
  <c r="P490" i="14"/>
  <c r="Q490" i="14" s="1"/>
  <c r="M998" i="14"/>
  <c r="AL953" i="14"/>
  <c r="AL918" i="14"/>
  <c r="L911" i="14"/>
  <c r="L883" i="14"/>
  <c r="L914" i="14"/>
  <c r="L886" i="14"/>
  <c r="AO956" i="14"/>
  <c r="I916" i="14"/>
  <c r="I888" i="14"/>
  <c r="J856" i="14"/>
  <c r="H535" i="14"/>
  <c r="H490" i="14"/>
  <c r="K915" i="14"/>
  <c r="K887" i="14"/>
  <c r="K909" i="14"/>
  <c r="K881" i="14"/>
  <c r="O994" i="14"/>
  <c r="AN914" i="14"/>
  <c r="AN949" i="14"/>
  <c r="H853" i="14"/>
  <c r="D444" i="14"/>
  <c r="D293" i="14"/>
  <c r="J890" i="14"/>
  <c r="J918" i="14"/>
  <c r="K891" i="14"/>
  <c r="K919" i="14"/>
  <c r="N995" i="14"/>
  <c r="AM950" i="14"/>
  <c r="AM915" i="14"/>
  <c r="AW879" i="14"/>
  <c r="J852" i="14"/>
  <c r="C535" i="14"/>
  <c r="C490" i="14"/>
  <c r="K885" i="14"/>
  <c r="K913" i="14"/>
  <c r="M1026" i="13"/>
  <c r="L1017" i="13"/>
  <c r="L989" i="13"/>
  <c r="J986" i="13"/>
  <c r="J1014" i="13"/>
  <c r="K1023" i="13"/>
  <c r="K995" i="13"/>
  <c r="J964" i="13"/>
  <c r="L619" i="13"/>
  <c r="L573" i="13"/>
  <c r="K956" i="13"/>
  <c r="B685" i="13"/>
  <c r="E684" i="13"/>
  <c r="B618" i="13"/>
  <c r="K1024" i="13"/>
  <c r="K996" i="13"/>
  <c r="J961" i="13"/>
  <c r="H619" i="13"/>
  <c r="H573" i="13"/>
  <c r="K962" i="13"/>
  <c r="J685" i="13"/>
  <c r="M684" i="13"/>
  <c r="J618" i="13"/>
  <c r="J963" i="13"/>
  <c r="K619" i="13"/>
  <c r="K573" i="13"/>
  <c r="I965" i="13"/>
  <c r="N529" i="13"/>
  <c r="N528" i="13" s="1"/>
  <c r="N527" i="13" s="1"/>
  <c r="N526" i="13" s="1"/>
  <c r="N525" i="13" s="1"/>
  <c r="N524" i="13" s="1"/>
  <c r="N574" i="13"/>
  <c r="N522" i="13"/>
  <c r="K1021" i="13"/>
  <c r="K993" i="13"/>
  <c r="J958" i="13"/>
  <c r="D619" i="13"/>
  <c r="D573" i="13"/>
  <c r="K990" i="13"/>
  <c r="K1018" i="13"/>
  <c r="K959" i="13"/>
  <c r="F685" i="13"/>
  <c r="I684" i="13"/>
  <c r="F618" i="13"/>
  <c r="L1013" i="13"/>
  <c r="L969" i="13"/>
  <c r="L985" i="13"/>
  <c r="K1020" i="13"/>
  <c r="K992" i="13"/>
  <c r="L1019" i="13"/>
  <c r="L991" i="13"/>
  <c r="K1015" i="13"/>
  <c r="K987" i="13"/>
  <c r="J994" i="13"/>
  <c r="J1022" i="13"/>
  <c r="K960" i="13"/>
  <c r="G685" i="13"/>
  <c r="G618" i="13"/>
  <c r="I957" i="13"/>
  <c r="C529" i="13"/>
  <c r="C528" i="13" s="1"/>
  <c r="C527" i="13" s="1"/>
  <c r="C526" i="13" s="1"/>
  <c r="C525" i="13" s="1"/>
  <c r="C524" i="13" s="1"/>
  <c r="C574" i="13"/>
  <c r="C522" i="13"/>
  <c r="J966" i="13"/>
  <c r="O619" i="13"/>
  <c r="O573" i="13"/>
  <c r="L988" i="13"/>
  <c r="L1016" i="13"/>
  <c r="J967" i="13"/>
  <c r="P619" i="13"/>
  <c r="P573" i="13"/>
  <c r="AL1050" i="12"/>
  <c r="M1095" i="12"/>
  <c r="AL1015" i="12"/>
  <c r="K1011" i="12"/>
  <c r="K983" i="12"/>
  <c r="J1020" i="12"/>
  <c r="J992" i="12"/>
  <c r="H964" i="12"/>
  <c r="O523" i="12"/>
  <c r="O330" i="12"/>
  <c r="N1096" i="12"/>
  <c r="AM1051" i="12"/>
  <c r="AM1016" i="12"/>
  <c r="AW980" i="12"/>
  <c r="N1091" i="12"/>
  <c r="AM1046" i="12"/>
  <c r="AM1011" i="12"/>
  <c r="AW975" i="12"/>
  <c r="N1097" i="12"/>
  <c r="AM1052" i="12"/>
  <c r="AM1017" i="12"/>
  <c r="AW981" i="12"/>
  <c r="K957" i="12"/>
  <c r="K967" i="12" s="1"/>
  <c r="I684" i="12"/>
  <c r="F685" i="12"/>
  <c r="F618" i="12"/>
  <c r="J960" i="12"/>
  <c r="M618" i="12"/>
  <c r="J619" i="12"/>
  <c r="J573" i="12"/>
  <c r="M1098" i="12"/>
  <c r="AL1018" i="12"/>
  <c r="AL1053" i="12"/>
  <c r="E955" i="12"/>
  <c r="C331" i="12"/>
  <c r="C332" i="12"/>
  <c r="C140" i="12"/>
  <c r="L1101" i="12"/>
  <c r="AK1056" i="12"/>
  <c r="AK1021" i="12"/>
  <c r="I958" i="12"/>
  <c r="G529" i="12"/>
  <c r="G528" i="12" s="1"/>
  <c r="G527" i="12" s="1"/>
  <c r="G526" i="12" s="1"/>
  <c r="G525" i="12" s="1"/>
  <c r="G524" i="12" s="1"/>
  <c r="G574" i="12"/>
  <c r="G522" i="12"/>
  <c r="J965" i="12"/>
  <c r="P619" i="12"/>
  <c r="P573" i="12"/>
  <c r="K1092" i="12"/>
  <c r="AJ1047" i="12"/>
  <c r="AJ1012" i="12"/>
  <c r="J962" i="12"/>
  <c r="L619" i="12"/>
  <c r="L573" i="12"/>
  <c r="I993" i="12"/>
  <c r="I1021" i="12"/>
  <c r="N1099" i="12"/>
  <c r="AM1054" i="12"/>
  <c r="AM1019" i="12"/>
  <c r="AW983" i="12"/>
  <c r="I961" i="12"/>
  <c r="K529" i="12"/>
  <c r="K528" i="12" s="1"/>
  <c r="K527" i="12" s="1"/>
  <c r="K526" i="12" s="1"/>
  <c r="K525" i="12" s="1"/>
  <c r="K524" i="12" s="1"/>
  <c r="K574" i="12"/>
  <c r="K522" i="12"/>
  <c r="K991" i="12"/>
  <c r="K1019" i="12"/>
  <c r="L1014" i="12"/>
  <c r="L986" i="12"/>
  <c r="H1012" i="12"/>
  <c r="H984" i="12"/>
  <c r="N1093" i="12"/>
  <c r="AM1048" i="12"/>
  <c r="AM1013" i="12"/>
  <c r="AW977" i="12"/>
  <c r="J1015" i="12"/>
  <c r="J987" i="12"/>
  <c r="K989" i="12"/>
  <c r="K1017" i="12"/>
  <c r="J956" i="12"/>
  <c r="D619" i="12"/>
  <c r="D573" i="12"/>
  <c r="AN1059" i="12"/>
  <c r="K1022" i="12"/>
  <c r="K994" i="12"/>
  <c r="J959" i="12"/>
  <c r="H619" i="12"/>
  <c r="H573" i="12"/>
  <c r="J954" i="12"/>
  <c r="E618" i="12"/>
  <c r="B619" i="12"/>
  <c r="B573" i="12"/>
  <c r="I963" i="12"/>
  <c r="N529" i="12"/>
  <c r="N528" i="12" s="1"/>
  <c r="N527" i="12" s="1"/>
  <c r="N526" i="12" s="1"/>
  <c r="N525" i="12" s="1"/>
  <c r="N524" i="12" s="1"/>
  <c r="N574" i="12"/>
  <c r="Q573" i="12"/>
  <c r="N522" i="12"/>
  <c r="J1018" i="12"/>
  <c r="J990" i="12"/>
  <c r="Q618" i="12"/>
  <c r="K985" i="12"/>
  <c r="K1013" i="12"/>
  <c r="O1094" i="12"/>
  <c r="AN1049" i="12"/>
  <c r="AN1014" i="12"/>
  <c r="AN1024" i="12" s="1"/>
  <c r="K1016" i="12"/>
  <c r="K988" i="12"/>
  <c r="R684" i="12"/>
  <c r="N1102" i="12"/>
  <c r="AM1022" i="12"/>
  <c r="AM1057" i="12"/>
  <c r="AW986" i="12"/>
  <c r="AK1113" i="12"/>
  <c r="AK1111" i="12"/>
  <c r="AK1109" i="12"/>
  <c r="AK1114" i="12"/>
  <c r="AK1112" i="12"/>
  <c r="AK1107" i="12"/>
  <c r="AK1105" i="12"/>
  <c r="AK1103" i="12"/>
  <c r="AK1101" i="12"/>
  <c r="AK1110" i="12"/>
  <c r="AK1108" i="12"/>
  <c r="AK1098" i="12"/>
  <c r="AK1096" i="12"/>
  <c r="AK1094" i="12"/>
  <c r="AK1092" i="12"/>
  <c r="AK1104" i="12"/>
  <c r="AK1097" i="12"/>
  <c r="AK1106" i="12"/>
  <c r="AK1100" i="12"/>
  <c r="AK1099" i="12"/>
  <c r="AK1095" i="12"/>
  <c r="AK1093" i="12"/>
  <c r="AK1091" i="12"/>
  <c r="AK1102" i="12"/>
  <c r="M1100" i="12"/>
  <c r="AL1055" i="12"/>
  <c r="AL1020" i="12"/>
  <c r="I963" i="11"/>
  <c r="I991" i="11"/>
  <c r="K1070" i="11"/>
  <c r="AJ1025" i="11"/>
  <c r="AJ990" i="11"/>
  <c r="L1062" i="11"/>
  <c r="AK1017" i="11"/>
  <c r="AK982" i="11"/>
  <c r="K932" i="11"/>
  <c r="N655" i="11"/>
  <c r="Q654" i="11"/>
  <c r="N587" i="11"/>
  <c r="M1068" i="11"/>
  <c r="AL988" i="11"/>
  <c r="AL1023" i="11"/>
  <c r="K923" i="11"/>
  <c r="E654" i="11"/>
  <c r="R654" i="11" s="1"/>
  <c r="B655" i="11"/>
  <c r="B587" i="11"/>
  <c r="P1067" i="11"/>
  <c r="AO1022" i="11"/>
  <c r="AO987" i="11"/>
  <c r="L1071" i="11"/>
  <c r="AK1026" i="11"/>
  <c r="AK991" i="11"/>
  <c r="I931" i="11"/>
  <c r="L543" i="11"/>
  <c r="L499" i="11"/>
  <c r="L498" i="11" s="1"/>
  <c r="L497" i="11" s="1"/>
  <c r="L496" i="11" s="1"/>
  <c r="L495" i="11" s="1"/>
  <c r="L494" i="11" s="1"/>
  <c r="L492" i="11"/>
  <c r="L930" i="11"/>
  <c r="K665" i="11"/>
  <c r="K654" i="11"/>
  <c r="L958" i="11"/>
  <c r="L986" i="11"/>
  <c r="O1069" i="11"/>
  <c r="AN1024" i="11"/>
  <c r="AN989" i="11"/>
  <c r="R664" i="11"/>
  <c r="O1060" i="11"/>
  <c r="AN980" i="11"/>
  <c r="AN1015" i="11"/>
  <c r="L989" i="11"/>
  <c r="L961" i="11"/>
  <c r="L980" i="11"/>
  <c r="L936" i="11"/>
  <c r="L952" i="11"/>
  <c r="J988" i="11"/>
  <c r="J960" i="11"/>
  <c r="M987" i="11"/>
  <c r="M959" i="11"/>
  <c r="AN1083" i="11"/>
  <c r="AN1081" i="11"/>
  <c r="AN1076" i="11"/>
  <c r="AN1074" i="11"/>
  <c r="AN1072" i="11"/>
  <c r="AN1070" i="11"/>
  <c r="AN1079" i="11"/>
  <c r="AN1077" i="11"/>
  <c r="AN1082" i="11"/>
  <c r="AN1075" i="11"/>
  <c r="AN1073" i="11"/>
  <c r="AN1071" i="11"/>
  <c r="AN1080" i="11"/>
  <c r="AN1078" i="11"/>
  <c r="AN1064" i="11"/>
  <c r="AN1062" i="11"/>
  <c r="AN1060" i="11"/>
  <c r="AN1084" i="11" s="1"/>
  <c r="AN1067" i="11"/>
  <c r="AN1065" i="11"/>
  <c r="AN1069" i="11"/>
  <c r="AN1063" i="11"/>
  <c r="AN1061" i="11"/>
  <c r="AN1066" i="11"/>
  <c r="AN1068" i="11"/>
  <c r="AO993" i="11"/>
  <c r="H925" i="11"/>
  <c r="D493" i="11"/>
  <c r="D318" i="11"/>
  <c r="M1063" i="11"/>
  <c r="AL983" i="11"/>
  <c r="AL1018" i="11"/>
  <c r="J924" i="11"/>
  <c r="C588" i="11"/>
  <c r="C542" i="11"/>
  <c r="I926" i="11"/>
  <c r="F499" i="11"/>
  <c r="F498" i="11" s="1"/>
  <c r="F497" i="11" s="1"/>
  <c r="F496" i="11" s="1"/>
  <c r="F495" i="11" s="1"/>
  <c r="F494" i="11" s="1"/>
  <c r="F543" i="11"/>
  <c r="F492" i="11"/>
  <c r="H934" i="11"/>
  <c r="P493" i="11"/>
  <c r="P318" i="11"/>
  <c r="I927" i="11"/>
  <c r="G499" i="11"/>
  <c r="G498" i="11" s="1"/>
  <c r="G497" i="11" s="1"/>
  <c r="G496" i="11" s="1"/>
  <c r="G495" i="11" s="1"/>
  <c r="G494" i="11" s="1"/>
  <c r="G543" i="11"/>
  <c r="G492" i="11"/>
  <c r="N1061" i="11"/>
  <c r="AM1016" i="11"/>
  <c r="AM981" i="11"/>
  <c r="AW945" i="11"/>
  <c r="N1065" i="11"/>
  <c r="AM985" i="11"/>
  <c r="AM1020" i="11"/>
  <c r="AW949" i="11"/>
  <c r="E933" i="11"/>
  <c r="O320" i="11"/>
  <c r="O319" i="11"/>
  <c r="O133" i="11"/>
  <c r="J928" i="11"/>
  <c r="H588" i="11"/>
  <c r="H542" i="11"/>
  <c r="M1064" i="11"/>
  <c r="AL984" i="11"/>
  <c r="AL1019" i="11"/>
  <c r="I587" i="11"/>
  <c r="K981" i="11"/>
  <c r="K953" i="11"/>
  <c r="J984" i="11"/>
  <c r="J956" i="11"/>
  <c r="K929" i="11"/>
  <c r="J655" i="11"/>
  <c r="M654" i="11"/>
  <c r="J587" i="11"/>
  <c r="AO1028" i="11"/>
  <c r="I982" i="11"/>
  <c r="I954" i="11"/>
  <c r="H990" i="11"/>
  <c r="H962" i="11"/>
  <c r="K985" i="11"/>
  <c r="K957" i="11"/>
  <c r="O1066" i="11"/>
  <c r="AN1021" i="11"/>
  <c r="AN986" i="11"/>
  <c r="J955" i="11"/>
  <c r="J983" i="11"/>
  <c r="AM972" i="10"/>
  <c r="AW936" i="10"/>
  <c r="N1052" i="10"/>
  <c r="AM1007" i="10"/>
  <c r="O1054" i="10"/>
  <c r="AN1009" i="10"/>
  <c r="AN974" i="10"/>
  <c r="L920" i="10"/>
  <c r="N655" i="10"/>
  <c r="Q654" i="10"/>
  <c r="N644" i="10"/>
  <c r="M1053" i="10"/>
  <c r="AL1008" i="10"/>
  <c r="AL973" i="10"/>
  <c r="I916" i="10"/>
  <c r="H536" i="10"/>
  <c r="H492" i="10"/>
  <c r="H491" i="10" s="1"/>
  <c r="H490" i="10" s="1"/>
  <c r="H489" i="10" s="1"/>
  <c r="H488" i="10" s="1"/>
  <c r="H487" i="10" s="1"/>
  <c r="H485" i="10"/>
  <c r="M1048" i="10"/>
  <c r="AL968" i="10"/>
  <c r="AL1003" i="10"/>
  <c r="M977" i="10"/>
  <c r="M949" i="10"/>
  <c r="K978" i="10"/>
  <c r="K950" i="10"/>
  <c r="M924" i="10"/>
  <c r="J919" i="10"/>
  <c r="L581" i="10"/>
  <c r="L535" i="10"/>
  <c r="AL1068" i="10"/>
  <c r="AL1066" i="10"/>
  <c r="AL1071" i="10"/>
  <c r="AL1069" i="10"/>
  <c r="AL1064" i="10"/>
  <c r="AL1062" i="10"/>
  <c r="AL1060" i="10"/>
  <c r="AL1058" i="10"/>
  <c r="AL1065" i="10"/>
  <c r="AL1070" i="10"/>
  <c r="AL1063" i="10"/>
  <c r="AL1061" i="10"/>
  <c r="AL1059" i="10"/>
  <c r="AL1057" i="10"/>
  <c r="AL1054" i="10"/>
  <c r="AL1052" i="10"/>
  <c r="AL1050" i="10"/>
  <c r="AL1048" i="10"/>
  <c r="AL1055" i="10"/>
  <c r="AL1067" i="10"/>
  <c r="AL1051" i="10"/>
  <c r="AL1049" i="10"/>
  <c r="AL1053" i="10"/>
  <c r="AL1056" i="10"/>
  <c r="O1051" i="10"/>
  <c r="AN1006" i="10"/>
  <c r="AN971" i="10"/>
  <c r="J973" i="10"/>
  <c r="J945" i="10"/>
  <c r="F645" i="10"/>
  <c r="I644" i="10"/>
  <c r="K914" i="10"/>
  <c r="F580" i="10"/>
  <c r="J940" i="10"/>
  <c r="J968" i="10"/>
  <c r="L974" i="10"/>
  <c r="L946" i="10"/>
  <c r="J913" i="10"/>
  <c r="D581" i="10"/>
  <c r="D535" i="10"/>
  <c r="I922" i="10"/>
  <c r="P536" i="10"/>
  <c r="P492" i="10"/>
  <c r="P491" i="10" s="1"/>
  <c r="P490" i="10" s="1"/>
  <c r="P489" i="10" s="1"/>
  <c r="P488" i="10" s="1"/>
  <c r="P487" i="10" s="1"/>
  <c r="P485" i="10"/>
  <c r="L1055" i="10"/>
  <c r="AK1010" i="10"/>
  <c r="AK975" i="10"/>
  <c r="I947" i="10"/>
  <c r="I975" i="10"/>
  <c r="AO981" i="10"/>
  <c r="R654" i="10"/>
  <c r="AK1004" i="10"/>
  <c r="AK969" i="10"/>
  <c r="L1049" i="10"/>
  <c r="K976" i="10"/>
  <c r="K948" i="10"/>
  <c r="P1057" i="10"/>
  <c r="AO1012" i="10"/>
  <c r="AO1016" i="10" s="1"/>
  <c r="AO977" i="10"/>
  <c r="N981" i="10"/>
  <c r="I911" i="10"/>
  <c r="B492" i="10"/>
  <c r="B491" i="10" s="1"/>
  <c r="B490" i="10" s="1"/>
  <c r="B489" i="10" s="1"/>
  <c r="B488" i="10" s="1"/>
  <c r="B487" i="10" s="1"/>
  <c r="B536" i="10"/>
  <c r="B485" i="10"/>
  <c r="K917" i="10"/>
  <c r="M644" i="10"/>
  <c r="J645" i="10"/>
  <c r="J580" i="10"/>
  <c r="M1059" i="10"/>
  <c r="AL979" i="10"/>
  <c r="AL1014" i="10"/>
  <c r="N1058" i="10"/>
  <c r="AM978" i="10"/>
  <c r="AM1013" i="10"/>
  <c r="AW942" i="10"/>
  <c r="J921" i="10"/>
  <c r="O581" i="10"/>
  <c r="O535" i="10"/>
  <c r="K972" i="10"/>
  <c r="K944" i="10"/>
  <c r="N1056" i="10"/>
  <c r="AM976" i="10"/>
  <c r="AM1011" i="10"/>
  <c r="AW940" i="10"/>
  <c r="I969" i="10"/>
  <c r="I941" i="10"/>
  <c r="H918" i="10"/>
  <c r="K486" i="10"/>
  <c r="K315" i="10"/>
  <c r="K970" i="10"/>
  <c r="K942" i="10"/>
  <c r="AM1005" i="10"/>
  <c r="N1050" i="10"/>
  <c r="AM970" i="10"/>
  <c r="AW934" i="10"/>
  <c r="J979" i="10"/>
  <c r="J951" i="10"/>
  <c r="H912" i="10"/>
  <c r="C486" i="10"/>
  <c r="C315" i="10"/>
  <c r="J915" i="10"/>
  <c r="G581" i="10"/>
  <c r="G535" i="10"/>
  <c r="M981" i="10"/>
  <c r="E580" i="10"/>
  <c r="L943" i="10"/>
  <c r="L971" i="10"/>
  <c r="K949" i="9"/>
  <c r="K921" i="9"/>
  <c r="J886" i="9"/>
  <c r="C564" i="9"/>
  <c r="C519" i="9"/>
  <c r="K888" i="9"/>
  <c r="F622" i="9"/>
  <c r="I621" i="9"/>
  <c r="F563" i="9"/>
  <c r="K942" i="9"/>
  <c r="K914" i="9"/>
  <c r="H893" i="9"/>
  <c r="L472" i="9"/>
  <c r="L309" i="9"/>
  <c r="K943" i="9"/>
  <c r="K915" i="9"/>
  <c r="N1032" i="9"/>
  <c r="AM987" i="9"/>
  <c r="AM952" i="9"/>
  <c r="AW916" i="9"/>
  <c r="AN980" i="9"/>
  <c r="O1025" i="9"/>
  <c r="AN945" i="9"/>
  <c r="AN1045" i="9"/>
  <c r="AN1043" i="9"/>
  <c r="AN1038" i="9"/>
  <c r="AN1036" i="9"/>
  <c r="AN1034" i="9"/>
  <c r="AN1032" i="9"/>
  <c r="AN1041" i="9"/>
  <c r="AN1039" i="9"/>
  <c r="AN1037" i="9"/>
  <c r="AN1044" i="9"/>
  <c r="AN1027" i="9"/>
  <c r="AN1035" i="9"/>
  <c r="AN1025" i="9"/>
  <c r="AN1023" i="9"/>
  <c r="AN1031" i="9"/>
  <c r="AN1033" i="9"/>
  <c r="AN1030" i="9"/>
  <c r="AN1028" i="9"/>
  <c r="AN1042" i="9"/>
  <c r="AN1026" i="9"/>
  <c r="AN1024" i="9"/>
  <c r="AN1022" i="9"/>
  <c r="AN1040" i="9"/>
  <c r="AN1029" i="9"/>
  <c r="N1022" i="9"/>
  <c r="AM977" i="9"/>
  <c r="AM942" i="9"/>
  <c r="AW906" i="9"/>
  <c r="J889" i="9"/>
  <c r="G564" i="9"/>
  <c r="G519" i="9"/>
  <c r="E887" i="9"/>
  <c r="D311" i="9"/>
  <c r="D310" i="9"/>
  <c r="D131" i="9"/>
  <c r="L945" i="9"/>
  <c r="L917" i="9"/>
  <c r="I896" i="9"/>
  <c r="P520" i="9"/>
  <c r="P478" i="9"/>
  <c r="P477" i="9" s="1"/>
  <c r="P476" i="9" s="1"/>
  <c r="P475" i="9" s="1"/>
  <c r="P474" i="9" s="1"/>
  <c r="P473" i="9" s="1"/>
  <c r="P471" i="9"/>
  <c r="N1029" i="9"/>
  <c r="AM984" i="9"/>
  <c r="AM949" i="9"/>
  <c r="AW913" i="9"/>
  <c r="N622" i="9"/>
  <c r="K894" i="9"/>
  <c r="Q621" i="9"/>
  <c r="R621" i="9" s="1"/>
  <c r="N563" i="9"/>
  <c r="AM978" i="9"/>
  <c r="AM943" i="9"/>
  <c r="N1023" i="9"/>
  <c r="AW907" i="9"/>
  <c r="K1024" i="9"/>
  <c r="AJ979" i="9"/>
  <c r="AJ944" i="9"/>
  <c r="N1026" i="9"/>
  <c r="AM981" i="9"/>
  <c r="AM946" i="9"/>
  <c r="AW910" i="9"/>
  <c r="I950" i="9"/>
  <c r="I922" i="9"/>
  <c r="J564" i="9"/>
  <c r="J891" i="9"/>
  <c r="M563" i="9"/>
  <c r="J519" i="9"/>
  <c r="I890" i="9"/>
  <c r="H520" i="9"/>
  <c r="H478" i="9"/>
  <c r="H477" i="9" s="1"/>
  <c r="H476" i="9" s="1"/>
  <c r="H475" i="9" s="1"/>
  <c r="H474" i="9" s="1"/>
  <c r="H473" i="9" s="1"/>
  <c r="H471" i="9"/>
  <c r="L1030" i="9"/>
  <c r="AK985" i="9"/>
  <c r="AK950" i="9"/>
  <c r="J895" i="9"/>
  <c r="O564" i="9"/>
  <c r="O519" i="9"/>
  <c r="K946" i="9"/>
  <c r="K918" i="9"/>
  <c r="H944" i="9"/>
  <c r="H916" i="9"/>
  <c r="J953" i="9"/>
  <c r="J925" i="9"/>
  <c r="J885" i="9"/>
  <c r="B564" i="9"/>
  <c r="E563" i="9"/>
  <c r="B519" i="9"/>
  <c r="J892" i="9"/>
  <c r="K564" i="9"/>
  <c r="K519" i="9"/>
  <c r="M1033" i="9"/>
  <c r="AL988" i="9"/>
  <c r="AL953" i="9"/>
  <c r="M1027" i="9"/>
  <c r="AL982" i="9"/>
  <c r="AL947" i="9"/>
  <c r="J947" i="9"/>
  <c r="J919" i="9"/>
  <c r="L923" i="9"/>
  <c r="L951" i="9"/>
  <c r="K952" i="9"/>
  <c r="K924" i="9"/>
  <c r="N1028" i="9"/>
  <c r="AM983" i="9"/>
  <c r="AM948" i="9"/>
  <c r="AW912" i="9"/>
  <c r="O1031" i="9"/>
  <c r="AN986" i="9"/>
  <c r="AN990" i="9" s="1"/>
  <c r="AN951" i="9"/>
  <c r="K948" i="9"/>
  <c r="K920" i="9"/>
  <c r="AN955" i="9"/>
  <c r="AK1115" i="12" l="1"/>
  <c r="AL1072" i="10"/>
  <c r="AN1046" i="9"/>
  <c r="AL1012" i="14"/>
  <c r="M995" i="14"/>
  <c r="AL950" i="14"/>
  <c r="AL915" i="14"/>
  <c r="N994" i="14"/>
  <c r="AM949" i="14"/>
  <c r="AW878" i="14"/>
  <c r="AM914" i="14"/>
  <c r="J891" i="14"/>
  <c r="J919" i="14"/>
  <c r="K990" i="14"/>
  <c r="AJ910" i="14"/>
  <c r="AJ945" i="14"/>
  <c r="J851" i="14"/>
  <c r="B535" i="14"/>
  <c r="E534" i="14"/>
  <c r="B490" i="14"/>
  <c r="M993" i="14"/>
  <c r="AL948" i="14"/>
  <c r="AL913" i="14"/>
  <c r="N991" i="14"/>
  <c r="AM911" i="14"/>
  <c r="AM946" i="14"/>
  <c r="AW875" i="14"/>
  <c r="K886" i="14"/>
  <c r="K914" i="14"/>
  <c r="H860" i="14"/>
  <c r="N444" i="14"/>
  <c r="N293" i="14"/>
  <c r="K911" i="14"/>
  <c r="K883" i="14"/>
  <c r="AL954" i="14"/>
  <c r="AL919" i="14"/>
  <c r="M999" i="14"/>
  <c r="J913" i="14"/>
  <c r="J885" i="14"/>
  <c r="J915" i="14"/>
  <c r="J887" i="14"/>
  <c r="E859" i="14"/>
  <c r="L295" i="14"/>
  <c r="L294" i="14"/>
  <c r="L130" i="14"/>
  <c r="K908" i="14"/>
  <c r="K880" i="14"/>
  <c r="K864" i="14"/>
  <c r="H910" i="14"/>
  <c r="H882" i="14"/>
  <c r="I856" i="14"/>
  <c r="H491" i="14"/>
  <c r="H450" i="14"/>
  <c r="H449" i="14" s="1"/>
  <c r="H448" i="14" s="1"/>
  <c r="H447" i="14" s="1"/>
  <c r="H446" i="14" s="1"/>
  <c r="H445" i="14" s="1"/>
  <c r="H443" i="14"/>
  <c r="H861" i="14"/>
  <c r="O444" i="14"/>
  <c r="O293" i="14"/>
  <c r="I858" i="14"/>
  <c r="K491" i="14"/>
  <c r="K450" i="14"/>
  <c r="K449" i="14" s="1"/>
  <c r="K448" i="14" s="1"/>
  <c r="K447" i="14" s="1"/>
  <c r="K446" i="14" s="1"/>
  <c r="K445" i="14" s="1"/>
  <c r="K443" i="14"/>
  <c r="R589" i="14"/>
  <c r="I852" i="14"/>
  <c r="C450" i="14"/>
  <c r="C449" i="14" s="1"/>
  <c r="C448" i="14" s="1"/>
  <c r="C447" i="14" s="1"/>
  <c r="C446" i="14" s="1"/>
  <c r="C445" i="14" s="1"/>
  <c r="C491" i="14"/>
  <c r="C443" i="14"/>
  <c r="I890" i="14"/>
  <c r="I918" i="14"/>
  <c r="L992" i="14"/>
  <c r="AK912" i="14"/>
  <c r="AK947" i="14"/>
  <c r="H855" i="14"/>
  <c r="G444" i="14"/>
  <c r="G293" i="14"/>
  <c r="L998" i="14"/>
  <c r="AK953" i="14"/>
  <c r="AK918" i="14"/>
  <c r="K996" i="14"/>
  <c r="AJ951" i="14"/>
  <c r="AJ916" i="14"/>
  <c r="H888" i="14"/>
  <c r="H916" i="14"/>
  <c r="AN921" i="14"/>
  <c r="J909" i="14"/>
  <c r="J881" i="14"/>
  <c r="M989" i="14"/>
  <c r="AL909" i="14"/>
  <c r="AL944" i="14"/>
  <c r="I862" i="14"/>
  <c r="P491" i="14"/>
  <c r="P450" i="14"/>
  <c r="P449" i="14" s="1"/>
  <c r="P448" i="14" s="1"/>
  <c r="P447" i="14" s="1"/>
  <c r="P446" i="14" s="1"/>
  <c r="P445" i="14" s="1"/>
  <c r="P443" i="14"/>
  <c r="Q443" i="14" s="1"/>
  <c r="L997" i="14"/>
  <c r="AK952" i="14"/>
  <c r="AK917" i="14"/>
  <c r="N988" i="14"/>
  <c r="L921" i="14"/>
  <c r="AM908" i="14"/>
  <c r="AM921" i="14" s="1"/>
  <c r="AM943" i="14"/>
  <c r="AM956" i="14" s="1"/>
  <c r="AW872" i="14"/>
  <c r="AW885" i="14" s="1"/>
  <c r="I889" i="14"/>
  <c r="I917" i="14"/>
  <c r="AN956" i="14"/>
  <c r="E853" i="14"/>
  <c r="D295" i="14"/>
  <c r="D294" i="14"/>
  <c r="D130" i="14"/>
  <c r="J857" i="14"/>
  <c r="J535" i="14"/>
  <c r="M534" i="14"/>
  <c r="J490" i="14"/>
  <c r="AK1008" i="14"/>
  <c r="AK1006" i="14"/>
  <c r="AK1011" i="14"/>
  <c r="AK1009" i="14"/>
  <c r="AK1004" i="14"/>
  <c r="AK1002" i="14"/>
  <c r="AK1000" i="14"/>
  <c r="AK995" i="14"/>
  <c r="AK1007" i="14"/>
  <c r="AK1005" i="14"/>
  <c r="AK997" i="14"/>
  <c r="AK993" i="14"/>
  <c r="AK998" i="14"/>
  <c r="AK1010" i="14"/>
  <c r="AK1001" i="14"/>
  <c r="AK989" i="14"/>
  <c r="AK990" i="14"/>
  <c r="AK999" i="14"/>
  <c r="AK991" i="14"/>
  <c r="AK996" i="14"/>
  <c r="AK992" i="14"/>
  <c r="AK994" i="14"/>
  <c r="AK1003" i="14"/>
  <c r="AK988" i="14"/>
  <c r="J854" i="14"/>
  <c r="I534" i="14"/>
  <c r="F535" i="14"/>
  <c r="F490" i="14"/>
  <c r="I912" i="14"/>
  <c r="I884" i="14"/>
  <c r="J960" i="13"/>
  <c r="G619" i="13"/>
  <c r="G573" i="13"/>
  <c r="J992" i="13"/>
  <c r="J1020" i="13"/>
  <c r="J993" i="13"/>
  <c r="J1021" i="13"/>
  <c r="I966" i="13"/>
  <c r="O574" i="13"/>
  <c r="O529" i="13"/>
  <c r="O528" i="13" s="1"/>
  <c r="O527" i="13" s="1"/>
  <c r="O526" i="13" s="1"/>
  <c r="O525" i="13" s="1"/>
  <c r="O524" i="13" s="1"/>
  <c r="O522" i="13"/>
  <c r="K1016" i="13"/>
  <c r="K988" i="13"/>
  <c r="H965" i="13"/>
  <c r="N523" i="13"/>
  <c r="N327" i="13"/>
  <c r="J962" i="13"/>
  <c r="M618" i="13"/>
  <c r="J619" i="13"/>
  <c r="J573" i="13"/>
  <c r="K1017" i="13"/>
  <c r="K989" i="13"/>
  <c r="J956" i="13"/>
  <c r="E618" i="13"/>
  <c r="R618" i="13" s="1"/>
  <c r="B619" i="13"/>
  <c r="B573" i="13"/>
  <c r="J995" i="13"/>
  <c r="J1023" i="13"/>
  <c r="R684" i="13"/>
  <c r="I967" i="13"/>
  <c r="P529" i="13"/>
  <c r="P528" i="13" s="1"/>
  <c r="P527" i="13" s="1"/>
  <c r="P526" i="13" s="1"/>
  <c r="P525" i="13" s="1"/>
  <c r="P524" i="13" s="1"/>
  <c r="P574" i="13"/>
  <c r="P522" i="13"/>
  <c r="Q522" i="13" s="1"/>
  <c r="H957" i="13"/>
  <c r="C523" i="13"/>
  <c r="C327" i="13"/>
  <c r="I958" i="13"/>
  <c r="D574" i="13"/>
  <c r="D529" i="13"/>
  <c r="D528" i="13" s="1"/>
  <c r="D527" i="13" s="1"/>
  <c r="D526" i="13" s="1"/>
  <c r="D525" i="13" s="1"/>
  <c r="D524" i="13" s="1"/>
  <c r="D522" i="13"/>
  <c r="Q573" i="13"/>
  <c r="K1019" i="13"/>
  <c r="K991" i="13"/>
  <c r="L1026" i="13"/>
  <c r="I994" i="13"/>
  <c r="I1022" i="13"/>
  <c r="I961" i="13"/>
  <c r="H574" i="13"/>
  <c r="H529" i="13"/>
  <c r="H528" i="13" s="1"/>
  <c r="H527" i="13" s="1"/>
  <c r="H526" i="13" s="1"/>
  <c r="H525" i="13" s="1"/>
  <c r="H524" i="13" s="1"/>
  <c r="H522" i="13"/>
  <c r="K1013" i="13"/>
  <c r="K969" i="13"/>
  <c r="K985" i="13"/>
  <c r="J996" i="13"/>
  <c r="J1024" i="13"/>
  <c r="J959" i="13"/>
  <c r="F619" i="13"/>
  <c r="I618" i="13"/>
  <c r="F573" i="13"/>
  <c r="J987" i="13"/>
  <c r="J1015" i="13"/>
  <c r="I963" i="13"/>
  <c r="K574" i="13"/>
  <c r="K529" i="13"/>
  <c r="K528" i="13" s="1"/>
  <c r="K527" i="13" s="1"/>
  <c r="K526" i="13" s="1"/>
  <c r="K525" i="13" s="1"/>
  <c r="K524" i="13" s="1"/>
  <c r="K522" i="13"/>
  <c r="I964" i="13"/>
  <c r="L574" i="13"/>
  <c r="L529" i="13"/>
  <c r="L528" i="13" s="1"/>
  <c r="L527" i="13" s="1"/>
  <c r="L526" i="13" s="1"/>
  <c r="L525" i="13" s="1"/>
  <c r="L524" i="13" s="1"/>
  <c r="L522" i="13"/>
  <c r="I1014" i="13"/>
  <c r="I986" i="13"/>
  <c r="J990" i="13"/>
  <c r="J1018" i="13"/>
  <c r="M1097" i="12"/>
  <c r="AL1052" i="12"/>
  <c r="AL1017" i="12"/>
  <c r="I962" i="12"/>
  <c r="L529" i="12"/>
  <c r="L528" i="12" s="1"/>
  <c r="L527" i="12" s="1"/>
  <c r="L526" i="12" s="1"/>
  <c r="L525" i="12" s="1"/>
  <c r="L524" i="12" s="1"/>
  <c r="L574" i="12"/>
  <c r="L522" i="12"/>
  <c r="J994" i="12"/>
  <c r="J1022" i="12"/>
  <c r="I960" i="12"/>
  <c r="M573" i="12"/>
  <c r="J529" i="12"/>
  <c r="J528" i="12" s="1"/>
  <c r="J527" i="12" s="1"/>
  <c r="J526" i="12" s="1"/>
  <c r="J525" i="12" s="1"/>
  <c r="J524" i="12" s="1"/>
  <c r="J574" i="12"/>
  <c r="J522" i="12"/>
  <c r="AL1048" i="12"/>
  <c r="M1093" i="12"/>
  <c r="AL1013" i="12"/>
  <c r="J1016" i="12"/>
  <c r="J988" i="12"/>
  <c r="J1092" i="12"/>
  <c r="AI1047" i="12"/>
  <c r="AI1012" i="12"/>
  <c r="AI946" i="12"/>
  <c r="I1018" i="12"/>
  <c r="I990" i="12"/>
  <c r="D955" i="12"/>
  <c r="C141" i="12"/>
  <c r="C64" i="12"/>
  <c r="L1100" i="12"/>
  <c r="AK1055" i="12"/>
  <c r="AK1020" i="12"/>
  <c r="I992" i="12"/>
  <c r="I1020" i="12"/>
  <c r="J1019" i="12"/>
  <c r="J991" i="12"/>
  <c r="H958" i="12"/>
  <c r="G523" i="12"/>
  <c r="G330" i="12"/>
  <c r="I954" i="12"/>
  <c r="E573" i="12"/>
  <c r="B529" i="12"/>
  <c r="B528" i="12" s="1"/>
  <c r="B527" i="12" s="1"/>
  <c r="B526" i="12" s="1"/>
  <c r="B525" i="12" s="1"/>
  <c r="B524" i="12" s="1"/>
  <c r="B574" i="12"/>
  <c r="B522" i="12"/>
  <c r="M1102" i="12"/>
  <c r="AL1022" i="12"/>
  <c r="AL1057" i="12"/>
  <c r="L1095" i="12"/>
  <c r="AK1050" i="12"/>
  <c r="AK1015" i="12"/>
  <c r="N1094" i="12"/>
  <c r="AM1049" i="12"/>
  <c r="AM1014" i="12"/>
  <c r="AW978" i="12"/>
  <c r="AW988" i="12" s="1"/>
  <c r="J1017" i="12"/>
  <c r="J989" i="12"/>
  <c r="M1099" i="12"/>
  <c r="AL1054" i="12"/>
  <c r="AL1019" i="12"/>
  <c r="AR981" i="12"/>
  <c r="E1012" i="12"/>
  <c r="E984" i="12"/>
  <c r="J957" i="12"/>
  <c r="I618" i="12"/>
  <c r="F619" i="12"/>
  <c r="F573" i="12"/>
  <c r="AL1046" i="12"/>
  <c r="M1091" i="12"/>
  <c r="AL1011" i="12"/>
  <c r="M1096" i="12"/>
  <c r="AL1016" i="12"/>
  <c r="AL1051" i="12"/>
  <c r="L1098" i="12"/>
  <c r="AK1053" i="12"/>
  <c r="AK1018" i="12"/>
  <c r="R618" i="12"/>
  <c r="I956" i="12"/>
  <c r="D574" i="12"/>
  <c r="D529" i="12"/>
  <c r="D528" i="12" s="1"/>
  <c r="D527" i="12" s="1"/>
  <c r="D526" i="12" s="1"/>
  <c r="D525" i="12" s="1"/>
  <c r="D524" i="12" s="1"/>
  <c r="D522" i="12"/>
  <c r="AJ1113" i="12"/>
  <c r="AJ1106" i="12"/>
  <c r="AJ1104" i="12"/>
  <c r="AJ1102" i="12"/>
  <c r="AJ1100" i="12"/>
  <c r="AJ1111" i="12"/>
  <c r="AJ1109" i="12"/>
  <c r="AJ1114" i="12"/>
  <c r="AJ1112" i="12"/>
  <c r="AJ1107" i="12"/>
  <c r="AJ1105" i="12"/>
  <c r="AJ1103" i="12"/>
  <c r="AJ1101" i="12"/>
  <c r="AJ1110" i="12"/>
  <c r="AJ1095" i="12"/>
  <c r="AJ1093" i="12"/>
  <c r="AJ1091" i="12"/>
  <c r="AJ1098" i="12"/>
  <c r="AJ1096" i="12"/>
  <c r="AJ1097" i="12"/>
  <c r="AJ1108" i="12"/>
  <c r="AJ1099" i="12"/>
  <c r="AJ1094" i="12"/>
  <c r="AJ1092" i="12"/>
  <c r="I1015" i="12"/>
  <c r="I987" i="12"/>
  <c r="AM1024" i="12"/>
  <c r="E964" i="12"/>
  <c r="O332" i="12"/>
  <c r="O331" i="12"/>
  <c r="O140" i="12"/>
  <c r="H963" i="12"/>
  <c r="N523" i="12"/>
  <c r="N330" i="12"/>
  <c r="J1011" i="12"/>
  <c r="J967" i="12"/>
  <c r="J983" i="12"/>
  <c r="H961" i="12"/>
  <c r="K523" i="12"/>
  <c r="K330" i="12"/>
  <c r="K1101" i="12"/>
  <c r="AJ1056" i="12"/>
  <c r="AJ1021" i="12"/>
  <c r="I965" i="12"/>
  <c r="P529" i="12"/>
  <c r="P528" i="12" s="1"/>
  <c r="P527" i="12" s="1"/>
  <c r="P526" i="12" s="1"/>
  <c r="P525" i="12" s="1"/>
  <c r="P524" i="12" s="1"/>
  <c r="P574" i="12"/>
  <c r="P522" i="12"/>
  <c r="Q522" i="12" s="1"/>
  <c r="AM1059" i="12"/>
  <c r="I959" i="12"/>
  <c r="H529" i="12"/>
  <c r="H528" i="12" s="1"/>
  <c r="H527" i="12" s="1"/>
  <c r="H526" i="12" s="1"/>
  <c r="H525" i="12" s="1"/>
  <c r="H524" i="12" s="1"/>
  <c r="H574" i="12"/>
  <c r="H522" i="12"/>
  <c r="J1013" i="12"/>
  <c r="J985" i="12"/>
  <c r="K1014" i="12"/>
  <c r="K1024" i="12" s="1"/>
  <c r="K986" i="12"/>
  <c r="L1024" i="12"/>
  <c r="H1021" i="12"/>
  <c r="H993" i="12"/>
  <c r="AK983" i="11"/>
  <c r="L1063" i="11"/>
  <c r="AK1018" i="11"/>
  <c r="J1070" i="11"/>
  <c r="Z1070" i="11" s="1"/>
  <c r="AI1025" i="11"/>
  <c r="AI990" i="11"/>
  <c r="AI924" i="11"/>
  <c r="I928" i="11"/>
  <c r="H499" i="11"/>
  <c r="H498" i="11" s="1"/>
  <c r="H497" i="11" s="1"/>
  <c r="H496" i="11" s="1"/>
  <c r="H495" i="11" s="1"/>
  <c r="H494" i="11" s="1"/>
  <c r="H543" i="11"/>
  <c r="H492" i="11"/>
  <c r="I542" i="11"/>
  <c r="L1068" i="11"/>
  <c r="AK988" i="11"/>
  <c r="AK1023" i="11"/>
  <c r="K930" i="11"/>
  <c r="K936" i="11" s="1"/>
  <c r="K655" i="11"/>
  <c r="K587" i="11"/>
  <c r="K980" i="11"/>
  <c r="K952" i="11"/>
  <c r="E925" i="11"/>
  <c r="D320" i="11"/>
  <c r="D319" i="11"/>
  <c r="D133" i="11"/>
  <c r="L1064" i="11"/>
  <c r="AK1019" i="11"/>
  <c r="AK984" i="11"/>
  <c r="K1062" i="11"/>
  <c r="AJ982" i="11"/>
  <c r="AJ1017" i="11"/>
  <c r="J985" i="11"/>
  <c r="J957" i="11"/>
  <c r="I984" i="11"/>
  <c r="I956" i="11"/>
  <c r="I955" i="11"/>
  <c r="I983" i="11"/>
  <c r="L987" i="11"/>
  <c r="L959" i="11"/>
  <c r="M1061" i="11"/>
  <c r="AL1016" i="11"/>
  <c r="AL981" i="11"/>
  <c r="D933" i="11"/>
  <c r="O134" i="11"/>
  <c r="O64" i="11"/>
  <c r="E934" i="11"/>
  <c r="P320" i="11"/>
  <c r="P319" i="11"/>
  <c r="P133" i="11"/>
  <c r="I924" i="11"/>
  <c r="C543" i="11"/>
  <c r="C499" i="11"/>
  <c r="C498" i="11" s="1"/>
  <c r="C497" i="11" s="1"/>
  <c r="C496" i="11" s="1"/>
  <c r="C495" i="11" s="1"/>
  <c r="C494" i="11" s="1"/>
  <c r="C492" i="11"/>
  <c r="H982" i="11"/>
  <c r="H954" i="11"/>
  <c r="N1060" i="11"/>
  <c r="AM980" i="11"/>
  <c r="AW944" i="11"/>
  <c r="AM1015" i="11"/>
  <c r="H931" i="11"/>
  <c r="L493" i="11"/>
  <c r="L318" i="11"/>
  <c r="J929" i="11"/>
  <c r="M587" i="11"/>
  <c r="J588" i="11"/>
  <c r="J542" i="11"/>
  <c r="J932" i="11"/>
  <c r="N588" i="11"/>
  <c r="Q587" i="11"/>
  <c r="N542" i="11"/>
  <c r="H991" i="11"/>
  <c r="H963" i="11"/>
  <c r="J981" i="11"/>
  <c r="J953" i="11"/>
  <c r="N1069" i="11"/>
  <c r="AM989" i="11"/>
  <c r="AM1024" i="11"/>
  <c r="AW953" i="11"/>
  <c r="J923" i="11"/>
  <c r="E587" i="11"/>
  <c r="B588" i="11"/>
  <c r="B542" i="11"/>
  <c r="M1065" i="11"/>
  <c r="AL1020" i="11"/>
  <c r="AL985" i="11"/>
  <c r="E990" i="11"/>
  <c r="AR959" i="11"/>
  <c r="E962" i="11"/>
  <c r="AM1083" i="11"/>
  <c r="AM1081" i="11"/>
  <c r="AM1076" i="11"/>
  <c r="AM1074" i="11"/>
  <c r="AM1072" i="11"/>
  <c r="AM1070" i="11"/>
  <c r="AM1068" i="11"/>
  <c r="AM1079" i="11"/>
  <c r="AM1077" i="11"/>
  <c r="AM1082" i="11"/>
  <c r="AM1075" i="11"/>
  <c r="AM1073" i="11"/>
  <c r="AM1071" i="11"/>
  <c r="AM1069" i="11"/>
  <c r="AM1080" i="11"/>
  <c r="AM1064" i="11"/>
  <c r="AM1062" i="11"/>
  <c r="AM1060" i="11"/>
  <c r="AM1067" i="11"/>
  <c r="AM1065" i="11"/>
  <c r="AM1066" i="11"/>
  <c r="AM1078" i="11"/>
  <c r="AM1063" i="11"/>
  <c r="AM1061" i="11"/>
  <c r="H926" i="11"/>
  <c r="I492" i="11"/>
  <c r="F493" i="11"/>
  <c r="F318" i="11"/>
  <c r="O1067" i="11"/>
  <c r="AN1022" i="11"/>
  <c r="AN987" i="11"/>
  <c r="AN993" i="11" s="1"/>
  <c r="M993" i="11"/>
  <c r="N1066" i="11"/>
  <c r="AM1021" i="11"/>
  <c r="AM986" i="11"/>
  <c r="AW950" i="11"/>
  <c r="I988" i="11"/>
  <c r="I960" i="11"/>
  <c r="K1071" i="11"/>
  <c r="AJ991" i="11"/>
  <c r="AJ1026" i="11"/>
  <c r="K958" i="11"/>
  <c r="K986" i="11"/>
  <c r="H927" i="11"/>
  <c r="G493" i="11"/>
  <c r="G318" i="11"/>
  <c r="AN1028" i="11"/>
  <c r="K989" i="11"/>
  <c r="K961" i="11"/>
  <c r="H975" i="10"/>
  <c r="H947" i="10"/>
  <c r="M1052" i="10"/>
  <c r="AL1007" i="10"/>
  <c r="AL972" i="10"/>
  <c r="H911" i="10"/>
  <c r="B486" i="10"/>
  <c r="E485" i="10"/>
  <c r="B315" i="10"/>
  <c r="K1055" i="10"/>
  <c r="AJ1010" i="10"/>
  <c r="AJ975" i="10"/>
  <c r="I979" i="10"/>
  <c r="I951" i="10"/>
  <c r="L1048" i="10"/>
  <c r="AK1003" i="10"/>
  <c r="AK968" i="10"/>
  <c r="H916" i="10"/>
  <c r="H486" i="10"/>
  <c r="H315" i="10"/>
  <c r="I921" i="10"/>
  <c r="O536" i="10"/>
  <c r="O492" i="10"/>
  <c r="O491" i="10" s="1"/>
  <c r="O490" i="10" s="1"/>
  <c r="O489" i="10" s="1"/>
  <c r="O488" i="10" s="1"/>
  <c r="O487" i="10" s="1"/>
  <c r="O485" i="10"/>
  <c r="I913" i="10"/>
  <c r="D536" i="10"/>
  <c r="D492" i="10"/>
  <c r="D491" i="10" s="1"/>
  <c r="D490" i="10" s="1"/>
  <c r="D489" i="10" s="1"/>
  <c r="D488" i="10" s="1"/>
  <c r="D487" i="10" s="1"/>
  <c r="D485" i="10"/>
  <c r="M1058" i="10"/>
  <c r="AL1013" i="10"/>
  <c r="AL978" i="10"/>
  <c r="K946" i="10"/>
  <c r="K974" i="10"/>
  <c r="I915" i="10"/>
  <c r="G492" i="10"/>
  <c r="G491" i="10" s="1"/>
  <c r="G490" i="10" s="1"/>
  <c r="G489" i="10" s="1"/>
  <c r="G488" i="10" s="1"/>
  <c r="G487" i="10" s="1"/>
  <c r="G536" i="10"/>
  <c r="G485" i="10"/>
  <c r="J944" i="10"/>
  <c r="J972" i="10"/>
  <c r="K1049" i="10"/>
  <c r="AJ1004" i="10"/>
  <c r="AJ969" i="10"/>
  <c r="E535" i="10"/>
  <c r="M1056" i="10"/>
  <c r="AL1011" i="10"/>
  <c r="AL976" i="10"/>
  <c r="J914" i="10"/>
  <c r="I580" i="10"/>
  <c r="F581" i="10"/>
  <c r="F535" i="10"/>
  <c r="L949" i="10"/>
  <c r="L977" i="10"/>
  <c r="E912" i="10"/>
  <c r="C317" i="10"/>
  <c r="C316" i="10"/>
  <c r="C133" i="10"/>
  <c r="J978" i="10"/>
  <c r="J950" i="10"/>
  <c r="AK1070" i="10"/>
  <c r="AK1068" i="10"/>
  <c r="AK1066" i="10"/>
  <c r="AK1071" i="10"/>
  <c r="AK1067" i="10"/>
  <c r="AK1056" i="10"/>
  <c r="AK1060" i="10"/>
  <c r="AK1059" i="10"/>
  <c r="AK1058" i="10"/>
  <c r="AK1065" i="10"/>
  <c r="AK1062" i="10"/>
  <c r="AK1061" i="10"/>
  <c r="AK1052" i="10"/>
  <c r="AK1050" i="10"/>
  <c r="AK1048" i="10"/>
  <c r="AK1069" i="10"/>
  <c r="AK1064" i="10"/>
  <c r="AK1063" i="10"/>
  <c r="AK1055" i="10"/>
  <c r="AK1057" i="10"/>
  <c r="AK1053" i="10"/>
  <c r="AK1051" i="10"/>
  <c r="AK1054" i="10"/>
  <c r="AK1049" i="10"/>
  <c r="J942" i="10"/>
  <c r="J970" i="10"/>
  <c r="K943" i="10"/>
  <c r="K971" i="10"/>
  <c r="K924" i="10"/>
  <c r="O1057" i="10"/>
  <c r="AN1012" i="10"/>
  <c r="AN1016" i="10" s="1"/>
  <c r="AN977" i="10"/>
  <c r="AN981" i="10" s="1"/>
  <c r="I945" i="10"/>
  <c r="I973" i="10"/>
  <c r="L1059" i="10"/>
  <c r="AK1014" i="10"/>
  <c r="AK979" i="10"/>
  <c r="K920" i="10"/>
  <c r="N645" i="10"/>
  <c r="Q644" i="10"/>
  <c r="N580" i="10"/>
  <c r="L1053" i="10"/>
  <c r="AK1008" i="10"/>
  <c r="AK973" i="10"/>
  <c r="N1051" i="10"/>
  <c r="AM1006" i="10"/>
  <c r="AW935" i="10"/>
  <c r="AM971" i="10"/>
  <c r="J917" i="10"/>
  <c r="J581" i="10"/>
  <c r="M580" i="10"/>
  <c r="J535" i="10"/>
  <c r="I940" i="10"/>
  <c r="I968" i="10"/>
  <c r="R644" i="10"/>
  <c r="I919" i="10"/>
  <c r="L492" i="10"/>
  <c r="L491" i="10" s="1"/>
  <c r="L490" i="10" s="1"/>
  <c r="L489" i="10" s="1"/>
  <c r="L488" i="10" s="1"/>
  <c r="L487" i="10" s="1"/>
  <c r="L536" i="10"/>
  <c r="L485" i="10"/>
  <c r="L924" i="10"/>
  <c r="H969" i="10"/>
  <c r="H941" i="10"/>
  <c r="M1050" i="10"/>
  <c r="AL1005" i="10"/>
  <c r="AL970" i="10"/>
  <c r="H922" i="10"/>
  <c r="P486" i="10"/>
  <c r="P315" i="10"/>
  <c r="L981" i="10"/>
  <c r="E918" i="10"/>
  <c r="K317" i="10"/>
  <c r="K316" i="10"/>
  <c r="K133" i="10"/>
  <c r="N1054" i="10"/>
  <c r="AM974" i="10"/>
  <c r="AM1009" i="10"/>
  <c r="AW938" i="10"/>
  <c r="J948" i="10"/>
  <c r="J976" i="10"/>
  <c r="M1028" i="9"/>
  <c r="AL983" i="9"/>
  <c r="AL948" i="9"/>
  <c r="I885" i="9"/>
  <c r="B478" i="9"/>
  <c r="B477" i="9" s="1"/>
  <c r="B476" i="9" s="1"/>
  <c r="B475" i="9" s="1"/>
  <c r="B474" i="9" s="1"/>
  <c r="B473" i="9" s="1"/>
  <c r="B520" i="9"/>
  <c r="E519" i="9"/>
  <c r="B471" i="9"/>
  <c r="H890" i="9"/>
  <c r="H472" i="9"/>
  <c r="H309" i="9"/>
  <c r="I953" i="9"/>
  <c r="I925" i="9"/>
  <c r="M1023" i="9"/>
  <c r="AL978" i="9"/>
  <c r="AL943" i="9"/>
  <c r="K1030" i="9"/>
  <c r="AJ985" i="9"/>
  <c r="AJ950" i="9"/>
  <c r="J946" i="9"/>
  <c r="J918" i="9"/>
  <c r="E893" i="9"/>
  <c r="L311" i="9"/>
  <c r="L310" i="9"/>
  <c r="L131" i="9"/>
  <c r="I895" i="9"/>
  <c r="O520" i="9"/>
  <c r="O478" i="9"/>
  <c r="O477" i="9" s="1"/>
  <c r="O476" i="9" s="1"/>
  <c r="O475" i="9" s="1"/>
  <c r="O474" i="9" s="1"/>
  <c r="O473" i="9" s="1"/>
  <c r="O471" i="9"/>
  <c r="AM1045" i="9"/>
  <c r="AM1043" i="9"/>
  <c r="AM1038" i="9"/>
  <c r="AM1036" i="9"/>
  <c r="AM1034" i="9"/>
  <c r="AM1032" i="9"/>
  <c r="AM1030" i="9"/>
  <c r="AM1041" i="9"/>
  <c r="AM1039" i="9"/>
  <c r="AM1042" i="9"/>
  <c r="AM1040" i="9"/>
  <c r="AM1029" i="9"/>
  <c r="AM1037" i="9"/>
  <c r="AM1044" i="9"/>
  <c r="AM1027" i="9"/>
  <c r="AM1035" i="9"/>
  <c r="AM1025" i="9"/>
  <c r="AM1023" i="9"/>
  <c r="AM1031" i="9"/>
  <c r="AM1033" i="9"/>
  <c r="AM1028" i="9"/>
  <c r="AM1026" i="9"/>
  <c r="AM1024" i="9"/>
  <c r="AM1022" i="9"/>
  <c r="AM980" i="9"/>
  <c r="AM990" i="9" s="1"/>
  <c r="N1025" i="9"/>
  <c r="AM945" i="9"/>
  <c r="AM955" i="9" s="1"/>
  <c r="AW909" i="9"/>
  <c r="K917" i="9"/>
  <c r="K945" i="9"/>
  <c r="M1026" i="9"/>
  <c r="AL981" i="9"/>
  <c r="AL946" i="9"/>
  <c r="N1031" i="9"/>
  <c r="AM986" i="9"/>
  <c r="AW915" i="9"/>
  <c r="AM951" i="9"/>
  <c r="J942" i="9"/>
  <c r="J914" i="9"/>
  <c r="I947" i="9"/>
  <c r="I919" i="9"/>
  <c r="D887" i="9"/>
  <c r="D132" i="9"/>
  <c r="D64" i="9"/>
  <c r="AW919" i="9"/>
  <c r="H922" i="9"/>
  <c r="H950" i="9"/>
  <c r="I886" i="9"/>
  <c r="C520" i="9"/>
  <c r="C478" i="9"/>
  <c r="C477" i="9" s="1"/>
  <c r="C476" i="9" s="1"/>
  <c r="C475" i="9" s="1"/>
  <c r="C474" i="9" s="1"/>
  <c r="C473" i="9" s="1"/>
  <c r="C471" i="9"/>
  <c r="J952" i="9"/>
  <c r="J924" i="9"/>
  <c r="I891" i="9"/>
  <c r="M519" i="9"/>
  <c r="J520" i="9"/>
  <c r="J478" i="9"/>
  <c r="J477" i="9" s="1"/>
  <c r="J476" i="9" s="1"/>
  <c r="J475" i="9" s="1"/>
  <c r="J474" i="9" s="1"/>
  <c r="J473" i="9" s="1"/>
  <c r="J471" i="9"/>
  <c r="L955" i="9"/>
  <c r="M1032" i="9"/>
  <c r="AL987" i="9"/>
  <c r="AL952" i="9"/>
  <c r="I892" i="9"/>
  <c r="K478" i="9"/>
  <c r="K477" i="9" s="1"/>
  <c r="K476" i="9" s="1"/>
  <c r="K475" i="9" s="1"/>
  <c r="K474" i="9" s="1"/>
  <c r="K473" i="9" s="1"/>
  <c r="K520" i="9"/>
  <c r="K471" i="9"/>
  <c r="L1033" i="9"/>
  <c r="AK953" i="9"/>
  <c r="AK988" i="9"/>
  <c r="J894" i="9"/>
  <c r="Q563" i="9"/>
  <c r="N564" i="9"/>
  <c r="N519" i="9"/>
  <c r="H896" i="9"/>
  <c r="P472" i="9"/>
  <c r="P309" i="9"/>
  <c r="K898" i="9"/>
  <c r="J943" i="9"/>
  <c r="J915" i="9"/>
  <c r="E916" i="9"/>
  <c r="AR913" i="9"/>
  <c r="E944" i="9"/>
  <c r="M1022" i="9"/>
  <c r="K955" i="9"/>
  <c r="AL942" i="9"/>
  <c r="AL977" i="9"/>
  <c r="L1027" i="9"/>
  <c r="AK982" i="9"/>
  <c r="AK947" i="9"/>
  <c r="J920" i="9"/>
  <c r="J948" i="9"/>
  <c r="J949" i="9"/>
  <c r="J921" i="9"/>
  <c r="J1024" i="9"/>
  <c r="Z1024" i="9" s="1"/>
  <c r="AI944" i="9"/>
  <c r="AI979" i="9"/>
  <c r="AI878" i="9"/>
  <c r="K923" i="9"/>
  <c r="K951" i="9"/>
  <c r="I889" i="9"/>
  <c r="G520" i="9"/>
  <c r="G478" i="9"/>
  <c r="G477" i="9" s="1"/>
  <c r="G476" i="9" s="1"/>
  <c r="G475" i="9" s="1"/>
  <c r="G474" i="9" s="1"/>
  <c r="G473" i="9" s="1"/>
  <c r="G471" i="9"/>
  <c r="I563" i="9"/>
  <c r="R563" i="9" s="1"/>
  <c r="J888" i="9"/>
  <c r="F564" i="9"/>
  <c r="F519" i="9"/>
  <c r="M1029" i="9"/>
  <c r="AL984" i="9"/>
  <c r="AL949" i="9"/>
  <c r="AJ1115" i="12" l="1"/>
  <c r="AM1084" i="11"/>
  <c r="AK1072" i="10"/>
  <c r="AM1046" i="9"/>
  <c r="AK1012" i="14"/>
  <c r="I851" i="14"/>
  <c r="E490" i="14"/>
  <c r="B491" i="14"/>
  <c r="B450" i="14"/>
  <c r="B449" i="14" s="1"/>
  <c r="B448" i="14" s="1"/>
  <c r="B447" i="14" s="1"/>
  <c r="B446" i="14" s="1"/>
  <c r="B445" i="14" s="1"/>
  <c r="B443" i="14"/>
  <c r="AI951" i="14"/>
  <c r="J996" i="14"/>
  <c r="AI916" i="14"/>
  <c r="AI850" i="14"/>
  <c r="E855" i="14"/>
  <c r="G294" i="14"/>
  <c r="G295" i="14"/>
  <c r="G130" i="14"/>
  <c r="C444" i="14"/>
  <c r="H852" i="14"/>
  <c r="C293" i="14"/>
  <c r="I887" i="14"/>
  <c r="I915" i="14"/>
  <c r="E916" i="14"/>
  <c r="E888" i="14"/>
  <c r="AR885" i="14"/>
  <c r="R534" i="14"/>
  <c r="I919" i="14"/>
  <c r="I891" i="14"/>
  <c r="E861" i="14"/>
  <c r="O295" i="14"/>
  <c r="O294" i="14"/>
  <c r="O130" i="14"/>
  <c r="AI945" i="14"/>
  <c r="J990" i="14"/>
  <c r="AI910" i="14"/>
  <c r="AI844" i="14"/>
  <c r="M991" i="14"/>
  <c r="AL946" i="14"/>
  <c r="AL911" i="14"/>
  <c r="I854" i="14"/>
  <c r="F491" i="14"/>
  <c r="F450" i="14"/>
  <c r="F449" i="14" s="1"/>
  <c r="F448" i="14" s="1"/>
  <c r="F447" i="14" s="1"/>
  <c r="F446" i="14" s="1"/>
  <c r="F445" i="14" s="1"/>
  <c r="I490" i="14"/>
  <c r="F443" i="14"/>
  <c r="D853" i="14"/>
  <c r="D131" i="14"/>
  <c r="D64" i="14"/>
  <c r="I913" i="14"/>
  <c r="I885" i="14"/>
  <c r="J911" i="14"/>
  <c r="J883" i="14"/>
  <c r="E910" i="14"/>
  <c r="E882" i="14"/>
  <c r="AR879" i="14"/>
  <c r="H884" i="14"/>
  <c r="H912" i="14"/>
  <c r="L995" i="14"/>
  <c r="AK950" i="14"/>
  <c r="AK915" i="14"/>
  <c r="E860" i="14"/>
  <c r="N295" i="14"/>
  <c r="N294" i="14"/>
  <c r="N130" i="14"/>
  <c r="J908" i="14"/>
  <c r="J864" i="14"/>
  <c r="J880" i="14"/>
  <c r="I857" i="14"/>
  <c r="M490" i="14"/>
  <c r="J491" i="14"/>
  <c r="J450" i="14"/>
  <c r="J449" i="14" s="1"/>
  <c r="J448" i="14" s="1"/>
  <c r="J447" i="14" s="1"/>
  <c r="J446" i="14" s="1"/>
  <c r="J445" i="14" s="1"/>
  <c r="J443" i="14"/>
  <c r="I881" i="14"/>
  <c r="I909" i="14"/>
  <c r="H918" i="14"/>
  <c r="H890" i="14"/>
  <c r="K997" i="14"/>
  <c r="AJ952" i="14"/>
  <c r="AJ917" i="14"/>
  <c r="H856" i="14"/>
  <c r="H444" i="14"/>
  <c r="H293" i="14"/>
  <c r="M988" i="14"/>
  <c r="AL943" i="14"/>
  <c r="AL908" i="14"/>
  <c r="K921" i="14"/>
  <c r="L993" i="14"/>
  <c r="AK913" i="14"/>
  <c r="AK948" i="14"/>
  <c r="H858" i="14"/>
  <c r="K444" i="14"/>
  <c r="K293" i="14"/>
  <c r="D859" i="14"/>
  <c r="L131" i="14"/>
  <c r="L64" i="14"/>
  <c r="H917" i="14"/>
  <c r="H889" i="14"/>
  <c r="AJ1010" i="14"/>
  <c r="AJ1003" i="14"/>
  <c r="AJ1001" i="14"/>
  <c r="AJ999" i="14"/>
  <c r="AJ1008" i="14"/>
  <c r="AJ1006" i="14"/>
  <c r="AJ1011" i="14"/>
  <c r="AJ1009" i="14"/>
  <c r="AJ1004" i="14"/>
  <c r="AJ1002" i="14"/>
  <c r="AJ1000" i="14"/>
  <c r="AJ1007" i="14"/>
  <c r="AJ996" i="14"/>
  <c r="AJ994" i="14"/>
  <c r="AJ1005" i="14"/>
  <c r="AJ997" i="14"/>
  <c r="AJ995" i="14"/>
  <c r="AJ988" i="14"/>
  <c r="AJ1012" i="14" s="1"/>
  <c r="AJ989" i="14"/>
  <c r="AJ990" i="14"/>
  <c r="AJ991" i="14"/>
  <c r="AJ993" i="14"/>
  <c r="AJ992" i="14"/>
  <c r="AJ998" i="14"/>
  <c r="K992" i="14"/>
  <c r="AJ947" i="14"/>
  <c r="AJ912" i="14"/>
  <c r="J886" i="14"/>
  <c r="J914" i="14"/>
  <c r="H862" i="14"/>
  <c r="P444" i="14"/>
  <c r="P293" i="14"/>
  <c r="L989" i="14"/>
  <c r="AK944" i="14"/>
  <c r="AK909" i="14"/>
  <c r="K998" i="14"/>
  <c r="AJ918" i="14"/>
  <c r="AJ953" i="14"/>
  <c r="M994" i="14"/>
  <c r="AL949" i="14"/>
  <c r="AL914" i="14"/>
  <c r="L999" i="14"/>
  <c r="AK954" i="14"/>
  <c r="AK919" i="14"/>
  <c r="I1018" i="13"/>
  <c r="I990" i="13"/>
  <c r="J985" i="13"/>
  <c r="J1013" i="13"/>
  <c r="J969" i="13"/>
  <c r="I995" i="13"/>
  <c r="I1023" i="13"/>
  <c r="I992" i="13"/>
  <c r="I1020" i="13"/>
  <c r="I996" i="13"/>
  <c r="I1024" i="13"/>
  <c r="H964" i="13"/>
  <c r="L523" i="13"/>
  <c r="L327" i="13"/>
  <c r="I987" i="13"/>
  <c r="I1015" i="13"/>
  <c r="H994" i="13"/>
  <c r="H1022" i="13"/>
  <c r="E957" i="13"/>
  <c r="C330" i="13"/>
  <c r="C328" i="13"/>
  <c r="C329" i="13"/>
  <c r="C137" i="13"/>
  <c r="I962" i="13"/>
  <c r="J574" i="13"/>
  <c r="M573" i="13"/>
  <c r="J529" i="13"/>
  <c r="J528" i="13" s="1"/>
  <c r="J527" i="13" s="1"/>
  <c r="J526" i="13" s="1"/>
  <c r="J525" i="13" s="1"/>
  <c r="J524" i="13" s="1"/>
  <c r="J522" i="13"/>
  <c r="I959" i="13"/>
  <c r="I573" i="13"/>
  <c r="F529" i="13"/>
  <c r="F528" i="13" s="1"/>
  <c r="F527" i="13" s="1"/>
  <c r="F526" i="13" s="1"/>
  <c r="F525" i="13" s="1"/>
  <c r="F524" i="13" s="1"/>
  <c r="F574" i="13"/>
  <c r="F522" i="13"/>
  <c r="K1026" i="13"/>
  <c r="I993" i="13"/>
  <c r="I1021" i="13"/>
  <c r="H961" i="13"/>
  <c r="H523" i="13"/>
  <c r="H327" i="13"/>
  <c r="H986" i="13"/>
  <c r="H1014" i="13"/>
  <c r="I956" i="13"/>
  <c r="E573" i="13"/>
  <c r="R573" i="13" s="1"/>
  <c r="B529" i="13"/>
  <c r="B528" i="13" s="1"/>
  <c r="B527" i="13" s="1"/>
  <c r="B526" i="13" s="1"/>
  <c r="B525" i="13" s="1"/>
  <c r="B524" i="13" s="1"/>
  <c r="B574" i="13"/>
  <c r="B522" i="13"/>
  <c r="H966" i="13"/>
  <c r="O523" i="13"/>
  <c r="O327" i="13"/>
  <c r="I960" i="13"/>
  <c r="G574" i="13"/>
  <c r="G529" i="13"/>
  <c r="G528" i="13" s="1"/>
  <c r="G527" i="13" s="1"/>
  <c r="G526" i="13" s="1"/>
  <c r="G525" i="13" s="1"/>
  <c r="G524" i="13" s="1"/>
  <c r="G522" i="13"/>
  <c r="H963" i="13"/>
  <c r="K523" i="13"/>
  <c r="K327" i="13"/>
  <c r="H967" i="13"/>
  <c r="P523" i="13"/>
  <c r="P327" i="13"/>
  <c r="Q327" i="13" s="1"/>
  <c r="J991" i="13"/>
  <c r="J1019" i="13"/>
  <c r="J988" i="13"/>
  <c r="J1016" i="13"/>
  <c r="H958" i="13"/>
  <c r="D523" i="13"/>
  <c r="D327" i="13"/>
  <c r="E965" i="13"/>
  <c r="N330" i="13"/>
  <c r="N328" i="13"/>
  <c r="N329" i="13"/>
  <c r="N137" i="13"/>
  <c r="J1017" i="13"/>
  <c r="J989" i="13"/>
  <c r="H1018" i="12"/>
  <c r="H990" i="12"/>
  <c r="D964" i="12"/>
  <c r="O141" i="12"/>
  <c r="O64" i="12"/>
  <c r="K1098" i="12"/>
  <c r="AJ1053" i="12"/>
  <c r="AJ1018" i="12"/>
  <c r="L1093" i="12"/>
  <c r="AK1048" i="12"/>
  <c r="AK1013" i="12"/>
  <c r="I1011" i="12"/>
  <c r="I983" i="12"/>
  <c r="H962" i="12"/>
  <c r="L523" i="12"/>
  <c r="L330" i="12"/>
  <c r="H959" i="12"/>
  <c r="H523" i="12"/>
  <c r="H330" i="12"/>
  <c r="I1022" i="12"/>
  <c r="I994" i="12"/>
  <c r="I1013" i="12"/>
  <c r="I985" i="12"/>
  <c r="AL1024" i="12"/>
  <c r="J1014" i="12"/>
  <c r="J986" i="12"/>
  <c r="L1097" i="12"/>
  <c r="AK1052" i="12"/>
  <c r="AK1017" i="12"/>
  <c r="E958" i="12"/>
  <c r="G332" i="12"/>
  <c r="G331" i="12"/>
  <c r="G140" i="12"/>
  <c r="H960" i="12"/>
  <c r="J523" i="12"/>
  <c r="M522" i="12"/>
  <c r="J330" i="12"/>
  <c r="L1091" i="12"/>
  <c r="AK1046" i="12"/>
  <c r="J1024" i="12"/>
  <c r="AK1011" i="12"/>
  <c r="E1021" i="12"/>
  <c r="E993" i="12"/>
  <c r="AR990" i="12"/>
  <c r="J1101" i="12"/>
  <c r="Z1101" i="12" s="1"/>
  <c r="AI1021" i="12"/>
  <c r="AI955" i="12"/>
  <c r="AI1056" i="12"/>
  <c r="E963" i="12"/>
  <c r="N331" i="12"/>
  <c r="Q330" i="12"/>
  <c r="N332" i="12"/>
  <c r="N140" i="12"/>
  <c r="G1092" i="12"/>
  <c r="AG1012" i="12"/>
  <c r="AG1047" i="12"/>
  <c r="H1015" i="12"/>
  <c r="H987" i="12"/>
  <c r="C955" i="12"/>
  <c r="C65" i="12"/>
  <c r="C29" i="12"/>
  <c r="AI1113" i="12"/>
  <c r="AI1106" i="12"/>
  <c r="AI1104" i="12"/>
  <c r="AI1102" i="12"/>
  <c r="AI1100" i="12"/>
  <c r="AI1111" i="12"/>
  <c r="AI1109" i="12"/>
  <c r="AI1114" i="12"/>
  <c r="AI1112" i="12"/>
  <c r="AI1107" i="12"/>
  <c r="AI1105" i="12"/>
  <c r="AI1103" i="12"/>
  <c r="AI1101" i="12"/>
  <c r="AI1099" i="12"/>
  <c r="AI1110" i="12"/>
  <c r="AI1108" i="12"/>
  <c r="AI1095" i="12"/>
  <c r="AI1093" i="12"/>
  <c r="AI1091" i="12"/>
  <c r="AI1098" i="12"/>
  <c r="Z1092" i="12"/>
  <c r="AI1094" i="12"/>
  <c r="AI1092" i="12"/>
  <c r="AI1097" i="12"/>
  <c r="AI1096" i="12"/>
  <c r="I1019" i="12"/>
  <c r="I991" i="12"/>
  <c r="I988" i="12"/>
  <c r="I1016" i="12"/>
  <c r="H954" i="12"/>
  <c r="B523" i="12"/>
  <c r="E522" i="12"/>
  <c r="B330" i="12"/>
  <c r="E961" i="12"/>
  <c r="K331" i="12"/>
  <c r="K332" i="12"/>
  <c r="K140" i="12"/>
  <c r="K1095" i="12"/>
  <c r="AJ1050" i="12"/>
  <c r="AJ1015" i="12"/>
  <c r="AK1054" i="12"/>
  <c r="AK1019" i="12"/>
  <c r="L1099" i="12"/>
  <c r="D1012" i="12"/>
  <c r="D984" i="12"/>
  <c r="AQ981" i="12"/>
  <c r="L1096" i="12"/>
  <c r="AK1051" i="12"/>
  <c r="AK1016" i="12"/>
  <c r="I1017" i="12"/>
  <c r="I989" i="12"/>
  <c r="M1094" i="12"/>
  <c r="AL1049" i="12"/>
  <c r="AL1059" i="12" s="1"/>
  <c r="AL1014" i="12"/>
  <c r="H965" i="12"/>
  <c r="P523" i="12"/>
  <c r="P330" i="12"/>
  <c r="H1020" i="12"/>
  <c r="H992" i="12"/>
  <c r="H956" i="12"/>
  <c r="D523" i="12"/>
  <c r="D330" i="12"/>
  <c r="I957" i="12"/>
  <c r="I573" i="12"/>
  <c r="R573" i="12" s="1"/>
  <c r="F529" i="12"/>
  <c r="F528" i="12" s="1"/>
  <c r="F527" i="12" s="1"/>
  <c r="F526" i="12" s="1"/>
  <c r="F525" i="12" s="1"/>
  <c r="F524" i="12" s="1"/>
  <c r="F574" i="12"/>
  <c r="F522" i="12"/>
  <c r="K1100" i="12"/>
  <c r="AJ1055" i="12"/>
  <c r="AJ1020" i="12"/>
  <c r="L1102" i="12"/>
  <c r="AK1022" i="12"/>
  <c r="AK1057" i="12"/>
  <c r="E927" i="11"/>
  <c r="G320" i="11"/>
  <c r="G319" i="11"/>
  <c r="G133" i="11"/>
  <c r="G1070" i="11"/>
  <c r="AG1025" i="11"/>
  <c r="AG990" i="11"/>
  <c r="I932" i="11"/>
  <c r="N543" i="11"/>
  <c r="Q542" i="11"/>
  <c r="N499" i="11"/>
  <c r="N498" i="11" s="1"/>
  <c r="N497" i="11" s="1"/>
  <c r="N496" i="11" s="1"/>
  <c r="N495" i="11" s="1"/>
  <c r="N494" i="11" s="1"/>
  <c r="N492" i="11"/>
  <c r="E931" i="11"/>
  <c r="L320" i="11"/>
  <c r="L319" i="11"/>
  <c r="L133" i="11"/>
  <c r="I957" i="11"/>
  <c r="I985" i="11"/>
  <c r="K1068" i="11"/>
  <c r="AJ988" i="11"/>
  <c r="AJ1023" i="11"/>
  <c r="J1062" i="11"/>
  <c r="Z1062" i="11" s="1"/>
  <c r="AI982" i="11"/>
  <c r="AI1017" i="11"/>
  <c r="AI916" i="11"/>
  <c r="AR960" i="11"/>
  <c r="E991" i="11"/>
  <c r="E963" i="11"/>
  <c r="N1067" i="11"/>
  <c r="AM987" i="11"/>
  <c r="AW951" i="11"/>
  <c r="AM1022" i="11"/>
  <c r="E982" i="11"/>
  <c r="AR951" i="11"/>
  <c r="E954" i="11"/>
  <c r="H984" i="11"/>
  <c r="H956" i="11"/>
  <c r="E926" i="11"/>
  <c r="F320" i="11"/>
  <c r="F319" i="11"/>
  <c r="I318" i="11"/>
  <c r="F133" i="11"/>
  <c r="H960" i="11"/>
  <c r="H988" i="11"/>
  <c r="H924" i="11"/>
  <c r="C493" i="11"/>
  <c r="C318" i="11"/>
  <c r="C933" i="11"/>
  <c r="O65" i="11"/>
  <c r="O29" i="11"/>
  <c r="K1063" i="11"/>
  <c r="AJ1018" i="11"/>
  <c r="AJ983" i="11"/>
  <c r="M1060" i="11"/>
  <c r="AL1015" i="11"/>
  <c r="AL980" i="11"/>
  <c r="M1066" i="11"/>
  <c r="AL1021" i="11"/>
  <c r="AL986" i="11"/>
  <c r="J989" i="11"/>
  <c r="J961" i="11"/>
  <c r="AM1028" i="11"/>
  <c r="I923" i="11"/>
  <c r="E542" i="11"/>
  <c r="B543" i="11"/>
  <c r="B499" i="11"/>
  <c r="B498" i="11" s="1"/>
  <c r="B497" i="11" s="1"/>
  <c r="B496" i="11" s="1"/>
  <c r="B495" i="11" s="1"/>
  <c r="B494" i="11" s="1"/>
  <c r="B492" i="11"/>
  <c r="I929" i="11"/>
  <c r="M542" i="11"/>
  <c r="J499" i="11"/>
  <c r="J498" i="11" s="1"/>
  <c r="J497" i="11" s="1"/>
  <c r="J496" i="11" s="1"/>
  <c r="J495" i="11" s="1"/>
  <c r="J494" i="11" s="1"/>
  <c r="J543" i="11"/>
  <c r="J492" i="11"/>
  <c r="L993" i="11"/>
  <c r="D962" i="11"/>
  <c r="D990" i="11"/>
  <c r="AQ959" i="11"/>
  <c r="AI1118" i="11"/>
  <c r="AI1119" i="11"/>
  <c r="H983" i="11"/>
  <c r="H955" i="11"/>
  <c r="AK981" i="11"/>
  <c r="AK1016" i="11"/>
  <c r="L1061" i="11"/>
  <c r="AW957" i="11"/>
  <c r="I981" i="11"/>
  <c r="I953" i="11"/>
  <c r="K1064" i="11"/>
  <c r="AJ1019" i="11"/>
  <c r="AJ984" i="11"/>
  <c r="J930" i="11"/>
  <c r="J936" i="11" s="1"/>
  <c r="K588" i="11"/>
  <c r="K542" i="11"/>
  <c r="H928" i="11"/>
  <c r="H493" i="11"/>
  <c r="H318" i="11"/>
  <c r="M1069" i="11"/>
  <c r="AL989" i="11"/>
  <c r="AL1024" i="11"/>
  <c r="R587" i="11"/>
  <c r="AM993" i="11"/>
  <c r="D934" i="11"/>
  <c r="P134" i="11"/>
  <c r="P64" i="11"/>
  <c r="D925" i="11"/>
  <c r="D134" i="11"/>
  <c r="D64" i="11"/>
  <c r="J980" i="11"/>
  <c r="J952" i="11"/>
  <c r="J1071" i="11"/>
  <c r="Z1071" i="11" s="1"/>
  <c r="AI991" i="11"/>
  <c r="AI1026" i="11"/>
  <c r="AI925" i="11"/>
  <c r="J986" i="11"/>
  <c r="J958" i="11"/>
  <c r="AL1080" i="11"/>
  <c r="AL1078" i="11"/>
  <c r="AL1083" i="11"/>
  <c r="AL1081" i="11"/>
  <c r="AL1076" i="11"/>
  <c r="AL1074" i="11"/>
  <c r="AL1072" i="11"/>
  <c r="AL1070" i="11"/>
  <c r="AL1079" i="11"/>
  <c r="AL1077" i="11"/>
  <c r="AL1071" i="11"/>
  <c r="AL1068" i="11"/>
  <c r="AL1066" i="11"/>
  <c r="AL1082" i="11"/>
  <c r="AL1064" i="11"/>
  <c r="AL1062" i="11"/>
  <c r="AL1060" i="11"/>
  <c r="AL1073" i="11"/>
  <c r="AL1067" i="11"/>
  <c r="AL1075" i="11"/>
  <c r="AL1063" i="11"/>
  <c r="AL1061" i="11"/>
  <c r="AL1069" i="11"/>
  <c r="AL1065" i="11"/>
  <c r="L1065" i="11"/>
  <c r="AK1020" i="11"/>
  <c r="AK985" i="11"/>
  <c r="K959" i="11"/>
  <c r="K987" i="11"/>
  <c r="K993" i="11" s="1"/>
  <c r="I914" i="10"/>
  <c r="I535" i="10"/>
  <c r="F492" i="10"/>
  <c r="F491" i="10" s="1"/>
  <c r="F490" i="10" s="1"/>
  <c r="F489" i="10" s="1"/>
  <c r="F488" i="10" s="1"/>
  <c r="F487" i="10" s="1"/>
  <c r="F536" i="10"/>
  <c r="F485" i="10"/>
  <c r="I972" i="10"/>
  <c r="I944" i="10"/>
  <c r="H945" i="10"/>
  <c r="H973" i="10"/>
  <c r="AI1004" i="10"/>
  <c r="J1049" i="10"/>
  <c r="AI903" i="10"/>
  <c r="AI969" i="10"/>
  <c r="E922" i="10"/>
  <c r="P316" i="10"/>
  <c r="P317" i="10"/>
  <c r="P133" i="10"/>
  <c r="K977" i="10"/>
  <c r="K949" i="10"/>
  <c r="D912" i="10"/>
  <c r="C134" i="10"/>
  <c r="C64" i="10"/>
  <c r="AJ1070" i="10"/>
  <c r="AJ1063" i="10"/>
  <c r="AJ1061" i="10"/>
  <c r="AJ1059" i="10"/>
  <c r="AJ1057" i="10"/>
  <c r="AJ1068" i="10"/>
  <c r="AJ1066" i="10"/>
  <c r="AJ1071" i="10"/>
  <c r="AJ1069" i="10"/>
  <c r="AJ1064" i="10"/>
  <c r="AJ1062" i="10"/>
  <c r="AJ1060" i="10"/>
  <c r="AJ1058" i="10"/>
  <c r="AJ1056" i="10"/>
  <c r="AJ1065" i="10"/>
  <c r="AJ1051" i="10"/>
  <c r="AJ1054" i="10"/>
  <c r="AJ1052" i="10"/>
  <c r="AJ1050" i="10"/>
  <c r="AJ1053" i="10"/>
  <c r="AJ1067" i="10"/>
  <c r="AJ1048" i="10"/>
  <c r="AJ1049" i="10"/>
  <c r="AJ1055" i="10"/>
  <c r="H921" i="10"/>
  <c r="O486" i="10"/>
  <c r="O315" i="10"/>
  <c r="E911" i="10"/>
  <c r="B317" i="10"/>
  <c r="B316" i="10"/>
  <c r="B133" i="10"/>
  <c r="J1055" i="10"/>
  <c r="Z1055" i="10" s="1"/>
  <c r="AI975" i="10"/>
  <c r="AI909" i="10"/>
  <c r="AI1010" i="10"/>
  <c r="H951" i="10"/>
  <c r="H979" i="10"/>
  <c r="H919" i="10"/>
  <c r="L486" i="10"/>
  <c r="L315" i="10"/>
  <c r="I917" i="10"/>
  <c r="J536" i="10"/>
  <c r="M535" i="10"/>
  <c r="J492" i="10"/>
  <c r="J491" i="10" s="1"/>
  <c r="J490" i="10" s="1"/>
  <c r="J489" i="10" s="1"/>
  <c r="J488" i="10" s="1"/>
  <c r="J487" i="10" s="1"/>
  <c r="J485" i="10"/>
  <c r="M1051" i="10"/>
  <c r="AL1006" i="10"/>
  <c r="AL971" i="10"/>
  <c r="K981" i="10"/>
  <c r="K1048" i="10"/>
  <c r="AJ1003" i="10"/>
  <c r="AJ968" i="10"/>
  <c r="L1058" i="10"/>
  <c r="AK1013" i="10"/>
  <c r="AK978" i="10"/>
  <c r="M1054" i="10"/>
  <c r="AL1009" i="10"/>
  <c r="AL974" i="10"/>
  <c r="I942" i="10"/>
  <c r="I970" i="10"/>
  <c r="D918" i="10"/>
  <c r="K134" i="10"/>
  <c r="K64" i="10"/>
  <c r="J971" i="10"/>
  <c r="J943" i="10"/>
  <c r="J924" i="10"/>
  <c r="L1052" i="10"/>
  <c r="AK1007" i="10"/>
  <c r="AK972" i="10"/>
  <c r="L1056" i="10"/>
  <c r="AK1011" i="10"/>
  <c r="AK976" i="10"/>
  <c r="E941" i="10"/>
  <c r="AR938" i="10"/>
  <c r="E969" i="10"/>
  <c r="H915" i="10"/>
  <c r="G486" i="10"/>
  <c r="G315" i="10"/>
  <c r="I950" i="10"/>
  <c r="I978" i="10"/>
  <c r="H968" i="10"/>
  <c r="H940" i="10"/>
  <c r="E947" i="10"/>
  <c r="E975" i="10"/>
  <c r="AR944" i="10"/>
  <c r="AJ1008" i="10"/>
  <c r="K1053" i="10"/>
  <c r="AJ973" i="10"/>
  <c r="AK1005" i="10"/>
  <c r="L1050" i="10"/>
  <c r="AK970" i="10"/>
  <c r="N1057" i="10"/>
  <c r="AM1012" i="10"/>
  <c r="AM1016" i="10" s="1"/>
  <c r="AM977" i="10"/>
  <c r="AM981" i="10" s="1"/>
  <c r="AW941" i="10"/>
  <c r="AW945" i="10" s="1"/>
  <c r="H913" i="10"/>
  <c r="D486" i="10"/>
  <c r="D315" i="10"/>
  <c r="E916" i="10"/>
  <c r="H317" i="10"/>
  <c r="H316" i="10"/>
  <c r="H133" i="10"/>
  <c r="K1059" i="10"/>
  <c r="AJ1014" i="10"/>
  <c r="AJ979" i="10"/>
  <c r="I948" i="10"/>
  <c r="I976" i="10"/>
  <c r="J974" i="10"/>
  <c r="J946" i="10"/>
  <c r="J920" i="10"/>
  <c r="Q580" i="10"/>
  <c r="R580" i="10" s="1"/>
  <c r="N581" i="10"/>
  <c r="N535" i="10"/>
  <c r="H885" i="9"/>
  <c r="E471" i="9"/>
  <c r="B472" i="9"/>
  <c r="B309" i="9"/>
  <c r="I943" i="9"/>
  <c r="I915" i="9"/>
  <c r="K1027" i="9"/>
  <c r="AJ982" i="9"/>
  <c r="AJ947" i="9"/>
  <c r="AI1057" i="9"/>
  <c r="AI1056" i="9"/>
  <c r="L1023" i="9"/>
  <c r="AK978" i="9"/>
  <c r="AK943" i="9"/>
  <c r="I949" i="9"/>
  <c r="I921" i="9"/>
  <c r="J1030" i="9"/>
  <c r="Z1030" i="9" s="1"/>
  <c r="AI985" i="9"/>
  <c r="AI950" i="9"/>
  <c r="AI884" i="9"/>
  <c r="H895" i="9"/>
  <c r="O472" i="9"/>
  <c r="O309" i="9"/>
  <c r="AR919" i="9"/>
  <c r="E922" i="9"/>
  <c r="E950" i="9"/>
  <c r="AL1042" i="9"/>
  <c r="AL1040" i="9"/>
  <c r="AL1045" i="9"/>
  <c r="AL1043" i="9"/>
  <c r="AL1038" i="9"/>
  <c r="AL1036" i="9"/>
  <c r="AL1034" i="9"/>
  <c r="AL1032" i="9"/>
  <c r="AL1041" i="9"/>
  <c r="AL1044" i="9"/>
  <c r="AL1037" i="9"/>
  <c r="AL1035" i="9"/>
  <c r="AL1033" i="9"/>
  <c r="AL1026" i="9"/>
  <c r="AL1029" i="9"/>
  <c r="AL1027" i="9"/>
  <c r="AL1025" i="9"/>
  <c r="AL1039" i="9"/>
  <c r="AL1031" i="9"/>
  <c r="AL1030" i="9"/>
  <c r="AL1028" i="9"/>
  <c r="AL1024" i="9"/>
  <c r="AL1022" i="9"/>
  <c r="AL1023" i="9"/>
  <c r="H891" i="9"/>
  <c r="M471" i="9"/>
  <c r="J472" i="9"/>
  <c r="J309" i="9"/>
  <c r="H889" i="9"/>
  <c r="G472" i="9"/>
  <c r="G309" i="9"/>
  <c r="I946" i="9"/>
  <c r="I918" i="9"/>
  <c r="F520" i="9"/>
  <c r="I888" i="9"/>
  <c r="F478" i="9"/>
  <c r="F477" i="9" s="1"/>
  <c r="F476" i="9" s="1"/>
  <c r="F475" i="9" s="1"/>
  <c r="F474" i="9" s="1"/>
  <c r="F473" i="9" s="1"/>
  <c r="I519" i="9"/>
  <c r="R519" i="9" s="1"/>
  <c r="F471" i="9"/>
  <c r="M1031" i="9"/>
  <c r="AL986" i="9"/>
  <c r="AL951" i="9"/>
  <c r="L1028" i="9"/>
  <c r="AK948" i="9"/>
  <c r="AK983" i="9"/>
  <c r="L1022" i="9"/>
  <c r="AK977" i="9"/>
  <c r="AK942" i="9"/>
  <c r="M1025" i="9"/>
  <c r="AL980" i="9"/>
  <c r="AL990" i="9" s="1"/>
  <c r="AL945" i="9"/>
  <c r="AL955" i="9" s="1"/>
  <c r="L1026" i="9"/>
  <c r="AK946" i="9"/>
  <c r="AK981" i="9"/>
  <c r="K1033" i="9"/>
  <c r="AJ988" i="9"/>
  <c r="AJ953" i="9"/>
  <c r="I914" i="9"/>
  <c r="I942" i="9"/>
  <c r="I898" i="9"/>
  <c r="H953" i="9"/>
  <c r="H925" i="9"/>
  <c r="H892" i="9"/>
  <c r="K472" i="9"/>
  <c r="K309" i="9"/>
  <c r="I894" i="9"/>
  <c r="N520" i="9"/>
  <c r="N478" i="9"/>
  <c r="N477" i="9" s="1"/>
  <c r="N476" i="9" s="1"/>
  <c r="N475" i="9" s="1"/>
  <c r="N474" i="9" s="1"/>
  <c r="N473" i="9" s="1"/>
  <c r="Q519" i="9"/>
  <c r="N471" i="9"/>
  <c r="L1029" i="9"/>
  <c r="AK984" i="9"/>
  <c r="AK949" i="9"/>
  <c r="J923" i="9"/>
  <c r="J951" i="9"/>
  <c r="I920" i="9"/>
  <c r="I948" i="9"/>
  <c r="J898" i="9"/>
  <c r="E896" i="9"/>
  <c r="P310" i="9"/>
  <c r="P311" i="9"/>
  <c r="P131" i="9"/>
  <c r="L1032" i="9"/>
  <c r="AK952" i="9"/>
  <c r="AK987" i="9"/>
  <c r="C887" i="9"/>
  <c r="D65" i="9"/>
  <c r="D29" i="9"/>
  <c r="I952" i="9"/>
  <c r="I924" i="9"/>
  <c r="E890" i="9"/>
  <c r="H310" i="9"/>
  <c r="H311" i="9"/>
  <c r="H131" i="9"/>
  <c r="J945" i="9"/>
  <c r="J917" i="9"/>
  <c r="G1024" i="9"/>
  <c r="AG944" i="9"/>
  <c r="AG979" i="9"/>
  <c r="H886" i="9"/>
  <c r="C472" i="9"/>
  <c r="C309" i="9"/>
  <c r="D944" i="9"/>
  <c r="D916" i="9"/>
  <c r="AQ913" i="9"/>
  <c r="D893" i="9"/>
  <c r="L132" i="9"/>
  <c r="L64" i="9"/>
  <c r="H919" i="9"/>
  <c r="H947" i="9"/>
  <c r="AI1115" i="12" l="1"/>
  <c r="AL1084" i="11"/>
  <c r="AJ1072" i="10"/>
  <c r="AL1046" i="9"/>
  <c r="E858" i="14"/>
  <c r="K295" i="14"/>
  <c r="K294" i="14"/>
  <c r="K130" i="14"/>
  <c r="AL956" i="14"/>
  <c r="I886" i="14"/>
  <c r="I914" i="14"/>
  <c r="AR886" i="14"/>
  <c r="E917" i="14"/>
  <c r="E889" i="14"/>
  <c r="G990" i="14"/>
  <c r="AG945" i="14"/>
  <c r="AG910" i="14"/>
  <c r="H854" i="14"/>
  <c r="F444" i="14"/>
  <c r="I443" i="14"/>
  <c r="F293" i="14"/>
  <c r="E852" i="14"/>
  <c r="C295" i="14"/>
  <c r="C294" i="14"/>
  <c r="C130" i="14"/>
  <c r="J998" i="14"/>
  <c r="AI953" i="14"/>
  <c r="AI918" i="14"/>
  <c r="AI852" i="14"/>
  <c r="K999" i="14"/>
  <c r="AJ954" i="14"/>
  <c r="AJ919" i="14"/>
  <c r="H909" i="14"/>
  <c r="H881" i="14"/>
  <c r="H887" i="14"/>
  <c r="H915" i="14"/>
  <c r="E856" i="14"/>
  <c r="H294" i="14"/>
  <c r="H295" i="14"/>
  <c r="H130" i="14"/>
  <c r="K989" i="14"/>
  <c r="AJ909" i="14"/>
  <c r="AJ944" i="14"/>
  <c r="L991" i="14"/>
  <c r="AK946" i="14"/>
  <c r="AK911" i="14"/>
  <c r="AI1010" i="14"/>
  <c r="AI1003" i="14"/>
  <c r="AI1001" i="14"/>
  <c r="AI999" i="14"/>
  <c r="AI1011" i="14"/>
  <c r="AI1009" i="14"/>
  <c r="AI1004" i="14"/>
  <c r="AI1002" i="14"/>
  <c r="AI1000" i="14"/>
  <c r="AI995" i="14"/>
  <c r="AI1007" i="14"/>
  <c r="AI996" i="14"/>
  <c r="AI997" i="14"/>
  <c r="AI988" i="14"/>
  <c r="AI989" i="14"/>
  <c r="AI1008" i="14"/>
  <c r="AI1005" i="14"/>
  <c r="AI990" i="14"/>
  <c r="AI991" i="14"/>
  <c r="AI994" i="14"/>
  <c r="AI993" i="14"/>
  <c r="AI992" i="14"/>
  <c r="AI998" i="14"/>
  <c r="AI1006" i="14"/>
  <c r="E862" i="14"/>
  <c r="P295" i="14"/>
  <c r="P294" i="14"/>
  <c r="P130" i="14"/>
  <c r="L988" i="14"/>
  <c r="AK943" i="14"/>
  <c r="J921" i="14"/>
  <c r="AK908" i="14"/>
  <c r="AK921" i="14" s="1"/>
  <c r="D855" i="14"/>
  <c r="G131" i="14"/>
  <c r="G64" i="14"/>
  <c r="H851" i="14"/>
  <c r="E443" i="14"/>
  <c r="R443" i="14" s="1"/>
  <c r="B444" i="14"/>
  <c r="B293" i="14"/>
  <c r="J997" i="14"/>
  <c r="AI952" i="14"/>
  <c r="AI917" i="14"/>
  <c r="AI851" i="14"/>
  <c r="H885" i="14"/>
  <c r="H913" i="14"/>
  <c r="H857" i="14"/>
  <c r="M443" i="14"/>
  <c r="J444" i="14"/>
  <c r="J293" i="14"/>
  <c r="D860" i="14"/>
  <c r="N131" i="14"/>
  <c r="Q130" i="14"/>
  <c r="N64" i="14"/>
  <c r="AI947" i="14"/>
  <c r="J992" i="14"/>
  <c r="AI912" i="14"/>
  <c r="AI846" i="14"/>
  <c r="K993" i="14"/>
  <c r="AJ948" i="14"/>
  <c r="AJ913" i="14"/>
  <c r="I911" i="14"/>
  <c r="I883" i="14"/>
  <c r="D861" i="14"/>
  <c r="O131" i="14"/>
  <c r="O64" i="14"/>
  <c r="H891" i="14"/>
  <c r="H919" i="14"/>
  <c r="L29" i="14"/>
  <c r="L65" i="14"/>
  <c r="C859" i="14"/>
  <c r="C853" i="14"/>
  <c r="D65" i="14"/>
  <c r="D29" i="14"/>
  <c r="AG951" i="14"/>
  <c r="AG916" i="14"/>
  <c r="G996" i="14"/>
  <c r="L994" i="14"/>
  <c r="AK949" i="14"/>
  <c r="AK914" i="14"/>
  <c r="K995" i="14"/>
  <c r="AJ950" i="14"/>
  <c r="AJ915" i="14"/>
  <c r="E912" i="14"/>
  <c r="AR881" i="14"/>
  <c r="E884" i="14"/>
  <c r="R490" i="14"/>
  <c r="D916" i="14"/>
  <c r="AQ885" i="14"/>
  <c r="D888" i="14"/>
  <c r="AL921" i="14"/>
  <c r="Q293" i="14"/>
  <c r="D882" i="14"/>
  <c r="AQ879" i="14"/>
  <c r="D910" i="14"/>
  <c r="E918" i="14"/>
  <c r="E890" i="14"/>
  <c r="AR887" i="14"/>
  <c r="I908" i="14"/>
  <c r="I864" i="14"/>
  <c r="I880" i="14"/>
  <c r="D965" i="13"/>
  <c r="N138" i="13"/>
  <c r="N66" i="13"/>
  <c r="H987" i="13"/>
  <c r="H1015" i="13"/>
  <c r="E963" i="13"/>
  <c r="K330" i="13"/>
  <c r="K328" i="13"/>
  <c r="K329" i="13"/>
  <c r="K137" i="13"/>
  <c r="I991" i="13"/>
  <c r="I1019" i="13"/>
  <c r="H995" i="13"/>
  <c r="H1023" i="13"/>
  <c r="E961" i="13"/>
  <c r="H329" i="13"/>
  <c r="H330" i="13"/>
  <c r="H328" i="13"/>
  <c r="H137" i="13"/>
  <c r="D957" i="13"/>
  <c r="C138" i="13"/>
  <c r="C66" i="13"/>
  <c r="H992" i="13"/>
  <c r="H1020" i="13"/>
  <c r="H956" i="13"/>
  <c r="B523" i="13"/>
  <c r="E522" i="13"/>
  <c r="B327" i="13"/>
  <c r="E964" i="13"/>
  <c r="L330" i="13"/>
  <c r="L19" i="13" s="1"/>
  <c r="L328" i="13"/>
  <c r="L329" i="13"/>
  <c r="L137" i="13"/>
  <c r="H960" i="13"/>
  <c r="G523" i="13"/>
  <c r="G327" i="13"/>
  <c r="H1018" i="13"/>
  <c r="H990" i="13"/>
  <c r="I988" i="13"/>
  <c r="I1016" i="13"/>
  <c r="H962" i="13"/>
  <c r="J523" i="13"/>
  <c r="M522" i="13"/>
  <c r="J327" i="13"/>
  <c r="H993" i="13"/>
  <c r="H1021" i="13"/>
  <c r="J1026" i="13"/>
  <c r="E1022" i="13"/>
  <c r="E994" i="13"/>
  <c r="E967" i="13"/>
  <c r="P329" i="13"/>
  <c r="P330" i="13"/>
  <c r="P328" i="13"/>
  <c r="P137" i="13"/>
  <c r="E1014" i="13"/>
  <c r="E986" i="13"/>
  <c r="E958" i="13"/>
  <c r="D329" i="13"/>
  <c r="D330" i="13"/>
  <c r="C19" i="13" s="1"/>
  <c r="D328" i="13"/>
  <c r="D137" i="13"/>
  <c r="I1017" i="13"/>
  <c r="I989" i="13"/>
  <c r="I1013" i="13"/>
  <c r="I969" i="13"/>
  <c r="I985" i="13"/>
  <c r="H996" i="13"/>
  <c r="H1024" i="13"/>
  <c r="E966" i="13"/>
  <c r="O329" i="13"/>
  <c r="O330" i="13"/>
  <c r="O19" i="13" s="1"/>
  <c r="O328" i="13"/>
  <c r="O137" i="13"/>
  <c r="H959" i="13"/>
  <c r="F523" i="13"/>
  <c r="I522" i="13"/>
  <c r="F327" i="13"/>
  <c r="AG1114" i="12"/>
  <c r="AG1112" i="12"/>
  <c r="AG1110" i="12"/>
  <c r="AG1108" i="12"/>
  <c r="AG1113" i="12"/>
  <c r="AG1106" i="12"/>
  <c r="AG1104" i="12"/>
  <c r="AG1102" i="12"/>
  <c r="AG1100" i="12"/>
  <c r="AG1111" i="12"/>
  <c r="AG1109" i="12"/>
  <c r="AG1107" i="12"/>
  <c r="AG1099" i="12"/>
  <c r="AG1097" i="12"/>
  <c r="AG1095" i="12"/>
  <c r="AG1093" i="12"/>
  <c r="AG1091" i="12"/>
  <c r="AG1103" i="12"/>
  <c r="AG1101" i="12"/>
  <c r="AG1096" i="12"/>
  <c r="AG1105" i="12"/>
  <c r="AG1094" i="12"/>
  <c r="AG1092" i="12"/>
  <c r="AG1098" i="12"/>
  <c r="E1015" i="12"/>
  <c r="E987" i="12"/>
  <c r="AR984" i="12"/>
  <c r="K1093" i="12"/>
  <c r="AJ1048" i="12"/>
  <c r="AJ1013" i="12"/>
  <c r="H1019" i="12"/>
  <c r="H991" i="12"/>
  <c r="I986" i="12"/>
  <c r="I1014" i="12"/>
  <c r="H1022" i="12"/>
  <c r="H994" i="12"/>
  <c r="B955" i="12"/>
  <c r="C19" i="12"/>
  <c r="C30" i="12"/>
  <c r="D963" i="12"/>
  <c r="N141" i="12"/>
  <c r="N64" i="12"/>
  <c r="AI1149" i="12"/>
  <c r="AI1150" i="12"/>
  <c r="E960" i="12"/>
  <c r="J331" i="12"/>
  <c r="J332" i="12"/>
  <c r="M330" i="12"/>
  <c r="J140" i="12"/>
  <c r="I967" i="12"/>
  <c r="E956" i="12"/>
  <c r="D332" i="12"/>
  <c r="D331" i="12"/>
  <c r="D140" i="12"/>
  <c r="H1011" i="12"/>
  <c r="H983" i="12"/>
  <c r="K1102" i="12"/>
  <c r="AJ1057" i="12"/>
  <c r="AJ1022" i="12"/>
  <c r="D961" i="12"/>
  <c r="K141" i="12"/>
  <c r="K64" i="12"/>
  <c r="C1012" i="12"/>
  <c r="C984" i="12"/>
  <c r="AP981" i="12"/>
  <c r="E959" i="12"/>
  <c r="H332" i="12"/>
  <c r="H331" i="12"/>
  <c r="H140" i="12"/>
  <c r="K1091" i="12"/>
  <c r="AJ1046" i="12"/>
  <c r="I1024" i="12"/>
  <c r="AJ1011" i="12"/>
  <c r="C964" i="12"/>
  <c r="O65" i="12"/>
  <c r="O29" i="12"/>
  <c r="H1013" i="12"/>
  <c r="H985" i="12"/>
  <c r="F1092" i="12"/>
  <c r="AF1047" i="12"/>
  <c r="AF1012" i="12"/>
  <c r="K1096" i="12"/>
  <c r="AJ1051" i="12"/>
  <c r="AJ1016" i="12"/>
  <c r="AI1123" i="12"/>
  <c r="AI1122" i="12"/>
  <c r="G1101" i="12"/>
  <c r="AG1056" i="12"/>
  <c r="AG1021" i="12"/>
  <c r="H1017" i="12"/>
  <c r="H989" i="12"/>
  <c r="H957" i="12"/>
  <c r="I522" i="12"/>
  <c r="R522" i="12" s="1"/>
  <c r="F523" i="12"/>
  <c r="F330" i="12"/>
  <c r="J1095" i="12"/>
  <c r="Z1095" i="12" s="1"/>
  <c r="AI1050" i="12"/>
  <c r="AI1015" i="12"/>
  <c r="AI949" i="12"/>
  <c r="E1020" i="12"/>
  <c r="AR989" i="12"/>
  <c r="E992" i="12"/>
  <c r="AK1024" i="12"/>
  <c r="D958" i="12"/>
  <c r="G141" i="12"/>
  <c r="G64" i="12"/>
  <c r="L1094" i="12"/>
  <c r="AK1014" i="12"/>
  <c r="AK1049" i="12"/>
  <c r="H1016" i="12"/>
  <c r="H988" i="12"/>
  <c r="D1021" i="12"/>
  <c r="D993" i="12"/>
  <c r="AQ990" i="12"/>
  <c r="J1100" i="12"/>
  <c r="Z1100" i="12" s="1"/>
  <c r="AI1020" i="12"/>
  <c r="AI1055" i="12"/>
  <c r="AI954" i="12"/>
  <c r="AJ1052" i="12"/>
  <c r="AJ1017" i="12"/>
  <c r="K1097" i="12"/>
  <c r="E1018" i="12"/>
  <c r="AR987" i="12"/>
  <c r="E990" i="12"/>
  <c r="E962" i="12"/>
  <c r="L331" i="12"/>
  <c r="L332" i="12"/>
  <c r="L140" i="12"/>
  <c r="E965" i="12"/>
  <c r="P332" i="12"/>
  <c r="P331" i="12"/>
  <c r="P140" i="12"/>
  <c r="E954" i="12"/>
  <c r="B331" i="12"/>
  <c r="B332" i="12"/>
  <c r="E330" i="12"/>
  <c r="B140" i="12"/>
  <c r="K1099" i="12"/>
  <c r="AJ1054" i="12"/>
  <c r="AJ1019" i="12"/>
  <c r="AK1059" i="12"/>
  <c r="J1098" i="12"/>
  <c r="Z1098" i="12" s="1"/>
  <c r="AI1018" i="12"/>
  <c r="AI1053" i="12"/>
  <c r="AI952" i="12"/>
  <c r="AK1021" i="11"/>
  <c r="AK986" i="11"/>
  <c r="L1066" i="11"/>
  <c r="C925" i="11"/>
  <c r="D65" i="11"/>
  <c r="D29" i="11"/>
  <c r="C934" i="11"/>
  <c r="P29" i="11"/>
  <c r="P65" i="11"/>
  <c r="E928" i="11"/>
  <c r="H319" i="11"/>
  <c r="H320" i="11"/>
  <c r="H133" i="11"/>
  <c r="AI1018" i="11"/>
  <c r="AI983" i="11"/>
  <c r="J1063" i="11"/>
  <c r="Z1063" i="11" s="1"/>
  <c r="AI917" i="11"/>
  <c r="I952" i="11"/>
  <c r="I980" i="11"/>
  <c r="C962" i="11"/>
  <c r="AP959" i="11"/>
  <c r="C990" i="11"/>
  <c r="D931" i="11"/>
  <c r="L134" i="11"/>
  <c r="L64" i="11"/>
  <c r="I989" i="11"/>
  <c r="I961" i="11"/>
  <c r="AI1121" i="11"/>
  <c r="AI1122" i="11"/>
  <c r="E924" i="11"/>
  <c r="C320" i="11"/>
  <c r="C319" i="11"/>
  <c r="C133" i="11"/>
  <c r="D991" i="11"/>
  <c r="D963" i="11"/>
  <c r="AQ960" i="11"/>
  <c r="H957" i="11"/>
  <c r="H985" i="11"/>
  <c r="K1061" i="11"/>
  <c r="AJ1016" i="11"/>
  <c r="AJ981" i="11"/>
  <c r="E955" i="11"/>
  <c r="E983" i="11"/>
  <c r="AR952" i="11"/>
  <c r="AI1095" i="11"/>
  <c r="AI1094" i="11"/>
  <c r="I930" i="11"/>
  <c r="I936" i="11" s="1"/>
  <c r="K543" i="11"/>
  <c r="K499" i="11"/>
  <c r="K498" i="11" s="1"/>
  <c r="K497" i="11" s="1"/>
  <c r="K496" i="11" s="1"/>
  <c r="K495" i="11" s="1"/>
  <c r="K494" i="11" s="1"/>
  <c r="K492" i="11"/>
  <c r="I986" i="11"/>
  <c r="I958" i="11"/>
  <c r="L1069" i="11"/>
  <c r="AK1024" i="11"/>
  <c r="AK989" i="11"/>
  <c r="H953" i="11"/>
  <c r="H981" i="11"/>
  <c r="E988" i="11"/>
  <c r="AR957" i="11"/>
  <c r="E960" i="11"/>
  <c r="L1060" i="11"/>
  <c r="AK1015" i="11"/>
  <c r="J993" i="11"/>
  <c r="AK980" i="11"/>
  <c r="AK1082" i="11"/>
  <c r="AK1075" i="11"/>
  <c r="AK1073" i="11"/>
  <c r="AK1071" i="11"/>
  <c r="AK1069" i="11"/>
  <c r="AK1080" i="11"/>
  <c r="AK1078" i="11"/>
  <c r="AK1083" i="11"/>
  <c r="AK1081" i="11"/>
  <c r="AK1076" i="11"/>
  <c r="AK1074" i="11"/>
  <c r="AK1072" i="11"/>
  <c r="AK1070" i="11"/>
  <c r="AK1079" i="11"/>
  <c r="AK1077" i="11"/>
  <c r="AK1068" i="11"/>
  <c r="AK1066" i="11"/>
  <c r="AK1064" i="11"/>
  <c r="AK1062" i="11"/>
  <c r="AK1060" i="11"/>
  <c r="AK1067" i="11"/>
  <c r="AK1065" i="11"/>
  <c r="AK1063" i="11"/>
  <c r="AK1061" i="11"/>
  <c r="F1070" i="11"/>
  <c r="AF1025" i="11"/>
  <c r="AF990" i="11"/>
  <c r="H923" i="11"/>
  <c r="B493" i="11"/>
  <c r="E492" i="11"/>
  <c r="B318" i="11"/>
  <c r="J1068" i="11"/>
  <c r="Z1068" i="11" s="1"/>
  <c r="AI1023" i="11"/>
  <c r="AI988" i="11"/>
  <c r="AI922" i="11"/>
  <c r="J1064" i="11"/>
  <c r="Z1064" i="11" s="1"/>
  <c r="AI1019" i="11"/>
  <c r="AI918" i="11"/>
  <c r="AI984" i="11"/>
  <c r="H932" i="11"/>
  <c r="Q492" i="11"/>
  <c r="N493" i="11"/>
  <c r="N318" i="11"/>
  <c r="D927" i="11"/>
  <c r="G134" i="11"/>
  <c r="G64" i="11"/>
  <c r="G1071" i="11"/>
  <c r="AG1026" i="11"/>
  <c r="AG991" i="11"/>
  <c r="J987" i="11"/>
  <c r="J959" i="11"/>
  <c r="B933" i="11"/>
  <c r="O19" i="11"/>
  <c r="O30" i="11"/>
  <c r="D926" i="11"/>
  <c r="F134" i="11"/>
  <c r="I133" i="11"/>
  <c r="F64" i="11"/>
  <c r="AJ1020" i="11"/>
  <c r="K1065" i="11"/>
  <c r="AJ985" i="11"/>
  <c r="M1067" i="11"/>
  <c r="AL987" i="11"/>
  <c r="AL1022" i="11"/>
  <c r="AL1028" i="11" s="1"/>
  <c r="AQ951" i="11"/>
  <c r="D982" i="11"/>
  <c r="D954" i="11"/>
  <c r="H929" i="11"/>
  <c r="J493" i="11"/>
  <c r="M492" i="11"/>
  <c r="J318" i="11"/>
  <c r="R542" i="11"/>
  <c r="AL993" i="11"/>
  <c r="G1062" i="11"/>
  <c r="AG1017" i="11"/>
  <c r="AG982" i="11"/>
  <c r="E984" i="11"/>
  <c r="E956" i="11"/>
  <c r="AR953" i="11"/>
  <c r="K1058" i="10"/>
  <c r="AJ1013" i="10"/>
  <c r="AJ978" i="10"/>
  <c r="AI1070" i="10"/>
  <c r="AI1063" i="10"/>
  <c r="AI1061" i="10"/>
  <c r="AI1059" i="10"/>
  <c r="AI1057" i="10"/>
  <c r="AI1068" i="10"/>
  <c r="AI1066" i="10"/>
  <c r="AI1067" i="10"/>
  <c r="AI1053" i="10"/>
  <c r="AI1056" i="10"/>
  <c r="AI1060" i="10"/>
  <c r="AI1058" i="10"/>
  <c r="AI1054" i="10"/>
  <c r="AI1065" i="10"/>
  <c r="AI1062" i="10"/>
  <c r="AI1071" i="10"/>
  <c r="AI1069" i="10"/>
  <c r="AI1064" i="10"/>
  <c r="AI1055" i="10"/>
  <c r="AI1052" i="10"/>
  <c r="AI1049" i="10"/>
  <c r="Z1049" i="10"/>
  <c r="AI1051" i="10"/>
  <c r="AI1048" i="10"/>
  <c r="AI1050" i="10"/>
  <c r="J977" i="10"/>
  <c r="J949" i="10"/>
  <c r="D916" i="10"/>
  <c r="H134" i="10"/>
  <c r="H64" i="10"/>
  <c r="L1051" i="10"/>
  <c r="AK971" i="10"/>
  <c r="AK1006" i="10"/>
  <c r="E968" i="10"/>
  <c r="AR937" i="10"/>
  <c r="E940" i="10"/>
  <c r="M1057" i="10"/>
  <c r="AL977" i="10"/>
  <c r="AL981" i="10" s="1"/>
  <c r="AL1012" i="10"/>
  <c r="AL1016" i="10" s="1"/>
  <c r="E921" i="10"/>
  <c r="O316" i="10"/>
  <c r="O317" i="10"/>
  <c r="O133" i="10"/>
  <c r="D922" i="10"/>
  <c r="P134" i="10"/>
  <c r="P64" i="10"/>
  <c r="I943" i="10"/>
  <c r="I971" i="10"/>
  <c r="E973" i="10"/>
  <c r="E945" i="10"/>
  <c r="AR942" i="10"/>
  <c r="H972" i="10"/>
  <c r="H944" i="10"/>
  <c r="AQ944" i="10"/>
  <c r="D975" i="10"/>
  <c r="D947" i="10"/>
  <c r="AI1097" i="10"/>
  <c r="AI1098" i="10"/>
  <c r="H978" i="10"/>
  <c r="H950" i="10"/>
  <c r="E915" i="10"/>
  <c r="G316" i="10"/>
  <c r="G317" i="10"/>
  <c r="G133" i="10"/>
  <c r="C918" i="10"/>
  <c r="K65" i="10"/>
  <c r="K29" i="10"/>
  <c r="I974" i="10"/>
  <c r="I946" i="10"/>
  <c r="J1053" i="10"/>
  <c r="Z1053" i="10" s="1"/>
  <c r="AI973" i="10"/>
  <c r="AI1008" i="10"/>
  <c r="AI907" i="10"/>
  <c r="G1055" i="10"/>
  <c r="AG1010" i="10"/>
  <c r="AG975" i="10"/>
  <c r="K1056" i="10"/>
  <c r="AJ1011" i="10"/>
  <c r="AJ976" i="10"/>
  <c r="E913" i="10"/>
  <c r="D316" i="10"/>
  <c r="D317" i="10"/>
  <c r="D133" i="10"/>
  <c r="G1049" i="10"/>
  <c r="AG969" i="10"/>
  <c r="AG1004" i="10"/>
  <c r="H976" i="10"/>
  <c r="H948" i="10"/>
  <c r="D911" i="10"/>
  <c r="E133" i="10"/>
  <c r="B134" i="10"/>
  <c r="B64" i="10"/>
  <c r="C912" i="10"/>
  <c r="C65" i="10"/>
  <c r="C29" i="10"/>
  <c r="E979" i="10"/>
  <c r="E951" i="10"/>
  <c r="AR948" i="10"/>
  <c r="K1052" i="10"/>
  <c r="AJ972" i="10"/>
  <c r="AJ1007" i="10"/>
  <c r="AK1009" i="10"/>
  <c r="L1054" i="10"/>
  <c r="AK974" i="10"/>
  <c r="E919" i="10"/>
  <c r="L317" i="10"/>
  <c r="L316" i="10"/>
  <c r="L133" i="10"/>
  <c r="I920" i="10"/>
  <c r="Q535" i="10"/>
  <c r="R535" i="10" s="1"/>
  <c r="N492" i="10"/>
  <c r="N491" i="10" s="1"/>
  <c r="N490" i="10" s="1"/>
  <c r="N489" i="10" s="1"/>
  <c r="N488" i="10" s="1"/>
  <c r="N487" i="10" s="1"/>
  <c r="N536" i="10"/>
  <c r="N485" i="10"/>
  <c r="K1050" i="10"/>
  <c r="AJ1005" i="10"/>
  <c r="AJ970" i="10"/>
  <c r="H917" i="10"/>
  <c r="J486" i="10"/>
  <c r="M485" i="10"/>
  <c r="J315" i="10"/>
  <c r="J1059" i="10"/>
  <c r="Z1059" i="10" s="1"/>
  <c r="AI979" i="10"/>
  <c r="AI913" i="10"/>
  <c r="AI1014" i="10"/>
  <c r="H914" i="10"/>
  <c r="F486" i="10"/>
  <c r="I485" i="10"/>
  <c r="F315" i="10"/>
  <c r="H970" i="10"/>
  <c r="H942" i="10"/>
  <c r="J1048" i="10"/>
  <c r="Z1048" i="10" s="1"/>
  <c r="AI1003" i="10"/>
  <c r="AI968" i="10"/>
  <c r="AI902" i="10"/>
  <c r="E315" i="10"/>
  <c r="D941" i="10"/>
  <c r="D969" i="10"/>
  <c r="AQ938" i="10"/>
  <c r="J981" i="10"/>
  <c r="E947" i="9"/>
  <c r="E919" i="9"/>
  <c r="AR916" i="9"/>
  <c r="L1031" i="9"/>
  <c r="AK986" i="9"/>
  <c r="AK951" i="9"/>
  <c r="K1022" i="9"/>
  <c r="AJ977" i="9"/>
  <c r="AJ942" i="9"/>
  <c r="I917" i="9"/>
  <c r="I945" i="9"/>
  <c r="H952" i="9"/>
  <c r="H924" i="9"/>
  <c r="D950" i="9"/>
  <c r="AQ919" i="9"/>
  <c r="D922" i="9"/>
  <c r="D896" i="9"/>
  <c r="P132" i="9"/>
  <c r="P64" i="9"/>
  <c r="I923" i="9"/>
  <c r="I951" i="9"/>
  <c r="AK1044" i="9"/>
  <c r="AK1037" i="9"/>
  <c r="AK1035" i="9"/>
  <c r="AK1033" i="9"/>
  <c r="AK1031" i="9"/>
  <c r="AK1042" i="9"/>
  <c r="AK1040" i="9"/>
  <c r="AK1045" i="9"/>
  <c r="AK1043" i="9"/>
  <c r="AK1038" i="9"/>
  <c r="AK1036" i="9"/>
  <c r="AK1034" i="9"/>
  <c r="AK1032" i="9"/>
  <c r="AK1041" i="9"/>
  <c r="AK1029" i="9"/>
  <c r="AK1027" i="9"/>
  <c r="AK1039" i="9"/>
  <c r="AK1030" i="9"/>
  <c r="AK1028" i="9"/>
  <c r="AK1026" i="9"/>
  <c r="AK1025" i="9"/>
  <c r="AK1023" i="9"/>
  <c r="AK1024" i="9"/>
  <c r="AK1022" i="9"/>
  <c r="K1032" i="9"/>
  <c r="AJ987" i="9"/>
  <c r="AJ952" i="9"/>
  <c r="E892" i="9"/>
  <c r="K311" i="9"/>
  <c r="K310" i="9"/>
  <c r="K131" i="9"/>
  <c r="H948" i="9"/>
  <c r="H920" i="9"/>
  <c r="B887" i="9"/>
  <c r="D30" i="9"/>
  <c r="D19" i="9"/>
  <c r="AK955" i="9"/>
  <c r="K1026" i="9"/>
  <c r="AJ981" i="9"/>
  <c r="AJ946" i="9"/>
  <c r="G1030" i="9"/>
  <c r="AG950" i="9"/>
  <c r="AG985" i="9"/>
  <c r="K1023" i="9"/>
  <c r="AJ978" i="9"/>
  <c r="AJ943" i="9"/>
  <c r="C893" i="9"/>
  <c r="L65" i="9"/>
  <c r="L29" i="9"/>
  <c r="F1024" i="9"/>
  <c r="AF979" i="9"/>
  <c r="AF944" i="9"/>
  <c r="L1025" i="9"/>
  <c r="AK980" i="9"/>
  <c r="AK945" i="9"/>
  <c r="E953" i="9"/>
  <c r="E925" i="9"/>
  <c r="AR922" i="9"/>
  <c r="H949" i="9"/>
  <c r="H921" i="9"/>
  <c r="J955" i="9"/>
  <c r="E889" i="9"/>
  <c r="G310" i="9"/>
  <c r="G311" i="9"/>
  <c r="G131" i="9"/>
  <c r="AI1074" i="9"/>
  <c r="AI1075" i="9"/>
  <c r="E885" i="9"/>
  <c r="B311" i="9"/>
  <c r="E309" i="9"/>
  <c r="B310" i="9"/>
  <c r="B131" i="9"/>
  <c r="H943" i="9"/>
  <c r="H915" i="9"/>
  <c r="J1027" i="9"/>
  <c r="Z1027" i="9" s="1"/>
  <c r="AI982" i="9"/>
  <c r="AI947" i="9"/>
  <c r="AI881" i="9"/>
  <c r="E886" i="9"/>
  <c r="C311" i="9"/>
  <c r="C310" i="9"/>
  <c r="C131" i="9"/>
  <c r="D890" i="9"/>
  <c r="H132" i="9"/>
  <c r="H64" i="9"/>
  <c r="C916" i="9"/>
  <c r="C944" i="9"/>
  <c r="AP913" i="9"/>
  <c r="H894" i="9"/>
  <c r="N472" i="9"/>
  <c r="Q471" i="9"/>
  <c r="N309" i="9"/>
  <c r="AK990" i="9"/>
  <c r="H888" i="9"/>
  <c r="I471" i="9"/>
  <c r="F472" i="9"/>
  <c r="F309" i="9"/>
  <c r="K1028" i="9"/>
  <c r="AJ983" i="9"/>
  <c r="AJ948" i="9"/>
  <c r="J1033" i="9"/>
  <c r="Z1033" i="9" s="1"/>
  <c r="AI988" i="9"/>
  <c r="AI953" i="9"/>
  <c r="AI887" i="9"/>
  <c r="H918" i="9"/>
  <c r="H946" i="9"/>
  <c r="E895" i="9"/>
  <c r="O311" i="9"/>
  <c r="O310" i="9"/>
  <c r="O131" i="9"/>
  <c r="K1029" i="9"/>
  <c r="AJ984" i="9"/>
  <c r="AJ949" i="9"/>
  <c r="R471" i="9"/>
  <c r="E891" i="9"/>
  <c r="J310" i="9"/>
  <c r="J311" i="9"/>
  <c r="M309" i="9"/>
  <c r="J131" i="9"/>
  <c r="H942" i="9"/>
  <c r="H898" i="9"/>
  <c r="H914" i="9"/>
  <c r="AG1115" i="12" l="1"/>
  <c r="AK1084" i="11"/>
  <c r="AI1072" i="10"/>
  <c r="AK1046" i="9"/>
  <c r="AI1012" i="14"/>
  <c r="F990" i="14"/>
  <c r="AF945" i="14"/>
  <c r="AF910" i="14"/>
  <c r="C888" i="14"/>
  <c r="C916" i="14"/>
  <c r="AP885" i="14"/>
  <c r="H914" i="14"/>
  <c r="H886" i="14"/>
  <c r="AK956" i="14"/>
  <c r="J995" i="14"/>
  <c r="AI950" i="14"/>
  <c r="AI915" i="14"/>
  <c r="AI849" i="14"/>
  <c r="K991" i="14"/>
  <c r="AJ946" i="14"/>
  <c r="AJ911" i="14"/>
  <c r="C860" i="14"/>
  <c r="N65" i="14"/>
  <c r="N29" i="14"/>
  <c r="AI948" i="14"/>
  <c r="J993" i="14"/>
  <c r="AI913" i="14"/>
  <c r="AI847" i="14"/>
  <c r="K994" i="14"/>
  <c r="AJ949" i="14"/>
  <c r="AJ914" i="14"/>
  <c r="B859" i="14"/>
  <c r="L19" i="14"/>
  <c r="L30" i="14"/>
  <c r="H880" i="14"/>
  <c r="H908" i="14"/>
  <c r="H864" i="14"/>
  <c r="D862" i="14"/>
  <c r="P131" i="14"/>
  <c r="P64" i="14"/>
  <c r="H911" i="14"/>
  <c r="H883" i="14"/>
  <c r="G992" i="14"/>
  <c r="AG947" i="14"/>
  <c r="AG912" i="14"/>
  <c r="J999" i="14"/>
  <c r="AI954" i="14"/>
  <c r="AI919" i="14"/>
  <c r="AI853" i="14"/>
  <c r="G65" i="14"/>
  <c r="C855" i="14"/>
  <c r="G29" i="14"/>
  <c r="J989" i="14"/>
  <c r="AI944" i="14"/>
  <c r="AI843" i="14"/>
  <c r="AI909" i="14"/>
  <c r="D852" i="14"/>
  <c r="C131" i="14"/>
  <c r="C64" i="14"/>
  <c r="K988" i="14"/>
  <c r="I921" i="14"/>
  <c r="AJ908" i="14"/>
  <c r="AJ943" i="14"/>
  <c r="D889" i="14"/>
  <c r="AQ886" i="14"/>
  <c r="D917" i="14"/>
  <c r="D856" i="14"/>
  <c r="H131" i="14"/>
  <c r="H64" i="14"/>
  <c r="D858" i="14"/>
  <c r="K131" i="14"/>
  <c r="K64" i="14"/>
  <c r="B853" i="14"/>
  <c r="D30" i="14"/>
  <c r="D19" i="14"/>
  <c r="C861" i="14"/>
  <c r="O65" i="14"/>
  <c r="O29" i="14"/>
  <c r="E857" i="14"/>
  <c r="J294" i="14"/>
  <c r="J295" i="14"/>
  <c r="M293" i="14"/>
  <c r="J130" i="14"/>
  <c r="D912" i="14"/>
  <c r="D884" i="14"/>
  <c r="AQ881" i="14"/>
  <c r="AR888" i="14"/>
  <c r="E891" i="14"/>
  <c r="E919" i="14"/>
  <c r="AG1007" i="14"/>
  <c r="AG1005" i="14"/>
  <c r="AG997" i="14"/>
  <c r="AG993" i="14"/>
  <c r="AG1010" i="14"/>
  <c r="AG1003" i="14"/>
  <c r="AG1001" i="14"/>
  <c r="AG999" i="14"/>
  <c r="AG1008" i="14"/>
  <c r="AG1006" i="14"/>
  <c r="AG995" i="14"/>
  <c r="AG994" i="14"/>
  <c r="AG1004" i="14"/>
  <c r="AG1011" i="14"/>
  <c r="AG988" i="14"/>
  <c r="AG1002" i="14"/>
  <c r="AG996" i="14"/>
  <c r="AG991" i="14"/>
  <c r="AG989" i="14"/>
  <c r="AG1000" i="14"/>
  <c r="AG992" i="14"/>
  <c r="AG998" i="14"/>
  <c r="AG1009" i="14"/>
  <c r="AG990" i="14"/>
  <c r="E909" i="14"/>
  <c r="E881" i="14"/>
  <c r="AR878" i="14"/>
  <c r="G998" i="14"/>
  <c r="AG918" i="14"/>
  <c r="AG953" i="14"/>
  <c r="F996" i="14"/>
  <c r="AF916" i="14"/>
  <c r="AF951" i="14"/>
  <c r="C910" i="14"/>
  <c r="C882" i="14"/>
  <c r="AP879" i="14"/>
  <c r="D890" i="14"/>
  <c r="D918" i="14"/>
  <c r="AQ887" i="14"/>
  <c r="E851" i="14"/>
  <c r="B295" i="14"/>
  <c r="E293" i="14"/>
  <c r="B294" i="14"/>
  <c r="B130" i="14"/>
  <c r="E885" i="14"/>
  <c r="E913" i="14"/>
  <c r="AR882" i="14"/>
  <c r="E854" i="14"/>
  <c r="I293" i="14"/>
  <c r="F294" i="14"/>
  <c r="F295" i="14"/>
  <c r="F130" i="14"/>
  <c r="G997" i="14"/>
  <c r="AG917" i="14"/>
  <c r="AG952" i="14"/>
  <c r="E915" i="14"/>
  <c r="E887" i="14"/>
  <c r="AR884" i="14"/>
  <c r="E959" i="13"/>
  <c r="F329" i="13"/>
  <c r="I327" i="13"/>
  <c r="F330" i="13"/>
  <c r="D19" i="13" s="1"/>
  <c r="F328" i="13"/>
  <c r="F137" i="13"/>
  <c r="E995" i="13"/>
  <c r="E1023" i="13"/>
  <c r="D958" i="13"/>
  <c r="D138" i="13"/>
  <c r="D66" i="13"/>
  <c r="E1018" i="13"/>
  <c r="E990" i="13"/>
  <c r="K19" i="13"/>
  <c r="C957" i="13"/>
  <c r="C67" i="13"/>
  <c r="C31" i="13"/>
  <c r="E1020" i="13"/>
  <c r="E992" i="13"/>
  <c r="E962" i="13"/>
  <c r="J330" i="13"/>
  <c r="J19" i="13" s="1"/>
  <c r="J328" i="13"/>
  <c r="J329" i="13"/>
  <c r="M327" i="13"/>
  <c r="J137" i="13"/>
  <c r="E1021" i="13"/>
  <c r="E993" i="13"/>
  <c r="H988" i="13"/>
  <c r="H1016" i="13"/>
  <c r="E996" i="13"/>
  <c r="E1024" i="13"/>
  <c r="E960" i="13"/>
  <c r="G329" i="13"/>
  <c r="G330" i="13"/>
  <c r="G19" i="13" s="1"/>
  <c r="G328" i="13"/>
  <c r="G137" i="13"/>
  <c r="E956" i="13"/>
  <c r="B330" i="13"/>
  <c r="B19" i="13" s="1"/>
  <c r="B328" i="13"/>
  <c r="B329" i="13"/>
  <c r="E327" i="13"/>
  <c r="B137" i="13"/>
  <c r="D1014" i="13"/>
  <c r="D986" i="13"/>
  <c r="D966" i="13"/>
  <c r="O138" i="13"/>
  <c r="O66" i="13"/>
  <c r="E987" i="13"/>
  <c r="E1015" i="13"/>
  <c r="R522" i="13"/>
  <c r="D961" i="13"/>
  <c r="H138" i="13"/>
  <c r="H66" i="13"/>
  <c r="C965" i="13"/>
  <c r="N67" i="13"/>
  <c r="Q66" i="13"/>
  <c r="N31" i="13"/>
  <c r="I1026" i="13"/>
  <c r="H1019" i="13"/>
  <c r="H991" i="13"/>
  <c r="H1017" i="13"/>
  <c r="H989" i="13"/>
  <c r="D963" i="13"/>
  <c r="K138" i="13"/>
  <c r="K66" i="13"/>
  <c r="Q137" i="13"/>
  <c r="N19" i="13"/>
  <c r="D964" i="13"/>
  <c r="L138" i="13"/>
  <c r="L66" i="13"/>
  <c r="H985" i="13"/>
  <c r="H1013" i="13"/>
  <c r="H1026" i="13" s="1"/>
  <c r="H969" i="13"/>
  <c r="H19" i="13"/>
  <c r="D967" i="13"/>
  <c r="P138" i="13"/>
  <c r="P66" i="13"/>
  <c r="D1022" i="13"/>
  <c r="D994" i="13"/>
  <c r="E1011" i="12"/>
  <c r="E983" i="12"/>
  <c r="AR980" i="12"/>
  <c r="E1019" i="12"/>
  <c r="AR988" i="12"/>
  <c r="E991" i="12"/>
  <c r="J1093" i="12"/>
  <c r="Z1093" i="12" s="1"/>
  <c r="AI1048" i="12"/>
  <c r="AI1013" i="12"/>
  <c r="AI947" i="12"/>
  <c r="D959" i="12"/>
  <c r="H141" i="12"/>
  <c r="H64" i="12"/>
  <c r="D956" i="12"/>
  <c r="D141" i="12"/>
  <c r="D64" i="12"/>
  <c r="J1099" i="12"/>
  <c r="Z1099" i="12" s="1"/>
  <c r="AI1019" i="12"/>
  <c r="AI1054" i="12"/>
  <c r="AI953" i="12"/>
  <c r="D965" i="12"/>
  <c r="P141" i="12"/>
  <c r="P64" i="12"/>
  <c r="G1100" i="12"/>
  <c r="AG1055" i="12"/>
  <c r="AG1020" i="12"/>
  <c r="H1014" i="12"/>
  <c r="H986" i="12"/>
  <c r="B964" i="12"/>
  <c r="O19" i="12"/>
  <c r="O30" i="12"/>
  <c r="D1018" i="12"/>
  <c r="D990" i="12"/>
  <c r="AQ987" i="12"/>
  <c r="E1017" i="12"/>
  <c r="E989" i="12"/>
  <c r="AR986" i="12"/>
  <c r="AI1146" i="12"/>
  <c r="AI1147" i="12"/>
  <c r="B984" i="12"/>
  <c r="B1012" i="12"/>
  <c r="AG946" i="12"/>
  <c r="AH946" i="12" s="1"/>
  <c r="AJ946" i="12" s="1"/>
  <c r="AL946" i="12" s="1"/>
  <c r="AN946" i="12"/>
  <c r="AO981" i="12"/>
  <c r="AT981" i="12" s="1"/>
  <c r="G1098" i="12"/>
  <c r="AG1053" i="12"/>
  <c r="AG1018" i="12"/>
  <c r="C958" i="12"/>
  <c r="G65" i="12"/>
  <c r="G29" i="12"/>
  <c r="J1097" i="12"/>
  <c r="Z1097" i="12" s="1"/>
  <c r="AI1052" i="12"/>
  <c r="AI951" i="12"/>
  <c r="AI1017" i="12"/>
  <c r="C1021" i="12"/>
  <c r="AP990" i="12"/>
  <c r="C993" i="12"/>
  <c r="E1016" i="12"/>
  <c r="E988" i="12"/>
  <c r="AR985" i="12"/>
  <c r="E1013" i="12"/>
  <c r="E985" i="12"/>
  <c r="AR982" i="12"/>
  <c r="D954" i="12"/>
  <c r="E140" i="12"/>
  <c r="B141" i="12"/>
  <c r="B64" i="12"/>
  <c r="E1022" i="12"/>
  <c r="E994" i="12"/>
  <c r="AR991" i="12"/>
  <c r="C963" i="12"/>
  <c r="Q64" i="12"/>
  <c r="N65" i="12"/>
  <c r="N29" i="12"/>
  <c r="J1102" i="12"/>
  <c r="Z1102" i="12" s="1"/>
  <c r="AI1022" i="12"/>
  <c r="AI1057" i="12"/>
  <c r="AI956" i="12"/>
  <c r="R330" i="12"/>
  <c r="D962" i="12"/>
  <c r="L141" i="12"/>
  <c r="L64" i="12"/>
  <c r="F1101" i="12"/>
  <c r="AF1056" i="12"/>
  <c r="AF1021" i="12"/>
  <c r="D1015" i="12"/>
  <c r="D987" i="12"/>
  <c r="AQ984" i="12"/>
  <c r="AI1131" i="12"/>
  <c r="AI1132" i="12"/>
  <c r="H967" i="12"/>
  <c r="D960" i="12"/>
  <c r="M140" i="12"/>
  <c r="J141" i="12"/>
  <c r="J64" i="12"/>
  <c r="Q140" i="12"/>
  <c r="K1094" i="12"/>
  <c r="AJ1049" i="12"/>
  <c r="AJ1014" i="12"/>
  <c r="AJ1024" i="12" s="1"/>
  <c r="E957" i="12"/>
  <c r="F332" i="12"/>
  <c r="I330" i="12"/>
  <c r="F331" i="12"/>
  <c r="F140" i="12"/>
  <c r="AF1114" i="12"/>
  <c r="AF1112" i="12"/>
  <c r="AF1107" i="12"/>
  <c r="AF1105" i="12"/>
  <c r="AF1103" i="12"/>
  <c r="AF1101" i="12"/>
  <c r="AF1099" i="12"/>
  <c r="AF1110" i="12"/>
  <c r="AF1108" i="12"/>
  <c r="AF1113" i="12"/>
  <c r="AF1106" i="12"/>
  <c r="AF1104" i="12"/>
  <c r="AF1102" i="12"/>
  <c r="AF1100" i="12"/>
  <c r="AF1111" i="12"/>
  <c r="AF1109" i="12"/>
  <c r="AF1094" i="12"/>
  <c r="AF1092" i="12"/>
  <c r="AF1097" i="12"/>
  <c r="AF1098" i="12"/>
  <c r="AF1096" i="12"/>
  <c r="AF1093" i="12"/>
  <c r="AF1095" i="12"/>
  <c r="AF1091" i="12"/>
  <c r="AJ1059" i="12"/>
  <c r="E1092" i="12"/>
  <c r="AE1047" i="12"/>
  <c r="AE1012" i="12"/>
  <c r="G1095" i="12"/>
  <c r="AG1050" i="12"/>
  <c r="AG1015" i="12"/>
  <c r="AI1140" i="12"/>
  <c r="AI1141" i="12"/>
  <c r="J1096" i="12"/>
  <c r="Z1096" i="12" s="1"/>
  <c r="AI1051" i="12"/>
  <c r="AI1016" i="12"/>
  <c r="AI950" i="12"/>
  <c r="C961" i="12"/>
  <c r="K65" i="12"/>
  <c r="K29" i="12"/>
  <c r="J1091" i="12"/>
  <c r="Z1091" i="12" s="1"/>
  <c r="AI1046" i="12"/>
  <c r="H1024" i="12"/>
  <c r="AI1011" i="12"/>
  <c r="AI945" i="12"/>
  <c r="D1020" i="12"/>
  <c r="AQ989" i="12"/>
  <c r="D992" i="12"/>
  <c r="C927" i="11"/>
  <c r="G65" i="11"/>
  <c r="G29" i="11"/>
  <c r="R492" i="11"/>
  <c r="AK1028" i="11"/>
  <c r="J1065" i="11"/>
  <c r="Z1065" i="11" s="1"/>
  <c r="AI985" i="11"/>
  <c r="AI1020" i="11"/>
  <c r="AI919" i="11"/>
  <c r="AR950" i="11"/>
  <c r="E981" i="11"/>
  <c r="E953" i="11"/>
  <c r="AE990" i="11"/>
  <c r="AE1025" i="11"/>
  <c r="E1070" i="11"/>
  <c r="AI1097" i="11"/>
  <c r="AI1098" i="11"/>
  <c r="B934" i="11"/>
  <c r="P19" i="11"/>
  <c r="P20" i="11" s="1"/>
  <c r="Q20" i="11" s="1"/>
  <c r="R20" i="11" s="1"/>
  <c r="P30" i="11"/>
  <c r="G1064" i="11"/>
  <c r="AG1019" i="11"/>
  <c r="AG984" i="11"/>
  <c r="C991" i="11"/>
  <c r="C963" i="11"/>
  <c r="AP960" i="11"/>
  <c r="B990" i="11"/>
  <c r="AO959" i="11"/>
  <c r="AT959" i="11" s="1"/>
  <c r="AG924" i="11"/>
  <c r="AH924" i="11" s="1"/>
  <c r="AJ924" i="11" s="1"/>
  <c r="AL924" i="11" s="1"/>
  <c r="B962" i="11"/>
  <c r="AN924" i="11"/>
  <c r="D984" i="11"/>
  <c r="D956" i="11"/>
  <c r="AQ953" i="11"/>
  <c r="E932" i="11"/>
  <c r="N320" i="11"/>
  <c r="N319" i="11"/>
  <c r="Q318" i="11"/>
  <c r="N133" i="11"/>
  <c r="K1066" i="11"/>
  <c r="AJ1021" i="11"/>
  <c r="AJ986" i="11"/>
  <c r="G1063" i="11"/>
  <c r="AG1018" i="11"/>
  <c r="AG983" i="11"/>
  <c r="D928" i="11"/>
  <c r="H134" i="11"/>
  <c r="H64" i="11"/>
  <c r="H986" i="11"/>
  <c r="H958" i="11"/>
  <c r="AI1100" i="11"/>
  <c r="AI1101" i="11"/>
  <c r="H952" i="11"/>
  <c r="H980" i="11"/>
  <c r="H936" i="11"/>
  <c r="B925" i="11"/>
  <c r="D19" i="11"/>
  <c r="D30" i="11"/>
  <c r="AF1017" i="11"/>
  <c r="AF982" i="11"/>
  <c r="F1062" i="11"/>
  <c r="C926" i="11"/>
  <c r="F29" i="11"/>
  <c r="I64" i="11"/>
  <c r="F65" i="11"/>
  <c r="L1067" i="11"/>
  <c r="AK1022" i="11"/>
  <c r="AK987" i="11"/>
  <c r="AK993" i="11" s="1"/>
  <c r="AG1023" i="11"/>
  <c r="AG988" i="11"/>
  <c r="G1068" i="11"/>
  <c r="H930" i="11"/>
  <c r="K493" i="11"/>
  <c r="K318" i="11"/>
  <c r="M318" i="11" s="1"/>
  <c r="F1071" i="11"/>
  <c r="AF1026" i="11"/>
  <c r="AF991" i="11"/>
  <c r="K1069" i="11"/>
  <c r="AJ1024" i="11"/>
  <c r="AJ989" i="11"/>
  <c r="C954" i="11"/>
  <c r="C982" i="11"/>
  <c r="AP951" i="11"/>
  <c r="AI1016" i="11"/>
  <c r="J1061" i="11"/>
  <c r="AI981" i="11"/>
  <c r="AI915" i="11"/>
  <c r="D924" i="11"/>
  <c r="C134" i="11"/>
  <c r="C64" i="11"/>
  <c r="C931" i="11"/>
  <c r="L29" i="11"/>
  <c r="L65" i="11"/>
  <c r="K1060" i="11"/>
  <c r="AJ1015" i="11"/>
  <c r="AJ980" i="11"/>
  <c r="H989" i="11"/>
  <c r="H961" i="11"/>
  <c r="AI1112" i="11"/>
  <c r="AI1113" i="11"/>
  <c r="E957" i="11"/>
  <c r="AR954" i="11"/>
  <c r="E985" i="11"/>
  <c r="E929" i="11"/>
  <c r="J320" i="11"/>
  <c r="J319" i="11"/>
  <c r="J133" i="11"/>
  <c r="D983" i="11"/>
  <c r="AQ952" i="11"/>
  <c r="D955" i="11"/>
  <c r="E923" i="11"/>
  <c r="B320" i="11"/>
  <c r="E318" i="11"/>
  <c r="B319" i="11"/>
  <c r="B133" i="11"/>
  <c r="I987" i="11"/>
  <c r="I993" i="11" s="1"/>
  <c r="I959" i="11"/>
  <c r="AJ1082" i="11"/>
  <c r="AJ1075" i="11"/>
  <c r="AJ1073" i="11"/>
  <c r="AJ1071" i="11"/>
  <c r="AJ1080" i="11"/>
  <c r="AJ1078" i="11"/>
  <c r="AJ1083" i="11"/>
  <c r="AJ1081" i="11"/>
  <c r="AJ1076" i="11"/>
  <c r="AJ1074" i="11"/>
  <c r="AJ1072" i="11"/>
  <c r="AJ1070" i="11"/>
  <c r="AJ1079" i="11"/>
  <c r="AJ1063" i="11"/>
  <c r="AJ1061" i="11"/>
  <c r="AJ1077" i="11"/>
  <c r="AJ1068" i="11"/>
  <c r="AJ1066" i="11"/>
  <c r="AJ1064" i="11"/>
  <c r="AJ1062" i="11"/>
  <c r="AJ1060" i="11"/>
  <c r="AJ1069" i="11"/>
  <c r="AJ1065" i="11"/>
  <c r="AJ1067" i="11"/>
  <c r="D960" i="11"/>
  <c r="D988" i="11"/>
  <c r="AQ957" i="11"/>
  <c r="AI1091" i="10"/>
  <c r="AI1092" i="10"/>
  <c r="C922" i="10"/>
  <c r="P65" i="10"/>
  <c r="P29" i="10"/>
  <c r="F1049" i="10"/>
  <c r="AF1004" i="10"/>
  <c r="AF969" i="10"/>
  <c r="D913" i="10"/>
  <c r="D134" i="10"/>
  <c r="D64" i="10"/>
  <c r="E944" i="10"/>
  <c r="E972" i="10"/>
  <c r="AR941" i="10"/>
  <c r="C916" i="10"/>
  <c r="H65" i="10"/>
  <c r="H29" i="10"/>
  <c r="AI1080" i="10"/>
  <c r="AI1079" i="10"/>
  <c r="I977" i="10"/>
  <c r="I949" i="10"/>
  <c r="C969" i="10"/>
  <c r="AP938" i="10"/>
  <c r="C941" i="10"/>
  <c r="F1055" i="10"/>
  <c r="AF1010" i="10"/>
  <c r="AF975" i="10"/>
  <c r="C911" i="10"/>
  <c r="B65" i="10"/>
  <c r="B29" i="10"/>
  <c r="I924" i="10"/>
  <c r="J1050" i="10"/>
  <c r="Z1050" i="10" s="1"/>
  <c r="AI970" i="10"/>
  <c r="AI1005" i="10"/>
  <c r="AI904" i="10"/>
  <c r="AI1109" i="10"/>
  <c r="AI1110" i="10"/>
  <c r="K1054" i="10"/>
  <c r="AJ1009" i="10"/>
  <c r="AJ974" i="10"/>
  <c r="J1052" i="10"/>
  <c r="Z1052" i="10" s="1"/>
  <c r="AI1007" i="10"/>
  <c r="AI972" i="10"/>
  <c r="AI906" i="10"/>
  <c r="D951" i="10"/>
  <c r="D979" i="10"/>
  <c r="AQ948" i="10"/>
  <c r="AI1076" i="10"/>
  <c r="AI1077" i="10"/>
  <c r="D919" i="10"/>
  <c r="L134" i="10"/>
  <c r="L64" i="10"/>
  <c r="AG1071" i="10"/>
  <c r="AG1069" i="10"/>
  <c r="AG1067" i="10"/>
  <c r="AG1065" i="10"/>
  <c r="AG1068" i="10"/>
  <c r="AG1066" i="10"/>
  <c r="AG1070" i="10"/>
  <c r="AG1057" i="10"/>
  <c r="AG1055" i="10"/>
  <c r="AG1053" i="10"/>
  <c r="AG1059" i="10"/>
  <c r="AG1056" i="10"/>
  <c r="AG1051" i="10"/>
  <c r="AG1049" i="10"/>
  <c r="AG1061" i="10"/>
  <c r="AG1060" i="10"/>
  <c r="AG1058" i="10"/>
  <c r="AG1063" i="10"/>
  <c r="AG1062" i="10"/>
  <c r="AG1064" i="10"/>
  <c r="AG1052" i="10"/>
  <c r="AG1048" i="10"/>
  <c r="AG1054" i="10"/>
  <c r="AG1050" i="10"/>
  <c r="E914" i="10"/>
  <c r="F316" i="10"/>
  <c r="F317" i="10"/>
  <c r="I315" i="10"/>
  <c r="F133" i="10"/>
  <c r="E917" i="10"/>
  <c r="J317" i="10"/>
  <c r="M315" i="10"/>
  <c r="J316" i="10"/>
  <c r="J133" i="10"/>
  <c r="H920" i="10"/>
  <c r="N486" i="10"/>
  <c r="Q485" i="10"/>
  <c r="N315" i="10"/>
  <c r="E948" i="10"/>
  <c r="E976" i="10"/>
  <c r="AR945" i="10"/>
  <c r="D968" i="10"/>
  <c r="AQ937" i="10"/>
  <c r="D940" i="10"/>
  <c r="B918" i="10"/>
  <c r="K19" i="10"/>
  <c r="K30" i="10"/>
  <c r="J1058" i="10"/>
  <c r="Z1058" i="10" s="1"/>
  <c r="AI978" i="10"/>
  <c r="AI1013" i="10"/>
  <c r="AI912" i="10"/>
  <c r="D921" i="10"/>
  <c r="O134" i="10"/>
  <c r="O64" i="10"/>
  <c r="D973" i="10"/>
  <c r="D945" i="10"/>
  <c r="AQ942" i="10"/>
  <c r="R485" i="10"/>
  <c r="G1059" i="10"/>
  <c r="AG1014" i="10"/>
  <c r="AG979" i="10"/>
  <c r="AR939" i="10"/>
  <c r="E970" i="10"/>
  <c r="E942" i="10"/>
  <c r="B912" i="10"/>
  <c r="C30" i="10"/>
  <c r="C19" i="10"/>
  <c r="J1056" i="10"/>
  <c r="Z1056" i="10" s="1"/>
  <c r="AI1011" i="10"/>
  <c r="AI976" i="10"/>
  <c r="AI910" i="10"/>
  <c r="C975" i="10"/>
  <c r="AP944" i="10"/>
  <c r="C947" i="10"/>
  <c r="AG1008" i="10"/>
  <c r="AG973" i="10"/>
  <c r="G1053" i="10"/>
  <c r="G1048" i="10"/>
  <c r="AG1003" i="10"/>
  <c r="AG968" i="10"/>
  <c r="L1057" i="10"/>
  <c r="AK1012" i="10"/>
  <c r="AK977" i="10"/>
  <c r="AK981" i="10" s="1"/>
  <c r="H971" i="10"/>
  <c r="H943" i="10"/>
  <c r="H974" i="10"/>
  <c r="H946" i="10"/>
  <c r="D915" i="10"/>
  <c r="G134" i="10"/>
  <c r="G64" i="10"/>
  <c r="K1051" i="10"/>
  <c r="AJ1006" i="10"/>
  <c r="AJ971" i="10"/>
  <c r="I981" i="10"/>
  <c r="E978" i="10"/>
  <c r="E950" i="10"/>
  <c r="AR947" i="10"/>
  <c r="AK1016" i="10"/>
  <c r="AI981" i="9"/>
  <c r="J1026" i="9"/>
  <c r="Z1026" i="9" s="1"/>
  <c r="AI946" i="9"/>
  <c r="AI880" i="9"/>
  <c r="D886" i="9"/>
  <c r="C132" i="9"/>
  <c r="C64" i="9"/>
  <c r="B944" i="9"/>
  <c r="AN878" i="9"/>
  <c r="B916" i="9"/>
  <c r="AO913" i="9"/>
  <c r="AT913" i="9" s="1"/>
  <c r="AG878" i="9"/>
  <c r="AH878" i="9" s="1"/>
  <c r="AJ878" i="9" s="1"/>
  <c r="AL878" i="9" s="1"/>
  <c r="E888" i="9"/>
  <c r="I309" i="9"/>
  <c r="F310" i="9"/>
  <c r="F311" i="9"/>
  <c r="F131" i="9"/>
  <c r="H923" i="9"/>
  <c r="H951" i="9"/>
  <c r="AI978" i="9"/>
  <c r="J1023" i="9"/>
  <c r="AI943" i="9"/>
  <c r="AI877" i="9"/>
  <c r="D889" i="9"/>
  <c r="G132" i="9"/>
  <c r="G64" i="9"/>
  <c r="B893" i="9"/>
  <c r="L19" i="9"/>
  <c r="L30" i="9"/>
  <c r="F1030" i="9"/>
  <c r="AF985" i="9"/>
  <c r="AF950" i="9"/>
  <c r="J1022" i="9"/>
  <c r="Z1022" i="9" s="1"/>
  <c r="AI942" i="9"/>
  <c r="AI977" i="9"/>
  <c r="AI876" i="9"/>
  <c r="D885" i="9"/>
  <c r="E131" i="9"/>
  <c r="B132" i="9"/>
  <c r="B64" i="9"/>
  <c r="G1033" i="9"/>
  <c r="AG988" i="9"/>
  <c r="AG953" i="9"/>
  <c r="J1028" i="9"/>
  <c r="Z1028" i="9" s="1"/>
  <c r="AI948" i="9"/>
  <c r="AI983" i="9"/>
  <c r="AI882" i="9"/>
  <c r="AJ986" i="9"/>
  <c r="K1031" i="9"/>
  <c r="AJ951" i="9"/>
  <c r="D891" i="9"/>
  <c r="M131" i="9"/>
  <c r="J132" i="9"/>
  <c r="J64" i="9"/>
  <c r="E1024" i="9"/>
  <c r="AE979" i="9"/>
  <c r="AE944" i="9"/>
  <c r="AR912" i="9"/>
  <c r="E943" i="9"/>
  <c r="E915" i="9"/>
  <c r="C922" i="9"/>
  <c r="AP919" i="9"/>
  <c r="C950" i="9"/>
  <c r="D892" i="9"/>
  <c r="K132" i="9"/>
  <c r="K64" i="9"/>
  <c r="J1032" i="9"/>
  <c r="Z1032" i="9" s="1"/>
  <c r="AI987" i="9"/>
  <c r="AI952" i="9"/>
  <c r="AI886" i="9"/>
  <c r="D895" i="9"/>
  <c r="O132" i="9"/>
  <c r="O64" i="9"/>
  <c r="H945" i="9"/>
  <c r="H955" i="9" s="1"/>
  <c r="H917" i="9"/>
  <c r="E946" i="9"/>
  <c r="AR915" i="9"/>
  <c r="E918" i="9"/>
  <c r="C896" i="9"/>
  <c r="P65" i="9"/>
  <c r="P29" i="9"/>
  <c r="K1025" i="9"/>
  <c r="AJ980" i="9"/>
  <c r="AJ990" i="9" s="1"/>
  <c r="AJ945" i="9"/>
  <c r="AI1083" i="9"/>
  <c r="AI1084" i="9"/>
  <c r="C890" i="9"/>
  <c r="H65" i="9"/>
  <c r="H29" i="9"/>
  <c r="E894" i="9"/>
  <c r="Q309" i="9"/>
  <c r="R309" i="9" s="1"/>
  <c r="N311" i="9"/>
  <c r="N310" i="9"/>
  <c r="N131" i="9"/>
  <c r="E942" i="9"/>
  <c r="E898" i="9"/>
  <c r="E914" i="9"/>
  <c r="AR911" i="9"/>
  <c r="AJ1044" i="9"/>
  <c r="AJ1037" i="9"/>
  <c r="AJ1035" i="9"/>
  <c r="AJ1033" i="9"/>
  <c r="AJ1042" i="9"/>
  <c r="AJ1040" i="9"/>
  <c r="AJ1039" i="9"/>
  <c r="AJ1034" i="9"/>
  <c r="AJ1032" i="9"/>
  <c r="AJ1028" i="9"/>
  <c r="AJ1026" i="9"/>
  <c r="AJ1024" i="9"/>
  <c r="AJ1022" i="9"/>
  <c r="AJ1041" i="9"/>
  <c r="AJ1029" i="9"/>
  <c r="AJ1038" i="9"/>
  <c r="AJ1045" i="9"/>
  <c r="AJ1036" i="9"/>
  <c r="AJ1031" i="9"/>
  <c r="AJ1025" i="9"/>
  <c r="AJ1023" i="9"/>
  <c r="AJ1027" i="9"/>
  <c r="AJ1030" i="9"/>
  <c r="AJ1043" i="9"/>
  <c r="E949" i="9"/>
  <c r="AR918" i="9"/>
  <c r="E921" i="9"/>
  <c r="D925" i="9"/>
  <c r="AQ922" i="9"/>
  <c r="D953" i="9"/>
  <c r="AJ955" i="9"/>
  <c r="E948" i="9"/>
  <c r="E920" i="9"/>
  <c r="AR917" i="9"/>
  <c r="AR921" i="9"/>
  <c r="E952" i="9"/>
  <c r="E924" i="9"/>
  <c r="D919" i="9"/>
  <c r="D947" i="9"/>
  <c r="AQ916" i="9"/>
  <c r="AI1065" i="9"/>
  <c r="AI1066" i="9"/>
  <c r="J1029" i="9"/>
  <c r="Z1029" i="9" s="1"/>
  <c r="AI984" i="9"/>
  <c r="AI949" i="9"/>
  <c r="AI883" i="9"/>
  <c r="I955" i="9"/>
  <c r="AG982" i="9"/>
  <c r="G1027" i="9"/>
  <c r="AG947" i="9"/>
  <c r="AF1115" i="12" l="1"/>
  <c r="AJ1084" i="11"/>
  <c r="AG1072" i="10"/>
  <c r="AJ1046" i="9"/>
  <c r="AG1012" i="14"/>
  <c r="AJ921" i="14"/>
  <c r="F992" i="14"/>
  <c r="AF947" i="14"/>
  <c r="AF912" i="14"/>
  <c r="AP887" i="14"/>
  <c r="C918" i="14"/>
  <c r="C890" i="14"/>
  <c r="B855" i="14"/>
  <c r="G30" i="14"/>
  <c r="G19" i="14"/>
  <c r="J988" i="14"/>
  <c r="AI943" i="14"/>
  <c r="AI908" i="14"/>
  <c r="H921" i="14"/>
  <c r="AI842" i="14"/>
  <c r="R293" i="14"/>
  <c r="E990" i="14"/>
  <c r="AE945" i="14"/>
  <c r="AE910" i="14"/>
  <c r="D857" i="14"/>
  <c r="J131" i="14"/>
  <c r="M130" i="14"/>
  <c r="J64" i="14"/>
  <c r="D913" i="14"/>
  <c r="D885" i="14"/>
  <c r="AQ882" i="14"/>
  <c r="C852" i="14"/>
  <c r="C65" i="14"/>
  <c r="C29" i="14"/>
  <c r="C884" i="14"/>
  <c r="C912" i="14"/>
  <c r="AP881" i="14"/>
  <c r="AI949" i="14"/>
  <c r="AI914" i="14"/>
  <c r="J994" i="14"/>
  <c r="AI848" i="14"/>
  <c r="G989" i="14"/>
  <c r="AG944" i="14"/>
  <c r="AG909" i="14"/>
  <c r="F997" i="14"/>
  <c r="AF917" i="14"/>
  <c r="AF952" i="14"/>
  <c r="G995" i="14"/>
  <c r="AG915" i="14"/>
  <c r="AG950" i="14"/>
  <c r="E911" i="14"/>
  <c r="E883" i="14"/>
  <c r="AR880" i="14"/>
  <c r="AR877" i="14"/>
  <c r="E908" i="14"/>
  <c r="E864" i="14"/>
  <c r="E880" i="14"/>
  <c r="G999" i="14"/>
  <c r="AG919" i="14"/>
  <c r="AG954" i="14"/>
  <c r="B910" i="14"/>
  <c r="B882" i="14"/>
  <c r="AG844" i="14"/>
  <c r="AH844" i="14" s="1"/>
  <c r="AJ844" i="14" s="1"/>
  <c r="AL844" i="14" s="1"/>
  <c r="AN844" i="14"/>
  <c r="AO879" i="14"/>
  <c r="AT879" i="14" s="1"/>
  <c r="AQ878" i="14"/>
  <c r="D909" i="14"/>
  <c r="D881" i="14"/>
  <c r="J991" i="14"/>
  <c r="AI946" i="14"/>
  <c r="AI911" i="14"/>
  <c r="AI845" i="14"/>
  <c r="E996" i="14"/>
  <c r="AE951" i="14"/>
  <c r="AE916" i="14"/>
  <c r="C858" i="14"/>
  <c r="K65" i="14"/>
  <c r="K29" i="14"/>
  <c r="C862" i="14"/>
  <c r="P65" i="14"/>
  <c r="P29" i="14"/>
  <c r="AO885" i="14"/>
  <c r="AT885" i="14" s="1"/>
  <c r="B916" i="14"/>
  <c r="B888" i="14"/>
  <c r="AN850" i="14"/>
  <c r="AG850" i="14"/>
  <c r="AH850" i="14" s="1"/>
  <c r="AJ850" i="14" s="1"/>
  <c r="AL850" i="14" s="1"/>
  <c r="Q64" i="14"/>
  <c r="G993" i="14"/>
  <c r="AG948" i="14"/>
  <c r="AG913" i="14"/>
  <c r="F998" i="14"/>
  <c r="AF953" i="14"/>
  <c r="AF918" i="14"/>
  <c r="E914" i="14"/>
  <c r="E886" i="14"/>
  <c r="AR883" i="14"/>
  <c r="AJ956" i="14"/>
  <c r="B860" i="14"/>
  <c r="N30" i="14"/>
  <c r="Q29" i="14"/>
  <c r="N19" i="14"/>
  <c r="B861" i="14"/>
  <c r="O30" i="14"/>
  <c r="O19" i="14"/>
  <c r="D915" i="14"/>
  <c r="D887" i="14"/>
  <c r="AQ884" i="14"/>
  <c r="D919" i="14"/>
  <c r="AQ888" i="14"/>
  <c r="D891" i="14"/>
  <c r="D854" i="14"/>
  <c r="I130" i="14"/>
  <c r="F131" i="14"/>
  <c r="F64" i="14"/>
  <c r="D851" i="14"/>
  <c r="B131" i="14"/>
  <c r="E130" i="14"/>
  <c r="B64" i="14"/>
  <c r="C856" i="14"/>
  <c r="H29" i="14"/>
  <c r="H65" i="14"/>
  <c r="AP886" i="14"/>
  <c r="C917" i="14"/>
  <c r="C889" i="14"/>
  <c r="AF1011" i="14"/>
  <c r="AF1009" i="14"/>
  <c r="AF1004" i="14"/>
  <c r="AF1002" i="14"/>
  <c r="AF1000" i="14"/>
  <c r="AF1007" i="14"/>
  <c r="AF996" i="14"/>
  <c r="AF994" i="14"/>
  <c r="AF998" i="14"/>
  <c r="AF1010" i="14"/>
  <c r="AF1003" i="14"/>
  <c r="AF1001" i="14"/>
  <c r="AF999" i="14"/>
  <c r="AF1008" i="14"/>
  <c r="AF1006" i="14"/>
  <c r="AF992" i="14"/>
  <c r="AF997" i="14"/>
  <c r="AF995" i="14"/>
  <c r="AF1005" i="14"/>
  <c r="AF991" i="14"/>
  <c r="AF988" i="14"/>
  <c r="AF1012" i="14" s="1"/>
  <c r="AF993" i="14"/>
  <c r="AF990" i="14"/>
  <c r="AF989" i="14"/>
  <c r="C964" i="13"/>
  <c r="L67" i="13"/>
  <c r="L31" i="13"/>
  <c r="C1022" i="13"/>
  <c r="C994" i="13"/>
  <c r="C1014" i="13"/>
  <c r="C986" i="13"/>
  <c r="C967" i="13"/>
  <c r="P31" i="13"/>
  <c r="P67" i="13"/>
  <c r="C961" i="13"/>
  <c r="H67" i="13"/>
  <c r="H31" i="13"/>
  <c r="D1023" i="13"/>
  <c r="D995" i="13"/>
  <c r="E1013" i="13"/>
  <c r="E985" i="13"/>
  <c r="E969" i="13"/>
  <c r="P19" i="13"/>
  <c r="D1021" i="13"/>
  <c r="D993" i="13"/>
  <c r="D960" i="13"/>
  <c r="G138" i="13"/>
  <c r="G66" i="13"/>
  <c r="E1019" i="13"/>
  <c r="E991" i="13"/>
  <c r="D959" i="13"/>
  <c r="F138" i="13"/>
  <c r="I137" i="13"/>
  <c r="F66" i="13"/>
  <c r="D996" i="13"/>
  <c r="D1024" i="13"/>
  <c r="D1018" i="13"/>
  <c r="D990" i="13"/>
  <c r="D956" i="13"/>
  <c r="E137" i="13"/>
  <c r="B138" i="13"/>
  <c r="B66" i="13"/>
  <c r="F19" i="13"/>
  <c r="C963" i="13"/>
  <c r="K67" i="13"/>
  <c r="K31" i="13"/>
  <c r="B965" i="13"/>
  <c r="N21" i="13"/>
  <c r="N32" i="13"/>
  <c r="R327" i="13"/>
  <c r="D962" i="13"/>
  <c r="J138" i="13"/>
  <c r="M137" i="13"/>
  <c r="J66" i="13"/>
  <c r="C958" i="13"/>
  <c r="D67" i="13"/>
  <c r="D31" i="13"/>
  <c r="E1017" i="13"/>
  <c r="E989" i="13"/>
  <c r="B957" i="13"/>
  <c r="C21" i="13"/>
  <c r="C32" i="13"/>
  <c r="D1020" i="13"/>
  <c r="D992" i="13"/>
  <c r="C966" i="13"/>
  <c r="O67" i="13"/>
  <c r="O31" i="13"/>
  <c r="D1015" i="13"/>
  <c r="D987" i="13"/>
  <c r="E988" i="13"/>
  <c r="E1016" i="13"/>
  <c r="F1100" i="12"/>
  <c r="AF1055" i="12"/>
  <c r="AF1020" i="12"/>
  <c r="C1018" i="12"/>
  <c r="AP987" i="12"/>
  <c r="C990" i="12"/>
  <c r="F1095" i="12"/>
  <c r="AF1050" i="12"/>
  <c r="AF1015" i="12"/>
  <c r="E1101" i="12"/>
  <c r="AE1056" i="12"/>
  <c r="AE1021" i="12"/>
  <c r="C965" i="12"/>
  <c r="P65" i="12"/>
  <c r="P29" i="12"/>
  <c r="AI1126" i="12"/>
  <c r="AI1125" i="12"/>
  <c r="D1013" i="12"/>
  <c r="AQ982" i="12"/>
  <c r="D985" i="12"/>
  <c r="E1014" i="12"/>
  <c r="E986" i="12"/>
  <c r="AR983" i="12"/>
  <c r="D1017" i="12"/>
  <c r="D989" i="12"/>
  <c r="AQ986" i="12"/>
  <c r="G1093" i="12"/>
  <c r="AG1048" i="12"/>
  <c r="AG1013" i="12"/>
  <c r="B1021" i="12"/>
  <c r="AO990" i="12"/>
  <c r="AT990" i="12" s="1"/>
  <c r="AG955" i="12"/>
  <c r="AH955" i="12" s="1"/>
  <c r="AJ955" i="12" s="1"/>
  <c r="AL955" i="12" s="1"/>
  <c r="AN955" i="12"/>
  <c r="B993" i="12"/>
  <c r="D1022" i="12"/>
  <c r="D994" i="12"/>
  <c r="AQ991" i="12"/>
  <c r="C959" i="12"/>
  <c r="H65" i="12"/>
  <c r="H29" i="12"/>
  <c r="AI1152" i="12"/>
  <c r="AI1153" i="12"/>
  <c r="G1102" i="12"/>
  <c r="AG1057" i="12"/>
  <c r="AG1022" i="12"/>
  <c r="G1099" i="12"/>
  <c r="AG1054" i="12"/>
  <c r="AG1019" i="12"/>
  <c r="AI1134" i="12"/>
  <c r="AI1135" i="12"/>
  <c r="AE1114" i="12"/>
  <c r="AS1114" i="12" s="1"/>
  <c r="AE1112" i="12"/>
  <c r="AS1112" i="12" s="1"/>
  <c r="AE1107" i="12"/>
  <c r="AS1107" i="12" s="1"/>
  <c r="AE1105" i="12"/>
  <c r="AS1105" i="12" s="1"/>
  <c r="AE1103" i="12"/>
  <c r="AS1103" i="12" s="1"/>
  <c r="AE1101" i="12"/>
  <c r="AS1101" i="12" s="1"/>
  <c r="AE1099" i="12"/>
  <c r="AS1099" i="12" s="1"/>
  <c r="AE1110" i="12"/>
  <c r="AS1110" i="12" s="1"/>
  <c r="AE1108" i="12"/>
  <c r="AS1108" i="12" s="1"/>
  <c r="AE1113" i="12"/>
  <c r="AS1113" i="12" s="1"/>
  <c r="AE1106" i="12"/>
  <c r="AS1106" i="12" s="1"/>
  <c r="AE1104" i="12"/>
  <c r="AS1104" i="12" s="1"/>
  <c r="AE1102" i="12"/>
  <c r="AS1102" i="12" s="1"/>
  <c r="AE1100" i="12"/>
  <c r="AS1100" i="12" s="1"/>
  <c r="AE1096" i="12"/>
  <c r="AS1096" i="12" s="1"/>
  <c r="U1092" i="12"/>
  <c r="AE1094" i="12"/>
  <c r="AS1094" i="12" s="1"/>
  <c r="AE1092" i="12"/>
  <c r="AS1092" i="12" s="1"/>
  <c r="AE1109" i="12"/>
  <c r="AS1109" i="12" s="1"/>
  <c r="AE1097" i="12"/>
  <c r="AS1097" i="12" s="1"/>
  <c r="AE1095" i="12"/>
  <c r="AS1095" i="12" s="1"/>
  <c r="AE1093" i="12"/>
  <c r="AS1093" i="12" s="1"/>
  <c r="AE1091" i="12"/>
  <c r="AE1111" i="12"/>
  <c r="AS1111" i="12" s="1"/>
  <c r="AE1098" i="12"/>
  <c r="AS1098" i="12" s="1"/>
  <c r="V1092" i="12"/>
  <c r="AF1122" i="12" s="1"/>
  <c r="T1092" i="12"/>
  <c r="W1092" i="12"/>
  <c r="AF1123" i="12" s="1"/>
  <c r="C962" i="12"/>
  <c r="L65" i="12"/>
  <c r="L29" i="12"/>
  <c r="B963" i="12"/>
  <c r="N19" i="12"/>
  <c r="N30" i="12"/>
  <c r="C954" i="12"/>
  <c r="E64" i="12"/>
  <c r="B65" i="12"/>
  <c r="B29" i="12"/>
  <c r="AI1137" i="12"/>
  <c r="AI1138" i="12"/>
  <c r="G1097" i="12"/>
  <c r="AG1052" i="12"/>
  <c r="AG1017" i="12"/>
  <c r="J1094" i="12"/>
  <c r="Z1094" i="12" s="1"/>
  <c r="AI1049" i="12"/>
  <c r="AI1059" i="12" s="1"/>
  <c r="AI1014" i="12"/>
  <c r="AI1024" i="12" s="1"/>
  <c r="AI948" i="12"/>
  <c r="AI958" i="12" s="1"/>
  <c r="D1016" i="12"/>
  <c r="D988" i="12"/>
  <c r="AQ985" i="12"/>
  <c r="AR993" i="12"/>
  <c r="AI1119" i="12"/>
  <c r="AI1120" i="12"/>
  <c r="G1096" i="12"/>
  <c r="AG1051" i="12"/>
  <c r="AG1016" i="12"/>
  <c r="B958" i="12"/>
  <c r="G30" i="12"/>
  <c r="G19" i="12"/>
  <c r="B961" i="12"/>
  <c r="K19" i="12"/>
  <c r="K30" i="12"/>
  <c r="D957" i="12"/>
  <c r="I140" i="12"/>
  <c r="F141" i="12"/>
  <c r="F64" i="12"/>
  <c r="D991" i="12"/>
  <c r="D1019" i="12"/>
  <c r="AQ988" i="12"/>
  <c r="R140" i="12"/>
  <c r="AD1047" i="12"/>
  <c r="AS1047" i="12" s="1"/>
  <c r="AD1012" i="12"/>
  <c r="AS1012" i="12" s="1"/>
  <c r="R1012" i="12"/>
  <c r="B1040" i="12" s="1"/>
  <c r="R1119" i="12"/>
  <c r="AI1143" i="12"/>
  <c r="AI1144" i="12"/>
  <c r="E967" i="12"/>
  <c r="C960" i="12"/>
  <c r="J65" i="12"/>
  <c r="M64" i="12"/>
  <c r="J29" i="12"/>
  <c r="C1020" i="12"/>
  <c r="C992" i="12"/>
  <c r="AP989" i="12"/>
  <c r="D1011" i="12"/>
  <c r="D983" i="12"/>
  <c r="AQ980" i="12"/>
  <c r="D967" i="12"/>
  <c r="C1015" i="12"/>
  <c r="C987" i="12"/>
  <c r="AP984" i="12"/>
  <c r="AF1053" i="12"/>
  <c r="F1098" i="12"/>
  <c r="AF1018" i="12"/>
  <c r="C956" i="12"/>
  <c r="D65" i="12"/>
  <c r="D29" i="12"/>
  <c r="G1091" i="12"/>
  <c r="AG1046" i="12"/>
  <c r="AG1011" i="12"/>
  <c r="D953" i="11"/>
  <c r="AQ950" i="11"/>
  <c r="D981" i="11"/>
  <c r="H987" i="11"/>
  <c r="H959" i="11"/>
  <c r="AO951" i="11"/>
  <c r="AT951" i="11" s="1"/>
  <c r="B982" i="11"/>
  <c r="AG916" i="11"/>
  <c r="AH916" i="11" s="1"/>
  <c r="AJ916" i="11" s="1"/>
  <c r="AL916" i="11" s="1"/>
  <c r="B954" i="11"/>
  <c r="AN916" i="11"/>
  <c r="C928" i="11"/>
  <c r="H29" i="11"/>
  <c r="H65" i="11"/>
  <c r="AF984" i="11"/>
  <c r="F1064" i="11"/>
  <c r="AF1019" i="11"/>
  <c r="E1071" i="11"/>
  <c r="AE991" i="11"/>
  <c r="AE1026" i="11"/>
  <c r="F1063" i="11"/>
  <c r="AF1018" i="11"/>
  <c r="AF983" i="11"/>
  <c r="B926" i="11"/>
  <c r="I29" i="11"/>
  <c r="F30" i="11"/>
  <c r="F19" i="11"/>
  <c r="D923" i="11"/>
  <c r="B134" i="11"/>
  <c r="E133" i="11"/>
  <c r="B64" i="11"/>
  <c r="D929" i="11"/>
  <c r="J134" i="11"/>
  <c r="J64" i="11"/>
  <c r="AP952" i="11"/>
  <c r="C983" i="11"/>
  <c r="C955" i="11"/>
  <c r="J1060" i="11"/>
  <c r="Z1060" i="11" s="1"/>
  <c r="AI1015" i="11"/>
  <c r="H993" i="11"/>
  <c r="AI980" i="11"/>
  <c r="AI914" i="11"/>
  <c r="D957" i="11"/>
  <c r="AQ954" i="11"/>
  <c r="D985" i="11"/>
  <c r="AI1103" i="11"/>
  <c r="AI1104" i="11"/>
  <c r="AI1077" i="11"/>
  <c r="AI1082" i="11"/>
  <c r="AI1075" i="11"/>
  <c r="AI1073" i="11"/>
  <c r="AI1071" i="11"/>
  <c r="AI1069" i="11"/>
  <c r="AI1080" i="11"/>
  <c r="AI1078" i="11"/>
  <c r="AI1083" i="11"/>
  <c r="AI1081" i="11"/>
  <c r="AI1076" i="11"/>
  <c r="AI1074" i="11"/>
  <c r="AI1072" i="11"/>
  <c r="AI1070" i="11"/>
  <c r="AI1068" i="11"/>
  <c r="AI1065" i="11"/>
  <c r="AI1063" i="11"/>
  <c r="AI1061" i="11"/>
  <c r="AI1079" i="11"/>
  <c r="AI1066" i="11"/>
  <c r="AI1067" i="11"/>
  <c r="AI1062" i="11"/>
  <c r="AI1064" i="11"/>
  <c r="Z1061" i="11"/>
  <c r="AI1060" i="11"/>
  <c r="R318" i="11"/>
  <c r="B931" i="11"/>
  <c r="L30" i="11"/>
  <c r="L19" i="11"/>
  <c r="U1070" i="11"/>
  <c r="W1070" i="11"/>
  <c r="AF1119" i="11" s="1"/>
  <c r="T1070" i="11"/>
  <c r="V1070" i="11"/>
  <c r="AF1118" i="11" s="1"/>
  <c r="AP957" i="11"/>
  <c r="C960" i="11"/>
  <c r="C988" i="11"/>
  <c r="AR958" i="11"/>
  <c r="E961" i="11"/>
  <c r="E989" i="11"/>
  <c r="R990" i="11"/>
  <c r="B1018" i="11" s="1"/>
  <c r="AD990" i="11"/>
  <c r="AS990" i="11" s="1"/>
  <c r="AD1025" i="11"/>
  <c r="AS1025" i="11" s="1"/>
  <c r="R1097" i="11"/>
  <c r="G1061" i="11"/>
  <c r="AG1016" i="11"/>
  <c r="AG981" i="11"/>
  <c r="B927" i="11"/>
  <c r="G19" i="11"/>
  <c r="G30" i="11"/>
  <c r="F1068" i="11"/>
  <c r="AF1023" i="11"/>
  <c r="AF988" i="11"/>
  <c r="E980" i="11"/>
  <c r="E952" i="11"/>
  <c r="AR949" i="11"/>
  <c r="E936" i="11"/>
  <c r="E986" i="11"/>
  <c r="E958" i="11"/>
  <c r="AR955" i="11"/>
  <c r="J1069" i="11"/>
  <c r="Z1069" i="11" s="1"/>
  <c r="AI989" i="11"/>
  <c r="AI1024" i="11"/>
  <c r="AI923" i="11"/>
  <c r="C924" i="11"/>
  <c r="C65" i="11"/>
  <c r="C29" i="11"/>
  <c r="E1062" i="11"/>
  <c r="AE1017" i="11"/>
  <c r="AE982" i="11"/>
  <c r="E930" i="11"/>
  <c r="K319" i="11"/>
  <c r="K320" i="11"/>
  <c r="K133" i="11"/>
  <c r="AO960" i="11"/>
  <c r="AT960" i="11" s="1"/>
  <c r="B991" i="11"/>
  <c r="B963" i="11"/>
  <c r="AN925" i="11"/>
  <c r="AG925" i="11"/>
  <c r="AH925" i="11" s="1"/>
  <c r="AJ925" i="11" s="1"/>
  <c r="AL925" i="11" s="1"/>
  <c r="K1067" i="11"/>
  <c r="AJ987" i="11"/>
  <c r="AJ993" i="11" s="1"/>
  <c r="AJ1022" i="11"/>
  <c r="AJ1028" i="11" s="1"/>
  <c r="D932" i="11"/>
  <c r="Q133" i="11"/>
  <c r="N134" i="11"/>
  <c r="N64" i="11"/>
  <c r="G1065" i="11"/>
  <c r="AG1020" i="11"/>
  <c r="AG985" i="11"/>
  <c r="J1066" i="11"/>
  <c r="Z1066" i="11" s="1"/>
  <c r="AI986" i="11"/>
  <c r="AI1021" i="11"/>
  <c r="AI920" i="11"/>
  <c r="C984" i="11"/>
  <c r="C956" i="11"/>
  <c r="AP953" i="11"/>
  <c r="J1054" i="10"/>
  <c r="Z1054" i="10" s="1"/>
  <c r="AI974" i="10"/>
  <c r="AI908" i="10"/>
  <c r="AI1009" i="10"/>
  <c r="G1058" i="10"/>
  <c r="AG1013" i="10"/>
  <c r="AG978" i="10"/>
  <c r="B969" i="10"/>
  <c r="AO938" i="10"/>
  <c r="AT938" i="10" s="1"/>
  <c r="AN903" i="10"/>
  <c r="AG903" i="10"/>
  <c r="AH903" i="10" s="1"/>
  <c r="AJ903" i="10" s="1"/>
  <c r="AL903" i="10" s="1"/>
  <c r="B941" i="10"/>
  <c r="D978" i="10"/>
  <c r="D950" i="10"/>
  <c r="AQ947" i="10"/>
  <c r="D914" i="10"/>
  <c r="I133" i="10"/>
  <c r="F134" i="10"/>
  <c r="F64" i="10"/>
  <c r="D976" i="10"/>
  <c r="AQ945" i="10"/>
  <c r="D948" i="10"/>
  <c r="AP937" i="10"/>
  <c r="C968" i="10"/>
  <c r="C940" i="10"/>
  <c r="K1057" i="10"/>
  <c r="AJ1012" i="10"/>
  <c r="AJ977" i="10"/>
  <c r="AJ981" i="10" s="1"/>
  <c r="G1052" i="10"/>
  <c r="AG1007" i="10"/>
  <c r="AG972" i="10"/>
  <c r="B922" i="10"/>
  <c r="P30" i="10"/>
  <c r="P19" i="10"/>
  <c r="H949" i="10"/>
  <c r="H977" i="10"/>
  <c r="H981" i="10" s="1"/>
  <c r="C913" i="10"/>
  <c r="D65" i="10"/>
  <c r="D29" i="10"/>
  <c r="AJ1016" i="10"/>
  <c r="AI1006" i="10"/>
  <c r="AI905" i="10"/>
  <c r="J1051" i="10"/>
  <c r="Z1051" i="10" s="1"/>
  <c r="AI971" i="10"/>
  <c r="F1048" i="10"/>
  <c r="AF968" i="10"/>
  <c r="AF1003" i="10"/>
  <c r="D917" i="10"/>
  <c r="M133" i="10"/>
  <c r="J134" i="10"/>
  <c r="J64" i="10"/>
  <c r="AI1083" i="10"/>
  <c r="AI1082" i="10"/>
  <c r="C979" i="10"/>
  <c r="AP948" i="10"/>
  <c r="C951" i="10"/>
  <c r="G1050" i="10"/>
  <c r="AG1005" i="10"/>
  <c r="AG970" i="10"/>
  <c r="AI1106" i="10"/>
  <c r="AI1107" i="10"/>
  <c r="E971" i="10"/>
  <c r="E943" i="10"/>
  <c r="AR940" i="10"/>
  <c r="F1059" i="10"/>
  <c r="AF979" i="10"/>
  <c r="AF1014" i="10"/>
  <c r="B916" i="10"/>
  <c r="H30" i="10"/>
  <c r="H19" i="10"/>
  <c r="D970" i="10"/>
  <c r="D942" i="10"/>
  <c r="AQ939" i="10"/>
  <c r="C915" i="10"/>
  <c r="G65" i="10"/>
  <c r="G29" i="10"/>
  <c r="AI1100" i="10"/>
  <c r="AI1101" i="10"/>
  <c r="F1053" i="10"/>
  <c r="AF1008" i="10"/>
  <c r="AF973" i="10"/>
  <c r="G1056" i="10"/>
  <c r="AG1011" i="10"/>
  <c r="AG976" i="10"/>
  <c r="B911" i="10"/>
  <c r="E29" i="10"/>
  <c r="B30" i="10"/>
  <c r="B19" i="10"/>
  <c r="AE1010" i="10"/>
  <c r="E1055" i="10"/>
  <c r="AE975" i="10"/>
  <c r="AI1088" i="10"/>
  <c r="AI1089" i="10"/>
  <c r="C921" i="10"/>
  <c r="O65" i="10"/>
  <c r="O29" i="10"/>
  <c r="C919" i="10"/>
  <c r="L65" i="10"/>
  <c r="L29" i="10"/>
  <c r="AE1004" i="10"/>
  <c r="AE969" i="10"/>
  <c r="E1049" i="10"/>
  <c r="C973" i="10"/>
  <c r="C945" i="10"/>
  <c r="AP942" i="10"/>
  <c r="D972" i="10"/>
  <c r="AQ941" i="10"/>
  <c r="D944" i="10"/>
  <c r="B975" i="10"/>
  <c r="B947" i="10"/>
  <c r="AG909" i="10"/>
  <c r="AH909" i="10" s="1"/>
  <c r="AJ909" i="10" s="1"/>
  <c r="AL909" i="10" s="1"/>
  <c r="AO944" i="10"/>
  <c r="AT944" i="10" s="1"/>
  <c r="AN909" i="10"/>
  <c r="E920" i="10"/>
  <c r="N316" i="10"/>
  <c r="N317" i="10"/>
  <c r="Q315" i="10"/>
  <c r="R315" i="10" s="1"/>
  <c r="N133" i="10"/>
  <c r="E946" i="10"/>
  <c r="AR943" i="10"/>
  <c r="E974" i="10"/>
  <c r="E64" i="10"/>
  <c r="AF1071" i="10"/>
  <c r="AF1069" i="10"/>
  <c r="AF1064" i="10"/>
  <c r="AF1062" i="10"/>
  <c r="AF1060" i="10"/>
  <c r="AF1058" i="10"/>
  <c r="AF1056" i="10"/>
  <c r="AF1067" i="10"/>
  <c r="AF1065" i="10"/>
  <c r="AF1070" i="10"/>
  <c r="AF1063" i="10"/>
  <c r="AF1061" i="10"/>
  <c r="AF1059" i="10"/>
  <c r="AF1057" i="10"/>
  <c r="AF1052" i="10"/>
  <c r="AF1050" i="10"/>
  <c r="AF1068" i="10"/>
  <c r="AF1053" i="10"/>
  <c r="AF1051" i="10"/>
  <c r="AF1066" i="10"/>
  <c r="AF1054" i="10"/>
  <c r="AF1049" i="10"/>
  <c r="AF1055" i="10"/>
  <c r="AF1048" i="10"/>
  <c r="H924" i="10"/>
  <c r="AI1071" i="9"/>
  <c r="AI1072" i="9"/>
  <c r="C891" i="9"/>
  <c r="M64" i="9"/>
  <c r="J29" i="9"/>
  <c r="J65" i="9"/>
  <c r="AD979" i="9"/>
  <c r="AS979" i="9" s="1"/>
  <c r="R944" i="9"/>
  <c r="B972" i="9" s="1"/>
  <c r="AD944" i="9"/>
  <c r="AS944" i="9" s="1"/>
  <c r="R1051" i="9"/>
  <c r="G1026" i="9"/>
  <c r="AG981" i="9"/>
  <c r="AG946" i="9"/>
  <c r="D942" i="9"/>
  <c r="D914" i="9"/>
  <c r="AQ911" i="9"/>
  <c r="C886" i="9"/>
  <c r="C65" i="9"/>
  <c r="C29" i="9"/>
  <c r="G1029" i="9"/>
  <c r="AG984" i="9"/>
  <c r="AG949" i="9"/>
  <c r="AI1068" i="9"/>
  <c r="AI1069" i="9"/>
  <c r="AI1039" i="9"/>
  <c r="AI1044" i="9"/>
  <c r="AI1037" i="9"/>
  <c r="AI1035" i="9"/>
  <c r="AI1033" i="9"/>
  <c r="AI1031" i="9"/>
  <c r="AI1042" i="9"/>
  <c r="AI1040" i="9"/>
  <c r="AI1041" i="9"/>
  <c r="AI1043" i="9"/>
  <c r="AI1030" i="9"/>
  <c r="AI1034" i="9"/>
  <c r="AI1032" i="9"/>
  <c r="AI1028" i="9"/>
  <c r="AI1026" i="9"/>
  <c r="AI1024" i="9"/>
  <c r="AI1022" i="9"/>
  <c r="AI1029" i="9"/>
  <c r="AI1038" i="9"/>
  <c r="AI1045" i="9"/>
  <c r="AI1027" i="9"/>
  <c r="Z1023" i="9"/>
  <c r="AI1036" i="9"/>
  <c r="AI1025" i="9"/>
  <c r="AI1023" i="9"/>
  <c r="E945" i="9"/>
  <c r="E955" i="9" s="1"/>
  <c r="E917" i="9"/>
  <c r="AR914" i="9"/>
  <c r="AR924" i="9" s="1"/>
  <c r="G1028" i="9"/>
  <c r="AG948" i="9"/>
  <c r="AG983" i="9"/>
  <c r="E951" i="9"/>
  <c r="AR920" i="9"/>
  <c r="E923" i="9"/>
  <c r="AI1080" i="9"/>
  <c r="AI1081" i="9"/>
  <c r="G1023" i="9"/>
  <c r="AG978" i="9"/>
  <c r="AG943" i="9"/>
  <c r="D948" i="9"/>
  <c r="D920" i="9"/>
  <c r="AQ917" i="9"/>
  <c r="D943" i="9"/>
  <c r="D915" i="9"/>
  <c r="AQ912" i="9"/>
  <c r="F1027" i="9"/>
  <c r="AF982" i="9"/>
  <c r="AF947" i="9"/>
  <c r="B890" i="9"/>
  <c r="H30" i="9"/>
  <c r="H19" i="9"/>
  <c r="B896" i="9"/>
  <c r="P30" i="9"/>
  <c r="P19" i="9"/>
  <c r="J1025" i="9"/>
  <c r="Z1025" i="9" s="1"/>
  <c r="AI980" i="9"/>
  <c r="AI990" i="9" s="1"/>
  <c r="AI945" i="9"/>
  <c r="AI955" i="9" s="1"/>
  <c r="AI879" i="9"/>
  <c r="AI889" i="9" s="1"/>
  <c r="C892" i="9"/>
  <c r="K65" i="9"/>
  <c r="K29" i="9"/>
  <c r="B950" i="9"/>
  <c r="AO919" i="9"/>
  <c r="AT919" i="9" s="1"/>
  <c r="B922" i="9"/>
  <c r="AG884" i="9"/>
  <c r="AH884" i="9" s="1"/>
  <c r="AJ884" i="9" s="1"/>
  <c r="AL884" i="9" s="1"/>
  <c r="AN884" i="9"/>
  <c r="J1031" i="9"/>
  <c r="Z1031" i="9" s="1"/>
  <c r="AI986" i="9"/>
  <c r="AI951" i="9"/>
  <c r="AI885" i="9"/>
  <c r="F1033" i="9"/>
  <c r="AF988" i="9"/>
  <c r="AF953" i="9"/>
  <c r="C895" i="9"/>
  <c r="O65" i="9"/>
  <c r="O29" i="9"/>
  <c r="C889" i="9"/>
  <c r="G65" i="9"/>
  <c r="G29" i="9"/>
  <c r="G1022" i="9"/>
  <c r="AG942" i="9"/>
  <c r="AG977" i="9"/>
  <c r="C947" i="9"/>
  <c r="AP916" i="9"/>
  <c r="C919" i="9"/>
  <c r="C953" i="9"/>
  <c r="C925" i="9"/>
  <c r="AP922" i="9"/>
  <c r="D921" i="9"/>
  <c r="D949" i="9"/>
  <c r="AQ918" i="9"/>
  <c r="C885" i="9"/>
  <c r="E64" i="9"/>
  <c r="B65" i="9"/>
  <c r="B29" i="9"/>
  <c r="AI1050" i="9"/>
  <c r="AI1051" i="9"/>
  <c r="D888" i="9"/>
  <c r="D898" i="9" s="1"/>
  <c r="F132" i="9"/>
  <c r="I131" i="9"/>
  <c r="R131" i="9" s="1"/>
  <c r="F64" i="9"/>
  <c r="AI1062" i="9"/>
  <c r="AI1063" i="9"/>
  <c r="G1032" i="9"/>
  <c r="AG987" i="9"/>
  <c r="AG952" i="9"/>
  <c r="D894" i="9"/>
  <c r="N132" i="9"/>
  <c r="Q131" i="9"/>
  <c r="N64" i="9"/>
  <c r="D924" i="9"/>
  <c r="D952" i="9"/>
  <c r="AQ921" i="9"/>
  <c r="E1030" i="9"/>
  <c r="AE985" i="9"/>
  <c r="AE950" i="9"/>
  <c r="V1024" i="9"/>
  <c r="AF1056" i="9" s="1"/>
  <c r="T1024" i="9"/>
  <c r="U1024" i="9"/>
  <c r="W1024" i="9"/>
  <c r="AF1057" i="9" s="1"/>
  <c r="D918" i="9"/>
  <c r="AQ915" i="9"/>
  <c r="D946" i="9"/>
  <c r="AI1084" i="11" l="1"/>
  <c r="AF1072" i="10"/>
  <c r="AI1046" i="9"/>
  <c r="R130" i="14"/>
  <c r="AI855" i="14"/>
  <c r="C851" i="14"/>
  <c r="E64" i="14"/>
  <c r="B65" i="14"/>
  <c r="B29" i="14"/>
  <c r="AO887" i="14"/>
  <c r="AT887" i="14" s="1"/>
  <c r="B918" i="14"/>
  <c r="AG852" i="14"/>
  <c r="AH852" i="14" s="1"/>
  <c r="AJ852" i="14" s="1"/>
  <c r="AL852" i="14" s="1"/>
  <c r="B890" i="14"/>
  <c r="AN852" i="14"/>
  <c r="G994" i="14"/>
  <c r="AG914" i="14"/>
  <c r="AG949" i="14"/>
  <c r="B858" i="14"/>
  <c r="K19" i="14"/>
  <c r="K30" i="14"/>
  <c r="AR890" i="14"/>
  <c r="AE1011" i="14"/>
  <c r="AS1011" i="14" s="1"/>
  <c r="AE1009" i="14"/>
  <c r="AS1009" i="14" s="1"/>
  <c r="AE1004" i="14"/>
  <c r="AS1004" i="14" s="1"/>
  <c r="AE1002" i="14"/>
  <c r="AS1002" i="14" s="1"/>
  <c r="AE1000" i="14"/>
  <c r="AS1000" i="14" s="1"/>
  <c r="AE995" i="14"/>
  <c r="AS995" i="14" s="1"/>
  <c r="AE1005" i="14"/>
  <c r="AS1005" i="14" s="1"/>
  <c r="AE997" i="14"/>
  <c r="AS997" i="14" s="1"/>
  <c r="AE1010" i="14"/>
  <c r="AS1010" i="14" s="1"/>
  <c r="AE1003" i="14"/>
  <c r="AS1003" i="14" s="1"/>
  <c r="AE1001" i="14"/>
  <c r="AS1001" i="14" s="1"/>
  <c r="AE999" i="14"/>
  <c r="AS999" i="14" s="1"/>
  <c r="AE1008" i="14"/>
  <c r="AS1008" i="14" s="1"/>
  <c r="AE1006" i="14"/>
  <c r="AS1006" i="14" s="1"/>
  <c r="AE993" i="14"/>
  <c r="AS993" i="14" s="1"/>
  <c r="AE991" i="14"/>
  <c r="AS991" i="14" s="1"/>
  <c r="AE1007" i="14"/>
  <c r="AS1007" i="14" s="1"/>
  <c r="AE992" i="14"/>
  <c r="AS992" i="14" s="1"/>
  <c r="AE994" i="14"/>
  <c r="AS994" i="14" s="1"/>
  <c r="AE998" i="14"/>
  <c r="AS998" i="14" s="1"/>
  <c r="AE990" i="14"/>
  <c r="AS990" i="14" s="1"/>
  <c r="AE988" i="14"/>
  <c r="AE989" i="14"/>
  <c r="AS989" i="14" s="1"/>
  <c r="AE996" i="14"/>
  <c r="AS996" i="14" s="1"/>
  <c r="T990" i="14"/>
  <c r="U990" i="14"/>
  <c r="F993" i="14"/>
  <c r="AF948" i="14"/>
  <c r="AF913" i="14"/>
  <c r="B912" i="14"/>
  <c r="AO881" i="14"/>
  <c r="AT881" i="14" s="1"/>
  <c r="B884" i="14"/>
  <c r="AN846" i="14"/>
  <c r="AG846" i="14"/>
  <c r="AH846" i="14" s="1"/>
  <c r="AJ846" i="14" s="1"/>
  <c r="AL846" i="14" s="1"/>
  <c r="AD910" i="14"/>
  <c r="AS910" i="14" s="1"/>
  <c r="AD945" i="14"/>
  <c r="AS945" i="14" s="1"/>
  <c r="R910" i="14"/>
  <c r="B938" i="14" s="1"/>
  <c r="R1017" i="14"/>
  <c r="F999" i="14"/>
  <c r="AF954" i="14"/>
  <c r="AF919" i="14"/>
  <c r="C915" i="14"/>
  <c r="AP884" i="14"/>
  <c r="C887" i="14"/>
  <c r="E992" i="14"/>
  <c r="AE947" i="14"/>
  <c r="AE912" i="14"/>
  <c r="C857" i="14"/>
  <c r="M64" i="14"/>
  <c r="J65" i="14"/>
  <c r="J29" i="14"/>
  <c r="E997" i="14"/>
  <c r="AE952" i="14"/>
  <c r="AE917" i="14"/>
  <c r="D908" i="14"/>
  <c r="D864" i="14"/>
  <c r="D880" i="14"/>
  <c r="AQ877" i="14"/>
  <c r="AD951" i="14"/>
  <c r="AS951" i="14" s="1"/>
  <c r="R916" i="14"/>
  <c r="B944" i="14" s="1"/>
  <c r="AD916" i="14"/>
  <c r="AS916" i="14" s="1"/>
  <c r="R1023" i="14"/>
  <c r="AF944" i="14"/>
  <c r="F989" i="14"/>
  <c r="AF909" i="14"/>
  <c r="G991" i="14"/>
  <c r="AG911" i="14"/>
  <c r="AG946" i="14"/>
  <c r="E998" i="14"/>
  <c r="AE953" i="14"/>
  <c r="AE918" i="14"/>
  <c r="C854" i="14"/>
  <c r="F65" i="14"/>
  <c r="F29" i="14"/>
  <c r="I64" i="14"/>
  <c r="B917" i="14"/>
  <c r="AO886" i="14"/>
  <c r="AT886" i="14" s="1"/>
  <c r="AN851" i="14"/>
  <c r="B889" i="14"/>
  <c r="AG851" i="14"/>
  <c r="AH851" i="14" s="1"/>
  <c r="AJ851" i="14" s="1"/>
  <c r="AL851" i="14" s="1"/>
  <c r="B852" i="14"/>
  <c r="C30" i="14"/>
  <c r="C19" i="14"/>
  <c r="AI921" i="14"/>
  <c r="F995" i="14"/>
  <c r="AF950" i="14"/>
  <c r="AF915" i="14"/>
  <c r="B862" i="14"/>
  <c r="P19" i="14"/>
  <c r="Q19" i="14" s="1"/>
  <c r="P30" i="14"/>
  <c r="U996" i="14"/>
  <c r="T996" i="14"/>
  <c r="D914" i="14"/>
  <c r="AQ883" i="14"/>
  <c r="D886" i="14"/>
  <c r="AI956" i="14"/>
  <c r="B856" i="14"/>
  <c r="H30" i="14"/>
  <c r="H19" i="14"/>
  <c r="C881" i="14"/>
  <c r="AP878" i="14"/>
  <c r="C909" i="14"/>
  <c r="C913" i="14"/>
  <c r="C885" i="14"/>
  <c r="AP882" i="14"/>
  <c r="D911" i="14"/>
  <c r="D883" i="14"/>
  <c r="AQ880" i="14"/>
  <c r="C891" i="14"/>
  <c r="C919" i="14"/>
  <c r="AP888" i="14"/>
  <c r="G988" i="14"/>
  <c r="E921" i="14"/>
  <c r="AG943" i="14"/>
  <c r="AG908" i="14"/>
  <c r="AG921" i="14" s="1"/>
  <c r="B966" i="13"/>
  <c r="O32" i="13"/>
  <c r="O21" i="13"/>
  <c r="D1019" i="13"/>
  <c r="D991" i="13"/>
  <c r="C1020" i="13"/>
  <c r="C992" i="13"/>
  <c r="C960" i="13"/>
  <c r="G67" i="13"/>
  <c r="G31" i="13"/>
  <c r="E1026" i="13"/>
  <c r="C1024" i="13"/>
  <c r="C996" i="13"/>
  <c r="C1023" i="13"/>
  <c r="C995" i="13"/>
  <c r="B958" i="13"/>
  <c r="D21" i="13"/>
  <c r="D32" i="13"/>
  <c r="C956" i="13"/>
  <c r="B67" i="13"/>
  <c r="E66" i="13"/>
  <c r="R66" i="13" s="1"/>
  <c r="B31" i="13"/>
  <c r="C959" i="13"/>
  <c r="F67" i="13"/>
  <c r="I66" i="13"/>
  <c r="F31" i="13"/>
  <c r="D989" i="13"/>
  <c r="D1017" i="13"/>
  <c r="Q21" i="13"/>
  <c r="B961" i="13"/>
  <c r="H21" i="13"/>
  <c r="H32" i="13"/>
  <c r="C1015" i="13"/>
  <c r="C987" i="13"/>
  <c r="Q31" i="13"/>
  <c r="R137" i="13"/>
  <c r="C962" i="13"/>
  <c r="J67" i="13"/>
  <c r="M66" i="13"/>
  <c r="J31" i="13"/>
  <c r="B994" i="13"/>
  <c r="B1022" i="13"/>
  <c r="R1022" i="13" s="1"/>
  <c r="D1013" i="13"/>
  <c r="D969" i="13"/>
  <c r="D985" i="13"/>
  <c r="D1016" i="13"/>
  <c r="D988" i="13"/>
  <c r="C1018" i="13"/>
  <c r="C990" i="13"/>
  <c r="B964" i="13"/>
  <c r="L32" i="13"/>
  <c r="L21" i="13"/>
  <c r="B963" i="13"/>
  <c r="K32" i="13"/>
  <c r="K21" i="13"/>
  <c r="B986" i="13"/>
  <c r="B1014" i="13"/>
  <c r="R1014" i="13" s="1"/>
  <c r="B967" i="13"/>
  <c r="P21" i="13"/>
  <c r="P22" i="13" s="1"/>
  <c r="Q22" i="13" s="1"/>
  <c r="R22" i="13" s="1"/>
  <c r="P32" i="13"/>
  <c r="C1021" i="13"/>
  <c r="C993" i="13"/>
  <c r="E1100" i="12"/>
  <c r="AE1055" i="12"/>
  <c r="AE1020" i="12"/>
  <c r="C957" i="12"/>
  <c r="I64" i="12"/>
  <c r="F65" i="12"/>
  <c r="F29" i="12"/>
  <c r="C1016" i="12"/>
  <c r="C988" i="12"/>
  <c r="AP985" i="12"/>
  <c r="R1021" i="12"/>
  <c r="B1049" i="12" s="1"/>
  <c r="AD1056" i="12"/>
  <c r="AS1056" i="12" s="1"/>
  <c r="AD1021" i="12"/>
  <c r="AS1021" i="12" s="1"/>
  <c r="R1128" i="12"/>
  <c r="B956" i="12"/>
  <c r="D30" i="12"/>
  <c r="D19" i="12"/>
  <c r="E1095" i="12"/>
  <c r="AE1015" i="12"/>
  <c r="AE1050" i="12"/>
  <c r="B960" i="12"/>
  <c r="J30" i="12"/>
  <c r="M29" i="12"/>
  <c r="J19" i="12"/>
  <c r="M19" i="12" s="1"/>
  <c r="B1067" i="12"/>
  <c r="C1040" i="12"/>
  <c r="C1067" i="12" s="1"/>
  <c r="B1015" i="12"/>
  <c r="AO984" i="12"/>
  <c r="AT984" i="12" s="1"/>
  <c r="B987" i="12"/>
  <c r="AG949" i="12"/>
  <c r="AH949" i="12" s="1"/>
  <c r="AJ949" i="12" s="1"/>
  <c r="AL949" i="12" s="1"/>
  <c r="AN949" i="12"/>
  <c r="G1094" i="12"/>
  <c r="AG1049" i="12"/>
  <c r="AG1014" i="12"/>
  <c r="B965" i="12"/>
  <c r="P19" i="12"/>
  <c r="Q19" i="12" s="1"/>
  <c r="P30" i="12"/>
  <c r="AU1012" i="12"/>
  <c r="D1040" i="12"/>
  <c r="F1096" i="12"/>
  <c r="AF1051" i="12"/>
  <c r="AF1016" i="12"/>
  <c r="Q29" i="12"/>
  <c r="C1013" i="12"/>
  <c r="C985" i="12"/>
  <c r="AP982" i="12"/>
  <c r="AQ993" i="12"/>
  <c r="D1014" i="12"/>
  <c r="D986" i="12"/>
  <c r="AQ983" i="12"/>
  <c r="B1020" i="12"/>
  <c r="AO989" i="12"/>
  <c r="AT989" i="12" s="1"/>
  <c r="AG954" i="12"/>
  <c r="AH954" i="12" s="1"/>
  <c r="AJ954" i="12" s="1"/>
  <c r="AL954" i="12" s="1"/>
  <c r="AN954" i="12"/>
  <c r="B992" i="12"/>
  <c r="F1102" i="12"/>
  <c r="AF1057" i="12"/>
  <c r="AF1022" i="12"/>
  <c r="C1022" i="12"/>
  <c r="C994" i="12"/>
  <c r="AP991" i="12"/>
  <c r="C989" i="12"/>
  <c r="AP986" i="12"/>
  <c r="C1017" i="12"/>
  <c r="B954" i="12"/>
  <c r="B30" i="12"/>
  <c r="E29" i="12"/>
  <c r="B19" i="12"/>
  <c r="E19" i="12" s="1"/>
  <c r="B962" i="12"/>
  <c r="L30" i="12"/>
  <c r="L19" i="12"/>
  <c r="AE1115" i="12"/>
  <c r="AS1091" i="12"/>
  <c r="E1098" i="12"/>
  <c r="AE1053" i="12"/>
  <c r="AE1018" i="12"/>
  <c r="AG1024" i="12"/>
  <c r="F1091" i="12"/>
  <c r="AF1046" i="12"/>
  <c r="D1024" i="12"/>
  <c r="AF1011" i="12"/>
  <c r="F1093" i="12"/>
  <c r="AF1048" i="12"/>
  <c r="AF1013" i="12"/>
  <c r="E1024" i="12"/>
  <c r="F1099" i="12"/>
  <c r="AF1054" i="12"/>
  <c r="AF1019" i="12"/>
  <c r="B1018" i="12"/>
  <c r="AO987" i="12"/>
  <c r="AT987" i="12" s="1"/>
  <c r="AG952" i="12"/>
  <c r="AH952" i="12" s="1"/>
  <c r="AJ952" i="12" s="1"/>
  <c r="AL952" i="12" s="1"/>
  <c r="B990" i="12"/>
  <c r="AN952" i="12"/>
  <c r="AI1128" i="12"/>
  <c r="AI1129" i="12"/>
  <c r="R64" i="12"/>
  <c r="AP988" i="12"/>
  <c r="C991" i="12"/>
  <c r="C1019" i="12"/>
  <c r="B959" i="12"/>
  <c r="H30" i="12"/>
  <c r="H19" i="12"/>
  <c r="F1097" i="12"/>
  <c r="AF1052" i="12"/>
  <c r="AF1017" i="12"/>
  <c r="W1101" i="12"/>
  <c r="AF1150" i="12" s="1"/>
  <c r="V1101" i="12"/>
  <c r="AF1149" i="12" s="1"/>
  <c r="U1101" i="12"/>
  <c r="T1101" i="12"/>
  <c r="AG1059" i="12"/>
  <c r="C967" i="12"/>
  <c r="AP980" i="12"/>
  <c r="C983" i="12"/>
  <c r="C1011" i="12"/>
  <c r="B1045" i="11"/>
  <c r="C1018" i="11"/>
  <c r="C1045" i="11" s="1"/>
  <c r="AI1091" i="11"/>
  <c r="AI1092" i="11"/>
  <c r="D958" i="11"/>
  <c r="AQ955" i="11"/>
  <c r="D986" i="11"/>
  <c r="B955" i="11"/>
  <c r="AO952" i="11"/>
  <c r="AT952" i="11" s="1"/>
  <c r="AG917" i="11"/>
  <c r="AH917" i="11" s="1"/>
  <c r="AJ917" i="11" s="1"/>
  <c r="AL917" i="11" s="1"/>
  <c r="AN917" i="11"/>
  <c r="B983" i="11"/>
  <c r="AD982" i="11"/>
  <c r="AS982" i="11" s="1"/>
  <c r="R982" i="11"/>
  <c r="B1010" i="11" s="1"/>
  <c r="AD1017" i="11"/>
  <c r="AS1017" i="11" s="1"/>
  <c r="R1089" i="11"/>
  <c r="C981" i="11"/>
  <c r="C953" i="11"/>
  <c r="AP950" i="11"/>
  <c r="E1064" i="11"/>
  <c r="AE984" i="11"/>
  <c r="AE1019" i="11"/>
  <c r="E987" i="11"/>
  <c r="AR956" i="11"/>
  <c r="AR962" i="11" s="1"/>
  <c r="E959" i="11"/>
  <c r="AO953" i="11"/>
  <c r="AT953" i="11" s="1"/>
  <c r="B984" i="11"/>
  <c r="B956" i="11"/>
  <c r="AG918" i="11"/>
  <c r="AH918" i="11" s="1"/>
  <c r="AJ918" i="11" s="1"/>
  <c r="AL918" i="11" s="1"/>
  <c r="AN918" i="11"/>
  <c r="AG1024" i="11"/>
  <c r="AG989" i="11"/>
  <c r="G1069" i="11"/>
  <c r="AI1088" i="11"/>
  <c r="AI1089" i="11"/>
  <c r="C923" i="11"/>
  <c r="E64" i="11"/>
  <c r="B65" i="11"/>
  <c r="B29" i="11"/>
  <c r="D1018" i="11"/>
  <c r="AU990" i="11"/>
  <c r="C932" i="11"/>
  <c r="N65" i="11"/>
  <c r="Q64" i="11"/>
  <c r="N29" i="11"/>
  <c r="G1060" i="11"/>
  <c r="AG1015" i="11"/>
  <c r="E993" i="11"/>
  <c r="AG980" i="11"/>
  <c r="F1065" i="11"/>
  <c r="AF985" i="11"/>
  <c r="AF1020" i="11"/>
  <c r="AI1115" i="11"/>
  <c r="AI1116" i="11"/>
  <c r="E1063" i="11"/>
  <c r="AE1018" i="11"/>
  <c r="AE983" i="11"/>
  <c r="B928" i="11"/>
  <c r="H30" i="11"/>
  <c r="H19" i="11"/>
  <c r="J1067" i="11"/>
  <c r="Z1067" i="11" s="1"/>
  <c r="AI987" i="11"/>
  <c r="AI1022" i="11"/>
  <c r="AI1028" i="11" s="1"/>
  <c r="AI921" i="11"/>
  <c r="AD991" i="11"/>
  <c r="AS991" i="11" s="1"/>
  <c r="R991" i="11"/>
  <c r="B1019" i="11" s="1"/>
  <c r="AD1026" i="11"/>
  <c r="AS1026" i="11" s="1"/>
  <c r="R1098" i="11"/>
  <c r="V1062" i="11"/>
  <c r="AF1094" i="11" s="1"/>
  <c r="T1062" i="11"/>
  <c r="U1062" i="11"/>
  <c r="W1062" i="11"/>
  <c r="AF1095" i="11" s="1"/>
  <c r="AG1083" i="11"/>
  <c r="AG1081" i="11"/>
  <c r="AG1076" i="11"/>
  <c r="AG1074" i="11"/>
  <c r="AG1072" i="11"/>
  <c r="AG1070" i="11"/>
  <c r="AG1079" i="11"/>
  <c r="AG1077" i="11"/>
  <c r="AG1082" i="11"/>
  <c r="AG1075" i="11"/>
  <c r="AG1073" i="11"/>
  <c r="AG1071" i="11"/>
  <c r="AG1069" i="11"/>
  <c r="AG1080" i="11"/>
  <c r="AG1078" i="11"/>
  <c r="AG1067" i="11"/>
  <c r="AG1065" i="11"/>
  <c r="AG1063" i="11"/>
  <c r="AG1061" i="11"/>
  <c r="AG1068" i="11"/>
  <c r="AG1066" i="11"/>
  <c r="AG1064" i="11"/>
  <c r="AG1060" i="11"/>
  <c r="AG1062" i="11"/>
  <c r="AE1023" i="11"/>
  <c r="AE988" i="11"/>
  <c r="E1068" i="11"/>
  <c r="D980" i="11"/>
  <c r="D952" i="11"/>
  <c r="AQ949" i="11"/>
  <c r="C985" i="11"/>
  <c r="AP954" i="11"/>
  <c r="C957" i="11"/>
  <c r="F1061" i="11"/>
  <c r="AF1016" i="11"/>
  <c r="AF981" i="11"/>
  <c r="AI1106" i="11"/>
  <c r="AI1107" i="11"/>
  <c r="D989" i="11"/>
  <c r="D961" i="11"/>
  <c r="AQ958" i="11"/>
  <c r="B924" i="11"/>
  <c r="C30" i="11"/>
  <c r="C19" i="11"/>
  <c r="B988" i="11"/>
  <c r="AO957" i="11"/>
  <c r="AT957" i="11" s="1"/>
  <c r="AG922" i="11"/>
  <c r="AH922" i="11" s="1"/>
  <c r="AJ922" i="11" s="1"/>
  <c r="AL922" i="11" s="1"/>
  <c r="B960" i="11"/>
  <c r="AN922" i="11"/>
  <c r="AI927" i="11"/>
  <c r="C929" i="11"/>
  <c r="M64" i="11"/>
  <c r="J65" i="11"/>
  <c r="J29" i="11"/>
  <c r="I19" i="11"/>
  <c r="D930" i="11"/>
  <c r="K134" i="11"/>
  <c r="K64" i="11"/>
  <c r="G1066" i="11"/>
  <c r="AG1021" i="11"/>
  <c r="AG986" i="11"/>
  <c r="AI993" i="11"/>
  <c r="M133" i="11"/>
  <c r="R133" i="11" s="1"/>
  <c r="W1071" i="11"/>
  <c r="AF1122" i="11" s="1"/>
  <c r="U1071" i="11"/>
  <c r="V1071" i="11"/>
  <c r="AF1121" i="11" s="1"/>
  <c r="T1071" i="11"/>
  <c r="D920" i="10"/>
  <c r="N134" i="10"/>
  <c r="Q133" i="10"/>
  <c r="N64" i="10"/>
  <c r="C917" i="10"/>
  <c r="M64" i="10"/>
  <c r="J29" i="10"/>
  <c r="J65" i="10"/>
  <c r="E19" i="10"/>
  <c r="AE1071" i="10"/>
  <c r="AS1071" i="10" s="1"/>
  <c r="AE1069" i="10"/>
  <c r="AS1069" i="10" s="1"/>
  <c r="AE1064" i="10"/>
  <c r="AS1064" i="10" s="1"/>
  <c r="AE1062" i="10"/>
  <c r="AS1062" i="10" s="1"/>
  <c r="AE1060" i="10"/>
  <c r="AS1060" i="10" s="1"/>
  <c r="AE1058" i="10"/>
  <c r="AS1058" i="10" s="1"/>
  <c r="AE1056" i="10"/>
  <c r="AS1056" i="10" s="1"/>
  <c r="AE1067" i="10"/>
  <c r="AS1067" i="10" s="1"/>
  <c r="AE1068" i="10"/>
  <c r="AS1068" i="10" s="1"/>
  <c r="AE1066" i="10"/>
  <c r="AS1066" i="10" s="1"/>
  <c r="AE1070" i="10"/>
  <c r="AS1070" i="10" s="1"/>
  <c r="AE1057" i="10"/>
  <c r="AS1057" i="10" s="1"/>
  <c r="AE1055" i="10"/>
  <c r="AS1055" i="10" s="1"/>
  <c r="V1049" i="10"/>
  <c r="AF1079" i="10" s="1"/>
  <c r="AE1059" i="10"/>
  <c r="AS1059" i="10" s="1"/>
  <c r="AE1053" i="10"/>
  <c r="AS1053" i="10" s="1"/>
  <c r="AE1065" i="10"/>
  <c r="AS1065" i="10" s="1"/>
  <c r="AE1061" i="10"/>
  <c r="AS1061" i="10" s="1"/>
  <c r="AE1063" i="10"/>
  <c r="AS1063" i="10" s="1"/>
  <c r="AE1049" i="10"/>
  <c r="AS1049" i="10" s="1"/>
  <c r="AE1054" i="10"/>
  <c r="AS1054" i="10" s="1"/>
  <c r="AE1050" i="10"/>
  <c r="AS1050" i="10" s="1"/>
  <c r="T1049" i="10"/>
  <c r="U1049" i="10"/>
  <c r="AE1052" i="10"/>
  <c r="AS1052" i="10" s="1"/>
  <c r="AE1048" i="10"/>
  <c r="AE1051" i="10"/>
  <c r="AS1051" i="10" s="1"/>
  <c r="W1049" i="10"/>
  <c r="AF1080" i="10" s="1"/>
  <c r="AP947" i="10"/>
  <c r="C950" i="10"/>
  <c r="C978" i="10"/>
  <c r="AR950" i="10"/>
  <c r="F1056" i="10"/>
  <c r="AF1011" i="10"/>
  <c r="AF976" i="10"/>
  <c r="E1053" i="10"/>
  <c r="AE1008" i="10"/>
  <c r="AE973" i="10"/>
  <c r="F1058" i="10"/>
  <c r="AF1013" i="10"/>
  <c r="AF978" i="10"/>
  <c r="AF1005" i="10"/>
  <c r="F1050" i="10"/>
  <c r="AF970" i="10"/>
  <c r="D974" i="10"/>
  <c r="D946" i="10"/>
  <c r="AQ943" i="10"/>
  <c r="C914" i="10"/>
  <c r="F65" i="10"/>
  <c r="I64" i="10"/>
  <c r="F29" i="10"/>
  <c r="J1057" i="10"/>
  <c r="Z1057" i="10" s="1"/>
  <c r="AI977" i="10"/>
  <c r="AI911" i="10"/>
  <c r="AI915" i="10" s="1"/>
  <c r="AI1012" i="10"/>
  <c r="AI1016" i="10" s="1"/>
  <c r="E977" i="10"/>
  <c r="E981" i="10" s="1"/>
  <c r="E949" i="10"/>
  <c r="AR946" i="10"/>
  <c r="AF1007" i="10"/>
  <c r="F1052" i="10"/>
  <c r="AF972" i="10"/>
  <c r="B940" i="10"/>
  <c r="AO937" i="10"/>
  <c r="B968" i="10"/>
  <c r="AG902" i="10"/>
  <c r="AN902" i="10"/>
  <c r="G1051" i="10"/>
  <c r="AG971" i="10"/>
  <c r="AG1006" i="10"/>
  <c r="AI1085" i="10"/>
  <c r="AI1086" i="10"/>
  <c r="G1054" i="10"/>
  <c r="AG1009" i="10"/>
  <c r="AG974" i="10"/>
  <c r="B919" i="10"/>
  <c r="L19" i="10"/>
  <c r="L30" i="10"/>
  <c r="B915" i="10"/>
  <c r="G30" i="10"/>
  <c r="G19" i="10"/>
  <c r="E1059" i="10"/>
  <c r="AE1014" i="10"/>
  <c r="AE979" i="10"/>
  <c r="B913" i="10"/>
  <c r="D30" i="10"/>
  <c r="D19" i="10"/>
  <c r="B979" i="10"/>
  <c r="AG913" i="10"/>
  <c r="AH913" i="10" s="1"/>
  <c r="AJ913" i="10" s="1"/>
  <c r="AL913" i="10" s="1"/>
  <c r="AO948" i="10"/>
  <c r="AT948" i="10" s="1"/>
  <c r="B951" i="10"/>
  <c r="AN913" i="10"/>
  <c r="R133" i="10"/>
  <c r="AI1094" i="10"/>
  <c r="AI1095" i="10"/>
  <c r="AI981" i="10"/>
  <c r="E924" i="10"/>
  <c r="B973" i="10"/>
  <c r="B945" i="10"/>
  <c r="AO942" i="10"/>
  <c r="AT942" i="10" s="1"/>
  <c r="AN907" i="10"/>
  <c r="AG907" i="10"/>
  <c r="AH907" i="10" s="1"/>
  <c r="AJ907" i="10" s="1"/>
  <c r="AL907" i="10" s="1"/>
  <c r="AE968" i="10"/>
  <c r="E1048" i="10"/>
  <c r="AE1003" i="10"/>
  <c r="AQ940" i="10"/>
  <c r="D971" i="10"/>
  <c r="D943" i="10"/>
  <c r="R969" i="10"/>
  <c r="B997" i="10" s="1"/>
  <c r="AD1004" i="10"/>
  <c r="AS1004" i="10" s="1"/>
  <c r="AD969" i="10"/>
  <c r="AS969" i="10" s="1"/>
  <c r="R1076" i="10"/>
  <c r="B921" i="10"/>
  <c r="O30" i="10"/>
  <c r="O19" i="10"/>
  <c r="R975" i="10"/>
  <c r="B1003" i="10" s="1"/>
  <c r="AD975" i="10"/>
  <c r="AS975" i="10" s="1"/>
  <c r="AD1010" i="10"/>
  <c r="AS1010" i="10" s="1"/>
  <c r="R1082" i="10"/>
  <c r="AP945" i="10"/>
  <c r="C976" i="10"/>
  <c r="C948" i="10"/>
  <c r="T1055" i="10"/>
  <c r="V1055" i="10"/>
  <c r="AF1097" i="10" s="1"/>
  <c r="U1055" i="10"/>
  <c r="W1055" i="10"/>
  <c r="AF1098" i="10" s="1"/>
  <c r="C972" i="10"/>
  <c r="AP941" i="10"/>
  <c r="C944" i="10"/>
  <c r="C942" i="10"/>
  <c r="C970" i="10"/>
  <c r="AP939" i="10"/>
  <c r="AI1077" i="9"/>
  <c r="AI1078" i="9"/>
  <c r="B925" i="9"/>
  <c r="AO922" i="9"/>
  <c r="AT922" i="9" s="1"/>
  <c r="B953" i="9"/>
  <c r="AG887" i="9"/>
  <c r="AH887" i="9" s="1"/>
  <c r="AJ887" i="9" s="1"/>
  <c r="AL887" i="9" s="1"/>
  <c r="AN887" i="9"/>
  <c r="F1032" i="9"/>
  <c r="AF987" i="9"/>
  <c r="AF952" i="9"/>
  <c r="C952" i="9"/>
  <c r="C924" i="9"/>
  <c r="AP921" i="9"/>
  <c r="C921" i="9"/>
  <c r="AP918" i="9"/>
  <c r="C949" i="9"/>
  <c r="F1023" i="9"/>
  <c r="AF943" i="9"/>
  <c r="AF978" i="9"/>
  <c r="AF977" i="9"/>
  <c r="F1022" i="9"/>
  <c r="AF942" i="9"/>
  <c r="B885" i="9"/>
  <c r="E29" i="9"/>
  <c r="B30" i="9"/>
  <c r="B19" i="9"/>
  <c r="C894" i="9"/>
  <c r="N29" i="9"/>
  <c r="N65" i="9"/>
  <c r="Q64" i="9"/>
  <c r="E1033" i="9"/>
  <c r="AE988" i="9"/>
  <c r="AE953" i="9"/>
  <c r="B889" i="9"/>
  <c r="G30" i="9"/>
  <c r="G19" i="9"/>
  <c r="AG881" i="9"/>
  <c r="AH881" i="9" s="1"/>
  <c r="AJ881" i="9" s="1"/>
  <c r="AL881" i="9" s="1"/>
  <c r="B947" i="9"/>
  <c r="B919" i="9"/>
  <c r="AN881" i="9"/>
  <c r="AO916" i="9"/>
  <c r="AT916" i="9" s="1"/>
  <c r="G1025" i="9"/>
  <c r="AG980" i="9"/>
  <c r="AG945" i="9"/>
  <c r="AG955" i="9" s="1"/>
  <c r="B886" i="9"/>
  <c r="C30" i="9"/>
  <c r="C19" i="9"/>
  <c r="B891" i="9"/>
  <c r="M29" i="9"/>
  <c r="J19" i="9"/>
  <c r="J30" i="9"/>
  <c r="C888" i="9"/>
  <c r="F29" i="9"/>
  <c r="F65" i="9"/>
  <c r="I64" i="9"/>
  <c r="R64" i="9" s="1"/>
  <c r="F1028" i="9"/>
  <c r="AF983" i="9"/>
  <c r="AF948" i="9"/>
  <c r="G1031" i="9"/>
  <c r="AG986" i="9"/>
  <c r="AG951" i="9"/>
  <c r="C942" i="9"/>
  <c r="C914" i="9"/>
  <c r="AP911" i="9"/>
  <c r="C946" i="9"/>
  <c r="C918" i="9"/>
  <c r="AP915" i="9"/>
  <c r="AD985" i="9"/>
  <c r="AS985" i="9" s="1"/>
  <c r="R950" i="9"/>
  <c r="B978" i="9" s="1"/>
  <c r="AD950" i="9"/>
  <c r="AS950" i="9" s="1"/>
  <c r="R1057" i="9"/>
  <c r="AI1059" i="9"/>
  <c r="AI1060" i="9"/>
  <c r="C943" i="9"/>
  <c r="AP912" i="9"/>
  <c r="C915" i="9"/>
  <c r="C948" i="9"/>
  <c r="C920" i="9"/>
  <c r="AP917" i="9"/>
  <c r="AF981" i="9"/>
  <c r="AF946" i="9"/>
  <c r="F1026" i="9"/>
  <c r="D951" i="9"/>
  <c r="AQ920" i="9"/>
  <c r="D923" i="9"/>
  <c r="E1027" i="9"/>
  <c r="AE947" i="9"/>
  <c r="AE982" i="9"/>
  <c r="D972" i="9"/>
  <c r="AU944" i="9"/>
  <c r="T1030" i="9"/>
  <c r="V1030" i="9"/>
  <c r="AF1074" i="9" s="1"/>
  <c r="W1030" i="9"/>
  <c r="AF1075" i="9" s="1"/>
  <c r="U1030" i="9"/>
  <c r="D917" i="9"/>
  <c r="D945" i="9"/>
  <c r="D955" i="9" s="1"/>
  <c r="AQ914" i="9"/>
  <c r="AQ924" i="9" s="1"/>
  <c r="F1029" i="9"/>
  <c r="AF984" i="9"/>
  <c r="AF949" i="9"/>
  <c r="AG990" i="9"/>
  <c r="B895" i="9"/>
  <c r="O30" i="9"/>
  <c r="O19" i="9"/>
  <c r="B892" i="9"/>
  <c r="K19" i="9"/>
  <c r="K30" i="9"/>
  <c r="AG1045" i="9"/>
  <c r="AG1043" i="9"/>
  <c r="AG1038" i="9"/>
  <c r="AG1036" i="9"/>
  <c r="AG1034" i="9"/>
  <c r="AG1032" i="9"/>
  <c r="AG1041" i="9"/>
  <c r="AG1039" i="9"/>
  <c r="AG1044" i="9"/>
  <c r="AG1037" i="9"/>
  <c r="AG1035" i="9"/>
  <c r="AG1033" i="9"/>
  <c r="AG1040" i="9"/>
  <c r="AG1031" i="9"/>
  <c r="AG1027" i="9"/>
  <c r="AG1030" i="9"/>
  <c r="AG1028" i="9"/>
  <c r="AG1042" i="9"/>
  <c r="AG1029" i="9"/>
  <c r="AG1023" i="9"/>
  <c r="AG1026" i="9"/>
  <c r="AG1025" i="9"/>
  <c r="AG1024" i="9"/>
  <c r="AG1022" i="9"/>
  <c r="AI1054" i="9"/>
  <c r="AI1053" i="9"/>
  <c r="B999" i="9"/>
  <c r="C972" i="9"/>
  <c r="C999" i="9" s="1"/>
  <c r="E972" i="9"/>
  <c r="E999" i="9" s="1"/>
  <c r="AG1084" i="11" l="1"/>
  <c r="AG1046" i="9"/>
  <c r="C886" i="14"/>
  <c r="AP883" i="14"/>
  <c r="C914" i="14"/>
  <c r="E993" i="14"/>
  <c r="AE948" i="14"/>
  <c r="AE913" i="14"/>
  <c r="F988" i="14"/>
  <c r="AF943" i="14"/>
  <c r="D921" i="14"/>
  <c r="AF908" i="14"/>
  <c r="E999" i="14"/>
  <c r="AE954" i="14"/>
  <c r="AE919" i="14"/>
  <c r="E989" i="14"/>
  <c r="AE944" i="14"/>
  <c r="AE909" i="14"/>
  <c r="F994" i="14"/>
  <c r="AF949" i="14"/>
  <c r="AF914" i="14"/>
  <c r="T998" i="14"/>
  <c r="U998" i="14"/>
  <c r="AU916" i="14"/>
  <c r="D944" i="14"/>
  <c r="T992" i="14"/>
  <c r="U992" i="14"/>
  <c r="B965" i="14"/>
  <c r="C938" i="14"/>
  <c r="C965" i="14" s="1"/>
  <c r="AE1012" i="14"/>
  <c r="AS988" i="14"/>
  <c r="AD953" i="14"/>
  <c r="AS953" i="14" s="1"/>
  <c r="R918" i="14"/>
  <c r="B946" i="14" s="1"/>
  <c r="AD918" i="14"/>
  <c r="AS918" i="14" s="1"/>
  <c r="R1025" i="14"/>
  <c r="T997" i="14"/>
  <c r="U997" i="14"/>
  <c r="B971" i="14"/>
  <c r="C944" i="14"/>
  <c r="C971" i="14" s="1"/>
  <c r="AO884" i="14"/>
  <c r="AT884" i="14" s="1"/>
  <c r="B915" i="14"/>
  <c r="B887" i="14"/>
  <c r="AG849" i="14"/>
  <c r="AH849" i="14" s="1"/>
  <c r="AJ849" i="14" s="1"/>
  <c r="AL849" i="14" s="1"/>
  <c r="AN849" i="14"/>
  <c r="B857" i="14"/>
  <c r="M29" i="14"/>
  <c r="J19" i="14"/>
  <c r="M19" i="14" s="1"/>
  <c r="J30" i="14"/>
  <c r="AU910" i="14"/>
  <c r="D938" i="14"/>
  <c r="B851" i="14"/>
  <c r="E29" i="14"/>
  <c r="B30" i="14"/>
  <c r="B19" i="14"/>
  <c r="E19" i="14" s="1"/>
  <c r="AD947" i="14"/>
  <c r="AS947" i="14" s="1"/>
  <c r="R912" i="14"/>
  <c r="B940" i="14" s="1"/>
  <c r="AD912" i="14"/>
  <c r="AS912" i="14" s="1"/>
  <c r="R1019" i="14"/>
  <c r="AD952" i="14"/>
  <c r="AS952" i="14" s="1"/>
  <c r="R917" i="14"/>
  <c r="B945" i="14" s="1"/>
  <c r="AD917" i="14"/>
  <c r="AS917" i="14" s="1"/>
  <c r="R1024" i="14"/>
  <c r="AG956" i="14"/>
  <c r="F991" i="14"/>
  <c r="AF946" i="14"/>
  <c r="AF911" i="14"/>
  <c r="B854" i="14"/>
  <c r="F30" i="14"/>
  <c r="F19" i="14"/>
  <c r="I19" i="14" s="1"/>
  <c r="I29" i="14"/>
  <c r="AQ890" i="14"/>
  <c r="AE950" i="14"/>
  <c r="E995" i="14"/>
  <c r="AE915" i="14"/>
  <c r="B913" i="14"/>
  <c r="B885" i="14"/>
  <c r="AO882" i="14"/>
  <c r="AT882" i="14" s="1"/>
  <c r="AN847" i="14"/>
  <c r="AG847" i="14"/>
  <c r="AH847" i="14" s="1"/>
  <c r="AJ847" i="14" s="1"/>
  <c r="AL847" i="14" s="1"/>
  <c r="B909" i="14"/>
  <c r="B881" i="14"/>
  <c r="AO878" i="14"/>
  <c r="AT878" i="14" s="1"/>
  <c r="AN843" i="14"/>
  <c r="AG843" i="14"/>
  <c r="AH843" i="14" s="1"/>
  <c r="AJ843" i="14" s="1"/>
  <c r="AL843" i="14" s="1"/>
  <c r="R64" i="14"/>
  <c r="AO888" i="14"/>
  <c r="AT888" i="14" s="1"/>
  <c r="B919" i="14"/>
  <c r="AG853" i="14"/>
  <c r="AH853" i="14" s="1"/>
  <c r="AJ853" i="14" s="1"/>
  <c r="AL853" i="14" s="1"/>
  <c r="B891" i="14"/>
  <c r="AN853" i="14"/>
  <c r="C911" i="14"/>
  <c r="C883" i="14"/>
  <c r="AP880" i="14"/>
  <c r="C908" i="14"/>
  <c r="AP877" i="14"/>
  <c r="C880" i="14"/>
  <c r="C864" i="14"/>
  <c r="B962" i="13"/>
  <c r="J32" i="13"/>
  <c r="M31" i="13"/>
  <c r="J21" i="13"/>
  <c r="M21" i="13" s="1"/>
  <c r="B987" i="13"/>
  <c r="B1015" i="13"/>
  <c r="R1015" i="13" s="1"/>
  <c r="C989" i="13"/>
  <c r="C1017" i="13"/>
  <c r="C1016" i="13"/>
  <c r="C988" i="13"/>
  <c r="B990" i="13"/>
  <c r="B1018" i="13"/>
  <c r="R1018" i="13" s="1"/>
  <c r="B956" i="13"/>
  <c r="B32" i="13"/>
  <c r="B21" i="13"/>
  <c r="E21" i="13" s="1"/>
  <c r="E31" i="13"/>
  <c r="B992" i="13"/>
  <c r="B1020" i="13"/>
  <c r="R1020" i="13" s="1"/>
  <c r="C1019" i="13"/>
  <c r="C991" i="13"/>
  <c r="D1026" i="13"/>
  <c r="C1013" i="13"/>
  <c r="C969" i="13"/>
  <c r="C985" i="13"/>
  <c r="B996" i="13"/>
  <c r="B1024" i="13"/>
  <c r="R1024" i="13" s="1"/>
  <c r="B993" i="13"/>
  <c r="B1021" i="13"/>
  <c r="R1021" i="13" s="1"/>
  <c r="B959" i="13"/>
  <c r="F32" i="13"/>
  <c r="I31" i="13"/>
  <c r="F21" i="13"/>
  <c r="I21" i="13" s="1"/>
  <c r="B960" i="13"/>
  <c r="G32" i="13"/>
  <c r="G21" i="13"/>
  <c r="B995" i="13"/>
  <c r="B1023" i="13"/>
  <c r="R1023" i="13" s="1"/>
  <c r="V1098" i="12"/>
  <c r="AF1140" i="12" s="1"/>
  <c r="W1098" i="12"/>
  <c r="AF1141" i="12" s="1"/>
  <c r="T1098" i="12"/>
  <c r="U1098" i="12"/>
  <c r="U1095" i="12"/>
  <c r="T1095" i="12"/>
  <c r="V1095" i="12"/>
  <c r="AF1131" i="12" s="1"/>
  <c r="W1095" i="12"/>
  <c r="AF1132" i="12" s="1"/>
  <c r="E1099" i="12"/>
  <c r="AE1054" i="12"/>
  <c r="AE1019" i="12"/>
  <c r="B1019" i="12"/>
  <c r="AO988" i="12"/>
  <c r="AT988" i="12" s="1"/>
  <c r="B991" i="12"/>
  <c r="AG953" i="12"/>
  <c r="AH953" i="12" s="1"/>
  <c r="AJ953" i="12" s="1"/>
  <c r="AL953" i="12" s="1"/>
  <c r="AN953" i="12"/>
  <c r="E1040" i="12"/>
  <c r="E1067" i="12" s="1"/>
  <c r="B957" i="12"/>
  <c r="I29" i="12"/>
  <c r="F30" i="12"/>
  <c r="F19" i="12"/>
  <c r="I19" i="12" s="1"/>
  <c r="R19" i="12" s="1"/>
  <c r="F1094" i="12"/>
  <c r="AF1049" i="12"/>
  <c r="AF1014" i="12"/>
  <c r="AF1024" i="12" s="1"/>
  <c r="E1096" i="12"/>
  <c r="AE1016" i="12"/>
  <c r="AE1051" i="12"/>
  <c r="AD1018" i="12"/>
  <c r="AS1018" i="12" s="1"/>
  <c r="R1018" i="12"/>
  <c r="B1046" i="12" s="1"/>
  <c r="AD1053" i="12"/>
  <c r="AS1053" i="12" s="1"/>
  <c r="R1125" i="12"/>
  <c r="AF1059" i="12"/>
  <c r="R29" i="12"/>
  <c r="E1102" i="12"/>
  <c r="AE1022" i="12"/>
  <c r="AE1057" i="12"/>
  <c r="D1067" i="12"/>
  <c r="B1013" i="12"/>
  <c r="B985" i="12"/>
  <c r="AG947" i="12"/>
  <c r="AH947" i="12" s="1"/>
  <c r="AJ947" i="12" s="1"/>
  <c r="AL947" i="12" s="1"/>
  <c r="AO982" i="12"/>
  <c r="AT982" i="12" s="1"/>
  <c r="AN947" i="12"/>
  <c r="AG950" i="12"/>
  <c r="AH950" i="12" s="1"/>
  <c r="AJ950" i="12" s="1"/>
  <c r="AL950" i="12" s="1"/>
  <c r="AN950" i="12"/>
  <c r="B1016" i="12"/>
  <c r="AO985" i="12"/>
  <c r="AT985" i="12" s="1"/>
  <c r="B988" i="12"/>
  <c r="AE1046" i="12"/>
  <c r="E1091" i="12"/>
  <c r="AE1011" i="12"/>
  <c r="C1014" i="12"/>
  <c r="AP983" i="12"/>
  <c r="C986" i="12"/>
  <c r="AS1115" i="12"/>
  <c r="AT1091" i="12" s="1"/>
  <c r="B1011" i="12"/>
  <c r="AO980" i="12"/>
  <c r="B967" i="12"/>
  <c r="AN945" i="12"/>
  <c r="B983" i="12"/>
  <c r="AG945" i="12"/>
  <c r="B1017" i="12"/>
  <c r="B989" i="12"/>
  <c r="AO986" i="12"/>
  <c r="AT986" i="12" s="1"/>
  <c r="AG951" i="12"/>
  <c r="AH951" i="12" s="1"/>
  <c r="AJ951" i="12" s="1"/>
  <c r="AL951" i="12" s="1"/>
  <c r="AN951" i="12"/>
  <c r="D1049" i="12"/>
  <c r="AU1021" i="12"/>
  <c r="AP993" i="12"/>
  <c r="E1097" i="12"/>
  <c r="AE1052" i="12"/>
  <c r="AE1017" i="12"/>
  <c r="AE1048" i="12"/>
  <c r="AE1013" i="12"/>
  <c r="E1093" i="12"/>
  <c r="R1015" i="12"/>
  <c r="B1043" i="12" s="1"/>
  <c r="AD1050" i="12"/>
  <c r="AS1050" i="12" s="1"/>
  <c r="AD1015" i="12"/>
  <c r="AS1015" i="12" s="1"/>
  <c r="R1122" i="12"/>
  <c r="AD1020" i="12"/>
  <c r="AS1020" i="12" s="1"/>
  <c r="AD1055" i="12"/>
  <c r="AS1055" i="12" s="1"/>
  <c r="R1020" i="12"/>
  <c r="B1048" i="12" s="1"/>
  <c r="R1127" i="12"/>
  <c r="B1022" i="12"/>
  <c r="AN956" i="12"/>
  <c r="B994" i="12"/>
  <c r="AO991" i="12"/>
  <c r="AT991" i="12" s="1"/>
  <c r="AG956" i="12"/>
  <c r="AH956" i="12" s="1"/>
  <c r="AJ956" i="12" s="1"/>
  <c r="AL956" i="12" s="1"/>
  <c r="B1076" i="12"/>
  <c r="E1049" i="12"/>
  <c r="E1076" i="12" s="1"/>
  <c r="C1049" i="12"/>
  <c r="C1076" i="12" s="1"/>
  <c r="U1100" i="12"/>
  <c r="W1100" i="12"/>
  <c r="AF1147" i="12" s="1"/>
  <c r="V1100" i="12"/>
  <c r="AF1146" i="12" s="1"/>
  <c r="T1100" i="12"/>
  <c r="C958" i="11"/>
  <c r="AP955" i="11"/>
  <c r="C986" i="11"/>
  <c r="AF980" i="11"/>
  <c r="F1060" i="11"/>
  <c r="AF1015" i="11"/>
  <c r="B932" i="11"/>
  <c r="N30" i="11"/>
  <c r="Q29" i="11"/>
  <c r="N19" i="11"/>
  <c r="Q19" i="11" s="1"/>
  <c r="R64" i="11"/>
  <c r="D1010" i="11"/>
  <c r="AU982" i="11"/>
  <c r="C930" i="11"/>
  <c r="K65" i="11"/>
  <c r="K29" i="11"/>
  <c r="B981" i="11"/>
  <c r="AO950" i="11"/>
  <c r="AT950" i="11" s="1"/>
  <c r="AG915" i="11"/>
  <c r="AH915" i="11" s="1"/>
  <c r="AJ915" i="11" s="1"/>
  <c r="AL915" i="11" s="1"/>
  <c r="B953" i="11"/>
  <c r="AN915" i="11"/>
  <c r="AF1083" i="11"/>
  <c r="AF1081" i="11"/>
  <c r="AF1076" i="11"/>
  <c r="AF1074" i="11"/>
  <c r="AF1072" i="11"/>
  <c r="AF1070" i="11"/>
  <c r="AF1079" i="11"/>
  <c r="AF1077" i="11"/>
  <c r="AF1082" i="11"/>
  <c r="AF1075" i="11"/>
  <c r="AF1073" i="11"/>
  <c r="AF1071" i="11"/>
  <c r="AF1080" i="11"/>
  <c r="AF1078" i="11"/>
  <c r="AF1069" i="11"/>
  <c r="AF1064" i="11"/>
  <c r="AF1062" i="11"/>
  <c r="AF1060" i="11"/>
  <c r="AF1067" i="11"/>
  <c r="AF1065" i="11"/>
  <c r="AF1063" i="11"/>
  <c r="AF1061" i="11"/>
  <c r="AF1066" i="11"/>
  <c r="AF1068" i="11"/>
  <c r="W1068" i="11"/>
  <c r="AF1113" i="11" s="1"/>
  <c r="U1068" i="11"/>
  <c r="T1068" i="11"/>
  <c r="V1068" i="11"/>
  <c r="AF1112" i="11" s="1"/>
  <c r="C936" i="11"/>
  <c r="AP949" i="11"/>
  <c r="C952" i="11"/>
  <c r="C980" i="11"/>
  <c r="V1064" i="11"/>
  <c r="AF1100" i="11" s="1"/>
  <c r="U1064" i="11"/>
  <c r="T1064" i="11"/>
  <c r="W1064" i="11"/>
  <c r="AF1101" i="11" s="1"/>
  <c r="AD983" i="11"/>
  <c r="AS983" i="11" s="1"/>
  <c r="AD1018" i="11"/>
  <c r="AS1018" i="11" s="1"/>
  <c r="R983" i="11"/>
  <c r="B1011" i="11" s="1"/>
  <c r="R1090" i="11"/>
  <c r="C1019" i="11"/>
  <c r="C1046" i="11" s="1"/>
  <c r="B1046" i="11"/>
  <c r="B985" i="11"/>
  <c r="B957" i="11"/>
  <c r="AO954" i="11"/>
  <c r="AT954" i="11" s="1"/>
  <c r="AN919" i="11"/>
  <c r="AG919" i="11"/>
  <c r="AH919" i="11" s="1"/>
  <c r="AJ919" i="11" s="1"/>
  <c r="AL919" i="11" s="1"/>
  <c r="AD1019" i="11"/>
  <c r="AS1019" i="11" s="1"/>
  <c r="R984" i="11"/>
  <c r="B1012" i="11" s="1"/>
  <c r="AD984" i="11"/>
  <c r="AS984" i="11" s="1"/>
  <c r="R1091" i="11"/>
  <c r="D987" i="11"/>
  <c r="D993" i="11" s="1"/>
  <c r="D959" i="11"/>
  <c r="AQ956" i="11"/>
  <c r="AU991" i="11"/>
  <c r="D1019" i="11"/>
  <c r="C989" i="11"/>
  <c r="C961" i="11"/>
  <c r="AP958" i="11"/>
  <c r="F1069" i="11"/>
  <c r="AF1024" i="11"/>
  <c r="AF989" i="11"/>
  <c r="E1065" i="11"/>
  <c r="AE985" i="11"/>
  <c r="AE1020" i="11"/>
  <c r="E1061" i="11"/>
  <c r="AE1016" i="11"/>
  <c r="AE981" i="11"/>
  <c r="B929" i="11"/>
  <c r="J30" i="11"/>
  <c r="J19" i="11"/>
  <c r="M29" i="11"/>
  <c r="AQ962" i="11"/>
  <c r="T1063" i="11"/>
  <c r="W1063" i="11"/>
  <c r="AF1098" i="11" s="1"/>
  <c r="U1063" i="11"/>
  <c r="V1063" i="11"/>
  <c r="AF1097" i="11" s="1"/>
  <c r="D1045" i="11"/>
  <c r="R988" i="11"/>
  <c r="B1016" i="11" s="1"/>
  <c r="AD1023" i="11"/>
  <c r="AS1023" i="11" s="1"/>
  <c r="AD988" i="11"/>
  <c r="AS988" i="11" s="1"/>
  <c r="R1095" i="11"/>
  <c r="D936" i="11"/>
  <c r="B923" i="11"/>
  <c r="B30" i="11"/>
  <c r="B19" i="11"/>
  <c r="E19" i="11" s="1"/>
  <c r="E29" i="11"/>
  <c r="AG1022" i="11"/>
  <c r="AG1028" i="11" s="1"/>
  <c r="G1067" i="11"/>
  <c r="AG987" i="11"/>
  <c r="AG993" i="11" s="1"/>
  <c r="AF1021" i="11"/>
  <c r="F1066" i="11"/>
  <c r="AF986" i="11"/>
  <c r="E1018" i="11"/>
  <c r="E1045" i="11" s="1"/>
  <c r="AI1109" i="11"/>
  <c r="AI1110" i="11"/>
  <c r="C1010" i="11"/>
  <c r="C1037" i="11" s="1"/>
  <c r="B1037" i="11"/>
  <c r="AQ950" i="10"/>
  <c r="AD1003" i="10"/>
  <c r="AD968" i="10"/>
  <c r="R968" i="10"/>
  <c r="R1075" i="10"/>
  <c r="C920" i="10"/>
  <c r="N65" i="10"/>
  <c r="Q64" i="10"/>
  <c r="R64" i="10" s="1"/>
  <c r="N29" i="10"/>
  <c r="E1056" i="10"/>
  <c r="AE976" i="10"/>
  <c r="AE1011" i="10"/>
  <c r="AO947" i="10"/>
  <c r="AT947" i="10" s="1"/>
  <c r="B978" i="10"/>
  <c r="B950" i="10"/>
  <c r="AN912" i="10"/>
  <c r="AG912" i="10"/>
  <c r="AH912" i="10" s="1"/>
  <c r="AJ912" i="10" s="1"/>
  <c r="AL912" i="10" s="1"/>
  <c r="AT937" i="10"/>
  <c r="C943" i="10"/>
  <c r="AP940" i="10"/>
  <c r="C971" i="10"/>
  <c r="AE1072" i="10"/>
  <c r="AS1048" i="10"/>
  <c r="F1051" i="10"/>
  <c r="AF1006" i="10"/>
  <c r="AF971" i="10"/>
  <c r="AN910" i="10"/>
  <c r="AG910" i="10"/>
  <c r="AH910" i="10" s="1"/>
  <c r="AJ910" i="10" s="1"/>
  <c r="AL910" i="10" s="1"/>
  <c r="B976" i="10"/>
  <c r="AO945" i="10"/>
  <c r="AT945" i="10" s="1"/>
  <c r="B948" i="10"/>
  <c r="G1057" i="10"/>
  <c r="AG1012" i="10"/>
  <c r="AG1016" i="10" s="1"/>
  <c r="AG977" i="10"/>
  <c r="E1052" i="10"/>
  <c r="AE972" i="10"/>
  <c r="AE1007" i="10"/>
  <c r="D997" i="10"/>
  <c r="AU969" i="10"/>
  <c r="T1048" i="10"/>
  <c r="V1048" i="10"/>
  <c r="AF1076" i="10" s="1"/>
  <c r="U1048" i="10"/>
  <c r="W1048" i="10"/>
  <c r="AF1077" i="10" s="1"/>
  <c r="R973" i="10"/>
  <c r="B1001" i="10" s="1"/>
  <c r="AD1008" i="10"/>
  <c r="AS1008" i="10" s="1"/>
  <c r="AD973" i="10"/>
  <c r="AS973" i="10" s="1"/>
  <c r="R1080" i="10"/>
  <c r="AG981" i="10"/>
  <c r="D977" i="10"/>
  <c r="AQ946" i="10"/>
  <c r="D949" i="10"/>
  <c r="V1059" i="10"/>
  <c r="AF1109" i="10" s="1"/>
  <c r="T1059" i="10"/>
  <c r="W1059" i="10"/>
  <c r="AF1110" i="10" s="1"/>
  <c r="U1059" i="10"/>
  <c r="AF974" i="10"/>
  <c r="AF1009" i="10"/>
  <c r="F1054" i="10"/>
  <c r="E1058" i="10"/>
  <c r="AE1013" i="10"/>
  <c r="AE978" i="10"/>
  <c r="D1003" i="10"/>
  <c r="AU975" i="10"/>
  <c r="C997" i="10"/>
  <c r="C1024" i="10" s="1"/>
  <c r="B1024" i="10"/>
  <c r="R979" i="10"/>
  <c r="B1007" i="10" s="1"/>
  <c r="AD1014" i="10"/>
  <c r="AS1014" i="10" s="1"/>
  <c r="AD979" i="10"/>
  <c r="AS979" i="10" s="1"/>
  <c r="R1086" i="10"/>
  <c r="AI1103" i="10"/>
  <c r="AI1104" i="10"/>
  <c r="B917" i="10"/>
  <c r="M29" i="10"/>
  <c r="J19" i="10"/>
  <c r="M19" i="10" s="1"/>
  <c r="J30" i="10"/>
  <c r="C1003" i="10"/>
  <c r="C1030" i="10" s="1"/>
  <c r="E1003" i="10"/>
  <c r="E1030" i="10" s="1"/>
  <c r="B1030" i="10"/>
  <c r="D924" i="10"/>
  <c r="D981" i="10"/>
  <c r="AH902" i="10"/>
  <c r="B914" i="10"/>
  <c r="F30" i="10"/>
  <c r="F19" i="10"/>
  <c r="I19" i="10" s="1"/>
  <c r="I29" i="10"/>
  <c r="V1053" i="10"/>
  <c r="AF1091" i="10" s="1"/>
  <c r="T1053" i="10"/>
  <c r="W1053" i="10"/>
  <c r="AF1092" i="10" s="1"/>
  <c r="U1053" i="10"/>
  <c r="AN904" i="10"/>
  <c r="B970" i="10"/>
  <c r="B942" i="10"/>
  <c r="AG904" i="10"/>
  <c r="AH904" i="10" s="1"/>
  <c r="AJ904" i="10" s="1"/>
  <c r="AL904" i="10" s="1"/>
  <c r="AO939" i="10"/>
  <c r="AT939" i="10" s="1"/>
  <c r="AE970" i="10"/>
  <c r="E1050" i="10"/>
  <c r="AE1005" i="10"/>
  <c r="B972" i="10"/>
  <c r="B944" i="10"/>
  <c r="AN906" i="10"/>
  <c r="AO941" i="10"/>
  <c r="AT941" i="10" s="1"/>
  <c r="AG906" i="10"/>
  <c r="AH906" i="10" s="1"/>
  <c r="AJ906" i="10" s="1"/>
  <c r="AL906" i="10" s="1"/>
  <c r="C946" i="10"/>
  <c r="AP943" i="10"/>
  <c r="C974" i="10"/>
  <c r="AD982" i="9"/>
  <c r="AS982" i="9" s="1"/>
  <c r="AD947" i="9"/>
  <c r="AS947" i="9" s="1"/>
  <c r="R947" i="9"/>
  <c r="B975" i="9" s="1"/>
  <c r="R1054" i="9"/>
  <c r="F1031" i="9"/>
  <c r="AF986" i="9"/>
  <c r="AF951" i="9"/>
  <c r="B888" i="9"/>
  <c r="F30" i="9"/>
  <c r="F19" i="9"/>
  <c r="I19" i="9" s="1"/>
  <c r="I29" i="9"/>
  <c r="B943" i="9"/>
  <c r="B915" i="9"/>
  <c r="AN877" i="9"/>
  <c r="AO912" i="9"/>
  <c r="AT912" i="9" s="1"/>
  <c r="AG877" i="9"/>
  <c r="AH877" i="9" s="1"/>
  <c r="AJ877" i="9" s="1"/>
  <c r="AL877" i="9" s="1"/>
  <c r="E1023" i="9"/>
  <c r="AE978" i="9"/>
  <c r="AE943" i="9"/>
  <c r="C945" i="9"/>
  <c r="AP914" i="9"/>
  <c r="C917" i="9"/>
  <c r="B894" i="9"/>
  <c r="N19" i="9"/>
  <c r="Q19" i="9" s="1"/>
  <c r="N30" i="9"/>
  <c r="Q29" i="9"/>
  <c r="AD988" i="9"/>
  <c r="AS988" i="9" s="1"/>
  <c r="AD953" i="9"/>
  <c r="AS953" i="9" s="1"/>
  <c r="R953" i="9"/>
  <c r="B981" i="9" s="1"/>
  <c r="R1060" i="9"/>
  <c r="B949" i="9"/>
  <c r="AO918" i="9"/>
  <c r="AT918" i="9" s="1"/>
  <c r="B921" i="9"/>
  <c r="AG883" i="9"/>
  <c r="AH883" i="9" s="1"/>
  <c r="AJ883" i="9" s="1"/>
  <c r="AL883" i="9" s="1"/>
  <c r="AN883" i="9"/>
  <c r="M972" i="9"/>
  <c r="D999" i="9"/>
  <c r="F972" i="9"/>
  <c r="E1026" i="9"/>
  <c r="AE981" i="9"/>
  <c r="AE946" i="9"/>
  <c r="C923" i="9"/>
  <c r="C951" i="9"/>
  <c r="AP920" i="9"/>
  <c r="AP924" i="9" s="1"/>
  <c r="AF990" i="9"/>
  <c r="F1025" i="9"/>
  <c r="AF980" i="9"/>
  <c r="AF945" i="9"/>
  <c r="AF955" i="9" s="1"/>
  <c r="M19" i="9"/>
  <c r="AO915" i="9"/>
  <c r="AT915" i="9" s="1"/>
  <c r="AG880" i="9"/>
  <c r="AH880" i="9" s="1"/>
  <c r="AJ880" i="9" s="1"/>
  <c r="AL880" i="9" s="1"/>
  <c r="B918" i="9"/>
  <c r="AN880" i="9"/>
  <c r="B946" i="9"/>
  <c r="E19" i="9"/>
  <c r="R19" i="9" s="1"/>
  <c r="E1032" i="9"/>
  <c r="AE987" i="9"/>
  <c r="AE952" i="9"/>
  <c r="AO921" i="9"/>
  <c r="AT921" i="9" s="1"/>
  <c r="B924" i="9"/>
  <c r="AG886" i="9"/>
  <c r="AH886" i="9" s="1"/>
  <c r="AJ886" i="9" s="1"/>
  <c r="AL886" i="9" s="1"/>
  <c r="AN886" i="9"/>
  <c r="B952" i="9"/>
  <c r="V1027" i="9"/>
  <c r="AF1065" i="9" s="1"/>
  <c r="U1027" i="9"/>
  <c r="W1027" i="9"/>
  <c r="AF1066" i="9" s="1"/>
  <c r="T1027" i="9"/>
  <c r="D978" i="9"/>
  <c r="AU950" i="9"/>
  <c r="C898" i="9"/>
  <c r="B948" i="9"/>
  <c r="B920" i="9"/>
  <c r="AO917" i="9"/>
  <c r="AT917" i="9" s="1"/>
  <c r="AG882" i="9"/>
  <c r="AH882" i="9" s="1"/>
  <c r="AJ882" i="9" s="1"/>
  <c r="AL882" i="9" s="1"/>
  <c r="AN882" i="9"/>
  <c r="R29" i="9"/>
  <c r="AF1045" i="9"/>
  <c r="AF1043" i="9"/>
  <c r="AF1038" i="9"/>
  <c r="AF1036" i="9"/>
  <c r="AF1034" i="9"/>
  <c r="AF1032" i="9"/>
  <c r="AF1041" i="9"/>
  <c r="AF1039" i="9"/>
  <c r="AF1040" i="9"/>
  <c r="AF1031" i="9"/>
  <c r="AF1027" i="9"/>
  <c r="AF1037" i="9"/>
  <c r="AF1025" i="9"/>
  <c r="AF1023" i="9"/>
  <c r="AF1044" i="9"/>
  <c r="AF1030" i="9"/>
  <c r="AF1035" i="9"/>
  <c r="AF1028" i="9"/>
  <c r="AF1033" i="9"/>
  <c r="AF1026" i="9"/>
  <c r="AF1024" i="9"/>
  <c r="AF1022" i="9"/>
  <c r="AF1029" i="9"/>
  <c r="AF1042" i="9"/>
  <c r="E1028" i="9"/>
  <c r="AE983" i="9"/>
  <c r="AE948" i="9"/>
  <c r="B1005" i="9"/>
  <c r="C978" i="9"/>
  <c r="C1005" i="9" s="1"/>
  <c r="E1022" i="9"/>
  <c r="AE977" i="9"/>
  <c r="C955" i="9"/>
  <c r="AE942" i="9"/>
  <c r="W1033" i="9"/>
  <c r="AF1084" i="9" s="1"/>
  <c r="U1033" i="9"/>
  <c r="V1033" i="9"/>
  <c r="AF1083" i="9" s="1"/>
  <c r="T1033" i="9"/>
  <c r="B942" i="9"/>
  <c r="AO911" i="9"/>
  <c r="AN876" i="9"/>
  <c r="B914" i="9"/>
  <c r="B898" i="9"/>
  <c r="AG876" i="9"/>
  <c r="AE984" i="9"/>
  <c r="E1029" i="9"/>
  <c r="AE949" i="9"/>
  <c r="AF1084" i="11" l="1"/>
  <c r="AF1046" i="9"/>
  <c r="AP890" i="14"/>
  <c r="R29" i="14"/>
  <c r="E938" i="14"/>
  <c r="E965" i="14" s="1"/>
  <c r="B967" i="14"/>
  <c r="C940" i="14"/>
  <c r="C967" i="14" s="1"/>
  <c r="E944" i="14"/>
  <c r="E971" i="14" s="1"/>
  <c r="AS1012" i="14"/>
  <c r="AT988" i="14" s="1"/>
  <c r="AT1012" i="14" s="1"/>
  <c r="AF956" i="14"/>
  <c r="AD954" i="14"/>
  <c r="AS954" i="14" s="1"/>
  <c r="AD919" i="14"/>
  <c r="AS919" i="14" s="1"/>
  <c r="R919" i="14"/>
  <c r="B947" i="14" s="1"/>
  <c r="R1026" i="14"/>
  <c r="AO883" i="14"/>
  <c r="AT883" i="14" s="1"/>
  <c r="B914" i="14"/>
  <c r="B886" i="14"/>
  <c r="AN848" i="14"/>
  <c r="AG848" i="14"/>
  <c r="AH848" i="14" s="1"/>
  <c r="AJ848" i="14" s="1"/>
  <c r="AL848" i="14" s="1"/>
  <c r="D946" i="14"/>
  <c r="AU918" i="14"/>
  <c r="R19" i="14"/>
  <c r="B973" i="14"/>
  <c r="C946" i="14"/>
  <c r="C973" i="14" s="1"/>
  <c r="AD948" i="14"/>
  <c r="AS948" i="14" s="1"/>
  <c r="R913" i="14"/>
  <c r="B941" i="14" s="1"/>
  <c r="AD913" i="14"/>
  <c r="AS913" i="14" s="1"/>
  <c r="R1020" i="14"/>
  <c r="D945" i="14"/>
  <c r="AU917" i="14"/>
  <c r="E988" i="14"/>
  <c r="AE908" i="14"/>
  <c r="AE943" i="14"/>
  <c r="C921" i="14"/>
  <c r="B972" i="14"/>
  <c r="C945" i="14"/>
  <c r="C972" i="14" s="1"/>
  <c r="D965" i="14"/>
  <c r="F938" i="14"/>
  <c r="U989" i="14"/>
  <c r="T989" i="14"/>
  <c r="V993" i="14"/>
  <c r="T993" i="14"/>
  <c r="U993" i="14"/>
  <c r="AO880" i="14"/>
  <c r="AT880" i="14" s="1"/>
  <c r="AN845" i="14"/>
  <c r="B883" i="14"/>
  <c r="B911" i="14"/>
  <c r="AG845" i="14"/>
  <c r="AH845" i="14" s="1"/>
  <c r="AJ845" i="14" s="1"/>
  <c r="AL845" i="14" s="1"/>
  <c r="E991" i="14"/>
  <c r="AE946" i="14"/>
  <c r="AE911" i="14"/>
  <c r="V995" i="14"/>
  <c r="U995" i="14"/>
  <c r="T995" i="14"/>
  <c r="B908" i="14"/>
  <c r="B864" i="14"/>
  <c r="B880" i="14"/>
  <c r="AN842" i="14"/>
  <c r="AO877" i="14"/>
  <c r="AG842" i="14"/>
  <c r="AD950" i="14"/>
  <c r="AS950" i="14" s="1"/>
  <c r="AD915" i="14"/>
  <c r="AS915" i="14" s="1"/>
  <c r="R915" i="14"/>
  <c r="B943" i="14" s="1"/>
  <c r="R1022" i="14"/>
  <c r="E994" i="14"/>
  <c r="AE949" i="14"/>
  <c r="AE914" i="14"/>
  <c r="R909" i="14"/>
  <c r="B937" i="14" s="1"/>
  <c r="AD944" i="14"/>
  <c r="AS944" i="14" s="1"/>
  <c r="AD909" i="14"/>
  <c r="AS909" i="14" s="1"/>
  <c r="R1016" i="14"/>
  <c r="AF921" i="14"/>
  <c r="D940" i="14"/>
  <c r="AU912" i="14"/>
  <c r="D971" i="14"/>
  <c r="T999" i="14"/>
  <c r="U999" i="14"/>
  <c r="R31" i="13"/>
  <c r="R21" i="13"/>
  <c r="C1026" i="13"/>
  <c r="B988" i="13"/>
  <c r="B1016" i="13"/>
  <c r="R1016" i="13" s="1"/>
  <c r="B985" i="13"/>
  <c r="B1013" i="13"/>
  <c r="B969" i="13"/>
  <c r="B1017" i="13"/>
  <c r="R1017" i="13" s="1"/>
  <c r="B989" i="13"/>
  <c r="B991" i="13"/>
  <c r="B1019" i="13"/>
  <c r="R1019" i="13" s="1"/>
  <c r="C1048" i="12"/>
  <c r="C1075" i="12" s="1"/>
  <c r="B1075" i="12"/>
  <c r="E1048" i="12"/>
  <c r="E1075" i="12" s="1"/>
  <c r="E1094" i="12"/>
  <c r="AE1049" i="12"/>
  <c r="AE1014" i="12"/>
  <c r="AE1024" i="12" s="1"/>
  <c r="AT980" i="12"/>
  <c r="M1040" i="12"/>
  <c r="C1046" i="12"/>
  <c r="C1073" i="12" s="1"/>
  <c r="B1073" i="12"/>
  <c r="D1048" i="12"/>
  <c r="AU1020" i="12"/>
  <c r="R1011" i="12"/>
  <c r="AD1046" i="12"/>
  <c r="AD1011" i="12"/>
  <c r="R1118" i="12"/>
  <c r="T1091" i="12"/>
  <c r="V1091" i="12"/>
  <c r="AF1119" i="12" s="1"/>
  <c r="W1091" i="12"/>
  <c r="AF1120" i="12" s="1"/>
  <c r="U1091" i="12"/>
  <c r="AU1018" i="12"/>
  <c r="D1046" i="12"/>
  <c r="C1024" i="12"/>
  <c r="R1019" i="12"/>
  <c r="B1047" i="12" s="1"/>
  <c r="AD1054" i="12"/>
  <c r="AS1054" i="12" s="1"/>
  <c r="AD1019" i="12"/>
  <c r="AS1019" i="12" s="1"/>
  <c r="R1126" i="12"/>
  <c r="D1043" i="12"/>
  <c r="AU1015" i="12"/>
  <c r="V1097" i="12"/>
  <c r="AF1137" i="12" s="1"/>
  <c r="W1097" i="12"/>
  <c r="AF1138" i="12" s="1"/>
  <c r="T1097" i="12"/>
  <c r="U1097" i="12"/>
  <c r="R1017" i="12"/>
  <c r="B1045" i="12" s="1"/>
  <c r="AD1052" i="12"/>
  <c r="AS1052" i="12" s="1"/>
  <c r="AD1017" i="12"/>
  <c r="AS1017" i="12" s="1"/>
  <c r="R1124" i="12"/>
  <c r="AU1091" i="12"/>
  <c r="AE1059" i="12"/>
  <c r="V1102" i="12"/>
  <c r="AF1152" i="12" s="1"/>
  <c r="T1102" i="12"/>
  <c r="U1102" i="12"/>
  <c r="W1102" i="12"/>
  <c r="AF1153" i="12" s="1"/>
  <c r="AH945" i="12"/>
  <c r="AT1109" i="12"/>
  <c r="AU1109" i="12" s="1"/>
  <c r="AT1092" i="12"/>
  <c r="AU1092" i="12" s="1"/>
  <c r="AT1114" i="12"/>
  <c r="AU1114" i="12" s="1"/>
  <c r="AT1110" i="12"/>
  <c r="AU1110" i="12" s="1"/>
  <c r="AT1093" i="12"/>
  <c r="AU1093" i="12" s="1"/>
  <c r="AT1095" i="12"/>
  <c r="AU1095" i="12" s="1"/>
  <c r="AT1105" i="12"/>
  <c r="AU1105" i="12" s="1"/>
  <c r="AT1106" i="12"/>
  <c r="AU1106" i="12" s="1"/>
  <c r="AT1113" i="12"/>
  <c r="AU1113" i="12" s="1"/>
  <c r="AT1098" i="12"/>
  <c r="AU1098" i="12" s="1"/>
  <c r="AT1100" i="12"/>
  <c r="AU1100" i="12" s="1"/>
  <c r="AT1102" i="12"/>
  <c r="AU1102" i="12" s="1"/>
  <c r="AT1097" i="12"/>
  <c r="AU1097" i="12" s="1"/>
  <c r="AT1107" i="12"/>
  <c r="AU1107" i="12" s="1"/>
  <c r="AT1112" i="12"/>
  <c r="AU1112" i="12" s="1"/>
  <c r="AT1094" i="12"/>
  <c r="AU1094" i="12" s="1"/>
  <c r="AT1096" i="12"/>
  <c r="AU1096" i="12" s="1"/>
  <c r="AT1101" i="12"/>
  <c r="AU1101" i="12" s="1"/>
  <c r="AT1103" i="12"/>
  <c r="AU1103" i="12" s="1"/>
  <c r="AT1108" i="12"/>
  <c r="AU1108" i="12" s="1"/>
  <c r="AT1111" i="12"/>
  <c r="AU1111" i="12" s="1"/>
  <c r="AT1099" i="12"/>
  <c r="AU1099" i="12" s="1"/>
  <c r="AT1104" i="12"/>
  <c r="AU1104" i="12" s="1"/>
  <c r="T1096" i="12"/>
  <c r="V1096" i="12"/>
  <c r="AF1134" i="12" s="1"/>
  <c r="U1096" i="12"/>
  <c r="W1096" i="12"/>
  <c r="AF1135" i="12" s="1"/>
  <c r="B1014" i="12"/>
  <c r="B1024" i="12" s="1"/>
  <c r="R1130" i="12" s="1"/>
  <c r="B986" i="12"/>
  <c r="AO983" i="12"/>
  <c r="AT983" i="12" s="1"/>
  <c r="AG948" i="12"/>
  <c r="AH948" i="12" s="1"/>
  <c r="AJ948" i="12" s="1"/>
  <c r="AL948" i="12" s="1"/>
  <c r="AN948" i="12"/>
  <c r="AD1022" i="12"/>
  <c r="AS1022" i="12" s="1"/>
  <c r="R1022" i="12"/>
  <c r="B1050" i="12" s="1"/>
  <c r="AD1057" i="12"/>
  <c r="AS1057" i="12" s="1"/>
  <c r="R1129" i="12"/>
  <c r="B1070" i="12"/>
  <c r="C1043" i="12"/>
  <c r="C1070" i="12" s="1"/>
  <c r="R1013" i="12"/>
  <c r="B1041" i="12" s="1"/>
  <c r="AD1048" i="12"/>
  <c r="AS1048" i="12" s="1"/>
  <c r="AD1013" i="12"/>
  <c r="AS1013" i="12" s="1"/>
  <c r="R1120" i="12"/>
  <c r="U1093" i="12"/>
  <c r="T1093" i="12"/>
  <c r="V1093" i="12"/>
  <c r="AF1125" i="12" s="1"/>
  <c r="W1093" i="12"/>
  <c r="AF1126" i="12" s="1"/>
  <c r="D1076" i="12"/>
  <c r="M1049" i="12"/>
  <c r="F1049" i="12"/>
  <c r="AD1016" i="12"/>
  <c r="AS1016" i="12" s="1"/>
  <c r="AD1051" i="12"/>
  <c r="AS1051" i="12" s="1"/>
  <c r="R1016" i="12"/>
  <c r="B1044" i="12" s="1"/>
  <c r="R1123" i="12"/>
  <c r="F1040" i="12"/>
  <c r="W1099" i="12"/>
  <c r="AF1144" i="12" s="1"/>
  <c r="V1099" i="12"/>
  <c r="AF1143" i="12" s="1"/>
  <c r="U1099" i="12"/>
  <c r="T1099" i="12"/>
  <c r="AG923" i="11"/>
  <c r="AH923" i="11" s="1"/>
  <c r="AJ923" i="11" s="1"/>
  <c r="AL923" i="11" s="1"/>
  <c r="B989" i="11"/>
  <c r="AO958" i="11"/>
  <c r="AT958" i="11" s="1"/>
  <c r="AN923" i="11"/>
  <c r="B961" i="11"/>
  <c r="AO949" i="11"/>
  <c r="B980" i="11"/>
  <c r="AG914" i="11"/>
  <c r="B952" i="11"/>
  <c r="AN914" i="11"/>
  <c r="F1018" i="11"/>
  <c r="D1046" i="11"/>
  <c r="AP956" i="11"/>
  <c r="C987" i="11"/>
  <c r="C959" i="11"/>
  <c r="M1018" i="11"/>
  <c r="V1065" i="11"/>
  <c r="AF1103" i="11" s="1"/>
  <c r="T1065" i="11"/>
  <c r="W1065" i="11"/>
  <c r="AF1104" i="11" s="1"/>
  <c r="U1065" i="11"/>
  <c r="E1060" i="11"/>
  <c r="C993" i="11"/>
  <c r="AE980" i="11"/>
  <c r="AE1015" i="11"/>
  <c r="E1010" i="11"/>
  <c r="E1037" i="11" s="1"/>
  <c r="B986" i="11"/>
  <c r="AG920" i="11"/>
  <c r="AH920" i="11" s="1"/>
  <c r="AJ920" i="11" s="1"/>
  <c r="AL920" i="11" s="1"/>
  <c r="AN920" i="11"/>
  <c r="B958" i="11"/>
  <c r="AO955" i="11"/>
  <c r="AT955" i="11" s="1"/>
  <c r="B1038" i="11"/>
  <c r="C1011" i="11"/>
  <c r="C1038" i="11" s="1"/>
  <c r="D1037" i="11"/>
  <c r="AP962" i="11"/>
  <c r="AE989" i="11"/>
  <c r="E1069" i="11"/>
  <c r="AE1024" i="11"/>
  <c r="D1016" i="11"/>
  <c r="AU988" i="11"/>
  <c r="F1067" i="11"/>
  <c r="AF1022" i="11"/>
  <c r="AF1028" i="11" s="1"/>
  <c r="AF987" i="11"/>
  <c r="AF993" i="11" s="1"/>
  <c r="AU983" i="11"/>
  <c r="D1011" i="11"/>
  <c r="E1066" i="11"/>
  <c r="AE986" i="11"/>
  <c r="AE1021" i="11"/>
  <c r="R29" i="11"/>
  <c r="AE1083" i="11"/>
  <c r="AS1083" i="11" s="1"/>
  <c r="AE1081" i="11"/>
  <c r="AS1081" i="11" s="1"/>
  <c r="AE1076" i="11"/>
  <c r="AS1076" i="11" s="1"/>
  <c r="AE1074" i="11"/>
  <c r="AS1074" i="11" s="1"/>
  <c r="AE1072" i="11"/>
  <c r="AS1072" i="11" s="1"/>
  <c r="AE1070" i="11"/>
  <c r="AS1070" i="11" s="1"/>
  <c r="AE1068" i="11"/>
  <c r="AS1068" i="11" s="1"/>
  <c r="AE1079" i="11"/>
  <c r="AS1079" i="11" s="1"/>
  <c r="AE1077" i="11"/>
  <c r="AS1077" i="11" s="1"/>
  <c r="AE1082" i="11"/>
  <c r="AS1082" i="11" s="1"/>
  <c r="AE1075" i="11"/>
  <c r="AS1075" i="11" s="1"/>
  <c r="AE1073" i="11"/>
  <c r="AS1073" i="11" s="1"/>
  <c r="AE1071" i="11"/>
  <c r="AS1071" i="11" s="1"/>
  <c r="AE1069" i="11"/>
  <c r="AS1069" i="11" s="1"/>
  <c r="AE1080" i="11"/>
  <c r="AS1080" i="11" s="1"/>
  <c r="AE1064" i="11"/>
  <c r="AS1064" i="11" s="1"/>
  <c r="AE1062" i="11"/>
  <c r="AS1062" i="11" s="1"/>
  <c r="AE1060" i="11"/>
  <c r="AE1067" i="11"/>
  <c r="AS1067" i="11" s="1"/>
  <c r="AE1065" i="11"/>
  <c r="AS1065" i="11" s="1"/>
  <c r="AE1078" i="11"/>
  <c r="AS1078" i="11" s="1"/>
  <c r="AE1063" i="11"/>
  <c r="AS1063" i="11" s="1"/>
  <c r="AE1061" i="11"/>
  <c r="AS1061" i="11" s="1"/>
  <c r="T1061" i="11"/>
  <c r="AE1066" i="11"/>
  <c r="AS1066" i="11" s="1"/>
  <c r="V1061" i="11"/>
  <c r="AF1091" i="11" s="1"/>
  <c r="W1061" i="11"/>
  <c r="AF1092" i="11" s="1"/>
  <c r="U1061" i="11"/>
  <c r="AD1020" i="11"/>
  <c r="AS1020" i="11" s="1"/>
  <c r="AD985" i="11"/>
  <c r="AS985" i="11" s="1"/>
  <c r="R985" i="11"/>
  <c r="B1013" i="11" s="1"/>
  <c r="R1092" i="11"/>
  <c r="AD1016" i="11"/>
  <c r="AS1016" i="11" s="1"/>
  <c r="AD981" i="11"/>
  <c r="AS981" i="11" s="1"/>
  <c r="R981" i="11"/>
  <c r="B1009" i="11" s="1"/>
  <c r="R1088" i="11"/>
  <c r="B1039" i="11"/>
  <c r="E1012" i="11"/>
  <c r="E1039" i="11" s="1"/>
  <c r="C1012" i="11"/>
  <c r="C1039" i="11" s="1"/>
  <c r="C1016" i="11"/>
  <c r="C1043" i="11" s="1"/>
  <c r="B1043" i="11"/>
  <c r="D1012" i="11"/>
  <c r="AU984" i="11"/>
  <c r="E1019" i="11"/>
  <c r="E1046" i="11" s="1"/>
  <c r="B930" i="11"/>
  <c r="K30" i="11"/>
  <c r="K19" i="11"/>
  <c r="M19" i="11" s="1"/>
  <c r="R19" i="11" s="1"/>
  <c r="AP946" i="10"/>
  <c r="C949" i="10"/>
  <c r="C977" i="10"/>
  <c r="B946" i="10"/>
  <c r="AO943" i="10"/>
  <c r="AT943" i="10" s="1"/>
  <c r="B974" i="10"/>
  <c r="AN908" i="10"/>
  <c r="AG908" i="10"/>
  <c r="AH908" i="10" s="1"/>
  <c r="AJ908" i="10" s="1"/>
  <c r="AL908" i="10" s="1"/>
  <c r="D1007" i="10"/>
  <c r="AU979" i="10"/>
  <c r="M1003" i="10"/>
  <c r="D1030" i="10"/>
  <c r="F1003" i="10"/>
  <c r="AP950" i="10"/>
  <c r="AD1013" i="10"/>
  <c r="AS1013" i="10" s="1"/>
  <c r="R978" i="10"/>
  <c r="B1006" i="10" s="1"/>
  <c r="AD978" i="10"/>
  <c r="AS978" i="10" s="1"/>
  <c r="R1085" i="10"/>
  <c r="C1007" i="10"/>
  <c r="C1034" i="10" s="1"/>
  <c r="B1034" i="10"/>
  <c r="B996" i="10"/>
  <c r="R970" i="10"/>
  <c r="B998" i="10" s="1"/>
  <c r="AD1005" i="10"/>
  <c r="AS1005" i="10" s="1"/>
  <c r="AD970" i="10"/>
  <c r="AS970" i="10" s="1"/>
  <c r="R1077" i="10"/>
  <c r="B971" i="10"/>
  <c r="B943" i="10"/>
  <c r="AN905" i="10"/>
  <c r="AO940" i="10"/>
  <c r="AT940" i="10" s="1"/>
  <c r="AG905" i="10"/>
  <c r="AH905" i="10" s="1"/>
  <c r="AJ905" i="10" s="1"/>
  <c r="AL905" i="10" s="1"/>
  <c r="F1057" i="10"/>
  <c r="AF1012" i="10"/>
  <c r="AF977" i="10"/>
  <c r="AF981" i="10" s="1"/>
  <c r="D1001" i="10"/>
  <c r="AU973" i="10"/>
  <c r="D1024" i="10"/>
  <c r="M997" i="10"/>
  <c r="F997" i="10"/>
  <c r="T1056" i="10"/>
  <c r="V1056" i="10"/>
  <c r="AF1100" i="10" s="1"/>
  <c r="U1056" i="10"/>
  <c r="W1056" i="10"/>
  <c r="AF1101" i="10" s="1"/>
  <c r="AS968" i="10"/>
  <c r="AD972" i="10"/>
  <c r="AS972" i="10" s="1"/>
  <c r="R972" i="10"/>
  <c r="B1000" i="10" s="1"/>
  <c r="AD1007" i="10"/>
  <c r="AS1007" i="10" s="1"/>
  <c r="R1079" i="10"/>
  <c r="AJ902" i="10"/>
  <c r="E997" i="10"/>
  <c r="E1024" i="10" s="1"/>
  <c r="B920" i="10"/>
  <c r="N19" i="10"/>
  <c r="Q19" i="10" s="1"/>
  <c r="R19" i="10" s="1"/>
  <c r="N30" i="10"/>
  <c r="Q29" i="10"/>
  <c r="R29" i="10" s="1"/>
  <c r="AS1003" i="10"/>
  <c r="AE1006" i="10"/>
  <c r="E1051" i="10"/>
  <c r="AE971" i="10"/>
  <c r="C981" i="10"/>
  <c r="C924" i="10"/>
  <c r="B1028" i="10"/>
  <c r="C1001" i="10"/>
  <c r="C1028" i="10" s="1"/>
  <c r="AF1016" i="10"/>
  <c r="AS1072" i="10"/>
  <c r="AT1048" i="10" s="1"/>
  <c r="U1058" i="10"/>
  <c r="W1058" i="10"/>
  <c r="AF1107" i="10" s="1"/>
  <c r="V1058" i="10"/>
  <c r="AF1106" i="10" s="1"/>
  <c r="T1058" i="10"/>
  <c r="E1054" i="10"/>
  <c r="AE1009" i="10"/>
  <c r="AE974" i="10"/>
  <c r="V1050" i="10"/>
  <c r="AF1082" i="10" s="1"/>
  <c r="T1050" i="10"/>
  <c r="U1050" i="10"/>
  <c r="W1050" i="10"/>
  <c r="AF1083" i="10" s="1"/>
  <c r="V1052" i="10"/>
  <c r="AF1088" i="10" s="1"/>
  <c r="T1052" i="10"/>
  <c r="U1052" i="10"/>
  <c r="W1052" i="10"/>
  <c r="AF1089" i="10" s="1"/>
  <c r="AD1011" i="10"/>
  <c r="AS1011" i="10" s="1"/>
  <c r="AD976" i="10"/>
  <c r="AS976" i="10" s="1"/>
  <c r="R976" i="10"/>
  <c r="B1004" i="10" s="1"/>
  <c r="R1083" i="10"/>
  <c r="AD981" i="9"/>
  <c r="AS981" i="9" s="1"/>
  <c r="AD946" i="9"/>
  <c r="AS946" i="9" s="1"/>
  <c r="R946" i="9"/>
  <c r="B974" i="9" s="1"/>
  <c r="R1053" i="9"/>
  <c r="T1026" i="9"/>
  <c r="V1026" i="9"/>
  <c r="AF1062" i="9" s="1"/>
  <c r="W1026" i="9"/>
  <c r="AF1063" i="9" s="1"/>
  <c r="U1026" i="9"/>
  <c r="AD984" i="9"/>
  <c r="AS984" i="9" s="1"/>
  <c r="R949" i="9"/>
  <c r="B977" i="9" s="1"/>
  <c r="AD949" i="9"/>
  <c r="AS949" i="9" s="1"/>
  <c r="R1056" i="9"/>
  <c r="B951" i="9"/>
  <c r="AG885" i="9"/>
  <c r="AH885" i="9" s="1"/>
  <c r="AJ885" i="9" s="1"/>
  <c r="AL885" i="9" s="1"/>
  <c r="AO920" i="9"/>
  <c r="AT920" i="9" s="1"/>
  <c r="AN885" i="9"/>
  <c r="B923" i="9"/>
  <c r="U1028" i="9"/>
  <c r="W1028" i="9"/>
  <c r="AF1069" i="9" s="1"/>
  <c r="V1028" i="9"/>
  <c r="AF1068" i="9" s="1"/>
  <c r="T1028" i="9"/>
  <c r="F999" i="9"/>
  <c r="S972" i="9"/>
  <c r="AT911" i="9"/>
  <c r="D1005" i="9"/>
  <c r="B1008" i="9"/>
  <c r="C981" i="9"/>
  <c r="C1008" i="9" s="1"/>
  <c r="R942" i="9"/>
  <c r="AD942" i="9"/>
  <c r="AD977" i="9"/>
  <c r="R1049" i="9"/>
  <c r="V1022" i="9"/>
  <c r="AF1050" i="9" s="1"/>
  <c r="T1022" i="9"/>
  <c r="U1022" i="9"/>
  <c r="W1022" i="9"/>
  <c r="AF1051" i="9" s="1"/>
  <c r="M999" i="9"/>
  <c r="O972" i="9"/>
  <c r="D981" i="9"/>
  <c r="AU953" i="9"/>
  <c r="E1025" i="9"/>
  <c r="AE980" i="9"/>
  <c r="AE990" i="9" s="1"/>
  <c r="AE945" i="9"/>
  <c r="AE955" i="9" s="1"/>
  <c r="AD978" i="9"/>
  <c r="AS978" i="9" s="1"/>
  <c r="R943" i="9"/>
  <c r="B971" i="9" s="1"/>
  <c r="AD943" i="9"/>
  <c r="AS943" i="9" s="1"/>
  <c r="R1050" i="9"/>
  <c r="T1029" i="9"/>
  <c r="V1029" i="9"/>
  <c r="AF1071" i="9" s="1"/>
  <c r="U1029" i="9"/>
  <c r="W1029" i="9"/>
  <c r="AF1072" i="9" s="1"/>
  <c r="E1031" i="9"/>
  <c r="AE986" i="9"/>
  <c r="AE951" i="9"/>
  <c r="E978" i="9"/>
  <c r="E1005" i="9" s="1"/>
  <c r="C975" i="9"/>
  <c r="C1002" i="9" s="1"/>
  <c r="B1002" i="9"/>
  <c r="E975" i="9"/>
  <c r="E1002" i="9" s="1"/>
  <c r="AH876" i="9"/>
  <c r="U1032" i="9"/>
  <c r="W1032" i="9"/>
  <c r="AF1081" i="9" s="1"/>
  <c r="V1032" i="9"/>
  <c r="AF1080" i="9" s="1"/>
  <c r="T1032" i="9"/>
  <c r="AE1045" i="9"/>
  <c r="AS1045" i="9" s="1"/>
  <c r="AE1043" i="9"/>
  <c r="AS1043" i="9" s="1"/>
  <c r="AE1038" i="9"/>
  <c r="AS1038" i="9" s="1"/>
  <c r="AE1036" i="9"/>
  <c r="AS1036" i="9" s="1"/>
  <c r="AE1034" i="9"/>
  <c r="AS1034" i="9" s="1"/>
  <c r="AE1032" i="9"/>
  <c r="AS1032" i="9" s="1"/>
  <c r="AE1041" i="9"/>
  <c r="AS1041" i="9" s="1"/>
  <c r="AE1039" i="9"/>
  <c r="AS1039" i="9" s="1"/>
  <c r="AE1042" i="9"/>
  <c r="AS1042" i="9" s="1"/>
  <c r="AE1040" i="9"/>
  <c r="AS1040" i="9" s="1"/>
  <c r="AE1029" i="9"/>
  <c r="AS1029" i="9" s="1"/>
  <c r="AE1031" i="9"/>
  <c r="AS1031" i="9" s="1"/>
  <c r="AE1027" i="9"/>
  <c r="AS1027" i="9" s="1"/>
  <c r="AE1037" i="9"/>
  <c r="AS1037" i="9" s="1"/>
  <c r="AE1025" i="9"/>
  <c r="AS1025" i="9" s="1"/>
  <c r="AE1023" i="9"/>
  <c r="AS1023" i="9" s="1"/>
  <c r="AE1044" i="9"/>
  <c r="AS1044" i="9" s="1"/>
  <c r="AE1030" i="9"/>
  <c r="AS1030" i="9" s="1"/>
  <c r="AE1035" i="9"/>
  <c r="AS1035" i="9" s="1"/>
  <c r="AE1028" i="9"/>
  <c r="AS1028" i="9" s="1"/>
  <c r="AE1024" i="9"/>
  <c r="AS1024" i="9" s="1"/>
  <c r="AE1022" i="9"/>
  <c r="AE1026" i="9"/>
  <c r="AS1026" i="9" s="1"/>
  <c r="AE1033" i="9"/>
  <c r="AS1033" i="9" s="1"/>
  <c r="W1023" i="9"/>
  <c r="AF1054" i="9" s="1"/>
  <c r="U1023" i="9"/>
  <c r="V1023" i="9"/>
  <c r="AF1053" i="9" s="1"/>
  <c r="T1023" i="9"/>
  <c r="D975" i="9"/>
  <c r="AU947" i="9"/>
  <c r="AD983" i="9"/>
  <c r="AS983" i="9" s="1"/>
  <c r="AD948" i="9"/>
  <c r="AS948" i="9" s="1"/>
  <c r="R948" i="9"/>
  <c r="B976" i="9" s="1"/>
  <c r="R1055" i="9"/>
  <c r="AD987" i="9"/>
  <c r="AS987" i="9" s="1"/>
  <c r="AD952" i="9"/>
  <c r="AS952" i="9" s="1"/>
  <c r="R952" i="9"/>
  <c r="B980" i="9" s="1"/>
  <c r="R1059" i="9"/>
  <c r="B945" i="9"/>
  <c r="B917" i="9"/>
  <c r="AN879" i="9"/>
  <c r="AG879" i="9"/>
  <c r="AH879" i="9" s="1"/>
  <c r="AJ879" i="9" s="1"/>
  <c r="AL879" i="9" s="1"/>
  <c r="AO914" i="9"/>
  <c r="AT914" i="9" s="1"/>
  <c r="AT1115" i="12" l="1"/>
  <c r="AE921" i="14"/>
  <c r="E946" i="14"/>
  <c r="E973" i="14" s="1"/>
  <c r="F944" i="14"/>
  <c r="F971" i="14" s="1"/>
  <c r="AE956" i="14"/>
  <c r="C943" i="14"/>
  <c r="C970" i="14" s="1"/>
  <c r="B970" i="14"/>
  <c r="AD946" i="14"/>
  <c r="AS946" i="14" s="1"/>
  <c r="AD911" i="14"/>
  <c r="AS911" i="14" s="1"/>
  <c r="R911" i="14"/>
  <c r="B939" i="14" s="1"/>
  <c r="R1018" i="14"/>
  <c r="D937" i="14"/>
  <c r="AU909" i="14"/>
  <c r="D943" i="14"/>
  <c r="AU915" i="14"/>
  <c r="F965" i="14"/>
  <c r="S938" i="14"/>
  <c r="T988" i="14"/>
  <c r="U988" i="14"/>
  <c r="AD949" i="14"/>
  <c r="AS949" i="14" s="1"/>
  <c r="AD914" i="14"/>
  <c r="AS914" i="14" s="1"/>
  <c r="R914" i="14"/>
  <c r="B942" i="14" s="1"/>
  <c r="R1021" i="14"/>
  <c r="AU988" i="14"/>
  <c r="AD943" i="14"/>
  <c r="B921" i="14"/>
  <c r="R1027" i="14" s="1"/>
  <c r="R908" i="14"/>
  <c r="AD908" i="14"/>
  <c r="R1015" i="14"/>
  <c r="AT1010" i="14"/>
  <c r="AU1010" i="14" s="1"/>
  <c r="AX1010" i="14" s="1"/>
  <c r="AT1005" i="14"/>
  <c r="AU1005" i="14" s="1"/>
  <c r="AX1005" i="14" s="1"/>
  <c r="AT1006" i="14"/>
  <c r="AU1006" i="14" s="1"/>
  <c r="AX1006" i="14" s="1"/>
  <c r="AT1002" i="14"/>
  <c r="AU1002" i="14" s="1"/>
  <c r="AX1002" i="14" s="1"/>
  <c r="AT1004" i="14"/>
  <c r="AU1004" i="14" s="1"/>
  <c r="AX1004" i="14" s="1"/>
  <c r="AT1003" i="14"/>
  <c r="AU1003" i="14" s="1"/>
  <c r="AX1003" i="14" s="1"/>
  <c r="AT1011" i="14"/>
  <c r="AU1011" i="14" s="1"/>
  <c r="AX1011" i="14" s="1"/>
  <c r="AT996" i="14"/>
  <c r="AU996" i="14" s="1"/>
  <c r="AX996" i="14" s="1"/>
  <c r="AT995" i="14"/>
  <c r="AU995" i="14" s="1"/>
  <c r="AX995" i="14" s="1"/>
  <c r="AT990" i="14"/>
  <c r="AU990" i="14" s="1"/>
  <c r="AX990" i="14" s="1"/>
  <c r="AT989" i="14"/>
  <c r="AU989" i="14" s="1"/>
  <c r="AX989" i="14" s="1"/>
  <c r="AT1009" i="14"/>
  <c r="AU1009" i="14" s="1"/>
  <c r="AX1009" i="14" s="1"/>
  <c r="AT991" i="14"/>
  <c r="AU991" i="14" s="1"/>
  <c r="AX991" i="14" s="1"/>
  <c r="AT1008" i="14"/>
  <c r="AU1008" i="14" s="1"/>
  <c r="AX1008" i="14" s="1"/>
  <c r="AT998" i="14"/>
  <c r="AU998" i="14" s="1"/>
  <c r="AX998" i="14" s="1"/>
  <c r="AT994" i="14"/>
  <c r="AU994" i="14" s="1"/>
  <c r="AX994" i="14" s="1"/>
  <c r="AT1007" i="14"/>
  <c r="AU1007" i="14" s="1"/>
  <c r="AX1007" i="14" s="1"/>
  <c r="AT997" i="14"/>
  <c r="AU997" i="14" s="1"/>
  <c r="AX997" i="14" s="1"/>
  <c r="AT993" i="14"/>
  <c r="AU993" i="14" s="1"/>
  <c r="AX993" i="14" s="1"/>
  <c r="AT999" i="14"/>
  <c r="AU999" i="14" s="1"/>
  <c r="AX999" i="14" s="1"/>
  <c r="AT1000" i="14"/>
  <c r="AU1000" i="14" s="1"/>
  <c r="AX1000" i="14" s="1"/>
  <c r="AT1001" i="14"/>
  <c r="AU1001" i="14" s="1"/>
  <c r="AX1001" i="14" s="1"/>
  <c r="AT992" i="14"/>
  <c r="AU992" i="14" s="1"/>
  <c r="AX992" i="14" s="1"/>
  <c r="B964" i="14"/>
  <c r="E937" i="14"/>
  <c r="E964" i="14" s="1"/>
  <c r="C937" i="14"/>
  <c r="C964" i="14" s="1"/>
  <c r="AG855" i="14"/>
  <c r="AH842" i="14"/>
  <c r="D972" i="14"/>
  <c r="AO890" i="14"/>
  <c r="AT877" i="14"/>
  <c r="AT890" i="14" s="1"/>
  <c r="E945" i="14"/>
  <c r="E972" i="14" s="1"/>
  <c r="B974" i="14"/>
  <c r="C947" i="14"/>
  <c r="C974" i="14" s="1"/>
  <c r="E940" i="14"/>
  <c r="E967" i="14" s="1"/>
  <c r="D941" i="14"/>
  <c r="AU913" i="14"/>
  <c r="D973" i="14"/>
  <c r="D947" i="14"/>
  <c r="AU919" i="14"/>
  <c r="D967" i="14"/>
  <c r="V994" i="14"/>
  <c r="U994" i="14"/>
  <c r="T994" i="14"/>
  <c r="T991" i="14"/>
  <c r="U991" i="14"/>
  <c r="B968" i="14"/>
  <c r="C941" i="14"/>
  <c r="C968" i="14" s="1"/>
  <c r="B1026" i="13"/>
  <c r="R1013" i="13"/>
  <c r="R1026" i="13" s="1"/>
  <c r="F1067" i="12"/>
  <c r="E1043" i="12"/>
  <c r="E1070" i="12" s="1"/>
  <c r="AG958" i="12"/>
  <c r="D1045" i="12"/>
  <c r="AU1017" i="12"/>
  <c r="D1070" i="12"/>
  <c r="F1043" i="12"/>
  <c r="M1043" i="12"/>
  <c r="AT993" i="12"/>
  <c r="AU1022" i="12"/>
  <c r="D1050" i="12"/>
  <c r="AO993" i="12"/>
  <c r="B1071" i="12"/>
  <c r="C1044" i="12"/>
  <c r="C1071" i="12" s="1"/>
  <c r="C1045" i="12"/>
  <c r="C1072" i="12" s="1"/>
  <c r="B1072" i="12"/>
  <c r="D1047" i="12"/>
  <c r="AU1019" i="12"/>
  <c r="D1075" i="12"/>
  <c r="M1048" i="12"/>
  <c r="F1048" i="12"/>
  <c r="AD1049" i="12"/>
  <c r="AS1049" i="12" s="1"/>
  <c r="AD1014" i="12"/>
  <c r="AS1014" i="12" s="1"/>
  <c r="R1014" i="12"/>
  <c r="B1042" i="12" s="1"/>
  <c r="R1121" i="12"/>
  <c r="AU1016" i="12"/>
  <c r="D1044" i="12"/>
  <c r="B1074" i="12"/>
  <c r="E1047" i="12"/>
  <c r="E1074" i="12" s="1"/>
  <c r="C1047" i="12"/>
  <c r="C1074" i="12" s="1"/>
  <c r="U1094" i="12"/>
  <c r="V1094" i="12"/>
  <c r="AF1128" i="12" s="1"/>
  <c r="T1094" i="12"/>
  <c r="W1094" i="12"/>
  <c r="AF1129" i="12" s="1"/>
  <c r="F1076" i="12"/>
  <c r="D1041" i="12"/>
  <c r="AU1013" i="12"/>
  <c r="C1050" i="12"/>
  <c r="C1077" i="12" s="1"/>
  <c r="B1077" i="12"/>
  <c r="AS1011" i="12"/>
  <c r="AD1024" i="12"/>
  <c r="E1046" i="12"/>
  <c r="E1073" i="12" s="1"/>
  <c r="M1076" i="12"/>
  <c r="O1049" i="12"/>
  <c r="AU1115" i="12"/>
  <c r="D1073" i="12"/>
  <c r="F1046" i="12"/>
  <c r="M1046" i="12"/>
  <c r="AS1046" i="12"/>
  <c r="AS1059" i="12" s="1"/>
  <c r="AD1059" i="12"/>
  <c r="O1040" i="12"/>
  <c r="M1067" i="12"/>
  <c r="C1041" i="12"/>
  <c r="C1068" i="12" s="1"/>
  <c r="B1068" i="12"/>
  <c r="AH958" i="12"/>
  <c r="AJ945" i="12"/>
  <c r="R1024" i="12"/>
  <c r="B1039" i="12"/>
  <c r="AG921" i="11"/>
  <c r="AH921" i="11" s="1"/>
  <c r="AJ921" i="11" s="1"/>
  <c r="AL921" i="11" s="1"/>
  <c r="B987" i="11"/>
  <c r="B959" i="11"/>
  <c r="AO956" i="11"/>
  <c r="AT956" i="11" s="1"/>
  <c r="AN921" i="11"/>
  <c r="B1040" i="11"/>
  <c r="C1013" i="11"/>
  <c r="C1040" i="11" s="1"/>
  <c r="F1010" i="11"/>
  <c r="M1019" i="11"/>
  <c r="B993" i="11"/>
  <c r="R1099" i="11" s="1"/>
  <c r="AD1015" i="11"/>
  <c r="AD980" i="11"/>
  <c r="R980" i="11"/>
  <c r="R1087" i="11"/>
  <c r="D1013" i="11"/>
  <c r="AU985" i="11"/>
  <c r="D1043" i="11"/>
  <c r="M1010" i="11"/>
  <c r="R986" i="11"/>
  <c r="B1014" i="11" s="1"/>
  <c r="AD986" i="11"/>
  <c r="AS986" i="11" s="1"/>
  <c r="AD1021" i="11"/>
  <c r="AS1021" i="11" s="1"/>
  <c r="R1093" i="11"/>
  <c r="F1019" i="11"/>
  <c r="B936" i="11"/>
  <c r="AT949" i="11"/>
  <c r="AT962" i="11" s="1"/>
  <c r="F1012" i="11"/>
  <c r="D1039" i="11"/>
  <c r="M1012" i="11"/>
  <c r="D1038" i="11"/>
  <c r="F1011" i="11"/>
  <c r="M1011" i="11"/>
  <c r="W1069" i="11"/>
  <c r="AF1116" i="11" s="1"/>
  <c r="U1069" i="11"/>
  <c r="T1069" i="11"/>
  <c r="V1069" i="11"/>
  <c r="AF1115" i="11" s="1"/>
  <c r="M1045" i="11"/>
  <c r="O1018" i="11"/>
  <c r="B1036" i="11"/>
  <c r="C1009" i="11"/>
  <c r="C1036" i="11" s="1"/>
  <c r="E1011" i="11"/>
  <c r="E1038" i="11" s="1"/>
  <c r="AE993" i="11"/>
  <c r="F1045" i="11"/>
  <c r="AU981" i="11"/>
  <c r="D1009" i="11"/>
  <c r="AE1084" i="11"/>
  <c r="AS1060" i="11"/>
  <c r="W1066" i="11"/>
  <c r="AF1107" i="11" s="1"/>
  <c r="T1066" i="11"/>
  <c r="V1066" i="11"/>
  <c r="AF1106" i="11" s="1"/>
  <c r="U1066" i="11"/>
  <c r="E1016" i="11"/>
  <c r="E1043" i="11" s="1"/>
  <c r="V1060" i="11"/>
  <c r="AF1088" i="11" s="1"/>
  <c r="T1060" i="11"/>
  <c r="U1060" i="11"/>
  <c r="W1060" i="11"/>
  <c r="AF1089" i="11" s="1"/>
  <c r="E1067" i="11"/>
  <c r="AE987" i="11"/>
  <c r="AE1022" i="11"/>
  <c r="AE1028" i="11" s="1"/>
  <c r="AD1024" i="11"/>
  <c r="AS1024" i="11" s="1"/>
  <c r="AD989" i="11"/>
  <c r="AS989" i="11" s="1"/>
  <c r="R989" i="11"/>
  <c r="B1017" i="11" s="1"/>
  <c r="R1096" i="11"/>
  <c r="AG927" i="11"/>
  <c r="AH914" i="11"/>
  <c r="AE981" i="10"/>
  <c r="AU1048" i="10"/>
  <c r="AT950" i="10"/>
  <c r="D998" i="10"/>
  <c r="AU970" i="10"/>
  <c r="M1030" i="10"/>
  <c r="O1003" i="10"/>
  <c r="B1027" i="10"/>
  <c r="C1000" i="10"/>
  <c r="C1027" i="10" s="1"/>
  <c r="AO950" i="10"/>
  <c r="E1057" i="10"/>
  <c r="AE977" i="10"/>
  <c r="AE1012" i="10"/>
  <c r="AE1016" i="10" s="1"/>
  <c r="AT1068" i="10"/>
  <c r="AU1068" i="10" s="1"/>
  <c r="AT1060" i="10"/>
  <c r="AU1060" i="10" s="1"/>
  <c r="AT1063" i="10"/>
  <c r="AU1063" i="10" s="1"/>
  <c r="AT1067" i="10"/>
  <c r="AU1067" i="10" s="1"/>
  <c r="AT1049" i="10"/>
  <c r="AU1049" i="10" s="1"/>
  <c r="AT1071" i="10"/>
  <c r="AU1071" i="10" s="1"/>
  <c r="AT1070" i="10"/>
  <c r="AU1070" i="10" s="1"/>
  <c r="AT1061" i="10"/>
  <c r="AU1061" i="10" s="1"/>
  <c r="AT1059" i="10"/>
  <c r="AU1059" i="10" s="1"/>
  <c r="AT1050" i="10"/>
  <c r="AU1050" i="10" s="1"/>
  <c r="AT1051" i="10"/>
  <c r="AU1051" i="10" s="1"/>
  <c r="AT1057" i="10"/>
  <c r="AU1057" i="10" s="1"/>
  <c r="AT1064" i="10"/>
  <c r="AU1064" i="10" s="1"/>
  <c r="AT1052" i="10"/>
  <c r="AU1052" i="10" s="1"/>
  <c r="AT1054" i="10"/>
  <c r="AU1054" i="10" s="1"/>
  <c r="AT1069" i="10"/>
  <c r="AU1069" i="10" s="1"/>
  <c r="AT1066" i="10"/>
  <c r="AU1066" i="10" s="1"/>
  <c r="AT1056" i="10"/>
  <c r="AU1056" i="10" s="1"/>
  <c r="AT1058" i="10"/>
  <c r="AU1058" i="10" s="1"/>
  <c r="AT1062" i="10"/>
  <c r="AU1062" i="10" s="1"/>
  <c r="AT1053" i="10"/>
  <c r="AU1053" i="10" s="1"/>
  <c r="AT1065" i="10"/>
  <c r="AU1065" i="10" s="1"/>
  <c r="AT1055" i="10"/>
  <c r="AU1055" i="10" s="1"/>
  <c r="B977" i="10"/>
  <c r="AN911" i="10"/>
  <c r="B949" i="10"/>
  <c r="AG911" i="10"/>
  <c r="AO946" i="10"/>
  <c r="AT946" i="10" s="1"/>
  <c r="B924" i="10"/>
  <c r="AU972" i="10"/>
  <c r="D1000" i="10"/>
  <c r="F1024" i="10"/>
  <c r="E998" i="10"/>
  <c r="E1025" i="10" s="1"/>
  <c r="C998" i="10"/>
  <c r="C1025" i="10" s="1"/>
  <c r="B1025" i="10"/>
  <c r="D1006" i="10"/>
  <c r="AU978" i="10"/>
  <c r="D1034" i="10"/>
  <c r="F1007" i="10"/>
  <c r="M1007" i="10"/>
  <c r="V1054" i="10"/>
  <c r="AF1094" i="10" s="1"/>
  <c r="T1054" i="10"/>
  <c r="U1054" i="10"/>
  <c r="W1054" i="10"/>
  <c r="AF1095" i="10" s="1"/>
  <c r="U1051" i="10"/>
  <c r="W1051" i="10"/>
  <c r="AF1086" i="10" s="1"/>
  <c r="V1051" i="10"/>
  <c r="AF1085" i="10" s="1"/>
  <c r="T1051" i="10"/>
  <c r="AU968" i="10"/>
  <c r="D996" i="10"/>
  <c r="O997" i="10"/>
  <c r="M1024" i="10"/>
  <c r="B1033" i="10"/>
  <c r="C1006" i="10"/>
  <c r="C1033" i="10" s="1"/>
  <c r="AU976" i="10"/>
  <c r="D1004" i="10"/>
  <c r="C996" i="10"/>
  <c r="E996" i="10" s="1"/>
  <c r="E1023" i="10" s="1"/>
  <c r="B1023" i="10"/>
  <c r="E1001" i="10"/>
  <c r="E1028" i="10" s="1"/>
  <c r="AD1009" i="10"/>
  <c r="AS1009" i="10" s="1"/>
  <c r="AD974" i="10"/>
  <c r="AS974" i="10" s="1"/>
  <c r="R974" i="10"/>
  <c r="B1002" i="10" s="1"/>
  <c r="R1081" i="10"/>
  <c r="B1031" i="10"/>
  <c r="C1004" i="10"/>
  <c r="C1031" i="10" s="1"/>
  <c r="AL902" i="10"/>
  <c r="D1028" i="10"/>
  <c r="AD1006" i="10"/>
  <c r="R971" i="10"/>
  <c r="AD971" i="10"/>
  <c r="R1078" i="10"/>
  <c r="E1007" i="10"/>
  <c r="E1034" i="10" s="1"/>
  <c r="F1030" i="10"/>
  <c r="S999" i="9"/>
  <c r="U972" i="9"/>
  <c r="T972" i="9"/>
  <c r="B1003" i="9"/>
  <c r="C976" i="9"/>
  <c r="C1003" i="9" s="1"/>
  <c r="T1025" i="9"/>
  <c r="V1025" i="9"/>
  <c r="AF1059" i="9" s="1"/>
  <c r="U1025" i="9"/>
  <c r="W1025" i="9"/>
  <c r="AF1060" i="9" s="1"/>
  <c r="E981" i="9"/>
  <c r="E1008" i="9" s="1"/>
  <c r="AU948" i="9"/>
  <c r="D976" i="9"/>
  <c r="M978" i="9"/>
  <c r="AD986" i="9"/>
  <c r="AS986" i="9" s="1"/>
  <c r="AD951" i="9"/>
  <c r="AS951" i="9" s="1"/>
  <c r="R951" i="9"/>
  <c r="B979" i="9" s="1"/>
  <c r="R1058" i="9"/>
  <c r="AD980" i="9"/>
  <c r="AS980" i="9" s="1"/>
  <c r="AD945" i="9"/>
  <c r="AS945" i="9" s="1"/>
  <c r="R945" i="9"/>
  <c r="B973" i="9" s="1"/>
  <c r="R1052" i="9"/>
  <c r="D1008" i="9"/>
  <c r="M981" i="9"/>
  <c r="F981" i="9"/>
  <c r="AS977" i="9"/>
  <c r="AE1046" i="9"/>
  <c r="AS1022" i="9"/>
  <c r="AU943" i="9"/>
  <c r="D971" i="9"/>
  <c r="O999" i="9"/>
  <c r="Q972" i="9"/>
  <c r="AS942" i="9"/>
  <c r="AD955" i="9"/>
  <c r="F978" i="9"/>
  <c r="D977" i="9"/>
  <c r="AU949" i="9"/>
  <c r="B1001" i="9"/>
  <c r="C974" i="9"/>
  <c r="C1001" i="9" s="1"/>
  <c r="B1007" i="9"/>
  <c r="C980" i="9"/>
  <c r="C1007" i="9" s="1"/>
  <c r="D1002" i="9"/>
  <c r="M975" i="9"/>
  <c r="F975" i="9"/>
  <c r="C971" i="9"/>
  <c r="C998" i="9" s="1"/>
  <c r="B998" i="9"/>
  <c r="B955" i="9"/>
  <c r="R1061" i="9" s="1"/>
  <c r="C977" i="9"/>
  <c r="C1004" i="9" s="1"/>
  <c r="B1004" i="9"/>
  <c r="AU946" i="9"/>
  <c r="D974" i="9"/>
  <c r="D980" i="9"/>
  <c r="AU952" i="9"/>
  <c r="AH889" i="9"/>
  <c r="AJ876" i="9"/>
  <c r="W1031" i="9"/>
  <c r="AF1078" i="9" s="1"/>
  <c r="U1031" i="9"/>
  <c r="T1031" i="9"/>
  <c r="V1031" i="9"/>
  <c r="AF1077" i="9" s="1"/>
  <c r="B970" i="9"/>
  <c r="R955" i="9"/>
  <c r="AT924" i="9"/>
  <c r="AG889" i="9"/>
  <c r="AO924" i="9"/>
  <c r="AT1072" i="10" l="1"/>
  <c r="F946" i="14"/>
  <c r="S944" i="14"/>
  <c r="E1072" i="14" s="1"/>
  <c r="E941" i="14"/>
  <c r="E968" i="14" s="1"/>
  <c r="F940" i="14"/>
  <c r="E947" i="14"/>
  <c r="E974" i="14" s="1"/>
  <c r="AJ842" i="14"/>
  <c r="AH855" i="14"/>
  <c r="B936" i="14"/>
  <c r="R921" i="14"/>
  <c r="C939" i="14"/>
  <c r="C966" i="14" s="1"/>
  <c r="B966" i="14"/>
  <c r="D974" i="14"/>
  <c r="F947" i="14"/>
  <c r="AD956" i="14"/>
  <c r="AS943" i="14"/>
  <c r="AS956" i="14" s="1"/>
  <c r="C1066" i="14"/>
  <c r="E1066" i="14"/>
  <c r="S965" i="14"/>
  <c r="U938" i="14"/>
  <c r="T938" i="14"/>
  <c r="AU911" i="14"/>
  <c r="D939" i="14"/>
  <c r="F973" i="14"/>
  <c r="S946" i="14"/>
  <c r="AU1012" i="14"/>
  <c r="AX988" i="14"/>
  <c r="AX1012" i="14" s="1"/>
  <c r="U944" i="14"/>
  <c r="C942" i="14"/>
  <c r="C969" i="14" s="1"/>
  <c r="B969" i="14"/>
  <c r="D970" i="14"/>
  <c r="E943" i="14"/>
  <c r="E970" i="14" s="1"/>
  <c r="D968" i="14"/>
  <c r="F945" i="14"/>
  <c r="AU914" i="14"/>
  <c r="D942" i="14"/>
  <c r="AS908" i="14"/>
  <c r="AD921" i="14"/>
  <c r="D964" i="14"/>
  <c r="F937" i="14"/>
  <c r="B1066" i="12"/>
  <c r="C1039" i="12"/>
  <c r="B1052" i="12"/>
  <c r="E1039" i="12"/>
  <c r="E1066" i="12" s="1"/>
  <c r="F1075" i="12"/>
  <c r="D1072" i="12"/>
  <c r="AS1024" i="12"/>
  <c r="AU1024" i="12" s="1"/>
  <c r="D1039" i="12"/>
  <c r="AU1011" i="12"/>
  <c r="D1068" i="12"/>
  <c r="O1048" i="12"/>
  <c r="M1075" i="12"/>
  <c r="D1077" i="12"/>
  <c r="AL945" i="12"/>
  <c r="AL958" i="12" s="1"/>
  <c r="AJ958" i="12"/>
  <c r="AW1091" i="12"/>
  <c r="O1067" i="12"/>
  <c r="AW1093" i="12"/>
  <c r="AX1093" i="12" s="1"/>
  <c r="AW1095" i="12"/>
  <c r="AX1095" i="12" s="1"/>
  <c r="Q1040" i="12"/>
  <c r="R1040" i="12"/>
  <c r="S1040" i="12" s="1"/>
  <c r="AW1107" i="12"/>
  <c r="AX1107" i="12" s="1"/>
  <c r="AW1108" i="12"/>
  <c r="AX1108" i="12" s="1"/>
  <c r="AW1111" i="12"/>
  <c r="AX1111" i="12" s="1"/>
  <c r="AW1094" i="12"/>
  <c r="AX1094" i="12" s="1"/>
  <c r="AW1105" i="12"/>
  <c r="AX1105" i="12" s="1"/>
  <c r="AW1109" i="12"/>
  <c r="AX1109" i="12" s="1"/>
  <c r="AW1103" i="12"/>
  <c r="AX1103" i="12" s="1"/>
  <c r="AW1113" i="12"/>
  <c r="AX1113" i="12" s="1"/>
  <c r="AW1096" i="12"/>
  <c r="AX1096" i="12" s="1"/>
  <c r="AW1114" i="12"/>
  <c r="AX1114" i="12" s="1"/>
  <c r="AW1101" i="12"/>
  <c r="AX1101" i="12" s="1"/>
  <c r="AW1099" i="12"/>
  <c r="AX1099" i="12" s="1"/>
  <c r="AW1106" i="12"/>
  <c r="AX1106" i="12" s="1"/>
  <c r="AW1098" i="12"/>
  <c r="AX1098" i="12" s="1"/>
  <c r="AW1102" i="12"/>
  <c r="AX1102" i="12" s="1"/>
  <c r="AW1110" i="12"/>
  <c r="AX1110" i="12" s="1"/>
  <c r="AW1104" i="12"/>
  <c r="AX1104" i="12" s="1"/>
  <c r="AW1112" i="12"/>
  <c r="AX1112" i="12" s="1"/>
  <c r="AW1100" i="12"/>
  <c r="AX1100" i="12" s="1"/>
  <c r="AW1097" i="12"/>
  <c r="AX1097" i="12" s="1"/>
  <c r="AW1092" i="12"/>
  <c r="AX1092" i="12" s="1"/>
  <c r="B1069" i="12"/>
  <c r="C1042" i="12"/>
  <c r="C1069" i="12" s="1"/>
  <c r="D1074" i="12"/>
  <c r="M1047" i="12"/>
  <c r="F1047" i="12"/>
  <c r="E1044" i="12"/>
  <c r="E1071" i="12" s="1"/>
  <c r="M1070" i="12"/>
  <c r="O1043" i="12"/>
  <c r="O1076" i="12"/>
  <c r="R1049" i="12"/>
  <c r="S1049" i="12" s="1"/>
  <c r="Q1049" i="12"/>
  <c r="D1042" i="12"/>
  <c r="AU1014" i="12"/>
  <c r="F1070" i="12"/>
  <c r="E1041" i="12"/>
  <c r="E1068" i="12" s="1"/>
  <c r="M1073" i="12"/>
  <c r="O1046" i="12"/>
  <c r="D1071" i="12"/>
  <c r="F1044" i="12"/>
  <c r="F1073" i="12"/>
  <c r="E1050" i="12"/>
  <c r="E1077" i="12" s="1"/>
  <c r="E1045" i="12"/>
  <c r="E1072" i="12" s="1"/>
  <c r="F1046" i="11"/>
  <c r="M1016" i="11"/>
  <c r="D1040" i="11"/>
  <c r="M1038" i="11"/>
  <c r="O1011" i="11"/>
  <c r="C1017" i="11"/>
  <c r="C1044" i="11" s="1"/>
  <c r="B1044" i="11"/>
  <c r="O1045" i="11"/>
  <c r="R1018" i="11"/>
  <c r="S1018" i="11" s="1"/>
  <c r="Q1018" i="11"/>
  <c r="F1038" i="11"/>
  <c r="M1039" i="11"/>
  <c r="O1012" i="11"/>
  <c r="B1008" i="11"/>
  <c r="AH927" i="11"/>
  <c r="AJ914" i="11"/>
  <c r="AU989" i="11"/>
  <c r="D1017" i="11"/>
  <c r="D1014" i="11"/>
  <c r="AU986" i="11"/>
  <c r="AS980" i="11"/>
  <c r="F1039" i="11"/>
  <c r="E1014" i="11"/>
  <c r="E1041" i="11" s="1"/>
  <c r="C1014" i="11"/>
  <c r="C1041" i="11" s="1"/>
  <c r="B1041" i="11"/>
  <c r="AS1015" i="11"/>
  <c r="R987" i="11"/>
  <c r="B1015" i="11" s="1"/>
  <c r="AD1022" i="11"/>
  <c r="AS1022" i="11" s="1"/>
  <c r="AD987" i="11"/>
  <c r="AS987" i="11" s="1"/>
  <c r="R1094" i="11"/>
  <c r="AS1084" i="11"/>
  <c r="M1037" i="11"/>
  <c r="O1010" i="11"/>
  <c r="AO962" i="11"/>
  <c r="F1016" i="11"/>
  <c r="M1046" i="11"/>
  <c r="O1019" i="11"/>
  <c r="E1013" i="11"/>
  <c r="E1040" i="11" s="1"/>
  <c r="U1067" i="11"/>
  <c r="W1067" i="11"/>
  <c r="AF1110" i="11" s="1"/>
  <c r="V1067" i="11"/>
  <c r="AF1109" i="11" s="1"/>
  <c r="T1067" i="11"/>
  <c r="D1036" i="11"/>
  <c r="E1009" i="11"/>
  <c r="E1036" i="11" s="1"/>
  <c r="F1037" i="11"/>
  <c r="E1006" i="10"/>
  <c r="E1033" i="10" s="1"/>
  <c r="F1034" i="10"/>
  <c r="AS1006" i="10"/>
  <c r="D1027" i="10"/>
  <c r="M1000" i="10"/>
  <c r="F1000" i="10"/>
  <c r="B999" i="10"/>
  <c r="R981" i="10"/>
  <c r="R977" i="10"/>
  <c r="B1005" i="10" s="1"/>
  <c r="AD977" i="10"/>
  <c r="AS977" i="10" s="1"/>
  <c r="AD1012" i="10"/>
  <c r="AS1012" i="10" s="1"/>
  <c r="R1084" i="10"/>
  <c r="M1001" i="10"/>
  <c r="E1004" i="10"/>
  <c r="E1031" i="10" s="1"/>
  <c r="T1057" i="10"/>
  <c r="V1057" i="10"/>
  <c r="AF1103" i="10" s="1"/>
  <c r="U1057" i="10"/>
  <c r="W1057" i="10"/>
  <c r="AF1104" i="10" s="1"/>
  <c r="D1025" i="10"/>
  <c r="F998" i="10"/>
  <c r="M998" i="10"/>
  <c r="AX1053" i="10"/>
  <c r="F1001" i="10"/>
  <c r="C1002" i="10"/>
  <c r="C1029" i="10" s="1"/>
  <c r="B1029" i="10"/>
  <c r="AX1067" i="10"/>
  <c r="B981" i="10"/>
  <c r="R1087" i="10" s="1"/>
  <c r="D1002" i="10"/>
  <c r="AU974" i="10"/>
  <c r="D1031" i="10"/>
  <c r="F1004" i="10"/>
  <c r="D1023" i="10"/>
  <c r="M996" i="10"/>
  <c r="F996" i="10"/>
  <c r="AH911" i="10"/>
  <c r="AG915" i="10"/>
  <c r="AX1051" i="10"/>
  <c r="AX1063" i="10"/>
  <c r="E1000" i="10"/>
  <c r="E1027" i="10" s="1"/>
  <c r="AU1072" i="10"/>
  <c r="AS971" i="10"/>
  <c r="C1023" i="10"/>
  <c r="R997" i="10"/>
  <c r="S997" i="10" s="1"/>
  <c r="Q997" i="10"/>
  <c r="O1024" i="10"/>
  <c r="AW1048" i="10"/>
  <c r="AW1049" i="10"/>
  <c r="AX1049" i="10" s="1"/>
  <c r="AW1068" i="10"/>
  <c r="AW1069" i="10"/>
  <c r="AX1069" i="10" s="1"/>
  <c r="AW1063" i="10"/>
  <c r="AW1064" i="10"/>
  <c r="AX1064" i="10" s="1"/>
  <c r="AW1065" i="10"/>
  <c r="AX1065" i="10" s="1"/>
  <c r="AW1061" i="10"/>
  <c r="AX1061" i="10" s="1"/>
  <c r="AW1053" i="10"/>
  <c r="AW1050" i="10"/>
  <c r="AW1051" i="10"/>
  <c r="AW1062" i="10"/>
  <c r="AX1062" i="10" s="1"/>
  <c r="AW1059" i="10"/>
  <c r="AX1059" i="10" s="1"/>
  <c r="AW1052" i="10"/>
  <c r="AX1052" i="10" s="1"/>
  <c r="AW1054" i="10"/>
  <c r="AX1054" i="10" s="1"/>
  <c r="AW1060" i="10"/>
  <c r="AW1057" i="10"/>
  <c r="AX1057" i="10" s="1"/>
  <c r="AW1071" i="10"/>
  <c r="AX1071" i="10" s="1"/>
  <c r="AW1058" i="10"/>
  <c r="AX1058" i="10" s="1"/>
  <c r="AW1055" i="10"/>
  <c r="AX1055" i="10" s="1"/>
  <c r="AW1056" i="10"/>
  <c r="AX1056" i="10" s="1"/>
  <c r="AW1066" i="10"/>
  <c r="AX1066" i="10" s="1"/>
  <c r="AW1067" i="10"/>
  <c r="AW1070" i="10"/>
  <c r="AX1070" i="10" s="1"/>
  <c r="D1033" i="10"/>
  <c r="M1006" i="10"/>
  <c r="AX1050" i="10"/>
  <c r="AX1060" i="10"/>
  <c r="O1007" i="10"/>
  <c r="M1034" i="10"/>
  <c r="AX1068" i="10"/>
  <c r="O1030" i="10"/>
  <c r="Q1003" i="10"/>
  <c r="R1003" i="10"/>
  <c r="S1003" i="10" s="1"/>
  <c r="E980" i="9"/>
  <c r="E1007" i="9" s="1"/>
  <c r="S978" i="9"/>
  <c r="F1005" i="9"/>
  <c r="M1008" i="9"/>
  <c r="O981" i="9"/>
  <c r="M1005" i="9"/>
  <c r="O978" i="9"/>
  <c r="E973" i="9"/>
  <c r="E1000" i="9" s="1"/>
  <c r="B1000" i="9"/>
  <c r="C973" i="9"/>
  <c r="C1000" i="9" s="1"/>
  <c r="U999" i="9"/>
  <c r="T999" i="9"/>
  <c r="E977" i="9"/>
  <c r="E1004" i="9" s="1"/>
  <c r="D970" i="9"/>
  <c r="AS955" i="9"/>
  <c r="AU955" i="9" s="1"/>
  <c r="AU942" i="9"/>
  <c r="D973" i="9"/>
  <c r="AU945" i="9"/>
  <c r="AS1046" i="9"/>
  <c r="AT1022" i="9" s="1"/>
  <c r="AJ889" i="9"/>
  <c r="AL876" i="9"/>
  <c r="AL889" i="9" s="1"/>
  <c r="E974" i="9"/>
  <c r="E1001" i="9" s="1"/>
  <c r="Q999" i="9"/>
  <c r="R999" i="9" s="1"/>
  <c r="F980" i="9"/>
  <c r="D1007" i="9"/>
  <c r="E971" i="9"/>
  <c r="E998" i="9" s="1"/>
  <c r="F1002" i="9"/>
  <c r="S975" i="9"/>
  <c r="F971" i="9"/>
  <c r="D998" i="9"/>
  <c r="AS990" i="9"/>
  <c r="B1006" i="9"/>
  <c r="C979" i="9"/>
  <c r="C1006" i="9" s="1"/>
  <c r="E979" i="9"/>
  <c r="E1006" i="9" s="1"/>
  <c r="E976" i="9"/>
  <c r="E1003" i="9" s="1"/>
  <c r="M974" i="9"/>
  <c r="D1001" i="9"/>
  <c r="F974" i="9"/>
  <c r="M1002" i="9"/>
  <c r="O975" i="9"/>
  <c r="AD990" i="9"/>
  <c r="AU951" i="9"/>
  <c r="D979" i="9"/>
  <c r="B997" i="9"/>
  <c r="B983" i="9"/>
  <c r="C970" i="9"/>
  <c r="M977" i="9"/>
  <c r="F977" i="9"/>
  <c r="D1004" i="9"/>
  <c r="S981" i="9"/>
  <c r="F1008" i="9"/>
  <c r="F976" i="9"/>
  <c r="D1003" i="9"/>
  <c r="M976" i="9"/>
  <c r="T944" i="14" l="1"/>
  <c r="S971" i="14"/>
  <c r="U971" i="14" s="1"/>
  <c r="C1072" i="14"/>
  <c r="E939" i="14"/>
  <c r="E966" i="14" s="1"/>
  <c r="D969" i="14"/>
  <c r="F942" i="14"/>
  <c r="E942" i="14"/>
  <c r="E969" i="14" s="1"/>
  <c r="S945" i="14"/>
  <c r="F972" i="14"/>
  <c r="E1074" i="14"/>
  <c r="C1074" i="14"/>
  <c r="S973" i="14"/>
  <c r="T946" i="14"/>
  <c r="U946" i="14"/>
  <c r="F941" i="14"/>
  <c r="B949" i="14"/>
  <c r="B963" i="14"/>
  <c r="C936" i="14"/>
  <c r="F964" i="14"/>
  <c r="S937" i="14"/>
  <c r="D966" i="14"/>
  <c r="F939" i="14"/>
  <c r="S947" i="14"/>
  <c r="F974" i="14"/>
  <c r="AJ855" i="14"/>
  <c r="AL842" i="14"/>
  <c r="AL855" i="14" s="1"/>
  <c r="F943" i="14"/>
  <c r="AS921" i="14"/>
  <c r="AU921" i="14" s="1"/>
  <c r="D936" i="14"/>
  <c r="AU908" i="14"/>
  <c r="F967" i="14"/>
  <c r="S940" i="14"/>
  <c r="U965" i="14"/>
  <c r="T965" i="14"/>
  <c r="Q1067" i="12"/>
  <c r="R1067" i="12" s="1"/>
  <c r="O1075" i="12"/>
  <c r="Q1048" i="12"/>
  <c r="R1048" i="12" s="1"/>
  <c r="S1048" i="12" s="1"/>
  <c r="M1045" i="12"/>
  <c r="F1071" i="12"/>
  <c r="F1074" i="12"/>
  <c r="AW1115" i="12"/>
  <c r="AX1091" i="12"/>
  <c r="AX1115" i="12" s="1"/>
  <c r="F1041" i="12"/>
  <c r="F1042" i="12"/>
  <c r="D1069" i="12"/>
  <c r="M1074" i="12"/>
  <c r="O1047" i="12"/>
  <c r="M1041" i="12"/>
  <c r="M1044" i="12"/>
  <c r="O1073" i="12"/>
  <c r="Q1046" i="12"/>
  <c r="R1046" i="12"/>
  <c r="S1046" i="12" s="1"/>
  <c r="S1076" i="12"/>
  <c r="T1049" i="12"/>
  <c r="U1049" i="12"/>
  <c r="T1040" i="12"/>
  <c r="S1067" i="12"/>
  <c r="U1040" i="12"/>
  <c r="M1050" i="12"/>
  <c r="Q1076" i="12"/>
  <c r="R1076" i="12" s="1"/>
  <c r="F1050" i="12"/>
  <c r="D1066" i="12"/>
  <c r="F1039" i="12"/>
  <c r="D1052" i="12"/>
  <c r="M1039" i="12"/>
  <c r="R1043" i="12"/>
  <c r="S1043" i="12" s="1"/>
  <c r="O1070" i="12"/>
  <c r="Q1043" i="12"/>
  <c r="E1042" i="12"/>
  <c r="E1069" i="12" s="1"/>
  <c r="C1066" i="12"/>
  <c r="C1052" i="12"/>
  <c r="E1052" i="12" s="1"/>
  <c r="F1045" i="12"/>
  <c r="F1009" i="11"/>
  <c r="O1046" i="11"/>
  <c r="Q1019" i="11"/>
  <c r="R1019" i="11"/>
  <c r="S1019" i="11" s="1"/>
  <c r="AT1076" i="11"/>
  <c r="AU1076" i="11" s="1"/>
  <c r="AT1064" i="11"/>
  <c r="AU1064" i="11" s="1"/>
  <c r="AT1072" i="11"/>
  <c r="AU1072" i="11" s="1"/>
  <c r="AT1073" i="11"/>
  <c r="AU1073" i="11" s="1"/>
  <c r="AT1077" i="11"/>
  <c r="AU1077" i="11" s="1"/>
  <c r="AT1063" i="11"/>
  <c r="AU1063" i="11" s="1"/>
  <c r="AT1079" i="11"/>
  <c r="AU1079" i="11" s="1"/>
  <c r="AT1061" i="11"/>
  <c r="AU1061" i="11" s="1"/>
  <c r="AT1074" i="11"/>
  <c r="AU1074" i="11" s="1"/>
  <c r="AT1083" i="11"/>
  <c r="AU1083" i="11" s="1"/>
  <c r="AT1069" i="11"/>
  <c r="AU1069" i="11" s="1"/>
  <c r="AT1067" i="11"/>
  <c r="AU1067" i="11" s="1"/>
  <c r="AT1082" i="11"/>
  <c r="AU1082" i="11" s="1"/>
  <c r="AT1080" i="11"/>
  <c r="AU1080" i="11" s="1"/>
  <c r="AT1066" i="11"/>
  <c r="AU1066" i="11" s="1"/>
  <c r="AT1070" i="11"/>
  <c r="AU1070" i="11" s="1"/>
  <c r="AT1075" i="11"/>
  <c r="AU1075" i="11" s="1"/>
  <c r="AT1071" i="11"/>
  <c r="AU1071" i="11" s="1"/>
  <c r="AT1081" i="11"/>
  <c r="AU1081" i="11" s="1"/>
  <c r="AT1068" i="11"/>
  <c r="AU1068" i="11" s="1"/>
  <c r="AT1065" i="11"/>
  <c r="AU1065" i="11" s="1"/>
  <c r="AT1078" i="11"/>
  <c r="AU1078" i="11" s="1"/>
  <c r="AT1062" i="11"/>
  <c r="AU1062" i="11" s="1"/>
  <c r="D1044" i="11"/>
  <c r="O1038" i="11"/>
  <c r="Q1011" i="11"/>
  <c r="R1011" i="11" s="1"/>
  <c r="S1011" i="11" s="1"/>
  <c r="M1009" i="11"/>
  <c r="F1043" i="11"/>
  <c r="D1015" i="11"/>
  <c r="AU987" i="11"/>
  <c r="AL914" i="11"/>
  <c r="AL927" i="11" s="1"/>
  <c r="AJ927" i="11"/>
  <c r="F1013" i="11"/>
  <c r="S1045" i="11"/>
  <c r="T1018" i="11"/>
  <c r="U1018" i="11"/>
  <c r="M1013" i="11"/>
  <c r="O1037" i="11"/>
  <c r="Q1010" i="11"/>
  <c r="R1010" i="11" s="1"/>
  <c r="S1010" i="11" s="1"/>
  <c r="C1015" i="11"/>
  <c r="C1042" i="11" s="1"/>
  <c r="B1042" i="11"/>
  <c r="AD993" i="11"/>
  <c r="B1021" i="11"/>
  <c r="B1035" i="11"/>
  <c r="C1008" i="11"/>
  <c r="Q1045" i="11"/>
  <c r="R1045" i="11" s="1"/>
  <c r="AD1028" i="11"/>
  <c r="AS993" i="11"/>
  <c r="AU993" i="11" s="1"/>
  <c r="D1008" i="11"/>
  <c r="AU980" i="11"/>
  <c r="R993" i="11"/>
  <c r="E1017" i="11"/>
  <c r="E1044" i="11" s="1"/>
  <c r="M1043" i="11"/>
  <c r="O1016" i="11"/>
  <c r="AT1060" i="11"/>
  <c r="AS1028" i="11"/>
  <c r="O1039" i="11"/>
  <c r="Q1012" i="11"/>
  <c r="R1012" i="11" s="1"/>
  <c r="S1012" i="11" s="1"/>
  <c r="M1014" i="11"/>
  <c r="F1014" i="11"/>
  <c r="D1041" i="11"/>
  <c r="S1030" i="10"/>
  <c r="U1003" i="10"/>
  <c r="T1003" i="10"/>
  <c r="F1031" i="10"/>
  <c r="D1005" i="10"/>
  <c r="AU977" i="10"/>
  <c r="O1000" i="10"/>
  <c r="M1027" i="10"/>
  <c r="Q1030" i="10"/>
  <c r="R1030" i="10" s="1"/>
  <c r="M1025" i="10"/>
  <c r="O998" i="10"/>
  <c r="B1032" i="10"/>
  <c r="C1005" i="10"/>
  <c r="C1032" i="10" s="1"/>
  <c r="F1006" i="10"/>
  <c r="AD981" i="10"/>
  <c r="M1004" i="10"/>
  <c r="F1025" i="10"/>
  <c r="AD1016" i="10"/>
  <c r="M1033" i="10"/>
  <c r="O1006" i="10"/>
  <c r="B1026" i="10"/>
  <c r="C999" i="10"/>
  <c r="E999" i="10" s="1"/>
  <c r="E1026" i="10" s="1"/>
  <c r="B1009" i="10"/>
  <c r="AW1072" i="10"/>
  <c r="AX1048" i="10"/>
  <c r="AX1072" i="10" s="1"/>
  <c r="F1023" i="10"/>
  <c r="M1002" i="10"/>
  <c r="D1029" i="10"/>
  <c r="M1028" i="10"/>
  <c r="O1001" i="10"/>
  <c r="D999" i="10"/>
  <c r="AU971" i="10"/>
  <c r="AS981" i="10"/>
  <c r="AU981" i="10" s="1"/>
  <c r="AS1016" i="10"/>
  <c r="Q1024" i="10"/>
  <c r="R1024" i="10" s="1"/>
  <c r="O996" i="10"/>
  <c r="M1023" i="10"/>
  <c r="E1002" i="10"/>
  <c r="E1029" i="10" s="1"/>
  <c r="AJ911" i="10"/>
  <c r="AH915" i="10"/>
  <c r="O1034" i="10"/>
  <c r="Q1007" i="10"/>
  <c r="R1007" i="10"/>
  <c r="S1007" i="10" s="1"/>
  <c r="F1028" i="10"/>
  <c r="S1024" i="10"/>
  <c r="T997" i="10"/>
  <c r="U997" i="10"/>
  <c r="F1027" i="10"/>
  <c r="T981" i="9"/>
  <c r="S1008" i="9"/>
  <c r="U981" i="9"/>
  <c r="F979" i="9"/>
  <c r="D1006" i="9"/>
  <c r="M979" i="9"/>
  <c r="S1002" i="9"/>
  <c r="U975" i="9"/>
  <c r="T975" i="9"/>
  <c r="Q978" i="9"/>
  <c r="O1005" i="9"/>
  <c r="F1004" i="9"/>
  <c r="S977" i="9"/>
  <c r="D983" i="9"/>
  <c r="D997" i="9"/>
  <c r="M970" i="9"/>
  <c r="M1004" i="9"/>
  <c r="O977" i="9"/>
  <c r="O1002" i="9"/>
  <c r="Q975" i="9"/>
  <c r="O1008" i="9"/>
  <c r="Q981" i="9"/>
  <c r="M1003" i="9"/>
  <c r="O976" i="9"/>
  <c r="C997" i="9"/>
  <c r="C983" i="9"/>
  <c r="F1007" i="9"/>
  <c r="S980" i="9"/>
  <c r="AU1022" i="9"/>
  <c r="E970" i="9"/>
  <c r="E997" i="9" s="1"/>
  <c r="S974" i="9"/>
  <c r="F1001" i="9"/>
  <c r="M971" i="9"/>
  <c r="M980" i="9"/>
  <c r="AT1032" i="9"/>
  <c r="AU1032" i="9" s="1"/>
  <c r="AT1034" i="9"/>
  <c r="AU1034" i="9" s="1"/>
  <c r="AT1038" i="9"/>
  <c r="AU1038" i="9" s="1"/>
  <c r="AT1030" i="9"/>
  <c r="AU1030" i="9" s="1"/>
  <c r="AT1045" i="9"/>
  <c r="AU1045" i="9" s="1"/>
  <c r="AT1026" i="9"/>
  <c r="AU1026" i="9" s="1"/>
  <c r="AT1036" i="9"/>
  <c r="AU1036" i="9" s="1"/>
  <c r="AT1033" i="9"/>
  <c r="AU1033" i="9" s="1"/>
  <c r="AT1040" i="9"/>
  <c r="AU1040" i="9" s="1"/>
  <c r="AT1025" i="9"/>
  <c r="AU1025" i="9" s="1"/>
  <c r="AT1023" i="9"/>
  <c r="AU1023" i="9" s="1"/>
  <c r="AT1024" i="9"/>
  <c r="AU1024" i="9" s="1"/>
  <c r="AT1035" i="9"/>
  <c r="AU1035" i="9" s="1"/>
  <c r="AT1043" i="9"/>
  <c r="AU1043" i="9" s="1"/>
  <c r="AT1044" i="9"/>
  <c r="AU1044" i="9" s="1"/>
  <c r="AT1041" i="9"/>
  <c r="AU1041" i="9" s="1"/>
  <c r="AT1028" i="9"/>
  <c r="AU1028" i="9" s="1"/>
  <c r="AT1039" i="9"/>
  <c r="AU1039" i="9" s="1"/>
  <c r="AT1037" i="9"/>
  <c r="AU1037" i="9" s="1"/>
  <c r="AT1027" i="9"/>
  <c r="AU1027" i="9" s="1"/>
  <c r="AT1029" i="9"/>
  <c r="AU1029" i="9" s="1"/>
  <c r="AT1042" i="9"/>
  <c r="AU1042" i="9" s="1"/>
  <c r="AT1031" i="9"/>
  <c r="AU1031" i="9" s="1"/>
  <c r="S976" i="9"/>
  <c r="F1003" i="9"/>
  <c r="E983" i="9"/>
  <c r="S1005" i="9"/>
  <c r="U978" i="9"/>
  <c r="T978" i="9"/>
  <c r="M1001" i="9"/>
  <c r="O974" i="9"/>
  <c r="F998" i="9"/>
  <c r="S971" i="9"/>
  <c r="F973" i="9"/>
  <c r="M973" i="9"/>
  <c r="D1000" i="9"/>
  <c r="AT1046" i="9" l="1"/>
  <c r="T971" i="14"/>
  <c r="E1065" i="14"/>
  <c r="C1065" i="14"/>
  <c r="S964" i="14"/>
  <c r="T937" i="14"/>
  <c r="U937" i="14"/>
  <c r="F970" i="14"/>
  <c r="S943" i="14"/>
  <c r="U973" i="14"/>
  <c r="T973" i="14"/>
  <c r="C1068" i="14"/>
  <c r="E1068" i="14"/>
  <c r="U940" i="14"/>
  <c r="S967" i="14"/>
  <c r="T940" i="14"/>
  <c r="C963" i="14"/>
  <c r="C949" i="14"/>
  <c r="E936" i="14"/>
  <c r="E963" i="14" s="1"/>
  <c r="D963" i="14"/>
  <c r="D949" i="14"/>
  <c r="E1075" i="14"/>
  <c r="C1075" i="14"/>
  <c r="S974" i="14"/>
  <c r="U947" i="14"/>
  <c r="T947" i="14"/>
  <c r="E1073" i="14"/>
  <c r="C1073" i="14"/>
  <c r="S972" i="14"/>
  <c r="U945" i="14"/>
  <c r="T945" i="14"/>
  <c r="E949" i="14"/>
  <c r="F966" i="14"/>
  <c r="S939" i="14"/>
  <c r="F968" i="14"/>
  <c r="S941" i="14"/>
  <c r="F969" i="14"/>
  <c r="S942" i="14"/>
  <c r="S1075" i="12"/>
  <c r="U1048" i="12"/>
  <c r="T1048" i="12"/>
  <c r="Q1070" i="12"/>
  <c r="R1070" i="12" s="1"/>
  <c r="U1076" i="12"/>
  <c r="T1076" i="12"/>
  <c r="M1042" i="12"/>
  <c r="S1070" i="12"/>
  <c r="U1043" i="12"/>
  <c r="T1043" i="12"/>
  <c r="S1073" i="12"/>
  <c r="U1046" i="12"/>
  <c r="T1046" i="12"/>
  <c r="M1077" i="12"/>
  <c r="O1050" i="12"/>
  <c r="F1069" i="12"/>
  <c r="M1072" i="12"/>
  <c r="O1045" i="12"/>
  <c r="F1072" i="12"/>
  <c r="M1052" i="12"/>
  <c r="O1052" i="12" s="1"/>
  <c r="M1066" i="12"/>
  <c r="O1039" i="12"/>
  <c r="Q1073" i="12"/>
  <c r="R1073" i="12" s="1"/>
  <c r="F1068" i="12"/>
  <c r="T1067" i="12"/>
  <c r="U1067" i="12"/>
  <c r="O1044" i="12"/>
  <c r="M1071" i="12"/>
  <c r="F1066" i="12"/>
  <c r="F1052" i="12"/>
  <c r="O1041" i="12"/>
  <c r="M1068" i="12"/>
  <c r="Q1075" i="12"/>
  <c r="R1075" i="12" s="1"/>
  <c r="O1074" i="12"/>
  <c r="R1047" i="12"/>
  <c r="S1047" i="12" s="1"/>
  <c r="Q1047" i="12"/>
  <c r="F1077" i="12"/>
  <c r="S1039" i="11"/>
  <c r="U1012" i="11"/>
  <c r="T1012" i="11"/>
  <c r="S1038" i="11"/>
  <c r="T1011" i="11"/>
  <c r="U1011" i="11"/>
  <c r="S1037" i="11"/>
  <c r="U1010" i="11"/>
  <c r="T1010" i="11"/>
  <c r="M1041" i="11"/>
  <c r="O1014" i="11"/>
  <c r="C1035" i="11"/>
  <c r="C1021" i="11"/>
  <c r="E1021" i="11" s="1"/>
  <c r="E1008" i="11"/>
  <c r="E1035" i="11" s="1"/>
  <c r="Q1038" i="11"/>
  <c r="R1038" i="11" s="1"/>
  <c r="Q1037" i="11"/>
  <c r="R1037" i="11" s="1"/>
  <c r="F1017" i="11"/>
  <c r="Q1039" i="11"/>
  <c r="R1039" i="11" s="1"/>
  <c r="D1035" i="11"/>
  <c r="F1008" i="11"/>
  <c r="D1021" i="11"/>
  <c r="M1008" i="11"/>
  <c r="M1040" i="11"/>
  <c r="O1013" i="11"/>
  <c r="D1042" i="11"/>
  <c r="F1015" i="11"/>
  <c r="M1015" i="11"/>
  <c r="M1017" i="11"/>
  <c r="S1046" i="11"/>
  <c r="U1019" i="11"/>
  <c r="T1019" i="11"/>
  <c r="AT1084" i="11"/>
  <c r="AU1060" i="11"/>
  <c r="E1015" i="11"/>
  <c r="E1042" i="11" s="1"/>
  <c r="O1043" i="11"/>
  <c r="Q1016" i="11"/>
  <c r="R1016" i="11" s="1"/>
  <c r="S1016" i="11" s="1"/>
  <c r="U1045" i="11"/>
  <c r="T1045" i="11"/>
  <c r="O1009" i="11"/>
  <c r="M1036" i="11"/>
  <c r="Q1046" i="11"/>
  <c r="R1046" i="11" s="1"/>
  <c r="F1041" i="11"/>
  <c r="F1040" i="11"/>
  <c r="F1036" i="11"/>
  <c r="M1029" i="10"/>
  <c r="O1002" i="10"/>
  <c r="AL911" i="10"/>
  <c r="AL915" i="10" s="1"/>
  <c r="AJ915" i="10"/>
  <c r="U1030" i="10"/>
  <c r="T1030" i="10"/>
  <c r="T1024" i="10"/>
  <c r="U1024" i="10"/>
  <c r="O1033" i="10"/>
  <c r="Q1006" i="10"/>
  <c r="R1006" i="10"/>
  <c r="E1005" i="10"/>
  <c r="E1032" i="10" s="1"/>
  <c r="O1027" i="10"/>
  <c r="Q1000" i="10"/>
  <c r="R1000" i="10" s="1"/>
  <c r="S1000" i="10" s="1"/>
  <c r="D1026" i="10"/>
  <c r="F999" i="10"/>
  <c r="M999" i="10"/>
  <c r="D1009" i="10"/>
  <c r="D1032" i="10"/>
  <c r="M1005" i="10"/>
  <c r="F1005" i="10"/>
  <c r="S1034" i="10"/>
  <c r="U1007" i="10"/>
  <c r="T1007" i="10"/>
  <c r="F1002" i="10"/>
  <c r="E1009" i="10"/>
  <c r="O1023" i="10"/>
  <c r="R996" i="10"/>
  <c r="Q996" i="10"/>
  <c r="O1028" i="10"/>
  <c r="Q1001" i="10"/>
  <c r="R1001" i="10"/>
  <c r="S1001" i="10" s="1"/>
  <c r="O1025" i="10"/>
  <c r="R998" i="10"/>
  <c r="S998" i="10" s="1"/>
  <c r="Q998" i="10"/>
  <c r="Q1034" i="10"/>
  <c r="R1034" i="10" s="1"/>
  <c r="M1031" i="10"/>
  <c r="O1004" i="10"/>
  <c r="C1026" i="10"/>
  <c r="C1009" i="10"/>
  <c r="S1006" i="10"/>
  <c r="F1033" i="10"/>
  <c r="O1003" i="9"/>
  <c r="Q976" i="9"/>
  <c r="S1001" i="9"/>
  <c r="T974" i="9"/>
  <c r="U974" i="9"/>
  <c r="F970" i="9"/>
  <c r="U1002" i="9"/>
  <c r="T1002" i="9"/>
  <c r="M997" i="9"/>
  <c r="M983" i="9"/>
  <c r="O983" i="9" s="1"/>
  <c r="O970" i="9"/>
  <c r="M1000" i="9"/>
  <c r="O973" i="9"/>
  <c r="U1005" i="9"/>
  <c r="T1005" i="9"/>
  <c r="AU1046" i="9"/>
  <c r="Q1008" i="9"/>
  <c r="R1008" i="9" s="1"/>
  <c r="M1006" i="9"/>
  <c r="O979" i="9"/>
  <c r="S998" i="9"/>
  <c r="U971" i="9"/>
  <c r="T971" i="9"/>
  <c r="Q1002" i="9"/>
  <c r="R1002" i="9" s="1"/>
  <c r="F1006" i="9"/>
  <c r="S979" i="9"/>
  <c r="S1007" i="9"/>
  <c r="U980" i="9"/>
  <c r="T980" i="9"/>
  <c r="S1004" i="9"/>
  <c r="T977" i="9"/>
  <c r="U977" i="9"/>
  <c r="S1003" i="9"/>
  <c r="U976" i="9"/>
  <c r="T976" i="9"/>
  <c r="M1007" i="9"/>
  <c r="O980" i="9"/>
  <c r="O1004" i="9"/>
  <c r="Q977" i="9"/>
  <c r="Q1005" i="9"/>
  <c r="R1005" i="9" s="1"/>
  <c r="F1000" i="9"/>
  <c r="S973" i="9"/>
  <c r="O1001" i="9"/>
  <c r="Q974" i="9"/>
  <c r="M998" i="9"/>
  <c r="O971" i="9"/>
  <c r="U1008" i="9"/>
  <c r="T1008" i="9"/>
  <c r="T974" i="14" l="1"/>
  <c r="U974" i="14"/>
  <c r="C1070" i="14"/>
  <c r="S969" i="14"/>
  <c r="E1070" i="14"/>
  <c r="U942" i="14"/>
  <c r="T942" i="14"/>
  <c r="U967" i="14"/>
  <c r="T967" i="14"/>
  <c r="E1071" i="14"/>
  <c r="C1071" i="14"/>
  <c r="S970" i="14"/>
  <c r="U943" i="14"/>
  <c r="T943" i="14"/>
  <c r="E1069" i="14"/>
  <c r="C1069" i="14"/>
  <c r="S968" i="14"/>
  <c r="T941" i="14"/>
  <c r="U941" i="14"/>
  <c r="T964" i="14"/>
  <c r="U964" i="14"/>
  <c r="E1067" i="14"/>
  <c r="C1067" i="14"/>
  <c r="S966" i="14"/>
  <c r="T939" i="14"/>
  <c r="U939" i="14"/>
  <c r="T972" i="14"/>
  <c r="U972" i="14"/>
  <c r="F936" i="14"/>
  <c r="F1075" i="14"/>
  <c r="O1071" i="12"/>
  <c r="Q1044" i="12"/>
  <c r="R1044" i="12"/>
  <c r="S1044" i="12" s="1"/>
  <c r="O1077" i="12"/>
  <c r="Q1050" i="12"/>
  <c r="R1050" i="12"/>
  <c r="S1050" i="12" s="1"/>
  <c r="O1042" i="12"/>
  <c r="M1069" i="12"/>
  <c r="Q1041" i="12"/>
  <c r="R1041" i="12" s="1"/>
  <c r="S1041" i="12" s="1"/>
  <c r="O1068" i="12"/>
  <c r="O1072" i="12"/>
  <c r="R1045" i="12"/>
  <c r="S1045" i="12" s="1"/>
  <c r="Q1045" i="12"/>
  <c r="T1073" i="12"/>
  <c r="U1073" i="12"/>
  <c r="S1074" i="12"/>
  <c r="U1047" i="12"/>
  <c r="T1047" i="12"/>
  <c r="Q1074" i="12"/>
  <c r="R1074" i="12" s="1"/>
  <c r="R1039" i="12"/>
  <c r="O1066" i="12"/>
  <c r="Q1039" i="12"/>
  <c r="T1070" i="12"/>
  <c r="U1070" i="12"/>
  <c r="T1075" i="12"/>
  <c r="U1075" i="12"/>
  <c r="S1043" i="11"/>
  <c r="U1016" i="11"/>
  <c r="T1016" i="11"/>
  <c r="Q1043" i="11"/>
  <c r="R1043" i="11" s="1"/>
  <c r="M1042" i="11"/>
  <c r="O1015" i="11"/>
  <c r="F1021" i="11"/>
  <c r="F1035" i="11"/>
  <c r="U1046" i="11"/>
  <c r="T1046" i="11"/>
  <c r="F1042" i="11"/>
  <c r="U1037" i="11"/>
  <c r="T1037" i="11"/>
  <c r="O1036" i="11"/>
  <c r="Q1009" i="11"/>
  <c r="R1009" i="11" s="1"/>
  <c r="S1009" i="11" s="1"/>
  <c r="AW1063" i="11"/>
  <c r="AX1063" i="11" s="1"/>
  <c r="AW1074" i="11"/>
  <c r="AX1074" i="11" s="1"/>
  <c r="AW1071" i="11"/>
  <c r="AX1071" i="11" s="1"/>
  <c r="AW1072" i="11"/>
  <c r="AX1072" i="11" s="1"/>
  <c r="AW1080" i="11"/>
  <c r="AX1080" i="11" s="1"/>
  <c r="AW1060" i="11"/>
  <c r="AW1075" i="11"/>
  <c r="AX1075" i="11" s="1"/>
  <c r="AW1070" i="11"/>
  <c r="AX1070" i="11" s="1"/>
  <c r="AW1078" i="11"/>
  <c r="AX1078" i="11" s="1"/>
  <c r="AW1062" i="11"/>
  <c r="AX1062" i="11" s="1"/>
  <c r="AW1079" i="11"/>
  <c r="AX1079" i="11" s="1"/>
  <c r="AW1065" i="11"/>
  <c r="AX1065" i="11" s="1"/>
  <c r="AW1064" i="11"/>
  <c r="AX1064" i="11" s="1"/>
  <c r="AW1077" i="11"/>
  <c r="AX1077" i="11" s="1"/>
  <c r="AW1082" i="11"/>
  <c r="AX1082" i="11" s="1"/>
  <c r="AW1067" i="11"/>
  <c r="AX1067" i="11" s="1"/>
  <c r="AW1068" i="11"/>
  <c r="AX1068" i="11" s="1"/>
  <c r="AW1066" i="11"/>
  <c r="AX1066" i="11" s="1"/>
  <c r="AW1083" i="11"/>
  <c r="AX1083" i="11" s="1"/>
  <c r="AW1069" i="11"/>
  <c r="AX1069" i="11" s="1"/>
  <c r="AW1081" i="11"/>
  <c r="AX1081" i="11" s="1"/>
  <c r="AW1061" i="11"/>
  <c r="AX1061" i="11" s="1"/>
  <c r="AW1076" i="11"/>
  <c r="AX1076" i="11" s="1"/>
  <c r="AW1073" i="11"/>
  <c r="AX1073" i="11" s="1"/>
  <c r="O1040" i="11"/>
  <c r="Q1013" i="11"/>
  <c r="R1013" i="11" s="1"/>
  <c r="S1013" i="11" s="1"/>
  <c r="U1038" i="11"/>
  <c r="T1038" i="11"/>
  <c r="AU1084" i="11"/>
  <c r="AX1060" i="11"/>
  <c r="O1041" i="11"/>
  <c r="R1014" i="11"/>
  <c r="S1014" i="11" s="1"/>
  <c r="Q1014" i="11"/>
  <c r="M1021" i="11"/>
  <c r="O1021" i="11" s="1"/>
  <c r="M1035" i="11"/>
  <c r="O1008" i="11"/>
  <c r="M1044" i="11"/>
  <c r="O1017" i="11"/>
  <c r="F1044" i="11"/>
  <c r="U1039" i="11"/>
  <c r="T1039" i="11"/>
  <c r="S1027" i="10"/>
  <c r="T1000" i="10"/>
  <c r="U1000" i="10"/>
  <c r="S1028" i="10"/>
  <c r="T1001" i="10"/>
  <c r="U1001" i="10"/>
  <c r="F1026" i="10"/>
  <c r="F1009" i="10"/>
  <c r="Q1033" i="10"/>
  <c r="R1033" i="10" s="1"/>
  <c r="O1031" i="10"/>
  <c r="R1004" i="10"/>
  <c r="S1004" i="10" s="1"/>
  <c r="Q1004" i="10"/>
  <c r="Q1028" i="10"/>
  <c r="R1028" i="10" s="1"/>
  <c r="U1034" i="10"/>
  <c r="T1034" i="10"/>
  <c r="F1032" i="10"/>
  <c r="S996" i="10"/>
  <c r="M1032" i="10"/>
  <c r="O1005" i="10"/>
  <c r="Q1027" i="10"/>
  <c r="R1027" i="10" s="1"/>
  <c r="Q1023" i="10"/>
  <c r="R1023" i="10" s="1"/>
  <c r="S1033" i="10"/>
  <c r="U1006" i="10"/>
  <c r="T1006" i="10"/>
  <c r="T998" i="10"/>
  <c r="S1025" i="10"/>
  <c r="U998" i="10"/>
  <c r="Q1025" i="10"/>
  <c r="R1025" i="10" s="1"/>
  <c r="F1029" i="10"/>
  <c r="O999" i="10"/>
  <c r="M1026" i="10"/>
  <c r="M1009" i="10"/>
  <c r="O1009" i="10" s="1"/>
  <c r="O1029" i="10"/>
  <c r="Q1002" i="10"/>
  <c r="R1002" i="10" s="1"/>
  <c r="S1002" i="10" s="1"/>
  <c r="O998" i="9"/>
  <c r="Q971" i="9"/>
  <c r="AW1038" i="9"/>
  <c r="AX1038" i="9" s="1"/>
  <c r="AW1023" i="9"/>
  <c r="AX1023" i="9" s="1"/>
  <c r="AW1031" i="9"/>
  <c r="AX1031" i="9" s="1"/>
  <c r="AW1044" i="9"/>
  <c r="AX1044" i="9" s="1"/>
  <c r="AW1036" i="9"/>
  <c r="AX1036" i="9" s="1"/>
  <c r="AW1035" i="9"/>
  <c r="AX1035" i="9" s="1"/>
  <c r="AW1042" i="9"/>
  <c r="AX1042" i="9" s="1"/>
  <c r="AW1030" i="9"/>
  <c r="AX1030" i="9" s="1"/>
  <c r="AW1029" i="9"/>
  <c r="AX1029" i="9" s="1"/>
  <c r="AW1034" i="9"/>
  <c r="AX1034" i="9" s="1"/>
  <c r="AW1032" i="9"/>
  <c r="AX1032" i="9" s="1"/>
  <c r="AW1026" i="9"/>
  <c r="AX1026" i="9" s="1"/>
  <c r="AW1041" i="9"/>
  <c r="AX1041" i="9" s="1"/>
  <c r="AW1028" i="9"/>
  <c r="AX1028" i="9" s="1"/>
  <c r="AW1024" i="9"/>
  <c r="AX1024" i="9" s="1"/>
  <c r="AW1027" i="9"/>
  <c r="AX1027" i="9" s="1"/>
  <c r="AW1022" i="9"/>
  <c r="AW1045" i="9"/>
  <c r="AX1045" i="9" s="1"/>
  <c r="AW1033" i="9"/>
  <c r="AX1033" i="9" s="1"/>
  <c r="AW1040" i="9"/>
  <c r="AX1040" i="9" s="1"/>
  <c r="AW1043" i="9"/>
  <c r="AX1043" i="9" s="1"/>
  <c r="AW1039" i="9"/>
  <c r="AX1039" i="9" s="1"/>
  <c r="AW1025" i="9"/>
  <c r="AX1025" i="9" s="1"/>
  <c r="AW1037" i="9"/>
  <c r="AX1037" i="9" s="1"/>
  <c r="S1000" i="9"/>
  <c r="U973" i="9"/>
  <c r="T973" i="9"/>
  <c r="U1004" i="9"/>
  <c r="T1004" i="9"/>
  <c r="U1001" i="9"/>
  <c r="T1001" i="9"/>
  <c r="Q979" i="9"/>
  <c r="O1006" i="9"/>
  <c r="U1007" i="9"/>
  <c r="T1007" i="9"/>
  <c r="O1000" i="9"/>
  <c r="Q973" i="9"/>
  <c r="F983" i="9"/>
  <c r="S983" i="9" s="1"/>
  <c r="S970" i="9"/>
  <c r="F997" i="9"/>
  <c r="U1003" i="9"/>
  <c r="T1003" i="9"/>
  <c r="U979" i="9"/>
  <c r="S1006" i="9"/>
  <c r="T979" i="9"/>
  <c r="O997" i="9"/>
  <c r="Q970" i="9"/>
  <c r="Q1004" i="9"/>
  <c r="R1004" i="9" s="1"/>
  <c r="U998" i="9"/>
  <c r="T998" i="9"/>
  <c r="Q1001" i="9"/>
  <c r="R1001" i="9" s="1"/>
  <c r="O1007" i="9"/>
  <c r="Q980" i="9"/>
  <c r="Q1003" i="9"/>
  <c r="R1003" i="9" s="1"/>
  <c r="T966" i="14" l="1"/>
  <c r="U966" i="14"/>
  <c r="F1069" i="14"/>
  <c r="F949" i="14"/>
  <c r="S949" i="14" s="1"/>
  <c r="F963" i="14"/>
  <c r="S936" i="14"/>
  <c r="F1072" i="14"/>
  <c r="T970" i="14"/>
  <c r="U970" i="14"/>
  <c r="U969" i="14"/>
  <c r="T969" i="14"/>
  <c r="T968" i="14"/>
  <c r="U968" i="14"/>
  <c r="S1068" i="12"/>
  <c r="U1041" i="12"/>
  <c r="T1041" i="12"/>
  <c r="Q1066" i="12"/>
  <c r="R1066" i="12" s="1"/>
  <c r="S1039" i="12"/>
  <c r="O1069" i="12"/>
  <c r="Q1042" i="12"/>
  <c r="R1042" i="12" s="1"/>
  <c r="S1072" i="12"/>
  <c r="U1045" i="12"/>
  <c r="T1045" i="12"/>
  <c r="S1077" i="12"/>
  <c r="U1050" i="12"/>
  <c r="T1050" i="12"/>
  <c r="Q1072" i="12"/>
  <c r="R1072" i="12" s="1"/>
  <c r="Q1077" i="12"/>
  <c r="R1077" i="12" s="1"/>
  <c r="Q1068" i="12"/>
  <c r="R1068" i="12" s="1"/>
  <c r="S1071" i="12"/>
  <c r="T1044" i="12"/>
  <c r="U1044" i="12"/>
  <c r="U1074" i="12"/>
  <c r="T1074" i="12"/>
  <c r="Q1052" i="12"/>
  <c r="P1052" i="12" s="1"/>
  <c r="Q1071" i="12"/>
  <c r="R1071" i="12" s="1"/>
  <c r="S1036" i="11"/>
  <c r="T1009" i="11"/>
  <c r="U1009" i="11"/>
  <c r="S1040" i="11"/>
  <c r="T1013" i="11"/>
  <c r="U1013" i="11"/>
  <c r="R1008" i="11"/>
  <c r="Q1008" i="11"/>
  <c r="O1035" i="11"/>
  <c r="O1042" i="11"/>
  <c r="Q1015" i="11"/>
  <c r="R1015" i="11"/>
  <c r="S1015" i="11" s="1"/>
  <c r="S1041" i="11"/>
  <c r="U1014" i="11"/>
  <c r="T1014" i="11"/>
  <c r="Q1040" i="11"/>
  <c r="R1040" i="11" s="1"/>
  <c r="Q1041" i="11"/>
  <c r="R1041" i="11" s="1"/>
  <c r="O1044" i="11"/>
  <c r="Q1017" i="11"/>
  <c r="R1017" i="11" s="1"/>
  <c r="S1017" i="11" s="1"/>
  <c r="AX1084" i="11"/>
  <c r="AW1084" i="11"/>
  <c r="Q1036" i="11"/>
  <c r="R1036" i="11" s="1"/>
  <c r="U1043" i="11"/>
  <c r="T1043" i="11"/>
  <c r="S1029" i="10"/>
  <c r="T1002" i="10"/>
  <c r="U1002" i="10"/>
  <c r="O1032" i="10"/>
  <c r="Q1005" i="10"/>
  <c r="R1005" i="10"/>
  <c r="S1005" i="10" s="1"/>
  <c r="U1027" i="10"/>
  <c r="T1027" i="10"/>
  <c r="O1026" i="10"/>
  <c r="R999" i="10"/>
  <c r="Q999" i="10"/>
  <c r="T996" i="10"/>
  <c r="U996" i="10"/>
  <c r="S1023" i="10"/>
  <c r="T1033" i="10"/>
  <c r="U1033" i="10"/>
  <c r="S1031" i="10"/>
  <c r="U1004" i="10"/>
  <c r="T1004" i="10"/>
  <c r="Q1031" i="10"/>
  <c r="R1031" i="10" s="1"/>
  <c r="T1028" i="10"/>
  <c r="U1028" i="10"/>
  <c r="Q1029" i="10"/>
  <c r="R1029" i="10" s="1"/>
  <c r="T1025" i="10"/>
  <c r="U1025" i="10"/>
  <c r="Q1007" i="9"/>
  <c r="R1007" i="9" s="1"/>
  <c r="Q997" i="9"/>
  <c r="R997" i="9" s="1"/>
  <c r="U1006" i="9"/>
  <c r="T1006" i="9"/>
  <c r="Q1000" i="9"/>
  <c r="R1000" i="9" s="1"/>
  <c r="Q1006" i="9"/>
  <c r="R1006" i="9" s="1"/>
  <c r="U1000" i="9"/>
  <c r="T1000" i="9"/>
  <c r="AW1046" i="9"/>
  <c r="AX1022" i="9"/>
  <c r="AX1046" i="9" s="1"/>
  <c r="Q983" i="9"/>
  <c r="P983" i="9" s="1"/>
  <c r="S997" i="9"/>
  <c r="T970" i="9"/>
  <c r="T983" i="9" s="1"/>
  <c r="U970" i="9"/>
  <c r="U983" i="9" s="1"/>
  <c r="Q998" i="9"/>
  <c r="R998" i="9" s="1"/>
  <c r="E1064" i="14" l="1"/>
  <c r="C1064" i="14"/>
  <c r="C1078" i="14" s="1"/>
  <c r="S963" i="14"/>
  <c r="U936" i="14"/>
  <c r="U949" i="14" s="1"/>
  <c r="T936" i="14"/>
  <c r="T949" i="14" s="1"/>
  <c r="S1042" i="12"/>
  <c r="R1052" i="12"/>
  <c r="S1052" i="12" s="1"/>
  <c r="Q1069" i="12"/>
  <c r="R1069" i="12" s="1"/>
  <c r="T1071" i="12"/>
  <c r="U1071" i="12"/>
  <c r="S1066" i="12"/>
  <c r="U1039" i="12"/>
  <c r="T1039" i="12"/>
  <c r="T1077" i="12"/>
  <c r="U1077" i="12"/>
  <c r="T1072" i="12"/>
  <c r="U1072" i="12"/>
  <c r="T1068" i="12"/>
  <c r="U1068" i="12"/>
  <c r="S1044" i="11"/>
  <c r="U1017" i="11"/>
  <c r="T1017" i="11"/>
  <c r="U1036" i="11"/>
  <c r="T1036" i="11"/>
  <c r="Q1021" i="11"/>
  <c r="P1021" i="11" s="1"/>
  <c r="Q1035" i="11"/>
  <c r="R1035" i="11" s="1"/>
  <c r="R1021" i="11"/>
  <c r="S1021" i="11" s="1"/>
  <c r="S1008" i="11"/>
  <c r="U1041" i="11"/>
  <c r="T1041" i="11"/>
  <c r="U1040" i="11"/>
  <c r="T1040" i="11"/>
  <c r="S1042" i="11"/>
  <c r="U1015" i="11"/>
  <c r="T1015" i="11"/>
  <c r="Q1042" i="11"/>
  <c r="R1042" i="11" s="1"/>
  <c r="Q1044" i="11"/>
  <c r="R1044" i="11" s="1"/>
  <c r="T1029" i="10"/>
  <c r="U1029" i="10"/>
  <c r="U1031" i="10"/>
  <c r="T1031" i="10"/>
  <c r="Q1026" i="10"/>
  <c r="R1026" i="10" s="1"/>
  <c r="T1023" i="10"/>
  <c r="U1023" i="10"/>
  <c r="S1032" i="10"/>
  <c r="U1005" i="10"/>
  <c r="T1005" i="10"/>
  <c r="Q1009" i="10"/>
  <c r="P1009" i="10" s="1"/>
  <c r="Q1032" i="10"/>
  <c r="R1032" i="10" s="1"/>
  <c r="R1009" i="10"/>
  <c r="S1009" i="10" s="1"/>
  <c r="S999" i="10"/>
  <c r="U997" i="9"/>
  <c r="T997" i="9"/>
  <c r="F1066" i="14" l="1"/>
  <c r="E1078" i="14"/>
  <c r="T963" i="14"/>
  <c r="U963" i="14"/>
  <c r="T1066" i="12"/>
  <c r="U1066" i="12"/>
  <c r="T1042" i="12"/>
  <c r="T1052" i="12" s="1"/>
  <c r="S1069" i="12"/>
  <c r="U1042" i="12"/>
  <c r="U1052" i="12" s="1"/>
  <c r="U1042" i="11"/>
  <c r="T1042" i="11"/>
  <c r="S1035" i="11"/>
  <c r="U1008" i="11"/>
  <c r="U1021" i="11" s="1"/>
  <c r="T1008" i="11"/>
  <c r="T1021" i="11" s="1"/>
  <c r="U1044" i="11"/>
  <c r="T1044" i="11"/>
  <c r="S1026" i="10"/>
  <c r="U999" i="10"/>
  <c r="U1009" i="10" s="1"/>
  <c r="T999" i="10"/>
  <c r="T1009" i="10" s="1"/>
  <c r="U1032" i="10"/>
  <c r="T1032" i="10"/>
  <c r="T1069" i="12" l="1"/>
  <c r="U1069" i="12"/>
  <c r="T1035" i="11"/>
  <c r="U1035" i="11"/>
  <c r="T1026" i="10"/>
  <c r="U1026" i="10"/>
  <c r="O1073" i="8" l="1"/>
  <c r="K1073" i="8"/>
  <c r="Q1070" i="8"/>
  <c r="M1070" i="8"/>
  <c r="G1070" i="8"/>
  <c r="I1070" i="8" s="1"/>
  <c r="Q1069" i="8"/>
  <c r="M1069" i="8"/>
  <c r="I1069" i="8"/>
  <c r="G1069" i="8"/>
  <c r="Q1068" i="8"/>
  <c r="R1070" i="8" s="1"/>
  <c r="M1068" i="8"/>
  <c r="N1070" i="8" s="1"/>
  <c r="G1068" i="8"/>
  <c r="I1068" i="8" s="1"/>
  <c r="J1070" i="8" s="1"/>
  <c r="R1067" i="8"/>
  <c r="Q1067" i="8"/>
  <c r="N1067" i="8"/>
  <c r="M1067" i="8"/>
  <c r="G1067" i="8"/>
  <c r="I1067" i="8" s="1"/>
  <c r="Q1066" i="8"/>
  <c r="M1066" i="8"/>
  <c r="G1066" i="8"/>
  <c r="I1066" i="8" s="1"/>
  <c r="Q1065" i="8"/>
  <c r="M1065" i="8"/>
  <c r="I1065" i="8"/>
  <c r="J1067" i="8" s="1"/>
  <c r="G1065" i="8"/>
  <c r="Q1064" i="8"/>
  <c r="N1064" i="8"/>
  <c r="M1064" i="8"/>
  <c r="G1064" i="8"/>
  <c r="I1064" i="8" s="1"/>
  <c r="Q1063" i="8"/>
  <c r="M1063" i="8"/>
  <c r="I1063" i="8"/>
  <c r="G1063" i="8"/>
  <c r="Q1062" i="8"/>
  <c r="M1062" i="8"/>
  <c r="I1062" i="8"/>
  <c r="J1064" i="8" s="1"/>
  <c r="G1062" i="8"/>
  <c r="Q1061" i="8"/>
  <c r="N1061" i="8"/>
  <c r="M1061" i="8"/>
  <c r="G1061" i="8"/>
  <c r="I1061" i="8" s="1"/>
  <c r="Q1060" i="8"/>
  <c r="Q1073" i="8" s="1"/>
  <c r="M1060" i="8"/>
  <c r="I1060" i="8"/>
  <c r="J1061" i="8" s="1"/>
  <c r="G1060" i="8"/>
  <c r="G1073" i="8" s="1"/>
  <c r="Q1059" i="8"/>
  <c r="R1061" i="8" s="1"/>
  <c r="M1059" i="8"/>
  <c r="M1073" i="8" s="1"/>
  <c r="I1059" i="8"/>
  <c r="G1053" i="8"/>
  <c r="O1052" i="8"/>
  <c r="K1052" i="8"/>
  <c r="C1052" i="8"/>
  <c r="I1049" i="8"/>
  <c r="J1046" i="8"/>
  <c r="Q1045" i="8"/>
  <c r="P1021" i="8"/>
  <c r="O1021" i="8"/>
  <c r="L1021" i="8"/>
  <c r="J1021" i="8"/>
  <c r="G1021" i="8" s="1"/>
  <c r="C994" i="8" s="1"/>
  <c r="I1021" i="8"/>
  <c r="F1021" i="8" s="1"/>
  <c r="B994" i="8" s="1"/>
  <c r="P1020" i="8"/>
  <c r="O1020" i="8" s="1"/>
  <c r="J1020" i="8"/>
  <c r="L1020" i="8" s="1"/>
  <c r="I1020" i="8"/>
  <c r="F1020" i="8" s="1"/>
  <c r="G1020" i="8"/>
  <c r="P1019" i="8"/>
  <c r="O1019" i="8" s="1"/>
  <c r="J1019" i="8"/>
  <c r="I1019" i="8"/>
  <c r="G1019" i="8"/>
  <c r="P1018" i="8"/>
  <c r="O1018" i="8" s="1"/>
  <c r="J1018" i="8"/>
  <c r="G1018" i="8" s="1"/>
  <c r="C991" i="8" s="1"/>
  <c r="I1018" i="8"/>
  <c r="F1018" i="8"/>
  <c r="P1017" i="8"/>
  <c r="O1017" i="8"/>
  <c r="K1017" i="8"/>
  <c r="J1017" i="8"/>
  <c r="L1017" i="8" s="1"/>
  <c r="I1017" i="8"/>
  <c r="H1017" i="8"/>
  <c r="D990" i="8" s="1"/>
  <c r="F1017" i="8"/>
  <c r="P1016" i="8"/>
  <c r="O1016" i="8" s="1"/>
  <c r="L1016" i="8"/>
  <c r="K1016" i="8"/>
  <c r="H1016" i="8" s="1"/>
  <c r="J1016" i="8"/>
  <c r="I1016" i="8"/>
  <c r="G1016" i="8"/>
  <c r="F1016" i="8"/>
  <c r="P1015" i="8"/>
  <c r="O1015" i="8" s="1"/>
  <c r="K1015" i="8"/>
  <c r="J1015" i="8"/>
  <c r="I1015" i="8"/>
  <c r="F1015" i="8" s="1"/>
  <c r="H1015" i="8"/>
  <c r="P1014" i="8"/>
  <c r="O1014" i="8" s="1"/>
  <c r="J1014" i="8"/>
  <c r="I1014" i="8"/>
  <c r="L1014" i="8" s="1"/>
  <c r="G1014" i="8"/>
  <c r="P1013" i="8"/>
  <c r="O1013" i="8" s="1"/>
  <c r="J1013" i="8"/>
  <c r="I1013" i="8"/>
  <c r="G1013" i="8"/>
  <c r="P1012" i="8"/>
  <c r="O1012" i="8" s="1"/>
  <c r="J1012" i="8"/>
  <c r="G1012" i="8" s="1"/>
  <c r="I1012" i="8"/>
  <c r="F1012" i="8"/>
  <c r="P1011" i="8"/>
  <c r="O1011" i="8"/>
  <c r="J1011" i="8"/>
  <c r="L1011" i="8" s="1"/>
  <c r="I1011" i="8"/>
  <c r="F1011" i="8"/>
  <c r="P1010" i="8"/>
  <c r="O1010" i="8"/>
  <c r="J1010" i="8"/>
  <c r="I1010" i="8"/>
  <c r="F1010" i="8" s="1"/>
  <c r="B1004" i="8"/>
  <c r="B1001" i="8"/>
  <c r="Q1000" i="8"/>
  <c r="AD996" i="8"/>
  <c r="C993" i="8"/>
  <c r="B993" i="8"/>
  <c r="AD992" i="8"/>
  <c r="C992" i="8"/>
  <c r="B991" i="8"/>
  <c r="B990" i="8"/>
  <c r="D989" i="8"/>
  <c r="C989" i="8"/>
  <c r="B989" i="8"/>
  <c r="D988" i="8"/>
  <c r="B988" i="8"/>
  <c r="C987" i="8"/>
  <c r="C986" i="8"/>
  <c r="C985" i="8"/>
  <c r="AD998" i="8" s="1"/>
  <c r="B985" i="8"/>
  <c r="B984" i="8"/>
  <c r="B983" i="8"/>
  <c r="AE980" i="8"/>
  <c r="B979" i="8"/>
  <c r="B976" i="8"/>
  <c r="Q975" i="8"/>
  <c r="M953" i="8"/>
  <c r="N944" i="8"/>
  <c r="L944" i="8"/>
  <c r="K944" i="8"/>
  <c r="J944" i="8"/>
  <c r="I944" i="8"/>
  <c r="H944" i="8"/>
  <c r="O943" i="8"/>
  <c r="O942" i="8"/>
  <c r="M942" i="8"/>
  <c r="J942" i="8"/>
  <c r="O941" i="8"/>
  <c r="M941" i="8"/>
  <c r="J941" i="8"/>
  <c r="O940" i="8"/>
  <c r="M940" i="8"/>
  <c r="J940" i="8"/>
  <c r="O939" i="8"/>
  <c r="J939" i="8"/>
  <c r="O938" i="8"/>
  <c r="J938" i="8"/>
  <c r="O937" i="8"/>
  <c r="J937" i="8"/>
  <c r="AR936" i="8"/>
  <c r="AQ936" i="8"/>
  <c r="AP936" i="8"/>
  <c r="AO936" i="8"/>
  <c r="AN936" i="8"/>
  <c r="AM936" i="8"/>
  <c r="AL936" i="8"/>
  <c r="AK936" i="8"/>
  <c r="AJ936" i="8"/>
  <c r="AI936" i="8"/>
  <c r="AH936" i="8"/>
  <c r="AG936" i="8"/>
  <c r="AF936" i="8"/>
  <c r="AE936" i="8"/>
  <c r="AD936" i="8"/>
  <c r="O936" i="8"/>
  <c r="J936" i="8"/>
  <c r="M935" i="8"/>
  <c r="J935" i="8"/>
  <c r="O934" i="8"/>
  <c r="M934" i="8"/>
  <c r="J934" i="8"/>
  <c r="O933" i="8"/>
  <c r="J933" i="8"/>
  <c r="O932" i="8"/>
  <c r="J932" i="8"/>
  <c r="M931" i="8"/>
  <c r="J931" i="8"/>
  <c r="AD926" i="8"/>
  <c r="AD923" i="8"/>
  <c r="B923" i="8"/>
  <c r="AR922" i="8"/>
  <c r="B922" i="8"/>
  <c r="Q921" i="8"/>
  <c r="G912" i="8"/>
  <c r="F909" i="8"/>
  <c r="AR901" i="8"/>
  <c r="AQ901" i="8"/>
  <c r="AP901" i="8"/>
  <c r="AO901" i="8"/>
  <c r="AN901" i="8"/>
  <c r="AM901" i="8"/>
  <c r="AL901" i="8"/>
  <c r="AK901" i="8"/>
  <c r="AJ901" i="8"/>
  <c r="AI901" i="8"/>
  <c r="AH901" i="8"/>
  <c r="AG901" i="8"/>
  <c r="AF901" i="8"/>
  <c r="AE901" i="8"/>
  <c r="AD901" i="8"/>
  <c r="B896" i="8"/>
  <c r="B893" i="8"/>
  <c r="Q892" i="8"/>
  <c r="AD891" i="8"/>
  <c r="AD888" i="8"/>
  <c r="AR887" i="8"/>
  <c r="AH881" i="8"/>
  <c r="AG874" i="8"/>
  <c r="AF874" i="8"/>
  <c r="AD873" i="8"/>
  <c r="AR870" i="8"/>
  <c r="AQ870" i="8"/>
  <c r="AP870" i="8"/>
  <c r="AO870" i="8"/>
  <c r="AG870" i="8"/>
  <c r="AF870" i="8"/>
  <c r="AE870" i="8"/>
  <c r="AE873" i="8" s="1"/>
  <c r="AD870" i="8"/>
  <c r="AD875" i="8" s="1"/>
  <c r="B870" i="8"/>
  <c r="B867" i="8"/>
  <c r="Q866" i="8"/>
  <c r="AR865" i="8"/>
  <c r="AG865" i="8"/>
  <c r="AS862" i="8"/>
  <c r="AH862" i="8"/>
  <c r="AS860" i="8"/>
  <c r="T857" i="8"/>
  <c r="G857" i="8"/>
  <c r="F857" i="8"/>
  <c r="T856" i="8"/>
  <c r="G856" i="8"/>
  <c r="G913" i="8" s="1"/>
  <c r="F856" i="8"/>
  <c r="AD847" i="8" s="1"/>
  <c r="T855" i="8"/>
  <c r="G855" i="8"/>
  <c r="F855" i="8"/>
  <c r="T854" i="8"/>
  <c r="AE845" i="8" s="1"/>
  <c r="G854" i="8"/>
  <c r="F854" i="8"/>
  <c r="AD845" i="8" s="1"/>
  <c r="T853" i="8"/>
  <c r="G853" i="8"/>
  <c r="F853" i="8"/>
  <c r="T852" i="8"/>
  <c r="G852" i="8"/>
  <c r="F852" i="8"/>
  <c r="T851" i="8"/>
  <c r="G851" i="8"/>
  <c r="G908" i="8" s="1"/>
  <c r="F851" i="8"/>
  <c r="T850" i="8"/>
  <c r="G850" i="8"/>
  <c r="F850" i="8"/>
  <c r="T849" i="8"/>
  <c r="AE840" i="8" s="1"/>
  <c r="AF840" i="8" s="1"/>
  <c r="G849" i="8"/>
  <c r="F849" i="8"/>
  <c r="F906" i="8" s="1"/>
  <c r="AE848" i="8"/>
  <c r="T848" i="8"/>
  <c r="G848" i="8"/>
  <c r="G905" i="8" s="1"/>
  <c r="F848" i="8"/>
  <c r="AE847" i="8"/>
  <c r="T847" i="8"/>
  <c r="AE838" i="8" s="1"/>
  <c r="AF838" i="8" s="1"/>
  <c r="G847" i="8"/>
  <c r="F847" i="8"/>
  <c r="AG873" i="8" s="1"/>
  <c r="AE846" i="8"/>
  <c r="T846" i="8"/>
  <c r="G846" i="8"/>
  <c r="F846" i="8"/>
  <c r="AE844" i="8"/>
  <c r="AO843" i="8"/>
  <c r="AE843" i="8"/>
  <c r="AF843" i="8" s="1"/>
  <c r="AD843" i="8"/>
  <c r="AE842" i="8"/>
  <c r="AE841" i="8"/>
  <c r="B841" i="8"/>
  <c r="AO840" i="8"/>
  <c r="AD840" i="8"/>
  <c r="AE839" i="8"/>
  <c r="AD839" i="8"/>
  <c r="AO838" i="8"/>
  <c r="AD838" i="8"/>
  <c r="B838" i="8"/>
  <c r="AE837" i="8"/>
  <c r="AD837" i="8"/>
  <c r="Q837" i="8"/>
  <c r="AF829" i="8"/>
  <c r="P829" i="8"/>
  <c r="AS828" i="8"/>
  <c r="AN828" i="8"/>
  <c r="A819" i="8"/>
  <c r="A817" i="8"/>
  <c r="Q813" i="8"/>
  <c r="D809" i="8"/>
  <c r="D831" i="8" s="1"/>
  <c r="C809" i="8"/>
  <c r="C831" i="8" s="1"/>
  <c r="L808" i="8"/>
  <c r="D808" i="8"/>
  <c r="P807" i="8"/>
  <c r="O807" i="8"/>
  <c r="N807" i="8"/>
  <c r="M807" i="8"/>
  <c r="L807" i="8"/>
  <c r="K807" i="8"/>
  <c r="J807" i="8"/>
  <c r="H807" i="8"/>
  <c r="G807" i="8"/>
  <c r="F807" i="8"/>
  <c r="I807" i="8" s="1"/>
  <c r="E807" i="8"/>
  <c r="D807" i="8"/>
  <c r="C807" i="8"/>
  <c r="B807" i="8"/>
  <c r="P806" i="8"/>
  <c r="O806" i="8"/>
  <c r="N806" i="8"/>
  <c r="Q806" i="8" s="1"/>
  <c r="L806" i="8"/>
  <c r="K806" i="8"/>
  <c r="J806" i="8"/>
  <c r="M806" i="8" s="1"/>
  <c r="H806" i="8"/>
  <c r="G806" i="8"/>
  <c r="F806" i="8"/>
  <c r="I806" i="8" s="1"/>
  <c r="D806" i="8"/>
  <c r="C806" i="8"/>
  <c r="B806" i="8"/>
  <c r="E806" i="8" s="1"/>
  <c r="P805" i="8"/>
  <c r="O805" i="8"/>
  <c r="N805" i="8"/>
  <c r="L805" i="8"/>
  <c r="K805" i="8"/>
  <c r="K808" i="8" s="1"/>
  <c r="J805" i="8"/>
  <c r="H805" i="8"/>
  <c r="H808" i="8" s="1"/>
  <c r="G805" i="8"/>
  <c r="G808" i="8" s="1"/>
  <c r="F805" i="8"/>
  <c r="D805" i="8"/>
  <c r="C805" i="8"/>
  <c r="C808" i="8" s="1"/>
  <c r="B805" i="8"/>
  <c r="Q804" i="8"/>
  <c r="P804" i="8"/>
  <c r="O804" i="8"/>
  <c r="N804" i="8"/>
  <c r="L804" i="8"/>
  <c r="K804" i="8"/>
  <c r="M804" i="8" s="1"/>
  <c r="J804" i="8"/>
  <c r="I804" i="8"/>
  <c r="H804" i="8"/>
  <c r="G804" i="8"/>
  <c r="F804" i="8"/>
  <c r="D804" i="8"/>
  <c r="C804" i="8"/>
  <c r="E804" i="8" s="1"/>
  <c r="B804" i="8"/>
  <c r="Q803" i="8"/>
  <c r="P803" i="8"/>
  <c r="O803" i="8"/>
  <c r="N803" i="8"/>
  <c r="L803" i="8"/>
  <c r="L809" i="8" s="1"/>
  <c r="L831" i="8" s="1"/>
  <c r="K803" i="8"/>
  <c r="J803" i="8"/>
  <c r="I803" i="8"/>
  <c r="H803" i="8"/>
  <c r="G803" i="8"/>
  <c r="F803" i="8"/>
  <c r="D803" i="8"/>
  <c r="C803" i="8"/>
  <c r="B803" i="8"/>
  <c r="E803" i="8" s="1"/>
  <c r="P802" i="8"/>
  <c r="O802" i="8"/>
  <c r="N802" i="8"/>
  <c r="Q802" i="8" s="1"/>
  <c r="L802" i="8"/>
  <c r="K802" i="8"/>
  <c r="K809" i="8" s="1"/>
  <c r="K831" i="8" s="1"/>
  <c r="J802" i="8"/>
  <c r="J809" i="8" s="1"/>
  <c r="H802" i="8"/>
  <c r="G802" i="8"/>
  <c r="F802" i="8"/>
  <c r="E802" i="8"/>
  <c r="D802" i="8"/>
  <c r="C802" i="8"/>
  <c r="B802" i="8"/>
  <c r="P800" i="8"/>
  <c r="P799" i="8"/>
  <c r="O799" i="8"/>
  <c r="P798" i="8"/>
  <c r="O798" i="8"/>
  <c r="O800" i="8" s="1"/>
  <c r="O829" i="8" s="1"/>
  <c r="B798" i="8"/>
  <c r="O796" i="8"/>
  <c r="O827" i="8" s="1"/>
  <c r="K796" i="8"/>
  <c r="K827" i="8" s="1"/>
  <c r="G796" i="8"/>
  <c r="G827" i="8" s="1"/>
  <c r="Q795" i="8"/>
  <c r="P795" i="8"/>
  <c r="O795" i="8"/>
  <c r="N795" i="8"/>
  <c r="L795" i="8"/>
  <c r="K795" i="8"/>
  <c r="J795" i="8"/>
  <c r="I795" i="8"/>
  <c r="H795" i="8"/>
  <c r="G795" i="8"/>
  <c r="F795" i="8"/>
  <c r="D795" i="8"/>
  <c r="C795" i="8"/>
  <c r="B795" i="8"/>
  <c r="P794" i="8"/>
  <c r="Q794" i="8" s="1"/>
  <c r="O794" i="8"/>
  <c r="N794" i="8"/>
  <c r="L794" i="8"/>
  <c r="K794" i="8"/>
  <c r="G794" i="8"/>
  <c r="F794" i="8"/>
  <c r="D794" i="8"/>
  <c r="E794" i="8" s="1"/>
  <c r="C794" i="8"/>
  <c r="B794" i="8"/>
  <c r="P793" i="8"/>
  <c r="P796" i="8" s="1"/>
  <c r="P827" i="8" s="1"/>
  <c r="O793" i="8"/>
  <c r="N793" i="8"/>
  <c r="M793" i="8"/>
  <c r="L793" i="8"/>
  <c r="K793" i="8"/>
  <c r="J793" i="8"/>
  <c r="H793" i="8"/>
  <c r="G793" i="8"/>
  <c r="F793" i="8"/>
  <c r="E793" i="8"/>
  <c r="D793" i="8"/>
  <c r="C793" i="8"/>
  <c r="B793" i="8"/>
  <c r="B796" i="8" s="1"/>
  <c r="Q790" i="8"/>
  <c r="P790" i="8"/>
  <c r="O790" i="8"/>
  <c r="N790" i="8"/>
  <c r="L790" i="8"/>
  <c r="M790" i="8" s="1"/>
  <c r="K790" i="8"/>
  <c r="J790" i="8"/>
  <c r="I790" i="8"/>
  <c r="H790" i="8"/>
  <c r="G790" i="8"/>
  <c r="F790" i="8"/>
  <c r="D790" i="8"/>
  <c r="E790" i="8" s="1"/>
  <c r="C790" i="8"/>
  <c r="B790" i="8"/>
  <c r="Q789" i="8"/>
  <c r="P789" i="8"/>
  <c r="O789" i="8"/>
  <c r="N789" i="8"/>
  <c r="L789" i="8"/>
  <c r="K789" i="8"/>
  <c r="J789" i="8"/>
  <c r="M789" i="8" s="1"/>
  <c r="I789" i="8"/>
  <c r="R789" i="8" s="1"/>
  <c r="H789" i="8"/>
  <c r="G789" i="8"/>
  <c r="F789" i="8"/>
  <c r="D789" i="8"/>
  <c r="C789" i="8"/>
  <c r="B789" i="8"/>
  <c r="E789" i="8" s="1"/>
  <c r="P788" i="8"/>
  <c r="O788" i="8"/>
  <c r="N788" i="8"/>
  <c r="Q788" i="8" s="1"/>
  <c r="L788" i="8"/>
  <c r="K788" i="8"/>
  <c r="J788" i="8"/>
  <c r="M788" i="8" s="1"/>
  <c r="H788" i="8"/>
  <c r="G788" i="8"/>
  <c r="F788" i="8"/>
  <c r="I788" i="8" s="1"/>
  <c r="D788" i="8"/>
  <c r="C788" i="8"/>
  <c r="B788" i="8"/>
  <c r="P787" i="8"/>
  <c r="O787" i="8"/>
  <c r="N787" i="8"/>
  <c r="Q787" i="8" s="1"/>
  <c r="L787" i="8"/>
  <c r="K787" i="8"/>
  <c r="J787" i="8"/>
  <c r="H787" i="8"/>
  <c r="G787" i="8"/>
  <c r="F787" i="8"/>
  <c r="I787" i="8" s="1"/>
  <c r="D787" i="8"/>
  <c r="C787" i="8"/>
  <c r="B787" i="8"/>
  <c r="P786" i="8"/>
  <c r="Q786" i="8" s="1"/>
  <c r="O786" i="8"/>
  <c r="N786" i="8"/>
  <c r="L786" i="8"/>
  <c r="M786" i="8" s="1"/>
  <c r="K786" i="8"/>
  <c r="J786" i="8"/>
  <c r="H786" i="8"/>
  <c r="I786" i="8" s="1"/>
  <c r="G786" i="8"/>
  <c r="F786" i="8"/>
  <c r="E786" i="8"/>
  <c r="D786" i="8"/>
  <c r="C786" i="8"/>
  <c r="B786" i="8"/>
  <c r="A778" i="8"/>
  <c r="A776" i="8"/>
  <c r="Q772" i="8"/>
  <c r="L767" i="8"/>
  <c r="Q765" i="8"/>
  <c r="M765" i="8"/>
  <c r="I765" i="8"/>
  <c r="E765" i="8"/>
  <c r="R765" i="8" s="1"/>
  <c r="J764" i="8"/>
  <c r="P763" i="8"/>
  <c r="O763" i="8"/>
  <c r="N763" i="8"/>
  <c r="Q763" i="8" s="1"/>
  <c r="L763" i="8"/>
  <c r="K763" i="8"/>
  <c r="J763" i="8"/>
  <c r="H763" i="8"/>
  <c r="G763" i="8"/>
  <c r="F763" i="8"/>
  <c r="I763" i="8" s="1"/>
  <c r="D763" i="8"/>
  <c r="C763" i="8"/>
  <c r="B763" i="8"/>
  <c r="P762" i="8"/>
  <c r="O762" i="8"/>
  <c r="N762" i="8"/>
  <c r="Q762" i="8" s="1"/>
  <c r="L762" i="8"/>
  <c r="K762" i="8"/>
  <c r="J762" i="8"/>
  <c r="H762" i="8"/>
  <c r="G762" i="8"/>
  <c r="F762" i="8"/>
  <c r="I762" i="8" s="1"/>
  <c r="D762" i="8"/>
  <c r="C762" i="8"/>
  <c r="B762" i="8"/>
  <c r="E762" i="8" s="1"/>
  <c r="Q759" i="8"/>
  <c r="M759" i="8"/>
  <c r="I759" i="8"/>
  <c r="E759" i="8"/>
  <c r="R759" i="8" s="1"/>
  <c r="R758" i="8"/>
  <c r="Q758" i="8"/>
  <c r="M758" i="8"/>
  <c r="I758" i="8"/>
  <c r="E758" i="8"/>
  <c r="Q756" i="8"/>
  <c r="M756" i="8"/>
  <c r="I756" i="8"/>
  <c r="E756" i="8"/>
  <c r="Q755" i="8"/>
  <c r="M755" i="8"/>
  <c r="I755" i="8"/>
  <c r="E755" i="8"/>
  <c r="R755" i="8" s="1"/>
  <c r="P752" i="8"/>
  <c r="Q752" i="8" s="1"/>
  <c r="O752" i="8"/>
  <c r="N752" i="8"/>
  <c r="L752" i="8"/>
  <c r="M752" i="8" s="1"/>
  <c r="K752" i="8"/>
  <c r="J752" i="8"/>
  <c r="H752" i="8"/>
  <c r="I752" i="8" s="1"/>
  <c r="G752" i="8"/>
  <c r="F752" i="8"/>
  <c r="D752" i="8"/>
  <c r="E752" i="8" s="1"/>
  <c r="C752" i="8"/>
  <c r="B752" i="8"/>
  <c r="R751" i="8"/>
  <c r="Q751" i="8"/>
  <c r="M751" i="8"/>
  <c r="I751" i="8"/>
  <c r="E751" i="8"/>
  <c r="Q750" i="8"/>
  <c r="M750" i="8"/>
  <c r="I750" i="8"/>
  <c r="E750" i="8"/>
  <c r="R750" i="8" s="1"/>
  <c r="Q749" i="8"/>
  <c r="M749" i="8"/>
  <c r="I749" i="8"/>
  <c r="E749" i="8"/>
  <c r="R749" i="8" s="1"/>
  <c r="Q748" i="8"/>
  <c r="M748" i="8"/>
  <c r="I748" i="8"/>
  <c r="E748" i="8"/>
  <c r="R748" i="8" s="1"/>
  <c r="Q746" i="8"/>
  <c r="M746" i="8"/>
  <c r="I746" i="8"/>
  <c r="E746" i="8"/>
  <c r="R746" i="8" s="1"/>
  <c r="R745" i="8"/>
  <c r="Q745" i="8"/>
  <c r="M745" i="8"/>
  <c r="I745" i="8"/>
  <c r="E745" i="8"/>
  <c r="P742" i="8"/>
  <c r="O742" i="8"/>
  <c r="N742" i="8"/>
  <c r="Q742" i="8" s="1"/>
  <c r="L742" i="8"/>
  <c r="K742" i="8"/>
  <c r="J742" i="8"/>
  <c r="M742" i="8" s="1"/>
  <c r="H742" i="8"/>
  <c r="G742" i="8"/>
  <c r="F742" i="8"/>
  <c r="D742" i="8"/>
  <c r="C742" i="8"/>
  <c r="B742" i="8"/>
  <c r="E742" i="8" s="1"/>
  <c r="Q740" i="8"/>
  <c r="M740" i="8"/>
  <c r="I740" i="8"/>
  <c r="E740" i="8"/>
  <c r="R740" i="8" s="1"/>
  <c r="P737" i="8"/>
  <c r="O737" i="8"/>
  <c r="O764" i="8" s="1"/>
  <c r="O767" i="8" s="1"/>
  <c r="N737" i="8"/>
  <c r="M737" i="8"/>
  <c r="L737" i="8"/>
  <c r="L764" i="8" s="1"/>
  <c r="K737" i="8"/>
  <c r="J737" i="8"/>
  <c r="H737" i="8"/>
  <c r="G737" i="8"/>
  <c r="G764" i="8" s="1"/>
  <c r="G767" i="8" s="1"/>
  <c r="G769" i="8" s="1"/>
  <c r="F737" i="8"/>
  <c r="E737" i="8"/>
  <c r="D737" i="8"/>
  <c r="D764" i="8" s="1"/>
  <c r="D767" i="8" s="1"/>
  <c r="C737" i="8"/>
  <c r="B737" i="8"/>
  <c r="Q735" i="8"/>
  <c r="M735" i="8"/>
  <c r="I735" i="8"/>
  <c r="E735" i="8"/>
  <c r="R735" i="8" s="1"/>
  <c r="Q732" i="8"/>
  <c r="M732" i="8"/>
  <c r="I732" i="8"/>
  <c r="E732" i="8"/>
  <c r="R732" i="8" s="1"/>
  <c r="Q731" i="8"/>
  <c r="M731" i="8"/>
  <c r="I731" i="8"/>
  <c r="E731" i="8"/>
  <c r="R731" i="8" s="1"/>
  <c r="Q730" i="8"/>
  <c r="M730" i="8"/>
  <c r="I730" i="8"/>
  <c r="E730" i="8"/>
  <c r="R730" i="8" s="1"/>
  <c r="R729" i="8"/>
  <c r="Q729" i="8"/>
  <c r="M729" i="8"/>
  <c r="I729" i="8"/>
  <c r="E729" i="8"/>
  <c r="C721" i="8"/>
  <c r="R717" i="8"/>
  <c r="Q717" i="8"/>
  <c r="M717" i="8"/>
  <c r="I717" i="8"/>
  <c r="E717" i="8"/>
  <c r="Q716" i="8"/>
  <c r="M716" i="8"/>
  <c r="I716" i="8"/>
  <c r="E716" i="8"/>
  <c r="R716" i="8" s="1"/>
  <c r="K715" i="8"/>
  <c r="K719" i="8" s="1"/>
  <c r="C715" i="8"/>
  <c r="C719" i="8" s="1"/>
  <c r="P714" i="8"/>
  <c r="Q714" i="8" s="1"/>
  <c r="O714" i="8"/>
  <c r="N714" i="8"/>
  <c r="M714" i="8"/>
  <c r="L714" i="8"/>
  <c r="L715" i="8" s="1"/>
  <c r="L719" i="8" s="1"/>
  <c r="K714" i="8"/>
  <c r="J714" i="8"/>
  <c r="H714" i="8"/>
  <c r="G714" i="8"/>
  <c r="I714" i="8" s="1"/>
  <c r="F714" i="8"/>
  <c r="D714" i="8"/>
  <c r="C714" i="8"/>
  <c r="B714" i="8"/>
  <c r="P713" i="8"/>
  <c r="O713" i="8"/>
  <c r="N713" i="8"/>
  <c r="Q713" i="8" s="1"/>
  <c r="M713" i="8"/>
  <c r="L713" i="8"/>
  <c r="K713" i="8"/>
  <c r="J713" i="8"/>
  <c r="H713" i="8"/>
  <c r="G713" i="8"/>
  <c r="F713" i="8"/>
  <c r="I713" i="8" s="1"/>
  <c r="E713" i="8"/>
  <c r="R713" i="8" s="1"/>
  <c r="D713" i="8"/>
  <c r="C713" i="8"/>
  <c r="B713" i="8"/>
  <c r="P707" i="8"/>
  <c r="O707" i="8"/>
  <c r="N707" i="8"/>
  <c r="L707" i="8"/>
  <c r="K707" i="8"/>
  <c r="J707" i="8"/>
  <c r="M707" i="8" s="1"/>
  <c r="H707" i="8"/>
  <c r="G707" i="8"/>
  <c r="F707" i="8"/>
  <c r="D707" i="8"/>
  <c r="C707" i="8"/>
  <c r="B707" i="8"/>
  <c r="E707" i="8" s="1"/>
  <c r="P703" i="8"/>
  <c r="O703" i="8"/>
  <c r="N703" i="8"/>
  <c r="L703" i="8"/>
  <c r="K703" i="8"/>
  <c r="M703" i="8" s="1"/>
  <c r="J703" i="8"/>
  <c r="H703" i="8"/>
  <c r="G703" i="8"/>
  <c r="F703" i="8"/>
  <c r="I703" i="8" s="1"/>
  <c r="D703" i="8"/>
  <c r="C703" i="8"/>
  <c r="E703" i="8" s="1"/>
  <c r="B703" i="8"/>
  <c r="Q699" i="8"/>
  <c r="P699" i="8"/>
  <c r="O699" i="8"/>
  <c r="N699" i="8"/>
  <c r="N715" i="8" s="1"/>
  <c r="L699" i="8"/>
  <c r="K699" i="8"/>
  <c r="M699" i="8" s="1"/>
  <c r="J699" i="8"/>
  <c r="J715" i="8" s="1"/>
  <c r="I699" i="8"/>
  <c r="H699" i="8"/>
  <c r="H715" i="8" s="1"/>
  <c r="H719" i="8" s="1"/>
  <c r="G699" i="8"/>
  <c r="F699" i="8"/>
  <c r="D699" i="8"/>
  <c r="E699" i="8" s="1"/>
  <c r="C699" i="8"/>
  <c r="B699" i="8"/>
  <c r="B715" i="8" s="1"/>
  <c r="Q695" i="8"/>
  <c r="R695" i="8" s="1"/>
  <c r="M695" i="8"/>
  <c r="I695" i="8"/>
  <c r="E695" i="8"/>
  <c r="P685" i="8"/>
  <c r="O685" i="8"/>
  <c r="N685" i="8"/>
  <c r="L685" i="8"/>
  <c r="K685" i="8"/>
  <c r="M685" i="8" s="1"/>
  <c r="J685" i="8"/>
  <c r="H685" i="8"/>
  <c r="G685" i="8"/>
  <c r="F685" i="8"/>
  <c r="D685" i="8"/>
  <c r="C685" i="8"/>
  <c r="E685" i="8" s="1"/>
  <c r="B685" i="8"/>
  <c r="Q683" i="8"/>
  <c r="M683" i="8"/>
  <c r="I683" i="8"/>
  <c r="E683" i="8"/>
  <c r="R683" i="8" s="1"/>
  <c r="O675" i="8"/>
  <c r="N675" i="8"/>
  <c r="Q673" i="8"/>
  <c r="M673" i="8"/>
  <c r="I673" i="8"/>
  <c r="E673" i="8"/>
  <c r="M672" i="8"/>
  <c r="L672" i="8"/>
  <c r="L675" i="8" s="1"/>
  <c r="P671" i="8"/>
  <c r="O671" i="8"/>
  <c r="N671" i="8"/>
  <c r="Q671" i="8" s="1"/>
  <c r="M671" i="8"/>
  <c r="L671" i="8"/>
  <c r="K671" i="8"/>
  <c r="J671" i="8"/>
  <c r="H671" i="8"/>
  <c r="G671" i="8"/>
  <c r="F671" i="8"/>
  <c r="I671" i="8" s="1"/>
  <c r="E671" i="8"/>
  <c r="D671" i="8"/>
  <c r="C671" i="8"/>
  <c r="B671" i="8"/>
  <c r="P670" i="8"/>
  <c r="O670" i="8"/>
  <c r="N670" i="8"/>
  <c r="Q670" i="8" s="1"/>
  <c r="L670" i="8"/>
  <c r="K670" i="8"/>
  <c r="J670" i="8"/>
  <c r="M670" i="8" s="1"/>
  <c r="H670" i="8"/>
  <c r="G670" i="8"/>
  <c r="F670" i="8"/>
  <c r="D670" i="8"/>
  <c r="C670" i="8"/>
  <c r="B670" i="8"/>
  <c r="E670" i="8" s="1"/>
  <c r="Q667" i="8"/>
  <c r="M667" i="8"/>
  <c r="I667" i="8"/>
  <c r="E667" i="8"/>
  <c r="Q666" i="8"/>
  <c r="M666" i="8"/>
  <c r="I666" i="8"/>
  <c r="R666" i="8" s="1"/>
  <c r="E666" i="8"/>
  <c r="Q665" i="8"/>
  <c r="R665" i="8" s="1"/>
  <c r="M665" i="8"/>
  <c r="I665" i="8"/>
  <c r="E665" i="8"/>
  <c r="Q664" i="8"/>
  <c r="M664" i="8"/>
  <c r="I664" i="8"/>
  <c r="E664" i="8"/>
  <c r="P660" i="8"/>
  <c r="O660" i="8"/>
  <c r="N660" i="8"/>
  <c r="Q660" i="8" s="1"/>
  <c r="L660" i="8"/>
  <c r="K660" i="8"/>
  <c r="J660" i="8"/>
  <c r="H660" i="8"/>
  <c r="G660" i="8"/>
  <c r="F660" i="8"/>
  <c r="I660" i="8" s="1"/>
  <c r="D660" i="8"/>
  <c r="D672" i="8" s="1"/>
  <c r="D675" i="8" s="1"/>
  <c r="C660" i="8"/>
  <c r="B660" i="8"/>
  <c r="Q659" i="8"/>
  <c r="M659" i="8"/>
  <c r="I659" i="8"/>
  <c r="R659" i="8" s="1"/>
  <c r="E659" i="8"/>
  <c r="Q658" i="8"/>
  <c r="R658" i="8" s="1"/>
  <c r="M658" i="8"/>
  <c r="I658" i="8"/>
  <c r="E658" i="8"/>
  <c r="Q657" i="8"/>
  <c r="M657" i="8"/>
  <c r="I657" i="8"/>
  <c r="E657" i="8"/>
  <c r="R657" i="8" s="1"/>
  <c r="Q656" i="8"/>
  <c r="M656" i="8"/>
  <c r="I656" i="8"/>
  <c r="E656" i="8"/>
  <c r="R656" i="8" s="1"/>
  <c r="Q654" i="8"/>
  <c r="M654" i="8"/>
  <c r="K654" i="8"/>
  <c r="I654" i="8"/>
  <c r="E654" i="8"/>
  <c r="R654" i="8" s="1"/>
  <c r="P651" i="8"/>
  <c r="O651" i="8"/>
  <c r="N651" i="8"/>
  <c r="L651" i="8"/>
  <c r="K651" i="8"/>
  <c r="J651" i="8"/>
  <c r="M651" i="8" s="1"/>
  <c r="H651" i="8"/>
  <c r="G651" i="8"/>
  <c r="F651" i="8"/>
  <c r="D651" i="8"/>
  <c r="C651" i="8"/>
  <c r="B651" i="8"/>
  <c r="E651" i="8" s="1"/>
  <c r="P647" i="8"/>
  <c r="P672" i="8" s="1"/>
  <c r="P675" i="8" s="1"/>
  <c r="O647" i="8"/>
  <c r="O672" i="8" s="1"/>
  <c r="N647" i="8"/>
  <c r="N672" i="8" s="1"/>
  <c r="L647" i="8"/>
  <c r="K647" i="8"/>
  <c r="K672" i="8" s="1"/>
  <c r="K675" i="8" s="1"/>
  <c r="J647" i="8"/>
  <c r="J672" i="8" s="1"/>
  <c r="J675" i="8" s="1"/>
  <c r="H647" i="8"/>
  <c r="H672" i="8" s="1"/>
  <c r="H675" i="8" s="1"/>
  <c r="G647" i="8"/>
  <c r="F647" i="8"/>
  <c r="D647" i="8"/>
  <c r="C647" i="8"/>
  <c r="B647" i="8"/>
  <c r="B672" i="8" s="1"/>
  <c r="Q643" i="8"/>
  <c r="M643" i="8"/>
  <c r="I643" i="8"/>
  <c r="E643" i="8"/>
  <c r="Q642" i="8"/>
  <c r="M642" i="8"/>
  <c r="I642" i="8"/>
  <c r="E642" i="8"/>
  <c r="R642" i="8" s="1"/>
  <c r="R641" i="8"/>
  <c r="Q641" i="8"/>
  <c r="M641" i="8"/>
  <c r="I641" i="8"/>
  <c r="E641" i="8"/>
  <c r="Q640" i="8"/>
  <c r="M640" i="8"/>
  <c r="I640" i="8"/>
  <c r="E640" i="8"/>
  <c r="Q639" i="8"/>
  <c r="M639" i="8"/>
  <c r="I639" i="8"/>
  <c r="E639" i="8"/>
  <c r="R639" i="8" s="1"/>
  <c r="Q638" i="8"/>
  <c r="R638" i="8" s="1"/>
  <c r="M638" i="8"/>
  <c r="I638" i="8"/>
  <c r="E638" i="8"/>
  <c r="Q626" i="8"/>
  <c r="M626" i="8"/>
  <c r="I626" i="8"/>
  <c r="E626" i="8"/>
  <c r="P624" i="8"/>
  <c r="O624" i="8"/>
  <c r="N624" i="8"/>
  <c r="L624" i="8"/>
  <c r="K624" i="8"/>
  <c r="J624" i="8"/>
  <c r="M624" i="8" s="1"/>
  <c r="H624" i="8"/>
  <c r="G624" i="8"/>
  <c r="F624" i="8"/>
  <c r="D624" i="8"/>
  <c r="C624" i="8"/>
  <c r="B624" i="8"/>
  <c r="E624" i="8" s="1"/>
  <c r="P623" i="8"/>
  <c r="O623" i="8"/>
  <c r="N623" i="8"/>
  <c r="L623" i="8"/>
  <c r="K623" i="8"/>
  <c r="J623" i="8"/>
  <c r="M623" i="8" s="1"/>
  <c r="H623" i="8"/>
  <c r="G623" i="8"/>
  <c r="F623" i="8"/>
  <c r="I623" i="8" s="1"/>
  <c r="D623" i="8"/>
  <c r="C623" i="8"/>
  <c r="B623" i="8"/>
  <c r="E623" i="8" s="1"/>
  <c r="Q620" i="8"/>
  <c r="M620" i="8"/>
  <c r="I620" i="8"/>
  <c r="E620" i="8"/>
  <c r="P616" i="8"/>
  <c r="O616" i="8"/>
  <c r="N616" i="8"/>
  <c r="Q616" i="8" s="1"/>
  <c r="M616" i="8"/>
  <c r="L616" i="8"/>
  <c r="K616" i="8"/>
  <c r="J616" i="8"/>
  <c r="H616" i="8"/>
  <c r="G616" i="8"/>
  <c r="F616" i="8"/>
  <c r="I616" i="8" s="1"/>
  <c r="E616" i="8"/>
  <c r="D616" i="8"/>
  <c r="C616" i="8"/>
  <c r="B616" i="8"/>
  <c r="P612" i="8"/>
  <c r="O612" i="8"/>
  <c r="N612" i="8"/>
  <c r="Q612" i="8" s="1"/>
  <c r="L612" i="8"/>
  <c r="K612" i="8"/>
  <c r="J612" i="8"/>
  <c r="M612" i="8" s="1"/>
  <c r="H612" i="8"/>
  <c r="G612" i="8"/>
  <c r="F612" i="8"/>
  <c r="D612" i="8"/>
  <c r="C612" i="8"/>
  <c r="B612" i="8"/>
  <c r="E612" i="8" s="1"/>
  <c r="P608" i="8"/>
  <c r="P625" i="8" s="1"/>
  <c r="P628" i="8" s="1"/>
  <c r="O608" i="8"/>
  <c r="O625" i="8" s="1"/>
  <c r="O628" i="8" s="1"/>
  <c r="N608" i="8"/>
  <c r="L608" i="8"/>
  <c r="L625" i="8" s="1"/>
  <c r="L628" i="8" s="1"/>
  <c r="K608" i="8"/>
  <c r="K625" i="8" s="1"/>
  <c r="K628" i="8" s="1"/>
  <c r="J608" i="8"/>
  <c r="M608" i="8" s="1"/>
  <c r="H608" i="8"/>
  <c r="H625" i="8" s="1"/>
  <c r="H628" i="8" s="1"/>
  <c r="G608" i="8"/>
  <c r="F608" i="8"/>
  <c r="I608" i="8" s="1"/>
  <c r="D608" i="8"/>
  <c r="D625" i="8" s="1"/>
  <c r="D628" i="8" s="1"/>
  <c r="C608" i="8"/>
  <c r="C625" i="8" s="1"/>
  <c r="C628" i="8" s="1"/>
  <c r="B608" i="8"/>
  <c r="E608" i="8" s="1"/>
  <c r="Q604" i="8"/>
  <c r="M604" i="8"/>
  <c r="I604" i="8"/>
  <c r="E604" i="8"/>
  <c r="R604" i="8" s="1"/>
  <c r="Q603" i="8"/>
  <c r="M603" i="8"/>
  <c r="I603" i="8"/>
  <c r="E603" i="8"/>
  <c r="R603" i="8" s="1"/>
  <c r="R602" i="8"/>
  <c r="Q602" i="8"/>
  <c r="M602" i="8"/>
  <c r="I602" i="8"/>
  <c r="E602" i="8"/>
  <c r="Q592" i="8"/>
  <c r="P592" i="8"/>
  <c r="O592" i="8"/>
  <c r="N592" i="8"/>
  <c r="L592" i="8"/>
  <c r="M592" i="8" s="1"/>
  <c r="K592" i="8"/>
  <c r="J592" i="8"/>
  <c r="I592" i="8"/>
  <c r="H592" i="8"/>
  <c r="G592" i="8"/>
  <c r="F592" i="8"/>
  <c r="D592" i="8"/>
  <c r="C592" i="8"/>
  <c r="B592" i="8"/>
  <c r="Q590" i="8"/>
  <c r="R590" i="8" s="1"/>
  <c r="M590" i="8"/>
  <c r="I590" i="8"/>
  <c r="E590" i="8"/>
  <c r="P582" i="8"/>
  <c r="H582" i="8"/>
  <c r="Q580" i="8"/>
  <c r="M580" i="8"/>
  <c r="I580" i="8"/>
  <c r="E580" i="8"/>
  <c r="R580" i="8" s="1"/>
  <c r="P578" i="8"/>
  <c r="O578" i="8"/>
  <c r="N578" i="8"/>
  <c r="Q578" i="8" s="1"/>
  <c r="L578" i="8"/>
  <c r="K578" i="8"/>
  <c r="J578" i="8"/>
  <c r="M578" i="8" s="1"/>
  <c r="H578" i="8"/>
  <c r="G578" i="8"/>
  <c r="F578" i="8"/>
  <c r="D578" i="8"/>
  <c r="C578" i="8"/>
  <c r="B578" i="8"/>
  <c r="E578" i="8" s="1"/>
  <c r="P577" i="8"/>
  <c r="O577" i="8"/>
  <c r="N577" i="8"/>
  <c r="Q577" i="8" s="1"/>
  <c r="L577" i="8"/>
  <c r="K577" i="8"/>
  <c r="J577" i="8"/>
  <c r="M577" i="8" s="1"/>
  <c r="H577" i="8"/>
  <c r="G577" i="8"/>
  <c r="F577" i="8"/>
  <c r="D577" i="8"/>
  <c r="C577" i="8"/>
  <c r="E577" i="8" s="1"/>
  <c r="B577" i="8"/>
  <c r="Q576" i="8"/>
  <c r="M576" i="8"/>
  <c r="I576" i="8"/>
  <c r="E576" i="8"/>
  <c r="R576" i="8" s="1"/>
  <c r="Q575" i="8"/>
  <c r="M575" i="8"/>
  <c r="I575" i="8"/>
  <c r="E575" i="8"/>
  <c r="R575" i="8" s="1"/>
  <c r="R572" i="8"/>
  <c r="Q572" i="8"/>
  <c r="M572" i="8"/>
  <c r="I572" i="8"/>
  <c r="E572" i="8"/>
  <c r="Q571" i="8"/>
  <c r="M571" i="8"/>
  <c r="I571" i="8"/>
  <c r="E571" i="8"/>
  <c r="Q570" i="8"/>
  <c r="M570" i="8"/>
  <c r="R570" i="8" s="1"/>
  <c r="I570" i="8"/>
  <c r="E570" i="8"/>
  <c r="Q569" i="8"/>
  <c r="R569" i="8" s="1"/>
  <c r="M569" i="8"/>
  <c r="I569" i="8"/>
  <c r="E569" i="8"/>
  <c r="Q567" i="8"/>
  <c r="M567" i="8"/>
  <c r="I567" i="8"/>
  <c r="E567" i="8"/>
  <c r="R567" i="8" s="1"/>
  <c r="Q566" i="8"/>
  <c r="M566" i="8"/>
  <c r="I566" i="8"/>
  <c r="R566" i="8" s="1"/>
  <c r="E566" i="8"/>
  <c r="Q563" i="8"/>
  <c r="P563" i="8"/>
  <c r="O563" i="8"/>
  <c r="N563" i="8"/>
  <c r="L563" i="8"/>
  <c r="K563" i="8"/>
  <c r="J563" i="8"/>
  <c r="M563" i="8" s="1"/>
  <c r="H563" i="8"/>
  <c r="I563" i="8" s="1"/>
  <c r="G563" i="8"/>
  <c r="F563" i="8"/>
  <c r="D563" i="8"/>
  <c r="E563" i="8" s="1"/>
  <c r="R563" i="8" s="1"/>
  <c r="C563" i="8"/>
  <c r="B563" i="8"/>
  <c r="Q562" i="8"/>
  <c r="R562" i="8" s="1"/>
  <c r="M562" i="8"/>
  <c r="I562" i="8"/>
  <c r="E562" i="8"/>
  <c r="P558" i="8"/>
  <c r="O558" i="8"/>
  <c r="N558" i="8"/>
  <c r="L558" i="8"/>
  <c r="K558" i="8"/>
  <c r="J558" i="8"/>
  <c r="M558" i="8" s="1"/>
  <c r="H558" i="8"/>
  <c r="G558" i="8"/>
  <c r="F558" i="8"/>
  <c r="I558" i="8" s="1"/>
  <c r="D558" i="8"/>
  <c r="C558" i="8"/>
  <c r="B558" i="8"/>
  <c r="E558" i="8" s="1"/>
  <c r="Q556" i="8"/>
  <c r="M556" i="8"/>
  <c r="I556" i="8"/>
  <c r="E556" i="8"/>
  <c r="Q555" i="8"/>
  <c r="M555" i="8"/>
  <c r="I555" i="8"/>
  <c r="E555" i="8"/>
  <c r="R555" i="8" s="1"/>
  <c r="Q552" i="8"/>
  <c r="P552" i="8"/>
  <c r="P579" i="8" s="1"/>
  <c r="O552" i="8"/>
  <c r="N552" i="8"/>
  <c r="L552" i="8"/>
  <c r="L579" i="8" s="1"/>
  <c r="L582" i="8" s="1"/>
  <c r="K552" i="8"/>
  <c r="K579" i="8" s="1"/>
  <c r="K582" i="8" s="1"/>
  <c r="J552" i="8"/>
  <c r="I552" i="8"/>
  <c r="H552" i="8"/>
  <c r="H579" i="8" s="1"/>
  <c r="G552" i="8"/>
  <c r="F552" i="8"/>
  <c r="D552" i="8"/>
  <c r="D579" i="8" s="1"/>
  <c r="D582" i="8" s="1"/>
  <c r="C552" i="8"/>
  <c r="C579" i="8" s="1"/>
  <c r="C582" i="8" s="1"/>
  <c r="B552" i="8"/>
  <c r="R550" i="8"/>
  <c r="Q550" i="8"/>
  <c r="M550" i="8"/>
  <c r="I550" i="8"/>
  <c r="E550" i="8"/>
  <c r="Q548" i="8"/>
  <c r="M548" i="8"/>
  <c r="I548" i="8"/>
  <c r="E548" i="8"/>
  <c r="Q546" i="8"/>
  <c r="M546" i="8"/>
  <c r="I546" i="8"/>
  <c r="E546" i="8"/>
  <c r="R546" i="8" s="1"/>
  <c r="Q545" i="8"/>
  <c r="R545" i="8" s="1"/>
  <c r="M545" i="8"/>
  <c r="I545" i="8"/>
  <c r="E545" i="8"/>
  <c r="Q544" i="8"/>
  <c r="M544" i="8"/>
  <c r="I544" i="8"/>
  <c r="E544" i="8"/>
  <c r="R544" i="8" s="1"/>
  <c r="Q543" i="8"/>
  <c r="M543" i="8"/>
  <c r="I543" i="8"/>
  <c r="E543" i="8"/>
  <c r="R543" i="8" s="1"/>
  <c r="Q542" i="8"/>
  <c r="M542" i="8"/>
  <c r="I542" i="8"/>
  <c r="E542" i="8"/>
  <c r="R542" i="8" s="1"/>
  <c r="Q541" i="8"/>
  <c r="M541" i="8"/>
  <c r="I541" i="8"/>
  <c r="E541" i="8"/>
  <c r="R541" i="8" s="1"/>
  <c r="R540" i="8"/>
  <c r="Q540" i="8"/>
  <c r="M540" i="8"/>
  <c r="I540" i="8"/>
  <c r="E540" i="8"/>
  <c r="Q539" i="8"/>
  <c r="M539" i="8"/>
  <c r="I539" i="8"/>
  <c r="E539" i="8"/>
  <c r="R539" i="8" s="1"/>
  <c r="Q538" i="8"/>
  <c r="M538" i="8"/>
  <c r="I538" i="8"/>
  <c r="R538" i="8" s="1"/>
  <c r="E538" i="8"/>
  <c r="R537" i="8"/>
  <c r="Q537" i="8"/>
  <c r="M537" i="8"/>
  <c r="I537" i="8"/>
  <c r="E537" i="8"/>
  <c r="P527" i="8"/>
  <c r="Q525" i="8"/>
  <c r="M525" i="8"/>
  <c r="I525" i="8"/>
  <c r="E525" i="8"/>
  <c r="R525" i="8" s="1"/>
  <c r="N524" i="8"/>
  <c r="P523" i="8"/>
  <c r="O523" i="8"/>
  <c r="N523" i="8"/>
  <c r="Q523" i="8" s="1"/>
  <c r="L523" i="8"/>
  <c r="K523" i="8"/>
  <c r="J523" i="8"/>
  <c r="M523" i="8" s="1"/>
  <c r="H523" i="8"/>
  <c r="G523" i="8"/>
  <c r="F523" i="8"/>
  <c r="I523" i="8" s="1"/>
  <c r="D523" i="8"/>
  <c r="C523" i="8"/>
  <c r="B523" i="8"/>
  <c r="E523" i="8" s="1"/>
  <c r="R523" i="8" s="1"/>
  <c r="P522" i="8"/>
  <c r="O522" i="8"/>
  <c r="N522" i="8"/>
  <c r="L522" i="8"/>
  <c r="K522" i="8"/>
  <c r="J522" i="8"/>
  <c r="M522" i="8" s="1"/>
  <c r="H522" i="8"/>
  <c r="G522" i="8"/>
  <c r="F522" i="8"/>
  <c r="I522" i="8" s="1"/>
  <c r="D522" i="8"/>
  <c r="C522" i="8"/>
  <c r="B522" i="8"/>
  <c r="E522" i="8" s="1"/>
  <c r="Q521" i="8"/>
  <c r="M521" i="8"/>
  <c r="I521" i="8"/>
  <c r="E521" i="8"/>
  <c r="R521" i="8" s="1"/>
  <c r="Q520" i="8"/>
  <c r="M520" i="8"/>
  <c r="I520" i="8"/>
  <c r="E520" i="8"/>
  <c r="R520" i="8" s="1"/>
  <c r="R519" i="8"/>
  <c r="Q519" i="8"/>
  <c r="M519" i="8"/>
  <c r="I519" i="8"/>
  <c r="E519" i="8"/>
  <c r="Q517" i="8"/>
  <c r="M517" i="8"/>
  <c r="I517" i="8"/>
  <c r="E517" i="8"/>
  <c r="R517" i="8" s="1"/>
  <c r="P512" i="8"/>
  <c r="Q512" i="8" s="1"/>
  <c r="O512" i="8"/>
  <c r="N512" i="8"/>
  <c r="M512" i="8"/>
  <c r="L512" i="8"/>
  <c r="K512" i="8"/>
  <c r="J512" i="8"/>
  <c r="H512" i="8"/>
  <c r="I512" i="8" s="1"/>
  <c r="G512" i="8"/>
  <c r="F512" i="8"/>
  <c r="E512" i="8"/>
  <c r="R512" i="8" s="1"/>
  <c r="D512" i="8"/>
  <c r="C512" i="8"/>
  <c r="B512" i="8"/>
  <c r="Q511" i="8"/>
  <c r="M511" i="8"/>
  <c r="I511" i="8"/>
  <c r="E511" i="8"/>
  <c r="R511" i="8" s="1"/>
  <c r="P507" i="8"/>
  <c r="O507" i="8"/>
  <c r="N507" i="8"/>
  <c r="Q507" i="8" s="1"/>
  <c r="L507" i="8"/>
  <c r="K507" i="8"/>
  <c r="J507" i="8"/>
  <c r="H507" i="8"/>
  <c r="G507" i="8"/>
  <c r="F507" i="8"/>
  <c r="I507" i="8" s="1"/>
  <c r="D507" i="8"/>
  <c r="C507" i="8"/>
  <c r="B507" i="8"/>
  <c r="E507" i="8" s="1"/>
  <c r="Q505" i="8"/>
  <c r="M505" i="8"/>
  <c r="I505" i="8"/>
  <c r="E505" i="8"/>
  <c r="R505" i="8" s="1"/>
  <c r="R504" i="8"/>
  <c r="Q504" i="8"/>
  <c r="M504" i="8"/>
  <c r="I504" i="8"/>
  <c r="E504" i="8"/>
  <c r="P501" i="8"/>
  <c r="P524" i="8" s="1"/>
  <c r="O501" i="8"/>
  <c r="O524" i="8" s="1"/>
  <c r="O527" i="8" s="1"/>
  <c r="N501" i="8"/>
  <c r="Q501" i="8" s="1"/>
  <c r="L501" i="8"/>
  <c r="L524" i="8" s="1"/>
  <c r="L527" i="8" s="1"/>
  <c r="K501" i="8"/>
  <c r="J501" i="8"/>
  <c r="M501" i="8" s="1"/>
  <c r="H501" i="8"/>
  <c r="H524" i="8" s="1"/>
  <c r="H527" i="8" s="1"/>
  <c r="G501" i="8"/>
  <c r="G524" i="8" s="1"/>
  <c r="G527" i="8" s="1"/>
  <c r="F501" i="8"/>
  <c r="D501" i="8"/>
  <c r="C501" i="8"/>
  <c r="C524" i="8" s="1"/>
  <c r="C527" i="8" s="1"/>
  <c r="B501" i="8"/>
  <c r="E501" i="8" s="1"/>
  <c r="Q497" i="8"/>
  <c r="M497" i="8"/>
  <c r="I497" i="8"/>
  <c r="E497" i="8"/>
  <c r="R497" i="8" s="1"/>
  <c r="Q496" i="8"/>
  <c r="M496" i="8"/>
  <c r="I496" i="8"/>
  <c r="E496" i="8"/>
  <c r="R496" i="8" s="1"/>
  <c r="R495" i="8"/>
  <c r="Q495" i="8"/>
  <c r="M495" i="8"/>
  <c r="I495" i="8"/>
  <c r="E495" i="8"/>
  <c r="Q494" i="8"/>
  <c r="M494" i="8"/>
  <c r="I494" i="8"/>
  <c r="E494" i="8"/>
  <c r="D484" i="8"/>
  <c r="Q482" i="8"/>
  <c r="M482" i="8"/>
  <c r="I482" i="8"/>
  <c r="E482" i="8"/>
  <c r="R482" i="8" s="1"/>
  <c r="J481" i="8"/>
  <c r="B481" i="8"/>
  <c r="P480" i="8"/>
  <c r="O480" i="8"/>
  <c r="N480" i="8"/>
  <c r="Q480" i="8" s="1"/>
  <c r="L480" i="8"/>
  <c r="K480" i="8"/>
  <c r="J480" i="8"/>
  <c r="H480" i="8"/>
  <c r="G480" i="8"/>
  <c r="F480" i="8"/>
  <c r="I480" i="8" s="1"/>
  <c r="D480" i="8"/>
  <c r="C480" i="8"/>
  <c r="E480" i="8" s="1"/>
  <c r="B480" i="8"/>
  <c r="P479" i="8"/>
  <c r="O479" i="8"/>
  <c r="N479" i="8"/>
  <c r="Q479" i="8" s="1"/>
  <c r="M479" i="8"/>
  <c r="L479" i="8"/>
  <c r="K479" i="8"/>
  <c r="J479" i="8"/>
  <c r="H479" i="8"/>
  <c r="G479" i="8"/>
  <c r="F479" i="8"/>
  <c r="I479" i="8" s="1"/>
  <c r="D479" i="8"/>
  <c r="E479" i="8" s="1"/>
  <c r="R479" i="8" s="1"/>
  <c r="C479" i="8"/>
  <c r="B479" i="8"/>
  <c r="Q478" i="8"/>
  <c r="M478" i="8"/>
  <c r="I478" i="8"/>
  <c r="E478" i="8"/>
  <c r="R478" i="8" s="1"/>
  <c r="R477" i="8"/>
  <c r="Q477" i="8"/>
  <c r="M477" i="8"/>
  <c r="I477" i="8"/>
  <c r="E477" i="8"/>
  <c r="P471" i="8"/>
  <c r="O471" i="8"/>
  <c r="N471" i="8"/>
  <c r="L471" i="8"/>
  <c r="K471" i="8"/>
  <c r="J471" i="8"/>
  <c r="M471" i="8" s="1"/>
  <c r="H471" i="8"/>
  <c r="G471" i="8"/>
  <c r="I471" i="8" s="1"/>
  <c r="F471" i="8"/>
  <c r="D471" i="8"/>
  <c r="C471" i="8"/>
  <c r="B471" i="8"/>
  <c r="E471" i="8" s="1"/>
  <c r="Q470" i="8"/>
  <c r="M470" i="8"/>
  <c r="I470" i="8"/>
  <c r="E470" i="8"/>
  <c r="P466" i="8"/>
  <c r="O466" i="8"/>
  <c r="N466" i="8"/>
  <c r="Q466" i="8" s="1"/>
  <c r="M466" i="8"/>
  <c r="L466" i="8"/>
  <c r="K466" i="8"/>
  <c r="J466" i="8"/>
  <c r="H466" i="8"/>
  <c r="G466" i="8"/>
  <c r="F466" i="8"/>
  <c r="I466" i="8" s="1"/>
  <c r="E466" i="8"/>
  <c r="D466" i="8"/>
  <c r="C466" i="8"/>
  <c r="B466" i="8"/>
  <c r="Q464" i="8"/>
  <c r="M464" i="8"/>
  <c r="I464" i="8"/>
  <c r="E464" i="8"/>
  <c r="P461" i="8"/>
  <c r="O461" i="8"/>
  <c r="O481" i="8" s="1"/>
  <c r="O484" i="8" s="1"/>
  <c r="N461" i="8"/>
  <c r="Q461" i="8" s="1"/>
  <c r="L461" i="8"/>
  <c r="K461" i="8"/>
  <c r="J461" i="8"/>
  <c r="H461" i="8"/>
  <c r="H481" i="8" s="1"/>
  <c r="H484" i="8" s="1"/>
  <c r="G461" i="8"/>
  <c r="G481" i="8" s="1"/>
  <c r="G484" i="8" s="1"/>
  <c r="F461" i="8"/>
  <c r="I461" i="8" s="1"/>
  <c r="D461" i="8"/>
  <c r="D481" i="8" s="1"/>
  <c r="C461" i="8"/>
  <c r="E461" i="8" s="1"/>
  <c r="B461" i="8"/>
  <c r="Q458" i="8"/>
  <c r="M458" i="8"/>
  <c r="I458" i="8"/>
  <c r="E458" i="8"/>
  <c r="R458" i="8" s="1"/>
  <c r="Q457" i="8"/>
  <c r="R457" i="8" s="1"/>
  <c r="M457" i="8"/>
  <c r="I457" i="8"/>
  <c r="E457" i="8"/>
  <c r="Q455" i="8"/>
  <c r="M455" i="8"/>
  <c r="I455" i="8"/>
  <c r="E455" i="8"/>
  <c r="R455" i="8" s="1"/>
  <c r="Q454" i="8"/>
  <c r="M454" i="8"/>
  <c r="I454" i="8"/>
  <c r="E454" i="8"/>
  <c r="R454" i="8" s="1"/>
  <c r="Q453" i="8"/>
  <c r="M453" i="8"/>
  <c r="I453" i="8"/>
  <c r="E453" i="8"/>
  <c r="Q435" i="8"/>
  <c r="M435" i="8"/>
  <c r="I435" i="8"/>
  <c r="R435" i="8" s="1"/>
  <c r="E435" i="8"/>
  <c r="Q434" i="8"/>
  <c r="M434" i="8"/>
  <c r="I434" i="8"/>
  <c r="E434" i="8"/>
  <c r="R434" i="8" s="1"/>
  <c r="R433" i="8"/>
  <c r="Q433" i="8"/>
  <c r="M433" i="8"/>
  <c r="I433" i="8"/>
  <c r="E433" i="8"/>
  <c r="P431" i="8"/>
  <c r="O431" i="8"/>
  <c r="Q431" i="8" s="1"/>
  <c r="N431" i="8"/>
  <c r="L431" i="8"/>
  <c r="K431" i="8"/>
  <c r="J431" i="8"/>
  <c r="M431" i="8" s="1"/>
  <c r="H431" i="8"/>
  <c r="G431" i="8"/>
  <c r="F431" i="8"/>
  <c r="D431" i="8"/>
  <c r="C431" i="8"/>
  <c r="B431" i="8"/>
  <c r="E431" i="8" s="1"/>
  <c r="Q430" i="8"/>
  <c r="P430" i="8"/>
  <c r="O430" i="8"/>
  <c r="N430" i="8"/>
  <c r="L430" i="8"/>
  <c r="K430" i="8"/>
  <c r="J430" i="8"/>
  <c r="M430" i="8" s="1"/>
  <c r="H430" i="8"/>
  <c r="I430" i="8" s="1"/>
  <c r="G430" i="8"/>
  <c r="F430" i="8"/>
  <c r="D430" i="8"/>
  <c r="C430" i="8"/>
  <c r="B430" i="8"/>
  <c r="E430" i="8" s="1"/>
  <c r="Q429" i="8"/>
  <c r="R429" i="8" s="1"/>
  <c r="M429" i="8"/>
  <c r="I429" i="8"/>
  <c r="E429" i="8"/>
  <c r="Q428" i="8"/>
  <c r="M428" i="8"/>
  <c r="I428" i="8"/>
  <c r="E428" i="8"/>
  <c r="Q427" i="8"/>
  <c r="M427" i="8"/>
  <c r="I427" i="8"/>
  <c r="E427" i="8"/>
  <c r="R427" i="8" s="1"/>
  <c r="Q426" i="8"/>
  <c r="M426" i="8"/>
  <c r="I426" i="8"/>
  <c r="E426" i="8"/>
  <c r="Q425" i="8"/>
  <c r="M425" i="8"/>
  <c r="I425" i="8"/>
  <c r="E425" i="8"/>
  <c r="R425" i="8" s="1"/>
  <c r="R424" i="8"/>
  <c r="Q424" i="8"/>
  <c r="M424" i="8"/>
  <c r="I424" i="8"/>
  <c r="E424" i="8"/>
  <c r="Q423" i="8"/>
  <c r="M423" i="8"/>
  <c r="I423" i="8"/>
  <c r="R423" i="8" s="1"/>
  <c r="E423" i="8"/>
  <c r="Q422" i="8"/>
  <c r="M422" i="8"/>
  <c r="I422" i="8"/>
  <c r="E422" i="8"/>
  <c r="R422" i="8" s="1"/>
  <c r="R420" i="8"/>
  <c r="Q420" i="8"/>
  <c r="M420" i="8"/>
  <c r="I420" i="8"/>
  <c r="E420" i="8"/>
  <c r="Q419" i="8"/>
  <c r="M419" i="8"/>
  <c r="I419" i="8"/>
  <c r="E419" i="8"/>
  <c r="R419" i="8" s="1"/>
  <c r="Q418" i="8"/>
  <c r="M418" i="8"/>
  <c r="I418" i="8"/>
  <c r="E418" i="8"/>
  <c r="R418" i="8" s="1"/>
  <c r="Q417" i="8"/>
  <c r="M417" i="8"/>
  <c r="I417" i="8"/>
  <c r="E417" i="8"/>
  <c r="Q416" i="8"/>
  <c r="M416" i="8"/>
  <c r="I416" i="8"/>
  <c r="E416" i="8"/>
  <c r="R416" i="8" s="1"/>
  <c r="R415" i="8"/>
  <c r="Q415" i="8"/>
  <c r="M415" i="8"/>
  <c r="I415" i="8"/>
  <c r="E415" i="8"/>
  <c r="Q413" i="8"/>
  <c r="M413" i="8"/>
  <c r="I413" i="8"/>
  <c r="E413" i="8"/>
  <c r="Q412" i="8"/>
  <c r="M412" i="8"/>
  <c r="I412" i="8"/>
  <c r="E412" i="8"/>
  <c r="R412" i="8" s="1"/>
  <c r="R410" i="8"/>
  <c r="Q410" i="8"/>
  <c r="M410" i="8"/>
  <c r="I410" i="8"/>
  <c r="E410" i="8"/>
  <c r="P407" i="8"/>
  <c r="O407" i="8"/>
  <c r="G407" i="8"/>
  <c r="Q406" i="8"/>
  <c r="M406" i="8"/>
  <c r="I406" i="8"/>
  <c r="E406" i="8"/>
  <c r="Q405" i="8"/>
  <c r="M405" i="8"/>
  <c r="I405" i="8"/>
  <c r="E405" i="8"/>
  <c r="R405" i="8" s="1"/>
  <c r="Q404" i="8"/>
  <c r="R404" i="8" s="1"/>
  <c r="M404" i="8"/>
  <c r="I404" i="8"/>
  <c r="E404" i="8"/>
  <c r="Q403" i="8"/>
  <c r="M403" i="8"/>
  <c r="I403" i="8"/>
  <c r="E403" i="8"/>
  <c r="Q402" i="8"/>
  <c r="M402" i="8"/>
  <c r="I402" i="8"/>
  <c r="E402" i="8"/>
  <c r="R402" i="8" s="1"/>
  <c r="Q401" i="8"/>
  <c r="M401" i="8"/>
  <c r="R401" i="8" s="1"/>
  <c r="I401" i="8"/>
  <c r="E401" i="8"/>
  <c r="Q400" i="8"/>
  <c r="M400" i="8"/>
  <c r="I400" i="8"/>
  <c r="E400" i="8"/>
  <c r="R400" i="8" s="1"/>
  <c r="R399" i="8"/>
  <c r="Q399" i="8"/>
  <c r="M399" i="8"/>
  <c r="I399" i="8"/>
  <c r="E399" i="8"/>
  <c r="Q398" i="8"/>
  <c r="M398" i="8"/>
  <c r="I398" i="8"/>
  <c r="R398" i="8" s="1"/>
  <c r="E398" i="8"/>
  <c r="Q397" i="8"/>
  <c r="M397" i="8"/>
  <c r="I397" i="8"/>
  <c r="E397" i="8"/>
  <c r="R397" i="8" s="1"/>
  <c r="Q396" i="8"/>
  <c r="R396" i="8" s="1"/>
  <c r="M396" i="8"/>
  <c r="I396" i="8"/>
  <c r="E396" i="8"/>
  <c r="Q395" i="8"/>
  <c r="M395" i="8"/>
  <c r="I395" i="8"/>
  <c r="E395" i="8"/>
  <c r="Q394" i="8"/>
  <c r="M394" i="8"/>
  <c r="I394" i="8"/>
  <c r="E394" i="8"/>
  <c r="R394" i="8" s="1"/>
  <c r="Q393" i="8"/>
  <c r="M393" i="8"/>
  <c r="I393" i="8"/>
  <c r="E393" i="8"/>
  <c r="Q392" i="8"/>
  <c r="M392" i="8"/>
  <c r="I392" i="8"/>
  <c r="E392" i="8"/>
  <c r="R392" i="8" s="1"/>
  <c r="R391" i="8"/>
  <c r="Q391" i="8"/>
  <c r="M391" i="8"/>
  <c r="I391" i="8"/>
  <c r="E391" i="8"/>
  <c r="Q390" i="8"/>
  <c r="M390" i="8"/>
  <c r="I390" i="8"/>
  <c r="R390" i="8" s="1"/>
  <c r="E390" i="8"/>
  <c r="Q389" i="8"/>
  <c r="M389" i="8"/>
  <c r="I389" i="8"/>
  <c r="E389" i="8"/>
  <c r="R389" i="8" s="1"/>
  <c r="R388" i="8"/>
  <c r="Q388" i="8"/>
  <c r="M388" i="8"/>
  <c r="I388" i="8"/>
  <c r="E388" i="8"/>
  <c r="Q387" i="8"/>
  <c r="M387" i="8"/>
  <c r="I387" i="8"/>
  <c r="E387" i="8"/>
  <c r="R387" i="8" s="1"/>
  <c r="Q386" i="8"/>
  <c r="M386" i="8"/>
  <c r="I386" i="8"/>
  <c r="E386" i="8"/>
  <c r="R386" i="8" s="1"/>
  <c r="Q385" i="8"/>
  <c r="M385" i="8"/>
  <c r="I385" i="8"/>
  <c r="E385" i="8"/>
  <c r="Q384" i="8"/>
  <c r="M384" i="8"/>
  <c r="I384" i="8"/>
  <c r="E384" i="8"/>
  <c r="R384" i="8" s="1"/>
  <c r="R383" i="8"/>
  <c r="Q383" i="8"/>
  <c r="M383" i="8"/>
  <c r="I383" i="8"/>
  <c r="E383" i="8"/>
  <c r="N382" i="8"/>
  <c r="M382" i="8"/>
  <c r="L382" i="8"/>
  <c r="K382" i="8"/>
  <c r="J382" i="8"/>
  <c r="H382" i="8"/>
  <c r="G382" i="8"/>
  <c r="G799" i="8" s="1"/>
  <c r="F382" i="8"/>
  <c r="I382" i="8" s="1"/>
  <c r="E382" i="8"/>
  <c r="D382" i="8"/>
  <c r="D799" i="8" s="1"/>
  <c r="C382" i="8"/>
  <c r="B382" i="8"/>
  <c r="Q381" i="8"/>
  <c r="M381" i="8"/>
  <c r="I381" i="8"/>
  <c r="E381" i="8"/>
  <c r="Q380" i="8"/>
  <c r="M380" i="8"/>
  <c r="I380" i="8"/>
  <c r="R380" i="8" s="1"/>
  <c r="E380" i="8"/>
  <c r="Q379" i="8"/>
  <c r="M379" i="8"/>
  <c r="R379" i="8" s="1"/>
  <c r="I379" i="8"/>
  <c r="E379" i="8"/>
  <c r="Q378" i="8"/>
  <c r="M378" i="8"/>
  <c r="I378" i="8"/>
  <c r="E378" i="8"/>
  <c r="R378" i="8" s="1"/>
  <c r="R377" i="8"/>
  <c r="Q377" i="8"/>
  <c r="M377" i="8"/>
  <c r="I377" i="8"/>
  <c r="E377" i="8"/>
  <c r="Q376" i="8"/>
  <c r="M376" i="8"/>
  <c r="I376" i="8"/>
  <c r="E376" i="8"/>
  <c r="Q375" i="8"/>
  <c r="M375" i="8"/>
  <c r="I375" i="8"/>
  <c r="E375" i="8"/>
  <c r="R375" i="8" s="1"/>
  <c r="R374" i="8"/>
  <c r="Q374" i="8"/>
  <c r="M374" i="8"/>
  <c r="I374" i="8"/>
  <c r="E374" i="8"/>
  <c r="Q373" i="8"/>
  <c r="M373" i="8"/>
  <c r="I373" i="8"/>
  <c r="E373" i="8"/>
  <c r="Q372" i="8"/>
  <c r="M372" i="8"/>
  <c r="I372" i="8"/>
  <c r="R372" i="8" s="1"/>
  <c r="E372" i="8"/>
  <c r="Q370" i="8"/>
  <c r="N370" i="8"/>
  <c r="N798" i="8" s="1"/>
  <c r="L370" i="8"/>
  <c r="L798" i="8" s="1"/>
  <c r="K370" i="8"/>
  <c r="K798" i="8" s="1"/>
  <c r="J370" i="8"/>
  <c r="J798" i="8" s="1"/>
  <c r="H370" i="8"/>
  <c r="H798" i="8" s="1"/>
  <c r="G370" i="8"/>
  <c r="G798" i="8" s="1"/>
  <c r="G800" i="8" s="1"/>
  <c r="G829" i="8" s="1"/>
  <c r="F370" i="8"/>
  <c r="D370" i="8"/>
  <c r="D798" i="8" s="1"/>
  <c r="C370" i="8"/>
  <c r="C798" i="8" s="1"/>
  <c r="B370" i="8"/>
  <c r="B407" i="8" s="1"/>
  <c r="Q369" i="8"/>
  <c r="M369" i="8"/>
  <c r="I369" i="8"/>
  <c r="E369" i="8"/>
  <c r="P366" i="8"/>
  <c r="O366" i="8"/>
  <c r="N366" i="8"/>
  <c r="Q366" i="8" s="1"/>
  <c r="L366" i="8"/>
  <c r="K366" i="8"/>
  <c r="H366" i="8"/>
  <c r="G366" i="8"/>
  <c r="F366" i="8"/>
  <c r="I366" i="8" s="1"/>
  <c r="E366" i="8"/>
  <c r="D366" i="8"/>
  <c r="C366" i="8"/>
  <c r="B366" i="8"/>
  <c r="Q364" i="8"/>
  <c r="M364" i="8"/>
  <c r="I364" i="8"/>
  <c r="E364" i="8"/>
  <c r="R364" i="8" s="1"/>
  <c r="R363" i="8"/>
  <c r="Q363" i="8"/>
  <c r="M363" i="8"/>
  <c r="I363" i="8"/>
  <c r="E363" i="8"/>
  <c r="Q362" i="8"/>
  <c r="M362" i="8"/>
  <c r="I362" i="8"/>
  <c r="E362" i="8"/>
  <c r="R362" i="8" s="1"/>
  <c r="AK361" i="8"/>
  <c r="AJ361" i="8"/>
  <c r="AI361" i="8"/>
  <c r="AG361" i="8"/>
  <c r="AH361" i="8" s="1"/>
  <c r="AF361" i="8"/>
  <c r="AE361" i="8"/>
  <c r="AC361" i="8"/>
  <c r="AA361" i="8"/>
  <c r="Z361" i="8"/>
  <c r="Y361" i="8"/>
  <c r="X361" i="8"/>
  <c r="W361" i="8"/>
  <c r="Q361" i="8"/>
  <c r="M361" i="8"/>
  <c r="I361" i="8"/>
  <c r="E361" i="8"/>
  <c r="R361" i="8" s="1"/>
  <c r="AK360" i="8"/>
  <c r="AJ360" i="8"/>
  <c r="AI360" i="8"/>
  <c r="AL360" i="8" s="1"/>
  <c r="AG360" i="8"/>
  <c r="AF360" i="8"/>
  <c r="AE360" i="8"/>
  <c r="AH360" i="8" s="1"/>
  <c r="AA360" i="8"/>
  <c r="Y360" i="8"/>
  <c r="X360" i="8"/>
  <c r="W360" i="8"/>
  <c r="Q360" i="8"/>
  <c r="M360" i="8"/>
  <c r="I360" i="8"/>
  <c r="H360" i="8"/>
  <c r="E360" i="8"/>
  <c r="R360" i="8" s="1"/>
  <c r="AL359" i="8"/>
  <c r="AK359" i="8"/>
  <c r="AJ359" i="8"/>
  <c r="AI359" i="8"/>
  <c r="AG359" i="8"/>
  <c r="AF359" i="8"/>
  <c r="AE359" i="8"/>
  <c r="AH359" i="8" s="1"/>
  <c r="Y359" i="8"/>
  <c r="X359" i="8"/>
  <c r="W359" i="8"/>
  <c r="Z359" i="8" s="1"/>
  <c r="Q359" i="8"/>
  <c r="J359" i="8"/>
  <c r="J794" i="8" s="1"/>
  <c r="M794" i="8" s="1"/>
  <c r="I359" i="8"/>
  <c r="H359" i="8"/>
  <c r="H794" i="8" s="1"/>
  <c r="I794" i="8" s="1"/>
  <c r="E359" i="8"/>
  <c r="AL358" i="8"/>
  <c r="AL361" i="8" s="1"/>
  <c r="AH358" i="8"/>
  <c r="AC358" i="8"/>
  <c r="AC360" i="8" s="1"/>
  <c r="AB358" i="8"/>
  <c r="AB359" i="8" s="1"/>
  <c r="AA358" i="8"/>
  <c r="AD358" i="8" s="1"/>
  <c r="AM358" i="8" s="1"/>
  <c r="Z358" i="8"/>
  <c r="R358" i="8"/>
  <c r="Q358" i="8"/>
  <c r="M358" i="8"/>
  <c r="I358" i="8"/>
  <c r="E358" i="8"/>
  <c r="Q357" i="8"/>
  <c r="M357" i="8"/>
  <c r="I357" i="8"/>
  <c r="E357" i="8"/>
  <c r="Q356" i="8"/>
  <c r="M356" i="8"/>
  <c r="I356" i="8"/>
  <c r="E356" i="8"/>
  <c r="R356" i="8" s="1"/>
  <c r="W355" i="8"/>
  <c r="J352" i="8"/>
  <c r="B352" i="8"/>
  <c r="R350" i="8"/>
  <c r="Q350" i="8"/>
  <c r="M350" i="8"/>
  <c r="I350" i="8"/>
  <c r="E350" i="8"/>
  <c r="Q349" i="8"/>
  <c r="M349" i="8"/>
  <c r="I349" i="8"/>
  <c r="R349" i="8" s="1"/>
  <c r="E349" i="8"/>
  <c r="Q348" i="8"/>
  <c r="M348" i="8"/>
  <c r="I348" i="8"/>
  <c r="E348" i="8"/>
  <c r="R348" i="8" s="1"/>
  <c r="R347" i="8"/>
  <c r="Q347" i="8"/>
  <c r="M347" i="8"/>
  <c r="I347" i="8"/>
  <c r="E347" i="8"/>
  <c r="Q345" i="8"/>
  <c r="M345" i="8"/>
  <c r="I345" i="8"/>
  <c r="E345" i="8"/>
  <c r="Q344" i="8"/>
  <c r="M344" i="8"/>
  <c r="I344" i="8"/>
  <c r="E344" i="8"/>
  <c r="R344" i="8" s="1"/>
  <c r="Q343" i="8"/>
  <c r="M343" i="8"/>
  <c r="I343" i="8"/>
  <c r="E343" i="8"/>
  <c r="Q342" i="8"/>
  <c r="M342" i="8"/>
  <c r="I342" i="8"/>
  <c r="E342" i="8"/>
  <c r="R342" i="8" s="1"/>
  <c r="R341" i="8"/>
  <c r="Q341" i="8"/>
  <c r="M341" i="8"/>
  <c r="I341" i="8"/>
  <c r="E341" i="8"/>
  <c r="Q340" i="8"/>
  <c r="M340" i="8"/>
  <c r="I340" i="8"/>
  <c r="R340" i="8" s="1"/>
  <c r="E340" i="8"/>
  <c r="Q339" i="8"/>
  <c r="M339" i="8"/>
  <c r="I339" i="8"/>
  <c r="E339" i="8"/>
  <c r="R339" i="8" s="1"/>
  <c r="R338" i="8"/>
  <c r="Q338" i="8"/>
  <c r="M338" i="8"/>
  <c r="I338" i="8"/>
  <c r="E338" i="8"/>
  <c r="Q337" i="8"/>
  <c r="M337" i="8"/>
  <c r="I337" i="8"/>
  <c r="E337" i="8"/>
  <c r="R337" i="8" s="1"/>
  <c r="Q336" i="8"/>
  <c r="M336" i="8"/>
  <c r="I336" i="8"/>
  <c r="E336" i="8"/>
  <c r="R336" i="8" s="1"/>
  <c r="Q335" i="8"/>
  <c r="M335" i="8"/>
  <c r="I335" i="8"/>
  <c r="E335" i="8"/>
  <c r="Q333" i="8"/>
  <c r="M333" i="8"/>
  <c r="I333" i="8"/>
  <c r="E333" i="8"/>
  <c r="R333" i="8" s="1"/>
  <c r="Q332" i="8"/>
  <c r="M332" i="8"/>
  <c r="I332" i="8"/>
  <c r="E332" i="8"/>
  <c r="R332" i="8" s="1"/>
  <c r="Q331" i="8"/>
  <c r="M331" i="8"/>
  <c r="R331" i="8" s="1"/>
  <c r="I331" i="8"/>
  <c r="E331" i="8"/>
  <c r="Q330" i="8"/>
  <c r="M330" i="8"/>
  <c r="I330" i="8"/>
  <c r="E330" i="8"/>
  <c r="R330" i="8" s="1"/>
  <c r="R329" i="8"/>
  <c r="Q329" i="8"/>
  <c r="M329" i="8"/>
  <c r="I329" i="8"/>
  <c r="E329" i="8"/>
  <c r="Q328" i="8"/>
  <c r="M328" i="8"/>
  <c r="I328" i="8"/>
  <c r="E328" i="8"/>
  <c r="Q327" i="8"/>
  <c r="M327" i="8"/>
  <c r="I327" i="8"/>
  <c r="E327" i="8"/>
  <c r="R327" i="8" s="1"/>
  <c r="Q326" i="8"/>
  <c r="R326" i="8" s="1"/>
  <c r="M326" i="8"/>
  <c r="I326" i="8"/>
  <c r="E326" i="8"/>
  <c r="Q325" i="8"/>
  <c r="M325" i="8"/>
  <c r="I325" i="8"/>
  <c r="E325" i="8"/>
  <c r="Q324" i="8"/>
  <c r="M324" i="8"/>
  <c r="I324" i="8"/>
  <c r="E324" i="8"/>
  <c r="R324" i="8" s="1"/>
  <c r="Q323" i="8"/>
  <c r="R323" i="8" s="1"/>
  <c r="M323" i="8"/>
  <c r="I323" i="8"/>
  <c r="E323" i="8"/>
  <c r="Q322" i="8"/>
  <c r="M322" i="8"/>
  <c r="I322" i="8"/>
  <c r="E322" i="8"/>
  <c r="R321" i="8"/>
  <c r="Q321" i="8"/>
  <c r="M321" i="8"/>
  <c r="I321" i="8"/>
  <c r="E321" i="8"/>
  <c r="Q320" i="8"/>
  <c r="M320" i="8"/>
  <c r="I320" i="8"/>
  <c r="H320" i="8"/>
  <c r="E320" i="8"/>
  <c r="Q319" i="8"/>
  <c r="M319" i="8"/>
  <c r="I319" i="8"/>
  <c r="E319" i="8"/>
  <c r="R319" i="8" s="1"/>
  <c r="R318" i="8"/>
  <c r="Q318" i="8"/>
  <c r="M318" i="8"/>
  <c r="I318" i="8"/>
  <c r="E318" i="8"/>
  <c r="Q317" i="8"/>
  <c r="M317" i="8"/>
  <c r="I317" i="8"/>
  <c r="R317" i="8" s="1"/>
  <c r="E317" i="8"/>
  <c r="Q316" i="8"/>
  <c r="M316" i="8"/>
  <c r="I316" i="8"/>
  <c r="E316" i="8"/>
  <c r="R316" i="8" s="1"/>
  <c r="Q315" i="8"/>
  <c r="P315" i="8"/>
  <c r="O315" i="8"/>
  <c r="N315" i="8"/>
  <c r="N352" i="8" s="1"/>
  <c r="L315" i="8"/>
  <c r="L352" i="8" s="1"/>
  <c r="K315" i="8"/>
  <c r="K352" i="8" s="1"/>
  <c r="J315" i="8"/>
  <c r="I315" i="8"/>
  <c r="H315" i="8"/>
  <c r="H352" i="8" s="1"/>
  <c r="G315" i="8"/>
  <c r="G352" i="8" s="1"/>
  <c r="G432" i="8" s="1"/>
  <c r="G437" i="8" s="1"/>
  <c r="F315" i="8"/>
  <c r="F352" i="8" s="1"/>
  <c r="D315" i="8"/>
  <c r="D352" i="8" s="1"/>
  <c r="C315" i="8"/>
  <c r="C352" i="8" s="1"/>
  <c r="B315" i="8"/>
  <c r="Q314" i="8"/>
  <c r="M314" i="8"/>
  <c r="I314" i="8"/>
  <c r="E314" i="8"/>
  <c r="R314" i="8" s="1"/>
  <c r="Q313" i="8"/>
  <c r="M313" i="8"/>
  <c r="I313" i="8"/>
  <c r="E313" i="8"/>
  <c r="Q312" i="8"/>
  <c r="M312" i="8"/>
  <c r="I312" i="8"/>
  <c r="E312" i="8"/>
  <c r="R312" i="8" s="1"/>
  <c r="Q311" i="8"/>
  <c r="R311" i="8" s="1"/>
  <c r="M311" i="8"/>
  <c r="I311" i="8"/>
  <c r="E311" i="8"/>
  <c r="Q310" i="8"/>
  <c r="M310" i="8"/>
  <c r="I310" i="8"/>
  <c r="E310" i="8"/>
  <c r="R310" i="8" s="1"/>
  <c r="P309" i="8"/>
  <c r="P352" i="8" s="1"/>
  <c r="P432" i="8" s="1"/>
  <c r="P437" i="8" s="1"/>
  <c r="O309" i="8"/>
  <c r="M309" i="8"/>
  <c r="I309" i="8"/>
  <c r="E309" i="8"/>
  <c r="P301" i="8"/>
  <c r="O301" i="8"/>
  <c r="N301" i="8"/>
  <c r="L301" i="8"/>
  <c r="K301" i="8"/>
  <c r="J301" i="8"/>
  <c r="H301" i="8"/>
  <c r="G301" i="8"/>
  <c r="F301" i="8"/>
  <c r="D301" i="8"/>
  <c r="C301" i="8"/>
  <c r="B301" i="8"/>
  <c r="Q299" i="8"/>
  <c r="M299" i="8"/>
  <c r="I299" i="8"/>
  <c r="E299" i="8"/>
  <c r="R299" i="8" s="1"/>
  <c r="R301" i="8" s="1"/>
  <c r="Q288" i="8"/>
  <c r="M288" i="8"/>
  <c r="I288" i="8"/>
  <c r="E288" i="8"/>
  <c r="R288" i="8" s="1"/>
  <c r="Q287" i="8"/>
  <c r="M287" i="8"/>
  <c r="I287" i="8"/>
  <c r="E287" i="8"/>
  <c r="R287" i="8" s="1"/>
  <c r="Q286" i="8"/>
  <c r="M286" i="8"/>
  <c r="I286" i="8"/>
  <c r="E286" i="8"/>
  <c r="R286" i="8" s="1"/>
  <c r="R285" i="8"/>
  <c r="Q285" i="8"/>
  <c r="M285" i="8"/>
  <c r="I285" i="8"/>
  <c r="E285" i="8"/>
  <c r="Q284" i="8"/>
  <c r="M284" i="8"/>
  <c r="I284" i="8"/>
  <c r="R284" i="8" s="1"/>
  <c r="E284" i="8"/>
  <c r="Q283" i="8"/>
  <c r="M283" i="8"/>
  <c r="I283" i="8"/>
  <c r="R283" i="8" s="1"/>
  <c r="E283" i="8"/>
  <c r="P281" i="8"/>
  <c r="Q281" i="8" s="1"/>
  <c r="O281" i="8"/>
  <c r="N281" i="8"/>
  <c r="L281" i="8"/>
  <c r="K281" i="8"/>
  <c r="J281" i="8"/>
  <c r="M281" i="8" s="1"/>
  <c r="H281" i="8"/>
  <c r="I281" i="8" s="1"/>
  <c r="G281" i="8"/>
  <c r="F281" i="8"/>
  <c r="D281" i="8"/>
  <c r="C281" i="8"/>
  <c r="B281" i="8"/>
  <c r="E281" i="8" s="1"/>
  <c r="R281" i="8" s="1"/>
  <c r="P280" i="8"/>
  <c r="O280" i="8"/>
  <c r="N280" i="8"/>
  <c r="Q280" i="8" s="1"/>
  <c r="L280" i="8"/>
  <c r="K280" i="8"/>
  <c r="J280" i="8"/>
  <c r="M280" i="8" s="1"/>
  <c r="H280" i="8"/>
  <c r="G280" i="8"/>
  <c r="F280" i="8"/>
  <c r="I280" i="8" s="1"/>
  <c r="D280" i="8"/>
  <c r="C280" i="8"/>
  <c r="B280" i="8"/>
  <c r="E280" i="8" s="1"/>
  <c r="Q279" i="8"/>
  <c r="M279" i="8"/>
  <c r="I279" i="8"/>
  <c r="R279" i="8" s="1"/>
  <c r="E279" i="8"/>
  <c r="Q276" i="8"/>
  <c r="R276" i="8" s="1"/>
  <c r="M276" i="8"/>
  <c r="I276" i="8"/>
  <c r="E276" i="8"/>
  <c r="Q275" i="8"/>
  <c r="M275" i="8"/>
  <c r="I275" i="8"/>
  <c r="E275" i="8"/>
  <c r="R275" i="8" s="1"/>
  <c r="Q274" i="8"/>
  <c r="M274" i="8"/>
  <c r="I274" i="8"/>
  <c r="E274" i="8"/>
  <c r="R274" i="8" s="1"/>
  <c r="Q273" i="8"/>
  <c r="M273" i="8"/>
  <c r="I273" i="8"/>
  <c r="E273" i="8"/>
  <c r="R273" i="8" s="1"/>
  <c r="Q272" i="8"/>
  <c r="M272" i="8"/>
  <c r="I272" i="8"/>
  <c r="E272" i="8"/>
  <c r="R272" i="8" s="1"/>
  <c r="R271" i="8"/>
  <c r="Q271" i="8"/>
  <c r="M271" i="8"/>
  <c r="I271" i="8"/>
  <c r="E271" i="8"/>
  <c r="Q270" i="8"/>
  <c r="M270" i="8"/>
  <c r="I270" i="8"/>
  <c r="E270" i="8"/>
  <c r="R270" i="8" s="1"/>
  <c r="Q269" i="8"/>
  <c r="M269" i="8"/>
  <c r="I269" i="8"/>
  <c r="E269" i="8"/>
  <c r="R269" i="8" s="1"/>
  <c r="R267" i="8"/>
  <c r="Q267" i="8"/>
  <c r="M267" i="8"/>
  <c r="I267" i="8"/>
  <c r="E267" i="8"/>
  <c r="Q266" i="8"/>
  <c r="M266" i="8"/>
  <c r="I266" i="8"/>
  <c r="R266" i="8" s="1"/>
  <c r="E266" i="8"/>
  <c r="Q265" i="8"/>
  <c r="M265" i="8"/>
  <c r="I265" i="8"/>
  <c r="R265" i="8" s="1"/>
  <c r="E265" i="8"/>
  <c r="Q262" i="8"/>
  <c r="P262" i="8"/>
  <c r="O262" i="8"/>
  <c r="N262" i="8"/>
  <c r="J262" i="8"/>
  <c r="H262" i="8"/>
  <c r="G262" i="8"/>
  <c r="D262" i="8"/>
  <c r="C262" i="8"/>
  <c r="B262" i="8"/>
  <c r="E262" i="8" s="1"/>
  <c r="R261" i="8"/>
  <c r="Q261" i="8"/>
  <c r="M261" i="8"/>
  <c r="I261" i="8"/>
  <c r="E261" i="8"/>
  <c r="Q260" i="8"/>
  <c r="M260" i="8"/>
  <c r="I260" i="8"/>
  <c r="R260" i="8" s="1"/>
  <c r="E260" i="8"/>
  <c r="Q259" i="8"/>
  <c r="M259" i="8"/>
  <c r="I259" i="8"/>
  <c r="R259" i="8" s="1"/>
  <c r="E259" i="8"/>
  <c r="Q258" i="8"/>
  <c r="M258" i="8"/>
  <c r="I258" i="8"/>
  <c r="C258" i="8"/>
  <c r="C799" i="8" s="1"/>
  <c r="B258" i="8"/>
  <c r="B799" i="8" s="1"/>
  <c r="E799" i="8" s="1"/>
  <c r="Q257" i="8"/>
  <c r="M257" i="8"/>
  <c r="I257" i="8"/>
  <c r="E257" i="8"/>
  <c r="R257" i="8" s="1"/>
  <c r="Q256" i="8"/>
  <c r="M256" i="8"/>
  <c r="I256" i="8"/>
  <c r="E256" i="8"/>
  <c r="R256" i="8" s="1"/>
  <c r="R255" i="8"/>
  <c r="Q255" i="8"/>
  <c r="M255" i="8"/>
  <c r="I255" i="8"/>
  <c r="E255" i="8"/>
  <c r="Q254" i="8"/>
  <c r="M254" i="8"/>
  <c r="I254" i="8"/>
  <c r="R254" i="8" s="1"/>
  <c r="E254" i="8"/>
  <c r="Q253" i="8"/>
  <c r="M253" i="8"/>
  <c r="I253" i="8"/>
  <c r="R253" i="8" s="1"/>
  <c r="E253" i="8"/>
  <c r="Q252" i="8"/>
  <c r="R252" i="8" s="1"/>
  <c r="M252" i="8"/>
  <c r="I252" i="8"/>
  <c r="E252" i="8"/>
  <c r="Q251" i="8"/>
  <c r="M251" i="8"/>
  <c r="I251" i="8"/>
  <c r="E251" i="8"/>
  <c r="R251" i="8" s="1"/>
  <c r="Q250" i="8"/>
  <c r="M250" i="8"/>
  <c r="I250" i="8"/>
  <c r="E250" i="8"/>
  <c r="R250" i="8" s="1"/>
  <c r="Q249" i="8"/>
  <c r="M249" i="8"/>
  <c r="I249" i="8"/>
  <c r="E249" i="8"/>
  <c r="R249" i="8" s="1"/>
  <c r="Q248" i="8"/>
  <c r="M248" i="8"/>
  <c r="I248" i="8"/>
  <c r="E248" i="8"/>
  <c r="R248" i="8" s="1"/>
  <c r="R247" i="8"/>
  <c r="Q247" i="8"/>
  <c r="M247" i="8"/>
  <c r="I247" i="8"/>
  <c r="E247" i="8"/>
  <c r="Q246" i="8"/>
  <c r="L246" i="8"/>
  <c r="L799" i="8" s="1"/>
  <c r="L800" i="8" s="1"/>
  <c r="L829" i="8" s="1"/>
  <c r="K246" i="8"/>
  <c r="K799" i="8" s="1"/>
  <c r="J246" i="8"/>
  <c r="J799" i="8" s="1"/>
  <c r="I246" i="8"/>
  <c r="H246" i="8"/>
  <c r="H799" i="8" s="1"/>
  <c r="H800" i="8" s="1"/>
  <c r="H829" i="8" s="1"/>
  <c r="E246" i="8"/>
  <c r="Q245" i="8"/>
  <c r="M245" i="8"/>
  <c r="I245" i="8"/>
  <c r="E245" i="8"/>
  <c r="R245" i="8" s="1"/>
  <c r="Q244" i="8"/>
  <c r="M244" i="8"/>
  <c r="I244" i="8"/>
  <c r="E244" i="8"/>
  <c r="R244" i="8" s="1"/>
  <c r="R243" i="8"/>
  <c r="Q243" i="8"/>
  <c r="M243" i="8"/>
  <c r="I243" i="8"/>
  <c r="E243" i="8"/>
  <c r="Q242" i="8"/>
  <c r="M242" i="8"/>
  <c r="I242" i="8"/>
  <c r="R242" i="8" s="1"/>
  <c r="E242" i="8"/>
  <c r="Q241" i="8"/>
  <c r="M241" i="8"/>
  <c r="I241" i="8"/>
  <c r="R241" i="8" s="1"/>
  <c r="E241" i="8"/>
  <c r="Q240" i="8"/>
  <c r="R240" i="8" s="1"/>
  <c r="M240" i="8"/>
  <c r="I240" i="8"/>
  <c r="E240" i="8"/>
  <c r="Q239" i="8"/>
  <c r="M239" i="8"/>
  <c r="I239" i="8"/>
  <c r="E239" i="8"/>
  <c r="R239" i="8" s="1"/>
  <c r="Q238" i="8"/>
  <c r="M238" i="8"/>
  <c r="I238" i="8"/>
  <c r="E238" i="8"/>
  <c r="R238" i="8" s="1"/>
  <c r="Q237" i="8"/>
  <c r="M237" i="8"/>
  <c r="I237" i="8"/>
  <c r="E237" i="8"/>
  <c r="R237" i="8" s="1"/>
  <c r="Q236" i="8"/>
  <c r="M236" i="8"/>
  <c r="I236" i="8"/>
  <c r="E236" i="8"/>
  <c r="R236" i="8" s="1"/>
  <c r="R235" i="8"/>
  <c r="Q235" i="8"/>
  <c r="M235" i="8"/>
  <c r="I235" i="8"/>
  <c r="F235" i="8"/>
  <c r="F799" i="8" s="1"/>
  <c r="I799" i="8" s="1"/>
  <c r="E235" i="8"/>
  <c r="Q234" i="8"/>
  <c r="M234" i="8"/>
  <c r="I234" i="8"/>
  <c r="E234" i="8"/>
  <c r="R234" i="8" s="1"/>
  <c r="Q233" i="8"/>
  <c r="M233" i="8"/>
  <c r="I233" i="8"/>
  <c r="E233" i="8"/>
  <c r="R233" i="8" s="1"/>
  <c r="R232" i="8"/>
  <c r="Q232" i="8"/>
  <c r="M232" i="8"/>
  <c r="I232" i="8"/>
  <c r="E232" i="8"/>
  <c r="Q231" i="8"/>
  <c r="M231" i="8"/>
  <c r="I231" i="8"/>
  <c r="R231" i="8" s="1"/>
  <c r="E231" i="8"/>
  <c r="Q230" i="8"/>
  <c r="M230" i="8"/>
  <c r="I230" i="8"/>
  <c r="R230" i="8" s="1"/>
  <c r="E230" i="8"/>
  <c r="Q229" i="8"/>
  <c r="R229" i="8" s="1"/>
  <c r="M229" i="8"/>
  <c r="I229" i="8"/>
  <c r="E229" i="8"/>
  <c r="Q228" i="8"/>
  <c r="M228" i="8"/>
  <c r="I228" i="8"/>
  <c r="E228" i="8"/>
  <c r="R228" i="8" s="1"/>
  <c r="Q227" i="8"/>
  <c r="M227" i="8"/>
  <c r="I227" i="8"/>
  <c r="E227" i="8"/>
  <c r="R227" i="8" s="1"/>
  <c r="Q226" i="8"/>
  <c r="M226" i="8"/>
  <c r="I226" i="8"/>
  <c r="E226" i="8"/>
  <c r="R226" i="8" s="1"/>
  <c r="Q225" i="8"/>
  <c r="M225" i="8"/>
  <c r="I225" i="8"/>
  <c r="E225" i="8"/>
  <c r="R225" i="8" s="1"/>
  <c r="R224" i="8"/>
  <c r="Q224" i="8"/>
  <c r="M224" i="8"/>
  <c r="I224" i="8"/>
  <c r="E224" i="8"/>
  <c r="Q223" i="8"/>
  <c r="M223" i="8"/>
  <c r="I223" i="8"/>
  <c r="R223" i="8" s="1"/>
  <c r="E223" i="8"/>
  <c r="Q222" i="8"/>
  <c r="M222" i="8"/>
  <c r="I222" i="8"/>
  <c r="R222" i="8" s="1"/>
  <c r="E222" i="8"/>
  <c r="Q221" i="8"/>
  <c r="R221" i="8" s="1"/>
  <c r="M221" i="8"/>
  <c r="I221" i="8"/>
  <c r="E221" i="8"/>
  <c r="Q220" i="8"/>
  <c r="M220" i="8"/>
  <c r="I220" i="8"/>
  <c r="E220" i="8"/>
  <c r="R220" i="8" s="1"/>
  <c r="Q219" i="8"/>
  <c r="M219" i="8"/>
  <c r="I219" i="8"/>
  <c r="E219" i="8"/>
  <c r="R219" i="8" s="1"/>
  <c r="Q218" i="8"/>
  <c r="M218" i="8"/>
  <c r="I218" i="8"/>
  <c r="E218" i="8"/>
  <c r="R218" i="8" s="1"/>
  <c r="Q217" i="8"/>
  <c r="M217" i="8"/>
  <c r="I217" i="8"/>
  <c r="E217" i="8"/>
  <c r="R217" i="8" s="1"/>
  <c r="R216" i="8"/>
  <c r="Q216" i="8"/>
  <c r="M216" i="8"/>
  <c r="I216" i="8"/>
  <c r="E216" i="8"/>
  <c r="Q215" i="8"/>
  <c r="M215" i="8"/>
  <c r="I215" i="8"/>
  <c r="R215" i="8" s="1"/>
  <c r="E215" i="8"/>
  <c r="Q214" i="8"/>
  <c r="M214" i="8"/>
  <c r="I214" i="8"/>
  <c r="R214" i="8" s="1"/>
  <c r="E214" i="8"/>
  <c r="Q213" i="8"/>
  <c r="R213" i="8" s="1"/>
  <c r="M213" i="8"/>
  <c r="I213" i="8"/>
  <c r="E213" i="8"/>
  <c r="Q212" i="8"/>
  <c r="M212" i="8"/>
  <c r="I212" i="8"/>
  <c r="E212" i="8"/>
  <c r="R212" i="8" s="1"/>
  <c r="Q211" i="8"/>
  <c r="M211" i="8"/>
  <c r="I211" i="8"/>
  <c r="E211" i="8"/>
  <c r="R211" i="8" s="1"/>
  <c r="P207" i="8"/>
  <c r="Q207" i="8" s="1"/>
  <c r="O207" i="8"/>
  <c r="N207" i="8"/>
  <c r="L207" i="8"/>
  <c r="K207" i="8"/>
  <c r="J207" i="8"/>
  <c r="M207" i="8" s="1"/>
  <c r="H207" i="8"/>
  <c r="I207" i="8" s="1"/>
  <c r="G207" i="8"/>
  <c r="F207" i="8"/>
  <c r="D207" i="8"/>
  <c r="C207" i="8"/>
  <c r="B207" i="8"/>
  <c r="E207" i="8" s="1"/>
  <c r="Q205" i="8"/>
  <c r="R205" i="8" s="1"/>
  <c r="M205" i="8"/>
  <c r="I205" i="8"/>
  <c r="E205" i="8"/>
  <c r="Q204" i="8"/>
  <c r="M204" i="8"/>
  <c r="I204" i="8"/>
  <c r="E204" i="8"/>
  <c r="R204" i="8" s="1"/>
  <c r="Q198" i="8"/>
  <c r="M198" i="8"/>
  <c r="I198" i="8"/>
  <c r="R198" i="8" s="1"/>
  <c r="E198" i="8"/>
  <c r="Q197" i="8"/>
  <c r="R197" i="8" s="1"/>
  <c r="M197" i="8"/>
  <c r="I197" i="8"/>
  <c r="E197" i="8"/>
  <c r="Q196" i="8"/>
  <c r="M196" i="8"/>
  <c r="I196" i="8"/>
  <c r="E196" i="8"/>
  <c r="R196" i="8" s="1"/>
  <c r="Q194" i="8"/>
  <c r="M194" i="8"/>
  <c r="I194" i="8"/>
  <c r="E194" i="8"/>
  <c r="R194" i="8" s="1"/>
  <c r="Q193" i="8"/>
  <c r="M193" i="8"/>
  <c r="I193" i="8"/>
  <c r="E193" i="8"/>
  <c r="R193" i="8" s="1"/>
  <c r="Q192" i="8"/>
  <c r="M192" i="8"/>
  <c r="I192" i="8"/>
  <c r="E192" i="8"/>
  <c r="R192" i="8" s="1"/>
  <c r="R191" i="8"/>
  <c r="Q191" i="8"/>
  <c r="M191" i="8"/>
  <c r="I191" i="8"/>
  <c r="E191" i="8"/>
  <c r="Q190" i="8"/>
  <c r="M190" i="8"/>
  <c r="I190" i="8"/>
  <c r="R190" i="8" s="1"/>
  <c r="E190" i="8"/>
  <c r="Q189" i="8"/>
  <c r="M189" i="8"/>
  <c r="I189" i="8"/>
  <c r="R189" i="8" s="1"/>
  <c r="E189" i="8"/>
  <c r="Q188" i="8"/>
  <c r="R188" i="8" s="1"/>
  <c r="M188" i="8"/>
  <c r="I188" i="8"/>
  <c r="E188" i="8"/>
  <c r="Q187" i="8"/>
  <c r="M187" i="8"/>
  <c r="I187" i="8"/>
  <c r="E187" i="8"/>
  <c r="R187" i="8" s="1"/>
  <c r="Q186" i="8"/>
  <c r="M186" i="8"/>
  <c r="I186" i="8"/>
  <c r="E186" i="8"/>
  <c r="R186" i="8" s="1"/>
  <c r="Q185" i="8"/>
  <c r="M185" i="8"/>
  <c r="I185" i="8"/>
  <c r="E185" i="8"/>
  <c r="R185" i="8" s="1"/>
  <c r="Q183" i="8"/>
  <c r="M183" i="8"/>
  <c r="I183" i="8"/>
  <c r="E183" i="8"/>
  <c r="R183" i="8" s="1"/>
  <c r="Q182" i="8"/>
  <c r="M182" i="8"/>
  <c r="I182" i="8"/>
  <c r="E182" i="8"/>
  <c r="R182" i="8" s="1"/>
  <c r="P181" i="8"/>
  <c r="Q181" i="8" s="1"/>
  <c r="O181" i="8"/>
  <c r="N181" i="8"/>
  <c r="L181" i="8"/>
  <c r="K181" i="8"/>
  <c r="J181" i="8"/>
  <c r="M181" i="8" s="1"/>
  <c r="H181" i="8"/>
  <c r="I181" i="8" s="1"/>
  <c r="G181" i="8"/>
  <c r="F181" i="8"/>
  <c r="D181" i="8"/>
  <c r="C181" i="8"/>
  <c r="B181" i="8"/>
  <c r="E181" i="8" s="1"/>
  <c r="Q180" i="8"/>
  <c r="R180" i="8" s="1"/>
  <c r="M180" i="8"/>
  <c r="I180" i="8"/>
  <c r="E180" i="8"/>
  <c r="Q179" i="8"/>
  <c r="M179" i="8"/>
  <c r="I179" i="8"/>
  <c r="E179" i="8"/>
  <c r="R179" i="8" s="1"/>
  <c r="Q178" i="8"/>
  <c r="M178" i="8"/>
  <c r="I178" i="8"/>
  <c r="E178" i="8"/>
  <c r="R178" i="8" s="1"/>
  <c r="Q177" i="8"/>
  <c r="M177" i="8"/>
  <c r="I177" i="8"/>
  <c r="E177" i="8"/>
  <c r="R177" i="8" s="1"/>
  <c r="P176" i="8"/>
  <c r="O176" i="8"/>
  <c r="N176" i="8"/>
  <c r="Q176" i="8" s="1"/>
  <c r="M176" i="8"/>
  <c r="L176" i="8"/>
  <c r="K176" i="8"/>
  <c r="J176" i="8"/>
  <c r="H176" i="8"/>
  <c r="I176" i="8" s="1"/>
  <c r="E176" i="8"/>
  <c r="R176" i="8" s="1"/>
  <c r="Q175" i="8"/>
  <c r="R175" i="8" s="1"/>
  <c r="M175" i="8"/>
  <c r="I175" i="8"/>
  <c r="E175" i="8"/>
  <c r="Q174" i="8"/>
  <c r="K174" i="8"/>
  <c r="J174" i="8"/>
  <c r="M174" i="8" s="1"/>
  <c r="I174" i="8"/>
  <c r="E174" i="8"/>
  <c r="R174" i="8" s="1"/>
  <c r="Q173" i="8"/>
  <c r="M173" i="8"/>
  <c r="F173" i="8"/>
  <c r="I173" i="8" s="1"/>
  <c r="E173" i="8"/>
  <c r="D173" i="8"/>
  <c r="C173" i="8"/>
  <c r="Q172" i="8"/>
  <c r="M172" i="8"/>
  <c r="I172" i="8"/>
  <c r="E172" i="8"/>
  <c r="R172" i="8" s="1"/>
  <c r="R171" i="8"/>
  <c r="Q171" i="8"/>
  <c r="M171" i="8"/>
  <c r="I171" i="8"/>
  <c r="E171" i="8"/>
  <c r="Q170" i="8"/>
  <c r="M170" i="8"/>
  <c r="I170" i="8"/>
  <c r="R170" i="8" s="1"/>
  <c r="E170" i="8"/>
  <c r="Q169" i="8"/>
  <c r="M169" i="8"/>
  <c r="I169" i="8"/>
  <c r="R169" i="8" s="1"/>
  <c r="E169" i="8"/>
  <c r="Q168" i="8"/>
  <c r="R168" i="8" s="1"/>
  <c r="M168" i="8"/>
  <c r="I168" i="8"/>
  <c r="E168" i="8"/>
  <c r="Q167" i="8"/>
  <c r="M167" i="8"/>
  <c r="I167" i="8"/>
  <c r="E167" i="8"/>
  <c r="R167" i="8" s="1"/>
  <c r="Q166" i="8"/>
  <c r="M166" i="8"/>
  <c r="I166" i="8"/>
  <c r="E166" i="8"/>
  <c r="R166" i="8" s="1"/>
  <c r="Q165" i="8"/>
  <c r="M165" i="8"/>
  <c r="I165" i="8"/>
  <c r="E165" i="8"/>
  <c r="R165" i="8" s="1"/>
  <c r="Q164" i="8"/>
  <c r="M164" i="8"/>
  <c r="I164" i="8"/>
  <c r="E164" i="8"/>
  <c r="R164" i="8" s="1"/>
  <c r="R163" i="8"/>
  <c r="Q163" i="8"/>
  <c r="M163" i="8"/>
  <c r="I163" i="8"/>
  <c r="E163" i="8"/>
  <c r="Q162" i="8"/>
  <c r="M162" i="8"/>
  <c r="I162" i="8"/>
  <c r="R162" i="8" s="1"/>
  <c r="E162" i="8"/>
  <c r="Q161" i="8"/>
  <c r="M161" i="8"/>
  <c r="I161" i="8"/>
  <c r="R161" i="8" s="1"/>
  <c r="E161" i="8"/>
  <c r="Q160" i="8"/>
  <c r="R160" i="8" s="1"/>
  <c r="M160" i="8"/>
  <c r="I160" i="8"/>
  <c r="E160" i="8"/>
  <c r="Q159" i="8"/>
  <c r="M159" i="8"/>
  <c r="I159" i="8"/>
  <c r="E159" i="8"/>
  <c r="R159" i="8" s="1"/>
  <c r="Q158" i="8"/>
  <c r="M158" i="8"/>
  <c r="I158" i="8"/>
  <c r="E158" i="8"/>
  <c r="R158" i="8" s="1"/>
  <c r="Q157" i="8"/>
  <c r="M157" i="8"/>
  <c r="I157" i="8"/>
  <c r="E157" i="8"/>
  <c r="R157" i="8" s="1"/>
  <c r="Q156" i="8"/>
  <c r="M156" i="8"/>
  <c r="I156" i="8"/>
  <c r="E156" i="8"/>
  <c r="R156" i="8" s="1"/>
  <c r="R155" i="8"/>
  <c r="Q155" i="8"/>
  <c r="M155" i="8"/>
  <c r="I155" i="8"/>
  <c r="E155" i="8"/>
  <c r="Q154" i="8"/>
  <c r="M154" i="8"/>
  <c r="I154" i="8"/>
  <c r="R154" i="8" s="1"/>
  <c r="E154" i="8"/>
  <c r="Q153" i="8"/>
  <c r="M153" i="8"/>
  <c r="I153" i="8"/>
  <c r="R153" i="8" s="1"/>
  <c r="E153" i="8"/>
  <c r="Q152" i="8"/>
  <c r="R152" i="8" s="1"/>
  <c r="M152" i="8"/>
  <c r="I152" i="8"/>
  <c r="E152" i="8"/>
  <c r="Q151" i="8"/>
  <c r="M151" i="8"/>
  <c r="I151" i="8"/>
  <c r="E151" i="8"/>
  <c r="R151" i="8" s="1"/>
  <c r="P150" i="8"/>
  <c r="O150" i="8"/>
  <c r="O785" i="8" s="1"/>
  <c r="O791" i="8" s="1"/>
  <c r="N150" i="8"/>
  <c r="N200" i="8" s="1"/>
  <c r="L150" i="8"/>
  <c r="K150" i="8"/>
  <c r="K200" i="8" s="1"/>
  <c r="J150" i="8"/>
  <c r="M150" i="8" s="1"/>
  <c r="H150" i="8"/>
  <c r="G150" i="8"/>
  <c r="F150" i="8"/>
  <c r="I150" i="8" s="1"/>
  <c r="D150" i="8"/>
  <c r="C150" i="8"/>
  <c r="C785" i="8" s="1"/>
  <c r="C791" i="8" s="1"/>
  <c r="B150" i="8"/>
  <c r="B785" i="8" s="1"/>
  <c r="B791" i="8" s="1"/>
  <c r="Q149" i="8"/>
  <c r="M149" i="8"/>
  <c r="I149" i="8"/>
  <c r="R149" i="8" s="1"/>
  <c r="E149" i="8"/>
  <c r="Q148" i="8"/>
  <c r="R148" i="8" s="1"/>
  <c r="M148" i="8"/>
  <c r="I148" i="8"/>
  <c r="E148" i="8"/>
  <c r="Q147" i="8"/>
  <c r="M147" i="8"/>
  <c r="I147" i="8"/>
  <c r="E147" i="8"/>
  <c r="R147" i="8" s="1"/>
  <c r="Q146" i="8"/>
  <c r="M146" i="8"/>
  <c r="I146" i="8"/>
  <c r="E146" i="8"/>
  <c r="R146" i="8" s="1"/>
  <c r="Q145" i="8"/>
  <c r="M145" i="8"/>
  <c r="I145" i="8"/>
  <c r="E145" i="8"/>
  <c r="R145" i="8" s="1"/>
  <c r="Q144" i="8"/>
  <c r="M144" i="8"/>
  <c r="I144" i="8"/>
  <c r="E144" i="8"/>
  <c r="R144" i="8" s="1"/>
  <c r="T270" i="8" s="1"/>
  <c r="R143" i="8"/>
  <c r="Q143" i="8"/>
  <c r="M143" i="8"/>
  <c r="I143" i="8"/>
  <c r="E143" i="8"/>
  <c r="Q142" i="8"/>
  <c r="M142" i="8"/>
  <c r="I142" i="8"/>
  <c r="R142" i="8" s="1"/>
  <c r="E142" i="8"/>
  <c r="Q141" i="8"/>
  <c r="M141" i="8"/>
  <c r="I141" i="8"/>
  <c r="R141" i="8" s="1"/>
  <c r="E141" i="8"/>
  <c r="Q140" i="8"/>
  <c r="R140" i="8" s="1"/>
  <c r="M140" i="8"/>
  <c r="I140" i="8"/>
  <c r="E140" i="8"/>
  <c r="Q139" i="8"/>
  <c r="N139" i="8"/>
  <c r="L139" i="8"/>
  <c r="L785" i="8" s="1"/>
  <c r="L791" i="8" s="1"/>
  <c r="K139" i="8"/>
  <c r="J139" i="8"/>
  <c r="H139" i="8"/>
  <c r="G139" i="8"/>
  <c r="G785" i="8" s="1"/>
  <c r="G791" i="8" s="1"/>
  <c r="F139" i="8"/>
  <c r="I139" i="8" s="1"/>
  <c r="D139" i="8"/>
  <c r="D785" i="8" s="1"/>
  <c r="D791" i="8" s="1"/>
  <c r="Q138" i="8"/>
  <c r="M138" i="8"/>
  <c r="I138" i="8"/>
  <c r="E138" i="8"/>
  <c r="R138" i="8" s="1"/>
  <c r="R126" i="8"/>
  <c r="Q126" i="8"/>
  <c r="M126" i="8"/>
  <c r="I126" i="8"/>
  <c r="E126" i="8"/>
  <c r="O125" i="8"/>
  <c r="O128" i="8" s="1"/>
  <c r="G125" i="8"/>
  <c r="G128" i="8" s="1"/>
  <c r="P124" i="8"/>
  <c r="Q124" i="8" s="1"/>
  <c r="O124" i="8"/>
  <c r="N124" i="8"/>
  <c r="L124" i="8"/>
  <c r="K124" i="8"/>
  <c r="J124" i="8"/>
  <c r="M124" i="8" s="1"/>
  <c r="H124" i="8"/>
  <c r="I124" i="8" s="1"/>
  <c r="G124" i="8"/>
  <c r="F124" i="8"/>
  <c r="D124" i="8"/>
  <c r="C124" i="8"/>
  <c r="B124" i="8"/>
  <c r="E124" i="8" s="1"/>
  <c r="Q123" i="8"/>
  <c r="P123" i="8"/>
  <c r="O123" i="8"/>
  <c r="N123" i="8"/>
  <c r="L123" i="8"/>
  <c r="K123" i="8"/>
  <c r="J123" i="8"/>
  <c r="M123" i="8" s="1"/>
  <c r="I123" i="8"/>
  <c r="H123" i="8"/>
  <c r="G123" i="8"/>
  <c r="F123" i="8"/>
  <c r="D123" i="8"/>
  <c r="C123" i="8"/>
  <c r="B123" i="8"/>
  <c r="E123" i="8" s="1"/>
  <c r="R121" i="8"/>
  <c r="Q121" i="8"/>
  <c r="M121" i="8"/>
  <c r="I121" i="8"/>
  <c r="E121" i="8"/>
  <c r="Q119" i="8"/>
  <c r="M119" i="8"/>
  <c r="I119" i="8"/>
  <c r="R119" i="8" s="1"/>
  <c r="E119" i="8"/>
  <c r="Q118" i="8"/>
  <c r="M118" i="8"/>
  <c r="I118" i="8"/>
  <c r="R118" i="8" s="1"/>
  <c r="E118" i="8"/>
  <c r="Q116" i="8"/>
  <c r="R116" i="8" s="1"/>
  <c r="M116" i="8"/>
  <c r="I116" i="8"/>
  <c r="E116" i="8"/>
  <c r="Q115" i="8"/>
  <c r="M115" i="8"/>
  <c r="I115" i="8"/>
  <c r="E115" i="8"/>
  <c r="R115" i="8" s="1"/>
  <c r="Q114" i="8"/>
  <c r="M114" i="8"/>
  <c r="I114" i="8"/>
  <c r="E114" i="8"/>
  <c r="R114" i="8" s="1"/>
  <c r="Q113" i="8"/>
  <c r="M113" i="8"/>
  <c r="I113" i="8"/>
  <c r="E113" i="8"/>
  <c r="R113" i="8" s="1"/>
  <c r="Q112" i="8"/>
  <c r="M112" i="8"/>
  <c r="I112" i="8"/>
  <c r="E112" i="8"/>
  <c r="R112" i="8" s="1"/>
  <c r="R111" i="8"/>
  <c r="Q111" i="8"/>
  <c r="M111" i="8"/>
  <c r="I111" i="8"/>
  <c r="E111" i="8"/>
  <c r="Q110" i="8"/>
  <c r="M110" i="8"/>
  <c r="I110" i="8"/>
  <c r="R110" i="8" s="1"/>
  <c r="E110" i="8"/>
  <c r="Q109" i="8"/>
  <c r="M109" i="8"/>
  <c r="I109" i="8"/>
  <c r="R109" i="8" s="1"/>
  <c r="E109" i="8"/>
  <c r="Q106" i="8"/>
  <c r="P106" i="8"/>
  <c r="O106" i="8"/>
  <c r="N106" i="8"/>
  <c r="L106" i="8"/>
  <c r="K106" i="8"/>
  <c r="J106" i="8"/>
  <c r="M106" i="8" s="1"/>
  <c r="I106" i="8"/>
  <c r="H106" i="8"/>
  <c r="G106" i="8"/>
  <c r="F106" i="8"/>
  <c r="D106" i="8"/>
  <c r="C106" i="8"/>
  <c r="B106" i="8"/>
  <c r="B125" i="8" s="1"/>
  <c r="R105" i="8"/>
  <c r="Q105" i="8"/>
  <c r="M105" i="8"/>
  <c r="I105" i="8"/>
  <c r="E105" i="8"/>
  <c r="Q104" i="8"/>
  <c r="M104" i="8"/>
  <c r="I104" i="8"/>
  <c r="R104" i="8" s="1"/>
  <c r="E104" i="8"/>
  <c r="Q103" i="8"/>
  <c r="M103" i="8"/>
  <c r="I103" i="8"/>
  <c r="R103" i="8" s="1"/>
  <c r="E103" i="8"/>
  <c r="Q102" i="8"/>
  <c r="R102" i="8" s="1"/>
  <c r="M102" i="8"/>
  <c r="I102" i="8"/>
  <c r="E102" i="8"/>
  <c r="Q101" i="8"/>
  <c r="M101" i="8"/>
  <c r="I101" i="8"/>
  <c r="E101" i="8"/>
  <c r="R101" i="8" s="1"/>
  <c r="Q100" i="8"/>
  <c r="M100" i="8"/>
  <c r="I100" i="8"/>
  <c r="E100" i="8"/>
  <c r="R100" i="8" s="1"/>
  <c r="Q99" i="8"/>
  <c r="M99" i="8"/>
  <c r="I99" i="8"/>
  <c r="E99" i="8"/>
  <c r="R99" i="8" s="1"/>
  <c r="P95" i="8"/>
  <c r="O95" i="8"/>
  <c r="N95" i="8"/>
  <c r="Q95" i="8" s="1"/>
  <c r="M95" i="8"/>
  <c r="L95" i="8"/>
  <c r="K95" i="8"/>
  <c r="J95" i="8"/>
  <c r="H95" i="8"/>
  <c r="G95" i="8"/>
  <c r="F95" i="8"/>
  <c r="I95" i="8" s="1"/>
  <c r="E95" i="8"/>
  <c r="R95" i="8" s="1"/>
  <c r="D95" i="8"/>
  <c r="C95" i="8"/>
  <c r="B95" i="8"/>
  <c r="Q93" i="8"/>
  <c r="M93" i="8"/>
  <c r="I93" i="8"/>
  <c r="E93" i="8"/>
  <c r="R93" i="8" s="1"/>
  <c r="Q92" i="8"/>
  <c r="M92" i="8"/>
  <c r="I92" i="8"/>
  <c r="E92" i="8"/>
  <c r="R92" i="8" s="1"/>
  <c r="P88" i="8"/>
  <c r="P125" i="8" s="1"/>
  <c r="P128" i="8" s="1"/>
  <c r="O88" i="8"/>
  <c r="N88" i="8"/>
  <c r="N125" i="8" s="1"/>
  <c r="L88" i="8"/>
  <c r="L125" i="8" s="1"/>
  <c r="L128" i="8" s="1"/>
  <c r="K88" i="8"/>
  <c r="K125" i="8" s="1"/>
  <c r="K128" i="8" s="1"/>
  <c r="J88" i="8"/>
  <c r="M88" i="8" s="1"/>
  <c r="H88" i="8"/>
  <c r="H125" i="8" s="1"/>
  <c r="H128" i="8" s="1"/>
  <c r="G88" i="8"/>
  <c r="F88" i="8"/>
  <c r="F125" i="8" s="1"/>
  <c r="D88" i="8"/>
  <c r="D125" i="8" s="1"/>
  <c r="D128" i="8" s="1"/>
  <c r="C88" i="8"/>
  <c r="C125" i="8" s="1"/>
  <c r="C128" i="8" s="1"/>
  <c r="B88" i="8"/>
  <c r="E88" i="8" s="1"/>
  <c r="Q86" i="8"/>
  <c r="R86" i="8" s="1"/>
  <c r="M86" i="8"/>
  <c r="I86" i="8"/>
  <c r="E86" i="8"/>
  <c r="Q85" i="8"/>
  <c r="M85" i="8"/>
  <c r="I85" i="8"/>
  <c r="E85" i="8"/>
  <c r="R85" i="8" s="1"/>
  <c r="Q83" i="8"/>
  <c r="M83" i="8"/>
  <c r="I83" i="8"/>
  <c r="E83" i="8"/>
  <c r="R83" i="8" s="1"/>
  <c r="Q81" i="8"/>
  <c r="R81" i="8" s="1"/>
  <c r="M81" i="8"/>
  <c r="I81" i="8"/>
  <c r="E81" i="8"/>
  <c r="Q80" i="8"/>
  <c r="M80" i="8"/>
  <c r="I80" i="8"/>
  <c r="E80" i="8"/>
  <c r="R80" i="8" s="1"/>
  <c r="Q79" i="8"/>
  <c r="M79" i="8"/>
  <c r="I79" i="8"/>
  <c r="E79" i="8"/>
  <c r="R79" i="8" s="1"/>
  <c r="Q78" i="8"/>
  <c r="M78" i="8"/>
  <c r="I78" i="8"/>
  <c r="E78" i="8"/>
  <c r="R78" i="8" s="1"/>
  <c r="Q77" i="8"/>
  <c r="M77" i="8"/>
  <c r="I77" i="8"/>
  <c r="E77" i="8"/>
  <c r="R77" i="8" s="1"/>
  <c r="R76" i="8"/>
  <c r="Q76" i="8"/>
  <c r="M76" i="8"/>
  <c r="I76" i="8"/>
  <c r="E76" i="8"/>
  <c r="Q75" i="8"/>
  <c r="M75" i="8"/>
  <c r="I75" i="8"/>
  <c r="R75" i="8" s="1"/>
  <c r="E75" i="8"/>
  <c r="Q74" i="8"/>
  <c r="M74" i="8"/>
  <c r="I74" i="8"/>
  <c r="E74" i="8"/>
  <c r="R74" i="8" s="1"/>
  <c r="Q73" i="8"/>
  <c r="R73" i="8" s="1"/>
  <c r="M73" i="8"/>
  <c r="I73" i="8"/>
  <c r="E73" i="8"/>
  <c r="Q72" i="8"/>
  <c r="M72" i="8"/>
  <c r="I72" i="8"/>
  <c r="E72" i="8"/>
  <c r="R72" i="8" s="1"/>
  <c r="Q60" i="8"/>
  <c r="M60" i="8"/>
  <c r="I60" i="8"/>
  <c r="E60" i="8"/>
  <c r="R60" i="8" s="1"/>
  <c r="P58" i="8"/>
  <c r="O58" i="8"/>
  <c r="N58" i="8"/>
  <c r="Q58" i="8" s="1"/>
  <c r="L58" i="8"/>
  <c r="K58" i="8"/>
  <c r="M58" i="8" s="1"/>
  <c r="J58" i="8"/>
  <c r="H58" i="8"/>
  <c r="G58" i="8"/>
  <c r="F58" i="8"/>
  <c r="I58" i="8" s="1"/>
  <c r="D58" i="8"/>
  <c r="C58" i="8"/>
  <c r="E58" i="8" s="1"/>
  <c r="B58" i="8"/>
  <c r="P57" i="8"/>
  <c r="O57" i="8"/>
  <c r="N57" i="8"/>
  <c r="Q57" i="8" s="1"/>
  <c r="L57" i="8"/>
  <c r="M57" i="8" s="1"/>
  <c r="K57" i="8"/>
  <c r="J57" i="8"/>
  <c r="H57" i="8"/>
  <c r="G57" i="8"/>
  <c r="F57" i="8"/>
  <c r="I57" i="8" s="1"/>
  <c r="D57" i="8"/>
  <c r="E57" i="8" s="1"/>
  <c r="C57" i="8"/>
  <c r="B57" i="8"/>
  <c r="Q54" i="8"/>
  <c r="M54" i="8"/>
  <c r="I54" i="8"/>
  <c r="E54" i="8"/>
  <c r="R54" i="8" s="1"/>
  <c r="P50" i="8"/>
  <c r="O50" i="8"/>
  <c r="N50" i="8"/>
  <c r="Q50" i="8" s="1"/>
  <c r="L50" i="8"/>
  <c r="K50" i="8"/>
  <c r="J50" i="8"/>
  <c r="J59" i="8" s="1"/>
  <c r="H50" i="8"/>
  <c r="G50" i="8"/>
  <c r="F50" i="8"/>
  <c r="I50" i="8" s="1"/>
  <c r="D50" i="8"/>
  <c r="C50" i="8"/>
  <c r="B50" i="8"/>
  <c r="E50" i="8" s="1"/>
  <c r="P46" i="8"/>
  <c r="O46" i="8"/>
  <c r="N46" i="8"/>
  <c r="Q46" i="8" s="1"/>
  <c r="L46" i="8"/>
  <c r="K46" i="8"/>
  <c r="K59" i="8" s="1"/>
  <c r="K62" i="8" s="1"/>
  <c r="J46" i="8"/>
  <c r="M46" i="8" s="1"/>
  <c r="H46" i="8"/>
  <c r="G46" i="8"/>
  <c r="F46" i="8"/>
  <c r="I46" i="8" s="1"/>
  <c r="D46" i="8"/>
  <c r="C46" i="8"/>
  <c r="C59" i="8" s="1"/>
  <c r="C62" i="8" s="1"/>
  <c r="B46" i="8"/>
  <c r="E46" i="8" s="1"/>
  <c r="P41" i="8"/>
  <c r="P59" i="8" s="1"/>
  <c r="P62" i="8" s="1"/>
  <c r="O41" i="8"/>
  <c r="O59" i="8" s="1"/>
  <c r="O62" i="8" s="1"/>
  <c r="N41" i="8"/>
  <c r="Q41" i="8" s="1"/>
  <c r="L41" i="8"/>
  <c r="L59" i="8" s="1"/>
  <c r="L62" i="8" s="1"/>
  <c r="K41" i="8"/>
  <c r="J41" i="8"/>
  <c r="H41" i="8"/>
  <c r="H59" i="8" s="1"/>
  <c r="H62" i="8" s="1"/>
  <c r="G41" i="8"/>
  <c r="G59" i="8" s="1"/>
  <c r="G62" i="8" s="1"/>
  <c r="F41" i="8"/>
  <c r="I41" i="8" s="1"/>
  <c r="D41" i="8"/>
  <c r="E41" i="8" s="1"/>
  <c r="C41" i="8"/>
  <c r="B41" i="8"/>
  <c r="Q38" i="8"/>
  <c r="M38" i="8"/>
  <c r="I38" i="8"/>
  <c r="E38" i="8"/>
  <c r="R38" i="8" s="1"/>
  <c r="P27" i="8"/>
  <c r="O27" i="8"/>
  <c r="N27" i="8"/>
  <c r="Q27" i="8" s="1"/>
  <c r="L27" i="8"/>
  <c r="K27" i="8"/>
  <c r="J27" i="8"/>
  <c r="H27" i="8"/>
  <c r="G27" i="8"/>
  <c r="F27" i="8"/>
  <c r="I27" i="8" s="1"/>
  <c r="D27" i="8"/>
  <c r="C27" i="8"/>
  <c r="B27" i="8"/>
  <c r="Q25" i="8"/>
  <c r="M25" i="8"/>
  <c r="I25" i="8"/>
  <c r="E25" i="8"/>
  <c r="R25" i="8" s="1"/>
  <c r="P18" i="8"/>
  <c r="O18" i="8"/>
  <c r="N18" i="8"/>
  <c r="Q18" i="8" s="1"/>
  <c r="L18" i="8"/>
  <c r="K18" i="8"/>
  <c r="J18" i="8"/>
  <c r="M18" i="8" s="1"/>
  <c r="H18" i="8"/>
  <c r="G18" i="8"/>
  <c r="F18" i="8"/>
  <c r="I18" i="8" s="1"/>
  <c r="D18" i="8"/>
  <c r="C18" i="8"/>
  <c r="B18" i="8"/>
  <c r="E18" i="8" s="1"/>
  <c r="P17" i="8"/>
  <c r="O17" i="8"/>
  <c r="N17" i="8"/>
  <c r="Q17" i="8" s="1"/>
  <c r="L17" i="8"/>
  <c r="M17" i="8" s="1"/>
  <c r="K17" i="8"/>
  <c r="J17" i="8"/>
  <c r="H17" i="8"/>
  <c r="G17" i="8"/>
  <c r="F17" i="8"/>
  <c r="I17" i="8" s="1"/>
  <c r="D17" i="8"/>
  <c r="E17" i="8" s="1"/>
  <c r="C17" i="8"/>
  <c r="B17" i="8"/>
  <c r="P16" i="8"/>
  <c r="O16" i="8"/>
  <c r="N16" i="8"/>
  <c r="Q16" i="8" s="1"/>
  <c r="M16" i="8"/>
  <c r="L16" i="8"/>
  <c r="K16" i="8"/>
  <c r="J16" i="8"/>
  <c r="H16" i="8"/>
  <c r="G16" i="8"/>
  <c r="F16" i="8"/>
  <c r="I16" i="8" s="1"/>
  <c r="E16" i="8"/>
  <c r="D16" i="8"/>
  <c r="C16" i="8"/>
  <c r="B16" i="8"/>
  <c r="P15" i="8"/>
  <c r="O15" i="8"/>
  <c r="N15" i="8"/>
  <c r="Q15" i="8" s="1"/>
  <c r="L15" i="8"/>
  <c r="K15" i="8"/>
  <c r="M15" i="8" s="1"/>
  <c r="J15" i="8"/>
  <c r="H15" i="8"/>
  <c r="G15" i="8"/>
  <c r="F15" i="8"/>
  <c r="I15" i="8" s="1"/>
  <c r="E15" i="8"/>
  <c r="R15" i="8" s="1"/>
  <c r="D15" i="8"/>
  <c r="C15" i="8"/>
  <c r="B15" i="8"/>
  <c r="P14" i="8"/>
  <c r="O14" i="8"/>
  <c r="N14" i="8"/>
  <c r="Q14" i="8" s="1"/>
  <c r="L14" i="8"/>
  <c r="K14" i="8"/>
  <c r="J14" i="8"/>
  <c r="M14" i="8" s="1"/>
  <c r="H14" i="8"/>
  <c r="G14" i="8"/>
  <c r="F14" i="8"/>
  <c r="I14" i="8" s="1"/>
  <c r="D14" i="8"/>
  <c r="C14" i="8"/>
  <c r="B14" i="8"/>
  <c r="E14" i="8" s="1"/>
  <c r="R14" i="8" s="1"/>
  <c r="S13" i="8"/>
  <c r="P302" i="8"/>
  <c r="AP848" i="8" s="1"/>
  <c r="O485" i="8"/>
  <c r="N28" i="8"/>
  <c r="L28" i="8"/>
  <c r="G528" i="8"/>
  <c r="B28" i="8"/>
  <c r="R1" i="8"/>
  <c r="AW984" i="8" l="1"/>
  <c r="H28" i="8"/>
  <c r="J28" i="8"/>
  <c r="C302" i="8"/>
  <c r="AP838" i="8" s="1"/>
  <c r="B686" i="8"/>
  <c r="L686" i="8"/>
  <c r="K28" i="8"/>
  <c r="P28" i="8"/>
  <c r="D302" i="8"/>
  <c r="AP839" i="8" s="1"/>
  <c r="O302" i="8"/>
  <c r="AP847" i="8" s="1"/>
  <c r="N686" i="8"/>
  <c r="G28" i="8"/>
  <c r="C28" i="8"/>
  <c r="G302" i="8"/>
  <c r="AP841" i="8" s="1"/>
  <c r="O28" i="8"/>
  <c r="E125" i="8"/>
  <c r="B128" i="8"/>
  <c r="L129" i="8"/>
  <c r="R17" i="8"/>
  <c r="O63" i="8"/>
  <c r="R57" i="8"/>
  <c r="C129" i="8"/>
  <c r="N128" i="8"/>
  <c r="Q125" i="8"/>
  <c r="R124" i="8"/>
  <c r="R181" i="8"/>
  <c r="P63" i="8"/>
  <c r="G825" i="8"/>
  <c r="R207" i="8"/>
  <c r="G438" i="8"/>
  <c r="R18" i="8"/>
  <c r="G63" i="8"/>
  <c r="R46" i="8"/>
  <c r="S81" i="8"/>
  <c r="F128" i="8"/>
  <c r="I125" i="8"/>
  <c r="P129" i="8"/>
  <c r="R123" i="8"/>
  <c r="N282" i="8"/>
  <c r="R173" i="8"/>
  <c r="R280" i="8"/>
  <c r="K129" i="8"/>
  <c r="C63" i="8"/>
  <c r="L63" i="8"/>
  <c r="D129" i="8"/>
  <c r="R58" i="8"/>
  <c r="H129" i="8"/>
  <c r="G129" i="8"/>
  <c r="L720" i="8"/>
  <c r="L721" i="8"/>
  <c r="K63" i="8"/>
  <c r="R16" i="8"/>
  <c r="H63" i="8"/>
  <c r="J62" i="8"/>
  <c r="M59" i="8"/>
  <c r="O129" i="8"/>
  <c r="N963" i="8"/>
  <c r="M963" i="8"/>
  <c r="K963" i="8"/>
  <c r="I963" i="8"/>
  <c r="L963" i="8"/>
  <c r="J963" i="8"/>
  <c r="H963" i="8"/>
  <c r="D825" i="8"/>
  <c r="B59" i="8"/>
  <c r="C825" i="8"/>
  <c r="C833" i="8" s="1"/>
  <c r="C13" i="8" s="1"/>
  <c r="C810" i="8"/>
  <c r="N302" i="8"/>
  <c r="AP846" i="8" s="1"/>
  <c r="Q301" i="8"/>
  <c r="O528" i="8"/>
  <c r="N964" i="8"/>
  <c r="M964" i="8"/>
  <c r="L964" i="8"/>
  <c r="H964" i="8"/>
  <c r="K964" i="8"/>
  <c r="I964" i="8"/>
  <c r="M41" i="8"/>
  <c r="R41" i="8" s="1"/>
  <c r="Q88" i="8"/>
  <c r="L200" i="8"/>
  <c r="R309" i="8"/>
  <c r="F798" i="8"/>
  <c r="I370" i="8"/>
  <c r="C583" i="8"/>
  <c r="L583" i="8"/>
  <c r="H629" i="8"/>
  <c r="N764" i="8"/>
  <c r="Q737" i="8"/>
  <c r="E785" i="8"/>
  <c r="E798" i="8"/>
  <c r="B800" i="8"/>
  <c r="R1045" i="8"/>
  <c r="R1000" i="8"/>
  <c r="R921" i="8"/>
  <c r="R975" i="8"/>
  <c r="AT860" i="8"/>
  <c r="R892" i="8"/>
  <c r="AS922" i="8"/>
  <c r="R837" i="8"/>
  <c r="AS887" i="8"/>
  <c r="R866" i="8"/>
  <c r="R813" i="8"/>
  <c r="AT828" i="8"/>
  <c r="R772" i="8"/>
  <c r="M965" i="8"/>
  <c r="L965" i="8"/>
  <c r="K965" i="8"/>
  <c r="I965" i="8"/>
  <c r="H965" i="8"/>
  <c r="N965" i="8"/>
  <c r="E27" i="8"/>
  <c r="M27" i="8"/>
  <c r="D28" i="8"/>
  <c r="D59" i="8"/>
  <c r="D62" i="8" s="1"/>
  <c r="N785" i="8"/>
  <c r="E150" i="8"/>
  <c r="K262" i="8"/>
  <c r="K282" i="8" s="1"/>
  <c r="K290" i="8" s="1"/>
  <c r="I301" i="8"/>
  <c r="R328" i="8"/>
  <c r="R369" i="8"/>
  <c r="R376" i="8"/>
  <c r="R385" i="8"/>
  <c r="R395" i="8"/>
  <c r="R406" i="8"/>
  <c r="R417" i="8"/>
  <c r="R428" i="8"/>
  <c r="D485" i="8"/>
  <c r="D583" i="8"/>
  <c r="L676" i="8"/>
  <c r="F764" i="8"/>
  <c r="I737" i="8"/>
  <c r="R737" i="8" s="1"/>
  <c r="O768" i="8"/>
  <c r="F785" i="8"/>
  <c r="L825" i="8"/>
  <c r="N676" i="8"/>
  <c r="Q675" i="8"/>
  <c r="D715" i="8"/>
  <c r="D719" i="8" s="1"/>
  <c r="E714" i="8"/>
  <c r="R714" i="8" s="1"/>
  <c r="M139" i="8"/>
  <c r="O676" i="8"/>
  <c r="F28" i="8"/>
  <c r="J125" i="8"/>
  <c r="F200" i="8"/>
  <c r="R799" i="8"/>
  <c r="L262" i="8"/>
  <c r="R430" i="8"/>
  <c r="H528" i="8"/>
  <c r="K959" i="8"/>
  <c r="I959" i="8"/>
  <c r="M959" i="8"/>
  <c r="L959" i="8"/>
  <c r="H959" i="8"/>
  <c r="N959" i="8"/>
  <c r="F876" i="8"/>
  <c r="K967" i="8"/>
  <c r="I967" i="8"/>
  <c r="N967" i="8"/>
  <c r="L967" i="8"/>
  <c r="H967" i="8"/>
  <c r="N593" i="8"/>
  <c r="F59" i="8"/>
  <c r="N59" i="8"/>
  <c r="E106" i="8"/>
  <c r="R106" i="8" s="1"/>
  <c r="H785" i="8"/>
  <c r="H791" i="8" s="1"/>
  <c r="O810" i="8"/>
  <c r="O825" i="8"/>
  <c r="G200" i="8"/>
  <c r="G282" i="8" s="1"/>
  <c r="G290" i="8" s="1"/>
  <c r="O200" i="8"/>
  <c r="O282" i="8" s="1"/>
  <c r="O290" i="8" s="1"/>
  <c r="F302" i="8"/>
  <c r="AP840" i="8" s="1"/>
  <c r="O352" i="8"/>
  <c r="O432" i="8" s="1"/>
  <c r="O437" i="8" s="1"/>
  <c r="Q309" i="8"/>
  <c r="M315" i="8"/>
  <c r="R325" i="8"/>
  <c r="I352" i="8"/>
  <c r="Z360" i="8"/>
  <c r="R393" i="8"/>
  <c r="R403" i="8"/>
  <c r="R413" i="8"/>
  <c r="R426" i="8"/>
  <c r="C481" i="8"/>
  <c r="C484" i="8" s="1"/>
  <c r="J593" i="8"/>
  <c r="R667" i="8"/>
  <c r="F914" i="8"/>
  <c r="F886" i="8"/>
  <c r="AH883" i="8"/>
  <c r="AG883" i="8"/>
  <c r="AF883" i="8"/>
  <c r="AE883" i="8"/>
  <c r="AD883" i="8"/>
  <c r="AS883" i="8"/>
  <c r="AD848" i="8"/>
  <c r="D200" i="8"/>
  <c r="D282" i="8" s="1"/>
  <c r="D290" i="8" s="1"/>
  <c r="L958" i="8"/>
  <c r="H958" i="8"/>
  <c r="N958" i="8"/>
  <c r="K958" i="8"/>
  <c r="I958" i="8"/>
  <c r="M50" i="8"/>
  <c r="R50" i="8" s="1"/>
  <c r="B484" i="8"/>
  <c r="E481" i="8"/>
  <c r="H593" i="8"/>
  <c r="Q850" i="8"/>
  <c r="G770" i="8"/>
  <c r="L769" i="8"/>
  <c r="L768" i="8"/>
  <c r="I968" i="8"/>
  <c r="H968" i="8"/>
  <c r="N968" i="8"/>
  <c r="L968" i="8"/>
  <c r="M968" i="8"/>
  <c r="K968" i="8"/>
  <c r="P785" i="8"/>
  <c r="P791" i="8" s="1"/>
  <c r="H200" i="8"/>
  <c r="H282" i="8" s="1"/>
  <c r="H290" i="8" s="1"/>
  <c r="P200" i="8"/>
  <c r="P282" i="8" s="1"/>
  <c r="P290" i="8" s="1"/>
  <c r="E258" i="8"/>
  <c r="R258" i="8" s="1"/>
  <c r="F262" i="8"/>
  <c r="I262" i="8" s="1"/>
  <c r="J302" i="8"/>
  <c r="AP843" i="8" s="1"/>
  <c r="M301" i="8"/>
  <c r="P438" i="8"/>
  <c r="R313" i="8"/>
  <c r="E315" i="8"/>
  <c r="R335" i="8"/>
  <c r="R345" i="8"/>
  <c r="M352" i="8"/>
  <c r="R357" i="8"/>
  <c r="R373" i="8"/>
  <c r="F407" i="8"/>
  <c r="F432" i="8" s="1"/>
  <c r="I431" i="8"/>
  <c r="R431" i="8" s="1"/>
  <c r="F579" i="8"/>
  <c r="C629" i="8"/>
  <c r="Q608" i="8"/>
  <c r="I624" i="8"/>
  <c r="R624" i="8" s="1"/>
  <c r="F625" i="8"/>
  <c r="O769" i="8"/>
  <c r="I88" i="8"/>
  <c r="R88" i="8" s="1"/>
  <c r="M246" i="8"/>
  <c r="R246" i="8" s="1"/>
  <c r="L966" i="8"/>
  <c r="K966" i="8"/>
  <c r="H966" i="8"/>
  <c r="N966" i="8"/>
  <c r="M966" i="8"/>
  <c r="I966" i="8"/>
  <c r="H583" i="8"/>
  <c r="I961" i="8"/>
  <c r="H961" i="8"/>
  <c r="K961" i="8"/>
  <c r="N961" i="8"/>
  <c r="L961" i="8"/>
  <c r="I969" i="8"/>
  <c r="H969" i="8"/>
  <c r="K969" i="8"/>
  <c r="N969" i="8"/>
  <c r="L969" i="8"/>
  <c r="J785" i="8"/>
  <c r="Q150" i="8"/>
  <c r="M799" i="8"/>
  <c r="H302" i="8"/>
  <c r="AP842" i="8" s="1"/>
  <c r="L432" i="8"/>
  <c r="L437" i="8" s="1"/>
  <c r="Q352" i="8"/>
  <c r="R382" i="8"/>
  <c r="N799" i="8"/>
  <c r="Q799" i="8" s="1"/>
  <c r="Q382" i="8"/>
  <c r="L528" i="8"/>
  <c r="D629" i="8"/>
  <c r="O629" i="8"/>
  <c r="R623" i="8"/>
  <c r="R640" i="8"/>
  <c r="K676" i="8"/>
  <c r="I651" i="8"/>
  <c r="D676" i="8"/>
  <c r="M787" i="8"/>
  <c r="C200" i="8"/>
  <c r="C282" i="8" s="1"/>
  <c r="C290" i="8" s="1"/>
  <c r="P528" i="8"/>
  <c r="D769" i="8"/>
  <c r="D768" i="8"/>
  <c r="E139" i="8"/>
  <c r="R139" i="8" s="1"/>
  <c r="B432" i="8"/>
  <c r="E352" i="8"/>
  <c r="R352" i="8" s="1"/>
  <c r="N527" i="8"/>
  <c r="Q524" i="8"/>
  <c r="F796" i="8"/>
  <c r="I793" i="8"/>
  <c r="H960" i="8"/>
  <c r="N960" i="8"/>
  <c r="L960" i="8"/>
  <c r="K960" i="8"/>
  <c r="I960" i="8"/>
  <c r="O960" i="8"/>
  <c r="M960" i="8"/>
  <c r="H962" i="8"/>
  <c r="N962" i="8"/>
  <c r="L962" i="8"/>
  <c r="K962" i="8"/>
  <c r="I962" i="8"/>
  <c r="K785" i="8"/>
  <c r="K791" i="8" s="1"/>
  <c r="B825" i="8"/>
  <c r="E791" i="8"/>
  <c r="B200" i="8"/>
  <c r="J200" i="8"/>
  <c r="B302" i="8"/>
  <c r="AP837" i="8" s="1"/>
  <c r="E301" i="8"/>
  <c r="L302" i="8"/>
  <c r="AP845" i="8" s="1"/>
  <c r="K302" i="8"/>
  <c r="AP844" i="8" s="1"/>
  <c r="R320" i="8"/>
  <c r="R322" i="8"/>
  <c r="R343" i="8"/>
  <c r="Q798" i="8"/>
  <c r="R381" i="8"/>
  <c r="N407" i="8"/>
  <c r="Q407" i="8" s="1"/>
  <c r="C528" i="8"/>
  <c r="P629" i="8"/>
  <c r="B675" i="8"/>
  <c r="E672" i="8"/>
  <c r="H721" i="8"/>
  <c r="H720" i="8"/>
  <c r="I707" i="8"/>
  <c r="P847" i="8"/>
  <c r="C722" i="8"/>
  <c r="E763" i="8"/>
  <c r="R763" i="8" s="1"/>
  <c r="B764" i="8"/>
  <c r="R794" i="8"/>
  <c r="AC359" i="8"/>
  <c r="E370" i="8"/>
  <c r="M370" i="8"/>
  <c r="L481" i="8"/>
  <c r="L484" i="8" s="1"/>
  <c r="R494" i="8"/>
  <c r="K524" i="8"/>
  <c r="K527" i="8" s="1"/>
  <c r="B579" i="8"/>
  <c r="E552" i="8"/>
  <c r="K583" i="8"/>
  <c r="Q558" i="8"/>
  <c r="R608" i="8"/>
  <c r="L629" i="8"/>
  <c r="M675" i="8"/>
  <c r="J676" i="8"/>
  <c r="E660" i="8"/>
  <c r="I670" i="8"/>
  <c r="G715" i="8"/>
  <c r="G719" i="8" s="1"/>
  <c r="P715" i="8"/>
  <c r="P719" i="8" s="1"/>
  <c r="K720" i="8"/>
  <c r="R742" i="8"/>
  <c r="R752" i="8"/>
  <c r="R756" i="8"/>
  <c r="J767" i="8"/>
  <c r="R786" i="8"/>
  <c r="N796" i="8"/>
  <c r="Q793" i="8"/>
  <c r="R793" i="8" s="1"/>
  <c r="I802" i="8"/>
  <c r="F809" i="8"/>
  <c r="AE875" i="8"/>
  <c r="H407" i="8"/>
  <c r="H432" i="8" s="1"/>
  <c r="H437" i="8" s="1"/>
  <c r="R453" i="8"/>
  <c r="P481" i="8"/>
  <c r="P484" i="8" s="1"/>
  <c r="R466" i="8"/>
  <c r="J484" i="8"/>
  <c r="D524" i="8"/>
  <c r="D527" i="8" s="1"/>
  <c r="O579" i="8"/>
  <c r="O582" i="8" s="1"/>
  <c r="R556" i="8"/>
  <c r="I577" i="8"/>
  <c r="R577" i="8" s="1"/>
  <c r="N579" i="8"/>
  <c r="P583" i="8"/>
  <c r="K593" i="8"/>
  <c r="R616" i="8"/>
  <c r="Q623" i="8"/>
  <c r="C672" i="8"/>
  <c r="C675" i="8" s="1"/>
  <c r="Q672" i="8"/>
  <c r="R673" i="8"/>
  <c r="D686" i="8"/>
  <c r="O686" i="8"/>
  <c r="J719" i="8"/>
  <c r="M715" i="8"/>
  <c r="Q703" i="8"/>
  <c r="R703" i="8" s="1"/>
  <c r="K721" i="8"/>
  <c r="G768" i="8"/>
  <c r="P764" i="8"/>
  <c r="P767" i="8" s="1"/>
  <c r="I742" i="8"/>
  <c r="M762" i="8"/>
  <c r="E787" i="8"/>
  <c r="R787" i="8" s="1"/>
  <c r="AB361" i="8"/>
  <c r="AD361" i="8" s="1"/>
  <c r="AM361" i="8" s="1"/>
  <c r="G485" i="8"/>
  <c r="R464" i="8"/>
  <c r="S504" i="8" s="1"/>
  <c r="Q471" i="8"/>
  <c r="R471" i="8" s="1"/>
  <c r="M480" i="8"/>
  <c r="K481" i="8"/>
  <c r="K484" i="8" s="1"/>
  <c r="I501" i="8"/>
  <c r="R501" i="8" s="1"/>
  <c r="M507" i="8"/>
  <c r="R507" i="8" s="1"/>
  <c r="G579" i="8"/>
  <c r="G582" i="8" s="1"/>
  <c r="C593" i="8"/>
  <c r="G625" i="8"/>
  <c r="G628" i="8" s="1"/>
  <c r="R664" i="8"/>
  <c r="R671" i="8"/>
  <c r="F686" i="8"/>
  <c r="P686" i="8"/>
  <c r="B719" i="8"/>
  <c r="E715" i="8"/>
  <c r="H764" i="8"/>
  <c r="H767" i="8" s="1"/>
  <c r="J796" i="8"/>
  <c r="M798" i="8"/>
  <c r="J800" i="8"/>
  <c r="J407" i="8"/>
  <c r="H485" i="8"/>
  <c r="D593" i="8"/>
  <c r="N625" i="8"/>
  <c r="F672" i="8"/>
  <c r="R670" i="8"/>
  <c r="P676" i="8"/>
  <c r="G686" i="8"/>
  <c r="R762" i="8"/>
  <c r="R790" i="8"/>
  <c r="B827" i="8"/>
  <c r="B808" i="8"/>
  <c r="E808" i="8" s="1"/>
  <c r="E805" i="8"/>
  <c r="AJ873" i="8"/>
  <c r="AA359" i="8"/>
  <c r="AD359" i="8" s="1"/>
  <c r="AM359" i="8" s="1"/>
  <c r="AB360" i="8"/>
  <c r="AD360" i="8" s="1"/>
  <c r="C800" i="8"/>
  <c r="C829" i="8" s="1"/>
  <c r="K800" i="8"/>
  <c r="K829" i="8" s="1"/>
  <c r="C407" i="8"/>
  <c r="E407" i="8" s="1"/>
  <c r="K407" i="8"/>
  <c r="K432" i="8" s="1"/>
  <c r="K437" i="8" s="1"/>
  <c r="R470" i="8"/>
  <c r="R480" i="8"/>
  <c r="R522" i="8"/>
  <c r="F593" i="8"/>
  <c r="O593" i="8"/>
  <c r="R620" i="8"/>
  <c r="R626" i="8"/>
  <c r="R643" i="8"/>
  <c r="G672" i="8"/>
  <c r="G675" i="8" s="1"/>
  <c r="R651" i="8"/>
  <c r="M660" i="8"/>
  <c r="H686" i="8"/>
  <c r="R699" i="8"/>
  <c r="N719" i="8"/>
  <c r="C720" i="8"/>
  <c r="K764" i="8"/>
  <c r="K767" i="8" s="1"/>
  <c r="C796" i="8"/>
  <c r="C827" i="8" s="1"/>
  <c r="H796" i="8"/>
  <c r="H827" i="8" s="1"/>
  <c r="M359" i="8"/>
  <c r="R359" i="8" s="1"/>
  <c r="J366" i="8"/>
  <c r="M366" i="8" s="1"/>
  <c r="R366" i="8" s="1"/>
  <c r="D800" i="8"/>
  <c r="D829" i="8" s="1"/>
  <c r="D407" i="8"/>
  <c r="D432" i="8" s="1"/>
  <c r="D437" i="8" s="1"/>
  <c r="L407" i="8"/>
  <c r="M461" i="8"/>
  <c r="R461" i="8" s="1"/>
  <c r="Q522" i="8"/>
  <c r="F524" i="8"/>
  <c r="R548" i="8"/>
  <c r="J579" i="8"/>
  <c r="M552" i="8"/>
  <c r="R558" i="8"/>
  <c r="R571" i="8"/>
  <c r="I578" i="8"/>
  <c r="R578" i="8" s="1"/>
  <c r="G593" i="8"/>
  <c r="P593" i="8"/>
  <c r="K629" i="8"/>
  <c r="I612" i="8"/>
  <c r="R612" i="8" s="1"/>
  <c r="Q624" i="8"/>
  <c r="H676" i="8"/>
  <c r="Q651" i="8"/>
  <c r="J686" i="8"/>
  <c r="F715" i="8"/>
  <c r="O715" i="8"/>
  <c r="O719" i="8" s="1"/>
  <c r="Q707" i="8"/>
  <c r="R707" i="8" s="1"/>
  <c r="C764" i="8"/>
  <c r="C767" i="8" s="1"/>
  <c r="M763" i="8"/>
  <c r="E788" i="8"/>
  <c r="R788" i="8" s="1"/>
  <c r="O809" i="8"/>
  <c r="O831" i="8" s="1"/>
  <c r="I647" i="8"/>
  <c r="Q647" i="8"/>
  <c r="I685" i="8"/>
  <c r="R685" i="8" s="1"/>
  <c r="Q685" i="8"/>
  <c r="G809" i="8"/>
  <c r="G831" i="8" s="1"/>
  <c r="P809" i="8"/>
  <c r="P831" i="8" s="1"/>
  <c r="N808" i="8"/>
  <c r="AG876" i="8"/>
  <c r="AF876" i="8"/>
  <c r="F879" i="8"/>
  <c r="AE876" i="8"/>
  <c r="AD876" i="8"/>
  <c r="F907" i="8"/>
  <c r="AS876" i="8"/>
  <c r="AD841" i="8"/>
  <c r="AE877" i="8"/>
  <c r="F908" i="8"/>
  <c r="AD877" i="8"/>
  <c r="F880" i="8"/>
  <c r="AS877" i="8"/>
  <c r="AD842" i="8"/>
  <c r="AH877" i="8"/>
  <c r="AG877" i="8"/>
  <c r="AF877" i="8"/>
  <c r="G914" i="8"/>
  <c r="G886" i="8"/>
  <c r="B593" i="8"/>
  <c r="L593" i="8"/>
  <c r="K686" i="8"/>
  <c r="H809" i="8"/>
  <c r="H831" i="8" s="1"/>
  <c r="M803" i="8"/>
  <c r="R803" i="8" s="1"/>
  <c r="Q805" i="8"/>
  <c r="G907" i="8"/>
  <c r="G879" i="8"/>
  <c r="AH876" i="8"/>
  <c r="O969" i="8"/>
  <c r="F481" i="8"/>
  <c r="N481" i="8"/>
  <c r="J831" i="8"/>
  <c r="M831" i="8" s="1"/>
  <c r="M809" i="8"/>
  <c r="R804" i="8"/>
  <c r="F808" i="8"/>
  <c r="I808" i="8" s="1"/>
  <c r="P808" i="8"/>
  <c r="AH941" i="8"/>
  <c r="AH906" i="8"/>
  <c r="H986" i="8"/>
  <c r="AO847" i="8"/>
  <c r="AF847" i="8"/>
  <c r="B524" i="8"/>
  <c r="J524" i="8"/>
  <c r="E592" i="8"/>
  <c r="R592" i="8" s="1"/>
  <c r="B625" i="8"/>
  <c r="J625" i="8"/>
  <c r="C686" i="8"/>
  <c r="B809" i="8"/>
  <c r="AO837" i="8"/>
  <c r="AF837" i="8"/>
  <c r="G878" i="8"/>
  <c r="G906" i="8"/>
  <c r="E647" i="8"/>
  <c r="M647" i="8"/>
  <c r="M795" i="8"/>
  <c r="R806" i="8"/>
  <c r="AS872" i="8"/>
  <c r="AF872" i="8"/>
  <c r="AE872" i="8"/>
  <c r="AE885" i="8" s="1"/>
  <c r="AD872" i="8"/>
  <c r="F903" i="8"/>
  <c r="F859" i="8"/>
  <c r="AH872" i="8"/>
  <c r="AG872" i="8"/>
  <c r="F875" i="8"/>
  <c r="D796" i="8"/>
  <c r="D827" i="8" s="1"/>
  <c r="L796" i="8"/>
  <c r="L827" i="8" s="1"/>
  <c r="E795" i="8"/>
  <c r="R795" i="8" s="1"/>
  <c r="M802" i="8"/>
  <c r="R802" i="8" s="1"/>
  <c r="J808" i="8"/>
  <c r="M808" i="8" s="1"/>
  <c r="M805" i="8"/>
  <c r="R807" i="8"/>
  <c r="Q807" i="8"/>
  <c r="O808" i="8"/>
  <c r="AO839" i="8"/>
  <c r="AF839" i="8"/>
  <c r="AF845" i="8"/>
  <c r="AO845" i="8"/>
  <c r="I805" i="8"/>
  <c r="G903" i="8"/>
  <c r="G875" i="8"/>
  <c r="G859" i="8"/>
  <c r="AD874" i="8"/>
  <c r="AJ874" i="8" s="1"/>
  <c r="F877" i="8"/>
  <c r="AE874" i="8"/>
  <c r="F905" i="8"/>
  <c r="G936" i="8"/>
  <c r="I988" i="8"/>
  <c r="AH878" i="8"/>
  <c r="AG878" i="8"/>
  <c r="AE878" i="8"/>
  <c r="F881" i="8"/>
  <c r="AS878" i="8"/>
  <c r="AD878" i="8"/>
  <c r="AH874" i="8"/>
  <c r="G880" i="8"/>
  <c r="J962" i="8"/>
  <c r="N809" i="8"/>
  <c r="I985" i="8"/>
  <c r="G933" i="8"/>
  <c r="G881" i="8"/>
  <c r="F910" i="8"/>
  <c r="AH879" i="8"/>
  <c r="AG879" i="8"/>
  <c r="AF879" i="8"/>
  <c r="AE879" i="8"/>
  <c r="AS879" i="8"/>
  <c r="AD879" i="8"/>
  <c r="AJ879" i="8" s="1"/>
  <c r="F913" i="8"/>
  <c r="AS882" i="8"/>
  <c r="AF882" i="8"/>
  <c r="AE882" i="8"/>
  <c r="AD882" i="8"/>
  <c r="AH882" i="8"/>
  <c r="AG882" i="8"/>
  <c r="F882" i="8"/>
  <c r="F885" i="8"/>
  <c r="I992" i="8"/>
  <c r="G940" i="8"/>
  <c r="G967" i="8" s="1"/>
  <c r="O968" i="8"/>
  <c r="AD1006" i="8"/>
  <c r="AD985" i="8"/>
  <c r="AD988" i="8"/>
  <c r="AD986" i="8"/>
  <c r="AD1005" i="8"/>
  <c r="AD987" i="8"/>
  <c r="AD983" i="8"/>
  <c r="AD984" i="8"/>
  <c r="G882" i="8"/>
  <c r="AG880" i="8"/>
  <c r="AS880" i="8"/>
  <c r="AF880" i="8"/>
  <c r="F883" i="8"/>
  <c r="F911" i="8"/>
  <c r="AH880" i="8"/>
  <c r="F912" i="8"/>
  <c r="AE881" i="8"/>
  <c r="F884" i="8"/>
  <c r="AS881" i="8"/>
  <c r="AD881" i="8"/>
  <c r="I993" i="8"/>
  <c r="G941" i="8"/>
  <c r="G885" i="8"/>
  <c r="H989" i="8"/>
  <c r="AH944" i="8"/>
  <c r="AH909" i="8"/>
  <c r="G910" i="8"/>
  <c r="F904" i="8"/>
  <c r="AH873" i="8"/>
  <c r="AF873" i="8"/>
  <c r="G883" i="8"/>
  <c r="G911" i="8"/>
  <c r="G884" i="8"/>
  <c r="AS874" i="8"/>
  <c r="G877" i="8"/>
  <c r="AF878" i="8"/>
  <c r="G909" i="8"/>
  <c r="AD844" i="8"/>
  <c r="AD850" i="8" s="1"/>
  <c r="AD846" i="8"/>
  <c r="G904" i="8"/>
  <c r="G876" i="8"/>
  <c r="AS873" i="8"/>
  <c r="AD880" i="8"/>
  <c r="AJ880" i="8" s="1"/>
  <c r="AF881" i="8"/>
  <c r="J961" i="8"/>
  <c r="O964" i="8"/>
  <c r="F878" i="8"/>
  <c r="AG875" i="8"/>
  <c r="AS875" i="8"/>
  <c r="AF875" i="8"/>
  <c r="AJ875" i="8" s="1"/>
  <c r="AH875" i="8"/>
  <c r="AE880" i="8"/>
  <c r="AG881" i="8"/>
  <c r="M958" i="8"/>
  <c r="O966" i="8"/>
  <c r="O959" i="8"/>
  <c r="J964" i="8"/>
  <c r="J969" i="8"/>
  <c r="M962" i="8"/>
  <c r="O935" i="8"/>
  <c r="O962" i="8" s="1"/>
  <c r="J967" i="8"/>
  <c r="J960" i="8"/>
  <c r="O961" i="8"/>
  <c r="J965" i="8"/>
  <c r="M944" i="8"/>
  <c r="O944" i="8" s="1"/>
  <c r="J959" i="8"/>
  <c r="O967" i="8"/>
  <c r="M967" i="8"/>
  <c r="M969" i="8"/>
  <c r="J958" i="8"/>
  <c r="O965" i="8"/>
  <c r="J968" i="8"/>
  <c r="AW986" i="8"/>
  <c r="O931" i="8"/>
  <c r="O958" i="8" s="1"/>
  <c r="J966" i="8"/>
  <c r="M961" i="8"/>
  <c r="O963" i="8"/>
  <c r="AW985" i="8"/>
  <c r="AW990" i="8"/>
  <c r="F1019" i="8"/>
  <c r="B992" i="8" s="1"/>
  <c r="L1019" i="8"/>
  <c r="AW983" i="8"/>
  <c r="AW1007" i="8" s="1"/>
  <c r="AW988" i="8"/>
  <c r="AW1006" i="8"/>
  <c r="AW1004" i="8"/>
  <c r="AW999" i="8"/>
  <c r="AW997" i="8"/>
  <c r="AW995" i="8"/>
  <c r="AW1002" i="8"/>
  <c r="AW991" i="8"/>
  <c r="AW989" i="8"/>
  <c r="AW1000" i="8"/>
  <c r="AW992" i="8"/>
  <c r="AW993" i="8"/>
  <c r="AW1005" i="8"/>
  <c r="AW998" i="8"/>
  <c r="AW996" i="8"/>
  <c r="AW994" i="8"/>
  <c r="AW1003" i="8"/>
  <c r="AW1001" i="8"/>
  <c r="AD1004" i="8"/>
  <c r="AD999" i="8"/>
  <c r="AD997" i="8"/>
  <c r="AD995" i="8"/>
  <c r="AD990" i="8"/>
  <c r="AD1002" i="8"/>
  <c r="AD991" i="8"/>
  <c r="AD989" i="8"/>
  <c r="AD1000" i="8"/>
  <c r="AD993" i="8"/>
  <c r="AD1003" i="8"/>
  <c r="AD1001" i="8"/>
  <c r="F1013" i="8"/>
  <c r="B986" i="8" s="1"/>
  <c r="L1013" i="8"/>
  <c r="R1064" i="8"/>
  <c r="AD994" i="8"/>
  <c r="G1010" i="8"/>
  <c r="C983" i="8" s="1"/>
  <c r="L1010" i="8"/>
  <c r="I1073" i="8"/>
  <c r="AW987" i="8"/>
  <c r="G1015" i="8"/>
  <c r="C988" i="8" s="1"/>
  <c r="L1015" i="8"/>
  <c r="L1012" i="8"/>
  <c r="G1017" i="8"/>
  <c r="C990" i="8" s="1"/>
  <c r="L1018" i="8"/>
  <c r="G1011" i="8"/>
  <c r="C984" i="8" s="1"/>
  <c r="F1014" i="8"/>
  <c r="B987" i="8" s="1"/>
  <c r="M1011" i="8"/>
  <c r="M1018" i="8"/>
  <c r="M1020" i="8"/>
  <c r="M1016" i="8"/>
  <c r="M1010" i="8"/>
  <c r="M1014" i="8"/>
  <c r="M1017" i="8"/>
  <c r="M1012" i="8"/>
  <c r="M1021" i="8"/>
  <c r="M1015" i="8"/>
  <c r="M1013" i="8"/>
  <c r="M1019" i="8"/>
  <c r="B1020" i="8" l="1"/>
  <c r="Q1020" i="8" s="1"/>
  <c r="B1021" i="8"/>
  <c r="Q1021" i="8" s="1"/>
  <c r="B1018" i="8"/>
  <c r="Q1018" i="8" s="1"/>
  <c r="B1015" i="8"/>
  <c r="Q1015" i="8" s="1"/>
  <c r="B1013" i="8"/>
  <c r="Q1013" i="8" s="1"/>
  <c r="B1014" i="8"/>
  <c r="Q1014" i="8" s="1"/>
  <c r="B1012" i="8"/>
  <c r="Q1012" i="8" s="1"/>
  <c r="B1017" i="8"/>
  <c r="Q1017" i="8" s="1"/>
  <c r="B1016" i="8"/>
  <c r="Q1016" i="8" s="1"/>
  <c r="B1011" i="8"/>
  <c r="Q1011" i="8" s="1"/>
  <c r="B1019" i="8"/>
  <c r="Q1019" i="8" s="1"/>
  <c r="B1010" i="8"/>
  <c r="Q1010" i="8" s="1"/>
  <c r="H438" i="8"/>
  <c r="K291" i="8"/>
  <c r="K438" i="8"/>
  <c r="I432" i="8"/>
  <c r="F437" i="8"/>
  <c r="D438" i="8"/>
  <c r="G960" i="8"/>
  <c r="AK839" i="8"/>
  <c r="C769" i="8"/>
  <c r="C768" i="8"/>
  <c r="N827" i="8"/>
  <c r="Q827" i="8" s="1"/>
  <c r="Q796" i="8"/>
  <c r="E825" i="8"/>
  <c r="L438" i="8"/>
  <c r="D63" i="8"/>
  <c r="S332" i="8"/>
  <c r="J63" i="8"/>
  <c r="M62" i="8"/>
  <c r="Q809" i="8"/>
  <c r="N831" i="8"/>
  <c r="Q831" i="8" s="1"/>
  <c r="AF885" i="8"/>
  <c r="J527" i="8"/>
  <c r="M524" i="8"/>
  <c r="Q481" i="8"/>
  <c r="N484" i="8"/>
  <c r="AO841" i="8"/>
  <c r="AF841" i="8"/>
  <c r="O720" i="8"/>
  <c r="O721" i="8"/>
  <c r="J582" i="8"/>
  <c r="M579" i="8"/>
  <c r="Q715" i="8"/>
  <c r="R805" i="8"/>
  <c r="M407" i="8"/>
  <c r="N582" i="8"/>
  <c r="Q579" i="8"/>
  <c r="P485" i="8"/>
  <c r="P720" i="8"/>
  <c r="P721" i="8"/>
  <c r="N800" i="8"/>
  <c r="K825" i="8"/>
  <c r="K833" i="8" s="1"/>
  <c r="K13" i="8" s="1"/>
  <c r="K810" i="8"/>
  <c r="C432" i="8"/>
  <c r="C437" i="8" s="1"/>
  <c r="J432" i="8"/>
  <c r="I200" i="8"/>
  <c r="F282" i="8"/>
  <c r="B829" i="8"/>
  <c r="E829" i="8" s="1"/>
  <c r="E800" i="8"/>
  <c r="L282" i="8"/>
  <c r="L290" i="8" s="1"/>
  <c r="B62" i="8"/>
  <c r="E59" i="8"/>
  <c r="B628" i="8"/>
  <c r="E625" i="8"/>
  <c r="B767" i="8"/>
  <c r="E764" i="8"/>
  <c r="R764" i="8" s="1"/>
  <c r="F628" i="8"/>
  <c r="I625" i="8"/>
  <c r="B485" i="8"/>
  <c r="E484" i="8"/>
  <c r="N791" i="8"/>
  <c r="Q785" i="8"/>
  <c r="P854" i="8"/>
  <c r="L722" i="8"/>
  <c r="K528" i="8"/>
  <c r="F791" i="8"/>
  <c r="I785" i="8"/>
  <c r="I984" i="8"/>
  <c r="G932" i="8"/>
  <c r="I991" i="8"/>
  <c r="G939" i="8"/>
  <c r="G966" i="8" s="1"/>
  <c r="H992" i="8"/>
  <c r="AH947" i="8"/>
  <c r="AH912" i="8"/>
  <c r="AJ882" i="8"/>
  <c r="AS885" i="8"/>
  <c r="B527" i="8"/>
  <c r="E524" i="8"/>
  <c r="I481" i="8"/>
  <c r="F484" i="8"/>
  <c r="Q808" i="8"/>
  <c r="F719" i="8"/>
  <c r="I715" i="8"/>
  <c r="R715" i="8" s="1"/>
  <c r="N720" i="8"/>
  <c r="N721" i="8"/>
  <c r="Q719" i="8"/>
  <c r="R808" i="8"/>
  <c r="J829" i="8"/>
  <c r="M829" i="8" s="1"/>
  <c r="M800" i="8"/>
  <c r="G583" i="8"/>
  <c r="C676" i="8"/>
  <c r="G720" i="8"/>
  <c r="G721" i="8"/>
  <c r="L485" i="8"/>
  <c r="Q854" i="8"/>
  <c r="L770" i="8"/>
  <c r="AO848" i="8"/>
  <c r="AF848" i="8"/>
  <c r="H994" i="8"/>
  <c r="AH914" i="8"/>
  <c r="AH949" i="8"/>
  <c r="O438" i="8"/>
  <c r="Q59" i="8"/>
  <c r="N62" i="8"/>
  <c r="M125" i="8"/>
  <c r="J128" i="8"/>
  <c r="D810" i="8"/>
  <c r="F129" i="8"/>
  <c r="I128" i="8"/>
  <c r="E128" i="8"/>
  <c r="B129" i="8"/>
  <c r="G676" i="8"/>
  <c r="D291" i="8"/>
  <c r="AO846" i="8"/>
  <c r="AF846" i="8"/>
  <c r="AD1007" i="8"/>
  <c r="I983" i="8"/>
  <c r="G916" i="8"/>
  <c r="G931" i="8"/>
  <c r="AG885" i="8"/>
  <c r="AO842" i="8"/>
  <c r="AF842" i="8"/>
  <c r="H987" i="8"/>
  <c r="AH907" i="8"/>
  <c r="AH942" i="8"/>
  <c r="F527" i="8"/>
  <c r="I524" i="8"/>
  <c r="E796" i="8"/>
  <c r="M764" i="8"/>
  <c r="P876" i="8"/>
  <c r="P904" i="8"/>
  <c r="F827" i="8"/>
  <c r="I827" i="8" s="1"/>
  <c r="I796" i="8"/>
  <c r="F582" i="8"/>
  <c r="I579" i="8"/>
  <c r="I59" i="8"/>
  <c r="F62" i="8"/>
  <c r="F767" i="8"/>
  <c r="I764" i="8"/>
  <c r="D833" i="8"/>
  <c r="D13" i="8" s="1"/>
  <c r="M262" i="8"/>
  <c r="R262" i="8" s="1"/>
  <c r="R125" i="8"/>
  <c r="I994" i="8"/>
  <c r="G942" i="8"/>
  <c r="J485" i="8"/>
  <c r="M484" i="8"/>
  <c r="C291" i="8"/>
  <c r="F800" i="8"/>
  <c r="I798" i="8"/>
  <c r="R798" i="8" s="1"/>
  <c r="E675" i="8"/>
  <c r="B676" i="8"/>
  <c r="B437" i="8"/>
  <c r="E432" i="8"/>
  <c r="AF844" i="8"/>
  <c r="AO844" i="8"/>
  <c r="G968" i="8"/>
  <c r="AK847" i="8"/>
  <c r="H991" i="8"/>
  <c r="AH911" i="8"/>
  <c r="AH946" i="8"/>
  <c r="G963" i="8"/>
  <c r="AK842" i="8"/>
  <c r="AH885" i="8"/>
  <c r="B831" i="8"/>
  <c r="E831" i="8" s="1"/>
  <c r="E809" i="8"/>
  <c r="R809" i="8" s="1"/>
  <c r="AJ876" i="8"/>
  <c r="E827" i="8"/>
  <c r="I672" i="8"/>
  <c r="R672" i="8" s="1"/>
  <c r="F675" i="8"/>
  <c r="J721" i="8"/>
  <c r="M719" i="8"/>
  <c r="J720" i="8"/>
  <c r="O583" i="8"/>
  <c r="J768" i="8"/>
  <c r="J769" i="8"/>
  <c r="M767" i="8"/>
  <c r="R370" i="8"/>
  <c r="M200" i="8"/>
  <c r="J282" i="8"/>
  <c r="Q848" i="8"/>
  <c r="D770" i="8"/>
  <c r="Q907" i="8"/>
  <c r="Q879" i="8"/>
  <c r="AJ883" i="8"/>
  <c r="O291" i="8"/>
  <c r="L810" i="8"/>
  <c r="R27" i="8"/>
  <c r="N290" i="8"/>
  <c r="Q282" i="8"/>
  <c r="N432" i="8"/>
  <c r="AD885" i="8"/>
  <c r="AJ872" i="8"/>
  <c r="B582" i="8"/>
  <c r="E579" i="8"/>
  <c r="R579" i="8" s="1"/>
  <c r="Q128" i="8"/>
  <c r="N129" i="8"/>
  <c r="D720" i="8"/>
  <c r="D721" i="8"/>
  <c r="I989" i="8"/>
  <c r="G937" i="8"/>
  <c r="H990" i="8"/>
  <c r="AH945" i="8"/>
  <c r="AH910" i="8"/>
  <c r="AJ878" i="8"/>
  <c r="H985" i="8"/>
  <c r="AH905" i="8"/>
  <c r="AH940" i="8"/>
  <c r="L687" i="8"/>
  <c r="N628" i="8"/>
  <c r="Q625" i="8"/>
  <c r="J827" i="8"/>
  <c r="M827" i="8" s="1"/>
  <c r="M796" i="8"/>
  <c r="K485" i="8"/>
  <c r="D528" i="8"/>
  <c r="I809" i="8"/>
  <c r="F831" i="8"/>
  <c r="I831" i="8" s="1"/>
  <c r="R660" i="8"/>
  <c r="B282" i="8"/>
  <c r="E200" i="8"/>
  <c r="N528" i="8"/>
  <c r="Q527" i="8"/>
  <c r="J791" i="8"/>
  <c r="M785" i="8"/>
  <c r="R785" i="8" s="1"/>
  <c r="I407" i="8"/>
  <c r="R407" i="8" s="1"/>
  <c r="R315" i="8"/>
  <c r="P291" i="8"/>
  <c r="AM360" i="8"/>
  <c r="G291" i="8"/>
  <c r="L833" i="8"/>
  <c r="L13" i="8" s="1"/>
  <c r="N767" i="8"/>
  <c r="Q764" i="8"/>
  <c r="Q200" i="8"/>
  <c r="G833" i="8"/>
  <c r="G13" i="8" s="1"/>
  <c r="I990" i="8"/>
  <c r="G938" i="8"/>
  <c r="I986" i="8"/>
  <c r="G934" i="8"/>
  <c r="H988" i="8"/>
  <c r="AH943" i="8"/>
  <c r="AH908" i="8"/>
  <c r="G629" i="8"/>
  <c r="P810" i="8"/>
  <c r="P825" i="8"/>
  <c r="P833" i="8" s="1"/>
  <c r="P13" i="8" s="1"/>
  <c r="B721" i="8"/>
  <c r="E719" i="8"/>
  <c r="B720" i="8"/>
  <c r="P853" i="8"/>
  <c r="K722" i="8"/>
  <c r="H810" i="8"/>
  <c r="H825" i="8"/>
  <c r="H833" i="8" s="1"/>
  <c r="H13" i="8" s="1"/>
  <c r="AH939" i="8"/>
  <c r="H984" i="8"/>
  <c r="AH904" i="8"/>
  <c r="AJ881" i="8"/>
  <c r="H993" i="8"/>
  <c r="AH913" i="8"/>
  <c r="AH948" i="8"/>
  <c r="H983" i="8"/>
  <c r="AH938" i="8"/>
  <c r="F916" i="8"/>
  <c r="AH903" i="8"/>
  <c r="R647" i="8"/>
  <c r="J628" i="8"/>
  <c r="M625" i="8"/>
  <c r="I987" i="8"/>
  <c r="G935" i="8"/>
  <c r="AJ877" i="8"/>
  <c r="K768" i="8"/>
  <c r="K769" i="8"/>
  <c r="H768" i="8"/>
  <c r="H769" i="8"/>
  <c r="P768" i="8"/>
  <c r="P769" i="8"/>
  <c r="M481" i="8"/>
  <c r="R481" i="8" s="1"/>
  <c r="R552" i="8"/>
  <c r="P851" i="8"/>
  <c r="H722" i="8"/>
  <c r="B810" i="8"/>
  <c r="E810" i="8" s="1"/>
  <c r="Q856" i="8"/>
  <c r="O770" i="8"/>
  <c r="H291" i="8"/>
  <c r="C485" i="8"/>
  <c r="O833" i="8"/>
  <c r="O13" i="8" s="1"/>
  <c r="R150" i="8"/>
  <c r="S182" i="8" s="1"/>
  <c r="G810" i="8"/>
  <c r="T801" i="8" l="1"/>
  <c r="N291" i="8"/>
  <c r="Q290" i="8"/>
  <c r="P848" i="8"/>
  <c r="D722" i="8"/>
  <c r="D687" i="8"/>
  <c r="E582" i="8"/>
  <c r="B583" i="8"/>
  <c r="Q905" i="8"/>
  <c r="Q877" i="8"/>
  <c r="B438" i="8"/>
  <c r="E437" i="8"/>
  <c r="F583" i="8"/>
  <c r="I582" i="8"/>
  <c r="F528" i="8"/>
  <c r="I527" i="8"/>
  <c r="G944" i="8"/>
  <c r="G958" i="8"/>
  <c r="AK837" i="8"/>
  <c r="P855" i="8"/>
  <c r="Q721" i="8"/>
  <c r="N722" i="8"/>
  <c r="N687" i="8"/>
  <c r="E527" i="8"/>
  <c r="B528" i="8"/>
  <c r="B769" i="8"/>
  <c r="E767" i="8"/>
  <c r="B768" i="8"/>
  <c r="N829" i="8"/>
  <c r="Q829" i="8" s="1"/>
  <c r="Q800" i="8"/>
  <c r="Q484" i="8"/>
  <c r="N485" i="8"/>
  <c r="P883" i="8"/>
  <c r="P911" i="8"/>
  <c r="AH916" i="8"/>
  <c r="P880" i="8"/>
  <c r="P908" i="8"/>
  <c r="G965" i="8"/>
  <c r="AK844" i="8"/>
  <c r="J825" i="8"/>
  <c r="J810" i="8"/>
  <c r="M810" i="8" s="1"/>
  <c r="M791" i="8"/>
  <c r="N629" i="8"/>
  <c r="Q628" i="8"/>
  <c r="AJ885" i="8"/>
  <c r="J290" i="8"/>
  <c r="M282" i="8"/>
  <c r="R831" i="8"/>
  <c r="Q62" i="8"/>
  <c r="N63" i="8"/>
  <c r="F810" i="8"/>
  <c r="I810" i="8" s="1"/>
  <c r="R810" i="8" s="1"/>
  <c r="F825" i="8"/>
  <c r="I791" i="8"/>
  <c r="N810" i="8"/>
  <c r="Q810" i="8" s="1"/>
  <c r="N825" i="8"/>
  <c r="Q791" i="8"/>
  <c r="P857" i="8"/>
  <c r="P722" i="8"/>
  <c r="P687" i="8"/>
  <c r="I437" i="8"/>
  <c r="F438" i="8"/>
  <c r="Q767" i="8"/>
  <c r="N768" i="8"/>
  <c r="N769" i="8"/>
  <c r="Q853" i="8"/>
  <c r="K770" i="8"/>
  <c r="AH951" i="8"/>
  <c r="K687" i="8"/>
  <c r="O854" i="8"/>
  <c r="L688" i="8"/>
  <c r="L677" i="8"/>
  <c r="G959" i="8"/>
  <c r="AK838" i="8"/>
  <c r="R625" i="8"/>
  <c r="F290" i="8"/>
  <c r="I282" i="8"/>
  <c r="G961" i="8"/>
  <c r="AK840" i="8"/>
  <c r="G962" i="8"/>
  <c r="AK841" i="8"/>
  <c r="G964" i="8"/>
  <c r="AK843" i="8"/>
  <c r="P852" i="8"/>
  <c r="J722" i="8"/>
  <c r="M721" i="8"/>
  <c r="J687" i="8"/>
  <c r="G969" i="8"/>
  <c r="AK848" i="8"/>
  <c r="R984" i="8"/>
  <c r="AQ904" i="8"/>
  <c r="AQ939" i="8"/>
  <c r="Q911" i="8"/>
  <c r="Q883" i="8"/>
  <c r="F720" i="8"/>
  <c r="F721" i="8"/>
  <c r="I719" i="8"/>
  <c r="E628" i="8"/>
  <c r="B629" i="8"/>
  <c r="M582" i="8"/>
  <c r="J583" i="8"/>
  <c r="M527" i="8"/>
  <c r="J528" i="8"/>
  <c r="C770" i="8"/>
  <c r="Q847" i="8"/>
  <c r="C687" i="8"/>
  <c r="Q857" i="8"/>
  <c r="P770" i="8"/>
  <c r="P910" i="8"/>
  <c r="P882" i="8"/>
  <c r="I675" i="8"/>
  <c r="R675" i="8" s="1"/>
  <c r="F676" i="8"/>
  <c r="I767" i="8"/>
  <c r="F768" i="8"/>
  <c r="F769" i="8"/>
  <c r="J437" i="8"/>
  <c r="M432" i="8"/>
  <c r="R432" i="8" s="1"/>
  <c r="P856" i="8"/>
  <c r="O722" i="8"/>
  <c r="O687" i="8"/>
  <c r="E833" i="8"/>
  <c r="P846" i="8"/>
  <c r="E721" i="8"/>
  <c r="B687" i="8"/>
  <c r="B722" i="8"/>
  <c r="R524" i="8"/>
  <c r="R200" i="8"/>
  <c r="AH1000" i="8"/>
  <c r="AH993" i="8"/>
  <c r="AH1005" i="8"/>
  <c r="AH998" i="8"/>
  <c r="AH996" i="8"/>
  <c r="AH994" i="8"/>
  <c r="AH1003" i="8"/>
  <c r="AH1001" i="8"/>
  <c r="AH1002" i="8"/>
  <c r="AH991" i="8"/>
  <c r="AH989" i="8"/>
  <c r="AH997" i="8"/>
  <c r="AH983" i="8"/>
  <c r="AH1004" i="8"/>
  <c r="AH985" i="8"/>
  <c r="AH992" i="8"/>
  <c r="AH988" i="8"/>
  <c r="AH987" i="8"/>
  <c r="AH995" i="8"/>
  <c r="AH990" i="8"/>
  <c r="AH984" i="8"/>
  <c r="AH1006" i="8"/>
  <c r="AH986" i="8"/>
  <c r="AH999" i="8"/>
  <c r="Q432" i="8"/>
  <c r="N437" i="8"/>
  <c r="Q852" i="8"/>
  <c r="M769" i="8"/>
  <c r="J770" i="8"/>
  <c r="F829" i="8"/>
  <c r="I829" i="8" s="1"/>
  <c r="R829" i="8" s="1"/>
  <c r="I800" i="8"/>
  <c r="R800" i="8" s="1"/>
  <c r="I62" i="8"/>
  <c r="F63" i="8"/>
  <c r="I484" i="8"/>
  <c r="R484" i="8" s="1"/>
  <c r="F485" i="8"/>
  <c r="R59" i="8"/>
  <c r="C438" i="8"/>
  <c r="AF850" i="8"/>
  <c r="B833" i="8"/>
  <c r="B13" i="8" s="1"/>
  <c r="E13" i="8" s="1"/>
  <c r="J129" i="8"/>
  <c r="M128" i="8"/>
  <c r="R128" i="8" s="1"/>
  <c r="L291" i="8"/>
  <c r="Q913" i="8"/>
  <c r="Q885" i="8"/>
  <c r="Q851" i="8"/>
  <c r="H770" i="8"/>
  <c r="H687" i="8"/>
  <c r="M628" i="8"/>
  <c r="J629" i="8"/>
  <c r="R719" i="8"/>
  <c r="E282" i="8"/>
  <c r="R282" i="8" s="1"/>
  <c r="B290" i="8"/>
  <c r="S987" i="8"/>
  <c r="AR942" i="8"/>
  <c r="AR907" i="8"/>
  <c r="R827" i="8"/>
  <c r="Q1022" i="8"/>
  <c r="R796" i="8"/>
  <c r="P850" i="8"/>
  <c r="G722" i="8"/>
  <c r="G687" i="8"/>
  <c r="F629" i="8"/>
  <c r="I628" i="8"/>
  <c r="B63" i="8"/>
  <c r="E62" i="8"/>
  <c r="R62" i="8" s="1"/>
  <c r="N583" i="8"/>
  <c r="Q582" i="8"/>
  <c r="AH1007" i="8" l="1"/>
  <c r="R991" i="8"/>
  <c r="AQ946" i="8"/>
  <c r="AQ911" i="8"/>
  <c r="Q908" i="8"/>
  <c r="Q880" i="8"/>
  <c r="J438" i="8"/>
  <c r="M437" i="8"/>
  <c r="O883" i="8"/>
  <c r="O911" i="8"/>
  <c r="R527" i="8"/>
  <c r="R437" i="8"/>
  <c r="O848" i="8"/>
  <c r="D688" i="8"/>
  <c r="D677" i="8"/>
  <c r="R990" i="8"/>
  <c r="AQ945" i="8"/>
  <c r="AQ910" i="8"/>
  <c r="O853" i="8"/>
  <c r="K688" i="8"/>
  <c r="K677" i="8"/>
  <c r="N438" i="8"/>
  <c r="Q437" i="8"/>
  <c r="Q849" i="8"/>
  <c r="I769" i="8"/>
  <c r="F770" i="8"/>
  <c r="Q825" i="8"/>
  <c r="Q833" i="8" s="1"/>
  <c r="N833" i="8"/>
  <c r="N13" i="8" s="1"/>
  <c r="Q13" i="8" s="1"/>
  <c r="P877" i="8"/>
  <c r="P905" i="8"/>
  <c r="Q914" i="8"/>
  <c r="Q886" i="8"/>
  <c r="J833" i="8"/>
  <c r="J13" i="8" s="1"/>
  <c r="M13" i="8" s="1"/>
  <c r="M825" i="8"/>
  <c r="M833" i="8" s="1"/>
  <c r="O856" i="8"/>
  <c r="O688" i="8"/>
  <c r="O677" i="8"/>
  <c r="O847" i="8"/>
  <c r="C688" i="8"/>
  <c r="C677" i="8"/>
  <c r="S991" i="8"/>
  <c r="AR911" i="8"/>
  <c r="AR946" i="8"/>
  <c r="O852" i="8"/>
  <c r="J688" i="8"/>
  <c r="M687" i="8"/>
  <c r="J677" i="8"/>
  <c r="Q910" i="8"/>
  <c r="Q882" i="8"/>
  <c r="R791" i="8"/>
  <c r="T791" i="8" s="1"/>
  <c r="M290" i="8"/>
  <c r="J291" i="8"/>
  <c r="R767" i="8"/>
  <c r="P912" i="8"/>
  <c r="P884" i="8"/>
  <c r="S985" i="8"/>
  <c r="AR940" i="8"/>
  <c r="AR905" i="8"/>
  <c r="P903" i="8"/>
  <c r="P875" i="8"/>
  <c r="I721" i="8"/>
  <c r="R721" i="8" s="1"/>
  <c r="F722" i="8"/>
  <c r="P849" i="8"/>
  <c r="F687" i="8"/>
  <c r="O851" i="8"/>
  <c r="H688" i="8"/>
  <c r="H677" i="8"/>
  <c r="Q904" i="8"/>
  <c r="Q876" i="8"/>
  <c r="O857" i="8"/>
  <c r="P688" i="8"/>
  <c r="P677" i="8"/>
  <c r="I825" i="8"/>
  <c r="F833" i="8"/>
  <c r="F13" i="8" s="1"/>
  <c r="I13" i="8" s="1"/>
  <c r="R13" i="8" s="1"/>
  <c r="Q846" i="8"/>
  <c r="E769" i="8"/>
  <c r="B770" i="8"/>
  <c r="S993" i="8"/>
  <c r="AR913" i="8"/>
  <c r="AR948" i="8"/>
  <c r="Q881" i="8"/>
  <c r="Q909" i="8"/>
  <c r="F291" i="8"/>
  <c r="I290" i="8"/>
  <c r="O855" i="8"/>
  <c r="Q687" i="8"/>
  <c r="N688" i="8"/>
  <c r="N677" i="8"/>
  <c r="O850" i="8"/>
  <c r="G688" i="8"/>
  <c r="G677" i="8"/>
  <c r="P907" i="8"/>
  <c r="P879" i="8"/>
  <c r="B291" i="8"/>
  <c r="E290" i="8"/>
  <c r="R290" i="8" s="1"/>
  <c r="P913" i="8"/>
  <c r="P885" i="8"/>
  <c r="N854" i="8"/>
  <c r="L678" i="8"/>
  <c r="L630" i="8"/>
  <c r="Q855" i="8"/>
  <c r="N770" i="8"/>
  <c r="Q769" i="8"/>
  <c r="R988" i="8"/>
  <c r="AQ943" i="8"/>
  <c r="AQ908" i="8"/>
  <c r="O846" i="8"/>
  <c r="E687" i="8"/>
  <c r="B688" i="8"/>
  <c r="B677" i="8"/>
  <c r="R628" i="8"/>
  <c r="P881" i="8"/>
  <c r="P909" i="8"/>
  <c r="P886" i="8"/>
  <c r="P914" i="8"/>
  <c r="AK850" i="8"/>
  <c r="R582" i="8"/>
  <c r="T13" i="8" l="1"/>
  <c r="U13" i="8"/>
  <c r="R989" i="8"/>
  <c r="AQ944" i="8"/>
  <c r="AQ909" i="8"/>
  <c r="R993" i="8"/>
  <c r="AQ948" i="8"/>
  <c r="AQ913" i="8"/>
  <c r="O907" i="8"/>
  <c r="O879" i="8"/>
  <c r="S989" i="8"/>
  <c r="AR944" i="8"/>
  <c r="AR909" i="8"/>
  <c r="R983" i="8"/>
  <c r="AQ938" i="8"/>
  <c r="AQ903" i="8"/>
  <c r="O881" i="8"/>
  <c r="O909" i="8"/>
  <c r="N853" i="8"/>
  <c r="K678" i="8"/>
  <c r="K630" i="8"/>
  <c r="O877" i="8"/>
  <c r="O905" i="8"/>
  <c r="E677" i="8"/>
  <c r="B678" i="8"/>
  <c r="N846" i="8"/>
  <c r="B630" i="8"/>
  <c r="N857" i="8"/>
  <c r="P678" i="8"/>
  <c r="P630" i="8"/>
  <c r="O849" i="8"/>
  <c r="I687" i="8"/>
  <c r="F688" i="8"/>
  <c r="F677" i="8"/>
  <c r="O910" i="8"/>
  <c r="O882" i="8"/>
  <c r="Q912" i="8"/>
  <c r="Q884" i="8"/>
  <c r="P878" i="8"/>
  <c r="P906" i="8"/>
  <c r="AR1005" i="8"/>
  <c r="AR998" i="8"/>
  <c r="AR996" i="8"/>
  <c r="AR994" i="8"/>
  <c r="AR1003" i="8"/>
  <c r="AR1001" i="8"/>
  <c r="AR1006" i="8"/>
  <c r="AR1004" i="8"/>
  <c r="AR999" i="8"/>
  <c r="AR997" i="8"/>
  <c r="AR995" i="8"/>
  <c r="AR1002" i="8"/>
  <c r="AR991" i="8"/>
  <c r="AR989" i="8"/>
  <c r="AR993" i="8"/>
  <c r="AR983" i="8"/>
  <c r="AR984" i="8"/>
  <c r="AR992" i="8"/>
  <c r="AR985" i="8"/>
  <c r="AR987" i="8"/>
  <c r="AR990" i="8"/>
  <c r="AR986" i="8"/>
  <c r="AR988" i="8"/>
  <c r="AR1000" i="8"/>
  <c r="Q991" i="8"/>
  <c r="AP946" i="8"/>
  <c r="AP911" i="8"/>
  <c r="S988" i="8"/>
  <c r="AR943" i="8"/>
  <c r="AR908" i="8"/>
  <c r="N855" i="8"/>
  <c r="N678" i="8"/>
  <c r="Q677" i="8"/>
  <c r="N630" i="8"/>
  <c r="O913" i="8"/>
  <c r="O885" i="8"/>
  <c r="R687" i="8"/>
  <c r="M854" i="8"/>
  <c r="L631" i="8"/>
  <c r="L594" i="8"/>
  <c r="O884" i="8"/>
  <c r="O912" i="8"/>
  <c r="O914" i="8"/>
  <c r="O886" i="8"/>
  <c r="S990" i="8"/>
  <c r="AR910" i="8"/>
  <c r="AR945" i="8"/>
  <c r="N847" i="8"/>
  <c r="C678" i="8"/>
  <c r="C630" i="8"/>
  <c r="Q906" i="8"/>
  <c r="Q878" i="8"/>
  <c r="R994" i="8"/>
  <c r="AQ949" i="8"/>
  <c r="AQ914" i="8"/>
  <c r="O903" i="8"/>
  <c r="O859" i="8"/>
  <c r="O875" i="8"/>
  <c r="R987" i="8"/>
  <c r="AQ942" i="8"/>
  <c r="AQ907" i="8"/>
  <c r="R992" i="8"/>
  <c r="AQ947" i="8"/>
  <c r="AQ912" i="8"/>
  <c r="N852" i="8"/>
  <c r="M677" i="8"/>
  <c r="J678" i="8"/>
  <c r="J630" i="8"/>
  <c r="S994" i="8"/>
  <c r="AR949" i="8"/>
  <c r="AR914" i="8"/>
  <c r="O908" i="8"/>
  <c r="O880" i="8"/>
  <c r="N883" i="8"/>
  <c r="N911" i="8"/>
  <c r="G678" i="8"/>
  <c r="N850" i="8"/>
  <c r="G630" i="8"/>
  <c r="R769" i="8"/>
  <c r="S984" i="8"/>
  <c r="AR939" i="8"/>
  <c r="AR904" i="8"/>
  <c r="P859" i="8"/>
  <c r="O904" i="8"/>
  <c r="O876" i="8"/>
  <c r="R985" i="8"/>
  <c r="AQ940" i="8"/>
  <c r="AQ905" i="8"/>
  <c r="N848" i="8"/>
  <c r="D678" i="8"/>
  <c r="D630" i="8"/>
  <c r="I833" i="8"/>
  <c r="R825" i="8"/>
  <c r="R833" i="8" s="1"/>
  <c r="Q903" i="8"/>
  <c r="Q875" i="8"/>
  <c r="Q859" i="8"/>
  <c r="H678" i="8"/>
  <c r="N851" i="8"/>
  <c r="H630" i="8"/>
  <c r="N856" i="8"/>
  <c r="O678" i="8"/>
  <c r="O630" i="8"/>
  <c r="AR1007" i="8" l="1"/>
  <c r="S983" i="8"/>
  <c r="AR938" i="8"/>
  <c r="AR903" i="8"/>
  <c r="Q916" i="8"/>
  <c r="N884" i="8"/>
  <c r="N912" i="8"/>
  <c r="O906" i="8"/>
  <c r="O878" i="8"/>
  <c r="Q985" i="8"/>
  <c r="AP940" i="8"/>
  <c r="AP905" i="8"/>
  <c r="M857" i="8"/>
  <c r="P631" i="8"/>
  <c r="P594" i="8"/>
  <c r="N907" i="8"/>
  <c r="N879" i="8"/>
  <c r="S992" i="8"/>
  <c r="AR912" i="8"/>
  <c r="AR947" i="8"/>
  <c r="M853" i="8"/>
  <c r="K631" i="8"/>
  <c r="K594" i="8"/>
  <c r="M911" i="8"/>
  <c r="M883" i="8"/>
  <c r="J631" i="8"/>
  <c r="M852" i="8"/>
  <c r="M630" i="8"/>
  <c r="J594" i="8"/>
  <c r="N914" i="8"/>
  <c r="N886" i="8"/>
  <c r="M856" i="8"/>
  <c r="O631" i="8"/>
  <c r="O594" i="8"/>
  <c r="H631" i="8"/>
  <c r="M851" i="8"/>
  <c r="H594" i="8"/>
  <c r="P991" i="8"/>
  <c r="AO946" i="8"/>
  <c r="AO911" i="8"/>
  <c r="S986" i="8"/>
  <c r="AR906" i="8"/>
  <c r="AR941" i="8"/>
  <c r="Q994" i="8"/>
  <c r="AP949" i="8"/>
  <c r="AP914" i="8"/>
  <c r="Q993" i="8"/>
  <c r="AP948" i="8"/>
  <c r="AP913" i="8"/>
  <c r="AP945" i="8"/>
  <c r="Q990" i="8"/>
  <c r="AP910" i="8"/>
  <c r="E630" i="8"/>
  <c r="B631" i="8"/>
  <c r="M846" i="8"/>
  <c r="B594" i="8"/>
  <c r="N910" i="8"/>
  <c r="N882" i="8"/>
  <c r="AQ1005" i="8"/>
  <c r="AQ998" i="8"/>
  <c r="AQ996" i="8"/>
  <c r="AQ994" i="8"/>
  <c r="AQ1003" i="8"/>
  <c r="AQ1001" i="8"/>
  <c r="AQ1006" i="8"/>
  <c r="AQ1004" i="8"/>
  <c r="AQ999" i="8"/>
  <c r="AQ997" i="8"/>
  <c r="AQ995" i="8"/>
  <c r="AQ990" i="8"/>
  <c r="AQ1000" i="8"/>
  <c r="AQ992" i="8"/>
  <c r="AQ988" i="8"/>
  <c r="AQ989" i="8"/>
  <c r="AQ1002" i="8"/>
  <c r="AQ991" i="8"/>
  <c r="AQ983" i="8"/>
  <c r="AQ984" i="8"/>
  <c r="AQ986" i="8"/>
  <c r="AQ993" i="8"/>
  <c r="AQ985" i="8"/>
  <c r="AQ987" i="8"/>
  <c r="Q984" i="8"/>
  <c r="AP939" i="8"/>
  <c r="AP904" i="8"/>
  <c r="M847" i="8"/>
  <c r="C631" i="8"/>
  <c r="C594" i="8"/>
  <c r="Q992" i="8"/>
  <c r="AP947" i="8"/>
  <c r="AP912" i="8"/>
  <c r="M855" i="8"/>
  <c r="Q630" i="8"/>
  <c r="N631" i="8"/>
  <c r="N594" i="8"/>
  <c r="N849" i="8"/>
  <c r="F678" i="8"/>
  <c r="I677" i="8"/>
  <c r="F630" i="8"/>
  <c r="N903" i="8"/>
  <c r="N875" i="8"/>
  <c r="Q989" i="8"/>
  <c r="AP944" i="8"/>
  <c r="AP909" i="8"/>
  <c r="N913" i="8"/>
  <c r="N885" i="8"/>
  <c r="M848" i="8"/>
  <c r="D631" i="8"/>
  <c r="D594" i="8"/>
  <c r="N908" i="8"/>
  <c r="N880" i="8"/>
  <c r="N877" i="8"/>
  <c r="N905" i="8"/>
  <c r="N909" i="8"/>
  <c r="N881" i="8"/>
  <c r="M850" i="8"/>
  <c r="G631" i="8"/>
  <c r="G594" i="8"/>
  <c r="Q988" i="8"/>
  <c r="AP943" i="8"/>
  <c r="AP908" i="8"/>
  <c r="Q983" i="8"/>
  <c r="AP938" i="8"/>
  <c r="AP903" i="8"/>
  <c r="O916" i="8"/>
  <c r="N904" i="8"/>
  <c r="N876" i="8"/>
  <c r="L854" i="8"/>
  <c r="L595" i="8"/>
  <c r="L584" i="8"/>
  <c r="R986" i="8"/>
  <c r="AQ941" i="8"/>
  <c r="AQ951" i="8" s="1"/>
  <c r="AQ906" i="8"/>
  <c r="AQ916" i="8" s="1"/>
  <c r="R677" i="8"/>
  <c r="P916" i="8"/>
  <c r="Q987" i="8"/>
  <c r="AP942" i="8"/>
  <c r="AP907" i="8"/>
  <c r="AQ1007" i="8" l="1"/>
  <c r="P990" i="8"/>
  <c r="AO945" i="8"/>
  <c r="AO910" i="8"/>
  <c r="AP1000" i="8"/>
  <c r="AP993" i="8"/>
  <c r="AP1005" i="8"/>
  <c r="AP998" i="8"/>
  <c r="AP996" i="8"/>
  <c r="AP994" i="8"/>
  <c r="AP1003" i="8"/>
  <c r="AP1001" i="8"/>
  <c r="AP1002" i="8"/>
  <c r="AP991" i="8"/>
  <c r="AP989" i="8"/>
  <c r="AP990" i="8"/>
  <c r="AP988" i="8"/>
  <c r="AP999" i="8"/>
  <c r="AP983" i="8"/>
  <c r="AP995" i="8"/>
  <c r="AP985" i="8"/>
  <c r="AP1006" i="8"/>
  <c r="AP987" i="8"/>
  <c r="AP997" i="8"/>
  <c r="AP984" i="8"/>
  <c r="AP986" i="8"/>
  <c r="AP1004" i="8"/>
  <c r="AP992" i="8"/>
  <c r="P984" i="8"/>
  <c r="AO939" i="8"/>
  <c r="AO904" i="8"/>
  <c r="L850" i="8"/>
  <c r="G595" i="8"/>
  <c r="G584" i="8"/>
  <c r="P988" i="8"/>
  <c r="AO908" i="8"/>
  <c r="AO943" i="8"/>
  <c r="N878" i="8"/>
  <c r="N906" i="8"/>
  <c r="L847" i="8"/>
  <c r="C595" i="8"/>
  <c r="C584" i="8"/>
  <c r="L846" i="8"/>
  <c r="E594" i="8"/>
  <c r="B595" i="8"/>
  <c r="B584" i="8"/>
  <c r="M913" i="8"/>
  <c r="M885" i="8"/>
  <c r="O991" i="8"/>
  <c r="AN946" i="8"/>
  <c r="AN911" i="8"/>
  <c r="P987" i="8"/>
  <c r="AO942" i="8"/>
  <c r="AO907" i="8"/>
  <c r="Q986" i="8"/>
  <c r="AP941" i="8"/>
  <c r="AP951" i="8" s="1"/>
  <c r="AP906" i="8"/>
  <c r="AP916" i="8"/>
  <c r="M907" i="8"/>
  <c r="M879" i="8"/>
  <c r="N859" i="8"/>
  <c r="M904" i="8"/>
  <c r="M876" i="8"/>
  <c r="AO949" i="8"/>
  <c r="AO914" i="8"/>
  <c r="P994" i="8"/>
  <c r="P992" i="8"/>
  <c r="AO947" i="8"/>
  <c r="AO912" i="8"/>
  <c r="L848" i="8"/>
  <c r="D595" i="8"/>
  <c r="D584" i="8"/>
  <c r="L855" i="8"/>
  <c r="Q594" i="8"/>
  <c r="N595" i="8"/>
  <c r="N584" i="8"/>
  <c r="M875" i="8"/>
  <c r="M903" i="8"/>
  <c r="K595" i="8"/>
  <c r="L853" i="8"/>
  <c r="K584" i="8"/>
  <c r="L857" i="8"/>
  <c r="P595" i="8"/>
  <c r="P584" i="8"/>
  <c r="M905" i="8"/>
  <c r="M877" i="8"/>
  <c r="L851" i="8"/>
  <c r="H595" i="8"/>
  <c r="H584" i="8"/>
  <c r="J595" i="8"/>
  <c r="L852" i="8"/>
  <c r="M594" i="8"/>
  <c r="J584" i="8"/>
  <c r="M882" i="8"/>
  <c r="M910" i="8"/>
  <c r="M914" i="8"/>
  <c r="M886" i="8"/>
  <c r="K854" i="8"/>
  <c r="L585" i="8"/>
  <c r="L529" i="8"/>
  <c r="AO944" i="8"/>
  <c r="P989" i="8"/>
  <c r="AO909" i="8"/>
  <c r="P983" i="8"/>
  <c r="AO938" i="8"/>
  <c r="AO903" i="8"/>
  <c r="N916" i="8"/>
  <c r="M912" i="8"/>
  <c r="M884" i="8"/>
  <c r="P985" i="8"/>
  <c r="AO940" i="8"/>
  <c r="AO905" i="8"/>
  <c r="P993" i="8"/>
  <c r="AO948" i="8"/>
  <c r="AO913" i="8"/>
  <c r="M849" i="8"/>
  <c r="I630" i="8"/>
  <c r="R630" i="8" s="1"/>
  <c r="F631" i="8"/>
  <c r="F594" i="8"/>
  <c r="M909" i="8"/>
  <c r="M881" i="8"/>
  <c r="AR916" i="8"/>
  <c r="M880" i="8"/>
  <c r="M908" i="8"/>
  <c r="L911" i="8"/>
  <c r="L883" i="8"/>
  <c r="L856" i="8"/>
  <c r="O595" i="8"/>
  <c r="O584" i="8"/>
  <c r="AR951" i="8"/>
  <c r="AP1007" i="8" l="1"/>
  <c r="O990" i="8"/>
  <c r="AN945" i="8"/>
  <c r="AN910" i="8"/>
  <c r="K847" i="8"/>
  <c r="C585" i="8"/>
  <c r="C529" i="8"/>
  <c r="K850" i="8"/>
  <c r="G585" i="8"/>
  <c r="G529" i="8"/>
  <c r="AO1002" i="8"/>
  <c r="AO1000" i="8"/>
  <c r="AO992" i="8"/>
  <c r="AO988" i="8"/>
  <c r="AO993" i="8"/>
  <c r="AO1005" i="8"/>
  <c r="AO998" i="8"/>
  <c r="AO996" i="8"/>
  <c r="AO994" i="8"/>
  <c r="AO1003" i="8"/>
  <c r="AO1001" i="8"/>
  <c r="AO1006" i="8"/>
  <c r="AO1004" i="8"/>
  <c r="AO999" i="8"/>
  <c r="AO997" i="8"/>
  <c r="AO995" i="8"/>
  <c r="AO990" i="8"/>
  <c r="AO989" i="8"/>
  <c r="AO991" i="8"/>
  <c r="AO984" i="8"/>
  <c r="AO986" i="8"/>
  <c r="AO983" i="8"/>
  <c r="AO985" i="8"/>
  <c r="AO987" i="8"/>
  <c r="L882" i="8"/>
  <c r="L910" i="8"/>
  <c r="L884" i="8"/>
  <c r="L912" i="8"/>
  <c r="K852" i="8"/>
  <c r="J585" i="8"/>
  <c r="M584" i="8"/>
  <c r="J529" i="8"/>
  <c r="L904" i="8"/>
  <c r="L876" i="8"/>
  <c r="L879" i="8"/>
  <c r="L907" i="8"/>
  <c r="O988" i="8"/>
  <c r="AN943" i="8"/>
  <c r="AN908" i="8"/>
  <c r="M878" i="8"/>
  <c r="M906" i="8"/>
  <c r="O992" i="8"/>
  <c r="AN947" i="8"/>
  <c r="AN912" i="8"/>
  <c r="L530" i="8"/>
  <c r="J854" i="8"/>
  <c r="L486" i="8"/>
  <c r="O985" i="8"/>
  <c r="AN905" i="8"/>
  <c r="AN940" i="8"/>
  <c r="M859" i="8"/>
  <c r="O993" i="8"/>
  <c r="AN948" i="8"/>
  <c r="AN913" i="8"/>
  <c r="AO941" i="8"/>
  <c r="P986" i="8"/>
  <c r="AO906" i="8"/>
  <c r="L849" i="8"/>
  <c r="I594" i="8"/>
  <c r="F595" i="8"/>
  <c r="F584" i="8"/>
  <c r="K848" i="8"/>
  <c r="D585" i="8"/>
  <c r="D529" i="8"/>
  <c r="L905" i="8"/>
  <c r="L877" i="8"/>
  <c r="K846" i="8"/>
  <c r="E584" i="8"/>
  <c r="B585" i="8"/>
  <c r="B529" i="8"/>
  <c r="AO916" i="8"/>
  <c r="K911" i="8"/>
  <c r="K883" i="8"/>
  <c r="K857" i="8"/>
  <c r="P585" i="8"/>
  <c r="P529" i="8"/>
  <c r="L885" i="8"/>
  <c r="L913" i="8"/>
  <c r="L880" i="8"/>
  <c r="L908" i="8"/>
  <c r="N991" i="8"/>
  <c r="AM946" i="8"/>
  <c r="AM911" i="8"/>
  <c r="AW875" i="8"/>
  <c r="M916" i="8"/>
  <c r="O983" i="8"/>
  <c r="AN938" i="8"/>
  <c r="AN903" i="8"/>
  <c r="K856" i="8"/>
  <c r="O585" i="8"/>
  <c r="O529" i="8"/>
  <c r="AO951" i="8"/>
  <c r="K851" i="8"/>
  <c r="H585" i="8"/>
  <c r="H529" i="8"/>
  <c r="Q584" i="8"/>
  <c r="N585" i="8"/>
  <c r="K855" i="8"/>
  <c r="N529" i="8"/>
  <c r="R594" i="8"/>
  <c r="K853" i="8"/>
  <c r="K585" i="8"/>
  <c r="K529" i="8"/>
  <c r="L909" i="8"/>
  <c r="L881" i="8"/>
  <c r="O984" i="8"/>
  <c r="AN939" i="8"/>
  <c r="AN904" i="8"/>
  <c r="O989" i="8"/>
  <c r="AN909" i="8"/>
  <c r="AN944" i="8"/>
  <c r="O994" i="8"/>
  <c r="AN949" i="8"/>
  <c r="AN914" i="8"/>
  <c r="L914" i="8"/>
  <c r="L886" i="8"/>
  <c r="O987" i="8"/>
  <c r="AN942" i="8"/>
  <c r="AN907" i="8"/>
  <c r="L875" i="8"/>
  <c r="L903" i="8"/>
  <c r="L859" i="8"/>
  <c r="AO1007" i="8" l="1"/>
  <c r="N989" i="8"/>
  <c r="AM944" i="8"/>
  <c r="AM909" i="8"/>
  <c r="AW873" i="8"/>
  <c r="J853" i="8"/>
  <c r="K530" i="8"/>
  <c r="K486" i="8"/>
  <c r="J851" i="8"/>
  <c r="H530" i="8"/>
  <c r="H486" i="8"/>
  <c r="I854" i="8"/>
  <c r="L487" i="8"/>
  <c r="L446" i="8"/>
  <c r="L445" i="8" s="1"/>
  <c r="L444" i="8" s="1"/>
  <c r="L443" i="8" s="1"/>
  <c r="L442" i="8" s="1"/>
  <c r="L441" i="8" s="1"/>
  <c r="L439" i="8"/>
  <c r="N993" i="8"/>
  <c r="AM948" i="8"/>
  <c r="AW877" i="8"/>
  <c r="AM913" i="8"/>
  <c r="K877" i="8"/>
  <c r="K905" i="8"/>
  <c r="J883" i="8"/>
  <c r="J911" i="8"/>
  <c r="K879" i="8"/>
  <c r="K907" i="8"/>
  <c r="K910" i="8"/>
  <c r="K882" i="8"/>
  <c r="K880" i="8"/>
  <c r="K908" i="8"/>
  <c r="K849" i="8"/>
  <c r="I584" i="8"/>
  <c r="F585" i="8"/>
  <c r="F529" i="8"/>
  <c r="K909" i="8"/>
  <c r="K881" i="8"/>
  <c r="J847" i="8"/>
  <c r="C530" i="8"/>
  <c r="C486" i="8"/>
  <c r="R584" i="8"/>
  <c r="N987" i="8"/>
  <c r="AM942" i="8"/>
  <c r="AM907" i="8"/>
  <c r="AW871" i="8"/>
  <c r="N992" i="8"/>
  <c r="AM947" i="8"/>
  <c r="AM912" i="8"/>
  <c r="AW876" i="8"/>
  <c r="K903" i="8"/>
  <c r="K875" i="8"/>
  <c r="K876" i="8"/>
  <c r="K904" i="8"/>
  <c r="J857" i="8"/>
  <c r="P530" i="8"/>
  <c r="P486" i="8"/>
  <c r="AM949" i="8"/>
  <c r="N994" i="8"/>
  <c r="AM914" i="8"/>
  <c r="AW878" i="8"/>
  <c r="J856" i="8"/>
  <c r="O530" i="8"/>
  <c r="O486" i="8"/>
  <c r="K884" i="8"/>
  <c r="K912" i="8"/>
  <c r="K914" i="8"/>
  <c r="K886" i="8"/>
  <c r="L906" i="8"/>
  <c r="L878" i="8"/>
  <c r="N990" i="8"/>
  <c r="AM945" i="8"/>
  <c r="AM910" i="8"/>
  <c r="AW874" i="8"/>
  <c r="J846" i="8"/>
  <c r="E529" i="8"/>
  <c r="B530" i="8"/>
  <c r="B486" i="8"/>
  <c r="J855" i="8"/>
  <c r="Q529" i="8"/>
  <c r="N530" i="8"/>
  <c r="N486" i="8"/>
  <c r="N983" i="8"/>
  <c r="AW867" i="8"/>
  <c r="AM938" i="8"/>
  <c r="AM903" i="8"/>
  <c r="K913" i="8"/>
  <c r="K885" i="8"/>
  <c r="N985" i="8"/>
  <c r="AM905" i="8"/>
  <c r="AM940" i="8"/>
  <c r="AW869" i="8"/>
  <c r="O986" i="8"/>
  <c r="AN941" i="8"/>
  <c r="AN951" i="8" s="1"/>
  <c r="AN906" i="8"/>
  <c r="AN916" i="8" s="1"/>
  <c r="N984" i="8"/>
  <c r="AM939" i="8"/>
  <c r="AW868" i="8"/>
  <c r="AM904" i="8"/>
  <c r="N988" i="8"/>
  <c r="AW872" i="8"/>
  <c r="AM908" i="8"/>
  <c r="AM943" i="8"/>
  <c r="M991" i="8"/>
  <c r="AL946" i="8"/>
  <c r="AL911" i="8"/>
  <c r="J848" i="8"/>
  <c r="D530" i="8"/>
  <c r="D486" i="8"/>
  <c r="AN1006" i="8"/>
  <c r="AN1004" i="8"/>
  <c r="AN999" i="8"/>
  <c r="AN997" i="8"/>
  <c r="AN995" i="8"/>
  <c r="AN1002" i="8"/>
  <c r="AN991" i="8"/>
  <c r="AN989" i="8"/>
  <c r="AN1000" i="8"/>
  <c r="AN992" i="8"/>
  <c r="AN993" i="8"/>
  <c r="AN1005" i="8"/>
  <c r="AN998" i="8"/>
  <c r="AN996" i="8"/>
  <c r="AN994" i="8"/>
  <c r="AN1003" i="8"/>
  <c r="AN1001" i="8"/>
  <c r="AN987" i="8"/>
  <c r="AN990" i="8"/>
  <c r="AN988" i="8"/>
  <c r="AN983" i="8"/>
  <c r="AN985" i="8"/>
  <c r="AN984" i="8"/>
  <c r="AN986" i="8"/>
  <c r="J852" i="8"/>
  <c r="J530" i="8"/>
  <c r="M529" i="8"/>
  <c r="J486" i="8"/>
  <c r="J850" i="8"/>
  <c r="G530" i="8"/>
  <c r="G486" i="8"/>
  <c r="AN1007" i="8" l="1"/>
  <c r="I852" i="8"/>
  <c r="M486" i="8"/>
  <c r="J487" i="8"/>
  <c r="J446" i="8"/>
  <c r="J445" i="8" s="1"/>
  <c r="J444" i="8" s="1"/>
  <c r="J443" i="8" s="1"/>
  <c r="J442" i="8" s="1"/>
  <c r="J441" i="8" s="1"/>
  <c r="J439" i="8"/>
  <c r="J875" i="8"/>
  <c r="J859" i="8"/>
  <c r="J903" i="8"/>
  <c r="M994" i="8"/>
  <c r="AL949" i="8"/>
  <c r="AL914" i="8"/>
  <c r="J849" i="8"/>
  <c r="I529" i="8"/>
  <c r="F530" i="8"/>
  <c r="F486" i="8"/>
  <c r="AL942" i="8"/>
  <c r="M987" i="8"/>
  <c r="AL907" i="8"/>
  <c r="AM1006" i="8"/>
  <c r="AM1004" i="8"/>
  <c r="AM999" i="8"/>
  <c r="AM997" i="8"/>
  <c r="AM995" i="8"/>
  <c r="AM990" i="8"/>
  <c r="AM1002" i="8"/>
  <c r="AM991" i="8"/>
  <c r="AM989" i="8"/>
  <c r="AM1000" i="8"/>
  <c r="AM992" i="8"/>
  <c r="AM1005" i="8"/>
  <c r="AM998" i="8"/>
  <c r="AM996" i="8"/>
  <c r="AM994" i="8"/>
  <c r="AM986" i="8"/>
  <c r="AM987" i="8"/>
  <c r="AM988" i="8"/>
  <c r="AM1001" i="8"/>
  <c r="AM993" i="8"/>
  <c r="AM984" i="8"/>
  <c r="AM1003" i="8"/>
  <c r="AM983" i="8"/>
  <c r="AM985" i="8"/>
  <c r="I855" i="8"/>
  <c r="N487" i="8"/>
  <c r="N446" i="8"/>
  <c r="N445" i="8" s="1"/>
  <c r="N444" i="8" s="1"/>
  <c r="N443" i="8" s="1"/>
  <c r="N442" i="8" s="1"/>
  <c r="N441" i="8" s="1"/>
  <c r="Q486" i="8"/>
  <c r="N439" i="8"/>
  <c r="M992" i="8"/>
  <c r="AL912" i="8"/>
  <c r="AL947" i="8"/>
  <c r="M983" i="8"/>
  <c r="K916" i="8"/>
  <c r="AL903" i="8"/>
  <c r="AL938" i="8"/>
  <c r="J908" i="8"/>
  <c r="J880" i="8"/>
  <c r="H854" i="8"/>
  <c r="L440" i="8"/>
  <c r="L292" i="8"/>
  <c r="J909" i="8"/>
  <c r="J881" i="8"/>
  <c r="AL948" i="8"/>
  <c r="M993" i="8"/>
  <c r="AL913" i="8"/>
  <c r="I856" i="8"/>
  <c r="O487" i="8"/>
  <c r="O446" i="8"/>
  <c r="O445" i="8" s="1"/>
  <c r="O444" i="8" s="1"/>
  <c r="O443" i="8" s="1"/>
  <c r="O442" i="8" s="1"/>
  <c r="O441" i="8" s="1"/>
  <c r="O439" i="8"/>
  <c r="C487" i="8"/>
  <c r="C446" i="8"/>
  <c r="C445" i="8" s="1"/>
  <c r="C444" i="8" s="1"/>
  <c r="C443" i="8" s="1"/>
  <c r="C442" i="8" s="1"/>
  <c r="C441" i="8" s="1"/>
  <c r="I847" i="8"/>
  <c r="C439" i="8"/>
  <c r="K906" i="8"/>
  <c r="K878" i="8"/>
  <c r="I848" i="8"/>
  <c r="D487" i="8"/>
  <c r="D446" i="8"/>
  <c r="D445" i="8" s="1"/>
  <c r="D444" i="8" s="1"/>
  <c r="D443" i="8" s="1"/>
  <c r="D442" i="8" s="1"/>
  <c r="D441" i="8" s="1"/>
  <c r="D439" i="8"/>
  <c r="AM916" i="8"/>
  <c r="J912" i="8"/>
  <c r="J884" i="8"/>
  <c r="J914" i="8"/>
  <c r="J886" i="8"/>
  <c r="M988" i="8"/>
  <c r="AL943" i="8"/>
  <c r="AL908" i="8"/>
  <c r="M985" i="8"/>
  <c r="AL940" i="8"/>
  <c r="AL905" i="8"/>
  <c r="J910" i="8"/>
  <c r="J882" i="8"/>
  <c r="I857" i="8"/>
  <c r="P487" i="8"/>
  <c r="P446" i="8"/>
  <c r="P445" i="8" s="1"/>
  <c r="P444" i="8" s="1"/>
  <c r="P443" i="8" s="1"/>
  <c r="P442" i="8" s="1"/>
  <c r="P441" i="8" s="1"/>
  <c r="P439" i="8"/>
  <c r="I853" i="8"/>
  <c r="K487" i="8"/>
  <c r="K446" i="8"/>
  <c r="K445" i="8" s="1"/>
  <c r="K444" i="8" s="1"/>
  <c r="K443" i="8" s="1"/>
  <c r="K442" i="8" s="1"/>
  <c r="K441" i="8" s="1"/>
  <c r="K439" i="8"/>
  <c r="I850" i="8"/>
  <c r="G446" i="8"/>
  <c r="G445" i="8" s="1"/>
  <c r="G444" i="8" s="1"/>
  <c r="G443" i="8" s="1"/>
  <c r="G442" i="8" s="1"/>
  <c r="G441" i="8" s="1"/>
  <c r="G487" i="8"/>
  <c r="G439" i="8"/>
  <c r="M984" i="8"/>
  <c r="AL904" i="8"/>
  <c r="AL939" i="8"/>
  <c r="J876" i="8"/>
  <c r="J904" i="8"/>
  <c r="I911" i="8"/>
  <c r="I883" i="8"/>
  <c r="J877" i="8"/>
  <c r="J905" i="8"/>
  <c r="N986" i="8"/>
  <c r="AM941" i="8"/>
  <c r="AM951" i="8" s="1"/>
  <c r="AM906" i="8"/>
  <c r="AW870" i="8"/>
  <c r="AW880" i="8" s="1"/>
  <c r="L991" i="8"/>
  <c r="AK946" i="8"/>
  <c r="AK911" i="8"/>
  <c r="I846" i="8"/>
  <c r="E486" i="8"/>
  <c r="B487" i="8"/>
  <c r="B446" i="8"/>
  <c r="B445" i="8" s="1"/>
  <c r="B444" i="8" s="1"/>
  <c r="B443" i="8" s="1"/>
  <c r="B442" i="8" s="1"/>
  <c r="B441" i="8" s="1"/>
  <c r="B439" i="8"/>
  <c r="J913" i="8"/>
  <c r="J885" i="8"/>
  <c r="J879" i="8"/>
  <c r="J907" i="8"/>
  <c r="L916" i="8"/>
  <c r="R529" i="8"/>
  <c r="K859" i="8"/>
  <c r="M989" i="8"/>
  <c r="AL909" i="8"/>
  <c r="AL944" i="8"/>
  <c r="M990" i="8"/>
  <c r="AL945" i="8"/>
  <c r="AL910" i="8"/>
  <c r="I851" i="8"/>
  <c r="H446" i="8"/>
  <c r="H445" i="8" s="1"/>
  <c r="H444" i="8" s="1"/>
  <c r="H443" i="8" s="1"/>
  <c r="H442" i="8" s="1"/>
  <c r="H441" i="8" s="1"/>
  <c r="H487" i="8"/>
  <c r="H439" i="8"/>
  <c r="AM1007" i="8" l="1"/>
  <c r="AL916" i="8"/>
  <c r="I908" i="8"/>
  <c r="I880" i="8"/>
  <c r="L984" i="8"/>
  <c r="AK939" i="8"/>
  <c r="AK904" i="8"/>
  <c r="I914" i="8"/>
  <c r="I886" i="8"/>
  <c r="L989" i="8"/>
  <c r="AK909" i="8"/>
  <c r="AK944" i="8"/>
  <c r="I905" i="8"/>
  <c r="I877" i="8"/>
  <c r="L985" i="8"/>
  <c r="AK940" i="8"/>
  <c r="AK905" i="8"/>
  <c r="I910" i="8"/>
  <c r="I882" i="8"/>
  <c r="AK947" i="8"/>
  <c r="AK912" i="8"/>
  <c r="L992" i="8"/>
  <c r="H847" i="8"/>
  <c r="C440" i="8"/>
  <c r="C292" i="8"/>
  <c r="L983" i="8"/>
  <c r="AK938" i="8"/>
  <c r="AK903" i="8"/>
  <c r="L993" i="8"/>
  <c r="AK948" i="8"/>
  <c r="AK913" i="8"/>
  <c r="H857" i="8"/>
  <c r="P440" i="8"/>
  <c r="P292" i="8"/>
  <c r="L988" i="8"/>
  <c r="AK943" i="8"/>
  <c r="AK908" i="8"/>
  <c r="H855" i="8"/>
  <c r="N440" i="8"/>
  <c r="Q439" i="8"/>
  <c r="N292" i="8"/>
  <c r="H848" i="8"/>
  <c r="D440" i="8"/>
  <c r="D292" i="8"/>
  <c r="H852" i="8"/>
  <c r="J440" i="8"/>
  <c r="M439" i="8"/>
  <c r="J292" i="8"/>
  <c r="K991" i="8"/>
  <c r="AJ946" i="8"/>
  <c r="AJ911" i="8"/>
  <c r="E854" i="8"/>
  <c r="L294" i="8"/>
  <c r="L293" i="8"/>
  <c r="L130" i="8"/>
  <c r="I912" i="8"/>
  <c r="I884" i="8"/>
  <c r="H851" i="8"/>
  <c r="H440" i="8"/>
  <c r="H292" i="8"/>
  <c r="H850" i="8"/>
  <c r="G440" i="8"/>
  <c r="G292" i="8"/>
  <c r="AL1006" i="8"/>
  <c r="AL1004" i="8"/>
  <c r="AL999" i="8"/>
  <c r="AL997" i="8"/>
  <c r="AL995" i="8"/>
  <c r="AL990" i="8"/>
  <c r="AL1002" i="8"/>
  <c r="AL991" i="8"/>
  <c r="AL989" i="8"/>
  <c r="AL1000" i="8"/>
  <c r="AL993" i="8"/>
  <c r="AL1003" i="8"/>
  <c r="AL1001" i="8"/>
  <c r="AL985" i="8"/>
  <c r="AL1005" i="8"/>
  <c r="AL986" i="8"/>
  <c r="AL996" i="8"/>
  <c r="AL987" i="8"/>
  <c r="AL992" i="8"/>
  <c r="AL983" i="8"/>
  <c r="AL998" i="8"/>
  <c r="AL994" i="8"/>
  <c r="AL984" i="8"/>
  <c r="AL988" i="8"/>
  <c r="I904" i="8"/>
  <c r="I876" i="8"/>
  <c r="I849" i="8"/>
  <c r="F487" i="8"/>
  <c r="F446" i="8"/>
  <c r="F445" i="8" s="1"/>
  <c r="F444" i="8" s="1"/>
  <c r="F443" i="8" s="1"/>
  <c r="F442" i="8" s="1"/>
  <c r="F441" i="8" s="1"/>
  <c r="I486" i="8"/>
  <c r="R486" i="8" s="1"/>
  <c r="F439" i="8"/>
  <c r="H846" i="8"/>
  <c r="B440" i="8"/>
  <c r="E439" i="8"/>
  <c r="B292" i="8"/>
  <c r="AK949" i="8"/>
  <c r="L994" i="8"/>
  <c r="AK914" i="8"/>
  <c r="I907" i="8"/>
  <c r="I879" i="8"/>
  <c r="H856" i="8"/>
  <c r="O440" i="8"/>
  <c r="O292" i="8"/>
  <c r="J906" i="8"/>
  <c r="J878" i="8"/>
  <c r="H853" i="8"/>
  <c r="K440" i="8"/>
  <c r="K292" i="8"/>
  <c r="L987" i="8"/>
  <c r="AK942" i="8"/>
  <c r="AK907" i="8"/>
  <c r="I903" i="8"/>
  <c r="I859" i="8"/>
  <c r="I875" i="8"/>
  <c r="L990" i="8"/>
  <c r="AK945" i="8"/>
  <c r="AK910" i="8"/>
  <c r="M986" i="8"/>
  <c r="AL906" i="8"/>
  <c r="AL941" i="8"/>
  <c r="AL951" i="8" s="1"/>
  <c r="I913" i="8"/>
  <c r="I885" i="8"/>
  <c r="H883" i="8"/>
  <c r="H911" i="8"/>
  <c r="I881" i="8"/>
  <c r="I909" i="8"/>
  <c r="AL1007" i="8" l="1"/>
  <c r="H903" i="8"/>
  <c r="H875" i="8"/>
  <c r="AJ942" i="8"/>
  <c r="K987" i="8"/>
  <c r="AJ907" i="8"/>
  <c r="H882" i="8"/>
  <c r="H910" i="8"/>
  <c r="H907" i="8"/>
  <c r="H879" i="8"/>
  <c r="H881" i="8"/>
  <c r="H909" i="8"/>
  <c r="H912" i="8"/>
  <c r="H884" i="8"/>
  <c r="H876" i="8"/>
  <c r="H904" i="8"/>
  <c r="AK1003" i="8"/>
  <c r="AK1001" i="8"/>
  <c r="AK1006" i="8"/>
  <c r="AK1004" i="8"/>
  <c r="AK999" i="8"/>
  <c r="AK997" i="8"/>
  <c r="AK995" i="8"/>
  <c r="AK990" i="8"/>
  <c r="AK1002" i="8"/>
  <c r="AK1000" i="8"/>
  <c r="AK992" i="8"/>
  <c r="AK988" i="8"/>
  <c r="AK1005" i="8"/>
  <c r="AK998" i="8"/>
  <c r="AK996" i="8"/>
  <c r="AK994" i="8"/>
  <c r="AK984" i="8"/>
  <c r="AK985" i="8"/>
  <c r="AK989" i="8"/>
  <c r="AK986" i="8"/>
  <c r="AK993" i="8"/>
  <c r="AK983" i="8"/>
  <c r="AK991" i="8"/>
  <c r="AK987" i="8"/>
  <c r="K994" i="8"/>
  <c r="AJ949" i="8"/>
  <c r="AJ914" i="8"/>
  <c r="E851" i="8"/>
  <c r="H294" i="8"/>
  <c r="H293" i="8"/>
  <c r="H130" i="8"/>
  <c r="E883" i="8"/>
  <c r="E911" i="8"/>
  <c r="AR880" i="8"/>
  <c r="E848" i="8"/>
  <c r="D294" i="8"/>
  <c r="D293" i="8"/>
  <c r="D130" i="8"/>
  <c r="D854" i="8"/>
  <c r="L131" i="8"/>
  <c r="L64" i="8"/>
  <c r="K993" i="8"/>
  <c r="AJ913" i="8"/>
  <c r="AJ948" i="8"/>
  <c r="L986" i="8"/>
  <c r="AK941" i="8"/>
  <c r="AK906" i="8"/>
  <c r="AJ940" i="8"/>
  <c r="K985" i="8"/>
  <c r="AJ905" i="8"/>
  <c r="E856" i="8"/>
  <c r="O294" i="8"/>
  <c r="O293" i="8"/>
  <c r="O130" i="8"/>
  <c r="E846" i="8"/>
  <c r="B294" i="8"/>
  <c r="B293" i="8"/>
  <c r="E292" i="8"/>
  <c r="B130" i="8"/>
  <c r="I906" i="8"/>
  <c r="I916" i="8" s="1"/>
  <c r="I878" i="8"/>
  <c r="H908" i="8"/>
  <c r="H880" i="8"/>
  <c r="H905" i="8"/>
  <c r="H877" i="8"/>
  <c r="J916" i="8"/>
  <c r="E853" i="8"/>
  <c r="K293" i="8"/>
  <c r="K294" i="8"/>
  <c r="K130" i="8"/>
  <c r="E847" i="8"/>
  <c r="C293" i="8"/>
  <c r="C294" i="8"/>
  <c r="C130" i="8"/>
  <c r="K983" i="8"/>
  <c r="AJ938" i="8"/>
  <c r="AJ903" i="8"/>
  <c r="K989" i="8"/>
  <c r="AJ944" i="8"/>
  <c r="AJ909" i="8"/>
  <c r="E857" i="8"/>
  <c r="P294" i="8"/>
  <c r="P293" i="8"/>
  <c r="P130" i="8"/>
  <c r="AK951" i="8"/>
  <c r="J991" i="8"/>
  <c r="AI946" i="8"/>
  <c r="AI911" i="8"/>
  <c r="AI845" i="8"/>
  <c r="E850" i="8"/>
  <c r="G293" i="8"/>
  <c r="G294" i="8"/>
  <c r="G130" i="8"/>
  <c r="H886" i="8"/>
  <c r="H914" i="8"/>
  <c r="H849" i="8"/>
  <c r="F440" i="8"/>
  <c r="I439" i="8"/>
  <c r="R439" i="8" s="1"/>
  <c r="F292" i="8"/>
  <c r="AK916" i="8"/>
  <c r="H913" i="8"/>
  <c r="H885" i="8"/>
  <c r="K984" i="8"/>
  <c r="AJ939" i="8"/>
  <c r="AJ904" i="8"/>
  <c r="K992" i="8"/>
  <c r="AJ912" i="8"/>
  <c r="AJ947" i="8"/>
  <c r="E852" i="8"/>
  <c r="J293" i="8"/>
  <c r="J294" i="8"/>
  <c r="M292" i="8"/>
  <c r="J130" i="8"/>
  <c r="E855" i="8"/>
  <c r="Q292" i="8"/>
  <c r="N293" i="8"/>
  <c r="N294" i="8"/>
  <c r="N130" i="8"/>
  <c r="K990" i="8"/>
  <c r="AJ945" i="8"/>
  <c r="AJ910" i="8"/>
  <c r="AJ943" i="8"/>
  <c r="K988" i="8"/>
  <c r="AJ908" i="8"/>
  <c r="AK1007" i="8" l="1"/>
  <c r="C854" i="8"/>
  <c r="L65" i="8"/>
  <c r="L29" i="8"/>
  <c r="D855" i="8"/>
  <c r="Q130" i="8"/>
  <c r="N131" i="8"/>
  <c r="N64" i="8"/>
  <c r="J990" i="8"/>
  <c r="AI945" i="8"/>
  <c r="AI910" i="8"/>
  <c r="AI844" i="8"/>
  <c r="E909" i="8"/>
  <c r="E881" i="8"/>
  <c r="AR878" i="8"/>
  <c r="J993" i="8"/>
  <c r="AI948" i="8"/>
  <c r="AI913" i="8"/>
  <c r="AI847" i="8"/>
  <c r="D850" i="8"/>
  <c r="G131" i="8"/>
  <c r="G64" i="8"/>
  <c r="E904" i="8"/>
  <c r="AR873" i="8"/>
  <c r="E876" i="8"/>
  <c r="E875" i="8"/>
  <c r="AR872" i="8"/>
  <c r="E903" i="8"/>
  <c r="AQ880" i="8"/>
  <c r="D883" i="8"/>
  <c r="D911" i="8"/>
  <c r="D851" i="8"/>
  <c r="H131" i="8"/>
  <c r="H64" i="8"/>
  <c r="J994" i="8"/>
  <c r="AI949" i="8"/>
  <c r="AI914" i="8"/>
  <c r="AI848" i="8"/>
  <c r="J983" i="8"/>
  <c r="AI938" i="8"/>
  <c r="AI903" i="8"/>
  <c r="AI837" i="8"/>
  <c r="J985" i="8"/>
  <c r="AI940" i="8"/>
  <c r="AI839" i="8"/>
  <c r="AI905" i="8"/>
  <c r="J984" i="8"/>
  <c r="AI939" i="8"/>
  <c r="AI838" i="8"/>
  <c r="AI904" i="8"/>
  <c r="D857" i="8"/>
  <c r="P131" i="8"/>
  <c r="P64" i="8"/>
  <c r="D853" i="8"/>
  <c r="K131" i="8"/>
  <c r="K64" i="8"/>
  <c r="J988" i="8"/>
  <c r="AI943" i="8"/>
  <c r="AI908" i="8"/>
  <c r="AI842" i="8"/>
  <c r="D856" i="8"/>
  <c r="O131" i="8"/>
  <c r="O64" i="8"/>
  <c r="D848" i="8"/>
  <c r="D131" i="8"/>
  <c r="D64" i="8"/>
  <c r="E849" i="8"/>
  <c r="F294" i="8"/>
  <c r="I292" i="8"/>
  <c r="F293" i="8"/>
  <c r="F130" i="8"/>
  <c r="E880" i="8"/>
  <c r="AR877" i="8"/>
  <c r="E908" i="8"/>
  <c r="AI944" i="8"/>
  <c r="AI909" i="8"/>
  <c r="AI843" i="8"/>
  <c r="J989" i="8"/>
  <c r="G991" i="8"/>
  <c r="AG946" i="8"/>
  <c r="AG911" i="8"/>
  <c r="J987" i="8"/>
  <c r="AI942" i="8"/>
  <c r="AI907" i="8"/>
  <c r="AI841" i="8"/>
  <c r="D852" i="8"/>
  <c r="M130" i="8"/>
  <c r="J131" i="8"/>
  <c r="J64" i="8"/>
  <c r="E914" i="8"/>
  <c r="AR883" i="8"/>
  <c r="E886" i="8"/>
  <c r="E910" i="8"/>
  <c r="E882" i="8"/>
  <c r="AR879" i="8"/>
  <c r="D846" i="8"/>
  <c r="B131" i="8"/>
  <c r="E130" i="8"/>
  <c r="B64" i="8"/>
  <c r="AR882" i="8"/>
  <c r="E913" i="8"/>
  <c r="E885" i="8"/>
  <c r="E905" i="8"/>
  <c r="E877" i="8"/>
  <c r="AR874" i="8"/>
  <c r="AJ1005" i="8"/>
  <c r="AJ998" i="8"/>
  <c r="AJ996" i="8"/>
  <c r="AJ994" i="8"/>
  <c r="AJ1003" i="8"/>
  <c r="AJ1001" i="8"/>
  <c r="AJ1006" i="8"/>
  <c r="AJ1004" i="8"/>
  <c r="AJ999" i="8"/>
  <c r="AJ997" i="8"/>
  <c r="AJ995" i="8"/>
  <c r="AJ1002" i="8"/>
  <c r="AJ991" i="8"/>
  <c r="AJ989" i="8"/>
  <c r="AJ993" i="8"/>
  <c r="AJ1000" i="8"/>
  <c r="AJ983" i="8"/>
  <c r="AJ984" i="8"/>
  <c r="AJ990" i="8"/>
  <c r="AJ985" i="8"/>
  <c r="AJ988" i="8"/>
  <c r="AJ987" i="8"/>
  <c r="AJ992" i="8"/>
  <c r="AJ986" i="8"/>
  <c r="J992" i="8"/>
  <c r="AI947" i="8"/>
  <c r="AI912" i="8"/>
  <c r="AI846" i="8"/>
  <c r="E912" i="8"/>
  <c r="E884" i="8"/>
  <c r="AR881" i="8"/>
  <c r="E907" i="8"/>
  <c r="E879" i="8"/>
  <c r="AR876" i="8"/>
  <c r="K986" i="8"/>
  <c r="AJ906" i="8"/>
  <c r="AJ916" i="8" s="1"/>
  <c r="AJ941" i="8"/>
  <c r="AJ951" i="8" s="1"/>
  <c r="H878" i="8"/>
  <c r="H906" i="8"/>
  <c r="D847" i="8"/>
  <c r="C131" i="8"/>
  <c r="C64" i="8"/>
  <c r="R292" i="8"/>
  <c r="H859" i="8"/>
  <c r="AJ1007" i="8" l="1"/>
  <c r="C856" i="8"/>
  <c r="O65" i="8"/>
  <c r="O29" i="8"/>
  <c r="D880" i="8"/>
  <c r="AQ877" i="8"/>
  <c r="D908" i="8"/>
  <c r="AG948" i="8"/>
  <c r="AG913" i="8"/>
  <c r="G993" i="8"/>
  <c r="G990" i="8"/>
  <c r="AG945" i="8"/>
  <c r="AG910" i="8"/>
  <c r="D882" i="8"/>
  <c r="D910" i="8"/>
  <c r="AQ879" i="8"/>
  <c r="F991" i="8"/>
  <c r="AF946" i="8"/>
  <c r="AF911" i="8"/>
  <c r="C855" i="8"/>
  <c r="N29" i="8"/>
  <c r="N65" i="8"/>
  <c r="Q64" i="8"/>
  <c r="D849" i="8"/>
  <c r="I130" i="8"/>
  <c r="R130" i="8" s="1"/>
  <c r="F131" i="8"/>
  <c r="F64" i="8"/>
  <c r="C847" i="8"/>
  <c r="C65" i="8"/>
  <c r="C29" i="8"/>
  <c r="D885" i="8"/>
  <c r="AQ882" i="8"/>
  <c r="D913" i="8"/>
  <c r="C857" i="8"/>
  <c r="P65" i="8"/>
  <c r="P29" i="8"/>
  <c r="G984" i="8"/>
  <c r="AG939" i="8"/>
  <c r="AG904" i="8"/>
  <c r="C846" i="8"/>
  <c r="E64" i="8"/>
  <c r="B65" i="8"/>
  <c r="B29" i="8"/>
  <c r="C850" i="8"/>
  <c r="G29" i="8"/>
  <c r="G65" i="8"/>
  <c r="G994" i="8"/>
  <c r="AG949" i="8"/>
  <c r="AG914" i="8"/>
  <c r="G988" i="8"/>
  <c r="AG908" i="8"/>
  <c r="AG943" i="8"/>
  <c r="E878" i="8"/>
  <c r="AR875" i="8"/>
  <c r="E906" i="8"/>
  <c r="D914" i="8"/>
  <c r="AQ883" i="8"/>
  <c r="D886" i="8"/>
  <c r="AI1005" i="8"/>
  <c r="AI998" i="8"/>
  <c r="AI996" i="8"/>
  <c r="AI994" i="8"/>
  <c r="AI1003" i="8"/>
  <c r="AI1001" i="8"/>
  <c r="AI1006" i="8"/>
  <c r="AI1004" i="8"/>
  <c r="AI999" i="8"/>
  <c r="AI997" i="8"/>
  <c r="AI995" i="8"/>
  <c r="AI990" i="8"/>
  <c r="AI1000" i="8"/>
  <c r="AI992" i="8"/>
  <c r="AI983" i="8"/>
  <c r="AI1002" i="8"/>
  <c r="AI984" i="8"/>
  <c r="AI991" i="8"/>
  <c r="AI986" i="8"/>
  <c r="AI993" i="8"/>
  <c r="AI989" i="8"/>
  <c r="AI985" i="8"/>
  <c r="AI987" i="8"/>
  <c r="AI988" i="8"/>
  <c r="E859" i="8"/>
  <c r="AG944" i="8"/>
  <c r="G989" i="8"/>
  <c r="AG909" i="8"/>
  <c r="D884" i="8"/>
  <c r="D912" i="8"/>
  <c r="AQ881" i="8"/>
  <c r="G992" i="8"/>
  <c r="AG947" i="8"/>
  <c r="AG912" i="8"/>
  <c r="D909" i="8"/>
  <c r="D881" i="8"/>
  <c r="AQ878" i="8"/>
  <c r="J986" i="8"/>
  <c r="AI941" i="8"/>
  <c r="AI951" i="8" s="1"/>
  <c r="AI906" i="8"/>
  <c r="AI840" i="8"/>
  <c r="C852" i="8"/>
  <c r="M64" i="8"/>
  <c r="J65" i="8"/>
  <c r="J29" i="8"/>
  <c r="C848" i="8"/>
  <c r="D65" i="8"/>
  <c r="D29" i="8"/>
  <c r="AI850" i="8"/>
  <c r="E916" i="8"/>
  <c r="G983" i="8"/>
  <c r="AG903" i="8"/>
  <c r="AG938" i="8"/>
  <c r="D907" i="8"/>
  <c r="D879" i="8"/>
  <c r="AQ876" i="8"/>
  <c r="B854" i="8"/>
  <c r="L30" i="8"/>
  <c r="L19" i="8"/>
  <c r="L20" i="8" s="1"/>
  <c r="D904" i="8"/>
  <c r="D876" i="8"/>
  <c r="AQ873" i="8"/>
  <c r="G987" i="8"/>
  <c r="AG942" i="8"/>
  <c r="AG907" i="8"/>
  <c r="D875" i="8"/>
  <c r="AQ872" i="8"/>
  <c r="D903" i="8"/>
  <c r="D859" i="8"/>
  <c r="H916" i="8"/>
  <c r="C851" i="8"/>
  <c r="H65" i="8"/>
  <c r="H29" i="8"/>
  <c r="AR885" i="8"/>
  <c r="G985" i="8"/>
  <c r="AG940" i="8"/>
  <c r="AG905" i="8"/>
  <c r="AQ874" i="8"/>
  <c r="D905" i="8"/>
  <c r="D877" i="8"/>
  <c r="C853" i="8"/>
  <c r="K65" i="8"/>
  <c r="K29" i="8"/>
  <c r="AI916" i="8"/>
  <c r="AP880" i="8"/>
  <c r="C883" i="8"/>
  <c r="C911" i="8"/>
  <c r="AI1007" i="8" l="1"/>
  <c r="F992" i="8"/>
  <c r="AF947" i="8"/>
  <c r="AF912" i="8"/>
  <c r="R64" i="8"/>
  <c r="F993" i="8"/>
  <c r="AF948" i="8"/>
  <c r="AF913" i="8"/>
  <c r="C885" i="8"/>
  <c r="AP882" i="8"/>
  <c r="C913" i="8"/>
  <c r="B852" i="8"/>
  <c r="M29" i="8"/>
  <c r="J30" i="8"/>
  <c r="J19" i="8"/>
  <c r="G986" i="8"/>
  <c r="AG941" i="8"/>
  <c r="AG951" i="8" s="1"/>
  <c r="AG906" i="8"/>
  <c r="AP872" i="8"/>
  <c r="C903" i="8"/>
  <c r="C875" i="8"/>
  <c r="D878" i="8"/>
  <c r="AQ875" i="8"/>
  <c r="D906" i="8"/>
  <c r="F990" i="8"/>
  <c r="AF945" i="8"/>
  <c r="AF910" i="8"/>
  <c r="F988" i="8"/>
  <c r="AF943" i="8"/>
  <c r="AF908" i="8"/>
  <c r="B853" i="8"/>
  <c r="K19" i="8"/>
  <c r="K20" i="8" s="1"/>
  <c r="K30" i="8"/>
  <c r="AG1002" i="8"/>
  <c r="AG1000" i="8"/>
  <c r="AG992" i="8"/>
  <c r="AG988" i="8"/>
  <c r="AG993" i="8"/>
  <c r="AG1005" i="8"/>
  <c r="AG998" i="8"/>
  <c r="AG996" i="8"/>
  <c r="AG994" i="8"/>
  <c r="AG1003" i="8"/>
  <c r="AG1001" i="8"/>
  <c r="AG1006" i="8"/>
  <c r="AG1004" i="8"/>
  <c r="AG999" i="8"/>
  <c r="AG997" i="8"/>
  <c r="AG995" i="8"/>
  <c r="AG990" i="8"/>
  <c r="AG989" i="8"/>
  <c r="AG984" i="8"/>
  <c r="AG986" i="8"/>
  <c r="AG987" i="8"/>
  <c r="AG983" i="8"/>
  <c r="AG991" i="8"/>
  <c r="AG985" i="8"/>
  <c r="AQ885" i="8"/>
  <c r="F989" i="8"/>
  <c r="AF909" i="8"/>
  <c r="AF944" i="8"/>
  <c r="B847" i="8"/>
  <c r="C30" i="8"/>
  <c r="C19" i="8"/>
  <c r="C20" i="8" s="1"/>
  <c r="F987" i="8"/>
  <c r="AF942" i="8"/>
  <c r="AF907" i="8"/>
  <c r="AG916" i="8"/>
  <c r="C909" i="8"/>
  <c r="C881" i="8"/>
  <c r="AP878" i="8"/>
  <c r="B855" i="8"/>
  <c r="N30" i="8"/>
  <c r="Q29" i="8"/>
  <c r="N19" i="8"/>
  <c r="C910" i="8"/>
  <c r="AP879" i="8"/>
  <c r="C882" i="8"/>
  <c r="B851" i="8"/>
  <c r="H19" i="8"/>
  <c r="H20" i="8" s="1"/>
  <c r="H30" i="8"/>
  <c r="AO880" i="8"/>
  <c r="AT880" i="8" s="1"/>
  <c r="AG845" i="8"/>
  <c r="AH845" i="8" s="1"/>
  <c r="AJ845" i="8" s="1"/>
  <c r="AL845" i="8" s="1"/>
  <c r="B911" i="8"/>
  <c r="AN845" i="8"/>
  <c r="B883" i="8"/>
  <c r="AP876" i="8"/>
  <c r="C907" i="8"/>
  <c r="C879" i="8"/>
  <c r="B857" i="8"/>
  <c r="P19" i="8"/>
  <c r="P20" i="8" s="1"/>
  <c r="P30" i="8"/>
  <c r="C876" i="8"/>
  <c r="C904" i="8"/>
  <c r="AP873" i="8"/>
  <c r="C912" i="8"/>
  <c r="C884" i="8"/>
  <c r="AP881" i="8"/>
  <c r="C877" i="8"/>
  <c r="AP874" i="8"/>
  <c r="C905" i="8"/>
  <c r="F983" i="8"/>
  <c r="AF938" i="8"/>
  <c r="AF903" i="8"/>
  <c r="B850" i="8"/>
  <c r="G30" i="8"/>
  <c r="G19" i="8"/>
  <c r="G20" i="8" s="1"/>
  <c r="B848" i="8"/>
  <c r="D30" i="8"/>
  <c r="D19" i="8"/>
  <c r="D20" i="8" s="1"/>
  <c r="B846" i="8"/>
  <c r="E29" i="8"/>
  <c r="B30" i="8"/>
  <c r="B19" i="8"/>
  <c r="C849" i="8"/>
  <c r="F65" i="8"/>
  <c r="F29" i="8"/>
  <c r="I64" i="8"/>
  <c r="B856" i="8"/>
  <c r="O30" i="8"/>
  <c r="O19" i="8"/>
  <c r="O20" i="8" s="1"/>
  <c r="AF914" i="8"/>
  <c r="AF949" i="8"/>
  <c r="F994" i="8"/>
  <c r="AF939" i="8"/>
  <c r="F984" i="8"/>
  <c r="AF904" i="8"/>
  <c r="AE946" i="8"/>
  <c r="E991" i="8"/>
  <c r="AE911" i="8"/>
  <c r="F985" i="8"/>
  <c r="AF905" i="8"/>
  <c r="AF940" i="8"/>
  <c r="C880" i="8"/>
  <c r="AP877" i="8"/>
  <c r="C908" i="8"/>
  <c r="C914" i="8"/>
  <c r="AP883" i="8"/>
  <c r="C886" i="8"/>
  <c r="AG1007" i="8" l="1"/>
  <c r="AF951" i="8"/>
  <c r="F986" i="8"/>
  <c r="AF941" i="8"/>
  <c r="AF906" i="8"/>
  <c r="D916" i="8"/>
  <c r="B880" i="8"/>
  <c r="AO877" i="8"/>
  <c r="AT877" i="8" s="1"/>
  <c r="AN842" i="8"/>
  <c r="B908" i="8"/>
  <c r="AG842" i="8"/>
  <c r="AH842" i="8" s="1"/>
  <c r="AJ842" i="8" s="1"/>
  <c r="AL842" i="8" s="1"/>
  <c r="B910" i="8"/>
  <c r="AO879" i="8"/>
  <c r="AT879" i="8" s="1"/>
  <c r="AN844" i="8"/>
  <c r="B882" i="8"/>
  <c r="AG844" i="8"/>
  <c r="AH844" i="8" s="1"/>
  <c r="AJ844" i="8" s="1"/>
  <c r="AL844" i="8" s="1"/>
  <c r="B885" i="8"/>
  <c r="AO882" i="8"/>
  <c r="AT882" i="8" s="1"/>
  <c r="B913" i="8"/>
  <c r="AG847" i="8"/>
  <c r="AH847" i="8" s="1"/>
  <c r="AJ847" i="8" s="1"/>
  <c r="AL847" i="8" s="1"/>
  <c r="AN847" i="8"/>
  <c r="E992" i="8"/>
  <c r="AE947" i="8"/>
  <c r="AE912" i="8"/>
  <c r="B912" i="8"/>
  <c r="AO881" i="8"/>
  <c r="AT881" i="8" s="1"/>
  <c r="B884" i="8"/>
  <c r="AN846" i="8"/>
  <c r="AG846" i="8"/>
  <c r="AH846" i="8" s="1"/>
  <c r="AJ846" i="8" s="1"/>
  <c r="AL846" i="8" s="1"/>
  <c r="B849" i="8"/>
  <c r="I29" i="8"/>
  <c r="F19" i="8"/>
  <c r="F30" i="8"/>
  <c r="E984" i="8"/>
  <c r="AE939" i="8"/>
  <c r="AE904" i="8"/>
  <c r="B904" i="8"/>
  <c r="B876" i="8"/>
  <c r="AN838" i="8"/>
  <c r="AO873" i="8"/>
  <c r="AT873" i="8" s="1"/>
  <c r="AG838" i="8"/>
  <c r="AH838" i="8" s="1"/>
  <c r="AJ838" i="8" s="1"/>
  <c r="AL838" i="8" s="1"/>
  <c r="B877" i="8"/>
  <c r="AO874" i="8"/>
  <c r="AT874" i="8" s="1"/>
  <c r="B905" i="8"/>
  <c r="AG839" i="8"/>
  <c r="AH839" i="8" s="1"/>
  <c r="AJ839" i="8" s="1"/>
  <c r="AL839" i="8" s="1"/>
  <c r="AN839" i="8"/>
  <c r="E985" i="8"/>
  <c r="AE905" i="8"/>
  <c r="AE940" i="8"/>
  <c r="E989" i="8"/>
  <c r="AE944" i="8"/>
  <c r="AE909" i="8"/>
  <c r="B903" i="8"/>
  <c r="B859" i="8"/>
  <c r="B875" i="8"/>
  <c r="AO872" i="8"/>
  <c r="AG837" i="8"/>
  <c r="AN837" i="8"/>
  <c r="E987" i="8"/>
  <c r="AE907" i="8"/>
  <c r="AE942" i="8"/>
  <c r="M19" i="8"/>
  <c r="J20" i="8"/>
  <c r="M20" i="8" s="1"/>
  <c r="AF1006" i="8"/>
  <c r="AF1004" i="8"/>
  <c r="AF999" i="8"/>
  <c r="AF997" i="8"/>
  <c r="AF995" i="8"/>
  <c r="AF1002" i="8"/>
  <c r="AF991" i="8"/>
  <c r="AF989" i="8"/>
  <c r="AF1000" i="8"/>
  <c r="AF992" i="8"/>
  <c r="AF993" i="8"/>
  <c r="AF1005" i="8"/>
  <c r="AF998" i="8"/>
  <c r="AF996" i="8"/>
  <c r="AF1003" i="8"/>
  <c r="AF1001" i="8"/>
  <c r="AF994" i="8"/>
  <c r="AF987" i="8"/>
  <c r="AF990" i="8"/>
  <c r="AF983" i="8"/>
  <c r="AF985" i="8"/>
  <c r="AF986" i="8"/>
  <c r="AF988" i="8"/>
  <c r="AF984" i="8"/>
  <c r="C906" i="8"/>
  <c r="AP875" i="8"/>
  <c r="C878" i="8"/>
  <c r="AD946" i="8"/>
  <c r="AS946" i="8" s="1"/>
  <c r="AD911" i="8"/>
  <c r="AS911" i="8" s="1"/>
  <c r="R911" i="8"/>
  <c r="B939" i="8" s="1"/>
  <c r="R1018" i="8"/>
  <c r="AE945" i="8"/>
  <c r="AE910" i="8"/>
  <c r="E990" i="8"/>
  <c r="C859" i="8"/>
  <c r="E983" i="8"/>
  <c r="AE938" i="8"/>
  <c r="AE903" i="8"/>
  <c r="E994" i="8"/>
  <c r="AE949" i="8"/>
  <c r="AE914" i="8"/>
  <c r="U991" i="8"/>
  <c r="T991" i="8"/>
  <c r="AO876" i="8"/>
  <c r="AT876" i="8" s="1"/>
  <c r="B879" i="8"/>
  <c r="B907" i="8"/>
  <c r="AG841" i="8"/>
  <c r="AH841" i="8" s="1"/>
  <c r="AJ841" i="8" s="1"/>
  <c r="AL841" i="8" s="1"/>
  <c r="AN841" i="8"/>
  <c r="AO883" i="8"/>
  <c r="AT883" i="8" s="1"/>
  <c r="B886" i="8"/>
  <c r="B914" i="8"/>
  <c r="AG848" i="8"/>
  <c r="AH848" i="8" s="1"/>
  <c r="AJ848" i="8" s="1"/>
  <c r="AL848" i="8" s="1"/>
  <c r="AN848" i="8"/>
  <c r="AP885" i="8"/>
  <c r="E19" i="8"/>
  <c r="B20" i="8"/>
  <c r="E20" i="8" s="1"/>
  <c r="Q19" i="8"/>
  <c r="N20" i="8"/>
  <c r="Q20" i="8" s="1"/>
  <c r="AO878" i="8"/>
  <c r="AT878" i="8" s="1"/>
  <c r="AG843" i="8"/>
  <c r="AH843" i="8" s="1"/>
  <c r="AJ843" i="8" s="1"/>
  <c r="AL843" i="8" s="1"/>
  <c r="B909" i="8"/>
  <c r="AN843" i="8"/>
  <c r="B881" i="8"/>
  <c r="AE943" i="8"/>
  <c r="AE908" i="8"/>
  <c r="E988" i="8"/>
  <c r="R29" i="8"/>
  <c r="AF916" i="8"/>
  <c r="AE948" i="8"/>
  <c r="E993" i="8"/>
  <c r="AE913" i="8"/>
  <c r="AF1007" i="8" l="1"/>
  <c r="T989" i="8"/>
  <c r="U989" i="8"/>
  <c r="V989" i="8"/>
  <c r="T984" i="8"/>
  <c r="U984" i="8"/>
  <c r="AD943" i="8"/>
  <c r="AS943" i="8" s="1"/>
  <c r="AD908" i="8"/>
  <c r="AS908" i="8" s="1"/>
  <c r="R908" i="8"/>
  <c r="B936" i="8" s="1"/>
  <c r="R1015" i="8"/>
  <c r="V990" i="8"/>
  <c r="T990" i="8"/>
  <c r="U990" i="8"/>
  <c r="AH837" i="8"/>
  <c r="AD912" i="8"/>
  <c r="AS912" i="8" s="1"/>
  <c r="R912" i="8"/>
  <c r="B940" i="8" s="1"/>
  <c r="AD947" i="8"/>
  <c r="AS947" i="8" s="1"/>
  <c r="R1019" i="8"/>
  <c r="AT872" i="8"/>
  <c r="I19" i="8"/>
  <c r="F20" i="8"/>
  <c r="I20" i="8" s="1"/>
  <c r="R19" i="8"/>
  <c r="T994" i="8"/>
  <c r="U994" i="8"/>
  <c r="AE1006" i="8"/>
  <c r="AS1006" i="8" s="1"/>
  <c r="AE1004" i="8"/>
  <c r="AS1004" i="8" s="1"/>
  <c r="AE999" i="8"/>
  <c r="AS999" i="8" s="1"/>
  <c r="AE997" i="8"/>
  <c r="AS997" i="8" s="1"/>
  <c r="AE995" i="8"/>
  <c r="AS995" i="8" s="1"/>
  <c r="AE990" i="8"/>
  <c r="AS990" i="8" s="1"/>
  <c r="AE1002" i="8"/>
  <c r="AS1002" i="8" s="1"/>
  <c r="AE991" i="8"/>
  <c r="AS991" i="8" s="1"/>
  <c r="AE1000" i="8"/>
  <c r="AS1000" i="8" s="1"/>
  <c r="AE992" i="8"/>
  <c r="AS992" i="8" s="1"/>
  <c r="AE1005" i="8"/>
  <c r="AS1005" i="8" s="1"/>
  <c r="AE998" i="8"/>
  <c r="AS998" i="8" s="1"/>
  <c r="AE996" i="8"/>
  <c r="AS996" i="8" s="1"/>
  <c r="AE994" i="8"/>
  <c r="AS994" i="8" s="1"/>
  <c r="AE1003" i="8"/>
  <c r="AS1003" i="8" s="1"/>
  <c r="AE988" i="8"/>
  <c r="AS988" i="8" s="1"/>
  <c r="AE986" i="8"/>
  <c r="AS986" i="8" s="1"/>
  <c r="AE987" i="8"/>
  <c r="AS987" i="8" s="1"/>
  <c r="U985" i="8"/>
  <c r="AE984" i="8"/>
  <c r="AS984" i="8" s="1"/>
  <c r="AE993" i="8"/>
  <c r="AS993" i="8" s="1"/>
  <c r="AE1001" i="8"/>
  <c r="AS1001" i="8" s="1"/>
  <c r="AE989" i="8"/>
  <c r="AS989" i="8" s="1"/>
  <c r="AE983" i="8"/>
  <c r="AE985" i="8"/>
  <c r="AS985" i="8" s="1"/>
  <c r="T985" i="8"/>
  <c r="R20" i="8"/>
  <c r="E986" i="8"/>
  <c r="AE941" i="8"/>
  <c r="AE906" i="8"/>
  <c r="U993" i="8"/>
  <c r="T993" i="8"/>
  <c r="AD942" i="8"/>
  <c r="AS942" i="8" s="1"/>
  <c r="AD907" i="8"/>
  <c r="AS907" i="8" s="1"/>
  <c r="R907" i="8"/>
  <c r="B935" i="8" s="1"/>
  <c r="R1014" i="8"/>
  <c r="U992" i="8"/>
  <c r="T992" i="8"/>
  <c r="AD909" i="8"/>
  <c r="AS909" i="8" s="1"/>
  <c r="AD944" i="8"/>
  <c r="AS944" i="8" s="1"/>
  <c r="R909" i="8"/>
  <c r="B937" i="8" s="1"/>
  <c r="R1016" i="8"/>
  <c r="AE951" i="8"/>
  <c r="B966" i="8"/>
  <c r="C939" i="8"/>
  <c r="C966" i="8" s="1"/>
  <c r="E939" i="8"/>
  <c r="E966" i="8" s="1"/>
  <c r="AD938" i="8"/>
  <c r="R903" i="8"/>
  <c r="AD903" i="8"/>
  <c r="R1010" i="8"/>
  <c r="AD939" i="8"/>
  <c r="AS939" i="8" s="1"/>
  <c r="R904" i="8"/>
  <c r="B932" i="8" s="1"/>
  <c r="AD904" i="8"/>
  <c r="AS904" i="8" s="1"/>
  <c r="R1011" i="8"/>
  <c r="AE916" i="8"/>
  <c r="T983" i="8"/>
  <c r="U983" i="8"/>
  <c r="AU911" i="8"/>
  <c r="D939" i="8"/>
  <c r="AD940" i="8"/>
  <c r="AS940" i="8" s="1"/>
  <c r="AD905" i="8"/>
  <c r="AS905" i="8" s="1"/>
  <c r="R905" i="8"/>
  <c r="B933" i="8" s="1"/>
  <c r="R1012" i="8"/>
  <c r="AD945" i="8"/>
  <c r="AS945" i="8" s="1"/>
  <c r="AD910" i="8"/>
  <c r="AS910" i="8" s="1"/>
  <c r="R910" i="8"/>
  <c r="B938" i="8" s="1"/>
  <c r="R1017" i="8"/>
  <c r="V988" i="8"/>
  <c r="T988" i="8"/>
  <c r="U988" i="8"/>
  <c r="B906" i="8"/>
  <c r="B916" i="8" s="1"/>
  <c r="R1022" i="8" s="1"/>
  <c r="B878" i="8"/>
  <c r="AN840" i="8"/>
  <c r="AO875" i="8"/>
  <c r="AT875" i="8" s="1"/>
  <c r="AG840" i="8"/>
  <c r="AH840" i="8" s="1"/>
  <c r="AJ840" i="8" s="1"/>
  <c r="AL840" i="8" s="1"/>
  <c r="AD914" i="8"/>
  <c r="AS914" i="8" s="1"/>
  <c r="AD949" i="8"/>
  <c r="AS949" i="8" s="1"/>
  <c r="R914" i="8"/>
  <c r="B942" i="8" s="1"/>
  <c r="R1021" i="8"/>
  <c r="C916" i="8"/>
  <c r="U987" i="8"/>
  <c r="T987" i="8"/>
  <c r="AD948" i="8"/>
  <c r="AS948" i="8" s="1"/>
  <c r="AD913" i="8"/>
  <c r="AS913" i="8" s="1"/>
  <c r="R913" i="8"/>
  <c r="B941" i="8" s="1"/>
  <c r="R1020" i="8"/>
  <c r="AS938" i="8" l="1"/>
  <c r="AE1007" i="8"/>
  <c r="AS983" i="8"/>
  <c r="E942" i="8"/>
  <c r="E969" i="8" s="1"/>
  <c r="B969" i="8"/>
  <c r="C942" i="8"/>
  <c r="C969" i="8" s="1"/>
  <c r="B960" i="8"/>
  <c r="C933" i="8"/>
  <c r="C960" i="8" s="1"/>
  <c r="D937" i="8"/>
  <c r="AU909" i="8"/>
  <c r="B967" i="8"/>
  <c r="C940" i="8"/>
  <c r="C967" i="8" s="1"/>
  <c r="B963" i="8"/>
  <c r="C936" i="8"/>
  <c r="C963" i="8" s="1"/>
  <c r="E936" i="8"/>
  <c r="E963" i="8" s="1"/>
  <c r="AU912" i="8"/>
  <c r="D940" i="8"/>
  <c r="AU908" i="8"/>
  <c r="D936" i="8"/>
  <c r="D941" i="8"/>
  <c r="AU913" i="8"/>
  <c r="D942" i="8"/>
  <c r="AU914" i="8"/>
  <c r="E932" i="8"/>
  <c r="E959" i="8" s="1"/>
  <c r="B959" i="8"/>
  <c r="C932" i="8"/>
  <c r="C959" i="8" s="1"/>
  <c r="AJ837" i="8"/>
  <c r="AH850" i="8"/>
  <c r="AD906" i="8"/>
  <c r="AS906" i="8" s="1"/>
  <c r="AD941" i="8"/>
  <c r="AS941" i="8" s="1"/>
  <c r="R906" i="8"/>
  <c r="B934" i="8" s="1"/>
  <c r="R1013" i="8"/>
  <c r="D933" i="8"/>
  <c r="AU905" i="8"/>
  <c r="AG850" i="8"/>
  <c r="C938" i="8"/>
  <c r="C965" i="8" s="1"/>
  <c r="B965" i="8"/>
  <c r="E938" i="8"/>
  <c r="E965" i="8" s="1"/>
  <c r="B962" i="8"/>
  <c r="E935" i="8"/>
  <c r="E962" i="8" s="1"/>
  <c r="C935" i="8"/>
  <c r="C962" i="8" s="1"/>
  <c r="AT885" i="8"/>
  <c r="B968" i="8"/>
  <c r="E941" i="8"/>
  <c r="E968" i="8" s="1"/>
  <c r="C941" i="8"/>
  <c r="C968" i="8" s="1"/>
  <c r="U986" i="8"/>
  <c r="T986" i="8"/>
  <c r="D938" i="8"/>
  <c r="AU910" i="8"/>
  <c r="AS903" i="8"/>
  <c r="D935" i="8"/>
  <c r="AU907" i="8"/>
  <c r="AO885" i="8"/>
  <c r="D932" i="8"/>
  <c r="AU904" i="8"/>
  <c r="D966" i="8"/>
  <c r="F939" i="8"/>
  <c r="B931" i="8"/>
  <c r="R916" i="8"/>
  <c r="B964" i="8"/>
  <c r="E937" i="8"/>
  <c r="E964" i="8" s="1"/>
  <c r="C937" i="8"/>
  <c r="C964" i="8" s="1"/>
  <c r="F966" i="8" l="1"/>
  <c r="P939" i="8"/>
  <c r="D960" i="8"/>
  <c r="E940" i="8"/>
  <c r="E967" i="8" s="1"/>
  <c r="F942" i="8"/>
  <c r="D969" i="8"/>
  <c r="D964" i="8"/>
  <c r="F937" i="8"/>
  <c r="F932" i="8"/>
  <c r="D959" i="8"/>
  <c r="B961" i="8"/>
  <c r="C934" i="8"/>
  <c r="C961" i="8" s="1"/>
  <c r="E933" i="8"/>
  <c r="E960" i="8" s="1"/>
  <c r="D962" i="8"/>
  <c r="F935" i="8"/>
  <c r="D968" i="8"/>
  <c r="F941" i="8"/>
  <c r="B958" i="8"/>
  <c r="C931" i="8"/>
  <c r="B944" i="8"/>
  <c r="E931" i="8"/>
  <c r="E958" i="8" s="1"/>
  <c r="AU906" i="8"/>
  <c r="D934" i="8"/>
  <c r="F936" i="8"/>
  <c r="D963" i="8"/>
  <c r="AS1007" i="8"/>
  <c r="AT983" i="8" s="1"/>
  <c r="AT1007" i="8" s="1"/>
  <c r="AS916" i="8"/>
  <c r="AU916" i="8" s="1"/>
  <c r="D931" i="8"/>
  <c r="AU903" i="8"/>
  <c r="AD916" i="8"/>
  <c r="AJ850" i="8"/>
  <c r="AL837" i="8"/>
  <c r="AL850" i="8" s="1"/>
  <c r="F940" i="8"/>
  <c r="D967" i="8"/>
  <c r="AD951" i="8"/>
  <c r="D965" i="8"/>
  <c r="F938" i="8"/>
  <c r="AS951" i="8"/>
  <c r="D958" i="8" l="1"/>
  <c r="D944" i="8"/>
  <c r="F931" i="8"/>
  <c r="E934" i="8"/>
  <c r="E961" i="8" s="1"/>
  <c r="F969" i="8"/>
  <c r="P942" i="8"/>
  <c r="F933" i="8"/>
  <c r="P940" i="8"/>
  <c r="F967" i="8"/>
  <c r="AU983" i="8"/>
  <c r="AT989" i="8"/>
  <c r="AU989" i="8" s="1"/>
  <c r="AX989" i="8" s="1"/>
  <c r="AT992" i="8"/>
  <c r="AU992" i="8" s="1"/>
  <c r="AX992" i="8" s="1"/>
  <c r="AT985" i="8"/>
  <c r="AU985" i="8" s="1"/>
  <c r="AX985" i="8" s="1"/>
  <c r="AT994" i="8"/>
  <c r="AU994" i="8" s="1"/>
  <c r="AX994" i="8" s="1"/>
  <c r="AT1004" i="8"/>
  <c r="AU1004" i="8" s="1"/>
  <c r="AX1004" i="8" s="1"/>
  <c r="AT998" i="8"/>
  <c r="AU998" i="8" s="1"/>
  <c r="AX998" i="8" s="1"/>
  <c r="AT984" i="8"/>
  <c r="AU984" i="8" s="1"/>
  <c r="AX984" i="8" s="1"/>
  <c r="AT986" i="8"/>
  <c r="AU986" i="8" s="1"/>
  <c r="AX986" i="8" s="1"/>
  <c r="AT1003" i="8"/>
  <c r="AU1003" i="8" s="1"/>
  <c r="AX1003" i="8" s="1"/>
  <c r="AT1005" i="8"/>
  <c r="AU1005" i="8" s="1"/>
  <c r="AX1005" i="8" s="1"/>
  <c r="AT993" i="8"/>
  <c r="AU993" i="8" s="1"/>
  <c r="AX993" i="8" s="1"/>
  <c r="AT988" i="8"/>
  <c r="AU988" i="8" s="1"/>
  <c r="AX988" i="8" s="1"/>
  <c r="AT1002" i="8"/>
  <c r="AU1002" i="8" s="1"/>
  <c r="AX1002" i="8" s="1"/>
  <c r="AT1001" i="8"/>
  <c r="AU1001" i="8" s="1"/>
  <c r="AX1001" i="8" s="1"/>
  <c r="AT999" i="8"/>
  <c r="AU999" i="8" s="1"/>
  <c r="AX999" i="8" s="1"/>
  <c r="AT1000" i="8"/>
  <c r="AU1000" i="8" s="1"/>
  <c r="AX1000" i="8" s="1"/>
  <c r="AT996" i="8"/>
  <c r="AU996" i="8" s="1"/>
  <c r="AX996" i="8" s="1"/>
  <c r="AT991" i="8"/>
  <c r="AU991" i="8" s="1"/>
  <c r="AX991" i="8" s="1"/>
  <c r="AT990" i="8"/>
  <c r="AU990" i="8" s="1"/>
  <c r="AX990" i="8" s="1"/>
  <c r="AT997" i="8"/>
  <c r="AU997" i="8" s="1"/>
  <c r="AX997" i="8" s="1"/>
  <c r="AT987" i="8"/>
  <c r="AU987" i="8" s="1"/>
  <c r="AX987" i="8" s="1"/>
  <c r="AT1006" i="8"/>
  <c r="AU1006" i="8" s="1"/>
  <c r="AX1006" i="8" s="1"/>
  <c r="AT995" i="8"/>
  <c r="AU995" i="8" s="1"/>
  <c r="AX995" i="8" s="1"/>
  <c r="F968" i="8"/>
  <c r="P941" i="8"/>
  <c r="F963" i="8"/>
  <c r="P936" i="8"/>
  <c r="F959" i="8"/>
  <c r="P932" i="8"/>
  <c r="C1067" i="8"/>
  <c r="E1067" i="8"/>
  <c r="P966" i="8"/>
  <c r="R939" i="8"/>
  <c r="Q939" i="8"/>
  <c r="C958" i="8"/>
  <c r="C944" i="8"/>
  <c r="E944" i="8" s="1"/>
  <c r="F965" i="8"/>
  <c r="P938" i="8"/>
  <c r="F934" i="8"/>
  <c r="D961" i="8"/>
  <c r="F962" i="8"/>
  <c r="P935" i="8"/>
  <c r="F964" i="8"/>
  <c r="P937" i="8"/>
  <c r="E1065" i="8" l="1"/>
  <c r="C1065" i="8"/>
  <c r="P964" i="8"/>
  <c r="R937" i="8"/>
  <c r="Q937" i="8"/>
  <c r="E1060" i="8"/>
  <c r="C1060" i="8"/>
  <c r="R932" i="8"/>
  <c r="P959" i="8"/>
  <c r="Q932" i="8"/>
  <c r="F960" i="8"/>
  <c r="P933" i="8"/>
  <c r="E1070" i="8"/>
  <c r="C1070" i="8"/>
  <c r="P969" i="8"/>
  <c r="R942" i="8"/>
  <c r="Q942" i="8"/>
  <c r="E1064" i="8"/>
  <c r="C1064" i="8"/>
  <c r="P963" i="8"/>
  <c r="R936" i="8"/>
  <c r="Q936" i="8"/>
  <c r="C1069" i="8"/>
  <c r="E1069" i="8"/>
  <c r="P968" i="8"/>
  <c r="R941" i="8"/>
  <c r="Q941" i="8"/>
  <c r="R966" i="8"/>
  <c r="Q966" i="8"/>
  <c r="AU1007" i="8"/>
  <c r="AX983" i="8"/>
  <c r="AX1007" i="8" s="1"/>
  <c r="F958" i="8"/>
  <c r="P931" i="8"/>
  <c r="F944" i="8"/>
  <c r="P944" i="8" s="1"/>
  <c r="E1063" i="8"/>
  <c r="C1063" i="8"/>
  <c r="P962" i="8"/>
  <c r="R935" i="8"/>
  <c r="Q935" i="8"/>
  <c r="F961" i="8"/>
  <c r="P934" i="8"/>
  <c r="E1066" i="8"/>
  <c r="C1066" i="8"/>
  <c r="R938" i="8"/>
  <c r="Q938" i="8"/>
  <c r="P965" i="8"/>
  <c r="E1068" i="8"/>
  <c r="C1068" i="8"/>
  <c r="P967" i="8"/>
  <c r="R940" i="8"/>
  <c r="Q940" i="8"/>
  <c r="Q969" i="8" l="1"/>
  <c r="R969" i="8"/>
  <c r="F1070" i="8"/>
  <c r="Q965" i="8"/>
  <c r="R965" i="8"/>
  <c r="Q963" i="8"/>
  <c r="R963" i="8"/>
  <c r="E1061" i="8"/>
  <c r="C1061" i="8"/>
  <c r="P960" i="8"/>
  <c r="R933" i="8"/>
  <c r="Q933" i="8"/>
  <c r="R962" i="8"/>
  <c r="Q962" i="8"/>
  <c r="R964" i="8"/>
  <c r="Q964" i="8"/>
  <c r="R967" i="8"/>
  <c r="Q967" i="8"/>
  <c r="E1062" i="8"/>
  <c r="F1064" i="8" s="1"/>
  <c r="C1062" i="8"/>
  <c r="P961" i="8"/>
  <c r="R934" i="8"/>
  <c r="Q934" i="8"/>
  <c r="E1059" i="8"/>
  <c r="C1059" i="8"/>
  <c r="P958" i="8"/>
  <c r="R931" i="8"/>
  <c r="R944" i="8" s="1"/>
  <c r="Q931" i="8"/>
  <c r="Q944" i="8" s="1"/>
  <c r="R968" i="8"/>
  <c r="Q968" i="8"/>
  <c r="Q959" i="8"/>
  <c r="R959" i="8"/>
  <c r="F1067" i="8"/>
  <c r="F1061" i="8" l="1"/>
  <c r="E1073" i="8"/>
  <c r="Q961" i="8"/>
  <c r="R961" i="8"/>
  <c r="R958" i="8"/>
  <c r="Q958" i="8"/>
  <c r="R960" i="8"/>
  <c r="Q960" i="8"/>
  <c r="C1073" i="8"/>
  <c r="O1098" i="7" l="1"/>
  <c r="K1098" i="7"/>
  <c r="Q1095" i="7"/>
  <c r="M1095" i="7"/>
  <c r="G1095" i="7"/>
  <c r="I1095" i="7" s="1"/>
  <c r="Q1094" i="7"/>
  <c r="M1094" i="7"/>
  <c r="I1094" i="7"/>
  <c r="G1094" i="7"/>
  <c r="Q1093" i="7"/>
  <c r="R1095" i="7" s="1"/>
  <c r="M1093" i="7"/>
  <c r="N1095" i="7" s="1"/>
  <c r="G1093" i="7"/>
  <c r="I1093" i="7" s="1"/>
  <c r="J1095" i="7" s="1"/>
  <c r="R1092" i="7"/>
  <c r="Q1092" i="7"/>
  <c r="M1092" i="7"/>
  <c r="G1092" i="7"/>
  <c r="I1092" i="7" s="1"/>
  <c r="Q1091" i="7"/>
  <c r="M1091" i="7"/>
  <c r="G1091" i="7"/>
  <c r="I1091" i="7" s="1"/>
  <c r="Q1090" i="7"/>
  <c r="M1090" i="7"/>
  <c r="N1092" i="7" s="1"/>
  <c r="I1090" i="7"/>
  <c r="J1092" i="7" s="1"/>
  <c r="G1090" i="7"/>
  <c r="Q1089" i="7"/>
  <c r="N1089" i="7"/>
  <c r="M1089" i="7"/>
  <c r="G1089" i="7"/>
  <c r="I1089" i="7" s="1"/>
  <c r="Q1088" i="7"/>
  <c r="M1088" i="7"/>
  <c r="I1088" i="7"/>
  <c r="G1088" i="7"/>
  <c r="Q1087" i="7"/>
  <c r="M1087" i="7"/>
  <c r="I1087" i="7"/>
  <c r="J1089" i="7" s="1"/>
  <c r="G1087" i="7"/>
  <c r="Q1086" i="7"/>
  <c r="M1086" i="7"/>
  <c r="I1086" i="7"/>
  <c r="G1086" i="7"/>
  <c r="Q1085" i="7"/>
  <c r="M1085" i="7"/>
  <c r="I1085" i="7"/>
  <c r="J1086" i="7" s="1"/>
  <c r="G1085" i="7"/>
  <c r="G1098" i="7" s="1"/>
  <c r="Q1084" i="7"/>
  <c r="R1086" i="7" s="1"/>
  <c r="M1084" i="7"/>
  <c r="M1098" i="7" s="1"/>
  <c r="I1084" i="7"/>
  <c r="G1078" i="7"/>
  <c r="O1077" i="7"/>
  <c r="K1077" i="7"/>
  <c r="C1077" i="7"/>
  <c r="I1074" i="7"/>
  <c r="J1071" i="7"/>
  <c r="Q1070" i="7"/>
  <c r="P1046" i="7"/>
  <c r="O1046" i="7"/>
  <c r="L1046" i="7"/>
  <c r="J1046" i="7"/>
  <c r="G1046" i="7" s="1"/>
  <c r="C1019" i="7" s="1"/>
  <c r="I1046" i="7"/>
  <c r="F1046" i="7" s="1"/>
  <c r="B1019" i="7" s="1"/>
  <c r="P1045" i="7"/>
  <c r="O1045" i="7" s="1"/>
  <c r="J1045" i="7"/>
  <c r="L1045" i="7" s="1"/>
  <c r="I1045" i="7"/>
  <c r="F1045" i="7" s="1"/>
  <c r="B1018" i="7" s="1"/>
  <c r="G1045" i="7"/>
  <c r="P1044" i="7"/>
  <c r="O1044" i="7" s="1"/>
  <c r="J1044" i="7"/>
  <c r="I1044" i="7"/>
  <c r="G1044" i="7"/>
  <c r="P1043" i="7"/>
  <c r="O1043" i="7" s="1"/>
  <c r="L1043" i="7"/>
  <c r="J1043" i="7"/>
  <c r="G1043" i="7" s="1"/>
  <c r="C1016" i="7" s="1"/>
  <c r="I1043" i="7"/>
  <c r="F1043" i="7"/>
  <c r="P1042" i="7"/>
  <c r="O1042" i="7" s="1"/>
  <c r="K1042" i="7"/>
  <c r="J1042" i="7"/>
  <c r="L1042" i="7" s="1"/>
  <c r="I1042" i="7"/>
  <c r="H1042" i="7"/>
  <c r="D1015" i="7" s="1"/>
  <c r="G1042" i="7"/>
  <c r="F1042" i="7"/>
  <c r="P1041" i="7"/>
  <c r="O1041" i="7" s="1"/>
  <c r="L1041" i="7"/>
  <c r="K1041" i="7"/>
  <c r="J1041" i="7"/>
  <c r="I1041" i="7"/>
  <c r="F1041" i="7" s="1"/>
  <c r="H1041" i="7"/>
  <c r="G1041" i="7"/>
  <c r="P1040" i="7"/>
  <c r="O1040" i="7" s="1"/>
  <c r="K1040" i="7"/>
  <c r="J1040" i="7"/>
  <c r="I1040" i="7"/>
  <c r="F1040" i="7" s="1"/>
  <c r="H1040" i="7"/>
  <c r="P1039" i="7"/>
  <c r="O1039" i="7" s="1"/>
  <c r="J1039" i="7"/>
  <c r="L1039" i="7" s="1"/>
  <c r="I1039" i="7"/>
  <c r="F1039" i="7" s="1"/>
  <c r="G1039" i="7"/>
  <c r="P1038" i="7"/>
  <c r="O1038" i="7"/>
  <c r="J1038" i="7"/>
  <c r="I1038" i="7"/>
  <c r="G1038" i="7"/>
  <c r="P1037" i="7"/>
  <c r="O1037" i="7" s="1"/>
  <c r="L1037" i="7"/>
  <c r="J1037" i="7"/>
  <c r="G1037" i="7" s="1"/>
  <c r="C1010" i="7" s="1"/>
  <c r="AD1021" i="7" s="1"/>
  <c r="I1037" i="7"/>
  <c r="F1037" i="7"/>
  <c r="P1036" i="7"/>
  <c r="O1036" i="7" s="1"/>
  <c r="J1036" i="7"/>
  <c r="L1036" i="7" s="1"/>
  <c r="I1036" i="7"/>
  <c r="F1036" i="7"/>
  <c r="B1009" i="7" s="1"/>
  <c r="P1035" i="7"/>
  <c r="O1035" i="7"/>
  <c r="J1035" i="7"/>
  <c r="I1035" i="7"/>
  <c r="F1035" i="7" s="1"/>
  <c r="AD1030" i="7"/>
  <c r="B1029" i="7"/>
  <c r="B1026" i="7"/>
  <c r="Q1025" i="7"/>
  <c r="C1018" i="7"/>
  <c r="C1017" i="7"/>
  <c r="AD1016" i="7"/>
  <c r="B1016" i="7"/>
  <c r="C1015" i="7"/>
  <c r="B1015" i="7"/>
  <c r="AD1014" i="7"/>
  <c r="D1014" i="7"/>
  <c r="C1014" i="7"/>
  <c r="B1014" i="7"/>
  <c r="AD1013" i="7"/>
  <c r="D1013" i="7"/>
  <c r="B1013" i="7"/>
  <c r="C1012" i="7"/>
  <c r="B1012" i="7"/>
  <c r="AD1011" i="7"/>
  <c r="C1011" i="7"/>
  <c r="AD1010" i="7"/>
  <c r="B1010" i="7"/>
  <c r="AD1031" i="7" s="1"/>
  <c r="AD1009" i="7"/>
  <c r="AD1008" i="7"/>
  <c r="B1008" i="7"/>
  <c r="AE1005" i="7"/>
  <c r="B1004" i="7"/>
  <c r="B1001" i="7"/>
  <c r="Q1000" i="7"/>
  <c r="M978" i="7"/>
  <c r="N969" i="7"/>
  <c r="L969" i="7"/>
  <c r="K969" i="7"/>
  <c r="I969" i="7"/>
  <c r="H969" i="7"/>
  <c r="J969" i="7" s="1"/>
  <c r="O967" i="7"/>
  <c r="J967" i="7"/>
  <c r="O966" i="7"/>
  <c r="J966" i="7"/>
  <c r="O965" i="7"/>
  <c r="J965" i="7"/>
  <c r="O964" i="7"/>
  <c r="J964" i="7"/>
  <c r="O963" i="7"/>
  <c r="J963" i="7"/>
  <c r="O962" i="7"/>
  <c r="J962" i="7"/>
  <c r="AR961" i="7"/>
  <c r="AQ961" i="7"/>
  <c r="AP961" i="7"/>
  <c r="AO961" i="7"/>
  <c r="AN961" i="7"/>
  <c r="AM961" i="7"/>
  <c r="AL961" i="7"/>
  <c r="AK961" i="7"/>
  <c r="AJ961" i="7"/>
  <c r="AI961" i="7"/>
  <c r="AH961" i="7"/>
  <c r="AG961" i="7"/>
  <c r="AF961" i="7"/>
  <c r="AE961" i="7"/>
  <c r="AD961" i="7"/>
  <c r="O961" i="7"/>
  <c r="J961" i="7"/>
  <c r="M960" i="7"/>
  <c r="J960" i="7"/>
  <c r="M959" i="7"/>
  <c r="J959" i="7"/>
  <c r="O958" i="7"/>
  <c r="J958" i="7"/>
  <c r="O957" i="7"/>
  <c r="J957" i="7"/>
  <c r="O956" i="7"/>
  <c r="M956" i="7"/>
  <c r="J956" i="7"/>
  <c r="AD951" i="7"/>
  <c r="AD948" i="7"/>
  <c r="B948" i="7"/>
  <c r="AR947" i="7"/>
  <c r="B947" i="7"/>
  <c r="Q946" i="7"/>
  <c r="G935" i="7"/>
  <c r="AR926" i="7"/>
  <c r="AQ926" i="7"/>
  <c r="AP926" i="7"/>
  <c r="AO926" i="7"/>
  <c r="AN926" i="7"/>
  <c r="AM926" i="7"/>
  <c r="AL926" i="7"/>
  <c r="AK926" i="7"/>
  <c r="AJ926" i="7"/>
  <c r="AI926" i="7"/>
  <c r="AH926" i="7"/>
  <c r="AG926" i="7"/>
  <c r="AF926" i="7"/>
  <c r="AE926" i="7"/>
  <c r="AD926" i="7"/>
  <c r="B921" i="7"/>
  <c r="B918" i="7"/>
  <c r="Q917" i="7"/>
  <c r="AD916" i="7"/>
  <c r="AD913" i="7"/>
  <c r="AR912" i="7"/>
  <c r="AG908" i="7"/>
  <c r="AH907" i="7"/>
  <c r="AG907" i="7"/>
  <c r="AD907" i="7"/>
  <c r="AS906" i="7"/>
  <c r="AH906" i="7"/>
  <c r="AH903" i="7"/>
  <c r="AG902" i="7"/>
  <c r="AE902" i="7"/>
  <c r="AD899" i="7"/>
  <c r="AG898" i="7"/>
  <c r="AD898" i="7"/>
  <c r="AE897" i="7"/>
  <c r="AD897" i="7"/>
  <c r="AR895" i="7"/>
  <c r="AQ895" i="7"/>
  <c r="AP895" i="7"/>
  <c r="AO895" i="7"/>
  <c r="AG895" i="7"/>
  <c r="AF895" i="7"/>
  <c r="AF903" i="7" s="1"/>
  <c r="AE895" i="7"/>
  <c r="AD895" i="7"/>
  <c r="B895" i="7"/>
  <c r="B892" i="7"/>
  <c r="Q891" i="7"/>
  <c r="AR890" i="7"/>
  <c r="AG890" i="7"/>
  <c r="AS887" i="7"/>
  <c r="AH887" i="7"/>
  <c r="AS885" i="7"/>
  <c r="T882" i="7"/>
  <c r="G882" i="7"/>
  <c r="F882" i="7"/>
  <c r="AD908" i="7" s="1"/>
  <c r="T881" i="7"/>
  <c r="G881" i="7"/>
  <c r="F881" i="7"/>
  <c r="T880" i="7"/>
  <c r="G880" i="7"/>
  <c r="F880" i="7"/>
  <c r="AD906" i="7" s="1"/>
  <c r="T879" i="7"/>
  <c r="G879" i="7"/>
  <c r="G936" i="7" s="1"/>
  <c r="F879" i="7"/>
  <c r="T878" i="7"/>
  <c r="G878" i="7"/>
  <c r="F878" i="7"/>
  <c r="AE904" i="7" s="1"/>
  <c r="T877" i="7"/>
  <c r="G877" i="7"/>
  <c r="F877" i="7"/>
  <c r="T876" i="7"/>
  <c r="G876" i="7"/>
  <c r="G933" i="7" s="1"/>
  <c r="F876" i="7"/>
  <c r="AD902" i="7" s="1"/>
  <c r="T875" i="7"/>
  <c r="G875" i="7"/>
  <c r="G932" i="7" s="1"/>
  <c r="F875" i="7"/>
  <c r="T874" i="7"/>
  <c r="AE865" i="7" s="1"/>
  <c r="G874" i="7"/>
  <c r="F874" i="7"/>
  <c r="AF900" i="7" s="1"/>
  <c r="AE873" i="7"/>
  <c r="AD873" i="7"/>
  <c r="T873" i="7"/>
  <c r="G873" i="7"/>
  <c r="F873" i="7"/>
  <c r="AO872" i="7"/>
  <c r="AE872" i="7"/>
  <c r="AF872" i="7" s="1"/>
  <c r="AD872" i="7"/>
  <c r="T872" i="7"/>
  <c r="AE863" i="7" s="1"/>
  <c r="G872" i="7"/>
  <c r="F872" i="7"/>
  <c r="AO871" i="7"/>
  <c r="AF871" i="7"/>
  <c r="AE871" i="7"/>
  <c r="AD871" i="7"/>
  <c r="T871" i="7"/>
  <c r="G871" i="7"/>
  <c r="F871" i="7"/>
  <c r="AS897" i="7" s="1"/>
  <c r="AE870" i="7"/>
  <c r="AE869" i="7"/>
  <c r="AO868" i="7"/>
  <c r="AE868" i="7"/>
  <c r="AF868" i="7" s="1"/>
  <c r="AD868" i="7"/>
  <c r="AE867" i="7"/>
  <c r="AE866" i="7"/>
  <c r="B866" i="7"/>
  <c r="AO864" i="7"/>
  <c r="AF864" i="7"/>
  <c r="AE864" i="7"/>
  <c r="AD864" i="7"/>
  <c r="AO863" i="7"/>
  <c r="AF863" i="7"/>
  <c r="AD863" i="7"/>
  <c r="B863" i="7"/>
  <c r="AE862" i="7"/>
  <c r="AD862" i="7"/>
  <c r="Q862" i="7"/>
  <c r="AF854" i="7"/>
  <c r="AS853" i="7"/>
  <c r="AN853" i="7"/>
  <c r="A844" i="7"/>
  <c r="A842" i="7"/>
  <c r="Q838" i="7"/>
  <c r="B834" i="7"/>
  <c r="Q832" i="7"/>
  <c r="P832" i="7"/>
  <c r="O832" i="7"/>
  <c r="N832" i="7"/>
  <c r="M832" i="7"/>
  <c r="L832" i="7"/>
  <c r="K832" i="7"/>
  <c r="J832" i="7"/>
  <c r="H832" i="7"/>
  <c r="G832" i="7"/>
  <c r="F832" i="7"/>
  <c r="I832" i="7" s="1"/>
  <c r="E832" i="7"/>
  <c r="D832" i="7"/>
  <c r="C832" i="7"/>
  <c r="B832" i="7"/>
  <c r="P831" i="7"/>
  <c r="O831" i="7"/>
  <c r="N831" i="7"/>
  <c r="Q831" i="7" s="1"/>
  <c r="L831" i="7"/>
  <c r="K831" i="7"/>
  <c r="J831" i="7"/>
  <c r="M831" i="7" s="1"/>
  <c r="H831" i="7"/>
  <c r="G831" i="7"/>
  <c r="F831" i="7"/>
  <c r="I831" i="7" s="1"/>
  <c r="D831" i="7"/>
  <c r="D833" i="7" s="1"/>
  <c r="C831" i="7"/>
  <c r="B831" i="7"/>
  <c r="P830" i="7"/>
  <c r="P833" i="7" s="1"/>
  <c r="O830" i="7"/>
  <c r="O833" i="7" s="1"/>
  <c r="N830" i="7"/>
  <c r="M830" i="7"/>
  <c r="L830" i="7"/>
  <c r="L833" i="7" s="1"/>
  <c r="K830" i="7"/>
  <c r="K833" i="7" s="1"/>
  <c r="J830" i="7"/>
  <c r="H830" i="7"/>
  <c r="H833" i="7" s="1"/>
  <c r="G830" i="7"/>
  <c r="G833" i="7" s="1"/>
  <c r="F830" i="7"/>
  <c r="E830" i="7"/>
  <c r="D830" i="7"/>
  <c r="C830" i="7"/>
  <c r="C833" i="7" s="1"/>
  <c r="B830" i="7"/>
  <c r="P829" i="7"/>
  <c r="O829" i="7"/>
  <c r="N829" i="7"/>
  <c r="Q829" i="7" s="1"/>
  <c r="L829" i="7"/>
  <c r="M829" i="7" s="1"/>
  <c r="K829" i="7"/>
  <c r="J829" i="7"/>
  <c r="H829" i="7"/>
  <c r="G829" i="7"/>
  <c r="F829" i="7"/>
  <c r="I829" i="7" s="1"/>
  <c r="D829" i="7"/>
  <c r="E829" i="7" s="1"/>
  <c r="C829" i="7"/>
  <c r="B829" i="7"/>
  <c r="P828" i="7"/>
  <c r="O828" i="7"/>
  <c r="Q828" i="7" s="1"/>
  <c r="N828" i="7"/>
  <c r="L828" i="7"/>
  <c r="K828" i="7"/>
  <c r="J828" i="7"/>
  <c r="M828" i="7" s="1"/>
  <c r="H828" i="7"/>
  <c r="G828" i="7"/>
  <c r="I828" i="7" s="1"/>
  <c r="F828" i="7"/>
  <c r="D828" i="7"/>
  <c r="C828" i="7"/>
  <c r="B828" i="7"/>
  <c r="E828" i="7" s="1"/>
  <c r="R828" i="7" s="1"/>
  <c r="P827" i="7"/>
  <c r="P834" i="7" s="1"/>
  <c r="P856" i="7" s="1"/>
  <c r="O827" i="7"/>
  <c r="N827" i="7"/>
  <c r="N834" i="7" s="1"/>
  <c r="L827" i="7"/>
  <c r="K827" i="7"/>
  <c r="K834" i="7" s="1"/>
  <c r="K856" i="7" s="1"/>
  <c r="J827" i="7"/>
  <c r="M827" i="7" s="1"/>
  <c r="H827" i="7"/>
  <c r="H834" i="7" s="1"/>
  <c r="H856" i="7" s="1"/>
  <c r="G827" i="7"/>
  <c r="F827" i="7"/>
  <c r="F834" i="7" s="1"/>
  <c r="D827" i="7"/>
  <c r="C827" i="7"/>
  <c r="C834" i="7" s="1"/>
  <c r="C856" i="7" s="1"/>
  <c r="B827" i="7"/>
  <c r="E827" i="7" s="1"/>
  <c r="P825" i="7"/>
  <c r="P854" i="7" s="1"/>
  <c r="B825" i="7"/>
  <c r="P824" i="7"/>
  <c r="O824" i="7"/>
  <c r="N824" i="7"/>
  <c r="Q824" i="7" s="1"/>
  <c r="L824" i="7"/>
  <c r="K824" i="7"/>
  <c r="P823" i="7"/>
  <c r="O823" i="7"/>
  <c r="O825" i="7" s="1"/>
  <c r="O854" i="7" s="1"/>
  <c r="L821" i="7"/>
  <c r="L852" i="7" s="1"/>
  <c r="D821" i="7"/>
  <c r="D852" i="7" s="1"/>
  <c r="P820" i="7"/>
  <c r="O820" i="7"/>
  <c r="N820" i="7"/>
  <c r="Q820" i="7" s="1"/>
  <c r="M820" i="7"/>
  <c r="L820" i="7"/>
  <c r="K820" i="7"/>
  <c r="J820" i="7"/>
  <c r="H820" i="7"/>
  <c r="G820" i="7"/>
  <c r="F820" i="7"/>
  <c r="I820" i="7" s="1"/>
  <c r="E820" i="7"/>
  <c r="D820" i="7"/>
  <c r="C820" i="7"/>
  <c r="B820" i="7"/>
  <c r="P819" i="7"/>
  <c r="O819" i="7"/>
  <c r="N819" i="7"/>
  <c r="Q819" i="7" s="1"/>
  <c r="L819" i="7"/>
  <c r="K819" i="7"/>
  <c r="J819" i="7"/>
  <c r="M819" i="7" s="1"/>
  <c r="G819" i="7"/>
  <c r="F819" i="7"/>
  <c r="D819" i="7"/>
  <c r="C819" i="7"/>
  <c r="B819" i="7"/>
  <c r="E819" i="7" s="1"/>
  <c r="P818" i="7"/>
  <c r="P821" i="7" s="1"/>
  <c r="P852" i="7" s="1"/>
  <c r="O818" i="7"/>
  <c r="N818" i="7"/>
  <c r="N821" i="7" s="1"/>
  <c r="L818" i="7"/>
  <c r="K818" i="7"/>
  <c r="K821" i="7" s="1"/>
  <c r="K852" i="7" s="1"/>
  <c r="J818" i="7"/>
  <c r="J821" i="7" s="1"/>
  <c r="J852" i="7" s="1"/>
  <c r="H818" i="7"/>
  <c r="G818" i="7"/>
  <c r="F818" i="7"/>
  <c r="F821" i="7" s="1"/>
  <c r="D818" i="7"/>
  <c r="C818" i="7"/>
  <c r="C821" i="7" s="1"/>
  <c r="C852" i="7" s="1"/>
  <c r="B818" i="7"/>
  <c r="B821" i="7" s="1"/>
  <c r="B852" i="7" s="1"/>
  <c r="E852" i="7" s="1"/>
  <c r="P815" i="7"/>
  <c r="O815" i="7"/>
  <c r="N815" i="7"/>
  <c r="Q815" i="7" s="1"/>
  <c r="L815" i="7"/>
  <c r="K815" i="7"/>
  <c r="J815" i="7"/>
  <c r="H815" i="7"/>
  <c r="G815" i="7"/>
  <c r="F815" i="7"/>
  <c r="I815" i="7" s="1"/>
  <c r="D815" i="7"/>
  <c r="C815" i="7"/>
  <c r="B815" i="7"/>
  <c r="E815" i="7" s="1"/>
  <c r="P814" i="7"/>
  <c r="O814" i="7"/>
  <c r="N814" i="7"/>
  <c r="Q814" i="7" s="1"/>
  <c r="L814" i="7"/>
  <c r="K814" i="7"/>
  <c r="J814" i="7"/>
  <c r="M814" i="7" s="1"/>
  <c r="H814" i="7"/>
  <c r="G814" i="7"/>
  <c r="F814" i="7"/>
  <c r="I814" i="7" s="1"/>
  <c r="D814" i="7"/>
  <c r="C814" i="7"/>
  <c r="B814" i="7"/>
  <c r="P813" i="7"/>
  <c r="O813" i="7"/>
  <c r="Q813" i="7" s="1"/>
  <c r="N813" i="7"/>
  <c r="M813" i="7"/>
  <c r="L813" i="7"/>
  <c r="K813" i="7"/>
  <c r="J813" i="7"/>
  <c r="H813" i="7"/>
  <c r="G813" i="7"/>
  <c r="I813" i="7" s="1"/>
  <c r="F813" i="7"/>
  <c r="E813" i="7"/>
  <c r="D813" i="7"/>
  <c r="C813" i="7"/>
  <c r="B813" i="7"/>
  <c r="P812" i="7"/>
  <c r="O812" i="7"/>
  <c r="N812" i="7"/>
  <c r="Q812" i="7" s="1"/>
  <c r="M812" i="7"/>
  <c r="L812" i="7"/>
  <c r="K812" i="7"/>
  <c r="J812" i="7"/>
  <c r="H812" i="7"/>
  <c r="G812" i="7"/>
  <c r="F812" i="7"/>
  <c r="I812" i="7" s="1"/>
  <c r="E812" i="7"/>
  <c r="R812" i="7" s="1"/>
  <c r="D812" i="7"/>
  <c r="C812" i="7"/>
  <c r="B812" i="7"/>
  <c r="P811" i="7"/>
  <c r="O811" i="7"/>
  <c r="N811" i="7"/>
  <c r="L811" i="7"/>
  <c r="K811" i="7"/>
  <c r="J811" i="7"/>
  <c r="M811" i="7" s="1"/>
  <c r="H811" i="7"/>
  <c r="G811" i="7"/>
  <c r="F811" i="7"/>
  <c r="I811" i="7" s="1"/>
  <c r="D811" i="7"/>
  <c r="C811" i="7"/>
  <c r="B811" i="7"/>
  <c r="E811" i="7" s="1"/>
  <c r="H810" i="7"/>
  <c r="H816" i="7" s="1"/>
  <c r="A803" i="7"/>
  <c r="A801" i="7"/>
  <c r="Q797" i="7"/>
  <c r="Q790" i="7"/>
  <c r="M790" i="7"/>
  <c r="I790" i="7"/>
  <c r="R790" i="7" s="1"/>
  <c r="E790" i="7"/>
  <c r="L789" i="7"/>
  <c r="L792" i="7" s="1"/>
  <c r="D789" i="7"/>
  <c r="D792" i="7" s="1"/>
  <c r="P788" i="7"/>
  <c r="O788" i="7"/>
  <c r="Q788" i="7" s="1"/>
  <c r="N788" i="7"/>
  <c r="M788" i="7"/>
  <c r="L788" i="7"/>
  <c r="K788" i="7"/>
  <c r="J788" i="7"/>
  <c r="H788" i="7"/>
  <c r="G788" i="7"/>
  <c r="I788" i="7" s="1"/>
  <c r="F788" i="7"/>
  <c r="E788" i="7"/>
  <c r="R788" i="7" s="1"/>
  <c r="D788" i="7"/>
  <c r="C788" i="7"/>
  <c r="B788" i="7"/>
  <c r="P787" i="7"/>
  <c r="O787" i="7"/>
  <c r="N787" i="7"/>
  <c r="Q787" i="7" s="1"/>
  <c r="M787" i="7"/>
  <c r="L787" i="7"/>
  <c r="K787" i="7"/>
  <c r="J787" i="7"/>
  <c r="H787" i="7"/>
  <c r="G787" i="7"/>
  <c r="F787" i="7"/>
  <c r="I787" i="7" s="1"/>
  <c r="E787" i="7"/>
  <c r="D787" i="7"/>
  <c r="C787" i="7"/>
  <c r="B787" i="7"/>
  <c r="Q784" i="7"/>
  <c r="M784" i="7"/>
  <c r="I784" i="7"/>
  <c r="R784" i="7" s="1"/>
  <c r="E784" i="7"/>
  <c r="Q783" i="7"/>
  <c r="M783" i="7"/>
  <c r="I783" i="7"/>
  <c r="E783" i="7"/>
  <c r="R783" i="7" s="1"/>
  <c r="Q781" i="7"/>
  <c r="M781" i="7"/>
  <c r="I781" i="7"/>
  <c r="E781" i="7"/>
  <c r="R781" i="7" s="1"/>
  <c r="Q780" i="7"/>
  <c r="M780" i="7"/>
  <c r="I780" i="7"/>
  <c r="E780" i="7"/>
  <c r="R780" i="7" s="1"/>
  <c r="P777" i="7"/>
  <c r="O777" i="7"/>
  <c r="N777" i="7"/>
  <c r="Q777" i="7" s="1"/>
  <c r="L777" i="7"/>
  <c r="K777" i="7"/>
  <c r="J777" i="7"/>
  <c r="M777" i="7" s="1"/>
  <c r="H777" i="7"/>
  <c r="G777" i="7"/>
  <c r="F777" i="7"/>
  <c r="I777" i="7" s="1"/>
  <c r="D777" i="7"/>
  <c r="C777" i="7"/>
  <c r="B777" i="7"/>
  <c r="E777" i="7" s="1"/>
  <c r="R777" i="7" s="1"/>
  <c r="Q776" i="7"/>
  <c r="M776" i="7"/>
  <c r="I776" i="7"/>
  <c r="E776" i="7"/>
  <c r="R776" i="7" s="1"/>
  <c r="Q775" i="7"/>
  <c r="M775" i="7"/>
  <c r="I775" i="7"/>
  <c r="E775" i="7"/>
  <c r="R775" i="7" s="1"/>
  <c r="Q774" i="7"/>
  <c r="M774" i="7"/>
  <c r="I774" i="7"/>
  <c r="E774" i="7"/>
  <c r="R774" i="7" s="1"/>
  <c r="Q773" i="7"/>
  <c r="M773" i="7"/>
  <c r="I773" i="7"/>
  <c r="E773" i="7"/>
  <c r="R773" i="7" s="1"/>
  <c r="Q771" i="7"/>
  <c r="M771" i="7"/>
  <c r="I771" i="7"/>
  <c r="E771" i="7"/>
  <c r="R771" i="7" s="1"/>
  <c r="Q770" i="7"/>
  <c r="M770" i="7"/>
  <c r="I770" i="7"/>
  <c r="E770" i="7"/>
  <c r="R770" i="7" s="1"/>
  <c r="Q767" i="7"/>
  <c r="P767" i="7"/>
  <c r="O767" i="7"/>
  <c r="N767" i="7"/>
  <c r="L767" i="7"/>
  <c r="K767" i="7"/>
  <c r="J767" i="7"/>
  <c r="M767" i="7" s="1"/>
  <c r="I767" i="7"/>
  <c r="H767" i="7"/>
  <c r="G767" i="7"/>
  <c r="F767" i="7"/>
  <c r="D767" i="7"/>
  <c r="C767" i="7"/>
  <c r="B767" i="7"/>
  <c r="E767" i="7" s="1"/>
  <c r="Q765" i="7"/>
  <c r="M765" i="7"/>
  <c r="I765" i="7"/>
  <c r="E765" i="7"/>
  <c r="R765" i="7" s="1"/>
  <c r="P762" i="7"/>
  <c r="P789" i="7" s="1"/>
  <c r="P792" i="7" s="1"/>
  <c r="P794" i="7" s="1"/>
  <c r="O762" i="7"/>
  <c r="O789" i="7" s="1"/>
  <c r="O792" i="7" s="1"/>
  <c r="N762" i="7"/>
  <c r="N789" i="7" s="1"/>
  <c r="N792" i="7" s="1"/>
  <c r="L762" i="7"/>
  <c r="K762" i="7"/>
  <c r="K789" i="7" s="1"/>
  <c r="K792" i="7" s="1"/>
  <c r="J762" i="7"/>
  <c r="H762" i="7"/>
  <c r="H789" i="7" s="1"/>
  <c r="H792" i="7" s="1"/>
  <c r="G762" i="7"/>
  <c r="G789" i="7" s="1"/>
  <c r="G792" i="7" s="1"/>
  <c r="F762" i="7"/>
  <c r="F789" i="7" s="1"/>
  <c r="I789" i="7" s="1"/>
  <c r="D762" i="7"/>
  <c r="C762" i="7"/>
  <c r="B762" i="7"/>
  <c r="B789" i="7" s="1"/>
  <c r="Q760" i="7"/>
  <c r="M760" i="7"/>
  <c r="I760" i="7"/>
  <c r="E760" i="7"/>
  <c r="Q757" i="7"/>
  <c r="M757" i="7"/>
  <c r="I757" i="7"/>
  <c r="E757" i="7"/>
  <c r="R757" i="7" s="1"/>
  <c r="Q756" i="7"/>
  <c r="M756" i="7"/>
  <c r="I756" i="7"/>
  <c r="E756" i="7"/>
  <c r="R756" i="7" s="1"/>
  <c r="Q755" i="7"/>
  <c r="M755" i="7"/>
  <c r="I755" i="7"/>
  <c r="E755" i="7"/>
  <c r="R755" i="7" s="1"/>
  <c r="Q754" i="7"/>
  <c r="M754" i="7"/>
  <c r="I754" i="7"/>
  <c r="E754" i="7"/>
  <c r="R754" i="7" s="1"/>
  <c r="R753" i="7"/>
  <c r="Q753" i="7"/>
  <c r="M753" i="7"/>
  <c r="I753" i="7"/>
  <c r="E753" i="7"/>
  <c r="Q741" i="7"/>
  <c r="M741" i="7"/>
  <c r="I741" i="7"/>
  <c r="E741" i="7"/>
  <c r="Q740" i="7"/>
  <c r="M740" i="7"/>
  <c r="I740" i="7"/>
  <c r="E740" i="7"/>
  <c r="R740" i="7" s="1"/>
  <c r="K739" i="7"/>
  <c r="K743" i="7" s="1"/>
  <c r="P738" i="7"/>
  <c r="O738" i="7"/>
  <c r="N738" i="7"/>
  <c r="Q738" i="7" s="1"/>
  <c r="L738" i="7"/>
  <c r="K738" i="7"/>
  <c r="J738" i="7"/>
  <c r="M738" i="7" s="1"/>
  <c r="H738" i="7"/>
  <c r="G738" i="7"/>
  <c r="F738" i="7"/>
  <c r="I738" i="7" s="1"/>
  <c r="D738" i="7"/>
  <c r="C738" i="7"/>
  <c r="B738" i="7"/>
  <c r="P737" i="7"/>
  <c r="O737" i="7"/>
  <c r="Q737" i="7" s="1"/>
  <c r="N737" i="7"/>
  <c r="M737" i="7"/>
  <c r="L737" i="7"/>
  <c r="K737" i="7"/>
  <c r="J737" i="7"/>
  <c r="H737" i="7"/>
  <c r="G737" i="7"/>
  <c r="F737" i="7"/>
  <c r="E737" i="7"/>
  <c r="D737" i="7"/>
  <c r="C737" i="7"/>
  <c r="B737" i="7"/>
  <c r="P731" i="7"/>
  <c r="O731" i="7"/>
  <c r="N731" i="7"/>
  <c r="Q731" i="7" s="1"/>
  <c r="M731" i="7"/>
  <c r="L731" i="7"/>
  <c r="K731" i="7"/>
  <c r="J731" i="7"/>
  <c r="H731" i="7"/>
  <c r="G731" i="7"/>
  <c r="F731" i="7"/>
  <c r="I731" i="7" s="1"/>
  <c r="E731" i="7"/>
  <c r="D731" i="7"/>
  <c r="C731" i="7"/>
  <c r="B731" i="7"/>
  <c r="P727" i="7"/>
  <c r="O727" i="7"/>
  <c r="N727" i="7"/>
  <c r="L727" i="7"/>
  <c r="K727" i="7"/>
  <c r="J727" i="7"/>
  <c r="H727" i="7"/>
  <c r="G727" i="7"/>
  <c r="F727" i="7"/>
  <c r="D727" i="7"/>
  <c r="C727" i="7"/>
  <c r="B727" i="7"/>
  <c r="P723" i="7"/>
  <c r="P739" i="7" s="1"/>
  <c r="P743" i="7" s="1"/>
  <c r="O723" i="7"/>
  <c r="O739" i="7" s="1"/>
  <c r="O743" i="7" s="1"/>
  <c r="N723" i="7"/>
  <c r="Q723" i="7" s="1"/>
  <c r="L723" i="7"/>
  <c r="L739" i="7" s="1"/>
  <c r="L743" i="7" s="1"/>
  <c r="K723" i="7"/>
  <c r="J723" i="7"/>
  <c r="H723" i="7"/>
  <c r="H739" i="7" s="1"/>
  <c r="H743" i="7" s="1"/>
  <c r="G723" i="7"/>
  <c r="G739" i="7" s="1"/>
  <c r="G743" i="7" s="1"/>
  <c r="F723" i="7"/>
  <c r="D723" i="7"/>
  <c r="C723" i="7"/>
  <c r="C739" i="7" s="1"/>
  <c r="C743" i="7" s="1"/>
  <c r="B723" i="7"/>
  <c r="E723" i="7" s="1"/>
  <c r="Q719" i="7"/>
  <c r="M719" i="7"/>
  <c r="I719" i="7"/>
  <c r="E719" i="7"/>
  <c r="R719" i="7" s="1"/>
  <c r="P709" i="7"/>
  <c r="O709" i="7"/>
  <c r="N709" i="7"/>
  <c r="L709" i="7"/>
  <c r="K709" i="7"/>
  <c r="J709" i="7"/>
  <c r="H709" i="7"/>
  <c r="G709" i="7"/>
  <c r="F709" i="7"/>
  <c r="D709" i="7"/>
  <c r="C709" i="7"/>
  <c r="B709" i="7"/>
  <c r="Q707" i="7"/>
  <c r="M707" i="7"/>
  <c r="I707" i="7"/>
  <c r="E707" i="7"/>
  <c r="R707" i="7" s="1"/>
  <c r="L699" i="7"/>
  <c r="Q697" i="7"/>
  <c r="R697" i="7" s="1"/>
  <c r="M697" i="7"/>
  <c r="I697" i="7"/>
  <c r="E697" i="7"/>
  <c r="O696" i="7"/>
  <c r="O699" i="7" s="1"/>
  <c r="L696" i="7"/>
  <c r="J696" i="7"/>
  <c r="D696" i="7"/>
  <c r="D699" i="7" s="1"/>
  <c r="C696" i="7"/>
  <c r="C699" i="7" s="1"/>
  <c r="P695" i="7"/>
  <c r="O695" i="7"/>
  <c r="Q695" i="7" s="1"/>
  <c r="N695" i="7"/>
  <c r="L695" i="7"/>
  <c r="K695" i="7"/>
  <c r="M695" i="7" s="1"/>
  <c r="J695" i="7"/>
  <c r="H695" i="7"/>
  <c r="G695" i="7"/>
  <c r="I695" i="7" s="1"/>
  <c r="F695" i="7"/>
  <c r="E695" i="7"/>
  <c r="D695" i="7"/>
  <c r="C695" i="7"/>
  <c r="B695" i="7"/>
  <c r="Q694" i="7"/>
  <c r="P694" i="7"/>
  <c r="O694" i="7"/>
  <c r="N694" i="7"/>
  <c r="M694" i="7"/>
  <c r="L694" i="7"/>
  <c r="K694" i="7"/>
  <c r="J694" i="7"/>
  <c r="I694" i="7"/>
  <c r="H694" i="7"/>
  <c r="G694" i="7"/>
  <c r="F694" i="7"/>
  <c r="E694" i="7"/>
  <c r="D694" i="7"/>
  <c r="C694" i="7"/>
  <c r="B694" i="7"/>
  <c r="R691" i="7"/>
  <c r="Q691" i="7"/>
  <c r="M691" i="7"/>
  <c r="I691" i="7"/>
  <c r="E691" i="7"/>
  <c r="Q690" i="7"/>
  <c r="M690" i="7"/>
  <c r="I690" i="7"/>
  <c r="R690" i="7" s="1"/>
  <c r="E690" i="7"/>
  <c r="Q689" i="7"/>
  <c r="M689" i="7"/>
  <c r="I689" i="7"/>
  <c r="E689" i="7"/>
  <c r="Q688" i="7"/>
  <c r="M688" i="7"/>
  <c r="I688" i="7"/>
  <c r="E688" i="7"/>
  <c r="Q684" i="7"/>
  <c r="P684" i="7"/>
  <c r="O684" i="7"/>
  <c r="N684" i="7"/>
  <c r="M684" i="7"/>
  <c r="L684" i="7"/>
  <c r="K684" i="7"/>
  <c r="J684" i="7"/>
  <c r="I684" i="7"/>
  <c r="H684" i="7"/>
  <c r="G684" i="7"/>
  <c r="F684" i="7"/>
  <c r="E684" i="7"/>
  <c r="R684" i="7" s="1"/>
  <c r="D684" i="7"/>
  <c r="C684" i="7"/>
  <c r="B684" i="7"/>
  <c r="B696" i="7" s="1"/>
  <c r="Q683" i="7"/>
  <c r="M683" i="7"/>
  <c r="I683" i="7"/>
  <c r="E683" i="7"/>
  <c r="R683" i="7" s="1"/>
  <c r="Q682" i="7"/>
  <c r="M682" i="7"/>
  <c r="I682" i="7"/>
  <c r="E682" i="7"/>
  <c r="Q681" i="7"/>
  <c r="M681" i="7"/>
  <c r="I681" i="7"/>
  <c r="E681" i="7"/>
  <c r="R680" i="7"/>
  <c r="Q680" i="7"/>
  <c r="M680" i="7"/>
  <c r="I680" i="7"/>
  <c r="E680" i="7"/>
  <c r="Q678" i="7"/>
  <c r="M678" i="7"/>
  <c r="I678" i="7"/>
  <c r="R678" i="7" s="1"/>
  <c r="E678" i="7"/>
  <c r="P675" i="7"/>
  <c r="O675" i="7"/>
  <c r="Q675" i="7" s="1"/>
  <c r="N675" i="7"/>
  <c r="L675" i="7"/>
  <c r="K675" i="7"/>
  <c r="K696" i="7" s="1"/>
  <c r="K699" i="7" s="1"/>
  <c r="J675" i="7"/>
  <c r="H675" i="7"/>
  <c r="G675" i="7"/>
  <c r="I675" i="7" s="1"/>
  <c r="F675" i="7"/>
  <c r="E675" i="7"/>
  <c r="D675" i="7"/>
  <c r="C675" i="7"/>
  <c r="B675" i="7"/>
  <c r="Q671" i="7"/>
  <c r="P671" i="7"/>
  <c r="O671" i="7"/>
  <c r="N671" i="7"/>
  <c r="N696" i="7" s="1"/>
  <c r="M671" i="7"/>
  <c r="L671" i="7"/>
  <c r="K671" i="7"/>
  <c r="J671" i="7"/>
  <c r="I671" i="7"/>
  <c r="H671" i="7"/>
  <c r="H696" i="7" s="1"/>
  <c r="H699" i="7" s="1"/>
  <c r="G671" i="7"/>
  <c r="F671" i="7"/>
  <c r="F696" i="7" s="1"/>
  <c r="E671" i="7"/>
  <c r="D671" i="7"/>
  <c r="C671" i="7"/>
  <c r="B671" i="7"/>
  <c r="R667" i="7"/>
  <c r="Q667" i="7"/>
  <c r="M667" i="7"/>
  <c r="I667" i="7"/>
  <c r="E667" i="7"/>
  <c r="Q666" i="7"/>
  <c r="M666" i="7"/>
  <c r="I666" i="7"/>
  <c r="R666" i="7" s="1"/>
  <c r="E666" i="7"/>
  <c r="Q665" i="7"/>
  <c r="M665" i="7"/>
  <c r="I665" i="7"/>
  <c r="E665" i="7"/>
  <c r="Q664" i="7"/>
  <c r="M664" i="7"/>
  <c r="I664" i="7"/>
  <c r="E664" i="7"/>
  <c r="Q663" i="7"/>
  <c r="R663" i="7" s="1"/>
  <c r="M663" i="7"/>
  <c r="I663" i="7"/>
  <c r="E663" i="7"/>
  <c r="Q662" i="7"/>
  <c r="M662" i="7"/>
  <c r="I662" i="7"/>
  <c r="E662" i="7"/>
  <c r="R662" i="7" s="1"/>
  <c r="H652" i="7"/>
  <c r="Q650" i="7"/>
  <c r="M650" i="7"/>
  <c r="I650" i="7"/>
  <c r="E650" i="7"/>
  <c r="K649" i="7"/>
  <c r="K652" i="7" s="1"/>
  <c r="P648" i="7"/>
  <c r="O648" i="7"/>
  <c r="Q648" i="7" s="1"/>
  <c r="N648" i="7"/>
  <c r="L648" i="7"/>
  <c r="K648" i="7"/>
  <c r="M648" i="7" s="1"/>
  <c r="J648" i="7"/>
  <c r="H648" i="7"/>
  <c r="G648" i="7"/>
  <c r="I648" i="7" s="1"/>
  <c r="F648" i="7"/>
  <c r="D648" i="7"/>
  <c r="C648" i="7"/>
  <c r="E648" i="7" s="1"/>
  <c r="B648" i="7"/>
  <c r="P647" i="7"/>
  <c r="O647" i="7"/>
  <c r="N647" i="7"/>
  <c r="Q647" i="7" s="1"/>
  <c r="L647" i="7"/>
  <c r="M647" i="7" s="1"/>
  <c r="K647" i="7"/>
  <c r="J647" i="7"/>
  <c r="H647" i="7"/>
  <c r="G647" i="7"/>
  <c r="F647" i="7"/>
  <c r="I647" i="7" s="1"/>
  <c r="D647" i="7"/>
  <c r="E647" i="7" s="1"/>
  <c r="C647" i="7"/>
  <c r="B647" i="7"/>
  <c r="Q644" i="7"/>
  <c r="M644" i="7"/>
  <c r="I644" i="7"/>
  <c r="R644" i="7" s="1"/>
  <c r="E644" i="7"/>
  <c r="P640" i="7"/>
  <c r="O640" i="7"/>
  <c r="N640" i="7"/>
  <c r="L640" i="7"/>
  <c r="K640" i="7"/>
  <c r="J640" i="7"/>
  <c r="H640" i="7"/>
  <c r="G640" i="7"/>
  <c r="F640" i="7"/>
  <c r="I640" i="7" s="1"/>
  <c r="D640" i="7"/>
  <c r="D649" i="7" s="1"/>
  <c r="D652" i="7" s="1"/>
  <c r="C640" i="7"/>
  <c r="B640" i="7"/>
  <c r="P636" i="7"/>
  <c r="O636" i="7"/>
  <c r="N636" i="7"/>
  <c r="L636" i="7"/>
  <c r="K636" i="7"/>
  <c r="M636" i="7" s="1"/>
  <c r="J636" i="7"/>
  <c r="H636" i="7"/>
  <c r="G636" i="7"/>
  <c r="I636" i="7" s="1"/>
  <c r="F636" i="7"/>
  <c r="D636" i="7"/>
  <c r="C636" i="7"/>
  <c r="C649" i="7" s="1"/>
  <c r="C652" i="7" s="1"/>
  <c r="B636" i="7"/>
  <c r="P632" i="7"/>
  <c r="O632" i="7"/>
  <c r="N632" i="7"/>
  <c r="L632" i="7"/>
  <c r="L649" i="7" s="1"/>
  <c r="L652" i="7" s="1"/>
  <c r="K632" i="7"/>
  <c r="J632" i="7"/>
  <c r="H632" i="7"/>
  <c r="H649" i="7" s="1"/>
  <c r="G632" i="7"/>
  <c r="F632" i="7"/>
  <c r="D632" i="7"/>
  <c r="E632" i="7" s="1"/>
  <c r="C632" i="7"/>
  <c r="B632" i="7"/>
  <c r="Q628" i="7"/>
  <c r="M628" i="7"/>
  <c r="I628" i="7"/>
  <c r="R628" i="7" s="1"/>
  <c r="E628" i="7"/>
  <c r="R627" i="7"/>
  <c r="Q627" i="7"/>
  <c r="M627" i="7"/>
  <c r="I627" i="7"/>
  <c r="E627" i="7"/>
  <c r="Q626" i="7"/>
  <c r="M626" i="7"/>
  <c r="I626" i="7"/>
  <c r="E626" i="7"/>
  <c r="P616" i="7"/>
  <c r="O616" i="7"/>
  <c r="N616" i="7"/>
  <c r="L616" i="7"/>
  <c r="K616" i="7"/>
  <c r="J616" i="7"/>
  <c r="H616" i="7"/>
  <c r="G616" i="7"/>
  <c r="F616" i="7"/>
  <c r="D616" i="7"/>
  <c r="C616" i="7"/>
  <c r="B616" i="7"/>
  <c r="E616" i="7" s="1"/>
  <c r="Q614" i="7"/>
  <c r="M614" i="7"/>
  <c r="I614" i="7"/>
  <c r="R614" i="7" s="1"/>
  <c r="E614" i="7"/>
  <c r="Q604" i="7"/>
  <c r="M604" i="7"/>
  <c r="I604" i="7"/>
  <c r="R604" i="7" s="1"/>
  <c r="E604" i="7"/>
  <c r="O603" i="7"/>
  <c r="O606" i="7" s="1"/>
  <c r="K603" i="7"/>
  <c r="K606" i="7" s="1"/>
  <c r="G603" i="7"/>
  <c r="G606" i="7" s="1"/>
  <c r="P602" i="7"/>
  <c r="Q602" i="7" s="1"/>
  <c r="O602" i="7"/>
  <c r="N602" i="7"/>
  <c r="L602" i="7"/>
  <c r="M602" i="7" s="1"/>
  <c r="K602" i="7"/>
  <c r="J602" i="7"/>
  <c r="H602" i="7"/>
  <c r="I602" i="7" s="1"/>
  <c r="G602" i="7"/>
  <c r="F602" i="7"/>
  <c r="D602" i="7"/>
  <c r="E602" i="7" s="1"/>
  <c r="C602" i="7"/>
  <c r="B602" i="7"/>
  <c r="Q601" i="7"/>
  <c r="P601" i="7"/>
  <c r="O601" i="7"/>
  <c r="N601" i="7"/>
  <c r="M601" i="7"/>
  <c r="L601" i="7"/>
  <c r="K601" i="7"/>
  <c r="J601" i="7"/>
  <c r="I601" i="7"/>
  <c r="H601" i="7"/>
  <c r="G601" i="7"/>
  <c r="F601" i="7"/>
  <c r="E601" i="7"/>
  <c r="D601" i="7"/>
  <c r="C601" i="7"/>
  <c r="B601" i="7"/>
  <c r="R600" i="7"/>
  <c r="Q600" i="7"/>
  <c r="M600" i="7"/>
  <c r="I600" i="7"/>
  <c r="E600" i="7"/>
  <c r="Q599" i="7"/>
  <c r="M599" i="7"/>
  <c r="I599" i="7"/>
  <c r="R599" i="7" s="1"/>
  <c r="E599" i="7"/>
  <c r="Q596" i="7"/>
  <c r="M596" i="7"/>
  <c r="I596" i="7"/>
  <c r="R596" i="7" s="1"/>
  <c r="E596" i="7"/>
  <c r="Q595" i="7"/>
  <c r="M595" i="7"/>
  <c r="I595" i="7"/>
  <c r="E595" i="7"/>
  <c r="R595" i="7" s="1"/>
  <c r="Q594" i="7"/>
  <c r="R594" i="7" s="1"/>
  <c r="M594" i="7"/>
  <c r="I594" i="7"/>
  <c r="E594" i="7"/>
  <c r="R593" i="7"/>
  <c r="Q593" i="7"/>
  <c r="M593" i="7"/>
  <c r="I593" i="7"/>
  <c r="E593" i="7"/>
  <c r="Q591" i="7"/>
  <c r="M591" i="7"/>
  <c r="I591" i="7"/>
  <c r="E591" i="7"/>
  <c r="R591" i="7" s="1"/>
  <c r="Q590" i="7"/>
  <c r="M590" i="7"/>
  <c r="I590" i="7"/>
  <c r="E590" i="7"/>
  <c r="R590" i="7" s="1"/>
  <c r="Q587" i="7"/>
  <c r="P587" i="7"/>
  <c r="O587" i="7"/>
  <c r="N587" i="7"/>
  <c r="M587" i="7"/>
  <c r="L587" i="7"/>
  <c r="K587" i="7"/>
  <c r="J587" i="7"/>
  <c r="I587" i="7"/>
  <c r="H587" i="7"/>
  <c r="G587" i="7"/>
  <c r="F587" i="7"/>
  <c r="E587" i="7"/>
  <c r="R587" i="7" s="1"/>
  <c r="D587" i="7"/>
  <c r="C587" i="7"/>
  <c r="C603" i="7" s="1"/>
  <c r="C606" i="7" s="1"/>
  <c r="B587" i="7"/>
  <c r="Q586" i="7"/>
  <c r="M586" i="7"/>
  <c r="I586" i="7"/>
  <c r="E586" i="7"/>
  <c r="R586" i="7" s="1"/>
  <c r="Q585" i="7"/>
  <c r="M585" i="7"/>
  <c r="I585" i="7"/>
  <c r="E585" i="7"/>
  <c r="P581" i="7"/>
  <c r="O581" i="7"/>
  <c r="N581" i="7"/>
  <c r="N603" i="7" s="1"/>
  <c r="L581" i="7"/>
  <c r="K581" i="7"/>
  <c r="J581" i="7"/>
  <c r="M581" i="7" s="1"/>
  <c r="H581" i="7"/>
  <c r="G581" i="7"/>
  <c r="F581" i="7"/>
  <c r="F603" i="7" s="1"/>
  <c r="D581" i="7"/>
  <c r="C581" i="7"/>
  <c r="B581" i="7"/>
  <c r="E581" i="7" s="1"/>
  <c r="Q579" i="7"/>
  <c r="M579" i="7"/>
  <c r="I579" i="7"/>
  <c r="E579" i="7"/>
  <c r="R579" i="7" s="1"/>
  <c r="Q578" i="7"/>
  <c r="M578" i="7"/>
  <c r="I578" i="7"/>
  <c r="E578" i="7"/>
  <c r="P575" i="7"/>
  <c r="O575" i="7"/>
  <c r="N575" i="7"/>
  <c r="L575" i="7"/>
  <c r="L603" i="7" s="1"/>
  <c r="L606" i="7" s="1"/>
  <c r="K575" i="7"/>
  <c r="J575" i="7"/>
  <c r="M575" i="7" s="1"/>
  <c r="H575" i="7"/>
  <c r="I575" i="7" s="1"/>
  <c r="G575" i="7"/>
  <c r="F575" i="7"/>
  <c r="D575" i="7"/>
  <c r="D603" i="7" s="1"/>
  <c r="D606" i="7" s="1"/>
  <c r="C575" i="7"/>
  <c r="B575" i="7"/>
  <c r="B603" i="7" s="1"/>
  <c r="Q573" i="7"/>
  <c r="R573" i="7" s="1"/>
  <c r="M573" i="7"/>
  <c r="I573" i="7"/>
  <c r="E573" i="7"/>
  <c r="R571" i="7"/>
  <c r="Q571" i="7"/>
  <c r="M571" i="7"/>
  <c r="I571" i="7"/>
  <c r="E571" i="7"/>
  <c r="Q569" i="7"/>
  <c r="M569" i="7"/>
  <c r="I569" i="7"/>
  <c r="R569" i="7" s="1"/>
  <c r="E569" i="7"/>
  <c r="Q568" i="7"/>
  <c r="M568" i="7"/>
  <c r="R568" i="7" s="1"/>
  <c r="I568" i="7"/>
  <c r="E568" i="7"/>
  <c r="Q567" i="7"/>
  <c r="M567" i="7"/>
  <c r="I567" i="7"/>
  <c r="E567" i="7"/>
  <c r="Q566" i="7"/>
  <c r="M566" i="7"/>
  <c r="I566" i="7"/>
  <c r="E566" i="7"/>
  <c r="R566" i="7" s="1"/>
  <c r="Q565" i="7"/>
  <c r="M565" i="7"/>
  <c r="I565" i="7"/>
  <c r="E565" i="7"/>
  <c r="R565" i="7" s="1"/>
  <c r="Q564" i="7"/>
  <c r="M564" i="7"/>
  <c r="I564" i="7"/>
  <c r="E564" i="7"/>
  <c r="R564" i="7" s="1"/>
  <c r="Q563" i="7"/>
  <c r="R563" i="7" s="1"/>
  <c r="M563" i="7"/>
  <c r="I563" i="7"/>
  <c r="E563" i="7"/>
  <c r="R562" i="7"/>
  <c r="Q562" i="7"/>
  <c r="M562" i="7"/>
  <c r="I562" i="7"/>
  <c r="E562" i="7"/>
  <c r="Q561" i="7"/>
  <c r="M561" i="7"/>
  <c r="I561" i="7"/>
  <c r="R561" i="7" s="1"/>
  <c r="E561" i="7"/>
  <c r="Q560" i="7"/>
  <c r="M560" i="7"/>
  <c r="R560" i="7" s="1"/>
  <c r="I560" i="7"/>
  <c r="E560" i="7"/>
  <c r="J550" i="7"/>
  <c r="B550" i="7"/>
  <c r="Q548" i="7"/>
  <c r="M548" i="7"/>
  <c r="I548" i="7"/>
  <c r="E548" i="7"/>
  <c r="R548" i="7" s="1"/>
  <c r="P547" i="7"/>
  <c r="P550" i="7" s="1"/>
  <c r="H547" i="7"/>
  <c r="H550" i="7" s="1"/>
  <c r="Q546" i="7"/>
  <c r="P546" i="7"/>
  <c r="O546" i="7"/>
  <c r="N546" i="7"/>
  <c r="M546" i="7"/>
  <c r="L546" i="7"/>
  <c r="K546" i="7"/>
  <c r="J546" i="7"/>
  <c r="I546" i="7"/>
  <c r="H546" i="7"/>
  <c r="G546" i="7"/>
  <c r="F546" i="7"/>
  <c r="E546" i="7"/>
  <c r="D546" i="7"/>
  <c r="C546" i="7"/>
  <c r="B546" i="7"/>
  <c r="R545" i="7"/>
  <c r="P545" i="7"/>
  <c r="O545" i="7"/>
  <c r="N545" i="7"/>
  <c r="Q545" i="7" s="1"/>
  <c r="L545" i="7"/>
  <c r="K545" i="7"/>
  <c r="J545" i="7"/>
  <c r="M545" i="7" s="1"/>
  <c r="H545" i="7"/>
  <c r="G545" i="7"/>
  <c r="F545" i="7"/>
  <c r="I545" i="7" s="1"/>
  <c r="D545" i="7"/>
  <c r="C545" i="7"/>
  <c r="B545" i="7"/>
  <c r="E545" i="7" s="1"/>
  <c r="Q544" i="7"/>
  <c r="M544" i="7"/>
  <c r="I544" i="7"/>
  <c r="E544" i="7"/>
  <c r="R544" i="7" s="1"/>
  <c r="Q543" i="7"/>
  <c r="M543" i="7"/>
  <c r="I543" i="7"/>
  <c r="E543" i="7"/>
  <c r="R543" i="7" s="1"/>
  <c r="R542" i="7"/>
  <c r="Q542" i="7"/>
  <c r="M542" i="7"/>
  <c r="I542" i="7"/>
  <c r="E542" i="7"/>
  <c r="R540" i="7"/>
  <c r="Q540" i="7"/>
  <c r="M540" i="7"/>
  <c r="I540" i="7"/>
  <c r="E540" i="7"/>
  <c r="P535" i="7"/>
  <c r="O535" i="7"/>
  <c r="N535" i="7"/>
  <c r="L535" i="7"/>
  <c r="L547" i="7" s="1"/>
  <c r="L550" i="7" s="1"/>
  <c r="K535" i="7"/>
  <c r="M535" i="7" s="1"/>
  <c r="J535" i="7"/>
  <c r="H535" i="7"/>
  <c r="G535" i="7"/>
  <c r="F535" i="7"/>
  <c r="I535" i="7" s="1"/>
  <c r="D535" i="7"/>
  <c r="D547" i="7" s="1"/>
  <c r="D550" i="7" s="1"/>
  <c r="C535" i="7"/>
  <c r="E535" i="7" s="1"/>
  <c r="B535" i="7"/>
  <c r="Q534" i="7"/>
  <c r="M534" i="7"/>
  <c r="I534" i="7"/>
  <c r="E534" i="7"/>
  <c r="Q530" i="7"/>
  <c r="P530" i="7"/>
  <c r="O530" i="7"/>
  <c r="N530" i="7"/>
  <c r="M530" i="7"/>
  <c r="L530" i="7"/>
  <c r="K530" i="7"/>
  <c r="K547" i="7" s="1"/>
  <c r="K550" i="7" s="1"/>
  <c r="J530" i="7"/>
  <c r="I530" i="7"/>
  <c r="H530" i="7"/>
  <c r="G530" i="7"/>
  <c r="F530" i="7"/>
  <c r="E530" i="7"/>
  <c r="R530" i="7" s="1"/>
  <c r="D530" i="7"/>
  <c r="C530" i="7"/>
  <c r="C547" i="7" s="1"/>
  <c r="C550" i="7" s="1"/>
  <c r="B530" i="7"/>
  <c r="Q528" i="7"/>
  <c r="M528" i="7"/>
  <c r="I528" i="7"/>
  <c r="E528" i="7"/>
  <c r="R528" i="7" s="1"/>
  <c r="Q527" i="7"/>
  <c r="M527" i="7"/>
  <c r="R527" i="7" s="1"/>
  <c r="I527" i="7"/>
  <c r="E527" i="7"/>
  <c r="Q524" i="7"/>
  <c r="P524" i="7"/>
  <c r="O524" i="7"/>
  <c r="N524" i="7"/>
  <c r="N547" i="7" s="1"/>
  <c r="M524" i="7"/>
  <c r="L524" i="7"/>
  <c r="K524" i="7"/>
  <c r="J524" i="7"/>
  <c r="J547" i="7" s="1"/>
  <c r="I524" i="7"/>
  <c r="H524" i="7"/>
  <c r="G524" i="7"/>
  <c r="G547" i="7" s="1"/>
  <c r="G550" i="7" s="1"/>
  <c r="F524" i="7"/>
  <c r="F547" i="7" s="1"/>
  <c r="E524" i="7"/>
  <c r="D524" i="7"/>
  <c r="C524" i="7"/>
  <c r="B524" i="7"/>
  <c r="B547" i="7" s="1"/>
  <c r="R520" i="7"/>
  <c r="Q520" i="7"/>
  <c r="M520" i="7"/>
  <c r="I520" i="7"/>
  <c r="E520" i="7"/>
  <c r="Q519" i="7"/>
  <c r="M519" i="7"/>
  <c r="I519" i="7"/>
  <c r="R519" i="7" s="1"/>
  <c r="E519" i="7"/>
  <c r="Q518" i="7"/>
  <c r="M518" i="7"/>
  <c r="R518" i="7" s="1"/>
  <c r="I518" i="7"/>
  <c r="E518" i="7"/>
  <c r="Q517" i="7"/>
  <c r="M517" i="7"/>
  <c r="I517" i="7"/>
  <c r="E517" i="7"/>
  <c r="Q516" i="7"/>
  <c r="M516" i="7"/>
  <c r="I516" i="7"/>
  <c r="E516" i="7"/>
  <c r="R516" i="7" s="1"/>
  <c r="R504" i="7"/>
  <c r="Q504" i="7"/>
  <c r="M504" i="7"/>
  <c r="I504" i="7"/>
  <c r="E504" i="7"/>
  <c r="N503" i="7"/>
  <c r="N506" i="7" s="1"/>
  <c r="J503" i="7"/>
  <c r="F503" i="7"/>
  <c r="F506" i="7" s="1"/>
  <c r="B503" i="7"/>
  <c r="P502" i="7"/>
  <c r="O502" i="7"/>
  <c r="Q502" i="7" s="1"/>
  <c r="N502" i="7"/>
  <c r="L502" i="7"/>
  <c r="K502" i="7"/>
  <c r="J502" i="7"/>
  <c r="H502" i="7"/>
  <c r="G502" i="7"/>
  <c r="I502" i="7" s="1"/>
  <c r="F502" i="7"/>
  <c r="D502" i="7"/>
  <c r="C502" i="7"/>
  <c r="B502" i="7"/>
  <c r="E502" i="7" s="1"/>
  <c r="P501" i="7"/>
  <c r="Q501" i="7" s="1"/>
  <c r="O501" i="7"/>
  <c r="N501" i="7"/>
  <c r="L501" i="7"/>
  <c r="K501" i="7"/>
  <c r="J501" i="7"/>
  <c r="H501" i="7"/>
  <c r="I501" i="7" s="1"/>
  <c r="G501" i="7"/>
  <c r="F501" i="7"/>
  <c r="D501" i="7"/>
  <c r="C501" i="7"/>
  <c r="B501" i="7"/>
  <c r="E501" i="7" s="1"/>
  <c r="Q500" i="7"/>
  <c r="R500" i="7" s="1"/>
  <c r="M500" i="7"/>
  <c r="I500" i="7"/>
  <c r="E500" i="7"/>
  <c r="R499" i="7"/>
  <c r="Q499" i="7"/>
  <c r="M499" i="7"/>
  <c r="I499" i="7"/>
  <c r="E499" i="7"/>
  <c r="P493" i="7"/>
  <c r="O493" i="7"/>
  <c r="N493" i="7"/>
  <c r="Q493" i="7" s="1"/>
  <c r="L493" i="7"/>
  <c r="K493" i="7"/>
  <c r="M493" i="7" s="1"/>
  <c r="J493" i="7"/>
  <c r="H493" i="7"/>
  <c r="G493" i="7"/>
  <c r="F493" i="7"/>
  <c r="D493" i="7"/>
  <c r="C493" i="7"/>
  <c r="E493" i="7" s="1"/>
  <c r="B493" i="7"/>
  <c r="Q492" i="7"/>
  <c r="M492" i="7"/>
  <c r="I492" i="7"/>
  <c r="E492" i="7"/>
  <c r="R492" i="7" s="1"/>
  <c r="Q488" i="7"/>
  <c r="P488" i="7"/>
  <c r="O488" i="7"/>
  <c r="N488" i="7"/>
  <c r="M488" i="7"/>
  <c r="L488" i="7"/>
  <c r="K488" i="7"/>
  <c r="J488" i="7"/>
  <c r="I488" i="7"/>
  <c r="H488" i="7"/>
  <c r="G488" i="7"/>
  <c r="F488" i="7"/>
  <c r="E488" i="7"/>
  <c r="R488" i="7" s="1"/>
  <c r="D488" i="7"/>
  <c r="C488" i="7"/>
  <c r="B488" i="7"/>
  <c r="Q486" i="7"/>
  <c r="M486" i="7"/>
  <c r="I486" i="7"/>
  <c r="E486" i="7"/>
  <c r="R486" i="7" s="1"/>
  <c r="P483" i="7"/>
  <c r="P503" i="7" s="1"/>
  <c r="P506" i="7" s="1"/>
  <c r="O483" i="7"/>
  <c r="Q483" i="7" s="1"/>
  <c r="N483" i="7"/>
  <c r="L483" i="7"/>
  <c r="L503" i="7" s="1"/>
  <c r="L506" i="7" s="1"/>
  <c r="K483" i="7"/>
  <c r="J483" i="7"/>
  <c r="M483" i="7" s="1"/>
  <c r="H483" i="7"/>
  <c r="H503" i="7" s="1"/>
  <c r="H506" i="7" s="1"/>
  <c r="G483" i="7"/>
  <c r="I483" i="7" s="1"/>
  <c r="F483" i="7"/>
  <c r="D483" i="7"/>
  <c r="D503" i="7" s="1"/>
  <c r="D506" i="7" s="1"/>
  <c r="C483" i="7"/>
  <c r="C503" i="7" s="1"/>
  <c r="C506" i="7" s="1"/>
  <c r="B483" i="7"/>
  <c r="E483" i="7" s="1"/>
  <c r="R483" i="7" s="1"/>
  <c r="Q480" i="7"/>
  <c r="M480" i="7"/>
  <c r="R480" i="7" s="1"/>
  <c r="I480" i="7"/>
  <c r="E480" i="7"/>
  <c r="Q479" i="7"/>
  <c r="M479" i="7"/>
  <c r="I479" i="7"/>
  <c r="E479" i="7"/>
  <c r="R479" i="7" s="1"/>
  <c r="Q477" i="7"/>
  <c r="M477" i="7"/>
  <c r="I477" i="7"/>
  <c r="E477" i="7"/>
  <c r="R477" i="7" s="1"/>
  <c r="Q476" i="7"/>
  <c r="M476" i="7"/>
  <c r="I476" i="7"/>
  <c r="E476" i="7"/>
  <c r="R476" i="7" s="1"/>
  <c r="Q475" i="7"/>
  <c r="M475" i="7"/>
  <c r="I475" i="7"/>
  <c r="E475" i="7"/>
  <c r="R475" i="7" s="1"/>
  <c r="Q474" i="7"/>
  <c r="R474" i="7" s="1"/>
  <c r="M474" i="7"/>
  <c r="I474" i="7"/>
  <c r="E474" i="7"/>
  <c r="Q456" i="7"/>
  <c r="M456" i="7"/>
  <c r="R456" i="7" s="1"/>
  <c r="I456" i="7"/>
  <c r="E456" i="7"/>
  <c r="Q455" i="7"/>
  <c r="M455" i="7"/>
  <c r="I455" i="7"/>
  <c r="E455" i="7"/>
  <c r="Q454" i="7"/>
  <c r="M454" i="7"/>
  <c r="I454" i="7"/>
  <c r="E454" i="7"/>
  <c r="R454" i="7" s="1"/>
  <c r="P452" i="7"/>
  <c r="Q452" i="7" s="1"/>
  <c r="O452" i="7"/>
  <c r="N452" i="7"/>
  <c r="L452" i="7"/>
  <c r="K452" i="7"/>
  <c r="J452" i="7"/>
  <c r="H452" i="7"/>
  <c r="I452" i="7" s="1"/>
  <c r="G452" i="7"/>
  <c r="F452" i="7"/>
  <c r="D452" i="7"/>
  <c r="C452" i="7"/>
  <c r="B452" i="7"/>
  <c r="E452" i="7" s="1"/>
  <c r="Q451" i="7"/>
  <c r="P451" i="7"/>
  <c r="O451" i="7"/>
  <c r="N451" i="7"/>
  <c r="M451" i="7"/>
  <c r="L451" i="7"/>
  <c r="K451" i="7"/>
  <c r="J451" i="7"/>
  <c r="I451" i="7"/>
  <c r="H451" i="7"/>
  <c r="G451" i="7"/>
  <c r="F451" i="7"/>
  <c r="E451" i="7"/>
  <c r="R451" i="7" s="1"/>
  <c r="D451" i="7"/>
  <c r="C451" i="7"/>
  <c r="B451" i="7"/>
  <c r="Q450" i="7"/>
  <c r="M450" i="7"/>
  <c r="I450" i="7"/>
  <c r="E450" i="7"/>
  <c r="R450" i="7" s="1"/>
  <c r="Q449" i="7"/>
  <c r="M449" i="7"/>
  <c r="I449" i="7"/>
  <c r="E449" i="7"/>
  <c r="R449" i="7" s="1"/>
  <c r="Q448" i="7"/>
  <c r="M448" i="7"/>
  <c r="I448" i="7"/>
  <c r="E448" i="7"/>
  <c r="R448" i="7" s="1"/>
  <c r="R447" i="7"/>
  <c r="Q447" i="7"/>
  <c r="M447" i="7"/>
  <c r="I447" i="7"/>
  <c r="E447" i="7"/>
  <c r="R446" i="7"/>
  <c r="Q446" i="7"/>
  <c r="M446" i="7"/>
  <c r="I446" i="7"/>
  <c r="E446" i="7"/>
  <c r="Q445" i="7"/>
  <c r="M445" i="7"/>
  <c r="I445" i="7"/>
  <c r="R445" i="7" s="1"/>
  <c r="E445" i="7"/>
  <c r="Q444" i="7"/>
  <c r="M444" i="7"/>
  <c r="R444" i="7" s="1"/>
  <c r="I444" i="7"/>
  <c r="E444" i="7"/>
  <c r="Q443" i="7"/>
  <c r="M443" i="7"/>
  <c r="I443" i="7"/>
  <c r="E443" i="7"/>
  <c r="R443" i="7" s="1"/>
  <c r="Q441" i="7"/>
  <c r="M441" i="7"/>
  <c r="I441" i="7"/>
  <c r="E441" i="7"/>
  <c r="R441" i="7" s="1"/>
  <c r="Q440" i="7"/>
  <c r="M440" i="7"/>
  <c r="I440" i="7"/>
  <c r="E440" i="7"/>
  <c r="R440" i="7" s="1"/>
  <c r="Q439" i="7"/>
  <c r="M439" i="7"/>
  <c r="I439" i="7"/>
  <c r="E439" i="7"/>
  <c r="R438" i="7"/>
  <c r="Q438" i="7"/>
  <c r="M438" i="7"/>
  <c r="I438" i="7"/>
  <c r="E438" i="7"/>
  <c r="R437" i="7"/>
  <c r="Q437" i="7"/>
  <c r="M437" i="7"/>
  <c r="I437" i="7"/>
  <c r="E437" i="7"/>
  <c r="Q436" i="7"/>
  <c r="M436" i="7"/>
  <c r="I436" i="7"/>
  <c r="R436" i="7" s="1"/>
  <c r="E436" i="7"/>
  <c r="Q434" i="7"/>
  <c r="M434" i="7"/>
  <c r="R434" i="7" s="1"/>
  <c r="I434" i="7"/>
  <c r="E434" i="7"/>
  <c r="Q433" i="7"/>
  <c r="M433" i="7"/>
  <c r="I433" i="7"/>
  <c r="E433" i="7"/>
  <c r="Q431" i="7"/>
  <c r="M431" i="7"/>
  <c r="I431" i="7"/>
  <c r="E431" i="7"/>
  <c r="R431" i="7" s="1"/>
  <c r="P428" i="7"/>
  <c r="O428" i="7"/>
  <c r="K428" i="7"/>
  <c r="C428" i="7"/>
  <c r="Q427" i="7"/>
  <c r="M427" i="7"/>
  <c r="R427" i="7" s="1"/>
  <c r="I427" i="7"/>
  <c r="E427" i="7"/>
  <c r="Q426" i="7"/>
  <c r="M426" i="7"/>
  <c r="I426" i="7"/>
  <c r="E426" i="7"/>
  <c r="Q425" i="7"/>
  <c r="M425" i="7"/>
  <c r="I425" i="7"/>
  <c r="E425" i="7"/>
  <c r="R425" i="7" s="1"/>
  <c r="Q424" i="7"/>
  <c r="M424" i="7"/>
  <c r="I424" i="7"/>
  <c r="E424" i="7"/>
  <c r="R424" i="7" s="1"/>
  <c r="Q423" i="7"/>
  <c r="M423" i="7"/>
  <c r="I423" i="7"/>
  <c r="E423" i="7"/>
  <c r="R423" i="7" s="1"/>
  <c r="R422" i="7"/>
  <c r="Q422" i="7"/>
  <c r="M422" i="7"/>
  <c r="I422" i="7"/>
  <c r="E422" i="7"/>
  <c r="R421" i="7"/>
  <c r="Q421" i="7"/>
  <c r="M421" i="7"/>
  <c r="I421" i="7"/>
  <c r="E421" i="7"/>
  <c r="Q420" i="7"/>
  <c r="M420" i="7"/>
  <c r="I420" i="7"/>
  <c r="R420" i="7" s="1"/>
  <c r="E420" i="7"/>
  <c r="Q419" i="7"/>
  <c r="M419" i="7"/>
  <c r="R419" i="7" s="1"/>
  <c r="I419" i="7"/>
  <c r="E419" i="7"/>
  <c r="Q418" i="7"/>
  <c r="M418" i="7"/>
  <c r="I418" i="7"/>
  <c r="E418" i="7"/>
  <c r="Q417" i="7"/>
  <c r="M417" i="7"/>
  <c r="I417" i="7"/>
  <c r="E417" i="7"/>
  <c r="R417" i="7" s="1"/>
  <c r="Q416" i="7"/>
  <c r="M416" i="7"/>
  <c r="I416" i="7"/>
  <c r="E416" i="7"/>
  <c r="R416" i="7" s="1"/>
  <c r="Q415" i="7"/>
  <c r="M415" i="7"/>
  <c r="I415" i="7"/>
  <c r="E415" i="7"/>
  <c r="Q414" i="7"/>
  <c r="R414" i="7" s="1"/>
  <c r="M414" i="7"/>
  <c r="I414" i="7"/>
  <c r="E414" i="7"/>
  <c r="R413" i="7"/>
  <c r="Q413" i="7"/>
  <c r="M413" i="7"/>
  <c r="I413" i="7"/>
  <c r="E413" i="7"/>
  <c r="Q412" i="7"/>
  <c r="M412" i="7"/>
  <c r="I412" i="7"/>
  <c r="R412" i="7" s="1"/>
  <c r="E412" i="7"/>
  <c r="Q411" i="7"/>
  <c r="M411" i="7"/>
  <c r="R411" i="7" s="1"/>
  <c r="I411" i="7"/>
  <c r="E411" i="7"/>
  <c r="Q410" i="7"/>
  <c r="M410" i="7"/>
  <c r="I410" i="7"/>
  <c r="E410" i="7"/>
  <c r="Q409" i="7"/>
  <c r="M409" i="7"/>
  <c r="I409" i="7"/>
  <c r="E409" i="7"/>
  <c r="R409" i="7" s="1"/>
  <c r="Q408" i="7"/>
  <c r="M408" i="7"/>
  <c r="I408" i="7"/>
  <c r="E408" i="7"/>
  <c r="R408" i="7" s="1"/>
  <c r="Q407" i="7"/>
  <c r="M407" i="7"/>
  <c r="I407" i="7"/>
  <c r="E407" i="7"/>
  <c r="R406" i="7"/>
  <c r="Q406" i="7"/>
  <c r="M406" i="7"/>
  <c r="I406" i="7"/>
  <c r="E406" i="7"/>
  <c r="R405" i="7"/>
  <c r="Q405" i="7"/>
  <c r="M405" i="7"/>
  <c r="I405" i="7"/>
  <c r="E405" i="7"/>
  <c r="Q404" i="7"/>
  <c r="M404" i="7"/>
  <c r="I404" i="7"/>
  <c r="R404" i="7" s="1"/>
  <c r="E404" i="7"/>
  <c r="Q403" i="7"/>
  <c r="M403" i="7"/>
  <c r="R403" i="7" s="1"/>
  <c r="I403" i="7"/>
  <c r="E403" i="7"/>
  <c r="Q402" i="7"/>
  <c r="M402" i="7"/>
  <c r="I402" i="7"/>
  <c r="E402" i="7"/>
  <c r="R402" i="7" s="1"/>
  <c r="Q401" i="7"/>
  <c r="M401" i="7"/>
  <c r="I401" i="7"/>
  <c r="E401" i="7"/>
  <c r="R401" i="7" s="1"/>
  <c r="Q400" i="7"/>
  <c r="M400" i="7"/>
  <c r="I400" i="7"/>
  <c r="E400" i="7"/>
  <c r="R400" i="7" s="1"/>
  <c r="Q399" i="7"/>
  <c r="M399" i="7"/>
  <c r="I399" i="7"/>
  <c r="E399" i="7"/>
  <c r="R399" i="7" s="1"/>
  <c r="Q398" i="7"/>
  <c r="M398" i="7"/>
  <c r="H398" i="7"/>
  <c r="H824" i="7" s="1"/>
  <c r="G398" i="7"/>
  <c r="G824" i="7" s="1"/>
  <c r="F398" i="7"/>
  <c r="F824" i="7" s="1"/>
  <c r="D398" i="7"/>
  <c r="D824" i="7" s="1"/>
  <c r="C398" i="7"/>
  <c r="E398" i="7" s="1"/>
  <c r="B398" i="7"/>
  <c r="B824" i="7" s="1"/>
  <c r="Q397" i="7"/>
  <c r="M397" i="7"/>
  <c r="I397" i="7"/>
  <c r="E397" i="7"/>
  <c r="R397" i="7" s="1"/>
  <c r="R396" i="7"/>
  <c r="Q396" i="7"/>
  <c r="M396" i="7"/>
  <c r="I396" i="7"/>
  <c r="E396" i="7"/>
  <c r="R395" i="7"/>
  <c r="Q395" i="7"/>
  <c r="M395" i="7"/>
  <c r="I395" i="7"/>
  <c r="E395" i="7"/>
  <c r="Q394" i="7"/>
  <c r="M394" i="7"/>
  <c r="I394" i="7"/>
  <c r="R394" i="7" s="1"/>
  <c r="E394" i="7"/>
  <c r="Q393" i="7"/>
  <c r="M393" i="7"/>
  <c r="R393" i="7" s="1"/>
  <c r="I393" i="7"/>
  <c r="E393" i="7"/>
  <c r="Q392" i="7"/>
  <c r="M392" i="7"/>
  <c r="I392" i="7"/>
  <c r="E392" i="7"/>
  <c r="Q391" i="7"/>
  <c r="M391" i="7"/>
  <c r="I391" i="7"/>
  <c r="E391" i="7"/>
  <c r="R391" i="7" s="1"/>
  <c r="Q390" i="7"/>
  <c r="M390" i="7"/>
  <c r="I390" i="7"/>
  <c r="E390" i="7"/>
  <c r="R390" i="7" s="1"/>
  <c r="Q389" i="7"/>
  <c r="M389" i="7"/>
  <c r="I389" i="7"/>
  <c r="E389" i="7"/>
  <c r="R388" i="7"/>
  <c r="Q388" i="7"/>
  <c r="M388" i="7"/>
  <c r="I388" i="7"/>
  <c r="E388" i="7"/>
  <c r="R387" i="7"/>
  <c r="Q387" i="7"/>
  <c r="M387" i="7"/>
  <c r="I387" i="7"/>
  <c r="E387" i="7"/>
  <c r="Q386" i="7"/>
  <c r="M386" i="7"/>
  <c r="I386" i="7"/>
  <c r="R386" i="7" s="1"/>
  <c r="E386" i="7"/>
  <c r="Q385" i="7"/>
  <c r="M385" i="7"/>
  <c r="R385" i="7" s="1"/>
  <c r="I385" i="7"/>
  <c r="E385" i="7"/>
  <c r="Q383" i="7"/>
  <c r="N383" i="7"/>
  <c r="N823" i="7" s="1"/>
  <c r="L383" i="7"/>
  <c r="L428" i="7" s="1"/>
  <c r="K383" i="7"/>
  <c r="K823" i="7" s="1"/>
  <c r="K825" i="7" s="1"/>
  <c r="K854" i="7" s="1"/>
  <c r="J383" i="7"/>
  <c r="J823" i="7" s="1"/>
  <c r="H383" i="7"/>
  <c r="H823" i="7" s="1"/>
  <c r="H825" i="7" s="1"/>
  <c r="H854" i="7" s="1"/>
  <c r="G383" i="7"/>
  <c r="F383" i="7"/>
  <c r="F823" i="7" s="1"/>
  <c r="D383" i="7"/>
  <c r="D823" i="7" s="1"/>
  <c r="D825" i="7" s="1"/>
  <c r="D854" i="7" s="1"/>
  <c r="C383" i="7"/>
  <c r="C823" i="7" s="1"/>
  <c r="B383" i="7"/>
  <c r="B823" i="7" s="1"/>
  <c r="Q382" i="7"/>
  <c r="M382" i="7"/>
  <c r="I382" i="7"/>
  <c r="E382" i="7"/>
  <c r="R382" i="7" s="1"/>
  <c r="Q379" i="7"/>
  <c r="P379" i="7"/>
  <c r="O379" i="7"/>
  <c r="N379" i="7"/>
  <c r="M379" i="7"/>
  <c r="L379" i="7"/>
  <c r="K379" i="7"/>
  <c r="J379" i="7"/>
  <c r="G379" i="7"/>
  <c r="F379" i="7"/>
  <c r="E379" i="7"/>
  <c r="D379" i="7"/>
  <c r="C379" i="7"/>
  <c r="B379" i="7"/>
  <c r="Q377" i="7"/>
  <c r="M377" i="7"/>
  <c r="I377" i="7"/>
  <c r="E377" i="7"/>
  <c r="R377" i="7" s="1"/>
  <c r="Q376" i="7"/>
  <c r="M376" i="7"/>
  <c r="I376" i="7"/>
  <c r="E376" i="7"/>
  <c r="R376" i="7" s="1"/>
  <c r="Q375" i="7"/>
  <c r="M375" i="7"/>
  <c r="I375" i="7"/>
  <c r="E375" i="7"/>
  <c r="AL374" i="7"/>
  <c r="AK374" i="7"/>
  <c r="AJ374" i="7"/>
  <c r="AI374" i="7"/>
  <c r="AH374" i="7"/>
  <c r="AG374" i="7"/>
  <c r="AF374" i="7"/>
  <c r="AE374" i="7"/>
  <c r="Z374" i="7"/>
  <c r="Y374" i="7"/>
  <c r="X374" i="7"/>
  <c r="W374" i="7"/>
  <c r="Q374" i="7"/>
  <c r="M374" i="7"/>
  <c r="I374" i="7"/>
  <c r="E374" i="7"/>
  <c r="R374" i="7" s="1"/>
  <c r="AK373" i="7"/>
  <c r="AJ373" i="7"/>
  <c r="AL373" i="7" s="1"/>
  <c r="AI373" i="7"/>
  <c r="AG373" i="7"/>
  <c r="AF373" i="7"/>
  <c r="AE373" i="7"/>
  <c r="AH373" i="7" s="1"/>
  <c r="AC373" i="7"/>
  <c r="Y373" i="7"/>
  <c r="X373" i="7"/>
  <c r="W373" i="7"/>
  <c r="Z373" i="7" s="1"/>
  <c r="Q373" i="7"/>
  <c r="M373" i="7"/>
  <c r="R373" i="7" s="1"/>
  <c r="I373" i="7"/>
  <c r="E373" i="7"/>
  <c r="AL372" i="7"/>
  <c r="AK372" i="7"/>
  <c r="AJ372" i="7"/>
  <c r="AI372" i="7"/>
  <c r="AH372" i="7"/>
  <c r="AG372" i="7"/>
  <c r="AF372" i="7"/>
  <c r="AE372" i="7"/>
  <c r="Z372" i="7"/>
  <c r="Y372" i="7"/>
  <c r="X372" i="7"/>
  <c r="W372" i="7"/>
  <c r="R372" i="7"/>
  <c r="Q372" i="7"/>
  <c r="M372" i="7"/>
  <c r="I372" i="7"/>
  <c r="H372" i="7"/>
  <c r="H819" i="7" s="1"/>
  <c r="E372" i="7"/>
  <c r="AL371" i="7"/>
  <c r="AH371" i="7"/>
  <c r="AC371" i="7"/>
  <c r="AC374" i="7" s="1"/>
  <c r="AB371" i="7"/>
  <c r="AB372" i="7" s="1"/>
  <c r="AA371" i="7"/>
  <c r="AA372" i="7" s="1"/>
  <c r="Z371" i="7"/>
  <c r="Q371" i="7"/>
  <c r="M371" i="7"/>
  <c r="I371" i="7"/>
  <c r="E371" i="7"/>
  <c r="R371" i="7" s="1"/>
  <c r="Q370" i="7"/>
  <c r="R370" i="7" s="1"/>
  <c r="M370" i="7"/>
  <c r="I370" i="7"/>
  <c r="E370" i="7"/>
  <c r="W369" i="7"/>
  <c r="H366" i="7"/>
  <c r="G366" i="7"/>
  <c r="Q364" i="7"/>
  <c r="M364" i="7"/>
  <c r="R364" i="7" s="1"/>
  <c r="I364" i="7"/>
  <c r="E364" i="7"/>
  <c r="Q363" i="7"/>
  <c r="M363" i="7"/>
  <c r="I363" i="7"/>
  <c r="E363" i="7"/>
  <c r="R363" i="7" s="1"/>
  <c r="Q362" i="7"/>
  <c r="M362" i="7"/>
  <c r="I362" i="7"/>
  <c r="E362" i="7"/>
  <c r="R362" i="7" s="1"/>
  <c r="Q361" i="7"/>
  <c r="M361" i="7"/>
  <c r="I361" i="7"/>
  <c r="E361" i="7"/>
  <c r="R361" i="7" s="1"/>
  <c r="Q359" i="7"/>
  <c r="M359" i="7"/>
  <c r="I359" i="7"/>
  <c r="E359" i="7"/>
  <c r="Q358" i="7"/>
  <c r="R358" i="7" s="1"/>
  <c r="M358" i="7"/>
  <c r="I358" i="7"/>
  <c r="E358" i="7"/>
  <c r="R357" i="7"/>
  <c r="Q357" i="7"/>
  <c r="M357" i="7"/>
  <c r="I357" i="7"/>
  <c r="E357" i="7"/>
  <c r="Q356" i="7"/>
  <c r="M356" i="7"/>
  <c r="I356" i="7"/>
  <c r="R356" i="7" s="1"/>
  <c r="E356" i="7"/>
  <c r="Q355" i="7"/>
  <c r="M355" i="7"/>
  <c r="R355" i="7" s="1"/>
  <c r="I355" i="7"/>
  <c r="E355" i="7"/>
  <c r="Q354" i="7"/>
  <c r="M354" i="7"/>
  <c r="I354" i="7"/>
  <c r="E354" i="7"/>
  <c r="Q353" i="7"/>
  <c r="M353" i="7"/>
  <c r="I353" i="7"/>
  <c r="E353" i="7"/>
  <c r="R353" i="7" s="1"/>
  <c r="Q352" i="7"/>
  <c r="M352" i="7"/>
  <c r="I352" i="7"/>
  <c r="E352" i="7"/>
  <c r="R352" i="7" s="1"/>
  <c r="Q351" i="7"/>
  <c r="M351" i="7"/>
  <c r="I351" i="7"/>
  <c r="E351" i="7"/>
  <c r="Q350" i="7"/>
  <c r="R350" i="7" s="1"/>
  <c r="M350" i="7"/>
  <c r="I350" i="7"/>
  <c r="E350" i="7"/>
  <c r="R349" i="7"/>
  <c r="Q349" i="7"/>
  <c r="M349" i="7"/>
  <c r="I349" i="7"/>
  <c r="E349" i="7"/>
  <c r="Q347" i="7"/>
  <c r="M347" i="7"/>
  <c r="I347" i="7"/>
  <c r="R347" i="7" s="1"/>
  <c r="E347" i="7"/>
  <c r="Q346" i="7"/>
  <c r="R346" i="7" s="1"/>
  <c r="M346" i="7"/>
  <c r="I346" i="7"/>
  <c r="E346" i="7"/>
  <c r="R345" i="7"/>
  <c r="Q345" i="7"/>
  <c r="M345" i="7"/>
  <c r="I345" i="7"/>
  <c r="E345" i="7"/>
  <c r="Q344" i="7"/>
  <c r="M344" i="7"/>
  <c r="I344" i="7"/>
  <c r="R344" i="7" s="1"/>
  <c r="E344" i="7"/>
  <c r="Q343" i="7"/>
  <c r="M343" i="7"/>
  <c r="R343" i="7" s="1"/>
  <c r="I343" i="7"/>
  <c r="E343" i="7"/>
  <c r="Q342" i="7"/>
  <c r="M342" i="7"/>
  <c r="I342" i="7"/>
  <c r="E342" i="7"/>
  <c r="R342" i="7" s="1"/>
  <c r="Q341" i="7"/>
  <c r="M341" i="7"/>
  <c r="I341" i="7"/>
  <c r="E341" i="7"/>
  <c r="R341" i="7" s="1"/>
  <c r="Q340" i="7"/>
  <c r="M340" i="7"/>
  <c r="I340" i="7"/>
  <c r="E340" i="7"/>
  <c r="R340" i="7" s="1"/>
  <c r="Q339" i="7"/>
  <c r="M339" i="7"/>
  <c r="I339" i="7"/>
  <c r="E339" i="7"/>
  <c r="R339" i="7" s="1"/>
  <c r="R338" i="7"/>
  <c r="Q338" i="7"/>
  <c r="M338" i="7"/>
  <c r="I338" i="7"/>
  <c r="E338" i="7"/>
  <c r="R337" i="7"/>
  <c r="Q337" i="7"/>
  <c r="M337" i="7"/>
  <c r="I337" i="7"/>
  <c r="E337" i="7"/>
  <c r="Q336" i="7"/>
  <c r="M336" i="7"/>
  <c r="I336" i="7"/>
  <c r="R336" i="7" s="1"/>
  <c r="E336" i="7"/>
  <c r="Q335" i="7"/>
  <c r="M335" i="7"/>
  <c r="R335" i="7" s="1"/>
  <c r="I335" i="7"/>
  <c r="E335" i="7"/>
  <c r="Q334" i="7"/>
  <c r="M334" i="7"/>
  <c r="I334" i="7"/>
  <c r="E334" i="7"/>
  <c r="Q333" i="7"/>
  <c r="M333" i="7"/>
  <c r="I333" i="7"/>
  <c r="E333" i="7"/>
  <c r="R333" i="7" s="1"/>
  <c r="Q332" i="7"/>
  <c r="M332" i="7"/>
  <c r="I332" i="7"/>
  <c r="E332" i="7"/>
  <c r="R332" i="7" s="1"/>
  <c r="Q331" i="7"/>
  <c r="M331" i="7"/>
  <c r="I331" i="7"/>
  <c r="E331" i="7"/>
  <c r="R330" i="7"/>
  <c r="Q330" i="7"/>
  <c r="M330" i="7"/>
  <c r="I330" i="7"/>
  <c r="E330" i="7"/>
  <c r="Q329" i="7"/>
  <c r="M329" i="7"/>
  <c r="I329" i="7"/>
  <c r="R329" i="7" s="1"/>
  <c r="E329" i="7"/>
  <c r="Q328" i="7"/>
  <c r="M328" i="7"/>
  <c r="I328" i="7"/>
  <c r="R328" i="7" s="1"/>
  <c r="E328" i="7"/>
  <c r="Q327" i="7"/>
  <c r="M327" i="7"/>
  <c r="I327" i="7"/>
  <c r="E327" i="7"/>
  <c r="Q326" i="7"/>
  <c r="M326" i="7"/>
  <c r="I326" i="7"/>
  <c r="E326" i="7"/>
  <c r="R326" i="7" s="1"/>
  <c r="P325" i="7"/>
  <c r="O325" i="7"/>
  <c r="O366" i="7" s="1"/>
  <c r="O453" i="7" s="1"/>
  <c r="O458" i="7" s="1"/>
  <c r="N325" i="7"/>
  <c r="Q325" i="7" s="1"/>
  <c r="L325" i="7"/>
  <c r="K325" i="7"/>
  <c r="K366" i="7" s="1"/>
  <c r="K453" i="7" s="1"/>
  <c r="K458" i="7" s="1"/>
  <c r="J325" i="7"/>
  <c r="H325" i="7"/>
  <c r="G325" i="7"/>
  <c r="G810" i="7" s="1"/>
  <c r="G816" i="7" s="1"/>
  <c r="F325" i="7"/>
  <c r="D325" i="7"/>
  <c r="D810" i="7" s="1"/>
  <c r="D816" i="7" s="1"/>
  <c r="C325" i="7"/>
  <c r="C810" i="7" s="1"/>
  <c r="C816" i="7" s="1"/>
  <c r="B325" i="7"/>
  <c r="Q324" i="7"/>
  <c r="M324" i="7"/>
  <c r="I324" i="7"/>
  <c r="R324" i="7" s="1"/>
  <c r="E324" i="7"/>
  <c r="Q323" i="7"/>
  <c r="M323" i="7"/>
  <c r="R323" i="7" s="1"/>
  <c r="I323" i="7"/>
  <c r="E323" i="7"/>
  <c r="Q322" i="7"/>
  <c r="M322" i="7"/>
  <c r="I322" i="7"/>
  <c r="E322" i="7"/>
  <c r="Q321" i="7"/>
  <c r="M321" i="7"/>
  <c r="I321" i="7"/>
  <c r="E321" i="7"/>
  <c r="R321" i="7" s="1"/>
  <c r="Q320" i="7"/>
  <c r="M320" i="7"/>
  <c r="I320" i="7"/>
  <c r="E320" i="7"/>
  <c r="P319" i="7"/>
  <c r="O319" i="7"/>
  <c r="N319" i="7"/>
  <c r="L319" i="7"/>
  <c r="K319" i="7"/>
  <c r="I319" i="7"/>
  <c r="E319" i="7"/>
  <c r="R311" i="7"/>
  <c r="P311" i="7"/>
  <c r="O311" i="7"/>
  <c r="N311" i="7"/>
  <c r="L311" i="7"/>
  <c r="K311" i="7"/>
  <c r="J311" i="7"/>
  <c r="H311" i="7"/>
  <c r="G311" i="7"/>
  <c r="F311" i="7"/>
  <c r="I311" i="7" s="1"/>
  <c r="D311" i="7"/>
  <c r="C311" i="7"/>
  <c r="B311" i="7"/>
  <c r="Q309" i="7"/>
  <c r="M309" i="7"/>
  <c r="I309" i="7"/>
  <c r="R309" i="7" s="1"/>
  <c r="E309" i="7"/>
  <c r="Q298" i="7"/>
  <c r="M298" i="7"/>
  <c r="I298" i="7"/>
  <c r="E298" i="7"/>
  <c r="R298" i="7" s="1"/>
  <c r="Q297" i="7"/>
  <c r="M297" i="7"/>
  <c r="I297" i="7"/>
  <c r="E297" i="7"/>
  <c r="Q296" i="7"/>
  <c r="M296" i="7"/>
  <c r="R296" i="7" s="1"/>
  <c r="I296" i="7"/>
  <c r="E296" i="7"/>
  <c r="R295" i="7"/>
  <c r="Q295" i="7"/>
  <c r="M295" i="7"/>
  <c r="I295" i="7"/>
  <c r="E295" i="7"/>
  <c r="Q294" i="7"/>
  <c r="M294" i="7"/>
  <c r="I294" i="7"/>
  <c r="E294" i="7"/>
  <c r="R294" i="7" s="1"/>
  <c r="Q293" i="7"/>
  <c r="M293" i="7"/>
  <c r="I293" i="7"/>
  <c r="E293" i="7"/>
  <c r="R293" i="7" s="1"/>
  <c r="P292" i="7"/>
  <c r="P300" i="7" s="1"/>
  <c r="N292" i="7"/>
  <c r="N300" i="7" s="1"/>
  <c r="L292" i="7"/>
  <c r="L300" i="7" s="1"/>
  <c r="H292" i="7"/>
  <c r="H300" i="7" s="1"/>
  <c r="Q291" i="7"/>
  <c r="P291" i="7"/>
  <c r="O291" i="7"/>
  <c r="N291" i="7"/>
  <c r="L291" i="7"/>
  <c r="K291" i="7"/>
  <c r="J291" i="7"/>
  <c r="M291" i="7" s="1"/>
  <c r="I291" i="7"/>
  <c r="H291" i="7"/>
  <c r="G291" i="7"/>
  <c r="F291" i="7"/>
  <c r="D291" i="7"/>
  <c r="C291" i="7"/>
  <c r="B291" i="7"/>
  <c r="E291" i="7" s="1"/>
  <c r="P290" i="7"/>
  <c r="O290" i="7"/>
  <c r="N290" i="7"/>
  <c r="Q290" i="7" s="1"/>
  <c r="L290" i="7"/>
  <c r="K290" i="7"/>
  <c r="J290" i="7"/>
  <c r="H290" i="7"/>
  <c r="G290" i="7"/>
  <c r="F290" i="7"/>
  <c r="D290" i="7"/>
  <c r="C290" i="7"/>
  <c r="B290" i="7"/>
  <c r="E290" i="7" s="1"/>
  <c r="Q289" i="7"/>
  <c r="M289" i="7"/>
  <c r="I289" i="7"/>
  <c r="E289" i="7"/>
  <c r="Q287" i="7"/>
  <c r="M287" i="7"/>
  <c r="I287" i="7"/>
  <c r="E287" i="7"/>
  <c r="R287" i="7" s="1"/>
  <c r="Q285" i="7"/>
  <c r="M285" i="7"/>
  <c r="I285" i="7"/>
  <c r="E285" i="7"/>
  <c r="R285" i="7" s="1"/>
  <c r="Q284" i="7"/>
  <c r="M284" i="7"/>
  <c r="R284" i="7" s="1"/>
  <c r="I284" i="7"/>
  <c r="E284" i="7"/>
  <c r="Q283" i="7"/>
  <c r="M283" i="7"/>
  <c r="I283" i="7"/>
  <c r="E283" i="7"/>
  <c r="Q282" i="7"/>
  <c r="R282" i="7" s="1"/>
  <c r="M282" i="7"/>
  <c r="I282" i="7"/>
  <c r="E282" i="7"/>
  <c r="R281" i="7"/>
  <c r="Q281" i="7"/>
  <c r="M281" i="7"/>
  <c r="I281" i="7"/>
  <c r="E281" i="7"/>
  <c r="Q280" i="7"/>
  <c r="M280" i="7"/>
  <c r="I280" i="7"/>
  <c r="E280" i="7"/>
  <c r="R280" i="7" s="1"/>
  <c r="Q279" i="7"/>
  <c r="M279" i="7"/>
  <c r="R279" i="7" s="1"/>
  <c r="I279" i="7"/>
  <c r="E279" i="7"/>
  <c r="R278" i="7"/>
  <c r="Q278" i="7"/>
  <c r="M278" i="7"/>
  <c r="I278" i="7"/>
  <c r="E278" i="7"/>
  <c r="Q276" i="7"/>
  <c r="M276" i="7"/>
  <c r="I276" i="7"/>
  <c r="E276" i="7"/>
  <c r="R276" i="7" s="1"/>
  <c r="Q275" i="7"/>
  <c r="M275" i="7"/>
  <c r="I275" i="7"/>
  <c r="E275" i="7"/>
  <c r="R275" i="7" s="1"/>
  <c r="Q274" i="7"/>
  <c r="M274" i="7"/>
  <c r="I274" i="7"/>
  <c r="E274" i="7"/>
  <c r="R274" i="7" s="1"/>
  <c r="Q271" i="7"/>
  <c r="P271" i="7"/>
  <c r="O271" i="7"/>
  <c r="N271" i="7"/>
  <c r="L271" i="7"/>
  <c r="K271" i="7"/>
  <c r="I271" i="7"/>
  <c r="H271" i="7"/>
  <c r="G271" i="7"/>
  <c r="F271" i="7"/>
  <c r="D271" i="7"/>
  <c r="C271" i="7"/>
  <c r="B271" i="7"/>
  <c r="E271" i="7" s="1"/>
  <c r="R270" i="7"/>
  <c r="Q270" i="7"/>
  <c r="M270" i="7"/>
  <c r="I270" i="7"/>
  <c r="E270" i="7"/>
  <c r="Q269" i="7"/>
  <c r="M269" i="7"/>
  <c r="I269" i="7"/>
  <c r="E269" i="7"/>
  <c r="Q268" i="7"/>
  <c r="M268" i="7"/>
  <c r="I268" i="7"/>
  <c r="E268" i="7"/>
  <c r="R267" i="7"/>
  <c r="Q267" i="7"/>
  <c r="M267" i="7"/>
  <c r="I267" i="7"/>
  <c r="E267" i="7"/>
  <c r="Q266" i="7"/>
  <c r="M266" i="7"/>
  <c r="I266" i="7"/>
  <c r="E266" i="7"/>
  <c r="R266" i="7" s="1"/>
  <c r="Q265" i="7"/>
  <c r="M265" i="7"/>
  <c r="I265" i="7"/>
  <c r="R265" i="7" s="1"/>
  <c r="E265" i="7"/>
  <c r="Q264" i="7"/>
  <c r="M264" i="7"/>
  <c r="R264" i="7" s="1"/>
  <c r="I264" i="7"/>
  <c r="E264" i="7"/>
  <c r="Q263" i="7"/>
  <c r="J263" i="7"/>
  <c r="I263" i="7"/>
  <c r="E263" i="7"/>
  <c r="Q262" i="7"/>
  <c r="M262" i="7"/>
  <c r="I262" i="7"/>
  <c r="E262" i="7"/>
  <c r="Q261" i="7"/>
  <c r="R261" i="7" s="1"/>
  <c r="M261" i="7"/>
  <c r="I261" i="7"/>
  <c r="E261" i="7"/>
  <c r="R260" i="7"/>
  <c r="Q260" i="7"/>
  <c r="M260" i="7"/>
  <c r="I260" i="7"/>
  <c r="E260" i="7"/>
  <c r="Q259" i="7"/>
  <c r="M259" i="7"/>
  <c r="I259" i="7"/>
  <c r="E259" i="7"/>
  <c r="R259" i="7" s="1"/>
  <c r="Q258" i="7"/>
  <c r="M258" i="7"/>
  <c r="I258" i="7"/>
  <c r="E258" i="7"/>
  <c r="Q257" i="7"/>
  <c r="M257" i="7"/>
  <c r="I257" i="7"/>
  <c r="E257" i="7"/>
  <c r="Q256" i="7"/>
  <c r="R256" i="7" s="1"/>
  <c r="M256" i="7"/>
  <c r="I256" i="7"/>
  <c r="E256" i="7"/>
  <c r="R255" i="7"/>
  <c r="Q255" i="7"/>
  <c r="M255" i="7"/>
  <c r="I255" i="7"/>
  <c r="E255" i="7"/>
  <c r="Q254" i="7"/>
  <c r="M254" i="7"/>
  <c r="I254" i="7"/>
  <c r="E254" i="7"/>
  <c r="R253" i="7"/>
  <c r="Q253" i="7"/>
  <c r="M253" i="7"/>
  <c r="I253" i="7"/>
  <c r="E253" i="7"/>
  <c r="Q252" i="7"/>
  <c r="M252" i="7"/>
  <c r="I252" i="7"/>
  <c r="E252" i="7"/>
  <c r="R252" i="7" s="1"/>
  <c r="R251" i="7"/>
  <c r="Q251" i="7"/>
  <c r="M251" i="7"/>
  <c r="I251" i="7"/>
  <c r="E251" i="7"/>
  <c r="Q250" i="7"/>
  <c r="M250" i="7"/>
  <c r="I250" i="7"/>
  <c r="E250" i="7"/>
  <c r="Q249" i="7"/>
  <c r="M249" i="7"/>
  <c r="I249" i="7"/>
  <c r="E249" i="7"/>
  <c r="R248" i="7"/>
  <c r="Q248" i="7"/>
  <c r="M248" i="7"/>
  <c r="I248" i="7"/>
  <c r="E248" i="7"/>
  <c r="Q247" i="7"/>
  <c r="M247" i="7"/>
  <c r="I247" i="7"/>
  <c r="E247" i="7"/>
  <c r="R247" i="7" s="1"/>
  <c r="Q246" i="7"/>
  <c r="M246" i="7"/>
  <c r="I246" i="7"/>
  <c r="R246" i="7" s="1"/>
  <c r="E246" i="7"/>
  <c r="Q245" i="7"/>
  <c r="M245" i="7"/>
  <c r="R245" i="7" s="1"/>
  <c r="I245" i="7"/>
  <c r="E245" i="7"/>
  <c r="Q244" i="7"/>
  <c r="R244" i="7" s="1"/>
  <c r="M244" i="7"/>
  <c r="I244" i="7"/>
  <c r="E244" i="7"/>
  <c r="R243" i="7"/>
  <c r="Q243" i="7"/>
  <c r="M243" i="7"/>
  <c r="I243" i="7"/>
  <c r="E243" i="7"/>
  <c r="Q242" i="7"/>
  <c r="M242" i="7"/>
  <c r="I242" i="7"/>
  <c r="E242" i="7"/>
  <c r="R242" i="7" s="1"/>
  <c r="Q241" i="7"/>
  <c r="M241" i="7"/>
  <c r="I241" i="7"/>
  <c r="E241" i="7"/>
  <c r="Q240" i="7"/>
  <c r="M240" i="7"/>
  <c r="I240" i="7"/>
  <c r="E240" i="7"/>
  <c r="R240" i="7" s="1"/>
  <c r="Q239" i="7"/>
  <c r="M239" i="7"/>
  <c r="I239" i="7"/>
  <c r="R239" i="7" s="1"/>
  <c r="E239" i="7"/>
  <c r="Q238" i="7"/>
  <c r="M238" i="7"/>
  <c r="I238" i="7"/>
  <c r="E238" i="7"/>
  <c r="Q237" i="7"/>
  <c r="M237" i="7"/>
  <c r="R237" i="7" s="1"/>
  <c r="I237" i="7"/>
  <c r="E237" i="7"/>
  <c r="R236" i="7"/>
  <c r="Q236" i="7"/>
  <c r="M236" i="7"/>
  <c r="I236" i="7"/>
  <c r="E236" i="7"/>
  <c r="Q235" i="7"/>
  <c r="M235" i="7"/>
  <c r="I235" i="7"/>
  <c r="E235" i="7"/>
  <c r="R235" i="7" s="1"/>
  <c r="Q234" i="7"/>
  <c r="M234" i="7"/>
  <c r="I234" i="7"/>
  <c r="E234" i="7"/>
  <c r="R234" i="7" s="1"/>
  <c r="Q233" i="7"/>
  <c r="M233" i="7"/>
  <c r="I233" i="7"/>
  <c r="E233" i="7"/>
  <c r="R233" i="7" s="1"/>
  <c r="Q232" i="7"/>
  <c r="R232" i="7" s="1"/>
  <c r="M232" i="7"/>
  <c r="I232" i="7"/>
  <c r="E232" i="7"/>
  <c r="Q231" i="7"/>
  <c r="M231" i="7"/>
  <c r="I231" i="7"/>
  <c r="E231" i="7"/>
  <c r="R231" i="7" s="1"/>
  <c r="Q230" i="7"/>
  <c r="M230" i="7"/>
  <c r="I230" i="7"/>
  <c r="E230" i="7"/>
  <c r="R229" i="7"/>
  <c r="Q229" i="7"/>
  <c r="M229" i="7"/>
  <c r="I229" i="7"/>
  <c r="E229" i="7"/>
  <c r="Q228" i="7"/>
  <c r="M228" i="7"/>
  <c r="I228" i="7"/>
  <c r="E228" i="7"/>
  <c r="R228" i="7" s="1"/>
  <c r="Q227" i="7"/>
  <c r="M227" i="7"/>
  <c r="I227" i="7"/>
  <c r="R227" i="7" s="1"/>
  <c r="E227" i="7"/>
  <c r="Q226" i="7"/>
  <c r="M226" i="7"/>
  <c r="I226" i="7"/>
  <c r="E226" i="7"/>
  <c r="Q225" i="7"/>
  <c r="M225" i="7"/>
  <c r="I225" i="7"/>
  <c r="E225" i="7"/>
  <c r="Q224" i="7"/>
  <c r="M224" i="7"/>
  <c r="I224" i="7"/>
  <c r="E224" i="7"/>
  <c r="R224" i="7" s="1"/>
  <c r="Q223" i="7"/>
  <c r="M223" i="7"/>
  <c r="I223" i="7"/>
  <c r="E223" i="7"/>
  <c r="R223" i="7" s="1"/>
  <c r="Q222" i="7"/>
  <c r="M222" i="7"/>
  <c r="I222" i="7"/>
  <c r="R222" i="7" s="1"/>
  <c r="E222" i="7"/>
  <c r="R221" i="7"/>
  <c r="Q221" i="7"/>
  <c r="M221" i="7"/>
  <c r="I221" i="7"/>
  <c r="E221" i="7"/>
  <c r="Q220" i="7"/>
  <c r="M220" i="7"/>
  <c r="I220" i="7"/>
  <c r="R220" i="7" s="1"/>
  <c r="E220" i="7"/>
  <c r="Q219" i="7"/>
  <c r="M219" i="7"/>
  <c r="I219" i="7"/>
  <c r="E219" i="7"/>
  <c r="R219" i="7" s="1"/>
  <c r="Q218" i="7"/>
  <c r="M218" i="7"/>
  <c r="I218" i="7"/>
  <c r="E218" i="7"/>
  <c r="Q217" i="7"/>
  <c r="M217" i="7"/>
  <c r="I217" i="7"/>
  <c r="E217" i="7"/>
  <c r="Q216" i="7"/>
  <c r="M216" i="7"/>
  <c r="I216" i="7"/>
  <c r="E216" i="7"/>
  <c r="R216" i="7" s="1"/>
  <c r="R215" i="7"/>
  <c r="Q215" i="7"/>
  <c r="M215" i="7"/>
  <c r="I215" i="7"/>
  <c r="E215" i="7"/>
  <c r="Q214" i="7"/>
  <c r="M214" i="7"/>
  <c r="I214" i="7"/>
  <c r="R214" i="7" s="1"/>
  <c r="E214" i="7"/>
  <c r="Q213" i="7"/>
  <c r="M213" i="7"/>
  <c r="R213" i="7" s="1"/>
  <c r="I213" i="7"/>
  <c r="E213" i="7"/>
  <c r="Q209" i="7"/>
  <c r="P209" i="7"/>
  <c r="O209" i="7"/>
  <c r="N209" i="7"/>
  <c r="M209" i="7"/>
  <c r="L209" i="7"/>
  <c r="K209" i="7"/>
  <c r="J209" i="7"/>
  <c r="I209" i="7"/>
  <c r="D209" i="7"/>
  <c r="C209" i="7"/>
  <c r="B209" i="7"/>
  <c r="Q207" i="7"/>
  <c r="M207" i="7"/>
  <c r="I207" i="7"/>
  <c r="E207" i="7"/>
  <c r="R206" i="7"/>
  <c r="Q206" i="7"/>
  <c r="M206" i="7"/>
  <c r="I206" i="7"/>
  <c r="E206" i="7"/>
  <c r="P202" i="7"/>
  <c r="O202" i="7"/>
  <c r="O292" i="7" s="1"/>
  <c r="O300" i="7" s="1"/>
  <c r="N202" i="7"/>
  <c r="Q202" i="7" s="1"/>
  <c r="L202" i="7"/>
  <c r="K202" i="7"/>
  <c r="J202" i="7"/>
  <c r="H202" i="7"/>
  <c r="G202" i="7"/>
  <c r="G292" i="7" s="1"/>
  <c r="G300" i="7" s="1"/>
  <c r="F202" i="7"/>
  <c r="F292" i="7" s="1"/>
  <c r="D202" i="7"/>
  <c r="D292" i="7" s="1"/>
  <c r="D300" i="7" s="1"/>
  <c r="C202" i="7"/>
  <c r="B202" i="7"/>
  <c r="Q200" i="7"/>
  <c r="M200" i="7"/>
  <c r="I200" i="7"/>
  <c r="E200" i="7"/>
  <c r="R200" i="7" s="1"/>
  <c r="Q199" i="7"/>
  <c r="M199" i="7"/>
  <c r="R199" i="7" s="1"/>
  <c r="I199" i="7"/>
  <c r="E199" i="7"/>
  <c r="R198" i="7"/>
  <c r="Q198" i="7"/>
  <c r="M198" i="7"/>
  <c r="I198" i="7"/>
  <c r="E198" i="7"/>
  <c r="Q196" i="7"/>
  <c r="M196" i="7"/>
  <c r="I196" i="7"/>
  <c r="E196" i="7"/>
  <c r="R196" i="7" s="1"/>
  <c r="Q195" i="7"/>
  <c r="M195" i="7"/>
  <c r="I195" i="7"/>
  <c r="R195" i="7" s="1"/>
  <c r="E195" i="7"/>
  <c r="Q194" i="7"/>
  <c r="M194" i="7"/>
  <c r="I194" i="7"/>
  <c r="E194" i="7"/>
  <c r="Q193" i="7"/>
  <c r="M193" i="7"/>
  <c r="I193" i="7"/>
  <c r="E193" i="7"/>
  <c r="Q192" i="7"/>
  <c r="M192" i="7"/>
  <c r="I192" i="7"/>
  <c r="E192" i="7"/>
  <c r="R192" i="7" s="1"/>
  <c r="Q191" i="7"/>
  <c r="M191" i="7"/>
  <c r="I191" i="7"/>
  <c r="E191" i="7"/>
  <c r="R191" i="7" s="1"/>
  <c r="R190" i="7"/>
  <c r="Q190" i="7"/>
  <c r="M190" i="7"/>
  <c r="I190" i="7"/>
  <c r="E190" i="7"/>
  <c r="Q189" i="7"/>
  <c r="M189" i="7"/>
  <c r="I189" i="7"/>
  <c r="R189" i="7" s="1"/>
  <c r="E189" i="7"/>
  <c r="Q188" i="7"/>
  <c r="R188" i="7" s="1"/>
  <c r="M188" i="7"/>
  <c r="I188" i="7"/>
  <c r="E188" i="7"/>
  <c r="R187" i="7"/>
  <c r="Q187" i="7"/>
  <c r="M187" i="7"/>
  <c r="I187" i="7"/>
  <c r="E187" i="7"/>
  <c r="Q185" i="7"/>
  <c r="M185" i="7"/>
  <c r="I185" i="7"/>
  <c r="E185" i="7"/>
  <c r="R185" i="7" s="1"/>
  <c r="R184" i="7"/>
  <c r="Q184" i="7"/>
  <c r="M184" i="7"/>
  <c r="I184" i="7"/>
  <c r="E184" i="7"/>
  <c r="Q183" i="7"/>
  <c r="M183" i="7"/>
  <c r="I183" i="7"/>
  <c r="E183" i="7"/>
  <c r="R183" i="7" s="1"/>
  <c r="Q182" i="7"/>
  <c r="M182" i="7"/>
  <c r="I182" i="7"/>
  <c r="E182" i="7"/>
  <c r="Q181" i="7"/>
  <c r="M181" i="7"/>
  <c r="I181" i="7"/>
  <c r="E181" i="7"/>
  <c r="Q180" i="7"/>
  <c r="M180" i="7"/>
  <c r="R180" i="7" s="1"/>
  <c r="I180" i="7"/>
  <c r="E180" i="7"/>
  <c r="R179" i="7"/>
  <c r="Q179" i="7"/>
  <c r="M179" i="7"/>
  <c r="I179" i="7"/>
  <c r="E179" i="7"/>
  <c r="Q178" i="7"/>
  <c r="M178" i="7"/>
  <c r="I178" i="7"/>
  <c r="R178" i="7" s="1"/>
  <c r="E178" i="7"/>
  <c r="Q177" i="7"/>
  <c r="M177" i="7"/>
  <c r="I177" i="7"/>
  <c r="R177" i="7" s="1"/>
  <c r="E177" i="7"/>
  <c r="Q176" i="7"/>
  <c r="M176" i="7"/>
  <c r="I176" i="7"/>
  <c r="E176" i="7"/>
  <c r="R176" i="7" s="1"/>
  <c r="Q175" i="7"/>
  <c r="M175" i="7"/>
  <c r="I175" i="7"/>
  <c r="E175" i="7"/>
  <c r="R175" i="7" s="1"/>
  <c r="Q174" i="7"/>
  <c r="M174" i="7"/>
  <c r="I174" i="7"/>
  <c r="E174" i="7"/>
  <c r="Q173" i="7"/>
  <c r="M173" i="7"/>
  <c r="I173" i="7"/>
  <c r="E173" i="7"/>
  <c r="R173" i="7" s="1"/>
  <c r="R172" i="7"/>
  <c r="Q172" i="7"/>
  <c r="M172" i="7"/>
  <c r="I172" i="7"/>
  <c r="E172" i="7"/>
  <c r="Q171" i="7"/>
  <c r="M171" i="7"/>
  <c r="I171" i="7"/>
  <c r="E171" i="7"/>
  <c r="R171" i="7" s="1"/>
  <c r="Q170" i="7"/>
  <c r="M170" i="7"/>
  <c r="R170" i="7" s="1"/>
  <c r="I170" i="7"/>
  <c r="E170" i="7"/>
  <c r="R169" i="7"/>
  <c r="Q169" i="7"/>
  <c r="M169" i="7"/>
  <c r="I169" i="7"/>
  <c r="E169" i="7"/>
  <c r="Q168" i="7"/>
  <c r="M168" i="7"/>
  <c r="I168" i="7"/>
  <c r="E168" i="7"/>
  <c r="R168" i="7" s="1"/>
  <c r="Q167" i="7"/>
  <c r="M167" i="7"/>
  <c r="I167" i="7"/>
  <c r="R167" i="7" s="1"/>
  <c r="E167" i="7"/>
  <c r="Q166" i="7"/>
  <c r="M166" i="7"/>
  <c r="I166" i="7"/>
  <c r="E166" i="7"/>
  <c r="Q165" i="7"/>
  <c r="M165" i="7"/>
  <c r="I165" i="7"/>
  <c r="E165" i="7"/>
  <c r="Q164" i="7"/>
  <c r="M164" i="7"/>
  <c r="I164" i="7"/>
  <c r="E164" i="7"/>
  <c r="R164" i="7" s="1"/>
  <c r="Q163" i="7"/>
  <c r="M163" i="7"/>
  <c r="I163" i="7"/>
  <c r="E163" i="7"/>
  <c r="R163" i="7" s="1"/>
  <c r="R162" i="7"/>
  <c r="Q162" i="7"/>
  <c r="M162" i="7"/>
  <c r="I162" i="7"/>
  <c r="E162" i="7"/>
  <c r="Q161" i="7"/>
  <c r="M161" i="7"/>
  <c r="I161" i="7"/>
  <c r="R161" i="7" s="1"/>
  <c r="E161" i="7"/>
  <c r="Q160" i="7"/>
  <c r="R160" i="7" s="1"/>
  <c r="M160" i="7"/>
  <c r="I160" i="7"/>
  <c r="E160" i="7"/>
  <c r="R159" i="7"/>
  <c r="Q159" i="7"/>
  <c r="M159" i="7"/>
  <c r="I159" i="7"/>
  <c r="E159" i="7"/>
  <c r="Q158" i="7"/>
  <c r="M158" i="7"/>
  <c r="I158" i="7"/>
  <c r="E158" i="7"/>
  <c r="R158" i="7" s="1"/>
  <c r="Q157" i="7"/>
  <c r="M157" i="7"/>
  <c r="I157" i="7"/>
  <c r="E157" i="7"/>
  <c r="Q156" i="7"/>
  <c r="M156" i="7"/>
  <c r="I156" i="7"/>
  <c r="E156" i="7"/>
  <c r="R156" i="7" s="1"/>
  <c r="Q155" i="7"/>
  <c r="M155" i="7"/>
  <c r="I155" i="7"/>
  <c r="R155" i="7" s="1"/>
  <c r="E155" i="7"/>
  <c r="Q154" i="7"/>
  <c r="M154" i="7"/>
  <c r="I154" i="7"/>
  <c r="R154" i="7" s="1"/>
  <c r="E154" i="7"/>
  <c r="Q153" i="7"/>
  <c r="R153" i="7" s="1"/>
  <c r="M153" i="7"/>
  <c r="I153" i="7"/>
  <c r="E153" i="7"/>
  <c r="R152" i="7"/>
  <c r="Q152" i="7"/>
  <c r="M152" i="7"/>
  <c r="I152" i="7"/>
  <c r="E152" i="7"/>
  <c r="Q151" i="7"/>
  <c r="M151" i="7"/>
  <c r="I151" i="7"/>
  <c r="E151" i="7"/>
  <c r="R151" i="7" s="1"/>
  <c r="Q150" i="7"/>
  <c r="M150" i="7"/>
  <c r="I150" i="7"/>
  <c r="E150" i="7"/>
  <c r="Q149" i="7"/>
  <c r="M149" i="7"/>
  <c r="I149" i="7"/>
  <c r="E149" i="7"/>
  <c r="Q148" i="7"/>
  <c r="M148" i="7"/>
  <c r="R148" i="7" s="1"/>
  <c r="I148" i="7"/>
  <c r="E148" i="7"/>
  <c r="R147" i="7"/>
  <c r="Q147" i="7"/>
  <c r="M147" i="7"/>
  <c r="I147" i="7"/>
  <c r="E147" i="7"/>
  <c r="Q146" i="7"/>
  <c r="M146" i="7"/>
  <c r="I146" i="7"/>
  <c r="R146" i="7" s="1"/>
  <c r="E146" i="7"/>
  <c r="Q145" i="7"/>
  <c r="M145" i="7"/>
  <c r="I145" i="7"/>
  <c r="R145" i="7" s="1"/>
  <c r="E145" i="7"/>
  <c r="Q144" i="7"/>
  <c r="M144" i="7"/>
  <c r="I144" i="7"/>
  <c r="E144" i="7"/>
  <c r="R144" i="7" s="1"/>
  <c r="Q143" i="7"/>
  <c r="M143" i="7"/>
  <c r="I143" i="7"/>
  <c r="E143" i="7"/>
  <c r="R143" i="7" s="1"/>
  <c r="Q142" i="7"/>
  <c r="M142" i="7"/>
  <c r="I142" i="7"/>
  <c r="E142" i="7"/>
  <c r="Q141" i="7"/>
  <c r="M141" i="7"/>
  <c r="I141" i="7"/>
  <c r="E141" i="7"/>
  <c r="R141" i="7" s="1"/>
  <c r="R140" i="7"/>
  <c r="Q140" i="7"/>
  <c r="M140" i="7"/>
  <c r="I140" i="7"/>
  <c r="E140" i="7"/>
  <c r="Q139" i="7"/>
  <c r="M139" i="7"/>
  <c r="I139" i="7"/>
  <c r="E139" i="7"/>
  <c r="R139" i="7" s="1"/>
  <c r="Q127" i="7"/>
  <c r="M127" i="7"/>
  <c r="I127" i="7"/>
  <c r="R127" i="7" s="1"/>
  <c r="E127" i="7"/>
  <c r="P126" i="7"/>
  <c r="P129" i="7" s="1"/>
  <c r="L126" i="7"/>
  <c r="L129" i="7" s="1"/>
  <c r="H126" i="7"/>
  <c r="H129" i="7" s="1"/>
  <c r="D126" i="7"/>
  <c r="D129" i="7" s="1"/>
  <c r="Q125" i="7"/>
  <c r="P125" i="7"/>
  <c r="O125" i="7"/>
  <c r="N125" i="7"/>
  <c r="L125" i="7"/>
  <c r="K125" i="7"/>
  <c r="J125" i="7"/>
  <c r="M125" i="7" s="1"/>
  <c r="I125" i="7"/>
  <c r="H125" i="7"/>
  <c r="G125" i="7"/>
  <c r="F125" i="7"/>
  <c r="D125" i="7"/>
  <c r="C125" i="7"/>
  <c r="B125" i="7"/>
  <c r="E125" i="7" s="1"/>
  <c r="R125" i="7" s="1"/>
  <c r="P124" i="7"/>
  <c r="O124" i="7"/>
  <c r="N124" i="7"/>
  <c r="Q124" i="7" s="1"/>
  <c r="L124" i="7"/>
  <c r="K124" i="7"/>
  <c r="J124" i="7"/>
  <c r="M124" i="7" s="1"/>
  <c r="H124" i="7"/>
  <c r="G124" i="7"/>
  <c r="F124" i="7"/>
  <c r="I124" i="7" s="1"/>
  <c r="D124" i="7"/>
  <c r="C124" i="7"/>
  <c r="B124" i="7"/>
  <c r="E124" i="7" s="1"/>
  <c r="R124" i="7" s="1"/>
  <c r="Q122" i="7"/>
  <c r="M122" i="7"/>
  <c r="I122" i="7"/>
  <c r="E122" i="7"/>
  <c r="R122" i="7" s="1"/>
  <c r="Q120" i="7"/>
  <c r="M120" i="7"/>
  <c r="I120" i="7"/>
  <c r="E120" i="7"/>
  <c r="R120" i="7" s="1"/>
  <c r="Q119" i="7"/>
  <c r="M119" i="7"/>
  <c r="I119" i="7"/>
  <c r="E119" i="7"/>
  <c r="R119" i="7" s="1"/>
  <c r="R117" i="7"/>
  <c r="Q117" i="7"/>
  <c r="M117" i="7"/>
  <c r="I117" i="7"/>
  <c r="E117" i="7"/>
  <c r="Q116" i="7"/>
  <c r="M116" i="7"/>
  <c r="I116" i="7"/>
  <c r="E116" i="7"/>
  <c r="R116" i="7" s="1"/>
  <c r="Q115" i="7"/>
  <c r="M115" i="7"/>
  <c r="R115" i="7" s="1"/>
  <c r="I115" i="7"/>
  <c r="E115" i="7"/>
  <c r="R114" i="7"/>
  <c r="Q114" i="7"/>
  <c r="M114" i="7"/>
  <c r="I114" i="7"/>
  <c r="E114" i="7"/>
  <c r="Q113" i="7"/>
  <c r="M113" i="7"/>
  <c r="I113" i="7"/>
  <c r="E113" i="7"/>
  <c r="R113" i="7" s="1"/>
  <c r="Q112" i="7"/>
  <c r="M112" i="7"/>
  <c r="I112" i="7"/>
  <c r="E112" i="7"/>
  <c r="R112" i="7" s="1"/>
  <c r="Q111" i="7"/>
  <c r="M111" i="7"/>
  <c r="I111" i="7"/>
  <c r="E111" i="7"/>
  <c r="R111" i="7" s="1"/>
  <c r="Q110" i="7"/>
  <c r="M110" i="7"/>
  <c r="I110" i="7"/>
  <c r="E110" i="7"/>
  <c r="R110" i="7" s="1"/>
  <c r="P107" i="7"/>
  <c r="O107" i="7"/>
  <c r="N107" i="7"/>
  <c r="Q107" i="7" s="1"/>
  <c r="L107" i="7"/>
  <c r="K107" i="7"/>
  <c r="J107" i="7"/>
  <c r="M107" i="7" s="1"/>
  <c r="H107" i="7"/>
  <c r="G107" i="7"/>
  <c r="F107" i="7"/>
  <c r="I107" i="7" s="1"/>
  <c r="D107" i="7"/>
  <c r="C107" i="7"/>
  <c r="B107" i="7"/>
  <c r="E107" i="7" s="1"/>
  <c r="Q106" i="7"/>
  <c r="M106" i="7"/>
  <c r="I106" i="7"/>
  <c r="E106" i="7"/>
  <c r="R106" i="7" s="1"/>
  <c r="Q105" i="7"/>
  <c r="M105" i="7"/>
  <c r="I105" i="7"/>
  <c r="E105" i="7"/>
  <c r="R105" i="7" s="1"/>
  <c r="Q104" i="7"/>
  <c r="M104" i="7"/>
  <c r="I104" i="7"/>
  <c r="E104" i="7"/>
  <c r="R104" i="7" s="1"/>
  <c r="R103" i="7"/>
  <c r="Q103" i="7"/>
  <c r="M103" i="7"/>
  <c r="I103" i="7"/>
  <c r="E103" i="7"/>
  <c r="Q102" i="7"/>
  <c r="M102" i="7"/>
  <c r="I102" i="7"/>
  <c r="E102" i="7"/>
  <c r="R102" i="7" s="1"/>
  <c r="Q101" i="7"/>
  <c r="M101" i="7"/>
  <c r="R101" i="7" s="1"/>
  <c r="I101" i="7"/>
  <c r="E101" i="7"/>
  <c r="R100" i="7"/>
  <c r="Q100" i="7"/>
  <c r="M100" i="7"/>
  <c r="I100" i="7"/>
  <c r="E100" i="7"/>
  <c r="P96" i="7"/>
  <c r="O96" i="7"/>
  <c r="N96" i="7"/>
  <c r="Q96" i="7" s="1"/>
  <c r="L96" i="7"/>
  <c r="K96" i="7"/>
  <c r="J96" i="7"/>
  <c r="M96" i="7" s="1"/>
  <c r="H96" i="7"/>
  <c r="G96" i="7"/>
  <c r="F96" i="7"/>
  <c r="I96" i="7" s="1"/>
  <c r="D96" i="7"/>
  <c r="C96" i="7"/>
  <c r="B96" i="7"/>
  <c r="E96" i="7" s="1"/>
  <c r="R96" i="7" s="1"/>
  <c r="Q94" i="7"/>
  <c r="M94" i="7"/>
  <c r="I94" i="7"/>
  <c r="E94" i="7"/>
  <c r="R94" i="7" s="1"/>
  <c r="Q93" i="7"/>
  <c r="M93" i="7"/>
  <c r="R93" i="7" s="1"/>
  <c r="I93" i="7"/>
  <c r="E93" i="7"/>
  <c r="Q89" i="7"/>
  <c r="P89" i="7"/>
  <c r="O89" i="7"/>
  <c r="O126" i="7" s="1"/>
  <c r="O129" i="7" s="1"/>
  <c r="N89" i="7"/>
  <c r="N126" i="7" s="1"/>
  <c r="L89" i="7"/>
  <c r="K89" i="7"/>
  <c r="K126" i="7" s="1"/>
  <c r="K129" i="7" s="1"/>
  <c r="J89" i="7"/>
  <c r="M89" i="7" s="1"/>
  <c r="I89" i="7"/>
  <c r="H89" i="7"/>
  <c r="G89" i="7"/>
  <c r="G126" i="7" s="1"/>
  <c r="G129" i="7" s="1"/>
  <c r="F89" i="7"/>
  <c r="F126" i="7" s="1"/>
  <c r="D89" i="7"/>
  <c r="C89" i="7"/>
  <c r="C126" i="7" s="1"/>
  <c r="C129" i="7" s="1"/>
  <c r="B89" i="7"/>
  <c r="E89" i="7" s="1"/>
  <c r="R87" i="7"/>
  <c r="Q87" i="7"/>
  <c r="M87" i="7"/>
  <c r="I87" i="7"/>
  <c r="E87" i="7"/>
  <c r="Q86" i="7"/>
  <c r="M86" i="7"/>
  <c r="I86" i="7"/>
  <c r="E86" i="7"/>
  <c r="R86" i="7" s="1"/>
  <c r="Q84" i="7"/>
  <c r="M84" i="7"/>
  <c r="R84" i="7" s="1"/>
  <c r="I84" i="7"/>
  <c r="E84" i="7"/>
  <c r="R82" i="7"/>
  <c r="Q82" i="7"/>
  <c r="M82" i="7"/>
  <c r="I82" i="7"/>
  <c r="E82" i="7"/>
  <c r="Q81" i="7"/>
  <c r="M81" i="7"/>
  <c r="I81" i="7"/>
  <c r="E81" i="7"/>
  <c r="R81" i="7" s="1"/>
  <c r="Q80" i="7"/>
  <c r="M80" i="7"/>
  <c r="R80" i="7" s="1"/>
  <c r="I80" i="7"/>
  <c r="E80" i="7"/>
  <c r="R79" i="7"/>
  <c r="Q79" i="7"/>
  <c r="M79" i="7"/>
  <c r="I79" i="7"/>
  <c r="E79" i="7"/>
  <c r="Q78" i="7"/>
  <c r="M78" i="7"/>
  <c r="I78" i="7"/>
  <c r="E78" i="7"/>
  <c r="R78" i="7" s="1"/>
  <c r="Q77" i="7"/>
  <c r="M77" i="7"/>
  <c r="I77" i="7"/>
  <c r="E77" i="7"/>
  <c r="R77" i="7" s="1"/>
  <c r="Q76" i="7"/>
  <c r="M76" i="7"/>
  <c r="I76" i="7"/>
  <c r="E76" i="7"/>
  <c r="R76" i="7" s="1"/>
  <c r="Q75" i="7"/>
  <c r="M75" i="7"/>
  <c r="I75" i="7"/>
  <c r="E75" i="7"/>
  <c r="R75" i="7" s="1"/>
  <c r="R74" i="7"/>
  <c r="Q74" i="7"/>
  <c r="M74" i="7"/>
  <c r="I74" i="7"/>
  <c r="E74" i="7"/>
  <c r="Q73" i="7"/>
  <c r="M73" i="7"/>
  <c r="I73" i="7"/>
  <c r="E73" i="7"/>
  <c r="R73" i="7" s="1"/>
  <c r="Q72" i="7"/>
  <c r="M72" i="7"/>
  <c r="R72" i="7" s="1"/>
  <c r="I72" i="7"/>
  <c r="E72" i="7"/>
  <c r="Q60" i="7"/>
  <c r="M60" i="7"/>
  <c r="I60" i="7"/>
  <c r="E60" i="7"/>
  <c r="R60" i="7" s="1"/>
  <c r="Q58" i="7"/>
  <c r="P58" i="7"/>
  <c r="O58" i="7"/>
  <c r="N58" i="7"/>
  <c r="L58" i="7"/>
  <c r="K58" i="7"/>
  <c r="J58" i="7"/>
  <c r="M58" i="7" s="1"/>
  <c r="I58" i="7"/>
  <c r="H58" i="7"/>
  <c r="G58" i="7"/>
  <c r="F58" i="7"/>
  <c r="D58" i="7"/>
  <c r="C58" i="7"/>
  <c r="B58" i="7"/>
  <c r="E58" i="7" s="1"/>
  <c r="R58" i="7" s="1"/>
  <c r="P57" i="7"/>
  <c r="O57" i="7"/>
  <c r="N57" i="7"/>
  <c r="Q57" i="7" s="1"/>
  <c r="L57" i="7"/>
  <c r="K57" i="7"/>
  <c r="J57" i="7"/>
  <c r="M57" i="7" s="1"/>
  <c r="H57" i="7"/>
  <c r="G57" i="7"/>
  <c r="F57" i="7"/>
  <c r="I57" i="7" s="1"/>
  <c r="D57" i="7"/>
  <c r="C57" i="7"/>
  <c r="B57" i="7"/>
  <c r="E57" i="7" s="1"/>
  <c r="R57" i="7" s="1"/>
  <c r="Q54" i="7"/>
  <c r="M54" i="7"/>
  <c r="I54" i="7"/>
  <c r="R54" i="7" s="1"/>
  <c r="E54" i="7"/>
  <c r="Q50" i="7"/>
  <c r="P50" i="7"/>
  <c r="P59" i="7" s="1"/>
  <c r="P62" i="7" s="1"/>
  <c r="O50" i="7"/>
  <c r="N50" i="7"/>
  <c r="L50" i="7"/>
  <c r="M50" i="7" s="1"/>
  <c r="K50" i="7"/>
  <c r="J50" i="7"/>
  <c r="I50" i="7"/>
  <c r="H50" i="7"/>
  <c r="H59" i="7" s="1"/>
  <c r="H62" i="7" s="1"/>
  <c r="G50" i="7"/>
  <c r="F50" i="7"/>
  <c r="D50" i="7"/>
  <c r="D59" i="7" s="1"/>
  <c r="D62" i="7" s="1"/>
  <c r="C50" i="7"/>
  <c r="B50" i="7"/>
  <c r="Q46" i="7"/>
  <c r="P46" i="7"/>
  <c r="O46" i="7"/>
  <c r="N46" i="7"/>
  <c r="L46" i="7"/>
  <c r="K46" i="7"/>
  <c r="J46" i="7"/>
  <c r="M46" i="7" s="1"/>
  <c r="I46" i="7"/>
  <c r="H46" i="7"/>
  <c r="G46" i="7"/>
  <c r="F46" i="7"/>
  <c r="D46" i="7"/>
  <c r="C46" i="7"/>
  <c r="B46" i="7"/>
  <c r="E46" i="7" s="1"/>
  <c r="R46" i="7" s="1"/>
  <c r="P41" i="7"/>
  <c r="O41" i="7"/>
  <c r="O59" i="7" s="1"/>
  <c r="O62" i="7" s="1"/>
  <c r="N41" i="7"/>
  <c r="Q41" i="7" s="1"/>
  <c r="L41" i="7"/>
  <c r="K41" i="7"/>
  <c r="K59" i="7" s="1"/>
  <c r="K62" i="7" s="1"/>
  <c r="J41" i="7"/>
  <c r="M41" i="7" s="1"/>
  <c r="H41" i="7"/>
  <c r="G41" i="7"/>
  <c r="G59" i="7" s="1"/>
  <c r="G62" i="7" s="1"/>
  <c r="F41" i="7"/>
  <c r="I41" i="7" s="1"/>
  <c r="D41" i="7"/>
  <c r="C41" i="7"/>
  <c r="C59" i="7" s="1"/>
  <c r="C62" i="7" s="1"/>
  <c r="B41" i="7"/>
  <c r="E41" i="7" s="1"/>
  <c r="R41" i="7" s="1"/>
  <c r="Q38" i="7"/>
  <c r="M38" i="7"/>
  <c r="I38" i="7"/>
  <c r="R38" i="7" s="1"/>
  <c r="E38" i="7"/>
  <c r="Q27" i="7"/>
  <c r="P27" i="7"/>
  <c r="O27" i="7"/>
  <c r="N27" i="7"/>
  <c r="L27" i="7"/>
  <c r="K27" i="7"/>
  <c r="J27" i="7"/>
  <c r="I27" i="7"/>
  <c r="H27" i="7"/>
  <c r="G27" i="7"/>
  <c r="F27" i="7"/>
  <c r="D27" i="7"/>
  <c r="C27" i="7"/>
  <c r="B27" i="7"/>
  <c r="R25" i="7"/>
  <c r="Q25" i="7"/>
  <c r="M25" i="7"/>
  <c r="I25" i="7"/>
  <c r="E25" i="7"/>
  <c r="Q18" i="7"/>
  <c r="P18" i="7"/>
  <c r="O18" i="7"/>
  <c r="N18" i="7"/>
  <c r="L18" i="7"/>
  <c r="K18" i="7"/>
  <c r="J18" i="7"/>
  <c r="M18" i="7" s="1"/>
  <c r="I18" i="7"/>
  <c r="H18" i="7"/>
  <c r="G18" i="7"/>
  <c r="F18" i="7"/>
  <c r="D18" i="7"/>
  <c r="C18" i="7"/>
  <c r="B18" i="7"/>
  <c r="E18" i="7" s="1"/>
  <c r="R18" i="7" s="1"/>
  <c r="P17" i="7"/>
  <c r="O17" i="7"/>
  <c r="N17" i="7"/>
  <c r="Q17" i="7" s="1"/>
  <c r="L17" i="7"/>
  <c r="K17" i="7"/>
  <c r="J17" i="7"/>
  <c r="M17" i="7" s="1"/>
  <c r="H17" i="7"/>
  <c r="G17" i="7"/>
  <c r="F17" i="7"/>
  <c r="I17" i="7" s="1"/>
  <c r="D17" i="7"/>
  <c r="C17" i="7"/>
  <c r="B17" i="7"/>
  <c r="E17" i="7" s="1"/>
  <c r="R17" i="7" s="1"/>
  <c r="P16" i="7"/>
  <c r="O16" i="7"/>
  <c r="Q16" i="7" s="1"/>
  <c r="N16" i="7"/>
  <c r="L16" i="7"/>
  <c r="K16" i="7"/>
  <c r="J16" i="7"/>
  <c r="M16" i="7" s="1"/>
  <c r="H16" i="7"/>
  <c r="G16" i="7"/>
  <c r="I16" i="7" s="1"/>
  <c r="F16" i="7"/>
  <c r="D16" i="7"/>
  <c r="C16" i="7"/>
  <c r="B16" i="7"/>
  <c r="E16" i="7" s="1"/>
  <c r="R16" i="7" s="1"/>
  <c r="P15" i="7"/>
  <c r="Q15" i="7" s="1"/>
  <c r="O15" i="7"/>
  <c r="N15" i="7"/>
  <c r="M15" i="7"/>
  <c r="L15" i="7"/>
  <c r="K15" i="7"/>
  <c r="J15" i="7"/>
  <c r="H15" i="7"/>
  <c r="I15" i="7" s="1"/>
  <c r="G15" i="7"/>
  <c r="F15" i="7"/>
  <c r="E15" i="7"/>
  <c r="D15" i="7"/>
  <c r="C15" i="7"/>
  <c r="B15" i="7"/>
  <c r="P14" i="7"/>
  <c r="O14" i="7"/>
  <c r="N14" i="7"/>
  <c r="Q14" i="7" s="1"/>
  <c r="M14" i="7"/>
  <c r="L14" i="7"/>
  <c r="K14" i="7"/>
  <c r="J14" i="7"/>
  <c r="H14" i="7"/>
  <c r="G14" i="7"/>
  <c r="F14" i="7"/>
  <c r="I14" i="7" s="1"/>
  <c r="E14" i="7"/>
  <c r="D14" i="7"/>
  <c r="C14" i="7"/>
  <c r="B14" i="7"/>
  <c r="S13" i="7"/>
  <c r="P28" i="7"/>
  <c r="O28" i="7"/>
  <c r="K28" i="7"/>
  <c r="F312" i="7"/>
  <c r="AP865" i="7" s="1"/>
  <c r="D28" i="7"/>
  <c r="C507" i="7"/>
  <c r="R1" i="7"/>
  <c r="C312" i="7" l="1"/>
  <c r="AP863" i="7" s="1"/>
  <c r="N507" i="7"/>
  <c r="J28" i="7"/>
  <c r="C28" i="7"/>
  <c r="L28" i="7"/>
  <c r="B312" i="7"/>
  <c r="AP862" i="7" s="1"/>
  <c r="N28" i="7"/>
  <c r="F28" i="7"/>
  <c r="G28" i="7"/>
  <c r="K551" i="7"/>
  <c r="H28" i="7"/>
  <c r="K312" i="7"/>
  <c r="AP869" i="7" s="1"/>
  <c r="C700" i="7"/>
  <c r="N129" i="7"/>
  <c r="Q126" i="7"/>
  <c r="C63" i="7"/>
  <c r="O130" i="7"/>
  <c r="I292" i="7"/>
  <c r="F300" i="7"/>
  <c r="O63" i="7"/>
  <c r="G130" i="7"/>
  <c r="D130" i="7"/>
  <c r="G301" i="7"/>
  <c r="R291" i="7"/>
  <c r="N301" i="7"/>
  <c r="Q300" i="7"/>
  <c r="H130" i="7"/>
  <c r="R271" i="7"/>
  <c r="G63" i="7"/>
  <c r="L130" i="7"/>
  <c r="P130" i="7"/>
  <c r="D63" i="7"/>
  <c r="S82" i="7"/>
  <c r="R15" i="7"/>
  <c r="P63" i="7"/>
  <c r="R89" i="7"/>
  <c r="K130" i="7"/>
  <c r="R107" i="7"/>
  <c r="L507" i="7"/>
  <c r="R14" i="7"/>
  <c r="K63" i="7"/>
  <c r="H63" i="7"/>
  <c r="C130" i="7"/>
  <c r="D301" i="7"/>
  <c r="O301" i="7"/>
  <c r="K459" i="7"/>
  <c r="D507" i="7"/>
  <c r="F129" i="7"/>
  <c r="I126" i="7"/>
  <c r="O459" i="7"/>
  <c r="M550" i="7"/>
  <c r="J551" i="7"/>
  <c r="F606" i="7"/>
  <c r="D700" i="7"/>
  <c r="F852" i="7"/>
  <c r="N312" i="7"/>
  <c r="AP871" i="7" s="1"/>
  <c r="Q311" i="7"/>
  <c r="P312" i="7"/>
  <c r="AP873" i="7" s="1"/>
  <c r="H507" i="7"/>
  <c r="D551" i="7"/>
  <c r="M988" i="7"/>
  <c r="L988" i="7"/>
  <c r="H988" i="7"/>
  <c r="N988" i="7"/>
  <c r="I988" i="7"/>
  <c r="K988" i="7"/>
  <c r="F905" i="7"/>
  <c r="B28" i="7"/>
  <c r="B59" i="7"/>
  <c r="J59" i="7"/>
  <c r="B126" i="7"/>
  <c r="J126" i="7"/>
  <c r="R218" i="7"/>
  <c r="R249" i="7"/>
  <c r="R254" i="7"/>
  <c r="T279" i="7" s="1"/>
  <c r="R268" i="7"/>
  <c r="M290" i="7"/>
  <c r="D312" i="7"/>
  <c r="AP864" i="7" s="1"/>
  <c r="O312" i="7"/>
  <c r="AP872" i="7" s="1"/>
  <c r="R320" i="7"/>
  <c r="F810" i="7"/>
  <c r="F366" i="7"/>
  <c r="I325" i="7"/>
  <c r="R327" i="7"/>
  <c r="R331" i="7"/>
  <c r="R351" i="7"/>
  <c r="R379" i="7"/>
  <c r="R392" i="7"/>
  <c r="R410" i="7"/>
  <c r="R517" i="7"/>
  <c r="H551" i="7"/>
  <c r="B606" i="7"/>
  <c r="E603" i="7"/>
  <c r="L607" i="7"/>
  <c r="J603" i="7"/>
  <c r="N617" i="7"/>
  <c r="Q616" i="7"/>
  <c r="C653" i="7"/>
  <c r="R648" i="7"/>
  <c r="B699" i="7"/>
  <c r="E696" i="7"/>
  <c r="N987" i="7"/>
  <c r="I987" i="7"/>
  <c r="K987" i="7"/>
  <c r="H987" i="7"/>
  <c r="L987" i="7"/>
  <c r="J987" i="7"/>
  <c r="G904" i="7"/>
  <c r="P366" i="7"/>
  <c r="P453" i="7" s="1"/>
  <c r="P458" i="7" s="1"/>
  <c r="P810" i="7"/>
  <c r="P816" i="7" s="1"/>
  <c r="L989" i="7"/>
  <c r="K989" i="7"/>
  <c r="M989" i="7"/>
  <c r="I989" i="7"/>
  <c r="N989" i="7"/>
  <c r="H989" i="7"/>
  <c r="F906" i="7"/>
  <c r="R150" i="7"/>
  <c r="R165" i="7"/>
  <c r="R182" i="7"/>
  <c r="R193" i="7"/>
  <c r="I202" i="7"/>
  <c r="R207" i="7"/>
  <c r="R225" i="7"/>
  <c r="R230" i="7"/>
  <c r="R258" i="7"/>
  <c r="Q292" i="7"/>
  <c r="R322" i="7"/>
  <c r="R359" i="7"/>
  <c r="R375" i="7"/>
  <c r="R418" i="7"/>
  <c r="R439" i="7"/>
  <c r="R455" i="7"/>
  <c r="K503" i="7"/>
  <c r="K506" i="7" s="1"/>
  <c r="I493" i="7"/>
  <c r="R493" i="7" s="1"/>
  <c r="M501" i="7"/>
  <c r="E547" i="7"/>
  <c r="M547" i="7"/>
  <c r="R534" i="7"/>
  <c r="P551" i="7"/>
  <c r="Q636" i="7"/>
  <c r="O649" i="7"/>
  <c r="O652" i="7" s="1"/>
  <c r="M640" i="7"/>
  <c r="J649" i="7"/>
  <c r="K744" i="7"/>
  <c r="K745" i="7"/>
  <c r="D793" i="7"/>
  <c r="D794" i="7"/>
  <c r="B292" i="7"/>
  <c r="J824" i="7"/>
  <c r="M824" i="7" s="1"/>
  <c r="M263" i="7"/>
  <c r="R263" i="7" s="1"/>
  <c r="G312" i="7"/>
  <c r="AP866" i="7" s="1"/>
  <c r="C551" i="7"/>
  <c r="D607" i="7"/>
  <c r="C607" i="7"/>
  <c r="F617" i="7"/>
  <c r="I616" i="7"/>
  <c r="R616" i="7" s="1"/>
  <c r="F699" i="7"/>
  <c r="N699" i="7"/>
  <c r="O700" i="7"/>
  <c r="C744" i="7"/>
  <c r="C745" i="7"/>
  <c r="K793" i="7"/>
  <c r="K794" i="7"/>
  <c r="B854" i="7"/>
  <c r="K990" i="7"/>
  <c r="N990" i="7"/>
  <c r="L990" i="7"/>
  <c r="H990" i="7"/>
  <c r="M990" i="7"/>
  <c r="O990" i="7"/>
  <c r="I990" i="7"/>
  <c r="K710" i="7"/>
  <c r="K617" i="7"/>
  <c r="E27" i="7"/>
  <c r="R27" i="7" s="1"/>
  <c r="L59" i="7"/>
  <c r="L62" i="7" s="1"/>
  <c r="I983" i="7"/>
  <c r="L983" i="7"/>
  <c r="K983" i="7"/>
  <c r="H983" i="7"/>
  <c r="N983" i="7"/>
  <c r="G900" i="7"/>
  <c r="E50" i="7"/>
  <c r="R50" i="7" s="1"/>
  <c r="R142" i="7"/>
  <c r="S184" i="7" s="1"/>
  <c r="R157" i="7"/>
  <c r="R174" i="7"/>
  <c r="C292" i="7"/>
  <c r="C300" i="7" s="1"/>
  <c r="K292" i="7"/>
  <c r="K300" i="7" s="1"/>
  <c r="R241" i="7"/>
  <c r="H301" i="7"/>
  <c r="H312" i="7"/>
  <c r="AP867" i="7" s="1"/>
  <c r="L810" i="7"/>
  <c r="L816" i="7" s="1"/>
  <c r="L366" i="7"/>
  <c r="L453" i="7" s="1"/>
  <c r="L458" i="7" s="1"/>
  <c r="J810" i="7"/>
  <c r="J366" i="7"/>
  <c r="M325" i="7"/>
  <c r="G823" i="7"/>
  <c r="G825" i="7" s="1"/>
  <c r="G854" i="7" s="1"/>
  <c r="G428" i="7"/>
  <c r="G453" i="7" s="1"/>
  <c r="G458" i="7" s="1"/>
  <c r="R426" i="7"/>
  <c r="R433" i="7"/>
  <c r="R501" i="7"/>
  <c r="B506" i="7"/>
  <c r="E503" i="7"/>
  <c r="S527" i="7"/>
  <c r="R546" i="7"/>
  <c r="R567" i="7"/>
  <c r="P603" i="7"/>
  <c r="P606" i="7" s="1"/>
  <c r="G617" i="7"/>
  <c r="J617" i="7"/>
  <c r="L653" i="7"/>
  <c r="K653" i="7"/>
  <c r="G711" i="7"/>
  <c r="G710" i="7"/>
  <c r="R767" i="7"/>
  <c r="R1070" i="7"/>
  <c r="R1025" i="7"/>
  <c r="R1000" i="7"/>
  <c r="AS912" i="7"/>
  <c r="AS947" i="7"/>
  <c r="AT885" i="7"/>
  <c r="R946" i="7"/>
  <c r="R917" i="7"/>
  <c r="R891" i="7"/>
  <c r="R838" i="7"/>
  <c r="AT853" i="7"/>
  <c r="R797" i="7"/>
  <c r="R862" i="7"/>
  <c r="I984" i="7"/>
  <c r="H984" i="7"/>
  <c r="L984" i="7"/>
  <c r="K984" i="7"/>
  <c r="M984" i="7"/>
  <c r="N984" i="7"/>
  <c r="J984" i="7"/>
  <c r="I992" i="7"/>
  <c r="H992" i="7"/>
  <c r="L992" i="7"/>
  <c r="M992" i="7"/>
  <c r="K992" i="7"/>
  <c r="N992" i="7"/>
  <c r="F59" i="7"/>
  <c r="N59" i="7"/>
  <c r="E209" i="7"/>
  <c r="R209" i="7" s="1"/>
  <c r="R217" i="7"/>
  <c r="R250" i="7"/>
  <c r="R269" i="7"/>
  <c r="J312" i="7"/>
  <c r="AP868" i="7" s="1"/>
  <c r="M311" i="7"/>
  <c r="M319" i="7"/>
  <c r="R319" i="7" s="1"/>
  <c r="S346" i="7" s="1"/>
  <c r="R334" i="7"/>
  <c r="R354" i="7"/>
  <c r="R389" i="7"/>
  <c r="R407" i="7"/>
  <c r="F507" i="7"/>
  <c r="R524" i="7"/>
  <c r="R578" i="7"/>
  <c r="Q632" i="7"/>
  <c r="N649" i="7"/>
  <c r="R650" i="7"/>
  <c r="H700" i="7"/>
  <c r="P744" i="7"/>
  <c r="P745" i="7"/>
  <c r="R731" i="7"/>
  <c r="N793" i="7"/>
  <c r="N794" i="7"/>
  <c r="Q792" i="7"/>
  <c r="G901" i="7"/>
  <c r="M27" i="7"/>
  <c r="I991" i="7"/>
  <c r="M991" i="7"/>
  <c r="N991" i="7"/>
  <c r="H991" i="7"/>
  <c r="L991" i="7"/>
  <c r="K991" i="7"/>
  <c r="L710" i="7"/>
  <c r="L617" i="7"/>
  <c r="H985" i="7"/>
  <c r="K985" i="7"/>
  <c r="N985" i="7"/>
  <c r="M985" i="7"/>
  <c r="I985" i="7"/>
  <c r="F902" i="7"/>
  <c r="L985" i="7"/>
  <c r="D710" i="7"/>
  <c r="D617" i="7"/>
  <c r="H993" i="7"/>
  <c r="K993" i="7"/>
  <c r="L993" i="7"/>
  <c r="I993" i="7"/>
  <c r="M993" i="7"/>
  <c r="N993" i="7"/>
  <c r="J993" i="7"/>
  <c r="F910" i="7"/>
  <c r="R149" i="7"/>
  <c r="R166" i="7"/>
  <c r="R181" i="7"/>
  <c r="R194" i="7"/>
  <c r="E202" i="7"/>
  <c r="R202" i="7" s="1"/>
  <c r="M202" i="7"/>
  <c r="R226" i="7"/>
  <c r="R257" i="7"/>
  <c r="R262" i="7"/>
  <c r="J271" i="7"/>
  <c r="M271" i="7" s="1"/>
  <c r="R283" i="7"/>
  <c r="I290" i="7"/>
  <c r="R290" i="7" s="1"/>
  <c r="L301" i="7"/>
  <c r="N366" i="7"/>
  <c r="B810" i="7"/>
  <c r="B366" i="7"/>
  <c r="E325" i="7"/>
  <c r="R325" i="7" s="1"/>
  <c r="C366" i="7"/>
  <c r="C453" i="7" s="1"/>
  <c r="C458" i="7" s="1"/>
  <c r="J825" i="7"/>
  <c r="R415" i="7"/>
  <c r="M452" i="7"/>
  <c r="R452" i="7" s="1"/>
  <c r="P507" i="7"/>
  <c r="M502" i="7"/>
  <c r="R502" i="7" s="1"/>
  <c r="J506" i="7"/>
  <c r="F550" i="7"/>
  <c r="I547" i="7"/>
  <c r="N550" i="7"/>
  <c r="L551" i="7"/>
  <c r="Q603" i="7"/>
  <c r="N606" i="7"/>
  <c r="R602" i="7"/>
  <c r="D653" i="7"/>
  <c r="R647" i="7"/>
  <c r="G744" i="7"/>
  <c r="G745" i="7"/>
  <c r="B739" i="7"/>
  <c r="E727" i="7"/>
  <c r="H850" i="7"/>
  <c r="H858" i="7" s="1"/>
  <c r="H13" i="7" s="1"/>
  <c r="N986" i="7"/>
  <c r="L986" i="7"/>
  <c r="K986" i="7"/>
  <c r="I986" i="7"/>
  <c r="H986" i="7"/>
  <c r="F710" i="7"/>
  <c r="N994" i="7"/>
  <c r="H994" i="7"/>
  <c r="M994" i="7"/>
  <c r="I994" i="7"/>
  <c r="L994" i="7"/>
  <c r="K994" i="7"/>
  <c r="P710" i="7"/>
  <c r="P617" i="7"/>
  <c r="R238" i="7"/>
  <c r="R289" i="7"/>
  <c r="R297" i="7"/>
  <c r="P301" i="7"/>
  <c r="E311" i="7"/>
  <c r="L312" i="7"/>
  <c r="AP870" i="7" s="1"/>
  <c r="C850" i="7"/>
  <c r="Q506" i="7"/>
  <c r="G551" i="7"/>
  <c r="O547" i="7"/>
  <c r="O550" i="7" s="1"/>
  <c r="Q535" i="7"/>
  <c r="R535" i="7" s="1"/>
  <c r="E550" i="7"/>
  <c r="B551" i="7"/>
  <c r="R601" i="7"/>
  <c r="F649" i="7"/>
  <c r="I632" i="7"/>
  <c r="K700" i="7"/>
  <c r="H745" i="7"/>
  <c r="H744" i="7"/>
  <c r="O810" i="7"/>
  <c r="O816" i="7" s="1"/>
  <c r="AD371" i="7"/>
  <c r="AM371" i="7" s="1"/>
  <c r="AC372" i="7"/>
  <c r="AD372" i="7" s="1"/>
  <c r="AM372" i="7" s="1"/>
  <c r="I823" i="7"/>
  <c r="F825" i="7"/>
  <c r="Q823" i="7"/>
  <c r="N825" i="7"/>
  <c r="I824" i="7"/>
  <c r="B428" i="7"/>
  <c r="E428" i="7" s="1"/>
  <c r="J428" i="7"/>
  <c r="M428" i="7" s="1"/>
  <c r="Q503" i="7"/>
  <c r="I581" i="7"/>
  <c r="R581" i="7" s="1"/>
  <c r="Q581" i="7"/>
  <c r="H603" i="7"/>
  <c r="H606" i="7" s="1"/>
  <c r="M616" i="7"/>
  <c r="M632" i="7"/>
  <c r="R632" i="7" s="1"/>
  <c r="E636" i="7"/>
  <c r="H653" i="7"/>
  <c r="R664" i="7"/>
  <c r="P696" i="7"/>
  <c r="P699" i="7" s="1"/>
  <c r="R688" i="7"/>
  <c r="I709" i="7"/>
  <c r="I723" i="7"/>
  <c r="R723" i="7" s="1"/>
  <c r="J789" i="7"/>
  <c r="R787" i="7"/>
  <c r="R813" i="7"/>
  <c r="O821" i="7"/>
  <c r="O852" i="7" s="1"/>
  <c r="R820" i="7"/>
  <c r="L823" i="7"/>
  <c r="L825" i="7" s="1"/>
  <c r="L854" i="7" s="1"/>
  <c r="F856" i="7"/>
  <c r="I856" i="7" s="1"/>
  <c r="Q319" i="7"/>
  <c r="G850" i="7"/>
  <c r="D366" i="7"/>
  <c r="D453" i="7" s="1"/>
  <c r="D458" i="7" s="1"/>
  <c r="AA374" i="7"/>
  <c r="D428" i="7"/>
  <c r="E575" i="7"/>
  <c r="R585" i="7"/>
  <c r="K607" i="7"/>
  <c r="R681" i="7"/>
  <c r="H710" i="7"/>
  <c r="N739" i="7"/>
  <c r="Q727" i="7"/>
  <c r="B792" i="7"/>
  <c r="L793" i="7"/>
  <c r="L794" i="7"/>
  <c r="P793" i="7"/>
  <c r="G821" i="7"/>
  <c r="G852" i="7" s="1"/>
  <c r="AB374" i="7"/>
  <c r="I383" i="7"/>
  <c r="I398" i="7"/>
  <c r="R398" i="7" s="1"/>
  <c r="H617" i="7"/>
  <c r="O617" i="7"/>
  <c r="P649" i="7"/>
  <c r="P652" i="7" s="1"/>
  <c r="E640" i="7"/>
  <c r="B649" i="7"/>
  <c r="M709" i="7"/>
  <c r="J710" i="7"/>
  <c r="M723" i="7"/>
  <c r="I737" i="7"/>
  <c r="R737" i="7" s="1"/>
  <c r="C789" i="7"/>
  <c r="C792" i="7" s="1"/>
  <c r="Q789" i="7"/>
  <c r="E814" i="7"/>
  <c r="R814" i="7" s="1"/>
  <c r="H821" i="7"/>
  <c r="H852" i="7" s="1"/>
  <c r="C824" i="7"/>
  <c r="C825" i="7" s="1"/>
  <c r="B856" i="7"/>
  <c r="K810" i="7"/>
  <c r="K816" i="7" s="1"/>
  <c r="AA373" i="7"/>
  <c r="H379" i="7"/>
  <c r="I379" i="7" s="1"/>
  <c r="E823" i="7"/>
  <c r="E824" i="7"/>
  <c r="R824" i="7" s="1"/>
  <c r="F428" i="7"/>
  <c r="N428" i="7"/>
  <c r="Q428" i="7" s="1"/>
  <c r="Q640" i="7"/>
  <c r="R665" i="7"/>
  <c r="M675" i="7"/>
  <c r="R675" i="7" s="1"/>
  <c r="R689" i="7"/>
  <c r="G696" i="7"/>
  <c r="G699" i="7" s="1"/>
  <c r="F739" i="7"/>
  <c r="I727" i="7"/>
  <c r="E738" i="7"/>
  <c r="R738" i="7" s="1"/>
  <c r="O793" i="7"/>
  <c r="O794" i="7"/>
  <c r="Q811" i="7"/>
  <c r="R811" i="7" s="1"/>
  <c r="M852" i="7"/>
  <c r="E821" i="7"/>
  <c r="AB373" i="7"/>
  <c r="O607" i="7"/>
  <c r="B617" i="7"/>
  <c r="R671" i="7"/>
  <c r="R694" i="7"/>
  <c r="R695" i="7"/>
  <c r="J699" i="7"/>
  <c r="M696" i="7"/>
  <c r="L700" i="7"/>
  <c r="E709" i="7"/>
  <c r="R709" i="7" s="1"/>
  <c r="B710" i="7"/>
  <c r="L744" i="7"/>
  <c r="L745" i="7"/>
  <c r="Q882" i="7"/>
  <c r="P795" i="7"/>
  <c r="M815" i="7"/>
  <c r="R815" i="7" s="1"/>
  <c r="I819" i="7"/>
  <c r="R819" i="7" s="1"/>
  <c r="H428" i="7"/>
  <c r="H453" i="7" s="1"/>
  <c r="H458" i="7" s="1"/>
  <c r="G503" i="7"/>
  <c r="G506" i="7" s="1"/>
  <c r="O503" i="7"/>
  <c r="O506" i="7" s="1"/>
  <c r="Q575" i="7"/>
  <c r="C617" i="7"/>
  <c r="R682" i="7"/>
  <c r="C710" i="7"/>
  <c r="N710" i="7"/>
  <c r="Q709" i="7"/>
  <c r="R741" i="7"/>
  <c r="R760" i="7"/>
  <c r="G794" i="7"/>
  <c r="G793" i="7"/>
  <c r="M821" i="7"/>
  <c r="N856" i="7"/>
  <c r="N810" i="7"/>
  <c r="D835" i="7"/>
  <c r="D850" i="7"/>
  <c r="E383" i="7"/>
  <c r="M383" i="7"/>
  <c r="G607" i="7"/>
  <c r="R626" i="7"/>
  <c r="G649" i="7"/>
  <c r="G652" i="7" s="1"/>
  <c r="O710" i="7"/>
  <c r="O711" i="7"/>
  <c r="O701" i="7" s="1"/>
  <c r="D739" i="7"/>
  <c r="D743" i="7" s="1"/>
  <c r="O744" i="7"/>
  <c r="O745" i="7"/>
  <c r="J739" i="7"/>
  <c r="M727" i="7"/>
  <c r="H794" i="7"/>
  <c r="H793" i="7"/>
  <c r="F792" i="7"/>
  <c r="N852" i="7"/>
  <c r="R829" i="7"/>
  <c r="E831" i="7"/>
  <c r="R831" i="7" s="1"/>
  <c r="G902" i="7"/>
  <c r="G930" i="7"/>
  <c r="G906" i="7"/>
  <c r="G934" i="7"/>
  <c r="I762" i="7"/>
  <c r="Q762" i="7"/>
  <c r="I818" i="7"/>
  <c r="Q818" i="7"/>
  <c r="I827" i="7"/>
  <c r="R827" i="7" s="1"/>
  <c r="Q827" i="7"/>
  <c r="F833" i="7"/>
  <c r="I833" i="7" s="1"/>
  <c r="N833" i="7"/>
  <c r="Q833" i="7" s="1"/>
  <c r="M987" i="7"/>
  <c r="O960" i="7"/>
  <c r="O987" i="7" s="1"/>
  <c r="M969" i="7"/>
  <c r="O969" i="7" s="1"/>
  <c r="R832" i="7"/>
  <c r="D834" i="7"/>
  <c r="D856" i="7" s="1"/>
  <c r="F932" i="7"/>
  <c r="F904" i="7"/>
  <c r="AG901" i="7"/>
  <c r="AS901" i="7"/>
  <c r="AF901" i="7"/>
  <c r="AH901" i="7"/>
  <c r="AE901" i="7"/>
  <c r="AD901" i="7"/>
  <c r="AD866" i="7"/>
  <c r="F931" i="7"/>
  <c r="AD900" i="7"/>
  <c r="AD910" i="7" s="1"/>
  <c r="AH900" i="7"/>
  <c r="F903" i="7"/>
  <c r="AS900" i="7"/>
  <c r="AD865" i="7"/>
  <c r="AG900" i="7"/>
  <c r="AE900" i="7"/>
  <c r="I830" i="7"/>
  <c r="R830" i="7" s="1"/>
  <c r="Q830" i="7"/>
  <c r="J834" i="7"/>
  <c r="G931" i="7"/>
  <c r="G903" i="7"/>
  <c r="E762" i="7"/>
  <c r="M762" i="7"/>
  <c r="E818" i="7"/>
  <c r="M818" i="7"/>
  <c r="B833" i="7"/>
  <c r="E833" i="7" s="1"/>
  <c r="J833" i="7"/>
  <c r="M833" i="7" s="1"/>
  <c r="AO873" i="7"/>
  <c r="AF873" i="7"/>
  <c r="L834" i="7"/>
  <c r="L856" i="7" s="1"/>
  <c r="AO862" i="7"/>
  <c r="AF862" i="7"/>
  <c r="F936" i="7"/>
  <c r="AH905" i="7"/>
  <c r="AG905" i="7"/>
  <c r="AD905" i="7"/>
  <c r="AS905" i="7"/>
  <c r="F908" i="7"/>
  <c r="AE905" i="7"/>
  <c r="AD870" i="7"/>
  <c r="G834" i="7"/>
  <c r="G856" i="7" s="1"/>
  <c r="O834" i="7"/>
  <c r="O856" i="7" s="1"/>
  <c r="F901" i="7"/>
  <c r="F935" i="7"/>
  <c r="AS904" i="7"/>
  <c r="AF904" i="7"/>
  <c r="AH904" i="7"/>
  <c r="F907" i="7"/>
  <c r="AD904" i="7"/>
  <c r="AD869" i="7"/>
  <c r="AG904" i="7"/>
  <c r="AF905" i="7"/>
  <c r="G884" i="7"/>
  <c r="F930" i="7"/>
  <c r="AH899" i="7"/>
  <c r="AE899" i="7"/>
  <c r="I1013" i="7"/>
  <c r="G961" i="7"/>
  <c r="F934" i="7"/>
  <c r="AE903" i="7"/>
  <c r="AD903" i="7"/>
  <c r="G939" i="7"/>
  <c r="AH897" i="7"/>
  <c r="AH910" i="7" s="1"/>
  <c r="AH898" i="7"/>
  <c r="AG899" i="7"/>
  <c r="AG903" i="7"/>
  <c r="G911" i="7"/>
  <c r="G907" i="7"/>
  <c r="F884" i="7"/>
  <c r="G905" i="7"/>
  <c r="F929" i="7"/>
  <c r="AS898" i="7"/>
  <c r="AS910" i="7" s="1"/>
  <c r="AF898" i="7"/>
  <c r="AE898" i="7"/>
  <c r="AJ898" i="7" s="1"/>
  <c r="AE906" i="7"/>
  <c r="AJ906" i="7" s="1"/>
  <c r="AG906" i="7"/>
  <c r="F909" i="7"/>
  <c r="AF906" i="7"/>
  <c r="G938" i="7"/>
  <c r="G910" i="7"/>
  <c r="F928" i="7"/>
  <c r="AD867" i="7"/>
  <c r="G929" i="7"/>
  <c r="AS899" i="7"/>
  <c r="AS903" i="7"/>
  <c r="G908" i="7"/>
  <c r="G928" i="7"/>
  <c r="O988" i="7"/>
  <c r="I1015" i="7"/>
  <c r="G963" i="7"/>
  <c r="F900" i="7"/>
  <c r="AG897" i="7"/>
  <c r="I1012" i="7"/>
  <c r="G960" i="7"/>
  <c r="F933" i="7"/>
  <c r="AS902" i="7"/>
  <c r="AF902" i="7"/>
  <c r="AJ902" i="7" s="1"/>
  <c r="I1016" i="7"/>
  <c r="G964" i="7"/>
  <c r="G991" i="7" s="1"/>
  <c r="AS908" i="7"/>
  <c r="AF908" i="7"/>
  <c r="AE908" i="7"/>
  <c r="AJ908" i="7" s="1"/>
  <c r="F939" i="7"/>
  <c r="AH908" i="7"/>
  <c r="AF897" i="7"/>
  <c r="AJ897" i="7" s="1"/>
  <c r="AF899" i="7"/>
  <c r="AJ899" i="7" s="1"/>
  <c r="AH902" i="7"/>
  <c r="F911" i="7"/>
  <c r="F937" i="7"/>
  <c r="G937" i="7"/>
  <c r="G909" i="7"/>
  <c r="F938" i="7"/>
  <c r="AS907" i="7"/>
  <c r="AF907" i="7"/>
  <c r="AJ907" i="7" s="1"/>
  <c r="AE907" i="7"/>
  <c r="O983" i="7"/>
  <c r="J985" i="7"/>
  <c r="O989" i="7"/>
  <c r="J991" i="7"/>
  <c r="O984" i="7"/>
  <c r="J986" i="7"/>
  <c r="J988" i="7"/>
  <c r="O991" i="7"/>
  <c r="O992" i="7"/>
  <c r="O959" i="7"/>
  <c r="O986" i="7" s="1"/>
  <c r="M986" i="7"/>
  <c r="J992" i="7"/>
  <c r="J994" i="7"/>
  <c r="O985" i="7"/>
  <c r="J983" i="7"/>
  <c r="J989" i="7"/>
  <c r="J990" i="7"/>
  <c r="O994" i="7"/>
  <c r="I1098" i="7"/>
  <c r="AW1008" i="7"/>
  <c r="AW1032" i="7" s="1"/>
  <c r="AW1009" i="7"/>
  <c r="M983" i="7"/>
  <c r="O993" i="7"/>
  <c r="AW1010" i="7"/>
  <c r="G1040" i="7"/>
  <c r="C1013" i="7" s="1"/>
  <c r="L1040" i="7"/>
  <c r="AW1012" i="7"/>
  <c r="AW1013" i="7"/>
  <c r="AD1029" i="7"/>
  <c r="AD1024" i="7"/>
  <c r="AD1022" i="7"/>
  <c r="AD1020" i="7"/>
  <c r="AD1015" i="7"/>
  <c r="AD1027" i="7"/>
  <c r="AD1025" i="7"/>
  <c r="AD1017" i="7"/>
  <c r="AD1018" i="7"/>
  <c r="AD1028" i="7"/>
  <c r="AD1026" i="7"/>
  <c r="AD1023" i="7"/>
  <c r="AD1019" i="7"/>
  <c r="F1044" i="7"/>
  <c r="B1017" i="7" s="1"/>
  <c r="L1044" i="7"/>
  <c r="AW1011" i="7"/>
  <c r="F1038" i="7"/>
  <c r="B1011" i="7" s="1"/>
  <c r="L1038" i="7"/>
  <c r="G1035" i="7"/>
  <c r="C1008" i="7" s="1"/>
  <c r="L1035" i="7"/>
  <c r="Q1098" i="7"/>
  <c r="AW1031" i="7"/>
  <c r="AW1029" i="7"/>
  <c r="AW1024" i="7"/>
  <c r="AW1022" i="7"/>
  <c r="AW1020" i="7"/>
  <c r="AW1015" i="7"/>
  <c r="AW1027" i="7"/>
  <c r="AW1016" i="7"/>
  <c r="AW1014" i="7"/>
  <c r="AW1025" i="7"/>
  <c r="AW1017" i="7"/>
  <c r="AW1018" i="7"/>
  <c r="AW1030" i="7"/>
  <c r="AW1023" i="7"/>
  <c r="AW1021" i="7"/>
  <c r="AW1019" i="7"/>
  <c r="AW1028" i="7"/>
  <c r="AW1026" i="7"/>
  <c r="AD1012" i="7"/>
  <c r="R1089" i="7"/>
  <c r="G1036" i="7"/>
  <c r="C1009" i="7" s="1"/>
  <c r="N1086" i="7"/>
  <c r="M1041" i="7"/>
  <c r="M1036" i="7"/>
  <c r="M1044" i="7"/>
  <c r="M1035" i="7"/>
  <c r="M1043" i="7"/>
  <c r="M1045" i="7"/>
  <c r="M1040" i="7"/>
  <c r="M1042" i="7"/>
  <c r="M1037" i="7"/>
  <c r="M1038" i="7"/>
  <c r="M1039" i="7"/>
  <c r="M1046" i="7"/>
  <c r="AD1032" i="7" l="1"/>
  <c r="B1040" i="7"/>
  <c r="Q1040" i="7" s="1"/>
  <c r="B1045" i="7"/>
  <c r="Q1045" i="7" s="1"/>
  <c r="B1038" i="7"/>
  <c r="Q1038" i="7" s="1"/>
  <c r="B1043" i="7"/>
  <c r="Q1043" i="7" s="1"/>
  <c r="B1035" i="7"/>
  <c r="Q1035" i="7" s="1"/>
  <c r="B1039" i="7"/>
  <c r="Q1039" i="7" s="1"/>
  <c r="B1046" i="7"/>
  <c r="Q1046" i="7" s="1"/>
  <c r="B1042" i="7"/>
  <c r="Q1042" i="7" s="1"/>
  <c r="B1036" i="7"/>
  <c r="Q1036" i="7" s="1"/>
  <c r="B1044" i="7"/>
  <c r="B1037" i="7"/>
  <c r="Q1037" i="7" s="1"/>
  <c r="B1041" i="7"/>
  <c r="Q1041" i="7" s="1"/>
  <c r="G459" i="7"/>
  <c r="C854" i="7"/>
  <c r="E854" i="7" s="1"/>
  <c r="R854" i="7" s="1"/>
  <c r="C835" i="7"/>
  <c r="E825" i="7"/>
  <c r="N881" i="7"/>
  <c r="O702" i="7"/>
  <c r="H459" i="7"/>
  <c r="G990" i="7"/>
  <c r="AK869" i="7"/>
  <c r="AH973" i="7"/>
  <c r="H1018" i="7"/>
  <c r="AH938" i="7"/>
  <c r="H1008" i="7"/>
  <c r="AH963" i="7"/>
  <c r="F941" i="7"/>
  <c r="AH928" i="7"/>
  <c r="AJ904" i="7"/>
  <c r="H1011" i="7"/>
  <c r="AH966" i="7"/>
  <c r="AH931" i="7"/>
  <c r="G653" i="7"/>
  <c r="Q881" i="7"/>
  <c r="O795" i="7"/>
  <c r="R823" i="7"/>
  <c r="B652" i="7"/>
  <c r="E649" i="7"/>
  <c r="H607" i="7"/>
  <c r="H711" i="7"/>
  <c r="H746" i="7"/>
  <c r="P876" i="7"/>
  <c r="R550" i="7"/>
  <c r="Q649" i="7"/>
  <c r="N652" i="7"/>
  <c r="K301" i="7"/>
  <c r="H1019" i="7"/>
  <c r="AH974" i="7"/>
  <c r="AH939" i="7"/>
  <c r="H1013" i="7"/>
  <c r="AH968" i="7"/>
  <c r="AH933" i="7"/>
  <c r="AF870" i="7"/>
  <c r="AO870" i="7"/>
  <c r="R818" i="7"/>
  <c r="AE910" i="7"/>
  <c r="Q834" i="7"/>
  <c r="O507" i="7"/>
  <c r="Q939" i="7"/>
  <c r="Q911" i="7"/>
  <c r="M699" i="7"/>
  <c r="J700" i="7"/>
  <c r="R640" i="7"/>
  <c r="AD374" i="7"/>
  <c r="AM374" i="7" s="1"/>
  <c r="Q547" i="7"/>
  <c r="Q366" i="7"/>
  <c r="N453" i="7"/>
  <c r="H835" i="7"/>
  <c r="M366" i="7"/>
  <c r="J453" i="7"/>
  <c r="C301" i="7"/>
  <c r="B700" i="7"/>
  <c r="E699" i="7"/>
  <c r="J606" i="7"/>
  <c r="M603" i="7"/>
  <c r="I366" i="7"/>
  <c r="F453" i="7"/>
  <c r="I129" i="7"/>
  <c r="F130" i="7"/>
  <c r="F301" i="7"/>
  <c r="I300" i="7"/>
  <c r="I1017" i="7"/>
  <c r="G965" i="7"/>
  <c r="G992" i="7" s="1"/>
  <c r="I1008" i="7"/>
  <c r="G956" i="7"/>
  <c r="G941" i="7"/>
  <c r="I1018" i="7"/>
  <c r="G966" i="7"/>
  <c r="H1009" i="7"/>
  <c r="AH964" i="7"/>
  <c r="AH929" i="7"/>
  <c r="AO866" i="7"/>
  <c r="AF866" i="7"/>
  <c r="H1012" i="7"/>
  <c r="AH967" i="7"/>
  <c r="AH932" i="7"/>
  <c r="J743" i="7"/>
  <c r="M739" i="7"/>
  <c r="G507" i="7"/>
  <c r="P879" i="7"/>
  <c r="L711" i="7"/>
  <c r="L746" i="7"/>
  <c r="AD373" i="7"/>
  <c r="AM373" i="7" s="1"/>
  <c r="P653" i="7"/>
  <c r="D459" i="7"/>
  <c r="P700" i="7"/>
  <c r="F854" i="7"/>
  <c r="I854" i="7" s="1"/>
  <c r="I825" i="7"/>
  <c r="N551" i="7"/>
  <c r="Q550" i="7"/>
  <c r="Q59" i="7"/>
  <c r="N62" i="7"/>
  <c r="M810" i="7"/>
  <c r="J816" i="7"/>
  <c r="N700" i="7"/>
  <c r="Q699" i="7"/>
  <c r="K746" i="7"/>
  <c r="P878" i="7"/>
  <c r="F816" i="7"/>
  <c r="I810" i="7"/>
  <c r="H1017" i="7"/>
  <c r="AH972" i="7"/>
  <c r="AH937" i="7"/>
  <c r="I1019" i="7"/>
  <c r="G967" i="7"/>
  <c r="AH965" i="7"/>
  <c r="AH930" i="7"/>
  <c r="H1010" i="7"/>
  <c r="R762" i="7"/>
  <c r="AO865" i="7"/>
  <c r="AF865" i="7"/>
  <c r="AF875" i="7" s="1"/>
  <c r="AJ901" i="7"/>
  <c r="Q821" i="7"/>
  <c r="P881" i="7"/>
  <c r="O746" i="7"/>
  <c r="K850" i="7"/>
  <c r="K858" i="7" s="1"/>
  <c r="K13" i="7" s="1"/>
  <c r="K835" i="7"/>
  <c r="C793" i="7"/>
  <c r="C794" i="7"/>
  <c r="Q879" i="7"/>
  <c r="L795" i="7"/>
  <c r="G858" i="7"/>
  <c r="G13" i="7" s="1"/>
  <c r="R727" i="7"/>
  <c r="P882" i="7"/>
  <c r="P711" i="7"/>
  <c r="P746" i="7"/>
  <c r="F62" i="7"/>
  <c r="I59" i="7"/>
  <c r="P607" i="7"/>
  <c r="L459" i="7"/>
  <c r="Q878" i="7"/>
  <c r="K795" i="7"/>
  <c r="Q696" i="7"/>
  <c r="I821" i="7"/>
  <c r="R821" i="7" s="1"/>
  <c r="G987" i="7"/>
  <c r="AK866" i="7"/>
  <c r="AG910" i="7"/>
  <c r="F743" i="7"/>
  <c r="I739" i="7"/>
  <c r="E834" i="7"/>
  <c r="J854" i="7"/>
  <c r="M854" i="7" s="1"/>
  <c r="M825" i="7"/>
  <c r="O875" i="7"/>
  <c r="G712" i="7"/>
  <c r="J652" i="7"/>
  <c r="M649" i="7"/>
  <c r="R603" i="7"/>
  <c r="J129" i="7"/>
  <c r="M126" i="7"/>
  <c r="I852" i="7"/>
  <c r="AJ903" i="7"/>
  <c r="Q852" i="7"/>
  <c r="R383" i="7"/>
  <c r="G835" i="7"/>
  <c r="I503" i="7"/>
  <c r="O551" i="7"/>
  <c r="B743" i="7"/>
  <c r="E739" i="7"/>
  <c r="F551" i="7"/>
  <c r="I550" i="7"/>
  <c r="L835" i="7"/>
  <c r="L850" i="7"/>
  <c r="L858" i="7" s="1"/>
  <c r="L13" i="7" s="1"/>
  <c r="I699" i="7"/>
  <c r="F700" i="7"/>
  <c r="R547" i="7"/>
  <c r="Q1044" i="7"/>
  <c r="H1015" i="7"/>
  <c r="AH970" i="7"/>
  <c r="AH935" i="7"/>
  <c r="AJ905" i="7"/>
  <c r="AD875" i="7"/>
  <c r="G959" i="7"/>
  <c r="I1011" i="7"/>
  <c r="I1014" i="7"/>
  <c r="G962" i="7"/>
  <c r="D744" i="7"/>
  <c r="D745" i="7"/>
  <c r="D858" i="7"/>
  <c r="D13" i="7" s="1"/>
  <c r="Q875" i="7"/>
  <c r="G795" i="7"/>
  <c r="K711" i="7"/>
  <c r="I428" i="7"/>
  <c r="E856" i="7"/>
  <c r="E789" i="7"/>
  <c r="R789" i="7" s="1"/>
  <c r="J792" i="7"/>
  <c r="M789" i="7"/>
  <c r="R636" i="7"/>
  <c r="I649" i="7"/>
  <c r="F652" i="7"/>
  <c r="P875" i="7"/>
  <c r="G746" i="7"/>
  <c r="Q606" i="7"/>
  <c r="N607" i="7"/>
  <c r="M503" i="7"/>
  <c r="C459" i="7"/>
  <c r="L63" i="7"/>
  <c r="I696" i="7"/>
  <c r="R696" i="7" s="1"/>
  <c r="J292" i="7"/>
  <c r="P835" i="7"/>
  <c r="P850" i="7"/>
  <c r="P858" i="7" s="1"/>
  <c r="P13" i="7" s="1"/>
  <c r="B607" i="7"/>
  <c r="E606" i="7"/>
  <c r="B129" i="7"/>
  <c r="E126" i="7"/>
  <c r="R126" i="7" s="1"/>
  <c r="I1009" i="7"/>
  <c r="G957" i="7"/>
  <c r="J856" i="7"/>
  <c r="M856" i="7" s="1"/>
  <c r="M834" i="7"/>
  <c r="F794" i="7"/>
  <c r="I792" i="7"/>
  <c r="F793" i="7"/>
  <c r="O881" i="7"/>
  <c r="O712" i="7"/>
  <c r="G701" i="7"/>
  <c r="G654" i="7" s="1"/>
  <c r="G700" i="7"/>
  <c r="E792" i="7"/>
  <c r="B793" i="7"/>
  <c r="B794" i="7"/>
  <c r="R428" i="7"/>
  <c r="O835" i="7"/>
  <c r="O850" i="7"/>
  <c r="O858" i="7" s="1"/>
  <c r="O13" i="7" s="1"/>
  <c r="J507" i="7"/>
  <c r="M506" i="7"/>
  <c r="I506" i="7"/>
  <c r="P872" i="7"/>
  <c r="C746" i="7"/>
  <c r="B300" i="7"/>
  <c r="E292" i="7"/>
  <c r="O654" i="7"/>
  <c r="O653" i="7"/>
  <c r="P459" i="7"/>
  <c r="J62" i="7"/>
  <c r="M59" i="7"/>
  <c r="AF910" i="7"/>
  <c r="AO867" i="7"/>
  <c r="AF867" i="7"/>
  <c r="G988" i="7"/>
  <c r="AK867" i="7"/>
  <c r="AF869" i="7"/>
  <c r="AO869" i="7"/>
  <c r="R833" i="7"/>
  <c r="AJ900" i="7"/>
  <c r="AJ910" i="7" s="1"/>
  <c r="I1010" i="7"/>
  <c r="G958" i="7"/>
  <c r="N816" i="7"/>
  <c r="Q810" i="7"/>
  <c r="M823" i="7"/>
  <c r="R575" i="7"/>
  <c r="I834" i="7"/>
  <c r="E366" i="7"/>
  <c r="B453" i="7"/>
  <c r="R503" i="7"/>
  <c r="K507" i="7"/>
  <c r="B62" i="7"/>
  <c r="E59" i="7"/>
  <c r="F607" i="7"/>
  <c r="I606" i="7"/>
  <c r="H1014" i="7"/>
  <c r="AH969" i="7"/>
  <c r="AH934" i="7"/>
  <c r="H1016" i="7"/>
  <c r="AH971" i="7"/>
  <c r="AH936" i="7"/>
  <c r="Q876" i="7"/>
  <c r="H795" i="7"/>
  <c r="Q856" i="7"/>
  <c r="N743" i="7"/>
  <c r="Q739" i="7"/>
  <c r="N854" i="7"/>
  <c r="Q854" i="7" s="1"/>
  <c r="Q825" i="7"/>
  <c r="E810" i="7"/>
  <c r="R810" i="7" s="1"/>
  <c r="B816" i="7"/>
  <c r="Q880" i="7"/>
  <c r="N795" i="7"/>
  <c r="Q794" i="7"/>
  <c r="E506" i="7"/>
  <c r="B507" i="7"/>
  <c r="Q873" i="7"/>
  <c r="D795" i="7"/>
  <c r="I603" i="7"/>
  <c r="N130" i="7"/>
  <c r="Q129" i="7"/>
  <c r="M875" i="7" l="1"/>
  <c r="G655" i="7"/>
  <c r="G618" i="7"/>
  <c r="M453" i="7"/>
  <c r="J458" i="7"/>
  <c r="R59" i="7"/>
  <c r="Q1047" i="7"/>
  <c r="B63" i="7"/>
  <c r="E62" i="7"/>
  <c r="R856" i="7"/>
  <c r="B745" i="7"/>
  <c r="E743" i="7"/>
  <c r="B744" i="7"/>
  <c r="Q937" i="7"/>
  <c r="Q909" i="7"/>
  <c r="J63" i="7"/>
  <c r="M62" i="7"/>
  <c r="P929" i="7"/>
  <c r="P901" i="7"/>
  <c r="Q871" i="7"/>
  <c r="E794" i="7"/>
  <c r="B795" i="7"/>
  <c r="R606" i="7"/>
  <c r="P932" i="7"/>
  <c r="P904" i="7"/>
  <c r="G989" i="7"/>
  <c r="AK868" i="7"/>
  <c r="Q935" i="7"/>
  <c r="Q907" i="7"/>
  <c r="P712" i="7"/>
  <c r="O882" i="7"/>
  <c r="G994" i="7"/>
  <c r="AK873" i="7"/>
  <c r="F835" i="7"/>
  <c r="I835" i="7" s="1"/>
  <c r="F850" i="7"/>
  <c r="I816" i="7"/>
  <c r="P701" i="7"/>
  <c r="O879" i="7"/>
  <c r="L712" i="7"/>
  <c r="L701" i="7"/>
  <c r="R699" i="7"/>
  <c r="Q453" i="7"/>
  <c r="N458" i="7"/>
  <c r="O876" i="7"/>
  <c r="H712" i="7"/>
  <c r="H701" i="7"/>
  <c r="AH976" i="7"/>
  <c r="N835" i="7"/>
  <c r="Q835" i="7" s="1"/>
  <c r="Q816" i="7"/>
  <c r="N850" i="7"/>
  <c r="B850" i="7"/>
  <c r="E816" i="7"/>
  <c r="B835" i="7"/>
  <c r="E835" i="7" s="1"/>
  <c r="R835" i="7" s="1"/>
  <c r="Q874" i="7"/>
  <c r="F795" i="7"/>
  <c r="I794" i="7"/>
  <c r="O878" i="7"/>
  <c r="K712" i="7"/>
  <c r="K701" i="7"/>
  <c r="G985" i="7"/>
  <c r="AK864" i="7"/>
  <c r="R852" i="7"/>
  <c r="Q62" i="7"/>
  <c r="N63" i="7"/>
  <c r="G983" i="7"/>
  <c r="G969" i="7"/>
  <c r="AK862" i="7"/>
  <c r="S1019" i="7"/>
  <c r="AR974" i="7"/>
  <c r="AR939" i="7"/>
  <c r="Q902" i="7"/>
  <c r="Q930" i="7"/>
  <c r="C858" i="7"/>
  <c r="C13" i="7" s="1"/>
  <c r="Q652" i="7"/>
  <c r="N653" i="7"/>
  <c r="R649" i="7"/>
  <c r="Q933" i="7"/>
  <c r="Q905" i="7"/>
  <c r="F653" i="7"/>
  <c r="I652" i="7"/>
  <c r="O932" i="7"/>
  <c r="O904" i="7"/>
  <c r="P939" i="7"/>
  <c r="P911" i="7"/>
  <c r="P935" i="7"/>
  <c r="P907" i="7"/>
  <c r="P936" i="7"/>
  <c r="P908" i="7"/>
  <c r="T826" i="7"/>
  <c r="E453" i="7"/>
  <c r="R453" i="7" s="1"/>
  <c r="B458" i="7"/>
  <c r="G986" i="7"/>
  <c r="AK865" i="7"/>
  <c r="R506" i="7"/>
  <c r="R366" i="7"/>
  <c r="M881" i="7"/>
  <c r="O655" i="7"/>
  <c r="O618" i="7"/>
  <c r="N875" i="7"/>
  <c r="G702" i="7"/>
  <c r="G984" i="7"/>
  <c r="AK863" i="7"/>
  <c r="Q932" i="7"/>
  <c r="Q904" i="7"/>
  <c r="J130" i="7"/>
  <c r="M129" i="7"/>
  <c r="R834" i="7"/>
  <c r="P910" i="7"/>
  <c r="P938" i="7"/>
  <c r="I453" i="7"/>
  <c r="F458" i="7"/>
  <c r="B653" i="7"/>
  <c r="E652" i="7"/>
  <c r="M792" i="7"/>
  <c r="R792" i="7" s="1"/>
  <c r="J793" i="7"/>
  <c r="J794" i="7"/>
  <c r="M292" i="7"/>
  <c r="R292" i="7" s="1"/>
  <c r="J300" i="7"/>
  <c r="AH1025" i="7"/>
  <c r="AH1017" i="7"/>
  <c r="AH1018" i="7"/>
  <c r="AH1030" i="7"/>
  <c r="AH1023" i="7"/>
  <c r="AH1021" i="7"/>
  <c r="AH1019" i="7"/>
  <c r="AH1028" i="7"/>
  <c r="AH1026" i="7"/>
  <c r="AH1027" i="7"/>
  <c r="AH1022" i="7"/>
  <c r="AH1008" i="7"/>
  <c r="AH1009" i="7"/>
  <c r="AH1020" i="7"/>
  <c r="AH1016" i="7"/>
  <c r="AH1015" i="7"/>
  <c r="AH1029" i="7"/>
  <c r="AH1024" i="7"/>
  <c r="AH1012" i="7"/>
  <c r="AH1011" i="7"/>
  <c r="AH1014" i="7"/>
  <c r="AH1010" i="7"/>
  <c r="AH1031" i="7"/>
  <c r="AH1013" i="7"/>
  <c r="N744" i="7"/>
  <c r="N745" i="7"/>
  <c r="Q743" i="7"/>
  <c r="B301" i="7"/>
  <c r="E300" i="7"/>
  <c r="O910" i="7"/>
  <c r="O938" i="7"/>
  <c r="P873" i="7"/>
  <c r="D746" i="7"/>
  <c r="D711" i="7"/>
  <c r="R739" i="7"/>
  <c r="F744" i="7"/>
  <c r="F745" i="7"/>
  <c r="I743" i="7"/>
  <c r="I62" i="7"/>
  <c r="F63" i="7"/>
  <c r="Q936" i="7"/>
  <c r="Q908" i="7"/>
  <c r="G993" i="7"/>
  <c r="AK872" i="7"/>
  <c r="P933" i="7"/>
  <c r="P905" i="7"/>
  <c r="AH941" i="7"/>
  <c r="N938" i="7"/>
  <c r="N910" i="7"/>
  <c r="J745" i="7"/>
  <c r="M743" i="7"/>
  <c r="J744" i="7"/>
  <c r="B130" i="7"/>
  <c r="E129" i="7"/>
  <c r="R129" i="7" s="1"/>
  <c r="J653" i="7"/>
  <c r="M652" i="7"/>
  <c r="Q872" i="7"/>
  <c r="C795" i="7"/>
  <c r="C711" i="7"/>
  <c r="J850" i="7"/>
  <c r="J835" i="7"/>
  <c r="M835" i="7" s="1"/>
  <c r="M816" i="7"/>
  <c r="J607" i="7"/>
  <c r="M606" i="7"/>
  <c r="Q938" i="7"/>
  <c r="Q910" i="7"/>
  <c r="R825" i="7"/>
  <c r="AH1032" i="7" l="1"/>
  <c r="Q1012" i="7"/>
  <c r="AP967" i="7"/>
  <c r="AP932" i="7"/>
  <c r="P877" i="7"/>
  <c r="J746" i="7"/>
  <c r="M745" i="7"/>
  <c r="J711" i="7"/>
  <c r="Q877" i="7"/>
  <c r="M794" i="7"/>
  <c r="R794" i="7" s="1"/>
  <c r="J795" i="7"/>
  <c r="M938" i="7"/>
  <c r="M910" i="7"/>
  <c r="O907" i="7"/>
  <c r="O935" i="7"/>
  <c r="S1012" i="7"/>
  <c r="AR932" i="7"/>
  <c r="AR967" i="7"/>
  <c r="R1016" i="7"/>
  <c r="AQ971" i="7"/>
  <c r="AQ936" i="7"/>
  <c r="R1009" i="7"/>
  <c r="AQ964" i="7"/>
  <c r="AQ929" i="7"/>
  <c r="P871" i="7"/>
  <c r="E745" i="7"/>
  <c r="B746" i="7"/>
  <c r="B711" i="7"/>
  <c r="AR971" i="7"/>
  <c r="S1016" i="7"/>
  <c r="AR936" i="7"/>
  <c r="R1018" i="7"/>
  <c r="AQ938" i="7"/>
  <c r="AQ973" i="7"/>
  <c r="S1010" i="7"/>
  <c r="AR965" i="7"/>
  <c r="AR930" i="7"/>
  <c r="J459" i="7"/>
  <c r="M458" i="7"/>
  <c r="O873" i="7"/>
  <c r="D712" i="7"/>
  <c r="D701" i="7"/>
  <c r="R1015" i="7"/>
  <c r="AQ935" i="7"/>
  <c r="AQ970" i="7"/>
  <c r="Q931" i="7"/>
  <c r="Q903" i="7"/>
  <c r="N879" i="7"/>
  <c r="L702" i="7"/>
  <c r="L654" i="7"/>
  <c r="R1012" i="7"/>
  <c r="AQ967" i="7"/>
  <c r="AQ932" i="7"/>
  <c r="R62" i="7"/>
  <c r="P1018" i="7"/>
  <c r="AO938" i="7"/>
  <c r="AO973" i="7"/>
  <c r="O872" i="7"/>
  <c r="C712" i="7"/>
  <c r="C701" i="7"/>
  <c r="O911" i="7"/>
  <c r="O939" i="7"/>
  <c r="P880" i="7"/>
  <c r="Q745" i="7"/>
  <c r="N746" i="7"/>
  <c r="N711" i="7"/>
  <c r="S1018" i="7"/>
  <c r="AR973" i="7"/>
  <c r="AR938" i="7"/>
  <c r="P930" i="7"/>
  <c r="P902" i="7"/>
  <c r="S1013" i="7"/>
  <c r="AR933" i="7"/>
  <c r="AR968" i="7"/>
  <c r="N876" i="7"/>
  <c r="H702" i="7"/>
  <c r="H654" i="7"/>
  <c r="Q1018" i="7"/>
  <c r="AP973" i="7"/>
  <c r="AP938" i="7"/>
  <c r="R652" i="7"/>
  <c r="N932" i="7"/>
  <c r="N904" i="7"/>
  <c r="E458" i="7"/>
  <c r="B459" i="7"/>
  <c r="R1019" i="7"/>
  <c r="AQ939" i="7"/>
  <c r="AQ974" i="7"/>
  <c r="R816" i="7"/>
  <c r="T816" i="7" s="1"/>
  <c r="O908" i="7"/>
  <c r="O936" i="7"/>
  <c r="L875" i="7"/>
  <c r="G619" i="7"/>
  <c r="G608" i="7"/>
  <c r="R1013" i="7"/>
  <c r="AQ933" i="7"/>
  <c r="AQ968" i="7"/>
  <c r="J301" i="7"/>
  <c r="M300" i="7"/>
  <c r="R300" i="7" s="1"/>
  <c r="L881" i="7"/>
  <c r="O619" i="7"/>
  <c r="O608" i="7"/>
  <c r="N878" i="7"/>
  <c r="K702" i="7"/>
  <c r="K654" i="7"/>
  <c r="B858" i="7"/>
  <c r="B13" i="7" s="1"/>
  <c r="E13" i="7" s="1"/>
  <c r="E850" i="7"/>
  <c r="O933" i="7"/>
  <c r="O905" i="7"/>
  <c r="N882" i="7"/>
  <c r="P702" i="7"/>
  <c r="P654" i="7"/>
  <c r="S1017" i="7"/>
  <c r="AR972" i="7"/>
  <c r="AR937" i="7"/>
  <c r="AK875" i="7"/>
  <c r="N858" i="7"/>
  <c r="N13" i="7" s="1"/>
  <c r="Q13" i="7" s="1"/>
  <c r="Q850" i="7"/>
  <c r="Q858" i="7" s="1"/>
  <c r="S1015" i="7"/>
  <c r="AR935" i="7"/>
  <c r="AR970" i="7"/>
  <c r="Q928" i="7"/>
  <c r="Q900" i="7"/>
  <c r="M932" i="7"/>
  <c r="M904" i="7"/>
  <c r="J858" i="7"/>
  <c r="J13" i="7" s="1"/>
  <c r="M13" i="7" s="1"/>
  <c r="M850" i="7"/>
  <c r="M858" i="7" s="1"/>
  <c r="Q929" i="7"/>
  <c r="Q901" i="7"/>
  <c r="P874" i="7"/>
  <c r="I745" i="7"/>
  <c r="F746" i="7"/>
  <c r="F711" i="7"/>
  <c r="I458" i="7"/>
  <c r="F459" i="7"/>
  <c r="Q458" i="7"/>
  <c r="N459" i="7"/>
  <c r="F858" i="7"/>
  <c r="F13" i="7" s="1"/>
  <c r="I13" i="7" s="1"/>
  <c r="I850" i="7"/>
  <c r="I858" i="7" s="1"/>
  <c r="R743" i="7"/>
  <c r="M882" i="7" l="1"/>
  <c r="P655" i="7"/>
  <c r="P618" i="7"/>
  <c r="O929" i="7"/>
  <c r="O901" i="7"/>
  <c r="N873" i="7"/>
  <c r="D702" i="7"/>
  <c r="D654" i="7"/>
  <c r="O1012" i="7"/>
  <c r="AN967" i="7"/>
  <c r="AN932" i="7"/>
  <c r="N907" i="7"/>
  <c r="N935" i="7"/>
  <c r="R745" i="7"/>
  <c r="N911" i="7"/>
  <c r="N939" i="7"/>
  <c r="O609" i="7"/>
  <c r="K881" i="7"/>
  <c r="O552" i="7"/>
  <c r="N936" i="7"/>
  <c r="N908" i="7"/>
  <c r="O930" i="7"/>
  <c r="O902" i="7"/>
  <c r="P884" i="7"/>
  <c r="P928" i="7"/>
  <c r="P900" i="7"/>
  <c r="Q934" i="7"/>
  <c r="Q906" i="7"/>
  <c r="P931" i="7"/>
  <c r="P903" i="7"/>
  <c r="Q884" i="7"/>
  <c r="K875" i="7"/>
  <c r="G609" i="7"/>
  <c r="G552" i="7"/>
  <c r="P937" i="7"/>
  <c r="P909" i="7"/>
  <c r="O877" i="7"/>
  <c r="J712" i="7"/>
  <c r="M711" i="7"/>
  <c r="J701" i="7"/>
  <c r="L938" i="7"/>
  <c r="L910" i="7"/>
  <c r="R1010" i="7"/>
  <c r="AQ965" i="7"/>
  <c r="AQ930" i="7"/>
  <c r="S1011" i="7"/>
  <c r="AR966" i="7"/>
  <c r="AR931" i="7"/>
  <c r="AP970" i="7"/>
  <c r="Q1015" i="7"/>
  <c r="AP935" i="7"/>
  <c r="Q1013" i="7"/>
  <c r="AP968" i="7"/>
  <c r="AP933" i="7"/>
  <c r="Q1019" i="7"/>
  <c r="AP974" i="7"/>
  <c r="AP939" i="7"/>
  <c r="S1009" i="7"/>
  <c r="AR929" i="7"/>
  <c r="AR964" i="7"/>
  <c r="S1008" i="7"/>
  <c r="AR963" i="7"/>
  <c r="AR928" i="7"/>
  <c r="R850" i="7"/>
  <c r="R858" i="7" s="1"/>
  <c r="E858" i="7"/>
  <c r="L904" i="7"/>
  <c r="L932" i="7"/>
  <c r="R458" i="7"/>
  <c r="M876" i="7"/>
  <c r="H655" i="7"/>
  <c r="H618" i="7"/>
  <c r="R13" i="7"/>
  <c r="Q1016" i="7"/>
  <c r="AP971" i="7"/>
  <c r="AP936" i="7"/>
  <c r="N872" i="7"/>
  <c r="C702" i="7"/>
  <c r="C654" i="7"/>
  <c r="P934" i="7"/>
  <c r="P906" i="7"/>
  <c r="M878" i="7"/>
  <c r="K655" i="7"/>
  <c r="K618" i="7"/>
  <c r="N933" i="7"/>
  <c r="N905" i="7"/>
  <c r="O871" i="7"/>
  <c r="B712" i="7"/>
  <c r="E711" i="7"/>
  <c r="B701" i="7"/>
  <c r="O1018" i="7"/>
  <c r="AN973" i="7"/>
  <c r="AN938" i="7"/>
  <c r="O874" i="7"/>
  <c r="F712" i="7"/>
  <c r="I711" i="7"/>
  <c r="F701" i="7"/>
  <c r="P1012" i="7"/>
  <c r="AO932" i="7"/>
  <c r="AO967" i="7"/>
  <c r="O880" i="7"/>
  <c r="N712" i="7"/>
  <c r="Q711" i="7"/>
  <c r="N701" i="7"/>
  <c r="M879" i="7"/>
  <c r="L655" i="7"/>
  <c r="L618" i="7"/>
  <c r="AR1030" i="7"/>
  <c r="AR1023" i="7"/>
  <c r="AR1021" i="7"/>
  <c r="AR1019" i="7"/>
  <c r="AR1028" i="7"/>
  <c r="AR1026" i="7"/>
  <c r="AR1031" i="7"/>
  <c r="AR1029" i="7"/>
  <c r="AR1024" i="7"/>
  <c r="AR1022" i="7"/>
  <c r="AR1020" i="7"/>
  <c r="AR1015" i="7"/>
  <c r="AR1027" i="7"/>
  <c r="AR1016" i="7"/>
  <c r="AR1014" i="7"/>
  <c r="AR1010" i="7"/>
  <c r="AR1011" i="7"/>
  <c r="AR1018" i="7"/>
  <c r="AR1017" i="7"/>
  <c r="AR1013" i="7"/>
  <c r="AR1012" i="7"/>
  <c r="AR1008" i="7"/>
  <c r="AR1025" i="7"/>
  <c r="AR1009" i="7"/>
  <c r="AR1032" i="7" l="1"/>
  <c r="L879" i="7"/>
  <c r="L619" i="7"/>
  <c r="L608" i="7"/>
  <c r="AQ1018" i="7"/>
  <c r="AQ1030" i="7"/>
  <c r="AQ1023" i="7"/>
  <c r="AQ1021" i="7"/>
  <c r="AQ1019" i="7"/>
  <c r="AQ1028" i="7"/>
  <c r="AQ1026" i="7"/>
  <c r="AQ1031" i="7"/>
  <c r="AQ1029" i="7"/>
  <c r="AQ1024" i="7"/>
  <c r="AQ1022" i="7"/>
  <c r="AQ1020" i="7"/>
  <c r="AQ1015" i="7"/>
  <c r="AQ1025" i="7"/>
  <c r="AQ1009" i="7"/>
  <c r="AQ1027" i="7"/>
  <c r="AQ1016" i="7"/>
  <c r="AQ1010" i="7"/>
  <c r="AQ1008" i="7"/>
  <c r="AQ1017" i="7"/>
  <c r="AQ1013" i="7"/>
  <c r="AQ1012" i="7"/>
  <c r="AQ1011" i="7"/>
  <c r="AQ1014" i="7"/>
  <c r="S1014" i="7"/>
  <c r="AR969" i="7"/>
  <c r="AR934" i="7"/>
  <c r="L882" i="7"/>
  <c r="P619" i="7"/>
  <c r="P608" i="7"/>
  <c r="N880" i="7"/>
  <c r="Q701" i="7"/>
  <c r="N702" i="7"/>
  <c r="N654" i="7"/>
  <c r="AQ969" i="7"/>
  <c r="R1014" i="7"/>
  <c r="AQ934" i="7"/>
  <c r="L876" i="7"/>
  <c r="H619" i="7"/>
  <c r="H608" i="7"/>
  <c r="AR941" i="7"/>
  <c r="N877" i="7"/>
  <c r="M701" i="7"/>
  <c r="J702" i="7"/>
  <c r="J654" i="7"/>
  <c r="K904" i="7"/>
  <c r="K932" i="7"/>
  <c r="P1019" i="7"/>
  <c r="AO974" i="7"/>
  <c r="AO939" i="7"/>
  <c r="M873" i="7"/>
  <c r="D655" i="7"/>
  <c r="D618" i="7"/>
  <c r="O928" i="7"/>
  <c r="O884" i="7"/>
  <c r="O900" i="7"/>
  <c r="AR976" i="7"/>
  <c r="O931" i="7"/>
  <c r="O903" i="7"/>
  <c r="M933" i="7"/>
  <c r="M905" i="7"/>
  <c r="Q941" i="7"/>
  <c r="Q1010" i="7"/>
  <c r="AP930" i="7"/>
  <c r="AP965" i="7"/>
  <c r="N930" i="7"/>
  <c r="N902" i="7"/>
  <c r="O937" i="7"/>
  <c r="O909" i="7"/>
  <c r="P1013" i="7"/>
  <c r="AO968" i="7"/>
  <c r="AO933" i="7"/>
  <c r="N901" i="7"/>
  <c r="N929" i="7"/>
  <c r="O934" i="7"/>
  <c r="O906" i="7"/>
  <c r="AQ966" i="7"/>
  <c r="R1011" i="7"/>
  <c r="AQ931" i="7"/>
  <c r="P1015" i="7"/>
  <c r="AO970" i="7"/>
  <c r="AO935" i="7"/>
  <c r="M872" i="7"/>
  <c r="C655" i="7"/>
  <c r="C618" i="7"/>
  <c r="L878" i="7"/>
  <c r="K619" i="7"/>
  <c r="K608" i="7"/>
  <c r="N1012" i="7"/>
  <c r="AM967" i="7"/>
  <c r="AW896" i="7"/>
  <c r="AM932" i="7"/>
  <c r="P1016" i="7"/>
  <c r="AO936" i="7"/>
  <c r="AO971" i="7"/>
  <c r="Q1009" i="7"/>
  <c r="AP964" i="7"/>
  <c r="AP929" i="7"/>
  <c r="R1017" i="7"/>
  <c r="AQ972" i="7"/>
  <c r="AQ937" i="7"/>
  <c r="J881" i="7"/>
  <c r="O553" i="7"/>
  <c r="O508" i="7"/>
  <c r="N871" i="7"/>
  <c r="E701" i="7"/>
  <c r="B702" i="7"/>
  <c r="B654" i="7"/>
  <c r="M935" i="7"/>
  <c r="M907" i="7"/>
  <c r="J875" i="7"/>
  <c r="G553" i="7"/>
  <c r="G508" i="7"/>
  <c r="K938" i="7"/>
  <c r="K910" i="7"/>
  <c r="M908" i="7"/>
  <c r="M936" i="7"/>
  <c r="N874" i="7"/>
  <c r="F702" i="7"/>
  <c r="I701" i="7"/>
  <c r="F654" i="7"/>
  <c r="R711" i="7"/>
  <c r="U13" i="7"/>
  <c r="T13" i="7"/>
  <c r="N1018" i="7"/>
  <c r="AM973" i="7"/>
  <c r="AM938" i="7"/>
  <c r="AW902" i="7"/>
  <c r="R1008" i="7"/>
  <c r="AQ963" i="7"/>
  <c r="P941" i="7"/>
  <c r="AQ928" i="7"/>
  <c r="AQ941" i="7" s="1"/>
  <c r="M911" i="7"/>
  <c r="M939" i="7"/>
  <c r="AQ1032" i="7" l="1"/>
  <c r="I881" i="7"/>
  <c r="O509" i="7"/>
  <c r="O467" i="7"/>
  <c r="O466" i="7" s="1"/>
  <c r="O465" i="7" s="1"/>
  <c r="O464" i="7" s="1"/>
  <c r="O463" i="7" s="1"/>
  <c r="O462" i="7" s="1"/>
  <c r="O460" i="7"/>
  <c r="K876" i="7"/>
  <c r="H609" i="7"/>
  <c r="H552" i="7"/>
  <c r="O1016" i="7"/>
  <c r="AN971" i="7"/>
  <c r="AN936" i="7"/>
  <c r="O1015" i="7"/>
  <c r="AN970" i="7"/>
  <c r="AN935" i="7"/>
  <c r="L872" i="7"/>
  <c r="C619" i="7"/>
  <c r="C608" i="7"/>
  <c r="L873" i="7"/>
  <c r="D619" i="7"/>
  <c r="D608" i="7"/>
  <c r="M877" i="7"/>
  <c r="M654" i="7"/>
  <c r="J655" i="7"/>
  <c r="J618" i="7"/>
  <c r="Q1017" i="7"/>
  <c r="AP972" i="7"/>
  <c r="AP937" i="7"/>
  <c r="L939" i="7"/>
  <c r="L911" i="7"/>
  <c r="M901" i="7"/>
  <c r="M929" i="7"/>
  <c r="Q1014" i="7"/>
  <c r="AP969" i="7"/>
  <c r="AP934" i="7"/>
  <c r="M930" i="7"/>
  <c r="M902" i="7"/>
  <c r="AQ976" i="7"/>
  <c r="AL973" i="7"/>
  <c r="M1018" i="7"/>
  <c r="AL938" i="7"/>
  <c r="R701" i="7"/>
  <c r="P1009" i="7"/>
  <c r="AO964" i="7"/>
  <c r="AO929" i="7"/>
  <c r="AO930" i="7"/>
  <c r="P1010" i="7"/>
  <c r="AO965" i="7"/>
  <c r="AP966" i="7"/>
  <c r="Q1011" i="7"/>
  <c r="AP931" i="7"/>
  <c r="N934" i="7"/>
  <c r="N906" i="7"/>
  <c r="M880" i="7"/>
  <c r="Q654" i="7"/>
  <c r="N655" i="7"/>
  <c r="N618" i="7"/>
  <c r="M871" i="7"/>
  <c r="E654" i="7"/>
  <c r="B655" i="7"/>
  <c r="B618" i="7"/>
  <c r="O1013" i="7"/>
  <c r="AN933" i="7"/>
  <c r="AN968" i="7"/>
  <c r="M874" i="7"/>
  <c r="F655" i="7"/>
  <c r="I654" i="7"/>
  <c r="F618" i="7"/>
  <c r="I875" i="7"/>
  <c r="G467" i="7"/>
  <c r="G466" i="7" s="1"/>
  <c r="G465" i="7" s="1"/>
  <c r="G464" i="7" s="1"/>
  <c r="G463" i="7" s="1"/>
  <c r="G462" i="7" s="1"/>
  <c r="G509" i="7"/>
  <c r="G460" i="7"/>
  <c r="N928" i="7"/>
  <c r="N900" i="7"/>
  <c r="N884" i="7"/>
  <c r="K878" i="7"/>
  <c r="K609" i="7"/>
  <c r="K552" i="7"/>
  <c r="J932" i="7"/>
  <c r="J904" i="7"/>
  <c r="AP1025" i="7"/>
  <c r="AP1017" i="7"/>
  <c r="AP1018" i="7"/>
  <c r="AP1030" i="7"/>
  <c r="AP1023" i="7"/>
  <c r="AP1021" i="7"/>
  <c r="AP1019" i="7"/>
  <c r="AP1028" i="7"/>
  <c r="AP1026" i="7"/>
  <c r="AP1027" i="7"/>
  <c r="AP1031" i="7"/>
  <c r="AP1015" i="7"/>
  <c r="AP1008" i="7"/>
  <c r="AP1009" i="7"/>
  <c r="AP1024" i="7"/>
  <c r="AP1014" i="7"/>
  <c r="AP1022" i="7"/>
  <c r="AP1016" i="7"/>
  <c r="AP1013" i="7"/>
  <c r="AP1020" i="7"/>
  <c r="AP1012" i="7"/>
  <c r="AP1011" i="7"/>
  <c r="AP1029" i="7"/>
  <c r="AP1010" i="7"/>
  <c r="M1012" i="7"/>
  <c r="AL967" i="7"/>
  <c r="AL932" i="7"/>
  <c r="N937" i="7"/>
  <c r="N909" i="7"/>
  <c r="K879" i="7"/>
  <c r="L609" i="7"/>
  <c r="L552" i="7"/>
  <c r="O1019" i="7"/>
  <c r="AN974" i="7"/>
  <c r="AN939" i="7"/>
  <c r="N931" i="7"/>
  <c r="N903" i="7"/>
  <c r="J938" i="7"/>
  <c r="J910" i="7"/>
  <c r="L935" i="7"/>
  <c r="L907" i="7"/>
  <c r="Q1008" i="7"/>
  <c r="AP963" i="7"/>
  <c r="O941" i="7"/>
  <c r="AP928" i="7"/>
  <c r="AP941" i="7" s="1"/>
  <c r="L933" i="7"/>
  <c r="L905" i="7"/>
  <c r="K882" i="7"/>
  <c r="P609" i="7"/>
  <c r="P552" i="7"/>
  <c r="L908" i="7"/>
  <c r="L936" i="7"/>
  <c r="AP1032" i="7" l="1"/>
  <c r="J882" i="7"/>
  <c r="P553" i="7"/>
  <c r="P508" i="7"/>
  <c r="M928" i="7"/>
  <c r="M884" i="7"/>
  <c r="M900" i="7"/>
  <c r="K872" i="7"/>
  <c r="C609" i="7"/>
  <c r="C552" i="7"/>
  <c r="J878" i="7"/>
  <c r="K553" i="7"/>
  <c r="K508" i="7"/>
  <c r="P1008" i="7"/>
  <c r="N941" i="7"/>
  <c r="AO963" i="7"/>
  <c r="AO928" i="7"/>
  <c r="L880" i="7"/>
  <c r="Q618" i="7"/>
  <c r="N619" i="7"/>
  <c r="N608" i="7"/>
  <c r="L877" i="7"/>
  <c r="M618" i="7"/>
  <c r="J619" i="7"/>
  <c r="J608" i="7"/>
  <c r="J876" i="7"/>
  <c r="H553" i="7"/>
  <c r="H508" i="7"/>
  <c r="K939" i="7"/>
  <c r="K911" i="7"/>
  <c r="N1015" i="7"/>
  <c r="AM935" i="7"/>
  <c r="AM970" i="7"/>
  <c r="AW899" i="7"/>
  <c r="L553" i="7"/>
  <c r="J879" i="7"/>
  <c r="L508" i="7"/>
  <c r="H875" i="7"/>
  <c r="G461" i="7"/>
  <c r="G302" i="7"/>
  <c r="AN964" i="7"/>
  <c r="O1009" i="7"/>
  <c r="AN929" i="7"/>
  <c r="L901" i="7"/>
  <c r="L929" i="7"/>
  <c r="N1013" i="7"/>
  <c r="AM968" i="7"/>
  <c r="AM933" i="7"/>
  <c r="AW897" i="7"/>
  <c r="M903" i="7"/>
  <c r="M931" i="7"/>
  <c r="L1012" i="7"/>
  <c r="AK932" i="7"/>
  <c r="AK967" i="7"/>
  <c r="AO1027" i="7"/>
  <c r="AO1016" i="7"/>
  <c r="AO1025" i="7"/>
  <c r="AO1017" i="7"/>
  <c r="AO1013" i="7"/>
  <c r="AO1018" i="7"/>
  <c r="AO1030" i="7"/>
  <c r="AO1023" i="7"/>
  <c r="AO1021" i="7"/>
  <c r="AO1019" i="7"/>
  <c r="AO1028" i="7"/>
  <c r="AO1026" i="7"/>
  <c r="AO1031" i="7"/>
  <c r="AO1029" i="7"/>
  <c r="AO1024" i="7"/>
  <c r="AO1022" i="7"/>
  <c r="AO1020" i="7"/>
  <c r="AO1015" i="7"/>
  <c r="AO1008" i="7"/>
  <c r="AO1012" i="7"/>
  <c r="AO1011" i="7"/>
  <c r="AO1014" i="7"/>
  <c r="AO1009" i="7"/>
  <c r="AO1010" i="7"/>
  <c r="K933" i="7"/>
  <c r="K905" i="7"/>
  <c r="M937" i="7"/>
  <c r="M909" i="7"/>
  <c r="M934" i="7"/>
  <c r="M906" i="7"/>
  <c r="H881" i="7"/>
  <c r="O461" i="7"/>
  <c r="O302" i="7"/>
  <c r="N1016" i="7"/>
  <c r="AM971" i="7"/>
  <c r="AM936" i="7"/>
  <c r="AW900" i="7"/>
  <c r="P1011" i="7"/>
  <c r="AO966" i="7"/>
  <c r="AO931" i="7"/>
  <c r="P1017" i="7"/>
  <c r="AO972" i="7"/>
  <c r="AO937" i="7"/>
  <c r="K935" i="7"/>
  <c r="K907" i="7"/>
  <c r="L874" i="7"/>
  <c r="F619" i="7"/>
  <c r="I618" i="7"/>
  <c r="F608" i="7"/>
  <c r="P1014" i="7"/>
  <c r="AO969" i="7"/>
  <c r="AO934" i="7"/>
  <c r="O1010" i="7"/>
  <c r="AN965" i="7"/>
  <c r="AN930" i="7"/>
  <c r="L1018" i="7"/>
  <c r="AK938" i="7"/>
  <c r="AK973" i="7"/>
  <c r="K936" i="7"/>
  <c r="K908" i="7"/>
  <c r="I932" i="7"/>
  <c r="I904" i="7"/>
  <c r="L871" i="7"/>
  <c r="B619" i="7"/>
  <c r="E618" i="7"/>
  <c r="R618" i="7" s="1"/>
  <c r="B608" i="7"/>
  <c r="N1019" i="7"/>
  <c r="AM974" i="7"/>
  <c r="AM939" i="7"/>
  <c r="AW903" i="7"/>
  <c r="D609" i="7"/>
  <c r="K873" i="7"/>
  <c r="D552" i="7"/>
  <c r="AP976" i="7"/>
  <c r="R654" i="7"/>
  <c r="L930" i="7"/>
  <c r="L902" i="7"/>
  <c r="I910" i="7"/>
  <c r="I938" i="7"/>
  <c r="AO1032" i="7" l="1"/>
  <c r="L931" i="7"/>
  <c r="L903" i="7"/>
  <c r="M1016" i="7"/>
  <c r="AL971" i="7"/>
  <c r="AL936" i="7"/>
  <c r="AN972" i="7"/>
  <c r="O1017" i="7"/>
  <c r="AN937" i="7"/>
  <c r="M608" i="7"/>
  <c r="K877" i="7"/>
  <c r="J609" i="7"/>
  <c r="J552" i="7"/>
  <c r="AO941" i="7"/>
  <c r="K871" i="7"/>
  <c r="E608" i="7"/>
  <c r="R608" i="7" s="1"/>
  <c r="B609" i="7"/>
  <c r="B552" i="7"/>
  <c r="E875" i="7"/>
  <c r="G303" i="7"/>
  <c r="G304" i="7"/>
  <c r="G131" i="7"/>
  <c r="AO976" i="7"/>
  <c r="J873" i="7"/>
  <c r="D553" i="7"/>
  <c r="D508" i="7"/>
  <c r="K874" i="7"/>
  <c r="F609" i="7"/>
  <c r="I608" i="7"/>
  <c r="F552" i="7"/>
  <c r="E881" i="7"/>
  <c r="O303" i="7"/>
  <c r="O304" i="7"/>
  <c r="O131" i="7"/>
  <c r="M1013" i="7"/>
  <c r="AL968" i="7"/>
  <c r="AL933" i="7"/>
  <c r="K929" i="7"/>
  <c r="K901" i="7"/>
  <c r="K930" i="7"/>
  <c r="K902" i="7"/>
  <c r="H932" i="7"/>
  <c r="H904" i="7"/>
  <c r="L906" i="7"/>
  <c r="L934" i="7"/>
  <c r="K1018" i="7"/>
  <c r="AJ973" i="7"/>
  <c r="AJ938" i="7"/>
  <c r="L928" i="7"/>
  <c r="L884" i="7"/>
  <c r="L900" i="7"/>
  <c r="H910" i="7"/>
  <c r="H938" i="7"/>
  <c r="N1009" i="7"/>
  <c r="AM964" i="7"/>
  <c r="AW893" i="7"/>
  <c r="AM929" i="7"/>
  <c r="I879" i="7"/>
  <c r="L467" i="7"/>
  <c r="L466" i="7" s="1"/>
  <c r="L465" i="7" s="1"/>
  <c r="L464" i="7" s="1"/>
  <c r="L463" i="7" s="1"/>
  <c r="L462" i="7" s="1"/>
  <c r="L509" i="7"/>
  <c r="L460" i="7"/>
  <c r="M1019" i="7"/>
  <c r="AL974" i="7"/>
  <c r="AL939" i="7"/>
  <c r="K880" i="7"/>
  <c r="N609" i="7"/>
  <c r="Q608" i="7"/>
  <c r="N552" i="7"/>
  <c r="I878" i="7"/>
  <c r="K467" i="7"/>
  <c r="K466" i="7" s="1"/>
  <c r="K465" i="7" s="1"/>
  <c r="K464" i="7" s="1"/>
  <c r="K463" i="7" s="1"/>
  <c r="K462" i="7" s="1"/>
  <c r="K509" i="7"/>
  <c r="K460" i="7"/>
  <c r="O1008" i="7"/>
  <c r="AN928" i="7"/>
  <c r="M941" i="7"/>
  <c r="AN963" i="7"/>
  <c r="AN976" i="7" s="1"/>
  <c r="J936" i="7"/>
  <c r="J908" i="7"/>
  <c r="I876" i="7"/>
  <c r="H467" i="7"/>
  <c r="H466" i="7" s="1"/>
  <c r="H465" i="7" s="1"/>
  <c r="H464" i="7" s="1"/>
  <c r="H463" i="7" s="1"/>
  <c r="H462" i="7" s="1"/>
  <c r="H509" i="7"/>
  <c r="H460" i="7"/>
  <c r="K1012" i="7"/>
  <c r="AJ932" i="7"/>
  <c r="AJ967" i="7"/>
  <c r="AN1031" i="7"/>
  <c r="AN1029" i="7"/>
  <c r="AN1024" i="7"/>
  <c r="AN1022" i="7"/>
  <c r="AN1020" i="7"/>
  <c r="AN1027" i="7"/>
  <c r="AN1016" i="7"/>
  <c r="AN1014" i="7"/>
  <c r="AN1025" i="7"/>
  <c r="AN1017" i="7"/>
  <c r="AN1030" i="7"/>
  <c r="AN1023" i="7"/>
  <c r="AN1021" i="7"/>
  <c r="AN1019" i="7"/>
  <c r="AN1028" i="7"/>
  <c r="AN1026" i="7"/>
  <c r="AN1018" i="7"/>
  <c r="AN1013" i="7"/>
  <c r="AN1011" i="7"/>
  <c r="AN1009" i="7"/>
  <c r="AN1015" i="7"/>
  <c r="AN1012" i="7"/>
  <c r="AN1010" i="7"/>
  <c r="AN1008" i="7"/>
  <c r="O1014" i="7"/>
  <c r="AN969" i="7"/>
  <c r="AN934" i="7"/>
  <c r="O1011" i="7"/>
  <c r="AN966" i="7"/>
  <c r="AN931" i="7"/>
  <c r="J935" i="7"/>
  <c r="J907" i="7"/>
  <c r="I882" i="7"/>
  <c r="P509" i="7"/>
  <c r="P467" i="7"/>
  <c r="P466" i="7" s="1"/>
  <c r="P465" i="7" s="1"/>
  <c r="P464" i="7" s="1"/>
  <c r="P463" i="7" s="1"/>
  <c r="P462" i="7" s="1"/>
  <c r="P460" i="7"/>
  <c r="N1010" i="7"/>
  <c r="AM930" i="7"/>
  <c r="AM965" i="7"/>
  <c r="AW894" i="7"/>
  <c r="AL970" i="7"/>
  <c r="AL935" i="7"/>
  <c r="M1015" i="7"/>
  <c r="J933" i="7"/>
  <c r="J905" i="7"/>
  <c r="L937" i="7"/>
  <c r="L909" i="7"/>
  <c r="J872" i="7"/>
  <c r="C553" i="7"/>
  <c r="C508" i="7"/>
  <c r="J939" i="7"/>
  <c r="J911" i="7"/>
  <c r="AN1032" i="7" l="1"/>
  <c r="J880" i="7"/>
  <c r="Q552" i="7"/>
  <c r="N553" i="7"/>
  <c r="N508" i="7"/>
  <c r="L1013" i="7"/>
  <c r="AK968" i="7"/>
  <c r="AK933" i="7"/>
  <c r="H882" i="7"/>
  <c r="P302" i="7"/>
  <c r="P461" i="7"/>
  <c r="K937" i="7"/>
  <c r="K909" i="7"/>
  <c r="N1008" i="7"/>
  <c r="AM928" i="7"/>
  <c r="AM963" i="7"/>
  <c r="L941" i="7"/>
  <c r="AW892" i="7"/>
  <c r="H878" i="7"/>
  <c r="K461" i="7"/>
  <c r="K302" i="7"/>
  <c r="M1010" i="7"/>
  <c r="AL930" i="7"/>
  <c r="AL965" i="7"/>
  <c r="J930" i="7"/>
  <c r="J902" i="7"/>
  <c r="I872" i="7"/>
  <c r="C467" i="7"/>
  <c r="C466" i="7" s="1"/>
  <c r="C465" i="7" s="1"/>
  <c r="C464" i="7" s="1"/>
  <c r="C463" i="7" s="1"/>
  <c r="C462" i="7" s="1"/>
  <c r="C509" i="7"/>
  <c r="C460" i="7"/>
  <c r="I933" i="7"/>
  <c r="I905" i="7"/>
  <c r="E938" i="7"/>
  <c r="E910" i="7"/>
  <c r="AR907" i="7"/>
  <c r="K928" i="7"/>
  <c r="K900" i="7"/>
  <c r="K884" i="7"/>
  <c r="M1009" i="7"/>
  <c r="AL929" i="7"/>
  <c r="AL964" i="7"/>
  <c r="J874" i="7"/>
  <c r="I552" i="7"/>
  <c r="F553" i="7"/>
  <c r="F508" i="7"/>
  <c r="D875" i="7"/>
  <c r="G132" i="7"/>
  <c r="G64" i="7"/>
  <c r="I939" i="7"/>
  <c r="I911" i="7"/>
  <c r="J929" i="7"/>
  <c r="J901" i="7"/>
  <c r="L1016" i="7"/>
  <c r="AK936" i="7"/>
  <c r="AK971" i="7"/>
  <c r="I935" i="7"/>
  <c r="I907" i="7"/>
  <c r="H879" i="7"/>
  <c r="L461" i="7"/>
  <c r="L302" i="7"/>
  <c r="J1018" i="7"/>
  <c r="AI973" i="7"/>
  <c r="AI938" i="7"/>
  <c r="AI872" i="7"/>
  <c r="N1014" i="7"/>
  <c r="AM969" i="7"/>
  <c r="AM934" i="7"/>
  <c r="AW898" i="7"/>
  <c r="J877" i="7"/>
  <c r="J553" i="7"/>
  <c r="M552" i="7"/>
  <c r="J508" i="7"/>
  <c r="K931" i="7"/>
  <c r="K903" i="7"/>
  <c r="E904" i="7"/>
  <c r="AR901" i="7"/>
  <c r="E932" i="7"/>
  <c r="K906" i="7"/>
  <c r="K934" i="7"/>
  <c r="L1019" i="7"/>
  <c r="AK974" i="7"/>
  <c r="AK939" i="7"/>
  <c r="L1015" i="7"/>
  <c r="AK970" i="7"/>
  <c r="AK935" i="7"/>
  <c r="N1017" i="7"/>
  <c r="AM972" i="7"/>
  <c r="AM937" i="7"/>
  <c r="AW901" i="7"/>
  <c r="AM1031" i="7"/>
  <c r="AM1029" i="7"/>
  <c r="AM1024" i="7"/>
  <c r="AM1022" i="7"/>
  <c r="AM1020" i="7"/>
  <c r="AM1015" i="7"/>
  <c r="AM1027" i="7"/>
  <c r="AM1016" i="7"/>
  <c r="AM1025" i="7"/>
  <c r="AM1018" i="7"/>
  <c r="AM1030" i="7"/>
  <c r="AM1023" i="7"/>
  <c r="AM1021" i="7"/>
  <c r="AM1019" i="7"/>
  <c r="AM1010" i="7"/>
  <c r="AM1014" i="7"/>
  <c r="AM1028" i="7"/>
  <c r="AM1017" i="7"/>
  <c r="AM1008" i="7"/>
  <c r="AM1032" i="7" s="1"/>
  <c r="AM1026" i="7"/>
  <c r="AM1013" i="7"/>
  <c r="AM1011" i="7"/>
  <c r="AM1009" i="7"/>
  <c r="AM1012" i="7"/>
  <c r="H876" i="7"/>
  <c r="H461" i="7"/>
  <c r="H302" i="7"/>
  <c r="AN941" i="7"/>
  <c r="I936" i="7"/>
  <c r="I908" i="7"/>
  <c r="J1012" i="7"/>
  <c r="AI932" i="7"/>
  <c r="AI967" i="7"/>
  <c r="AI866" i="7"/>
  <c r="D881" i="7"/>
  <c r="O132" i="7"/>
  <c r="O64" i="7"/>
  <c r="I873" i="7"/>
  <c r="D509" i="7"/>
  <c r="D467" i="7"/>
  <c r="D466" i="7" s="1"/>
  <c r="D465" i="7" s="1"/>
  <c r="D464" i="7" s="1"/>
  <c r="D463" i="7" s="1"/>
  <c r="D462" i="7" s="1"/>
  <c r="D460" i="7"/>
  <c r="J871" i="7"/>
  <c r="B553" i="7"/>
  <c r="E552" i="7"/>
  <c r="R552" i="7" s="1"/>
  <c r="B508" i="7"/>
  <c r="AM931" i="7"/>
  <c r="AM966" i="7"/>
  <c r="N1011" i="7"/>
  <c r="AW895" i="7"/>
  <c r="M1011" i="7" l="1"/>
  <c r="AL931" i="7"/>
  <c r="AL966" i="7"/>
  <c r="K1019" i="7"/>
  <c r="AJ974" i="7"/>
  <c r="AJ939" i="7"/>
  <c r="G1018" i="7"/>
  <c r="AG973" i="7"/>
  <c r="AG938" i="7"/>
  <c r="L1010" i="7"/>
  <c r="AK965" i="7"/>
  <c r="AK930" i="7"/>
  <c r="H939" i="7"/>
  <c r="H911" i="7"/>
  <c r="I877" i="7"/>
  <c r="M508" i="7"/>
  <c r="J467" i="7"/>
  <c r="J466" i="7" s="1"/>
  <c r="J465" i="7" s="1"/>
  <c r="J464" i="7" s="1"/>
  <c r="J463" i="7" s="1"/>
  <c r="J462" i="7" s="1"/>
  <c r="J509" i="7"/>
  <c r="J460" i="7"/>
  <c r="K1015" i="7"/>
  <c r="AJ970" i="7"/>
  <c r="AJ935" i="7"/>
  <c r="C875" i="7"/>
  <c r="G65" i="7"/>
  <c r="G29" i="7"/>
  <c r="AM976" i="7"/>
  <c r="I930" i="7"/>
  <c r="I902" i="7"/>
  <c r="M1014" i="7"/>
  <c r="AL969" i="7"/>
  <c r="AL934" i="7"/>
  <c r="K1013" i="7"/>
  <c r="AJ968" i="7"/>
  <c r="AJ933" i="7"/>
  <c r="AM941" i="7"/>
  <c r="D938" i="7"/>
  <c r="D910" i="7"/>
  <c r="AQ907" i="7"/>
  <c r="I871" i="7"/>
  <c r="E508" i="7"/>
  <c r="B467" i="7"/>
  <c r="B466" i="7" s="1"/>
  <c r="B465" i="7" s="1"/>
  <c r="B464" i="7" s="1"/>
  <c r="B463" i="7" s="1"/>
  <c r="B462" i="7" s="1"/>
  <c r="B509" i="7"/>
  <c r="B460" i="7"/>
  <c r="C881" i="7"/>
  <c r="O65" i="7"/>
  <c r="O29" i="7"/>
  <c r="K1016" i="7"/>
  <c r="AJ971" i="7"/>
  <c r="AJ936" i="7"/>
  <c r="D932" i="7"/>
  <c r="AQ901" i="7"/>
  <c r="D904" i="7"/>
  <c r="H872" i="7"/>
  <c r="C461" i="7"/>
  <c r="C302" i="7"/>
  <c r="AL1031" i="7"/>
  <c r="AL1029" i="7"/>
  <c r="AL1024" i="7"/>
  <c r="AL1022" i="7"/>
  <c r="AL1020" i="7"/>
  <c r="AL1015" i="7"/>
  <c r="AL1027" i="7"/>
  <c r="AL1025" i="7"/>
  <c r="AL1017" i="7"/>
  <c r="AL1018" i="7"/>
  <c r="AL1028" i="7"/>
  <c r="AL1026" i="7"/>
  <c r="AL1014" i="7"/>
  <c r="AL1012" i="7"/>
  <c r="AL1030" i="7"/>
  <c r="AL1021" i="7"/>
  <c r="AL1023" i="7"/>
  <c r="AL1009" i="7"/>
  <c r="AL1010" i="7"/>
  <c r="AL1016" i="7"/>
  <c r="AL1008" i="7"/>
  <c r="AL1019" i="7"/>
  <c r="AL1013" i="7"/>
  <c r="AL1011" i="7"/>
  <c r="G1012" i="7"/>
  <c r="AG967" i="7"/>
  <c r="AG932" i="7"/>
  <c r="J934" i="7"/>
  <c r="J906" i="7"/>
  <c r="I874" i="7"/>
  <c r="I508" i="7"/>
  <c r="F509" i="7"/>
  <c r="F467" i="7"/>
  <c r="F466" i="7" s="1"/>
  <c r="F465" i="7" s="1"/>
  <c r="F464" i="7" s="1"/>
  <c r="F463" i="7" s="1"/>
  <c r="F462" i="7" s="1"/>
  <c r="F460" i="7"/>
  <c r="E878" i="7"/>
  <c r="K304" i="7"/>
  <c r="K303" i="7"/>
  <c r="K131" i="7"/>
  <c r="N467" i="7"/>
  <c r="N466" i="7" s="1"/>
  <c r="N465" i="7" s="1"/>
  <c r="N464" i="7" s="1"/>
  <c r="N463" i="7" s="1"/>
  <c r="N462" i="7" s="1"/>
  <c r="N509" i="7"/>
  <c r="Q508" i="7"/>
  <c r="I880" i="7"/>
  <c r="N460" i="7"/>
  <c r="M1017" i="7"/>
  <c r="AL937" i="7"/>
  <c r="AL972" i="7"/>
  <c r="E876" i="7"/>
  <c r="H303" i="7"/>
  <c r="H304" i="7"/>
  <c r="H131" i="7"/>
  <c r="M1008" i="7"/>
  <c r="AL963" i="7"/>
  <c r="AL976" i="7" s="1"/>
  <c r="AL928" i="7"/>
  <c r="K941" i="7"/>
  <c r="J900" i="7"/>
  <c r="J928" i="7"/>
  <c r="J884" i="7"/>
  <c r="L1009" i="7"/>
  <c r="AK929" i="7"/>
  <c r="AK964" i="7"/>
  <c r="I901" i="7"/>
  <c r="I929" i="7"/>
  <c r="H935" i="7"/>
  <c r="H907" i="7"/>
  <c r="E879" i="7"/>
  <c r="L304" i="7"/>
  <c r="L303" i="7"/>
  <c r="L131" i="7"/>
  <c r="H873" i="7"/>
  <c r="D461" i="7"/>
  <c r="D302" i="7"/>
  <c r="H933" i="7"/>
  <c r="H905" i="7"/>
  <c r="H936" i="7"/>
  <c r="H908" i="7"/>
  <c r="J931" i="7"/>
  <c r="J903" i="7"/>
  <c r="AW905" i="7"/>
  <c r="E882" i="7"/>
  <c r="P304" i="7"/>
  <c r="P303" i="7"/>
  <c r="P131" i="7"/>
  <c r="J909" i="7"/>
  <c r="J937" i="7"/>
  <c r="AL1032" i="7" l="1"/>
  <c r="R508" i="7"/>
  <c r="B881" i="7"/>
  <c r="O30" i="7"/>
  <c r="O19" i="7"/>
  <c r="O20" i="7" s="1"/>
  <c r="I937" i="7"/>
  <c r="I909" i="7"/>
  <c r="B875" i="7"/>
  <c r="G19" i="7"/>
  <c r="G20" i="7" s="1"/>
  <c r="G30" i="7"/>
  <c r="E936" i="7"/>
  <c r="E908" i="7"/>
  <c r="AR905" i="7"/>
  <c r="AK963" i="7"/>
  <c r="J941" i="7"/>
  <c r="L1008" i="7"/>
  <c r="AK928" i="7"/>
  <c r="I928" i="7"/>
  <c r="I900" i="7"/>
  <c r="I884" i="7"/>
  <c r="AR908" i="7"/>
  <c r="E939" i="7"/>
  <c r="E911" i="7"/>
  <c r="J1015" i="7"/>
  <c r="AI935" i="7"/>
  <c r="AI970" i="7"/>
  <c r="AI869" i="7"/>
  <c r="E933" i="7"/>
  <c r="AR902" i="7"/>
  <c r="E905" i="7"/>
  <c r="K1009" i="7"/>
  <c r="AJ964" i="7"/>
  <c r="AJ929" i="7"/>
  <c r="D878" i="7"/>
  <c r="K132" i="7"/>
  <c r="K64" i="7"/>
  <c r="I931" i="7"/>
  <c r="I903" i="7"/>
  <c r="H901" i="7"/>
  <c r="H929" i="7"/>
  <c r="J1019" i="7"/>
  <c r="AI974" i="7"/>
  <c r="AI939" i="7"/>
  <c r="AI873" i="7"/>
  <c r="J1016" i="7"/>
  <c r="AI971" i="7"/>
  <c r="AI936" i="7"/>
  <c r="AI870" i="7"/>
  <c r="D876" i="7"/>
  <c r="H132" i="7"/>
  <c r="H64" i="7"/>
  <c r="H874" i="7"/>
  <c r="I460" i="7"/>
  <c r="F461" i="7"/>
  <c r="F302" i="7"/>
  <c r="J1013" i="7"/>
  <c r="AI933" i="7"/>
  <c r="AI968" i="7"/>
  <c r="AI867" i="7"/>
  <c r="E872" i="7"/>
  <c r="C304" i="7"/>
  <c r="C303" i="7"/>
  <c r="C131" i="7"/>
  <c r="AP901" i="7"/>
  <c r="C904" i="7"/>
  <c r="C932" i="7"/>
  <c r="I934" i="7"/>
  <c r="I906" i="7"/>
  <c r="E873" i="7"/>
  <c r="D303" i="7"/>
  <c r="D304" i="7"/>
  <c r="D131" i="7"/>
  <c r="H930" i="7"/>
  <c r="H902" i="7"/>
  <c r="AL941" i="7"/>
  <c r="C910" i="7"/>
  <c r="AP907" i="7"/>
  <c r="C938" i="7"/>
  <c r="F1018" i="7"/>
  <c r="AF938" i="7"/>
  <c r="AF973" i="7"/>
  <c r="D882" i="7"/>
  <c r="P132" i="7"/>
  <c r="P64" i="7"/>
  <c r="AK972" i="7"/>
  <c r="AK937" i="7"/>
  <c r="L1017" i="7"/>
  <c r="L1011" i="7"/>
  <c r="AK966" i="7"/>
  <c r="AK931" i="7"/>
  <c r="D879" i="7"/>
  <c r="L132" i="7"/>
  <c r="L64" i="7"/>
  <c r="L1014" i="7"/>
  <c r="AK969" i="7"/>
  <c r="AK934" i="7"/>
  <c r="H871" i="7"/>
  <c r="B461" i="7"/>
  <c r="E460" i="7"/>
  <c r="B302" i="7"/>
  <c r="K1010" i="7"/>
  <c r="AJ965" i="7"/>
  <c r="AJ930" i="7"/>
  <c r="H877" i="7"/>
  <c r="J461" i="7"/>
  <c r="M460" i="7"/>
  <c r="J302" i="7"/>
  <c r="H880" i="7"/>
  <c r="N461" i="7"/>
  <c r="Q460" i="7"/>
  <c r="N302" i="7"/>
  <c r="E935" i="7"/>
  <c r="AR904" i="7"/>
  <c r="E907" i="7"/>
  <c r="F1012" i="7"/>
  <c r="AF967" i="7"/>
  <c r="AF932" i="7"/>
  <c r="AK1028" i="7"/>
  <c r="AK1026" i="7"/>
  <c r="AK1031" i="7"/>
  <c r="AK1029" i="7"/>
  <c r="AK1024" i="7"/>
  <c r="AK1022" i="7"/>
  <c r="AK1020" i="7"/>
  <c r="AK1027" i="7"/>
  <c r="AK1016" i="7"/>
  <c r="AK1025" i="7"/>
  <c r="AK1017" i="7"/>
  <c r="AK1030" i="7"/>
  <c r="AK1023" i="7"/>
  <c r="AK1021" i="7"/>
  <c r="AK1019" i="7"/>
  <c r="AK1018" i="7"/>
  <c r="AK1013" i="7"/>
  <c r="AK1011" i="7"/>
  <c r="AK1014" i="7"/>
  <c r="AK1012" i="7"/>
  <c r="AK1008" i="7"/>
  <c r="AK1009" i="7"/>
  <c r="AK1010" i="7"/>
  <c r="AK1015" i="7"/>
  <c r="AK1032" i="7" l="1"/>
  <c r="H884" i="7"/>
  <c r="H928" i="7"/>
  <c r="H900" i="7"/>
  <c r="J1010" i="7"/>
  <c r="AI965" i="7"/>
  <c r="AI930" i="7"/>
  <c r="AI864" i="7"/>
  <c r="D933" i="7"/>
  <c r="D905" i="7"/>
  <c r="AQ902" i="7"/>
  <c r="AK941" i="7"/>
  <c r="G1015" i="7"/>
  <c r="AG970" i="7"/>
  <c r="AG935" i="7"/>
  <c r="H934" i="7"/>
  <c r="H906" i="7"/>
  <c r="D873" i="7"/>
  <c r="D132" i="7"/>
  <c r="D64" i="7"/>
  <c r="J1009" i="7"/>
  <c r="AI964" i="7"/>
  <c r="AI929" i="7"/>
  <c r="AI863" i="7"/>
  <c r="B932" i="7"/>
  <c r="B904" i="7"/>
  <c r="AO901" i="7"/>
  <c r="AT901" i="7" s="1"/>
  <c r="AG866" i="7"/>
  <c r="AH866" i="7" s="1"/>
  <c r="AJ866" i="7" s="1"/>
  <c r="AL866" i="7" s="1"/>
  <c r="AN866" i="7"/>
  <c r="D872" i="7"/>
  <c r="C132" i="7"/>
  <c r="C64" i="7"/>
  <c r="E874" i="7"/>
  <c r="F304" i="7"/>
  <c r="F303" i="7"/>
  <c r="I302" i="7"/>
  <c r="F131" i="7"/>
  <c r="E880" i="7"/>
  <c r="Q302" i="7"/>
  <c r="N303" i="7"/>
  <c r="N304" i="7"/>
  <c r="N131" i="7"/>
  <c r="E1018" i="7"/>
  <c r="AE938" i="7"/>
  <c r="AE973" i="7"/>
  <c r="G1019" i="7"/>
  <c r="AG974" i="7"/>
  <c r="AG939" i="7"/>
  <c r="AK976" i="7"/>
  <c r="AJ972" i="7"/>
  <c r="K1017" i="7"/>
  <c r="AJ937" i="7"/>
  <c r="AJ1030" i="7"/>
  <c r="AJ1023" i="7"/>
  <c r="AJ1021" i="7"/>
  <c r="AJ1019" i="7"/>
  <c r="AJ1028" i="7"/>
  <c r="AJ1026" i="7"/>
  <c r="AJ1031" i="7"/>
  <c r="AJ1029" i="7"/>
  <c r="AJ1024" i="7"/>
  <c r="AJ1022" i="7"/>
  <c r="AJ1020" i="7"/>
  <c r="AJ1027" i="7"/>
  <c r="AJ1016" i="7"/>
  <c r="AJ1014" i="7"/>
  <c r="AJ1025" i="7"/>
  <c r="AJ1010" i="7"/>
  <c r="AJ1013" i="7"/>
  <c r="AJ1011" i="7"/>
  <c r="AJ1017" i="7"/>
  <c r="AJ1018" i="7"/>
  <c r="AJ1009" i="7"/>
  <c r="AJ1008" i="7"/>
  <c r="AJ1015" i="7"/>
  <c r="AJ1012" i="7"/>
  <c r="AR899" i="7"/>
  <c r="E930" i="7"/>
  <c r="E902" i="7"/>
  <c r="K1011" i="7"/>
  <c r="AJ966" i="7"/>
  <c r="AJ931" i="7"/>
  <c r="C879" i="7"/>
  <c r="L29" i="7"/>
  <c r="L65" i="7"/>
  <c r="H937" i="7"/>
  <c r="H909" i="7"/>
  <c r="B304" i="7"/>
  <c r="E302" i="7"/>
  <c r="E871" i="7"/>
  <c r="B303" i="7"/>
  <c r="B131" i="7"/>
  <c r="C882" i="7"/>
  <c r="P29" i="7"/>
  <c r="P65" i="7"/>
  <c r="E901" i="7"/>
  <c r="E929" i="7"/>
  <c r="AR898" i="7"/>
  <c r="H931" i="7"/>
  <c r="H903" i="7"/>
  <c r="C878" i="7"/>
  <c r="K29" i="7"/>
  <c r="K65" i="7"/>
  <c r="G1013" i="7"/>
  <c r="AG968" i="7"/>
  <c r="AG933" i="7"/>
  <c r="E877" i="7"/>
  <c r="J304" i="7"/>
  <c r="M302" i="7"/>
  <c r="J303" i="7"/>
  <c r="J131" i="7"/>
  <c r="R460" i="7"/>
  <c r="D908" i="7"/>
  <c r="D936" i="7"/>
  <c r="AQ905" i="7"/>
  <c r="K1014" i="7"/>
  <c r="AJ969" i="7"/>
  <c r="AJ934" i="7"/>
  <c r="C876" i="7"/>
  <c r="H29" i="7"/>
  <c r="H65" i="7"/>
  <c r="G1016" i="7"/>
  <c r="AG971" i="7"/>
  <c r="AG936" i="7"/>
  <c r="B938" i="7"/>
  <c r="AO907" i="7"/>
  <c r="AT907" i="7" s="1"/>
  <c r="B910" i="7"/>
  <c r="AG872" i="7"/>
  <c r="AH872" i="7" s="1"/>
  <c r="AJ872" i="7" s="1"/>
  <c r="AL872" i="7" s="1"/>
  <c r="AN872" i="7"/>
  <c r="D939" i="7"/>
  <c r="D911" i="7"/>
  <c r="AQ908" i="7"/>
  <c r="E1012" i="7"/>
  <c r="AE967" i="7"/>
  <c r="AE932" i="7"/>
  <c r="D935" i="7"/>
  <c r="D907" i="7"/>
  <c r="AQ904" i="7"/>
  <c r="K1008" i="7"/>
  <c r="AJ963" i="7"/>
  <c r="AJ976" i="7" s="1"/>
  <c r="I941" i="7"/>
  <c r="AJ928" i="7"/>
  <c r="AJ1032" i="7" l="1"/>
  <c r="D871" i="7"/>
  <c r="E131" i="7"/>
  <c r="B132" i="7"/>
  <c r="B64" i="7"/>
  <c r="B879" i="7"/>
  <c r="L30" i="7"/>
  <c r="L19" i="7"/>
  <c r="L20" i="7" s="1"/>
  <c r="G1009" i="7"/>
  <c r="AG929" i="7"/>
  <c r="AG964" i="7"/>
  <c r="R302" i="7"/>
  <c r="E931" i="7"/>
  <c r="E903" i="7"/>
  <c r="AR900" i="7"/>
  <c r="AD967" i="7"/>
  <c r="AS967" i="7" s="1"/>
  <c r="R932" i="7"/>
  <c r="B960" i="7" s="1"/>
  <c r="AD932" i="7"/>
  <c r="AS932" i="7" s="1"/>
  <c r="R1039" i="7"/>
  <c r="F1013" i="7"/>
  <c r="AF968" i="7"/>
  <c r="AF933" i="7"/>
  <c r="C872" i="7"/>
  <c r="C65" i="7"/>
  <c r="C29" i="7"/>
  <c r="C905" i="7"/>
  <c r="C933" i="7"/>
  <c r="AP902" i="7"/>
  <c r="D877" i="7"/>
  <c r="M131" i="7"/>
  <c r="J132" i="7"/>
  <c r="J64" i="7"/>
  <c r="AF970" i="7"/>
  <c r="F1015" i="7"/>
  <c r="AF935" i="7"/>
  <c r="B876" i="7"/>
  <c r="H19" i="7"/>
  <c r="H20" i="7" s="1"/>
  <c r="H30" i="7"/>
  <c r="J1014" i="7"/>
  <c r="AI969" i="7"/>
  <c r="AI934" i="7"/>
  <c r="AI868" i="7"/>
  <c r="B878" i="7"/>
  <c r="K30" i="7"/>
  <c r="K19" i="7"/>
  <c r="K20" i="7" s="1"/>
  <c r="B882" i="7"/>
  <c r="P19" i="7"/>
  <c r="P20" i="7" s="1"/>
  <c r="P30" i="7"/>
  <c r="J1017" i="7"/>
  <c r="AI937" i="7"/>
  <c r="AI972" i="7"/>
  <c r="AI871" i="7"/>
  <c r="G1010" i="7"/>
  <c r="AG930" i="7"/>
  <c r="AG965" i="7"/>
  <c r="AR906" i="7"/>
  <c r="E937" i="7"/>
  <c r="E909" i="7"/>
  <c r="D901" i="7"/>
  <c r="AQ898" i="7"/>
  <c r="D929" i="7"/>
  <c r="AJ941" i="7"/>
  <c r="T1012" i="7"/>
  <c r="U1012" i="7"/>
  <c r="AD973" i="7"/>
  <c r="AS973" i="7" s="1"/>
  <c r="R938" i="7"/>
  <c r="B966" i="7" s="1"/>
  <c r="AD938" i="7"/>
  <c r="AS938" i="7" s="1"/>
  <c r="R1045" i="7"/>
  <c r="C935" i="7"/>
  <c r="C907" i="7"/>
  <c r="AP904" i="7"/>
  <c r="C939" i="7"/>
  <c r="C911" i="7"/>
  <c r="AP908" i="7"/>
  <c r="D874" i="7"/>
  <c r="F132" i="7"/>
  <c r="I131" i="7"/>
  <c r="F64" i="7"/>
  <c r="AI1018" i="7"/>
  <c r="AI1030" i="7"/>
  <c r="AI1023" i="7"/>
  <c r="AI1021" i="7"/>
  <c r="AI1019" i="7"/>
  <c r="AI1028" i="7"/>
  <c r="AI1026" i="7"/>
  <c r="AI1031" i="7"/>
  <c r="AI1029" i="7"/>
  <c r="AI1024" i="7"/>
  <c r="AI1022" i="7"/>
  <c r="AI1020" i="7"/>
  <c r="AI1015" i="7"/>
  <c r="AI1025" i="7"/>
  <c r="AI1009" i="7"/>
  <c r="AI1010" i="7"/>
  <c r="AI1027" i="7"/>
  <c r="AI1012" i="7"/>
  <c r="AI1011" i="7"/>
  <c r="AI1014" i="7"/>
  <c r="AI1017" i="7"/>
  <c r="AI1016" i="7"/>
  <c r="AI1013" i="7"/>
  <c r="AI1008" i="7"/>
  <c r="C873" i="7"/>
  <c r="D65" i="7"/>
  <c r="D29" i="7"/>
  <c r="E934" i="7"/>
  <c r="AR903" i="7"/>
  <c r="E906" i="7"/>
  <c r="J1011" i="7"/>
  <c r="AI931" i="7"/>
  <c r="AI966" i="7"/>
  <c r="AI865" i="7"/>
  <c r="C908" i="7"/>
  <c r="C936" i="7"/>
  <c r="AP905" i="7"/>
  <c r="T1018" i="7"/>
  <c r="U1018" i="7"/>
  <c r="J1008" i="7"/>
  <c r="AI963" i="7"/>
  <c r="H941" i="7"/>
  <c r="AI928" i="7"/>
  <c r="AI941" i="7" s="1"/>
  <c r="AI862" i="7"/>
  <c r="AF974" i="7"/>
  <c r="F1019" i="7"/>
  <c r="AF939" i="7"/>
  <c r="F1016" i="7"/>
  <c r="AF971" i="7"/>
  <c r="AF936" i="7"/>
  <c r="E928" i="7"/>
  <c r="AR897" i="7"/>
  <c r="E900" i="7"/>
  <c r="E884" i="7"/>
  <c r="D880" i="7"/>
  <c r="N132" i="7"/>
  <c r="Q131" i="7"/>
  <c r="N64" i="7"/>
  <c r="D902" i="7"/>
  <c r="D930" i="7"/>
  <c r="AQ899" i="7"/>
  <c r="AI1032" i="7" l="1"/>
  <c r="G1008" i="7"/>
  <c r="AG963" i="7"/>
  <c r="E941" i="7"/>
  <c r="AG928" i="7"/>
  <c r="B873" i="7"/>
  <c r="D19" i="7"/>
  <c r="D20" i="7" s="1"/>
  <c r="D30" i="7"/>
  <c r="G1017" i="7"/>
  <c r="AG972" i="7"/>
  <c r="AG937" i="7"/>
  <c r="B872" i="7"/>
  <c r="C30" i="7"/>
  <c r="C19" i="7"/>
  <c r="C20" i="7" s="1"/>
  <c r="C960" i="7"/>
  <c r="C987" i="7" s="1"/>
  <c r="B987" i="7"/>
  <c r="C877" i="7"/>
  <c r="M64" i="7"/>
  <c r="J65" i="7"/>
  <c r="J29" i="7"/>
  <c r="AI976" i="7"/>
  <c r="C930" i="7"/>
  <c r="C902" i="7"/>
  <c r="AP899" i="7"/>
  <c r="C929" i="7"/>
  <c r="AP898" i="7"/>
  <c r="C901" i="7"/>
  <c r="C880" i="7"/>
  <c r="N65" i="7"/>
  <c r="Q64" i="7"/>
  <c r="N29" i="7"/>
  <c r="C874" i="7"/>
  <c r="I64" i="7"/>
  <c r="F65" i="7"/>
  <c r="F29" i="7"/>
  <c r="AO908" i="7"/>
  <c r="AT908" i="7" s="1"/>
  <c r="B911" i="7"/>
  <c r="B939" i="7"/>
  <c r="AG873" i="7"/>
  <c r="AH873" i="7" s="1"/>
  <c r="AJ873" i="7" s="1"/>
  <c r="AL873" i="7" s="1"/>
  <c r="AN873" i="7"/>
  <c r="B936" i="7"/>
  <c r="AO905" i="7"/>
  <c r="AT905" i="7" s="1"/>
  <c r="AG870" i="7"/>
  <c r="AH870" i="7" s="1"/>
  <c r="AJ870" i="7" s="1"/>
  <c r="AL870" i="7" s="1"/>
  <c r="B908" i="7"/>
  <c r="AN870" i="7"/>
  <c r="E1019" i="7"/>
  <c r="AE974" i="7"/>
  <c r="AE939" i="7"/>
  <c r="D937" i="7"/>
  <c r="D909" i="7"/>
  <c r="AQ906" i="7"/>
  <c r="E1015" i="7"/>
  <c r="AE935" i="7"/>
  <c r="AE970" i="7"/>
  <c r="F1009" i="7"/>
  <c r="AF964" i="7"/>
  <c r="AF929" i="7"/>
  <c r="AG1027" i="7"/>
  <c r="AG1016" i="7"/>
  <c r="AG1025" i="7"/>
  <c r="AG1017" i="7"/>
  <c r="AG1018" i="7"/>
  <c r="AG1030" i="7"/>
  <c r="AG1023" i="7"/>
  <c r="AG1021" i="7"/>
  <c r="AG1019" i="7"/>
  <c r="AG1028" i="7"/>
  <c r="AG1026" i="7"/>
  <c r="AG1031" i="7"/>
  <c r="AG1029" i="7"/>
  <c r="AG1024" i="7"/>
  <c r="AG1022" i="7"/>
  <c r="AG1020" i="7"/>
  <c r="AG1008" i="7"/>
  <c r="AG1032" i="7" s="1"/>
  <c r="AG1012" i="7"/>
  <c r="AG1015" i="7"/>
  <c r="AG1013" i="7"/>
  <c r="AG1011" i="7"/>
  <c r="AG1014" i="7"/>
  <c r="AG1010" i="7"/>
  <c r="AG1009" i="7"/>
  <c r="D934" i="7"/>
  <c r="AQ903" i="7"/>
  <c r="D906" i="7"/>
  <c r="AG966" i="7"/>
  <c r="AG931" i="7"/>
  <c r="G1011" i="7"/>
  <c r="C871" i="7"/>
  <c r="E64" i="7"/>
  <c r="R64" i="7" s="1"/>
  <c r="B65" i="7"/>
  <c r="B29" i="7"/>
  <c r="B933" i="7"/>
  <c r="AO902" i="7"/>
  <c r="AT902" i="7" s="1"/>
  <c r="B905" i="7"/>
  <c r="AG867" i="7"/>
  <c r="AH867" i="7" s="1"/>
  <c r="AJ867" i="7" s="1"/>
  <c r="AL867" i="7" s="1"/>
  <c r="AN867" i="7"/>
  <c r="D931" i="7"/>
  <c r="AQ900" i="7"/>
  <c r="D903" i="7"/>
  <c r="D966" i="7"/>
  <c r="AU938" i="7"/>
  <c r="B907" i="7"/>
  <c r="AG869" i="7"/>
  <c r="AH869" i="7" s="1"/>
  <c r="AJ869" i="7" s="1"/>
  <c r="AL869" i="7" s="1"/>
  <c r="B935" i="7"/>
  <c r="AO904" i="7"/>
  <c r="AT904" i="7" s="1"/>
  <c r="AN869" i="7"/>
  <c r="E1013" i="7"/>
  <c r="AE968" i="7"/>
  <c r="AE933" i="7"/>
  <c r="R131" i="7"/>
  <c r="F1010" i="7"/>
  <c r="AF965" i="7"/>
  <c r="AF930" i="7"/>
  <c r="AR910" i="7"/>
  <c r="AI875" i="7"/>
  <c r="E1016" i="7"/>
  <c r="AE971" i="7"/>
  <c r="AE936" i="7"/>
  <c r="G1014" i="7"/>
  <c r="AG969" i="7"/>
  <c r="AG934" i="7"/>
  <c r="B993" i="7"/>
  <c r="C966" i="7"/>
  <c r="C993" i="7" s="1"/>
  <c r="D960" i="7"/>
  <c r="AU932" i="7"/>
  <c r="D928" i="7"/>
  <c r="D884" i="7"/>
  <c r="D900" i="7"/>
  <c r="AQ897" i="7"/>
  <c r="F1008" i="7" l="1"/>
  <c r="AF928" i="7"/>
  <c r="D941" i="7"/>
  <c r="AF963" i="7"/>
  <c r="B871" i="7"/>
  <c r="B30" i="7"/>
  <c r="E29" i="7"/>
  <c r="B19" i="7"/>
  <c r="AQ910" i="7"/>
  <c r="AD970" i="7"/>
  <c r="AS970" i="7" s="1"/>
  <c r="AD935" i="7"/>
  <c r="AS935" i="7" s="1"/>
  <c r="R935" i="7"/>
  <c r="B963" i="7" s="1"/>
  <c r="R1042" i="7"/>
  <c r="AP897" i="7"/>
  <c r="C900" i="7"/>
  <c r="C928" i="7"/>
  <c r="C884" i="7"/>
  <c r="C903" i="7"/>
  <c r="AP900" i="7"/>
  <c r="C931" i="7"/>
  <c r="E960" i="7"/>
  <c r="E987" i="7" s="1"/>
  <c r="B880" i="7"/>
  <c r="N30" i="7"/>
  <c r="N19" i="7"/>
  <c r="Q29" i="7"/>
  <c r="U1019" i="7"/>
  <c r="T1019" i="7"/>
  <c r="AD974" i="7"/>
  <c r="AS974" i="7" s="1"/>
  <c r="AD939" i="7"/>
  <c r="AS939" i="7" s="1"/>
  <c r="R939" i="7"/>
  <c r="B967" i="7" s="1"/>
  <c r="R1046" i="7"/>
  <c r="E1010" i="7"/>
  <c r="AE965" i="7"/>
  <c r="AE930" i="7"/>
  <c r="AF1031" i="7"/>
  <c r="AF1029" i="7"/>
  <c r="AF1024" i="7"/>
  <c r="AF1022" i="7"/>
  <c r="AF1020" i="7"/>
  <c r="AF1027" i="7"/>
  <c r="AF1016" i="7"/>
  <c r="AF1014" i="7"/>
  <c r="AF1025" i="7"/>
  <c r="AF1017" i="7"/>
  <c r="AF1030" i="7"/>
  <c r="AF1023" i="7"/>
  <c r="AF1021" i="7"/>
  <c r="AF1019" i="7"/>
  <c r="AF1028" i="7"/>
  <c r="AF1026" i="7"/>
  <c r="AF1018" i="7"/>
  <c r="AF1013" i="7"/>
  <c r="AF1011" i="7"/>
  <c r="AF1015" i="7"/>
  <c r="AF1012" i="7"/>
  <c r="AF1010" i="7"/>
  <c r="AF1008" i="7"/>
  <c r="AF1009" i="7"/>
  <c r="D987" i="7"/>
  <c r="F960" i="7"/>
  <c r="B930" i="7"/>
  <c r="B902" i="7"/>
  <c r="AG864" i="7"/>
  <c r="AH864" i="7" s="1"/>
  <c r="AJ864" i="7" s="1"/>
  <c r="AL864" i="7" s="1"/>
  <c r="AN864" i="7"/>
  <c r="AO899" i="7"/>
  <c r="AT899" i="7" s="1"/>
  <c r="E966" i="7"/>
  <c r="E993" i="7" s="1"/>
  <c r="U1016" i="7"/>
  <c r="T1016" i="7"/>
  <c r="D993" i="7"/>
  <c r="F966" i="7"/>
  <c r="AD968" i="7"/>
  <c r="AS968" i="7" s="1"/>
  <c r="R933" i="7"/>
  <c r="B961" i="7" s="1"/>
  <c r="AD933" i="7"/>
  <c r="AS933" i="7" s="1"/>
  <c r="R1040" i="7"/>
  <c r="V1015" i="7"/>
  <c r="U1015" i="7"/>
  <c r="T1015" i="7"/>
  <c r="AP906" i="7"/>
  <c r="C937" i="7"/>
  <c r="C909" i="7"/>
  <c r="B877" i="7"/>
  <c r="M29" i="7"/>
  <c r="J30" i="7"/>
  <c r="J19" i="7"/>
  <c r="AG941" i="7"/>
  <c r="B874" i="7"/>
  <c r="F19" i="7"/>
  <c r="I29" i="7"/>
  <c r="F30" i="7"/>
  <c r="B929" i="7"/>
  <c r="AO898" i="7"/>
  <c r="AT898" i="7" s="1"/>
  <c r="AN863" i="7"/>
  <c r="B901" i="7"/>
  <c r="AG863" i="7"/>
  <c r="AH863" i="7" s="1"/>
  <c r="AJ863" i="7" s="1"/>
  <c r="AL863" i="7" s="1"/>
  <c r="AF969" i="7"/>
  <c r="F1014" i="7"/>
  <c r="AF934" i="7"/>
  <c r="AG976" i="7"/>
  <c r="T1013" i="7"/>
  <c r="V1013" i="7"/>
  <c r="U1013" i="7"/>
  <c r="F1011" i="7"/>
  <c r="AF931" i="7"/>
  <c r="AF966" i="7"/>
  <c r="F1017" i="7"/>
  <c r="AF972" i="7"/>
  <c r="AF937" i="7"/>
  <c r="AD971" i="7"/>
  <c r="AS971" i="7" s="1"/>
  <c r="R936" i="7"/>
  <c r="B964" i="7" s="1"/>
  <c r="AD936" i="7"/>
  <c r="AS936" i="7" s="1"/>
  <c r="R1043" i="7"/>
  <c r="E1009" i="7"/>
  <c r="AE964" i="7"/>
  <c r="AE929" i="7"/>
  <c r="C906" i="7"/>
  <c r="C934" i="7"/>
  <c r="AP903" i="7"/>
  <c r="AF1032" i="7" l="1"/>
  <c r="T1009" i="7"/>
  <c r="U1009" i="7"/>
  <c r="B988" i="7"/>
  <c r="C961" i="7"/>
  <c r="C988" i="7" s="1"/>
  <c r="AE1031" i="7"/>
  <c r="AS1031" i="7" s="1"/>
  <c r="AE1029" i="7"/>
  <c r="AS1029" i="7" s="1"/>
  <c r="AE1024" i="7"/>
  <c r="AS1024" i="7" s="1"/>
  <c r="AE1022" i="7"/>
  <c r="AS1022" i="7" s="1"/>
  <c r="AE1020" i="7"/>
  <c r="AS1020" i="7" s="1"/>
  <c r="AE1015" i="7"/>
  <c r="AS1015" i="7" s="1"/>
  <c r="AE1027" i="7"/>
  <c r="AS1027" i="7" s="1"/>
  <c r="AE1016" i="7"/>
  <c r="AS1016" i="7" s="1"/>
  <c r="AE1025" i="7"/>
  <c r="AS1025" i="7" s="1"/>
  <c r="AE1018" i="7"/>
  <c r="AS1018" i="7" s="1"/>
  <c r="AE1030" i="7"/>
  <c r="AS1030" i="7" s="1"/>
  <c r="AE1023" i="7"/>
  <c r="AS1023" i="7" s="1"/>
  <c r="AE1021" i="7"/>
  <c r="AS1021" i="7" s="1"/>
  <c r="AE1019" i="7"/>
  <c r="AS1019" i="7" s="1"/>
  <c r="AE1028" i="7"/>
  <c r="AS1028" i="7" s="1"/>
  <c r="AE1026" i="7"/>
  <c r="AS1026" i="7" s="1"/>
  <c r="AE1014" i="7"/>
  <c r="AS1014" i="7" s="1"/>
  <c r="AE1010" i="7"/>
  <c r="AS1010" i="7" s="1"/>
  <c r="AE1013" i="7"/>
  <c r="AS1013" i="7" s="1"/>
  <c r="AE1012" i="7"/>
  <c r="AS1012" i="7" s="1"/>
  <c r="AE1011" i="7"/>
  <c r="AS1011" i="7" s="1"/>
  <c r="AE1017" i="7"/>
  <c r="AS1017" i="7" s="1"/>
  <c r="AE1008" i="7"/>
  <c r="AE1009" i="7"/>
  <c r="AS1009" i="7" s="1"/>
  <c r="U1010" i="7"/>
  <c r="T1010" i="7"/>
  <c r="N20" i="7"/>
  <c r="Q20" i="7" s="1"/>
  <c r="Q19" i="7"/>
  <c r="E1008" i="7"/>
  <c r="AE963" i="7"/>
  <c r="C941" i="7"/>
  <c r="AE928" i="7"/>
  <c r="E19" i="7"/>
  <c r="B20" i="7"/>
  <c r="E20" i="7" s="1"/>
  <c r="F20" i="7"/>
  <c r="I20" i="7" s="1"/>
  <c r="I19" i="7"/>
  <c r="E1017" i="7"/>
  <c r="AE972" i="7"/>
  <c r="AE937" i="7"/>
  <c r="R29" i="7"/>
  <c r="B903" i="7"/>
  <c r="B931" i="7"/>
  <c r="AO900" i="7"/>
  <c r="AT900" i="7" s="1"/>
  <c r="AN865" i="7"/>
  <c r="AG865" i="7"/>
  <c r="AH865" i="7" s="1"/>
  <c r="AJ865" i="7" s="1"/>
  <c r="AL865" i="7" s="1"/>
  <c r="F993" i="7"/>
  <c r="P966" i="7"/>
  <c r="B994" i="7"/>
  <c r="C967" i="7"/>
  <c r="C994" i="7" s="1"/>
  <c r="B937" i="7"/>
  <c r="B909" i="7"/>
  <c r="AG871" i="7"/>
  <c r="AH871" i="7" s="1"/>
  <c r="AJ871" i="7" s="1"/>
  <c r="AL871" i="7" s="1"/>
  <c r="AN871" i="7"/>
  <c r="AO906" i="7"/>
  <c r="AT906" i="7" s="1"/>
  <c r="AP910" i="7"/>
  <c r="B991" i="7"/>
  <c r="E964" i="7"/>
  <c r="E991" i="7" s="1"/>
  <c r="C964" i="7"/>
  <c r="C991" i="7" s="1"/>
  <c r="R930" i="7"/>
  <c r="B958" i="7" s="1"/>
  <c r="AD930" i="7"/>
  <c r="AS930" i="7" s="1"/>
  <c r="AD965" i="7"/>
  <c r="AS965" i="7" s="1"/>
  <c r="R1037" i="7"/>
  <c r="AU939" i="7"/>
  <c r="D967" i="7"/>
  <c r="B928" i="7"/>
  <c r="B900" i="7"/>
  <c r="AO897" i="7"/>
  <c r="B884" i="7"/>
  <c r="AN862" i="7"/>
  <c r="AG862" i="7"/>
  <c r="E1014" i="7"/>
  <c r="AE969" i="7"/>
  <c r="AE934" i="7"/>
  <c r="M19" i="7"/>
  <c r="J20" i="7"/>
  <c r="M20" i="7" s="1"/>
  <c r="F987" i="7"/>
  <c r="P960" i="7"/>
  <c r="E1011" i="7"/>
  <c r="AE931" i="7"/>
  <c r="AE966" i="7"/>
  <c r="B990" i="7"/>
  <c r="E963" i="7"/>
  <c r="E990" i="7" s="1"/>
  <c r="C963" i="7"/>
  <c r="C990" i="7" s="1"/>
  <c r="AF976" i="7"/>
  <c r="AU935" i="7"/>
  <c r="D963" i="7"/>
  <c r="AD929" i="7"/>
  <c r="AS929" i="7" s="1"/>
  <c r="R929" i="7"/>
  <c r="B957" i="7" s="1"/>
  <c r="AD964" i="7"/>
  <c r="AS964" i="7" s="1"/>
  <c r="R1036" i="7"/>
  <c r="AF941" i="7"/>
  <c r="D964" i="7"/>
  <c r="AU936" i="7"/>
  <c r="B934" i="7"/>
  <c r="B906" i="7"/>
  <c r="AG868" i="7"/>
  <c r="AH868" i="7" s="1"/>
  <c r="AJ868" i="7" s="1"/>
  <c r="AL868" i="7" s="1"/>
  <c r="AO903" i="7"/>
  <c r="AT903" i="7" s="1"/>
  <c r="AN868" i="7"/>
  <c r="D961" i="7"/>
  <c r="AU933" i="7"/>
  <c r="AD972" i="7" l="1"/>
  <c r="AS972" i="7" s="1"/>
  <c r="AD937" i="7"/>
  <c r="AS937" i="7" s="1"/>
  <c r="R937" i="7"/>
  <c r="B965" i="7" s="1"/>
  <c r="R1044" i="7"/>
  <c r="AD963" i="7"/>
  <c r="B941" i="7"/>
  <c r="R1047" i="7" s="1"/>
  <c r="R928" i="7"/>
  <c r="AD928" i="7"/>
  <c r="R1035" i="7"/>
  <c r="AD966" i="7"/>
  <c r="AS966" i="7" s="1"/>
  <c r="AD931" i="7"/>
  <c r="AS931" i="7" s="1"/>
  <c r="R931" i="7"/>
  <c r="B959" i="7" s="1"/>
  <c r="R1038" i="7"/>
  <c r="R20" i="7"/>
  <c r="B984" i="7"/>
  <c r="C957" i="7"/>
  <c r="C984" i="7" s="1"/>
  <c r="D994" i="7"/>
  <c r="E967" i="7"/>
  <c r="E994" i="7" s="1"/>
  <c r="R19" i="7"/>
  <c r="D957" i="7"/>
  <c r="AU929" i="7"/>
  <c r="T1014" i="7"/>
  <c r="V1014" i="7"/>
  <c r="U1014" i="7"/>
  <c r="AE941" i="7"/>
  <c r="AD969" i="7"/>
  <c r="AS969" i="7" s="1"/>
  <c r="R934" i="7"/>
  <c r="B962" i="7" s="1"/>
  <c r="AD934" i="7"/>
  <c r="AS934" i="7" s="1"/>
  <c r="R1041" i="7"/>
  <c r="D990" i="7"/>
  <c r="F963" i="7"/>
  <c r="AG875" i="7"/>
  <c r="AH862" i="7"/>
  <c r="C1094" i="7"/>
  <c r="E1094" i="7"/>
  <c r="P993" i="7"/>
  <c r="R966" i="7"/>
  <c r="Q966" i="7"/>
  <c r="AE1032" i="7"/>
  <c r="AS1008" i="7"/>
  <c r="E961" i="7"/>
  <c r="E988" i="7" s="1"/>
  <c r="U1011" i="7"/>
  <c r="T1011" i="7"/>
  <c r="E1088" i="7"/>
  <c r="C1088" i="7"/>
  <c r="P987" i="7"/>
  <c r="Q960" i="7"/>
  <c r="R960" i="7"/>
  <c r="AE976" i="7"/>
  <c r="D991" i="7"/>
  <c r="F964" i="7"/>
  <c r="D958" i="7"/>
  <c r="AU930" i="7"/>
  <c r="U1017" i="7"/>
  <c r="T1017" i="7"/>
  <c r="T1008" i="7"/>
  <c r="U1008" i="7"/>
  <c r="D988" i="7"/>
  <c r="F961" i="7"/>
  <c r="AO910" i="7"/>
  <c r="AT897" i="7"/>
  <c r="AT910" i="7" s="1"/>
  <c r="B985" i="7"/>
  <c r="C958" i="7"/>
  <c r="C985" i="7" s="1"/>
  <c r="D985" i="7" l="1"/>
  <c r="D984" i="7"/>
  <c r="P964" i="7"/>
  <c r="F991" i="7"/>
  <c r="F967" i="7"/>
  <c r="R993" i="7"/>
  <c r="Q993" i="7"/>
  <c r="D962" i="7"/>
  <c r="AU934" i="7"/>
  <c r="AS928" i="7"/>
  <c r="AD941" i="7"/>
  <c r="B989" i="7"/>
  <c r="C962" i="7"/>
  <c r="C989" i="7" s="1"/>
  <c r="R941" i="7"/>
  <c r="B956" i="7"/>
  <c r="Q987" i="7"/>
  <c r="R987" i="7"/>
  <c r="P961" i="7"/>
  <c r="F988" i="7"/>
  <c r="AJ862" i="7"/>
  <c r="AH875" i="7"/>
  <c r="E957" i="7"/>
  <c r="E984" i="7" s="1"/>
  <c r="AD976" i="7"/>
  <c r="AS963" i="7"/>
  <c r="AS976" i="7" s="1"/>
  <c r="C965" i="7"/>
  <c r="C992" i="7" s="1"/>
  <c r="B992" i="7"/>
  <c r="AS1032" i="7"/>
  <c r="B986" i="7"/>
  <c r="C959" i="7"/>
  <c r="C986" i="7" s="1"/>
  <c r="E959" i="7"/>
  <c r="E986" i="7" s="1"/>
  <c r="D965" i="7"/>
  <c r="AU937" i="7"/>
  <c r="E958" i="7"/>
  <c r="E985" i="7" s="1"/>
  <c r="F990" i="7"/>
  <c r="P963" i="7"/>
  <c r="D959" i="7"/>
  <c r="AU931" i="7"/>
  <c r="AT1026" i="7" l="1"/>
  <c r="AU1026" i="7" s="1"/>
  <c r="AX1026" i="7" s="1"/>
  <c r="AT1017" i="7"/>
  <c r="AU1017" i="7" s="1"/>
  <c r="AX1017" i="7" s="1"/>
  <c r="AT1021" i="7"/>
  <c r="AU1021" i="7" s="1"/>
  <c r="AX1021" i="7" s="1"/>
  <c r="AT1024" i="7"/>
  <c r="AU1024" i="7" s="1"/>
  <c r="AX1024" i="7" s="1"/>
  <c r="AT1029" i="7"/>
  <c r="AU1029" i="7" s="1"/>
  <c r="AX1029" i="7" s="1"/>
  <c r="AT1023" i="7"/>
  <c r="AU1023" i="7" s="1"/>
  <c r="AX1023" i="7" s="1"/>
  <c r="AT1014" i="7"/>
  <c r="AU1014" i="7" s="1"/>
  <c r="AX1014" i="7" s="1"/>
  <c r="AT1016" i="7"/>
  <c r="AU1016" i="7" s="1"/>
  <c r="AX1016" i="7" s="1"/>
  <c r="AT1019" i="7"/>
  <c r="AU1019" i="7" s="1"/>
  <c r="AX1019" i="7" s="1"/>
  <c r="AT1020" i="7"/>
  <c r="AU1020" i="7" s="1"/>
  <c r="AX1020" i="7" s="1"/>
  <c r="AT1012" i="7"/>
  <c r="AU1012" i="7" s="1"/>
  <c r="AX1012" i="7" s="1"/>
  <c r="AT1028" i="7"/>
  <c r="AU1028" i="7" s="1"/>
  <c r="AX1028" i="7" s="1"/>
  <c r="AT1025" i="7"/>
  <c r="AU1025" i="7" s="1"/>
  <c r="AX1025" i="7" s="1"/>
  <c r="AT1015" i="7"/>
  <c r="AU1015" i="7" s="1"/>
  <c r="AX1015" i="7" s="1"/>
  <c r="AT1011" i="7"/>
  <c r="AU1011" i="7" s="1"/>
  <c r="AX1011" i="7" s="1"/>
  <c r="AT1013" i="7"/>
  <c r="AU1013" i="7" s="1"/>
  <c r="AX1013" i="7" s="1"/>
  <c r="AT1010" i="7"/>
  <c r="AU1010" i="7" s="1"/>
  <c r="AX1010" i="7" s="1"/>
  <c r="AT1027" i="7"/>
  <c r="AU1027" i="7" s="1"/>
  <c r="AX1027" i="7" s="1"/>
  <c r="AT1031" i="7"/>
  <c r="AU1031" i="7" s="1"/>
  <c r="AX1031" i="7" s="1"/>
  <c r="AT1009" i="7"/>
  <c r="AU1009" i="7" s="1"/>
  <c r="AX1009" i="7" s="1"/>
  <c r="AT1030" i="7"/>
  <c r="AU1030" i="7" s="1"/>
  <c r="AX1030" i="7" s="1"/>
  <c r="AT1018" i="7"/>
  <c r="AU1018" i="7" s="1"/>
  <c r="AX1018" i="7" s="1"/>
  <c r="AT1022" i="7"/>
  <c r="AU1022" i="7" s="1"/>
  <c r="AX1022" i="7" s="1"/>
  <c r="AJ875" i="7"/>
  <c r="AL862" i="7"/>
  <c r="AL875" i="7" s="1"/>
  <c r="E962" i="7"/>
  <c r="E989" i="7" s="1"/>
  <c r="F994" i="7"/>
  <c r="P967" i="7"/>
  <c r="D992" i="7"/>
  <c r="E965" i="7"/>
  <c r="E992" i="7" s="1"/>
  <c r="E1089" i="7"/>
  <c r="C1089" i="7"/>
  <c r="P988" i="7"/>
  <c r="R961" i="7"/>
  <c r="Q961" i="7"/>
  <c r="C1092" i="7"/>
  <c r="E1092" i="7"/>
  <c r="P991" i="7"/>
  <c r="R964" i="7"/>
  <c r="Q964" i="7"/>
  <c r="AS941" i="7"/>
  <c r="AU941" i="7" s="1"/>
  <c r="D956" i="7"/>
  <c r="AU928" i="7"/>
  <c r="F957" i="7"/>
  <c r="F959" i="7"/>
  <c r="D986" i="7"/>
  <c r="B969" i="7"/>
  <c r="B983" i="7"/>
  <c r="C956" i="7"/>
  <c r="D989" i="7"/>
  <c r="F962" i="7"/>
  <c r="F958" i="7"/>
  <c r="E1091" i="7"/>
  <c r="C1091" i="7"/>
  <c r="P990" i="7"/>
  <c r="Q963" i="7"/>
  <c r="R963" i="7"/>
  <c r="AT1008" i="7"/>
  <c r="R991" i="7" l="1"/>
  <c r="Q991" i="7"/>
  <c r="F985" i="7"/>
  <c r="P958" i="7"/>
  <c r="F986" i="7"/>
  <c r="P959" i="7"/>
  <c r="F965" i="7"/>
  <c r="F989" i="7"/>
  <c r="P962" i="7"/>
  <c r="F984" i="7"/>
  <c r="P957" i="7"/>
  <c r="AT1032" i="7"/>
  <c r="AU1008" i="7"/>
  <c r="E1095" i="7"/>
  <c r="C1095" i="7"/>
  <c r="P994" i="7"/>
  <c r="R967" i="7"/>
  <c r="Q967" i="7"/>
  <c r="C983" i="7"/>
  <c r="C969" i="7"/>
  <c r="E969" i="7" s="1"/>
  <c r="D983" i="7"/>
  <c r="D969" i="7"/>
  <c r="F956" i="7"/>
  <c r="E956" i="7"/>
  <c r="E983" i="7" s="1"/>
  <c r="Q988" i="7"/>
  <c r="R988" i="7"/>
  <c r="R990" i="7"/>
  <c r="Q990" i="7"/>
  <c r="F969" i="7" l="1"/>
  <c r="P969" i="7" s="1"/>
  <c r="F983" i="7"/>
  <c r="P956" i="7"/>
  <c r="P965" i="7"/>
  <c r="F992" i="7"/>
  <c r="E1087" i="7"/>
  <c r="F1089" i="7" s="1"/>
  <c r="C1087" i="7"/>
  <c r="P986" i="7"/>
  <c r="R959" i="7"/>
  <c r="Q959" i="7"/>
  <c r="AU1032" i="7"/>
  <c r="AX1008" i="7"/>
  <c r="AX1032" i="7" s="1"/>
  <c r="E1086" i="7"/>
  <c r="C1086" i="7"/>
  <c r="P985" i="7"/>
  <c r="Q958" i="7"/>
  <c r="R958" i="7"/>
  <c r="E1085" i="7"/>
  <c r="C1085" i="7"/>
  <c r="P984" i="7"/>
  <c r="R957" i="7"/>
  <c r="Q957" i="7"/>
  <c r="E1090" i="7"/>
  <c r="F1092" i="7" s="1"/>
  <c r="C1090" i="7"/>
  <c r="P989" i="7"/>
  <c r="R962" i="7"/>
  <c r="Q962" i="7"/>
  <c r="R994" i="7"/>
  <c r="Q994" i="7"/>
  <c r="R986" i="7" l="1"/>
  <c r="Q986" i="7"/>
  <c r="Q985" i="7"/>
  <c r="R985" i="7"/>
  <c r="E1093" i="7"/>
  <c r="F1095" i="7" s="1"/>
  <c r="C1093" i="7"/>
  <c r="P992" i="7"/>
  <c r="R965" i="7"/>
  <c r="Q965" i="7"/>
  <c r="Q984" i="7"/>
  <c r="R984" i="7"/>
  <c r="E1084" i="7"/>
  <c r="C1084" i="7"/>
  <c r="C1098" i="7" s="1"/>
  <c r="P983" i="7"/>
  <c r="Q956" i="7"/>
  <c r="Q969" i="7" s="1"/>
  <c r="R956" i="7"/>
  <c r="R969" i="7" s="1"/>
  <c r="Q989" i="7"/>
  <c r="R989" i="7"/>
  <c r="Q992" i="7" l="1"/>
  <c r="R992" i="7"/>
  <c r="R983" i="7"/>
  <c r="Q983" i="7"/>
  <c r="F1086" i="7"/>
  <c r="E1098" i="7"/>
  <c r="O1128" i="6" l="1"/>
  <c r="K1128" i="6"/>
  <c r="G1128" i="6"/>
  <c r="Q1125" i="6"/>
  <c r="M1125" i="6"/>
  <c r="G1125" i="6"/>
  <c r="I1125" i="6" s="1"/>
  <c r="E1125" i="6"/>
  <c r="C1125" i="6"/>
  <c r="Q1124" i="6"/>
  <c r="M1124" i="6"/>
  <c r="G1124" i="6"/>
  <c r="I1124" i="6" s="1"/>
  <c r="E1124" i="6"/>
  <c r="F1125" i="6" s="1"/>
  <c r="C1124" i="6"/>
  <c r="Q1123" i="6"/>
  <c r="R1125" i="6" s="1"/>
  <c r="M1123" i="6"/>
  <c r="N1125" i="6" s="1"/>
  <c r="G1123" i="6"/>
  <c r="I1123" i="6" s="1"/>
  <c r="J1125" i="6" s="1"/>
  <c r="E1123" i="6"/>
  <c r="C1123" i="6"/>
  <c r="R1122" i="6"/>
  <c r="Q1122" i="6"/>
  <c r="N1122" i="6"/>
  <c r="M1122" i="6"/>
  <c r="I1122" i="6"/>
  <c r="G1122" i="6"/>
  <c r="E1122" i="6"/>
  <c r="F1122" i="6" s="1"/>
  <c r="C1122" i="6"/>
  <c r="Q1121" i="6"/>
  <c r="M1121" i="6"/>
  <c r="G1121" i="6"/>
  <c r="I1121" i="6" s="1"/>
  <c r="E1121" i="6"/>
  <c r="C1121" i="6"/>
  <c r="Q1120" i="6"/>
  <c r="M1120" i="6"/>
  <c r="I1120" i="6"/>
  <c r="J1122" i="6" s="1"/>
  <c r="G1120" i="6"/>
  <c r="E1120" i="6"/>
  <c r="C1120" i="6"/>
  <c r="Q1119" i="6"/>
  <c r="M1119" i="6"/>
  <c r="I1119" i="6"/>
  <c r="G1119" i="6"/>
  <c r="E1119" i="6"/>
  <c r="C1119" i="6"/>
  <c r="Q1118" i="6"/>
  <c r="M1118" i="6"/>
  <c r="I1118" i="6"/>
  <c r="G1118" i="6"/>
  <c r="E1118" i="6"/>
  <c r="C1118" i="6"/>
  <c r="Q1117" i="6"/>
  <c r="M1117" i="6"/>
  <c r="N1119" i="6" s="1"/>
  <c r="I1117" i="6"/>
  <c r="J1119" i="6" s="1"/>
  <c r="G1117" i="6"/>
  <c r="E1117" i="6"/>
  <c r="F1119" i="6" s="1"/>
  <c r="C1117" i="6"/>
  <c r="Q1116" i="6"/>
  <c r="M1116" i="6"/>
  <c r="G1116" i="6"/>
  <c r="I1116" i="6" s="1"/>
  <c r="E1116" i="6"/>
  <c r="C1116" i="6"/>
  <c r="Q1115" i="6"/>
  <c r="M1115" i="6"/>
  <c r="I1115" i="6"/>
  <c r="J1116" i="6" s="1"/>
  <c r="G1115" i="6"/>
  <c r="E1115" i="6"/>
  <c r="C1115" i="6"/>
  <c r="Q1114" i="6"/>
  <c r="R1116" i="6" s="1"/>
  <c r="M1114" i="6"/>
  <c r="I1114" i="6"/>
  <c r="E1114" i="6"/>
  <c r="F1116" i="6" s="1"/>
  <c r="C1114" i="6"/>
  <c r="G1108" i="6"/>
  <c r="O1107" i="6"/>
  <c r="K1107" i="6"/>
  <c r="C1107" i="6"/>
  <c r="I1104" i="6"/>
  <c r="J1101" i="6"/>
  <c r="Q1100" i="6"/>
  <c r="P1076" i="6"/>
  <c r="O1076" i="6"/>
  <c r="J1076" i="6"/>
  <c r="L1076" i="6" s="1"/>
  <c r="I1076" i="6"/>
  <c r="G1076" i="6"/>
  <c r="F1076" i="6"/>
  <c r="B1049" i="6" s="1"/>
  <c r="P1075" i="6"/>
  <c r="O1075" i="6" s="1"/>
  <c r="J1075" i="6"/>
  <c r="L1075" i="6" s="1"/>
  <c r="I1075" i="6"/>
  <c r="F1075" i="6"/>
  <c r="N1074" i="6"/>
  <c r="P1074" i="6" s="1"/>
  <c r="O1074" i="6" s="1"/>
  <c r="L1074" i="6"/>
  <c r="J1074" i="6"/>
  <c r="G1074" i="6" s="1"/>
  <c r="I1074" i="6"/>
  <c r="F1074" i="6" s="1"/>
  <c r="B1047" i="6" s="1"/>
  <c r="N1073" i="6"/>
  <c r="P1073" i="6" s="1"/>
  <c r="O1073" i="6" s="1"/>
  <c r="J1073" i="6"/>
  <c r="G1073" i="6" s="1"/>
  <c r="C1046" i="6" s="1"/>
  <c r="I1073" i="6"/>
  <c r="F1073" i="6" s="1"/>
  <c r="B1046" i="6" s="1"/>
  <c r="N1072" i="6"/>
  <c r="P1072" i="6" s="1"/>
  <c r="O1072" i="6" s="1"/>
  <c r="J1072" i="6"/>
  <c r="G1072" i="6" s="1"/>
  <c r="I1072" i="6"/>
  <c r="F1072" i="6" s="1"/>
  <c r="P1071" i="6"/>
  <c r="O1071" i="6"/>
  <c r="N1071" i="6"/>
  <c r="J1071" i="6"/>
  <c r="L1071" i="6" s="1"/>
  <c r="I1071" i="6"/>
  <c r="F1071" i="6"/>
  <c r="P1070" i="6"/>
  <c r="O1070" i="6"/>
  <c r="N1070" i="6"/>
  <c r="J1070" i="6"/>
  <c r="L1070" i="6" s="1"/>
  <c r="I1070" i="6"/>
  <c r="F1070" i="6"/>
  <c r="B1043" i="6" s="1"/>
  <c r="P1069" i="6"/>
  <c r="O1069" i="6"/>
  <c r="N1069" i="6"/>
  <c r="J1069" i="6"/>
  <c r="L1069" i="6" s="1"/>
  <c r="I1069" i="6"/>
  <c r="F1069" i="6"/>
  <c r="P1068" i="6"/>
  <c r="O1068" i="6"/>
  <c r="J1068" i="6"/>
  <c r="I1068" i="6"/>
  <c r="F1068" i="6" s="1"/>
  <c r="P1067" i="6"/>
  <c r="O1067" i="6" s="1"/>
  <c r="J1067" i="6"/>
  <c r="I1067" i="6"/>
  <c r="G1067" i="6"/>
  <c r="P1066" i="6"/>
  <c r="O1066" i="6"/>
  <c r="N1066" i="6"/>
  <c r="J1066" i="6"/>
  <c r="I1066" i="6"/>
  <c r="G1066" i="6"/>
  <c r="P1065" i="6"/>
  <c r="O1065" i="6" s="1"/>
  <c r="L1065" i="6"/>
  <c r="J1065" i="6"/>
  <c r="G1065" i="6" s="1"/>
  <c r="I1065" i="6"/>
  <c r="F1065" i="6" s="1"/>
  <c r="B1059" i="6"/>
  <c r="AW1056" i="6"/>
  <c r="B1056" i="6"/>
  <c r="Q1055" i="6"/>
  <c r="AW1051" i="6"/>
  <c r="C1049" i="6"/>
  <c r="B1048" i="6"/>
  <c r="AW1047" i="6"/>
  <c r="C1047" i="6"/>
  <c r="AD1046" i="6"/>
  <c r="AD1045" i="6"/>
  <c r="D1045" i="6"/>
  <c r="C1045" i="6"/>
  <c r="B1045" i="6"/>
  <c r="D1044" i="6"/>
  <c r="B1044" i="6"/>
  <c r="D1043" i="6"/>
  <c r="B1042" i="6"/>
  <c r="B1041" i="6"/>
  <c r="AW1040" i="6"/>
  <c r="C1040" i="6"/>
  <c r="C1039" i="6"/>
  <c r="AD1052" i="6" s="1"/>
  <c r="AW1038" i="6"/>
  <c r="C1038" i="6"/>
  <c r="B1038" i="6"/>
  <c r="AE1035" i="6"/>
  <c r="AW1042" i="6" s="1"/>
  <c r="B1034" i="6"/>
  <c r="B1031" i="6"/>
  <c r="Q1030" i="6"/>
  <c r="P1024" i="6"/>
  <c r="P1023" i="6"/>
  <c r="P1022" i="6"/>
  <c r="P1021" i="6"/>
  <c r="P1020" i="6"/>
  <c r="P1019" i="6"/>
  <c r="P1018" i="6"/>
  <c r="P1017" i="6"/>
  <c r="P1016" i="6"/>
  <c r="P1015" i="6"/>
  <c r="P1014" i="6"/>
  <c r="P1013" i="6"/>
  <c r="M1008" i="6"/>
  <c r="N999" i="6"/>
  <c r="L999" i="6"/>
  <c r="K999" i="6"/>
  <c r="I999" i="6"/>
  <c r="H999" i="6"/>
  <c r="R997" i="6"/>
  <c r="Q997" i="6"/>
  <c r="J997" i="6"/>
  <c r="R996" i="6"/>
  <c r="Q996" i="6"/>
  <c r="J996" i="6"/>
  <c r="R995" i="6"/>
  <c r="Q995" i="6"/>
  <c r="J995" i="6"/>
  <c r="R994" i="6"/>
  <c r="Q994" i="6"/>
  <c r="J994" i="6"/>
  <c r="Q993" i="6"/>
  <c r="R993" i="6" s="1"/>
  <c r="J993" i="6"/>
  <c r="R992" i="6"/>
  <c r="Q992" i="6"/>
  <c r="J992" i="6"/>
  <c r="AR991" i="6"/>
  <c r="AQ991" i="6"/>
  <c r="AP991" i="6"/>
  <c r="AO991" i="6"/>
  <c r="AN991" i="6"/>
  <c r="AM991" i="6"/>
  <c r="AL991" i="6"/>
  <c r="AK991" i="6"/>
  <c r="AJ991" i="6"/>
  <c r="AI991" i="6"/>
  <c r="AH991" i="6"/>
  <c r="AG991" i="6"/>
  <c r="AF991" i="6"/>
  <c r="AE991" i="6"/>
  <c r="AD991" i="6"/>
  <c r="Q991" i="6"/>
  <c r="R991" i="6" s="1"/>
  <c r="J991" i="6"/>
  <c r="R990" i="6"/>
  <c r="Q990" i="6"/>
  <c r="J990" i="6"/>
  <c r="Q989" i="6"/>
  <c r="R989" i="6" s="1"/>
  <c r="J989" i="6"/>
  <c r="Q988" i="6"/>
  <c r="R988" i="6" s="1"/>
  <c r="J988" i="6"/>
  <c r="R987" i="6"/>
  <c r="Q987" i="6"/>
  <c r="J987" i="6"/>
  <c r="R986" i="6"/>
  <c r="Q986" i="6"/>
  <c r="J986" i="6"/>
  <c r="AD981" i="6"/>
  <c r="AD978" i="6"/>
  <c r="B978" i="6"/>
  <c r="AR977" i="6"/>
  <c r="B977" i="6"/>
  <c r="Q976" i="6"/>
  <c r="F968" i="6"/>
  <c r="G962" i="6"/>
  <c r="AR956" i="6"/>
  <c r="AQ956" i="6"/>
  <c r="AP956" i="6"/>
  <c r="AO956" i="6"/>
  <c r="AN956" i="6"/>
  <c r="AM956" i="6"/>
  <c r="AL956" i="6"/>
  <c r="AK956" i="6"/>
  <c r="AJ956" i="6"/>
  <c r="AI956" i="6"/>
  <c r="AH956" i="6"/>
  <c r="AG956" i="6"/>
  <c r="AF956" i="6"/>
  <c r="AE956" i="6"/>
  <c r="AD956" i="6"/>
  <c r="B951" i="6"/>
  <c r="B948" i="6"/>
  <c r="Q947" i="6"/>
  <c r="AD946" i="6"/>
  <c r="AD943" i="6"/>
  <c r="AR942" i="6"/>
  <c r="AH937" i="6"/>
  <c r="AF937" i="6"/>
  <c r="AS936" i="6"/>
  <c r="AD936" i="6"/>
  <c r="AG935" i="6"/>
  <c r="AS934" i="6"/>
  <c r="AG934" i="6"/>
  <c r="AF934" i="6"/>
  <c r="AE934" i="6"/>
  <c r="AD934" i="6"/>
  <c r="AS932" i="6"/>
  <c r="AH932" i="6"/>
  <c r="AG932" i="6"/>
  <c r="AF932" i="6"/>
  <c r="AE932" i="6"/>
  <c r="AE931" i="6"/>
  <c r="AD931" i="6"/>
  <c r="AS929" i="6"/>
  <c r="AG929" i="6"/>
  <c r="AF929" i="6"/>
  <c r="AE929" i="6"/>
  <c r="AD929" i="6"/>
  <c r="AD928" i="6"/>
  <c r="AS927" i="6"/>
  <c r="AH927" i="6"/>
  <c r="AG927" i="6"/>
  <c r="AF927" i="6"/>
  <c r="AR925" i="6"/>
  <c r="AQ925" i="6"/>
  <c r="AP925" i="6"/>
  <c r="AO925" i="6"/>
  <c r="AG925" i="6"/>
  <c r="AF925" i="6"/>
  <c r="AE925" i="6"/>
  <c r="AD925" i="6"/>
  <c r="B925" i="6"/>
  <c r="B922" i="6"/>
  <c r="Q921" i="6"/>
  <c r="AR920" i="6"/>
  <c r="AG920" i="6"/>
  <c r="AS917" i="6"/>
  <c r="AH917" i="6"/>
  <c r="AS915" i="6"/>
  <c r="T912" i="6"/>
  <c r="G912" i="6"/>
  <c r="G969" i="6" s="1"/>
  <c r="F912" i="6"/>
  <c r="AD903" i="6" s="1"/>
  <c r="T911" i="6"/>
  <c r="G911" i="6"/>
  <c r="G968" i="6" s="1"/>
  <c r="F911" i="6"/>
  <c r="AG937" i="6" s="1"/>
  <c r="T910" i="6"/>
  <c r="G910" i="6"/>
  <c r="G967" i="6" s="1"/>
  <c r="F910" i="6"/>
  <c r="AH936" i="6" s="1"/>
  <c r="T909" i="6"/>
  <c r="AE900" i="6" s="1"/>
  <c r="AF900" i="6" s="1"/>
  <c r="G909" i="6"/>
  <c r="F909" i="6"/>
  <c r="AE935" i="6" s="1"/>
  <c r="T908" i="6"/>
  <c r="AE899" i="6" s="1"/>
  <c r="AF899" i="6" s="1"/>
  <c r="G908" i="6"/>
  <c r="F908" i="6"/>
  <c r="T907" i="6"/>
  <c r="G964" i="6" s="1"/>
  <c r="G907" i="6"/>
  <c r="F907" i="6"/>
  <c r="AD933" i="6" s="1"/>
  <c r="T906" i="6"/>
  <c r="F963" i="6" s="1"/>
  <c r="G906" i="6"/>
  <c r="F906" i="6"/>
  <c r="T905" i="6"/>
  <c r="G905" i="6"/>
  <c r="F905" i="6"/>
  <c r="T904" i="6"/>
  <c r="G904" i="6"/>
  <c r="F904" i="6"/>
  <c r="AE903" i="6"/>
  <c r="T903" i="6"/>
  <c r="AE894" i="6" s="1"/>
  <c r="AF894" i="6" s="1"/>
  <c r="G903" i="6"/>
  <c r="F903" i="6"/>
  <c r="AE902" i="6"/>
  <c r="T902" i="6"/>
  <c r="G902" i="6"/>
  <c r="F902" i="6"/>
  <c r="AO901" i="6"/>
  <c r="AF901" i="6"/>
  <c r="AE901" i="6"/>
  <c r="AD901" i="6"/>
  <c r="T901" i="6"/>
  <c r="AE892" i="6" s="1"/>
  <c r="G901" i="6"/>
  <c r="G958" i="6" s="1"/>
  <c r="F901" i="6"/>
  <c r="AO900" i="6"/>
  <c r="AD900" i="6"/>
  <c r="AO899" i="6"/>
  <c r="AD899" i="6"/>
  <c r="AO898" i="6"/>
  <c r="AD898" i="6"/>
  <c r="AF897" i="6"/>
  <c r="AE897" i="6"/>
  <c r="AD897" i="6"/>
  <c r="AO897" i="6" s="1"/>
  <c r="AE896" i="6"/>
  <c r="B896" i="6"/>
  <c r="AO895" i="6"/>
  <c r="AF895" i="6"/>
  <c r="AE895" i="6"/>
  <c r="AD895" i="6"/>
  <c r="AO894" i="6"/>
  <c r="AD894" i="6"/>
  <c r="AE893" i="6"/>
  <c r="AD893" i="6"/>
  <c r="B893" i="6"/>
  <c r="AD892" i="6"/>
  <c r="Q892" i="6"/>
  <c r="AF884" i="6"/>
  <c r="P884" i="6"/>
  <c r="H884" i="6"/>
  <c r="AS883" i="6"/>
  <c r="AN883" i="6"/>
  <c r="A874" i="6"/>
  <c r="A872" i="6"/>
  <c r="Q868" i="6"/>
  <c r="J864" i="6"/>
  <c r="K863" i="6"/>
  <c r="J863" i="6"/>
  <c r="I863" i="6"/>
  <c r="P862" i="6"/>
  <c r="O862" i="6"/>
  <c r="N862" i="6"/>
  <c r="Q862" i="6" s="1"/>
  <c r="M862" i="6"/>
  <c r="L862" i="6"/>
  <c r="K862" i="6"/>
  <c r="J862" i="6"/>
  <c r="H862" i="6"/>
  <c r="G862" i="6"/>
  <c r="F862" i="6"/>
  <c r="I862" i="6" s="1"/>
  <c r="E862" i="6"/>
  <c r="R862" i="6" s="1"/>
  <c r="D862" i="6"/>
  <c r="C862" i="6"/>
  <c r="B862" i="6"/>
  <c r="B863" i="6" s="1"/>
  <c r="P861" i="6"/>
  <c r="O861" i="6"/>
  <c r="N861" i="6"/>
  <c r="Q861" i="6" s="1"/>
  <c r="L861" i="6"/>
  <c r="M861" i="6" s="1"/>
  <c r="K861" i="6"/>
  <c r="J861" i="6"/>
  <c r="H861" i="6"/>
  <c r="G861" i="6"/>
  <c r="F861" i="6"/>
  <c r="D861" i="6"/>
  <c r="C861" i="6"/>
  <c r="B861" i="6"/>
  <c r="P860" i="6"/>
  <c r="P863" i="6" s="1"/>
  <c r="O860" i="6"/>
  <c r="O863" i="6" s="1"/>
  <c r="N860" i="6"/>
  <c r="N863" i="6" s="1"/>
  <c r="Q863" i="6" s="1"/>
  <c r="L860" i="6"/>
  <c r="K860" i="6"/>
  <c r="J860" i="6"/>
  <c r="H860" i="6"/>
  <c r="H863" i="6" s="1"/>
  <c r="G860" i="6"/>
  <c r="G863" i="6" s="1"/>
  <c r="F860" i="6"/>
  <c r="F863" i="6" s="1"/>
  <c r="D860" i="6"/>
  <c r="C860" i="6"/>
  <c r="B860" i="6"/>
  <c r="P859" i="6"/>
  <c r="O859" i="6"/>
  <c r="N859" i="6"/>
  <c r="L859" i="6"/>
  <c r="K859" i="6"/>
  <c r="J859" i="6"/>
  <c r="M859" i="6" s="1"/>
  <c r="H859" i="6"/>
  <c r="G859" i="6"/>
  <c r="F859" i="6"/>
  <c r="D859" i="6"/>
  <c r="C859" i="6"/>
  <c r="B859" i="6"/>
  <c r="Q858" i="6"/>
  <c r="P858" i="6"/>
  <c r="O858" i="6"/>
  <c r="N858" i="6"/>
  <c r="L858" i="6"/>
  <c r="K858" i="6"/>
  <c r="K864" i="6" s="1"/>
  <c r="K886" i="6" s="1"/>
  <c r="J858" i="6"/>
  <c r="M858" i="6" s="1"/>
  <c r="I858" i="6"/>
  <c r="H858" i="6"/>
  <c r="G858" i="6"/>
  <c r="F858" i="6"/>
  <c r="D858" i="6"/>
  <c r="C858" i="6"/>
  <c r="C864" i="6" s="1"/>
  <c r="C886" i="6" s="1"/>
  <c r="B858" i="6"/>
  <c r="Q857" i="6"/>
  <c r="P857" i="6"/>
  <c r="P864" i="6" s="1"/>
  <c r="P886" i="6" s="1"/>
  <c r="O857" i="6"/>
  <c r="N857" i="6"/>
  <c r="N864" i="6" s="1"/>
  <c r="N886" i="6" s="1"/>
  <c r="L857" i="6"/>
  <c r="K857" i="6"/>
  <c r="J857" i="6"/>
  <c r="H857" i="6"/>
  <c r="G857" i="6"/>
  <c r="G864" i="6" s="1"/>
  <c r="G886" i="6" s="1"/>
  <c r="F857" i="6"/>
  <c r="D857" i="6"/>
  <c r="C857" i="6"/>
  <c r="B857" i="6"/>
  <c r="Q855" i="6"/>
  <c r="N855" i="6"/>
  <c r="N884" i="6" s="1"/>
  <c r="Q884" i="6" s="1"/>
  <c r="D855" i="6"/>
  <c r="D884" i="6" s="1"/>
  <c r="P854" i="6"/>
  <c r="O854" i="6"/>
  <c r="N854" i="6"/>
  <c r="L854" i="6"/>
  <c r="K854" i="6"/>
  <c r="J854" i="6"/>
  <c r="J855" i="6" s="1"/>
  <c r="H854" i="6"/>
  <c r="G854" i="6"/>
  <c r="F854" i="6"/>
  <c r="D854" i="6"/>
  <c r="C854" i="6"/>
  <c r="B854" i="6"/>
  <c r="Q853" i="6"/>
  <c r="P853" i="6"/>
  <c r="P855" i="6" s="1"/>
  <c r="O853" i="6"/>
  <c r="O855" i="6" s="1"/>
  <c r="O884" i="6" s="1"/>
  <c r="N853" i="6"/>
  <c r="L853" i="6"/>
  <c r="J853" i="6"/>
  <c r="H853" i="6"/>
  <c r="H855" i="6" s="1"/>
  <c r="D853" i="6"/>
  <c r="C853" i="6"/>
  <c r="C855" i="6" s="1"/>
  <c r="C884" i="6" s="1"/>
  <c r="B853" i="6"/>
  <c r="P851" i="6"/>
  <c r="P882" i="6" s="1"/>
  <c r="K851" i="6"/>
  <c r="K882" i="6" s="1"/>
  <c r="J851" i="6"/>
  <c r="J882" i="6" s="1"/>
  <c r="H851" i="6"/>
  <c r="H882" i="6" s="1"/>
  <c r="C851" i="6"/>
  <c r="C882" i="6" s="1"/>
  <c r="B851" i="6"/>
  <c r="B882" i="6" s="1"/>
  <c r="Q850" i="6"/>
  <c r="P850" i="6"/>
  <c r="O850" i="6"/>
  <c r="N850" i="6"/>
  <c r="L850" i="6"/>
  <c r="L851" i="6" s="1"/>
  <c r="L882" i="6" s="1"/>
  <c r="K850" i="6"/>
  <c r="J850" i="6"/>
  <c r="I850" i="6"/>
  <c r="H850" i="6"/>
  <c r="G850" i="6"/>
  <c r="F850" i="6"/>
  <c r="D850" i="6"/>
  <c r="E850" i="6" s="1"/>
  <c r="C850" i="6"/>
  <c r="B850" i="6"/>
  <c r="P849" i="6"/>
  <c r="O849" i="6"/>
  <c r="N849" i="6"/>
  <c r="Q849" i="6" s="1"/>
  <c r="M849" i="6"/>
  <c r="L849" i="6"/>
  <c r="K849" i="6"/>
  <c r="J849" i="6"/>
  <c r="H849" i="6"/>
  <c r="G849" i="6"/>
  <c r="F849" i="6"/>
  <c r="I849" i="6" s="1"/>
  <c r="E849" i="6"/>
  <c r="D849" i="6"/>
  <c r="C849" i="6"/>
  <c r="B849" i="6"/>
  <c r="P848" i="6"/>
  <c r="O848" i="6"/>
  <c r="O851" i="6" s="1"/>
  <c r="O882" i="6" s="1"/>
  <c r="N848" i="6"/>
  <c r="M848" i="6"/>
  <c r="L848" i="6"/>
  <c r="K848" i="6"/>
  <c r="J848" i="6"/>
  <c r="H848" i="6"/>
  <c r="G848" i="6"/>
  <c r="G851" i="6" s="1"/>
  <c r="G882" i="6" s="1"/>
  <c r="F848" i="6"/>
  <c r="E848" i="6"/>
  <c r="D848" i="6"/>
  <c r="C848" i="6"/>
  <c r="B848" i="6"/>
  <c r="P846" i="6"/>
  <c r="H846" i="6"/>
  <c r="H880" i="6" s="1"/>
  <c r="Q845" i="6"/>
  <c r="P845" i="6"/>
  <c r="O845" i="6"/>
  <c r="N845" i="6"/>
  <c r="L845" i="6"/>
  <c r="K845" i="6"/>
  <c r="J845" i="6"/>
  <c r="M845" i="6" s="1"/>
  <c r="I845" i="6"/>
  <c r="H845" i="6"/>
  <c r="G845" i="6"/>
  <c r="F845" i="6"/>
  <c r="D845" i="6"/>
  <c r="C845" i="6"/>
  <c r="B845" i="6"/>
  <c r="E845" i="6" s="1"/>
  <c r="R845" i="6" s="1"/>
  <c r="Q844" i="6"/>
  <c r="P844" i="6"/>
  <c r="O844" i="6"/>
  <c r="N844" i="6"/>
  <c r="L844" i="6"/>
  <c r="K844" i="6"/>
  <c r="J844" i="6"/>
  <c r="M844" i="6" s="1"/>
  <c r="I844" i="6"/>
  <c r="H844" i="6"/>
  <c r="G844" i="6"/>
  <c r="F844" i="6"/>
  <c r="D844" i="6"/>
  <c r="C844" i="6"/>
  <c r="B844" i="6"/>
  <c r="E844" i="6" s="1"/>
  <c r="R844" i="6" s="1"/>
  <c r="P843" i="6"/>
  <c r="O843" i="6"/>
  <c r="N843" i="6"/>
  <c r="Q843" i="6" s="1"/>
  <c r="L843" i="6"/>
  <c r="K843" i="6"/>
  <c r="J843" i="6"/>
  <c r="M843" i="6" s="1"/>
  <c r="H843" i="6"/>
  <c r="G843" i="6"/>
  <c r="F843" i="6"/>
  <c r="I843" i="6" s="1"/>
  <c r="D843" i="6"/>
  <c r="C843" i="6"/>
  <c r="B843" i="6"/>
  <c r="Q842" i="6"/>
  <c r="P842" i="6"/>
  <c r="O842" i="6"/>
  <c r="N842" i="6"/>
  <c r="M842" i="6"/>
  <c r="L842" i="6"/>
  <c r="K842" i="6"/>
  <c r="J842" i="6"/>
  <c r="I842" i="6"/>
  <c r="H842" i="6"/>
  <c r="G842" i="6"/>
  <c r="F842" i="6"/>
  <c r="E842" i="6"/>
  <c r="R842" i="6" s="1"/>
  <c r="D842" i="6"/>
  <c r="C842" i="6"/>
  <c r="B842" i="6"/>
  <c r="P841" i="6"/>
  <c r="O841" i="6"/>
  <c r="N841" i="6"/>
  <c r="Q841" i="6" s="1"/>
  <c r="L841" i="6"/>
  <c r="M841" i="6" s="1"/>
  <c r="K841" i="6"/>
  <c r="J841" i="6"/>
  <c r="H841" i="6"/>
  <c r="G841" i="6"/>
  <c r="F841" i="6"/>
  <c r="I841" i="6" s="1"/>
  <c r="D841" i="6"/>
  <c r="E841" i="6" s="1"/>
  <c r="C841" i="6"/>
  <c r="B841" i="6"/>
  <c r="P840" i="6"/>
  <c r="O840" i="6"/>
  <c r="O846" i="6" s="1"/>
  <c r="N840" i="6"/>
  <c r="M840" i="6"/>
  <c r="L840" i="6"/>
  <c r="K840" i="6"/>
  <c r="K846" i="6" s="1"/>
  <c r="J840" i="6"/>
  <c r="J846" i="6" s="1"/>
  <c r="H840" i="6"/>
  <c r="G840" i="6"/>
  <c r="G846" i="6" s="1"/>
  <c r="F840" i="6"/>
  <c r="E840" i="6"/>
  <c r="D840" i="6"/>
  <c r="D846" i="6" s="1"/>
  <c r="C840" i="6"/>
  <c r="C846" i="6" s="1"/>
  <c r="B840" i="6"/>
  <c r="A833" i="6"/>
  <c r="A831" i="6"/>
  <c r="Q827" i="6"/>
  <c r="L822" i="6"/>
  <c r="L824" i="6" s="1"/>
  <c r="Q820" i="6"/>
  <c r="M820" i="6"/>
  <c r="I820" i="6"/>
  <c r="E820" i="6"/>
  <c r="R820" i="6" s="1"/>
  <c r="K819" i="6"/>
  <c r="K822" i="6" s="1"/>
  <c r="J819" i="6"/>
  <c r="P818" i="6"/>
  <c r="O818" i="6"/>
  <c r="Q818" i="6" s="1"/>
  <c r="N818" i="6"/>
  <c r="L818" i="6"/>
  <c r="K818" i="6"/>
  <c r="J818" i="6"/>
  <c r="H818" i="6"/>
  <c r="G818" i="6"/>
  <c r="I818" i="6" s="1"/>
  <c r="F818" i="6"/>
  <c r="D818" i="6"/>
  <c r="C818" i="6"/>
  <c r="C819" i="6" s="1"/>
  <c r="C822" i="6" s="1"/>
  <c r="B818" i="6"/>
  <c r="Q817" i="6"/>
  <c r="P817" i="6"/>
  <c r="O817" i="6"/>
  <c r="N817" i="6"/>
  <c r="L817" i="6"/>
  <c r="K817" i="6"/>
  <c r="M817" i="6" s="1"/>
  <c r="J817" i="6"/>
  <c r="I817" i="6"/>
  <c r="H817" i="6"/>
  <c r="G817" i="6"/>
  <c r="F817" i="6"/>
  <c r="D817" i="6"/>
  <c r="C817" i="6"/>
  <c r="E817" i="6" s="1"/>
  <c r="B817" i="6"/>
  <c r="Q814" i="6"/>
  <c r="M814" i="6"/>
  <c r="I814" i="6"/>
  <c r="E814" i="6"/>
  <c r="R814" i="6" s="1"/>
  <c r="Q813" i="6"/>
  <c r="R813" i="6" s="1"/>
  <c r="M813" i="6"/>
  <c r="I813" i="6"/>
  <c r="E813" i="6"/>
  <c r="Q811" i="6"/>
  <c r="M811" i="6"/>
  <c r="I811" i="6"/>
  <c r="E811" i="6"/>
  <c r="Q810" i="6"/>
  <c r="M810" i="6"/>
  <c r="I810" i="6"/>
  <c r="E810" i="6"/>
  <c r="R810" i="6" s="1"/>
  <c r="P807" i="6"/>
  <c r="Q807" i="6" s="1"/>
  <c r="O807" i="6"/>
  <c r="N807" i="6"/>
  <c r="L807" i="6"/>
  <c r="K807" i="6"/>
  <c r="J807" i="6"/>
  <c r="M807" i="6" s="1"/>
  <c r="I807" i="6"/>
  <c r="H807" i="6"/>
  <c r="G807" i="6"/>
  <c r="F807" i="6"/>
  <c r="D807" i="6"/>
  <c r="C807" i="6"/>
  <c r="B807" i="6"/>
  <c r="E807" i="6" s="1"/>
  <c r="R807" i="6" s="1"/>
  <c r="Q806" i="6"/>
  <c r="R806" i="6" s="1"/>
  <c r="M806" i="6"/>
  <c r="I806" i="6"/>
  <c r="E806" i="6"/>
  <c r="Q805" i="6"/>
  <c r="M805" i="6"/>
  <c r="I805" i="6"/>
  <c r="E805" i="6"/>
  <c r="Q804" i="6"/>
  <c r="M804" i="6"/>
  <c r="I804" i="6"/>
  <c r="E804" i="6"/>
  <c r="R804" i="6" s="1"/>
  <c r="Q803" i="6"/>
  <c r="R803" i="6" s="1"/>
  <c r="M803" i="6"/>
  <c r="I803" i="6"/>
  <c r="E803" i="6"/>
  <c r="Q801" i="6"/>
  <c r="M801" i="6"/>
  <c r="I801" i="6"/>
  <c r="E801" i="6"/>
  <c r="R801" i="6" s="1"/>
  <c r="R800" i="6"/>
  <c r="Q800" i="6"/>
  <c r="M800" i="6"/>
  <c r="I800" i="6"/>
  <c r="E800" i="6"/>
  <c r="Q797" i="6"/>
  <c r="P797" i="6"/>
  <c r="O797" i="6"/>
  <c r="N797" i="6"/>
  <c r="M797" i="6"/>
  <c r="L797" i="6"/>
  <c r="K797" i="6"/>
  <c r="J797" i="6"/>
  <c r="I797" i="6"/>
  <c r="H797" i="6"/>
  <c r="G797" i="6"/>
  <c r="F797" i="6"/>
  <c r="E797" i="6"/>
  <c r="D797" i="6"/>
  <c r="C797" i="6"/>
  <c r="B797" i="6"/>
  <c r="R795" i="6"/>
  <c r="Q795" i="6"/>
  <c r="M795" i="6"/>
  <c r="I795" i="6"/>
  <c r="E795" i="6"/>
  <c r="P792" i="6"/>
  <c r="O792" i="6"/>
  <c r="N792" i="6"/>
  <c r="M792" i="6"/>
  <c r="L792" i="6"/>
  <c r="L819" i="6" s="1"/>
  <c r="K792" i="6"/>
  <c r="J792" i="6"/>
  <c r="H792" i="6"/>
  <c r="H819" i="6" s="1"/>
  <c r="H822" i="6" s="1"/>
  <c r="H824" i="6" s="1"/>
  <c r="G792" i="6"/>
  <c r="F792" i="6"/>
  <c r="E792" i="6"/>
  <c r="D792" i="6"/>
  <c r="D819" i="6" s="1"/>
  <c r="D822" i="6" s="1"/>
  <c r="C792" i="6"/>
  <c r="B792" i="6"/>
  <c r="Q790" i="6"/>
  <c r="M790" i="6"/>
  <c r="I790" i="6"/>
  <c r="E790" i="6"/>
  <c r="Q787" i="6"/>
  <c r="M787" i="6"/>
  <c r="I787" i="6"/>
  <c r="E787" i="6"/>
  <c r="R787" i="6" s="1"/>
  <c r="R786" i="6"/>
  <c r="Q786" i="6"/>
  <c r="M786" i="6"/>
  <c r="I786" i="6"/>
  <c r="E786" i="6"/>
  <c r="Q785" i="6"/>
  <c r="M785" i="6"/>
  <c r="I785" i="6"/>
  <c r="E785" i="6"/>
  <c r="R785" i="6" s="1"/>
  <c r="R784" i="6"/>
  <c r="Q784" i="6"/>
  <c r="M784" i="6"/>
  <c r="I784" i="6"/>
  <c r="E784" i="6"/>
  <c r="Q783" i="6"/>
  <c r="M783" i="6"/>
  <c r="I783" i="6"/>
  <c r="E783" i="6"/>
  <c r="P775" i="6"/>
  <c r="H775" i="6"/>
  <c r="P906" i="6" s="1"/>
  <c r="Q771" i="6"/>
  <c r="M771" i="6"/>
  <c r="I771" i="6"/>
  <c r="E771" i="6"/>
  <c r="Q770" i="6"/>
  <c r="M770" i="6"/>
  <c r="I770" i="6"/>
  <c r="E770" i="6"/>
  <c r="R770" i="6" s="1"/>
  <c r="P769" i="6"/>
  <c r="P773" i="6" s="1"/>
  <c r="H769" i="6"/>
  <c r="H773" i="6" s="1"/>
  <c r="B769" i="6"/>
  <c r="Q768" i="6"/>
  <c r="P768" i="6"/>
  <c r="O768" i="6"/>
  <c r="N768" i="6"/>
  <c r="L768" i="6"/>
  <c r="K768" i="6"/>
  <c r="J768" i="6"/>
  <c r="I768" i="6"/>
  <c r="H768" i="6"/>
  <c r="G768" i="6"/>
  <c r="F768" i="6"/>
  <c r="D768" i="6"/>
  <c r="C768" i="6"/>
  <c r="B768" i="6"/>
  <c r="P767" i="6"/>
  <c r="O767" i="6"/>
  <c r="Q767" i="6" s="1"/>
  <c r="N767" i="6"/>
  <c r="L767" i="6"/>
  <c r="K767" i="6"/>
  <c r="J767" i="6"/>
  <c r="H767" i="6"/>
  <c r="G767" i="6"/>
  <c r="I767" i="6" s="1"/>
  <c r="F767" i="6"/>
  <c r="D767" i="6"/>
  <c r="C767" i="6"/>
  <c r="B767" i="6"/>
  <c r="Q761" i="6"/>
  <c r="P761" i="6"/>
  <c r="O761" i="6"/>
  <c r="N761" i="6"/>
  <c r="L761" i="6"/>
  <c r="K761" i="6"/>
  <c r="M761" i="6" s="1"/>
  <c r="J761" i="6"/>
  <c r="I761" i="6"/>
  <c r="H761" i="6"/>
  <c r="G761" i="6"/>
  <c r="F761" i="6"/>
  <c r="D761" i="6"/>
  <c r="C761" i="6"/>
  <c r="E761" i="6" s="1"/>
  <c r="R761" i="6" s="1"/>
  <c r="B761" i="6"/>
  <c r="P757" i="6"/>
  <c r="O757" i="6"/>
  <c r="N757" i="6"/>
  <c r="Q757" i="6" s="1"/>
  <c r="M757" i="6"/>
  <c r="L757" i="6"/>
  <c r="K757" i="6"/>
  <c r="J757" i="6"/>
  <c r="H757" i="6"/>
  <c r="G757" i="6"/>
  <c r="F757" i="6"/>
  <c r="I757" i="6" s="1"/>
  <c r="D757" i="6"/>
  <c r="E757" i="6" s="1"/>
  <c r="R757" i="6" s="1"/>
  <c r="C757" i="6"/>
  <c r="B757" i="6"/>
  <c r="P753" i="6"/>
  <c r="O753" i="6"/>
  <c r="O769" i="6" s="1"/>
  <c r="O773" i="6" s="1"/>
  <c r="O775" i="6" s="1"/>
  <c r="N753" i="6"/>
  <c r="M753" i="6"/>
  <c r="L753" i="6"/>
  <c r="K753" i="6"/>
  <c r="K769" i="6" s="1"/>
  <c r="K773" i="6" s="1"/>
  <c r="J753" i="6"/>
  <c r="H753" i="6"/>
  <c r="G753" i="6"/>
  <c r="G769" i="6" s="1"/>
  <c r="G773" i="6" s="1"/>
  <c r="F753" i="6"/>
  <c r="E753" i="6"/>
  <c r="D753" i="6"/>
  <c r="C753" i="6"/>
  <c r="B753" i="6"/>
  <c r="Q749" i="6"/>
  <c r="M749" i="6"/>
  <c r="I749" i="6"/>
  <c r="E749" i="6"/>
  <c r="P739" i="6"/>
  <c r="O739" i="6"/>
  <c r="N739" i="6"/>
  <c r="L739" i="6"/>
  <c r="K739" i="6"/>
  <c r="J739" i="6"/>
  <c r="H739" i="6"/>
  <c r="G739" i="6"/>
  <c r="F739" i="6"/>
  <c r="D739" i="6"/>
  <c r="C739" i="6"/>
  <c r="B739" i="6"/>
  <c r="Q737" i="6"/>
  <c r="M737" i="6"/>
  <c r="I737" i="6"/>
  <c r="E737" i="6"/>
  <c r="C729" i="6"/>
  <c r="Q727" i="6"/>
  <c r="M727" i="6"/>
  <c r="I727" i="6"/>
  <c r="E727" i="6"/>
  <c r="R727" i="6" s="1"/>
  <c r="J726" i="6"/>
  <c r="P725" i="6"/>
  <c r="O725" i="6"/>
  <c r="N725" i="6"/>
  <c r="Q725" i="6" s="1"/>
  <c r="L725" i="6"/>
  <c r="K725" i="6"/>
  <c r="J725" i="6"/>
  <c r="H725" i="6"/>
  <c r="G725" i="6"/>
  <c r="F725" i="6"/>
  <c r="I725" i="6" s="1"/>
  <c r="D725" i="6"/>
  <c r="C725" i="6"/>
  <c r="B725" i="6"/>
  <c r="E725" i="6" s="1"/>
  <c r="Q724" i="6"/>
  <c r="P724" i="6"/>
  <c r="O724" i="6"/>
  <c r="N724" i="6"/>
  <c r="M724" i="6"/>
  <c r="L724" i="6"/>
  <c r="K724" i="6"/>
  <c r="J724" i="6"/>
  <c r="I724" i="6"/>
  <c r="H724" i="6"/>
  <c r="G724" i="6"/>
  <c r="F724" i="6"/>
  <c r="E724" i="6"/>
  <c r="R724" i="6" s="1"/>
  <c r="D724" i="6"/>
  <c r="C724" i="6"/>
  <c r="B724" i="6"/>
  <c r="Q721" i="6"/>
  <c r="M721" i="6"/>
  <c r="I721" i="6"/>
  <c r="E721" i="6"/>
  <c r="R721" i="6" s="1"/>
  <c r="R720" i="6"/>
  <c r="Q720" i="6"/>
  <c r="M720" i="6"/>
  <c r="I720" i="6"/>
  <c r="E720" i="6"/>
  <c r="Q719" i="6"/>
  <c r="M719" i="6"/>
  <c r="I719" i="6"/>
  <c r="E719" i="6"/>
  <c r="R719" i="6" s="1"/>
  <c r="Q718" i="6"/>
  <c r="M718" i="6"/>
  <c r="I718" i="6"/>
  <c r="E718" i="6"/>
  <c r="R718" i="6" s="1"/>
  <c r="P714" i="6"/>
  <c r="Q714" i="6" s="1"/>
  <c r="O714" i="6"/>
  <c r="N714" i="6"/>
  <c r="L714" i="6"/>
  <c r="K714" i="6"/>
  <c r="J714" i="6"/>
  <c r="M714" i="6" s="1"/>
  <c r="I714" i="6"/>
  <c r="H714" i="6"/>
  <c r="G714" i="6"/>
  <c r="F714" i="6"/>
  <c r="D714" i="6"/>
  <c r="C714" i="6"/>
  <c r="B714" i="6"/>
  <c r="E714" i="6" s="1"/>
  <c r="R714" i="6" s="1"/>
  <c r="R713" i="6"/>
  <c r="Q713" i="6"/>
  <c r="M713" i="6"/>
  <c r="I713" i="6"/>
  <c r="E713" i="6"/>
  <c r="Q712" i="6"/>
  <c r="M712" i="6"/>
  <c r="I712" i="6"/>
  <c r="E712" i="6"/>
  <c r="Q711" i="6"/>
  <c r="M711" i="6"/>
  <c r="I711" i="6"/>
  <c r="E711" i="6"/>
  <c r="R711" i="6" s="1"/>
  <c r="Q710" i="6"/>
  <c r="M710" i="6"/>
  <c r="R710" i="6" s="1"/>
  <c r="I710" i="6"/>
  <c r="E710" i="6"/>
  <c r="Q709" i="6"/>
  <c r="M709" i="6"/>
  <c r="I709" i="6"/>
  <c r="E709" i="6"/>
  <c r="R708" i="6"/>
  <c r="Q708" i="6"/>
  <c r="M708" i="6"/>
  <c r="I708" i="6"/>
  <c r="E708" i="6"/>
  <c r="Q707" i="6"/>
  <c r="M707" i="6"/>
  <c r="I707" i="6"/>
  <c r="E707" i="6"/>
  <c r="Q705" i="6"/>
  <c r="M705" i="6"/>
  <c r="I705" i="6"/>
  <c r="E705" i="6"/>
  <c r="R705" i="6" s="1"/>
  <c r="Q702" i="6"/>
  <c r="P702" i="6"/>
  <c r="O702" i="6"/>
  <c r="O726" i="6" s="1"/>
  <c r="O729" i="6" s="1"/>
  <c r="N702" i="6"/>
  <c r="L702" i="6"/>
  <c r="K702" i="6"/>
  <c r="J702" i="6"/>
  <c r="I702" i="6"/>
  <c r="H702" i="6"/>
  <c r="G702" i="6"/>
  <c r="G726" i="6" s="1"/>
  <c r="G729" i="6" s="1"/>
  <c r="F702" i="6"/>
  <c r="D702" i="6"/>
  <c r="C702" i="6"/>
  <c r="B702" i="6"/>
  <c r="P698" i="6"/>
  <c r="P726" i="6" s="1"/>
  <c r="P729" i="6" s="1"/>
  <c r="O698" i="6"/>
  <c r="N698" i="6"/>
  <c r="Q698" i="6" s="1"/>
  <c r="L698" i="6"/>
  <c r="K698" i="6"/>
  <c r="K726" i="6" s="1"/>
  <c r="K729" i="6" s="1"/>
  <c r="J698" i="6"/>
  <c r="H698" i="6"/>
  <c r="H726" i="6" s="1"/>
  <c r="H729" i="6" s="1"/>
  <c r="G698" i="6"/>
  <c r="F698" i="6"/>
  <c r="I698" i="6" s="1"/>
  <c r="D698" i="6"/>
  <c r="D726" i="6" s="1"/>
  <c r="D729" i="6" s="1"/>
  <c r="C698" i="6"/>
  <c r="C726" i="6" s="1"/>
  <c r="B698" i="6"/>
  <c r="Q694" i="6"/>
  <c r="M694" i="6"/>
  <c r="I694" i="6"/>
  <c r="E694" i="6"/>
  <c r="R694" i="6" s="1"/>
  <c r="Q693" i="6"/>
  <c r="M693" i="6"/>
  <c r="R693" i="6" s="1"/>
  <c r="I693" i="6"/>
  <c r="E693" i="6"/>
  <c r="Q692" i="6"/>
  <c r="M692" i="6"/>
  <c r="I692" i="6"/>
  <c r="E692" i="6"/>
  <c r="R692" i="6" s="1"/>
  <c r="R691" i="6"/>
  <c r="Q691" i="6"/>
  <c r="M691" i="6"/>
  <c r="I691" i="6"/>
  <c r="E691" i="6"/>
  <c r="Q690" i="6"/>
  <c r="M690" i="6"/>
  <c r="I690" i="6"/>
  <c r="E690" i="6"/>
  <c r="R690" i="6" s="1"/>
  <c r="Q689" i="6"/>
  <c r="M689" i="6"/>
  <c r="I689" i="6"/>
  <c r="E689" i="6"/>
  <c r="R689" i="6" s="1"/>
  <c r="Q677" i="6"/>
  <c r="M677" i="6"/>
  <c r="I677" i="6"/>
  <c r="R677" i="6" s="1"/>
  <c r="E677" i="6"/>
  <c r="P676" i="6"/>
  <c r="P679" i="6" s="1"/>
  <c r="J676" i="6"/>
  <c r="M676" i="6" s="1"/>
  <c r="Q675" i="6"/>
  <c r="P675" i="6"/>
  <c r="O675" i="6"/>
  <c r="N675" i="6"/>
  <c r="L675" i="6"/>
  <c r="K675" i="6"/>
  <c r="J675" i="6"/>
  <c r="I675" i="6"/>
  <c r="H675" i="6"/>
  <c r="G675" i="6"/>
  <c r="F675" i="6"/>
  <c r="D675" i="6"/>
  <c r="C675" i="6"/>
  <c r="B675" i="6"/>
  <c r="P674" i="6"/>
  <c r="O674" i="6"/>
  <c r="N674" i="6"/>
  <c r="Q674" i="6" s="1"/>
  <c r="L674" i="6"/>
  <c r="K674" i="6"/>
  <c r="J674" i="6"/>
  <c r="H674" i="6"/>
  <c r="G674" i="6"/>
  <c r="F674" i="6"/>
  <c r="I674" i="6" s="1"/>
  <c r="D674" i="6"/>
  <c r="C674" i="6"/>
  <c r="B674" i="6"/>
  <c r="Q671" i="6"/>
  <c r="M671" i="6"/>
  <c r="I671" i="6"/>
  <c r="R671" i="6" s="1"/>
  <c r="E671" i="6"/>
  <c r="Q667" i="6"/>
  <c r="P667" i="6"/>
  <c r="O667" i="6"/>
  <c r="N667" i="6"/>
  <c r="N676" i="6" s="1"/>
  <c r="L667" i="6"/>
  <c r="K667" i="6"/>
  <c r="J667" i="6"/>
  <c r="M667" i="6" s="1"/>
  <c r="H667" i="6"/>
  <c r="G667" i="6"/>
  <c r="F667" i="6"/>
  <c r="F676" i="6" s="1"/>
  <c r="F679" i="6" s="1"/>
  <c r="D667" i="6"/>
  <c r="C667" i="6"/>
  <c r="B667" i="6"/>
  <c r="E667" i="6" s="1"/>
  <c r="P663" i="6"/>
  <c r="O663" i="6"/>
  <c r="Q663" i="6" s="1"/>
  <c r="N663" i="6"/>
  <c r="L663" i="6"/>
  <c r="K663" i="6"/>
  <c r="J663" i="6"/>
  <c r="H663" i="6"/>
  <c r="G663" i="6"/>
  <c r="I663" i="6" s="1"/>
  <c r="F663" i="6"/>
  <c r="D663" i="6"/>
  <c r="C663" i="6"/>
  <c r="B663" i="6"/>
  <c r="P659" i="6"/>
  <c r="O659" i="6"/>
  <c r="N659" i="6"/>
  <c r="Q659" i="6" s="1"/>
  <c r="L659" i="6"/>
  <c r="L676" i="6" s="1"/>
  <c r="L679" i="6" s="1"/>
  <c r="K659" i="6"/>
  <c r="K676" i="6" s="1"/>
  <c r="K679" i="6" s="1"/>
  <c r="J659" i="6"/>
  <c r="M659" i="6" s="1"/>
  <c r="H659" i="6"/>
  <c r="H676" i="6" s="1"/>
  <c r="H679" i="6" s="1"/>
  <c r="G659" i="6"/>
  <c r="F659" i="6"/>
  <c r="D659" i="6"/>
  <c r="D676" i="6" s="1"/>
  <c r="D679" i="6" s="1"/>
  <c r="C659" i="6"/>
  <c r="B659" i="6"/>
  <c r="Q655" i="6"/>
  <c r="M655" i="6"/>
  <c r="I655" i="6"/>
  <c r="E655" i="6"/>
  <c r="Q654" i="6"/>
  <c r="M654" i="6"/>
  <c r="I654" i="6"/>
  <c r="E654" i="6"/>
  <c r="R654" i="6" s="1"/>
  <c r="Q653" i="6"/>
  <c r="M653" i="6"/>
  <c r="I653" i="6"/>
  <c r="E653" i="6"/>
  <c r="Q643" i="6"/>
  <c r="P643" i="6"/>
  <c r="O643" i="6"/>
  <c r="N643" i="6"/>
  <c r="M643" i="6"/>
  <c r="L643" i="6"/>
  <c r="K643" i="6"/>
  <c r="J643" i="6"/>
  <c r="I643" i="6"/>
  <c r="H643" i="6"/>
  <c r="G643" i="6"/>
  <c r="F643" i="6"/>
  <c r="E643" i="6"/>
  <c r="R643" i="6" s="1"/>
  <c r="D643" i="6"/>
  <c r="C643" i="6"/>
  <c r="B643" i="6"/>
  <c r="Q641" i="6"/>
  <c r="M641" i="6"/>
  <c r="I641" i="6"/>
  <c r="E641" i="6"/>
  <c r="R641" i="6" s="1"/>
  <c r="L633" i="6"/>
  <c r="H633" i="6"/>
  <c r="Q631" i="6"/>
  <c r="M631" i="6"/>
  <c r="I631" i="6"/>
  <c r="R631" i="6" s="1"/>
  <c r="E631" i="6"/>
  <c r="I630" i="6"/>
  <c r="F630" i="6"/>
  <c r="F633" i="6" s="1"/>
  <c r="B630" i="6"/>
  <c r="Q629" i="6"/>
  <c r="P629" i="6"/>
  <c r="O629" i="6"/>
  <c r="N629" i="6"/>
  <c r="L629" i="6"/>
  <c r="K629" i="6"/>
  <c r="J629" i="6"/>
  <c r="M629" i="6" s="1"/>
  <c r="I629" i="6"/>
  <c r="H629" i="6"/>
  <c r="G629" i="6"/>
  <c r="F629" i="6"/>
  <c r="D629" i="6"/>
  <c r="C629" i="6"/>
  <c r="B629" i="6"/>
  <c r="E629" i="6" s="1"/>
  <c r="R629" i="6" s="1"/>
  <c r="P628" i="6"/>
  <c r="O628" i="6"/>
  <c r="N628" i="6"/>
  <c r="L628" i="6"/>
  <c r="K628" i="6"/>
  <c r="J628" i="6"/>
  <c r="H628" i="6"/>
  <c r="G628" i="6"/>
  <c r="F628" i="6"/>
  <c r="D628" i="6"/>
  <c r="C628" i="6"/>
  <c r="B628" i="6"/>
  <c r="Q627" i="6"/>
  <c r="M627" i="6"/>
  <c r="I627" i="6"/>
  <c r="E627" i="6"/>
  <c r="Q626" i="6"/>
  <c r="M626" i="6"/>
  <c r="I626" i="6"/>
  <c r="E626" i="6"/>
  <c r="R626" i="6" s="1"/>
  <c r="Q625" i="6"/>
  <c r="M625" i="6"/>
  <c r="I625" i="6"/>
  <c r="E625" i="6"/>
  <c r="R623" i="6"/>
  <c r="Q623" i="6"/>
  <c r="M623" i="6"/>
  <c r="I623" i="6"/>
  <c r="E623" i="6"/>
  <c r="Q622" i="6"/>
  <c r="M622" i="6"/>
  <c r="I622" i="6"/>
  <c r="E622" i="6"/>
  <c r="Q620" i="6"/>
  <c r="M620" i="6"/>
  <c r="I620" i="6"/>
  <c r="E620" i="6"/>
  <c r="R620" i="6" s="1"/>
  <c r="R619" i="6"/>
  <c r="Q619" i="6"/>
  <c r="M619" i="6"/>
  <c r="I619" i="6"/>
  <c r="E619" i="6"/>
  <c r="Q618" i="6"/>
  <c r="M618" i="6"/>
  <c r="I618" i="6"/>
  <c r="E618" i="6"/>
  <c r="R618" i="6" s="1"/>
  <c r="Q617" i="6"/>
  <c r="M617" i="6"/>
  <c r="I617" i="6"/>
  <c r="E617" i="6"/>
  <c r="R615" i="6"/>
  <c r="Q615" i="6"/>
  <c r="M615" i="6"/>
  <c r="I615" i="6"/>
  <c r="E615" i="6"/>
  <c r="Q614" i="6"/>
  <c r="M614" i="6"/>
  <c r="I614" i="6"/>
  <c r="E614" i="6"/>
  <c r="R614" i="6" s="1"/>
  <c r="P611" i="6"/>
  <c r="O611" i="6"/>
  <c r="N611" i="6"/>
  <c r="L611" i="6"/>
  <c r="K611" i="6"/>
  <c r="J611" i="6"/>
  <c r="H611" i="6"/>
  <c r="G611" i="6"/>
  <c r="F611" i="6"/>
  <c r="D611" i="6"/>
  <c r="C611" i="6"/>
  <c r="B611" i="6"/>
  <c r="Q610" i="6"/>
  <c r="M610" i="6"/>
  <c r="I610" i="6"/>
  <c r="E610" i="6"/>
  <c r="R610" i="6" s="1"/>
  <c r="Q609" i="6"/>
  <c r="R609" i="6" s="1"/>
  <c r="M609" i="6"/>
  <c r="I609" i="6"/>
  <c r="E609" i="6"/>
  <c r="Q608" i="6"/>
  <c r="M608" i="6"/>
  <c r="I608" i="6"/>
  <c r="E608" i="6"/>
  <c r="R608" i="6" s="1"/>
  <c r="R607" i="6"/>
  <c r="Q607" i="6"/>
  <c r="M607" i="6"/>
  <c r="I607" i="6"/>
  <c r="E607" i="6"/>
  <c r="Q606" i="6"/>
  <c r="M606" i="6"/>
  <c r="I606" i="6"/>
  <c r="E606" i="6"/>
  <c r="P602" i="6"/>
  <c r="O602" i="6"/>
  <c r="N602" i="6"/>
  <c r="Q602" i="6" s="1"/>
  <c r="L602" i="6"/>
  <c r="K602" i="6"/>
  <c r="J602" i="6"/>
  <c r="J630" i="6" s="1"/>
  <c r="H602" i="6"/>
  <c r="G602" i="6"/>
  <c r="F602" i="6"/>
  <c r="I602" i="6" s="1"/>
  <c r="D602" i="6"/>
  <c r="C602" i="6"/>
  <c r="B602" i="6"/>
  <c r="Q600" i="6"/>
  <c r="M600" i="6"/>
  <c r="I600" i="6"/>
  <c r="E600" i="6"/>
  <c r="Q599" i="6"/>
  <c r="M599" i="6"/>
  <c r="R599" i="6" s="1"/>
  <c r="I599" i="6"/>
  <c r="E599" i="6"/>
  <c r="Q596" i="6"/>
  <c r="P596" i="6"/>
  <c r="P630" i="6" s="1"/>
  <c r="P633" i="6" s="1"/>
  <c r="O596" i="6"/>
  <c r="O630" i="6" s="1"/>
  <c r="O633" i="6" s="1"/>
  <c r="N596" i="6"/>
  <c r="M596" i="6"/>
  <c r="L596" i="6"/>
  <c r="L630" i="6" s="1"/>
  <c r="K596" i="6"/>
  <c r="K630" i="6" s="1"/>
  <c r="K633" i="6" s="1"/>
  <c r="J596" i="6"/>
  <c r="I596" i="6"/>
  <c r="H596" i="6"/>
  <c r="H630" i="6" s="1"/>
  <c r="G596" i="6"/>
  <c r="G630" i="6" s="1"/>
  <c r="G633" i="6" s="1"/>
  <c r="F596" i="6"/>
  <c r="E596" i="6"/>
  <c r="R596" i="6" s="1"/>
  <c r="D596" i="6"/>
  <c r="C596" i="6"/>
  <c r="C630" i="6" s="1"/>
  <c r="C633" i="6" s="1"/>
  <c r="B596" i="6"/>
  <c r="Q594" i="6"/>
  <c r="M594" i="6"/>
  <c r="I594" i="6"/>
  <c r="E594" i="6"/>
  <c r="R594" i="6" s="1"/>
  <c r="Q592" i="6"/>
  <c r="M592" i="6"/>
  <c r="I592" i="6"/>
  <c r="E592" i="6"/>
  <c r="R590" i="6"/>
  <c r="Q590" i="6"/>
  <c r="M590" i="6"/>
  <c r="I590" i="6"/>
  <c r="E590" i="6"/>
  <c r="Q589" i="6"/>
  <c r="M589" i="6"/>
  <c r="I589" i="6"/>
  <c r="E589" i="6"/>
  <c r="Q588" i="6"/>
  <c r="M588" i="6"/>
  <c r="I588" i="6"/>
  <c r="E588" i="6"/>
  <c r="R588" i="6" s="1"/>
  <c r="R587" i="6"/>
  <c r="Q587" i="6"/>
  <c r="M587" i="6"/>
  <c r="I587" i="6"/>
  <c r="E587" i="6"/>
  <c r="Q586" i="6"/>
  <c r="M586" i="6"/>
  <c r="I586" i="6"/>
  <c r="E586" i="6"/>
  <c r="R586" i="6" s="1"/>
  <c r="Q585" i="6"/>
  <c r="M585" i="6"/>
  <c r="I585" i="6"/>
  <c r="E585" i="6"/>
  <c r="R584" i="6"/>
  <c r="Q584" i="6"/>
  <c r="M584" i="6"/>
  <c r="I584" i="6"/>
  <c r="E584" i="6"/>
  <c r="Q583" i="6"/>
  <c r="M583" i="6"/>
  <c r="I583" i="6"/>
  <c r="E583" i="6"/>
  <c r="R583" i="6" s="1"/>
  <c r="Q582" i="6"/>
  <c r="M582" i="6"/>
  <c r="R582" i="6" s="1"/>
  <c r="I582" i="6"/>
  <c r="E582" i="6"/>
  <c r="Q581" i="6"/>
  <c r="M581" i="6"/>
  <c r="I581" i="6"/>
  <c r="E581" i="6"/>
  <c r="N571" i="6"/>
  <c r="Q569" i="6"/>
  <c r="M569" i="6"/>
  <c r="I569" i="6"/>
  <c r="E569" i="6"/>
  <c r="D568" i="6"/>
  <c r="D571" i="6" s="1"/>
  <c r="C568" i="6"/>
  <c r="C571" i="6" s="1"/>
  <c r="P567" i="6"/>
  <c r="O567" i="6"/>
  <c r="N567" i="6"/>
  <c r="Q567" i="6" s="1"/>
  <c r="L567" i="6"/>
  <c r="L568" i="6" s="1"/>
  <c r="L571" i="6" s="1"/>
  <c r="K567" i="6"/>
  <c r="J567" i="6"/>
  <c r="H567" i="6"/>
  <c r="G567" i="6"/>
  <c r="F567" i="6"/>
  <c r="I567" i="6" s="1"/>
  <c r="E567" i="6"/>
  <c r="D567" i="6"/>
  <c r="C567" i="6"/>
  <c r="B567" i="6"/>
  <c r="P566" i="6"/>
  <c r="O566" i="6"/>
  <c r="N566" i="6"/>
  <c r="M566" i="6"/>
  <c r="L566" i="6"/>
  <c r="K566" i="6"/>
  <c r="J566" i="6"/>
  <c r="H566" i="6"/>
  <c r="G566" i="6"/>
  <c r="F566" i="6"/>
  <c r="I566" i="6" s="1"/>
  <c r="E566" i="6"/>
  <c r="D566" i="6"/>
  <c r="C566" i="6"/>
  <c r="B566" i="6"/>
  <c r="Q565" i="6"/>
  <c r="M565" i="6"/>
  <c r="I565" i="6"/>
  <c r="E565" i="6"/>
  <c r="R565" i="6" s="1"/>
  <c r="Q564" i="6"/>
  <c r="M564" i="6"/>
  <c r="I564" i="6"/>
  <c r="E564" i="6"/>
  <c r="R563" i="6"/>
  <c r="Q563" i="6"/>
  <c r="M563" i="6"/>
  <c r="I563" i="6"/>
  <c r="E563" i="6"/>
  <c r="Q562" i="6"/>
  <c r="M562" i="6"/>
  <c r="I562" i="6"/>
  <c r="E562" i="6"/>
  <c r="R562" i="6" s="1"/>
  <c r="Q560" i="6"/>
  <c r="M560" i="6"/>
  <c r="R560" i="6" s="1"/>
  <c r="I560" i="6"/>
  <c r="E560" i="6"/>
  <c r="P555" i="6"/>
  <c r="O555" i="6"/>
  <c r="Q555" i="6" s="1"/>
  <c r="N555" i="6"/>
  <c r="M555" i="6"/>
  <c r="L555" i="6"/>
  <c r="K555" i="6"/>
  <c r="J555" i="6"/>
  <c r="H555" i="6"/>
  <c r="G555" i="6"/>
  <c r="I555" i="6" s="1"/>
  <c r="F555" i="6"/>
  <c r="E555" i="6"/>
  <c r="D555" i="6"/>
  <c r="C555" i="6"/>
  <c r="B555" i="6"/>
  <c r="Q554" i="6"/>
  <c r="M554" i="6"/>
  <c r="I554" i="6"/>
  <c r="E554" i="6"/>
  <c r="P550" i="6"/>
  <c r="O550" i="6"/>
  <c r="N550" i="6"/>
  <c r="L550" i="6"/>
  <c r="K550" i="6"/>
  <c r="M550" i="6" s="1"/>
  <c r="J550" i="6"/>
  <c r="H550" i="6"/>
  <c r="G550" i="6"/>
  <c r="F550" i="6"/>
  <c r="E550" i="6"/>
  <c r="D550" i="6"/>
  <c r="C550" i="6"/>
  <c r="B550" i="6"/>
  <c r="Q548" i="6"/>
  <c r="M548" i="6"/>
  <c r="I548" i="6"/>
  <c r="E548" i="6"/>
  <c r="R547" i="6"/>
  <c r="Q547" i="6"/>
  <c r="M547" i="6"/>
  <c r="I547" i="6"/>
  <c r="E547" i="6"/>
  <c r="Q544" i="6"/>
  <c r="P544" i="6"/>
  <c r="P568" i="6" s="1"/>
  <c r="P571" i="6" s="1"/>
  <c r="O544" i="6"/>
  <c r="N544" i="6"/>
  <c r="N568" i="6" s="1"/>
  <c r="L544" i="6"/>
  <c r="K544" i="6"/>
  <c r="J544" i="6"/>
  <c r="I544" i="6"/>
  <c r="H544" i="6"/>
  <c r="H568" i="6" s="1"/>
  <c r="H571" i="6" s="1"/>
  <c r="G544" i="6"/>
  <c r="F544" i="6"/>
  <c r="D544" i="6"/>
  <c r="C544" i="6"/>
  <c r="B544" i="6"/>
  <c r="Q540" i="6"/>
  <c r="M540" i="6"/>
  <c r="R540" i="6" s="1"/>
  <c r="I540" i="6"/>
  <c r="E540" i="6"/>
  <c r="Q539" i="6"/>
  <c r="M539" i="6"/>
  <c r="I539" i="6"/>
  <c r="E539" i="6"/>
  <c r="R538" i="6"/>
  <c r="Q538" i="6"/>
  <c r="M538" i="6"/>
  <c r="I538" i="6"/>
  <c r="E538" i="6"/>
  <c r="Q537" i="6"/>
  <c r="M537" i="6"/>
  <c r="I537" i="6"/>
  <c r="E537" i="6"/>
  <c r="Q536" i="6"/>
  <c r="M536" i="6"/>
  <c r="I536" i="6"/>
  <c r="E536" i="6"/>
  <c r="P526" i="6"/>
  <c r="Q524" i="6"/>
  <c r="M524" i="6"/>
  <c r="I524" i="6"/>
  <c r="E524" i="6"/>
  <c r="R524" i="6" s="1"/>
  <c r="K523" i="6"/>
  <c r="K526" i="6" s="1"/>
  <c r="P522" i="6"/>
  <c r="P523" i="6" s="1"/>
  <c r="O522" i="6"/>
  <c r="Q522" i="6" s="1"/>
  <c r="N522" i="6"/>
  <c r="L522" i="6"/>
  <c r="K522" i="6"/>
  <c r="J522" i="6"/>
  <c r="M522" i="6" s="1"/>
  <c r="H522" i="6"/>
  <c r="H523" i="6" s="1"/>
  <c r="H526" i="6" s="1"/>
  <c r="G522" i="6"/>
  <c r="I522" i="6" s="1"/>
  <c r="F522" i="6"/>
  <c r="D522" i="6"/>
  <c r="C522" i="6"/>
  <c r="B522" i="6"/>
  <c r="E522" i="6" s="1"/>
  <c r="R522" i="6" s="1"/>
  <c r="P521" i="6"/>
  <c r="Q521" i="6" s="1"/>
  <c r="O521" i="6"/>
  <c r="N521" i="6"/>
  <c r="L521" i="6"/>
  <c r="K521" i="6"/>
  <c r="M521" i="6" s="1"/>
  <c r="J521" i="6"/>
  <c r="H521" i="6"/>
  <c r="I521" i="6" s="1"/>
  <c r="G521" i="6"/>
  <c r="F521" i="6"/>
  <c r="D521" i="6"/>
  <c r="C521" i="6"/>
  <c r="E521" i="6" s="1"/>
  <c r="B521" i="6"/>
  <c r="Q520" i="6"/>
  <c r="R520" i="6" s="1"/>
  <c r="M520" i="6"/>
  <c r="I520" i="6"/>
  <c r="E520" i="6"/>
  <c r="Q519" i="6"/>
  <c r="M519" i="6"/>
  <c r="I519" i="6"/>
  <c r="E519" i="6"/>
  <c r="R519" i="6" s="1"/>
  <c r="P513" i="6"/>
  <c r="O513" i="6"/>
  <c r="N513" i="6"/>
  <c r="Q513" i="6" s="1"/>
  <c r="L513" i="6"/>
  <c r="K513" i="6"/>
  <c r="J513" i="6"/>
  <c r="M513" i="6" s="1"/>
  <c r="H513" i="6"/>
  <c r="G513" i="6"/>
  <c r="F513" i="6"/>
  <c r="I513" i="6" s="1"/>
  <c r="D513" i="6"/>
  <c r="C513" i="6"/>
  <c r="B513" i="6"/>
  <c r="E513" i="6" s="1"/>
  <c r="Q512" i="6"/>
  <c r="M512" i="6"/>
  <c r="I512" i="6"/>
  <c r="R512" i="6" s="1"/>
  <c r="E512" i="6"/>
  <c r="Q511" i="6"/>
  <c r="R511" i="6" s="1"/>
  <c r="M511" i="6"/>
  <c r="I511" i="6"/>
  <c r="E511" i="6"/>
  <c r="P507" i="6"/>
  <c r="O507" i="6"/>
  <c r="N507" i="6"/>
  <c r="Q507" i="6" s="1"/>
  <c r="M507" i="6"/>
  <c r="L507" i="6"/>
  <c r="K507" i="6"/>
  <c r="J507" i="6"/>
  <c r="H507" i="6"/>
  <c r="G507" i="6"/>
  <c r="F507" i="6"/>
  <c r="F523" i="6" s="1"/>
  <c r="E507" i="6"/>
  <c r="D507" i="6"/>
  <c r="C507" i="6"/>
  <c r="B507" i="6"/>
  <c r="Q505" i="6"/>
  <c r="M505" i="6"/>
  <c r="I505" i="6"/>
  <c r="R505" i="6" s="1"/>
  <c r="E505" i="6"/>
  <c r="P502" i="6"/>
  <c r="O502" i="6"/>
  <c r="N502" i="6"/>
  <c r="N523" i="6" s="1"/>
  <c r="L502" i="6"/>
  <c r="K502" i="6"/>
  <c r="J502" i="6"/>
  <c r="H502" i="6"/>
  <c r="G502" i="6"/>
  <c r="I502" i="6" s="1"/>
  <c r="F502" i="6"/>
  <c r="D502" i="6"/>
  <c r="C502" i="6"/>
  <c r="C523" i="6" s="1"/>
  <c r="C526" i="6" s="1"/>
  <c r="B502" i="6"/>
  <c r="Q499" i="6"/>
  <c r="M499" i="6"/>
  <c r="I499" i="6"/>
  <c r="E499" i="6"/>
  <c r="R499" i="6" s="1"/>
  <c r="R498" i="6"/>
  <c r="Q498" i="6"/>
  <c r="M498" i="6"/>
  <c r="I498" i="6"/>
  <c r="E498" i="6"/>
  <c r="Q496" i="6"/>
  <c r="M496" i="6"/>
  <c r="I496" i="6"/>
  <c r="R496" i="6" s="1"/>
  <c r="E496" i="6"/>
  <c r="Q495" i="6"/>
  <c r="M495" i="6"/>
  <c r="I495" i="6"/>
  <c r="E495" i="6"/>
  <c r="Q494" i="6"/>
  <c r="R494" i="6" s="1"/>
  <c r="M494" i="6"/>
  <c r="I494" i="6"/>
  <c r="E494" i="6"/>
  <c r="Q493" i="6"/>
  <c r="M493" i="6"/>
  <c r="I493" i="6"/>
  <c r="E493" i="6"/>
  <c r="Q492" i="6"/>
  <c r="M492" i="6"/>
  <c r="I492" i="6"/>
  <c r="E492" i="6"/>
  <c r="R492" i="6" s="1"/>
  <c r="R474" i="6"/>
  <c r="Q474" i="6"/>
  <c r="M474" i="6"/>
  <c r="I474" i="6"/>
  <c r="E474" i="6"/>
  <c r="Q473" i="6"/>
  <c r="M473" i="6"/>
  <c r="I473" i="6"/>
  <c r="R473" i="6" s="1"/>
  <c r="E473" i="6"/>
  <c r="Q472" i="6"/>
  <c r="M472" i="6"/>
  <c r="I472" i="6"/>
  <c r="R472" i="6" s="1"/>
  <c r="E472" i="6"/>
  <c r="B471" i="6"/>
  <c r="Q470" i="6"/>
  <c r="P470" i="6"/>
  <c r="O470" i="6"/>
  <c r="N470" i="6"/>
  <c r="M470" i="6"/>
  <c r="L470" i="6"/>
  <c r="K470" i="6"/>
  <c r="J470" i="6"/>
  <c r="I470" i="6"/>
  <c r="H470" i="6"/>
  <c r="G470" i="6"/>
  <c r="F470" i="6"/>
  <c r="E470" i="6"/>
  <c r="R470" i="6" s="1"/>
  <c r="D470" i="6"/>
  <c r="C470" i="6"/>
  <c r="B470" i="6"/>
  <c r="P469" i="6"/>
  <c r="O469" i="6"/>
  <c r="N469" i="6"/>
  <c r="Q469" i="6" s="1"/>
  <c r="L469" i="6"/>
  <c r="K469" i="6"/>
  <c r="J469" i="6"/>
  <c r="H469" i="6"/>
  <c r="G469" i="6"/>
  <c r="F469" i="6"/>
  <c r="I469" i="6" s="1"/>
  <c r="D469" i="6"/>
  <c r="C469" i="6"/>
  <c r="B469" i="6"/>
  <c r="Q468" i="6"/>
  <c r="M468" i="6"/>
  <c r="I468" i="6"/>
  <c r="E468" i="6"/>
  <c r="Q467" i="6"/>
  <c r="R467" i="6" s="1"/>
  <c r="M467" i="6"/>
  <c r="I467" i="6"/>
  <c r="E467" i="6"/>
  <c r="Q466" i="6"/>
  <c r="M466" i="6"/>
  <c r="I466" i="6"/>
  <c r="E466" i="6"/>
  <c r="R466" i="6" s="1"/>
  <c r="Q465" i="6"/>
  <c r="M465" i="6"/>
  <c r="I465" i="6"/>
  <c r="E465" i="6"/>
  <c r="R465" i="6" s="1"/>
  <c r="Q464" i="6"/>
  <c r="M464" i="6"/>
  <c r="I464" i="6"/>
  <c r="E464" i="6"/>
  <c r="Q463" i="6"/>
  <c r="M463" i="6"/>
  <c r="I463" i="6"/>
  <c r="E463" i="6"/>
  <c r="R463" i="6" s="1"/>
  <c r="R462" i="6"/>
  <c r="Q462" i="6"/>
  <c r="M462" i="6"/>
  <c r="I462" i="6"/>
  <c r="E462" i="6"/>
  <c r="Q461" i="6"/>
  <c r="M461" i="6"/>
  <c r="R461" i="6" s="1"/>
  <c r="I461" i="6"/>
  <c r="E461" i="6"/>
  <c r="Q460" i="6"/>
  <c r="M460" i="6"/>
  <c r="I460" i="6"/>
  <c r="E460" i="6"/>
  <c r="R460" i="6" s="1"/>
  <c r="Q459" i="6"/>
  <c r="R459" i="6" s="1"/>
  <c r="M459" i="6"/>
  <c r="I459" i="6"/>
  <c r="E459" i="6"/>
  <c r="Q457" i="6"/>
  <c r="M457" i="6"/>
  <c r="I457" i="6"/>
  <c r="E457" i="6"/>
  <c r="Q456" i="6"/>
  <c r="M456" i="6"/>
  <c r="I456" i="6"/>
  <c r="E456" i="6"/>
  <c r="R456" i="6" s="1"/>
  <c r="Q455" i="6"/>
  <c r="M455" i="6"/>
  <c r="I455" i="6"/>
  <c r="E455" i="6"/>
  <c r="Q454" i="6"/>
  <c r="M454" i="6"/>
  <c r="I454" i="6"/>
  <c r="E454" i="6"/>
  <c r="R454" i="6" s="1"/>
  <c r="R453" i="6"/>
  <c r="Q453" i="6"/>
  <c r="M453" i="6"/>
  <c r="I453" i="6"/>
  <c r="E453" i="6"/>
  <c r="Q452" i="6"/>
  <c r="M452" i="6"/>
  <c r="I452" i="6"/>
  <c r="R452" i="6" s="1"/>
  <c r="E452" i="6"/>
  <c r="Q450" i="6"/>
  <c r="M450" i="6"/>
  <c r="I450" i="6"/>
  <c r="E450" i="6"/>
  <c r="R449" i="6"/>
  <c r="Q449" i="6"/>
  <c r="M449" i="6"/>
  <c r="I449" i="6"/>
  <c r="E449" i="6"/>
  <c r="Q447" i="6"/>
  <c r="M447" i="6"/>
  <c r="I447" i="6"/>
  <c r="E447" i="6"/>
  <c r="R447" i="6" s="1"/>
  <c r="P444" i="6"/>
  <c r="O444" i="6"/>
  <c r="N444" i="6"/>
  <c r="Q444" i="6" s="1"/>
  <c r="L444" i="6"/>
  <c r="L471" i="6" s="1"/>
  <c r="L476" i="6" s="1"/>
  <c r="J444" i="6"/>
  <c r="H444" i="6"/>
  <c r="F444" i="6"/>
  <c r="D444" i="6"/>
  <c r="C444" i="6"/>
  <c r="B444" i="6"/>
  <c r="E444" i="6" s="1"/>
  <c r="Q443" i="6"/>
  <c r="M443" i="6"/>
  <c r="I443" i="6"/>
  <c r="E443" i="6"/>
  <c r="R442" i="6"/>
  <c r="Q442" i="6"/>
  <c r="M442" i="6"/>
  <c r="I442" i="6"/>
  <c r="E442" i="6"/>
  <c r="Q441" i="6"/>
  <c r="M441" i="6"/>
  <c r="I441" i="6"/>
  <c r="E441" i="6"/>
  <c r="R441" i="6" s="1"/>
  <c r="Q440" i="6"/>
  <c r="M440" i="6"/>
  <c r="I440" i="6"/>
  <c r="E440" i="6"/>
  <c r="R440" i="6" s="1"/>
  <c r="Q439" i="6"/>
  <c r="M439" i="6"/>
  <c r="I439" i="6"/>
  <c r="E439" i="6"/>
  <c r="Q438" i="6"/>
  <c r="M438" i="6"/>
  <c r="I438" i="6"/>
  <c r="E438" i="6"/>
  <c r="R437" i="6"/>
  <c r="Q437" i="6"/>
  <c r="M437" i="6"/>
  <c r="I437" i="6"/>
  <c r="E437" i="6"/>
  <c r="Q436" i="6"/>
  <c r="M436" i="6"/>
  <c r="I436" i="6"/>
  <c r="R436" i="6" s="1"/>
  <c r="E436" i="6"/>
  <c r="Q435" i="6"/>
  <c r="M435" i="6"/>
  <c r="I435" i="6"/>
  <c r="E435" i="6"/>
  <c r="Q434" i="6"/>
  <c r="M434" i="6"/>
  <c r="I434" i="6"/>
  <c r="E434" i="6"/>
  <c r="Q433" i="6"/>
  <c r="M433" i="6"/>
  <c r="I433" i="6"/>
  <c r="E433" i="6"/>
  <c r="R433" i="6" s="1"/>
  <c r="R432" i="6"/>
  <c r="Q432" i="6"/>
  <c r="M432" i="6"/>
  <c r="I432" i="6"/>
  <c r="E432" i="6"/>
  <c r="Q431" i="6"/>
  <c r="M431" i="6"/>
  <c r="I431" i="6"/>
  <c r="R431" i="6" s="1"/>
  <c r="E431" i="6"/>
  <c r="R430" i="6"/>
  <c r="Q430" i="6"/>
  <c r="M430" i="6"/>
  <c r="I430" i="6"/>
  <c r="E430" i="6"/>
  <c r="Q429" i="6"/>
  <c r="M429" i="6"/>
  <c r="I429" i="6"/>
  <c r="E429" i="6"/>
  <c r="Q428" i="6"/>
  <c r="M428" i="6"/>
  <c r="I428" i="6"/>
  <c r="E428" i="6"/>
  <c r="R428" i="6" s="1"/>
  <c r="Q427" i="6"/>
  <c r="M427" i="6"/>
  <c r="I427" i="6"/>
  <c r="E427" i="6"/>
  <c r="R427" i="6" s="1"/>
  <c r="Q426" i="6"/>
  <c r="M426" i="6"/>
  <c r="I426" i="6"/>
  <c r="E426" i="6"/>
  <c r="Q425" i="6"/>
  <c r="M425" i="6"/>
  <c r="I425" i="6"/>
  <c r="E425" i="6"/>
  <c r="R425" i="6" s="1"/>
  <c r="R424" i="6"/>
  <c r="Q424" i="6"/>
  <c r="M424" i="6"/>
  <c r="I424" i="6"/>
  <c r="E424" i="6"/>
  <c r="Q423" i="6"/>
  <c r="M423" i="6"/>
  <c r="I423" i="6"/>
  <c r="R423" i="6" s="1"/>
  <c r="E423" i="6"/>
  <c r="R422" i="6"/>
  <c r="Q422" i="6"/>
  <c r="M422" i="6"/>
  <c r="I422" i="6"/>
  <c r="E422" i="6"/>
  <c r="Q421" i="6"/>
  <c r="M421" i="6"/>
  <c r="I421" i="6"/>
  <c r="R421" i="6" s="1"/>
  <c r="E421" i="6"/>
  <c r="Q420" i="6"/>
  <c r="M420" i="6"/>
  <c r="I420" i="6"/>
  <c r="E420" i="6"/>
  <c r="R420" i="6" s="1"/>
  <c r="Q419" i="6"/>
  <c r="M419" i="6"/>
  <c r="I419" i="6"/>
  <c r="E419" i="6"/>
  <c r="R419" i="6" s="1"/>
  <c r="Q418" i="6"/>
  <c r="M418" i="6"/>
  <c r="I418" i="6"/>
  <c r="E418" i="6"/>
  <c r="R418" i="6" s="1"/>
  <c r="Q417" i="6"/>
  <c r="M417" i="6"/>
  <c r="I417" i="6"/>
  <c r="E417" i="6"/>
  <c r="R417" i="6" s="1"/>
  <c r="R416" i="6"/>
  <c r="Q416" i="6"/>
  <c r="M416" i="6"/>
  <c r="I416" i="6"/>
  <c r="E416" i="6"/>
  <c r="Q415" i="6"/>
  <c r="M415" i="6"/>
  <c r="I415" i="6"/>
  <c r="R415" i="6" s="1"/>
  <c r="E415" i="6"/>
  <c r="R414" i="6"/>
  <c r="Q414" i="6"/>
  <c r="M414" i="6"/>
  <c r="I414" i="6"/>
  <c r="E414" i="6"/>
  <c r="Q413" i="6"/>
  <c r="M413" i="6"/>
  <c r="I413" i="6"/>
  <c r="E413" i="6"/>
  <c r="Q412" i="6"/>
  <c r="M412" i="6"/>
  <c r="I412" i="6"/>
  <c r="E412" i="6"/>
  <c r="R412" i="6" s="1"/>
  <c r="Q411" i="6"/>
  <c r="M411" i="6"/>
  <c r="I411" i="6"/>
  <c r="E411" i="6"/>
  <c r="R411" i="6" s="1"/>
  <c r="Q410" i="6"/>
  <c r="M410" i="6"/>
  <c r="I410" i="6"/>
  <c r="E410" i="6"/>
  <c r="R410" i="6" s="1"/>
  <c r="Q409" i="6"/>
  <c r="M409" i="6"/>
  <c r="I409" i="6"/>
  <c r="E409" i="6"/>
  <c r="R409" i="6" s="1"/>
  <c r="R408" i="6"/>
  <c r="Q408" i="6"/>
  <c r="M408" i="6"/>
  <c r="I408" i="6"/>
  <c r="E408" i="6"/>
  <c r="Q407" i="6"/>
  <c r="M407" i="6"/>
  <c r="I407" i="6"/>
  <c r="R407" i="6" s="1"/>
  <c r="E407" i="6"/>
  <c r="R406" i="6"/>
  <c r="Q406" i="6"/>
  <c r="M406" i="6"/>
  <c r="I406" i="6"/>
  <c r="E406" i="6"/>
  <c r="Q405" i="6"/>
  <c r="M405" i="6"/>
  <c r="I405" i="6"/>
  <c r="R405" i="6" s="1"/>
  <c r="E405" i="6"/>
  <c r="Q404" i="6"/>
  <c r="M404" i="6"/>
  <c r="I404" i="6"/>
  <c r="E404" i="6"/>
  <c r="R404" i="6" s="1"/>
  <c r="Q403" i="6"/>
  <c r="M403" i="6"/>
  <c r="I403" i="6"/>
  <c r="E403" i="6"/>
  <c r="R403" i="6" s="1"/>
  <c r="Q402" i="6"/>
  <c r="M402" i="6"/>
  <c r="I402" i="6"/>
  <c r="E402" i="6"/>
  <c r="Q401" i="6"/>
  <c r="M401" i="6"/>
  <c r="I401" i="6"/>
  <c r="E401" i="6"/>
  <c r="R401" i="6" s="1"/>
  <c r="R400" i="6"/>
  <c r="Q400" i="6"/>
  <c r="M400" i="6"/>
  <c r="I400" i="6"/>
  <c r="E400" i="6"/>
  <c r="Q399" i="6"/>
  <c r="M399" i="6"/>
  <c r="I399" i="6"/>
  <c r="R399" i="6" s="1"/>
  <c r="E399" i="6"/>
  <c r="R398" i="6"/>
  <c r="Q398" i="6"/>
  <c r="M398" i="6"/>
  <c r="I398" i="6"/>
  <c r="E398" i="6"/>
  <c r="Q397" i="6"/>
  <c r="M397" i="6"/>
  <c r="I397" i="6"/>
  <c r="E397" i="6"/>
  <c r="Q396" i="6"/>
  <c r="M396" i="6"/>
  <c r="I396" i="6"/>
  <c r="E396" i="6"/>
  <c r="R396" i="6" s="1"/>
  <c r="Q395" i="6"/>
  <c r="M395" i="6"/>
  <c r="I395" i="6"/>
  <c r="E395" i="6"/>
  <c r="R395" i="6" s="1"/>
  <c r="Q393" i="6"/>
  <c r="M393" i="6"/>
  <c r="K393" i="6"/>
  <c r="K853" i="6" s="1"/>
  <c r="I393" i="6"/>
  <c r="G393" i="6"/>
  <c r="F393" i="6"/>
  <c r="F853" i="6" s="1"/>
  <c r="E393" i="6"/>
  <c r="Q392" i="6"/>
  <c r="M392" i="6"/>
  <c r="I392" i="6"/>
  <c r="E392" i="6"/>
  <c r="P389" i="6"/>
  <c r="O389" i="6"/>
  <c r="Q389" i="6" s="1"/>
  <c r="N389" i="6"/>
  <c r="M389" i="6"/>
  <c r="L389" i="6"/>
  <c r="K389" i="6"/>
  <c r="J389" i="6"/>
  <c r="H389" i="6"/>
  <c r="G389" i="6"/>
  <c r="I389" i="6" s="1"/>
  <c r="F389" i="6"/>
  <c r="E389" i="6"/>
  <c r="R389" i="6" s="1"/>
  <c r="D389" i="6"/>
  <c r="C389" i="6"/>
  <c r="B389" i="6"/>
  <c r="Q387" i="6"/>
  <c r="M387" i="6"/>
  <c r="I387" i="6"/>
  <c r="E387" i="6"/>
  <c r="R387" i="6" s="1"/>
  <c r="Q386" i="6"/>
  <c r="M386" i="6"/>
  <c r="I386" i="6"/>
  <c r="E386" i="6"/>
  <c r="R386" i="6" s="1"/>
  <c r="Q385" i="6"/>
  <c r="M385" i="6"/>
  <c r="I385" i="6"/>
  <c r="E385" i="6"/>
  <c r="R385" i="6" s="1"/>
  <c r="Q384" i="6"/>
  <c r="M384" i="6"/>
  <c r="I384" i="6"/>
  <c r="E384" i="6"/>
  <c r="R384" i="6" s="1"/>
  <c r="AK383" i="6"/>
  <c r="AJ383" i="6"/>
  <c r="AI383" i="6"/>
  <c r="AG383" i="6"/>
  <c r="AF383" i="6"/>
  <c r="AE383" i="6"/>
  <c r="AH383" i="6" s="1"/>
  <c r="Y383" i="6"/>
  <c r="X383" i="6"/>
  <c r="W383" i="6"/>
  <c r="Z383" i="6" s="1"/>
  <c r="Q383" i="6"/>
  <c r="M383" i="6"/>
  <c r="I383" i="6"/>
  <c r="E383" i="6"/>
  <c r="R383" i="6" s="1"/>
  <c r="AK382" i="6"/>
  <c r="AJ382" i="6"/>
  <c r="AI382" i="6"/>
  <c r="AG382" i="6"/>
  <c r="AF382" i="6"/>
  <c r="AE382" i="6"/>
  <c r="AH382" i="6" s="1"/>
  <c r="AC382" i="6"/>
  <c r="Y382" i="6"/>
  <c r="X382" i="6"/>
  <c r="W382" i="6"/>
  <c r="Z382" i="6" s="1"/>
  <c r="Q382" i="6"/>
  <c r="M382" i="6"/>
  <c r="I382" i="6"/>
  <c r="E382" i="6"/>
  <c r="AK381" i="6"/>
  <c r="AJ381" i="6"/>
  <c r="AI381" i="6"/>
  <c r="AL381" i="6" s="1"/>
  <c r="AG381" i="6"/>
  <c r="AF381" i="6"/>
  <c r="AE381" i="6"/>
  <c r="AH381" i="6" s="1"/>
  <c r="Y381" i="6"/>
  <c r="X381" i="6"/>
  <c r="W381" i="6"/>
  <c r="Z381" i="6" s="1"/>
  <c r="Q381" i="6"/>
  <c r="M381" i="6"/>
  <c r="I381" i="6"/>
  <c r="R381" i="6" s="1"/>
  <c r="E381" i="6"/>
  <c r="AL380" i="6"/>
  <c r="AL383" i="6" s="1"/>
  <c r="AH380" i="6"/>
  <c r="AC380" i="6"/>
  <c r="AC383" i="6" s="1"/>
  <c r="AB380" i="6"/>
  <c r="AB383" i="6" s="1"/>
  <c r="AA380" i="6"/>
  <c r="Z380" i="6"/>
  <c r="R380" i="6"/>
  <c r="Q380" i="6"/>
  <c r="M380" i="6"/>
  <c r="I380" i="6"/>
  <c r="E380" i="6"/>
  <c r="Q379" i="6"/>
  <c r="M379" i="6"/>
  <c r="I379" i="6"/>
  <c r="E379" i="6"/>
  <c r="R379" i="6" s="1"/>
  <c r="W378" i="6"/>
  <c r="P375" i="6"/>
  <c r="O375" i="6"/>
  <c r="N375" i="6"/>
  <c r="N471" i="6" s="1"/>
  <c r="N476" i="6" s="1"/>
  <c r="M375" i="6"/>
  <c r="L375" i="6"/>
  <c r="K375" i="6"/>
  <c r="J375" i="6"/>
  <c r="J471" i="6" s="1"/>
  <c r="H375" i="6"/>
  <c r="H471" i="6" s="1"/>
  <c r="H476" i="6" s="1"/>
  <c r="G375" i="6"/>
  <c r="F375" i="6"/>
  <c r="E375" i="6"/>
  <c r="D375" i="6"/>
  <c r="D471" i="6" s="1"/>
  <c r="D476" i="6" s="1"/>
  <c r="C375" i="6"/>
  <c r="B375" i="6"/>
  <c r="Q373" i="6"/>
  <c r="M373" i="6"/>
  <c r="I373" i="6"/>
  <c r="E373" i="6"/>
  <c r="R373" i="6" s="1"/>
  <c r="Q372" i="6"/>
  <c r="M372" i="6"/>
  <c r="I372" i="6"/>
  <c r="E372" i="6"/>
  <c r="R372" i="6" s="1"/>
  <c r="R371" i="6"/>
  <c r="Q371" i="6"/>
  <c r="M371" i="6"/>
  <c r="I371" i="6"/>
  <c r="E371" i="6"/>
  <c r="Q370" i="6"/>
  <c r="M370" i="6"/>
  <c r="I370" i="6"/>
  <c r="R370" i="6" s="1"/>
  <c r="E370" i="6"/>
  <c r="R368" i="6"/>
  <c r="Q368" i="6"/>
  <c r="M368" i="6"/>
  <c r="I368" i="6"/>
  <c r="E368" i="6"/>
  <c r="Q367" i="6"/>
  <c r="M367" i="6"/>
  <c r="I367" i="6"/>
  <c r="E367" i="6"/>
  <c r="Q366" i="6"/>
  <c r="M366" i="6"/>
  <c r="I366" i="6"/>
  <c r="E366" i="6"/>
  <c r="R366" i="6" s="1"/>
  <c r="Q365" i="6"/>
  <c r="M365" i="6"/>
  <c r="I365" i="6"/>
  <c r="E365" i="6"/>
  <c r="R365" i="6" s="1"/>
  <c r="Q364" i="6"/>
  <c r="M364" i="6"/>
  <c r="I364" i="6"/>
  <c r="E364" i="6"/>
  <c r="Q363" i="6"/>
  <c r="M363" i="6"/>
  <c r="I363" i="6"/>
  <c r="E363" i="6"/>
  <c r="R363" i="6" s="1"/>
  <c r="R362" i="6"/>
  <c r="Q362" i="6"/>
  <c r="M362" i="6"/>
  <c r="I362" i="6"/>
  <c r="E362" i="6"/>
  <c r="Q361" i="6"/>
  <c r="M361" i="6"/>
  <c r="I361" i="6"/>
  <c r="R361" i="6" s="1"/>
  <c r="E361" i="6"/>
  <c r="R360" i="6"/>
  <c r="Q360" i="6"/>
  <c r="M360" i="6"/>
  <c r="I360" i="6"/>
  <c r="E360" i="6"/>
  <c r="Q359" i="6"/>
  <c r="M359" i="6"/>
  <c r="I359" i="6"/>
  <c r="E359" i="6"/>
  <c r="Q358" i="6"/>
  <c r="M358" i="6"/>
  <c r="I358" i="6"/>
  <c r="E358" i="6"/>
  <c r="R358" i="6" s="1"/>
  <c r="Q356" i="6"/>
  <c r="M356" i="6"/>
  <c r="I356" i="6"/>
  <c r="E356" i="6"/>
  <c r="R356" i="6" s="1"/>
  <c r="Q355" i="6"/>
  <c r="M355" i="6"/>
  <c r="I355" i="6"/>
  <c r="R355" i="6" s="1"/>
  <c r="E355" i="6"/>
  <c r="Q354" i="6"/>
  <c r="M354" i="6"/>
  <c r="I354" i="6"/>
  <c r="E354" i="6"/>
  <c r="R354" i="6" s="1"/>
  <c r="Q353" i="6"/>
  <c r="M353" i="6"/>
  <c r="I353" i="6"/>
  <c r="E353" i="6"/>
  <c r="R353" i="6" s="1"/>
  <c r="Q352" i="6"/>
  <c r="M352" i="6"/>
  <c r="I352" i="6"/>
  <c r="E352" i="6"/>
  <c r="R352" i="6" s="1"/>
  <c r="Q351" i="6"/>
  <c r="M351" i="6"/>
  <c r="I351" i="6"/>
  <c r="E351" i="6"/>
  <c r="R351" i="6" s="1"/>
  <c r="R350" i="6"/>
  <c r="Q350" i="6"/>
  <c r="M350" i="6"/>
  <c r="I350" i="6"/>
  <c r="E350" i="6"/>
  <c r="Q349" i="6"/>
  <c r="M349" i="6"/>
  <c r="I349" i="6"/>
  <c r="R349" i="6" s="1"/>
  <c r="E349" i="6"/>
  <c r="R348" i="6"/>
  <c r="Q348" i="6"/>
  <c r="M348" i="6"/>
  <c r="I348" i="6"/>
  <c r="E348" i="6"/>
  <c r="Q347" i="6"/>
  <c r="M347" i="6"/>
  <c r="I347" i="6"/>
  <c r="E347" i="6"/>
  <c r="Q346" i="6"/>
  <c r="M346" i="6"/>
  <c r="I346" i="6"/>
  <c r="E346" i="6"/>
  <c r="R346" i="6" s="1"/>
  <c r="Q345" i="6"/>
  <c r="M345" i="6"/>
  <c r="I345" i="6"/>
  <c r="E345" i="6"/>
  <c r="R345" i="6" s="1"/>
  <c r="Q344" i="6"/>
  <c r="M344" i="6"/>
  <c r="I344" i="6"/>
  <c r="E344" i="6"/>
  <c r="Q343" i="6"/>
  <c r="M343" i="6"/>
  <c r="I343" i="6"/>
  <c r="E343" i="6"/>
  <c r="R343" i="6" s="1"/>
  <c r="R342" i="6"/>
  <c r="Q342" i="6"/>
  <c r="M342" i="6"/>
  <c r="I342" i="6"/>
  <c r="E342" i="6"/>
  <c r="Q341" i="6"/>
  <c r="M341" i="6"/>
  <c r="I341" i="6"/>
  <c r="R341" i="6" s="1"/>
  <c r="E341" i="6"/>
  <c r="R340" i="6"/>
  <c r="Q340" i="6"/>
  <c r="M340" i="6"/>
  <c r="I340" i="6"/>
  <c r="E340" i="6"/>
  <c r="Q339" i="6"/>
  <c r="M339" i="6"/>
  <c r="I339" i="6"/>
  <c r="E339" i="6"/>
  <c r="Q338" i="6"/>
  <c r="M338" i="6"/>
  <c r="I338" i="6"/>
  <c r="E338" i="6"/>
  <c r="R338" i="6" s="1"/>
  <c r="Q337" i="6"/>
  <c r="M337" i="6"/>
  <c r="I337" i="6"/>
  <c r="E337" i="6"/>
  <c r="R337" i="6" s="1"/>
  <c r="Q336" i="6"/>
  <c r="M336" i="6"/>
  <c r="I336" i="6"/>
  <c r="E336" i="6"/>
  <c r="R336" i="6" s="1"/>
  <c r="Q335" i="6"/>
  <c r="M335" i="6"/>
  <c r="I335" i="6"/>
  <c r="E335" i="6"/>
  <c r="R335" i="6" s="1"/>
  <c r="R334" i="6"/>
  <c r="Q334" i="6"/>
  <c r="M334" i="6"/>
  <c r="I334" i="6"/>
  <c r="E334" i="6"/>
  <c r="Q333" i="6"/>
  <c r="M333" i="6"/>
  <c r="I333" i="6"/>
  <c r="R333" i="6" s="1"/>
  <c r="E333" i="6"/>
  <c r="R332" i="6"/>
  <c r="Q332" i="6"/>
  <c r="M332" i="6"/>
  <c r="I332" i="6"/>
  <c r="E332" i="6"/>
  <c r="Q331" i="6"/>
  <c r="M331" i="6"/>
  <c r="I331" i="6"/>
  <c r="R331" i="6" s="1"/>
  <c r="E331" i="6"/>
  <c r="Q330" i="6"/>
  <c r="M330" i="6"/>
  <c r="I330" i="6"/>
  <c r="E330" i="6"/>
  <c r="R330" i="6" s="1"/>
  <c r="Q329" i="6"/>
  <c r="M329" i="6"/>
  <c r="I329" i="6"/>
  <c r="E329" i="6"/>
  <c r="R329" i="6" s="1"/>
  <c r="Q328" i="6"/>
  <c r="M328" i="6"/>
  <c r="I328" i="6"/>
  <c r="E328" i="6"/>
  <c r="Q327" i="6"/>
  <c r="M327" i="6"/>
  <c r="I327" i="6"/>
  <c r="E327" i="6"/>
  <c r="R327" i="6" s="1"/>
  <c r="R326" i="6"/>
  <c r="Q326" i="6"/>
  <c r="M326" i="6"/>
  <c r="I326" i="6"/>
  <c r="E326" i="6"/>
  <c r="Q318" i="6"/>
  <c r="P318" i="6"/>
  <c r="O318" i="6"/>
  <c r="N318" i="6"/>
  <c r="L318" i="6"/>
  <c r="K318" i="6"/>
  <c r="J318" i="6"/>
  <c r="I318" i="6"/>
  <c r="H318" i="6"/>
  <c r="G318" i="6"/>
  <c r="F318" i="6"/>
  <c r="D318" i="6"/>
  <c r="C318" i="6"/>
  <c r="B318" i="6"/>
  <c r="R316" i="6"/>
  <c r="R318" i="6" s="1"/>
  <c r="Q316" i="6"/>
  <c r="M316" i="6"/>
  <c r="I316" i="6"/>
  <c r="E316" i="6"/>
  <c r="N307" i="6"/>
  <c r="F307" i="6"/>
  <c r="Q305" i="6"/>
  <c r="M305" i="6"/>
  <c r="I305" i="6"/>
  <c r="R305" i="6" s="1"/>
  <c r="E305" i="6"/>
  <c r="Q304" i="6"/>
  <c r="M304" i="6"/>
  <c r="I304" i="6"/>
  <c r="E304" i="6"/>
  <c r="R304" i="6" s="1"/>
  <c r="Q303" i="6"/>
  <c r="M303" i="6"/>
  <c r="I303" i="6"/>
  <c r="E303" i="6"/>
  <c r="R303" i="6" s="1"/>
  <c r="Q302" i="6"/>
  <c r="M302" i="6"/>
  <c r="I302" i="6"/>
  <c r="E302" i="6"/>
  <c r="R302" i="6" s="1"/>
  <c r="Q301" i="6"/>
  <c r="M301" i="6"/>
  <c r="I301" i="6"/>
  <c r="E301" i="6"/>
  <c r="R301" i="6" s="1"/>
  <c r="O300" i="6"/>
  <c r="Q300" i="6" s="1"/>
  <c r="N300" i="6"/>
  <c r="M300" i="6"/>
  <c r="R300" i="6" s="1"/>
  <c r="L300" i="6"/>
  <c r="I300" i="6"/>
  <c r="E300" i="6"/>
  <c r="P299" i="6"/>
  <c r="P307" i="6" s="1"/>
  <c r="N299" i="6"/>
  <c r="J299" i="6"/>
  <c r="H299" i="6"/>
  <c r="H307" i="6" s="1"/>
  <c r="F299" i="6"/>
  <c r="B299" i="6"/>
  <c r="P298" i="6"/>
  <c r="O298" i="6"/>
  <c r="Q298" i="6" s="1"/>
  <c r="N298" i="6"/>
  <c r="L298" i="6"/>
  <c r="K298" i="6"/>
  <c r="J298" i="6"/>
  <c r="I298" i="6"/>
  <c r="H298" i="6"/>
  <c r="G298" i="6"/>
  <c r="F298" i="6"/>
  <c r="D298" i="6"/>
  <c r="C298" i="6"/>
  <c r="B298" i="6"/>
  <c r="E298" i="6" s="1"/>
  <c r="P297" i="6"/>
  <c r="O297" i="6"/>
  <c r="N297" i="6"/>
  <c r="L297" i="6"/>
  <c r="K297" i="6"/>
  <c r="J297" i="6"/>
  <c r="H297" i="6"/>
  <c r="G297" i="6"/>
  <c r="F297" i="6"/>
  <c r="D297" i="6"/>
  <c r="C297" i="6"/>
  <c r="B297" i="6"/>
  <c r="E297" i="6" s="1"/>
  <c r="Q296" i="6"/>
  <c r="M296" i="6"/>
  <c r="I296" i="6"/>
  <c r="E296" i="6"/>
  <c r="R294" i="6"/>
  <c r="Q294" i="6"/>
  <c r="M294" i="6"/>
  <c r="I294" i="6"/>
  <c r="E294" i="6"/>
  <c r="Q292" i="6"/>
  <c r="M292" i="6"/>
  <c r="I292" i="6"/>
  <c r="E292" i="6"/>
  <c r="R292" i="6" s="1"/>
  <c r="Q291" i="6"/>
  <c r="M291" i="6"/>
  <c r="R291" i="6" s="1"/>
  <c r="I291" i="6"/>
  <c r="E291" i="6"/>
  <c r="Q290" i="6"/>
  <c r="M290" i="6"/>
  <c r="I290" i="6"/>
  <c r="E290" i="6"/>
  <c r="Q289" i="6"/>
  <c r="M289" i="6"/>
  <c r="I289" i="6"/>
  <c r="E289" i="6"/>
  <c r="R289" i="6" s="1"/>
  <c r="Q288" i="6"/>
  <c r="M288" i="6"/>
  <c r="I288" i="6"/>
  <c r="E288" i="6"/>
  <c r="Q287" i="6"/>
  <c r="M287" i="6"/>
  <c r="I287" i="6"/>
  <c r="E287" i="6"/>
  <c r="R287" i="6" s="1"/>
  <c r="Q286" i="6"/>
  <c r="M286" i="6"/>
  <c r="I286" i="6"/>
  <c r="E286" i="6"/>
  <c r="R286" i="6" s="1"/>
  <c r="Q285" i="6"/>
  <c r="M285" i="6"/>
  <c r="I285" i="6"/>
  <c r="E285" i="6"/>
  <c r="Q283" i="6"/>
  <c r="M283" i="6"/>
  <c r="I283" i="6"/>
  <c r="E283" i="6"/>
  <c r="R283" i="6" s="1"/>
  <c r="Q282" i="6"/>
  <c r="M282" i="6"/>
  <c r="I282" i="6"/>
  <c r="E282" i="6"/>
  <c r="R281" i="6"/>
  <c r="Q281" i="6"/>
  <c r="M281" i="6"/>
  <c r="I281" i="6"/>
  <c r="E281" i="6"/>
  <c r="P278" i="6"/>
  <c r="O278" i="6"/>
  <c r="N278" i="6"/>
  <c r="M278" i="6"/>
  <c r="L278" i="6"/>
  <c r="K278" i="6"/>
  <c r="J278" i="6"/>
  <c r="H278" i="6"/>
  <c r="G278" i="6"/>
  <c r="F278" i="6"/>
  <c r="I278" i="6" s="1"/>
  <c r="E278" i="6"/>
  <c r="D278" i="6"/>
  <c r="C278" i="6"/>
  <c r="B278" i="6"/>
  <c r="Q277" i="6"/>
  <c r="M277" i="6"/>
  <c r="I277" i="6"/>
  <c r="E277" i="6"/>
  <c r="R277" i="6" s="1"/>
  <c r="Q276" i="6"/>
  <c r="M276" i="6"/>
  <c r="I276" i="6"/>
  <c r="E276" i="6"/>
  <c r="R275" i="6"/>
  <c r="Q275" i="6"/>
  <c r="M275" i="6"/>
  <c r="I275" i="6"/>
  <c r="E275" i="6"/>
  <c r="Q274" i="6"/>
  <c r="M274" i="6"/>
  <c r="I274" i="6"/>
  <c r="E274" i="6"/>
  <c r="R274" i="6" s="1"/>
  <c r="Q273" i="6"/>
  <c r="M273" i="6"/>
  <c r="R273" i="6" s="1"/>
  <c r="I273" i="6"/>
  <c r="E273" i="6"/>
  <c r="Q272" i="6"/>
  <c r="M272" i="6"/>
  <c r="I272" i="6"/>
  <c r="R272" i="6" s="1"/>
  <c r="E272" i="6"/>
  <c r="Q271" i="6"/>
  <c r="M271" i="6"/>
  <c r="I271" i="6"/>
  <c r="E271" i="6"/>
  <c r="R271" i="6" s="1"/>
  <c r="Q270" i="6"/>
  <c r="M270" i="6"/>
  <c r="I270" i="6"/>
  <c r="E270" i="6"/>
  <c r="Q269" i="6"/>
  <c r="M269" i="6"/>
  <c r="I269" i="6"/>
  <c r="E269" i="6"/>
  <c r="Q268" i="6"/>
  <c r="M268" i="6"/>
  <c r="I268" i="6"/>
  <c r="E268" i="6"/>
  <c r="R267" i="6"/>
  <c r="Q267" i="6"/>
  <c r="M267" i="6"/>
  <c r="I267" i="6"/>
  <c r="E267" i="6"/>
  <c r="Q266" i="6"/>
  <c r="M266" i="6"/>
  <c r="I266" i="6"/>
  <c r="E266" i="6"/>
  <c r="R266" i="6" s="1"/>
  <c r="R265" i="6"/>
  <c r="Q265" i="6"/>
  <c r="M265" i="6"/>
  <c r="I265" i="6"/>
  <c r="E265" i="6"/>
  <c r="Q264" i="6"/>
  <c r="M264" i="6"/>
  <c r="I264" i="6"/>
  <c r="R264" i="6" s="1"/>
  <c r="E264" i="6"/>
  <c r="R263" i="6"/>
  <c r="Q263" i="6"/>
  <c r="M263" i="6"/>
  <c r="I263" i="6"/>
  <c r="E263" i="6"/>
  <c r="Q262" i="6"/>
  <c r="M262" i="6"/>
  <c r="I262" i="6"/>
  <c r="E262" i="6"/>
  <c r="R262" i="6" s="1"/>
  <c r="Q261" i="6"/>
  <c r="M261" i="6"/>
  <c r="I261" i="6"/>
  <c r="E261" i="6"/>
  <c r="R261" i="6" s="1"/>
  <c r="Q260" i="6"/>
  <c r="M260" i="6"/>
  <c r="I260" i="6"/>
  <c r="E260" i="6"/>
  <c r="R260" i="6" s="1"/>
  <c r="Q259" i="6"/>
  <c r="M259" i="6"/>
  <c r="I259" i="6"/>
  <c r="E259" i="6"/>
  <c r="R259" i="6" s="1"/>
  <c r="Q258" i="6"/>
  <c r="M258" i="6"/>
  <c r="I258" i="6"/>
  <c r="E258" i="6"/>
  <c r="Q257" i="6"/>
  <c r="M257" i="6"/>
  <c r="R257" i="6" s="1"/>
  <c r="I257" i="6"/>
  <c r="E257" i="6"/>
  <c r="Q256" i="6"/>
  <c r="M256" i="6"/>
  <c r="I256" i="6"/>
  <c r="E256" i="6"/>
  <c r="R255" i="6"/>
  <c r="Q255" i="6"/>
  <c r="M255" i="6"/>
  <c r="I255" i="6"/>
  <c r="E255" i="6"/>
  <c r="Q254" i="6"/>
  <c r="M254" i="6"/>
  <c r="I254" i="6"/>
  <c r="E254" i="6"/>
  <c r="Q253" i="6"/>
  <c r="M253" i="6"/>
  <c r="I253" i="6"/>
  <c r="E253" i="6"/>
  <c r="R253" i="6" s="1"/>
  <c r="Q252" i="6"/>
  <c r="M252" i="6"/>
  <c r="I252" i="6"/>
  <c r="E252" i="6"/>
  <c r="Q251" i="6"/>
  <c r="M251" i="6"/>
  <c r="I251" i="6"/>
  <c r="E251" i="6"/>
  <c r="R251" i="6" s="1"/>
  <c r="Q250" i="6"/>
  <c r="M250" i="6"/>
  <c r="I250" i="6"/>
  <c r="E250" i="6"/>
  <c r="R250" i="6" s="1"/>
  <c r="Q249" i="6"/>
  <c r="M249" i="6"/>
  <c r="R249" i="6" s="1"/>
  <c r="I249" i="6"/>
  <c r="E249" i="6"/>
  <c r="Q248" i="6"/>
  <c r="M248" i="6"/>
  <c r="I248" i="6"/>
  <c r="R248" i="6" s="1"/>
  <c r="E248" i="6"/>
  <c r="R247" i="6"/>
  <c r="Q247" i="6"/>
  <c r="M247" i="6"/>
  <c r="I247" i="6"/>
  <c r="E247" i="6"/>
  <c r="Q246" i="6"/>
  <c r="M246" i="6"/>
  <c r="I246" i="6"/>
  <c r="E246" i="6"/>
  <c r="Q245" i="6"/>
  <c r="M245" i="6"/>
  <c r="I245" i="6"/>
  <c r="E245" i="6"/>
  <c r="Q244" i="6"/>
  <c r="M244" i="6"/>
  <c r="I244" i="6"/>
  <c r="E244" i="6"/>
  <c r="R244" i="6" s="1"/>
  <c r="Q243" i="6"/>
  <c r="M243" i="6"/>
  <c r="I243" i="6"/>
  <c r="E243" i="6"/>
  <c r="R243" i="6" s="1"/>
  <c r="Q242" i="6"/>
  <c r="M242" i="6"/>
  <c r="I242" i="6"/>
  <c r="E242" i="6"/>
  <c r="R241" i="6"/>
  <c r="Q241" i="6"/>
  <c r="M241" i="6"/>
  <c r="I241" i="6"/>
  <c r="E241" i="6"/>
  <c r="Q240" i="6"/>
  <c r="M240" i="6"/>
  <c r="I240" i="6"/>
  <c r="R240" i="6" s="1"/>
  <c r="E240" i="6"/>
  <c r="Q239" i="6"/>
  <c r="M239" i="6"/>
  <c r="I239" i="6"/>
  <c r="E239" i="6"/>
  <c r="R239" i="6" s="1"/>
  <c r="Q238" i="6"/>
  <c r="M238" i="6"/>
  <c r="I238" i="6"/>
  <c r="E238" i="6"/>
  <c r="Q237" i="6"/>
  <c r="M237" i="6"/>
  <c r="I237" i="6"/>
  <c r="E237" i="6"/>
  <c r="Q236" i="6"/>
  <c r="M236" i="6"/>
  <c r="I236" i="6"/>
  <c r="E236" i="6"/>
  <c r="Q235" i="6"/>
  <c r="M235" i="6"/>
  <c r="I235" i="6"/>
  <c r="E235" i="6"/>
  <c r="R235" i="6" s="1"/>
  <c r="Q234" i="6"/>
  <c r="M234" i="6"/>
  <c r="I234" i="6"/>
  <c r="E234" i="6"/>
  <c r="R234" i="6" s="1"/>
  <c r="R233" i="6"/>
  <c r="Q233" i="6"/>
  <c r="M233" i="6"/>
  <c r="I233" i="6"/>
  <c r="E233" i="6"/>
  <c r="Q232" i="6"/>
  <c r="M232" i="6"/>
  <c r="I232" i="6"/>
  <c r="E232" i="6"/>
  <c r="Q231" i="6"/>
  <c r="M231" i="6"/>
  <c r="I231" i="6"/>
  <c r="E231" i="6"/>
  <c r="R231" i="6" s="1"/>
  <c r="Q230" i="6"/>
  <c r="M230" i="6"/>
  <c r="I230" i="6"/>
  <c r="R230" i="6" s="1"/>
  <c r="E230" i="6"/>
  <c r="Q229" i="6"/>
  <c r="M229" i="6"/>
  <c r="I229" i="6"/>
  <c r="E229" i="6"/>
  <c r="Q228" i="6"/>
  <c r="M228" i="6"/>
  <c r="I228" i="6"/>
  <c r="E228" i="6"/>
  <c r="R228" i="6" s="1"/>
  <c r="Q227" i="6"/>
  <c r="M227" i="6"/>
  <c r="I227" i="6"/>
  <c r="E227" i="6"/>
  <c r="R227" i="6" s="1"/>
  <c r="Q226" i="6"/>
  <c r="M226" i="6"/>
  <c r="I226" i="6"/>
  <c r="E226" i="6"/>
  <c r="R225" i="6"/>
  <c r="Q225" i="6"/>
  <c r="M225" i="6"/>
  <c r="I225" i="6"/>
  <c r="E225" i="6"/>
  <c r="Q224" i="6"/>
  <c r="M224" i="6"/>
  <c r="I224" i="6"/>
  <c r="E224" i="6"/>
  <c r="Q223" i="6"/>
  <c r="M223" i="6"/>
  <c r="I223" i="6"/>
  <c r="E223" i="6"/>
  <c r="R223" i="6" s="1"/>
  <c r="Q222" i="6"/>
  <c r="M222" i="6"/>
  <c r="I222" i="6"/>
  <c r="R222" i="6" s="1"/>
  <c r="E222" i="6"/>
  <c r="Q221" i="6"/>
  <c r="M221" i="6"/>
  <c r="I221" i="6"/>
  <c r="E221" i="6"/>
  <c r="R221" i="6" s="1"/>
  <c r="Q220" i="6"/>
  <c r="M220" i="6"/>
  <c r="I220" i="6"/>
  <c r="E220" i="6"/>
  <c r="R219" i="6"/>
  <c r="Q219" i="6"/>
  <c r="M219" i="6"/>
  <c r="I219" i="6"/>
  <c r="E219" i="6"/>
  <c r="Q218" i="6"/>
  <c r="M218" i="6"/>
  <c r="I218" i="6"/>
  <c r="E218" i="6"/>
  <c r="R218" i="6" s="1"/>
  <c r="Q217" i="6"/>
  <c r="M217" i="6"/>
  <c r="R217" i="6" s="1"/>
  <c r="I217" i="6"/>
  <c r="E217" i="6"/>
  <c r="Q213" i="6"/>
  <c r="P213" i="6"/>
  <c r="O213" i="6"/>
  <c r="N213" i="6"/>
  <c r="M213" i="6"/>
  <c r="L213" i="6"/>
  <c r="K213" i="6"/>
  <c r="J213" i="6"/>
  <c r="I213" i="6"/>
  <c r="D213" i="6"/>
  <c r="C213" i="6"/>
  <c r="B213" i="6"/>
  <c r="Q211" i="6"/>
  <c r="M211" i="6"/>
  <c r="I211" i="6"/>
  <c r="E211" i="6"/>
  <c r="R210" i="6"/>
  <c r="Q210" i="6"/>
  <c r="M210" i="6"/>
  <c r="I210" i="6"/>
  <c r="E210" i="6"/>
  <c r="Q206" i="6"/>
  <c r="P206" i="6"/>
  <c r="O206" i="6"/>
  <c r="N206" i="6"/>
  <c r="M206" i="6"/>
  <c r="L206" i="6"/>
  <c r="L299" i="6" s="1"/>
  <c r="L307" i="6" s="1"/>
  <c r="K206" i="6"/>
  <c r="J206" i="6"/>
  <c r="I206" i="6"/>
  <c r="H206" i="6"/>
  <c r="G206" i="6"/>
  <c r="G299" i="6" s="1"/>
  <c r="G307" i="6" s="1"/>
  <c r="F206" i="6"/>
  <c r="E206" i="6"/>
  <c r="D206" i="6"/>
  <c r="D299" i="6" s="1"/>
  <c r="D307" i="6" s="1"/>
  <c r="C206" i="6"/>
  <c r="C299" i="6" s="1"/>
  <c r="C307" i="6" s="1"/>
  <c r="B206" i="6"/>
  <c r="R204" i="6"/>
  <c r="Q204" i="6"/>
  <c r="M204" i="6"/>
  <c r="I204" i="6"/>
  <c r="E204" i="6"/>
  <c r="Q203" i="6"/>
  <c r="M203" i="6"/>
  <c r="I203" i="6"/>
  <c r="E203" i="6"/>
  <c r="R203" i="6" s="1"/>
  <c r="Q202" i="6"/>
  <c r="M202" i="6"/>
  <c r="R202" i="6" s="1"/>
  <c r="I202" i="6"/>
  <c r="E202" i="6"/>
  <c r="Q200" i="6"/>
  <c r="M200" i="6"/>
  <c r="I200" i="6"/>
  <c r="R200" i="6" s="1"/>
  <c r="E200" i="6"/>
  <c r="R199" i="6"/>
  <c r="Q199" i="6"/>
  <c r="M199" i="6"/>
  <c r="I199" i="6"/>
  <c r="E199" i="6"/>
  <c r="Q198" i="6"/>
  <c r="M198" i="6"/>
  <c r="I198" i="6"/>
  <c r="R198" i="6" s="1"/>
  <c r="E198" i="6"/>
  <c r="Q197" i="6"/>
  <c r="M197" i="6"/>
  <c r="I197" i="6"/>
  <c r="E197" i="6"/>
  <c r="Q196" i="6"/>
  <c r="M196" i="6"/>
  <c r="I196" i="6"/>
  <c r="E196" i="6"/>
  <c r="R196" i="6" s="1"/>
  <c r="R195" i="6"/>
  <c r="Q195" i="6"/>
  <c r="M195" i="6"/>
  <c r="I195" i="6"/>
  <c r="E195" i="6"/>
  <c r="Q194" i="6"/>
  <c r="M194" i="6"/>
  <c r="I194" i="6"/>
  <c r="E194" i="6"/>
  <c r="R194" i="6" s="1"/>
  <c r="R193" i="6"/>
  <c r="Q193" i="6"/>
  <c r="M193" i="6"/>
  <c r="I193" i="6"/>
  <c r="E193" i="6"/>
  <c r="Q192" i="6"/>
  <c r="M192" i="6"/>
  <c r="I192" i="6"/>
  <c r="R192" i="6" s="1"/>
  <c r="E192" i="6"/>
  <c r="R191" i="6"/>
  <c r="Q191" i="6"/>
  <c r="M191" i="6"/>
  <c r="I191" i="6"/>
  <c r="E191" i="6"/>
  <c r="Q189" i="6"/>
  <c r="M189" i="6"/>
  <c r="I189" i="6"/>
  <c r="R189" i="6" s="1"/>
  <c r="E189" i="6"/>
  <c r="Q188" i="6"/>
  <c r="M188" i="6"/>
  <c r="I188" i="6"/>
  <c r="R188" i="6" s="1"/>
  <c r="E188" i="6"/>
  <c r="R187" i="6"/>
  <c r="Q187" i="6"/>
  <c r="M187" i="6"/>
  <c r="I187" i="6"/>
  <c r="E187" i="6"/>
  <c r="Q186" i="6"/>
  <c r="M186" i="6"/>
  <c r="I186" i="6"/>
  <c r="R186" i="6" s="1"/>
  <c r="E186" i="6"/>
  <c r="Q185" i="6"/>
  <c r="M185" i="6"/>
  <c r="I185" i="6"/>
  <c r="E185" i="6"/>
  <c r="Q184" i="6"/>
  <c r="M184" i="6"/>
  <c r="I184" i="6"/>
  <c r="E184" i="6"/>
  <c r="R184" i="6" s="1"/>
  <c r="R183" i="6"/>
  <c r="Q183" i="6"/>
  <c r="M183" i="6"/>
  <c r="I183" i="6"/>
  <c r="E183" i="6"/>
  <c r="Q182" i="6"/>
  <c r="M182" i="6"/>
  <c r="I182" i="6"/>
  <c r="E182" i="6"/>
  <c r="R182" i="6" s="1"/>
  <c r="R181" i="6"/>
  <c r="Q181" i="6"/>
  <c r="M181" i="6"/>
  <c r="I181" i="6"/>
  <c r="E181" i="6"/>
  <c r="Q180" i="6"/>
  <c r="M180" i="6"/>
  <c r="I180" i="6"/>
  <c r="R180" i="6" s="1"/>
  <c r="E180" i="6"/>
  <c r="R179" i="6"/>
  <c r="Q179" i="6"/>
  <c r="M179" i="6"/>
  <c r="I179" i="6"/>
  <c r="E179" i="6"/>
  <c r="Q178" i="6"/>
  <c r="M178" i="6"/>
  <c r="I178" i="6"/>
  <c r="R178" i="6" s="1"/>
  <c r="E178" i="6"/>
  <c r="Q177" i="6"/>
  <c r="M177" i="6"/>
  <c r="I177" i="6"/>
  <c r="E177" i="6"/>
  <c r="R177" i="6" s="1"/>
  <c r="Q176" i="6"/>
  <c r="M176" i="6"/>
  <c r="I176" i="6"/>
  <c r="E176" i="6"/>
  <c r="R176" i="6" s="1"/>
  <c r="Q175" i="6"/>
  <c r="M175" i="6"/>
  <c r="I175" i="6"/>
  <c r="E175" i="6"/>
  <c r="R175" i="6" s="1"/>
  <c r="Q174" i="6"/>
  <c r="M174" i="6"/>
  <c r="I174" i="6"/>
  <c r="E174" i="6"/>
  <c r="Q173" i="6"/>
  <c r="M173" i="6"/>
  <c r="R173" i="6" s="1"/>
  <c r="I173" i="6"/>
  <c r="E173" i="6"/>
  <c r="Q172" i="6"/>
  <c r="M172" i="6"/>
  <c r="I172" i="6"/>
  <c r="E172" i="6"/>
  <c r="R171" i="6"/>
  <c r="Q171" i="6"/>
  <c r="M171" i="6"/>
  <c r="I171" i="6"/>
  <c r="E171" i="6"/>
  <c r="Q170" i="6"/>
  <c r="M170" i="6"/>
  <c r="I170" i="6"/>
  <c r="E170" i="6"/>
  <c r="Q169" i="6"/>
  <c r="M169" i="6"/>
  <c r="I169" i="6"/>
  <c r="E169" i="6"/>
  <c r="R169" i="6" s="1"/>
  <c r="Q168" i="6"/>
  <c r="M168" i="6"/>
  <c r="I168" i="6"/>
  <c r="E168" i="6"/>
  <c r="Q167" i="6"/>
  <c r="M167" i="6"/>
  <c r="I167" i="6"/>
  <c r="E167" i="6"/>
  <c r="R167" i="6" s="1"/>
  <c r="Q166" i="6"/>
  <c r="M166" i="6"/>
  <c r="I166" i="6"/>
  <c r="E166" i="6"/>
  <c r="R166" i="6" s="1"/>
  <c r="Q165" i="6"/>
  <c r="M165" i="6"/>
  <c r="R165" i="6" s="1"/>
  <c r="I165" i="6"/>
  <c r="E165" i="6"/>
  <c r="Q164" i="6"/>
  <c r="M164" i="6"/>
  <c r="I164" i="6"/>
  <c r="R164" i="6" s="1"/>
  <c r="E164" i="6"/>
  <c r="R163" i="6"/>
  <c r="Q163" i="6"/>
  <c r="M163" i="6"/>
  <c r="I163" i="6"/>
  <c r="E163" i="6"/>
  <c r="Q162" i="6"/>
  <c r="M162" i="6"/>
  <c r="I162" i="6"/>
  <c r="E162" i="6"/>
  <c r="R162" i="6" s="1"/>
  <c r="Q161" i="6"/>
  <c r="M161" i="6"/>
  <c r="I161" i="6"/>
  <c r="E161" i="6"/>
  <c r="Q160" i="6"/>
  <c r="M160" i="6"/>
  <c r="I160" i="6"/>
  <c r="E160" i="6"/>
  <c r="R160" i="6" s="1"/>
  <c r="Q159" i="6"/>
  <c r="M159" i="6"/>
  <c r="I159" i="6"/>
  <c r="E159" i="6"/>
  <c r="R159" i="6" s="1"/>
  <c r="Q158" i="6"/>
  <c r="M158" i="6"/>
  <c r="I158" i="6"/>
  <c r="E158" i="6"/>
  <c r="R157" i="6"/>
  <c r="Q157" i="6"/>
  <c r="M157" i="6"/>
  <c r="I157" i="6"/>
  <c r="E157" i="6"/>
  <c r="Q156" i="6"/>
  <c r="M156" i="6"/>
  <c r="I156" i="6"/>
  <c r="R156" i="6" s="1"/>
  <c r="E156" i="6"/>
  <c r="Q155" i="6"/>
  <c r="M155" i="6"/>
  <c r="I155" i="6"/>
  <c r="E155" i="6"/>
  <c r="R155" i="6" s="1"/>
  <c r="Q154" i="6"/>
  <c r="M154" i="6"/>
  <c r="I154" i="6"/>
  <c r="E154" i="6"/>
  <c r="Q153" i="6"/>
  <c r="M153" i="6"/>
  <c r="I153" i="6"/>
  <c r="E153" i="6"/>
  <c r="Q152" i="6"/>
  <c r="M152" i="6"/>
  <c r="I152" i="6"/>
  <c r="E152" i="6"/>
  <c r="Q151" i="6"/>
  <c r="M151" i="6"/>
  <c r="I151" i="6"/>
  <c r="E151" i="6"/>
  <c r="R151" i="6" s="1"/>
  <c r="Q150" i="6"/>
  <c r="M150" i="6"/>
  <c r="I150" i="6"/>
  <c r="R150" i="6" s="1"/>
  <c r="E150" i="6"/>
  <c r="R149" i="6"/>
  <c r="Q149" i="6"/>
  <c r="M149" i="6"/>
  <c r="I149" i="6"/>
  <c r="E149" i="6"/>
  <c r="R148" i="6"/>
  <c r="Q148" i="6"/>
  <c r="M148" i="6"/>
  <c r="I148" i="6"/>
  <c r="E148" i="6"/>
  <c r="Q147" i="6"/>
  <c r="M147" i="6"/>
  <c r="I147" i="6"/>
  <c r="R147" i="6" s="1"/>
  <c r="E147" i="6"/>
  <c r="Q146" i="6"/>
  <c r="M146" i="6"/>
  <c r="I146" i="6"/>
  <c r="E146" i="6"/>
  <c r="Q145" i="6"/>
  <c r="M145" i="6"/>
  <c r="I145" i="6"/>
  <c r="E145" i="6"/>
  <c r="Q144" i="6"/>
  <c r="M144" i="6"/>
  <c r="I144" i="6"/>
  <c r="E144" i="6"/>
  <c r="R144" i="6" s="1"/>
  <c r="R143" i="6"/>
  <c r="Q143" i="6"/>
  <c r="M143" i="6"/>
  <c r="I143" i="6"/>
  <c r="E143" i="6"/>
  <c r="Q142" i="6"/>
  <c r="M142" i="6"/>
  <c r="I142" i="6"/>
  <c r="R142" i="6" s="1"/>
  <c r="E142" i="6"/>
  <c r="R141" i="6"/>
  <c r="Q141" i="6"/>
  <c r="M141" i="6"/>
  <c r="I141" i="6"/>
  <c r="E141" i="6"/>
  <c r="Q129" i="6"/>
  <c r="M129" i="6"/>
  <c r="I129" i="6"/>
  <c r="R129" i="6" s="1"/>
  <c r="E129" i="6"/>
  <c r="P127" i="6"/>
  <c r="O127" i="6"/>
  <c r="Q127" i="6" s="1"/>
  <c r="N127" i="6"/>
  <c r="M127" i="6"/>
  <c r="L127" i="6"/>
  <c r="K127" i="6"/>
  <c r="J127" i="6"/>
  <c r="H127" i="6"/>
  <c r="G127" i="6"/>
  <c r="I127" i="6" s="1"/>
  <c r="F127" i="6"/>
  <c r="E127" i="6"/>
  <c r="D127" i="6"/>
  <c r="C127" i="6"/>
  <c r="B127" i="6"/>
  <c r="P126" i="6"/>
  <c r="O126" i="6"/>
  <c r="N126" i="6"/>
  <c r="Q126" i="6" s="1"/>
  <c r="L126" i="6"/>
  <c r="K126" i="6"/>
  <c r="J126" i="6"/>
  <c r="M126" i="6" s="1"/>
  <c r="H126" i="6"/>
  <c r="G126" i="6"/>
  <c r="F126" i="6"/>
  <c r="I126" i="6" s="1"/>
  <c r="D126" i="6"/>
  <c r="C126" i="6"/>
  <c r="B126" i="6"/>
  <c r="E126" i="6" s="1"/>
  <c r="Q125" i="6"/>
  <c r="M125" i="6"/>
  <c r="I125" i="6"/>
  <c r="E125" i="6"/>
  <c r="R125" i="6" s="1"/>
  <c r="Q124" i="6"/>
  <c r="M124" i="6"/>
  <c r="I124" i="6"/>
  <c r="E124" i="6"/>
  <c r="R124" i="6" s="1"/>
  <c r="Q122" i="6"/>
  <c r="M122" i="6"/>
  <c r="I122" i="6"/>
  <c r="E122" i="6"/>
  <c r="R122" i="6" s="1"/>
  <c r="Q120" i="6"/>
  <c r="M120" i="6"/>
  <c r="I120" i="6"/>
  <c r="E120" i="6"/>
  <c r="R120" i="6" s="1"/>
  <c r="Q119" i="6"/>
  <c r="M119" i="6"/>
  <c r="I119" i="6"/>
  <c r="E119" i="6"/>
  <c r="R119" i="6" s="1"/>
  <c r="R117" i="6"/>
  <c r="Q117" i="6"/>
  <c r="M117" i="6"/>
  <c r="I117" i="6"/>
  <c r="E117" i="6"/>
  <c r="Q116" i="6"/>
  <c r="M116" i="6"/>
  <c r="I116" i="6"/>
  <c r="R116" i="6" s="1"/>
  <c r="E116" i="6"/>
  <c r="R115" i="6"/>
  <c r="Q115" i="6"/>
  <c r="M115" i="6"/>
  <c r="I115" i="6"/>
  <c r="E115" i="6"/>
  <c r="Q114" i="6"/>
  <c r="M114" i="6"/>
  <c r="I114" i="6"/>
  <c r="E114" i="6"/>
  <c r="R114" i="6" s="1"/>
  <c r="Q113" i="6"/>
  <c r="M113" i="6"/>
  <c r="I113" i="6"/>
  <c r="E113" i="6"/>
  <c r="R113" i="6" s="1"/>
  <c r="Q112" i="6"/>
  <c r="M112" i="6"/>
  <c r="I112" i="6"/>
  <c r="E112" i="6"/>
  <c r="R112" i="6" s="1"/>
  <c r="Q111" i="6"/>
  <c r="M111" i="6"/>
  <c r="I111" i="6"/>
  <c r="E111" i="6"/>
  <c r="R111" i="6" s="1"/>
  <c r="Q110" i="6"/>
  <c r="M110" i="6"/>
  <c r="I110" i="6"/>
  <c r="E110" i="6"/>
  <c r="R110" i="6" s="1"/>
  <c r="P107" i="6"/>
  <c r="Q107" i="6" s="1"/>
  <c r="O107" i="6"/>
  <c r="N107" i="6"/>
  <c r="L107" i="6"/>
  <c r="K107" i="6"/>
  <c r="J107" i="6"/>
  <c r="M107" i="6" s="1"/>
  <c r="H107" i="6"/>
  <c r="I107" i="6" s="1"/>
  <c r="G107" i="6"/>
  <c r="F107" i="6"/>
  <c r="D107" i="6"/>
  <c r="C107" i="6"/>
  <c r="B107" i="6"/>
  <c r="E107" i="6" s="1"/>
  <c r="R107" i="6" s="1"/>
  <c r="Q106" i="6"/>
  <c r="M106" i="6"/>
  <c r="I106" i="6"/>
  <c r="E106" i="6"/>
  <c r="R106" i="6" s="1"/>
  <c r="Q105" i="6"/>
  <c r="M105" i="6"/>
  <c r="I105" i="6"/>
  <c r="E105" i="6"/>
  <c r="R105" i="6" s="1"/>
  <c r="Q104" i="6"/>
  <c r="M104" i="6"/>
  <c r="I104" i="6"/>
  <c r="E104" i="6"/>
  <c r="R104" i="6" s="1"/>
  <c r="R103" i="6"/>
  <c r="Q103" i="6"/>
  <c r="M103" i="6"/>
  <c r="I103" i="6"/>
  <c r="E103" i="6"/>
  <c r="Q102" i="6"/>
  <c r="M102" i="6"/>
  <c r="I102" i="6"/>
  <c r="R102" i="6" s="1"/>
  <c r="E102" i="6"/>
  <c r="R101" i="6"/>
  <c r="Q101" i="6"/>
  <c r="M101" i="6"/>
  <c r="I101" i="6"/>
  <c r="E101" i="6"/>
  <c r="Q100" i="6"/>
  <c r="M100" i="6"/>
  <c r="I100" i="6"/>
  <c r="E100" i="6"/>
  <c r="R100" i="6" s="1"/>
  <c r="P96" i="6"/>
  <c r="P128" i="6" s="1"/>
  <c r="P131" i="6" s="1"/>
  <c r="O96" i="6"/>
  <c r="N96" i="6"/>
  <c r="Q96" i="6" s="1"/>
  <c r="L96" i="6"/>
  <c r="L128" i="6" s="1"/>
  <c r="L131" i="6" s="1"/>
  <c r="K96" i="6"/>
  <c r="J96" i="6"/>
  <c r="M96" i="6" s="1"/>
  <c r="H96" i="6"/>
  <c r="H128" i="6" s="1"/>
  <c r="H131" i="6" s="1"/>
  <c r="G96" i="6"/>
  <c r="F96" i="6"/>
  <c r="F128" i="6" s="1"/>
  <c r="D96" i="6"/>
  <c r="D128" i="6" s="1"/>
  <c r="D131" i="6" s="1"/>
  <c r="C96" i="6"/>
  <c r="B96" i="6"/>
  <c r="E96" i="6" s="1"/>
  <c r="Q94" i="6"/>
  <c r="M94" i="6"/>
  <c r="I94" i="6"/>
  <c r="R94" i="6" s="1"/>
  <c r="E94" i="6"/>
  <c r="R93" i="6"/>
  <c r="Q93" i="6"/>
  <c r="M93" i="6"/>
  <c r="I93" i="6"/>
  <c r="E93" i="6"/>
  <c r="Q89" i="6"/>
  <c r="P89" i="6"/>
  <c r="O89" i="6"/>
  <c r="O128" i="6" s="1"/>
  <c r="O131" i="6" s="1"/>
  <c r="N89" i="6"/>
  <c r="L89" i="6"/>
  <c r="K89" i="6"/>
  <c r="K128" i="6" s="1"/>
  <c r="K131" i="6" s="1"/>
  <c r="J89" i="6"/>
  <c r="J128" i="6" s="1"/>
  <c r="I89" i="6"/>
  <c r="H89" i="6"/>
  <c r="G89" i="6"/>
  <c r="G128" i="6" s="1"/>
  <c r="G131" i="6" s="1"/>
  <c r="F89" i="6"/>
  <c r="D89" i="6"/>
  <c r="C89" i="6"/>
  <c r="C128" i="6" s="1"/>
  <c r="C131" i="6" s="1"/>
  <c r="B89" i="6"/>
  <c r="B128" i="6" s="1"/>
  <c r="R87" i="6"/>
  <c r="Q87" i="6"/>
  <c r="M87" i="6"/>
  <c r="I87" i="6"/>
  <c r="E87" i="6"/>
  <c r="Q86" i="6"/>
  <c r="M86" i="6"/>
  <c r="I86" i="6"/>
  <c r="R86" i="6" s="1"/>
  <c r="E86" i="6"/>
  <c r="R84" i="6"/>
  <c r="Q84" i="6"/>
  <c r="M84" i="6"/>
  <c r="I84" i="6"/>
  <c r="E84" i="6"/>
  <c r="R82" i="6"/>
  <c r="Q82" i="6"/>
  <c r="M82" i="6"/>
  <c r="I82" i="6"/>
  <c r="E82" i="6"/>
  <c r="Q81" i="6"/>
  <c r="M81" i="6"/>
  <c r="I81" i="6"/>
  <c r="R81" i="6" s="1"/>
  <c r="E81" i="6"/>
  <c r="R80" i="6"/>
  <c r="Q80" i="6"/>
  <c r="M80" i="6"/>
  <c r="I80" i="6"/>
  <c r="E80" i="6"/>
  <c r="Q79" i="6"/>
  <c r="M79" i="6"/>
  <c r="I79" i="6"/>
  <c r="R79" i="6" s="1"/>
  <c r="E79" i="6"/>
  <c r="Q78" i="6"/>
  <c r="M78" i="6"/>
  <c r="I78" i="6"/>
  <c r="E78" i="6"/>
  <c r="R78" i="6" s="1"/>
  <c r="Q77" i="6"/>
  <c r="M77" i="6"/>
  <c r="I77" i="6"/>
  <c r="E77" i="6"/>
  <c r="R77" i="6" s="1"/>
  <c r="Q76" i="6"/>
  <c r="M76" i="6"/>
  <c r="I76" i="6"/>
  <c r="E76" i="6"/>
  <c r="R76" i="6" s="1"/>
  <c r="Q75" i="6"/>
  <c r="M75" i="6"/>
  <c r="I75" i="6"/>
  <c r="E75" i="6"/>
  <c r="R75" i="6" s="1"/>
  <c r="R74" i="6"/>
  <c r="Q74" i="6"/>
  <c r="M74" i="6"/>
  <c r="I74" i="6"/>
  <c r="E74" i="6"/>
  <c r="Q73" i="6"/>
  <c r="M73" i="6"/>
  <c r="I73" i="6"/>
  <c r="R73" i="6" s="1"/>
  <c r="E73" i="6"/>
  <c r="R72" i="6"/>
  <c r="Q72" i="6"/>
  <c r="M72" i="6"/>
  <c r="I72" i="6"/>
  <c r="E72" i="6"/>
  <c r="Q60" i="6"/>
  <c r="M60" i="6"/>
  <c r="I60" i="6"/>
  <c r="E60" i="6"/>
  <c r="R60" i="6" s="1"/>
  <c r="Q58" i="6"/>
  <c r="P58" i="6"/>
  <c r="O58" i="6"/>
  <c r="N58" i="6"/>
  <c r="L58" i="6"/>
  <c r="K58" i="6"/>
  <c r="J58" i="6"/>
  <c r="M58" i="6" s="1"/>
  <c r="I58" i="6"/>
  <c r="H58" i="6"/>
  <c r="G58" i="6"/>
  <c r="F58" i="6"/>
  <c r="D58" i="6"/>
  <c r="C58" i="6"/>
  <c r="B58" i="6"/>
  <c r="E58" i="6" s="1"/>
  <c r="P57" i="6"/>
  <c r="O57" i="6"/>
  <c r="N57" i="6"/>
  <c r="Q57" i="6" s="1"/>
  <c r="L57" i="6"/>
  <c r="K57" i="6"/>
  <c r="J57" i="6"/>
  <c r="M57" i="6" s="1"/>
  <c r="H57" i="6"/>
  <c r="G57" i="6"/>
  <c r="F57" i="6"/>
  <c r="I57" i="6" s="1"/>
  <c r="D57" i="6"/>
  <c r="C57" i="6"/>
  <c r="B57" i="6"/>
  <c r="E57" i="6" s="1"/>
  <c r="Q54" i="6"/>
  <c r="M54" i="6"/>
  <c r="I54" i="6"/>
  <c r="E54" i="6"/>
  <c r="R54" i="6" s="1"/>
  <c r="P50" i="6"/>
  <c r="P59" i="6" s="1"/>
  <c r="P62" i="6" s="1"/>
  <c r="O50" i="6"/>
  <c r="N50" i="6"/>
  <c r="N59" i="6" s="1"/>
  <c r="L50" i="6"/>
  <c r="K50" i="6"/>
  <c r="J50" i="6"/>
  <c r="M50" i="6" s="1"/>
  <c r="H50" i="6"/>
  <c r="H59" i="6" s="1"/>
  <c r="H62" i="6" s="1"/>
  <c r="G50" i="6"/>
  <c r="F50" i="6"/>
  <c r="I50" i="6" s="1"/>
  <c r="D50" i="6"/>
  <c r="C50" i="6"/>
  <c r="B50" i="6"/>
  <c r="E50" i="6" s="1"/>
  <c r="Q46" i="6"/>
  <c r="P46" i="6"/>
  <c r="O46" i="6"/>
  <c r="N46" i="6"/>
  <c r="L46" i="6"/>
  <c r="K46" i="6"/>
  <c r="J46" i="6"/>
  <c r="M46" i="6" s="1"/>
  <c r="I46" i="6"/>
  <c r="H46" i="6"/>
  <c r="G46" i="6"/>
  <c r="F46" i="6"/>
  <c r="D46" i="6"/>
  <c r="C46" i="6"/>
  <c r="B46" i="6"/>
  <c r="E46" i="6" s="1"/>
  <c r="P41" i="6"/>
  <c r="O41" i="6"/>
  <c r="O59" i="6" s="1"/>
  <c r="O62" i="6" s="1"/>
  <c r="N41" i="6"/>
  <c r="Q41" i="6" s="1"/>
  <c r="L41" i="6"/>
  <c r="L59" i="6" s="1"/>
  <c r="L62" i="6" s="1"/>
  <c r="K41" i="6"/>
  <c r="K59" i="6" s="1"/>
  <c r="K62" i="6" s="1"/>
  <c r="J41" i="6"/>
  <c r="J59" i="6" s="1"/>
  <c r="H41" i="6"/>
  <c r="G41" i="6"/>
  <c r="G59" i="6" s="1"/>
  <c r="G62" i="6" s="1"/>
  <c r="F41" i="6"/>
  <c r="I41" i="6" s="1"/>
  <c r="D41" i="6"/>
  <c r="D59" i="6" s="1"/>
  <c r="D62" i="6" s="1"/>
  <c r="C41" i="6"/>
  <c r="C59" i="6" s="1"/>
  <c r="C62" i="6" s="1"/>
  <c r="B41" i="6"/>
  <c r="E41" i="6" s="1"/>
  <c r="Q38" i="6"/>
  <c r="M38" i="6"/>
  <c r="I38" i="6"/>
  <c r="E38" i="6"/>
  <c r="R38" i="6" s="1"/>
  <c r="Q27" i="6"/>
  <c r="P27" i="6"/>
  <c r="O27" i="6"/>
  <c r="N27" i="6"/>
  <c r="L27" i="6"/>
  <c r="K27" i="6"/>
  <c r="J27" i="6"/>
  <c r="M27" i="6" s="1"/>
  <c r="I27" i="6"/>
  <c r="H27" i="6"/>
  <c r="G27" i="6"/>
  <c r="F27" i="6"/>
  <c r="D27" i="6"/>
  <c r="C27" i="6"/>
  <c r="B27" i="6"/>
  <c r="E27" i="6" s="1"/>
  <c r="R27" i="6" s="1"/>
  <c r="R25" i="6"/>
  <c r="Q25" i="6"/>
  <c r="M25" i="6"/>
  <c r="I25" i="6"/>
  <c r="E25" i="6"/>
  <c r="Q18" i="6"/>
  <c r="P18" i="6"/>
  <c r="O18" i="6"/>
  <c r="N18" i="6"/>
  <c r="L18" i="6"/>
  <c r="K18" i="6"/>
  <c r="J18" i="6"/>
  <c r="M18" i="6" s="1"/>
  <c r="I18" i="6"/>
  <c r="H18" i="6"/>
  <c r="G18" i="6"/>
  <c r="F18" i="6"/>
  <c r="D18" i="6"/>
  <c r="C18" i="6"/>
  <c r="B18" i="6"/>
  <c r="E18" i="6" s="1"/>
  <c r="R18" i="6" s="1"/>
  <c r="P17" i="6"/>
  <c r="O17" i="6"/>
  <c r="N17" i="6"/>
  <c r="Q17" i="6" s="1"/>
  <c r="L17" i="6"/>
  <c r="K17" i="6"/>
  <c r="J17" i="6"/>
  <c r="M17" i="6" s="1"/>
  <c r="H17" i="6"/>
  <c r="G17" i="6"/>
  <c r="F17" i="6"/>
  <c r="I17" i="6" s="1"/>
  <c r="D17" i="6"/>
  <c r="C17" i="6"/>
  <c r="B17" i="6"/>
  <c r="E17" i="6" s="1"/>
  <c r="Q16" i="6"/>
  <c r="P16" i="6"/>
  <c r="O16" i="6"/>
  <c r="N16" i="6"/>
  <c r="L16" i="6"/>
  <c r="K16" i="6"/>
  <c r="M16" i="6" s="1"/>
  <c r="J16" i="6"/>
  <c r="I16" i="6"/>
  <c r="H16" i="6"/>
  <c r="G16" i="6"/>
  <c r="F16" i="6"/>
  <c r="D16" i="6"/>
  <c r="C16" i="6"/>
  <c r="E16" i="6" s="1"/>
  <c r="B16" i="6"/>
  <c r="P15" i="6"/>
  <c r="O15" i="6"/>
  <c r="N15" i="6"/>
  <c r="Q15" i="6" s="1"/>
  <c r="L15" i="6"/>
  <c r="K15" i="6"/>
  <c r="J15" i="6"/>
  <c r="M15" i="6" s="1"/>
  <c r="H15" i="6"/>
  <c r="G15" i="6"/>
  <c r="F15" i="6"/>
  <c r="I15" i="6" s="1"/>
  <c r="D15" i="6"/>
  <c r="C15" i="6"/>
  <c r="B15" i="6"/>
  <c r="E15" i="6" s="1"/>
  <c r="P14" i="6"/>
  <c r="O14" i="6"/>
  <c r="N14" i="6"/>
  <c r="Q14" i="6" s="1"/>
  <c r="M14" i="6"/>
  <c r="L14" i="6"/>
  <c r="K14" i="6"/>
  <c r="J14" i="6"/>
  <c r="H14" i="6"/>
  <c r="G14" i="6"/>
  <c r="F14" i="6"/>
  <c r="I14" i="6" s="1"/>
  <c r="E14" i="6"/>
  <c r="D14" i="6"/>
  <c r="C14" i="6"/>
  <c r="B14" i="6"/>
  <c r="J28" i="6"/>
  <c r="H634" i="6"/>
  <c r="F308" i="6"/>
  <c r="B319" i="6"/>
  <c r="AP892" i="6" s="1"/>
  <c r="R1" i="6"/>
  <c r="D28" i="6" l="1"/>
  <c r="C28" i="6"/>
  <c r="F28" i="6"/>
  <c r="O28" i="6"/>
  <c r="P28" i="6"/>
  <c r="G319" i="6"/>
  <c r="AP896" i="6" s="1"/>
  <c r="P308" i="6"/>
  <c r="K28" i="6"/>
  <c r="H63" i="6"/>
  <c r="J131" i="6"/>
  <c r="M128" i="6"/>
  <c r="R17" i="6"/>
  <c r="M59" i="6"/>
  <c r="J62" i="6"/>
  <c r="R58" i="6"/>
  <c r="B131" i="6"/>
  <c r="E128" i="6"/>
  <c r="K132" i="6"/>
  <c r="L63" i="6"/>
  <c r="I128" i="6"/>
  <c r="F131" i="6"/>
  <c r="P132" i="6"/>
  <c r="R127" i="6"/>
  <c r="K63" i="6"/>
  <c r="C132" i="6"/>
  <c r="R14" i="6"/>
  <c r="R16" i="6"/>
  <c r="C63" i="6"/>
  <c r="O132" i="6"/>
  <c r="R126" i="6"/>
  <c r="D63" i="6"/>
  <c r="O63" i="6"/>
  <c r="R57" i="6"/>
  <c r="G132" i="6"/>
  <c r="H132" i="6"/>
  <c r="N62" i="6"/>
  <c r="Q59" i="6"/>
  <c r="R15" i="6"/>
  <c r="G63" i="6"/>
  <c r="R46" i="6"/>
  <c r="S82" i="6"/>
  <c r="D132" i="6"/>
  <c r="P63" i="6"/>
  <c r="L132" i="6"/>
  <c r="N128" i="6"/>
  <c r="L1021" i="6"/>
  <c r="H1021" i="6"/>
  <c r="K1021" i="6"/>
  <c r="N1021" i="6"/>
  <c r="I1021" i="6"/>
  <c r="G28" i="6"/>
  <c r="F59" i="6"/>
  <c r="I1014" i="6"/>
  <c r="N1014" i="6"/>
  <c r="L1014" i="6"/>
  <c r="K1014" i="6"/>
  <c r="H1014" i="6"/>
  <c r="C740" i="6"/>
  <c r="I1022" i="6"/>
  <c r="H1022" i="6"/>
  <c r="L1022" i="6"/>
  <c r="N1022" i="6"/>
  <c r="K1022" i="6"/>
  <c r="G939" i="6"/>
  <c r="N644" i="6"/>
  <c r="N740" i="6"/>
  <c r="H28" i="6"/>
  <c r="R158" i="6"/>
  <c r="S188" i="6" s="1"/>
  <c r="R206" i="6"/>
  <c r="R220" i="6"/>
  <c r="R242" i="6"/>
  <c r="Q278" i="6"/>
  <c r="R278" i="6" s="1"/>
  <c r="R282" i="6"/>
  <c r="R285" i="6"/>
  <c r="R296" i="6"/>
  <c r="M298" i="6"/>
  <c r="I299" i="6"/>
  <c r="N308" i="6"/>
  <c r="F319" i="6"/>
  <c r="AP895" i="6" s="1"/>
  <c r="K527" i="6"/>
  <c r="AA382" i="6"/>
  <c r="AA383" i="6"/>
  <c r="AD383" i="6" s="1"/>
  <c r="AM383" i="6" s="1"/>
  <c r="AD380" i="6"/>
  <c r="AM380" i="6" s="1"/>
  <c r="H680" i="6"/>
  <c r="I1016" i="6"/>
  <c r="N1016" i="6"/>
  <c r="L1016" i="6"/>
  <c r="K1016" i="6"/>
  <c r="H1016" i="6"/>
  <c r="F740" i="6"/>
  <c r="I1024" i="6"/>
  <c r="H1024" i="6"/>
  <c r="L1024" i="6"/>
  <c r="K1024" i="6"/>
  <c r="N1024" i="6"/>
  <c r="P740" i="6"/>
  <c r="P319" i="6"/>
  <c r="AP903" i="6" s="1"/>
  <c r="P572" i="6"/>
  <c r="Q50" i="6"/>
  <c r="R50" i="6" s="1"/>
  <c r="R146" i="6"/>
  <c r="R153" i="6"/>
  <c r="G308" i="6"/>
  <c r="O299" i="6"/>
  <c r="O307" i="6" s="1"/>
  <c r="R211" i="6"/>
  <c r="R224" i="6"/>
  <c r="R226" i="6"/>
  <c r="R237" i="6"/>
  <c r="R246" i="6"/>
  <c r="R268" i="6"/>
  <c r="R270" i="6"/>
  <c r="M297" i="6"/>
  <c r="H319" i="6"/>
  <c r="AP897" i="6" s="1"/>
  <c r="R344" i="6"/>
  <c r="R364" i="6"/>
  <c r="D477" i="6"/>
  <c r="R397" i="6"/>
  <c r="R429" i="6"/>
  <c r="D730" i="6"/>
  <c r="B28" i="6"/>
  <c r="Q299" i="6"/>
  <c r="C730" i="6"/>
  <c r="K1015" i="6"/>
  <c r="H1015" i="6"/>
  <c r="N1015" i="6"/>
  <c r="I1015" i="6"/>
  <c r="L1015" i="6"/>
  <c r="F932" i="6"/>
  <c r="D740" i="6"/>
  <c r="D319" i="6"/>
  <c r="AP894" i="6" s="1"/>
  <c r="B59" i="6"/>
  <c r="I1018" i="6"/>
  <c r="N1018" i="6"/>
  <c r="L1018" i="6"/>
  <c r="H1018" i="6"/>
  <c r="K1018" i="6"/>
  <c r="J1018" i="6"/>
  <c r="H825" i="6"/>
  <c r="N28" i="6"/>
  <c r="M41" i="6"/>
  <c r="R41" i="6" s="1"/>
  <c r="I96" i="6"/>
  <c r="R96" i="6" s="1"/>
  <c r="R168" i="6"/>
  <c r="T286" i="6" s="1"/>
  <c r="R252" i="6"/>
  <c r="L319" i="6"/>
  <c r="AP900" i="6" s="1"/>
  <c r="O471" i="6"/>
  <c r="O476" i="6" s="1"/>
  <c r="Q375" i="6"/>
  <c r="R382" i="6"/>
  <c r="H308" i="6"/>
  <c r="K1019" i="6"/>
  <c r="H1019" i="6"/>
  <c r="N1019" i="6"/>
  <c r="L1019" i="6"/>
  <c r="I1019" i="6"/>
  <c r="G936" i="6"/>
  <c r="F936" i="6"/>
  <c r="J319" i="6"/>
  <c r="AP898" i="6" s="1"/>
  <c r="J644" i="6"/>
  <c r="E89" i="6"/>
  <c r="R89" i="6" s="1"/>
  <c r="M89" i="6"/>
  <c r="R161" i="6"/>
  <c r="R170" i="6"/>
  <c r="R232" i="6"/>
  <c r="R245" i="6"/>
  <c r="R254" i="6"/>
  <c r="R276" i="6"/>
  <c r="R288" i="6"/>
  <c r="Q297" i="6"/>
  <c r="M318" i="6"/>
  <c r="K319" i="6"/>
  <c r="AP899" i="6" s="1"/>
  <c r="R339" i="6"/>
  <c r="R359" i="6"/>
  <c r="I375" i="6"/>
  <c r="R375" i="6" s="1"/>
  <c r="AA381" i="6"/>
  <c r="R393" i="6"/>
  <c r="R426" i="6"/>
  <c r="P527" i="6"/>
  <c r="I1048" i="6"/>
  <c r="Y1048" i="6" s="1"/>
  <c r="G996" i="6"/>
  <c r="L1023" i="6"/>
  <c r="H1023" i="6"/>
  <c r="N1023" i="6"/>
  <c r="I1023" i="6"/>
  <c r="O644" i="6"/>
  <c r="O740" i="6"/>
  <c r="K1023" i="6"/>
  <c r="O730" i="6"/>
  <c r="O319" i="6"/>
  <c r="AP902" i="6" s="1"/>
  <c r="R298" i="6"/>
  <c r="K1017" i="6"/>
  <c r="H1017" i="6"/>
  <c r="N1017" i="6"/>
  <c r="L1017" i="6"/>
  <c r="I1017" i="6"/>
  <c r="L28" i="6"/>
  <c r="R1100" i="6"/>
  <c r="R1055" i="6"/>
  <c r="R1030" i="6"/>
  <c r="AS977" i="6"/>
  <c r="R947" i="6"/>
  <c r="AT915" i="6"/>
  <c r="R921" i="6"/>
  <c r="R868" i="6"/>
  <c r="AS942" i="6"/>
  <c r="AT883" i="6"/>
  <c r="R976" i="6"/>
  <c r="R827" i="6"/>
  <c r="R892" i="6"/>
  <c r="I1020" i="6"/>
  <c r="L1020" i="6"/>
  <c r="K1020" i="6"/>
  <c r="H1020" i="6"/>
  <c r="N1020" i="6"/>
  <c r="G937" i="6"/>
  <c r="K740" i="6"/>
  <c r="R145" i="6"/>
  <c r="R152" i="6"/>
  <c r="R154" i="6"/>
  <c r="R172" i="6"/>
  <c r="R174" i="6"/>
  <c r="R185" i="6"/>
  <c r="R197" i="6"/>
  <c r="C308" i="6"/>
  <c r="K299" i="6"/>
  <c r="K307" i="6" s="1"/>
  <c r="E213" i="6"/>
  <c r="R213" i="6" s="1"/>
  <c r="R236" i="6"/>
  <c r="R256" i="6"/>
  <c r="R258" i="6"/>
  <c r="R269" i="6"/>
  <c r="E318" i="6"/>
  <c r="C319" i="6"/>
  <c r="AP893" i="6" s="1"/>
  <c r="R328" i="6"/>
  <c r="R392" i="6"/>
  <c r="R413" i="6"/>
  <c r="D824" i="6"/>
  <c r="D823" i="6"/>
  <c r="S355" i="6"/>
  <c r="O1024" i="6"/>
  <c r="O1021" i="6"/>
  <c r="O1022" i="6"/>
  <c r="O1018" i="6"/>
  <c r="O1016" i="6"/>
  <c r="O1014" i="6"/>
  <c r="K1013" i="6"/>
  <c r="O1023" i="6"/>
  <c r="O1020" i="6"/>
  <c r="H1013" i="6"/>
  <c r="O1013" i="6"/>
  <c r="O1019" i="6"/>
  <c r="N1013" i="6"/>
  <c r="L1013" i="6"/>
  <c r="O1015" i="6"/>
  <c r="I1013" i="6"/>
  <c r="O1017" i="6"/>
  <c r="F930" i="6"/>
  <c r="G930" i="6"/>
  <c r="B644" i="6"/>
  <c r="D308" i="6"/>
  <c r="L308" i="6"/>
  <c r="R229" i="6"/>
  <c r="R238" i="6"/>
  <c r="R290" i="6"/>
  <c r="I297" i="6"/>
  <c r="R297" i="6" s="1"/>
  <c r="E299" i="6"/>
  <c r="B307" i="6"/>
  <c r="I307" i="6"/>
  <c r="N319" i="6"/>
  <c r="AP901" i="6" s="1"/>
  <c r="R347" i="6"/>
  <c r="R367" i="6"/>
  <c r="J476" i="6"/>
  <c r="AL382" i="6"/>
  <c r="R402" i="6"/>
  <c r="R434" i="6"/>
  <c r="L477" i="6"/>
  <c r="C527" i="6"/>
  <c r="K730" i="6"/>
  <c r="K731" i="6"/>
  <c r="O774" i="6"/>
  <c r="F471" i="6"/>
  <c r="AB382" i="6"/>
  <c r="K855" i="6"/>
  <c r="K884" i="6" s="1"/>
  <c r="M853" i="6"/>
  <c r="R443" i="6"/>
  <c r="R450" i="6"/>
  <c r="M469" i="6"/>
  <c r="R493" i="6"/>
  <c r="R495" i="6"/>
  <c r="J523" i="6"/>
  <c r="R521" i="6"/>
  <c r="H527" i="6"/>
  <c r="G523" i="6"/>
  <c r="G526" i="6" s="1"/>
  <c r="L572" i="6"/>
  <c r="C634" i="6"/>
  <c r="K634" i="6"/>
  <c r="M602" i="6"/>
  <c r="R627" i="6"/>
  <c r="L634" i="6"/>
  <c r="H740" i="6"/>
  <c r="C824" i="6"/>
  <c r="C823" i="6"/>
  <c r="J884" i="6"/>
  <c r="H477" i="6"/>
  <c r="P471" i="6"/>
  <c r="P476" i="6" s="1"/>
  <c r="AB381" i="6"/>
  <c r="R438" i="6"/>
  <c r="K444" i="6"/>
  <c r="M444" i="6" s="1"/>
  <c r="R455" i="6"/>
  <c r="R457" i="6"/>
  <c r="E469" i="6"/>
  <c r="N477" i="6"/>
  <c r="B523" i="6"/>
  <c r="L523" i="6"/>
  <c r="L526" i="6" s="1"/>
  <c r="M502" i="6"/>
  <c r="I507" i="6"/>
  <c r="R554" i="6"/>
  <c r="R817" i="6"/>
  <c r="J880" i="6"/>
  <c r="M846" i="6"/>
  <c r="J865" i="6"/>
  <c r="AC381" i="6"/>
  <c r="N526" i="6"/>
  <c r="R513" i="6"/>
  <c r="H572" i="6"/>
  <c r="K680" i="6"/>
  <c r="J729" i="6"/>
  <c r="L740" i="6"/>
  <c r="M739" i="6"/>
  <c r="O776" i="6"/>
  <c r="P911" i="6"/>
  <c r="B773" i="6"/>
  <c r="Q909" i="6"/>
  <c r="L825" i="6"/>
  <c r="R841" i="6"/>
  <c r="D523" i="6"/>
  <c r="D526" i="6" s="1"/>
  <c r="E502" i="6"/>
  <c r="O523" i="6"/>
  <c r="O526" i="6" s="1"/>
  <c r="Q502" i="6"/>
  <c r="R606" i="6"/>
  <c r="D644" i="6"/>
  <c r="L644" i="6"/>
  <c r="L680" i="6"/>
  <c r="G775" i="6"/>
  <c r="G774" i="6"/>
  <c r="M768" i="6"/>
  <c r="J769" i="6"/>
  <c r="L823" i="6"/>
  <c r="B864" i="6"/>
  <c r="E859" i="6"/>
  <c r="J307" i="6"/>
  <c r="C471" i="6"/>
  <c r="C476" i="6" s="1"/>
  <c r="K471" i="6"/>
  <c r="K476" i="6" s="1"/>
  <c r="F855" i="6"/>
  <c r="R435" i="6"/>
  <c r="R464" i="6"/>
  <c r="C572" i="6"/>
  <c r="P634" i="6"/>
  <c r="M630" i="6"/>
  <c r="J633" i="6"/>
  <c r="C676" i="6"/>
  <c r="C679" i="6" s="1"/>
  <c r="N679" i="6"/>
  <c r="P774" i="6"/>
  <c r="K823" i="6"/>
  <c r="K824" i="6"/>
  <c r="D880" i="6"/>
  <c r="D888" i="6" s="1"/>
  <c r="D13" i="6" s="1"/>
  <c r="M882" i="6"/>
  <c r="G853" i="6"/>
  <c r="G855" i="6" s="1"/>
  <c r="G884" i="6" s="1"/>
  <c r="G444" i="6"/>
  <c r="I444" i="6" s="1"/>
  <c r="R444" i="6" s="1"/>
  <c r="R439" i="6"/>
  <c r="R468" i="6"/>
  <c r="R507" i="6"/>
  <c r="R537" i="6"/>
  <c r="B568" i="6"/>
  <c r="E544" i="6"/>
  <c r="K568" i="6"/>
  <c r="K571" i="6" s="1"/>
  <c r="M567" i="6"/>
  <c r="R567" i="6" s="1"/>
  <c r="N572" i="6"/>
  <c r="D680" i="6"/>
  <c r="Q906" i="6"/>
  <c r="H741" i="6"/>
  <c r="H864" i="6"/>
  <c r="I857" i="6"/>
  <c r="E471" i="6"/>
  <c r="B476" i="6"/>
  <c r="I523" i="6"/>
  <c r="F526" i="6"/>
  <c r="E602" i="6"/>
  <c r="R602" i="6" s="1"/>
  <c r="B633" i="6"/>
  <c r="J679" i="6"/>
  <c r="K774" i="6"/>
  <c r="K775" i="6"/>
  <c r="R555" i="6"/>
  <c r="R569" i="6"/>
  <c r="I611" i="6"/>
  <c r="I633" i="6"/>
  <c r="F634" i="6"/>
  <c r="K644" i="6"/>
  <c r="C644" i="6"/>
  <c r="F680" i="6"/>
  <c r="E674" i="6"/>
  <c r="P680" i="6"/>
  <c r="E698" i="6"/>
  <c r="L726" i="6"/>
  <c r="L729" i="6" s="1"/>
  <c r="R707" i="6"/>
  <c r="J740" i="6"/>
  <c r="P912" i="6"/>
  <c r="P776" i="6"/>
  <c r="B846" i="6"/>
  <c r="K865" i="6"/>
  <c r="K880" i="6"/>
  <c r="K888" i="6" s="1"/>
  <c r="K13" i="6" s="1"/>
  <c r="P880" i="6"/>
  <c r="P888" i="6" s="1"/>
  <c r="P13" i="6" s="1"/>
  <c r="P865" i="6"/>
  <c r="D851" i="6"/>
  <c r="D882" i="6" s="1"/>
  <c r="C863" i="6"/>
  <c r="E861" i="6"/>
  <c r="R861" i="6" s="1"/>
  <c r="R539" i="6"/>
  <c r="J568" i="6"/>
  <c r="M544" i="6"/>
  <c r="R581" i="6"/>
  <c r="D630" i="6"/>
  <c r="D633" i="6" s="1"/>
  <c r="M628" i="6"/>
  <c r="E659" i="6"/>
  <c r="R659" i="6" s="1"/>
  <c r="G730" i="6"/>
  <c r="R709" i="6"/>
  <c r="B740" i="6"/>
  <c r="K741" i="6"/>
  <c r="R811" i="6"/>
  <c r="C865" i="6"/>
  <c r="C880" i="6"/>
  <c r="C888" i="6" s="1"/>
  <c r="C13" i="6" s="1"/>
  <c r="L846" i="6"/>
  <c r="M850" i="6"/>
  <c r="R850" i="6" s="1"/>
  <c r="E854" i="6"/>
  <c r="I1044" i="6"/>
  <c r="Y1044" i="6" s="1"/>
  <c r="G992" i="6"/>
  <c r="R536" i="6"/>
  <c r="M611" i="6"/>
  <c r="R617" i="6"/>
  <c r="E628" i="6"/>
  <c r="F644" i="6"/>
  <c r="O676" i="6"/>
  <c r="O679" i="6" s="1"/>
  <c r="I667" i="6"/>
  <c r="R667" i="6" s="1"/>
  <c r="P730" i="6"/>
  <c r="C769" i="6"/>
  <c r="C773" i="6" s="1"/>
  <c r="L769" i="6"/>
  <c r="L773" i="6" s="1"/>
  <c r="E768" i="6"/>
  <c r="R768" i="6" s="1"/>
  <c r="H774" i="6"/>
  <c r="H776" i="6"/>
  <c r="N819" i="6"/>
  <c r="Q792" i="6"/>
  <c r="B819" i="6"/>
  <c r="N846" i="6"/>
  <c r="Q840" i="6"/>
  <c r="R849" i="6"/>
  <c r="L863" i="6"/>
  <c r="M863" i="6" s="1"/>
  <c r="M860" i="6"/>
  <c r="AO903" i="6"/>
  <c r="AF903" i="6"/>
  <c r="R564" i="6"/>
  <c r="R585" i="6"/>
  <c r="G634" i="6"/>
  <c r="O634" i="6"/>
  <c r="R600" i="6"/>
  <c r="Q628" i="6"/>
  <c r="N630" i="6"/>
  <c r="G644" i="6"/>
  <c r="R653" i="6"/>
  <c r="I659" i="6"/>
  <c r="M675" i="6"/>
  <c r="B676" i="6"/>
  <c r="M702" i="6"/>
  <c r="B726" i="6"/>
  <c r="E739" i="6"/>
  <c r="Q739" i="6"/>
  <c r="D769" i="6"/>
  <c r="D773" i="6" s="1"/>
  <c r="M767" i="6"/>
  <c r="R790" i="6"/>
  <c r="F819" i="6"/>
  <c r="I792" i="6"/>
  <c r="R792" i="6" s="1"/>
  <c r="O819" i="6"/>
  <c r="O822" i="6" s="1"/>
  <c r="M818" i="6"/>
  <c r="F846" i="6"/>
  <c r="I840" i="6"/>
  <c r="R840" i="6" s="1"/>
  <c r="O880" i="6"/>
  <c r="E843" i="6"/>
  <c r="R843" i="6" s="1"/>
  <c r="L855" i="6"/>
  <c r="L884" i="6" s="1"/>
  <c r="F568" i="6"/>
  <c r="O568" i="6"/>
  <c r="S547" i="6"/>
  <c r="Q550" i="6"/>
  <c r="D572" i="6"/>
  <c r="R589" i="6"/>
  <c r="E611" i="6"/>
  <c r="R622" i="6"/>
  <c r="H644" i="6"/>
  <c r="P644" i="6"/>
  <c r="R655" i="6"/>
  <c r="G676" i="6"/>
  <c r="G679" i="6" s="1"/>
  <c r="I679" i="6" s="1"/>
  <c r="M663" i="6"/>
  <c r="E675" i="6"/>
  <c r="R675" i="6" s="1"/>
  <c r="H730" i="6"/>
  <c r="E702" i="6"/>
  <c r="R702" i="6" s="1"/>
  <c r="M725" i="6"/>
  <c r="R725" i="6" s="1"/>
  <c r="H731" i="6"/>
  <c r="R737" i="6"/>
  <c r="I739" i="6"/>
  <c r="N769" i="6"/>
  <c r="Q753" i="6"/>
  <c r="R771" i="6"/>
  <c r="P963" i="6"/>
  <c r="P935" i="6"/>
  <c r="G819" i="6"/>
  <c r="G822" i="6" s="1"/>
  <c r="P819" i="6"/>
  <c r="P822" i="6" s="1"/>
  <c r="R805" i="6"/>
  <c r="G880" i="6"/>
  <c r="G888" i="6" s="1"/>
  <c r="G13" i="6" s="1"/>
  <c r="G865" i="6"/>
  <c r="N851" i="6"/>
  <c r="Q848" i="6"/>
  <c r="D863" i="6"/>
  <c r="E863" i="6" s="1"/>
  <c r="R863" i="6" s="1"/>
  <c r="E860" i="6"/>
  <c r="G568" i="6"/>
  <c r="G571" i="6" s="1"/>
  <c r="R548" i="6"/>
  <c r="I550" i="6"/>
  <c r="R550" i="6" s="1"/>
  <c r="R566" i="6"/>
  <c r="Q566" i="6"/>
  <c r="R592" i="6"/>
  <c r="Q611" i="6"/>
  <c r="R625" i="6"/>
  <c r="I628" i="6"/>
  <c r="E663" i="6"/>
  <c r="R663" i="6" s="1"/>
  <c r="M674" i="6"/>
  <c r="I676" i="6"/>
  <c r="M698" i="6"/>
  <c r="R712" i="6"/>
  <c r="G740" i="6"/>
  <c r="R749" i="6"/>
  <c r="F769" i="6"/>
  <c r="I753" i="6"/>
  <c r="R753" i="6" s="1"/>
  <c r="E767" i="6"/>
  <c r="R767" i="6" s="1"/>
  <c r="R783" i="6"/>
  <c r="H823" i="6"/>
  <c r="R797" i="6"/>
  <c r="E818" i="6"/>
  <c r="R818" i="6" s="1"/>
  <c r="J822" i="6"/>
  <c r="M819" i="6"/>
  <c r="F851" i="6"/>
  <c r="I848" i="6"/>
  <c r="R848" i="6" s="1"/>
  <c r="E882" i="6"/>
  <c r="B855" i="6"/>
  <c r="E853" i="6"/>
  <c r="J886" i="6"/>
  <c r="AO893" i="6"/>
  <c r="AF893" i="6"/>
  <c r="H1043" i="6"/>
  <c r="X1043" i="6" s="1"/>
  <c r="AH998" i="6"/>
  <c r="AH963" i="6"/>
  <c r="E851" i="6"/>
  <c r="M851" i="6"/>
  <c r="M854" i="6"/>
  <c r="M857" i="6"/>
  <c r="E858" i="6"/>
  <c r="R858" i="6" s="1"/>
  <c r="AO892" i="6"/>
  <c r="AF892" i="6"/>
  <c r="AH928" i="6"/>
  <c r="AH940" i="6" s="1"/>
  <c r="F931" i="6"/>
  <c r="AG928" i="6"/>
  <c r="F959" i="6"/>
  <c r="AS928" i="6"/>
  <c r="AF928" i="6"/>
  <c r="AE928" i="6"/>
  <c r="G938" i="6"/>
  <c r="F914" i="6"/>
  <c r="AS940" i="6"/>
  <c r="Q854" i="6"/>
  <c r="E857" i="6"/>
  <c r="R857" i="6" s="1"/>
  <c r="Q859" i="6"/>
  <c r="I861" i="6"/>
  <c r="G959" i="6"/>
  <c r="G931" i="6"/>
  <c r="H1048" i="6"/>
  <c r="X1048" i="6" s="1"/>
  <c r="AH1003" i="6"/>
  <c r="AH968" i="6"/>
  <c r="F726" i="6"/>
  <c r="N726" i="6"/>
  <c r="I854" i="6"/>
  <c r="L864" i="6"/>
  <c r="L886" i="6" s="1"/>
  <c r="I859" i="6"/>
  <c r="AH929" i="6"/>
  <c r="AJ929" i="6" s="1"/>
  <c r="F962" i="6"/>
  <c r="AH931" i="6"/>
  <c r="F934" i="6"/>
  <c r="AG931" i="6"/>
  <c r="AD896" i="6"/>
  <c r="AS931" i="6"/>
  <c r="AF931" i="6"/>
  <c r="AJ933" i="6"/>
  <c r="G965" i="6"/>
  <c r="F969" i="6"/>
  <c r="AG938" i="6"/>
  <c r="AH938" i="6"/>
  <c r="AF938" i="6"/>
  <c r="AE938" i="6"/>
  <c r="AS938" i="6"/>
  <c r="AD938" i="6"/>
  <c r="AJ938" i="6" s="1"/>
  <c r="AJ928" i="6"/>
  <c r="F941" i="6"/>
  <c r="D864" i="6"/>
  <c r="D886" i="6" s="1"/>
  <c r="I1038" i="6"/>
  <c r="Y1038" i="6" s="1"/>
  <c r="G986" i="6"/>
  <c r="G932" i="6"/>
  <c r="G934" i="6"/>
  <c r="I1049" i="6"/>
  <c r="Y1049" i="6" s="1"/>
  <c r="G997" i="6"/>
  <c r="G941" i="6"/>
  <c r="F864" i="6"/>
  <c r="O864" i="6"/>
  <c r="O886" i="6" s="1"/>
  <c r="Q886" i="6" s="1"/>
  <c r="I860" i="6"/>
  <c r="Q860" i="6"/>
  <c r="AH930" i="6"/>
  <c r="F933" i="6"/>
  <c r="AG930" i="6"/>
  <c r="AS930" i="6"/>
  <c r="AF930" i="6"/>
  <c r="F961" i="6"/>
  <c r="AE930" i="6"/>
  <c r="AD930" i="6"/>
  <c r="AJ930" i="6" s="1"/>
  <c r="G933" i="6"/>
  <c r="G961" i="6"/>
  <c r="G940" i="6"/>
  <c r="AJ931" i="6"/>
  <c r="AJ936" i="6"/>
  <c r="F958" i="6"/>
  <c r="F935" i="6"/>
  <c r="G914" i="6"/>
  <c r="AE936" i="6"/>
  <c r="F938" i="6"/>
  <c r="R999" i="6"/>
  <c r="AD902" i="6"/>
  <c r="F960" i="6"/>
  <c r="G963" i="6"/>
  <c r="F964" i="6"/>
  <c r="AE933" i="6"/>
  <c r="G935" i="6"/>
  <c r="AS935" i="6"/>
  <c r="AF936" i="6"/>
  <c r="F940" i="6"/>
  <c r="AE898" i="6"/>
  <c r="AF898" i="6" s="1"/>
  <c r="G960" i="6"/>
  <c r="G971" i="6" s="1"/>
  <c r="F965" i="6"/>
  <c r="AH934" i="6"/>
  <c r="AJ934" i="6" s="1"/>
  <c r="AD927" i="6"/>
  <c r="AF933" i="6"/>
  <c r="AF940" i="6" s="1"/>
  <c r="AS933" i="6"/>
  <c r="AH935" i="6"/>
  <c r="F966" i="6"/>
  <c r="AD935" i="6"/>
  <c r="AE927" i="6"/>
  <c r="AD932" i="6"/>
  <c r="AJ932" i="6" s="1"/>
  <c r="AG933" i="6"/>
  <c r="AF935" i="6"/>
  <c r="F937" i="6"/>
  <c r="J1016" i="6"/>
  <c r="G966" i="6"/>
  <c r="F967" i="6"/>
  <c r="AG936" i="6"/>
  <c r="AH933" i="6"/>
  <c r="AD937" i="6"/>
  <c r="AS937" i="6"/>
  <c r="I1042" i="6"/>
  <c r="Y1042" i="6" s="1"/>
  <c r="G990" i="6"/>
  <c r="J1020" i="6"/>
  <c r="J1022" i="6"/>
  <c r="I1047" i="6"/>
  <c r="Y1047" i="6" s="1"/>
  <c r="G995" i="6"/>
  <c r="G1022" i="6" s="1"/>
  <c r="AG940" i="6"/>
  <c r="AE937" i="6"/>
  <c r="F939" i="6"/>
  <c r="J1013" i="6"/>
  <c r="Q999" i="6"/>
  <c r="J1024" i="6"/>
  <c r="J1014" i="6"/>
  <c r="J1023" i="6"/>
  <c r="J1015" i="6"/>
  <c r="J1017" i="6"/>
  <c r="J1019" i="6"/>
  <c r="J1021" i="6"/>
  <c r="J999" i="6"/>
  <c r="AW1061" i="6"/>
  <c r="AW1059" i="6"/>
  <c r="AW1054" i="6"/>
  <c r="AW1052" i="6"/>
  <c r="AW1050" i="6"/>
  <c r="AW1048" i="6"/>
  <c r="AW1046" i="6"/>
  <c r="AW1057" i="6"/>
  <c r="AW1055" i="6"/>
  <c r="AW1041" i="6"/>
  <c r="AW1039" i="6"/>
  <c r="AW1062" i="6" s="1"/>
  <c r="AW1060" i="6"/>
  <c r="AW1053" i="6"/>
  <c r="AW1049" i="6"/>
  <c r="AW1044" i="6"/>
  <c r="AW1058" i="6"/>
  <c r="AW1045" i="6"/>
  <c r="AW1043" i="6"/>
  <c r="R1119" i="6"/>
  <c r="C1128" i="6"/>
  <c r="Q1128" i="6"/>
  <c r="E1128" i="6"/>
  <c r="L1068" i="6"/>
  <c r="G1068" i="6"/>
  <c r="C1041" i="6" s="1"/>
  <c r="L1073" i="6"/>
  <c r="AD1058" i="6"/>
  <c r="AD1056" i="6"/>
  <c r="AD1059" i="6"/>
  <c r="AD1054" i="6"/>
  <c r="AD1057" i="6"/>
  <c r="AD1060" i="6"/>
  <c r="AD1053" i="6"/>
  <c r="AD1051" i="6"/>
  <c r="AD1049" i="6"/>
  <c r="AD1047" i="6"/>
  <c r="AD1048" i="6"/>
  <c r="AD1050" i="6"/>
  <c r="AD1055" i="6"/>
  <c r="I1128" i="6"/>
  <c r="L1066" i="6"/>
  <c r="F1066" i="6"/>
  <c r="B1039" i="6" s="1"/>
  <c r="L1067" i="6"/>
  <c r="F1067" i="6"/>
  <c r="B1040" i="6" s="1"/>
  <c r="L1072" i="6"/>
  <c r="M1128" i="6"/>
  <c r="G1069" i="6"/>
  <c r="C1042" i="6" s="1"/>
  <c r="G1070" i="6"/>
  <c r="C1043" i="6" s="1"/>
  <c r="G1071" i="6"/>
  <c r="C1044" i="6" s="1"/>
  <c r="G1075" i="6"/>
  <c r="C1048" i="6" s="1"/>
  <c r="N1116" i="6"/>
  <c r="M1074" i="6"/>
  <c r="M1071" i="6"/>
  <c r="M1068" i="6"/>
  <c r="M1067" i="6"/>
  <c r="M1075" i="6"/>
  <c r="M1072" i="6"/>
  <c r="M1070" i="6"/>
  <c r="M1065" i="6"/>
  <c r="M1069" i="6"/>
  <c r="M1073" i="6"/>
  <c r="M1066" i="6"/>
  <c r="M1076" i="6"/>
  <c r="B1075" i="6" l="1"/>
  <c r="Q1075" i="6" s="1"/>
  <c r="B1068" i="6"/>
  <c r="Q1068" i="6" s="1"/>
  <c r="B1072" i="6"/>
  <c r="Q1072" i="6" s="1"/>
  <c r="B1076" i="6"/>
  <c r="Q1076" i="6" s="1"/>
  <c r="B1070" i="6"/>
  <c r="Q1070" i="6" s="1"/>
  <c r="B1073" i="6"/>
  <c r="Q1073" i="6" s="1"/>
  <c r="B1067" i="6"/>
  <c r="Q1067" i="6" s="1"/>
  <c r="B1071" i="6"/>
  <c r="Q1071" i="6" s="1"/>
  <c r="B1066" i="6"/>
  <c r="Q1066" i="6" s="1"/>
  <c r="B1069" i="6"/>
  <c r="Q1069" i="6" s="1"/>
  <c r="B1065" i="6"/>
  <c r="Q1065" i="6" s="1"/>
  <c r="B1074" i="6"/>
  <c r="Q1074" i="6" s="1"/>
  <c r="F882" i="6"/>
  <c r="I882" i="6" s="1"/>
  <c r="I851" i="6"/>
  <c r="F822" i="6"/>
  <c r="I819" i="6"/>
  <c r="B729" i="6"/>
  <c r="E726" i="6"/>
  <c r="N633" i="6"/>
  <c r="Q630" i="6"/>
  <c r="B822" i="6"/>
  <c r="E819" i="6"/>
  <c r="C774" i="6"/>
  <c r="C775" i="6"/>
  <c r="R674" i="6"/>
  <c r="E476" i="6"/>
  <c r="B477" i="6"/>
  <c r="B571" i="6"/>
  <c r="E568" i="6"/>
  <c r="J634" i="6"/>
  <c r="M633" i="6"/>
  <c r="F884" i="6"/>
  <c r="I884" i="6" s="1"/>
  <c r="I855" i="6"/>
  <c r="J773" i="6"/>
  <c r="M769" i="6"/>
  <c r="E523" i="6"/>
  <c r="B526" i="6"/>
  <c r="P477" i="6"/>
  <c r="N908" i="6"/>
  <c r="K732" i="6"/>
  <c r="M476" i="6"/>
  <c r="J477" i="6"/>
  <c r="R299" i="6"/>
  <c r="Q1014" i="6"/>
  <c r="R1014" i="6" s="1"/>
  <c r="O477" i="6"/>
  <c r="Q476" i="6"/>
  <c r="AD1061" i="6"/>
  <c r="AD1043" i="6"/>
  <c r="AD1041" i="6"/>
  <c r="AD1039" i="6"/>
  <c r="AD1042" i="6"/>
  <c r="AD1040" i="6"/>
  <c r="AD1038" i="6"/>
  <c r="AD1044" i="6"/>
  <c r="G1017" i="6"/>
  <c r="AK896" i="6"/>
  <c r="AO902" i="6"/>
  <c r="AF902" i="6"/>
  <c r="Q864" i="6"/>
  <c r="AG1097" i="6"/>
  <c r="AG1096" i="6"/>
  <c r="N882" i="6"/>
  <c r="Q882" i="6" s="1"/>
  <c r="Q851" i="6"/>
  <c r="R851" i="6" s="1"/>
  <c r="R1043" i="6"/>
  <c r="AQ998" i="6"/>
  <c r="AQ963" i="6"/>
  <c r="N906" i="6"/>
  <c r="H732" i="6"/>
  <c r="O865" i="6"/>
  <c r="P969" i="6"/>
  <c r="P941" i="6"/>
  <c r="J680" i="6"/>
  <c r="M679" i="6"/>
  <c r="D865" i="6"/>
  <c r="I853" i="6"/>
  <c r="J888" i="6"/>
  <c r="J13" i="6" s="1"/>
  <c r="M13" i="6" s="1"/>
  <c r="M880" i="6"/>
  <c r="M888" i="6" s="1"/>
  <c r="G527" i="6"/>
  <c r="M471" i="6"/>
  <c r="Q1016" i="6"/>
  <c r="R1016" i="6" s="1"/>
  <c r="G1023" i="6"/>
  <c r="AK902" i="6"/>
  <c r="G471" i="6"/>
  <c r="G476" i="6" s="1"/>
  <c r="M62" i="6"/>
  <c r="J63" i="6"/>
  <c r="H1046" i="6"/>
  <c r="X1046" i="6" s="1"/>
  <c r="AH1001" i="6"/>
  <c r="AH966" i="6"/>
  <c r="AH1079" i="6"/>
  <c r="AH1078" i="6"/>
  <c r="H1041" i="6"/>
  <c r="X1041" i="6" s="1"/>
  <c r="AH996" i="6"/>
  <c r="AH961" i="6"/>
  <c r="M864" i="6"/>
  <c r="I769" i="6"/>
  <c r="F773" i="6"/>
  <c r="O888" i="6"/>
  <c r="O13" i="6" s="1"/>
  <c r="N822" i="6"/>
  <c r="Q819" i="6"/>
  <c r="D634" i="6"/>
  <c r="Q908" i="6"/>
  <c r="K825" i="6"/>
  <c r="K477" i="6"/>
  <c r="R469" i="6"/>
  <c r="Q1019" i="6"/>
  <c r="R1019" i="6" s="1"/>
  <c r="Q1018" i="6"/>
  <c r="R1018" i="6"/>
  <c r="Q903" i="6"/>
  <c r="D825" i="6"/>
  <c r="AH1097" i="6"/>
  <c r="AH1096" i="6"/>
  <c r="E59" i="6"/>
  <c r="R59" i="6" s="1"/>
  <c r="B62" i="6"/>
  <c r="M299" i="6"/>
  <c r="H681" i="6"/>
  <c r="N63" i="6"/>
  <c r="Q62" i="6"/>
  <c r="F886" i="6"/>
  <c r="I864" i="6"/>
  <c r="G1013" i="6"/>
  <c r="AK892" i="6"/>
  <c r="AO896" i="6"/>
  <c r="AF896" i="6"/>
  <c r="AF905" i="6" s="1"/>
  <c r="I1039" i="6"/>
  <c r="Y1039" i="6" s="1"/>
  <c r="G987" i="6"/>
  <c r="M886" i="6"/>
  <c r="J823" i="6"/>
  <c r="J824" i="6"/>
  <c r="M822" i="6"/>
  <c r="G572" i="6"/>
  <c r="O571" i="6"/>
  <c r="Q568" i="6"/>
  <c r="D775" i="6"/>
  <c r="D774" i="6"/>
  <c r="E676" i="6"/>
  <c r="B679" i="6"/>
  <c r="G1019" i="6"/>
  <c r="AK898" i="6"/>
  <c r="E633" i="6"/>
  <c r="B634" i="6"/>
  <c r="C477" i="6"/>
  <c r="P905" i="6"/>
  <c r="G776" i="6"/>
  <c r="Q938" i="6"/>
  <c r="Q966" i="6"/>
  <c r="N527" i="6"/>
  <c r="Q526" i="6"/>
  <c r="M855" i="6"/>
  <c r="Q1013" i="6"/>
  <c r="R1013" i="6" s="1"/>
  <c r="Q1022" i="6"/>
  <c r="R1022" i="6" s="1"/>
  <c r="O308" i="6"/>
  <c r="Q307" i="6"/>
  <c r="I1046" i="6"/>
  <c r="Y1046" i="6" s="1"/>
  <c r="G994" i="6"/>
  <c r="G1021" i="6" s="1"/>
  <c r="AJ937" i="6"/>
  <c r="AD940" i="6"/>
  <c r="AJ927" i="6"/>
  <c r="AJ940" i="6" s="1"/>
  <c r="I1041" i="6"/>
  <c r="Y1041" i="6" s="1"/>
  <c r="G989" i="6"/>
  <c r="AH1066" i="6"/>
  <c r="AH1067" i="6"/>
  <c r="AD905" i="6"/>
  <c r="R853" i="6"/>
  <c r="T856" i="6" s="1"/>
  <c r="N773" i="6"/>
  <c r="Q769" i="6"/>
  <c r="F571" i="6"/>
  <c r="I568" i="6"/>
  <c r="F865" i="6"/>
  <c r="F880" i="6"/>
  <c r="I846" i="6"/>
  <c r="O680" i="6"/>
  <c r="AH1085" i="6"/>
  <c r="AH1084" i="6"/>
  <c r="O908" i="6"/>
  <c r="K742" i="6"/>
  <c r="L730" i="6"/>
  <c r="E630" i="6"/>
  <c r="H886" i="6"/>
  <c r="H888" i="6" s="1"/>
  <c r="H13" i="6" s="1"/>
  <c r="H865" i="6"/>
  <c r="J308" i="6"/>
  <c r="M307" i="6"/>
  <c r="O527" i="6"/>
  <c r="E769" i="6"/>
  <c r="M726" i="6"/>
  <c r="Q523" i="6"/>
  <c r="M884" i="6"/>
  <c r="M523" i="6"/>
  <c r="J526" i="6"/>
  <c r="Q1021" i="6"/>
  <c r="R1021" i="6" s="1"/>
  <c r="F62" i="6"/>
  <c r="I59" i="6"/>
  <c r="N131" i="6"/>
  <c r="Q128" i="6"/>
  <c r="G1024" i="6"/>
  <c r="AK903" i="6"/>
  <c r="N729" i="6"/>
  <c r="Q726" i="6"/>
  <c r="B884" i="6"/>
  <c r="E884" i="6" s="1"/>
  <c r="R884" i="6" s="1"/>
  <c r="E855" i="6"/>
  <c r="R611" i="6"/>
  <c r="R854" i="6"/>
  <c r="R698" i="6"/>
  <c r="P908" i="6"/>
  <c r="K776" i="6"/>
  <c r="Q676" i="6"/>
  <c r="R859" i="6"/>
  <c r="R502" i="6"/>
  <c r="B774" i="6"/>
  <c r="B775" i="6"/>
  <c r="E773" i="6"/>
  <c r="J730" i="6"/>
  <c r="M729" i="6"/>
  <c r="Q1017" i="6"/>
  <c r="R1017" i="6" s="1"/>
  <c r="Q1020" i="6"/>
  <c r="R1020" i="6" s="1"/>
  <c r="M131" i="6"/>
  <c r="J132" i="6"/>
  <c r="H1040" i="6"/>
  <c r="X1040" i="6" s="1"/>
  <c r="AH995" i="6"/>
  <c r="AH960" i="6"/>
  <c r="AH1094" i="6"/>
  <c r="AH1093" i="6"/>
  <c r="AE940" i="6"/>
  <c r="H1045" i="6"/>
  <c r="X1045" i="6" s="1"/>
  <c r="AH1000" i="6"/>
  <c r="AH965" i="6"/>
  <c r="AH999" i="6"/>
  <c r="H1044" i="6"/>
  <c r="X1044" i="6" s="1"/>
  <c r="AH964" i="6"/>
  <c r="AH1099" i="6"/>
  <c r="AH1100" i="6"/>
  <c r="H1049" i="6"/>
  <c r="X1049" i="6" s="1"/>
  <c r="AH1004" i="6"/>
  <c r="AH969" i="6"/>
  <c r="F729" i="6"/>
  <c r="I726" i="6"/>
  <c r="H1039" i="6"/>
  <c r="AH994" i="6"/>
  <c r="AH959" i="6"/>
  <c r="R882" i="6"/>
  <c r="R860" i="6"/>
  <c r="P823" i="6"/>
  <c r="P824" i="6"/>
  <c r="O824" i="6"/>
  <c r="O823" i="6"/>
  <c r="R739" i="6"/>
  <c r="N865" i="6"/>
  <c r="Q865" i="6" s="1"/>
  <c r="N880" i="6"/>
  <c r="Q846" i="6"/>
  <c r="R628" i="6"/>
  <c r="J571" i="6"/>
  <c r="M568" i="6"/>
  <c r="F527" i="6"/>
  <c r="I526" i="6"/>
  <c r="O906" i="6"/>
  <c r="H742" i="6"/>
  <c r="K572" i="6"/>
  <c r="Q679" i="6"/>
  <c r="N680" i="6"/>
  <c r="B886" i="6"/>
  <c r="E886" i="6" s="1"/>
  <c r="E864" i="6"/>
  <c r="R864" i="6" s="1"/>
  <c r="D527" i="6"/>
  <c r="C825" i="6"/>
  <c r="Q902" i="6"/>
  <c r="F476" i="6"/>
  <c r="Q1023" i="6"/>
  <c r="R1023" i="6" s="1"/>
  <c r="Q1024" i="6"/>
  <c r="R1024" i="6" s="1"/>
  <c r="K308" i="6"/>
  <c r="AD382" i="6"/>
  <c r="AM382" i="6" s="1"/>
  <c r="I131" i="6"/>
  <c r="F132" i="6"/>
  <c r="R128" i="6"/>
  <c r="H1047" i="6"/>
  <c r="X1047" i="6" s="1"/>
  <c r="AH1002" i="6"/>
  <c r="AH967" i="6"/>
  <c r="AJ935" i="6"/>
  <c r="I1040" i="6"/>
  <c r="Y1040" i="6" s="1"/>
  <c r="G988" i="6"/>
  <c r="G999" i="6" s="1"/>
  <c r="I1043" i="6"/>
  <c r="Y1043" i="6" s="1"/>
  <c r="G991" i="6"/>
  <c r="H1038" i="6"/>
  <c r="X1038" i="6" s="1"/>
  <c r="AH993" i="6"/>
  <c r="F971" i="6"/>
  <c r="AH958" i="6"/>
  <c r="I1045" i="6"/>
  <c r="Y1045" i="6" s="1"/>
  <c r="G993" i="6"/>
  <c r="H1042" i="6"/>
  <c r="X1042" i="6" s="1"/>
  <c r="AH997" i="6"/>
  <c r="AH962" i="6"/>
  <c r="AG1082" i="6"/>
  <c r="AG1081" i="6"/>
  <c r="G823" i="6"/>
  <c r="G824" i="6"/>
  <c r="G680" i="6"/>
  <c r="L774" i="6"/>
  <c r="L775" i="6"/>
  <c r="L865" i="6"/>
  <c r="L880" i="6"/>
  <c r="L888" i="6" s="1"/>
  <c r="L13" i="6" s="1"/>
  <c r="B865" i="6"/>
  <c r="E865" i="6" s="1"/>
  <c r="E846" i="6"/>
  <c r="R846" i="6" s="1"/>
  <c r="T846" i="6" s="1"/>
  <c r="B880" i="6"/>
  <c r="Q963" i="6"/>
  <c r="Q935" i="6"/>
  <c r="R544" i="6"/>
  <c r="C680" i="6"/>
  <c r="Q471" i="6"/>
  <c r="P968" i="6"/>
  <c r="P940" i="6"/>
  <c r="K681" i="6"/>
  <c r="M865" i="6"/>
  <c r="L527" i="6"/>
  <c r="B308" i="6"/>
  <c r="E307" i="6"/>
  <c r="R307" i="6" s="1"/>
  <c r="Q1015" i="6"/>
  <c r="R1015" i="6" s="1"/>
  <c r="AD381" i="6"/>
  <c r="AM381" i="6" s="1"/>
  <c r="E131" i="6"/>
  <c r="B132" i="6"/>
  <c r="F477" i="6" l="1"/>
  <c r="I476" i="6"/>
  <c r="R476" i="6" s="1"/>
  <c r="J774" i="6"/>
  <c r="M773" i="6"/>
  <c r="J775" i="6"/>
  <c r="P909" i="6"/>
  <c r="L776" i="6"/>
  <c r="L741" i="6"/>
  <c r="Q880" i="6"/>
  <c r="Q888" i="6" s="1"/>
  <c r="N888" i="6"/>
  <c r="N13" i="6" s="1"/>
  <c r="Q13" i="6" s="1"/>
  <c r="AG1088" i="6"/>
  <c r="AG1087" i="6"/>
  <c r="I865" i="6"/>
  <c r="H682" i="6"/>
  <c r="M906" i="6"/>
  <c r="H645" i="6"/>
  <c r="M908" i="6"/>
  <c r="K682" i="6"/>
  <c r="K645" i="6"/>
  <c r="S1043" i="6"/>
  <c r="AR998" i="6"/>
  <c r="AR963" i="6"/>
  <c r="G1018" i="6"/>
  <c r="AK897" i="6"/>
  <c r="I471" i="6"/>
  <c r="R471" i="6" s="1"/>
  <c r="R855" i="6"/>
  <c r="I571" i="6"/>
  <c r="F572" i="6"/>
  <c r="AH1075" i="6"/>
  <c r="AH1076" i="6"/>
  <c r="E62" i="6"/>
  <c r="R62" i="6" s="1"/>
  <c r="B63" i="6"/>
  <c r="E571" i="6"/>
  <c r="B572" i="6"/>
  <c r="B824" i="6"/>
  <c r="B741" i="6" s="1"/>
  <c r="B823" i="6"/>
  <c r="E822" i="6"/>
  <c r="AG1079" i="6"/>
  <c r="AG1078" i="6"/>
  <c r="P934" i="6"/>
  <c r="P962" i="6"/>
  <c r="AG1072" i="6"/>
  <c r="AG1073" i="6"/>
  <c r="R676" i="6"/>
  <c r="Q907" i="6"/>
  <c r="M824" i="6"/>
  <c r="J825" i="6"/>
  <c r="R1049" i="6"/>
  <c r="AQ1004" i="6"/>
  <c r="AQ969" i="6"/>
  <c r="Q633" i="6"/>
  <c r="N634" i="6"/>
  <c r="B888" i="6"/>
  <c r="B13" i="6" s="1"/>
  <c r="E13" i="6" s="1"/>
  <c r="R13" i="6" s="1"/>
  <c r="E880" i="6"/>
  <c r="AH1091" i="6"/>
  <c r="AH1090" i="6"/>
  <c r="Q911" i="6"/>
  <c r="O825" i="6"/>
  <c r="O741" i="6"/>
  <c r="AH1088" i="6"/>
  <c r="AH1087" i="6"/>
  <c r="AH1073" i="6"/>
  <c r="AH1072" i="6"/>
  <c r="J572" i="6"/>
  <c r="M571" i="6"/>
  <c r="Q912" i="6"/>
  <c r="P825" i="6"/>
  <c r="P741" i="6"/>
  <c r="I729" i="6"/>
  <c r="F730" i="6"/>
  <c r="Q729" i="6"/>
  <c r="N730" i="6"/>
  <c r="F63" i="6"/>
  <c r="I62" i="6"/>
  <c r="R769" i="6"/>
  <c r="R630" i="6"/>
  <c r="AG1075" i="6"/>
  <c r="AG1076" i="6"/>
  <c r="N965" i="6"/>
  <c r="N937" i="6"/>
  <c r="R726" i="6"/>
  <c r="E679" i="6"/>
  <c r="R679" i="6" s="1"/>
  <c r="B680" i="6"/>
  <c r="R1048" i="6"/>
  <c r="AQ1003" i="6"/>
  <c r="AQ968" i="6"/>
  <c r="G1020" i="6"/>
  <c r="AK899" i="6"/>
  <c r="Q959" i="6"/>
  <c r="Q931" i="6"/>
  <c r="N774" i="6"/>
  <c r="N775" i="6"/>
  <c r="Q773" i="6"/>
  <c r="R865" i="6"/>
  <c r="AH971" i="6"/>
  <c r="P965" i="6"/>
  <c r="P937" i="6"/>
  <c r="P903" i="6"/>
  <c r="D776" i="6"/>
  <c r="D741" i="6"/>
  <c r="F775" i="6"/>
  <c r="I773" i="6"/>
  <c r="F774" i="6"/>
  <c r="B730" i="6"/>
  <c r="E729" i="6"/>
  <c r="R729" i="6" s="1"/>
  <c r="AH1057" i="6"/>
  <c r="AH1055" i="6"/>
  <c r="AH1060" i="6"/>
  <c r="AH1058" i="6"/>
  <c r="AH1056" i="6"/>
  <c r="AH1061" i="6"/>
  <c r="AH1059" i="6"/>
  <c r="AH1054" i="6"/>
  <c r="AH1052" i="6"/>
  <c r="AH1050" i="6"/>
  <c r="AH1048" i="6"/>
  <c r="AH1044" i="6"/>
  <c r="AH1053" i="6"/>
  <c r="AH1049" i="6"/>
  <c r="AH1046" i="6"/>
  <c r="AH1042" i="6"/>
  <c r="AH1040" i="6"/>
  <c r="AH1038" i="6"/>
  <c r="AH1062" i="6" s="1"/>
  <c r="AH1045" i="6"/>
  <c r="AH1051" i="6"/>
  <c r="AH1043" i="6"/>
  <c r="X1039" i="6"/>
  <c r="AH1041" i="6"/>
  <c r="AH1047" i="6"/>
  <c r="AH1039" i="6"/>
  <c r="G1015" i="6"/>
  <c r="AK894" i="6"/>
  <c r="AG1085" i="6"/>
  <c r="AG1084" i="6"/>
  <c r="Q822" i="6"/>
  <c r="N824" i="6"/>
  <c r="N823" i="6"/>
  <c r="Q905" i="6"/>
  <c r="G825" i="6"/>
  <c r="R773" i="6"/>
  <c r="I880" i="6"/>
  <c r="F888" i="6"/>
  <c r="F13" i="6" s="1"/>
  <c r="I13" i="6" s="1"/>
  <c r="S1046" i="6"/>
  <c r="AR1001" i="6"/>
  <c r="AR966" i="6"/>
  <c r="R633" i="6"/>
  <c r="G1014" i="6"/>
  <c r="AK893" i="6"/>
  <c r="AK905" i="6" s="1"/>
  <c r="I886" i="6"/>
  <c r="Q932" i="6"/>
  <c r="Q960" i="6"/>
  <c r="AG1091" i="6"/>
  <c r="AG1090" i="6"/>
  <c r="N935" i="6"/>
  <c r="N963" i="6"/>
  <c r="C776" i="6"/>
  <c r="P902" i="6"/>
  <c r="C741" i="6"/>
  <c r="Q1077" i="6"/>
  <c r="AH1082" i="6"/>
  <c r="AH1081" i="6"/>
  <c r="N132" i="6"/>
  <c r="Q131" i="6"/>
  <c r="G477" i="6"/>
  <c r="AH1006" i="6"/>
  <c r="AH1070" i="6"/>
  <c r="AH1069" i="6"/>
  <c r="B527" i="6"/>
  <c r="E526" i="6"/>
  <c r="I822" i="6"/>
  <c r="F823" i="6"/>
  <c r="F824" i="6"/>
  <c r="R131" i="6"/>
  <c r="O963" i="6"/>
  <c r="O935" i="6"/>
  <c r="AG1100" i="6"/>
  <c r="AG1099" i="6"/>
  <c r="P901" i="6"/>
  <c r="E775" i="6"/>
  <c r="B776" i="6"/>
  <c r="J527" i="6"/>
  <c r="M526" i="6"/>
  <c r="O572" i="6"/>
  <c r="Q571" i="6"/>
  <c r="Q937" i="6"/>
  <c r="Q965" i="6"/>
  <c r="AG1066" i="6"/>
  <c r="AG1067" i="6"/>
  <c r="AG1094" i="6"/>
  <c r="AG1093" i="6"/>
  <c r="R886" i="6"/>
  <c r="O965" i="6"/>
  <c r="O937" i="6"/>
  <c r="G1016" i="6"/>
  <c r="AK895" i="6"/>
  <c r="G741" i="6"/>
  <c r="AD1062" i="6"/>
  <c r="R523" i="6"/>
  <c r="R568" i="6"/>
  <c r="R819" i="6"/>
  <c r="O901" i="6" l="1"/>
  <c r="E741" i="6"/>
  <c r="B742" i="6"/>
  <c r="B731" i="6"/>
  <c r="S13" i="6"/>
  <c r="T13" i="6" s="1"/>
  <c r="Q1043" i="6"/>
  <c r="AP998" i="6"/>
  <c r="AP963" i="6"/>
  <c r="O902" i="6"/>
  <c r="C742" i="6"/>
  <c r="C731" i="6"/>
  <c r="N825" i="6"/>
  <c r="Q910" i="6"/>
  <c r="Q824" i="6"/>
  <c r="Q969" i="6"/>
  <c r="Q941" i="6"/>
  <c r="O742" i="6"/>
  <c r="O911" i="6"/>
  <c r="O731" i="6"/>
  <c r="AR1000" i="6"/>
  <c r="S1045" i="6"/>
  <c r="AR965" i="6"/>
  <c r="P959" i="6"/>
  <c r="P931" i="6"/>
  <c r="AR995" i="6"/>
  <c r="S1040" i="6"/>
  <c r="AR960" i="6"/>
  <c r="AG1070" i="6"/>
  <c r="AG1069" i="6"/>
  <c r="P932" i="6"/>
  <c r="P960" i="6"/>
  <c r="Q936" i="6"/>
  <c r="Q964" i="6"/>
  <c r="L908" i="6"/>
  <c r="K646" i="6"/>
  <c r="K635" i="6"/>
  <c r="P910" i="6"/>
  <c r="N776" i="6"/>
  <c r="Q775" i="6"/>
  <c r="N741" i="6"/>
  <c r="Q940" i="6"/>
  <c r="Q968" i="6"/>
  <c r="R822" i="6"/>
  <c r="Q962" i="6"/>
  <c r="Q934" i="6"/>
  <c r="P904" i="6"/>
  <c r="F776" i="6"/>
  <c r="I775" i="6"/>
  <c r="R775" i="6" s="1"/>
  <c r="F741" i="6"/>
  <c r="Q1045" i="6"/>
  <c r="AP1000" i="6"/>
  <c r="AP965" i="6"/>
  <c r="I888" i="6"/>
  <c r="R1045" i="6"/>
  <c r="AQ1000" i="6"/>
  <c r="AQ965" i="6"/>
  <c r="S1039" i="6"/>
  <c r="AR994" i="6"/>
  <c r="AR959" i="6"/>
  <c r="M937" i="6"/>
  <c r="M965" i="6"/>
  <c r="P958" i="6"/>
  <c r="P930" i="6"/>
  <c r="Q904" i="6"/>
  <c r="I824" i="6"/>
  <c r="F825" i="6"/>
  <c r="Q901" i="6"/>
  <c r="E824" i="6"/>
  <c r="R824" i="6" s="1"/>
  <c r="B825" i="6"/>
  <c r="L906" i="6"/>
  <c r="H646" i="6"/>
  <c r="H635" i="6"/>
  <c r="O909" i="6"/>
  <c r="L742" i="6"/>
  <c r="L731" i="6"/>
  <c r="P1043" i="6"/>
  <c r="AO998" i="6"/>
  <c r="AO963" i="6"/>
  <c r="E888" i="6"/>
  <c r="R880" i="6"/>
  <c r="R888" i="6" s="1"/>
  <c r="R1042" i="6"/>
  <c r="AQ997" i="6"/>
  <c r="AQ962" i="6"/>
  <c r="M963" i="6"/>
  <c r="M935" i="6"/>
  <c r="O912" i="6"/>
  <c r="P742" i="6"/>
  <c r="P731" i="6"/>
  <c r="P966" i="6"/>
  <c r="P938" i="6"/>
  <c r="O905" i="6"/>
  <c r="G742" i="6"/>
  <c r="G731" i="6"/>
  <c r="R526" i="6"/>
  <c r="O903" i="6"/>
  <c r="D742" i="6"/>
  <c r="D731" i="6"/>
  <c r="P1045" i="6"/>
  <c r="AO1000" i="6"/>
  <c r="AO965" i="6"/>
  <c r="R571" i="6"/>
  <c r="P907" i="6"/>
  <c r="P914" i="6" s="1"/>
  <c r="M775" i="6"/>
  <c r="J776" i="6"/>
  <c r="J741" i="6"/>
  <c r="S1044" i="6" l="1"/>
  <c r="AR999" i="6"/>
  <c r="AR964" i="6"/>
  <c r="O941" i="6"/>
  <c r="O969" i="6"/>
  <c r="L963" i="6"/>
  <c r="L935" i="6"/>
  <c r="O910" i="6"/>
  <c r="N742" i="6"/>
  <c r="Q741" i="6"/>
  <c r="N731" i="6"/>
  <c r="O958" i="6"/>
  <c r="O930" i="6"/>
  <c r="N905" i="6"/>
  <c r="G732" i="6"/>
  <c r="G681" i="6"/>
  <c r="R1038" i="6"/>
  <c r="AQ993" i="6"/>
  <c r="AQ958" i="6"/>
  <c r="AQ995" i="6"/>
  <c r="R1040" i="6"/>
  <c r="AQ960" i="6"/>
  <c r="R1039" i="6"/>
  <c r="AQ994" i="6"/>
  <c r="AQ959" i="6"/>
  <c r="S1049" i="6"/>
  <c r="AR1004" i="6"/>
  <c r="AR969" i="6"/>
  <c r="F742" i="6"/>
  <c r="O904" i="6"/>
  <c r="O914" i="6" s="1"/>
  <c r="I741" i="6"/>
  <c r="R741" i="6" s="1"/>
  <c r="F731" i="6"/>
  <c r="O934" i="6"/>
  <c r="O962" i="6"/>
  <c r="Q958" i="6"/>
  <c r="Q914" i="6"/>
  <c r="Q930" i="6"/>
  <c r="P967" i="6"/>
  <c r="P939" i="6"/>
  <c r="Q967" i="6"/>
  <c r="Q939" i="6"/>
  <c r="AR997" i="6"/>
  <c r="AR962" i="6"/>
  <c r="S1042" i="6"/>
  <c r="K908" i="6"/>
  <c r="K636" i="6"/>
  <c r="K573" i="6"/>
  <c r="P964" i="6"/>
  <c r="P936" i="6"/>
  <c r="O1043" i="6"/>
  <c r="AN998" i="6"/>
  <c r="AN963" i="6"/>
  <c r="O1045" i="6"/>
  <c r="AN1000" i="6"/>
  <c r="AN965" i="6"/>
  <c r="P961" i="6"/>
  <c r="P933" i="6"/>
  <c r="R1046" i="6"/>
  <c r="AQ966" i="6"/>
  <c r="AQ1001" i="6"/>
  <c r="O966" i="6"/>
  <c r="O938" i="6"/>
  <c r="N911" i="6"/>
  <c r="O732" i="6"/>
  <c r="O681" i="6"/>
  <c r="N902" i="6"/>
  <c r="C732" i="6"/>
  <c r="C681" i="6"/>
  <c r="N901" i="6"/>
  <c r="E731" i="6"/>
  <c r="B732" i="6"/>
  <c r="B681" i="6"/>
  <c r="N909" i="6"/>
  <c r="L732" i="6"/>
  <c r="L681" i="6"/>
  <c r="O907" i="6"/>
  <c r="M741" i="6"/>
  <c r="J742" i="6"/>
  <c r="J731" i="6"/>
  <c r="N903" i="6"/>
  <c r="D732" i="6"/>
  <c r="D681" i="6"/>
  <c r="O960" i="6"/>
  <c r="O932" i="6"/>
  <c r="N912" i="6"/>
  <c r="P732" i="6"/>
  <c r="P681" i="6"/>
  <c r="K906" i="6"/>
  <c r="H636" i="6"/>
  <c r="H573" i="6"/>
  <c r="Q961" i="6"/>
  <c r="Q933" i="6"/>
  <c r="AR1060" i="6"/>
  <c r="AR1053" i="6"/>
  <c r="AR1051" i="6"/>
  <c r="AR1049" i="6"/>
  <c r="AR1047" i="6"/>
  <c r="AR1058" i="6"/>
  <c r="AR1056" i="6"/>
  <c r="AR1055" i="6"/>
  <c r="AR1042" i="6"/>
  <c r="AR1040" i="6"/>
  <c r="AR1038" i="6"/>
  <c r="AR1045" i="6"/>
  <c r="AR1050" i="6"/>
  <c r="AR1048" i="6"/>
  <c r="AR1057" i="6"/>
  <c r="AR1046" i="6"/>
  <c r="AR1043" i="6"/>
  <c r="AR1061" i="6"/>
  <c r="AR1059" i="6"/>
  <c r="AR1052" i="6"/>
  <c r="AR1039" i="6"/>
  <c r="AR1054" i="6"/>
  <c r="AR1041" i="6"/>
  <c r="AR1044" i="6"/>
  <c r="S1048" i="6"/>
  <c r="AR1003" i="6"/>
  <c r="AR968" i="6"/>
  <c r="L965" i="6"/>
  <c r="L937" i="6"/>
  <c r="O968" i="6"/>
  <c r="O940" i="6"/>
  <c r="O959" i="6"/>
  <c r="O931" i="6"/>
  <c r="AR1062" i="6" l="1"/>
  <c r="N969" i="6"/>
  <c r="N941" i="6"/>
  <c r="Q1046" i="6"/>
  <c r="AP1001" i="6"/>
  <c r="AP966" i="6"/>
  <c r="Q1039" i="6"/>
  <c r="AP959" i="6"/>
  <c r="AP994" i="6"/>
  <c r="O936" i="6"/>
  <c r="O964" i="6"/>
  <c r="M902" i="6"/>
  <c r="C682" i="6"/>
  <c r="C645" i="6"/>
  <c r="K965" i="6"/>
  <c r="K937" i="6"/>
  <c r="N962" i="6"/>
  <c r="N934" i="6"/>
  <c r="S1041" i="6"/>
  <c r="AR996" i="6"/>
  <c r="AR961" i="6"/>
  <c r="Q1040" i="6"/>
  <c r="AP995" i="6"/>
  <c r="AP960" i="6"/>
  <c r="M909" i="6"/>
  <c r="L682" i="6"/>
  <c r="L645" i="6"/>
  <c r="N1043" i="6"/>
  <c r="AM998" i="6"/>
  <c r="AM963" i="6"/>
  <c r="AW927" i="6"/>
  <c r="M903" i="6"/>
  <c r="D645" i="6"/>
  <c r="D682" i="6"/>
  <c r="N959" i="6"/>
  <c r="N931" i="6"/>
  <c r="S1038" i="6"/>
  <c r="Q971" i="6"/>
  <c r="AR958" i="6"/>
  <c r="AR993" i="6"/>
  <c r="Q1049" i="6"/>
  <c r="AP1004" i="6"/>
  <c r="AP969" i="6"/>
  <c r="M905" i="6"/>
  <c r="G682" i="6"/>
  <c r="G645" i="6"/>
  <c r="AP1003" i="6"/>
  <c r="Q1048" i="6"/>
  <c r="AP968" i="6"/>
  <c r="M911" i="6"/>
  <c r="O682" i="6"/>
  <c r="O645" i="6"/>
  <c r="Q1042" i="6"/>
  <c r="AP997" i="6"/>
  <c r="AP962" i="6"/>
  <c r="AM1000" i="6"/>
  <c r="N1045" i="6"/>
  <c r="AM965" i="6"/>
  <c r="AW929" i="6"/>
  <c r="K935" i="6"/>
  <c r="K963" i="6"/>
  <c r="N960" i="6"/>
  <c r="N932" i="6"/>
  <c r="B682" i="6"/>
  <c r="B645" i="6"/>
  <c r="M901" i="6"/>
  <c r="E681" i="6"/>
  <c r="R1041" i="6"/>
  <c r="AQ996" i="6"/>
  <c r="AQ961" i="6"/>
  <c r="AQ1006" i="6"/>
  <c r="N910" i="6"/>
  <c r="N732" i="6"/>
  <c r="Q731" i="6"/>
  <c r="N681" i="6"/>
  <c r="J908" i="6"/>
  <c r="K574" i="6"/>
  <c r="K528" i="6"/>
  <c r="AQ1055" i="6"/>
  <c r="AQ1060" i="6"/>
  <c r="AQ1053" i="6"/>
  <c r="AQ1051" i="6"/>
  <c r="AQ1049" i="6"/>
  <c r="AQ1047" i="6"/>
  <c r="AQ1058" i="6"/>
  <c r="AQ1056" i="6"/>
  <c r="AQ1057" i="6"/>
  <c r="AQ1059" i="6"/>
  <c r="AQ1042" i="6"/>
  <c r="AQ1040" i="6"/>
  <c r="AQ1038" i="6"/>
  <c r="AQ1045" i="6"/>
  <c r="AQ1050" i="6"/>
  <c r="AQ1048" i="6"/>
  <c r="AQ1054" i="6"/>
  <c r="AQ1041" i="6"/>
  <c r="AQ1039" i="6"/>
  <c r="AQ1044" i="6"/>
  <c r="AQ1046" i="6"/>
  <c r="AQ1043" i="6"/>
  <c r="AQ1061" i="6"/>
  <c r="AQ1052" i="6"/>
  <c r="N958" i="6"/>
  <c r="N930" i="6"/>
  <c r="N914" i="6"/>
  <c r="AQ1002" i="6"/>
  <c r="R1047" i="6"/>
  <c r="AQ967" i="6"/>
  <c r="AQ971" i="6" s="1"/>
  <c r="O933" i="6"/>
  <c r="O961" i="6"/>
  <c r="O967" i="6"/>
  <c r="O939" i="6"/>
  <c r="J906" i="6"/>
  <c r="H574" i="6"/>
  <c r="H528" i="6"/>
  <c r="N966" i="6"/>
  <c r="N938" i="6"/>
  <c r="P971" i="6"/>
  <c r="Q1038" i="6"/>
  <c r="AP993" i="6"/>
  <c r="O971" i="6"/>
  <c r="AP958" i="6"/>
  <c r="M912" i="6"/>
  <c r="P682" i="6"/>
  <c r="P645" i="6"/>
  <c r="N907" i="6"/>
  <c r="M731" i="6"/>
  <c r="J732" i="6"/>
  <c r="J681" i="6"/>
  <c r="N968" i="6"/>
  <c r="N940" i="6"/>
  <c r="R1044" i="6"/>
  <c r="AQ999" i="6"/>
  <c r="AQ964" i="6"/>
  <c r="S1047" i="6"/>
  <c r="AR1002" i="6"/>
  <c r="AR967" i="6"/>
  <c r="I731" i="6"/>
  <c r="R731" i="6" s="1"/>
  <c r="N904" i="6"/>
  <c r="F732" i="6"/>
  <c r="F681" i="6"/>
  <c r="AQ1062" i="6" l="1"/>
  <c r="P1038" i="6"/>
  <c r="AO993" i="6"/>
  <c r="AO958" i="6"/>
  <c r="D646" i="6"/>
  <c r="L903" i="6"/>
  <c r="D635" i="6"/>
  <c r="M966" i="6"/>
  <c r="M938" i="6"/>
  <c r="P1042" i="6"/>
  <c r="AO997" i="6"/>
  <c r="AO962" i="6"/>
  <c r="N936" i="6"/>
  <c r="N964" i="6"/>
  <c r="Q1041" i="6"/>
  <c r="AP996" i="6"/>
  <c r="AP961" i="6"/>
  <c r="I908" i="6"/>
  <c r="K529" i="6"/>
  <c r="K485" i="6"/>
  <c r="K484" i="6" s="1"/>
  <c r="K483" i="6" s="1"/>
  <c r="K482" i="6" s="1"/>
  <c r="K481" i="6" s="1"/>
  <c r="K480" i="6" s="1"/>
  <c r="K478" i="6"/>
  <c r="P1040" i="6"/>
  <c r="AO995" i="6"/>
  <c r="AO960" i="6"/>
  <c r="L905" i="6"/>
  <c r="G646" i="6"/>
  <c r="G635" i="6"/>
  <c r="AR1006" i="6"/>
  <c r="M960" i="6"/>
  <c r="M932" i="6"/>
  <c r="E645" i="6"/>
  <c r="B646" i="6"/>
  <c r="L901" i="6"/>
  <c r="B635" i="6"/>
  <c r="Q1047" i="6"/>
  <c r="AP1002" i="6"/>
  <c r="AP967" i="6"/>
  <c r="M904" i="6"/>
  <c r="I681" i="6"/>
  <c r="F645" i="6"/>
  <c r="F682" i="6"/>
  <c r="L912" i="6"/>
  <c r="P646" i="6"/>
  <c r="P635" i="6"/>
  <c r="AL998" i="6"/>
  <c r="M1043" i="6"/>
  <c r="AL963" i="6"/>
  <c r="AR971" i="6"/>
  <c r="M1045" i="6"/>
  <c r="AL1000" i="6"/>
  <c r="AL965" i="6"/>
  <c r="AP1057" i="6"/>
  <c r="AP1055" i="6"/>
  <c r="AP1060" i="6"/>
  <c r="AP1058" i="6"/>
  <c r="AP1056" i="6"/>
  <c r="AP1061" i="6"/>
  <c r="AP1059" i="6"/>
  <c r="AP1054" i="6"/>
  <c r="AP1052" i="6"/>
  <c r="AP1050" i="6"/>
  <c r="AP1048" i="6"/>
  <c r="AP1044" i="6"/>
  <c r="AP1051" i="6"/>
  <c r="AP1047" i="6"/>
  <c r="AP1042" i="6"/>
  <c r="AP1040" i="6"/>
  <c r="AP1038" i="6"/>
  <c r="AP1045" i="6"/>
  <c r="AP1053" i="6"/>
  <c r="AP1049" i="6"/>
  <c r="AP1046" i="6"/>
  <c r="AP1043" i="6"/>
  <c r="AP1039" i="6"/>
  <c r="AP1041" i="6"/>
  <c r="P1046" i="6"/>
  <c r="AO1001" i="6"/>
  <c r="AO966" i="6"/>
  <c r="J965" i="6"/>
  <c r="J937" i="6"/>
  <c r="N933" i="6"/>
  <c r="N961" i="6"/>
  <c r="N971" i="6" s="1"/>
  <c r="M969" i="6"/>
  <c r="M941" i="6"/>
  <c r="I906" i="6"/>
  <c r="H485" i="6"/>
  <c r="H484" i="6" s="1"/>
  <c r="H483" i="6" s="1"/>
  <c r="H482" i="6" s="1"/>
  <c r="H481" i="6" s="1"/>
  <c r="H480" i="6" s="1"/>
  <c r="H529" i="6"/>
  <c r="H478" i="6"/>
  <c r="M910" i="6"/>
  <c r="N682" i="6"/>
  <c r="Q681" i="6"/>
  <c r="N645" i="6"/>
  <c r="J935" i="6"/>
  <c r="J963" i="6"/>
  <c r="L911" i="6"/>
  <c r="O646" i="6"/>
  <c r="O635" i="6"/>
  <c r="M934" i="6"/>
  <c r="M962" i="6"/>
  <c r="L902" i="6"/>
  <c r="C646" i="6"/>
  <c r="C635" i="6"/>
  <c r="AO1003" i="6"/>
  <c r="P1048" i="6"/>
  <c r="AO968" i="6"/>
  <c r="M930" i="6"/>
  <c r="M958" i="6"/>
  <c r="M914" i="6"/>
  <c r="M940" i="6"/>
  <c r="M968" i="6"/>
  <c r="M959" i="6"/>
  <c r="M931" i="6"/>
  <c r="M907" i="6"/>
  <c r="J682" i="6"/>
  <c r="J645" i="6"/>
  <c r="M681" i="6"/>
  <c r="R681" i="6" s="1"/>
  <c r="P1039" i="6"/>
  <c r="AO994" i="6"/>
  <c r="AO959" i="6"/>
  <c r="Q1044" i="6"/>
  <c r="AP999" i="6"/>
  <c r="AP964" i="6"/>
  <c r="AP971" i="6" s="1"/>
  <c r="L909" i="6"/>
  <c r="L646" i="6"/>
  <c r="L635" i="6"/>
  <c r="AP1006" i="6"/>
  <c r="N967" i="6"/>
  <c r="N939" i="6"/>
  <c r="P1049" i="6"/>
  <c r="AO1004" i="6"/>
  <c r="AO969" i="6"/>
  <c r="AP1062" i="6" l="1"/>
  <c r="L966" i="6"/>
  <c r="L938" i="6"/>
  <c r="O1048" i="6"/>
  <c r="AN1003" i="6"/>
  <c r="AN968" i="6"/>
  <c r="L968" i="6"/>
  <c r="L940" i="6"/>
  <c r="H906" i="6"/>
  <c r="H479" i="6"/>
  <c r="H309" i="6"/>
  <c r="L904" i="6"/>
  <c r="I645" i="6"/>
  <c r="F646" i="6"/>
  <c r="F635" i="6"/>
  <c r="O1046" i="6"/>
  <c r="AN1001" i="6"/>
  <c r="AN966" i="6"/>
  <c r="K909" i="6"/>
  <c r="L636" i="6"/>
  <c r="L573" i="6"/>
  <c r="AO1061" i="6"/>
  <c r="AO1059" i="6"/>
  <c r="AO1057" i="6"/>
  <c r="AO1055" i="6"/>
  <c r="AO1060" i="6"/>
  <c r="AO1053" i="6"/>
  <c r="AO1051" i="6"/>
  <c r="AO1049" i="6"/>
  <c r="AO1047" i="6"/>
  <c r="AO1056" i="6"/>
  <c r="AO1052" i="6"/>
  <c r="AO1044" i="6"/>
  <c r="AO1042" i="6"/>
  <c r="AO1040" i="6"/>
  <c r="AO1038" i="6"/>
  <c r="AO1039" i="6"/>
  <c r="AO1058" i="6"/>
  <c r="AO1050" i="6"/>
  <c r="AO1046" i="6"/>
  <c r="AO1043" i="6"/>
  <c r="AO1054" i="6"/>
  <c r="AO1045" i="6"/>
  <c r="AO1041" i="6"/>
  <c r="AO1048" i="6"/>
  <c r="K902" i="6"/>
  <c r="C636" i="6"/>
  <c r="C573" i="6"/>
  <c r="L1043" i="6"/>
  <c r="AK998" i="6"/>
  <c r="AK963" i="6"/>
  <c r="L1045" i="6"/>
  <c r="AK1000" i="6"/>
  <c r="AK965" i="6"/>
  <c r="K903" i="6"/>
  <c r="D636" i="6"/>
  <c r="D573" i="6"/>
  <c r="M961" i="6"/>
  <c r="M971" i="6" s="1"/>
  <c r="M933" i="6"/>
  <c r="P1044" i="6"/>
  <c r="AO999" i="6"/>
  <c r="AO964" i="6"/>
  <c r="L960" i="6"/>
  <c r="L932" i="6"/>
  <c r="I963" i="6"/>
  <c r="I935" i="6"/>
  <c r="O1038" i="6"/>
  <c r="AN993" i="6"/>
  <c r="AN958" i="6"/>
  <c r="O1040" i="6"/>
  <c r="AN995" i="6"/>
  <c r="AN960" i="6"/>
  <c r="L910" i="6"/>
  <c r="Q645" i="6"/>
  <c r="N646" i="6"/>
  <c r="N635" i="6"/>
  <c r="K912" i="6"/>
  <c r="P636" i="6"/>
  <c r="P573" i="6"/>
  <c r="M964" i="6"/>
  <c r="M936" i="6"/>
  <c r="O1049" i="6"/>
  <c r="AN1004" i="6"/>
  <c r="AN969" i="6"/>
  <c r="K905" i="6"/>
  <c r="G636" i="6"/>
  <c r="G573" i="6"/>
  <c r="L907" i="6"/>
  <c r="M645" i="6"/>
  <c r="R645" i="6" s="1"/>
  <c r="J646" i="6"/>
  <c r="J635" i="6"/>
  <c r="L959" i="6"/>
  <c r="L931" i="6"/>
  <c r="H908" i="6"/>
  <c r="K479" i="6"/>
  <c r="K309" i="6"/>
  <c r="O1042" i="6"/>
  <c r="AN997" i="6"/>
  <c r="AN962" i="6"/>
  <c r="K911" i="6"/>
  <c r="O636" i="6"/>
  <c r="O573" i="6"/>
  <c r="P1041" i="6"/>
  <c r="AO996" i="6"/>
  <c r="AO1006" i="6" s="1"/>
  <c r="AO961" i="6"/>
  <c r="AO971" i="6" s="1"/>
  <c r="L969" i="6"/>
  <c r="L941" i="6"/>
  <c r="K901" i="6"/>
  <c r="E635" i="6"/>
  <c r="B636" i="6"/>
  <c r="B573" i="6"/>
  <c r="I965" i="6"/>
  <c r="I937" i="6"/>
  <c r="P1047" i="6"/>
  <c r="AO967" i="6"/>
  <c r="AO1002" i="6"/>
  <c r="O1039" i="6"/>
  <c r="AN994" i="6"/>
  <c r="AN959" i="6"/>
  <c r="M939" i="6"/>
  <c r="M967" i="6"/>
  <c r="L914" i="6"/>
  <c r="L930" i="6"/>
  <c r="L958" i="6"/>
  <c r="L962" i="6"/>
  <c r="L934" i="6"/>
  <c r="AO1062" i="6" l="1"/>
  <c r="L964" i="6"/>
  <c r="L936" i="6"/>
  <c r="AN1061" i="6"/>
  <c r="AN1059" i="6"/>
  <c r="AN1054" i="6"/>
  <c r="AN1052" i="6"/>
  <c r="AN1050" i="6"/>
  <c r="AN1048" i="6"/>
  <c r="AN1046" i="6"/>
  <c r="AN1057" i="6"/>
  <c r="AN1055" i="6"/>
  <c r="AN1041" i="6"/>
  <c r="AN1039" i="6"/>
  <c r="AN1056" i="6"/>
  <c r="AN1051" i="6"/>
  <c r="AN1047" i="6"/>
  <c r="AN1044" i="6"/>
  <c r="AN1060" i="6"/>
  <c r="AN1045" i="6"/>
  <c r="AN1053" i="6"/>
  <c r="AN1038" i="6"/>
  <c r="AN1062" i="6" s="1"/>
  <c r="AN1042" i="6"/>
  <c r="AN1049" i="6"/>
  <c r="AN1040" i="6"/>
  <c r="AN1043" i="6"/>
  <c r="AN1058" i="6"/>
  <c r="J911" i="6"/>
  <c r="O574" i="6"/>
  <c r="O528" i="6"/>
  <c r="H963" i="6"/>
  <c r="H935" i="6"/>
  <c r="N1038" i="6"/>
  <c r="AM993" i="6"/>
  <c r="AW922" i="6"/>
  <c r="AM958" i="6"/>
  <c r="K962" i="6"/>
  <c r="K934" i="6"/>
  <c r="K969" i="6"/>
  <c r="K941" i="6"/>
  <c r="N1040" i="6"/>
  <c r="AM995" i="6"/>
  <c r="AM960" i="6"/>
  <c r="AW924" i="6"/>
  <c r="K960" i="6"/>
  <c r="K932" i="6"/>
  <c r="J902" i="6"/>
  <c r="C574" i="6"/>
  <c r="C528" i="6"/>
  <c r="K1045" i="6"/>
  <c r="AJ1000" i="6"/>
  <c r="AJ965" i="6"/>
  <c r="N1042" i="6"/>
  <c r="AM997" i="6"/>
  <c r="AW926" i="6"/>
  <c r="AM962" i="6"/>
  <c r="H965" i="6"/>
  <c r="H937" i="6"/>
  <c r="K958" i="6"/>
  <c r="K930" i="6"/>
  <c r="K940" i="6"/>
  <c r="K968" i="6"/>
  <c r="N1039" i="6"/>
  <c r="AM994" i="6"/>
  <c r="AM959" i="6"/>
  <c r="AW923" i="6"/>
  <c r="K910" i="6"/>
  <c r="N636" i="6"/>
  <c r="Q635" i="6"/>
  <c r="N573" i="6"/>
  <c r="K904" i="6"/>
  <c r="I635" i="6"/>
  <c r="R635" i="6" s="1"/>
  <c r="F636" i="6"/>
  <c r="F573" i="6"/>
  <c r="N1048" i="6"/>
  <c r="AM1003" i="6"/>
  <c r="AM968" i="6"/>
  <c r="AW932" i="6"/>
  <c r="N1049" i="6"/>
  <c r="AM1004" i="6"/>
  <c r="AM969" i="6"/>
  <c r="AW933" i="6"/>
  <c r="J909" i="6"/>
  <c r="L574" i="6"/>
  <c r="L528" i="6"/>
  <c r="K907" i="6"/>
  <c r="J636" i="6"/>
  <c r="M635" i="6"/>
  <c r="J573" i="6"/>
  <c r="K959" i="6"/>
  <c r="K931" i="6"/>
  <c r="O1047" i="6"/>
  <c r="AN1002" i="6"/>
  <c r="AN967" i="6"/>
  <c r="L967" i="6"/>
  <c r="L939" i="6"/>
  <c r="L961" i="6"/>
  <c r="L933" i="6"/>
  <c r="E908" i="6"/>
  <c r="K311" i="6"/>
  <c r="K310" i="6"/>
  <c r="K133" i="6"/>
  <c r="K938" i="6"/>
  <c r="K966" i="6"/>
  <c r="E906" i="6"/>
  <c r="H311" i="6"/>
  <c r="H310" i="6"/>
  <c r="H133" i="6"/>
  <c r="O1044" i="6"/>
  <c r="AN999" i="6"/>
  <c r="AN964" i="6"/>
  <c r="AN996" i="6"/>
  <c r="AN1006" i="6" s="1"/>
  <c r="AN961" i="6"/>
  <c r="AN971" i="6" s="1"/>
  <c r="O1041" i="6"/>
  <c r="J901" i="6"/>
  <c r="E573" i="6"/>
  <c r="B574" i="6"/>
  <c r="B528" i="6"/>
  <c r="J905" i="6"/>
  <c r="G574" i="6"/>
  <c r="G528" i="6"/>
  <c r="J912" i="6"/>
  <c r="P574" i="6"/>
  <c r="P528" i="6"/>
  <c r="K1043" i="6"/>
  <c r="AJ998" i="6"/>
  <c r="AJ963" i="6"/>
  <c r="J903" i="6"/>
  <c r="D574" i="6"/>
  <c r="D528" i="6"/>
  <c r="N1046" i="6"/>
  <c r="AM1001" i="6"/>
  <c r="AM966" i="6"/>
  <c r="AW930" i="6"/>
  <c r="M1048" i="6" l="1"/>
  <c r="AL1003" i="6"/>
  <c r="AL968" i="6"/>
  <c r="J958" i="6"/>
  <c r="J930" i="6"/>
  <c r="E937" i="6"/>
  <c r="AR934" i="6"/>
  <c r="E965" i="6"/>
  <c r="J938" i="6"/>
  <c r="J966" i="6"/>
  <c r="M1040" i="6"/>
  <c r="AL995" i="6"/>
  <c r="AL960" i="6"/>
  <c r="I909" i="6"/>
  <c r="L529" i="6"/>
  <c r="L485" i="6"/>
  <c r="L484" i="6" s="1"/>
  <c r="L483" i="6" s="1"/>
  <c r="L482" i="6" s="1"/>
  <c r="L481" i="6" s="1"/>
  <c r="L480" i="6" s="1"/>
  <c r="L478" i="6"/>
  <c r="I912" i="6"/>
  <c r="P529" i="6"/>
  <c r="P485" i="6"/>
  <c r="P484" i="6" s="1"/>
  <c r="P483" i="6" s="1"/>
  <c r="P482" i="6" s="1"/>
  <c r="P481" i="6" s="1"/>
  <c r="P480" i="6" s="1"/>
  <c r="P478" i="6"/>
  <c r="D906" i="6"/>
  <c r="H134" i="6"/>
  <c r="H64" i="6"/>
  <c r="M1049" i="6"/>
  <c r="AL969" i="6"/>
  <c r="AL1004" i="6"/>
  <c r="I903" i="6"/>
  <c r="D529" i="6"/>
  <c r="D485" i="6"/>
  <c r="D484" i="6" s="1"/>
  <c r="D483" i="6" s="1"/>
  <c r="D482" i="6" s="1"/>
  <c r="D481" i="6" s="1"/>
  <c r="D480" i="6" s="1"/>
  <c r="D478" i="6"/>
  <c r="J969" i="6"/>
  <c r="J941" i="6"/>
  <c r="M1039" i="6"/>
  <c r="AL994" i="6"/>
  <c r="AL959" i="6"/>
  <c r="K967" i="6"/>
  <c r="K939" i="6"/>
  <c r="K914" i="6"/>
  <c r="AL997" i="6"/>
  <c r="M1042" i="6"/>
  <c r="AL962" i="6"/>
  <c r="J1043" i="6"/>
  <c r="Z1043" i="6" s="1"/>
  <c r="AI998" i="6"/>
  <c r="AI963" i="6"/>
  <c r="AI897" i="6"/>
  <c r="J910" i="6"/>
  <c r="N574" i="6"/>
  <c r="Q573" i="6"/>
  <c r="N528" i="6"/>
  <c r="I905" i="6"/>
  <c r="G529" i="6"/>
  <c r="G485" i="6"/>
  <c r="G484" i="6" s="1"/>
  <c r="G483" i="6" s="1"/>
  <c r="G482" i="6" s="1"/>
  <c r="G481" i="6" s="1"/>
  <c r="G480" i="6" s="1"/>
  <c r="G478" i="6"/>
  <c r="E963" i="6"/>
  <c r="AR932" i="6"/>
  <c r="E935" i="6"/>
  <c r="N1041" i="6"/>
  <c r="AM996" i="6"/>
  <c r="AM961" i="6"/>
  <c r="AW925" i="6"/>
  <c r="J907" i="6"/>
  <c r="M573" i="6"/>
  <c r="R573" i="6" s="1"/>
  <c r="J574" i="6"/>
  <c r="J528" i="6"/>
  <c r="J904" i="6"/>
  <c r="J914" i="6" s="1"/>
  <c r="I573" i="6"/>
  <c r="F574" i="6"/>
  <c r="F528" i="6"/>
  <c r="M1038" i="6"/>
  <c r="AL993" i="6"/>
  <c r="AL958" i="6"/>
  <c r="I911" i="6"/>
  <c r="O485" i="6"/>
  <c r="O484" i="6" s="1"/>
  <c r="O483" i="6" s="1"/>
  <c r="O482" i="6" s="1"/>
  <c r="O481" i="6" s="1"/>
  <c r="O480" i="6" s="1"/>
  <c r="O529" i="6"/>
  <c r="O478" i="6"/>
  <c r="N1044" i="6"/>
  <c r="AM999" i="6"/>
  <c r="AM1006" i="6" s="1"/>
  <c r="AM964" i="6"/>
  <c r="AW928" i="6"/>
  <c r="M1046" i="6"/>
  <c r="AL1001" i="6"/>
  <c r="AL966" i="6"/>
  <c r="J962" i="6"/>
  <c r="J934" i="6"/>
  <c r="N1047" i="6"/>
  <c r="AM1002" i="6"/>
  <c r="AM967" i="6"/>
  <c r="AW931" i="6"/>
  <c r="I902" i="6"/>
  <c r="C529" i="6"/>
  <c r="C485" i="6"/>
  <c r="C484" i="6" s="1"/>
  <c r="C483" i="6" s="1"/>
  <c r="C482" i="6" s="1"/>
  <c r="C481" i="6" s="1"/>
  <c r="C480" i="6" s="1"/>
  <c r="C478" i="6"/>
  <c r="AW935" i="6"/>
  <c r="J940" i="6"/>
  <c r="J968" i="6"/>
  <c r="J959" i="6"/>
  <c r="J931" i="6"/>
  <c r="J960" i="6"/>
  <c r="J932" i="6"/>
  <c r="AM971" i="6"/>
  <c r="J1045" i="6"/>
  <c r="Z1045" i="6" s="1"/>
  <c r="AI1000" i="6"/>
  <c r="AI899" i="6"/>
  <c r="AI965" i="6"/>
  <c r="I901" i="6"/>
  <c r="B529" i="6"/>
  <c r="B485" i="6"/>
  <c r="B484" i="6" s="1"/>
  <c r="B483" i="6" s="1"/>
  <c r="B482" i="6" s="1"/>
  <c r="B481" i="6" s="1"/>
  <c r="B480" i="6" s="1"/>
  <c r="E528" i="6"/>
  <c r="B478" i="6"/>
  <c r="D908" i="6"/>
  <c r="K134" i="6"/>
  <c r="K64" i="6"/>
  <c r="K964" i="6"/>
  <c r="K936" i="6"/>
  <c r="K961" i="6"/>
  <c r="K933" i="6"/>
  <c r="AM1061" i="6"/>
  <c r="AM1059" i="6"/>
  <c r="AM1054" i="6"/>
  <c r="AM1052" i="6"/>
  <c r="AM1050" i="6"/>
  <c r="AM1048" i="6"/>
  <c r="AM1046" i="6"/>
  <c r="AM1057" i="6"/>
  <c r="AM1055" i="6"/>
  <c r="AM1058" i="6"/>
  <c r="AM1056" i="6"/>
  <c r="AM1043" i="6"/>
  <c r="AM1041" i="6"/>
  <c r="AM1039" i="6"/>
  <c r="AM1051" i="6"/>
  <c r="AM1047" i="6"/>
  <c r="AM1044" i="6"/>
  <c r="AM1042" i="6"/>
  <c r="AM1040" i="6"/>
  <c r="AM1038" i="6"/>
  <c r="AM1049" i="6"/>
  <c r="AM1053" i="6"/>
  <c r="AM1060" i="6"/>
  <c r="AM1045" i="6"/>
  <c r="L971" i="6"/>
  <c r="AM1062" i="6" l="1"/>
  <c r="M1047" i="6"/>
  <c r="AL1002" i="6"/>
  <c r="AL967" i="6"/>
  <c r="H912" i="6"/>
  <c r="P479" i="6"/>
  <c r="P309" i="6"/>
  <c r="M1041" i="6"/>
  <c r="AL996" i="6"/>
  <c r="AL1006" i="6" s="1"/>
  <c r="AL961" i="6"/>
  <c r="AL971" i="6" s="1"/>
  <c r="I962" i="6"/>
  <c r="I934" i="6"/>
  <c r="AI1081" i="6"/>
  <c r="AI1082" i="6"/>
  <c r="L1038" i="6"/>
  <c r="AK993" i="6"/>
  <c r="AK958" i="6"/>
  <c r="J971" i="6"/>
  <c r="D963" i="6"/>
  <c r="AQ932" i="6"/>
  <c r="D935" i="6"/>
  <c r="L1040" i="6"/>
  <c r="AK960" i="6"/>
  <c r="AK995" i="6"/>
  <c r="H911" i="6"/>
  <c r="O479" i="6"/>
  <c r="O309" i="6"/>
  <c r="I959" i="6"/>
  <c r="I931" i="6"/>
  <c r="L1042" i="6"/>
  <c r="AK997" i="6"/>
  <c r="AK962" i="6"/>
  <c r="J964" i="6"/>
  <c r="J936" i="6"/>
  <c r="H905" i="6"/>
  <c r="G479" i="6"/>
  <c r="G309" i="6"/>
  <c r="I966" i="6"/>
  <c r="I938" i="6"/>
  <c r="I904" i="6"/>
  <c r="F529" i="6"/>
  <c r="F485" i="6"/>
  <c r="F484" i="6" s="1"/>
  <c r="F483" i="6" s="1"/>
  <c r="F482" i="6" s="1"/>
  <c r="F481" i="6" s="1"/>
  <c r="F480" i="6" s="1"/>
  <c r="I528" i="6"/>
  <c r="F478" i="6"/>
  <c r="M1044" i="6"/>
  <c r="AL999" i="6"/>
  <c r="AL964" i="6"/>
  <c r="I958" i="6"/>
  <c r="I914" i="6"/>
  <c r="I930" i="6"/>
  <c r="I960" i="6"/>
  <c r="I932" i="6"/>
  <c r="C908" i="6"/>
  <c r="K65" i="6"/>
  <c r="K29" i="6"/>
  <c r="L1039" i="6"/>
  <c r="AK994" i="6"/>
  <c r="AK959" i="6"/>
  <c r="L1048" i="6"/>
  <c r="AK1003" i="6"/>
  <c r="AK968" i="6"/>
  <c r="I968" i="6"/>
  <c r="I940" i="6"/>
  <c r="J961" i="6"/>
  <c r="J933" i="6"/>
  <c r="N529" i="6"/>
  <c r="I910" i="6"/>
  <c r="Q528" i="6"/>
  <c r="N485" i="6"/>
  <c r="N484" i="6" s="1"/>
  <c r="N483" i="6" s="1"/>
  <c r="N482" i="6" s="1"/>
  <c r="N481" i="6" s="1"/>
  <c r="N480" i="6" s="1"/>
  <c r="N478" i="6"/>
  <c r="AL1058" i="6"/>
  <c r="AL1056" i="6"/>
  <c r="AL1061" i="6"/>
  <c r="AL1059" i="6"/>
  <c r="AL1054" i="6"/>
  <c r="AL1057" i="6"/>
  <c r="AL1060" i="6"/>
  <c r="AL1053" i="6"/>
  <c r="AL1051" i="6"/>
  <c r="AL1049" i="6"/>
  <c r="AL1052" i="6"/>
  <c r="AL1043" i="6"/>
  <c r="AL1041" i="6"/>
  <c r="AL1039" i="6"/>
  <c r="AL1050" i="6"/>
  <c r="AL1048" i="6"/>
  <c r="AL1045" i="6"/>
  <c r="AL1040" i="6"/>
  <c r="AL1047" i="6"/>
  <c r="AL1044" i="6"/>
  <c r="AL1055" i="6"/>
  <c r="AL1038" i="6"/>
  <c r="AL1042" i="6"/>
  <c r="AL1046" i="6"/>
  <c r="I969" i="6"/>
  <c r="I941" i="6"/>
  <c r="L1046" i="6"/>
  <c r="AK1001" i="6"/>
  <c r="AK966" i="6"/>
  <c r="AQ934" i="6"/>
  <c r="D965" i="6"/>
  <c r="D937" i="6"/>
  <c r="K971" i="6"/>
  <c r="I907" i="6"/>
  <c r="J485" i="6"/>
  <c r="J484" i="6" s="1"/>
  <c r="J483" i="6" s="1"/>
  <c r="J482" i="6" s="1"/>
  <c r="J481" i="6" s="1"/>
  <c r="J480" i="6" s="1"/>
  <c r="J529" i="6"/>
  <c r="M528" i="6"/>
  <c r="J478" i="6"/>
  <c r="H909" i="6"/>
  <c r="L479" i="6"/>
  <c r="L309" i="6"/>
  <c r="G1045" i="6"/>
  <c r="AG965" i="6"/>
  <c r="AG1000" i="6"/>
  <c r="H901" i="6"/>
  <c r="B479" i="6"/>
  <c r="E478" i="6"/>
  <c r="B309" i="6"/>
  <c r="AI1087" i="6"/>
  <c r="AI1088" i="6"/>
  <c r="L1049" i="6"/>
  <c r="AK1004" i="6"/>
  <c r="AK969" i="6"/>
  <c r="C906" i="6"/>
  <c r="H65" i="6"/>
  <c r="H29" i="6"/>
  <c r="R528" i="6"/>
  <c r="H902" i="6"/>
  <c r="C479" i="6"/>
  <c r="C309" i="6"/>
  <c r="G1043" i="6"/>
  <c r="AG998" i="6"/>
  <c r="AG963" i="6"/>
  <c r="J967" i="6"/>
  <c r="J939" i="6"/>
  <c r="H903" i="6"/>
  <c r="D479" i="6"/>
  <c r="D309" i="6"/>
  <c r="AL1062" i="6" l="1"/>
  <c r="H960" i="6"/>
  <c r="H932" i="6"/>
  <c r="H959" i="6"/>
  <c r="H931" i="6"/>
  <c r="L1044" i="6"/>
  <c r="AK999" i="6"/>
  <c r="AK964" i="6"/>
  <c r="H968" i="6"/>
  <c r="H940" i="6"/>
  <c r="L1047" i="6"/>
  <c r="AK1002" i="6"/>
  <c r="AK967" i="6"/>
  <c r="I936" i="6"/>
  <c r="I964" i="6"/>
  <c r="L1041" i="6"/>
  <c r="AK996" i="6"/>
  <c r="AK961" i="6"/>
  <c r="AK971" i="6" s="1"/>
  <c r="AK1060" i="6"/>
  <c r="AK1058" i="6"/>
  <c r="AK1056" i="6"/>
  <c r="AK1061" i="6"/>
  <c r="AK1059" i="6"/>
  <c r="AK1054" i="6"/>
  <c r="AK1052" i="6"/>
  <c r="AK1050" i="6"/>
  <c r="AK1048" i="6"/>
  <c r="AK1046" i="6"/>
  <c r="AK1055" i="6"/>
  <c r="AK1053" i="6"/>
  <c r="AK1049" i="6"/>
  <c r="AK1045" i="6"/>
  <c r="AK1043" i="6"/>
  <c r="AK1041" i="6"/>
  <c r="AK1039" i="6"/>
  <c r="AK1047" i="6"/>
  <c r="AK1044" i="6"/>
  <c r="AK1051" i="6"/>
  <c r="AK1040" i="6"/>
  <c r="AK1057" i="6"/>
  <c r="AK1038" i="6"/>
  <c r="AK1042" i="6"/>
  <c r="K1038" i="6"/>
  <c r="AJ993" i="6"/>
  <c r="AJ958" i="6"/>
  <c r="I961" i="6"/>
  <c r="I933" i="6"/>
  <c r="AK1006" i="6"/>
  <c r="K1049" i="6"/>
  <c r="AJ969" i="6"/>
  <c r="AJ1004" i="6"/>
  <c r="B908" i="6"/>
  <c r="K19" i="6"/>
  <c r="K20" i="6" s="1"/>
  <c r="K30" i="6"/>
  <c r="E912" i="6"/>
  <c r="P310" i="6"/>
  <c r="P311" i="6"/>
  <c r="P133" i="6"/>
  <c r="B906" i="6"/>
  <c r="H30" i="6"/>
  <c r="H19" i="6"/>
  <c r="H20" i="6" s="1"/>
  <c r="E909" i="6"/>
  <c r="L311" i="6"/>
  <c r="L310" i="6"/>
  <c r="L133" i="6"/>
  <c r="E901" i="6"/>
  <c r="B311" i="6"/>
  <c r="E309" i="6"/>
  <c r="B310" i="6"/>
  <c r="B133" i="6"/>
  <c r="H910" i="6"/>
  <c r="Q478" i="6"/>
  <c r="N479" i="6"/>
  <c r="N309" i="6"/>
  <c r="K1048" i="6"/>
  <c r="AJ1003" i="6"/>
  <c r="AJ968" i="6"/>
  <c r="K1046" i="6"/>
  <c r="AJ1001" i="6"/>
  <c r="AJ966" i="6"/>
  <c r="E905" i="6"/>
  <c r="G310" i="6"/>
  <c r="G311" i="6"/>
  <c r="G133" i="6"/>
  <c r="H969" i="6"/>
  <c r="H941" i="6"/>
  <c r="E903" i="6"/>
  <c r="D310" i="6"/>
  <c r="D311" i="6"/>
  <c r="D133" i="6"/>
  <c r="H907" i="6"/>
  <c r="J479" i="6"/>
  <c r="M478" i="6"/>
  <c r="R478" i="6" s="1"/>
  <c r="J309" i="6"/>
  <c r="H904" i="6"/>
  <c r="I478" i="6"/>
  <c r="F479" i="6"/>
  <c r="F309" i="6"/>
  <c r="K1039" i="6"/>
  <c r="AJ994" i="6"/>
  <c r="AJ959" i="6"/>
  <c r="C963" i="6"/>
  <c r="AP932" i="6"/>
  <c r="C935" i="6"/>
  <c r="H966" i="6"/>
  <c r="H938" i="6"/>
  <c r="F1045" i="6"/>
  <c r="AF1000" i="6"/>
  <c r="AF965" i="6"/>
  <c r="AP934" i="6"/>
  <c r="C937" i="6"/>
  <c r="C965" i="6"/>
  <c r="E902" i="6"/>
  <c r="C310" i="6"/>
  <c r="C311" i="6"/>
  <c r="C133" i="6"/>
  <c r="H958" i="6"/>
  <c r="H914" i="6"/>
  <c r="H930" i="6"/>
  <c r="I939" i="6"/>
  <c r="I967" i="6"/>
  <c r="K1040" i="6"/>
  <c r="AJ995" i="6"/>
  <c r="AJ960" i="6"/>
  <c r="H962" i="6"/>
  <c r="H934" i="6"/>
  <c r="E911" i="6"/>
  <c r="O310" i="6"/>
  <c r="O311" i="6"/>
  <c r="O133" i="6"/>
  <c r="F1043" i="6"/>
  <c r="AF998" i="6"/>
  <c r="AF963" i="6"/>
  <c r="AJ997" i="6"/>
  <c r="K1042" i="6"/>
  <c r="AJ962" i="6"/>
  <c r="AK1062" i="6" l="1"/>
  <c r="J1048" i="6"/>
  <c r="Z1048" i="6" s="1"/>
  <c r="AI968" i="6"/>
  <c r="AI1003" i="6"/>
  <c r="AI902" i="6"/>
  <c r="J1042" i="6"/>
  <c r="Z1042" i="6" s="1"/>
  <c r="AI997" i="6"/>
  <c r="AI962" i="6"/>
  <c r="AI896" i="6"/>
  <c r="J1038" i="6"/>
  <c r="Z1038" i="6" s="1"/>
  <c r="AI993" i="6"/>
  <c r="AI958" i="6"/>
  <c r="AI892" i="6"/>
  <c r="E1043" i="6"/>
  <c r="AE998" i="6"/>
  <c r="AE963" i="6"/>
  <c r="E907" i="6"/>
  <c r="J311" i="6"/>
  <c r="M309" i="6"/>
  <c r="J310" i="6"/>
  <c r="J133" i="6"/>
  <c r="D901" i="6"/>
  <c r="E133" i="6"/>
  <c r="B134" i="6"/>
  <c r="B64" i="6"/>
  <c r="E938" i="6"/>
  <c r="E966" i="6"/>
  <c r="AR935" i="6"/>
  <c r="K1041" i="6"/>
  <c r="AJ996" i="6"/>
  <c r="AJ961" i="6"/>
  <c r="AJ971" i="6" s="1"/>
  <c r="K1044" i="6"/>
  <c r="AJ999" i="6"/>
  <c r="AJ964" i="6"/>
  <c r="H961" i="6"/>
  <c r="H933" i="6"/>
  <c r="AI969" i="6"/>
  <c r="J1049" i="6"/>
  <c r="Z1049" i="6" s="1"/>
  <c r="AI1004" i="6"/>
  <c r="AI903" i="6"/>
  <c r="H967" i="6"/>
  <c r="H939" i="6"/>
  <c r="D902" i="6"/>
  <c r="C134" i="6"/>
  <c r="C64" i="6"/>
  <c r="D905" i="6"/>
  <c r="G134" i="6"/>
  <c r="G64" i="6"/>
  <c r="B965" i="6"/>
  <c r="AO934" i="6"/>
  <c r="AT934" i="6" s="1"/>
  <c r="B937" i="6"/>
  <c r="AG899" i="6"/>
  <c r="AH899" i="6" s="1"/>
  <c r="AJ899" i="6" s="1"/>
  <c r="AL899" i="6" s="1"/>
  <c r="AN899" i="6"/>
  <c r="E960" i="6"/>
  <c r="AR929" i="6"/>
  <c r="E932" i="6"/>
  <c r="B935" i="6"/>
  <c r="B963" i="6"/>
  <c r="AO932" i="6"/>
  <c r="AT932" i="6" s="1"/>
  <c r="AG897" i="6"/>
  <c r="AH897" i="6" s="1"/>
  <c r="AJ897" i="6" s="1"/>
  <c r="AL897" i="6" s="1"/>
  <c r="AN897" i="6"/>
  <c r="E969" i="6"/>
  <c r="E941" i="6"/>
  <c r="AR938" i="6"/>
  <c r="AJ1060" i="6"/>
  <c r="AJ1053" i="6"/>
  <c r="AJ1051" i="6"/>
  <c r="AJ1049" i="6"/>
  <c r="AJ1047" i="6"/>
  <c r="AJ1058" i="6"/>
  <c r="AJ1056" i="6"/>
  <c r="AJ1055" i="6"/>
  <c r="AJ1046" i="6"/>
  <c r="AJ1042" i="6"/>
  <c r="AJ1040" i="6"/>
  <c r="AJ1038" i="6"/>
  <c r="AJ1059" i="6"/>
  <c r="AJ1045" i="6"/>
  <c r="AJ1052" i="6"/>
  <c r="AJ1043" i="6"/>
  <c r="AJ1057" i="6"/>
  <c r="AJ1048" i="6"/>
  <c r="AJ1044" i="6"/>
  <c r="AJ1039" i="6"/>
  <c r="AJ1061" i="6"/>
  <c r="AJ1050" i="6"/>
  <c r="AJ1054" i="6"/>
  <c r="AJ1041" i="6"/>
  <c r="K1047" i="6"/>
  <c r="AJ1002" i="6"/>
  <c r="AJ1006" i="6" s="1"/>
  <c r="AJ967" i="6"/>
  <c r="E931" i="6"/>
  <c r="E959" i="6"/>
  <c r="AR928" i="6"/>
  <c r="J1046" i="6"/>
  <c r="Z1046" i="6" s="1"/>
  <c r="AI966" i="6"/>
  <c r="AI1001" i="6"/>
  <c r="AI900" i="6"/>
  <c r="E904" i="6"/>
  <c r="F310" i="6"/>
  <c r="F311" i="6"/>
  <c r="I309" i="6"/>
  <c r="R309" i="6" s="1"/>
  <c r="F133" i="6"/>
  <c r="D903" i="6"/>
  <c r="D134" i="6"/>
  <c r="D64" i="6"/>
  <c r="E910" i="6"/>
  <c r="N310" i="6"/>
  <c r="N311" i="6"/>
  <c r="Q309" i="6"/>
  <c r="N133" i="6"/>
  <c r="E930" i="6"/>
  <c r="AR927" i="6"/>
  <c r="E958" i="6"/>
  <c r="E914" i="6"/>
  <c r="D912" i="6"/>
  <c r="P134" i="6"/>
  <c r="P64" i="6"/>
  <c r="I971" i="6"/>
  <c r="J1039" i="6"/>
  <c r="AI994" i="6"/>
  <c r="AI959" i="6"/>
  <c r="AI893" i="6"/>
  <c r="D909" i="6"/>
  <c r="L134" i="6"/>
  <c r="L64" i="6"/>
  <c r="D911" i="6"/>
  <c r="O134" i="6"/>
  <c r="O64" i="6"/>
  <c r="H964" i="6"/>
  <c r="H936" i="6"/>
  <c r="E1045" i="6"/>
  <c r="AE1000" i="6"/>
  <c r="AE965" i="6"/>
  <c r="E962" i="6"/>
  <c r="E934" i="6"/>
  <c r="AR931" i="6"/>
  <c r="E968" i="6"/>
  <c r="E940" i="6"/>
  <c r="AR937" i="6"/>
  <c r="J1040" i="6"/>
  <c r="Z1040" i="6" s="1"/>
  <c r="AI995" i="6"/>
  <c r="AI960" i="6"/>
  <c r="AI894" i="6"/>
  <c r="AJ1062" i="6" l="1"/>
  <c r="AI1073" i="6"/>
  <c r="AI1072" i="6"/>
  <c r="AG994" i="6"/>
  <c r="G1039" i="6"/>
  <c r="AG959" i="6"/>
  <c r="D969" i="6"/>
  <c r="D941" i="6"/>
  <c r="AQ938" i="6"/>
  <c r="D962" i="6"/>
  <c r="D934" i="6"/>
  <c r="AQ931" i="6"/>
  <c r="C902" i="6"/>
  <c r="C65" i="6"/>
  <c r="C29" i="6"/>
  <c r="AI1099" i="6"/>
  <c r="AI1100" i="6"/>
  <c r="D930" i="6"/>
  <c r="AQ927" i="6"/>
  <c r="D958" i="6"/>
  <c r="T1043" i="6"/>
  <c r="V1043" i="6"/>
  <c r="AF1081" i="6" s="1"/>
  <c r="U1043" i="6"/>
  <c r="W1043" i="6"/>
  <c r="AF1082" i="6" s="1"/>
  <c r="E967" i="6"/>
  <c r="E939" i="6"/>
  <c r="AR936" i="6"/>
  <c r="E961" i="6"/>
  <c r="E933" i="6"/>
  <c r="AR930" i="6"/>
  <c r="G1048" i="6"/>
  <c r="AG968" i="6"/>
  <c r="AG1003" i="6"/>
  <c r="J1044" i="6"/>
  <c r="Z1044" i="6" s="1"/>
  <c r="AI964" i="6"/>
  <c r="AI999" i="6"/>
  <c r="AI898" i="6"/>
  <c r="G1038" i="6"/>
  <c r="AG993" i="6"/>
  <c r="AG958" i="6"/>
  <c r="C903" i="6"/>
  <c r="D65" i="6"/>
  <c r="D29" i="6"/>
  <c r="AD998" i="6"/>
  <c r="AS998" i="6" s="1"/>
  <c r="R963" i="6"/>
  <c r="B991" i="6" s="1"/>
  <c r="AD963" i="6"/>
  <c r="AS963" i="6" s="1"/>
  <c r="R1070" i="6"/>
  <c r="D907" i="6"/>
  <c r="M133" i="6"/>
  <c r="J134" i="6"/>
  <c r="J64" i="6"/>
  <c r="AI1078" i="6"/>
  <c r="AI1079" i="6"/>
  <c r="T1045" i="6"/>
  <c r="V1045" i="6"/>
  <c r="AF1087" i="6" s="1"/>
  <c r="W1045" i="6"/>
  <c r="AF1088" i="6" s="1"/>
  <c r="U1045" i="6"/>
  <c r="D959" i="6"/>
  <c r="D931" i="6"/>
  <c r="AQ928" i="6"/>
  <c r="D966" i="6"/>
  <c r="AQ935" i="6"/>
  <c r="D938" i="6"/>
  <c r="AI1055" i="6"/>
  <c r="AI1060" i="6"/>
  <c r="AI1053" i="6"/>
  <c r="AI1051" i="6"/>
  <c r="AI1049" i="6"/>
  <c r="AI1047" i="6"/>
  <c r="AI1058" i="6"/>
  <c r="AI1056" i="6"/>
  <c r="AI1057" i="6"/>
  <c r="AI1061" i="6"/>
  <c r="AI1054" i="6"/>
  <c r="AI1046" i="6"/>
  <c r="AI1042" i="6"/>
  <c r="AI1040" i="6"/>
  <c r="AI1038" i="6"/>
  <c r="AI1059" i="6"/>
  <c r="AI1045" i="6"/>
  <c r="AI1052" i="6"/>
  <c r="Z1039" i="6"/>
  <c r="AI1041" i="6"/>
  <c r="AI1039" i="6"/>
  <c r="AI1048" i="6"/>
  <c r="AI1044" i="6"/>
  <c r="AI1050" i="6"/>
  <c r="AI1043" i="6"/>
  <c r="D932" i="6"/>
  <c r="AQ929" i="6"/>
  <c r="D960" i="6"/>
  <c r="AD1000" i="6"/>
  <c r="AS1000" i="6" s="1"/>
  <c r="R965" i="6"/>
  <c r="B993" i="6" s="1"/>
  <c r="AD965" i="6"/>
  <c r="AS965" i="6" s="1"/>
  <c r="R1072" i="6"/>
  <c r="J1041" i="6"/>
  <c r="Z1041" i="6" s="1"/>
  <c r="AI996" i="6"/>
  <c r="AI961" i="6"/>
  <c r="AI971" i="6" s="1"/>
  <c r="AI895" i="6"/>
  <c r="AI905" i="6" s="1"/>
  <c r="G1046" i="6"/>
  <c r="AG966" i="6"/>
  <c r="AG1001" i="6"/>
  <c r="D968" i="6"/>
  <c r="AQ937" i="6"/>
  <c r="D940" i="6"/>
  <c r="D910" i="6"/>
  <c r="N134" i="6"/>
  <c r="Q133" i="6"/>
  <c r="N64" i="6"/>
  <c r="AI1090" i="6"/>
  <c r="AI1091" i="6"/>
  <c r="J1047" i="6"/>
  <c r="Z1047" i="6" s="1"/>
  <c r="AI1002" i="6"/>
  <c r="AI1006" i="6" s="1"/>
  <c r="AI901" i="6"/>
  <c r="AI967" i="6"/>
  <c r="H971" i="6"/>
  <c r="C911" i="6"/>
  <c r="O65" i="6"/>
  <c r="O29" i="6"/>
  <c r="G1042" i="6"/>
  <c r="AG997" i="6"/>
  <c r="AG962" i="6"/>
  <c r="D904" i="6"/>
  <c r="F134" i="6"/>
  <c r="I133" i="6"/>
  <c r="R133" i="6" s="1"/>
  <c r="F64" i="6"/>
  <c r="C909" i="6"/>
  <c r="L65" i="6"/>
  <c r="L29" i="6"/>
  <c r="C912" i="6"/>
  <c r="P65" i="6"/>
  <c r="P29" i="6"/>
  <c r="G1049" i="6"/>
  <c r="AG969" i="6"/>
  <c r="AG1004" i="6"/>
  <c r="G1040" i="6"/>
  <c r="AG995" i="6"/>
  <c r="AG960" i="6"/>
  <c r="C905" i="6"/>
  <c r="G65" i="6"/>
  <c r="G29" i="6"/>
  <c r="C901" i="6"/>
  <c r="B29" i="6"/>
  <c r="E64" i="6"/>
  <c r="B65" i="6"/>
  <c r="E936" i="6"/>
  <c r="E964" i="6"/>
  <c r="AR933" i="6"/>
  <c r="AR940" i="6" s="1"/>
  <c r="AI1066" i="6"/>
  <c r="AI1067" i="6"/>
  <c r="AI1096" i="6"/>
  <c r="AI1097" i="6"/>
  <c r="AI1062" i="6" l="1"/>
  <c r="F1040" i="6"/>
  <c r="AF995" i="6"/>
  <c r="AF960" i="6"/>
  <c r="C969" i="6"/>
  <c r="AP938" i="6"/>
  <c r="C941" i="6"/>
  <c r="AI1070" i="6"/>
  <c r="AI1069" i="6"/>
  <c r="B1018" i="6"/>
  <c r="C991" i="6"/>
  <c r="C1018" i="6" s="1"/>
  <c r="B902" i="6"/>
  <c r="C30" i="6"/>
  <c r="C19" i="6"/>
  <c r="C20" i="6" s="1"/>
  <c r="F1049" i="6"/>
  <c r="AF1004" i="6"/>
  <c r="AF969" i="6"/>
  <c r="B909" i="6"/>
  <c r="L19" i="6"/>
  <c r="L20" i="6" s="1"/>
  <c r="L30" i="6"/>
  <c r="B901" i="6"/>
  <c r="B19" i="6"/>
  <c r="E29" i="6"/>
  <c r="B30" i="6"/>
  <c r="C966" i="6"/>
  <c r="C938" i="6"/>
  <c r="AP935" i="6"/>
  <c r="B911" i="6"/>
  <c r="O30" i="6"/>
  <c r="O19" i="6"/>
  <c r="O20" i="6" s="1"/>
  <c r="AI1093" i="6"/>
  <c r="AI1094" i="6"/>
  <c r="F1039" i="6"/>
  <c r="AF994" i="6"/>
  <c r="AF959" i="6"/>
  <c r="D991" i="6"/>
  <c r="AU963" i="6"/>
  <c r="AF1003" i="6"/>
  <c r="F1048" i="6"/>
  <c r="AF968" i="6"/>
  <c r="AI1075" i="6"/>
  <c r="AI1076" i="6"/>
  <c r="C907" i="6"/>
  <c r="J65" i="6"/>
  <c r="J29" i="6"/>
  <c r="M64" i="6"/>
  <c r="B903" i="6"/>
  <c r="D19" i="6"/>
  <c r="D20" i="6" s="1"/>
  <c r="D30" i="6"/>
  <c r="G1041" i="6"/>
  <c r="AG996" i="6"/>
  <c r="AG1006" i="6" s="1"/>
  <c r="AG961" i="6"/>
  <c r="AG971" i="6" s="1"/>
  <c r="F1038" i="6"/>
  <c r="AF993" i="6"/>
  <c r="AF958" i="6"/>
  <c r="AP928" i="6"/>
  <c r="C931" i="6"/>
  <c r="C959" i="6"/>
  <c r="AG1061" i="6"/>
  <c r="AG1059" i="6"/>
  <c r="AG1057" i="6"/>
  <c r="AG1055" i="6"/>
  <c r="AG1060" i="6"/>
  <c r="AG1053" i="6"/>
  <c r="AG1051" i="6"/>
  <c r="AG1049" i="6"/>
  <c r="AG1047" i="6"/>
  <c r="AG1058" i="6"/>
  <c r="AG1050" i="6"/>
  <c r="AG1048" i="6"/>
  <c r="AG1054" i="6"/>
  <c r="AG1044" i="6"/>
  <c r="AG1056" i="6"/>
  <c r="AG1046" i="6"/>
  <c r="AG1042" i="6"/>
  <c r="AG1040" i="6"/>
  <c r="AG1038" i="6"/>
  <c r="AG1045" i="6"/>
  <c r="AG1041" i="6"/>
  <c r="AG1052" i="6"/>
  <c r="AG1039" i="6"/>
  <c r="AG1043" i="6"/>
  <c r="C958" i="6"/>
  <c r="C930" i="6"/>
  <c r="AP927" i="6"/>
  <c r="B905" i="6"/>
  <c r="G30" i="6"/>
  <c r="G19" i="6"/>
  <c r="G20" i="6" s="1"/>
  <c r="C968" i="6"/>
  <c r="AP937" i="6"/>
  <c r="C940" i="6"/>
  <c r="D967" i="6"/>
  <c r="AQ936" i="6"/>
  <c r="D939" i="6"/>
  <c r="B912" i="6"/>
  <c r="P19" i="6"/>
  <c r="P20" i="6" s="1"/>
  <c r="P30" i="6"/>
  <c r="C910" i="6"/>
  <c r="Q64" i="6"/>
  <c r="N29" i="6"/>
  <c r="N65" i="6"/>
  <c r="D993" i="6"/>
  <c r="AU965" i="6"/>
  <c r="C932" i="6"/>
  <c r="AP929" i="6"/>
  <c r="C960" i="6"/>
  <c r="AI1084" i="6"/>
  <c r="AI1085" i="6"/>
  <c r="C904" i="6"/>
  <c r="C914" i="6" s="1"/>
  <c r="I64" i="6"/>
  <c r="R64" i="6" s="1"/>
  <c r="F29" i="6"/>
  <c r="F65" i="6"/>
  <c r="G1044" i="6"/>
  <c r="AG964" i="6"/>
  <c r="AG999" i="6"/>
  <c r="C962" i="6"/>
  <c r="AP931" i="6"/>
  <c r="C934" i="6"/>
  <c r="D961" i="6"/>
  <c r="D933" i="6"/>
  <c r="AQ930" i="6"/>
  <c r="AQ940" i="6" s="1"/>
  <c r="C993" i="6"/>
  <c r="C1020" i="6" s="1"/>
  <c r="B1020" i="6"/>
  <c r="F1046" i="6"/>
  <c r="AF1001" i="6"/>
  <c r="AF966" i="6"/>
  <c r="D964" i="6"/>
  <c r="D936" i="6"/>
  <c r="AQ933" i="6"/>
  <c r="E971" i="6"/>
  <c r="G1047" i="6"/>
  <c r="AG967" i="6"/>
  <c r="AG1002" i="6"/>
  <c r="D914" i="6"/>
  <c r="F1042" i="6"/>
  <c r="AF997" i="6"/>
  <c r="AF962" i="6"/>
  <c r="AG1062" i="6" l="1"/>
  <c r="AE993" i="6"/>
  <c r="E1038" i="6"/>
  <c r="AE958" i="6"/>
  <c r="E1040" i="6"/>
  <c r="AE995" i="6"/>
  <c r="AE960" i="6"/>
  <c r="AP936" i="6"/>
  <c r="C939" i="6"/>
  <c r="C967" i="6"/>
  <c r="B907" i="6"/>
  <c r="J30" i="6"/>
  <c r="J19" i="6"/>
  <c r="M29" i="6"/>
  <c r="B958" i="6"/>
  <c r="AG892" i="6"/>
  <c r="B930" i="6"/>
  <c r="AO927" i="6"/>
  <c r="AN892" i="6"/>
  <c r="D1018" i="6"/>
  <c r="M991" i="6"/>
  <c r="M1018" i="6" s="1"/>
  <c r="F1044" i="6"/>
  <c r="AF999" i="6"/>
  <c r="AF964" i="6"/>
  <c r="E1048" i="6"/>
  <c r="AE1003" i="6"/>
  <c r="AE968" i="6"/>
  <c r="E1039" i="6"/>
  <c r="AE994" i="6"/>
  <c r="AE959" i="6"/>
  <c r="C936" i="6"/>
  <c r="C964" i="6"/>
  <c r="AP933" i="6"/>
  <c r="B968" i="6"/>
  <c r="AN902" i="6"/>
  <c r="AO937" i="6"/>
  <c r="AT937" i="6" s="1"/>
  <c r="B940" i="6"/>
  <c r="AG902" i="6"/>
  <c r="AH902" i="6" s="1"/>
  <c r="AJ902" i="6" s="1"/>
  <c r="AL902" i="6" s="1"/>
  <c r="F1041" i="6"/>
  <c r="AF961" i="6"/>
  <c r="AF996" i="6"/>
  <c r="B904" i="6"/>
  <c r="B914" i="6" s="1"/>
  <c r="F19" i="6"/>
  <c r="I29" i="6"/>
  <c r="F30" i="6"/>
  <c r="B969" i="6"/>
  <c r="B941" i="6"/>
  <c r="AG903" i="6"/>
  <c r="AH903" i="6" s="1"/>
  <c r="AJ903" i="6" s="1"/>
  <c r="AL903" i="6" s="1"/>
  <c r="AN903" i="6"/>
  <c r="AO938" i="6"/>
  <c r="AT938" i="6" s="1"/>
  <c r="B966" i="6"/>
  <c r="B938" i="6"/>
  <c r="AN900" i="6"/>
  <c r="AG900" i="6"/>
  <c r="AH900" i="6" s="1"/>
  <c r="AJ900" i="6" s="1"/>
  <c r="AL900" i="6" s="1"/>
  <c r="AO935" i="6"/>
  <c r="AT935" i="6" s="1"/>
  <c r="AE1004" i="6"/>
  <c r="E1049" i="6"/>
  <c r="AE969" i="6"/>
  <c r="AF1061" i="6"/>
  <c r="AF1059" i="6"/>
  <c r="AF1054" i="6"/>
  <c r="AF1052" i="6"/>
  <c r="AF1050" i="6"/>
  <c r="AF1048" i="6"/>
  <c r="AF1046" i="6"/>
  <c r="AF1057" i="6"/>
  <c r="AF1055" i="6"/>
  <c r="AF1041" i="6"/>
  <c r="AF1039" i="6"/>
  <c r="AF1058" i="6"/>
  <c r="AF1053" i="6"/>
  <c r="AF1049" i="6"/>
  <c r="AF1044" i="6"/>
  <c r="AF1056" i="6"/>
  <c r="AF1060" i="6"/>
  <c r="AF1045" i="6"/>
  <c r="AF1042" i="6"/>
  <c r="AF1051" i="6"/>
  <c r="AF1040" i="6"/>
  <c r="AF1047" i="6"/>
  <c r="AF1038" i="6"/>
  <c r="AF1062" i="6" s="1"/>
  <c r="AF1043" i="6"/>
  <c r="E1046" i="6"/>
  <c r="AE1001" i="6"/>
  <c r="AE966" i="6"/>
  <c r="E991" i="6"/>
  <c r="E1018" i="6" s="1"/>
  <c r="C961" i="6"/>
  <c r="C971" i="6" s="1"/>
  <c r="C933" i="6"/>
  <c r="AP930" i="6"/>
  <c r="AP940" i="6" s="1"/>
  <c r="B962" i="6"/>
  <c r="B934" i="6"/>
  <c r="AO931" i="6"/>
  <c r="AT931" i="6" s="1"/>
  <c r="AN896" i="6"/>
  <c r="AG896" i="6"/>
  <c r="AH896" i="6" s="1"/>
  <c r="AJ896" i="6" s="1"/>
  <c r="AL896" i="6" s="1"/>
  <c r="AO928" i="6"/>
  <c r="AT928" i="6" s="1"/>
  <c r="AN893" i="6"/>
  <c r="B931" i="6"/>
  <c r="AG893" i="6"/>
  <c r="AH893" i="6" s="1"/>
  <c r="AJ893" i="6" s="1"/>
  <c r="AL893" i="6" s="1"/>
  <c r="B959" i="6"/>
  <c r="D1020" i="6"/>
  <c r="F993" i="6"/>
  <c r="B910" i="6"/>
  <c r="Q29" i="6"/>
  <c r="N19" i="6"/>
  <c r="N30" i="6"/>
  <c r="F1047" i="6"/>
  <c r="AF1002" i="6"/>
  <c r="AF1006" i="6" s="1"/>
  <c r="AF967" i="6"/>
  <c r="AF971" i="6" s="1"/>
  <c r="B960" i="6"/>
  <c r="B932" i="6"/>
  <c r="AG894" i="6"/>
  <c r="AH894" i="6" s="1"/>
  <c r="AJ894" i="6" s="1"/>
  <c r="AL894" i="6" s="1"/>
  <c r="AO929" i="6"/>
  <c r="AT929" i="6" s="1"/>
  <c r="AN894" i="6"/>
  <c r="R29" i="6"/>
  <c r="E1042" i="6"/>
  <c r="AE997" i="6"/>
  <c r="AE962" i="6"/>
  <c r="E993" i="6"/>
  <c r="E1020" i="6" s="1"/>
  <c r="D971" i="6"/>
  <c r="E19" i="6"/>
  <c r="B20" i="6"/>
  <c r="E20" i="6" s="1"/>
  <c r="S993" i="6" l="1"/>
  <c r="F1020" i="6"/>
  <c r="AD1004" i="6"/>
  <c r="AS1004" i="6" s="1"/>
  <c r="AD969" i="6"/>
  <c r="AS969" i="6" s="1"/>
  <c r="R969" i="6"/>
  <c r="B997" i="6" s="1"/>
  <c r="R1076" i="6"/>
  <c r="R19" i="6"/>
  <c r="AD994" i="6"/>
  <c r="AS994" i="6" s="1"/>
  <c r="AD959" i="6"/>
  <c r="AS959" i="6" s="1"/>
  <c r="R959" i="6"/>
  <c r="B987" i="6" s="1"/>
  <c r="R1066" i="6"/>
  <c r="AE1061" i="6"/>
  <c r="AS1061" i="6" s="1"/>
  <c r="AE1059" i="6"/>
  <c r="AS1059" i="6" s="1"/>
  <c r="AE1054" i="6"/>
  <c r="AS1054" i="6" s="1"/>
  <c r="AE1052" i="6"/>
  <c r="AS1052" i="6" s="1"/>
  <c r="AE1050" i="6"/>
  <c r="AS1050" i="6" s="1"/>
  <c r="AE1048" i="6"/>
  <c r="AS1048" i="6" s="1"/>
  <c r="AE1046" i="6"/>
  <c r="AS1046" i="6" s="1"/>
  <c r="AE1057" i="6"/>
  <c r="AS1057" i="6" s="1"/>
  <c r="AE1055" i="6"/>
  <c r="AS1055" i="6" s="1"/>
  <c r="AE1058" i="6"/>
  <c r="AS1058" i="6" s="1"/>
  <c r="AE1056" i="6"/>
  <c r="AS1056" i="6" s="1"/>
  <c r="AE1047" i="6"/>
  <c r="AS1047" i="6" s="1"/>
  <c r="AE1043" i="6"/>
  <c r="AS1043" i="6" s="1"/>
  <c r="AE1041" i="6"/>
  <c r="AS1041" i="6" s="1"/>
  <c r="AE1039" i="6"/>
  <c r="AS1039" i="6" s="1"/>
  <c r="AE1053" i="6"/>
  <c r="AS1053" i="6" s="1"/>
  <c r="AE1049" i="6"/>
  <c r="AS1049" i="6" s="1"/>
  <c r="AE1044" i="6"/>
  <c r="AS1044" i="6" s="1"/>
  <c r="AE1042" i="6"/>
  <c r="AS1042" i="6" s="1"/>
  <c r="AE1040" i="6"/>
  <c r="AS1040" i="6" s="1"/>
  <c r="AE1038" i="6"/>
  <c r="AE1051" i="6"/>
  <c r="AS1051" i="6" s="1"/>
  <c r="AE1045" i="6"/>
  <c r="AS1045" i="6" s="1"/>
  <c r="AE1060" i="6"/>
  <c r="AS1060" i="6" s="1"/>
  <c r="W1039" i="6"/>
  <c r="AF1070" i="6" s="1"/>
  <c r="U1039" i="6"/>
  <c r="V1039" i="6"/>
  <c r="AF1069" i="6" s="1"/>
  <c r="T1039" i="6"/>
  <c r="F991" i="6"/>
  <c r="AD993" i="6"/>
  <c r="AD958" i="6"/>
  <c r="R958" i="6"/>
  <c r="R1065" i="6"/>
  <c r="W1046" i="6"/>
  <c r="AF1091" i="6" s="1"/>
  <c r="U1046" i="6"/>
  <c r="T1046" i="6"/>
  <c r="V1046" i="6"/>
  <c r="AF1090" i="6" s="1"/>
  <c r="AD1001" i="6"/>
  <c r="AS1001" i="6" s="1"/>
  <c r="AD966" i="6"/>
  <c r="AS966" i="6" s="1"/>
  <c r="R966" i="6"/>
  <c r="B994" i="6" s="1"/>
  <c r="R1073" i="6"/>
  <c r="I19" i="6"/>
  <c r="F20" i="6"/>
  <c r="I20" i="6" s="1"/>
  <c r="R20" i="6" s="1"/>
  <c r="M19" i="6"/>
  <c r="J20" i="6"/>
  <c r="M20" i="6" s="1"/>
  <c r="W1040" i="6"/>
  <c r="AF1073" i="6" s="1"/>
  <c r="U1040" i="6"/>
  <c r="V1040" i="6"/>
  <c r="AF1072" i="6" s="1"/>
  <c r="T1040" i="6"/>
  <c r="Q19" i="6"/>
  <c r="N20" i="6"/>
  <c r="Q20" i="6" s="1"/>
  <c r="B961" i="6"/>
  <c r="B933" i="6"/>
  <c r="AN895" i="6"/>
  <c r="AO930" i="6"/>
  <c r="AT930" i="6" s="1"/>
  <c r="AG895" i="6"/>
  <c r="AH895" i="6" s="1"/>
  <c r="AJ895" i="6" s="1"/>
  <c r="AL895" i="6" s="1"/>
  <c r="AD1003" i="6"/>
  <c r="AS1003" i="6" s="1"/>
  <c r="AD968" i="6"/>
  <c r="AS968" i="6" s="1"/>
  <c r="R968" i="6"/>
  <c r="B996" i="6" s="1"/>
  <c r="R1075" i="6"/>
  <c r="AD995" i="6"/>
  <c r="AS995" i="6" s="1"/>
  <c r="R960" i="6"/>
  <c r="B988" i="6" s="1"/>
  <c r="AD960" i="6"/>
  <c r="AS960" i="6" s="1"/>
  <c r="R1067" i="6"/>
  <c r="T1049" i="6"/>
  <c r="U1049" i="6"/>
  <c r="W1049" i="6"/>
  <c r="AF1100" i="6" s="1"/>
  <c r="V1049" i="6"/>
  <c r="AF1099" i="6" s="1"/>
  <c r="V1048" i="6"/>
  <c r="AF1096" i="6" s="1"/>
  <c r="T1048" i="6"/>
  <c r="U1048" i="6"/>
  <c r="W1048" i="6"/>
  <c r="AF1097" i="6" s="1"/>
  <c r="AT927" i="6"/>
  <c r="AO940" i="6"/>
  <c r="B964" i="6"/>
  <c r="B936" i="6"/>
  <c r="AN898" i="6"/>
  <c r="AG898" i="6"/>
  <c r="AH898" i="6" s="1"/>
  <c r="AJ898" i="6" s="1"/>
  <c r="AL898" i="6" s="1"/>
  <c r="AO933" i="6"/>
  <c r="AT933" i="6" s="1"/>
  <c r="E1044" i="6"/>
  <c r="AE999" i="6"/>
  <c r="AE964" i="6"/>
  <c r="E1047" i="6"/>
  <c r="AE1002" i="6"/>
  <c r="AE967" i="6"/>
  <c r="W1038" i="6"/>
  <c r="AF1067" i="6" s="1"/>
  <c r="U1038" i="6"/>
  <c r="V1038" i="6"/>
  <c r="AF1066" i="6" s="1"/>
  <c r="T1038" i="6"/>
  <c r="AD997" i="6"/>
  <c r="AS997" i="6" s="1"/>
  <c r="AD962" i="6"/>
  <c r="AS962" i="6" s="1"/>
  <c r="R962" i="6"/>
  <c r="B990" i="6" s="1"/>
  <c r="R1069" i="6"/>
  <c r="B967" i="6"/>
  <c r="AO936" i="6"/>
  <c r="AT936" i="6" s="1"/>
  <c r="B939" i="6"/>
  <c r="AG901" i="6"/>
  <c r="AH901" i="6" s="1"/>
  <c r="AJ901" i="6" s="1"/>
  <c r="AL901" i="6" s="1"/>
  <c r="AN901" i="6"/>
  <c r="T1042" i="6"/>
  <c r="V1042" i="6"/>
  <c r="AF1078" i="6" s="1"/>
  <c r="W1042" i="6"/>
  <c r="AF1079" i="6" s="1"/>
  <c r="U1042" i="6"/>
  <c r="M993" i="6"/>
  <c r="M1020" i="6" s="1"/>
  <c r="E1041" i="6"/>
  <c r="AE996" i="6"/>
  <c r="AE1006" i="6" s="1"/>
  <c r="AE961" i="6"/>
  <c r="AE971" i="6" s="1"/>
  <c r="AH892" i="6"/>
  <c r="AD999" i="6" l="1"/>
  <c r="AS999" i="6" s="1"/>
  <c r="AD964" i="6"/>
  <c r="AS964" i="6" s="1"/>
  <c r="R964" i="6"/>
  <c r="B992" i="6" s="1"/>
  <c r="R1071" i="6"/>
  <c r="AD996" i="6"/>
  <c r="AS996" i="6" s="1"/>
  <c r="AD961" i="6"/>
  <c r="AS961" i="6" s="1"/>
  <c r="R961" i="6"/>
  <c r="B989" i="6" s="1"/>
  <c r="R1068" i="6"/>
  <c r="F1018" i="6"/>
  <c r="S991" i="6"/>
  <c r="AE1062" i="6"/>
  <c r="AS1038" i="6"/>
  <c r="V1041" i="6"/>
  <c r="AF1075" i="6" s="1"/>
  <c r="T1041" i="6"/>
  <c r="U1041" i="6"/>
  <c r="W1041" i="6"/>
  <c r="AF1076" i="6" s="1"/>
  <c r="V1044" i="6"/>
  <c r="AF1084" i="6" s="1"/>
  <c r="T1044" i="6"/>
  <c r="U1044" i="6"/>
  <c r="W1044" i="6"/>
  <c r="AF1085" i="6" s="1"/>
  <c r="AT940" i="6"/>
  <c r="D996" i="6"/>
  <c r="AU968" i="6"/>
  <c r="B1024" i="6"/>
  <c r="C997" i="6"/>
  <c r="C1024" i="6" s="1"/>
  <c r="D988" i="6"/>
  <c r="AU960" i="6"/>
  <c r="B1021" i="6"/>
  <c r="C994" i="6"/>
  <c r="C1021" i="6" s="1"/>
  <c r="B971" i="6"/>
  <c r="R1077" i="6" s="1"/>
  <c r="AU969" i="6"/>
  <c r="D997" i="6"/>
  <c r="B1015" i="6"/>
  <c r="E988" i="6"/>
  <c r="E1015" i="6" s="1"/>
  <c r="C988" i="6"/>
  <c r="C1015" i="6" s="1"/>
  <c r="D994" i="6"/>
  <c r="AU966" i="6"/>
  <c r="B986" i="6"/>
  <c r="AD1002" i="6"/>
  <c r="AS1002" i="6" s="1"/>
  <c r="R967" i="6"/>
  <c r="B995" i="6" s="1"/>
  <c r="AD967" i="6"/>
  <c r="AS967" i="6" s="1"/>
  <c r="R1074" i="6"/>
  <c r="B1017" i="6"/>
  <c r="C990" i="6"/>
  <c r="C1017" i="6" s="1"/>
  <c r="AS958" i="6"/>
  <c r="B1014" i="6"/>
  <c r="C987" i="6"/>
  <c r="C1014" i="6" s="1"/>
  <c r="B1023" i="6"/>
  <c r="C996" i="6"/>
  <c r="C1023" i="6" s="1"/>
  <c r="AJ892" i="6"/>
  <c r="AH905" i="6"/>
  <c r="AG905" i="6"/>
  <c r="AU962" i="6"/>
  <c r="D990" i="6"/>
  <c r="U1047" i="6"/>
  <c r="V1047" i="6"/>
  <c r="AF1093" i="6" s="1"/>
  <c r="T1047" i="6"/>
  <c r="W1047" i="6"/>
  <c r="AF1094" i="6" s="1"/>
  <c r="AS993" i="6"/>
  <c r="AD1006" i="6"/>
  <c r="D987" i="6"/>
  <c r="AU959" i="6"/>
  <c r="S1020" i="6"/>
  <c r="U993" i="6"/>
  <c r="T993" i="6"/>
  <c r="AU961" i="6" l="1"/>
  <c r="D989" i="6"/>
  <c r="E996" i="6"/>
  <c r="E1023" i="6" s="1"/>
  <c r="E997" i="6"/>
  <c r="E1024" i="6" s="1"/>
  <c r="D995" i="6"/>
  <c r="AU967" i="6"/>
  <c r="D1024" i="6"/>
  <c r="M997" i="6"/>
  <c r="M1024" i="6" s="1"/>
  <c r="D1023" i="6"/>
  <c r="M996" i="6"/>
  <c r="M1023" i="6" s="1"/>
  <c r="F996" i="6"/>
  <c r="AS1062" i="6"/>
  <c r="AT1038" i="6" s="1"/>
  <c r="B1022" i="6"/>
  <c r="C995" i="6"/>
  <c r="C1022" i="6" s="1"/>
  <c r="R971" i="6"/>
  <c r="B1019" i="6"/>
  <c r="C992" i="6"/>
  <c r="C1019" i="6" s="1"/>
  <c r="M990" i="6"/>
  <c r="M1017" i="6" s="1"/>
  <c r="D1017" i="6"/>
  <c r="E987" i="6"/>
  <c r="E1014" i="6" s="1"/>
  <c r="AD971" i="6"/>
  <c r="B999" i="6"/>
  <c r="B1013" i="6"/>
  <c r="C986" i="6"/>
  <c r="E986" i="6" s="1"/>
  <c r="E1013" i="6" s="1"/>
  <c r="E994" i="6"/>
  <c r="E1021" i="6" s="1"/>
  <c r="U991" i="6"/>
  <c r="T991" i="6"/>
  <c r="S1018" i="6"/>
  <c r="D992" i="6"/>
  <c r="AU964" i="6"/>
  <c r="D986" i="6"/>
  <c r="AU958" i="6"/>
  <c r="AS971" i="6"/>
  <c r="AU971" i="6" s="1"/>
  <c r="D1014" i="6"/>
  <c r="M987" i="6"/>
  <c r="M1014" i="6" s="1"/>
  <c r="F987" i="6"/>
  <c r="AS1006" i="6"/>
  <c r="E990" i="6"/>
  <c r="E1017" i="6" s="1"/>
  <c r="D1021" i="6"/>
  <c r="F994" i="6"/>
  <c r="M994" i="6"/>
  <c r="M1021" i="6" s="1"/>
  <c r="T1020" i="6"/>
  <c r="U1020" i="6"/>
  <c r="AJ905" i="6"/>
  <c r="AL892" i="6"/>
  <c r="AL905" i="6" s="1"/>
  <c r="D1015" i="6"/>
  <c r="M988" i="6"/>
  <c r="M1015" i="6" s="1"/>
  <c r="F988" i="6"/>
  <c r="B1016" i="6"/>
  <c r="C989" i="6"/>
  <c r="C1016" i="6" s="1"/>
  <c r="S994" i="6" l="1"/>
  <c r="F1021" i="6"/>
  <c r="F986" i="6"/>
  <c r="D999" i="6"/>
  <c r="D1013" i="6"/>
  <c r="M986" i="6"/>
  <c r="AU1038" i="6"/>
  <c r="C1013" i="6"/>
  <c r="C999" i="6"/>
  <c r="E992" i="6"/>
  <c r="E1019" i="6" s="1"/>
  <c r="AT1042" i="6"/>
  <c r="AU1042" i="6" s="1"/>
  <c r="AX1042" i="6" s="1"/>
  <c r="AT1044" i="6"/>
  <c r="AU1044" i="6" s="1"/>
  <c r="AX1044" i="6" s="1"/>
  <c r="AT1053" i="6"/>
  <c r="AU1053" i="6" s="1"/>
  <c r="AX1053" i="6" s="1"/>
  <c r="AT1048" i="6"/>
  <c r="AU1048" i="6" s="1"/>
  <c r="AX1048" i="6" s="1"/>
  <c r="AT1047" i="6"/>
  <c r="AU1047" i="6" s="1"/>
  <c r="AX1047" i="6" s="1"/>
  <c r="AT1050" i="6"/>
  <c r="AU1050" i="6" s="1"/>
  <c r="AX1050" i="6" s="1"/>
  <c r="AT1055" i="6"/>
  <c r="AU1055" i="6" s="1"/>
  <c r="AX1055" i="6" s="1"/>
  <c r="AT1046" i="6"/>
  <c r="AU1046" i="6" s="1"/>
  <c r="AX1046" i="6" s="1"/>
  <c r="AT1039" i="6"/>
  <c r="AU1039" i="6" s="1"/>
  <c r="AX1039" i="6" s="1"/>
  <c r="AT1056" i="6"/>
  <c r="AU1056" i="6" s="1"/>
  <c r="AX1056" i="6" s="1"/>
  <c r="AT1058" i="6"/>
  <c r="AU1058" i="6" s="1"/>
  <c r="AX1058" i="6" s="1"/>
  <c r="AT1057" i="6"/>
  <c r="AU1057" i="6" s="1"/>
  <c r="AX1057" i="6" s="1"/>
  <c r="AT1045" i="6"/>
  <c r="AU1045" i="6" s="1"/>
  <c r="AX1045" i="6" s="1"/>
  <c r="AT1043" i="6"/>
  <c r="AU1043" i="6" s="1"/>
  <c r="AX1043" i="6" s="1"/>
  <c r="AT1040" i="6"/>
  <c r="AU1040" i="6" s="1"/>
  <c r="AX1040" i="6" s="1"/>
  <c r="AT1061" i="6"/>
  <c r="AU1061" i="6" s="1"/>
  <c r="AX1061" i="6" s="1"/>
  <c r="AT1054" i="6"/>
  <c r="AU1054" i="6" s="1"/>
  <c r="AX1054" i="6" s="1"/>
  <c r="AT1059" i="6"/>
  <c r="AU1059" i="6" s="1"/>
  <c r="AX1059" i="6" s="1"/>
  <c r="AT1051" i="6"/>
  <c r="AU1051" i="6" s="1"/>
  <c r="AX1051" i="6" s="1"/>
  <c r="AT1049" i="6"/>
  <c r="AU1049" i="6" s="1"/>
  <c r="AX1049" i="6" s="1"/>
  <c r="AT1052" i="6"/>
  <c r="AU1052" i="6" s="1"/>
  <c r="AX1052" i="6" s="1"/>
  <c r="AT1060" i="6"/>
  <c r="AU1060" i="6" s="1"/>
  <c r="AX1060" i="6" s="1"/>
  <c r="AT1041" i="6"/>
  <c r="AU1041" i="6" s="1"/>
  <c r="AX1041" i="6" s="1"/>
  <c r="D1022" i="6"/>
  <c r="D1019" i="6"/>
  <c r="M992" i="6"/>
  <c r="M1019" i="6" s="1"/>
  <c r="F992" i="6"/>
  <c r="E999" i="6"/>
  <c r="S996" i="6"/>
  <c r="F1023" i="6"/>
  <c r="F1014" i="6"/>
  <c r="S987" i="6"/>
  <c r="T1018" i="6"/>
  <c r="U1018" i="6"/>
  <c r="F1015" i="6"/>
  <c r="S988" i="6"/>
  <c r="D1016" i="6"/>
  <c r="E989" i="6"/>
  <c r="E1016" i="6" s="1"/>
  <c r="F990" i="6"/>
  <c r="E995" i="6"/>
  <c r="E1022" i="6" s="1"/>
  <c r="F997" i="6"/>
  <c r="AT1062" i="6" l="1"/>
  <c r="F1019" i="6"/>
  <c r="S992" i="6"/>
  <c r="AU1062" i="6"/>
  <c r="AX1038" i="6"/>
  <c r="AX1062" i="6" s="1"/>
  <c r="M1013" i="6"/>
  <c r="F1024" i="6"/>
  <c r="S997" i="6"/>
  <c r="S1014" i="6"/>
  <c r="T987" i="6"/>
  <c r="U987" i="6"/>
  <c r="F995" i="6"/>
  <c r="M989" i="6"/>
  <c r="M1016" i="6" s="1"/>
  <c r="M995" i="6"/>
  <c r="M1022" i="6" s="1"/>
  <c r="F999" i="6"/>
  <c r="S999" i="6" s="1"/>
  <c r="S986" i="6"/>
  <c r="F1013" i="6"/>
  <c r="S1015" i="6"/>
  <c r="T988" i="6"/>
  <c r="U988" i="6"/>
  <c r="F989" i="6"/>
  <c r="F1017" i="6"/>
  <c r="S990" i="6"/>
  <c r="U996" i="6"/>
  <c r="T996" i="6"/>
  <c r="S1023" i="6"/>
  <c r="U994" i="6"/>
  <c r="S1021" i="6"/>
  <c r="T994" i="6"/>
  <c r="S1013" i="6" l="1"/>
  <c r="U986" i="6"/>
  <c r="T986" i="6"/>
  <c r="T997" i="6"/>
  <c r="S1024" i="6"/>
  <c r="U997" i="6"/>
  <c r="S1017" i="6"/>
  <c r="U990" i="6"/>
  <c r="T990" i="6"/>
  <c r="M999" i="6"/>
  <c r="O999" i="6" s="1"/>
  <c r="P999" i="6" s="1"/>
  <c r="F1016" i="6"/>
  <c r="S989" i="6"/>
  <c r="U1021" i="6"/>
  <c r="T1021" i="6"/>
  <c r="U1015" i="6"/>
  <c r="T1015" i="6"/>
  <c r="S1019" i="6"/>
  <c r="T992" i="6"/>
  <c r="U992" i="6"/>
  <c r="F1022" i="6"/>
  <c r="S995" i="6"/>
  <c r="U1023" i="6"/>
  <c r="T1023" i="6"/>
  <c r="T1014" i="6"/>
  <c r="U1014" i="6"/>
  <c r="U1017" i="6" l="1"/>
  <c r="T1017" i="6"/>
  <c r="T1024" i="6"/>
  <c r="U1024" i="6"/>
  <c r="U989" i="6"/>
  <c r="T989" i="6"/>
  <c r="T999" i="6" s="1"/>
  <c r="S1016" i="6"/>
  <c r="S1022" i="6"/>
  <c r="U995" i="6"/>
  <c r="T995" i="6"/>
  <c r="U999" i="6"/>
  <c r="U1019" i="6"/>
  <c r="T1019" i="6"/>
  <c r="U1013" i="6"/>
  <c r="T1013" i="6"/>
  <c r="T1016" i="6" l="1"/>
  <c r="U1016" i="6"/>
  <c r="T1022" i="6"/>
  <c r="U1022" i="6"/>
  <c r="O1136" i="5" l="1"/>
  <c r="K1136" i="5"/>
  <c r="Q1133" i="5"/>
  <c r="M1133" i="5"/>
  <c r="I1133" i="5"/>
  <c r="G1133" i="5"/>
  <c r="F1133" i="5"/>
  <c r="E1133" i="5"/>
  <c r="C1133" i="5"/>
  <c r="Q1132" i="5"/>
  <c r="M1132" i="5"/>
  <c r="G1132" i="5"/>
  <c r="I1132" i="5" s="1"/>
  <c r="E1132" i="5"/>
  <c r="C1132" i="5"/>
  <c r="Q1131" i="5"/>
  <c r="R1133" i="5" s="1"/>
  <c r="M1131" i="5"/>
  <c r="N1133" i="5" s="1"/>
  <c r="I1131" i="5"/>
  <c r="J1133" i="5" s="1"/>
  <c r="G1131" i="5"/>
  <c r="E1131" i="5"/>
  <c r="C1131" i="5"/>
  <c r="Q1130" i="5"/>
  <c r="M1130" i="5"/>
  <c r="G1130" i="5"/>
  <c r="I1130" i="5" s="1"/>
  <c r="E1130" i="5"/>
  <c r="C1130" i="5"/>
  <c r="C1136" i="5" s="1"/>
  <c r="Q1129" i="5"/>
  <c r="M1129" i="5"/>
  <c r="I1129" i="5"/>
  <c r="G1129" i="5"/>
  <c r="E1129" i="5"/>
  <c r="C1129" i="5"/>
  <c r="Q1128" i="5"/>
  <c r="M1128" i="5"/>
  <c r="N1130" i="5" s="1"/>
  <c r="I1128" i="5"/>
  <c r="J1130" i="5" s="1"/>
  <c r="G1128" i="5"/>
  <c r="E1128" i="5"/>
  <c r="F1130" i="5" s="1"/>
  <c r="C1128" i="5"/>
  <c r="Q1127" i="5"/>
  <c r="M1127" i="5"/>
  <c r="G1127" i="5"/>
  <c r="I1127" i="5" s="1"/>
  <c r="E1127" i="5"/>
  <c r="C1127" i="5"/>
  <c r="Q1126" i="5"/>
  <c r="M1126" i="5"/>
  <c r="I1126" i="5"/>
  <c r="G1126" i="5"/>
  <c r="E1126" i="5"/>
  <c r="C1126" i="5"/>
  <c r="Q1125" i="5"/>
  <c r="R1127" i="5" s="1"/>
  <c r="M1125" i="5"/>
  <c r="G1125" i="5"/>
  <c r="I1125" i="5" s="1"/>
  <c r="J1127" i="5" s="1"/>
  <c r="E1125" i="5"/>
  <c r="F1127" i="5" s="1"/>
  <c r="C1125" i="5"/>
  <c r="Q1124" i="5"/>
  <c r="M1124" i="5"/>
  <c r="I1124" i="5"/>
  <c r="G1124" i="5"/>
  <c r="E1124" i="5"/>
  <c r="C1124" i="5"/>
  <c r="Q1123" i="5"/>
  <c r="M1123" i="5"/>
  <c r="G1123" i="5"/>
  <c r="E1123" i="5"/>
  <c r="C1123" i="5"/>
  <c r="Q1122" i="5"/>
  <c r="M1122" i="5"/>
  <c r="I1122" i="5"/>
  <c r="E1122" i="5"/>
  <c r="F1124" i="5" s="1"/>
  <c r="C1122" i="5"/>
  <c r="G1116" i="5"/>
  <c r="O1115" i="5"/>
  <c r="K1115" i="5"/>
  <c r="C1115" i="5"/>
  <c r="I1112" i="5"/>
  <c r="J1109" i="5"/>
  <c r="Q1108" i="5"/>
  <c r="P1084" i="5"/>
  <c r="O1084" i="5" s="1"/>
  <c r="J1084" i="5"/>
  <c r="G1084" i="5" s="1"/>
  <c r="C1057" i="5" s="1"/>
  <c r="I1084" i="5"/>
  <c r="L1084" i="5" s="1"/>
  <c r="P1083" i="5"/>
  <c r="O1083" i="5"/>
  <c r="J1083" i="5"/>
  <c r="L1083" i="5" s="1"/>
  <c r="I1083" i="5"/>
  <c r="F1083" i="5" s="1"/>
  <c r="B1056" i="5" s="1"/>
  <c r="G1083" i="5"/>
  <c r="N1082" i="5"/>
  <c r="P1082" i="5" s="1"/>
  <c r="O1082" i="5" s="1"/>
  <c r="J1082" i="5"/>
  <c r="G1082" i="5" s="1"/>
  <c r="C1055" i="5" s="1"/>
  <c r="I1082" i="5"/>
  <c r="F1082" i="5" s="1"/>
  <c r="N1081" i="5"/>
  <c r="P1081" i="5" s="1"/>
  <c r="O1081" i="5" s="1"/>
  <c r="J1081" i="5"/>
  <c r="G1081" i="5" s="1"/>
  <c r="I1081" i="5"/>
  <c r="F1081" i="5" s="1"/>
  <c r="B1054" i="5" s="1"/>
  <c r="N1080" i="5"/>
  <c r="P1080" i="5" s="1"/>
  <c r="O1080" i="5" s="1"/>
  <c r="J1080" i="5"/>
  <c r="G1080" i="5" s="1"/>
  <c r="I1080" i="5"/>
  <c r="F1080" i="5" s="1"/>
  <c r="N1079" i="5"/>
  <c r="P1079" i="5" s="1"/>
  <c r="O1079" i="5" s="1"/>
  <c r="J1079" i="5"/>
  <c r="L1079" i="5" s="1"/>
  <c r="I1079" i="5"/>
  <c r="F1079" i="5" s="1"/>
  <c r="B1052" i="5" s="1"/>
  <c r="G1079" i="5"/>
  <c r="N1078" i="5"/>
  <c r="P1078" i="5" s="1"/>
  <c r="O1078" i="5" s="1"/>
  <c r="J1078" i="5"/>
  <c r="L1078" i="5" s="1"/>
  <c r="I1078" i="5"/>
  <c r="F1078" i="5" s="1"/>
  <c r="G1078" i="5"/>
  <c r="N1077" i="5"/>
  <c r="P1077" i="5" s="1"/>
  <c r="O1077" i="5" s="1"/>
  <c r="J1077" i="5"/>
  <c r="L1077" i="5" s="1"/>
  <c r="I1077" i="5"/>
  <c r="F1077" i="5" s="1"/>
  <c r="G1077" i="5"/>
  <c r="P1076" i="5"/>
  <c r="O1076" i="5"/>
  <c r="L1076" i="5"/>
  <c r="J1076" i="5"/>
  <c r="I1076" i="5"/>
  <c r="F1076" i="5" s="1"/>
  <c r="B1049" i="5" s="1"/>
  <c r="G1076" i="5"/>
  <c r="P1075" i="5"/>
  <c r="O1075" i="5" s="1"/>
  <c r="L1075" i="5"/>
  <c r="J1075" i="5"/>
  <c r="G1075" i="5" s="1"/>
  <c r="I1075" i="5"/>
  <c r="F1075" i="5"/>
  <c r="B1048" i="5" s="1"/>
  <c r="P1074" i="5"/>
  <c r="O1074" i="5" s="1"/>
  <c r="N1074" i="5"/>
  <c r="L1074" i="5"/>
  <c r="J1074" i="5"/>
  <c r="G1074" i="5" s="1"/>
  <c r="I1074" i="5"/>
  <c r="F1074" i="5"/>
  <c r="P1073" i="5"/>
  <c r="O1073" i="5" s="1"/>
  <c r="J1073" i="5"/>
  <c r="I1073" i="5"/>
  <c r="F1073" i="5" s="1"/>
  <c r="B1046" i="5" s="1"/>
  <c r="AD1068" i="5"/>
  <c r="B1067" i="5"/>
  <c r="B1064" i="5"/>
  <c r="Q1063" i="5"/>
  <c r="C1056" i="5"/>
  <c r="B1055" i="5"/>
  <c r="C1054" i="5"/>
  <c r="D1053" i="5"/>
  <c r="C1053" i="5"/>
  <c r="B1053" i="5"/>
  <c r="D1052" i="5"/>
  <c r="C1052" i="5"/>
  <c r="D1051" i="5"/>
  <c r="C1051" i="5"/>
  <c r="B1051" i="5"/>
  <c r="C1050" i="5"/>
  <c r="B1050" i="5"/>
  <c r="AD1049" i="5"/>
  <c r="C1049" i="5"/>
  <c r="C1048" i="5"/>
  <c r="C1047" i="5"/>
  <c r="B1047" i="5"/>
  <c r="AE1043" i="5"/>
  <c r="B1042" i="5"/>
  <c r="B1039" i="5"/>
  <c r="Q1038" i="5"/>
  <c r="P1032" i="5"/>
  <c r="P1031" i="5"/>
  <c r="P1030" i="5"/>
  <c r="P1029" i="5"/>
  <c r="P1028" i="5"/>
  <c r="P1027" i="5"/>
  <c r="P1026" i="5"/>
  <c r="P1025" i="5"/>
  <c r="P1024" i="5"/>
  <c r="P1023" i="5"/>
  <c r="P1022" i="5"/>
  <c r="P1021" i="5"/>
  <c r="M1016" i="5"/>
  <c r="N1007" i="5"/>
  <c r="L1007" i="5"/>
  <c r="K1007" i="5"/>
  <c r="I1007" i="5"/>
  <c r="J1007" i="5" s="1"/>
  <c r="H1007" i="5"/>
  <c r="J1005" i="5"/>
  <c r="J1004" i="5"/>
  <c r="J1003" i="5"/>
  <c r="J1002" i="5"/>
  <c r="J1001" i="5"/>
  <c r="J1000" i="5"/>
  <c r="AR999" i="5"/>
  <c r="AQ999" i="5"/>
  <c r="AP999" i="5"/>
  <c r="AO999" i="5"/>
  <c r="AN999" i="5"/>
  <c r="AM999" i="5"/>
  <c r="AL999" i="5"/>
  <c r="AK999" i="5"/>
  <c r="AJ999" i="5"/>
  <c r="AI999" i="5"/>
  <c r="AH999" i="5"/>
  <c r="AG999" i="5"/>
  <c r="AF999" i="5"/>
  <c r="AE999" i="5"/>
  <c r="AD999" i="5"/>
  <c r="J999" i="5"/>
  <c r="J998" i="5"/>
  <c r="J997" i="5"/>
  <c r="J996" i="5"/>
  <c r="J995" i="5"/>
  <c r="J994" i="5"/>
  <c r="AD989" i="5"/>
  <c r="AD986" i="5"/>
  <c r="B986" i="5"/>
  <c r="AR985" i="5"/>
  <c r="B985" i="5"/>
  <c r="Q984" i="5"/>
  <c r="F971" i="5"/>
  <c r="AR964" i="5"/>
  <c r="AQ964" i="5"/>
  <c r="AP964" i="5"/>
  <c r="AO964" i="5"/>
  <c r="AN964" i="5"/>
  <c r="AM964" i="5"/>
  <c r="AL964" i="5"/>
  <c r="AK964" i="5"/>
  <c r="AJ964" i="5"/>
  <c r="AI964" i="5"/>
  <c r="AH964" i="5"/>
  <c r="AG964" i="5"/>
  <c r="AF964" i="5"/>
  <c r="AE964" i="5"/>
  <c r="AD964" i="5"/>
  <c r="B959" i="5"/>
  <c r="B956" i="5"/>
  <c r="Q955" i="5"/>
  <c r="AD954" i="5"/>
  <c r="AD951" i="5"/>
  <c r="AR950" i="5"/>
  <c r="AG943" i="5"/>
  <c r="AE941" i="5"/>
  <c r="AS940" i="5"/>
  <c r="AG940" i="5"/>
  <c r="AF940" i="5"/>
  <c r="AG939" i="5"/>
  <c r="AD939" i="5"/>
  <c r="AH938" i="5"/>
  <c r="AD938" i="5"/>
  <c r="AS937" i="5"/>
  <c r="AS936" i="5"/>
  <c r="AF936" i="5"/>
  <c r="AH935" i="5"/>
  <c r="AG935" i="5"/>
  <c r="AR933" i="5"/>
  <c r="AQ933" i="5"/>
  <c r="AP933" i="5"/>
  <c r="AO933" i="5"/>
  <c r="AG933" i="5"/>
  <c r="AF933" i="5"/>
  <c r="AE933" i="5"/>
  <c r="AD933" i="5"/>
  <c r="B933" i="5"/>
  <c r="B930" i="5"/>
  <c r="Q929" i="5"/>
  <c r="AR928" i="5"/>
  <c r="AG928" i="5"/>
  <c r="AS925" i="5"/>
  <c r="AH925" i="5"/>
  <c r="AS923" i="5"/>
  <c r="T920" i="5"/>
  <c r="G920" i="5"/>
  <c r="F920" i="5"/>
  <c r="T919" i="5"/>
  <c r="AE910" i="5" s="1"/>
  <c r="G919" i="5"/>
  <c r="F919" i="5"/>
  <c r="T918" i="5"/>
  <c r="G918" i="5"/>
  <c r="F918" i="5"/>
  <c r="AS944" i="5" s="1"/>
  <c r="T917" i="5"/>
  <c r="G917" i="5"/>
  <c r="F917" i="5"/>
  <c r="AH943" i="5" s="1"/>
  <c r="T916" i="5"/>
  <c r="AH942" i="5" s="1"/>
  <c r="G916" i="5"/>
  <c r="F916" i="5"/>
  <c r="T915" i="5"/>
  <c r="AE906" i="5" s="1"/>
  <c r="G915" i="5"/>
  <c r="F915" i="5"/>
  <c r="AD906" i="5" s="1"/>
  <c r="T914" i="5"/>
  <c r="G914" i="5"/>
  <c r="F914" i="5"/>
  <c r="AE940" i="5" s="1"/>
  <c r="T913" i="5"/>
  <c r="G913" i="5"/>
  <c r="G970" i="5" s="1"/>
  <c r="F913" i="5"/>
  <c r="F970" i="5" s="1"/>
  <c r="T912" i="5"/>
  <c r="G912" i="5"/>
  <c r="G969" i="5" s="1"/>
  <c r="F912" i="5"/>
  <c r="AE911" i="5"/>
  <c r="AD911" i="5"/>
  <c r="T911" i="5"/>
  <c r="G911" i="5"/>
  <c r="F911" i="5"/>
  <c r="AD910" i="5"/>
  <c r="T910" i="5"/>
  <c r="G910" i="5"/>
  <c r="F910" i="5"/>
  <c r="F967" i="5" s="1"/>
  <c r="AH967" i="5" s="1"/>
  <c r="AE909" i="5"/>
  <c r="AD909" i="5"/>
  <c r="AF909" i="5" s="1"/>
  <c r="T909" i="5"/>
  <c r="G909" i="5"/>
  <c r="F909" i="5"/>
  <c r="F966" i="5" s="1"/>
  <c r="AO908" i="5"/>
  <c r="AE908" i="5"/>
  <c r="AD908" i="5"/>
  <c r="AF908" i="5" s="1"/>
  <c r="AO907" i="5"/>
  <c r="AF907" i="5"/>
  <c r="AE907" i="5"/>
  <c r="AD907" i="5"/>
  <c r="AO905" i="5"/>
  <c r="AE905" i="5"/>
  <c r="AF905" i="5" s="1"/>
  <c r="AD905" i="5"/>
  <c r="AE904" i="5"/>
  <c r="AD904" i="5"/>
  <c r="B904" i="5"/>
  <c r="AE903" i="5"/>
  <c r="AE902" i="5"/>
  <c r="AO901" i="5"/>
  <c r="AF901" i="5"/>
  <c r="AE901" i="5"/>
  <c r="AD901" i="5"/>
  <c r="B901" i="5"/>
  <c r="AF900" i="5"/>
  <c r="AE900" i="5"/>
  <c r="AD900" i="5"/>
  <c r="Q900" i="5"/>
  <c r="AF892" i="5"/>
  <c r="AS891" i="5"/>
  <c r="AN891" i="5"/>
  <c r="O890" i="5"/>
  <c r="A882" i="5"/>
  <c r="A880" i="5"/>
  <c r="Q876" i="5"/>
  <c r="N872" i="5"/>
  <c r="F872" i="5"/>
  <c r="O871" i="5"/>
  <c r="N871" i="5"/>
  <c r="G871" i="5"/>
  <c r="F871" i="5"/>
  <c r="P870" i="5"/>
  <c r="O870" i="5"/>
  <c r="N870" i="5"/>
  <c r="L870" i="5"/>
  <c r="K870" i="5"/>
  <c r="J870" i="5"/>
  <c r="M870" i="5" s="1"/>
  <c r="H870" i="5"/>
  <c r="G870" i="5"/>
  <c r="F870" i="5"/>
  <c r="I870" i="5" s="1"/>
  <c r="D870" i="5"/>
  <c r="C870" i="5"/>
  <c r="B870" i="5"/>
  <c r="E870" i="5" s="1"/>
  <c r="Q869" i="5"/>
  <c r="P869" i="5"/>
  <c r="O869" i="5"/>
  <c r="N869" i="5"/>
  <c r="L869" i="5"/>
  <c r="M869" i="5" s="1"/>
  <c r="K869" i="5"/>
  <c r="J869" i="5"/>
  <c r="I869" i="5"/>
  <c r="H869" i="5"/>
  <c r="G869" i="5"/>
  <c r="F869" i="5"/>
  <c r="D869" i="5"/>
  <c r="E869" i="5" s="1"/>
  <c r="C869" i="5"/>
  <c r="B869" i="5"/>
  <c r="Q868" i="5"/>
  <c r="P868" i="5"/>
  <c r="P871" i="5" s="1"/>
  <c r="O868" i="5"/>
  <c r="N868" i="5"/>
  <c r="L868" i="5"/>
  <c r="L871" i="5" s="1"/>
  <c r="K868" i="5"/>
  <c r="K871" i="5" s="1"/>
  <c r="J868" i="5"/>
  <c r="I868" i="5"/>
  <c r="H868" i="5"/>
  <c r="H871" i="5" s="1"/>
  <c r="G868" i="5"/>
  <c r="F868" i="5"/>
  <c r="D868" i="5"/>
  <c r="D871" i="5" s="1"/>
  <c r="C868" i="5"/>
  <c r="C871" i="5" s="1"/>
  <c r="B868" i="5"/>
  <c r="P867" i="5"/>
  <c r="O867" i="5"/>
  <c r="N867" i="5"/>
  <c r="Q867" i="5" s="1"/>
  <c r="L867" i="5"/>
  <c r="K867" i="5"/>
  <c r="J867" i="5"/>
  <c r="H867" i="5"/>
  <c r="G867" i="5"/>
  <c r="F867" i="5"/>
  <c r="I867" i="5" s="1"/>
  <c r="D867" i="5"/>
  <c r="C867" i="5"/>
  <c r="B867" i="5"/>
  <c r="E867" i="5" s="1"/>
  <c r="P866" i="5"/>
  <c r="O866" i="5"/>
  <c r="N866" i="5"/>
  <c r="Q866" i="5" s="1"/>
  <c r="L866" i="5"/>
  <c r="K866" i="5"/>
  <c r="J866" i="5"/>
  <c r="H866" i="5"/>
  <c r="G866" i="5"/>
  <c r="F866" i="5"/>
  <c r="I866" i="5" s="1"/>
  <c r="D866" i="5"/>
  <c r="C866" i="5"/>
  <c r="B866" i="5"/>
  <c r="E866" i="5" s="1"/>
  <c r="P865" i="5"/>
  <c r="P872" i="5" s="1"/>
  <c r="P894" i="5" s="1"/>
  <c r="O865" i="5"/>
  <c r="Q865" i="5" s="1"/>
  <c r="N865" i="5"/>
  <c r="M865" i="5"/>
  <c r="L865" i="5"/>
  <c r="L872" i="5" s="1"/>
  <c r="L894" i="5" s="1"/>
  <c r="K865" i="5"/>
  <c r="J865" i="5"/>
  <c r="H865" i="5"/>
  <c r="H872" i="5" s="1"/>
  <c r="H894" i="5" s="1"/>
  <c r="G865" i="5"/>
  <c r="G872" i="5" s="1"/>
  <c r="G894" i="5" s="1"/>
  <c r="F865" i="5"/>
  <c r="I865" i="5" s="1"/>
  <c r="E865" i="5"/>
  <c r="D865" i="5"/>
  <c r="D872" i="5" s="1"/>
  <c r="D894" i="5" s="1"/>
  <c r="C865" i="5"/>
  <c r="C872" i="5" s="1"/>
  <c r="C894" i="5" s="1"/>
  <c r="B865" i="5"/>
  <c r="L862" i="5"/>
  <c r="K862" i="5"/>
  <c r="H862" i="5"/>
  <c r="O861" i="5"/>
  <c r="B861" i="5"/>
  <c r="P858" i="5"/>
  <c r="O858" i="5"/>
  <c r="N858" i="5"/>
  <c r="Q858" i="5" s="1"/>
  <c r="L858" i="5"/>
  <c r="K858" i="5"/>
  <c r="J858" i="5"/>
  <c r="M858" i="5" s="1"/>
  <c r="H858" i="5"/>
  <c r="G858" i="5"/>
  <c r="F858" i="5"/>
  <c r="I858" i="5" s="1"/>
  <c r="D858" i="5"/>
  <c r="C858" i="5"/>
  <c r="B858" i="5"/>
  <c r="P857" i="5"/>
  <c r="O857" i="5"/>
  <c r="H857" i="5"/>
  <c r="D857" i="5"/>
  <c r="P856" i="5"/>
  <c r="P859" i="5" s="1"/>
  <c r="P890" i="5" s="1"/>
  <c r="O856" i="5"/>
  <c r="O859" i="5" s="1"/>
  <c r="N856" i="5"/>
  <c r="M856" i="5"/>
  <c r="L856" i="5"/>
  <c r="K856" i="5"/>
  <c r="J856" i="5"/>
  <c r="H856" i="5"/>
  <c r="H859" i="5" s="1"/>
  <c r="H890" i="5" s="1"/>
  <c r="G856" i="5"/>
  <c r="F856" i="5"/>
  <c r="E856" i="5"/>
  <c r="D856" i="5"/>
  <c r="C856" i="5"/>
  <c r="B856" i="5"/>
  <c r="P853" i="5"/>
  <c r="O853" i="5"/>
  <c r="N853" i="5"/>
  <c r="L853" i="5"/>
  <c r="K853" i="5"/>
  <c r="J853" i="5"/>
  <c r="M853" i="5" s="1"/>
  <c r="H853" i="5"/>
  <c r="G853" i="5"/>
  <c r="F853" i="5"/>
  <c r="I853" i="5" s="1"/>
  <c r="D853" i="5"/>
  <c r="C853" i="5"/>
  <c r="B853" i="5"/>
  <c r="E853" i="5" s="1"/>
  <c r="Q852" i="5"/>
  <c r="P852" i="5"/>
  <c r="O852" i="5"/>
  <c r="N852" i="5"/>
  <c r="L852" i="5"/>
  <c r="M852" i="5" s="1"/>
  <c r="K852" i="5"/>
  <c r="J852" i="5"/>
  <c r="I852" i="5"/>
  <c r="H852" i="5"/>
  <c r="G852" i="5"/>
  <c r="F852" i="5"/>
  <c r="D852" i="5"/>
  <c r="E852" i="5" s="1"/>
  <c r="R852" i="5" s="1"/>
  <c r="C852" i="5"/>
  <c r="B852" i="5"/>
  <c r="Q851" i="5"/>
  <c r="P851" i="5"/>
  <c r="O851" i="5"/>
  <c r="N851" i="5"/>
  <c r="L851" i="5"/>
  <c r="K851" i="5"/>
  <c r="J851" i="5"/>
  <c r="M851" i="5" s="1"/>
  <c r="I851" i="5"/>
  <c r="H851" i="5"/>
  <c r="G851" i="5"/>
  <c r="F851" i="5"/>
  <c r="D851" i="5"/>
  <c r="C851" i="5"/>
  <c r="B851" i="5"/>
  <c r="E851" i="5" s="1"/>
  <c r="R851" i="5" s="1"/>
  <c r="P850" i="5"/>
  <c r="O850" i="5"/>
  <c r="N850" i="5"/>
  <c r="Q850" i="5" s="1"/>
  <c r="L850" i="5"/>
  <c r="K850" i="5"/>
  <c r="J850" i="5"/>
  <c r="M850" i="5" s="1"/>
  <c r="H850" i="5"/>
  <c r="G850" i="5"/>
  <c r="F850" i="5"/>
  <c r="I850" i="5" s="1"/>
  <c r="D850" i="5"/>
  <c r="C850" i="5"/>
  <c r="B850" i="5"/>
  <c r="E850" i="5" s="1"/>
  <c r="R850" i="5" s="1"/>
  <c r="P849" i="5"/>
  <c r="O849" i="5"/>
  <c r="N849" i="5"/>
  <c r="Q849" i="5" s="1"/>
  <c r="L849" i="5"/>
  <c r="K849" i="5"/>
  <c r="J849" i="5"/>
  <c r="H849" i="5"/>
  <c r="G849" i="5"/>
  <c r="F849" i="5"/>
  <c r="I849" i="5" s="1"/>
  <c r="D849" i="5"/>
  <c r="C849" i="5"/>
  <c r="B849" i="5"/>
  <c r="E849" i="5" s="1"/>
  <c r="A841" i="5"/>
  <c r="A839" i="5"/>
  <c r="Q835" i="5"/>
  <c r="N832" i="5"/>
  <c r="K830" i="5"/>
  <c r="Q828" i="5"/>
  <c r="M828" i="5"/>
  <c r="I828" i="5"/>
  <c r="R828" i="5" s="1"/>
  <c r="E828" i="5"/>
  <c r="R826" i="5"/>
  <c r="Q826" i="5"/>
  <c r="P826" i="5"/>
  <c r="O826" i="5"/>
  <c r="N826" i="5"/>
  <c r="L826" i="5"/>
  <c r="K826" i="5"/>
  <c r="J826" i="5"/>
  <c r="M826" i="5" s="1"/>
  <c r="I826" i="5"/>
  <c r="H826" i="5"/>
  <c r="G826" i="5"/>
  <c r="F826" i="5"/>
  <c r="D826" i="5"/>
  <c r="C826" i="5"/>
  <c r="B826" i="5"/>
  <c r="E826" i="5" s="1"/>
  <c r="P825" i="5"/>
  <c r="O825" i="5"/>
  <c r="N825" i="5"/>
  <c r="Q825" i="5" s="1"/>
  <c r="L825" i="5"/>
  <c r="K825" i="5"/>
  <c r="J825" i="5"/>
  <c r="H825" i="5"/>
  <c r="G825" i="5"/>
  <c r="F825" i="5"/>
  <c r="I825" i="5" s="1"/>
  <c r="D825" i="5"/>
  <c r="C825" i="5"/>
  <c r="B825" i="5"/>
  <c r="E825" i="5" s="1"/>
  <c r="Q822" i="5"/>
  <c r="M822" i="5"/>
  <c r="I822" i="5"/>
  <c r="R822" i="5" s="1"/>
  <c r="E822" i="5"/>
  <c r="Q821" i="5"/>
  <c r="M821" i="5"/>
  <c r="I821" i="5"/>
  <c r="E821" i="5"/>
  <c r="Q819" i="5"/>
  <c r="M819" i="5"/>
  <c r="I819" i="5"/>
  <c r="E819" i="5"/>
  <c r="R819" i="5" s="1"/>
  <c r="Q818" i="5"/>
  <c r="M818" i="5"/>
  <c r="I818" i="5"/>
  <c r="E818" i="5"/>
  <c r="R818" i="5" s="1"/>
  <c r="P815" i="5"/>
  <c r="O815" i="5"/>
  <c r="N815" i="5"/>
  <c r="L815" i="5"/>
  <c r="K815" i="5"/>
  <c r="J815" i="5"/>
  <c r="M815" i="5" s="1"/>
  <c r="H815" i="5"/>
  <c r="G815" i="5"/>
  <c r="F815" i="5"/>
  <c r="I815" i="5" s="1"/>
  <c r="D815" i="5"/>
  <c r="C815" i="5"/>
  <c r="B815" i="5"/>
  <c r="E815" i="5" s="1"/>
  <c r="Q814" i="5"/>
  <c r="M814" i="5"/>
  <c r="I814" i="5"/>
  <c r="E814" i="5"/>
  <c r="Q813" i="5"/>
  <c r="M813" i="5"/>
  <c r="I813" i="5"/>
  <c r="E813" i="5"/>
  <c r="R813" i="5" s="1"/>
  <c r="Q812" i="5"/>
  <c r="M812" i="5"/>
  <c r="I812" i="5"/>
  <c r="E812" i="5"/>
  <c r="R812" i="5" s="1"/>
  <c r="Q811" i="5"/>
  <c r="M811" i="5"/>
  <c r="I811" i="5"/>
  <c r="E811" i="5"/>
  <c r="Q809" i="5"/>
  <c r="M809" i="5"/>
  <c r="I809" i="5"/>
  <c r="E809" i="5"/>
  <c r="R809" i="5" s="1"/>
  <c r="R808" i="5"/>
  <c r="Q808" i="5"/>
  <c r="M808" i="5"/>
  <c r="I808" i="5"/>
  <c r="E808" i="5"/>
  <c r="P805" i="5"/>
  <c r="O805" i="5"/>
  <c r="N805" i="5"/>
  <c r="Q805" i="5" s="1"/>
  <c r="L805" i="5"/>
  <c r="K805" i="5"/>
  <c r="J805" i="5"/>
  <c r="M805" i="5" s="1"/>
  <c r="H805" i="5"/>
  <c r="G805" i="5"/>
  <c r="F805" i="5"/>
  <c r="I805" i="5" s="1"/>
  <c r="D805" i="5"/>
  <c r="C805" i="5"/>
  <c r="B805" i="5"/>
  <c r="E805" i="5" s="1"/>
  <c r="R805" i="5" s="1"/>
  <c r="Q803" i="5"/>
  <c r="M803" i="5"/>
  <c r="I803" i="5"/>
  <c r="E803" i="5"/>
  <c r="R803" i="5" s="1"/>
  <c r="P800" i="5"/>
  <c r="O800" i="5"/>
  <c r="O827" i="5" s="1"/>
  <c r="O830" i="5" s="1"/>
  <c r="N800" i="5"/>
  <c r="N827" i="5" s="1"/>
  <c r="N830" i="5" s="1"/>
  <c r="M800" i="5"/>
  <c r="L800" i="5"/>
  <c r="L827" i="5" s="1"/>
  <c r="L830" i="5" s="1"/>
  <c r="L832" i="5" s="1"/>
  <c r="K800" i="5"/>
  <c r="K827" i="5" s="1"/>
  <c r="J800" i="5"/>
  <c r="H800" i="5"/>
  <c r="H827" i="5" s="1"/>
  <c r="H830" i="5" s="1"/>
  <c r="G800" i="5"/>
  <c r="G827" i="5" s="1"/>
  <c r="G830" i="5" s="1"/>
  <c r="F800" i="5"/>
  <c r="F827" i="5" s="1"/>
  <c r="F830" i="5" s="1"/>
  <c r="E800" i="5"/>
  <c r="D800" i="5"/>
  <c r="D827" i="5" s="1"/>
  <c r="D830" i="5" s="1"/>
  <c r="C800" i="5"/>
  <c r="C827" i="5" s="1"/>
  <c r="C830" i="5" s="1"/>
  <c r="B800" i="5"/>
  <c r="B827" i="5" s="1"/>
  <c r="Q798" i="5"/>
  <c r="M798" i="5"/>
  <c r="I798" i="5"/>
  <c r="E798" i="5"/>
  <c r="R798" i="5" s="1"/>
  <c r="Q795" i="5"/>
  <c r="M795" i="5"/>
  <c r="I795" i="5"/>
  <c r="E795" i="5"/>
  <c r="R795" i="5" s="1"/>
  <c r="Q794" i="5"/>
  <c r="M794" i="5"/>
  <c r="I794" i="5"/>
  <c r="E794" i="5"/>
  <c r="Q793" i="5"/>
  <c r="M793" i="5"/>
  <c r="I793" i="5"/>
  <c r="E793" i="5"/>
  <c r="R793" i="5" s="1"/>
  <c r="R792" i="5"/>
  <c r="Q792" i="5"/>
  <c r="M792" i="5"/>
  <c r="I792" i="5"/>
  <c r="E792" i="5"/>
  <c r="Q791" i="5"/>
  <c r="M791" i="5"/>
  <c r="I791" i="5"/>
  <c r="R791" i="5" s="1"/>
  <c r="E791" i="5"/>
  <c r="C783" i="5"/>
  <c r="Q779" i="5"/>
  <c r="M779" i="5"/>
  <c r="I779" i="5"/>
  <c r="E779" i="5"/>
  <c r="Q778" i="5"/>
  <c r="M778" i="5"/>
  <c r="I778" i="5"/>
  <c r="E778" i="5"/>
  <c r="R778" i="5" s="1"/>
  <c r="P777" i="5"/>
  <c r="P781" i="5" s="1"/>
  <c r="K777" i="5"/>
  <c r="K781" i="5" s="1"/>
  <c r="K783" i="5" s="1"/>
  <c r="Q776" i="5"/>
  <c r="P776" i="5"/>
  <c r="O776" i="5"/>
  <c r="N776" i="5"/>
  <c r="L776" i="5"/>
  <c r="M776" i="5" s="1"/>
  <c r="K776" i="5"/>
  <c r="J776" i="5"/>
  <c r="I776" i="5"/>
  <c r="H776" i="5"/>
  <c r="G776" i="5"/>
  <c r="F776" i="5"/>
  <c r="D776" i="5"/>
  <c r="E776" i="5" s="1"/>
  <c r="C776" i="5"/>
  <c r="B776" i="5"/>
  <c r="Q775" i="5"/>
  <c r="P775" i="5"/>
  <c r="O775" i="5"/>
  <c r="N775" i="5"/>
  <c r="M775" i="5"/>
  <c r="L775" i="5"/>
  <c r="K775" i="5"/>
  <c r="J775" i="5"/>
  <c r="I775" i="5"/>
  <c r="H775" i="5"/>
  <c r="G775" i="5"/>
  <c r="F775" i="5"/>
  <c r="E775" i="5"/>
  <c r="R775" i="5" s="1"/>
  <c r="D775" i="5"/>
  <c r="C775" i="5"/>
  <c r="B775" i="5"/>
  <c r="P769" i="5"/>
  <c r="O769" i="5"/>
  <c r="N769" i="5"/>
  <c r="Q769" i="5" s="1"/>
  <c r="L769" i="5"/>
  <c r="K769" i="5"/>
  <c r="J769" i="5"/>
  <c r="M769" i="5" s="1"/>
  <c r="H769" i="5"/>
  <c r="G769" i="5"/>
  <c r="F769" i="5"/>
  <c r="I769" i="5" s="1"/>
  <c r="D769" i="5"/>
  <c r="C769" i="5"/>
  <c r="B769" i="5"/>
  <c r="P765" i="5"/>
  <c r="O765" i="5"/>
  <c r="N765" i="5"/>
  <c r="L765" i="5"/>
  <c r="K765" i="5"/>
  <c r="J765" i="5"/>
  <c r="M765" i="5" s="1"/>
  <c r="H765" i="5"/>
  <c r="G765" i="5"/>
  <c r="F765" i="5"/>
  <c r="D765" i="5"/>
  <c r="C765" i="5"/>
  <c r="C777" i="5" s="1"/>
  <c r="C781" i="5" s="1"/>
  <c r="B765" i="5"/>
  <c r="P761" i="5"/>
  <c r="Q761" i="5" s="1"/>
  <c r="O761" i="5"/>
  <c r="N761" i="5"/>
  <c r="N777" i="5" s="1"/>
  <c r="L761" i="5"/>
  <c r="K761" i="5"/>
  <c r="J761" i="5"/>
  <c r="H761" i="5"/>
  <c r="I761" i="5" s="1"/>
  <c r="G761" i="5"/>
  <c r="F761" i="5"/>
  <c r="F777" i="5" s="1"/>
  <c r="E761" i="5"/>
  <c r="D761" i="5"/>
  <c r="C761" i="5"/>
  <c r="B761" i="5"/>
  <c r="B777" i="5" s="1"/>
  <c r="Q757" i="5"/>
  <c r="M757" i="5"/>
  <c r="I757" i="5"/>
  <c r="E757" i="5"/>
  <c r="P747" i="5"/>
  <c r="O747" i="5"/>
  <c r="N747" i="5"/>
  <c r="Q747" i="5" s="1"/>
  <c r="L747" i="5"/>
  <c r="K747" i="5"/>
  <c r="J747" i="5"/>
  <c r="H747" i="5"/>
  <c r="G747" i="5"/>
  <c r="F747" i="5"/>
  <c r="I747" i="5" s="1"/>
  <c r="D747" i="5"/>
  <c r="C747" i="5"/>
  <c r="B747" i="5"/>
  <c r="E747" i="5" s="1"/>
  <c r="Q745" i="5"/>
  <c r="M745" i="5"/>
  <c r="I745" i="5"/>
  <c r="E745" i="5"/>
  <c r="R745" i="5" s="1"/>
  <c r="J737" i="5"/>
  <c r="Q735" i="5"/>
  <c r="M735" i="5"/>
  <c r="I735" i="5"/>
  <c r="E735" i="5"/>
  <c r="R735" i="5" s="1"/>
  <c r="H734" i="5"/>
  <c r="H737" i="5" s="1"/>
  <c r="Q733" i="5"/>
  <c r="P733" i="5"/>
  <c r="O733" i="5"/>
  <c r="N733" i="5"/>
  <c r="L733" i="5"/>
  <c r="K733" i="5"/>
  <c r="J733" i="5"/>
  <c r="M733" i="5" s="1"/>
  <c r="I733" i="5"/>
  <c r="H733" i="5"/>
  <c r="G733" i="5"/>
  <c r="F733" i="5"/>
  <c r="D733" i="5"/>
  <c r="C733" i="5"/>
  <c r="B733" i="5"/>
  <c r="E733" i="5" s="1"/>
  <c r="R733" i="5" s="1"/>
  <c r="P732" i="5"/>
  <c r="O732" i="5"/>
  <c r="N732" i="5"/>
  <c r="Q732" i="5" s="1"/>
  <c r="L732" i="5"/>
  <c r="K732" i="5"/>
  <c r="J732" i="5"/>
  <c r="M732" i="5" s="1"/>
  <c r="H732" i="5"/>
  <c r="G732" i="5"/>
  <c r="F732" i="5"/>
  <c r="I732" i="5" s="1"/>
  <c r="D732" i="5"/>
  <c r="C732" i="5"/>
  <c r="B732" i="5"/>
  <c r="Q729" i="5"/>
  <c r="M729" i="5"/>
  <c r="I729" i="5"/>
  <c r="E729" i="5"/>
  <c r="R729" i="5" s="1"/>
  <c r="Q728" i="5"/>
  <c r="M728" i="5"/>
  <c r="I728" i="5"/>
  <c r="E728" i="5"/>
  <c r="Q727" i="5"/>
  <c r="M727" i="5"/>
  <c r="I727" i="5"/>
  <c r="E727" i="5"/>
  <c r="R726" i="5"/>
  <c r="Q726" i="5"/>
  <c r="M726" i="5"/>
  <c r="I726" i="5"/>
  <c r="E726" i="5"/>
  <c r="P722" i="5"/>
  <c r="O722" i="5"/>
  <c r="N722" i="5"/>
  <c r="L722" i="5"/>
  <c r="K722" i="5"/>
  <c r="J722" i="5"/>
  <c r="H722" i="5"/>
  <c r="G722" i="5"/>
  <c r="F722" i="5"/>
  <c r="I722" i="5" s="1"/>
  <c r="D722" i="5"/>
  <c r="C722" i="5"/>
  <c r="B722" i="5"/>
  <c r="E722" i="5" s="1"/>
  <c r="Q721" i="5"/>
  <c r="M721" i="5"/>
  <c r="I721" i="5"/>
  <c r="E721" i="5"/>
  <c r="Q720" i="5"/>
  <c r="M720" i="5"/>
  <c r="I720" i="5"/>
  <c r="E720" i="5"/>
  <c r="R720" i="5" s="1"/>
  <c r="Q719" i="5"/>
  <c r="M719" i="5"/>
  <c r="I719" i="5"/>
  <c r="E719" i="5"/>
  <c r="R719" i="5" s="1"/>
  <c r="Q718" i="5"/>
  <c r="M718" i="5"/>
  <c r="I718" i="5"/>
  <c r="E718" i="5"/>
  <c r="Q717" i="5"/>
  <c r="M717" i="5"/>
  <c r="I717" i="5"/>
  <c r="E717" i="5"/>
  <c r="R717" i="5" s="1"/>
  <c r="Q716" i="5"/>
  <c r="R716" i="5" s="1"/>
  <c r="M716" i="5"/>
  <c r="I716" i="5"/>
  <c r="E716" i="5"/>
  <c r="Q715" i="5"/>
  <c r="M715" i="5"/>
  <c r="I715" i="5"/>
  <c r="E715" i="5"/>
  <c r="R715" i="5" s="1"/>
  <c r="Q714" i="5"/>
  <c r="M714" i="5"/>
  <c r="I714" i="5"/>
  <c r="E714" i="5"/>
  <c r="Q713" i="5"/>
  <c r="M713" i="5"/>
  <c r="I713" i="5"/>
  <c r="E713" i="5"/>
  <c r="Q711" i="5"/>
  <c r="M711" i="5"/>
  <c r="K711" i="5"/>
  <c r="I711" i="5"/>
  <c r="E711" i="5"/>
  <c r="P708" i="5"/>
  <c r="O708" i="5"/>
  <c r="N708" i="5"/>
  <c r="Q708" i="5" s="1"/>
  <c r="L708" i="5"/>
  <c r="K708" i="5"/>
  <c r="J708" i="5"/>
  <c r="H708" i="5"/>
  <c r="G708" i="5"/>
  <c r="F708" i="5"/>
  <c r="I708" i="5" s="1"/>
  <c r="D708" i="5"/>
  <c r="C708" i="5"/>
  <c r="B708" i="5"/>
  <c r="E708" i="5" s="1"/>
  <c r="P704" i="5"/>
  <c r="Q704" i="5" s="1"/>
  <c r="O704" i="5"/>
  <c r="O734" i="5" s="1"/>
  <c r="O737" i="5" s="1"/>
  <c r="N704" i="5"/>
  <c r="N734" i="5" s="1"/>
  <c r="N737" i="5" s="1"/>
  <c r="H704" i="5"/>
  <c r="D704" i="5"/>
  <c r="D734" i="5" s="1"/>
  <c r="D737" i="5" s="1"/>
  <c r="Q700" i="5"/>
  <c r="M700" i="5"/>
  <c r="I700" i="5"/>
  <c r="E700" i="5"/>
  <c r="Q699" i="5"/>
  <c r="M699" i="5"/>
  <c r="I699" i="5"/>
  <c r="E699" i="5"/>
  <c r="R699" i="5" s="1"/>
  <c r="Q698" i="5"/>
  <c r="M698" i="5"/>
  <c r="I698" i="5"/>
  <c r="E698" i="5"/>
  <c r="R698" i="5" s="1"/>
  <c r="Q697" i="5"/>
  <c r="M697" i="5"/>
  <c r="I697" i="5"/>
  <c r="E697" i="5"/>
  <c r="R697" i="5" s="1"/>
  <c r="R696" i="5"/>
  <c r="Q696" i="5"/>
  <c r="M696" i="5"/>
  <c r="I696" i="5"/>
  <c r="E696" i="5"/>
  <c r="Q695" i="5"/>
  <c r="L695" i="5"/>
  <c r="L704" i="5" s="1"/>
  <c r="K695" i="5"/>
  <c r="K704" i="5" s="1"/>
  <c r="J695" i="5"/>
  <c r="J704" i="5" s="1"/>
  <c r="J734" i="5" s="1"/>
  <c r="H695" i="5"/>
  <c r="G695" i="5"/>
  <c r="G704" i="5" s="1"/>
  <c r="G734" i="5" s="1"/>
  <c r="G737" i="5" s="1"/>
  <c r="F695" i="5"/>
  <c r="D695" i="5"/>
  <c r="C695" i="5"/>
  <c r="C704" i="5" s="1"/>
  <c r="C734" i="5" s="1"/>
  <c r="C737" i="5" s="1"/>
  <c r="B695" i="5"/>
  <c r="B704" i="5" s="1"/>
  <c r="B734" i="5" s="1"/>
  <c r="B737" i="5" s="1"/>
  <c r="F685" i="5"/>
  <c r="Q683" i="5"/>
  <c r="M683" i="5"/>
  <c r="I683" i="5"/>
  <c r="R683" i="5" s="1"/>
  <c r="E683" i="5"/>
  <c r="O682" i="5"/>
  <c r="O685" i="5" s="1"/>
  <c r="D682" i="5"/>
  <c r="D685" i="5" s="1"/>
  <c r="C682" i="5"/>
  <c r="C685" i="5" s="1"/>
  <c r="P681" i="5"/>
  <c r="Q681" i="5" s="1"/>
  <c r="O681" i="5"/>
  <c r="N681" i="5"/>
  <c r="M681" i="5"/>
  <c r="L681" i="5"/>
  <c r="K681" i="5"/>
  <c r="J681" i="5"/>
  <c r="H681" i="5"/>
  <c r="I681" i="5" s="1"/>
  <c r="G681" i="5"/>
  <c r="F681" i="5"/>
  <c r="D681" i="5"/>
  <c r="E681" i="5" s="1"/>
  <c r="R681" i="5" s="1"/>
  <c r="C681" i="5"/>
  <c r="B681" i="5"/>
  <c r="Q680" i="5"/>
  <c r="P680" i="5"/>
  <c r="O680" i="5"/>
  <c r="N680" i="5"/>
  <c r="M680" i="5"/>
  <c r="L680" i="5"/>
  <c r="K680" i="5"/>
  <c r="J680" i="5"/>
  <c r="I680" i="5"/>
  <c r="H680" i="5"/>
  <c r="G680" i="5"/>
  <c r="F680" i="5"/>
  <c r="E680" i="5"/>
  <c r="D680" i="5"/>
  <c r="C680" i="5"/>
  <c r="B680" i="5"/>
  <c r="R677" i="5"/>
  <c r="Q677" i="5"/>
  <c r="M677" i="5"/>
  <c r="I677" i="5"/>
  <c r="E677" i="5"/>
  <c r="P673" i="5"/>
  <c r="O673" i="5"/>
  <c r="N673" i="5"/>
  <c r="Q673" i="5" s="1"/>
  <c r="L673" i="5"/>
  <c r="K673" i="5"/>
  <c r="K682" i="5" s="1"/>
  <c r="K685" i="5" s="1"/>
  <c r="J673" i="5"/>
  <c r="H673" i="5"/>
  <c r="G673" i="5"/>
  <c r="G682" i="5" s="1"/>
  <c r="G685" i="5" s="1"/>
  <c r="F673" i="5"/>
  <c r="I673" i="5" s="1"/>
  <c r="D673" i="5"/>
  <c r="C673" i="5"/>
  <c r="B673" i="5"/>
  <c r="E673" i="5" s="1"/>
  <c r="P669" i="5"/>
  <c r="Q669" i="5" s="1"/>
  <c r="O669" i="5"/>
  <c r="N669" i="5"/>
  <c r="L669" i="5"/>
  <c r="M669" i="5" s="1"/>
  <c r="K669" i="5"/>
  <c r="J669" i="5"/>
  <c r="H669" i="5"/>
  <c r="I669" i="5" s="1"/>
  <c r="G669" i="5"/>
  <c r="F669" i="5"/>
  <c r="D669" i="5"/>
  <c r="E669" i="5" s="1"/>
  <c r="R669" i="5" s="1"/>
  <c r="C669" i="5"/>
  <c r="B669" i="5"/>
  <c r="P665" i="5"/>
  <c r="P682" i="5" s="1"/>
  <c r="P685" i="5" s="1"/>
  <c r="O665" i="5"/>
  <c r="N665" i="5"/>
  <c r="N682" i="5" s="1"/>
  <c r="M665" i="5"/>
  <c r="L665" i="5"/>
  <c r="K665" i="5"/>
  <c r="J665" i="5"/>
  <c r="J682" i="5" s="1"/>
  <c r="H665" i="5"/>
  <c r="H682" i="5" s="1"/>
  <c r="H685" i="5" s="1"/>
  <c r="G665" i="5"/>
  <c r="F665" i="5"/>
  <c r="F682" i="5" s="1"/>
  <c r="E665" i="5"/>
  <c r="D665" i="5"/>
  <c r="C665" i="5"/>
  <c r="B665" i="5"/>
  <c r="B682" i="5" s="1"/>
  <c r="Q661" i="5"/>
  <c r="M661" i="5"/>
  <c r="I661" i="5"/>
  <c r="R661" i="5" s="1"/>
  <c r="E661" i="5"/>
  <c r="Q660" i="5"/>
  <c r="M660" i="5"/>
  <c r="I660" i="5"/>
  <c r="E660" i="5"/>
  <c r="R660" i="5" s="1"/>
  <c r="Q659" i="5"/>
  <c r="M659" i="5"/>
  <c r="I659" i="5"/>
  <c r="E659" i="5"/>
  <c r="P649" i="5"/>
  <c r="O649" i="5"/>
  <c r="N649" i="5"/>
  <c r="L649" i="5"/>
  <c r="K649" i="5"/>
  <c r="J649" i="5"/>
  <c r="H649" i="5"/>
  <c r="G649" i="5"/>
  <c r="F649" i="5"/>
  <c r="D649" i="5"/>
  <c r="C649" i="5"/>
  <c r="B649" i="5"/>
  <c r="Q647" i="5"/>
  <c r="M647" i="5"/>
  <c r="I647" i="5"/>
  <c r="E647" i="5"/>
  <c r="Q637" i="5"/>
  <c r="M637" i="5"/>
  <c r="I637" i="5"/>
  <c r="E637" i="5"/>
  <c r="R637" i="5" s="1"/>
  <c r="K636" i="5"/>
  <c r="K639" i="5" s="1"/>
  <c r="P635" i="5"/>
  <c r="Q635" i="5" s="1"/>
  <c r="O635" i="5"/>
  <c r="N635" i="5"/>
  <c r="L635" i="5"/>
  <c r="M635" i="5" s="1"/>
  <c r="K635" i="5"/>
  <c r="J635" i="5"/>
  <c r="H635" i="5"/>
  <c r="I635" i="5" s="1"/>
  <c r="G635" i="5"/>
  <c r="F635" i="5"/>
  <c r="D635" i="5"/>
  <c r="E635" i="5" s="1"/>
  <c r="R635" i="5" s="1"/>
  <c r="C635" i="5"/>
  <c r="B635" i="5"/>
  <c r="P634" i="5"/>
  <c r="O634" i="5"/>
  <c r="N634" i="5"/>
  <c r="Q634" i="5" s="1"/>
  <c r="M634" i="5"/>
  <c r="L634" i="5"/>
  <c r="K634" i="5"/>
  <c r="J634" i="5"/>
  <c r="H634" i="5"/>
  <c r="G634" i="5"/>
  <c r="F634" i="5"/>
  <c r="I634" i="5" s="1"/>
  <c r="D634" i="5"/>
  <c r="C634" i="5"/>
  <c r="B634" i="5"/>
  <c r="E634" i="5" s="1"/>
  <c r="R634" i="5" s="1"/>
  <c r="Q633" i="5"/>
  <c r="M633" i="5"/>
  <c r="I633" i="5"/>
  <c r="R633" i="5" s="1"/>
  <c r="E633" i="5"/>
  <c r="Q632" i="5"/>
  <c r="M632" i="5"/>
  <c r="I632" i="5"/>
  <c r="E632" i="5"/>
  <c r="Q631" i="5"/>
  <c r="M631" i="5"/>
  <c r="I631" i="5"/>
  <c r="E631" i="5"/>
  <c r="Q629" i="5"/>
  <c r="R629" i="5" s="1"/>
  <c r="M629" i="5"/>
  <c r="I629" i="5"/>
  <c r="E629" i="5"/>
  <c r="Q628" i="5"/>
  <c r="M628" i="5"/>
  <c r="I628" i="5"/>
  <c r="E628" i="5"/>
  <c r="R628" i="5" s="1"/>
  <c r="Q626" i="5"/>
  <c r="M626" i="5"/>
  <c r="I626" i="5"/>
  <c r="E626" i="5"/>
  <c r="Q625" i="5"/>
  <c r="M625" i="5"/>
  <c r="I625" i="5"/>
  <c r="E625" i="5"/>
  <c r="R625" i="5" s="1"/>
  <c r="Q624" i="5"/>
  <c r="M624" i="5"/>
  <c r="I624" i="5"/>
  <c r="R624" i="5" s="1"/>
  <c r="E624" i="5"/>
  <c r="Q623" i="5"/>
  <c r="M623" i="5"/>
  <c r="I623" i="5"/>
  <c r="E623" i="5"/>
  <c r="Q621" i="5"/>
  <c r="M621" i="5"/>
  <c r="I621" i="5"/>
  <c r="E621" i="5"/>
  <c r="R621" i="5" s="1"/>
  <c r="Q620" i="5"/>
  <c r="M620" i="5"/>
  <c r="I620" i="5"/>
  <c r="E620" i="5"/>
  <c r="R620" i="5" s="1"/>
  <c r="P617" i="5"/>
  <c r="O617" i="5"/>
  <c r="N617" i="5"/>
  <c r="L617" i="5"/>
  <c r="K617" i="5"/>
  <c r="J617" i="5"/>
  <c r="M617" i="5" s="1"/>
  <c r="H617" i="5"/>
  <c r="G617" i="5"/>
  <c r="G636" i="5" s="1"/>
  <c r="G639" i="5" s="1"/>
  <c r="F617" i="5"/>
  <c r="D617" i="5"/>
  <c r="C617" i="5"/>
  <c r="B617" i="5"/>
  <c r="E617" i="5" s="1"/>
  <c r="Q616" i="5"/>
  <c r="M616" i="5"/>
  <c r="I616" i="5"/>
  <c r="E616" i="5"/>
  <c r="Q615" i="5"/>
  <c r="M615" i="5"/>
  <c r="I615" i="5"/>
  <c r="E615" i="5"/>
  <c r="R615" i="5" s="1"/>
  <c r="Q614" i="5"/>
  <c r="M614" i="5"/>
  <c r="I614" i="5"/>
  <c r="E614" i="5"/>
  <c r="R614" i="5" s="1"/>
  <c r="Q613" i="5"/>
  <c r="M613" i="5"/>
  <c r="I613" i="5"/>
  <c r="E613" i="5"/>
  <c r="R613" i="5" s="1"/>
  <c r="Q612" i="5"/>
  <c r="M612" i="5"/>
  <c r="I612" i="5"/>
  <c r="E612" i="5"/>
  <c r="R612" i="5" s="1"/>
  <c r="Q608" i="5"/>
  <c r="P608" i="5"/>
  <c r="O608" i="5"/>
  <c r="N608" i="5"/>
  <c r="L608" i="5"/>
  <c r="K608" i="5"/>
  <c r="J608" i="5"/>
  <c r="M608" i="5" s="1"/>
  <c r="I608" i="5"/>
  <c r="H608" i="5"/>
  <c r="G608" i="5"/>
  <c r="F608" i="5"/>
  <c r="D608" i="5"/>
  <c r="C608" i="5"/>
  <c r="B608" i="5"/>
  <c r="E608" i="5" s="1"/>
  <c r="R608" i="5" s="1"/>
  <c r="Q606" i="5"/>
  <c r="M606" i="5"/>
  <c r="I606" i="5"/>
  <c r="E606" i="5"/>
  <c r="R606" i="5" s="1"/>
  <c r="Q605" i="5"/>
  <c r="M605" i="5"/>
  <c r="I605" i="5"/>
  <c r="E605" i="5"/>
  <c r="P602" i="5"/>
  <c r="O602" i="5"/>
  <c r="O636" i="5" s="1"/>
  <c r="O639" i="5" s="1"/>
  <c r="N602" i="5"/>
  <c r="M602" i="5"/>
  <c r="L602" i="5"/>
  <c r="L636" i="5" s="1"/>
  <c r="L639" i="5" s="1"/>
  <c r="K602" i="5"/>
  <c r="J602" i="5"/>
  <c r="H602" i="5"/>
  <c r="G602" i="5"/>
  <c r="F602" i="5"/>
  <c r="E602" i="5"/>
  <c r="D602" i="5"/>
  <c r="D636" i="5" s="1"/>
  <c r="D639" i="5" s="1"/>
  <c r="C602" i="5"/>
  <c r="C636" i="5" s="1"/>
  <c r="C639" i="5" s="1"/>
  <c r="B602" i="5"/>
  <c r="Q600" i="5"/>
  <c r="M600" i="5"/>
  <c r="I600" i="5"/>
  <c r="E600" i="5"/>
  <c r="R600" i="5" s="1"/>
  <c r="Q598" i="5"/>
  <c r="M598" i="5"/>
  <c r="I598" i="5"/>
  <c r="E598" i="5"/>
  <c r="R598" i="5" s="1"/>
  <c r="Q596" i="5"/>
  <c r="M596" i="5"/>
  <c r="I596" i="5"/>
  <c r="E596" i="5"/>
  <c r="Q595" i="5"/>
  <c r="M595" i="5"/>
  <c r="I595" i="5"/>
  <c r="E595" i="5"/>
  <c r="R595" i="5" s="1"/>
  <c r="R594" i="5"/>
  <c r="Q594" i="5"/>
  <c r="M594" i="5"/>
  <c r="I594" i="5"/>
  <c r="E594" i="5"/>
  <c r="Q593" i="5"/>
  <c r="M593" i="5"/>
  <c r="I593" i="5"/>
  <c r="E593" i="5"/>
  <c r="Q592" i="5"/>
  <c r="M592" i="5"/>
  <c r="I592" i="5"/>
  <c r="R592" i="5" s="1"/>
  <c r="E592" i="5"/>
  <c r="Q591" i="5"/>
  <c r="M591" i="5"/>
  <c r="I591" i="5"/>
  <c r="R591" i="5" s="1"/>
  <c r="E591" i="5"/>
  <c r="Q590" i="5"/>
  <c r="M590" i="5"/>
  <c r="I590" i="5"/>
  <c r="E590" i="5"/>
  <c r="R590" i="5" s="1"/>
  <c r="Q589" i="5"/>
  <c r="M589" i="5"/>
  <c r="I589" i="5"/>
  <c r="E589" i="5"/>
  <c r="R589" i="5" s="1"/>
  <c r="Q588" i="5"/>
  <c r="M588" i="5"/>
  <c r="I588" i="5"/>
  <c r="E588" i="5"/>
  <c r="Q587" i="5"/>
  <c r="M587" i="5"/>
  <c r="I587" i="5"/>
  <c r="E587" i="5"/>
  <c r="R587" i="5" s="1"/>
  <c r="R586" i="5"/>
  <c r="Q586" i="5"/>
  <c r="M586" i="5"/>
  <c r="I586" i="5"/>
  <c r="E586" i="5"/>
  <c r="Q585" i="5"/>
  <c r="M585" i="5"/>
  <c r="I585" i="5"/>
  <c r="E585" i="5"/>
  <c r="R585" i="5" s="1"/>
  <c r="Q573" i="5"/>
  <c r="M573" i="5"/>
  <c r="I573" i="5"/>
  <c r="E573" i="5"/>
  <c r="R573" i="5" s="1"/>
  <c r="C572" i="5"/>
  <c r="C575" i="5" s="1"/>
  <c r="P571" i="5"/>
  <c r="O571" i="5"/>
  <c r="N571" i="5"/>
  <c r="Q571" i="5" s="1"/>
  <c r="L571" i="5"/>
  <c r="K571" i="5"/>
  <c r="J571" i="5"/>
  <c r="H571" i="5"/>
  <c r="G571" i="5"/>
  <c r="F571" i="5"/>
  <c r="I571" i="5" s="1"/>
  <c r="D571" i="5"/>
  <c r="C571" i="5"/>
  <c r="B571" i="5"/>
  <c r="E571" i="5" s="1"/>
  <c r="P570" i="5"/>
  <c r="Q570" i="5" s="1"/>
  <c r="O570" i="5"/>
  <c r="N570" i="5"/>
  <c r="M570" i="5"/>
  <c r="L570" i="5"/>
  <c r="K570" i="5"/>
  <c r="J570" i="5"/>
  <c r="H570" i="5"/>
  <c r="I570" i="5" s="1"/>
  <c r="G570" i="5"/>
  <c r="F570" i="5"/>
  <c r="E570" i="5"/>
  <c r="D570" i="5"/>
  <c r="C570" i="5"/>
  <c r="B570" i="5"/>
  <c r="Q569" i="5"/>
  <c r="M569" i="5"/>
  <c r="I569" i="5"/>
  <c r="E569" i="5"/>
  <c r="R569" i="5" s="1"/>
  <c r="Q568" i="5"/>
  <c r="M568" i="5"/>
  <c r="I568" i="5"/>
  <c r="E568" i="5"/>
  <c r="R568" i="5" s="1"/>
  <c r="Q567" i="5"/>
  <c r="M567" i="5"/>
  <c r="I567" i="5"/>
  <c r="E567" i="5"/>
  <c r="Q566" i="5"/>
  <c r="M566" i="5"/>
  <c r="I566" i="5"/>
  <c r="E566" i="5"/>
  <c r="R566" i="5" s="1"/>
  <c r="R564" i="5"/>
  <c r="Q564" i="5"/>
  <c r="M564" i="5"/>
  <c r="I564" i="5"/>
  <c r="E564" i="5"/>
  <c r="P559" i="5"/>
  <c r="O559" i="5"/>
  <c r="N559" i="5"/>
  <c r="L559" i="5"/>
  <c r="K559" i="5"/>
  <c r="J559" i="5"/>
  <c r="M559" i="5" s="1"/>
  <c r="H559" i="5"/>
  <c r="G559" i="5"/>
  <c r="F559" i="5"/>
  <c r="I559" i="5" s="1"/>
  <c r="D559" i="5"/>
  <c r="C559" i="5"/>
  <c r="B559" i="5"/>
  <c r="E559" i="5" s="1"/>
  <c r="Q558" i="5"/>
  <c r="M558" i="5"/>
  <c r="I558" i="5"/>
  <c r="E558" i="5"/>
  <c r="P554" i="5"/>
  <c r="Q554" i="5" s="1"/>
  <c r="O554" i="5"/>
  <c r="N554" i="5"/>
  <c r="L554" i="5"/>
  <c r="H554" i="5"/>
  <c r="I554" i="5" s="1"/>
  <c r="G554" i="5"/>
  <c r="F554" i="5"/>
  <c r="E554" i="5"/>
  <c r="D554" i="5"/>
  <c r="C554" i="5"/>
  <c r="B554" i="5"/>
  <c r="Q552" i="5"/>
  <c r="M552" i="5"/>
  <c r="I552" i="5"/>
  <c r="E552" i="5"/>
  <c r="R552" i="5" s="1"/>
  <c r="Q551" i="5"/>
  <c r="K551" i="5"/>
  <c r="K554" i="5" s="1"/>
  <c r="M554" i="5" s="1"/>
  <c r="J551" i="5"/>
  <c r="J554" i="5" s="1"/>
  <c r="I551" i="5"/>
  <c r="E551" i="5"/>
  <c r="P548" i="5"/>
  <c r="P572" i="5" s="1"/>
  <c r="P575" i="5" s="1"/>
  <c r="O548" i="5"/>
  <c r="N548" i="5"/>
  <c r="Q548" i="5" s="1"/>
  <c r="L548" i="5"/>
  <c r="L572" i="5" s="1"/>
  <c r="L575" i="5" s="1"/>
  <c r="K548" i="5"/>
  <c r="K572" i="5" s="1"/>
  <c r="K575" i="5" s="1"/>
  <c r="J548" i="5"/>
  <c r="J572" i="5" s="1"/>
  <c r="H548" i="5"/>
  <c r="H572" i="5" s="1"/>
  <c r="H575" i="5" s="1"/>
  <c r="G548" i="5"/>
  <c r="G572" i="5" s="1"/>
  <c r="G575" i="5" s="1"/>
  <c r="F548" i="5"/>
  <c r="I548" i="5" s="1"/>
  <c r="D548" i="5"/>
  <c r="D572" i="5" s="1"/>
  <c r="D575" i="5" s="1"/>
  <c r="C548" i="5"/>
  <c r="B548" i="5"/>
  <c r="B572" i="5" s="1"/>
  <c r="Q544" i="5"/>
  <c r="M544" i="5"/>
  <c r="I544" i="5"/>
  <c r="R544" i="5" s="1"/>
  <c r="E544" i="5"/>
  <c r="Q543" i="5"/>
  <c r="M543" i="5"/>
  <c r="I543" i="5"/>
  <c r="E543" i="5"/>
  <c r="Q542" i="5"/>
  <c r="M542" i="5"/>
  <c r="I542" i="5"/>
  <c r="E542" i="5"/>
  <c r="R542" i="5" s="1"/>
  <c r="R541" i="5"/>
  <c r="Q541" i="5"/>
  <c r="M541" i="5"/>
  <c r="I541" i="5"/>
  <c r="E541" i="5"/>
  <c r="Q540" i="5"/>
  <c r="M540" i="5"/>
  <c r="I540" i="5"/>
  <c r="E540" i="5"/>
  <c r="Q528" i="5"/>
  <c r="M528" i="5"/>
  <c r="I528" i="5"/>
  <c r="E528" i="5"/>
  <c r="R528" i="5" s="1"/>
  <c r="P526" i="5"/>
  <c r="Q526" i="5" s="1"/>
  <c r="O526" i="5"/>
  <c r="N526" i="5"/>
  <c r="M526" i="5"/>
  <c r="L526" i="5"/>
  <c r="K526" i="5"/>
  <c r="J526" i="5"/>
  <c r="H526" i="5"/>
  <c r="I526" i="5" s="1"/>
  <c r="G526" i="5"/>
  <c r="F526" i="5"/>
  <c r="E526" i="5"/>
  <c r="D526" i="5"/>
  <c r="C526" i="5"/>
  <c r="B526" i="5"/>
  <c r="P525" i="5"/>
  <c r="O525" i="5"/>
  <c r="N525" i="5"/>
  <c r="Q525" i="5" s="1"/>
  <c r="M525" i="5"/>
  <c r="L525" i="5"/>
  <c r="K525" i="5"/>
  <c r="J525" i="5"/>
  <c r="H525" i="5"/>
  <c r="G525" i="5"/>
  <c r="F525" i="5"/>
  <c r="I525" i="5" s="1"/>
  <c r="E525" i="5"/>
  <c r="R525" i="5" s="1"/>
  <c r="D525" i="5"/>
  <c r="C525" i="5"/>
  <c r="B525" i="5"/>
  <c r="Q524" i="5"/>
  <c r="M524" i="5"/>
  <c r="I524" i="5"/>
  <c r="E524" i="5"/>
  <c r="Q523" i="5"/>
  <c r="M523" i="5"/>
  <c r="I523" i="5"/>
  <c r="R523" i="5" s="1"/>
  <c r="E523" i="5"/>
  <c r="Q517" i="5"/>
  <c r="P517" i="5"/>
  <c r="O517" i="5"/>
  <c r="N517" i="5"/>
  <c r="L517" i="5"/>
  <c r="M517" i="5" s="1"/>
  <c r="K517" i="5"/>
  <c r="J517" i="5"/>
  <c r="I517" i="5"/>
  <c r="H517" i="5"/>
  <c r="G517" i="5"/>
  <c r="F517" i="5"/>
  <c r="D517" i="5"/>
  <c r="E517" i="5" s="1"/>
  <c r="C517" i="5"/>
  <c r="B517" i="5"/>
  <c r="R516" i="5"/>
  <c r="Q516" i="5"/>
  <c r="M516" i="5"/>
  <c r="I516" i="5"/>
  <c r="E516" i="5"/>
  <c r="Q515" i="5"/>
  <c r="M515" i="5"/>
  <c r="I515" i="5"/>
  <c r="E515" i="5"/>
  <c r="P511" i="5"/>
  <c r="O511" i="5"/>
  <c r="N511" i="5"/>
  <c r="Q511" i="5" s="1"/>
  <c r="L511" i="5"/>
  <c r="L527" i="5" s="1"/>
  <c r="L530" i="5" s="1"/>
  <c r="K511" i="5"/>
  <c r="H511" i="5"/>
  <c r="G511" i="5"/>
  <c r="F511" i="5"/>
  <c r="I511" i="5" s="1"/>
  <c r="D511" i="5"/>
  <c r="C511" i="5"/>
  <c r="B511" i="5"/>
  <c r="E511" i="5" s="1"/>
  <c r="Q509" i="5"/>
  <c r="M509" i="5"/>
  <c r="K509" i="5"/>
  <c r="J509" i="5"/>
  <c r="I509" i="5"/>
  <c r="E509" i="5"/>
  <c r="P506" i="5"/>
  <c r="P527" i="5" s="1"/>
  <c r="P530" i="5" s="1"/>
  <c r="O506" i="5"/>
  <c r="O527" i="5" s="1"/>
  <c r="O530" i="5" s="1"/>
  <c r="N506" i="5"/>
  <c r="Q506" i="5" s="1"/>
  <c r="L506" i="5"/>
  <c r="K506" i="5"/>
  <c r="K527" i="5" s="1"/>
  <c r="K530" i="5" s="1"/>
  <c r="J506" i="5"/>
  <c r="H506" i="5"/>
  <c r="H527" i="5" s="1"/>
  <c r="H530" i="5" s="1"/>
  <c r="G506" i="5"/>
  <c r="G527" i="5" s="1"/>
  <c r="G530" i="5" s="1"/>
  <c r="F506" i="5"/>
  <c r="I506" i="5" s="1"/>
  <c r="D506" i="5"/>
  <c r="D527" i="5" s="1"/>
  <c r="D530" i="5" s="1"/>
  <c r="C506" i="5"/>
  <c r="C527" i="5" s="1"/>
  <c r="C530" i="5" s="1"/>
  <c r="B506" i="5"/>
  <c r="B527" i="5" s="1"/>
  <c r="Q503" i="5"/>
  <c r="M503" i="5"/>
  <c r="I503" i="5"/>
  <c r="E503" i="5"/>
  <c r="R503" i="5" s="1"/>
  <c r="R502" i="5"/>
  <c r="Q502" i="5"/>
  <c r="M502" i="5"/>
  <c r="I502" i="5"/>
  <c r="E502" i="5"/>
  <c r="Q500" i="5"/>
  <c r="M500" i="5"/>
  <c r="I500" i="5"/>
  <c r="E500" i="5"/>
  <c r="Q499" i="5"/>
  <c r="M499" i="5"/>
  <c r="I499" i="5"/>
  <c r="R499" i="5" s="1"/>
  <c r="E499" i="5"/>
  <c r="Q498" i="5"/>
  <c r="M498" i="5"/>
  <c r="I498" i="5"/>
  <c r="E498" i="5"/>
  <c r="Q497" i="5"/>
  <c r="M497" i="5"/>
  <c r="I497" i="5"/>
  <c r="E497" i="5"/>
  <c r="R497" i="5" s="1"/>
  <c r="R496" i="5"/>
  <c r="Q496" i="5"/>
  <c r="M496" i="5"/>
  <c r="I496" i="5"/>
  <c r="E496" i="5"/>
  <c r="R478" i="5"/>
  <c r="Q478" i="5"/>
  <c r="M478" i="5"/>
  <c r="I478" i="5"/>
  <c r="E478" i="5"/>
  <c r="Q477" i="5"/>
  <c r="M477" i="5"/>
  <c r="I477" i="5"/>
  <c r="E477" i="5"/>
  <c r="Q476" i="5"/>
  <c r="M476" i="5"/>
  <c r="I476" i="5"/>
  <c r="R476" i="5" s="1"/>
  <c r="E476" i="5"/>
  <c r="R474" i="5"/>
  <c r="Q474" i="5"/>
  <c r="P474" i="5"/>
  <c r="O474" i="5"/>
  <c r="N474" i="5"/>
  <c r="L474" i="5"/>
  <c r="K474" i="5"/>
  <c r="J474" i="5"/>
  <c r="M474" i="5" s="1"/>
  <c r="I474" i="5"/>
  <c r="H474" i="5"/>
  <c r="G474" i="5"/>
  <c r="F474" i="5"/>
  <c r="D474" i="5"/>
  <c r="C474" i="5"/>
  <c r="B474" i="5"/>
  <c r="E474" i="5" s="1"/>
  <c r="P473" i="5"/>
  <c r="O473" i="5"/>
  <c r="N473" i="5"/>
  <c r="Q473" i="5" s="1"/>
  <c r="L473" i="5"/>
  <c r="K473" i="5"/>
  <c r="J473" i="5"/>
  <c r="M473" i="5" s="1"/>
  <c r="H473" i="5"/>
  <c r="G473" i="5"/>
  <c r="F473" i="5"/>
  <c r="I473" i="5" s="1"/>
  <c r="D473" i="5"/>
  <c r="C473" i="5"/>
  <c r="B473" i="5"/>
  <c r="Q472" i="5"/>
  <c r="M472" i="5"/>
  <c r="I472" i="5"/>
  <c r="R472" i="5" s="1"/>
  <c r="E472" i="5"/>
  <c r="Q471" i="5"/>
  <c r="M471" i="5"/>
  <c r="I471" i="5"/>
  <c r="R471" i="5" s="1"/>
  <c r="E471" i="5"/>
  <c r="Q470" i="5"/>
  <c r="M470" i="5"/>
  <c r="I470" i="5"/>
  <c r="E470" i="5"/>
  <c r="R470" i="5" s="1"/>
  <c r="Q469" i="5"/>
  <c r="M469" i="5"/>
  <c r="I469" i="5"/>
  <c r="E469" i="5"/>
  <c r="R469" i="5" s="1"/>
  <c r="Q468" i="5"/>
  <c r="M468" i="5"/>
  <c r="I468" i="5"/>
  <c r="E468" i="5"/>
  <c r="Q467" i="5"/>
  <c r="M467" i="5"/>
  <c r="I467" i="5"/>
  <c r="E467" i="5"/>
  <c r="R467" i="5" s="1"/>
  <c r="R466" i="5"/>
  <c r="Q466" i="5"/>
  <c r="M466" i="5"/>
  <c r="I466" i="5"/>
  <c r="E466" i="5"/>
  <c r="Q465" i="5"/>
  <c r="M465" i="5"/>
  <c r="I465" i="5"/>
  <c r="E465" i="5"/>
  <c r="R465" i="5" s="1"/>
  <c r="Q464" i="5"/>
  <c r="M464" i="5"/>
  <c r="I464" i="5"/>
  <c r="R464" i="5" s="1"/>
  <c r="E464" i="5"/>
  <c r="Q463" i="5"/>
  <c r="M463" i="5"/>
  <c r="I463" i="5"/>
  <c r="E463" i="5"/>
  <c r="Q461" i="5"/>
  <c r="M461" i="5"/>
  <c r="I461" i="5"/>
  <c r="E461" i="5"/>
  <c r="R461" i="5" s="1"/>
  <c r="Q460" i="5"/>
  <c r="M460" i="5"/>
  <c r="I460" i="5"/>
  <c r="E460" i="5"/>
  <c r="R460" i="5" s="1"/>
  <c r="Q459" i="5"/>
  <c r="M459" i="5"/>
  <c r="I459" i="5"/>
  <c r="E459" i="5"/>
  <c r="Q458" i="5"/>
  <c r="M458" i="5"/>
  <c r="I458" i="5"/>
  <c r="E458" i="5"/>
  <c r="R458" i="5" s="1"/>
  <c r="R457" i="5"/>
  <c r="Q457" i="5"/>
  <c r="M457" i="5"/>
  <c r="I457" i="5"/>
  <c r="E457" i="5"/>
  <c r="Q456" i="5"/>
  <c r="M456" i="5"/>
  <c r="I456" i="5"/>
  <c r="E456" i="5"/>
  <c r="R456" i="5" s="1"/>
  <c r="Q454" i="5"/>
  <c r="M454" i="5"/>
  <c r="I454" i="5"/>
  <c r="R454" i="5" s="1"/>
  <c r="E454" i="5"/>
  <c r="Q453" i="5"/>
  <c r="M453" i="5"/>
  <c r="I453" i="5"/>
  <c r="E453" i="5"/>
  <c r="Q451" i="5"/>
  <c r="M451" i="5"/>
  <c r="I451" i="5"/>
  <c r="E451" i="5"/>
  <c r="R451" i="5" s="1"/>
  <c r="O448" i="5"/>
  <c r="N448" i="5"/>
  <c r="K448" i="5"/>
  <c r="J448" i="5"/>
  <c r="F448" i="5"/>
  <c r="C448" i="5"/>
  <c r="B448" i="5"/>
  <c r="Q447" i="5"/>
  <c r="M447" i="5"/>
  <c r="I447" i="5"/>
  <c r="R447" i="5" s="1"/>
  <c r="E447" i="5"/>
  <c r="Q446" i="5"/>
  <c r="M446" i="5"/>
  <c r="I446" i="5"/>
  <c r="E446" i="5"/>
  <c r="Q445" i="5"/>
  <c r="M445" i="5"/>
  <c r="I445" i="5"/>
  <c r="E445" i="5"/>
  <c r="R445" i="5" s="1"/>
  <c r="Q444" i="5"/>
  <c r="M444" i="5"/>
  <c r="I444" i="5"/>
  <c r="E444" i="5"/>
  <c r="R444" i="5" s="1"/>
  <c r="Q443" i="5"/>
  <c r="M443" i="5"/>
  <c r="I443" i="5"/>
  <c r="E443" i="5"/>
  <c r="Q442" i="5"/>
  <c r="M442" i="5"/>
  <c r="I442" i="5"/>
  <c r="E442" i="5"/>
  <c r="R442" i="5" s="1"/>
  <c r="R441" i="5"/>
  <c r="Q441" i="5"/>
  <c r="M441" i="5"/>
  <c r="I441" i="5"/>
  <c r="E441" i="5"/>
  <c r="Q440" i="5"/>
  <c r="M440" i="5"/>
  <c r="I440" i="5"/>
  <c r="E440" i="5"/>
  <c r="R440" i="5" s="1"/>
  <c r="Q439" i="5"/>
  <c r="M439" i="5"/>
  <c r="I439" i="5"/>
  <c r="R439" i="5" s="1"/>
  <c r="E439" i="5"/>
  <c r="Q438" i="5"/>
  <c r="M438" i="5"/>
  <c r="I438" i="5"/>
  <c r="E438" i="5"/>
  <c r="Q437" i="5"/>
  <c r="M437" i="5"/>
  <c r="I437" i="5"/>
  <c r="E437" i="5"/>
  <c r="R437" i="5" s="1"/>
  <c r="Q436" i="5"/>
  <c r="M436" i="5"/>
  <c r="I436" i="5"/>
  <c r="E436" i="5"/>
  <c r="R436" i="5" s="1"/>
  <c r="Q435" i="5"/>
  <c r="M435" i="5"/>
  <c r="I435" i="5"/>
  <c r="E435" i="5"/>
  <c r="R435" i="5" s="1"/>
  <c r="Q434" i="5"/>
  <c r="M434" i="5"/>
  <c r="I434" i="5"/>
  <c r="E434" i="5"/>
  <c r="R434" i="5" s="1"/>
  <c r="R433" i="5"/>
  <c r="Q433" i="5"/>
  <c r="M433" i="5"/>
  <c r="I433" i="5"/>
  <c r="E433" i="5"/>
  <c r="Q432" i="5"/>
  <c r="M432" i="5"/>
  <c r="I432" i="5"/>
  <c r="E432" i="5"/>
  <c r="Q431" i="5"/>
  <c r="M431" i="5"/>
  <c r="I431" i="5"/>
  <c r="R431" i="5" s="1"/>
  <c r="E431" i="5"/>
  <c r="Q430" i="5"/>
  <c r="M430" i="5"/>
  <c r="I430" i="5"/>
  <c r="R430" i="5" s="1"/>
  <c r="E430" i="5"/>
  <c r="Q429" i="5"/>
  <c r="M429" i="5"/>
  <c r="I429" i="5"/>
  <c r="E429" i="5"/>
  <c r="R429" i="5" s="1"/>
  <c r="Q428" i="5"/>
  <c r="M428" i="5"/>
  <c r="I428" i="5"/>
  <c r="E428" i="5"/>
  <c r="R428" i="5" s="1"/>
  <c r="Q427" i="5"/>
  <c r="M427" i="5"/>
  <c r="I427" i="5"/>
  <c r="E427" i="5"/>
  <c r="Q426" i="5"/>
  <c r="M426" i="5"/>
  <c r="I426" i="5"/>
  <c r="E426" i="5"/>
  <c r="R426" i="5" s="1"/>
  <c r="R425" i="5"/>
  <c r="Q425" i="5"/>
  <c r="M425" i="5"/>
  <c r="I425" i="5"/>
  <c r="E425" i="5"/>
  <c r="Q424" i="5"/>
  <c r="M424" i="5"/>
  <c r="I424" i="5"/>
  <c r="E424" i="5"/>
  <c r="Q423" i="5"/>
  <c r="M423" i="5"/>
  <c r="I423" i="5"/>
  <c r="R423" i="5" s="1"/>
  <c r="E423" i="5"/>
  <c r="Q422" i="5"/>
  <c r="M422" i="5"/>
  <c r="I422" i="5"/>
  <c r="R422" i="5" s="1"/>
  <c r="E422" i="5"/>
  <c r="Q421" i="5"/>
  <c r="M421" i="5"/>
  <c r="I421" i="5"/>
  <c r="E421" i="5"/>
  <c r="R421" i="5" s="1"/>
  <c r="Q420" i="5"/>
  <c r="M420" i="5"/>
  <c r="I420" i="5"/>
  <c r="E420" i="5"/>
  <c r="R420" i="5" s="1"/>
  <c r="Q419" i="5"/>
  <c r="M419" i="5"/>
  <c r="I419" i="5"/>
  <c r="E419" i="5"/>
  <c r="Q418" i="5"/>
  <c r="M418" i="5"/>
  <c r="I418" i="5"/>
  <c r="E418" i="5"/>
  <c r="R418" i="5" s="1"/>
  <c r="R417" i="5"/>
  <c r="Q417" i="5"/>
  <c r="M417" i="5"/>
  <c r="I417" i="5"/>
  <c r="E417" i="5"/>
  <c r="Q416" i="5"/>
  <c r="M416" i="5"/>
  <c r="I416" i="5"/>
  <c r="E416" i="5"/>
  <c r="R416" i="5" s="1"/>
  <c r="Q415" i="5"/>
  <c r="M415" i="5"/>
  <c r="I415" i="5"/>
  <c r="R415" i="5" s="1"/>
  <c r="E415" i="5"/>
  <c r="Q414" i="5"/>
  <c r="M414" i="5"/>
  <c r="I414" i="5"/>
  <c r="E414" i="5"/>
  <c r="Q413" i="5"/>
  <c r="J413" i="5"/>
  <c r="J862" i="5" s="1"/>
  <c r="M862" i="5" s="1"/>
  <c r="I413" i="5"/>
  <c r="H413" i="5"/>
  <c r="G413" i="5"/>
  <c r="F413" i="5"/>
  <c r="D413" i="5"/>
  <c r="E413" i="5" s="1"/>
  <c r="C413" i="5"/>
  <c r="B413" i="5"/>
  <c r="R412" i="5"/>
  <c r="Q412" i="5"/>
  <c r="M412" i="5"/>
  <c r="I412" i="5"/>
  <c r="E412" i="5"/>
  <c r="Q411" i="5"/>
  <c r="M411" i="5"/>
  <c r="I411" i="5"/>
  <c r="E411" i="5"/>
  <c r="Q410" i="5"/>
  <c r="M410" i="5"/>
  <c r="I410" i="5"/>
  <c r="R410" i="5" s="1"/>
  <c r="E410" i="5"/>
  <c r="Q409" i="5"/>
  <c r="M409" i="5"/>
  <c r="R409" i="5" s="1"/>
  <c r="I409" i="5"/>
  <c r="E409" i="5"/>
  <c r="Q408" i="5"/>
  <c r="M408" i="5"/>
  <c r="I408" i="5"/>
  <c r="E408" i="5"/>
  <c r="R408" i="5" s="1"/>
  <c r="Q407" i="5"/>
  <c r="M407" i="5"/>
  <c r="I407" i="5"/>
  <c r="E407" i="5"/>
  <c r="R407" i="5" s="1"/>
  <c r="Q406" i="5"/>
  <c r="M406" i="5"/>
  <c r="I406" i="5"/>
  <c r="E406" i="5"/>
  <c r="R406" i="5" s="1"/>
  <c r="Q405" i="5"/>
  <c r="M405" i="5"/>
  <c r="I405" i="5"/>
  <c r="E405" i="5"/>
  <c r="R405" i="5" s="1"/>
  <c r="R404" i="5"/>
  <c r="Q404" i="5"/>
  <c r="M404" i="5"/>
  <c r="I404" i="5"/>
  <c r="E404" i="5"/>
  <c r="Q403" i="5"/>
  <c r="M403" i="5"/>
  <c r="I403" i="5"/>
  <c r="E403" i="5"/>
  <c r="Q402" i="5"/>
  <c r="M402" i="5"/>
  <c r="I402" i="5"/>
  <c r="R402" i="5" s="1"/>
  <c r="E402" i="5"/>
  <c r="Q401" i="5"/>
  <c r="M401" i="5"/>
  <c r="R401" i="5" s="1"/>
  <c r="I401" i="5"/>
  <c r="E401" i="5"/>
  <c r="Q400" i="5"/>
  <c r="M400" i="5"/>
  <c r="I400" i="5"/>
  <c r="E400" i="5"/>
  <c r="R400" i="5" s="1"/>
  <c r="Q399" i="5"/>
  <c r="M399" i="5"/>
  <c r="I399" i="5"/>
  <c r="E399" i="5"/>
  <c r="R399" i="5" s="1"/>
  <c r="Q398" i="5"/>
  <c r="M398" i="5"/>
  <c r="I398" i="5"/>
  <c r="E398" i="5"/>
  <c r="P396" i="5"/>
  <c r="P861" i="5" s="1"/>
  <c r="N396" i="5"/>
  <c r="N861" i="5" s="1"/>
  <c r="L396" i="5"/>
  <c r="K396" i="5"/>
  <c r="K861" i="5" s="1"/>
  <c r="K863" i="5" s="1"/>
  <c r="K892" i="5" s="1"/>
  <c r="J396" i="5"/>
  <c r="J861" i="5" s="1"/>
  <c r="H396" i="5"/>
  <c r="H861" i="5" s="1"/>
  <c r="G396" i="5"/>
  <c r="G861" i="5" s="1"/>
  <c r="G863" i="5" s="1"/>
  <c r="G892" i="5" s="1"/>
  <c r="F396" i="5"/>
  <c r="F861" i="5" s="1"/>
  <c r="D396" i="5"/>
  <c r="C396" i="5"/>
  <c r="C861" i="5" s="1"/>
  <c r="Q395" i="5"/>
  <c r="M395" i="5"/>
  <c r="I395" i="5"/>
  <c r="E395" i="5"/>
  <c r="R395" i="5" s="1"/>
  <c r="Q392" i="5"/>
  <c r="P392" i="5"/>
  <c r="O392" i="5"/>
  <c r="N392" i="5"/>
  <c r="L392" i="5"/>
  <c r="H392" i="5"/>
  <c r="D392" i="5"/>
  <c r="R390" i="5"/>
  <c r="Q390" i="5"/>
  <c r="M390" i="5"/>
  <c r="I390" i="5"/>
  <c r="E390" i="5"/>
  <c r="Q389" i="5"/>
  <c r="M389" i="5"/>
  <c r="I389" i="5"/>
  <c r="R389" i="5" s="1"/>
  <c r="E389" i="5"/>
  <c r="Q388" i="5"/>
  <c r="M388" i="5"/>
  <c r="I388" i="5"/>
  <c r="E388" i="5"/>
  <c r="R388" i="5" s="1"/>
  <c r="Q387" i="5"/>
  <c r="M387" i="5"/>
  <c r="R387" i="5" s="1"/>
  <c r="I387" i="5"/>
  <c r="E387" i="5"/>
  <c r="AL386" i="5"/>
  <c r="AK386" i="5"/>
  <c r="AJ386" i="5"/>
  <c r="AI386" i="5"/>
  <c r="AH386" i="5"/>
  <c r="AG386" i="5"/>
  <c r="AF386" i="5"/>
  <c r="AE386" i="5"/>
  <c r="AA386" i="5"/>
  <c r="Z386" i="5"/>
  <c r="Y386" i="5"/>
  <c r="X386" i="5"/>
  <c r="W386" i="5"/>
  <c r="R386" i="5"/>
  <c r="Q386" i="5"/>
  <c r="M386" i="5"/>
  <c r="I386" i="5"/>
  <c r="E386" i="5"/>
  <c r="AK385" i="5"/>
  <c r="AJ385" i="5"/>
  <c r="AI385" i="5"/>
  <c r="AL385" i="5" s="1"/>
  <c r="AG385" i="5"/>
  <c r="AF385" i="5"/>
  <c r="AE385" i="5"/>
  <c r="AB385" i="5"/>
  <c r="Y385" i="5"/>
  <c r="X385" i="5"/>
  <c r="W385" i="5"/>
  <c r="Q385" i="5"/>
  <c r="M385" i="5"/>
  <c r="J385" i="5"/>
  <c r="G385" i="5"/>
  <c r="F385" i="5"/>
  <c r="D385" i="5"/>
  <c r="C385" i="5"/>
  <c r="C857" i="5" s="1"/>
  <c r="B385" i="5"/>
  <c r="AK384" i="5"/>
  <c r="AJ384" i="5"/>
  <c r="AI384" i="5"/>
  <c r="AG384" i="5"/>
  <c r="AF384" i="5"/>
  <c r="AE384" i="5"/>
  <c r="Y384" i="5"/>
  <c r="X384" i="5"/>
  <c r="W384" i="5"/>
  <c r="Q384" i="5"/>
  <c r="M384" i="5"/>
  <c r="I384" i="5"/>
  <c r="E384" i="5"/>
  <c r="AL383" i="5"/>
  <c r="AH383" i="5"/>
  <c r="AC383" i="5"/>
  <c r="AC384" i="5" s="1"/>
  <c r="AB383" i="5"/>
  <c r="AB386" i="5" s="1"/>
  <c r="AA383" i="5"/>
  <c r="AA384" i="5" s="1"/>
  <c r="Z383" i="5"/>
  <c r="Q383" i="5"/>
  <c r="M383" i="5"/>
  <c r="I383" i="5"/>
  <c r="E383" i="5"/>
  <c r="R383" i="5" s="1"/>
  <c r="Q382" i="5"/>
  <c r="K382" i="5"/>
  <c r="K392" i="5" s="1"/>
  <c r="J382" i="5"/>
  <c r="I382" i="5"/>
  <c r="E382" i="5"/>
  <c r="W381" i="5"/>
  <c r="F378" i="5"/>
  <c r="Q376" i="5"/>
  <c r="M376" i="5"/>
  <c r="I376" i="5"/>
  <c r="R376" i="5" s="1"/>
  <c r="E376" i="5"/>
  <c r="Q375" i="5"/>
  <c r="M375" i="5"/>
  <c r="I375" i="5"/>
  <c r="E375" i="5"/>
  <c r="Q374" i="5"/>
  <c r="M374" i="5"/>
  <c r="I374" i="5"/>
  <c r="E374" i="5"/>
  <c r="R374" i="5" s="1"/>
  <c r="R373" i="5"/>
  <c r="Q373" i="5"/>
  <c r="M373" i="5"/>
  <c r="I373" i="5"/>
  <c r="E373" i="5"/>
  <c r="Q371" i="5"/>
  <c r="M371" i="5"/>
  <c r="I371" i="5"/>
  <c r="E371" i="5"/>
  <c r="Q370" i="5"/>
  <c r="M370" i="5"/>
  <c r="I370" i="5"/>
  <c r="E370" i="5"/>
  <c r="R369" i="5"/>
  <c r="Q369" i="5"/>
  <c r="M369" i="5"/>
  <c r="I369" i="5"/>
  <c r="E369" i="5"/>
  <c r="Q368" i="5"/>
  <c r="M368" i="5"/>
  <c r="I368" i="5"/>
  <c r="E368" i="5"/>
  <c r="R368" i="5" s="1"/>
  <c r="Q367" i="5"/>
  <c r="M367" i="5"/>
  <c r="I367" i="5"/>
  <c r="R367" i="5" s="1"/>
  <c r="E367" i="5"/>
  <c r="Q366" i="5"/>
  <c r="M366" i="5"/>
  <c r="I366" i="5"/>
  <c r="R366" i="5" s="1"/>
  <c r="E366" i="5"/>
  <c r="Q365" i="5"/>
  <c r="M365" i="5"/>
  <c r="I365" i="5"/>
  <c r="E365" i="5"/>
  <c r="R365" i="5" s="1"/>
  <c r="R364" i="5"/>
  <c r="Q364" i="5"/>
  <c r="M364" i="5"/>
  <c r="I364" i="5"/>
  <c r="E364" i="5"/>
  <c r="Q363" i="5"/>
  <c r="M363" i="5"/>
  <c r="I363" i="5"/>
  <c r="E363" i="5"/>
  <c r="Q362" i="5"/>
  <c r="M362" i="5"/>
  <c r="I362" i="5"/>
  <c r="E362" i="5"/>
  <c r="Q361" i="5"/>
  <c r="R361" i="5" s="1"/>
  <c r="M361" i="5"/>
  <c r="I361" i="5"/>
  <c r="E361" i="5"/>
  <c r="R359" i="5"/>
  <c r="Q359" i="5"/>
  <c r="M359" i="5"/>
  <c r="I359" i="5"/>
  <c r="E359" i="5"/>
  <c r="Q358" i="5"/>
  <c r="M358" i="5"/>
  <c r="I358" i="5"/>
  <c r="E358" i="5"/>
  <c r="R358" i="5" s="1"/>
  <c r="R357" i="5"/>
  <c r="Q357" i="5"/>
  <c r="M357" i="5"/>
  <c r="I357" i="5"/>
  <c r="E357" i="5"/>
  <c r="Q356" i="5"/>
  <c r="M356" i="5"/>
  <c r="I356" i="5"/>
  <c r="R356" i="5" s="1"/>
  <c r="E356" i="5"/>
  <c r="Q355" i="5"/>
  <c r="M355" i="5"/>
  <c r="I355" i="5"/>
  <c r="R355" i="5" s="1"/>
  <c r="E355" i="5"/>
  <c r="Q354" i="5"/>
  <c r="M354" i="5"/>
  <c r="I354" i="5"/>
  <c r="E354" i="5"/>
  <c r="Q353" i="5"/>
  <c r="M353" i="5"/>
  <c r="I353" i="5"/>
  <c r="E353" i="5"/>
  <c r="Q352" i="5"/>
  <c r="M352" i="5"/>
  <c r="I352" i="5"/>
  <c r="E352" i="5"/>
  <c r="R352" i="5" s="1"/>
  <c r="P351" i="5"/>
  <c r="N351" i="5"/>
  <c r="L351" i="5"/>
  <c r="K351" i="5"/>
  <c r="J351" i="5"/>
  <c r="M351" i="5" s="1"/>
  <c r="H351" i="5"/>
  <c r="I351" i="5" s="1"/>
  <c r="C351" i="5"/>
  <c r="E351" i="5" s="1"/>
  <c r="B351" i="5"/>
  <c r="Q350" i="5"/>
  <c r="M350" i="5"/>
  <c r="I350" i="5"/>
  <c r="E350" i="5"/>
  <c r="R350" i="5" s="1"/>
  <c r="R349" i="5"/>
  <c r="Q349" i="5"/>
  <c r="M349" i="5"/>
  <c r="I349" i="5"/>
  <c r="E349" i="5"/>
  <c r="Q348" i="5"/>
  <c r="M348" i="5"/>
  <c r="I348" i="5"/>
  <c r="R348" i="5" s="1"/>
  <c r="E348" i="5"/>
  <c r="Q347" i="5"/>
  <c r="M347" i="5"/>
  <c r="I347" i="5"/>
  <c r="R347" i="5" s="1"/>
  <c r="E347" i="5"/>
  <c r="Q346" i="5"/>
  <c r="M346" i="5"/>
  <c r="I346" i="5"/>
  <c r="E346" i="5"/>
  <c r="Q345" i="5"/>
  <c r="M345" i="5"/>
  <c r="I345" i="5"/>
  <c r="E345" i="5"/>
  <c r="Q344" i="5"/>
  <c r="M344" i="5"/>
  <c r="I344" i="5"/>
  <c r="E344" i="5"/>
  <c r="R344" i="5" s="1"/>
  <c r="Q343" i="5"/>
  <c r="M343" i="5"/>
  <c r="I343" i="5"/>
  <c r="E343" i="5"/>
  <c r="Q342" i="5"/>
  <c r="M342" i="5"/>
  <c r="I342" i="5"/>
  <c r="E342" i="5"/>
  <c r="R341" i="5"/>
  <c r="Q341" i="5"/>
  <c r="M341" i="5"/>
  <c r="I341" i="5"/>
  <c r="E341" i="5"/>
  <c r="R340" i="5"/>
  <c r="Q340" i="5"/>
  <c r="M340" i="5"/>
  <c r="I340" i="5"/>
  <c r="E340" i="5"/>
  <c r="Q339" i="5"/>
  <c r="M339" i="5"/>
  <c r="I339" i="5"/>
  <c r="R339" i="5" s="1"/>
  <c r="E339" i="5"/>
  <c r="Q338" i="5"/>
  <c r="M338" i="5"/>
  <c r="I338" i="5"/>
  <c r="R338" i="5" s="1"/>
  <c r="E338" i="5"/>
  <c r="Q337" i="5"/>
  <c r="M337" i="5"/>
  <c r="I337" i="5"/>
  <c r="E337" i="5"/>
  <c r="R337" i="5" s="1"/>
  <c r="P336" i="5"/>
  <c r="O336" i="5"/>
  <c r="N336" i="5"/>
  <c r="Q336" i="5" s="1"/>
  <c r="L336" i="5"/>
  <c r="K336" i="5"/>
  <c r="J336" i="5"/>
  <c r="M336" i="5" s="1"/>
  <c r="H336" i="5"/>
  <c r="G336" i="5"/>
  <c r="G378" i="5" s="1"/>
  <c r="F336" i="5"/>
  <c r="I336" i="5" s="1"/>
  <c r="D336" i="5"/>
  <c r="D378" i="5" s="1"/>
  <c r="C336" i="5"/>
  <c r="C378" i="5" s="1"/>
  <c r="B336" i="5"/>
  <c r="Q335" i="5"/>
  <c r="M335" i="5"/>
  <c r="I335" i="5"/>
  <c r="R335" i="5" s="1"/>
  <c r="E335" i="5"/>
  <c r="Q334" i="5"/>
  <c r="M334" i="5"/>
  <c r="I334" i="5"/>
  <c r="H334" i="5"/>
  <c r="H378" i="5" s="1"/>
  <c r="E334" i="5"/>
  <c r="R333" i="5"/>
  <c r="Q333" i="5"/>
  <c r="M333" i="5"/>
  <c r="I333" i="5"/>
  <c r="E333" i="5"/>
  <c r="Q332" i="5"/>
  <c r="M332" i="5"/>
  <c r="I332" i="5"/>
  <c r="R332" i="5" s="1"/>
  <c r="E332" i="5"/>
  <c r="Q331" i="5"/>
  <c r="M331" i="5"/>
  <c r="I331" i="5"/>
  <c r="E331" i="5"/>
  <c r="Q330" i="5"/>
  <c r="M330" i="5"/>
  <c r="I330" i="5"/>
  <c r="E330" i="5"/>
  <c r="R330" i="5" s="1"/>
  <c r="R329" i="5"/>
  <c r="P329" i="5"/>
  <c r="O329" i="5"/>
  <c r="O378" i="5" s="1"/>
  <c r="O475" i="5" s="1"/>
  <c r="O480" i="5" s="1"/>
  <c r="N329" i="5"/>
  <c r="Q329" i="5" s="1"/>
  <c r="L329" i="5"/>
  <c r="L378" i="5" s="1"/>
  <c r="K329" i="5"/>
  <c r="M329" i="5" s="1"/>
  <c r="I329" i="5"/>
  <c r="E329" i="5"/>
  <c r="Q321" i="5"/>
  <c r="P321" i="5"/>
  <c r="O321" i="5"/>
  <c r="N321" i="5"/>
  <c r="L321" i="5"/>
  <c r="K321" i="5"/>
  <c r="J321" i="5"/>
  <c r="I321" i="5"/>
  <c r="H321" i="5"/>
  <c r="G321" i="5"/>
  <c r="F321" i="5"/>
  <c r="D321" i="5"/>
  <c r="C321" i="5"/>
  <c r="B321" i="5"/>
  <c r="Q319" i="5"/>
  <c r="R319" i="5" s="1"/>
  <c r="R321" i="5" s="1"/>
  <c r="M319" i="5"/>
  <c r="I319" i="5"/>
  <c r="E319" i="5"/>
  <c r="Q308" i="5"/>
  <c r="M308" i="5"/>
  <c r="I308" i="5"/>
  <c r="E308" i="5"/>
  <c r="Q307" i="5"/>
  <c r="R307" i="5" s="1"/>
  <c r="M307" i="5"/>
  <c r="I307" i="5"/>
  <c r="E307" i="5"/>
  <c r="Q306" i="5"/>
  <c r="M306" i="5"/>
  <c r="I306" i="5"/>
  <c r="E306" i="5"/>
  <c r="R306" i="5" s="1"/>
  <c r="Q305" i="5"/>
  <c r="M305" i="5"/>
  <c r="I305" i="5"/>
  <c r="R305" i="5" s="1"/>
  <c r="E305" i="5"/>
  <c r="Q304" i="5"/>
  <c r="M304" i="5"/>
  <c r="I304" i="5"/>
  <c r="E304" i="5"/>
  <c r="Q303" i="5"/>
  <c r="M303" i="5"/>
  <c r="I303" i="5"/>
  <c r="E303" i="5"/>
  <c r="P301" i="5"/>
  <c r="O301" i="5"/>
  <c r="N301" i="5"/>
  <c r="L301" i="5"/>
  <c r="K301" i="5"/>
  <c r="J301" i="5"/>
  <c r="H301" i="5"/>
  <c r="G301" i="5"/>
  <c r="F301" i="5"/>
  <c r="I301" i="5" s="1"/>
  <c r="D301" i="5"/>
  <c r="C301" i="5"/>
  <c r="B301" i="5"/>
  <c r="P300" i="5"/>
  <c r="Q300" i="5" s="1"/>
  <c r="O300" i="5"/>
  <c r="N300" i="5"/>
  <c r="L300" i="5"/>
  <c r="M300" i="5" s="1"/>
  <c r="K300" i="5"/>
  <c r="J300" i="5"/>
  <c r="H300" i="5"/>
  <c r="I300" i="5" s="1"/>
  <c r="G300" i="5"/>
  <c r="F300" i="5"/>
  <c r="D300" i="5"/>
  <c r="E300" i="5" s="1"/>
  <c r="R300" i="5" s="1"/>
  <c r="C300" i="5"/>
  <c r="B300" i="5"/>
  <c r="Q299" i="5"/>
  <c r="M299" i="5"/>
  <c r="I299" i="5"/>
  <c r="E299" i="5"/>
  <c r="R299" i="5" s="1"/>
  <c r="Q297" i="5"/>
  <c r="M297" i="5"/>
  <c r="I297" i="5"/>
  <c r="E297" i="5"/>
  <c r="R297" i="5" s="1"/>
  <c r="Q295" i="5"/>
  <c r="M295" i="5"/>
  <c r="I295" i="5"/>
  <c r="E295" i="5"/>
  <c r="Q294" i="5"/>
  <c r="M294" i="5"/>
  <c r="I294" i="5"/>
  <c r="E294" i="5"/>
  <c r="Q293" i="5"/>
  <c r="R293" i="5" s="1"/>
  <c r="M293" i="5"/>
  <c r="I293" i="5"/>
  <c r="E293" i="5"/>
  <c r="Q292" i="5"/>
  <c r="M292" i="5"/>
  <c r="I292" i="5"/>
  <c r="E292" i="5"/>
  <c r="R292" i="5" s="1"/>
  <c r="Q291" i="5"/>
  <c r="M291" i="5"/>
  <c r="I291" i="5"/>
  <c r="R291" i="5" s="1"/>
  <c r="E291" i="5"/>
  <c r="Q290" i="5"/>
  <c r="M290" i="5"/>
  <c r="I290" i="5"/>
  <c r="E290" i="5"/>
  <c r="Q289" i="5"/>
  <c r="M289" i="5"/>
  <c r="I289" i="5"/>
  <c r="E289" i="5"/>
  <c r="R289" i="5" s="1"/>
  <c r="Q288" i="5"/>
  <c r="M288" i="5"/>
  <c r="I288" i="5"/>
  <c r="E288" i="5"/>
  <c r="Q286" i="5"/>
  <c r="M286" i="5"/>
  <c r="I286" i="5"/>
  <c r="E286" i="5"/>
  <c r="Q285" i="5"/>
  <c r="M285" i="5"/>
  <c r="I285" i="5"/>
  <c r="E285" i="5"/>
  <c r="R285" i="5" s="1"/>
  <c r="Q284" i="5"/>
  <c r="M284" i="5"/>
  <c r="I284" i="5"/>
  <c r="E284" i="5"/>
  <c r="R284" i="5" s="1"/>
  <c r="P281" i="5"/>
  <c r="O281" i="5"/>
  <c r="L281" i="5"/>
  <c r="K281" i="5"/>
  <c r="J281" i="5"/>
  <c r="H281" i="5"/>
  <c r="G281" i="5"/>
  <c r="D281" i="5"/>
  <c r="Q280" i="5"/>
  <c r="M280" i="5"/>
  <c r="I280" i="5"/>
  <c r="R280" i="5" s="1"/>
  <c r="E280" i="5"/>
  <c r="R279" i="5"/>
  <c r="Q279" i="5"/>
  <c r="M279" i="5"/>
  <c r="I279" i="5"/>
  <c r="E279" i="5"/>
  <c r="R278" i="5"/>
  <c r="Q278" i="5"/>
  <c r="M278" i="5"/>
  <c r="I278" i="5"/>
  <c r="E278" i="5"/>
  <c r="Q277" i="5"/>
  <c r="M277" i="5"/>
  <c r="I277" i="5"/>
  <c r="E277" i="5"/>
  <c r="Q276" i="5"/>
  <c r="M276" i="5"/>
  <c r="I276" i="5"/>
  <c r="D276" i="5"/>
  <c r="D862" i="5" s="1"/>
  <c r="C276" i="5"/>
  <c r="C862" i="5" s="1"/>
  <c r="B276" i="5"/>
  <c r="B862" i="5" s="1"/>
  <c r="N275" i="5"/>
  <c r="Q275" i="5" s="1"/>
  <c r="M275" i="5"/>
  <c r="I275" i="5"/>
  <c r="E275" i="5"/>
  <c r="Q274" i="5"/>
  <c r="M274" i="5"/>
  <c r="I274" i="5"/>
  <c r="E274" i="5"/>
  <c r="R274" i="5" s="1"/>
  <c r="Q273" i="5"/>
  <c r="M273" i="5"/>
  <c r="I273" i="5"/>
  <c r="E273" i="5"/>
  <c r="Q272" i="5"/>
  <c r="M272" i="5"/>
  <c r="I272" i="5"/>
  <c r="H272" i="5"/>
  <c r="E272" i="5"/>
  <c r="Q271" i="5"/>
  <c r="M271" i="5"/>
  <c r="I271" i="5"/>
  <c r="E271" i="5"/>
  <c r="R271" i="5" s="1"/>
  <c r="Q270" i="5"/>
  <c r="M270" i="5"/>
  <c r="I270" i="5"/>
  <c r="E270" i="5"/>
  <c r="Q269" i="5"/>
  <c r="M269" i="5"/>
  <c r="I269" i="5"/>
  <c r="E269" i="5"/>
  <c r="R269" i="5" s="1"/>
  <c r="Q268" i="5"/>
  <c r="M268" i="5"/>
  <c r="I268" i="5"/>
  <c r="E268" i="5"/>
  <c r="R268" i="5" s="1"/>
  <c r="Q267" i="5"/>
  <c r="M267" i="5"/>
  <c r="I267" i="5"/>
  <c r="E267" i="5"/>
  <c r="R267" i="5" s="1"/>
  <c r="Q266" i="5"/>
  <c r="M266" i="5"/>
  <c r="I266" i="5"/>
  <c r="R266" i="5" s="1"/>
  <c r="E266" i="5"/>
  <c r="Q265" i="5"/>
  <c r="M265" i="5"/>
  <c r="I265" i="5"/>
  <c r="E265" i="5"/>
  <c r="Q264" i="5"/>
  <c r="M264" i="5"/>
  <c r="I264" i="5"/>
  <c r="E264" i="5"/>
  <c r="R264" i="5" s="1"/>
  <c r="R263" i="5"/>
  <c r="Q263" i="5"/>
  <c r="M263" i="5"/>
  <c r="I263" i="5"/>
  <c r="E263" i="5"/>
  <c r="Q262" i="5"/>
  <c r="M262" i="5"/>
  <c r="I262" i="5"/>
  <c r="E262" i="5"/>
  <c r="Q261" i="5"/>
  <c r="M261" i="5"/>
  <c r="I261" i="5"/>
  <c r="E261" i="5"/>
  <c r="R260" i="5"/>
  <c r="Q260" i="5"/>
  <c r="M260" i="5"/>
  <c r="I260" i="5"/>
  <c r="E260" i="5"/>
  <c r="R259" i="5"/>
  <c r="Q259" i="5"/>
  <c r="M259" i="5"/>
  <c r="I259" i="5"/>
  <c r="E259" i="5"/>
  <c r="Q258" i="5"/>
  <c r="M258" i="5"/>
  <c r="I258" i="5"/>
  <c r="E258" i="5"/>
  <c r="Q257" i="5"/>
  <c r="M257" i="5"/>
  <c r="I257" i="5"/>
  <c r="E257" i="5"/>
  <c r="R256" i="5"/>
  <c r="Q256" i="5"/>
  <c r="M256" i="5"/>
  <c r="I256" i="5"/>
  <c r="E256" i="5"/>
  <c r="Q255" i="5"/>
  <c r="M255" i="5"/>
  <c r="I255" i="5"/>
  <c r="E255" i="5"/>
  <c r="R255" i="5" s="1"/>
  <c r="Q254" i="5"/>
  <c r="M254" i="5"/>
  <c r="I254" i="5"/>
  <c r="E254" i="5"/>
  <c r="Q253" i="5"/>
  <c r="M253" i="5"/>
  <c r="I253" i="5"/>
  <c r="E253" i="5"/>
  <c r="R253" i="5" s="1"/>
  <c r="Q252" i="5"/>
  <c r="M252" i="5"/>
  <c r="I252" i="5"/>
  <c r="E252" i="5"/>
  <c r="R252" i="5" s="1"/>
  <c r="Q251" i="5"/>
  <c r="M251" i="5"/>
  <c r="I251" i="5"/>
  <c r="E251" i="5"/>
  <c r="R251" i="5" s="1"/>
  <c r="Q250" i="5"/>
  <c r="M250" i="5"/>
  <c r="I250" i="5"/>
  <c r="R250" i="5" s="1"/>
  <c r="E250" i="5"/>
  <c r="Q249" i="5"/>
  <c r="M249" i="5"/>
  <c r="G249" i="5"/>
  <c r="G862" i="5" s="1"/>
  <c r="F249" i="5"/>
  <c r="E249" i="5"/>
  <c r="Q248" i="5"/>
  <c r="M248" i="5"/>
  <c r="I248" i="5"/>
  <c r="E248" i="5"/>
  <c r="R248" i="5" s="1"/>
  <c r="Q247" i="5"/>
  <c r="P247" i="5"/>
  <c r="P862" i="5" s="1"/>
  <c r="O247" i="5"/>
  <c r="O862" i="5" s="1"/>
  <c r="O863" i="5" s="1"/>
  <c r="O892" i="5" s="1"/>
  <c r="N247" i="5"/>
  <c r="M247" i="5"/>
  <c r="I247" i="5"/>
  <c r="E247" i="5"/>
  <c r="Q246" i="5"/>
  <c r="M246" i="5"/>
  <c r="I246" i="5"/>
  <c r="E246" i="5"/>
  <c r="Q245" i="5"/>
  <c r="M245" i="5"/>
  <c r="I245" i="5"/>
  <c r="E245" i="5"/>
  <c r="R245" i="5" s="1"/>
  <c r="R244" i="5"/>
  <c r="Q244" i="5"/>
  <c r="M244" i="5"/>
  <c r="I244" i="5"/>
  <c r="E244" i="5"/>
  <c r="Q243" i="5"/>
  <c r="M243" i="5"/>
  <c r="I243" i="5"/>
  <c r="R243" i="5" s="1"/>
  <c r="E243" i="5"/>
  <c r="Q242" i="5"/>
  <c r="R242" i="5" s="1"/>
  <c r="M242" i="5"/>
  <c r="I242" i="5"/>
  <c r="E242" i="5"/>
  <c r="R241" i="5"/>
  <c r="Q241" i="5"/>
  <c r="M241" i="5"/>
  <c r="I241" i="5"/>
  <c r="E241" i="5"/>
  <c r="Q240" i="5"/>
  <c r="M240" i="5"/>
  <c r="I240" i="5"/>
  <c r="E240" i="5"/>
  <c r="R240" i="5" s="1"/>
  <c r="Q239" i="5"/>
  <c r="M239" i="5"/>
  <c r="I239" i="5"/>
  <c r="E239" i="5"/>
  <c r="R239" i="5" s="1"/>
  <c r="Q238" i="5"/>
  <c r="M238" i="5"/>
  <c r="I238" i="5"/>
  <c r="E238" i="5"/>
  <c r="R238" i="5" s="1"/>
  <c r="Q237" i="5"/>
  <c r="M237" i="5"/>
  <c r="I237" i="5"/>
  <c r="E237" i="5"/>
  <c r="R237" i="5" s="1"/>
  <c r="R236" i="5"/>
  <c r="Q236" i="5"/>
  <c r="M236" i="5"/>
  <c r="I236" i="5"/>
  <c r="E236" i="5"/>
  <c r="Q235" i="5"/>
  <c r="M235" i="5"/>
  <c r="I235" i="5"/>
  <c r="R235" i="5" s="1"/>
  <c r="E235" i="5"/>
  <c r="Q234" i="5"/>
  <c r="R234" i="5" s="1"/>
  <c r="M234" i="5"/>
  <c r="I234" i="5"/>
  <c r="E234" i="5"/>
  <c r="R233" i="5"/>
  <c r="Q233" i="5"/>
  <c r="M233" i="5"/>
  <c r="I233" i="5"/>
  <c r="E233" i="5"/>
  <c r="Q232" i="5"/>
  <c r="M232" i="5"/>
  <c r="I232" i="5"/>
  <c r="E232" i="5"/>
  <c r="R232" i="5" s="1"/>
  <c r="Q231" i="5"/>
  <c r="M231" i="5"/>
  <c r="I231" i="5"/>
  <c r="E231" i="5"/>
  <c r="R231" i="5" s="1"/>
  <c r="Q230" i="5"/>
  <c r="M230" i="5"/>
  <c r="I230" i="5"/>
  <c r="E230" i="5"/>
  <c r="R230" i="5" s="1"/>
  <c r="Q229" i="5"/>
  <c r="M229" i="5"/>
  <c r="I229" i="5"/>
  <c r="E229" i="5"/>
  <c r="R229" i="5" s="1"/>
  <c r="R228" i="5"/>
  <c r="Q228" i="5"/>
  <c r="M228" i="5"/>
  <c r="I228" i="5"/>
  <c r="E228" i="5"/>
  <c r="Q227" i="5"/>
  <c r="M227" i="5"/>
  <c r="I227" i="5"/>
  <c r="R227" i="5" s="1"/>
  <c r="E227" i="5"/>
  <c r="Q226" i="5"/>
  <c r="R226" i="5" s="1"/>
  <c r="M226" i="5"/>
  <c r="I226" i="5"/>
  <c r="E226" i="5"/>
  <c r="R225" i="5"/>
  <c r="Q225" i="5"/>
  <c r="M225" i="5"/>
  <c r="I225" i="5"/>
  <c r="E225" i="5"/>
  <c r="Q224" i="5"/>
  <c r="M224" i="5"/>
  <c r="I224" i="5"/>
  <c r="E224" i="5"/>
  <c r="R224" i="5" s="1"/>
  <c r="Q223" i="5"/>
  <c r="M223" i="5"/>
  <c r="I223" i="5"/>
  <c r="E223" i="5"/>
  <c r="R223" i="5" s="1"/>
  <c r="Q222" i="5"/>
  <c r="M222" i="5"/>
  <c r="I222" i="5"/>
  <c r="E222" i="5"/>
  <c r="R222" i="5" s="1"/>
  <c r="Q221" i="5"/>
  <c r="M221" i="5"/>
  <c r="I221" i="5"/>
  <c r="E221" i="5"/>
  <c r="R221" i="5" s="1"/>
  <c r="R220" i="5"/>
  <c r="Q220" i="5"/>
  <c r="M220" i="5"/>
  <c r="I220" i="5"/>
  <c r="E220" i="5"/>
  <c r="Q219" i="5"/>
  <c r="M219" i="5"/>
  <c r="I219" i="5"/>
  <c r="R219" i="5" s="1"/>
  <c r="E219" i="5"/>
  <c r="Q215" i="5"/>
  <c r="P215" i="5"/>
  <c r="O215" i="5"/>
  <c r="N215" i="5"/>
  <c r="M215" i="5"/>
  <c r="L215" i="5"/>
  <c r="K215" i="5"/>
  <c r="J215" i="5"/>
  <c r="I215" i="5"/>
  <c r="D215" i="5"/>
  <c r="C215" i="5"/>
  <c r="B215" i="5"/>
  <c r="E215" i="5" s="1"/>
  <c r="R215" i="5" s="1"/>
  <c r="R213" i="5"/>
  <c r="Q213" i="5"/>
  <c r="M213" i="5"/>
  <c r="I213" i="5"/>
  <c r="E213" i="5"/>
  <c r="Q212" i="5"/>
  <c r="M212" i="5"/>
  <c r="I212" i="5"/>
  <c r="R212" i="5" s="1"/>
  <c r="E212" i="5"/>
  <c r="Q206" i="5"/>
  <c r="M206" i="5"/>
  <c r="I206" i="5"/>
  <c r="E206" i="5"/>
  <c r="R206" i="5" s="1"/>
  <c r="R205" i="5"/>
  <c r="Q205" i="5"/>
  <c r="M205" i="5"/>
  <c r="I205" i="5"/>
  <c r="E205" i="5"/>
  <c r="Q204" i="5"/>
  <c r="M204" i="5"/>
  <c r="I204" i="5"/>
  <c r="R204" i="5" s="1"/>
  <c r="E204" i="5"/>
  <c r="Q202" i="5"/>
  <c r="R202" i="5" s="1"/>
  <c r="M202" i="5"/>
  <c r="I202" i="5"/>
  <c r="E202" i="5"/>
  <c r="R201" i="5"/>
  <c r="Q201" i="5"/>
  <c r="M201" i="5"/>
  <c r="I201" i="5"/>
  <c r="E201" i="5"/>
  <c r="Q200" i="5"/>
  <c r="M200" i="5"/>
  <c r="I200" i="5"/>
  <c r="E200" i="5"/>
  <c r="R200" i="5" s="1"/>
  <c r="Q199" i="5"/>
  <c r="M199" i="5"/>
  <c r="I199" i="5"/>
  <c r="E199" i="5"/>
  <c r="R199" i="5" s="1"/>
  <c r="Q198" i="5"/>
  <c r="M198" i="5"/>
  <c r="I198" i="5"/>
  <c r="E198" i="5"/>
  <c r="R198" i="5" s="1"/>
  <c r="Q197" i="5"/>
  <c r="M197" i="5"/>
  <c r="I197" i="5"/>
  <c r="E197" i="5"/>
  <c r="R197" i="5" s="1"/>
  <c r="R196" i="5"/>
  <c r="Q196" i="5"/>
  <c r="M196" i="5"/>
  <c r="I196" i="5"/>
  <c r="E196" i="5"/>
  <c r="Q195" i="5"/>
  <c r="M195" i="5"/>
  <c r="I195" i="5"/>
  <c r="R195" i="5" s="1"/>
  <c r="E195" i="5"/>
  <c r="Q194" i="5"/>
  <c r="R194" i="5" s="1"/>
  <c r="M194" i="5"/>
  <c r="I194" i="5"/>
  <c r="E194" i="5"/>
  <c r="R193" i="5"/>
  <c r="Q193" i="5"/>
  <c r="M193" i="5"/>
  <c r="I193" i="5"/>
  <c r="E193" i="5"/>
  <c r="Q191" i="5"/>
  <c r="M191" i="5"/>
  <c r="I191" i="5"/>
  <c r="E191" i="5"/>
  <c r="R191" i="5" s="1"/>
  <c r="Q190" i="5"/>
  <c r="R190" i="5" s="1"/>
  <c r="M190" i="5"/>
  <c r="I190" i="5"/>
  <c r="E190" i="5"/>
  <c r="R189" i="5"/>
  <c r="Q189" i="5"/>
  <c r="M189" i="5"/>
  <c r="I189" i="5"/>
  <c r="E189" i="5"/>
  <c r="Q188" i="5"/>
  <c r="M188" i="5"/>
  <c r="I188" i="5"/>
  <c r="E188" i="5"/>
  <c r="R188" i="5" s="1"/>
  <c r="Q187" i="5"/>
  <c r="M187" i="5"/>
  <c r="I187" i="5"/>
  <c r="E187" i="5"/>
  <c r="R187" i="5" s="1"/>
  <c r="Q186" i="5"/>
  <c r="M186" i="5"/>
  <c r="I186" i="5"/>
  <c r="E186" i="5"/>
  <c r="R186" i="5" s="1"/>
  <c r="N185" i="5"/>
  <c r="Q185" i="5" s="1"/>
  <c r="L185" i="5"/>
  <c r="K185" i="5"/>
  <c r="J185" i="5"/>
  <c r="M185" i="5" s="1"/>
  <c r="H185" i="5"/>
  <c r="I185" i="5" s="1"/>
  <c r="R185" i="5" s="1"/>
  <c r="E185" i="5"/>
  <c r="P184" i="5"/>
  <c r="O184" i="5"/>
  <c r="N184" i="5"/>
  <c r="Q184" i="5" s="1"/>
  <c r="L184" i="5"/>
  <c r="M184" i="5" s="1"/>
  <c r="K184" i="5"/>
  <c r="J184" i="5"/>
  <c r="H184" i="5"/>
  <c r="I184" i="5" s="1"/>
  <c r="E184" i="5"/>
  <c r="R184" i="5" s="1"/>
  <c r="Q183" i="5"/>
  <c r="M183" i="5"/>
  <c r="I183" i="5"/>
  <c r="E183" i="5"/>
  <c r="R183" i="5" s="1"/>
  <c r="Q182" i="5"/>
  <c r="M182" i="5"/>
  <c r="J182" i="5"/>
  <c r="H182" i="5"/>
  <c r="I182" i="5" s="1"/>
  <c r="G182" i="5"/>
  <c r="F182" i="5"/>
  <c r="D182" i="5"/>
  <c r="C182" i="5"/>
  <c r="E182" i="5" s="1"/>
  <c r="P181" i="5"/>
  <c r="Q181" i="5" s="1"/>
  <c r="O181" i="5"/>
  <c r="N181" i="5"/>
  <c r="L181" i="5"/>
  <c r="K181" i="5"/>
  <c r="J181" i="5"/>
  <c r="M181" i="5" s="1"/>
  <c r="H181" i="5"/>
  <c r="I181" i="5" s="1"/>
  <c r="G181" i="5"/>
  <c r="F181" i="5"/>
  <c r="D181" i="5"/>
  <c r="C181" i="5"/>
  <c r="B181" i="5"/>
  <c r="E181" i="5" s="1"/>
  <c r="Q180" i="5"/>
  <c r="R180" i="5" s="1"/>
  <c r="M180" i="5"/>
  <c r="I180" i="5"/>
  <c r="E180" i="5"/>
  <c r="R179" i="5"/>
  <c r="Q179" i="5"/>
  <c r="M179" i="5"/>
  <c r="I179" i="5"/>
  <c r="E179" i="5"/>
  <c r="Q178" i="5"/>
  <c r="M178" i="5"/>
  <c r="I178" i="5"/>
  <c r="E178" i="5"/>
  <c r="R178" i="5" s="1"/>
  <c r="Q177" i="5"/>
  <c r="M177" i="5"/>
  <c r="I177" i="5"/>
  <c r="E177" i="5"/>
  <c r="R177" i="5" s="1"/>
  <c r="Q176" i="5"/>
  <c r="M176" i="5"/>
  <c r="I176" i="5"/>
  <c r="E176" i="5"/>
  <c r="R176" i="5" s="1"/>
  <c r="Q175" i="5"/>
  <c r="M175" i="5"/>
  <c r="I175" i="5"/>
  <c r="E175" i="5"/>
  <c r="R175" i="5" s="1"/>
  <c r="R174" i="5"/>
  <c r="Q174" i="5"/>
  <c r="M174" i="5"/>
  <c r="I174" i="5"/>
  <c r="E174" i="5"/>
  <c r="Q173" i="5"/>
  <c r="M173" i="5"/>
  <c r="I173" i="5"/>
  <c r="R173" i="5" s="1"/>
  <c r="E173" i="5"/>
  <c r="Q172" i="5"/>
  <c r="R172" i="5" s="1"/>
  <c r="M172" i="5"/>
  <c r="I172" i="5"/>
  <c r="E172" i="5"/>
  <c r="R171" i="5"/>
  <c r="Q171" i="5"/>
  <c r="M171" i="5"/>
  <c r="I171" i="5"/>
  <c r="E171" i="5"/>
  <c r="Q170" i="5"/>
  <c r="M170" i="5"/>
  <c r="I170" i="5"/>
  <c r="E170" i="5"/>
  <c r="R170" i="5" s="1"/>
  <c r="Q169" i="5"/>
  <c r="M169" i="5"/>
  <c r="I169" i="5"/>
  <c r="E169" i="5"/>
  <c r="R169" i="5" s="1"/>
  <c r="Q168" i="5"/>
  <c r="M168" i="5"/>
  <c r="I168" i="5"/>
  <c r="E168" i="5"/>
  <c r="R168" i="5" s="1"/>
  <c r="Q167" i="5"/>
  <c r="M167" i="5"/>
  <c r="I167" i="5"/>
  <c r="E167" i="5"/>
  <c r="R167" i="5" s="1"/>
  <c r="R166" i="5"/>
  <c r="Q166" i="5"/>
  <c r="M166" i="5"/>
  <c r="I166" i="5"/>
  <c r="E166" i="5"/>
  <c r="Q165" i="5"/>
  <c r="M165" i="5"/>
  <c r="I165" i="5"/>
  <c r="R165" i="5" s="1"/>
  <c r="E165" i="5"/>
  <c r="Q164" i="5"/>
  <c r="R164" i="5" s="1"/>
  <c r="M164" i="5"/>
  <c r="I164" i="5"/>
  <c r="E164" i="5"/>
  <c r="R163" i="5"/>
  <c r="Q163" i="5"/>
  <c r="M163" i="5"/>
  <c r="I163" i="5"/>
  <c r="E163" i="5"/>
  <c r="Q162" i="5"/>
  <c r="M162" i="5"/>
  <c r="I162" i="5"/>
  <c r="E162" i="5"/>
  <c r="R162" i="5" s="1"/>
  <c r="Q161" i="5"/>
  <c r="M161" i="5"/>
  <c r="I161" i="5"/>
  <c r="E161" i="5"/>
  <c r="R161" i="5" s="1"/>
  <c r="Q160" i="5"/>
  <c r="M160" i="5"/>
  <c r="I160" i="5"/>
  <c r="E160" i="5"/>
  <c r="R160" i="5" s="1"/>
  <c r="Q159" i="5"/>
  <c r="M159" i="5"/>
  <c r="I159" i="5"/>
  <c r="E159" i="5"/>
  <c r="R159" i="5" s="1"/>
  <c r="Q158" i="5"/>
  <c r="L158" i="5"/>
  <c r="L208" i="5" s="1"/>
  <c r="L302" i="5" s="1"/>
  <c r="L310" i="5" s="1"/>
  <c r="G158" i="5"/>
  <c r="I158" i="5" s="1"/>
  <c r="E158" i="5"/>
  <c r="R157" i="5"/>
  <c r="Q157" i="5"/>
  <c r="M157" i="5"/>
  <c r="I157" i="5"/>
  <c r="E157" i="5"/>
  <c r="P156" i="5"/>
  <c r="O156" i="5"/>
  <c r="O848" i="5" s="1"/>
  <c r="O854" i="5" s="1"/>
  <c r="N156" i="5"/>
  <c r="N848" i="5" s="1"/>
  <c r="L156" i="5"/>
  <c r="K156" i="5"/>
  <c r="K848" i="5" s="1"/>
  <c r="K854" i="5" s="1"/>
  <c r="J156" i="5"/>
  <c r="H156" i="5"/>
  <c r="G156" i="5"/>
  <c r="F156" i="5"/>
  <c r="I156" i="5" s="1"/>
  <c r="D156" i="5"/>
  <c r="C156" i="5"/>
  <c r="B156" i="5"/>
  <c r="B848" i="5" s="1"/>
  <c r="Q155" i="5"/>
  <c r="M155" i="5"/>
  <c r="I155" i="5"/>
  <c r="R155" i="5" s="1"/>
  <c r="E155" i="5"/>
  <c r="Q154" i="5"/>
  <c r="R154" i="5" s="1"/>
  <c r="M154" i="5"/>
  <c r="I154" i="5"/>
  <c r="E154" i="5"/>
  <c r="R153" i="5"/>
  <c r="Q153" i="5"/>
  <c r="M153" i="5"/>
  <c r="I153" i="5"/>
  <c r="E153" i="5"/>
  <c r="Q152" i="5"/>
  <c r="M152" i="5"/>
  <c r="I152" i="5"/>
  <c r="G152" i="5"/>
  <c r="G208" i="5" s="1"/>
  <c r="G302" i="5" s="1"/>
  <c r="G310" i="5" s="1"/>
  <c r="F152" i="5"/>
  <c r="F208" i="5" s="1"/>
  <c r="D152" i="5"/>
  <c r="C152" i="5"/>
  <c r="Q151" i="5"/>
  <c r="M151" i="5"/>
  <c r="I151" i="5"/>
  <c r="R151" i="5" s="1"/>
  <c r="E151" i="5"/>
  <c r="Q150" i="5"/>
  <c r="R150" i="5" s="1"/>
  <c r="M150" i="5"/>
  <c r="I150" i="5"/>
  <c r="E150" i="5"/>
  <c r="R149" i="5"/>
  <c r="Q149" i="5"/>
  <c r="M149" i="5"/>
  <c r="I149" i="5"/>
  <c r="E149" i="5"/>
  <c r="Q148" i="5"/>
  <c r="M148" i="5"/>
  <c r="I148" i="5"/>
  <c r="E148" i="5"/>
  <c r="R148" i="5" s="1"/>
  <c r="Q147" i="5"/>
  <c r="M147" i="5"/>
  <c r="I147" i="5"/>
  <c r="E147" i="5"/>
  <c r="R147" i="5" s="1"/>
  <c r="Q146" i="5"/>
  <c r="M146" i="5"/>
  <c r="I146" i="5"/>
  <c r="E146" i="5"/>
  <c r="R146" i="5" s="1"/>
  <c r="Q145" i="5"/>
  <c r="M145" i="5"/>
  <c r="I145" i="5"/>
  <c r="E145" i="5"/>
  <c r="R145" i="5" s="1"/>
  <c r="R144" i="5"/>
  <c r="Q144" i="5"/>
  <c r="M144" i="5"/>
  <c r="I144" i="5"/>
  <c r="E144" i="5"/>
  <c r="Q143" i="5"/>
  <c r="M143" i="5"/>
  <c r="I143" i="5"/>
  <c r="R143" i="5" s="1"/>
  <c r="E143" i="5"/>
  <c r="Q142" i="5"/>
  <c r="R142" i="5" s="1"/>
  <c r="M142" i="5"/>
  <c r="I142" i="5"/>
  <c r="E142" i="5"/>
  <c r="R141" i="5"/>
  <c r="Q141" i="5"/>
  <c r="M141" i="5"/>
  <c r="I141" i="5"/>
  <c r="E141" i="5"/>
  <c r="Q129" i="5"/>
  <c r="M129" i="5"/>
  <c r="I129" i="5"/>
  <c r="E129" i="5"/>
  <c r="R129" i="5" s="1"/>
  <c r="P127" i="5"/>
  <c r="O127" i="5"/>
  <c r="N127" i="5"/>
  <c r="Q127" i="5" s="1"/>
  <c r="L127" i="5"/>
  <c r="K127" i="5"/>
  <c r="J127" i="5"/>
  <c r="M127" i="5" s="1"/>
  <c r="H127" i="5"/>
  <c r="G127" i="5"/>
  <c r="F127" i="5"/>
  <c r="I127" i="5" s="1"/>
  <c r="D127" i="5"/>
  <c r="C127" i="5"/>
  <c r="B127" i="5"/>
  <c r="E127" i="5" s="1"/>
  <c r="P126" i="5"/>
  <c r="O126" i="5"/>
  <c r="N126" i="5"/>
  <c r="Q126" i="5" s="1"/>
  <c r="L126" i="5"/>
  <c r="M126" i="5" s="1"/>
  <c r="K126" i="5"/>
  <c r="J126" i="5"/>
  <c r="H126" i="5"/>
  <c r="G126" i="5"/>
  <c r="F126" i="5"/>
  <c r="I126" i="5" s="1"/>
  <c r="D126" i="5"/>
  <c r="E126" i="5" s="1"/>
  <c r="C126" i="5"/>
  <c r="B126" i="5"/>
  <c r="Q125" i="5"/>
  <c r="M125" i="5"/>
  <c r="I125" i="5"/>
  <c r="E125" i="5"/>
  <c r="R125" i="5" s="1"/>
  <c r="Q124" i="5"/>
  <c r="M124" i="5"/>
  <c r="I124" i="5"/>
  <c r="E124" i="5"/>
  <c r="R124" i="5" s="1"/>
  <c r="R122" i="5"/>
  <c r="Q122" i="5"/>
  <c r="M122" i="5"/>
  <c r="I122" i="5"/>
  <c r="E122" i="5"/>
  <c r="Q120" i="5"/>
  <c r="M120" i="5"/>
  <c r="I120" i="5"/>
  <c r="R120" i="5" s="1"/>
  <c r="E120" i="5"/>
  <c r="Q119" i="5"/>
  <c r="R119" i="5" s="1"/>
  <c r="M119" i="5"/>
  <c r="I119" i="5"/>
  <c r="E119" i="5"/>
  <c r="R117" i="5"/>
  <c r="Q117" i="5"/>
  <c r="M117" i="5"/>
  <c r="I117" i="5"/>
  <c r="E117" i="5"/>
  <c r="Q116" i="5"/>
  <c r="M116" i="5"/>
  <c r="I116" i="5"/>
  <c r="E116" i="5"/>
  <c r="R116" i="5" s="1"/>
  <c r="Q115" i="5"/>
  <c r="M115" i="5"/>
  <c r="I115" i="5"/>
  <c r="E115" i="5"/>
  <c r="R115" i="5" s="1"/>
  <c r="Q114" i="5"/>
  <c r="M114" i="5"/>
  <c r="I114" i="5"/>
  <c r="E114" i="5"/>
  <c r="R114" i="5" s="1"/>
  <c r="Q113" i="5"/>
  <c r="M113" i="5"/>
  <c r="I113" i="5"/>
  <c r="E113" i="5"/>
  <c r="R113" i="5" s="1"/>
  <c r="R112" i="5"/>
  <c r="Q112" i="5"/>
  <c r="M112" i="5"/>
  <c r="I112" i="5"/>
  <c r="E112" i="5"/>
  <c r="Q111" i="5"/>
  <c r="M111" i="5"/>
  <c r="I111" i="5"/>
  <c r="R111" i="5" s="1"/>
  <c r="E111" i="5"/>
  <c r="Q110" i="5"/>
  <c r="R110" i="5" s="1"/>
  <c r="M110" i="5"/>
  <c r="I110" i="5"/>
  <c r="E110" i="5"/>
  <c r="Q107" i="5"/>
  <c r="P107" i="5"/>
  <c r="O107" i="5"/>
  <c r="N107" i="5"/>
  <c r="L107" i="5"/>
  <c r="K107" i="5"/>
  <c r="J107" i="5"/>
  <c r="M107" i="5" s="1"/>
  <c r="I107" i="5"/>
  <c r="H107" i="5"/>
  <c r="G107" i="5"/>
  <c r="F107" i="5"/>
  <c r="D107" i="5"/>
  <c r="C107" i="5"/>
  <c r="B107" i="5"/>
  <c r="E107" i="5" s="1"/>
  <c r="R106" i="5"/>
  <c r="Q106" i="5"/>
  <c r="M106" i="5"/>
  <c r="I106" i="5"/>
  <c r="E106" i="5"/>
  <c r="Q105" i="5"/>
  <c r="M105" i="5"/>
  <c r="I105" i="5"/>
  <c r="R105" i="5" s="1"/>
  <c r="E105" i="5"/>
  <c r="Q104" i="5"/>
  <c r="R104" i="5" s="1"/>
  <c r="M104" i="5"/>
  <c r="I104" i="5"/>
  <c r="E104" i="5"/>
  <c r="R103" i="5"/>
  <c r="Q103" i="5"/>
  <c r="M103" i="5"/>
  <c r="I103" i="5"/>
  <c r="E103" i="5"/>
  <c r="Q102" i="5"/>
  <c r="M102" i="5"/>
  <c r="I102" i="5"/>
  <c r="E102" i="5"/>
  <c r="R102" i="5" s="1"/>
  <c r="Q101" i="5"/>
  <c r="M101" i="5"/>
  <c r="I101" i="5"/>
  <c r="E101" i="5"/>
  <c r="R101" i="5" s="1"/>
  <c r="Q100" i="5"/>
  <c r="M100" i="5"/>
  <c r="I100" i="5"/>
  <c r="E100" i="5"/>
  <c r="R100" i="5" s="1"/>
  <c r="P96" i="5"/>
  <c r="O96" i="5"/>
  <c r="N96" i="5"/>
  <c r="N128" i="5" s="1"/>
  <c r="K96" i="5"/>
  <c r="J96" i="5"/>
  <c r="J128" i="5" s="1"/>
  <c r="H96" i="5"/>
  <c r="G96" i="5"/>
  <c r="F96" i="5"/>
  <c r="I96" i="5" s="1"/>
  <c r="E96" i="5"/>
  <c r="D96" i="5"/>
  <c r="C96" i="5"/>
  <c r="B96" i="5"/>
  <c r="B128" i="5" s="1"/>
  <c r="Q94" i="5"/>
  <c r="N94" i="5"/>
  <c r="N857" i="5" s="1"/>
  <c r="Q857" i="5" s="1"/>
  <c r="M94" i="5"/>
  <c r="L94" i="5"/>
  <c r="L857" i="5" s="1"/>
  <c r="K94" i="5"/>
  <c r="I94" i="5"/>
  <c r="E94" i="5"/>
  <c r="R94" i="5" s="1"/>
  <c r="Q93" i="5"/>
  <c r="M93" i="5"/>
  <c r="I93" i="5"/>
  <c r="E93" i="5"/>
  <c r="R93" i="5" s="1"/>
  <c r="P89" i="5"/>
  <c r="Q89" i="5" s="1"/>
  <c r="O89" i="5"/>
  <c r="O128" i="5" s="1"/>
  <c r="O131" i="5" s="1"/>
  <c r="N89" i="5"/>
  <c r="L89" i="5"/>
  <c r="K89" i="5"/>
  <c r="K128" i="5" s="1"/>
  <c r="K131" i="5" s="1"/>
  <c r="J89" i="5"/>
  <c r="H89" i="5"/>
  <c r="I89" i="5" s="1"/>
  <c r="G89" i="5"/>
  <c r="G128" i="5" s="1"/>
  <c r="G131" i="5" s="1"/>
  <c r="F89" i="5"/>
  <c r="D89" i="5"/>
  <c r="D128" i="5" s="1"/>
  <c r="D131" i="5" s="1"/>
  <c r="C89" i="5"/>
  <c r="C128" i="5" s="1"/>
  <c r="C131" i="5" s="1"/>
  <c r="B89" i="5"/>
  <c r="Q87" i="5"/>
  <c r="R87" i="5" s="1"/>
  <c r="M87" i="5"/>
  <c r="I87" i="5"/>
  <c r="E87" i="5"/>
  <c r="R86" i="5"/>
  <c r="Q86" i="5"/>
  <c r="M86" i="5"/>
  <c r="I86" i="5"/>
  <c r="E86" i="5"/>
  <c r="Q84" i="5"/>
  <c r="M84" i="5"/>
  <c r="I84" i="5"/>
  <c r="E84" i="5"/>
  <c r="R84" i="5" s="1"/>
  <c r="Q82" i="5"/>
  <c r="R82" i="5" s="1"/>
  <c r="M82" i="5"/>
  <c r="I82" i="5"/>
  <c r="E82" i="5"/>
  <c r="R81" i="5"/>
  <c r="Q81" i="5"/>
  <c r="M81" i="5"/>
  <c r="I81" i="5"/>
  <c r="E81" i="5"/>
  <c r="Q80" i="5"/>
  <c r="M80" i="5"/>
  <c r="I80" i="5"/>
  <c r="E80" i="5"/>
  <c r="R80" i="5" s="1"/>
  <c r="Q79" i="5"/>
  <c r="M79" i="5"/>
  <c r="I79" i="5"/>
  <c r="E79" i="5"/>
  <c r="R79" i="5" s="1"/>
  <c r="Q78" i="5"/>
  <c r="M78" i="5"/>
  <c r="I78" i="5"/>
  <c r="E78" i="5"/>
  <c r="R78" i="5" s="1"/>
  <c r="Q77" i="5"/>
  <c r="M77" i="5"/>
  <c r="I77" i="5"/>
  <c r="E77" i="5"/>
  <c r="R77" i="5" s="1"/>
  <c r="R76" i="5"/>
  <c r="Q76" i="5"/>
  <c r="M76" i="5"/>
  <c r="I76" i="5"/>
  <c r="E76" i="5"/>
  <c r="Q75" i="5"/>
  <c r="M75" i="5"/>
  <c r="I75" i="5"/>
  <c r="R75" i="5" s="1"/>
  <c r="E75" i="5"/>
  <c r="Q74" i="5"/>
  <c r="R74" i="5" s="1"/>
  <c r="M74" i="5"/>
  <c r="I74" i="5"/>
  <c r="E74" i="5"/>
  <c r="R73" i="5"/>
  <c r="Q73" i="5"/>
  <c r="M73" i="5"/>
  <c r="I73" i="5"/>
  <c r="E73" i="5"/>
  <c r="Q72" i="5"/>
  <c r="M72" i="5"/>
  <c r="I72" i="5"/>
  <c r="E72" i="5"/>
  <c r="R72" i="5" s="1"/>
  <c r="Q60" i="5"/>
  <c r="M60" i="5"/>
  <c r="I60" i="5"/>
  <c r="E60" i="5"/>
  <c r="R60" i="5" s="1"/>
  <c r="P58" i="5"/>
  <c r="Q58" i="5" s="1"/>
  <c r="O58" i="5"/>
  <c r="N58" i="5"/>
  <c r="L58" i="5"/>
  <c r="K58" i="5"/>
  <c r="J58" i="5"/>
  <c r="M58" i="5" s="1"/>
  <c r="H58" i="5"/>
  <c r="I58" i="5" s="1"/>
  <c r="G58" i="5"/>
  <c r="F58" i="5"/>
  <c r="D58" i="5"/>
  <c r="C58" i="5"/>
  <c r="B58" i="5"/>
  <c r="E58" i="5" s="1"/>
  <c r="Q57" i="5"/>
  <c r="P57" i="5"/>
  <c r="O57" i="5"/>
  <c r="N57" i="5"/>
  <c r="M57" i="5"/>
  <c r="L57" i="5"/>
  <c r="K57" i="5"/>
  <c r="J57" i="5"/>
  <c r="I57" i="5"/>
  <c r="H57" i="5"/>
  <c r="G57" i="5"/>
  <c r="F57" i="5"/>
  <c r="E57" i="5"/>
  <c r="R57" i="5" s="1"/>
  <c r="D57" i="5"/>
  <c r="C57" i="5"/>
  <c r="B57" i="5"/>
  <c r="Q54" i="5"/>
  <c r="M54" i="5"/>
  <c r="I54" i="5"/>
  <c r="E54" i="5"/>
  <c r="R54" i="5" s="1"/>
  <c r="P50" i="5"/>
  <c r="O50" i="5"/>
  <c r="O59" i="5" s="1"/>
  <c r="O62" i="5" s="1"/>
  <c r="N50" i="5"/>
  <c r="Q50" i="5" s="1"/>
  <c r="L50" i="5"/>
  <c r="K50" i="5"/>
  <c r="K59" i="5" s="1"/>
  <c r="K62" i="5" s="1"/>
  <c r="J50" i="5"/>
  <c r="J59" i="5" s="1"/>
  <c r="H50" i="5"/>
  <c r="G50" i="5"/>
  <c r="G59" i="5" s="1"/>
  <c r="G62" i="5" s="1"/>
  <c r="F50" i="5"/>
  <c r="I50" i="5" s="1"/>
  <c r="D50" i="5"/>
  <c r="C50" i="5"/>
  <c r="C59" i="5" s="1"/>
  <c r="C62" i="5" s="1"/>
  <c r="B50" i="5"/>
  <c r="B59" i="5" s="1"/>
  <c r="P46" i="5"/>
  <c r="P59" i="5" s="1"/>
  <c r="P62" i="5" s="1"/>
  <c r="O46" i="5"/>
  <c r="N46" i="5"/>
  <c r="L46" i="5"/>
  <c r="K46" i="5"/>
  <c r="J46" i="5"/>
  <c r="M46" i="5" s="1"/>
  <c r="H46" i="5"/>
  <c r="H59" i="5" s="1"/>
  <c r="H62" i="5" s="1"/>
  <c r="G46" i="5"/>
  <c r="F46" i="5"/>
  <c r="D46" i="5"/>
  <c r="C46" i="5"/>
  <c r="B46" i="5"/>
  <c r="E46" i="5" s="1"/>
  <c r="Q41" i="5"/>
  <c r="P41" i="5"/>
  <c r="O41" i="5"/>
  <c r="N41" i="5"/>
  <c r="N59" i="5" s="1"/>
  <c r="M41" i="5"/>
  <c r="L41" i="5"/>
  <c r="L59" i="5" s="1"/>
  <c r="L62" i="5" s="1"/>
  <c r="K41" i="5"/>
  <c r="J41" i="5"/>
  <c r="I41" i="5"/>
  <c r="H41" i="5"/>
  <c r="G41" i="5"/>
  <c r="F41" i="5"/>
  <c r="F59" i="5" s="1"/>
  <c r="E41" i="5"/>
  <c r="R41" i="5" s="1"/>
  <c r="D41" i="5"/>
  <c r="D59" i="5" s="1"/>
  <c r="D62" i="5" s="1"/>
  <c r="C41" i="5"/>
  <c r="B41" i="5"/>
  <c r="Q38" i="5"/>
  <c r="M38" i="5"/>
  <c r="I38" i="5"/>
  <c r="E38" i="5"/>
  <c r="R38" i="5" s="1"/>
  <c r="P27" i="5"/>
  <c r="Q27" i="5" s="1"/>
  <c r="O27" i="5"/>
  <c r="N27" i="5"/>
  <c r="L27" i="5"/>
  <c r="K27" i="5"/>
  <c r="J27" i="5"/>
  <c r="H27" i="5"/>
  <c r="I27" i="5" s="1"/>
  <c r="G27" i="5"/>
  <c r="F27" i="5"/>
  <c r="D27" i="5"/>
  <c r="C27" i="5"/>
  <c r="B27" i="5"/>
  <c r="Q25" i="5"/>
  <c r="R25" i="5" s="1"/>
  <c r="M25" i="5"/>
  <c r="I25" i="5"/>
  <c r="E25" i="5"/>
  <c r="P18" i="5"/>
  <c r="Q18" i="5" s="1"/>
  <c r="O18" i="5"/>
  <c r="N18" i="5"/>
  <c r="L18" i="5"/>
  <c r="K18" i="5"/>
  <c r="J18" i="5"/>
  <c r="M18" i="5" s="1"/>
  <c r="H18" i="5"/>
  <c r="I18" i="5" s="1"/>
  <c r="G18" i="5"/>
  <c r="F18" i="5"/>
  <c r="D18" i="5"/>
  <c r="C18" i="5"/>
  <c r="B18" i="5"/>
  <c r="E18" i="5" s="1"/>
  <c r="R18" i="5" s="1"/>
  <c r="Q17" i="5"/>
  <c r="P17" i="5"/>
  <c r="O17" i="5"/>
  <c r="N17" i="5"/>
  <c r="M17" i="5"/>
  <c r="L17" i="5"/>
  <c r="K17" i="5"/>
  <c r="J17" i="5"/>
  <c r="I17" i="5"/>
  <c r="H17" i="5"/>
  <c r="G17" i="5"/>
  <c r="F17" i="5"/>
  <c r="E17" i="5"/>
  <c r="R17" i="5" s="1"/>
  <c r="D17" i="5"/>
  <c r="C17" i="5"/>
  <c r="B17" i="5"/>
  <c r="P16" i="5"/>
  <c r="O16" i="5"/>
  <c r="N16" i="5"/>
  <c r="Q16" i="5" s="1"/>
  <c r="M16" i="5"/>
  <c r="L16" i="5"/>
  <c r="K16" i="5"/>
  <c r="J16" i="5"/>
  <c r="H16" i="5"/>
  <c r="G16" i="5"/>
  <c r="F16" i="5"/>
  <c r="I16" i="5" s="1"/>
  <c r="E16" i="5"/>
  <c r="R16" i="5" s="1"/>
  <c r="D16" i="5"/>
  <c r="C16" i="5"/>
  <c r="B16" i="5"/>
  <c r="P15" i="5"/>
  <c r="O15" i="5"/>
  <c r="N15" i="5"/>
  <c r="Q15" i="5" s="1"/>
  <c r="L15" i="5"/>
  <c r="K15" i="5"/>
  <c r="J15" i="5"/>
  <c r="M15" i="5" s="1"/>
  <c r="H15" i="5"/>
  <c r="G15" i="5"/>
  <c r="F15" i="5"/>
  <c r="I15" i="5" s="1"/>
  <c r="D15" i="5"/>
  <c r="C15" i="5"/>
  <c r="B15" i="5"/>
  <c r="E15" i="5" s="1"/>
  <c r="P14" i="5"/>
  <c r="O14" i="5"/>
  <c r="N14" i="5"/>
  <c r="Q14" i="5" s="1"/>
  <c r="L14" i="5"/>
  <c r="M14" i="5" s="1"/>
  <c r="K14" i="5"/>
  <c r="J14" i="5"/>
  <c r="H14" i="5"/>
  <c r="G14" i="5"/>
  <c r="F14" i="5"/>
  <c r="I14" i="5" s="1"/>
  <c r="D14" i="5"/>
  <c r="E14" i="5" s="1"/>
  <c r="C14" i="5"/>
  <c r="B14" i="5"/>
  <c r="N748" i="5"/>
  <c r="K650" i="5"/>
  <c r="D576" i="5"/>
  <c r="C322" i="5"/>
  <c r="AP901" i="5" s="1"/>
  <c r="B28" i="5"/>
  <c r="R1" i="5"/>
  <c r="K28" i="5" l="1"/>
  <c r="L28" i="5"/>
  <c r="O28" i="5"/>
  <c r="F28" i="5"/>
  <c r="G28" i="5"/>
  <c r="C28" i="5"/>
  <c r="N28" i="5"/>
  <c r="I59" i="5"/>
  <c r="F62" i="5"/>
  <c r="Q59" i="5"/>
  <c r="N62" i="5"/>
  <c r="B62" i="5"/>
  <c r="E59" i="5"/>
  <c r="R58" i="5"/>
  <c r="S82" i="5"/>
  <c r="G132" i="5"/>
  <c r="G311" i="5"/>
  <c r="L531" i="5"/>
  <c r="C63" i="5"/>
  <c r="K132" i="5"/>
  <c r="D531" i="5"/>
  <c r="G63" i="5"/>
  <c r="N131" i="5"/>
  <c r="L311" i="5"/>
  <c r="C475" i="5"/>
  <c r="C480" i="5" s="1"/>
  <c r="E128" i="5"/>
  <c r="B131" i="5"/>
  <c r="L128" i="5"/>
  <c r="L131" i="5" s="1"/>
  <c r="R126" i="5"/>
  <c r="R14" i="5"/>
  <c r="C132" i="5"/>
  <c r="R107" i="5"/>
  <c r="K576" i="5"/>
  <c r="L63" i="5"/>
  <c r="D132" i="5"/>
  <c r="R127" i="5"/>
  <c r="H63" i="5"/>
  <c r="O63" i="5"/>
  <c r="M128" i="5"/>
  <c r="J131" i="5"/>
  <c r="R181" i="5"/>
  <c r="D63" i="5"/>
  <c r="J62" i="5"/>
  <c r="M59" i="5"/>
  <c r="O132" i="5"/>
  <c r="R15" i="5"/>
  <c r="P63" i="5"/>
  <c r="K63" i="5"/>
  <c r="R182" i="5"/>
  <c r="F128" i="5"/>
  <c r="L576" i="5"/>
  <c r="C576" i="5"/>
  <c r="K686" i="5"/>
  <c r="I1027" i="5"/>
  <c r="N1027" i="5"/>
  <c r="K1027" i="5"/>
  <c r="L1027" i="5"/>
  <c r="J1027" i="5"/>
  <c r="H1027" i="5"/>
  <c r="E27" i="5"/>
  <c r="M27" i="5"/>
  <c r="D28" i="5"/>
  <c r="E89" i="5"/>
  <c r="R89" i="5" s="1"/>
  <c r="M89" i="5"/>
  <c r="H848" i="5"/>
  <c r="H854" i="5" s="1"/>
  <c r="P848" i="5"/>
  <c r="P854" i="5" s="1"/>
  <c r="N208" i="5"/>
  <c r="R247" i="5"/>
  <c r="R273" i="5"/>
  <c r="R290" i="5"/>
  <c r="E301" i="5"/>
  <c r="R304" i="5"/>
  <c r="F322" i="5"/>
  <c r="AP903" i="5" s="1"/>
  <c r="R334" i="5"/>
  <c r="R343" i="5"/>
  <c r="R370" i="5"/>
  <c r="AB384" i="5"/>
  <c r="AD384" i="5" s="1"/>
  <c r="B857" i="5"/>
  <c r="E385" i="5"/>
  <c r="R385" i="5" s="1"/>
  <c r="B392" i="5"/>
  <c r="R438" i="5"/>
  <c r="R459" i="5"/>
  <c r="R500" i="5"/>
  <c r="R543" i="5"/>
  <c r="R558" i="5"/>
  <c r="R570" i="5"/>
  <c r="D640" i="5"/>
  <c r="Q617" i="5"/>
  <c r="K640" i="5"/>
  <c r="E737" i="5"/>
  <c r="B738" i="5"/>
  <c r="L734" i="5"/>
  <c r="L737" i="5" s="1"/>
  <c r="M704" i="5"/>
  <c r="D832" i="5"/>
  <c r="D831" i="5"/>
  <c r="R554" i="5"/>
  <c r="L640" i="5"/>
  <c r="R1108" i="5"/>
  <c r="R1063" i="5"/>
  <c r="R1038" i="5"/>
  <c r="AS950" i="5"/>
  <c r="R984" i="5"/>
  <c r="R955" i="5"/>
  <c r="AS985" i="5"/>
  <c r="AT923" i="5"/>
  <c r="R929" i="5"/>
  <c r="R876" i="5"/>
  <c r="AT891" i="5"/>
  <c r="R900" i="5"/>
  <c r="R835" i="5"/>
  <c r="K1028" i="5"/>
  <c r="I1028" i="5"/>
  <c r="N1028" i="5"/>
  <c r="H1028" i="5"/>
  <c r="L1028" i="5"/>
  <c r="J1028" i="5"/>
  <c r="K322" i="5"/>
  <c r="AP907" i="5" s="1"/>
  <c r="P28" i="5"/>
  <c r="E50" i="5"/>
  <c r="M50" i="5"/>
  <c r="H128" i="5"/>
  <c r="H131" i="5" s="1"/>
  <c r="P128" i="5"/>
  <c r="P131" i="5" s="1"/>
  <c r="Q156" i="5"/>
  <c r="O208" i="5"/>
  <c r="O302" i="5" s="1"/>
  <c r="O310" i="5" s="1"/>
  <c r="R257" i="5"/>
  <c r="R275" i="5"/>
  <c r="R294" i="5"/>
  <c r="Q301" i="5"/>
  <c r="R308" i="5"/>
  <c r="G322" i="5"/>
  <c r="AP904" i="5" s="1"/>
  <c r="P322" i="5"/>
  <c r="AP911" i="5" s="1"/>
  <c r="H475" i="5"/>
  <c r="H480" i="5" s="1"/>
  <c r="E336" i="5"/>
  <c r="R336" i="5" s="1"/>
  <c r="R345" i="5"/>
  <c r="R353" i="5"/>
  <c r="R363" i="5"/>
  <c r="B378" i="5"/>
  <c r="Z385" i="5"/>
  <c r="R403" i="5"/>
  <c r="R419" i="5"/>
  <c r="R446" i="5"/>
  <c r="R468" i="5"/>
  <c r="R498" i="5"/>
  <c r="G531" i="5"/>
  <c r="R509" i="5"/>
  <c r="O572" i="5"/>
  <c r="O575" i="5" s="1"/>
  <c r="R567" i="5"/>
  <c r="M571" i="5"/>
  <c r="R571" i="5" s="1"/>
  <c r="R588" i="5"/>
  <c r="C738" i="5"/>
  <c r="N738" i="5"/>
  <c r="R722" i="5"/>
  <c r="G748" i="5"/>
  <c r="O888" i="5"/>
  <c r="O873" i="5"/>
  <c r="D322" i="5"/>
  <c r="AP902" i="5" s="1"/>
  <c r="E321" i="5"/>
  <c r="O531" i="5"/>
  <c r="B575" i="5"/>
  <c r="E572" i="5"/>
  <c r="C640" i="5"/>
  <c r="D738" i="5"/>
  <c r="B781" i="5"/>
  <c r="C832" i="5"/>
  <c r="C831" i="5"/>
  <c r="N1021" i="5"/>
  <c r="K1021" i="5"/>
  <c r="L1021" i="5"/>
  <c r="H1021" i="5"/>
  <c r="I1021" i="5"/>
  <c r="G938" i="5"/>
  <c r="F938" i="5"/>
  <c r="B748" i="5"/>
  <c r="I1029" i="5"/>
  <c r="L1029" i="5"/>
  <c r="N1029" i="5"/>
  <c r="H1029" i="5"/>
  <c r="K1029" i="5"/>
  <c r="L650" i="5"/>
  <c r="Q96" i="5"/>
  <c r="C848" i="5"/>
  <c r="C854" i="5" s="1"/>
  <c r="B854" i="5"/>
  <c r="E848" i="5"/>
  <c r="J848" i="5"/>
  <c r="H208" i="5"/>
  <c r="H302" i="5" s="1"/>
  <c r="H310" i="5" s="1"/>
  <c r="P208" i="5"/>
  <c r="P302" i="5" s="1"/>
  <c r="P310" i="5" s="1"/>
  <c r="R254" i="5"/>
  <c r="R261" i="5"/>
  <c r="R270" i="5"/>
  <c r="M281" i="5"/>
  <c r="R286" i="5"/>
  <c r="Q351" i="5"/>
  <c r="R351" i="5" s="1"/>
  <c r="R375" i="5"/>
  <c r="R384" i="5"/>
  <c r="AH384" i="5"/>
  <c r="L861" i="5"/>
  <c r="L863" i="5" s="1"/>
  <c r="L892" i="5" s="1"/>
  <c r="L448" i="5"/>
  <c r="L475" i="5" s="1"/>
  <c r="L480" i="5" s="1"/>
  <c r="R411" i="5"/>
  <c r="R427" i="5"/>
  <c r="H531" i="5"/>
  <c r="R515" i="5"/>
  <c r="R526" i="5"/>
  <c r="R540" i="5"/>
  <c r="P576" i="5"/>
  <c r="R596" i="5"/>
  <c r="O640" i="5"/>
  <c r="I617" i="5"/>
  <c r="R617" i="5" s="1"/>
  <c r="P916" i="5"/>
  <c r="K784" i="5"/>
  <c r="D848" i="5"/>
  <c r="D854" i="5" s="1"/>
  <c r="K888" i="5"/>
  <c r="R272" i="5"/>
  <c r="R303" i="5"/>
  <c r="D475" i="5"/>
  <c r="D480" i="5" s="1"/>
  <c r="I378" i="5"/>
  <c r="F475" i="5"/>
  <c r="M382" i="5"/>
  <c r="R382" i="5" s="1"/>
  <c r="J392" i="5"/>
  <c r="M392" i="5" s="1"/>
  <c r="F857" i="5"/>
  <c r="F392" i="5"/>
  <c r="I392" i="5" s="1"/>
  <c r="I385" i="5"/>
  <c r="M448" i="5"/>
  <c r="G576" i="5"/>
  <c r="G640" i="5"/>
  <c r="P686" i="5"/>
  <c r="P782" i="5"/>
  <c r="P783" i="5"/>
  <c r="J1021" i="5"/>
  <c r="K1026" i="5"/>
  <c r="N1026" i="5"/>
  <c r="L1026" i="5"/>
  <c r="I1026" i="5"/>
  <c r="H1026" i="5"/>
  <c r="F943" i="5"/>
  <c r="K1022" i="5"/>
  <c r="I1022" i="5"/>
  <c r="L1022" i="5"/>
  <c r="H1022" i="5"/>
  <c r="N1022" i="5"/>
  <c r="H28" i="5"/>
  <c r="I1031" i="5"/>
  <c r="L1031" i="5"/>
  <c r="K1031" i="5"/>
  <c r="H1031" i="5"/>
  <c r="N1031" i="5"/>
  <c r="O322" i="5"/>
  <c r="AP910" i="5" s="1"/>
  <c r="O686" i="5"/>
  <c r="J28" i="5"/>
  <c r="I46" i="5"/>
  <c r="R46" i="5" s="1"/>
  <c r="Q46" i="5"/>
  <c r="E152" i="5"/>
  <c r="R152" i="5" s="1"/>
  <c r="L848" i="5"/>
  <c r="L854" i="5" s="1"/>
  <c r="M158" i="5"/>
  <c r="R158" i="5" s="1"/>
  <c r="B208" i="5"/>
  <c r="J208" i="5"/>
  <c r="R246" i="5"/>
  <c r="F862" i="5"/>
  <c r="I862" i="5" s="1"/>
  <c r="F281" i="5"/>
  <c r="I281" i="5" s="1"/>
  <c r="I249" i="5"/>
  <c r="R249" i="5" s="1"/>
  <c r="R277" i="5"/>
  <c r="H322" i="5"/>
  <c r="AP905" i="5" s="1"/>
  <c r="O481" i="5"/>
  <c r="R331" i="5"/>
  <c r="R342" i="5"/>
  <c r="S358" i="5" s="1"/>
  <c r="R371" i="5"/>
  <c r="J378" i="5"/>
  <c r="G857" i="5"/>
  <c r="G392" i="5"/>
  <c r="D861" i="5"/>
  <c r="D863" i="5" s="1"/>
  <c r="D892" i="5" s="1"/>
  <c r="D448" i="5"/>
  <c r="E448" i="5" s="1"/>
  <c r="R448" i="5" s="1"/>
  <c r="R443" i="5"/>
  <c r="R453" i="5"/>
  <c r="K531" i="5"/>
  <c r="H576" i="5"/>
  <c r="R605" i="5"/>
  <c r="R616" i="5"/>
  <c r="R623" i="5"/>
  <c r="H686" i="5"/>
  <c r="G686" i="5"/>
  <c r="C784" i="5"/>
  <c r="P910" i="5"/>
  <c r="K1030" i="5"/>
  <c r="I1030" i="5"/>
  <c r="N1030" i="5"/>
  <c r="L1030" i="5"/>
  <c r="H1030" i="5"/>
  <c r="J1030" i="5"/>
  <c r="I1023" i="5"/>
  <c r="K1023" i="5"/>
  <c r="H1023" i="5"/>
  <c r="L1023" i="5"/>
  <c r="N1023" i="5"/>
  <c r="K1024" i="5"/>
  <c r="L1024" i="5"/>
  <c r="I1024" i="5"/>
  <c r="H1024" i="5"/>
  <c r="G941" i="5"/>
  <c r="N1024" i="5"/>
  <c r="K1032" i="5"/>
  <c r="I1032" i="5"/>
  <c r="N1032" i="5"/>
  <c r="H1032" i="5"/>
  <c r="L1032" i="5"/>
  <c r="J1032" i="5"/>
  <c r="P650" i="5"/>
  <c r="L96" i="5"/>
  <c r="M96" i="5" s="1"/>
  <c r="R96" i="5" s="1"/>
  <c r="F848" i="5"/>
  <c r="E156" i="5"/>
  <c r="R156" i="5" s="1"/>
  <c r="M156" i="5"/>
  <c r="C208" i="5"/>
  <c r="C302" i="5" s="1"/>
  <c r="C310" i="5" s="1"/>
  <c r="K208" i="5"/>
  <c r="K302" i="5" s="1"/>
  <c r="K310" i="5" s="1"/>
  <c r="R258" i="5"/>
  <c r="R265" i="5"/>
  <c r="R295" i="5"/>
  <c r="B322" i="5"/>
  <c r="AP900" i="5" s="1"/>
  <c r="J322" i="5"/>
  <c r="AP906" i="5" s="1"/>
  <c r="P378" i="5"/>
  <c r="G475" i="5"/>
  <c r="G480" i="5" s="1"/>
  <c r="R362" i="5"/>
  <c r="K378" i="5"/>
  <c r="K475" i="5" s="1"/>
  <c r="K480" i="5" s="1"/>
  <c r="Z384" i="5"/>
  <c r="AH385" i="5"/>
  <c r="R398" i="5"/>
  <c r="R413" i="5"/>
  <c r="R414" i="5"/>
  <c r="R424" i="5"/>
  <c r="R463" i="5"/>
  <c r="E473" i="5"/>
  <c r="R473" i="5" s="1"/>
  <c r="B530" i="5"/>
  <c r="E527" i="5"/>
  <c r="R517" i="5"/>
  <c r="R524" i="5"/>
  <c r="J575" i="5"/>
  <c r="M572" i="5"/>
  <c r="Q559" i="5"/>
  <c r="R559" i="5" s="1"/>
  <c r="R593" i="5"/>
  <c r="F686" i="5"/>
  <c r="L748" i="5"/>
  <c r="C782" i="5"/>
  <c r="I1025" i="5"/>
  <c r="L1025" i="5"/>
  <c r="K1025" i="5"/>
  <c r="H1025" i="5"/>
  <c r="N1025" i="5"/>
  <c r="G942" i="5"/>
  <c r="G650" i="5"/>
  <c r="G848" i="5"/>
  <c r="G854" i="5" s="1"/>
  <c r="N854" i="5"/>
  <c r="Q848" i="5"/>
  <c r="D208" i="5"/>
  <c r="D302" i="5" s="1"/>
  <c r="D310" i="5" s="1"/>
  <c r="R262" i="5"/>
  <c r="T289" i="5" s="1"/>
  <c r="C281" i="5"/>
  <c r="R288" i="5"/>
  <c r="M301" i="5"/>
  <c r="M321" i="5"/>
  <c r="L322" i="5"/>
  <c r="AP908" i="5" s="1"/>
  <c r="N322" i="5"/>
  <c r="AP909" i="5" s="1"/>
  <c r="R346" i="5"/>
  <c r="R354" i="5"/>
  <c r="N378" i="5"/>
  <c r="AC385" i="5"/>
  <c r="AC386" i="5"/>
  <c r="AD386" i="5" s="1"/>
  <c r="AM386" i="5" s="1"/>
  <c r="AL384" i="5"/>
  <c r="R432" i="5"/>
  <c r="R477" i="5"/>
  <c r="C531" i="5"/>
  <c r="P531" i="5"/>
  <c r="D686" i="5"/>
  <c r="J738" i="5"/>
  <c r="O777" i="5"/>
  <c r="O781" i="5" s="1"/>
  <c r="Q765" i="5"/>
  <c r="N862" i="5"/>
  <c r="Q862" i="5" s="1"/>
  <c r="E276" i="5"/>
  <c r="R276" i="5" s="1"/>
  <c r="AD383" i="5"/>
  <c r="AM383" i="5" s="1"/>
  <c r="E396" i="5"/>
  <c r="M396" i="5"/>
  <c r="E506" i="5"/>
  <c r="M506" i="5"/>
  <c r="J857" i="5"/>
  <c r="F636" i="5"/>
  <c r="N636" i="5"/>
  <c r="E649" i="5"/>
  <c r="R649" i="5" s="1"/>
  <c r="B650" i="5"/>
  <c r="I665" i="5"/>
  <c r="Q665" i="5"/>
  <c r="E704" i="5"/>
  <c r="R713" i="5"/>
  <c r="Q722" i="5"/>
  <c r="R727" i="5"/>
  <c r="C749" i="5"/>
  <c r="L777" i="5"/>
  <c r="L781" i="5" s="1"/>
  <c r="R776" i="5"/>
  <c r="N831" i="5"/>
  <c r="R865" i="5"/>
  <c r="F894" i="5"/>
  <c r="I894" i="5" s="1"/>
  <c r="I872" i="5"/>
  <c r="B281" i="5"/>
  <c r="AA385" i="5"/>
  <c r="AD385" i="5" s="1"/>
  <c r="C392" i="5"/>
  <c r="F863" i="5"/>
  <c r="M413" i="5"/>
  <c r="K857" i="5"/>
  <c r="F527" i="5"/>
  <c r="N527" i="5"/>
  <c r="E548" i="5"/>
  <c r="R548" i="5" s="1"/>
  <c r="M548" i="5"/>
  <c r="R631" i="5"/>
  <c r="C650" i="5"/>
  <c r="N650" i="5"/>
  <c r="Q649" i="5"/>
  <c r="B685" i="5"/>
  <c r="E682" i="5"/>
  <c r="J685" i="5"/>
  <c r="I695" i="5"/>
  <c r="D748" i="5"/>
  <c r="O748" i="5"/>
  <c r="D777" i="5"/>
  <c r="D781" i="5" s="1"/>
  <c r="M761" i="5"/>
  <c r="G777" i="5"/>
  <c r="G781" i="5" s="1"/>
  <c r="I765" i="5"/>
  <c r="E769" i="5"/>
  <c r="R769" i="5" s="1"/>
  <c r="R794" i="5"/>
  <c r="I830" i="5"/>
  <c r="F831" i="5"/>
  <c r="O831" i="5"/>
  <c r="O832" i="5"/>
  <c r="R814" i="5"/>
  <c r="R821" i="5"/>
  <c r="K859" i="5"/>
  <c r="K890" i="5" s="1"/>
  <c r="M866" i="5"/>
  <c r="Q870" i="5"/>
  <c r="R870" i="5" s="1"/>
  <c r="N894" i="5"/>
  <c r="Q872" i="5"/>
  <c r="AO906" i="5"/>
  <c r="AF906" i="5"/>
  <c r="P863" i="5"/>
  <c r="P892" i="5" s="1"/>
  <c r="F572" i="5"/>
  <c r="N572" i="5"/>
  <c r="H636" i="5"/>
  <c r="H639" i="5" s="1"/>
  <c r="P636" i="5"/>
  <c r="P639" i="5" s="1"/>
  <c r="D650" i="5"/>
  <c r="O650" i="5"/>
  <c r="L682" i="5"/>
  <c r="L685" i="5" s="1"/>
  <c r="G738" i="5"/>
  <c r="P748" i="5"/>
  <c r="R761" i="5"/>
  <c r="N781" i="5"/>
  <c r="Q777" i="5"/>
  <c r="G831" i="5"/>
  <c r="G832" i="5"/>
  <c r="P827" i="5"/>
  <c r="P830" i="5" s="1"/>
  <c r="K831" i="5"/>
  <c r="K832" i="5"/>
  <c r="C859" i="5"/>
  <c r="C890" i="5" s="1"/>
  <c r="L859" i="5"/>
  <c r="L890" i="5" s="1"/>
  <c r="J871" i="5"/>
  <c r="M871" i="5" s="1"/>
  <c r="M868" i="5"/>
  <c r="H863" i="5"/>
  <c r="H892" i="5" s="1"/>
  <c r="Q396" i="5"/>
  <c r="G448" i="5"/>
  <c r="I448" i="5" s="1"/>
  <c r="M551" i="5"/>
  <c r="R551" i="5" s="1"/>
  <c r="S551" i="5" s="1"/>
  <c r="I602" i="5"/>
  <c r="R602" i="5" s="1"/>
  <c r="Q602" i="5"/>
  <c r="R626" i="5"/>
  <c r="I649" i="5"/>
  <c r="R680" i="5"/>
  <c r="I685" i="5"/>
  <c r="R700" i="5"/>
  <c r="R711" i="5"/>
  <c r="R721" i="5"/>
  <c r="H738" i="5"/>
  <c r="R757" i="5"/>
  <c r="F781" i="5"/>
  <c r="I777" i="5"/>
  <c r="H831" i="5"/>
  <c r="H832" i="5"/>
  <c r="I827" i="5"/>
  <c r="R853" i="5"/>
  <c r="D859" i="5"/>
  <c r="D890" i="5" s="1"/>
  <c r="R866" i="5"/>
  <c r="B871" i="5"/>
  <c r="E871" i="5" s="1"/>
  <c r="E868" i="5"/>
  <c r="R868" i="5" s="1"/>
  <c r="I396" i="5"/>
  <c r="H448" i="5"/>
  <c r="P448" i="5"/>
  <c r="Q448" i="5" s="1"/>
  <c r="B636" i="5"/>
  <c r="J636" i="5"/>
  <c r="R647" i="5"/>
  <c r="R659" i="5"/>
  <c r="R665" i="5"/>
  <c r="M734" i="5"/>
  <c r="R714" i="5"/>
  <c r="R728" i="5"/>
  <c r="E732" i="5"/>
  <c r="R732" i="5" s="1"/>
  <c r="H748" i="5"/>
  <c r="C748" i="5"/>
  <c r="R779" i="5"/>
  <c r="J827" i="5"/>
  <c r="R811" i="5"/>
  <c r="Q827" i="5"/>
  <c r="L831" i="5"/>
  <c r="M849" i="5"/>
  <c r="R849" i="5" s="1"/>
  <c r="Q853" i="5"/>
  <c r="R856" i="5"/>
  <c r="N859" i="5"/>
  <c r="E858" i="5"/>
  <c r="R858" i="5" s="1"/>
  <c r="I861" i="5"/>
  <c r="J872" i="5"/>
  <c r="R869" i="5"/>
  <c r="I871" i="5"/>
  <c r="E862" i="5"/>
  <c r="B863" i="5"/>
  <c r="N281" i="5"/>
  <c r="Q281" i="5" s="1"/>
  <c r="M861" i="5"/>
  <c r="J863" i="5"/>
  <c r="J511" i="5"/>
  <c r="M511" i="5" s="1"/>
  <c r="R511" i="5" s="1"/>
  <c r="F650" i="5"/>
  <c r="I682" i="5"/>
  <c r="Q682" i="5"/>
  <c r="M673" i="5"/>
  <c r="R673" i="5" s="1"/>
  <c r="N685" i="5"/>
  <c r="K734" i="5"/>
  <c r="K737" i="5" s="1"/>
  <c r="O738" i="5"/>
  <c r="M708" i="5"/>
  <c r="R708" i="5" s="1"/>
  <c r="M722" i="5"/>
  <c r="J748" i="5"/>
  <c r="E765" i="5"/>
  <c r="R765" i="5" s="1"/>
  <c r="H777" i="5"/>
  <c r="H781" i="5" s="1"/>
  <c r="B830" i="5"/>
  <c r="E827" i="5"/>
  <c r="Q815" i="5"/>
  <c r="R815" i="5" s="1"/>
  <c r="F832" i="5"/>
  <c r="F859" i="5"/>
  <c r="B872" i="5"/>
  <c r="K872" i="5"/>
  <c r="K894" i="5" s="1"/>
  <c r="M867" i="5"/>
  <c r="R867" i="5" s="1"/>
  <c r="C863" i="5"/>
  <c r="C892" i="5" s="1"/>
  <c r="E861" i="5"/>
  <c r="R632" i="5"/>
  <c r="M649" i="5"/>
  <c r="J650" i="5"/>
  <c r="C686" i="5"/>
  <c r="E734" i="5"/>
  <c r="R718" i="5"/>
  <c r="P734" i="5"/>
  <c r="K748" i="5"/>
  <c r="K749" i="5"/>
  <c r="J777" i="5"/>
  <c r="K782" i="5"/>
  <c r="L833" i="5"/>
  <c r="Q917" i="5"/>
  <c r="M825" i="5"/>
  <c r="R825" i="5" s="1"/>
  <c r="Q918" i="5"/>
  <c r="N833" i="5"/>
  <c r="G859" i="5"/>
  <c r="G890" i="5" s="1"/>
  <c r="Q861" i="5"/>
  <c r="Q871" i="5"/>
  <c r="H650" i="5"/>
  <c r="E695" i="5"/>
  <c r="M695" i="5"/>
  <c r="F704" i="5"/>
  <c r="M747" i="5"/>
  <c r="R747" i="5" s="1"/>
  <c r="O872" i="5"/>
  <c r="O894" i="5" s="1"/>
  <c r="AO909" i="5"/>
  <c r="F968" i="5"/>
  <c r="F979" i="5" s="1"/>
  <c r="AD937" i="5"/>
  <c r="AH937" i="5"/>
  <c r="AD902" i="5"/>
  <c r="F940" i="5"/>
  <c r="AG937" i="5"/>
  <c r="F748" i="5"/>
  <c r="G940" i="5"/>
  <c r="AO904" i="5"/>
  <c r="AF904" i="5"/>
  <c r="H1046" i="5"/>
  <c r="X1046" i="5" s="1"/>
  <c r="AH1001" i="5"/>
  <c r="AH966" i="5"/>
  <c r="AO910" i="5"/>
  <c r="AF910" i="5"/>
  <c r="F972" i="5"/>
  <c r="F944" i="5"/>
  <c r="AH941" i="5"/>
  <c r="AG941" i="5"/>
  <c r="AS941" i="5"/>
  <c r="AF941" i="5"/>
  <c r="AD941" i="5"/>
  <c r="AE946" i="5"/>
  <c r="AD946" i="5"/>
  <c r="F977" i="5"/>
  <c r="F949" i="5"/>
  <c r="AH946" i="5"/>
  <c r="AG946" i="5"/>
  <c r="AF946" i="5"/>
  <c r="AS946" i="5"/>
  <c r="I800" i="5"/>
  <c r="R800" i="5" s="1"/>
  <c r="Q800" i="5"/>
  <c r="I856" i="5"/>
  <c r="Q856" i="5"/>
  <c r="G966" i="5"/>
  <c r="G922" i="5"/>
  <c r="G971" i="5"/>
  <c r="G943" i="5"/>
  <c r="F976" i="5"/>
  <c r="F948" i="5"/>
  <c r="AH945" i="5"/>
  <c r="AE945" i="5"/>
  <c r="AD945" i="5"/>
  <c r="AH948" i="5"/>
  <c r="AE937" i="5"/>
  <c r="AF945" i="5"/>
  <c r="G939" i="5"/>
  <c r="G975" i="5"/>
  <c r="G947" i="5"/>
  <c r="G948" i="5"/>
  <c r="G976" i="5"/>
  <c r="AF937" i="5"/>
  <c r="AG945" i="5"/>
  <c r="AO900" i="5"/>
  <c r="F969" i="5"/>
  <c r="F941" i="5"/>
  <c r="AG938" i="5"/>
  <c r="AD903" i="5"/>
  <c r="AS938" i="5"/>
  <c r="AF938" i="5"/>
  <c r="AJ938" i="5" s="1"/>
  <c r="AE938" i="5"/>
  <c r="AS945" i="5"/>
  <c r="G967" i="5"/>
  <c r="H1051" i="5"/>
  <c r="X1051" i="5" s="1"/>
  <c r="AH971" i="5"/>
  <c r="AH1006" i="5"/>
  <c r="AO911" i="5"/>
  <c r="AF911" i="5"/>
  <c r="I1049" i="5"/>
  <c r="Y1049" i="5" s="1"/>
  <c r="G997" i="5"/>
  <c r="H1050" i="5"/>
  <c r="X1050" i="5" s="1"/>
  <c r="AH1005" i="5"/>
  <c r="AH970" i="5"/>
  <c r="G977" i="5"/>
  <c r="G949" i="5"/>
  <c r="F922" i="5"/>
  <c r="AD936" i="5"/>
  <c r="AE939" i="5"/>
  <c r="AJ939" i="5" s="1"/>
  <c r="AH940" i="5"/>
  <c r="AD943" i="5"/>
  <c r="AF944" i="5"/>
  <c r="J1023" i="5"/>
  <c r="I1050" i="5"/>
  <c r="Y1050" i="5" s="1"/>
  <c r="G998" i="5"/>
  <c r="AE936" i="5"/>
  <c r="AF939" i="5"/>
  <c r="AS939" i="5"/>
  <c r="F942" i="5"/>
  <c r="AF943" i="5"/>
  <c r="AG944" i="5"/>
  <c r="G968" i="5"/>
  <c r="G972" i="5"/>
  <c r="G944" i="5"/>
  <c r="AS942" i="5"/>
  <c r="AF942" i="5"/>
  <c r="F945" i="5"/>
  <c r="AD935" i="5"/>
  <c r="AG936" i="5"/>
  <c r="AG948" i="5" s="1"/>
  <c r="F939" i="5"/>
  <c r="AH939" i="5"/>
  <c r="AD942" i="5"/>
  <c r="G945" i="5"/>
  <c r="G973" i="5"/>
  <c r="F974" i="5"/>
  <c r="AS943" i="5"/>
  <c r="F946" i="5"/>
  <c r="AE943" i="5"/>
  <c r="AE935" i="5"/>
  <c r="AH936" i="5"/>
  <c r="AD940" i="5"/>
  <c r="AJ940" i="5" s="1"/>
  <c r="AE942" i="5"/>
  <c r="J1025" i="5"/>
  <c r="H1047" i="5"/>
  <c r="AH1002" i="5"/>
  <c r="G974" i="5"/>
  <c r="G946" i="5"/>
  <c r="F975" i="5"/>
  <c r="AE944" i="5"/>
  <c r="F947" i="5"/>
  <c r="AD944" i="5"/>
  <c r="AJ944" i="5" s="1"/>
  <c r="AH944" i="5"/>
  <c r="AF935" i="5"/>
  <c r="AS935" i="5"/>
  <c r="AG942" i="5"/>
  <c r="F973" i="5"/>
  <c r="J1022" i="5"/>
  <c r="J1026" i="5"/>
  <c r="AD1069" i="5"/>
  <c r="AD1052" i="5"/>
  <c r="AD1050" i="5"/>
  <c r="AD1048" i="5"/>
  <c r="AD1046" i="5"/>
  <c r="AD1051" i="5"/>
  <c r="AD1047" i="5"/>
  <c r="J1024" i="5"/>
  <c r="J1029" i="5"/>
  <c r="G1073" i="5"/>
  <c r="C1046" i="5" s="1"/>
  <c r="L1073" i="5"/>
  <c r="G1136" i="5"/>
  <c r="I1123" i="5"/>
  <c r="J1124" i="5" s="1"/>
  <c r="AD1066" i="5"/>
  <c r="AD1064" i="5"/>
  <c r="AD1067" i="5"/>
  <c r="AD1062" i="5"/>
  <c r="AD1060" i="5"/>
  <c r="AD1058" i="5"/>
  <c r="AD1056" i="5"/>
  <c r="AD1065" i="5"/>
  <c r="AD1063" i="5"/>
  <c r="AD1055" i="5"/>
  <c r="AD1061" i="5"/>
  <c r="AD1053" i="5"/>
  <c r="AD1057" i="5"/>
  <c r="AD1054" i="5"/>
  <c r="AD1059" i="5"/>
  <c r="J1031" i="5"/>
  <c r="M1136" i="5"/>
  <c r="N1127" i="5"/>
  <c r="Q1136" i="5"/>
  <c r="R1130" i="5"/>
  <c r="F1084" i="5"/>
  <c r="B1057" i="5" s="1"/>
  <c r="E1136" i="5"/>
  <c r="L1080" i="5"/>
  <c r="L1081" i="5"/>
  <c r="L1082" i="5"/>
  <c r="N1124" i="5"/>
  <c r="R1124" i="5"/>
  <c r="M1078" i="5"/>
  <c r="M1083" i="5"/>
  <c r="M1080" i="5"/>
  <c r="M1075" i="5"/>
  <c r="M1082" i="5"/>
  <c r="M1077" i="5"/>
  <c r="M1084" i="5"/>
  <c r="M1074" i="5"/>
  <c r="M1081" i="5"/>
  <c r="M1079" i="5"/>
  <c r="M1073" i="5"/>
  <c r="M1076" i="5"/>
  <c r="B1084" i="5" l="1"/>
  <c r="Q1084" i="5" s="1"/>
  <c r="B1080" i="5"/>
  <c r="Q1080" i="5" s="1"/>
  <c r="B1075" i="5"/>
  <c r="Q1075" i="5" s="1"/>
  <c r="B1074" i="5"/>
  <c r="Q1074" i="5" s="1"/>
  <c r="B1076" i="5"/>
  <c r="Q1076" i="5" s="1"/>
  <c r="B1073" i="5"/>
  <c r="Q1073" i="5" s="1"/>
  <c r="B1083" i="5"/>
  <c r="Q1083" i="5" s="1"/>
  <c r="B1079" i="5"/>
  <c r="Q1079" i="5" s="1"/>
  <c r="B1078" i="5"/>
  <c r="Q1078" i="5" s="1"/>
  <c r="B1082" i="5"/>
  <c r="Q1082" i="5" s="1"/>
  <c r="B1077" i="5"/>
  <c r="Q1077" i="5" s="1"/>
  <c r="B1081" i="5"/>
  <c r="Q1081" i="5" s="1"/>
  <c r="S190" i="5"/>
  <c r="L481" i="5"/>
  <c r="B892" i="5"/>
  <c r="E892" i="5" s="1"/>
  <c r="E863" i="5"/>
  <c r="G481" i="5"/>
  <c r="P973" i="5"/>
  <c r="P945" i="5"/>
  <c r="AH1065" i="5"/>
  <c r="AH1063" i="5"/>
  <c r="AH1068" i="5"/>
  <c r="AH1061" i="5"/>
  <c r="AH1059" i="5"/>
  <c r="AH1057" i="5"/>
  <c r="AH1066" i="5"/>
  <c r="AH1064" i="5"/>
  <c r="AH1067" i="5"/>
  <c r="AH1055" i="5"/>
  <c r="AH1058" i="5"/>
  <c r="AH1056" i="5"/>
  <c r="AH1051" i="5"/>
  <c r="X1047" i="5"/>
  <c r="AH1049" i="5"/>
  <c r="AH1047" i="5"/>
  <c r="AH1069" i="5"/>
  <c r="AH1054" i="5"/>
  <c r="AH1060" i="5"/>
  <c r="AH1052" i="5"/>
  <c r="AH1062" i="5"/>
  <c r="AH1053" i="5"/>
  <c r="AH1050" i="5"/>
  <c r="AH1048" i="5"/>
  <c r="AH1046" i="5"/>
  <c r="I1051" i="5"/>
  <c r="Y1051" i="5" s="1"/>
  <c r="G999" i="5"/>
  <c r="AJ941" i="5"/>
  <c r="AJ937" i="5"/>
  <c r="F734" i="5"/>
  <c r="I704" i="5"/>
  <c r="N890" i="5"/>
  <c r="Q890" i="5" s="1"/>
  <c r="Q859" i="5"/>
  <c r="J830" i="5"/>
  <c r="M827" i="5"/>
  <c r="N782" i="5"/>
  <c r="N783" i="5"/>
  <c r="Q781" i="5"/>
  <c r="Q919" i="5"/>
  <c r="O833" i="5"/>
  <c r="C750" i="5"/>
  <c r="O910" i="5"/>
  <c r="R396" i="5"/>
  <c r="G888" i="5"/>
  <c r="G896" i="5" s="1"/>
  <c r="G13" i="5" s="1"/>
  <c r="G873" i="5"/>
  <c r="K311" i="5"/>
  <c r="L873" i="5"/>
  <c r="L888" i="5"/>
  <c r="L896" i="5" s="1"/>
  <c r="L13" i="5" s="1"/>
  <c r="J527" i="5"/>
  <c r="J854" i="5"/>
  <c r="M848" i="5"/>
  <c r="B782" i="5"/>
  <c r="B783" i="5"/>
  <c r="E781" i="5"/>
  <c r="E857" i="5"/>
  <c r="B859" i="5"/>
  <c r="F302" i="5"/>
  <c r="B686" i="5"/>
  <c r="E685" i="5"/>
  <c r="D481" i="5"/>
  <c r="H481" i="5"/>
  <c r="O311" i="5"/>
  <c r="R59" i="5"/>
  <c r="I1053" i="5"/>
  <c r="Y1053" i="5" s="1"/>
  <c r="G1001" i="5"/>
  <c r="AJ945" i="5"/>
  <c r="I1046" i="5"/>
  <c r="Y1046" i="5" s="1"/>
  <c r="G994" i="5"/>
  <c r="G979" i="5"/>
  <c r="R695" i="5"/>
  <c r="J781" i="5"/>
  <c r="M777" i="5"/>
  <c r="F890" i="5"/>
  <c r="I890" i="5" s="1"/>
  <c r="I859" i="5"/>
  <c r="R862" i="5"/>
  <c r="R871" i="5"/>
  <c r="F783" i="5"/>
  <c r="I781" i="5"/>
  <c r="F782" i="5"/>
  <c r="K833" i="5"/>
  <c r="Q916" i="5"/>
  <c r="P640" i="5"/>
  <c r="Q894" i="5"/>
  <c r="Q527" i="5"/>
  <c r="N530" i="5"/>
  <c r="E281" i="5"/>
  <c r="R281" i="5" s="1"/>
  <c r="Q636" i="5"/>
  <c r="N639" i="5"/>
  <c r="Q378" i="5"/>
  <c r="N475" i="5"/>
  <c r="P475" i="5"/>
  <c r="P480" i="5" s="1"/>
  <c r="E854" i="5"/>
  <c r="B873" i="5"/>
  <c r="B888" i="5"/>
  <c r="Q911" i="5"/>
  <c r="D833" i="5"/>
  <c r="M62" i="5"/>
  <c r="J63" i="5"/>
  <c r="E62" i="5"/>
  <c r="B63" i="5"/>
  <c r="AH1003" i="5"/>
  <c r="AH1014" i="5" s="1"/>
  <c r="AH968" i="5"/>
  <c r="H1048" i="5"/>
  <c r="X1048" i="5" s="1"/>
  <c r="M378" i="5"/>
  <c r="J475" i="5"/>
  <c r="O576" i="5"/>
  <c r="AJ943" i="5"/>
  <c r="AG1090" i="5"/>
  <c r="AG1089" i="5"/>
  <c r="O916" i="5"/>
  <c r="K750" i="5"/>
  <c r="Q912" i="5"/>
  <c r="I832" i="5"/>
  <c r="F833" i="5"/>
  <c r="H640" i="5"/>
  <c r="I527" i="5"/>
  <c r="F530" i="5"/>
  <c r="I636" i="5"/>
  <c r="F639" i="5"/>
  <c r="C873" i="5"/>
  <c r="C888" i="5"/>
  <c r="C896" i="5" s="1"/>
  <c r="C13" i="5" s="1"/>
  <c r="AM385" i="5"/>
  <c r="P132" i="5"/>
  <c r="Q208" i="5"/>
  <c r="N302" i="5"/>
  <c r="L132" i="5"/>
  <c r="N63" i="5"/>
  <c r="Q62" i="5"/>
  <c r="AD948" i="5"/>
  <c r="AJ935" i="5"/>
  <c r="AF903" i="5"/>
  <c r="AO903" i="5"/>
  <c r="D783" i="5"/>
  <c r="D782" i="5"/>
  <c r="J576" i="5"/>
  <c r="M575" i="5"/>
  <c r="C481" i="5"/>
  <c r="AD1070" i="5"/>
  <c r="AH1008" i="5"/>
  <c r="H1053" i="5"/>
  <c r="X1053" i="5" s="1"/>
  <c r="AH973" i="5"/>
  <c r="H1055" i="5"/>
  <c r="X1055" i="5" s="1"/>
  <c r="AH1010" i="5"/>
  <c r="AH975" i="5"/>
  <c r="AG1087" i="5"/>
  <c r="AG1086" i="5"/>
  <c r="I1047" i="5"/>
  <c r="Y1047" i="5" s="1"/>
  <c r="G995" i="5"/>
  <c r="H1049" i="5"/>
  <c r="X1049" i="5" s="1"/>
  <c r="AH1004" i="5"/>
  <c r="AH969" i="5"/>
  <c r="AH979" i="5" s="1"/>
  <c r="I1055" i="5"/>
  <c r="Y1055" i="5" s="1"/>
  <c r="G1003" i="5"/>
  <c r="G1030" i="5" s="1"/>
  <c r="AG1074" i="5"/>
  <c r="AG1075" i="5"/>
  <c r="J639" i="5"/>
  <c r="M636" i="5"/>
  <c r="P831" i="5"/>
  <c r="P832" i="5"/>
  <c r="Q572" i="5"/>
  <c r="N575" i="5"/>
  <c r="Q830" i="5"/>
  <c r="R704" i="5"/>
  <c r="M857" i="5"/>
  <c r="J859" i="5"/>
  <c r="F854" i="5"/>
  <c r="I848" i="5"/>
  <c r="R848" i="5" s="1"/>
  <c r="T864" i="5" s="1"/>
  <c r="P967" i="5"/>
  <c r="P939" i="5"/>
  <c r="I857" i="5"/>
  <c r="O896" i="5"/>
  <c r="O13" i="5" s="1"/>
  <c r="C739" i="5"/>
  <c r="E378" i="5"/>
  <c r="B475" i="5"/>
  <c r="H132" i="5"/>
  <c r="L738" i="5"/>
  <c r="P873" i="5"/>
  <c r="P888" i="5"/>
  <c r="P896" i="5" s="1"/>
  <c r="P13" i="5" s="1"/>
  <c r="R27" i="5"/>
  <c r="F131" i="5"/>
  <c r="I128" i="5"/>
  <c r="R128" i="5" s="1"/>
  <c r="E131" i="5"/>
  <c r="B132" i="5"/>
  <c r="I1136" i="5"/>
  <c r="AE948" i="5"/>
  <c r="AJ942" i="5"/>
  <c r="G1024" i="5"/>
  <c r="AK903" i="5"/>
  <c r="H1057" i="5"/>
  <c r="X1057" i="5" s="1"/>
  <c r="AH1012" i="5"/>
  <c r="AH977" i="5"/>
  <c r="Q975" i="5"/>
  <c r="Q947" i="5"/>
  <c r="P737" i="5"/>
  <c r="Q734" i="5"/>
  <c r="R861" i="5"/>
  <c r="R827" i="5"/>
  <c r="M872" i="5"/>
  <c r="J894" i="5"/>
  <c r="M894" i="5" s="1"/>
  <c r="B639" i="5"/>
  <c r="E636" i="5"/>
  <c r="Q913" i="5"/>
  <c r="G833" i="5"/>
  <c r="I572" i="5"/>
  <c r="R572" i="5" s="1"/>
  <c r="F575" i="5"/>
  <c r="O783" i="5"/>
  <c r="O782" i="5"/>
  <c r="D311" i="5"/>
  <c r="E530" i="5"/>
  <c r="B531" i="5"/>
  <c r="J302" i="5"/>
  <c r="M208" i="5"/>
  <c r="P920" i="5"/>
  <c r="P784" i="5"/>
  <c r="K896" i="5"/>
  <c r="K13" i="5" s="1"/>
  <c r="H873" i="5"/>
  <c r="H888" i="5"/>
  <c r="H896" i="5" s="1"/>
  <c r="H13" i="5" s="1"/>
  <c r="Q128" i="5"/>
  <c r="I62" i="5"/>
  <c r="F63" i="5"/>
  <c r="H1054" i="5"/>
  <c r="X1054" i="5" s="1"/>
  <c r="AH1009" i="5"/>
  <c r="AH974" i="5"/>
  <c r="I1056" i="5"/>
  <c r="Y1056" i="5" s="1"/>
  <c r="G1004" i="5"/>
  <c r="E872" i="5"/>
  <c r="R872" i="5" s="1"/>
  <c r="B894" i="5"/>
  <c r="E894" i="5" s="1"/>
  <c r="AS948" i="5"/>
  <c r="I1054" i="5"/>
  <c r="Y1054" i="5" s="1"/>
  <c r="G1002" i="5"/>
  <c r="G1029" i="5" s="1"/>
  <c r="I1052" i="5"/>
  <c r="Y1052" i="5" s="1"/>
  <c r="G1000" i="5"/>
  <c r="G1025" i="5"/>
  <c r="AK904" i="5"/>
  <c r="AJ936" i="5"/>
  <c r="AH1083" i="5"/>
  <c r="AH1084" i="5"/>
  <c r="AD913" i="5"/>
  <c r="H1056" i="5"/>
  <c r="X1056" i="5" s="1"/>
  <c r="AH1011" i="5"/>
  <c r="AH976" i="5"/>
  <c r="AJ946" i="5"/>
  <c r="H1052" i="5"/>
  <c r="X1052" i="5" s="1"/>
  <c r="AH1007" i="5"/>
  <c r="AH972" i="5"/>
  <c r="AF902" i="5"/>
  <c r="AO902" i="5"/>
  <c r="B832" i="5"/>
  <c r="E830" i="5"/>
  <c r="B831" i="5"/>
  <c r="K739" i="5"/>
  <c r="K738" i="5"/>
  <c r="J892" i="5"/>
  <c r="M892" i="5" s="1"/>
  <c r="M863" i="5"/>
  <c r="L686" i="5"/>
  <c r="M682" i="5"/>
  <c r="R682" i="5" s="1"/>
  <c r="N863" i="5"/>
  <c r="R506" i="5"/>
  <c r="M737" i="5"/>
  <c r="AM384" i="5"/>
  <c r="E208" i="5"/>
  <c r="R208" i="5" s="1"/>
  <c r="B302" i="5"/>
  <c r="K873" i="5"/>
  <c r="P311" i="5"/>
  <c r="Q910" i="5"/>
  <c r="C833" i="5"/>
  <c r="B576" i="5"/>
  <c r="E575" i="5"/>
  <c r="R50" i="5"/>
  <c r="E392" i="5"/>
  <c r="R392" i="5" s="1"/>
  <c r="M131" i="5"/>
  <c r="J132" i="5"/>
  <c r="N132" i="5"/>
  <c r="Q131" i="5"/>
  <c r="I1057" i="5"/>
  <c r="Y1057" i="5" s="1"/>
  <c r="G1005" i="5"/>
  <c r="C311" i="5"/>
  <c r="AF948" i="5"/>
  <c r="I1048" i="5"/>
  <c r="Y1048" i="5" s="1"/>
  <c r="G996" i="5"/>
  <c r="AH1087" i="5"/>
  <c r="AH1086" i="5"/>
  <c r="Q974" i="5"/>
  <c r="Q946" i="5"/>
  <c r="H782" i="5"/>
  <c r="H783" i="5"/>
  <c r="N686" i="5"/>
  <c r="Q685" i="5"/>
  <c r="Q914" i="5"/>
  <c r="H833" i="5"/>
  <c r="G783" i="5"/>
  <c r="G782" i="5"/>
  <c r="M685" i="5"/>
  <c r="J686" i="5"/>
  <c r="F892" i="5"/>
  <c r="I892" i="5" s="1"/>
  <c r="I863" i="5"/>
  <c r="L782" i="5"/>
  <c r="L783" i="5"/>
  <c r="N888" i="5"/>
  <c r="Q854" i="5"/>
  <c r="K481" i="5"/>
  <c r="F480" i="5"/>
  <c r="I475" i="5"/>
  <c r="D873" i="5"/>
  <c r="D888" i="5"/>
  <c r="D896" i="5" s="1"/>
  <c r="D13" i="5" s="1"/>
  <c r="H311" i="5"/>
  <c r="E777" i="5"/>
  <c r="R301" i="5"/>
  <c r="I208" i="5"/>
  <c r="AH1070" i="5" l="1"/>
  <c r="AF913" i="5"/>
  <c r="S1055" i="5"/>
  <c r="AR1010" i="5"/>
  <c r="AR975" i="5"/>
  <c r="AH1102" i="5"/>
  <c r="AH1101" i="5"/>
  <c r="L784" i="5"/>
  <c r="P917" i="5"/>
  <c r="L749" i="5"/>
  <c r="G784" i="5"/>
  <c r="P913" i="5"/>
  <c r="G749" i="5"/>
  <c r="G1023" i="5"/>
  <c r="AK902" i="5"/>
  <c r="AH1099" i="5"/>
  <c r="AH1098" i="5"/>
  <c r="AH1105" i="5"/>
  <c r="AH1104" i="5"/>
  <c r="E475" i="5"/>
  <c r="B480" i="5"/>
  <c r="F888" i="5"/>
  <c r="I854" i="5"/>
  <c r="F873" i="5"/>
  <c r="I873" i="5" s="1"/>
  <c r="Q920" i="5"/>
  <c r="P833" i="5"/>
  <c r="P749" i="5"/>
  <c r="Q832" i="5"/>
  <c r="F640" i="5"/>
  <c r="I639" i="5"/>
  <c r="Q941" i="5"/>
  <c r="Q969" i="5"/>
  <c r="Q940" i="5"/>
  <c r="Q968" i="5"/>
  <c r="AH1096" i="5"/>
  <c r="AH1095" i="5"/>
  <c r="M854" i="5"/>
  <c r="J873" i="5"/>
  <c r="M873" i="5" s="1"/>
  <c r="J888" i="5"/>
  <c r="AH1081" i="5"/>
  <c r="AH1080" i="5"/>
  <c r="P919" i="5"/>
  <c r="O784" i="5"/>
  <c r="O749" i="5"/>
  <c r="R378" i="5"/>
  <c r="AG1102" i="5"/>
  <c r="AG1101" i="5"/>
  <c r="Q302" i="5"/>
  <c r="N310" i="5"/>
  <c r="E888" i="5"/>
  <c r="B896" i="5"/>
  <c r="B13" i="5" s="1"/>
  <c r="E13" i="5" s="1"/>
  <c r="J782" i="5"/>
  <c r="J783" i="5"/>
  <c r="M781" i="5"/>
  <c r="I302" i="5"/>
  <c r="F310" i="5"/>
  <c r="J530" i="5"/>
  <c r="M527" i="5"/>
  <c r="R527" i="5" s="1"/>
  <c r="O967" i="5"/>
  <c r="O939" i="5"/>
  <c r="G1026" i="5"/>
  <c r="AK905" i="5"/>
  <c r="P914" i="5"/>
  <c r="H784" i="5"/>
  <c r="H749" i="5"/>
  <c r="G1031" i="5"/>
  <c r="AK910" i="5"/>
  <c r="G1028" i="5"/>
  <c r="AK907" i="5"/>
  <c r="N784" i="5"/>
  <c r="P918" i="5"/>
  <c r="Q783" i="5"/>
  <c r="N749" i="5"/>
  <c r="F132" i="5"/>
  <c r="I131" i="5"/>
  <c r="R131" i="5" s="1"/>
  <c r="F481" i="5"/>
  <c r="I480" i="5"/>
  <c r="Q967" i="5"/>
  <c r="Q939" i="5"/>
  <c r="N916" i="5"/>
  <c r="K740" i="5"/>
  <c r="K687" i="5"/>
  <c r="AG1093" i="5"/>
  <c r="AG1092" i="5"/>
  <c r="N910" i="5"/>
  <c r="C740" i="5"/>
  <c r="C687" i="5"/>
  <c r="J890" i="5"/>
  <c r="M890" i="5" s="1"/>
  <c r="M859" i="5"/>
  <c r="AG1083" i="5"/>
  <c r="AG1084" i="5"/>
  <c r="AJ948" i="5"/>
  <c r="I530" i="5"/>
  <c r="F531" i="5"/>
  <c r="O945" i="5"/>
  <c r="O973" i="5"/>
  <c r="E873" i="5"/>
  <c r="N531" i="5"/>
  <c r="Q530" i="5"/>
  <c r="B890" i="5"/>
  <c r="E890" i="5" s="1"/>
  <c r="R890" i="5" s="1"/>
  <c r="E859" i="5"/>
  <c r="J831" i="5"/>
  <c r="J832" i="5"/>
  <c r="M830" i="5"/>
  <c r="R830" i="5" s="1"/>
  <c r="AH1090" i="5"/>
  <c r="AH1089" i="5"/>
  <c r="R1053" i="5"/>
  <c r="AQ1008" i="5"/>
  <c r="AQ973" i="5"/>
  <c r="I575" i="5"/>
  <c r="F576" i="5"/>
  <c r="Q971" i="5"/>
  <c r="Q943" i="5"/>
  <c r="S1054" i="5"/>
  <c r="AR1009" i="5"/>
  <c r="AR974" i="5"/>
  <c r="G1032" i="5"/>
  <c r="AK911" i="5"/>
  <c r="N892" i="5"/>
  <c r="Q892" i="5" s="1"/>
  <c r="R892" i="5" s="1"/>
  <c r="Q863" i="5"/>
  <c r="AG1099" i="5"/>
  <c r="AG1098" i="5"/>
  <c r="AG1107" i="5"/>
  <c r="AG1108" i="5"/>
  <c r="M639" i="5"/>
  <c r="J640" i="5"/>
  <c r="G1022" i="5"/>
  <c r="AK901" i="5"/>
  <c r="AG1096" i="5"/>
  <c r="AG1095" i="5"/>
  <c r="M475" i="5"/>
  <c r="J480" i="5"/>
  <c r="R62" i="5"/>
  <c r="R854" i="5"/>
  <c r="T854" i="5" s="1"/>
  <c r="P912" i="5"/>
  <c r="F784" i="5"/>
  <c r="I783" i="5"/>
  <c r="F749" i="5"/>
  <c r="R857" i="5"/>
  <c r="P977" i="5"/>
  <c r="P949" i="5"/>
  <c r="R777" i="5"/>
  <c r="Q1085" i="5"/>
  <c r="AH1107" i="5"/>
  <c r="AH1108" i="5"/>
  <c r="AH1078" i="5"/>
  <c r="AH1077" i="5"/>
  <c r="P481" i="5"/>
  <c r="G1021" i="5"/>
  <c r="G1007" i="5"/>
  <c r="AK900" i="5"/>
  <c r="R781" i="5"/>
  <c r="Q888" i="5"/>
  <c r="B640" i="5"/>
  <c r="E639" i="5"/>
  <c r="N640" i="5"/>
  <c r="Q639" i="5"/>
  <c r="J310" i="5"/>
  <c r="M302" i="5"/>
  <c r="N873" i="5"/>
  <c r="Q873" i="5" s="1"/>
  <c r="Q909" i="5"/>
  <c r="E832" i="5"/>
  <c r="B833" i="5"/>
  <c r="G1027" i="5"/>
  <c r="AK906" i="5"/>
  <c r="R894" i="5"/>
  <c r="Q970" i="5"/>
  <c r="Q942" i="5"/>
  <c r="P739" i="5"/>
  <c r="P738" i="5"/>
  <c r="Q737" i="5"/>
  <c r="AG1081" i="5"/>
  <c r="AG1080" i="5"/>
  <c r="N480" i="5"/>
  <c r="Q475" i="5"/>
  <c r="AH1074" i="5"/>
  <c r="AH1075" i="5"/>
  <c r="R685" i="5"/>
  <c r="E783" i="5"/>
  <c r="B784" i="5"/>
  <c r="P909" i="5"/>
  <c r="B749" i="5"/>
  <c r="Q976" i="5"/>
  <c r="Q948" i="5"/>
  <c r="R863" i="5"/>
  <c r="P911" i="5"/>
  <c r="D784" i="5"/>
  <c r="D749" i="5"/>
  <c r="Q973" i="5"/>
  <c r="Q945" i="5"/>
  <c r="R575" i="5"/>
  <c r="B310" i="5"/>
  <c r="E302" i="5"/>
  <c r="R302" i="5" s="1"/>
  <c r="AG1105" i="5"/>
  <c r="AG1104" i="5"/>
  <c r="AH1093" i="5"/>
  <c r="AH1092" i="5"/>
  <c r="R636" i="5"/>
  <c r="R1047" i="5"/>
  <c r="AQ1002" i="5"/>
  <c r="AQ967" i="5"/>
  <c r="N576" i="5"/>
  <c r="Q575" i="5"/>
  <c r="F737" i="5"/>
  <c r="I734" i="5"/>
  <c r="R734" i="5" s="1"/>
  <c r="AG1078" i="5"/>
  <c r="AG1077" i="5"/>
  <c r="AQ1063" i="5" l="1"/>
  <c r="AQ1068" i="5"/>
  <c r="AQ1061" i="5"/>
  <c r="AQ1059" i="5"/>
  <c r="AQ1057" i="5"/>
  <c r="AQ1055" i="5"/>
  <c r="AQ1066" i="5"/>
  <c r="AQ1064" i="5"/>
  <c r="AQ1069" i="5"/>
  <c r="AQ1067" i="5"/>
  <c r="AQ1062" i="5"/>
  <c r="AQ1060" i="5"/>
  <c r="AQ1058" i="5"/>
  <c r="AQ1056" i="5"/>
  <c r="AQ1054" i="5"/>
  <c r="AQ1051" i="5"/>
  <c r="AQ1049" i="5"/>
  <c r="AQ1047" i="5"/>
  <c r="AQ1052" i="5"/>
  <c r="AQ1065" i="5"/>
  <c r="AQ1046" i="5"/>
  <c r="AQ1048" i="5"/>
  <c r="AQ1050" i="5"/>
  <c r="AQ1053" i="5"/>
  <c r="S1056" i="5"/>
  <c r="AR1011" i="5"/>
  <c r="AR976" i="5"/>
  <c r="M480" i="5"/>
  <c r="J481" i="5"/>
  <c r="Q915" i="5"/>
  <c r="M832" i="5"/>
  <c r="R832" i="5" s="1"/>
  <c r="J833" i="5"/>
  <c r="AP1008" i="5"/>
  <c r="AP973" i="5"/>
  <c r="Q1053" i="5"/>
  <c r="Q1047" i="5"/>
  <c r="AP1002" i="5"/>
  <c r="AP967" i="5"/>
  <c r="R13" i="5"/>
  <c r="O750" i="5"/>
  <c r="O919" i="5"/>
  <c r="O739" i="5"/>
  <c r="I737" i="5"/>
  <c r="R737" i="5" s="1"/>
  <c r="F738" i="5"/>
  <c r="F739" i="5"/>
  <c r="E749" i="5"/>
  <c r="B750" i="5"/>
  <c r="O909" i="5"/>
  <c r="B739" i="5"/>
  <c r="R639" i="5"/>
  <c r="AK913" i="5"/>
  <c r="N945" i="5"/>
  <c r="N973" i="5"/>
  <c r="E896" i="5"/>
  <c r="F896" i="5"/>
  <c r="F13" i="5" s="1"/>
  <c r="I13" i="5" s="1"/>
  <c r="I888" i="5"/>
  <c r="I896" i="5" s="1"/>
  <c r="E310" i="5"/>
  <c r="B311" i="5"/>
  <c r="P966" i="5"/>
  <c r="P938" i="5"/>
  <c r="Q966" i="5"/>
  <c r="Q938" i="5"/>
  <c r="E480" i="5"/>
  <c r="B481" i="5"/>
  <c r="O911" i="5"/>
  <c r="D750" i="5"/>
  <c r="D739" i="5"/>
  <c r="AR1002" i="5"/>
  <c r="AR967" i="5"/>
  <c r="S1047" i="5"/>
  <c r="I310" i="5"/>
  <c r="F311" i="5"/>
  <c r="S1048" i="5"/>
  <c r="AR1003" i="5"/>
  <c r="AR968" i="5"/>
  <c r="R475" i="5"/>
  <c r="P942" i="5"/>
  <c r="P970" i="5"/>
  <c r="R1057" i="5"/>
  <c r="AQ1012" i="5"/>
  <c r="AQ977" i="5"/>
  <c r="M916" i="5"/>
  <c r="K688" i="5"/>
  <c r="K651" i="5"/>
  <c r="N920" i="5"/>
  <c r="P740" i="5"/>
  <c r="P687" i="5"/>
  <c r="S1050" i="5"/>
  <c r="AR1005" i="5"/>
  <c r="AR970" i="5"/>
  <c r="O912" i="5"/>
  <c r="I749" i="5"/>
  <c r="F750" i="5"/>
  <c r="Q896" i="5"/>
  <c r="N967" i="5"/>
  <c r="N939" i="5"/>
  <c r="P975" i="5"/>
  <c r="P947" i="5"/>
  <c r="P971" i="5"/>
  <c r="P943" i="5"/>
  <c r="O920" i="5"/>
  <c r="P750" i="5"/>
  <c r="R873" i="5"/>
  <c r="S1053" i="5"/>
  <c r="AR1008" i="5"/>
  <c r="AR973" i="5"/>
  <c r="N481" i="5"/>
  <c r="Q480" i="5"/>
  <c r="R859" i="5"/>
  <c r="M910" i="5"/>
  <c r="C688" i="5"/>
  <c r="C651" i="5"/>
  <c r="N750" i="5"/>
  <c r="Q749" i="5"/>
  <c r="O918" i="5"/>
  <c r="N739" i="5"/>
  <c r="O914" i="5"/>
  <c r="H750" i="5"/>
  <c r="H739" i="5"/>
  <c r="M530" i="5"/>
  <c r="R530" i="5" s="1"/>
  <c r="J531" i="5"/>
  <c r="Q310" i="5"/>
  <c r="N311" i="5"/>
  <c r="P948" i="5"/>
  <c r="P976" i="5"/>
  <c r="O913" i="5"/>
  <c r="G750" i="5"/>
  <c r="G739" i="5"/>
  <c r="P968" i="5"/>
  <c r="P940" i="5"/>
  <c r="J311" i="5"/>
  <c r="M310" i="5"/>
  <c r="N896" i="5"/>
  <c r="N13" i="5" s="1"/>
  <c r="Q13" i="5" s="1"/>
  <c r="P969" i="5"/>
  <c r="P941" i="5"/>
  <c r="AR1006" i="5"/>
  <c r="S1051" i="5"/>
  <c r="AR971" i="5"/>
  <c r="O917" i="5"/>
  <c r="L750" i="5"/>
  <c r="L739" i="5"/>
  <c r="P915" i="5"/>
  <c r="M783" i="5"/>
  <c r="R783" i="5" s="1"/>
  <c r="J784" i="5"/>
  <c r="J749" i="5"/>
  <c r="M888" i="5"/>
  <c r="M896" i="5" s="1"/>
  <c r="J896" i="5"/>
  <c r="J13" i="5" s="1"/>
  <c r="M13" i="5" s="1"/>
  <c r="S1049" i="5"/>
  <c r="AR1004" i="5"/>
  <c r="AR969" i="5"/>
  <c r="Q949" i="5"/>
  <c r="Q977" i="5"/>
  <c r="P974" i="5"/>
  <c r="P946" i="5"/>
  <c r="AQ1070" i="5" l="1"/>
  <c r="R1046" i="5"/>
  <c r="AQ1001" i="5"/>
  <c r="AQ966" i="5"/>
  <c r="S1057" i="5"/>
  <c r="AR1012" i="5"/>
  <c r="AR977" i="5"/>
  <c r="R1048" i="5"/>
  <c r="AQ1003" i="5"/>
  <c r="AQ968" i="5"/>
  <c r="O975" i="5"/>
  <c r="O947" i="5"/>
  <c r="R1050" i="5"/>
  <c r="AQ1005" i="5"/>
  <c r="AQ970" i="5"/>
  <c r="R480" i="5"/>
  <c r="N912" i="5"/>
  <c r="I739" i="5"/>
  <c r="F740" i="5"/>
  <c r="F687" i="5"/>
  <c r="N918" i="5"/>
  <c r="N740" i="5"/>
  <c r="Q739" i="5"/>
  <c r="N687" i="5"/>
  <c r="N913" i="5"/>
  <c r="G740" i="5"/>
  <c r="G687" i="5"/>
  <c r="R1051" i="5"/>
  <c r="AQ971" i="5"/>
  <c r="AQ1006" i="5"/>
  <c r="N949" i="5"/>
  <c r="N977" i="5"/>
  <c r="AR1068" i="5"/>
  <c r="AR1061" i="5"/>
  <c r="AR1059" i="5"/>
  <c r="AR1057" i="5"/>
  <c r="AR1055" i="5"/>
  <c r="AR1066" i="5"/>
  <c r="AR1064" i="5"/>
  <c r="AR1069" i="5"/>
  <c r="AR1067" i="5"/>
  <c r="AR1062" i="5"/>
  <c r="AR1060" i="5"/>
  <c r="AR1058" i="5"/>
  <c r="AR1056" i="5"/>
  <c r="AR1054" i="5"/>
  <c r="AR1065" i="5"/>
  <c r="AR1049" i="5"/>
  <c r="AR1047" i="5"/>
  <c r="AR1052" i="5"/>
  <c r="AR1063" i="5"/>
  <c r="AR1050" i="5"/>
  <c r="AR1048" i="5"/>
  <c r="AR1046" i="5"/>
  <c r="AR1051" i="5"/>
  <c r="AR1053" i="5"/>
  <c r="AP1065" i="5"/>
  <c r="AP1063" i="5"/>
  <c r="AP1068" i="5"/>
  <c r="AP1061" i="5"/>
  <c r="AP1059" i="5"/>
  <c r="AP1057" i="5"/>
  <c r="AP1055" i="5"/>
  <c r="AP1066" i="5"/>
  <c r="AP1064" i="5"/>
  <c r="AP1058" i="5"/>
  <c r="AP1056" i="5"/>
  <c r="AP1054" i="5"/>
  <c r="AP1051" i="5"/>
  <c r="AP1069" i="5"/>
  <c r="AP1049" i="5"/>
  <c r="AP1047" i="5"/>
  <c r="AP1060" i="5"/>
  <c r="AP1052" i="5"/>
  <c r="AP1067" i="5"/>
  <c r="AP1053" i="5"/>
  <c r="AP1062" i="5"/>
  <c r="AP1048" i="5"/>
  <c r="AP1050" i="5"/>
  <c r="AP1046" i="5"/>
  <c r="O915" i="5"/>
  <c r="M749" i="5"/>
  <c r="R749" i="5" s="1"/>
  <c r="J750" i="5"/>
  <c r="J739" i="5"/>
  <c r="M920" i="5"/>
  <c r="P688" i="5"/>
  <c r="P651" i="5"/>
  <c r="P972" i="5"/>
  <c r="P979" i="5" s="1"/>
  <c r="P944" i="5"/>
  <c r="R1049" i="5"/>
  <c r="AQ969" i="5"/>
  <c r="AQ1004" i="5"/>
  <c r="L916" i="5"/>
  <c r="K652" i="5"/>
  <c r="K641" i="5"/>
  <c r="R310" i="5"/>
  <c r="O949" i="5"/>
  <c r="O977" i="5"/>
  <c r="Q972" i="5"/>
  <c r="Q944" i="5"/>
  <c r="N917" i="5"/>
  <c r="L740" i="5"/>
  <c r="L687" i="5"/>
  <c r="O942" i="5"/>
  <c r="O970" i="5"/>
  <c r="L910" i="5"/>
  <c r="C652" i="5"/>
  <c r="C641" i="5"/>
  <c r="R1055" i="5"/>
  <c r="AQ1010" i="5"/>
  <c r="AQ975" i="5"/>
  <c r="O969" i="5"/>
  <c r="O941" i="5"/>
  <c r="S1046" i="5"/>
  <c r="AR1001" i="5"/>
  <c r="Q979" i="5"/>
  <c r="AR966" i="5"/>
  <c r="N919" i="5"/>
  <c r="O740" i="5"/>
  <c r="O687" i="5"/>
  <c r="O968" i="5"/>
  <c r="O940" i="5"/>
  <c r="S13" i="5"/>
  <c r="T13" i="5"/>
  <c r="R1054" i="5"/>
  <c r="AQ1009" i="5"/>
  <c r="AQ974" i="5"/>
  <c r="P1053" i="5"/>
  <c r="AO1008" i="5"/>
  <c r="AO973" i="5"/>
  <c r="R1056" i="5"/>
  <c r="AQ1011" i="5"/>
  <c r="AQ976" i="5"/>
  <c r="N914" i="5"/>
  <c r="H740" i="5"/>
  <c r="H687" i="5"/>
  <c r="M945" i="5"/>
  <c r="M973" i="5"/>
  <c r="N911" i="5"/>
  <c r="D740" i="5"/>
  <c r="D687" i="5"/>
  <c r="Q922" i="5"/>
  <c r="N909" i="5"/>
  <c r="B740" i="5"/>
  <c r="E739" i="5"/>
  <c r="B687" i="5"/>
  <c r="O948" i="5"/>
  <c r="O976" i="5"/>
  <c r="O971" i="5"/>
  <c r="O943" i="5"/>
  <c r="O974" i="5"/>
  <c r="O946" i="5"/>
  <c r="M967" i="5"/>
  <c r="M939" i="5"/>
  <c r="P1047" i="5"/>
  <c r="AO1002" i="5"/>
  <c r="AO967" i="5"/>
  <c r="P922" i="5"/>
  <c r="R888" i="5"/>
  <c r="R896" i="5" s="1"/>
  <c r="O966" i="5"/>
  <c r="O922" i="5"/>
  <c r="O938" i="5"/>
  <c r="AP1070" i="5" l="1"/>
  <c r="AR1070" i="5"/>
  <c r="Q1054" i="5"/>
  <c r="AP1009" i="5"/>
  <c r="AP974" i="5"/>
  <c r="M917" i="5"/>
  <c r="L688" i="5"/>
  <c r="L651" i="5"/>
  <c r="M918" i="5"/>
  <c r="N688" i="5"/>
  <c r="Q687" i="5"/>
  <c r="N651" i="5"/>
  <c r="N976" i="5"/>
  <c r="N948" i="5"/>
  <c r="Q1051" i="5"/>
  <c r="AP971" i="5"/>
  <c r="AP1006" i="5"/>
  <c r="M911" i="5"/>
  <c r="D688" i="5"/>
  <c r="D651" i="5"/>
  <c r="N974" i="5"/>
  <c r="N946" i="5"/>
  <c r="L973" i="5"/>
  <c r="L945" i="5"/>
  <c r="M949" i="5"/>
  <c r="M977" i="5"/>
  <c r="N971" i="5"/>
  <c r="N943" i="5"/>
  <c r="Q1056" i="5"/>
  <c r="AP1011" i="5"/>
  <c r="AP976" i="5"/>
  <c r="K910" i="5"/>
  <c r="C642" i="5"/>
  <c r="C577" i="5"/>
  <c r="N915" i="5"/>
  <c r="M739" i="5"/>
  <c r="J740" i="5"/>
  <c r="J687" i="5"/>
  <c r="N975" i="5"/>
  <c r="N947" i="5"/>
  <c r="N966" i="5"/>
  <c r="N922" i="5"/>
  <c r="N938" i="5"/>
  <c r="L920" i="5"/>
  <c r="P652" i="5"/>
  <c r="P641" i="5"/>
  <c r="AO1069" i="5"/>
  <c r="AO1067" i="5"/>
  <c r="AO1062" i="5"/>
  <c r="AO1060" i="5"/>
  <c r="AO1058" i="5"/>
  <c r="AO1056" i="5"/>
  <c r="AO1054" i="5"/>
  <c r="AO1065" i="5"/>
  <c r="AO1063" i="5"/>
  <c r="AO1068" i="5"/>
  <c r="AO1061" i="5"/>
  <c r="AO1059" i="5"/>
  <c r="AO1057" i="5"/>
  <c r="AO1055" i="5"/>
  <c r="AO1066" i="5"/>
  <c r="AO1064" i="5"/>
  <c r="AO1053" i="5"/>
  <c r="AO1051" i="5"/>
  <c r="AO1049" i="5"/>
  <c r="AO1047" i="5"/>
  <c r="AO1050" i="5"/>
  <c r="AO1048" i="5"/>
  <c r="AO1046" i="5"/>
  <c r="AO1052" i="5"/>
  <c r="N968" i="5"/>
  <c r="N940" i="5"/>
  <c r="AR1014" i="5"/>
  <c r="S1052" i="5"/>
  <c r="AR1007" i="5"/>
  <c r="AR972" i="5"/>
  <c r="AR979" i="5" s="1"/>
  <c r="G688" i="5"/>
  <c r="M913" i="5"/>
  <c r="G651" i="5"/>
  <c r="F688" i="5"/>
  <c r="M912" i="5"/>
  <c r="I687" i="5"/>
  <c r="F651" i="5"/>
  <c r="K916" i="5"/>
  <c r="K642" i="5"/>
  <c r="K577" i="5"/>
  <c r="E687" i="5"/>
  <c r="B688" i="5"/>
  <c r="M909" i="5"/>
  <c r="B651" i="5"/>
  <c r="O1053" i="5"/>
  <c r="AN1008" i="5"/>
  <c r="AN973" i="5"/>
  <c r="L967" i="5"/>
  <c r="L939" i="5"/>
  <c r="Q1057" i="5"/>
  <c r="AP1012" i="5"/>
  <c r="AP977" i="5"/>
  <c r="Q1055" i="5"/>
  <c r="AP1010" i="5"/>
  <c r="AP975" i="5"/>
  <c r="O1047" i="5"/>
  <c r="AN1002" i="5"/>
  <c r="AN967" i="5"/>
  <c r="R739" i="5"/>
  <c r="Q1048" i="5"/>
  <c r="AP1003" i="5"/>
  <c r="AP968" i="5"/>
  <c r="Q1050" i="5"/>
  <c r="AP970" i="5"/>
  <c r="AP1005" i="5"/>
  <c r="O972" i="5"/>
  <c r="O944" i="5"/>
  <c r="N970" i="5"/>
  <c r="N942" i="5"/>
  <c r="Q1046" i="5"/>
  <c r="AP1001" i="5"/>
  <c r="O979" i="5"/>
  <c r="AP966" i="5"/>
  <c r="M914" i="5"/>
  <c r="H688" i="5"/>
  <c r="H651" i="5"/>
  <c r="M919" i="5"/>
  <c r="O688" i="5"/>
  <c r="O651" i="5"/>
  <c r="Q1049" i="5"/>
  <c r="AP1004" i="5"/>
  <c r="AP969" i="5"/>
  <c r="R1052" i="5"/>
  <c r="AQ1007" i="5"/>
  <c r="AQ1014" i="5" s="1"/>
  <c r="AQ972" i="5"/>
  <c r="AQ979" i="5" s="1"/>
  <c r="P1057" i="5"/>
  <c r="AO1012" i="5"/>
  <c r="AO977" i="5"/>
  <c r="N969" i="5"/>
  <c r="N941" i="5"/>
  <c r="AO1070" i="5" l="1"/>
  <c r="M968" i="5"/>
  <c r="M940" i="5"/>
  <c r="M975" i="5"/>
  <c r="M947" i="5"/>
  <c r="L919" i="5"/>
  <c r="O652" i="5"/>
  <c r="O641" i="5"/>
  <c r="N1047" i="5"/>
  <c r="AM1002" i="5"/>
  <c r="AW931" i="5"/>
  <c r="AM967" i="5"/>
  <c r="J916" i="5"/>
  <c r="K578" i="5"/>
  <c r="K532" i="5"/>
  <c r="G652" i="5"/>
  <c r="L913" i="5"/>
  <c r="G641" i="5"/>
  <c r="P1048" i="5"/>
  <c r="AO1003" i="5"/>
  <c r="AO968" i="5"/>
  <c r="P1055" i="5"/>
  <c r="AO1010" i="5"/>
  <c r="AO975" i="5"/>
  <c r="N1053" i="5"/>
  <c r="AM973" i="5"/>
  <c r="AM1008" i="5"/>
  <c r="AW937" i="5"/>
  <c r="L917" i="5"/>
  <c r="L652" i="5"/>
  <c r="L641" i="5"/>
  <c r="M970" i="5"/>
  <c r="M942" i="5"/>
  <c r="K920" i="5"/>
  <c r="P642" i="5"/>
  <c r="P577" i="5"/>
  <c r="M915" i="5"/>
  <c r="M687" i="5"/>
  <c r="J688" i="5"/>
  <c r="J651" i="5"/>
  <c r="P1049" i="5"/>
  <c r="AO1004" i="5"/>
  <c r="AO969" i="5"/>
  <c r="P1046" i="5"/>
  <c r="AO1001" i="5"/>
  <c r="AO966" i="5"/>
  <c r="M976" i="5"/>
  <c r="M948" i="5"/>
  <c r="K973" i="5"/>
  <c r="K945" i="5"/>
  <c r="P1054" i="5"/>
  <c r="AO1009" i="5"/>
  <c r="AO974" i="5"/>
  <c r="M974" i="5"/>
  <c r="M946" i="5"/>
  <c r="R687" i="5"/>
  <c r="L914" i="5"/>
  <c r="H652" i="5"/>
  <c r="H641" i="5"/>
  <c r="AO970" i="5"/>
  <c r="AO1005" i="5"/>
  <c r="P1050" i="5"/>
  <c r="L977" i="5"/>
  <c r="L949" i="5"/>
  <c r="P1056" i="5"/>
  <c r="AO976" i="5"/>
  <c r="AO1011" i="5"/>
  <c r="M969" i="5"/>
  <c r="M941" i="5"/>
  <c r="AN1069" i="5"/>
  <c r="AN1067" i="5"/>
  <c r="AN1062" i="5"/>
  <c r="AN1060" i="5"/>
  <c r="AN1058" i="5"/>
  <c r="AN1056" i="5"/>
  <c r="AN1054" i="5"/>
  <c r="AN1065" i="5"/>
  <c r="AN1063" i="5"/>
  <c r="AN1068" i="5"/>
  <c r="AN1061" i="5"/>
  <c r="AN1059" i="5"/>
  <c r="AN1057" i="5"/>
  <c r="AN1055" i="5"/>
  <c r="AN1066" i="5"/>
  <c r="AN1064" i="5"/>
  <c r="AN1050" i="5"/>
  <c r="AN1048" i="5"/>
  <c r="AN1046" i="5"/>
  <c r="AN1053" i="5"/>
  <c r="AN1051" i="5"/>
  <c r="AN1049" i="5"/>
  <c r="AN1047" i="5"/>
  <c r="AN1052" i="5"/>
  <c r="K967" i="5"/>
  <c r="K939" i="5"/>
  <c r="L909" i="5"/>
  <c r="B652" i="5"/>
  <c r="E651" i="5"/>
  <c r="B641" i="5"/>
  <c r="L912" i="5"/>
  <c r="F652" i="5"/>
  <c r="I651" i="5"/>
  <c r="F641" i="5"/>
  <c r="N972" i="5"/>
  <c r="N979" i="5" s="1"/>
  <c r="N944" i="5"/>
  <c r="P1051" i="5"/>
  <c r="AO1006" i="5"/>
  <c r="AO971" i="5"/>
  <c r="L911" i="5"/>
  <c r="D652" i="5"/>
  <c r="D641" i="5"/>
  <c r="L918" i="5"/>
  <c r="N652" i="5"/>
  <c r="Q651" i="5"/>
  <c r="N641" i="5"/>
  <c r="M971" i="5"/>
  <c r="M943" i="5"/>
  <c r="Q1052" i="5"/>
  <c r="AP1007" i="5"/>
  <c r="AP1014" i="5" s="1"/>
  <c r="AP972" i="5"/>
  <c r="AP979" i="5" s="1"/>
  <c r="M938" i="5"/>
  <c r="M922" i="5"/>
  <c r="M966" i="5"/>
  <c r="J910" i="5"/>
  <c r="C578" i="5"/>
  <c r="C532" i="5"/>
  <c r="O1057" i="5"/>
  <c r="AN1012" i="5"/>
  <c r="AN977" i="5"/>
  <c r="AN1070" i="5" l="1"/>
  <c r="K912" i="5"/>
  <c r="F642" i="5"/>
  <c r="I641" i="5"/>
  <c r="F577" i="5"/>
  <c r="L915" i="5"/>
  <c r="M651" i="5"/>
  <c r="J652" i="5"/>
  <c r="J641" i="5"/>
  <c r="O1048" i="5"/>
  <c r="AN1003" i="5"/>
  <c r="AN968" i="5"/>
  <c r="I910" i="5"/>
  <c r="C533" i="5"/>
  <c r="C489" i="5"/>
  <c r="C488" i="5" s="1"/>
  <c r="C487" i="5" s="1"/>
  <c r="C486" i="5" s="1"/>
  <c r="C485" i="5" s="1"/>
  <c r="C484" i="5" s="1"/>
  <c r="C482" i="5"/>
  <c r="M1047" i="5"/>
  <c r="AL1002" i="5"/>
  <c r="AL967" i="5"/>
  <c r="L968" i="5"/>
  <c r="L940" i="5"/>
  <c r="AO1014" i="5"/>
  <c r="K917" i="5"/>
  <c r="L642" i="5"/>
  <c r="L577" i="5"/>
  <c r="I916" i="5"/>
  <c r="K489" i="5"/>
  <c r="K488" i="5" s="1"/>
  <c r="K487" i="5" s="1"/>
  <c r="K486" i="5" s="1"/>
  <c r="K485" i="5" s="1"/>
  <c r="K484" i="5" s="1"/>
  <c r="K533" i="5"/>
  <c r="K482" i="5"/>
  <c r="K919" i="5"/>
  <c r="O642" i="5"/>
  <c r="O577" i="5"/>
  <c r="K911" i="5"/>
  <c r="D642" i="5"/>
  <c r="D577" i="5"/>
  <c r="O1056" i="5"/>
  <c r="AN1011" i="5"/>
  <c r="AN976" i="5"/>
  <c r="AM1069" i="5"/>
  <c r="AM1067" i="5"/>
  <c r="AM1062" i="5"/>
  <c r="AM1060" i="5"/>
  <c r="AM1058" i="5"/>
  <c r="AM1056" i="5"/>
  <c r="AM1054" i="5"/>
  <c r="AM1065" i="5"/>
  <c r="AM1063" i="5"/>
  <c r="AM1068" i="5"/>
  <c r="AM1061" i="5"/>
  <c r="AM1059" i="5"/>
  <c r="AM1057" i="5"/>
  <c r="AM1055" i="5"/>
  <c r="AM1064" i="5"/>
  <c r="AM1050" i="5"/>
  <c r="AM1048" i="5"/>
  <c r="AM1046" i="5"/>
  <c r="AM1053" i="5"/>
  <c r="AM1066" i="5"/>
  <c r="AM1051" i="5"/>
  <c r="AM1052" i="5"/>
  <c r="AM1047" i="5"/>
  <c r="AM1049" i="5"/>
  <c r="O1054" i="5"/>
  <c r="AN1009" i="5"/>
  <c r="AN974" i="5"/>
  <c r="J967" i="5"/>
  <c r="J939" i="5"/>
  <c r="O1051" i="5"/>
  <c r="AN1006" i="5"/>
  <c r="AN971" i="5"/>
  <c r="L969" i="5"/>
  <c r="L941" i="5"/>
  <c r="O1049" i="5"/>
  <c r="AN1004" i="5"/>
  <c r="AN969" i="5"/>
  <c r="M972" i="5"/>
  <c r="M944" i="5"/>
  <c r="L975" i="5"/>
  <c r="L947" i="5"/>
  <c r="L966" i="5"/>
  <c r="L938" i="5"/>
  <c r="N1057" i="5"/>
  <c r="AM977" i="5"/>
  <c r="AM1012" i="5"/>
  <c r="AW941" i="5"/>
  <c r="L942" i="5"/>
  <c r="L970" i="5"/>
  <c r="K914" i="5"/>
  <c r="H642" i="5"/>
  <c r="H577" i="5"/>
  <c r="L974" i="5"/>
  <c r="L946" i="5"/>
  <c r="L976" i="5"/>
  <c r="L948" i="5"/>
  <c r="R651" i="5"/>
  <c r="P1052" i="5"/>
  <c r="AO972" i="5"/>
  <c r="AO979" i="5" s="1"/>
  <c r="AO1007" i="5"/>
  <c r="K913" i="5"/>
  <c r="G642" i="5"/>
  <c r="G577" i="5"/>
  <c r="AN1005" i="5"/>
  <c r="O1050" i="5"/>
  <c r="AN970" i="5"/>
  <c r="AN1001" i="5"/>
  <c r="O1046" i="5"/>
  <c r="M979" i="5"/>
  <c r="AN966" i="5"/>
  <c r="K918" i="5"/>
  <c r="N642" i="5"/>
  <c r="Q641" i="5"/>
  <c r="N577" i="5"/>
  <c r="K909" i="5"/>
  <c r="E641" i="5"/>
  <c r="B642" i="5"/>
  <c r="B577" i="5"/>
  <c r="J920" i="5"/>
  <c r="P578" i="5"/>
  <c r="P532" i="5"/>
  <c r="J973" i="5"/>
  <c r="J945" i="5"/>
  <c r="L971" i="5"/>
  <c r="L943" i="5"/>
  <c r="M1053" i="5"/>
  <c r="AL973" i="5"/>
  <c r="AL1008" i="5"/>
  <c r="K977" i="5"/>
  <c r="K949" i="5"/>
  <c r="O1055" i="5"/>
  <c r="AN1010" i="5"/>
  <c r="AN975" i="5"/>
  <c r="AM1070" i="5" l="1"/>
  <c r="J919" i="5"/>
  <c r="O578" i="5"/>
  <c r="O532" i="5"/>
  <c r="K915" i="5"/>
  <c r="M641" i="5"/>
  <c r="J642" i="5"/>
  <c r="J577" i="5"/>
  <c r="M1057" i="5"/>
  <c r="AL977" i="5"/>
  <c r="AL1012" i="5"/>
  <c r="N1046" i="5"/>
  <c r="AM1001" i="5"/>
  <c r="AM966" i="5"/>
  <c r="AW930" i="5"/>
  <c r="L979" i="5"/>
  <c r="K946" i="5"/>
  <c r="K974" i="5"/>
  <c r="J977" i="5"/>
  <c r="J949" i="5"/>
  <c r="N1056" i="5"/>
  <c r="AM1011" i="5"/>
  <c r="AM976" i="5"/>
  <c r="AW940" i="5"/>
  <c r="N1055" i="5"/>
  <c r="AM1010" i="5"/>
  <c r="AM975" i="5"/>
  <c r="AW939" i="5"/>
  <c r="K976" i="5"/>
  <c r="K948" i="5"/>
  <c r="J909" i="5"/>
  <c r="E577" i="5"/>
  <c r="B578" i="5"/>
  <c r="B532" i="5"/>
  <c r="H916" i="5"/>
  <c r="K483" i="5"/>
  <c r="K312" i="5"/>
  <c r="L972" i="5"/>
  <c r="L944" i="5"/>
  <c r="K970" i="5"/>
  <c r="K942" i="5"/>
  <c r="N1054" i="5"/>
  <c r="AM1009" i="5"/>
  <c r="AM974" i="5"/>
  <c r="AW938" i="5"/>
  <c r="O1052" i="5"/>
  <c r="AN1007" i="5"/>
  <c r="AN972" i="5"/>
  <c r="AN979" i="5" s="1"/>
  <c r="N1048" i="5"/>
  <c r="AM1003" i="5"/>
  <c r="AM968" i="5"/>
  <c r="AW932" i="5"/>
  <c r="I967" i="5"/>
  <c r="I939" i="5"/>
  <c r="J912" i="5"/>
  <c r="F578" i="5"/>
  <c r="I577" i="5"/>
  <c r="F532" i="5"/>
  <c r="I920" i="5"/>
  <c r="P533" i="5"/>
  <c r="P489" i="5"/>
  <c r="P488" i="5" s="1"/>
  <c r="P487" i="5" s="1"/>
  <c r="P486" i="5" s="1"/>
  <c r="P485" i="5" s="1"/>
  <c r="P484" i="5" s="1"/>
  <c r="P482" i="5"/>
  <c r="N1050" i="5"/>
  <c r="AM1005" i="5"/>
  <c r="AM970" i="5"/>
  <c r="AW934" i="5"/>
  <c r="AL1066" i="5"/>
  <c r="AL1064" i="5"/>
  <c r="AL1069" i="5"/>
  <c r="AL1067" i="5"/>
  <c r="AL1062" i="5"/>
  <c r="AL1060" i="5"/>
  <c r="AL1058" i="5"/>
  <c r="AL1056" i="5"/>
  <c r="AL1065" i="5"/>
  <c r="AL1063" i="5"/>
  <c r="AL1052" i="5"/>
  <c r="AL1061" i="5"/>
  <c r="AL1054" i="5"/>
  <c r="AL1050" i="5"/>
  <c r="AL1048" i="5"/>
  <c r="AL1046" i="5"/>
  <c r="AL1057" i="5"/>
  <c r="AL1053" i="5"/>
  <c r="AL1055" i="5"/>
  <c r="AL1051" i="5"/>
  <c r="AL1049" i="5"/>
  <c r="AL1047" i="5"/>
  <c r="AL1059" i="5"/>
  <c r="AL1068" i="5"/>
  <c r="N1049" i="5"/>
  <c r="AM1004" i="5"/>
  <c r="AM969" i="5"/>
  <c r="AW933" i="5"/>
  <c r="H910" i="5"/>
  <c r="C483" i="5"/>
  <c r="C312" i="5"/>
  <c r="K975" i="5"/>
  <c r="K947" i="5"/>
  <c r="J913" i="5"/>
  <c r="G578" i="5"/>
  <c r="G532" i="5"/>
  <c r="N1051" i="5"/>
  <c r="AM1006" i="5"/>
  <c r="AM971" i="5"/>
  <c r="AW935" i="5"/>
  <c r="R641" i="5"/>
  <c r="J914" i="5"/>
  <c r="H578" i="5"/>
  <c r="H532" i="5"/>
  <c r="J911" i="5"/>
  <c r="D578" i="5"/>
  <c r="D532" i="5"/>
  <c r="K966" i="5"/>
  <c r="K922" i="5"/>
  <c r="K938" i="5"/>
  <c r="AN1014" i="5"/>
  <c r="L922" i="5"/>
  <c r="L1047" i="5"/>
  <c r="AK967" i="5"/>
  <c r="AK1002" i="5"/>
  <c r="I973" i="5"/>
  <c r="I945" i="5"/>
  <c r="L1053" i="5"/>
  <c r="AK973" i="5"/>
  <c r="AK1008" i="5"/>
  <c r="J918" i="5"/>
  <c r="N578" i="5"/>
  <c r="Q577" i="5"/>
  <c r="N532" i="5"/>
  <c r="K943" i="5"/>
  <c r="K971" i="5"/>
  <c r="K968" i="5"/>
  <c r="K940" i="5"/>
  <c r="J917" i="5"/>
  <c r="L578" i="5"/>
  <c r="L532" i="5"/>
  <c r="K969" i="5"/>
  <c r="K941" i="5"/>
  <c r="AL1070" i="5" l="1"/>
  <c r="J975" i="5"/>
  <c r="J947" i="5"/>
  <c r="M1050" i="5"/>
  <c r="AL1005" i="5"/>
  <c r="AL970" i="5"/>
  <c r="J915" i="5"/>
  <c r="M577" i="5"/>
  <c r="R577" i="5" s="1"/>
  <c r="J578" i="5"/>
  <c r="J532" i="5"/>
  <c r="I914" i="5"/>
  <c r="H533" i="5"/>
  <c r="H489" i="5"/>
  <c r="H488" i="5" s="1"/>
  <c r="H487" i="5" s="1"/>
  <c r="H486" i="5" s="1"/>
  <c r="H485" i="5" s="1"/>
  <c r="H484" i="5" s="1"/>
  <c r="H482" i="5"/>
  <c r="H967" i="5"/>
  <c r="H939" i="5"/>
  <c r="J969" i="5"/>
  <c r="J941" i="5"/>
  <c r="J966" i="5"/>
  <c r="J922" i="5"/>
  <c r="J938" i="5"/>
  <c r="AK1068" i="5"/>
  <c r="AK1061" i="5"/>
  <c r="AK1059" i="5"/>
  <c r="AK1057" i="5"/>
  <c r="AK1055" i="5"/>
  <c r="AK1066" i="5"/>
  <c r="AK1064" i="5"/>
  <c r="AK1069" i="5"/>
  <c r="AK1067" i="5"/>
  <c r="AK1062" i="5"/>
  <c r="AK1060" i="5"/>
  <c r="AK1058" i="5"/>
  <c r="AK1056" i="5"/>
  <c r="AK1054" i="5"/>
  <c r="AK1065" i="5"/>
  <c r="AK1063" i="5"/>
  <c r="AK1052" i="5"/>
  <c r="AK1050" i="5"/>
  <c r="AK1048" i="5"/>
  <c r="AK1046" i="5"/>
  <c r="AK1053" i="5"/>
  <c r="AK1049" i="5"/>
  <c r="AK1047" i="5"/>
  <c r="AK1051" i="5"/>
  <c r="M1048" i="5"/>
  <c r="AL1003" i="5"/>
  <c r="AL968" i="5"/>
  <c r="I913" i="5"/>
  <c r="G533" i="5"/>
  <c r="G489" i="5"/>
  <c r="G488" i="5" s="1"/>
  <c r="G487" i="5" s="1"/>
  <c r="G486" i="5" s="1"/>
  <c r="G485" i="5" s="1"/>
  <c r="G484" i="5" s="1"/>
  <c r="G482" i="5"/>
  <c r="H920" i="5"/>
  <c r="P483" i="5"/>
  <c r="P312" i="5"/>
  <c r="N1052" i="5"/>
  <c r="AM1007" i="5"/>
  <c r="AM972" i="5"/>
  <c r="AW936" i="5"/>
  <c r="AW943" i="5" s="1"/>
  <c r="AM979" i="5"/>
  <c r="K1047" i="5"/>
  <c r="AJ1002" i="5"/>
  <c r="AJ967" i="5"/>
  <c r="E916" i="5"/>
  <c r="K314" i="5"/>
  <c r="K313" i="5"/>
  <c r="K133" i="5"/>
  <c r="M1056" i="5"/>
  <c r="AL1011" i="5"/>
  <c r="AL976" i="5"/>
  <c r="AM1014" i="5"/>
  <c r="K944" i="5"/>
  <c r="K972" i="5"/>
  <c r="E910" i="5"/>
  <c r="C313" i="5"/>
  <c r="C314" i="5"/>
  <c r="C133" i="5"/>
  <c r="J974" i="5"/>
  <c r="J946" i="5"/>
  <c r="J940" i="5"/>
  <c r="J968" i="5"/>
  <c r="M1051" i="5"/>
  <c r="AL1006" i="5"/>
  <c r="AL971" i="5"/>
  <c r="J971" i="5"/>
  <c r="J943" i="5"/>
  <c r="J942" i="5"/>
  <c r="J970" i="5"/>
  <c r="I919" i="5"/>
  <c r="O533" i="5"/>
  <c r="O489" i="5"/>
  <c r="O488" i="5" s="1"/>
  <c r="O487" i="5" s="1"/>
  <c r="O486" i="5" s="1"/>
  <c r="O485" i="5" s="1"/>
  <c r="O484" i="5" s="1"/>
  <c r="O482" i="5"/>
  <c r="M1049" i="5"/>
  <c r="AL1004" i="5"/>
  <c r="AL969" i="5"/>
  <c r="I918" i="5"/>
  <c r="N533" i="5"/>
  <c r="N489" i="5"/>
  <c r="N488" i="5" s="1"/>
  <c r="N487" i="5" s="1"/>
  <c r="N486" i="5" s="1"/>
  <c r="N485" i="5" s="1"/>
  <c r="N484" i="5" s="1"/>
  <c r="Q532" i="5"/>
  <c r="N482" i="5"/>
  <c r="K1053" i="5"/>
  <c r="AJ1008" i="5"/>
  <c r="AJ973" i="5"/>
  <c r="M1046" i="5"/>
  <c r="AL1001" i="5"/>
  <c r="AL966" i="5"/>
  <c r="K979" i="5"/>
  <c r="I977" i="5"/>
  <c r="I949" i="5"/>
  <c r="H973" i="5"/>
  <c r="H945" i="5"/>
  <c r="L1057" i="5"/>
  <c r="AK977" i="5"/>
  <c r="AK1012" i="5"/>
  <c r="I917" i="5"/>
  <c r="L489" i="5"/>
  <c r="L488" i="5" s="1"/>
  <c r="L487" i="5" s="1"/>
  <c r="L486" i="5" s="1"/>
  <c r="L485" i="5" s="1"/>
  <c r="L484" i="5" s="1"/>
  <c r="L533" i="5"/>
  <c r="L482" i="5"/>
  <c r="I911" i="5"/>
  <c r="D533" i="5"/>
  <c r="D489" i="5"/>
  <c r="D488" i="5" s="1"/>
  <c r="D487" i="5" s="1"/>
  <c r="D486" i="5" s="1"/>
  <c r="D485" i="5" s="1"/>
  <c r="D484" i="5" s="1"/>
  <c r="D482" i="5"/>
  <c r="M1055" i="5"/>
  <c r="AL975" i="5"/>
  <c r="AL1010" i="5"/>
  <c r="F533" i="5"/>
  <c r="F489" i="5"/>
  <c r="F488" i="5" s="1"/>
  <c r="F487" i="5" s="1"/>
  <c r="F486" i="5" s="1"/>
  <c r="F485" i="5" s="1"/>
  <c r="F484" i="5" s="1"/>
  <c r="I912" i="5"/>
  <c r="I532" i="5"/>
  <c r="F482" i="5"/>
  <c r="I909" i="5"/>
  <c r="B489" i="5"/>
  <c r="B488" i="5" s="1"/>
  <c r="B487" i="5" s="1"/>
  <c r="B486" i="5" s="1"/>
  <c r="B485" i="5" s="1"/>
  <c r="B484" i="5" s="1"/>
  <c r="E532" i="5"/>
  <c r="B533" i="5"/>
  <c r="B482" i="5"/>
  <c r="M1054" i="5"/>
  <c r="AL1009" i="5"/>
  <c r="AL974" i="5"/>
  <c r="J976" i="5"/>
  <c r="J948" i="5"/>
  <c r="AK1070" i="5" l="1"/>
  <c r="I940" i="5"/>
  <c r="I968" i="5"/>
  <c r="E920" i="5"/>
  <c r="P313" i="5"/>
  <c r="P314" i="5"/>
  <c r="P133" i="5"/>
  <c r="L1049" i="5"/>
  <c r="AK1004" i="5"/>
  <c r="AK969" i="5"/>
  <c r="H917" i="5"/>
  <c r="L483" i="5"/>
  <c r="L312" i="5"/>
  <c r="J1053" i="5"/>
  <c r="Z1053" i="5" s="1"/>
  <c r="AI1008" i="5"/>
  <c r="AI973" i="5"/>
  <c r="AI907" i="5"/>
  <c r="L1054" i="5"/>
  <c r="AK974" i="5"/>
  <c r="AK1009" i="5"/>
  <c r="L1051" i="5"/>
  <c r="AK1006" i="5"/>
  <c r="AK971" i="5"/>
  <c r="D910" i="5"/>
  <c r="C134" i="5"/>
  <c r="C64" i="5"/>
  <c r="AJ1068" i="5"/>
  <c r="AJ1061" i="5"/>
  <c r="AJ1059" i="5"/>
  <c r="AJ1057" i="5"/>
  <c r="AJ1055" i="5"/>
  <c r="AJ1066" i="5"/>
  <c r="AJ1064" i="5"/>
  <c r="AJ1069" i="5"/>
  <c r="AJ1067" i="5"/>
  <c r="AJ1062" i="5"/>
  <c r="AJ1060" i="5"/>
  <c r="AJ1058" i="5"/>
  <c r="AJ1056" i="5"/>
  <c r="AJ1054" i="5"/>
  <c r="AJ1065" i="5"/>
  <c r="AJ1049" i="5"/>
  <c r="AJ1047" i="5"/>
  <c r="AJ1052" i="5"/>
  <c r="AJ1063" i="5"/>
  <c r="AJ1050" i="5"/>
  <c r="AJ1048" i="5"/>
  <c r="AJ1046" i="5"/>
  <c r="AJ1051" i="5"/>
  <c r="AJ1053" i="5"/>
  <c r="H977" i="5"/>
  <c r="H949" i="5"/>
  <c r="J1047" i="5"/>
  <c r="AI1002" i="5"/>
  <c r="AI967" i="5"/>
  <c r="AI901" i="5"/>
  <c r="J972" i="5"/>
  <c r="J944" i="5"/>
  <c r="AJ1012" i="5"/>
  <c r="K1057" i="5"/>
  <c r="AJ977" i="5"/>
  <c r="H918" i="5"/>
  <c r="Q482" i="5"/>
  <c r="N483" i="5"/>
  <c r="N312" i="5"/>
  <c r="H919" i="5"/>
  <c r="O483" i="5"/>
  <c r="O312" i="5"/>
  <c r="H913" i="5"/>
  <c r="G483" i="5"/>
  <c r="G312" i="5"/>
  <c r="H914" i="5"/>
  <c r="H483" i="5"/>
  <c r="H312" i="5"/>
  <c r="D916" i="5"/>
  <c r="K134" i="5"/>
  <c r="K64" i="5"/>
  <c r="L1056" i="5"/>
  <c r="AK1011" i="5"/>
  <c r="AK976" i="5"/>
  <c r="I938" i="5"/>
  <c r="I966" i="5"/>
  <c r="I974" i="5"/>
  <c r="I946" i="5"/>
  <c r="E967" i="5"/>
  <c r="AR936" i="5"/>
  <c r="E939" i="5"/>
  <c r="H909" i="5"/>
  <c r="B483" i="5"/>
  <c r="E482" i="5"/>
  <c r="B312" i="5"/>
  <c r="I976" i="5"/>
  <c r="I948" i="5"/>
  <c r="L1048" i="5"/>
  <c r="AK1003" i="5"/>
  <c r="AK968" i="5"/>
  <c r="M1052" i="5"/>
  <c r="AL1007" i="5"/>
  <c r="AL1014" i="5" s="1"/>
  <c r="AL972" i="5"/>
  <c r="I970" i="5"/>
  <c r="I942" i="5"/>
  <c r="L1046" i="5"/>
  <c r="J979" i="5"/>
  <c r="AK966" i="5"/>
  <c r="AK1001" i="5"/>
  <c r="I971" i="5"/>
  <c r="I943" i="5"/>
  <c r="H912" i="5"/>
  <c r="I482" i="5"/>
  <c r="F483" i="5"/>
  <c r="F312" i="5"/>
  <c r="H911" i="5"/>
  <c r="D483" i="5"/>
  <c r="D312" i="5"/>
  <c r="AL979" i="5"/>
  <c r="I969" i="5"/>
  <c r="I941" i="5"/>
  <c r="I947" i="5"/>
  <c r="I975" i="5"/>
  <c r="L1050" i="5"/>
  <c r="AK1005" i="5"/>
  <c r="AK970" i="5"/>
  <c r="E973" i="5"/>
  <c r="AR942" i="5"/>
  <c r="E945" i="5"/>
  <c r="I915" i="5"/>
  <c r="J489" i="5"/>
  <c r="J488" i="5" s="1"/>
  <c r="J487" i="5" s="1"/>
  <c r="J486" i="5" s="1"/>
  <c r="J485" i="5" s="1"/>
  <c r="J484" i="5" s="1"/>
  <c r="M532" i="5"/>
  <c r="R532" i="5" s="1"/>
  <c r="J533" i="5"/>
  <c r="J482" i="5"/>
  <c r="L1055" i="5"/>
  <c r="AK1010" i="5"/>
  <c r="AK975" i="5"/>
  <c r="AJ1070" i="5" l="1"/>
  <c r="I944" i="5"/>
  <c r="I972" i="5"/>
  <c r="K1049" i="5"/>
  <c r="AJ1004" i="5"/>
  <c r="AJ969" i="5"/>
  <c r="H969" i="5"/>
  <c r="H941" i="5"/>
  <c r="K1050" i="5"/>
  <c r="AJ1005" i="5"/>
  <c r="AJ970" i="5"/>
  <c r="K1056" i="5"/>
  <c r="AJ1011" i="5"/>
  <c r="AJ976" i="5"/>
  <c r="G1047" i="5"/>
  <c r="AG1002" i="5"/>
  <c r="AG967" i="5"/>
  <c r="H975" i="5"/>
  <c r="H947" i="5"/>
  <c r="D920" i="5"/>
  <c r="P134" i="5"/>
  <c r="P64" i="5"/>
  <c r="H971" i="5"/>
  <c r="H943" i="5"/>
  <c r="G1053" i="5"/>
  <c r="AG1008" i="5"/>
  <c r="AG973" i="5"/>
  <c r="C916" i="5"/>
  <c r="K65" i="5"/>
  <c r="K29" i="5"/>
  <c r="H970" i="5"/>
  <c r="H942" i="5"/>
  <c r="AI1063" i="5"/>
  <c r="AI1068" i="5"/>
  <c r="AI1061" i="5"/>
  <c r="AI1059" i="5"/>
  <c r="AI1057" i="5"/>
  <c r="AI1055" i="5"/>
  <c r="AI1066" i="5"/>
  <c r="AI1064" i="5"/>
  <c r="AI1069" i="5"/>
  <c r="AI1067" i="5"/>
  <c r="AI1062" i="5"/>
  <c r="AI1060" i="5"/>
  <c r="AI1058" i="5"/>
  <c r="AI1056" i="5"/>
  <c r="AI1054" i="5"/>
  <c r="AI1051" i="5"/>
  <c r="AI1049" i="5"/>
  <c r="AI1047" i="5"/>
  <c r="AI1052" i="5"/>
  <c r="Z1047" i="5"/>
  <c r="AI1053" i="5"/>
  <c r="AI1065" i="5"/>
  <c r="AI1050" i="5"/>
  <c r="AI1048" i="5"/>
  <c r="AI1046" i="5"/>
  <c r="AI1095" i="5"/>
  <c r="AI1096" i="5"/>
  <c r="E913" i="5"/>
  <c r="G314" i="5"/>
  <c r="G313" i="5"/>
  <c r="G133" i="5"/>
  <c r="H915" i="5"/>
  <c r="J483" i="5"/>
  <c r="M482" i="5"/>
  <c r="J312" i="5"/>
  <c r="E911" i="5"/>
  <c r="D313" i="5"/>
  <c r="D314" i="5"/>
  <c r="D133" i="5"/>
  <c r="K1051" i="5"/>
  <c r="AJ1006" i="5"/>
  <c r="AJ971" i="5"/>
  <c r="E909" i="5"/>
  <c r="E312" i="5"/>
  <c r="B313" i="5"/>
  <c r="B314" i="5"/>
  <c r="B133" i="5"/>
  <c r="K1054" i="5"/>
  <c r="AJ1009" i="5"/>
  <c r="AJ974" i="5"/>
  <c r="E919" i="5"/>
  <c r="O313" i="5"/>
  <c r="O314" i="5"/>
  <c r="O133" i="5"/>
  <c r="E917" i="5"/>
  <c r="L313" i="5"/>
  <c r="L314" i="5"/>
  <c r="L133" i="5"/>
  <c r="D967" i="5"/>
  <c r="D939" i="5"/>
  <c r="AQ936" i="5"/>
  <c r="R482" i="5"/>
  <c r="K1046" i="5"/>
  <c r="AJ1001" i="5"/>
  <c r="I979" i="5"/>
  <c r="AJ966" i="5"/>
  <c r="D973" i="5"/>
  <c r="AQ942" i="5"/>
  <c r="D945" i="5"/>
  <c r="J1057" i="5"/>
  <c r="Z1057" i="5" s="1"/>
  <c r="AI1012" i="5"/>
  <c r="AI977" i="5"/>
  <c r="AI911" i="5"/>
  <c r="AR946" i="5"/>
  <c r="E977" i="5"/>
  <c r="E949" i="5"/>
  <c r="H968" i="5"/>
  <c r="H940" i="5"/>
  <c r="AK979" i="5"/>
  <c r="E914" i="5"/>
  <c r="H314" i="5"/>
  <c r="H313" i="5"/>
  <c r="H133" i="5"/>
  <c r="H976" i="5"/>
  <c r="H948" i="5"/>
  <c r="C910" i="5"/>
  <c r="C65" i="5"/>
  <c r="C29" i="5"/>
  <c r="H974" i="5"/>
  <c r="H946" i="5"/>
  <c r="K1048" i="5"/>
  <c r="AJ1003" i="5"/>
  <c r="AJ968" i="5"/>
  <c r="AJ1010" i="5"/>
  <c r="K1055" i="5"/>
  <c r="AJ975" i="5"/>
  <c r="E912" i="5"/>
  <c r="I312" i="5"/>
  <c r="F313" i="5"/>
  <c r="F314" i="5"/>
  <c r="F133" i="5"/>
  <c r="H966" i="5"/>
  <c r="H938" i="5"/>
  <c r="H922" i="5"/>
  <c r="I922" i="5"/>
  <c r="E918" i="5"/>
  <c r="N313" i="5"/>
  <c r="Q312" i="5"/>
  <c r="N314" i="5"/>
  <c r="N133" i="5"/>
  <c r="L1052" i="5"/>
  <c r="AK1007" i="5"/>
  <c r="AK1014" i="5" s="1"/>
  <c r="AK972" i="5"/>
  <c r="AI1070" i="5" l="1"/>
  <c r="H972" i="5"/>
  <c r="H944" i="5"/>
  <c r="D918" i="5"/>
  <c r="Q133" i="5"/>
  <c r="N134" i="5"/>
  <c r="N64" i="5"/>
  <c r="J1046" i="5"/>
  <c r="Z1046" i="5" s="1"/>
  <c r="AI1001" i="5"/>
  <c r="H979" i="5"/>
  <c r="AI966" i="5"/>
  <c r="AI900" i="5"/>
  <c r="C967" i="5"/>
  <c r="C939" i="5"/>
  <c r="AP936" i="5"/>
  <c r="AI1107" i="5"/>
  <c r="AI1108" i="5"/>
  <c r="E974" i="5"/>
  <c r="AR943" i="5"/>
  <c r="E946" i="5"/>
  <c r="D909" i="5"/>
  <c r="B134" i="5"/>
  <c r="E133" i="5"/>
  <c r="B64" i="5"/>
  <c r="D911" i="5"/>
  <c r="D134" i="5"/>
  <c r="D64" i="5"/>
  <c r="D913" i="5"/>
  <c r="G134" i="5"/>
  <c r="G64" i="5"/>
  <c r="J1050" i="5"/>
  <c r="Z1050" i="5" s="1"/>
  <c r="AI1005" i="5"/>
  <c r="AI970" i="5"/>
  <c r="AI904" i="5"/>
  <c r="J1051" i="5"/>
  <c r="Z1051" i="5" s="1"/>
  <c r="AI971" i="5"/>
  <c r="AI1006" i="5"/>
  <c r="AI905" i="5"/>
  <c r="AG1069" i="5"/>
  <c r="AG1067" i="5"/>
  <c r="AG1062" i="5"/>
  <c r="AG1060" i="5"/>
  <c r="AG1058" i="5"/>
  <c r="AG1056" i="5"/>
  <c r="AG1054" i="5"/>
  <c r="AG1065" i="5"/>
  <c r="AG1063" i="5"/>
  <c r="AG1068" i="5"/>
  <c r="AG1061" i="5"/>
  <c r="AG1059" i="5"/>
  <c r="AG1057" i="5"/>
  <c r="AG1055" i="5"/>
  <c r="AG1066" i="5"/>
  <c r="AG1064" i="5"/>
  <c r="AG1053" i="5"/>
  <c r="AG1051" i="5"/>
  <c r="AG1049" i="5"/>
  <c r="AG1047" i="5"/>
  <c r="AG1050" i="5"/>
  <c r="AG1048" i="5"/>
  <c r="AG1046" i="5"/>
  <c r="AG1052" i="5"/>
  <c r="J1049" i="5"/>
  <c r="Z1049" i="5" s="1"/>
  <c r="AI1004" i="5"/>
  <c r="AI969" i="5"/>
  <c r="AI903" i="5"/>
  <c r="B910" i="5"/>
  <c r="C19" i="5"/>
  <c r="C20" i="5" s="1"/>
  <c r="C30" i="5"/>
  <c r="C920" i="5"/>
  <c r="P65" i="5"/>
  <c r="P29" i="5"/>
  <c r="J1056" i="5"/>
  <c r="Z1056" i="5" s="1"/>
  <c r="AI1011" i="5"/>
  <c r="AI976" i="5"/>
  <c r="AI910" i="5"/>
  <c r="D914" i="5"/>
  <c r="H134" i="5"/>
  <c r="H64" i="5"/>
  <c r="G1057" i="5"/>
  <c r="AG977" i="5"/>
  <c r="AG1012" i="5"/>
  <c r="F1053" i="5"/>
  <c r="AF1008" i="5"/>
  <c r="AF973" i="5"/>
  <c r="AR937" i="5"/>
  <c r="E968" i="5"/>
  <c r="E940" i="5"/>
  <c r="E970" i="5"/>
  <c r="E942" i="5"/>
  <c r="AR939" i="5"/>
  <c r="AI1077" i="5"/>
  <c r="AI1078" i="5"/>
  <c r="C973" i="5"/>
  <c r="C945" i="5"/>
  <c r="AP942" i="5"/>
  <c r="D977" i="5"/>
  <c r="AQ946" i="5"/>
  <c r="D949" i="5"/>
  <c r="E971" i="5"/>
  <c r="AR940" i="5"/>
  <c r="E943" i="5"/>
  <c r="B916" i="5"/>
  <c r="K19" i="5"/>
  <c r="K20" i="5" s="1"/>
  <c r="K30" i="5"/>
  <c r="AR944" i="5"/>
  <c r="E947" i="5"/>
  <c r="E975" i="5"/>
  <c r="F1047" i="5"/>
  <c r="AF1002" i="5"/>
  <c r="AF967" i="5"/>
  <c r="E976" i="5"/>
  <c r="E948" i="5"/>
  <c r="AR945" i="5"/>
  <c r="E938" i="5"/>
  <c r="E966" i="5"/>
  <c r="AR935" i="5"/>
  <c r="E922" i="5"/>
  <c r="E915" i="5"/>
  <c r="J314" i="5"/>
  <c r="M312" i="5"/>
  <c r="R312" i="5" s="1"/>
  <c r="J313" i="5"/>
  <c r="J133" i="5"/>
  <c r="K1052" i="5"/>
  <c r="AJ1007" i="5"/>
  <c r="AJ1014" i="5" s="1"/>
  <c r="AJ972" i="5"/>
  <c r="AJ979" i="5" s="1"/>
  <c r="D912" i="5"/>
  <c r="I133" i="5"/>
  <c r="F134" i="5"/>
  <c r="F64" i="5"/>
  <c r="J1048" i="5"/>
  <c r="Z1048" i="5" s="1"/>
  <c r="AI1003" i="5"/>
  <c r="AI968" i="5"/>
  <c r="AI902" i="5"/>
  <c r="D919" i="5"/>
  <c r="O134" i="5"/>
  <c r="O64" i="5"/>
  <c r="E969" i="5"/>
  <c r="E941" i="5"/>
  <c r="AR938" i="5"/>
  <c r="J1054" i="5"/>
  <c r="Z1054" i="5" s="1"/>
  <c r="AI1009" i="5"/>
  <c r="AI974" i="5"/>
  <c r="AI908" i="5"/>
  <c r="D917" i="5"/>
  <c r="L134" i="5"/>
  <c r="L64" i="5"/>
  <c r="J1055" i="5"/>
  <c r="Z1055" i="5" s="1"/>
  <c r="AI1010" i="5"/>
  <c r="AI975" i="5"/>
  <c r="AI909" i="5"/>
  <c r="AG1070" i="5" l="1"/>
  <c r="C909" i="5"/>
  <c r="E64" i="5"/>
  <c r="B65" i="5"/>
  <c r="B29" i="5"/>
  <c r="AI1101" i="5"/>
  <c r="AI1102" i="5"/>
  <c r="G1046" i="5"/>
  <c r="AG1001" i="5"/>
  <c r="AG966" i="5"/>
  <c r="C977" i="5"/>
  <c r="C949" i="5"/>
  <c r="AP946" i="5"/>
  <c r="AI1083" i="5"/>
  <c r="AI1084" i="5"/>
  <c r="AI1086" i="5"/>
  <c r="AI1087" i="5"/>
  <c r="C918" i="5"/>
  <c r="N29" i="5"/>
  <c r="N65" i="5"/>
  <c r="Q64" i="5"/>
  <c r="D968" i="5"/>
  <c r="AQ937" i="5"/>
  <c r="D940" i="5"/>
  <c r="E1053" i="5"/>
  <c r="AE973" i="5"/>
  <c r="AE1008" i="5"/>
  <c r="C914" i="5"/>
  <c r="H65" i="5"/>
  <c r="H29" i="5"/>
  <c r="AI1074" i="5"/>
  <c r="AI1075" i="5"/>
  <c r="C917" i="5"/>
  <c r="L65" i="5"/>
  <c r="L29" i="5"/>
  <c r="AI1081" i="5"/>
  <c r="AI1080" i="5"/>
  <c r="D915" i="5"/>
  <c r="D922" i="5" s="1"/>
  <c r="J134" i="5"/>
  <c r="M133" i="5"/>
  <c r="R133" i="5" s="1"/>
  <c r="J64" i="5"/>
  <c r="AG975" i="5"/>
  <c r="G1055" i="5"/>
  <c r="AG1010" i="5"/>
  <c r="G1051" i="5"/>
  <c r="AG971" i="5"/>
  <c r="AG1006" i="5"/>
  <c r="D971" i="5"/>
  <c r="D943" i="5"/>
  <c r="AQ940" i="5"/>
  <c r="C913" i="5"/>
  <c r="G65" i="5"/>
  <c r="G29" i="5"/>
  <c r="D966" i="5"/>
  <c r="D938" i="5"/>
  <c r="AQ935" i="5"/>
  <c r="E1047" i="5"/>
  <c r="AE1002" i="5"/>
  <c r="AE967" i="5"/>
  <c r="AG1003" i="5"/>
  <c r="AG968" i="5"/>
  <c r="G1048" i="5"/>
  <c r="AF1069" i="5"/>
  <c r="AF1067" i="5"/>
  <c r="AF1062" i="5"/>
  <c r="AF1060" i="5"/>
  <c r="AF1058" i="5"/>
  <c r="AF1056" i="5"/>
  <c r="AF1054" i="5"/>
  <c r="AF1065" i="5"/>
  <c r="AF1063" i="5"/>
  <c r="AF1068" i="5"/>
  <c r="AF1061" i="5"/>
  <c r="AF1059" i="5"/>
  <c r="AF1057" i="5"/>
  <c r="AF1055" i="5"/>
  <c r="AF1066" i="5"/>
  <c r="AF1064" i="5"/>
  <c r="AF1050" i="5"/>
  <c r="AF1048" i="5"/>
  <c r="AF1046" i="5"/>
  <c r="AF1053" i="5"/>
  <c r="AF1051" i="5"/>
  <c r="AF1049" i="5"/>
  <c r="AF1047" i="5"/>
  <c r="AF1052" i="5"/>
  <c r="C912" i="5"/>
  <c r="F29" i="5"/>
  <c r="F65" i="5"/>
  <c r="I64" i="5"/>
  <c r="AQ943" i="5"/>
  <c r="D946" i="5"/>
  <c r="D974" i="5"/>
  <c r="C919" i="5"/>
  <c r="O65" i="5"/>
  <c r="O29" i="5"/>
  <c r="B967" i="5"/>
  <c r="B939" i="5"/>
  <c r="AG901" i="5"/>
  <c r="AH901" i="5" s="1"/>
  <c r="AJ901" i="5" s="1"/>
  <c r="AL901" i="5" s="1"/>
  <c r="AO936" i="5"/>
  <c r="AT936" i="5" s="1"/>
  <c r="AN901" i="5"/>
  <c r="D942" i="5"/>
  <c r="D970" i="5"/>
  <c r="AQ939" i="5"/>
  <c r="D975" i="5"/>
  <c r="AQ944" i="5"/>
  <c r="D947" i="5"/>
  <c r="AI1098" i="5"/>
  <c r="AI1099" i="5"/>
  <c r="G1056" i="5"/>
  <c r="AG976" i="5"/>
  <c r="AG1011" i="5"/>
  <c r="F1057" i="5"/>
  <c r="AF1012" i="5"/>
  <c r="AF977" i="5"/>
  <c r="G1050" i="5"/>
  <c r="AG970" i="5"/>
  <c r="AG1005" i="5"/>
  <c r="AI1089" i="5"/>
  <c r="AI1090" i="5"/>
  <c r="C911" i="5"/>
  <c r="D65" i="5"/>
  <c r="D29" i="5"/>
  <c r="AI979" i="5"/>
  <c r="B973" i="5"/>
  <c r="B945" i="5"/>
  <c r="AG907" i="5"/>
  <c r="AH907" i="5" s="1"/>
  <c r="AJ907" i="5" s="1"/>
  <c r="AL907" i="5" s="1"/>
  <c r="AN907" i="5"/>
  <c r="AO942" i="5"/>
  <c r="AT942" i="5" s="1"/>
  <c r="B920" i="5"/>
  <c r="P30" i="5"/>
  <c r="P19" i="5"/>
  <c r="P20" i="5" s="1"/>
  <c r="AI1014" i="5"/>
  <c r="G1049" i="5"/>
  <c r="AG1004" i="5"/>
  <c r="AG969" i="5"/>
  <c r="D976" i="5"/>
  <c r="AQ945" i="5"/>
  <c r="D948" i="5"/>
  <c r="D969" i="5"/>
  <c r="D941" i="5"/>
  <c r="AQ938" i="5"/>
  <c r="E972" i="5"/>
  <c r="E944" i="5"/>
  <c r="AR941" i="5"/>
  <c r="AR948" i="5" s="1"/>
  <c r="AI1104" i="5"/>
  <c r="AI1105" i="5"/>
  <c r="G1054" i="5"/>
  <c r="AG974" i="5"/>
  <c r="AG1009" i="5"/>
  <c r="J1052" i="5"/>
  <c r="Z1052" i="5" s="1"/>
  <c r="AI1007" i="5"/>
  <c r="AI906" i="5"/>
  <c r="AI913" i="5" s="1"/>
  <c r="AI972" i="5"/>
  <c r="AF1070" i="5" l="1"/>
  <c r="B911" i="5"/>
  <c r="D30" i="5"/>
  <c r="D19" i="5"/>
  <c r="D20" i="5" s="1"/>
  <c r="B913" i="5"/>
  <c r="G19" i="5"/>
  <c r="G20" i="5" s="1"/>
  <c r="G30" i="5"/>
  <c r="B977" i="5"/>
  <c r="B949" i="5"/>
  <c r="AN911" i="5"/>
  <c r="AO946" i="5"/>
  <c r="AT946" i="5" s="1"/>
  <c r="AG911" i="5"/>
  <c r="AH911" i="5" s="1"/>
  <c r="AJ911" i="5" s="1"/>
  <c r="AL911" i="5" s="1"/>
  <c r="C971" i="5"/>
  <c r="C943" i="5"/>
  <c r="AP940" i="5"/>
  <c r="B914" i="5"/>
  <c r="H19" i="5"/>
  <c r="H20" i="5" s="1"/>
  <c r="H30" i="5"/>
  <c r="F1055" i="5"/>
  <c r="AF1010" i="5"/>
  <c r="AF975" i="5"/>
  <c r="B909" i="5"/>
  <c r="B19" i="5"/>
  <c r="E29" i="5"/>
  <c r="B30" i="5"/>
  <c r="AD1002" i="5"/>
  <c r="AS1002" i="5" s="1"/>
  <c r="R967" i="5"/>
  <c r="B995" i="5" s="1"/>
  <c r="AD967" i="5"/>
  <c r="AS967" i="5" s="1"/>
  <c r="R1074" i="5"/>
  <c r="AE1069" i="5"/>
  <c r="AS1069" i="5" s="1"/>
  <c r="AE1067" i="5"/>
  <c r="AS1067" i="5" s="1"/>
  <c r="AE1062" i="5"/>
  <c r="AS1062" i="5" s="1"/>
  <c r="AE1060" i="5"/>
  <c r="AS1060" i="5" s="1"/>
  <c r="AE1058" i="5"/>
  <c r="AS1058" i="5" s="1"/>
  <c r="AE1056" i="5"/>
  <c r="AS1056" i="5" s="1"/>
  <c r="AE1054" i="5"/>
  <c r="AS1054" i="5" s="1"/>
  <c r="AE1065" i="5"/>
  <c r="AS1065" i="5" s="1"/>
  <c r="AE1063" i="5"/>
  <c r="AS1063" i="5" s="1"/>
  <c r="AE1068" i="5"/>
  <c r="AS1068" i="5" s="1"/>
  <c r="AE1061" i="5"/>
  <c r="AS1061" i="5" s="1"/>
  <c r="AE1059" i="5"/>
  <c r="AS1059" i="5" s="1"/>
  <c r="AE1057" i="5"/>
  <c r="AS1057" i="5" s="1"/>
  <c r="AE1055" i="5"/>
  <c r="AS1055" i="5" s="1"/>
  <c r="AE1064" i="5"/>
  <c r="AS1064" i="5" s="1"/>
  <c r="AE1050" i="5"/>
  <c r="AS1050" i="5" s="1"/>
  <c r="AE1048" i="5"/>
  <c r="AS1048" i="5" s="1"/>
  <c r="AE1046" i="5"/>
  <c r="AE1053" i="5"/>
  <c r="AS1053" i="5" s="1"/>
  <c r="AE1066" i="5"/>
  <c r="AS1066" i="5" s="1"/>
  <c r="AE1051" i="5"/>
  <c r="AS1051" i="5" s="1"/>
  <c r="AE1052" i="5"/>
  <c r="AS1052" i="5" s="1"/>
  <c r="AE1047" i="5"/>
  <c r="AS1047" i="5" s="1"/>
  <c r="AE1049" i="5"/>
  <c r="AS1049" i="5" s="1"/>
  <c r="W1047" i="5"/>
  <c r="AF1078" i="5" s="1"/>
  <c r="V1047" i="5"/>
  <c r="AF1077" i="5" s="1"/>
  <c r="U1047" i="5"/>
  <c r="T1047" i="5"/>
  <c r="C947" i="5"/>
  <c r="C975" i="5"/>
  <c r="AP944" i="5"/>
  <c r="E1057" i="5"/>
  <c r="AE977" i="5"/>
  <c r="AE1012" i="5"/>
  <c r="F1054" i="5"/>
  <c r="AF1009" i="5"/>
  <c r="AF974" i="5"/>
  <c r="F1046" i="5"/>
  <c r="AF1001" i="5"/>
  <c r="D979" i="5"/>
  <c r="AF966" i="5"/>
  <c r="B917" i="5"/>
  <c r="L30" i="5"/>
  <c r="L19" i="5"/>
  <c r="L20" i="5" s="1"/>
  <c r="AI1092" i="5"/>
  <c r="AI1093" i="5"/>
  <c r="G1052" i="5"/>
  <c r="AG972" i="5"/>
  <c r="AG1007" i="5"/>
  <c r="AG1014" i="5" s="1"/>
  <c r="B919" i="5"/>
  <c r="O30" i="5"/>
  <c r="O19" i="5"/>
  <c r="O20" i="5" s="1"/>
  <c r="B912" i="5"/>
  <c r="F30" i="5"/>
  <c r="F19" i="5"/>
  <c r="I29" i="5"/>
  <c r="C915" i="5"/>
  <c r="C922" i="5" s="1"/>
  <c r="M64" i="5"/>
  <c r="R64" i="5" s="1"/>
  <c r="J65" i="5"/>
  <c r="J29" i="5"/>
  <c r="C946" i="5"/>
  <c r="AP943" i="5"/>
  <c r="C974" i="5"/>
  <c r="U1053" i="5"/>
  <c r="V1053" i="5"/>
  <c r="AF1095" i="5" s="1"/>
  <c r="T1053" i="5"/>
  <c r="W1053" i="5"/>
  <c r="AF1096" i="5" s="1"/>
  <c r="AG979" i="5"/>
  <c r="D972" i="5"/>
  <c r="AQ941" i="5"/>
  <c r="D944" i="5"/>
  <c r="C968" i="5"/>
  <c r="C940" i="5"/>
  <c r="AP937" i="5"/>
  <c r="C970" i="5"/>
  <c r="C942" i="5"/>
  <c r="AP939" i="5"/>
  <c r="B918" i="5"/>
  <c r="N30" i="5"/>
  <c r="N19" i="5"/>
  <c r="Q29" i="5"/>
  <c r="F1050" i="5"/>
  <c r="AF1005" i="5"/>
  <c r="AF970" i="5"/>
  <c r="AP938" i="5"/>
  <c r="C969" i="5"/>
  <c r="C941" i="5"/>
  <c r="AQ948" i="5"/>
  <c r="F1051" i="5"/>
  <c r="AF1006" i="5"/>
  <c r="AF971" i="5"/>
  <c r="E979" i="5"/>
  <c r="C966" i="5"/>
  <c r="C938" i="5"/>
  <c r="AP935" i="5"/>
  <c r="F1049" i="5"/>
  <c r="AF1004" i="5"/>
  <c r="AF969" i="5"/>
  <c r="F1048" i="5"/>
  <c r="AF1003" i="5"/>
  <c r="AF968" i="5"/>
  <c r="F1056" i="5"/>
  <c r="AF1011" i="5"/>
  <c r="AF976" i="5"/>
  <c r="AD973" i="5"/>
  <c r="AS973" i="5" s="1"/>
  <c r="R973" i="5"/>
  <c r="B1001" i="5" s="1"/>
  <c r="AD1008" i="5"/>
  <c r="AS1008" i="5" s="1"/>
  <c r="R1080" i="5"/>
  <c r="C976" i="5"/>
  <c r="C948" i="5"/>
  <c r="AP945" i="5"/>
  <c r="C1001" i="5" l="1"/>
  <c r="C1028" i="5" s="1"/>
  <c r="B1028" i="5"/>
  <c r="B915" i="5"/>
  <c r="J19" i="5"/>
  <c r="M29" i="5"/>
  <c r="J30" i="5"/>
  <c r="AU973" i="5"/>
  <c r="D1001" i="5"/>
  <c r="R29" i="5"/>
  <c r="B971" i="5"/>
  <c r="B943" i="5"/>
  <c r="AG905" i="5"/>
  <c r="AH905" i="5" s="1"/>
  <c r="AJ905" i="5" s="1"/>
  <c r="AL905" i="5" s="1"/>
  <c r="AO940" i="5"/>
  <c r="AT940" i="5" s="1"/>
  <c r="AN905" i="5"/>
  <c r="AD977" i="5"/>
  <c r="AS977" i="5" s="1"/>
  <c r="R977" i="5"/>
  <c r="B1005" i="5" s="1"/>
  <c r="AD1012" i="5"/>
  <c r="AS1012" i="5" s="1"/>
  <c r="R1084" i="5"/>
  <c r="E1050" i="5"/>
  <c r="AE1005" i="5"/>
  <c r="AE970" i="5"/>
  <c r="B976" i="5"/>
  <c r="B948" i="5"/>
  <c r="AG910" i="5"/>
  <c r="AH910" i="5" s="1"/>
  <c r="AJ910" i="5" s="1"/>
  <c r="AL910" i="5" s="1"/>
  <c r="AN910" i="5"/>
  <c r="AO945" i="5"/>
  <c r="AT945" i="5" s="1"/>
  <c r="B974" i="5"/>
  <c r="AO943" i="5"/>
  <c r="AT943" i="5" s="1"/>
  <c r="B946" i="5"/>
  <c r="AG908" i="5"/>
  <c r="AH908" i="5" s="1"/>
  <c r="AJ908" i="5" s="1"/>
  <c r="AL908" i="5" s="1"/>
  <c r="AN908" i="5"/>
  <c r="AE1070" i="5"/>
  <c r="AS1046" i="5"/>
  <c r="E19" i="5"/>
  <c r="B20" i="5"/>
  <c r="E20" i="5" s="1"/>
  <c r="E1048" i="5"/>
  <c r="AE968" i="5"/>
  <c r="AE1003" i="5"/>
  <c r="U1057" i="5"/>
  <c r="W1057" i="5"/>
  <c r="AF1108" i="5" s="1"/>
  <c r="T1057" i="5"/>
  <c r="V1057" i="5"/>
  <c r="AF1107" i="5" s="1"/>
  <c r="E1051" i="5"/>
  <c r="AE1006" i="5"/>
  <c r="AE971" i="5"/>
  <c r="B970" i="5"/>
  <c r="AO939" i="5"/>
  <c r="AT939" i="5" s="1"/>
  <c r="AG904" i="5"/>
  <c r="AH904" i="5" s="1"/>
  <c r="AJ904" i="5" s="1"/>
  <c r="AL904" i="5" s="1"/>
  <c r="B942" i="5"/>
  <c r="AN904" i="5"/>
  <c r="Q19" i="5"/>
  <c r="N20" i="5"/>
  <c r="Q20" i="5" s="1"/>
  <c r="E1056" i="5"/>
  <c r="AE976" i="5"/>
  <c r="AE1011" i="5"/>
  <c r="E1049" i="5"/>
  <c r="AE1004" i="5"/>
  <c r="AE969" i="5"/>
  <c r="B947" i="5"/>
  <c r="B975" i="5"/>
  <c r="AG909" i="5"/>
  <c r="AH909" i="5" s="1"/>
  <c r="AJ909" i="5" s="1"/>
  <c r="AL909" i="5" s="1"/>
  <c r="AO944" i="5"/>
  <c r="AT944" i="5" s="1"/>
  <c r="AN909" i="5"/>
  <c r="E1054" i="5"/>
  <c r="AE1009" i="5"/>
  <c r="AE974" i="5"/>
  <c r="I19" i="5"/>
  <c r="F20" i="5"/>
  <c r="I20" i="5" s="1"/>
  <c r="D995" i="5"/>
  <c r="AU967" i="5"/>
  <c r="C944" i="5"/>
  <c r="C972" i="5"/>
  <c r="AP941" i="5"/>
  <c r="AP948" i="5" s="1"/>
  <c r="E1046" i="5"/>
  <c r="AE1001" i="5"/>
  <c r="AE966" i="5"/>
  <c r="F1052" i="5"/>
  <c r="AF1007" i="5"/>
  <c r="AF1014" i="5" s="1"/>
  <c r="AF972" i="5"/>
  <c r="AF979" i="5" s="1"/>
  <c r="E1055" i="5"/>
  <c r="AE975" i="5"/>
  <c r="AE1010" i="5"/>
  <c r="B1022" i="5"/>
  <c r="E995" i="5"/>
  <c r="E1022" i="5" s="1"/>
  <c r="C995" i="5"/>
  <c r="C1022" i="5" s="1"/>
  <c r="B966" i="5"/>
  <c r="B922" i="5"/>
  <c r="AO935" i="5"/>
  <c r="AN900" i="5"/>
  <c r="B938" i="5"/>
  <c r="AG900" i="5"/>
  <c r="B969" i="5"/>
  <c r="B941" i="5"/>
  <c r="AO938" i="5"/>
  <c r="AT938" i="5" s="1"/>
  <c r="AN903" i="5"/>
  <c r="AG903" i="5"/>
  <c r="AH903" i="5" s="1"/>
  <c r="AJ903" i="5" s="1"/>
  <c r="AL903" i="5" s="1"/>
  <c r="B968" i="5"/>
  <c r="B940" i="5"/>
  <c r="AG902" i="5"/>
  <c r="AH902" i="5" s="1"/>
  <c r="AJ902" i="5" s="1"/>
  <c r="AL902" i="5" s="1"/>
  <c r="AO937" i="5"/>
  <c r="AT937" i="5" s="1"/>
  <c r="AN902" i="5"/>
  <c r="AH900" i="5" l="1"/>
  <c r="AD975" i="5"/>
  <c r="AS975" i="5" s="1"/>
  <c r="R975" i="5"/>
  <c r="B1003" i="5" s="1"/>
  <c r="AD1010" i="5"/>
  <c r="AS1010" i="5" s="1"/>
  <c r="R1082" i="5"/>
  <c r="AU977" i="5"/>
  <c r="D1005" i="5"/>
  <c r="T1046" i="5"/>
  <c r="V1046" i="5"/>
  <c r="AF1074" i="5" s="1"/>
  <c r="U1046" i="5"/>
  <c r="W1046" i="5"/>
  <c r="AF1075" i="5" s="1"/>
  <c r="AD1005" i="5"/>
  <c r="AS1005" i="5" s="1"/>
  <c r="AD970" i="5"/>
  <c r="AS970" i="5" s="1"/>
  <c r="R970" i="5"/>
  <c r="B998" i="5" s="1"/>
  <c r="R1077" i="5"/>
  <c r="F995" i="5"/>
  <c r="D1022" i="5"/>
  <c r="M995" i="5"/>
  <c r="R974" i="5"/>
  <c r="B1002" i="5" s="1"/>
  <c r="AD974" i="5"/>
  <c r="AS974" i="5" s="1"/>
  <c r="AD1009" i="5"/>
  <c r="AS1009" i="5" s="1"/>
  <c r="R1081" i="5"/>
  <c r="W1055" i="5"/>
  <c r="AF1102" i="5" s="1"/>
  <c r="V1055" i="5"/>
  <c r="AF1101" i="5" s="1"/>
  <c r="U1055" i="5"/>
  <c r="T1055" i="5"/>
  <c r="AS1070" i="5"/>
  <c r="AT1046" i="5" s="1"/>
  <c r="AT935" i="5"/>
  <c r="W1048" i="5"/>
  <c r="AF1081" i="5" s="1"/>
  <c r="T1048" i="5"/>
  <c r="V1048" i="5"/>
  <c r="AF1080" i="5" s="1"/>
  <c r="U1048" i="5"/>
  <c r="J20" i="5"/>
  <c r="M20" i="5" s="1"/>
  <c r="M19" i="5"/>
  <c r="T1050" i="5"/>
  <c r="V1050" i="5"/>
  <c r="AF1086" i="5" s="1"/>
  <c r="W1050" i="5"/>
  <c r="AF1087" i="5" s="1"/>
  <c r="U1050" i="5"/>
  <c r="AD1001" i="5"/>
  <c r="B979" i="5"/>
  <c r="R1085" i="5" s="1"/>
  <c r="AD966" i="5"/>
  <c r="R966" i="5"/>
  <c r="R1073" i="5"/>
  <c r="E1052" i="5"/>
  <c r="AE972" i="5"/>
  <c r="AE1007" i="5"/>
  <c r="AE1014" i="5" s="1"/>
  <c r="R19" i="5"/>
  <c r="R976" i="5"/>
  <c r="B1004" i="5" s="1"/>
  <c r="AD976" i="5"/>
  <c r="AS976" i="5" s="1"/>
  <c r="AD1011" i="5"/>
  <c r="AS1011" i="5" s="1"/>
  <c r="R1083" i="5"/>
  <c r="AD1006" i="5"/>
  <c r="AS1006" i="5" s="1"/>
  <c r="AD971" i="5"/>
  <c r="AS971" i="5" s="1"/>
  <c r="R971" i="5"/>
  <c r="B999" i="5" s="1"/>
  <c r="R1078" i="5"/>
  <c r="M1001" i="5"/>
  <c r="D1028" i="5"/>
  <c r="AD1003" i="5"/>
  <c r="AS1003" i="5" s="1"/>
  <c r="AD968" i="5"/>
  <c r="AS968" i="5" s="1"/>
  <c r="R968" i="5"/>
  <c r="B996" i="5" s="1"/>
  <c r="R1075" i="5"/>
  <c r="T1054" i="5"/>
  <c r="W1054" i="5"/>
  <c r="AF1099" i="5" s="1"/>
  <c r="U1054" i="5"/>
  <c r="V1054" i="5"/>
  <c r="AF1098" i="5" s="1"/>
  <c r="T1049" i="5"/>
  <c r="V1049" i="5"/>
  <c r="AF1083" i="5" s="1"/>
  <c r="W1049" i="5"/>
  <c r="AF1084" i="5" s="1"/>
  <c r="U1049" i="5"/>
  <c r="W1051" i="5"/>
  <c r="AF1090" i="5" s="1"/>
  <c r="V1051" i="5"/>
  <c r="AF1089" i="5" s="1"/>
  <c r="U1051" i="5"/>
  <c r="T1051" i="5"/>
  <c r="C979" i="5"/>
  <c r="R20" i="5"/>
  <c r="B972" i="5"/>
  <c r="B944" i="5"/>
  <c r="AG906" i="5"/>
  <c r="AH906" i="5" s="1"/>
  <c r="AJ906" i="5" s="1"/>
  <c r="AL906" i="5" s="1"/>
  <c r="AO941" i="5"/>
  <c r="AT941" i="5" s="1"/>
  <c r="AN906" i="5"/>
  <c r="AD1004" i="5"/>
  <c r="AS1004" i="5" s="1"/>
  <c r="AD969" i="5"/>
  <c r="AS969" i="5" s="1"/>
  <c r="R969" i="5"/>
  <c r="B997" i="5" s="1"/>
  <c r="R1076" i="5"/>
  <c r="AE979" i="5"/>
  <c r="U1056" i="5"/>
  <c r="W1056" i="5"/>
  <c r="AF1105" i="5" s="1"/>
  <c r="V1056" i="5"/>
  <c r="AF1104" i="5" s="1"/>
  <c r="T1056" i="5"/>
  <c r="E1005" i="5"/>
  <c r="E1032" i="5" s="1"/>
  <c r="B1032" i="5"/>
  <c r="C1005" i="5"/>
  <c r="C1032" i="5" s="1"/>
  <c r="E1001" i="5"/>
  <c r="E1028" i="5" s="1"/>
  <c r="AU1046" i="5" l="1"/>
  <c r="B1031" i="5"/>
  <c r="C1004" i="5"/>
  <c r="C1031" i="5" s="1"/>
  <c r="B1030" i="5"/>
  <c r="C1003" i="5"/>
  <c r="C1030" i="5" s="1"/>
  <c r="AU969" i="5"/>
  <c r="D997" i="5"/>
  <c r="AT948" i="5"/>
  <c r="F1001" i="5"/>
  <c r="B994" i="5"/>
  <c r="D998" i="5"/>
  <c r="AU970" i="5"/>
  <c r="AT1059" i="5"/>
  <c r="AU1059" i="5" s="1"/>
  <c r="AT1062" i="5"/>
  <c r="AU1062" i="5" s="1"/>
  <c r="AT1048" i="5"/>
  <c r="AU1048" i="5" s="1"/>
  <c r="AT1050" i="5"/>
  <c r="AU1050" i="5" s="1"/>
  <c r="AT1057" i="5"/>
  <c r="AU1057" i="5" s="1"/>
  <c r="AT1060" i="5"/>
  <c r="AU1060" i="5" s="1"/>
  <c r="AT1067" i="5"/>
  <c r="AU1067" i="5" s="1"/>
  <c r="AT1052" i="5"/>
  <c r="AU1052" i="5" s="1"/>
  <c r="AT1058" i="5"/>
  <c r="AU1058" i="5" s="1"/>
  <c r="AT1053" i="5"/>
  <c r="AU1053" i="5" s="1"/>
  <c r="AT1065" i="5"/>
  <c r="AU1065" i="5" s="1"/>
  <c r="AT1047" i="5"/>
  <c r="AU1047" i="5" s="1"/>
  <c r="AT1055" i="5"/>
  <c r="AU1055" i="5" s="1"/>
  <c r="AT1064" i="5"/>
  <c r="AU1064" i="5" s="1"/>
  <c r="AT1063" i="5"/>
  <c r="AU1063" i="5" s="1"/>
  <c r="AT1056" i="5"/>
  <c r="AU1056" i="5" s="1"/>
  <c r="AT1066" i="5"/>
  <c r="AU1066" i="5" s="1"/>
  <c r="AT1061" i="5"/>
  <c r="AU1061" i="5" s="1"/>
  <c r="AT1049" i="5"/>
  <c r="AU1049" i="5" s="1"/>
  <c r="AT1054" i="5"/>
  <c r="AU1054" i="5" s="1"/>
  <c r="AT1051" i="5"/>
  <c r="AU1051" i="5" s="1"/>
  <c r="AT1068" i="5"/>
  <c r="AU1068" i="5" s="1"/>
  <c r="AT1069" i="5"/>
  <c r="AU1069" i="5" s="1"/>
  <c r="B1025" i="5"/>
  <c r="C998" i="5"/>
  <c r="C1025" i="5" s="1"/>
  <c r="E998" i="5"/>
  <c r="E1025" i="5" s="1"/>
  <c r="D1004" i="5"/>
  <c r="AU976" i="5"/>
  <c r="AS966" i="5"/>
  <c r="D1002" i="5"/>
  <c r="AU974" i="5"/>
  <c r="B1026" i="5"/>
  <c r="C999" i="5"/>
  <c r="C1026" i="5" s="1"/>
  <c r="E999" i="5"/>
  <c r="E1026" i="5" s="1"/>
  <c r="M1028" i="5"/>
  <c r="O1001" i="5"/>
  <c r="B1029" i="5"/>
  <c r="C1002" i="5"/>
  <c r="C1029" i="5" s="1"/>
  <c r="E1002" i="5"/>
  <c r="E1029" i="5" s="1"/>
  <c r="AS1001" i="5"/>
  <c r="D1003" i="5"/>
  <c r="AU975" i="5"/>
  <c r="R972" i="5"/>
  <c r="B1000" i="5" s="1"/>
  <c r="AD972" i="5"/>
  <c r="AS972" i="5" s="1"/>
  <c r="AD1007" i="5"/>
  <c r="AS1007" i="5" s="1"/>
  <c r="R1079" i="5"/>
  <c r="C996" i="5"/>
  <c r="C1023" i="5" s="1"/>
  <c r="B1023" i="5"/>
  <c r="E996" i="5"/>
  <c r="E1023" i="5" s="1"/>
  <c r="D999" i="5"/>
  <c r="AU971" i="5"/>
  <c r="F1022" i="5"/>
  <c r="AH913" i="5"/>
  <c r="AJ900" i="5"/>
  <c r="O995" i="5"/>
  <c r="M1022" i="5"/>
  <c r="C997" i="5"/>
  <c r="C1024" i="5" s="1"/>
  <c r="B1024" i="5"/>
  <c r="D996" i="5"/>
  <c r="AU968" i="5"/>
  <c r="W1052" i="5"/>
  <c r="AF1093" i="5" s="1"/>
  <c r="V1052" i="5"/>
  <c r="AF1092" i="5" s="1"/>
  <c r="U1052" i="5"/>
  <c r="T1052" i="5"/>
  <c r="AO948" i="5"/>
  <c r="M1005" i="5"/>
  <c r="D1032" i="5"/>
  <c r="F1005" i="5"/>
  <c r="AG913" i="5"/>
  <c r="AT1070" i="5" l="1"/>
  <c r="F996" i="5"/>
  <c r="D1023" i="5"/>
  <c r="M996" i="5"/>
  <c r="D1029" i="5"/>
  <c r="F1002" i="5"/>
  <c r="M1002" i="5"/>
  <c r="M998" i="5"/>
  <c r="F998" i="5"/>
  <c r="D1025" i="5"/>
  <c r="F1032" i="5"/>
  <c r="AX1052" i="5"/>
  <c r="M1032" i="5"/>
  <c r="O1005" i="5"/>
  <c r="D1000" i="5"/>
  <c r="AU972" i="5"/>
  <c r="AD979" i="5"/>
  <c r="AX1060" i="5"/>
  <c r="R979" i="5"/>
  <c r="E1003" i="5"/>
  <c r="E1030" i="5" s="1"/>
  <c r="B1027" i="5"/>
  <c r="C1000" i="5"/>
  <c r="C1027" i="5" s="1"/>
  <c r="E1000" i="5"/>
  <c r="E1027" i="5" s="1"/>
  <c r="E997" i="5"/>
  <c r="E1024" i="5" s="1"/>
  <c r="D1026" i="5"/>
  <c r="M999" i="5"/>
  <c r="F999" i="5"/>
  <c r="AX1050" i="5"/>
  <c r="F1028" i="5"/>
  <c r="E1004" i="5"/>
  <c r="E1031" i="5" s="1"/>
  <c r="F1003" i="5"/>
  <c r="D1030" i="5"/>
  <c r="M1003" i="5"/>
  <c r="D1031" i="5"/>
  <c r="O1022" i="5"/>
  <c r="AW1052" i="5"/>
  <c r="Q995" i="5"/>
  <c r="R995" i="5" s="1"/>
  <c r="S995" i="5" s="1"/>
  <c r="AW1069" i="5"/>
  <c r="AX1069" i="5" s="1"/>
  <c r="AW1068" i="5"/>
  <c r="AX1068" i="5" s="1"/>
  <c r="AW1051" i="5"/>
  <c r="AX1051" i="5" s="1"/>
  <c r="AW1048" i="5"/>
  <c r="AX1048" i="5" s="1"/>
  <c r="AW1054" i="5"/>
  <c r="AX1054" i="5" s="1"/>
  <c r="AW1047" i="5"/>
  <c r="AX1047" i="5" s="1"/>
  <c r="AW1067" i="5"/>
  <c r="AX1067" i="5" s="1"/>
  <c r="AW1050" i="5"/>
  <c r="AW1049" i="5"/>
  <c r="AX1049" i="5" s="1"/>
  <c r="AW1062" i="5"/>
  <c r="AW1063" i="5"/>
  <c r="AX1063" i="5" s="1"/>
  <c r="AW1061" i="5"/>
  <c r="AW1053" i="5"/>
  <c r="AX1053" i="5" s="1"/>
  <c r="AW1060" i="5"/>
  <c r="AW1059" i="5"/>
  <c r="AW1066" i="5"/>
  <c r="AW1058" i="5"/>
  <c r="AX1058" i="5" s="1"/>
  <c r="AW1057" i="5"/>
  <c r="AX1057" i="5" s="1"/>
  <c r="AW1056" i="5"/>
  <c r="AX1056" i="5" s="1"/>
  <c r="AW1055" i="5"/>
  <c r="AX1055" i="5" s="1"/>
  <c r="AW1065" i="5"/>
  <c r="AX1065" i="5" s="1"/>
  <c r="AW1064" i="5"/>
  <c r="AX1064" i="5" s="1"/>
  <c r="AW1046" i="5"/>
  <c r="AD1014" i="5"/>
  <c r="AX1061" i="5"/>
  <c r="AX1062" i="5"/>
  <c r="D1024" i="5"/>
  <c r="F997" i="5"/>
  <c r="M997" i="5"/>
  <c r="AU1070" i="5"/>
  <c r="AX1046" i="5"/>
  <c r="O1028" i="5"/>
  <c r="Q1001" i="5"/>
  <c r="R1001" i="5" s="1"/>
  <c r="S1001" i="5" s="1"/>
  <c r="AS979" i="5"/>
  <c r="AU979" i="5" s="1"/>
  <c r="AU966" i="5"/>
  <c r="D994" i="5"/>
  <c r="B1007" i="5"/>
  <c r="C994" i="5"/>
  <c r="E994" i="5" s="1"/>
  <c r="E1021" i="5" s="1"/>
  <c r="B1021" i="5"/>
  <c r="AL900" i="5"/>
  <c r="AL913" i="5" s="1"/>
  <c r="AJ913" i="5"/>
  <c r="AS1014" i="5"/>
  <c r="AX1066" i="5"/>
  <c r="AX1059" i="5"/>
  <c r="S1022" i="5" l="1"/>
  <c r="U995" i="5"/>
  <c r="T995" i="5"/>
  <c r="S1028" i="5"/>
  <c r="T1001" i="5"/>
  <c r="U1001" i="5"/>
  <c r="Q1028" i="5"/>
  <c r="R1028" i="5" s="1"/>
  <c r="AX1070" i="5"/>
  <c r="M1004" i="5"/>
  <c r="M1029" i="5"/>
  <c r="O1002" i="5"/>
  <c r="E1007" i="5"/>
  <c r="AW1070" i="5"/>
  <c r="F1029" i="5"/>
  <c r="C1007" i="5"/>
  <c r="C1021" i="5"/>
  <c r="D1007" i="5"/>
  <c r="M994" i="5"/>
  <c r="F994" i="5"/>
  <c r="D1021" i="5"/>
  <c r="F1024" i="5"/>
  <c r="M1030" i="5"/>
  <c r="O1003" i="5"/>
  <c r="F1025" i="5"/>
  <c r="O996" i="5"/>
  <c r="M1023" i="5"/>
  <c r="M1024" i="5"/>
  <c r="O997" i="5"/>
  <c r="F1004" i="5"/>
  <c r="D1027" i="5"/>
  <c r="M1000" i="5"/>
  <c r="F1000" i="5"/>
  <c r="M1025" i="5"/>
  <c r="O998" i="5"/>
  <c r="Q1022" i="5"/>
  <c r="R1022" i="5" s="1"/>
  <c r="F1030" i="5"/>
  <c r="F1026" i="5"/>
  <c r="O1032" i="5"/>
  <c r="Q1005" i="5"/>
  <c r="R1005" i="5" s="1"/>
  <c r="S1005" i="5" s="1"/>
  <c r="F1023" i="5"/>
  <c r="M1026" i="5"/>
  <c r="O999" i="5"/>
  <c r="S1032" i="5" l="1"/>
  <c r="T1005" i="5"/>
  <c r="U1005" i="5"/>
  <c r="O1024" i="5"/>
  <c r="Q997" i="5"/>
  <c r="R997" i="5" s="1"/>
  <c r="S997" i="5" s="1"/>
  <c r="O1025" i="5"/>
  <c r="R998" i="5"/>
  <c r="S998" i="5" s="1"/>
  <c r="Q998" i="5"/>
  <c r="F1027" i="5"/>
  <c r="O994" i="5"/>
  <c r="M1021" i="5"/>
  <c r="M1007" i="5"/>
  <c r="O1007" i="5" s="1"/>
  <c r="O1029" i="5"/>
  <c r="R1002" i="5"/>
  <c r="S1002" i="5" s="1"/>
  <c r="Q1002" i="5"/>
  <c r="U1028" i="5"/>
  <c r="T1028" i="5"/>
  <c r="O1026" i="5"/>
  <c r="R999" i="5"/>
  <c r="S999" i="5" s="1"/>
  <c r="Q999" i="5"/>
  <c r="M1027" i="5"/>
  <c r="O1000" i="5"/>
  <c r="Q1032" i="5"/>
  <c r="R1032" i="5" s="1"/>
  <c r="O1023" i="5"/>
  <c r="Q996" i="5"/>
  <c r="R996" i="5"/>
  <c r="S996" i="5" s="1"/>
  <c r="F1021" i="5"/>
  <c r="F1007" i="5"/>
  <c r="O1030" i="5"/>
  <c r="Q1003" i="5"/>
  <c r="R1003" i="5" s="1"/>
  <c r="S1003" i="5" s="1"/>
  <c r="M1031" i="5"/>
  <c r="O1004" i="5"/>
  <c r="F1031" i="5"/>
  <c r="U1022" i="5"/>
  <c r="T1022" i="5"/>
  <c r="S1030" i="5" l="1"/>
  <c r="T1003" i="5"/>
  <c r="U1003" i="5"/>
  <c r="S1024" i="5"/>
  <c r="U997" i="5"/>
  <c r="T997" i="5"/>
  <c r="S1029" i="5"/>
  <c r="T1002" i="5"/>
  <c r="U1002" i="5"/>
  <c r="Q1029" i="5"/>
  <c r="R1029" i="5" s="1"/>
  <c r="Q1025" i="5"/>
  <c r="R1025" i="5" s="1"/>
  <c r="O1027" i="5"/>
  <c r="Q1000" i="5"/>
  <c r="R1000" i="5" s="1"/>
  <c r="S1000" i="5" s="1"/>
  <c r="S1025" i="5"/>
  <c r="U998" i="5"/>
  <c r="T998" i="5"/>
  <c r="Q1024" i="5"/>
  <c r="R1024" i="5" s="1"/>
  <c r="Q1026" i="5"/>
  <c r="R1026" i="5" s="1"/>
  <c r="O1021" i="5"/>
  <c r="Q994" i="5"/>
  <c r="R994" i="5"/>
  <c r="S1026" i="5"/>
  <c r="U999" i="5"/>
  <c r="T999" i="5"/>
  <c r="Q1023" i="5"/>
  <c r="R1023" i="5" s="1"/>
  <c r="O1031" i="5"/>
  <c r="R1004" i="5"/>
  <c r="S1004" i="5" s="1"/>
  <c r="Q1004" i="5"/>
  <c r="T996" i="5"/>
  <c r="S1023" i="5"/>
  <c r="U996" i="5"/>
  <c r="Q1030" i="5"/>
  <c r="R1030" i="5" s="1"/>
  <c r="U1032" i="5"/>
  <c r="T1032" i="5"/>
  <c r="U1000" i="5" l="1"/>
  <c r="T1000" i="5"/>
  <c r="S1027" i="5"/>
  <c r="Q1027" i="5"/>
  <c r="R1027" i="5" s="1"/>
  <c r="U1029" i="5"/>
  <c r="T1029" i="5"/>
  <c r="U1023" i="5"/>
  <c r="T1023" i="5"/>
  <c r="U1026" i="5"/>
  <c r="T1026" i="5"/>
  <c r="U1024" i="5"/>
  <c r="T1024" i="5"/>
  <c r="R1007" i="5"/>
  <c r="S1007" i="5" s="1"/>
  <c r="S994" i="5"/>
  <c r="U1004" i="5"/>
  <c r="T1004" i="5"/>
  <c r="S1031" i="5"/>
  <c r="Q1007" i="5"/>
  <c r="P1007" i="5" s="1"/>
  <c r="U1025" i="5"/>
  <c r="T1025" i="5"/>
  <c r="Q1031" i="5"/>
  <c r="R1031" i="5" s="1"/>
  <c r="Q1021" i="5"/>
  <c r="R1021" i="5" s="1"/>
  <c r="U1030" i="5"/>
  <c r="T1030" i="5"/>
  <c r="S1021" i="5" l="1"/>
  <c r="U994" i="5"/>
  <c r="U1007" i="5" s="1"/>
  <c r="T994" i="5"/>
  <c r="T1007" i="5" s="1"/>
  <c r="U1027" i="5"/>
  <c r="T1027" i="5"/>
  <c r="U1031" i="5"/>
  <c r="T1031" i="5"/>
  <c r="U1021" i="5" l="1"/>
  <c r="T1021" i="5"/>
  <c r="O1164" i="4" l="1"/>
  <c r="K1164" i="4"/>
  <c r="Q1161" i="4"/>
  <c r="M1161" i="4"/>
  <c r="I1161" i="4"/>
  <c r="G1161" i="4"/>
  <c r="F1161" i="4"/>
  <c r="E1161" i="4"/>
  <c r="C1161" i="4"/>
  <c r="Q1160" i="4"/>
  <c r="M1160" i="4"/>
  <c r="G1160" i="4"/>
  <c r="I1160" i="4" s="1"/>
  <c r="E1160" i="4"/>
  <c r="C1160" i="4"/>
  <c r="Q1159" i="4"/>
  <c r="R1161" i="4" s="1"/>
  <c r="M1159" i="4"/>
  <c r="N1161" i="4" s="1"/>
  <c r="G1159" i="4"/>
  <c r="I1159" i="4" s="1"/>
  <c r="J1161" i="4" s="1"/>
  <c r="E1159" i="4"/>
  <c r="C1159" i="4"/>
  <c r="Q1158" i="4"/>
  <c r="M1158" i="4"/>
  <c r="I1158" i="4"/>
  <c r="G1158" i="4"/>
  <c r="F1158" i="4"/>
  <c r="E1158" i="4"/>
  <c r="C1158" i="4"/>
  <c r="C1164" i="4" s="1"/>
  <c r="Q1157" i="4"/>
  <c r="M1157" i="4"/>
  <c r="G1157" i="4"/>
  <c r="I1157" i="4" s="1"/>
  <c r="E1157" i="4"/>
  <c r="C1157" i="4"/>
  <c r="Q1156" i="4"/>
  <c r="R1158" i="4" s="1"/>
  <c r="M1156" i="4"/>
  <c r="N1158" i="4" s="1"/>
  <c r="I1156" i="4"/>
  <c r="J1158" i="4" s="1"/>
  <c r="G1156" i="4"/>
  <c r="E1156" i="4"/>
  <c r="C1156" i="4"/>
  <c r="Q1155" i="4"/>
  <c r="Q1164" i="4" s="1"/>
  <c r="M1155" i="4"/>
  <c r="G1155" i="4"/>
  <c r="I1155" i="4" s="1"/>
  <c r="E1155" i="4"/>
  <c r="C1155" i="4"/>
  <c r="Q1154" i="4"/>
  <c r="M1154" i="4"/>
  <c r="I1154" i="4"/>
  <c r="G1154" i="4"/>
  <c r="E1154" i="4"/>
  <c r="C1154" i="4"/>
  <c r="Q1153" i="4"/>
  <c r="R1155" i="4" s="1"/>
  <c r="M1153" i="4"/>
  <c r="G1153" i="4"/>
  <c r="I1153" i="4" s="1"/>
  <c r="J1155" i="4" s="1"/>
  <c r="E1153" i="4"/>
  <c r="F1155" i="4" s="1"/>
  <c r="C1153" i="4"/>
  <c r="Q1152" i="4"/>
  <c r="M1152" i="4"/>
  <c r="I1152" i="4"/>
  <c r="G1152" i="4"/>
  <c r="E1152" i="4"/>
  <c r="C1152" i="4"/>
  <c r="Q1151" i="4"/>
  <c r="M1151" i="4"/>
  <c r="G1151" i="4"/>
  <c r="E1151" i="4"/>
  <c r="C1151" i="4"/>
  <c r="Q1150" i="4"/>
  <c r="R1152" i="4" s="1"/>
  <c r="M1150" i="4"/>
  <c r="I1150" i="4"/>
  <c r="E1150" i="4"/>
  <c r="F1152" i="4" s="1"/>
  <c r="C1150" i="4"/>
  <c r="G1144" i="4"/>
  <c r="O1143" i="4"/>
  <c r="K1143" i="4"/>
  <c r="C1143" i="4"/>
  <c r="I1140" i="4"/>
  <c r="J1137" i="4"/>
  <c r="Q1136" i="4"/>
  <c r="P1112" i="4"/>
  <c r="O1112" i="4" s="1"/>
  <c r="J1112" i="4"/>
  <c r="I1112" i="4"/>
  <c r="L1112" i="4" s="1"/>
  <c r="G1112" i="4"/>
  <c r="P1111" i="4"/>
  <c r="O1111" i="4"/>
  <c r="J1111" i="4"/>
  <c r="L1111" i="4" s="1"/>
  <c r="I1111" i="4"/>
  <c r="F1111" i="4"/>
  <c r="N1110" i="4"/>
  <c r="P1110" i="4" s="1"/>
  <c r="O1110" i="4" s="1"/>
  <c r="J1110" i="4"/>
  <c r="I1110" i="4"/>
  <c r="G1110" i="4"/>
  <c r="N1109" i="4"/>
  <c r="P1109" i="4" s="1"/>
  <c r="O1109" i="4" s="1"/>
  <c r="J1109" i="4"/>
  <c r="I1109" i="4"/>
  <c r="G1109" i="4"/>
  <c r="N1108" i="4"/>
  <c r="P1108" i="4" s="1"/>
  <c r="O1108" i="4" s="1"/>
  <c r="J1108" i="4"/>
  <c r="I1108" i="4"/>
  <c r="G1108" i="4"/>
  <c r="N1107" i="4"/>
  <c r="P1107" i="4" s="1"/>
  <c r="O1107" i="4" s="1"/>
  <c r="J1107" i="4"/>
  <c r="L1107" i="4" s="1"/>
  <c r="I1107" i="4"/>
  <c r="G1107" i="4"/>
  <c r="F1107" i="4"/>
  <c r="N1106" i="4"/>
  <c r="P1106" i="4" s="1"/>
  <c r="O1106" i="4" s="1"/>
  <c r="J1106" i="4"/>
  <c r="L1106" i="4" s="1"/>
  <c r="I1106" i="4"/>
  <c r="G1106" i="4"/>
  <c r="F1106" i="4"/>
  <c r="N1105" i="4"/>
  <c r="P1105" i="4" s="1"/>
  <c r="O1105" i="4" s="1"/>
  <c r="J1105" i="4"/>
  <c r="L1105" i="4" s="1"/>
  <c r="I1105" i="4"/>
  <c r="G1105" i="4"/>
  <c r="F1105" i="4"/>
  <c r="P1104" i="4"/>
  <c r="O1104" i="4" s="1"/>
  <c r="J1104" i="4"/>
  <c r="L1104" i="4" s="1"/>
  <c r="I1104" i="4"/>
  <c r="G1104" i="4"/>
  <c r="F1104" i="4"/>
  <c r="P1103" i="4"/>
  <c r="O1103" i="4" s="1"/>
  <c r="J1103" i="4"/>
  <c r="L1103" i="4" s="1"/>
  <c r="I1103" i="4"/>
  <c r="F1103" i="4"/>
  <c r="P1102" i="4"/>
  <c r="O1102" i="4" s="1"/>
  <c r="N1102" i="4"/>
  <c r="J1102" i="4"/>
  <c r="L1102" i="4" s="1"/>
  <c r="I1102" i="4"/>
  <c r="F1102" i="4"/>
  <c r="P1101" i="4"/>
  <c r="O1101" i="4" s="1"/>
  <c r="J1101" i="4"/>
  <c r="I1101" i="4"/>
  <c r="F1101" i="4" s="1"/>
  <c r="B1095" i="4"/>
  <c r="B1092" i="4"/>
  <c r="Q1091" i="4"/>
  <c r="C1085" i="4"/>
  <c r="B1084" i="4"/>
  <c r="C1083" i="4"/>
  <c r="C1082" i="4"/>
  <c r="D1081" i="4"/>
  <c r="C1081" i="4"/>
  <c r="D1080" i="4"/>
  <c r="C1080" i="4"/>
  <c r="B1080" i="4"/>
  <c r="D1079" i="4"/>
  <c r="C1079" i="4"/>
  <c r="B1079" i="4"/>
  <c r="C1078" i="4"/>
  <c r="B1078" i="4"/>
  <c r="C1077" i="4"/>
  <c r="B1077" i="4"/>
  <c r="B1076" i="4"/>
  <c r="B1075" i="4"/>
  <c r="B1074" i="4"/>
  <c r="AE1071" i="4"/>
  <c r="B1070" i="4"/>
  <c r="B1067" i="4"/>
  <c r="Q1066" i="4"/>
  <c r="P1060" i="4"/>
  <c r="P1059" i="4"/>
  <c r="P1058" i="4"/>
  <c r="P1057" i="4"/>
  <c r="P1056" i="4"/>
  <c r="P1055" i="4"/>
  <c r="P1054" i="4"/>
  <c r="P1053" i="4"/>
  <c r="P1052" i="4"/>
  <c r="P1051" i="4"/>
  <c r="P1050" i="4"/>
  <c r="P1049" i="4"/>
  <c r="M1044" i="4"/>
  <c r="N1035" i="4"/>
  <c r="L1035" i="4"/>
  <c r="K1035" i="4"/>
  <c r="J1035" i="4"/>
  <c r="I1035" i="4"/>
  <c r="H1035" i="4"/>
  <c r="J1033" i="4"/>
  <c r="J1032" i="4"/>
  <c r="J1031" i="4"/>
  <c r="J1030" i="4"/>
  <c r="J1029" i="4"/>
  <c r="J1028" i="4"/>
  <c r="AR1027" i="4"/>
  <c r="AQ1027" i="4"/>
  <c r="AP1027" i="4"/>
  <c r="AO1027" i="4"/>
  <c r="AN1027" i="4"/>
  <c r="AM1027" i="4"/>
  <c r="AL1027" i="4"/>
  <c r="AK1027" i="4"/>
  <c r="AJ1027" i="4"/>
  <c r="AI1027" i="4"/>
  <c r="AH1027" i="4"/>
  <c r="AG1027" i="4"/>
  <c r="AF1027" i="4"/>
  <c r="AE1027" i="4"/>
  <c r="AD1027" i="4"/>
  <c r="J1027" i="4"/>
  <c r="J1026" i="4"/>
  <c r="J1025" i="4"/>
  <c r="J1024" i="4"/>
  <c r="J1023" i="4"/>
  <c r="J1022" i="4"/>
  <c r="AD1017" i="4"/>
  <c r="AD1014" i="4"/>
  <c r="B1014" i="4"/>
  <c r="AR1013" i="4"/>
  <c r="B1013" i="4"/>
  <c r="Q1012" i="4"/>
  <c r="AR992" i="4"/>
  <c r="AQ992" i="4"/>
  <c r="AP992" i="4"/>
  <c r="AO992" i="4"/>
  <c r="AN992" i="4"/>
  <c r="AM992" i="4"/>
  <c r="AL992" i="4"/>
  <c r="AK992" i="4"/>
  <c r="AJ992" i="4"/>
  <c r="AI992" i="4"/>
  <c r="AH992" i="4"/>
  <c r="AG992" i="4"/>
  <c r="AF992" i="4"/>
  <c r="AE992" i="4"/>
  <c r="AD992" i="4"/>
  <c r="B987" i="4"/>
  <c r="B984" i="4"/>
  <c r="Q983" i="4"/>
  <c r="AD982" i="4"/>
  <c r="AD979" i="4"/>
  <c r="AR978" i="4"/>
  <c r="AH974" i="4"/>
  <c r="AF974" i="4"/>
  <c r="AS970" i="4"/>
  <c r="AF970" i="4"/>
  <c r="AR961" i="4"/>
  <c r="AQ961" i="4"/>
  <c r="AP961" i="4"/>
  <c r="AO961" i="4"/>
  <c r="AG961" i="4"/>
  <c r="AF961" i="4"/>
  <c r="AE961" i="4"/>
  <c r="AD961" i="4"/>
  <c r="AD969" i="4" s="1"/>
  <c r="B961" i="4"/>
  <c r="B958" i="4"/>
  <c r="Q957" i="4"/>
  <c r="AR956" i="4"/>
  <c r="AG956" i="4"/>
  <c r="AS953" i="4"/>
  <c r="AH953" i="4"/>
  <c r="AS951" i="4"/>
  <c r="T948" i="4"/>
  <c r="G948" i="4"/>
  <c r="G1005" i="4" s="1"/>
  <c r="F948" i="4"/>
  <c r="AS974" i="4" s="1"/>
  <c r="T947" i="4"/>
  <c r="AE938" i="4" s="1"/>
  <c r="G947" i="4"/>
  <c r="F947" i="4"/>
  <c r="AS973" i="4" s="1"/>
  <c r="T946" i="4"/>
  <c r="AE937" i="4" s="1"/>
  <c r="G946" i="4"/>
  <c r="F946" i="4"/>
  <c r="AD937" i="4" s="1"/>
  <c r="T945" i="4"/>
  <c r="AE936" i="4" s="1"/>
  <c r="AF936" i="4" s="1"/>
  <c r="G945" i="4"/>
  <c r="F945" i="4"/>
  <c r="AF971" i="4" s="1"/>
  <c r="T944" i="4"/>
  <c r="G944" i="4"/>
  <c r="G1001" i="4" s="1"/>
  <c r="F944" i="4"/>
  <c r="T943" i="4"/>
  <c r="AH969" i="4" s="1"/>
  <c r="G943" i="4"/>
  <c r="F943" i="4"/>
  <c r="T942" i="4"/>
  <c r="AE933" i="4" s="1"/>
  <c r="G942" i="4"/>
  <c r="F942" i="4"/>
  <c r="T941" i="4"/>
  <c r="G941" i="4"/>
  <c r="F941" i="4"/>
  <c r="T940" i="4"/>
  <c r="G940" i="4"/>
  <c r="F940" i="4"/>
  <c r="AG966" i="4" s="1"/>
  <c r="AO939" i="4"/>
  <c r="AF939" i="4"/>
  <c r="AE939" i="4"/>
  <c r="AD939" i="4"/>
  <c r="T939" i="4"/>
  <c r="G939" i="4"/>
  <c r="F939" i="4"/>
  <c r="T938" i="4"/>
  <c r="G938" i="4"/>
  <c r="F938" i="4"/>
  <c r="T937" i="4"/>
  <c r="G937" i="4"/>
  <c r="F937" i="4"/>
  <c r="AO936" i="4"/>
  <c r="AD936" i="4"/>
  <c r="AF935" i="4"/>
  <c r="AE935" i="4"/>
  <c r="AD935" i="4"/>
  <c r="AO935" i="4" s="1"/>
  <c r="AO934" i="4"/>
  <c r="AD934" i="4"/>
  <c r="AD933" i="4"/>
  <c r="AF933" i="4" s="1"/>
  <c r="AE932" i="4"/>
  <c r="B932" i="4"/>
  <c r="AE931" i="4"/>
  <c r="AD931" i="4"/>
  <c r="AD930" i="4"/>
  <c r="AE929" i="4"/>
  <c r="AD929" i="4"/>
  <c r="B929" i="4"/>
  <c r="AE928" i="4"/>
  <c r="AD928" i="4"/>
  <c r="Q928" i="4"/>
  <c r="AF920" i="4"/>
  <c r="AS919" i="4"/>
  <c r="AN919" i="4"/>
  <c r="A910" i="4"/>
  <c r="A908" i="4"/>
  <c r="Q904" i="4"/>
  <c r="P898" i="4"/>
  <c r="O898" i="4"/>
  <c r="N898" i="4"/>
  <c r="Q898" i="4" s="1"/>
  <c r="L898" i="4"/>
  <c r="K898" i="4"/>
  <c r="J898" i="4"/>
  <c r="M898" i="4" s="1"/>
  <c r="H898" i="4"/>
  <c r="G898" i="4"/>
  <c r="F898" i="4"/>
  <c r="I898" i="4" s="1"/>
  <c r="D898" i="4"/>
  <c r="C898" i="4"/>
  <c r="B898" i="4"/>
  <c r="E898" i="4" s="1"/>
  <c r="R898" i="4" s="1"/>
  <c r="P897" i="4"/>
  <c r="O897" i="4"/>
  <c r="N897" i="4"/>
  <c r="Q897" i="4" s="1"/>
  <c r="L897" i="4"/>
  <c r="K897" i="4"/>
  <c r="J897" i="4"/>
  <c r="M897" i="4" s="1"/>
  <c r="H897" i="4"/>
  <c r="G897" i="4"/>
  <c r="F897" i="4"/>
  <c r="I897" i="4" s="1"/>
  <c r="D897" i="4"/>
  <c r="C897" i="4"/>
  <c r="B897" i="4"/>
  <c r="E897" i="4" s="1"/>
  <c r="R897" i="4" s="1"/>
  <c r="P896" i="4"/>
  <c r="P900" i="4" s="1"/>
  <c r="P922" i="4" s="1"/>
  <c r="O896" i="4"/>
  <c r="O899" i="4" s="1"/>
  <c r="N896" i="4"/>
  <c r="L896" i="4"/>
  <c r="L899" i="4" s="1"/>
  <c r="K896" i="4"/>
  <c r="K899" i="4" s="1"/>
  <c r="J896" i="4"/>
  <c r="J899" i="4" s="1"/>
  <c r="H896" i="4"/>
  <c r="H900" i="4" s="1"/>
  <c r="H922" i="4" s="1"/>
  <c r="G896" i="4"/>
  <c r="G899" i="4" s="1"/>
  <c r="F896" i="4"/>
  <c r="D896" i="4"/>
  <c r="D899" i="4" s="1"/>
  <c r="C896" i="4"/>
  <c r="C899" i="4" s="1"/>
  <c r="B896" i="4"/>
  <c r="B899" i="4" s="1"/>
  <c r="E899" i="4" s="1"/>
  <c r="Q895" i="4"/>
  <c r="P895" i="4"/>
  <c r="O895" i="4"/>
  <c r="N895" i="4"/>
  <c r="L895" i="4"/>
  <c r="M895" i="4" s="1"/>
  <c r="K895" i="4"/>
  <c r="J895" i="4"/>
  <c r="I895" i="4"/>
  <c r="H895" i="4"/>
  <c r="G895" i="4"/>
  <c r="F895" i="4"/>
  <c r="D895" i="4"/>
  <c r="E895" i="4" s="1"/>
  <c r="R895" i="4" s="1"/>
  <c r="C895" i="4"/>
  <c r="B895" i="4"/>
  <c r="P894" i="4"/>
  <c r="O894" i="4"/>
  <c r="N894" i="4"/>
  <c r="Q894" i="4" s="1"/>
  <c r="L894" i="4"/>
  <c r="K894" i="4"/>
  <c r="J894" i="4"/>
  <c r="M894" i="4" s="1"/>
  <c r="H894" i="4"/>
  <c r="G894" i="4"/>
  <c r="F894" i="4"/>
  <c r="I894" i="4" s="1"/>
  <c r="D894" i="4"/>
  <c r="C894" i="4"/>
  <c r="B894" i="4"/>
  <c r="E894" i="4" s="1"/>
  <c r="P893" i="4"/>
  <c r="O893" i="4"/>
  <c r="O900" i="4" s="1"/>
  <c r="O922" i="4" s="1"/>
  <c r="N893" i="4"/>
  <c r="N900" i="4" s="1"/>
  <c r="L893" i="4"/>
  <c r="L900" i="4" s="1"/>
  <c r="L922" i="4" s="1"/>
  <c r="K893" i="4"/>
  <c r="M893" i="4" s="1"/>
  <c r="J893" i="4"/>
  <c r="J900" i="4" s="1"/>
  <c r="H893" i="4"/>
  <c r="G893" i="4"/>
  <c r="G900" i="4" s="1"/>
  <c r="G922" i="4" s="1"/>
  <c r="F893" i="4"/>
  <c r="F900" i="4" s="1"/>
  <c r="D893" i="4"/>
  <c r="D900" i="4" s="1"/>
  <c r="D922" i="4" s="1"/>
  <c r="C893" i="4"/>
  <c r="C900" i="4" s="1"/>
  <c r="C922" i="4" s="1"/>
  <c r="B893" i="4"/>
  <c r="E893" i="4" s="1"/>
  <c r="K890" i="4"/>
  <c r="J890" i="4"/>
  <c r="C889" i="4"/>
  <c r="B889" i="4"/>
  <c r="P887" i="4"/>
  <c r="P918" i="4" s="1"/>
  <c r="H887" i="4"/>
  <c r="H918" i="4" s="1"/>
  <c r="Q886" i="4"/>
  <c r="P886" i="4"/>
  <c r="O886" i="4"/>
  <c r="N886" i="4"/>
  <c r="M886" i="4"/>
  <c r="L886" i="4"/>
  <c r="K886" i="4"/>
  <c r="J886" i="4"/>
  <c r="I886" i="4"/>
  <c r="H886" i="4"/>
  <c r="G886" i="4"/>
  <c r="F886" i="4"/>
  <c r="E886" i="4"/>
  <c r="R886" i="4" s="1"/>
  <c r="D886" i="4"/>
  <c r="C886" i="4"/>
  <c r="B886" i="4"/>
  <c r="P885" i="4"/>
  <c r="O885" i="4"/>
  <c r="N885" i="4"/>
  <c r="Q885" i="4" s="1"/>
  <c r="L885" i="4"/>
  <c r="K885" i="4"/>
  <c r="J885" i="4"/>
  <c r="M885" i="4" s="1"/>
  <c r="H885" i="4"/>
  <c r="G885" i="4"/>
  <c r="P884" i="4"/>
  <c r="O884" i="4"/>
  <c r="O887" i="4" s="1"/>
  <c r="O918" i="4" s="1"/>
  <c r="N884" i="4"/>
  <c r="N887" i="4" s="1"/>
  <c r="L884" i="4"/>
  <c r="L887" i="4" s="1"/>
  <c r="L918" i="4" s="1"/>
  <c r="K884" i="4"/>
  <c r="K887" i="4" s="1"/>
  <c r="K918" i="4" s="1"/>
  <c r="J884" i="4"/>
  <c r="J887" i="4" s="1"/>
  <c r="H884" i="4"/>
  <c r="G884" i="4"/>
  <c r="G887" i="4" s="1"/>
  <c r="G918" i="4" s="1"/>
  <c r="F884" i="4"/>
  <c r="D884" i="4"/>
  <c r="C884" i="4"/>
  <c r="B884" i="4"/>
  <c r="P881" i="4"/>
  <c r="O881" i="4"/>
  <c r="N881" i="4"/>
  <c r="Q881" i="4" s="1"/>
  <c r="L881" i="4"/>
  <c r="K881" i="4"/>
  <c r="J881" i="4"/>
  <c r="M881" i="4" s="1"/>
  <c r="H881" i="4"/>
  <c r="G881" i="4"/>
  <c r="F881" i="4"/>
  <c r="I881" i="4" s="1"/>
  <c r="D881" i="4"/>
  <c r="C881" i="4"/>
  <c r="B881" i="4"/>
  <c r="E881" i="4" s="1"/>
  <c r="R881" i="4" s="1"/>
  <c r="P880" i="4"/>
  <c r="O880" i="4"/>
  <c r="Q880" i="4" s="1"/>
  <c r="N880" i="4"/>
  <c r="L880" i="4"/>
  <c r="K880" i="4"/>
  <c r="J880" i="4"/>
  <c r="M880" i="4" s="1"/>
  <c r="H880" i="4"/>
  <c r="G880" i="4"/>
  <c r="I880" i="4" s="1"/>
  <c r="F880" i="4"/>
  <c r="D880" i="4"/>
  <c r="C880" i="4"/>
  <c r="B880" i="4"/>
  <c r="E880" i="4" s="1"/>
  <c r="P879" i="4"/>
  <c r="Q879" i="4" s="1"/>
  <c r="O879" i="4"/>
  <c r="N879" i="4"/>
  <c r="L879" i="4"/>
  <c r="K879" i="4"/>
  <c r="M879" i="4" s="1"/>
  <c r="J879" i="4"/>
  <c r="H879" i="4"/>
  <c r="I879" i="4" s="1"/>
  <c r="G879" i="4"/>
  <c r="F879" i="4"/>
  <c r="D879" i="4"/>
  <c r="C879" i="4"/>
  <c r="E879" i="4" s="1"/>
  <c r="B879" i="4"/>
  <c r="Q878" i="4"/>
  <c r="P878" i="4"/>
  <c r="O878" i="4"/>
  <c r="N878" i="4"/>
  <c r="M878" i="4"/>
  <c r="L878" i="4"/>
  <c r="K878" i="4"/>
  <c r="J878" i="4"/>
  <c r="I878" i="4"/>
  <c r="H878" i="4"/>
  <c r="G878" i="4"/>
  <c r="F878" i="4"/>
  <c r="D878" i="4"/>
  <c r="C878" i="4"/>
  <c r="B878" i="4"/>
  <c r="E878" i="4" s="1"/>
  <c r="R878" i="4" s="1"/>
  <c r="P877" i="4"/>
  <c r="O877" i="4"/>
  <c r="N877" i="4"/>
  <c r="Q877" i="4" s="1"/>
  <c r="L877" i="4"/>
  <c r="K877" i="4"/>
  <c r="J877" i="4"/>
  <c r="M877" i="4" s="1"/>
  <c r="H877" i="4"/>
  <c r="G877" i="4"/>
  <c r="F877" i="4"/>
  <c r="I877" i="4" s="1"/>
  <c r="D877" i="4"/>
  <c r="C877" i="4"/>
  <c r="B877" i="4"/>
  <c r="E877" i="4" s="1"/>
  <c r="A869" i="4"/>
  <c r="A867" i="4"/>
  <c r="Q863" i="4"/>
  <c r="R856" i="4"/>
  <c r="Q856" i="4"/>
  <c r="M856" i="4"/>
  <c r="I856" i="4"/>
  <c r="E856" i="4"/>
  <c r="P854" i="4"/>
  <c r="Q854" i="4" s="1"/>
  <c r="O854" i="4"/>
  <c r="N854" i="4"/>
  <c r="L854" i="4"/>
  <c r="K854" i="4"/>
  <c r="M854" i="4" s="1"/>
  <c r="J854" i="4"/>
  <c r="H854" i="4"/>
  <c r="I854" i="4" s="1"/>
  <c r="G854" i="4"/>
  <c r="F854" i="4"/>
  <c r="D854" i="4"/>
  <c r="C854" i="4"/>
  <c r="E854" i="4" s="1"/>
  <c r="B854" i="4"/>
  <c r="Q853" i="4"/>
  <c r="P853" i="4"/>
  <c r="O853" i="4"/>
  <c r="N853" i="4"/>
  <c r="L853" i="4"/>
  <c r="K853" i="4"/>
  <c r="J853" i="4"/>
  <c r="M853" i="4" s="1"/>
  <c r="I853" i="4"/>
  <c r="H853" i="4"/>
  <c r="G853" i="4"/>
  <c r="F853" i="4"/>
  <c r="D853" i="4"/>
  <c r="C853" i="4"/>
  <c r="B853" i="4"/>
  <c r="E853" i="4" s="1"/>
  <c r="R850" i="4"/>
  <c r="Q850" i="4"/>
  <c r="M850" i="4"/>
  <c r="I850" i="4"/>
  <c r="E850" i="4"/>
  <c r="Q849" i="4"/>
  <c r="M849" i="4"/>
  <c r="I849" i="4"/>
  <c r="R849" i="4" s="1"/>
  <c r="E849" i="4"/>
  <c r="Q847" i="4"/>
  <c r="M847" i="4"/>
  <c r="I847" i="4"/>
  <c r="E847" i="4"/>
  <c r="R847" i="4" s="1"/>
  <c r="Q846" i="4"/>
  <c r="R846" i="4" s="1"/>
  <c r="M846" i="4"/>
  <c r="I846" i="4"/>
  <c r="E846" i="4"/>
  <c r="P843" i="4"/>
  <c r="O843" i="4"/>
  <c r="O855" i="4" s="1"/>
  <c r="O858" i="4" s="1"/>
  <c r="N843" i="4"/>
  <c r="Q843" i="4" s="1"/>
  <c r="L843" i="4"/>
  <c r="K843" i="4"/>
  <c r="J843" i="4"/>
  <c r="M843" i="4" s="1"/>
  <c r="H843" i="4"/>
  <c r="G843" i="4"/>
  <c r="G855" i="4" s="1"/>
  <c r="G858" i="4" s="1"/>
  <c r="F843" i="4"/>
  <c r="I843" i="4" s="1"/>
  <c r="D843" i="4"/>
  <c r="C843" i="4"/>
  <c r="B843" i="4"/>
  <c r="E843" i="4" s="1"/>
  <c r="Q842" i="4"/>
  <c r="M842" i="4"/>
  <c r="I842" i="4"/>
  <c r="R842" i="4" s="1"/>
  <c r="E842" i="4"/>
  <c r="Q841" i="4"/>
  <c r="M841" i="4"/>
  <c r="I841" i="4"/>
  <c r="E841" i="4"/>
  <c r="R841" i="4" s="1"/>
  <c r="Q840" i="4"/>
  <c r="R840" i="4" s="1"/>
  <c r="M840" i="4"/>
  <c r="I840" i="4"/>
  <c r="E840" i="4"/>
  <c r="Q839" i="4"/>
  <c r="M839" i="4"/>
  <c r="I839" i="4"/>
  <c r="E839" i="4"/>
  <c r="R839" i="4" s="1"/>
  <c r="Q838" i="4"/>
  <c r="M838" i="4"/>
  <c r="I838" i="4"/>
  <c r="E838" i="4"/>
  <c r="R838" i="4" s="1"/>
  <c r="Q836" i="4"/>
  <c r="M836" i="4"/>
  <c r="R836" i="4" s="1"/>
  <c r="I836" i="4"/>
  <c r="E836" i="4"/>
  <c r="Q835" i="4"/>
  <c r="M835" i="4"/>
  <c r="I835" i="4"/>
  <c r="E835" i="4"/>
  <c r="R835" i="4" s="1"/>
  <c r="P832" i="4"/>
  <c r="O832" i="4"/>
  <c r="N832" i="4"/>
  <c r="Q832" i="4" s="1"/>
  <c r="L832" i="4"/>
  <c r="K832" i="4"/>
  <c r="J832" i="4"/>
  <c r="J855" i="4" s="1"/>
  <c r="H832" i="4"/>
  <c r="G832" i="4"/>
  <c r="F832" i="4"/>
  <c r="I832" i="4" s="1"/>
  <c r="D832" i="4"/>
  <c r="C832" i="4"/>
  <c r="B832" i="4"/>
  <c r="B855" i="4" s="1"/>
  <c r="Q830" i="4"/>
  <c r="M830" i="4"/>
  <c r="I830" i="4"/>
  <c r="E830" i="4"/>
  <c r="R830" i="4" s="1"/>
  <c r="P827" i="4"/>
  <c r="P855" i="4" s="1"/>
  <c r="P858" i="4" s="1"/>
  <c r="O827" i="4"/>
  <c r="N827" i="4"/>
  <c r="N855" i="4" s="1"/>
  <c r="L827" i="4"/>
  <c r="L855" i="4" s="1"/>
  <c r="L858" i="4" s="1"/>
  <c r="K827" i="4"/>
  <c r="K855" i="4" s="1"/>
  <c r="K858" i="4" s="1"/>
  <c r="J827" i="4"/>
  <c r="H827" i="4"/>
  <c r="H855" i="4" s="1"/>
  <c r="H858" i="4" s="1"/>
  <c r="G827" i="4"/>
  <c r="F827" i="4"/>
  <c r="F855" i="4" s="1"/>
  <c r="D827" i="4"/>
  <c r="D855" i="4" s="1"/>
  <c r="D858" i="4" s="1"/>
  <c r="C827" i="4"/>
  <c r="C855" i="4" s="1"/>
  <c r="C858" i="4" s="1"/>
  <c r="B827" i="4"/>
  <c r="Q825" i="4"/>
  <c r="R825" i="4" s="1"/>
  <c r="M825" i="4"/>
  <c r="I825" i="4"/>
  <c r="E825" i="4"/>
  <c r="Q822" i="4"/>
  <c r="M822" i="4"/>
  <c r="I822" i="4"/>
  <c r="E822" i="4"/>
  <c r="R822" i="4" s="1"/>
  <c r="Q821" i="4"/>
  <c r="M821" i="4"/>
  <c r="I821" i="4"/>
  <c r="E821" i="4"/>
  <c r="R821" i="4" s="1"/>
  <c r="Q820" i="4"/>
  <c r="M820" i="4"/>
  <c r="R820" i="4" s="1"/>
  <c r="I820" i="4"/>
  <c r="E820" i="4"/>
  <c r="Q819" i="4"/>
  <c r="M819" i="4"/>
  <c r="I819" i="4"/>
  <c r="E819" i="4"/>
  <c r="R819" i="4" s="1"/>
  <c r="R818" i="4"/>
  <c r="Q818" i="4"/>
  <c r="M818" i="4"/>
  <c r="I818" i="4"/>
  <c r="E818" i="4"/>
  <c r="Q817" i="4"/>
  <c r="M817" i="4"/>
  <c r="I817" i="4"/>
  <c r="R817" i="4" s="1"/>
  <c r="E817" i="4"/>
  <c r="Q805" i="4"/>
  <c r="M805" i="4"/>
  <c r="I805" i="4"/>
  <c r="E805" i="4"/>
  <c r="R805" i="4" s="1"/>
  <c r="Q804" i="4"/>
  <c r="M804" i="4"/>
  <c r="I804" i="4"/>
  <c r="E804" i="4"/>
  <c r="R804" i="4" s="1"/>
  <c r="Q802" i="4"/>
  <c r="P802" i="4"/>
  <c r="O802" i="4"/>
  <c r="N802" i="4"/>
  <c r="L802" i="4"/>
  <c r="K802" i="4"/>
  <c r="J802" i="4"/>
  <c r="M802" i="4" s="1"/>
  <c r="I802" i="4"/>
  <c r="H802" i="4"/>
  <c r="G802" i="4"/>
  <c r="F802" i="4"/>
  <c r="D802" i="4"/>
  <c r="C802" i="4"/>
  <c r="B802" i="4"/>
  <c r="E802" i="4" s="1"/>
  <c r="P801" i="4"/>
  <c r="O801" i="4"/>
  <c r="N801" i="4"/>
  <c r="Q801" i="4" s="1"/>
  <c r="L801" i="4"/>
  <c r="K801" i="4"/>
  <c r="J801" i="4"/>
  <c r="M801" i="4" s="1"/>
  <c r="H801" i="4"/>
  <c r="G801" i="4"/>
  <c r="F801" i="4"/>
  <c r="I801" i="4" s="1"/>
  <c r="D801" i="4"/>
  <c r="C801" i="4"/>
  <c r="B801" i="4"/>
  <c r="E801" i="4" s="1"/>
  <c r="P795" i="4"/>
  <c r="O795" i="4"/>
  <c r="N795" i="4"/>
  <c r="Q795" i="4" s="1"/>
  <c r="L795" i="4"/>
  <c r="K795" i="4"/>
  <c r="K803" i="4" s="1"/>
  <c r="K807" i="4" s="1"/>
  <c r="J795" i="4"/>
  <c r="M795" i="4" s="1"/>
  <c r="H795" i="4"/>
  <c r="G795" i="4"/>
  <c r="F795" i="4"/>
  <c r="I795" i="4" s="1"/>
  <c r="D795" i="4"/>
  <c r="C795" i="4"/>
  <c r="B795" i="4"/>
  <c r="P791" i="4"/>
  <c r="O791" i="4"/>
  <c r="N791" i="4"/>
  <c r="Q791" i="4" s="1"/>
  <c r="L791" i="4"/>
  <c r="K791" i="4"/>
  <c r="J791" i="4"/>
  <c r="H791" i="4"/>
  <c r="G791" i="4"/>
  <c r="I791" i="4" s="1"/>
  <c r="F791" i="4"/>
  <c r="D791" i="4"/>
  <c r="C791" i="4"/>
  <c r="B791" i="4"/>
  <c r="P787" i="4"/>
  <c r="P803" i="4" s="1"/>
  <c r="P807" i="4" s="1"/>
  <c r="O787" i="4"/>
  <c r="O803" i="4" s="1"/>
  <c r="O807" i="4" s="1"/>
  <c r="N787" i="4"/>
  <c r="Q787" i="4" s="1"/>
  <c r="M787" i="4"/>
  <c r="L787" i="4"/>
  <c r="K787" i="4"/>
  <c r="J787" i="4"/>
  <c r="J803" i="4" s="1"/>
  <c r="H787" i="4"/>
  <c r="H803" i="4" s="1"/>
  <c r="H807" i="4" s="1"/>
  <c r="G787" i="4"/>
  <c r="G803" i="4" s="1"/>
  <c r="G807" i="4" s="1"/>
  <c r="F787" i="4"/>
  <c r="I787" i="4" s="1"/>
  <c r="E787" i="4"/>
  <c r="R787" i="4" s="1"/>
  <c r="D787" i="4"/>
  <c r="C787" i="4"/>
  <c r="B787" i="4"/>
  <c r="B803" i="4" s="1"/>
  <c r="Q783" i="4"/>
  <c r="M783" i="4"/>
  <c r="I783" i="4"/>
  <c r="E783" i="4"/>
  <c r="R783" i="4" s="1"/>
  <c r="P773" i="4"/>
  <c r="O773" i="4"/>
  <c r="N773" i="4"/>
  <c r="L773" i="4"/>
  <c r="M773" i="4" s="1"/>
  <c r="K773" i="4"/>
  <c r="J773" i="4"/>
  <c r="H773" i="4"/>
  <c r="G773" i="4"/>
  <c r="F773" i="4"/>
  <c r="E773" i="4"/>
  <c r="D773" i="4"/>
  <c r="C773" i="4"/>
  <c r="B773" i="4"/>
  <c r="Q771" i="4"/>
  <c r="M771" i="4"/>
  <c r="I771" i="4"/>
  <c r="E771" i="4"/>
  <c r="F763" i="4"/>
  <c r="Q761" i="4"/>
  <c r="M761" i="4"/>
  <c r="I761" i="4"/>
  <c r="E761" i="4"/>
  <c r="J760" i="4"/>
  <c r="J763" i="4" s="1"/>
  <c r="P759" i="4"/>
  <c r="O759" i="4"/>
  <c r="N759" i="4"/>
  <c r="Q759" i="4" s="1"/>
  <c r="M759" i="4"/>
  <c r="L759" i="4"/>
  <c r="K759" i="4"/>
  <c r="J759" i="4"/>
  <c r="H759" i="4"/>
  <c r="G759" i="4"/>
  <c r="F759" i="4"/>
  <c r="I759" i="4" s="1"/>
  <c r="E759" i="4"/>
  <c r="R759" i="4" s="1"/>
  <c r="D759" i="4"/>
  <c r="C759" i="4"/>
  <c r="B759" i="4"/>
  <c r="B760" i="4" s="1"/>
  <c r="P758" i="4"/>
  <c r="O758" i="4"/>
  <c r="N758" i="4"/>
  <c r="L758" i="4"/>
  <c r="K758" i="4"/>
  <c r="J758" i="4"/>
  <c r="H758" i="4"/>
  <c r="G758" i="4"/>
  <c r="F758" i="4"/>
  <c r="D758" i="4"/>
  <c r="C758" i="4"/>
  <c r="B758" i="4"/>
  <c r="Q755" i="4"/>
  <c r="M755" i="4"/>
  <c r="I755" i="4"/>
  <c r="E755" i="4"/>
  <c r="Q754" i="4"/>
  <c r="R754" i="4" s="1"/>
  <c r="M754" i="4"/>
  <c r="I754" i="4"/>
  <c r="E754" i="4"/>
  <c r="Q753" i="4"/>
  <c r="M753" i="4"/>
  <c r="I753" i="4"/>
  <c r="E753" i="4"/>
  <c r="R753" i="4" s="1"/>
  <c r="Q752" i="4"/>
  <c r="M752" i="4"/>
  <c r="I752" i="4"/>
  <c r="E752" i="4"/>
  <c r="R752" i="4" s="1"/>
  <c r="P748" i="4"/>
  <c r="Q748" i="4" s="1"/>
  <c r="O748" i="4"/>
  <c r="N748" i="4"/>
  <c r="L748" i="4"/>
  <c r="J748" i="4"/>
  <c r="I748" i="4"/>
  <c r="H748" i="4"/>
  <c r="G748" i="4"/>
  <c r="F748" i="4"/>
  <c r="D748" i="4"/>
  <c r="C748" i="4"/>
  <c r="B748" i="4"/>
  <c r="Q747" i="4"/>
  <c r="R747" i="4" s="1"/>
  <c r="M747" i="4"/>
  <c r="I747" i="4"/>
  <c r="E747" i="4"/>
  <c r="Q746" i="4"/>
  <c r="M746" i="4"/>
  <c r="I746" i="4"/>
  <c r="E746" i="4"/>
  <c r="R746" i="4" s="1"/>
  <c r="Q745" i="4"/>
  <c r="M745" i="4"/>
  <c r="I745" i="4"/>
  <c r="E745" i="4"/>
  <c r="R745" i="4" s="1"/>
  <c r="Q744" i="4"/>
  <c r="M744" i="4"/>
  <c r="I744" i="4"/>
  <c r="E744" i="4"/>
  <c r="R744" i="4" s="1"/>
  <c r="Q743" i="4"/>
  <c r="M743" i="4"/>
  <c r="I743" i="4"/>
  <c r="E743" i="4"/>
  <c r="R743" i="4" s="1"/>
  <c r="R742" i="4"/>
  <c r="Q742" i="4"/>
  <c r="M742" i="4"/>
  <c r="I742" i="4"/>
  <c r="E742" i="4"/>
  <c r="Q741" i="4"/>
  <c r="M741" i="4"/>
  <c r="I741" i="4"/>
  <c r="R741" i="4" s="1"/>
  <c r="E741" i="4"/>
  <c r="Q740" i="4"/>
  <c r="M740" i="4"/>
  <c r="I740" i="4"/>
  <c r="E740" i="4"/>
  <c r="Q739" i="4"/>
  <c r="R739" i="4" s="1"/>
  <c r="M739" i="4"/>
  <c r="I739" i="4"/>
  <c r="E739" i="4"/>
  <c r="R737" i="4"/>
  <c r="Q737" i="4"/>
  <c r="K737" i="4"/>
  <c r="M737" i="4" s="1"/>
  <c r="I737" i="4"/>
  <c r="E737" i="4"/>
  <c r="P734" i="4"/>
  <c r="O734" i="4"/>
  <c r="N734" i="4"/>
  <c r="M734" i="4"/>
  <c r="L734" i="4"/>
  <c r="L760" i="4" s="1"/>
  <c r="L763" i="4" s="1"/>
  <c r="K734" i="4"/>
  <c r="J734" i="4"/>
  <c r="H734" i="4"/>
  <c r="G734" i="4"/>
  <c r="F734" i="4"/>
  <c r="D734" i="4"/>
  <c r="E734" i="4" s="1"/>
  <c r="C734" i="4"/>
  <c r="B734" i="4"/>
  <c r="P730" i="4"/>
  <c r="P760" i="4" s="1"/>
  <c r="P763" i="4" s="1"/>
  <c r="O730" i="4"/>
  <c r="O760" i="4" s="1"/>
  <c r="O763" i="4" s="1"/>
  <c r="N730" i="4"/>
  <c r="Q730" i="4" s="1"/>
  <c r="M730" i="4"/>
  <c r="L730" i="4"/>
  <c r="K730" i="4"/>
  <c r="J730" i="4"/>
  <c r="H730" i="4"/>
  <c r="H760" i="4" s="1"/>
  <c r="H763" i="4" s="1"/>
  <c r="G730" i="4"/>
  <c r="G760" i="4" s="1"/>
  <c r="I760" i="4" s="1"/>
  <c r="F730" i="4"/>
  <c r="F760" i="4" s="1"/>
  <c r="E730" i="4"/>
  <c r="D730" i="4"/>
  <c r="C730" i="4"/>
  <c r="B730" i="4"/>
  <c r="Q726" i="4"/>
  <c r="M726" i="4"/>
  <c r="I726" i="4"/>
  <c r="E726" i="4"/>
  <c r="R726" i="4" s="1"/>
  <c r="Q725" i="4"/>
  <c r="M725" i="4"/>
  <c r="I725" i="4"/>
  <c r="E725" i="4"/>
  <c r="Q724" i="4"/>
  <c r="M724" i="4"/>
  <c r="I724" i="4"/>
  <c r="E724" i="4"/>
  <c r="Q723" i="4"/>
  <c r="M723" i="4"/>
  <c r="I723" i="4"/>
  <c r="E723" i="4"/>
  <c r="R722" i="4"/>
  <c r="Q722" i="4"/>
  <c r="M722" i="4"/>
  <c r="I722" i="4"/>
  <c r="E722" i="4"/>
  <c r="Q721" i="4"/>
  <c r="M721" i="4"/>
  <c r="I721" i="4"/>
  <c r="R721" i="4" s="1"/>
  <c r="E721" i="4"/>
  <c r="Q709" i="4"/>
  <c r="M709" i="4"/>
  <c r="I709" i="4"/>
  <c r="R709" i="4" s="1"/>
  <c r="E709" i="4"/>
  <c r="F708" i="4"/>
  <c r="F711" i="4" s="1"/>
  <c r="D708" i="4"/>
  <c r="D711" i="4" s="1"/>
  <c r="P707" i="4"/>
  <c r="O707" i="4"/>
  <c r="N707" i="4"/>
  <c r="M707" i="4"/>
  <c r="L707" i="4"/>
  <c r="K707" i="4"/>
  <c r="J707" i="4"/>
  <c r="H707" i="4"/>
  <c r="G707" i="4"/>
  <c r="F707" i="4"/>
  <c r="I707" i="4" s="1"/>
  <c r="D707" i="4"/>
  <c r="E707" i="4" s="1"/>
  <c r="C707" i="4"/>
  <c r="B707" i="4"/>
  <c r="P706" i="4"/>
  <c r="O706" i="4"/>
  <c r="N706" i="4"/>
  <c r="Q706" i="4" s="1"/>
  <c r="M706" i="4"/>
  <c r="L706" i="4"/>
  <c r="K706" i="4"/>
  <c r="J706" i="4"/>
  <c r="H706" i="4"/>
  <c r="G706" i="4"/>
  <c r="F706" i="4"/>
  <c r="I706" i="4" s="1"/>
  <c r="E706" i="4"/>
  <c r="D706" i="4"/>
  <c r="C706" i="4"/>
  <c r="B706" i="4"/>
  <c r="Q703" i="4"/>
  <c r="M703" i="4"/>
  <c r="I703" i="4"/>
  <c r="R703" i="4" s="1"/>
  <c r="E703" i="4"/>
  <c r="P699" i="4"/>
  <c r="O699" i="4"/>
  <c r="N699" i="4"/>
  <c r="Q699" i="4" s="1"/>
  <c r="L699" i="4"/>
  <c r="K699" i="4"/>
  <c r="K708" i="4" s="1"/>
  <c r="K711" i="4" s="1"/>
  <c r="J699" i="4"/>
  <c r="H699" i="4"/>
  <c r="G699" i="4"/>
  <c r="F699" i="4"/>
  <c r="D699" i="4"/>
  <c r="C699" i="4"/>
  <c r="C708" i="4" s="1"/>
  <c r="C711" i="4" s="1"/>
  <c r="B699" i="4"/>
  <c r="P695" i="4"/>
  <c r="O695" i="4"/>
  <c r="O708" i="4" s="1"/>
  <c r="O711" i="4" s="1"/>
  <c r="N695" i="4"/>
  <c r="Q695" i="4" s="1"/>
  <c r="M695" i="4"/>
  <c r="L695" i="4"/>
  <c r="L708" i="4" s="1"/>
  <c r="L711" i="4" s="1"/>
  <c r="K695" i="4"/>
  <c r="J695" i="4"/>
  <c r="H695" i="4"/>
  <c r="G695" i="4"/>
  <c r="G708" i="4" s="1"/>
  <c r="G711" i="4" s="1"/>
  <c r="F695" i="4"/>
  <c r="E695" i="4"/>
  <c r="D695" i="4"/>
  <c r="C695" i="4"/>
  <c r="B695" i="4"/>
  <c r="Q691" i="4"/>
  <c r="P691" i="4"/>
  <c r="P708" i="4" s="1"/>
  <c r="P711" i="4" s="1"/>
  <c r="O691" i="4"/>
  <c r="N691" i="4"/>
  <c r="N708" i="4" s="1"/>
  <c r="M691" i="4"/>
  <c r="L691" i="4"/>
  <c r="K691" i="4"/>
  <c r="J691" i="4"/>
  <c r="J708" i="4" s="1"/>
  <c r="I691" i="4"/>
  <c r="H691" i="4"/>
  <c r="H708" i="4" s="1"/>
  <c r="H711" i="4" s="1"/>
  <c r="G691" i="4"/>
  <c r="F691" i="4"/>
  <c r="E691" i="4"/>
  <c r="D691" i="4"/>
  <c r="C691" i="4"/>
  <c r="B691" i="4"/>
  <c r="B708" i="4" s="1"/>
  <c r="Q687" i="4"/>
  <c r="M687" i="4"/>
  <c r="I687" i="4"/>
  <c r="E687" i="4"/>
  <c r="R687" i="4" s="1"/>
  <c r="Q686" i="4"/>
  <c r="M686" i="4"/>
  <c r="I686" i="4"/>
  <c r="E686" i="4"/>
  <c r="R686" i="4" s="1"/>
  <c r="Q685" i="4"/>
  <c r="M685" i="4"/>
  <c r="I685" i="4"/>
  <c r="E685" i="4"/>
  <c r="R685" i="4" s="1"/>
  <c r="P675" i="4"/>
  <c r="O675" i="4"/>
  <c r="N675" i="4"/>
  <c r="L675" i="4"/>
  <c r="K675" i="4"/>
  <c r="J675" i="4"/>
  <c r="M675" i="4" s="1"/>
  <c r="H675" i="4"/>
  <c r="G675" i="4"/>
  <c r="F675" i="4"/>
  <c r="D675" i="4"/>
  <c r="C675" i="4"/>
  <c r="B675" i="4"/>
  <c r="R673" i="4"/>
  <c r="Q673" i="4"/>
  <c r="M673" i="4"/>
  <c r="I673" i="4"/>
  <c r="E673" i="4"/>
  <c r="Q663" i="4"/>
  <c r="M663" i="4"/>
  <c r="I663" i="4"/>
  <c r="R663" i="4" s="1"/>
  <c r="E663" i="4"/>
  <c r="P661" i="4"/>
  <c r="O661" i="4"/>
  <c r="N661" i="4"/>
  <c r="Q661" i="4" s="1"/>
  <c r="M661" i="4"/>
  <c r="L661" i="4"/>
  <c r="K661" i="4"/>
  <c r="J661" i="4"/>
  <c r="H661" i="4"/>
  <c r="G661" i="4"/>
  <c r="F661" i="4"/>
  <c r="E661" i="4"/>
  <c r="D661" i="4"/>
  <c r="C661" i="4"/>
  <c r="B661" i="4"/>
  <c r="Q660" i="4"/>
  <c r="P660" i="4"/>
  <c r="O660" i="4"/>
  <c r="N660" i="4"/>
  <c r="M660" i="4"/>
  <c r="L660" i="4"/>
  <c r="K660" i="4"/>
  <c r="J660" i="4"/>
  <c r="I660" i="4"/>
  <c r="H660" i="4"/>
  <c r="G660" i="4"/>
  <c r="F660" i="4"/>
  <c r="E660" i="4"/>
  <c r="R660" i="4" s="1"/>
  <c r="D660" i="4"/>
  <c r="C660" i="4"/>
  <c r="B660" i="4"/>
  <c r="Q659" i="4"/>
  <c r="M659" i="4"/>
  <c r="I659" i="4"/>
  <c r="E659" i="4"/>
  <c r="R659" i="4" s="1"/>
  <c r="Q658" i="4"/>
  <c r="M658" i="4"/>
  <c r="I658" i="4"/>
  <c r="E658" i="4"/>
  <c r="R658" i="4" s="1"/>
  <c r="Q657" i="4"/>
  <c r="M657" i="4"/>
  <c r="I657" i="4"/>
  <c r="E657" i="4"/>
  <c r="R657" i="4" s="1"/>
  <c r="Q655" i="4"/>
  <c r="M655" i="4"/>
  <c r="I655" i="4"/>
  <c r="E655" i="4"/>
  <c r="R655" i="4" s="1"/>
  <c r="Q654" i="4"/>
  <c r="M654" i="4"/>
  <c r="I654" i="4"/>
  <c r="E654" i="4"/>
  <c r="R654" i="4" s="1"/>
  <c r="Q652" i="4"/>
  <c r="M652" i="4"/>
  <c r="I652" i="4"/>
  <c r="R652" i="4" s="1"/>
  <c r="E652" i="4"/>
  <c r="Q651" i="4"/>
  <c r="M651" i="4"/>
  <c r="I651" i="4"/>
  <c r="E651" i="4"/>
  <c r="Q650" i="4"/>
  <c r="R650" i="4" s="1"/>
  <c r="M650" i="4"/>
  <c r="I650" i="4"/>
  <c r="E650" i="4"/>
  <c r="Q649" i="4"/>
  <c r="M649" i="4"/>
  <c r="I649" i="4"/>
  <c r="E649" i="4"/>
  <c r="R649" i="4" s="1"/>
  <c r="Q647" i="4"/>
  <c r="M647" i="4"/>
  <c r="I647" i="4"/>
  <c r="E647" i="4"/>
  <c r="R647" i="4" s="1"/>
  <c r="Q646" i="4"/>
  <c r="M646" i="4"/>
  <c r="I646" i="4"/>
  <c r="E646" i="4"/>
  <c r="R646" i="4" s="1"/>
  <c r="P643" i="4"/>
  <c r="O643" i="4"/>
  <c r="N643" i="4"/>
  <c r="Q643" i="4" s="1"/>
  <c r="M643" i="4"/>
  <c r="L643" i="4"/>
  <c r="K643" i="4"/>
  <c r="J643" i="4"/>
  <c r="H643" i="4"/>
  <c r="G643" i="4"/>
  <c r="F643" i="4"/>
  <c r="F662" i="4" s="1"/>
  <c r="E643" i="4"/>
  <c r="D643" i="4"/>
  <c r="C643" i="4"/>
  <c r="B643" i="4"/>
  <c r="Q642" i="4"/>
  <c r="M642" i="4"/>
  <c r="I642" i="4"/>
  <c r="E642" i="4"/>
  <c r="R642" i="4" s="1"/>
  <c r="Q641" i="4"/>
  <c r="M641" i="4"/>
  <c r="I641" i="4"/>
  <c r="E641" i="4"/>
  <c r="Q640" i="4"/>
  <c r="M640" i="4"/>
  <c r="I640" i="4"/>
  <c r="E640" i="4"/>
  <c r="R640" i="4" s="1"/>
  <c r="Q639" i="4"/>
  <c r="M639" i="4"/>
  <c r="I639" i="4"/>
  <c r="E639" i="4"/>
  <c r="R638" i="4"/>
  <c r="Q638" i="4"/>
  <c r="M638" i="4"/>
  <c r="I638" i="4"/>
  <c r="E638" i="4"/>
  <c r="R637" i="4"/>
  <c r="Q637" i="4"/>
  <c r="M637" i="4"/>
  <c r="I637" i="4"/>
  <c r="E637" i="4"/>
  <c r="P633" i="4"/>
  <c r="O633" i="4"/>
  <c r="N633" i="4"/>
  <c r="L633" i="4"/>
  <c r="L662" i="4" s="1"/>
  <c r="L665" i="4" s="1"/>
  <c r="K633" i="4"/>
  <c r="J633" i="4"/>
  <c r="H633" i="4"/>
  <c r="G633" i="4"/>
  <c r="F633" i="4"/>
  <c r="D633" i="4"/>
  <c r="E633" i="4" s="1"/>
  <c r="C633" i="4"/>
  <c r="B633" i="4"/>
  <c r="Q631" i="4"/>
  <c r="M631" i="4"/>
  <c r="I631" i="4"/>
  <c r="E631" i="4"/>
  <c r="R631" i="4" s="1"/>
  <c r="Q630" i="4"/>
  <c r="M630" i="4"/>
  <c r="I630" i="4"/>
  <c r="E630" i="4"/>
  <c r="R630" i="4" s="1"/>
  <c r="P627" i="4"/>
  <c r="P662" i="4" s="1"/>
  <c r="P665" i="4" s="1"/>
  <c r="O627" i="4"/>
  <c r="O662" i="4" s="1"/>
  <c r="O665" i="4" s="1"/>
  <c r="N627" i="4"/>
  <c r="L627" i="4"/>
  <c r="K627" i="4"/>
  <c r="K662" i="4" s="1"/>
  <c r="K665" i="4" s="1"/>
  <c r="J627" i="4"/>
  <c r="H627" i="4"/>
  <c r="H662" i="4" s="1"/>
  <c r="H665" i="4" s="1"/>
  <c r="G627" i="4"/>
  <c r="G662" i="4" s="1"/>
  <c r="G665" i="4" s="1"/>
  <c r="F627" i="4"/>
  <c r="I627" i="4" s="1"/>
  <c r="D627" i="4"/>
  <c r="C627" i="4"/>
  <c r="C662" i="4" s="1"/>
  <c r="C665" i="4" s="1"/>
  <c r="B627" i="4"/>
  <c r="Q625" i="4"/>
  <c r="M625" i="4"/>
  <c r="I625" i="4"/>
  <c r="E625" i="4"/>
  <c r="Q623" i="4"/>
  <c r="M623" i="4"/>
  <c r="I623" i="4"/>
  <c r="E623" i="4"/>
  <c r="Q621" i="4"/>
  <c r="M621" i="4"/>
  <c r="I621" i="4"/>
  <c r="E621" i="4"/>
  <c r="R621" i="4" s="1"/>
  <c r="Q620" i="4"/>
  <c r="M620" i="4"/>
  <c r="I620" i="4"/>
  <c r="R620" i="4" s="1"/>
  <c r="E620" i="4"/>
  <c r="Q619" i="4"/>
  <c r="M619" i="4"/>
  <c r="I619" i="4"/>
  <c r="R619" i="4" s="1"/>
  <c r="E619" i="4"/>
  <c r="Q618" i="4"/>
  <c r="R618" i="4" s="1"/>
  <c r="M618" i="4"/>
  <c r="I618" i="4"/>
  <c r="E618" i="4"/>
  <c r="Q617" i="4"/>
  <c r="M617" i="4"/>
  <c r="I617" i="4"/>
  <c r="E617" i="4"/>
  <c r="R617" i="4" s="1"/>
  <c r="Q616" i="4"/>
  <c r="M616" i="4"/>
  <c r="I616" i="4"/>
  <c r="E616" i="4"/>
  <c r="Q615" i="4"/>
  <c r="M615" i="4"/>
  <c r="I615" i="4"/>
  <c r="E615" i="4"/>
  <c r="Q614" i="4"/>
  <c r="M614" i="4"/>
  <c r="I614" i="4"/>
  <c r="E614" i="4"/>
  <c r="R613" i="4"/>
  <c r="Q613" i="4"/>
  <c r="M613" i="4"/>
  <c r="I613" i="4"/>
  <c r="E613" i="4"/>
  <c r="Q612" i="4"/>
  <c r="M612" i="4"/>
  <c r="I612" i="4"/>
  <c r="R612" i="4" s="1"/>
  <c r="E612" i="4"/>
  <c r="Q611" i="4"/>
  <c r="M611" i="4"/>
  <c r="I611" i="4"/>
  <c r="R611" i="4" s="1"/>
  <c r="E611" i="4"/>
  <c r="R610" i="4"/>
  <c r="Q610" i="4"/>
  <c r="M610" i="4"/>
  <c r="I610" i="4"/>
  <c r="E610" i="4"/>
  <c r="K600" i="4"/>
  <c r="Q598" i="4"/>
  <c r="M598" i="4"/>
  <c r="I598" i="4"/>
  <c r="E598" i="4"/>
  <c r="R598" i="4" s="1"/>
  <c r="P596" i="4"/>
  <c r="O596" i="4"/>
  <c r="N596" i="4"/>
  <c r="Q596" i="4" s="1"/>
  <c r="L596" i="4"/>
  <c r="K596" i="4"/>
  <c r="J596" i="4"/>
  <c r="M596" i="4" s="1"/>
  <c r="H596" i="4"/>
  <c r="G596" i="4"/>
  <c r="F596" i="4"/>
  <c r="I596" i="4" s="1"/>
  <c r="D596" i="4"/>
  <c r="C596" i="4"/>
  <c r="B596" i="4"/>
  <c r="E596" i="4" s="1"/>
  <c r="R596" i="4" s="1"/>
  <c r="P595" i="4"/>
  <c r="O595" i="4"/>
  <c r="N595" i="4"/>
  <c r="L595" i="4"/>
  <c r="K595" i="4"/>
  <c r="J595" i="4"/>
  <c r="H595" i="4"/>
  <c r="G595" i="4"/>
  <c r="F595" i="4"/>
  <c r="D595" i="4"/>
  <c r="C595" i="4"/>
  <c r="B595" i="4"/>
  <c r="E595" i="4" s="1"/>
  <c r="Q594" i="4"/>
  <c r="M594" i="4"/>
  <c r="I594" i="4"/>
  <c r="E594" i="4"/>
  <c r="R594" i="4" s="1"/>
  <c r="Q593" i="4"/>
  <c r="M593" i="4"/>
  <c r="I593" i="4"/>
  <c r="E593" i="4"/>
  <c r="R593" i="4" s="1"/>
  <c r="R592" i="4"/>
  <c r="Q592" i="4"/>
  <c r="M592" i="4"/>
  <c r="I592" i="4"/>
  <c r="E592" i="4"/>
  <c r="Q591" i="4"/>
  <c r="M591" i="4"/>
  <c r="I591" i="4"/>
  <c r="R591" i="4" s="1"/>
  <c r="E591" i="4"/>
  <c r="Q589" i="4"/>
  <c r="M589" i="4"/>
  <c r="I589" i="4"/>
  <c r="E589" i="4"/>
  <c r="Q584" i="4"/>
  <c r="P584" i="4"/>
  <c r="O584" i="4"/>
  <c r="N584" i="4"/>
  <c r="M584" i="4"/>
  <c r="L584" i="4"/>
  <c r="K584" i="4"/>
  <c r="J584" i="4"/>
  <c r="I584" i="4"/>
  <c r="H584" i="4"/>
  <c r="G584" i="4"/>
  <c r="F584" i="4"/>
  <c r="E584" i="4"/>
  <c r="R584" i="4" s="1"/>
  <c r="D584" i="4"/>
  <c r="C584" i="4"/>
  <c r="B584" i="4"/>
  <c r="Q583" i="4"/>
  <c r="M583" i="4"/>
  <c r="I583" i="4"/>
  <c r="E583" i="4"/>
  <c r="R583" i="4" s="1"/>
  <c r="P579" i="4"/>
  <c r="O579" i="4"/>
  <c r="N579" i="4"/>
  <c r="Q579" i="4" s="1"/>
  <c r="L579" i="4"/>
  <c r="K579" i="4"/>
  <c r="J579" i="4"/>
  <c r="M579" i="4" s="1"/>
  <c r="H579" i="4"/>
  <c r="G579" i="4"/>
  <c r="F579" i="4"/>
  <c r="D579" i="4"/>
  <c r="C579" i="4"/>
  <c r="B579" i="4"/>
  <c r="Q577" i="4"/>
  <c r="M577" i="4"/>
  <c r="I577" i="4"/>
  <c r="E577" i="4"/>
  <c r="Q576" i="4"/>
  <c r="M576" i="4"/>
  <c r="I576" i="4"/>
  <c r="R576" i="4" s="1"/>
  <c r="E576" i="4"/>
  <c r="P573" i="4"/>
  <c r="P597" i="4" s="1"/>
  <c r="P600" i="4" s="1"/>
  <c r="O573" i="4"/>
  <c r="O597" i="4" s="1"/>
  <c r="O600" i="4" s="1"/>
  <c r="N573" i="4"/>
  <c r="N597" i="4" s="1"/>
  <c r="L573" i="4"/>
  <c r="L597" i="4" s="1"/>
  <c r="L600" i="4" s="1"/>
  <c r="K573" i="4"/>
  <c r="K597" i="4" s="1"/>
  <c r="J573" i="4"/>
  <c r="M573" i="4" s="1"/>
  <c r="H573" i="4"/>
  <c r="H597" i="4" s="1"/>
  <c r="H600" i="4" s="1"/>
  <c r="G573" i="4"/>
  <c r="F573" i="4"/>
  <c r="I573" i="4" s="1"/>
  <c r="E573" i="4"/>
  <c r="D573" i="4"/>
  <c r="D597" i="4" s="1"/>
  <c r="D600" i="4" s="1"/>
  <c r="C573" i="4"/>
  <c r="B573" i="4"/>
  <c r="Q569" i="4"/>
  <c r="M569" i="4"/>
  <c r="I569" i="4"/>
  <c r="E569" i="4"/>
  <c r="R569" i="4" s="1"/>
  <c r="Q568" i="4"/>
  <c r="M568" i="4"/>
  <c r="I568" i="4"/>
  <c r="E568" i="4"/>
  <c r="R568" i="4" s="1"/>
  <c r="Q567" i="4"/>
  <c r="M567" i="4"/>
  <c r="I567" i="4"/>
  <c r="E567" i="4"/>
  <c r="R567" i="4" s="1"/>
  <c r="Q566" i="4"/>
  <c r="M566" i="4"/>
  <c r="I566" i="4"/>
  <c r="E566" i="4"/>
  <c r="R566" i="4" s="1"/>
  <c r="R565" i="4"/>
  <c r="Q565" i="4"/>
  <c r="M565" i="4"/>
  <c r="I565" i="4"/>
  <c r="E565" i="4"/>
  <c r="Q553" i="4"/>
  <c r="R553" i="4" s="1"/>
  <c r="M553" i="4"/>
  <c r="I553" i="4"/>
  <c r="E553" i="4"/>
  <c r="P551" i="4"/>
  <c r="O551" i="4"/>
  <c r="N551" i="4"/>
  <c r="Q551" i="4" s="1"/>
  <c r="L551" i="4"/>
  <c r="K551" i="4"/>
  <c r="J551" i="4"/>
  <c r="M551" i="4" s="1"/>
  <c r="H551" i="4"/>
  <c r="G551" i="4"/>
  <c r="F551" i="4"/>
  <c r="I551" i="4" s="1"/>
  <c r="D551" i="4"/>
  <c r="C551" i="4"/>
  <c r="B551" i="4"/>
  <c r="E551" i="4" s="1"/>
  <c r="P550" i="4"/>
  <c r="Q550" i="4" s="1"/>
  <c r="O550" i="4"/>
  <c r="N550" i="4"/>
  <c r="L550" i="4"/>
  <c r="K550" i="4"/>
  <c r="J550" i="4"/>
  <c r="M550" i="4" s="1"/>
  <c r="H550" i="4"/>
  <c r="I550" i="4" s="1"/>
  <c r="G550" i="4"/>
  <c r="F550" i="4"/>
  <c r="D550" i="4"/>
  <c r="C550" i="4"/>
  <c r="B550" i="4"/>
  <c r="E550" i="4" s="1"/>
  <c r="Q549" i="4"/>
  <c r="R549" i="4" s="1"/>
  <c r="M549" i="4"/>
  <c r="I549" i="4"/>
  <c r="E549" i="4"/>
  <c r="Q548" i="4"/>
  <c r="M548" i="4"/>
  <c r="I548" i="4"/>
  <c r="E548" i="4"/>
  <c r="R548" i="4" s="1"/>
  <c r="P542" i="4"/>
  <c r="O542" i="4"/>
  <c r="N542" i="4"/>
  <c r="Q542" i="4" s="1"/>
  <c r="L542" i="4"/>
  <c r="K542" i="4"/>
  <c r="J542" i="4"/>
  <c r="M542" i="4" s="1"/>
  <c r="H542" i="4"/>
  <c r="G542" i="4"/>
  <c r="F542" i="4"/>
  <c r="I542" i="4" s="1"/>
  <c r="D542" i="4"/>
  <c r="C542" i="4"/>
  <c r="B542" i="4"/>
  <c r="E542" i="4" s="1"/>
  <c r="Q541" i="4"/>
  <c r="M541" i="4"/>
  <c r="I541" i="4"/>
  <c r="R541" i="4" s="1"/>
  <c r="E541" i="4"/>
  <c r="Q540" i="4"/>
  <c r="R540" i="4" s="1"/>
  <c r="M540" i="4"/>
  <c r="I540" i="4"/>
  <c r="E540" i="4"/>
  <c r="P536" i="4"/>
  <c r="O536" i="4"/>
  <c r="O552" i="4" s="1"/>
  <c r="O555" i="4" s="1"/>
  <c r="N536" i="4"/>
  <c r="Q536" i="4" s="1"/>
  <c r="L536" i="4"/>
  <c r="K536" i="4"/>
  <c r="J536" i="4"/>
  <c r="J552" i="4" s="1"/>
  <c r="H536" i="4"/>
  <c r="G536" i="4"/>
  <c r="G552" i="4" s="1"/>
  <c r="G555" i="4" s="1"/>
  <c r="F536" i="4"/>
  <c r="I536" i="4" s="1"/>
  <c r="C536" i="4"/>
  <c r="B536" i="4"/>
  <c r="B552" i="4" s="1"/>
  <c r="Q534" i="4"/>
  <c r="M534" i="4"/>
  <c r="I534" i="4"/>
  <c r="D534" i="4"/>
  <c r="Q531" i="4"/>
  <c r="P531" i="4"/>
  <c r="P552" i="4" s="1"/>
  <c r="P555" i="4" s="1"/>
  <c r="O531" i="4"/>
  <c r="N531" i="4"/>
  <c r="M531" i="4"/>
  <c r="L531" i="4"/>
  <c r="L552" i="4" s="1"/>
  <c r="L555" i="4" s="1"/>
  <c r="K531" i="4"/>
  <c r="K552" i="4" s="1"/>
  <c r="K555" i="4" s="1"/>
  <c r="J531" i="4"/>
  <c r="I531" i="4"/>
  <c r="H531" i="4"/>
  <c r="H552" i="4" s="1"/>
  <c r="H555" i="4" s="1"/>
  <c r="G531" i="4"/>
  <c r="F531" i="4"/>
  <c r="E531" i="4"/>
  <c r="R531" i="4" s="1"/>
  <c r="D531" i="4"/>
  <c r="C531" i="4"/>
  <c r="C552" i="4" s="1"/>
  <c r="C555" i="4" s="1"/>
  <c r="B531" i="4"/>
  <c r="Q528" i="4"/>
  <c r="M528" i="4"/>
  <c r="I528" i="4"/>
  <c r="E528" i="4"/>
  <c r="R528" i="4" s="1"/>
  <c r="Q527" i="4"/>
  <c r="M527" i="4"/>
  <c r="I527" i="4"/>
  <c r="E527" i="4"/>
  <c r="R527" i="4" s="1"/>
  <c r="Q525" i="4"/>
  <c r="M525" i="4"/>
  <c r="I525" i="4"/>
  <c r="E525" i="4"/>
  <c r="R525" i="4" s="1"/>
  <c r="Q524" i="4"/>
  <c r="M524" i="4"/>
  <c r="I524" i="4"/>
  <c r="E524" i="4"/>
  <c r="R524" i="4" s="1"/>
  <c r="Q523" i="4"/>
  <c r="M523" i="4"/>
  <c r="I523" i="4"/>
  <c r="E523" i="4"/>
  <c r="R523" i="4" s="1"/>
  <c r="Q522" i="4"/>
  <c r="M522" i="4"/>
  <c r="I522" i="4"/>
  <c r="R522" i="4" s="1"/>
  <c r="E522" i="4"/>
  <c r="Q521" i="4"/>
  <c r="M521" i="4"/>
  <c r="I521" i="4"/>
  <c r="R521" i="4" s="1"/>
  <c r="E521" i="4"/>
  <c r="Q503" i="4"/>
  <c r="M503" i="4"/>
  <c r="I503" i="4"/>
  <c r="E503" i="4"/>
  <c r="R503" i="4" s="1"/>
  <c r="Q502" i="4"/>
  <c r="M502" i="4"/>
  <c r="I502" i="4"/>
  <c r="E502" i="4"/>
  <c r="R502" i="4" s="1"/>
  <c r="Q501" i="4"/>
  <c r="M501" i="4"/>
  <c r="I501" i="4"/>
  <c r="E501" i="4"/>
  <c r="R501" i="4" s="1"/>
  <c r="P499" i="4"/>
  <c r="O499" i="4"/>
  <c r="N499" i="4"/>
  <c r="Q499" i="4" s="1"/>
  <c r="L499" i="4"/>
  <c r="K499" i="4"/>
  <c r="J499" i="4"/>
  <c r="M499" i="4" s="1"/>
  <c r="H499" i="4"/>
  <c r="G499" i="4"/>
  <c r="F499" i="4"/>
  <c r="I499" i="4" s="1"/>
  <c r="D499" i="4"/>
  <c r="C499" i="4"/>
  <c r="B499" i="4"/>
  <c r="E499" i="4" s="1"/>
  <c r="R499" i="4" s="1"/>
  <c r="P498" i="4"/>
  <c r="O498" i="4"/>
  <c r="N498" i="4"/>
  <c r="Q498" i="4" s="1"/>
  <c r="L498" i="4"/>
  <c r="M498" i="4" s="1"/>
  <c r="K498" i="4"/>
  <c r="J498" i="4"/>
  <c r="H498" i="4"/>
  <c r="G498" i="4"/>
  <c r="F498" i="4"/>
  <c r="I498" i="4" s="1"/>
  <c r="D498" i="4"/>
  <c r="E498" i="4" s="1"/>
  <c r="R498" i="4" s="1"/>
  <c r="C498" i="4"/>
  <c r="B498" i="4"/>
  <c r="Q497" i="4"/>
  <c r="M497" i="4"/>
  <c r="I497" i="4"/>
  <c r="E497" i="4"/>
  <c r="R497" i="4" s="1"/>
  <c r="Q496" i="4"/>
  <c r="M496" i="4"/>
  <c r="I496" i="4"/>
  <c r="E496" i="4"/>
  <c r="R496" i="4" s="1"/>
  <c r="Q495" i="4"/>
  <c r="M495" i="4"/>
  <c r="I495" i="4"/>
  <c r="R495" i="4" s="1"/>
  <c r="E495" i="4"/>
  <c r="Q494" i="4"/>
  <c r="M494" i="4"/>
  <c r="I494" i="4"/>
  <c r="R494" i="4" s="1"/>
  <c r="E494" i="4"/>
  <c r="Q493" i="4"/>
  <c r="R493" i="4" s="1"/>
  <c r="M493" i="4"/>
  <c r="I493" i="4"/>
  <c r="E493" i="4"/>
  <c r="Q492" i="4"/>
  <c r="M492" i="4"/>
  <c r="I492" i="4"/>
  <c r="E492" i="4"/>
  <c r="R492" i="4" s="1"/>
  <c r="Q491" i="4"/>
  <c r="M491" i="4"/>
  <c r="I491" i="4"/>
  <c r="E491" i="4"/>
  <c r="R491" i="4" s="1"/>
  <c r="Q490" i="4"/>
  <c r="M490" i="4"/>
  <c r="I490" i="4"/>
  <c r="E490" i="4"/>
  <c r="R490" i="4" s="1"/>
  <c r="Q489" i="4"/>
  <c r="M489" i="4"/>
  <c r="I489" i="4"/>
  <c r="E489" i="4"/>
  <c r="R489" i="4" s="1"/>
  <c r="Q488" i="4"/>
  <c r="M488" i="4"/>
  <c r="I488" i="4"/>
  <c r="E488" i="4"/>
  <c r="R488" i="4" s="1"/>
  <c r="Q486" i="4"/>
  <c r="M486" i="4"/>
  <c r="I486" i="4"/>
  <c r="R486" i="4" s="1"/>
  <c r="E486" i="4"/>
  <c r="Q485" i="4"/>
  <c r="M485" i="4"/>
  <c r="I485" i="4"/>
  <c r="R485" i="4" s="1"/>
  <c r="E485" i="4"/>
  <c r="Q484" i="4"/>
  <c r="R484" i="4" s="1"/>
  <c r="M484" i="4"/>
  <c r="I484" i="4"/>
  <c r="E484" i="4"/>
  <c r="Q483" i="4"/>
  <c r="M483" i="4"/>
  <c r="I483" i="4"/>
  <c r="E483" i="4"/>
  <c r="R483" i="4" s="1"/>
  <c r="Q482" i="4"/>
  <c r="M482" i="4"/>
  <c r="I482" i="4"/>
  <c r="E482" i="4"/>
  <c r="R482" i="4" s="1"/>
  <c r="Q481" i="4"/>
  <c r="M481" i="4"/>
  <c r="I481" i="4"/>
  <c r="E481" i="4"/>
  <c r="R481" i="4" s="1"/>
  <c r="Q479" i="4"/>
  <c r="M479" i="4"/>
  <c r="I479" i="4"/>
  <c r="E479" i="4"/>
  <c r="R479" i="4" s="1"/>
  <c r="Q478" i="4"/>
  <c r="M478" i="4"/>
  <c r="I478" i="4"/>
  <c r="E478" i="4"/>
  <c r="R478" i="4" s="1"/>
  <c r="Q476" i="4"/>
  <c r="M476" i="4"/>
  <c r="I476" i="4"/>
  <c r="R476" i="4" s="1"/>
  <c r="E476" i="4"/>
  <c r="O473" i="4"/>
  <c r="Q472" i="4"/>
  <c r="M472" i="4"/>
  <c r="I472" i="4"/>
  <c r="E472" i="4"/>
  <c r="R472" i="4" s="1"/>
  <c r="Q471" i="4"/>
  <c r="M471" i="4"/>
  <c r="I471" i="4"/>
  <c r="E471" i="4"/>
  <c r="R471" i="4" s="1"/>
  <c r="Q470" i="4"/>
  <c r="M470" i="4"/>
  <c r="I470" i="4"/>
  <c r="R470" i="4" s="1"/>
  <c r="E470" i="4"/>
  <c r="Q469" i="4"/>
  <c r="M469" i="4"/>
  <c r="I469" i="4"/>
  <c r="R469" i="4" s="1"/>
  <c r="E469" i="4"/>
  <c r="Q468" i="4"/>
  <c r="R468" i="4" s="1"/>
  <c r="M468" i="4"/>
  <c r="I468" i="4"/>
  <c r="E468" i="4"/>
  <c r="Q467" i="4"/>
  <c r="M467" i="4"/>
  <c r="I467" i="4"/>
  <c r="E467" i="4"/>
  <c r="R467" i="4" s="1"/>
  <c r="Q466" i="4"/>
  <c r="M466" i="4"/>
  <c r="I466" i="4"/>
  <c r="E466" i="4"/>
  <c r="R466" i="4" s="1"/>
  <c r="Q465" i="4"/>
  <c r="M465" i="4"/>
  <c r="I465" i="4"/>
  <c r="E465" i="4"/>
  <c r="R465" i="4" s="1"/>
  <c r="Q464" i="4"/>
  <c r="M464" i="4"/>
  <c r="I464" i="4"/>
  <c r="E464" i="4"/>
  <c r="R464" i="4" s="1"/>
  <c r="R463" i="4"/>
  <c r="Q463" i="4"/>
  <c r="M463" i="4"/>
  <c r="I463" i="4"/>
  <c r="E463" i="4"/>
  <c r="Q462" i="4"/>
  <c r="M462" i="4"/>
  <c r="I462" i="4"/>
  <c r="R462" i="4" s="1"/>
  <c r="E462" i="4"/>
  <c r="Q461" i="4"/>
  <c r="M461" i="4"/>
  <c r="I461" i="4"/>
  <c r="R461" i="4" s="1"/>
  <c r="E461" i="4"/>
  <c r="Q460" i="4"/>
  <c r="R460" i="4" s="1"/>
  <c r="M460" i="4"/>
  <c r="I460" i="4"/>
  <c r="E460" i="4"/>
  <c r="Q459" i="4"/>
  <c r="M459" i="4"/>
  <c r="I459" i="4"/>
  <c r="E459" i="4"/>
  <c r="R459" i="4" s="1"/>
  <c r="Q458" i="4"/>
  <c r="M458" i="4"/>
  <c r="I458" i="4"/>
  <c r="E458" i="4"/>
  <c r="R458" i="4" s="1"/>
  <c r="Q457" i="4"/>
  <c r="M457" i="4"/>
  <c r="I457" i="4"/>
  <c r="E457" i="4"/>
  <c r="R457" i="4" s="1"/>
  <c r="Q456" i="4"/>
  <c r="M456" i="4"/>
  <c r="I456" i="4"/>
  <c r="E456" i="4"/>
  <c r="R456" i="4" s="1"/>
  <c r="R455" i="4"/>
  <c r="Q455" i="4"/>
  <c r="M455" i="4"/>
  <c r="I455" i="4"/>
  <c r="E455" i="4"/>
  <c r="Q454" i="4"/>
  <c r="M454" i="4"/>
  <c r="I454" i="4"/>
  <c r="R454" i="4" s="1"/>
  <c r="E454" i="4"/>
  <c r="Q453" i="4"/>
  <c r="M453" i="4"/>
  <c r="I453" i="4"/>
  <c r="R453" i="4" s="1"/>
  <c r="E453" i="4"/>
  <c r="Q452" i="4"/>
  <c r="R452" i="4" s="1"/>
  <c r="M452" i="4"/>
  <c r="I452" i="4"/>
  <c r="E452" i="4"/>
  <c r="Q451" i="4"/>
  <c r="M451" i="4"/>
  <c r="I451" i="4"/>
  <c r="E451" i="4"/>
  <c r="R451" i="4" s="1"/>
  <c r="Q450" i="4"/>
  <c r="M450" i="4"/>
  <c r="I450" i="4"/>
  <c r="E450" i="4"/>
  <c r="R450" i="4" s="1"/>
  <c r="Q449" i="4"/>
  <c r="M449" i="4"/>
  <c r="I449" i="4"/>
  <c r="E449" i="4"/>
  <c r="R449" i="4" s="1"/>
  <c r="Q448" i="4"/>
  <c r="M448" i="4"/>
  <c r="I448" i="4"/>
  <c r="E448" i="4"/>
  <c r="R448" i="4" s="1"/>
  <c r="R447" i="4"/>
  <c r="Q447" i="4"/>
  <c r="M447" i="4"/>
  <c r="I447" i="4"/>
  <c r="E447" i="4"/>
  <c r="Q446" i="4"/>
  <c r="M446" i="4"/>
  <c r="I446" i="4"/>
  <c r="R446" i="4" s="1"/>
  <c r="E446" i="4"/>
  <c r="Q445" i="4"/>
  <c r="M445" i="4"/>
  <c r="I445" i="4"/>
  <c r="R445" i="4" s="1"/>
  <c r="E445" i="4"/>
  <c r="Q444" i="4"/>
  <c r="R444" i="4" s="1"/>
  <c r="M444" i="4"/>
  <c r="I444" i="4"/>
  <c r="E444" i="4"/>
  <c r="Q443" i="4"/>
  <c r="M443" i="4"/>
  <c r="I443" i="4"/>
  <c r="E443" i="4"/>
  <c r="R443" i="4" s="1"/>
  <c r="Q442" i="4"/>
  <c r="M442" i="4"/>
  <c r="I442" i="4"/>
  <c r="E442" i="4"/>
  <c r="R442" i="4" s="1"/>
  <c r="Q441" i="4"/>
  <c r="M441" i="4"/>
  <c r="I441" i="4"/>
  <c r="E441" i="4"/>
  <c r="R441" i="4" s="1"/>
  <c r="Q440" i="4"/>
  <c r="M440" i="4"/>
  <c r="I440" i="4"/>
  <c r="E440" i="4"/>
  <c r="R440" i="4" s="1"/>
  <c r="R439" i="4"/>
  <c r="Q439" i="4"/>
  <c r="M439" i="4"/>
  <c r="I439" i="4"/>
  <c r="E439" i="4"/>
  <c r="Q438" i="4"/>
  <c r="M438" i="4"/>
  <c r="I438" i="4"/>
  <c r="R438" i="4" s="1"/>
  <c r="E438" i="4"/>
  <c r="Q437" i="4"/>
  <c r="M437" i="4"/>
  <c r="I437" i="4"/>
  <c r="R437" i="4" s="1"/>
  <c r="E437" i="4"/>
  <c r="Q436" i="4"/>
  <c r="R436" i="4" s="1"/>
  <c r="M436" i="4"/>
  <c r="I436" i="4"/>
  <c r="E436" i="4"/>
  <c r="Q435" i="4"/>
  <c r="M435" i="4"/>
  <c r="I435" i="4"/>
  <c r="E435" i="4"/>
  <c r="R435" i="4" s="1"/>
  <c r="Q434" i="4"/>
  <c r="M434" i="4"/>
  <c r="I434" i="4"/>
  <c r="E434" i="4"/>
  <c r="R434" i="4" s="1"/>
  <c r="Q433" i="4"/>
  <c r="M433" i="4"/>
  <c r="I433" i="4"/>
  <c r="E433" i="4"/>
  <c r="R433" i="4" s="1"/>
  <c r="Q432" i="4"/>
  <c r="M432" i="4"/>
  <c r="H432" i="4"/>
  <c r="G432" i="4"/>
  <c r="G473" i="4" s="1"/>
  <c r="F432" i="4"/>
  <c r="I432" i="4" s="1"/>
  <c r="D432" i="4"/>
  <c r="C432" i="4"/>
  <c r="C473" i="4" s="1"/>
  <c r="B432" i="4"/>
  <c r="B890" i="4" s="1"/>
  <c r="Q431" i="4"/>
  <c r="M431" i="4"/>
  <c r="I431" i="4"/>
  <c r="E431" i="4"/>
  <c r="R431" i="4" s="1"/>
  <c r="Q430" i="4"/>
  <c r="M430" i="4"/>
  <c r="I430" i="4"/>
  <c r="E430" i="4"/>
  <c r="R430" i="4" s="1"/>
  <c r="R429" i="4"/>
  <c r="Q429" i="4"/>
  <c r="M429" i="4"/>
  <c r="L429" i="4"/>
  <c r="L890" i="4" s="1"/>
  <c r="I429" i="4"/>
  <c r="E429" i="4"/>
  <c r="Q428" i="4"/>
  <c r="M428" i="4"/>
  <c r="H428" i="4"/>
  <c r="I428" i="4" s="1"/>
  <c r="E428" i="4"/>
  <c r="Q427" i="4"/>
  <c r="M427" i="4"/>
  <c r="I427" i="4"/>
  <c r="E427" i="4"/>
  <c r="R427" i="4" s="1"/>
  <c r="Q426" i="4"/>
  <c r="M426" i="4"/>
  <c r="I426" i="4"/>
  <c r="E426" i="4"/>
  <c r="R426" i="4" s="1"/>
  <c r="Q425" i="4"/>
  <c r="M425" i="4"/>
  <c r="I425" i="4"/>
  <c r="E425" i="4"/>
  <c r="R425" i="4" s="1"/>
  <c r="Q424" i="4"/>
  <c r="M424" i="4"/>
  <c r="I424" i="4"/>
  <c r="E424" i="4"/>
  <c r="R424" i="4" s="1"/>
  <c r="R423" i="4"/>
  <c r="Q423" i="4"/>
  <c r="M423" i="4"/>
  <c r="I423" i="4"/>
  <c r="E423" i="4"/>
  <c r="Q422" i="4"/>
  <c r="M422" i="4"/>
  <c r="I422" i="4"/>
  <c r="R422" i="4" s="1"/>
  <c r="E422" i="4"/>
  <c r="Q421" i="4"/>
  <c r="M421" i="4"/>
  <c r="I421" i="4"/>
  <c r="R421" i="4" s="1"/>
  <c r="E421" i="4"/>
  <c r="Q420" i="4"/>
  <c r="R420" i="4" s="1"/>
  <c r="M420" i="4"/>
  <c r="I420" i="4"/>
  <c r="E420" i="4"/>
  <c r="Q419" i="4"/>
  <c r="M419" i="4"/>
  <c r="I419" i="4"/>
  <c r="E419" i="4"/>
  <c r="R419" i="4" s="1"/>
  <c r="Q418" i="4"/>
  <c r="M418" i="4"/>
  <c r="I418" i="4"/>
  <c r="E418" i="4"/>
  <c r="R418" i="4" s="1"/>
  <c r="Q417" i="4"/>
  <c r="M417" i="4"/>
  <c r="I417" i="4"/>
  <c r="E417" i="4"/>
  <c r="R417" i="4" s="1"/>
  <c r="Q416" i="4"/>
  <c r="M416" i="4"/>
  <c r="I416" i="4"/>
  <c r="E416" i="4"/>
  <c r="R416" i="4" s="1"/>
  <c r="R415" i="4"/>
  <c r="Q415" i="4"/>
  <c r="M415" i="4"/>
  <c r="I415" i="4"/>
  <c r="E415" i="4"/>
  <c r="Q414" i="4"/>
  <c r="M414" i="4"/>
  <c r="I414" i="4"/>
  <c r="R414" i="4" s="1"/>
  <c r="E414" i="4"/>
  <c r="Q413" i="4"/>
  <c r="M413" i="4"/>
  <c r="I413" i="4"/>
  <c r="R413" i="4" s="1"/>
  <c r="E413" i="4"/>
  <c r="Q412" i="4"/>
  <c r="R412" i="4" s="1"/>
  <c r="M412" i="4"/>
  <c r="I412" i="4"/>
  <c r="E412" i="4"/>
  <c r="Q410" i="4"/>
  <c r="M410" i="4"/>
  <c r="I410" i="4"/>
  <c r="E410" i="4"/>
  <c r="R410" i="4" s="1"/>
  <c r="Q409" i="4"/>
  <c r="M409" i="4"/>
  <c r="I409" i="4"/>
  <c r="E409" i="4"/>
  <c r="R409" i="4" s="1"/>
  <c r="P408" i="4"/>
  <c r="P889" i="4" s="1"/>
  <c r="P891" i="4" s="1"/>
  <c r="P920" i="4" s="1"/>
  <c r="O408" i="4"/>
  <c r="O889" i="4" s="1"/>
  <c r="N408" i="4"/>
  <c r="N889" i="4" s="1"/>
  <c r="L408" i="4"/>
  <c r="L889" i="4" s="1"/>
  <c r="L891" i="4" s="1"/>
  <c r="L920" i="4" s="1"/>
  <c r="K408" i="4"/>
  <c r="K889" i="4" s="1"/>
  <c r="K891" i="4" s="1"/>
  <c r="K920" i="4" s="1"/>
  <c r="J408" i="4"/>
  <c r="J889" i="4" s="1"/>
  <c r="H408" i="4"/>
  <c r="H889" i="4" s="1"/>
  <c r="G408" i="4"/>
  <c r="G889" i="4" s="1"/>
  <c r="F408" i="4"/>
  <c r="F889" i="4" s="1"/>
  <c r="D408" i="4"/>
  <c r="D889" i="4" s="1"/>
  <c r="Q407" i="4"/>
  <c r="M407" i="4"/>
  <c r="I407" i="4"/>
  <c r="R407" i="4" s="1"/>
  <c r="E407" i="4"/>
  <c r="P404" i="4"/>
  <c r="O404" i="4"/>
  <c r="Q404" i="4" s="1"/>
  <c r="N404" i="4"/>
  <c r="L404" i="4"/>
  <c r="M404" i="4" s="1"/>
  <c r="K404" i="4"/>
  <c r="J404" i="4"/>
  <c r="H404" i="4"/>
  <c r="G404" i="4"/>
  <c r="Q402" i="4"/>
  <c r="M402" i="4"/>
  <c r="I402" i="4"/>
  <c r="E402" i="4"/>
  <c r="R402" i="4" s="1"/>
  <c r="R401" i="4"/>
  <c r="Q401" i="4"/>
  <c r="M401" i="4"/>
  <c r="I401" i="4"/>
  <c r="E401" i="4"/>
  <c r="Q400" i="4"/>
  <c r="M400" i="4"/>
  <c r="I400" i="4"/>
  <c r="R400" i="4" s="1"/>
  <c r="E400" i="4"/>
  <c r="Q399" i="4"/>
  <c r="M399" i="4"/>
  <c r="I399" i="4"/>
  <c r="R399" i="4" s="1"/>
  <c r="E399" i="4"/>
  <c r="AL398" i="4"/>
  <c r="AK398" i="4"/>
  <c r="AJ398" i="4"/>
  <c r="AI398" i="4"/>
  <c r="AH398" i="4"/>
  <c r="AG398" i="4"/>
  <c r="AF398" i="4"/>
  <c r="AE398" i="4"/>
  <c r="Z398" i="4"/>
  <c r="Y398" i="4"/>
  <c r="X398" i="4"/>
  <c r="W398" i="4"/>
  <c r="R398" i="4"/>
  <c r="Q398" i="4"/>
  <c r="M398" i="4"/>
  <c r="I398" i="4"/>
  <c r="E398" i="4"/>
  <c r="AK397" i="4"/>
  <c r="AJ397" i="4"/>
  <c r="AI397" i="4"/>
  <c r="AL397" i="4" s="1"/>
  <c r="AG397" i="4"/>
  <c r="AF397" i="4"/>
  <c r="AE397" i="4"/>
  <c r="AH397" i="4" s="1"/>
  <c r="AC397" i="4"/>
  <c r="AB397" i="4"/>
  <c r="Y397" i="4"/>
  <c r="X397" i="4"/>
  <c r="W397" i="4"/>
  <c r="Z397" i="4" s="1"/>
  <c r="Q397" i="4"/>
  <c r="M397" i="4"/>
  <c r="F397" i="4"/>
  <c r="F885" i="4" s="1"/>
  <c r="I885" i="4" s="1"/>
  <c r="D397" i="4"/>
  <c r="D404" i="4" s="1"/>
  <c r="C397" i="4"/>
  <c r="C885" i="4" s="1"/>
  <c r="B397" i="4"/>
  <c r="B885" i="4" s="1"/>
  <c r="AL396" i="4"/>
  <c r="AK396" i="4"/>
  <c r="AJ396" i="4"/>
  <c r="AI396" i="4"/>
  <c r="AG396" i="4"/>
  <c r="AH396" i="4" s="1"/>
  <c r="AF396" i="4"/>
  <c r="AE396" i="4"/>
  <c r="Y396" i="4"/>
  <c r="Z396" i="4" s="1"/>
  <c r="X396" i="4"/>
  <c r="W396" i="4"/>
  <c r="Q396" i="4"/>
  <c r="M396" i="4"/>
  <c r="I396" i="4"/>
  <c r="E396" i="4"/>
  <c r="R396" i="4" s="1"/>
  <c r="AL395" i="4"/>
  <c r="AH395" i="4"/>
  <c r="AD395" i="4"/>
  <c r="AC395" i="4"/>
  <c r="AC398" i="4" s="1"/>
  <c r="AB395" i="4"/>
  <c r="AB398" i="4" s="1"/>
  <c r="AA395" i="4"/>
  <c r="AA397" i="4" s="1"/>
  <c r="AD397" i="4" s="1"/>
  <c r="Z395" i="4"/>
  <c r="AM395" i="4" s="1"/>
  <c r="Q395" i="4"/>
  <c r="M395" i="4"/>
  <c r="I395" i="4"/>
  <c r="R395" i="4" s="1"/>
  <c r="E395" i="4"/>
  <c r="Q394" i="4"/>
  <c r="M394" i="4"/>
  <c r="I394" i="4"/>
  <c r="R394" i="4" s="1"/>
  <c r="E394" i="4"/>
  <c r="W393" i="4"/>
  <c r="C390" i="4"/>
  <c r="Q388" i="4"/>
  <c r="M388" i="4"/>
  <c r="I388" i="4"/>
  <c r="E388" i="4"/>
  <c r="R388" i="4" s="1"/>
  <c r="Q387" i="4"/>
  <c r="M387" i="4"/>
  <c r="I387" i="4"/>
  <c r="E387" i="4"/>
  <c r="R387" i="4" s="1"/>
  <c r="Q386" i="4"/>
  <c r="M386" i="4"/>
  <c r="I386" i="4"/>
  <c r="E386" i="4"/>
  <c r="R386" i="4" s="1"/>
  <c r="R385" i="4"/>
  <c r="Q385" i="4"/>
  <c r="M385" i="4"/>
  <c r="I385" i="4"/>
  <c r="E385" i="4"/>
  <c r="Q383" i="4"/>
  <c r="M383" i="4"/>
  <c r="I383" i="4"/>
  <c r="R383" i="4" s="1"/>
  <c r="E383" i="4"/>
  <c r="Q382" i="4"/>
  <c r="M382" i="4"/>
  <c r="I382" i="4"/>
  <c r="R382" i="4" s="1"/>
  <c r="E382" i="4"/>
  <c r="Q381" i="4"/>
  <c r="R381" i="4" s="1"/>
  <c r="M381" i="4"/>
  <c r="I381" i="4"/>
  <c r="E381" i="4"/>
  <c r="Q380" i="4"/>
  <c r="M380" i="4"/>
  <c r="I380" i="4"/>
  <c r="E380" i="4"/>
  <c r="R380" i="4" s="1"/>
  <c r="Q379" i="4"/>
  <c r="M379" i="4"/>
  <c r="I379" i="4"/>
  <c r="E379" i="4"/>
  <c r="R379" i="4" s="1"/>
  <c r="Q378" i="4"/>
  <c r="M378" i="4"/>
  <c r="I378" i="4"/>
  <c r="E378" i="4"/>
  <c r="R378" i="4" s="1"/>
  <c r="Q377" i="4"/>
  <c r="M377" i="4"/>
  <c r="I377" i="4"/>
  <c r="E377" i="4"/>
  <c r="R377" i="4" s="1"/>
  <c r="R376" i="4"/>
  <c r="Q376" i="4"/>
  <c r="M376" i="4"/>
  <c r="I376" i="4"/>
  <c r="E376" i="4"/>
  <c r="Q375" i="4"/>
  <c r="M375" i="4"/>
  <c r="I375" i="4"/>
  <c r="R375" i="4" s="1"/>
  <c r="E375" i="4"/>
  <c r="Q374" i="4"/>
  <c r="M374" i="4"/>
  <c r="I374" i="4"/>
  <c r="R374" i="4" s="1"/>
  <c r="E374" i="4"/>
  <c r="Q373" i="4"/>
  <c r="R373" i="4" s="1"/>
  <c r="M373" i="4"/>
  <c r="I373" i="4"/>
  <c r="E373" i="4"/>
  <c r="Q371" i="4"/>
  <c r="M371" i="4"/>
  <c r="I371" i="4"/>
  <c r="E371" i="4"/>
  <c r="R371" i="4" s="1"/>
  <c r="Q370" i="4"/>
  <c r="M370" i="4"/>
  <c r="I370" i="4"/>
  <c r="R370" i="4" s="1"/>
  <c r="E370" i="4"/>
  <c r="Q369" i="4"/>
  <c r="R369" i="4" s="1"/>
  <c r="M369" i="4"/>
  <c r="I369" i="4"/>
  <c r="E369" i="4"/>
  <c r="Q368" i="4"/>
  <c r="M368" i="4"/>
  <c r="I368" i="4"/>
  <c r="E368" i="4"/>
  <c r="R368" i="4" s="1"/>
  <c r="Q367" i="4"/>
  <c r="M367" i="4"/>
  <c r="I367" i="4"/>
  <c r="E367" i="4"/>
  <c r="R367" i="4" s="1"/>
  <c r="Q366" i="4"/>
  <c r="M366" i="4"/>
  <c r="I366" i="4"/>
  <c r="E366" i="4"/>
  <c r="R366" i="4" s="1"/>
  <c r="Q365" i="4"/>
  <c r="M365" i="4"/>
  <c r="I365" i="4"/>
  <c r="E365" i="4"/>
  <c r="R365" i="4" s="1"/>
  <c r="R364" i="4"/>
  <c r="Q364" i="4"/>
  <c r="M364" i="4"/>
  <c r="I364" i="4"/>
  <c r="E364" i="4"/>
  <c r="Q363" i="4"/>
  <c r="M363" i="4"/>
  <c r="I363" i="4"/>
  <c r="R363" i="4" s="1"/>
  <c r="E363" i="4"/>
  <c r="Q362" i="4"/>
  <c r="M362" i="4"/>
  <c r="I362" i="4"/>
  <c r="R362" i="4" s="1"/>
  <c r="E362" i="4"/>
  <c r="Q361" i="4"/>
  <c r="O361" i="4"/>
  <c r="N361" i="4"/>
  <c r="L361" i="4"/>
  <c r="K361" i="4"/>
  <c r="J361" i="4"/>
  <c r="M361" i="4" s="1"/>
  <c r="H361" i="4"/>
  <c r="I361" i="4" s="1"/>
  <c r="G361" i="4"/>
  <c r="F361" i="4"/>
  <c r="B361" i="4"/>
  <c r="B390" i="4" s="1"/>
  <c r="Q360" i="4"/>
  <c r="M360" i="4"/>
  <c r="I360" i="4"/>
  <c r="R360" i="4" s="1"/>
  <c r="E360" i="4"/>
  <c r="Q359" i="4"/>
  <c r="M359" i="4"/>
  <c r="I359" i="4"/>
  <c r="R359" i="4" s="1"/>
  <c r="E359" i="4"/>
  <c r="Q358" i="4"/>
  <c r="R358" i="4" s="1"/>
  <c r="M358" i="4"/>
  <c r="I358" i="4"/>
  <c r="E358" i="4"/>
  <c r="Q357" i="4"/>
  <c r="M357" i="4"/>
  <c r="I357" i="4"/>
  <c r="E357" i="4"/>
  <c r="R357" i="4" s="1"/>
  <c r="Q356" i="4"/>
  <c r="M356" i="4"/>
  <c r="I356" i="4"/>
  <c r="E356" i="4"/>
  <c r="R356" i="4" s="1"/>
  <c r="Q355" i="4"/>
  <c r="M355" i="4"/>
  <c r="I355" i="4"/>
  <c r="E355" i="4"/>
  <c r="R355" i="4" s="1"/>
  <c r="Q354" i="4"/>
  <c r="M354" i="4"/>
  <c r="I354" i="4"/>
  <c r="E354" i="4"/>
  <c r="R354" i="4" s="1"/>
  <c r="R353" i="4"/>
  <c r="Q353" i="4"/>
  <c r="M353" i="4"/>
  <c r="I353" i="4"/>
  <c r="E353" i="4"/>
  <c r="Q352" i="4"/>
  <c r="M352" i="4"/>
  <c r="I352" i="4"/>
  <c r="R352" i="4" s="1"/>
  <c r="E352" i="4"/>
  <c r="Q351" i="4"/>
  <c r="M351" i="4"/>
  <c r="I351" i="4"/>
  <c r="R351" i="4" s="1"/>
  <c r="E351" i="4"/>
  <c r="Q350" i="4"/>
  <c r="R350" i="4" s="1"/>
  <c r="M350" i="4"/>
  <c r="I350" i="4"/>
  <c r="E350" i="4"/>
  <c r="Q349" i="4"/>
  <c r="M349" i="4"/>
  <c r="I349" i="4"/>
  <c r="E349" i="4"/>
  <c r="R349" i="4" s="1"/>
  <c r="Q348" i="4"/>
  <c r="M348" i="4"/>
  <c r="I348" i="4"/>
  <c r="E348" i="4"/>
  <c r="R348" i="4" s="1"/>
  <c r="Q347" i="4"/>
  <c r="M347" i="4"/>
  <c r="I347" i="4"/>
  <c r="E347" i="4"/>
  <c r="R347" i="4" s="1"/>
  <c r="P346" i="4"/>
  <c r="Q346" i="4" s="1"/>
  <c r="O346" i="4"/>
  <c r="N346" i="4"/>
  <c r="M346" i="4"/>
  <c r="L346" i="4"/>
  <c r="K346" i="4"/>
  <c r="J346" i="4"/>
  <c r="H346" i="4"/>
  <c r="I346" i="4" s="1"/>
  <c r="G346" i="4"/>
  <c r="G390" i="4" s="1"/>
  <c r="G500" i="4" s="1"/>
  <c r="G505" i="4" s="1"/>
  <c r="F346" i="4"/>
  <c r="F390" i="4" s="1"/>
  <c r="E346" i="4"/>
  <c r="R346" i="4" s="1"/>
  <c r="D346" i="4"/>
  <c r="D390" i="4" s="1"/>
  <c r="C346" i="4"/>
  <c r="B346" i="4"/>
  <c r="Q345" i="4"/>
  <c r="M345" i="4"/>
  <c r="I345" i="4"/>
  <c r="E345" i="4"/>
  <c r="R345" i="4" s="1"/>
  <c r="Q344" i="4"/>
  <c r="M344" i="4"/>
  <c r="I344" i="4"/>
  <c r="E344" i="4"/>
  <c r="R344" i="4" s="1"/>
  <c r="Q343" i="4"/>
  <c r="M343" i="4"/>
  <c r="I343" i="4"/>
  <c r="H343" i="4"/>
  <c r="H390" i="4" s="1"/>
  <c r="E343" i="4"/>
  <c r="R343" i="4" s="1"/>
  <c r="Q342" i="4"/>
  <c r="M342" i="4"/>
  <c r="I342" i="4"/>
  <c r="E342" i="4"/>
  <c r="R342" i="4" s="1"/>
  <c r="Q341" i="4"/>
  <c r="M341" i="4"/>
  <c r="I341" i="4"/>
  <c r="E341" i="4"/>
  <c r="R341" i="4" s="1"/>
  <c r="Q340" i="4"/>
  <c r="M340" i="4"/>
  <c r="I340" i="4"/>
  <c r="E340" i="4"/>
  <c r="R340" i="4" s="1"/>
  <c r="Q339" i="4"/>
  <c r="M339" i="4"/>
  <c r="I339" i="4"/>
  <c r="E339" i="4"/>
  <c r="R339" i="4" s="1"/>
  <c r="P338" i="4"/>
  <c r="P390" i="4" s="1"/>
  <c r="O338" i="4"/>
  <c r="O390" i="4" s="1"/>
  <c r="O500" i="4" s="1"/>
  <c r="O505" i="4" s="1"/>
  <c r="N338" i="4"/>
  <c r="N390" i="4" s="1"/>
  <c r="L338" i="4"/>
  <c r="L390" i="4" s="1"/>
  <c r="K338" i="4"/>
  <c r="K390" i="4" s="1"/>
  <c r="J338" i="4"/>
  <c r="I338" i="4"/>
  <c r="E338" i="4"/>
  <c r="Q330" i="4"/>
  <c r="P330" i="4"/>
  <c r="O330" i="4"/>
  <c r="N330" i="4"/>
  <c r="M330" i="4"/>
  <c r="L330" i="4"/>
  <c r="K330" i="4"/>
  <c r="J330" i="4"/>
  <c r="I330" i="4"/>
  <c r="H330" i="4"/>
  <c r="G330" i="4"/>
  <c r="F330" i="4"/>
  <c r="E330" i="4"/>
  <c r="D330" i="4"/>
  <c r="C330" i="4"/>
  <c r="B330" i="4"/>
  <c r="Q328" i="4"/>
  <c r="M328" i="4"/>
  <c r="I328" i="4"/>
  <c r="E328" i="4"/>
  <c r="R328" i="4" s="1"/>
  <c r="R330" i="4" s="1"/>
  <c r="Q317" i="4"/>
  <c r="M317" i="4"/>
  <c r="I317" i="4"/>
  <c r="E317" i="4"/>
  <c r="R317" i="4" s="1"/>
  <c r="Q316" i="4"/>
  <c r="M316" i="4"/>
  <c r="I316" i="4"/>
  <c r="E316" i="4"/>
  <c r="R316" i="4" s="1"/>
  <c r="Q315" i="4"/>
  <c r="M315" i="4"/>
  <c r="I315" i="4"/>
  <c r="R315" i="4" s="1"/>
  <c r="E315" i="4"/>
  <c r="Q314" i="4"/>
  <c r="M314" i="4"/>
  <c r="I314" i="4"/>
  <c r="E314" i="4"/>
  <c r="Q313" i="4"/>
  <c r="R313" i="4" s="1"/>
  <c r="M313" i="4"/>
  <c r="I313" i="4"/>
  <c r="E313" i="4"/>
  <c r="Q312" i="4"/>
  <c r="R312" i="4" s="1"/>
  <c r="M312" i="4"/>
  <c r="I312" i="4"/>
  <c r="E312" i="4"/>
  <c r="P310" i="4"/>
  <c r="O310" i="4"/>
  <c r="N310" i="4"/>
  <c r="Q310" i="4" s="1"/>
  <c r="L310" i="4"/>
  <c r="M310" i="4" s="1"/>
  <c r="K310" i="4"/>
  <c r="J310" i="4"/>
  <c r="H310" i="4"/>
  <c r="G310" i="4"/>
  <c r="F310" i="4"/>
  <c r="D310" i="4"/>
  <c r="E310" i="4" s="1"/>
  <c r="C310" i="4"/>
  <c r="B310" i="4"/>
  <c r="Q309" i="4"/>
  <c r="P309" i="4"/>
  <c r="O309" i="4"/>
  <c r="N309" i="4"/>
  <c r="M309" i="4"/>
  <c r="L309" i="4"/>
  <c r="K309" i="4"/>
  <c r="J309" i="4"/>
  <c r="I309" i="4"/>
  <c r="H309" i="4"/>
  <c r="G309" i="4"/>
  <c r="F309" i="4"/>
  <c r="E309" i="4"/>
  <c r="D309" i="4"/>
  <c r="C309" i="4"/>
  <c r="B309" i="4"/>
  <c r="R308" i="4"/>
  <c r="Q308" i="4"/>
  <c r="M308" i="4"/>
  <c r="I308" i="4"/>
  <c r="E308" i="4"/>
  <c r="Q306" i="4"/>
  <c r="M306" i="4"/>
  <c r="I306" i="4"/>
  <c r="E306" i="4"/>
  <c r="R306" i="4" s="1"/>
  <c r="Q304" i="4"/>
  <c r="M304" i="4"/>
  <c r="I304" i="4"/>
  <c r="E304" i="4"/>
  <c r="Q303" i="4"/>
  <c r="M303" i="4"/>
  <c r="I303" i="4"/>
  <c r="E303" i="4"/>
  <c r="R303" i="4" s="1"/>
  <c r="R302" i="4"/>
  <c r="Q302" i="4"/>
  <c r="M302" i="4"/>
  <c r="I302" i="4"/>
  <c r="E302" i="4"/>
  <c r="R301" i="4"/>
  <c r="Q301" i="4"/>
  <c r="M301" i="4"/>
  <c r="I301" i="4"/>
  <c r="E301" i="4"/>
  <c r="Q300" i="4"/>
  <c r="M300" i="4"/>
  <c r="I300" i="4"/>
  <c r="E300" i="4"/>
  <c r="R300" i="4" s="1"/>
  <c r="Q299" i="4"/>
  <c r="R299" i="4" s="1"/>
  <c r="M299" i="4"/>
  <c r="I299" i="4"/>
  <c r="E299" i="4"/>
  <c r="Q298" i="4"/>
  <c r="M298" i="4"/>
  <c r="I298" i="4"/>
  <c r="R298" i="4" s="1"/>
  <c r="E298" i="4"/>
  <c r="Q297" i="4"/>
  <c r="M297" i="4"/>
  <c r="I297" i="4"/>
  <c r="E297" i="4"/>
  <c r="R295" i="4"/>
  <c r="Q295" i="4"/>
  <c r="M295" i="4"/>
  <c r="I295" i="4"/>
  <c r="E295" i="4"/>
  <c r="Q294" i="4"/>
  <c r="M294" i="4"/>
  <c r="I294" i="4"/>
  <c r="E294" i="4"/>
  <c r="R294" i="4" s="1"/>
  <c r="Q293" i="4"/>
  <c r="M293" i="4"/>
  <c r="I293" i="4"/>
  <c r="E293" i="4"/>
  <c r="P290" i="4"/>
  <c r="L290" i="4"/>
  <c r="K290" i="4"/>
  <c r="J290" i="4"/>
  <c r="M290" i="4" s="1"/>
  <c r="H290" i="4"/>
  <c r="D290" i="4"/>
  <c r="C290" i="4"/>
  <c r="B290" i="4"/>
  <c r="R289" i="4"/>
  <c r="Q289" i="4"/>
  <c r="M289" i="4"/>
  <c r="I289" i="4"/>
  <c r="E289" i="4"/>
  <c r="Q288" i="4"/>
  <c r="M288" i="4"/>
  <c r="I288" i="4"/>
  <c r="E288" i="4"/>
  <c r="R288" i="4" s="1"/>
  <c r="Q287" i="4"/>
  <c r="M287" i="4"/>
  <c r="I287" i="4"/>
  <c r="E287" i="4"/>
  <c r="Q286" i="4"/>
  <c r="M286" i="4"/>
  <c r="I286" i="4"/>
  <c r="E286" i="4"/>
  <c r="R286" i="4" s="1"/>
  <c r="Q285" i="4"/>
  <c r="M285" i="4"/>
  <c r="I285" i="4"/>
  <c r="E285" i="4"/>
  <c r="Q284" i="4"/>
  <c r="M284" i="4"/>
  <c r="I284" i="4"/>
  <c r="E284" i="4"/>
  <c r="R284" i="4" s="1"/>
  <c r="D284" i="4"/>
  <c r="D890" i="4" s="1"/>
  <c r="C284" i="4"/>
  <c r="R283" i="4"/>
  <c r="Q283" i="4"/>
  <c r="M283" i="4"/>
  <c r="I283" i="4"/>
  <c r="E283" i="4"/>
  <c r="R282" i="4"/>
  <c r="Q282" i="4"/>
  <c r="M282" i="4"/>
  <c r="I282" i="4"/>
  <c r="E282" i="4"/>
  <c r="Q281" i="4"/>
  <c r="M281" i="4"/>
  <c r="I281" i="4"/>
  <c r="E281" i="4"/>
  <c r="R281" i="4" s="1"/>
  <c r="Q280" i="4"/>
  <c r="M280" i="4"/>
  <c r="R280" i="4" s="1"/>
  <c r="I280" i="4"/>
  <c r="E280" i="4"/>
  <c r="Q279" i="4"/>
  <c r="M279" i="4"/>
  <c r="I279" i="4"/>
  <c r="E279" i="4"/>
  <c r="R279" i="4" s="1"/>
  <c r="Q278" i="4"/>
  <c r="M278" i="4"/>
  <c r="H278" i="4"/>
  <c r="I278" i="4" s="1"/>
  <c r="R278" i="4" s="1"/>
  <c r="E278" i="4"/>
  <c r="Q277" i="4"/>
  <c r="M277" i="4"/>
  <c r="I277" i="4"/>
  <c r="E277" i="4"/>
  <c r="Q276" i="4"/>
  <c r="M276" i="4"/>
  <c r="I276" i="4"/>
  <c r="E276" i="4"/>
  <c r="R275" i="4"/>
  <c r="Q275" i="4"/>
  <c r="M275" i="4"/>
  <c r="I275" i="4"/>
  <c r="E275" i="4"/>
  <c r="Q274" i="4"/>
  <c r="M274" i="4"/>
  <c r="I274" i="4"/>
  <c r="R274" i="4" s="1"/>
  <c r="E274" i="4"/>
  <c r="Q273" i="4"/>
  <c r="M273" i="4"/>
  <c r="I273" i="4"/>
  <c r="E273" i="4"/>
  <c r="R272" i="4"/>
  <c r="Q272" i="4"/>
  <c r="M272" i="4"/>
  <c r="I272" i="4"/>
  <c r="E272" i="4"/>
  <c r="Q271" i="4"/>
  <c r="M271" i="4"/>
  <c r="I271" i="4"/>
  <c r="R271" i="4" s="1"/>
  <c r="E271" i="4"/>
  <c r="Q270" i="4"/>
  <c r="M270" i="4"/>
  <c r="I270" i="4"/>
  <c r="H270" i="4"/>
  <c r="E270" i="4"/>
  <c r="R269" i="4"/>
  <c r="Q269" i="4"/>
  <c r="M269" i="4"/>
  <c r="I269" i="4"/>
  <c r="E269" i="4"/>
  <c r="R268" i="4"/>
  <c r="Q268" i="4"/>
  <c r="M268" i="4"/>
  <c r="I268" i="4"/>
  <c r="E268" i="4"/>
  <c r="Q267" i="4"/>
  <c r="M267" i="4"/>
  <c r="I267" i="4"/>
  <c r="E267" i="4"/>
  <c r="R267" i="4" s="1"/>
  <c r="Q266" i="4"/>
  <c r="M266" i="4"/>
  <c r="R266" i="4" s="1"/>
  <c r="I266" i="4"/>
  <c r="E266" i="4"/>
  <c r="Q265" i="4"/>
  <c r="M265" i="4"/>
  <c r="I265" i="4"/>
  <c r="E265" i="4"/>
  <c r="R265" i="4" s="1"/>
  <c r="R264" i="4"/>
  <c r="Q264" i="4"/>
  <c r="M264" i="4"/>
  <c r="I264" i="4"/>
  <c r="E264" i="4"/>
  <c r="Q263" i="4"/>
  <c r="M263" i="4"/>
  <c r="R263" i="4" s="1"/>
  <c r="I263" i="4"/>
  <c r="E263" i="4"/>
  <c r="Q262" i="4"/>
  <c r="M262" i="4"/>
  <c r="I262" i="4"/>
  <c r="E262" i="4"/>
  <c r="R262" i="4" s="1"/>
  <c r="Q261" i="4"/>
  <c r="R261" i="4" s="1"/>
  <c r="M261" i="4"/>
  <c r="I261" i="4"/>
  <c r="E261" i="4"/>
  <c r="Q260" i="4"/>
  <c r="M260" i="4"/>
  <c r="I260" i="4"/>
  <c r="E260" i="4"/>
  <c r="R260" i="4" s="1"/>
  <c r="Q259" i="4"/>
  <c r="M259" i="4"/>
  <c r="I259" i="4"/>
  <c r="E259" i="4"/>
  <c r="Q258" i="4"/>
  <c r="M258" i="4"/>
  <c r="R258" i="4" s="1"/>
  <c r="I258" i="4"/>
  <c r="E258" i="4"/>
  <c r="Q257" i="4"/>
  <c r="M257" i="4"/>
  <c r="G257" i="4"/>
  <c r="I257" i="4" s="1"/>
  <c r="E257" i="4"/>
  <c r="Q256" i="4"/>
  <c r="M256" i="4"/>
  <c r="I256" i="4"/>
  <c r="E256" i="4"/>
  <c r="R256" i="4" s="1"/>
  <c r="Q255" i="4"/>
  <c r="M255" i="4"/>
  <c r="G255" i="4"/>
  <c r="F255" i="4"/>
  <c r="F890" i="4" s="1"/>
  <c r="E255" i="4"/>
  <c r="Q254" i="4"/>
  <c r="M254" i="4"/>
  <c r="R254" i="4" s="1"/>
  <c r="I254" i="4"/>
  <c r="E254" i="4"/>
  <c r="Q253" i="4"/>
  <c r="M253" i="4"/>
  <c r="I253" i="4"/>
  <c r="E253" i="4"/>
  <c r="R253" i="4" s="1"/>
  <c r="Q252" i="4"/>
  <c r="R252" i="4" s="1"/>
  <c r="M252" i="4"/>
  <c r="I252" i="4"/>
  <c r="E252" i="4"/>
  <c r="Q251" i="4"/>
  <c r="M251" i="4"/>
  <c r="I251" i="4"/>
  <c r="E251" i="4"/>
  <c r="R251" i="4" s="1"/>
  <c r="Q250" i="4"/>
  <c r="M250" i="4"/>
  <c r="I250" i="4"/>
  <c r="E250" i="4"/>
  <c r="Q249" i="4"/>
  <c r="M249" i="4"/>
  <c r="I249" i="4"/>
  <c r="E249" i="4"/>
  <c r="R249" i="4" s="1"/>
  <c r="Q248" i="4"/>
  <c r="M248" i="4"/>
  <c r="I248" i="4"/>
  <c r="E248" i="4"/>
  <c r="Q247" i="4"/>
  <c r="M247" i="4"/>
  <c r="I247" i="4"/>
  <c r="E247" i="4"/>
  <c r="R247" i="4" s="1"/>
  <c r="R246" i="4"/>
  <c r="Q246" i="4"/>
  <c r="M246" i="4"/>
  <c r="I246" i="4"/>
  <c r="E246" i="4"/>
  <c r="Q245" i="4"/>
  <c r="M245" i="4"/>
  <c r="I245" i="4"/>
  <c r="E245" i="4"/>
  <c r="R244" i="4"/>
  <c r="Q244" i="4"/>
  <c r="M244" i="4"/>
  <c r="I244" i="4"/>
  <c r="E244" i="4"/>
  <c r="R243" i="4"/>
  <c r="Q243" i="4"/>
  <c r="M243" i="4"/>
  <c r="I243" i="4"/>
  <c r="E243" i="4"/>
  <c r="P242" i="4"/>
  <c r="P890" i="4" s="1"/>
  <c r="O242" i="4"/>
  <c r="Q242" i="4" s="1"/>
  <c r="M242" i="4"/>
  <c r="I242" i="4"/>
  <c r="E242" i="4"/>
  <c r="O241" i="4"/>
  <c r="N241" i="4"/>
  <c r="N890" i="4" s="1"/>
  <c r="M241" i="4"/>
  <c r="I241" i="4"/>
  <c r="E241" i="4"/>
  <c r="R240" i="4"/>
  <c r="Q240" i="4"/>
  <c r="M240" i="4"/>
  <c r="I240" i="4"/>
  <c r="E240" i="4"/>
  <c r="Q239" i="4"/>
  <c r="M239" i="4"/>
  <c r="I239" i="4"/>
  <c r="E239" i="4"/>
  <c r="R239" i="4" s="1"/>
  <c r="Q238" i="4"/>
  <c r="M238" i="4"/>
  <c r="I238" i="4"/>
  <c r="E238" i="4"/>
  <c r="Q237" i="4"/>
  <c r="M237" i="4"/>
  <c r="I237" i="4"/>
  <c r="E237" i="4"/>
  <c r="Q236" i="4"/>
  <c r="M236" i="4"/>
  <c r="I236" i="4"/>
  <c r="E236" i="4"/>
  <c r="R235" i="4"/>
  <c r="Q235" i="4"/>
  <c r="M235" i="4"/>
  <c r="I235" i="4"/>
  <c r="E235" i="4"/>
  <c r="Q234" i="4"/>
  <c r="M234" i="4"/>
  <c r="I234" i="4"/>
  <c r="R234" i="4" s="1"/>
  <c r="E234" i="4"/>
  <c r="Q233" i="4"/>
  <c r="M233" i="4"/>
  <c r="I233" i="4"/>
  <c r="E233" i="4"/>
  <c r="R232" i="4"/>
  <c r="Q232" i="4"/>
  <c r="M232" i="4"/>
  <c r="I232" i="4"/>
  <c r="E232" i="4"/>
  <c r="Q231" i="4"/>
  <c r="M231" i="4"/>
  <c r="I231" i="4"/>
  <c r="R231" i="4" s="1"/>
  <c r="E231" i="4"/>
  <c r="Q230" i="4"/>
  <c r="M230" i="4"/>
  <c r="I230" i="4"/>
  <c r="E230" i="4"/>
  <c r="Q229" i="4"/>
  <c r="M229" i="4"/>
  <c r="I229" i="4"/>
  <c r="E229" i="4"/>
  <c r="Q228" i="4"/>
  <c r="M228" i="4"/>
  <c r="I228" i="4"/>
  <c r="E228" i="4"/>
  <c r="Q227" i="4"/>
  <c r="M227" i="4"/>
  <c r="I227" i="4"/>
  <c r="E227" i="4"/>
  <c r="R227" i="4" s="1"/>
  <c r="Q226" i="4"/>
  <c r="M226" i="4"/>
  <c r="I226" i="4"/>
  <c r="R226" i="4" s="1"/>
  <c r="E226" i="4"/>
  <c r="Q225" i="4"/>
  <c r="M225" i="4"/>
  <c r="I225" i="4"/>
  <c r="E225" i="4"/>
  <c r="Q221" i="4"/>
  <c r="P221" i="4"/>
  <c r="O221" i="4"/>
  <c r="N221" i="4"/>
  <c r="L221" i="4"/>
  <c r="K221" i="4"/>
  <c r="J221" i="4"/>
  <c r="M221" i="4" s="1"/>
  <c r="R221" i="4" s="1"/>
  <c r="I221" i="4"/>
  <c r="D221" i="4"/>
  <c r="C221" i="4"/>
  <c r="B221" i="4"/>
  <c r="E221" i="4" s="1"/>
  <c r="Q219" i="4"/>
  <c r="M219" i="4"/>
  <c r="I219" i="4"/>
  <c r="R219" i="4" s="1"/>
  <c r="E219" i="4"/>
  <c r="Q218" i="4"/>
  <c r="M218" i="4"/>
  <c r="I218" i="4"/>
  <c r="E218" i="4"/>
  <c r="B214" i="4"/>
  <c r="B311" i="4" s="1"/>
  <c r="Q212" i="4"/>
  <c r="M212" i="4"/>
  <c r="I212" i="4"/>
  <c r="E212" i="4"/>
  <c r="R212" i="4" s="1"/>
  <c r="Q211" i="4"/>
  <c r="M211" i="4"/>
  <c r="I211" i="4"/>
  <c r="R211" i="4" s="1"/>
  <c r="E211" i="4"/>
  <c r="Q210" i="4"/>
  <c r="M210" i="4"/>
  <c r="I210" i="4"/>
  <c r="E210" i="4"/>
  <c r="Q208" i="4"/>
  <c r="R208" i="4" s="1"/>
  <c r="M208" i="4"/>
  <c r="I208" i="4"/>
  <c r="E208" i="4"/>
  <c r="Q207" i="4"/>
  <c r="M207" i="4"/>
  <c r="I207" i="4"/>
  <c r="E207" i="4"/>
  <c r="R207" i="4" s="1"/>
  <c r="Q206" i="4"/>
  <c r="M206" i="4"/>
  <c r="I206" i="4"/>
  <c r="E206" i="4"/>
  <c r="R206" i="4" s="1"/>
  <c r="Q205" i="4"/>
  <c r="M205" i="4"/>
  <c r="I205" i="4"/>
  <c r="E205" i="4"/>
  <c r="Q204" i="4"/>
  <c r="M204" i="4"/>
  <c r="I204" i="4"/>
  <c r="E204" i="4"/>
  <c r="R203" i="4"/>
  <c r="Q203" i="4"/>
  <c r="M203" i="4"/>
  <c r="I203" i="4"/>
  <c r="E203" i="4"/>
  <c r="R202" i="4"/>
  <c r="Q202" i="4"/>
  <c r="M202" i="4"/>
  <c r="I202" i="4"/>
  <c r="E202" i="4"/>
  <c r="Q201" i="4"/>
  <c r="M201" i="4"/>
  <c r="I201" i="4"/>
  <c r="E201" i="4"/>
  <c r="R201" i="4" s="1"/>
  <c r="Q200" i="4"/>
  <c r="R200" i="4" s="1"/>
  <c r="M200" i="4"/>
  <c r="I200" i="4"/>
  <c r="E200" i="4"/>
  <c r="R199" i="4"/>
  <c r="Q199" i="4"/>
  <c r="M199" i="4"/>
  <c r="I199" i="4"/>
  <c r="E199" i="4"/>
  <c r="Q197" i="4"/>
  <c r="M197" i="4"/>
  <c r="I197" i="4"/>
  <c r="E197" i="4"/>
  <c r="R197" i="4" s="1"/>
  <c r="Q196" i="4"/>
  <c r="R196" i="4" s="1"/>
  <c r="M196" i="4"/>
  <c r="I196" i="4"/>
  <c r="E196" i="4"/>
  <c r="Q195" i="4"/>
  <c r="M195" i="4"/>
  <c r="I195" i="4"/>
  <c r="E195" i="4"/>
  <c r="R195" i="4" s="1"/>
  <c r="Q194" i="4"/>
  <c r="M194" i="4"/>
  <c r="I194" i="4"/>
  <c r="E194" i="4"/>
  <c r="Q193" i="4"/>
  <c r="M193" i="4"/>
  <c r="R193" i="4" s="1"/>
  <c r="I193" i="4"/>
  <c r="E193" i="4"/>
  <c r="Q192" i="4"/>
  <c r="M192" i="4"/>
  <c r="I192" i="4"/>
  <c r="E192" i="4"/>
  <c r="Q191" i="4"/>
  <c r="L191" i="4"/>
  <c r="K191" i="4"/>
  <c r="J191" i="4"/>
  <c r="H191" i="4"/>
  <c r="I191" i="4" s="1"/>
  <c r="E191" i="4"/>
  <c r="P190" i="4"/>
  <c r="O190" i="4"/>
  <c r="N190" i="4"/>
  <c r="Q190" i="4" s="1"/>
  <c r="L190" i="4"/>
  <c r="K190" i="4"/>
  <c r="M190" i="4" s="1"/>
  <c r="J190" i="4"/>
  <c r="H190" i="4"/>
  <c r="I190" i="4" s="1"/>
  <c r="E190" i="4"/>
  <c r="Q189" i="4"/>
  <c r="M189" i="4"/>
  <c r="I189" i="4"/>
  <c r="R189" i="4" s="1"/>
  <c r="E189" i="4"/>
  <c r="Q188" i="4"/>
  <c r="M188" i="4"/>
  <c r="I188" i="4"/>
  <c r="E188" i="4"/>
  <c r="Q187" i="4"/>
  <c r="J187" i="4"/>
  <c r="M187" i="4" s="1"/>
  <c r="I187" i="4"/>
  <c r="D187" i="4"/>
  <c r="E187" i="4" s="1"/>
  <c r="R187" i="4" s="1"/>
  <c r="C187" i="4"/>
  <c r="Q186" i="4"/>
  <c r="P186" i="4"/>
  <c r="O186" i="4"/>
  <c r="N186" i="4"/>
  <c r="L186" i="4"/>
  <c r="K186" i="4"/>
  <c r="J186" i="4"/>
  <c r="M186" i="4" s="1"/>
  <c r="I186" i="4"/>
  <c r="H186" i="4"/>
  <c r="G186" i="4"/>
  <c r="F186" i="4"/>
  <c r="D186" i="4"/>
  <c r="D214" i="4" s="1"/>
  <c r="D311" i="4" s="1"/>
  <c r="D319" i="4" s="1"/>
  <c r="C186" i="4"/>
  <c r="B186" i="4"/>
  <c r="B876" i="4" s="1"/>
  <c r="Q185" i="4"/>
  <c r="M185" i="4"/>
  <c r="I185" i="4"/>
  <c r="E185" i="4"/>
  <c r="R185" i="4" s="1"/>
  <c r="R184" i="4"/>
  <c r="Q184" i="4"/>
  <c r="M184" i="4"/>
  <c r="I184" i="4"/>
  <c r="E184" i="4"/>
  <c r="Q183" i="4"/>
  <c r="M183" i="4"/>
  <c r="I183" i="4"/>
  <c r="E183" i="4"/>
  <c r="R182" i="4"/>
  <c r="Q182" i="4"/>
  <c r="M182" i="4"/>
  <c r="I182" i="4"/>
  <c r="E182" i="4"/>
  <c r="R181" i="4"/>
  <c r="Q181" i="4"/>
  <c r="M181" i="4"/>
  <c r="I181" i="4"/>
  <c r="E181" i="4"/>
  <c r="Q180" i="4"/>
  <c r="M180" i="4"/>
  <c r="I180" i="4"/>
  <c r="E180" i="4"/>
  <c r="R180" i="4" s="1"/>
  <c r="Q179" i="4"/>
  <c r="M179" i="4"/>
  <c r="R179" i="4" s="1"/>
  <c r="I179" i="4"/>
  <c r="E179" i="4"/>
  <c r="Q178" i="4"/>
  <c r="M178" i="4"/>
  <c r="I178" i="4"/>
  <c r="E178" i="4"/>
  <c r="R178" i="4" s="1"/>
  <c r="R177" i="4"/>
  <c r="Q177" i="4"/>
  <c r="M177" i="4"/>
  <c r="I177" i="4"/>
  <c r="E177" i="4"/>
  <c r="Q176" i="4"/>
  <c r="M176" i="4"/>
  <c r="R176" i="4" s="1"/>
  <c r="I176" i="4"/>
  <c r="E176" i="4"/>
  <c r="Q175" i="4"/>
  <c r="M175" i="4"/>
  <c r="I175" i="4"/>
  <c r="E175" i="4"/>
  <c r="R175" i="4" s="1"/>
  <c r="Q174" i="4"/>
  <c r="R174" i="4" s="1"/>
  <c r="M174" i="4"/>
  <c r="I174" i="4"/>
  <c r="E174" i="4"/>
  <c r="Q173" i="4"/>
  <c r="M173" i="4"/>
  <c r="I173" i="4"/>
  <c r="E173" i="4"/>
  <c r="R173" i="4" s="1"/>
  <c r="Q172" i="4"/>
  <c r="M172" i="4"/>
  <c r="I172" i="4"/>
  <c r="E172" i="4"/>
  <c r="Q171" i="4"/>
  <c r="M171" i="4"/>
  <c r="R171" i="4" s="1"/>
  <c r="I171" i="4"/>
  <c r="E171" i="4"/>
  <c r="Q170" i="4"/>
  <c r="M170" i="4"/>
  <c r="I170" i="4"/>
  <c r="E170" i="4"/>
  <c r="Q169" i="4"/>
  <c r="M169" i="4"/>
  <c r="I169" i="4"/>
  <c r="E169" i="4"/>
  <c r="R169" i="4" s="1"/>
  <c r="R168" i="4"/>
  <c r="Q168" i="4"/>
  <c r="M168" i="4"/>
  <c r="I168" i="4"/>
  <c r="E168" i="4"/>
  <c r="Q167" i="4"/>
  <c r="M167" i="4"/>
  <c r="I167" i="4"/>
  <c r="E167" i="4"/>
  <c r="R166" i="4"/>
  <c r="Q166" i="4"/>
  <c r="M166" i="4"/>
  <c r="I166" i="4"/>
  <c r="E166" i="4"/>
  <c r="R165" i="4"/>
  <c r="Q165" i="4"/>
  <c r="M165" i="4"/>
  <c r="I165" i="4"/>
  <c r="E165" i="4"/>
  <c r="Q164" i="4"/>
  <c r="M164" i="4"/>
  <c r="I164" i="4"/>
  <c r="E164" i="4"/>
  <c r="R164" i="4" s="1"/>
  <c r="Q163" i="4"/>
  <c r="M163" i="4"/>
  <c r="R163" i="4" s="1"/>
  <c r="I163" i="4"/>
  <c r="E163" i="4"/>
  <c r="Q162" i="4"/>
  <c r="M162" i="4"/>
  <c r="I162" i="4"/>
  <c r="E162" i="4"/>
  <c r="R162" i="4" s="1"/>
  <c r="Q161" i="4"/>
  <c r="K161" i="4"/>
  <c r="M161" i="4" s="1"/>
  <c r="I161" i="4"/>
  <c r="R161" i="4" s="1"/>
  <c r="G161" i="4"/>
  <c r="E161" i="4"/>
  <c r="Q160" i="4"/>
  <c r="R160" i="4" s="1"/>
  <c r="M160" i="4"/>
  <c r="I160" i="4"/>
  <c r="E160" i="4"/>
  <c r="Q159" i="4"/>
  <c r="M159" i="4"/>
  <c r="I159" i="4"/>
  <c r="E159" i="4"/>
  <c r="R159" i="4" s="1"/>
  <c r="P158" i="4"/>
  <c r="O158" i="4"/>
  <c r="N158" i="4"/>
  <c r="L158" i="4"/>
  <c r="L214" i="4" s="1"/>
  <c r="L311" i="4" s="1"/>
  <c r="L319" i="4" s="1"/>
  <c r="K158" i="4"/>
  <c r="J158" i="4"/>
  <c r="H158" i="4"/>
  <c r="G158" i="4"/>
  <c r="F158" i="4"/>
  <c r="E158" i="4"/>
  <c r="R157" i="4"/>
  <c r="Q157" i="4"/>
  <c r="M157" i="4"/>
  <c r="I157" i="4"/>
  <c r="E157" i="4"/>
  <c r="R156" i="4"/>
  <c r="Q156" i="4"/>
  <c r="M156" i="4"/>
  <c r="I156" i="4"/>
  <c r="E156" i="4"/>
  <c r="Q155" i="4"/>
  <c r="M155" i="4"/>
  <c r="I155" i="4"/>
  <c r="E155" i="4"/>
  <c r="R155" i="4" s="1"/>
  <c r="Q154" i="4"/>
  <c r="M154" i="4"/>
  <c r="R154" i="4" s="1"/>
  <c r="I154" i="4"/>
  <c r="E154" i="4"/>
  <c r="Q153" i="4"/>
  <c r="M153" i="4"/>
  <c r="I153" i="4"/>
  <c r="E153" i="4"/>
  <c r="R153" i="4" s="1"/>
  <c r="R152" i="4"/>
  <c r="Q152" i="4"/>
  <c r="M152" i="4"/>
  <c r="I152" i="4"/>
  <c r="E152" i="4"/>
  <c r="Q151" i="4"/>
  <c r="M151" i="4"/>
  <c r="R151" i="4" s="1"/>
  <c r="I151" i="4"/>
  <c r="E151" i="4"/>
  <c r="Q150" i="4"/>
  <c r="M150" i="4"/>
  <c r="I150" i="4"/>
  <c r="E150" i="4"/>
  <c r="R150" i="4" s="1"/>
  <c r="Q149" i="4"/>
  <c r="M149" i="4"/>
  <c r="H149" i="4"/>
  <c r="I149" i="4" s="1"/>
  <c r="E149" i="4"/>
  <c r="R149" i="4" s="1"/>
  <c r="Q148" i="4"/>
  <c r="M148" i="4"/>
  <c r="I148" i="4"/>
  <c r="R148" i="4" s="1"/>
  <c r="E148" i="4"/>
  <c r="Q147" i="4"/>
  <c r="M147" i="4"/>
  <c r="I147" i="4"/>
  <c r="E147" i="4"/>
  <c r="Q146" i="4"/>
  <c r="R146" i="4" s="1"/>
  <c r="M146" i="4"/>
  <c r="I146" i="4"/>
  <c r="E146" i="4"/>
  <c r="Q145" i="4"/>
  <c r="M145" i="4"/>
  <c r="I145" i="4"/>
  <c r="E145" i="4"/>
  <c r="R145" i="4" s="1"/>
  <c r="Q144" i="4"/>
  <c r="M144" i="4"/>
  <c r="I144" i="4"/>
  <c r="E144" i="4"/>
  <c r="R144" i="4" s="1"/>
  <c r="Q143" i="4"/>
  <c r="N143" i="4"/>
  <c r="L143" i="4"/>
  <c r="K143" i="4"/>
  <c r="J143" i="4"/>
  <c r="J214" i="4" s="1"/>
  <c r="I143" i="4"/>
  <c r="H143" i="4"/>
  <c r="G143" i="4"/>
  <c r="F143" i="4"/>
  <c r="D143" i="4"/>
  <c r="C143" i="4"/>
  <c r="C876" i="4" s="1"/>
  <c r="C882" i="4" s="1"/>
  <c r="R142" i="4"/>
  <c r="Q142" i="4"/>
  <c r="M142" i="4"/>
  <c r="I142" i="4"/>
  <c r="E142" i="4"/>
  <c r="Q130" i="4"/>
  <c r="M130" i="4"/>
  <c r="R130" i="4" s="1"/>
  <c r="I130" i="4"/>
  <c r="E130" i="4"/>
  <c r="P128" i="4"/>
  <c r="O128" i="4"/>
  <c r="N128" i="4"/>
  <c r="Q128" i="4" s="1"/>
  <c r="L128" i="4"/>
  <c r="K128" i="4"/>
  <c r="J128" i="4"/>
  <c r="M128" i="4" s="1"/>
  <c r="H128" i="4"/>
  <c r="G128" i="4"/>
  <c r="F128" i="4"/>
  <c r="I128" i="4" s="1"/>
  <c r="D128" i="4"/>
  <c r="C128" i="4"/>
  <c r="B128" i="4"/>
  <c r="E128" i="4" s="1"/>
  <c r="P127" i="4"/>
  <c r="O127" i="4"/>
  <c r="Q127" i="4" s="1"/>
  <c r="N127" i="4"/>
  <c r="M127" i="4"/>
  <c r="L127" i="4"/>
  <c r="K127" i="4"/>
  <c r="J127" i="4"/>
  <c r="H127" i="4"/>
  <c r="G127" i="4"/>
  <c r="I127" i="4" s="1"/>
  <c r="F127" i="4"/>
  <c r="E127" i="4"/>
  <c r="D127" i="4"/>
  <c r="C127" i="4"/>
  <c r="B127" i="4"/>
  <c r="Q126" i="4"/>
  <c r="M126" i="4"/>
  <c r="R126" i="4" s="1"/>
  <c r="I126" i="4"/>
  <c r="E126" i="4"/>
  <c r="Q125" i="4"/>
  <c r="M125" i="4"/>
  <c r="I125" i="4"/>
  <c r="E125" i="4"/>
  <c r="R125" i="4" s="1"/>
  <c r="R123" i="4"/>
  <c r="Q123" i="4"/>
  <c r="M123" i="4"/>
  <c r="I123" i="4"/>
  <c r="E123" i="4"/>
  <c r="Q121" i="4"/>
  <c r="M121" i="4"/>
  <c r="I121" i="4"/>
  <c r="E121" i="4"/>
  <c r="R121" i="4" s="1"/>
  <c r="Q120" i="4"/>
  <c r="M120" i="4"/>
  <c r="I120" i="4"/>
  <c r="E120" i="4"/>
  <c r="R120" i="4" s="1"/>
  <c r="Q118" i="4"/>
  <c r="M118" i="4"/>
  <c r="I118" i="4"/>
  <c r="R118" i="4" s="1"/>
  <c r="E118" i="4"/>
  <c r="Q117" i="4"/>
  <c r="M117" i="4"/>
  <c r="I117" i="4"/>
  <c r="E117" i="4"/>
  <c r="R117" i="4" s="1"/>
  <c r="Q116" i="4"/>
  <c r="M116" i="4"/>
  <c r="I116" i="4"/>
  <c r="R116" i="4" s="1"/>
  <c r="E116" i="4"/>
  <c r="Q115" i="4"/>
  <c r="M115" i="4"/>
  <c r="R115" i="4" s="1"/>
  <c r="I115" i="4"/>
  <c r="E115" i="4"/>
  <c r="Q114" i="4"/>
  <c r="M114" i="4"/>
  <c r="I114" i="4"/>
  <c r="E114" i="4"/>
  <c r="R114" i="4" s="1"/>
  <c r="R113" i="4"/>
  <c r="Q113" i="4"/>
  <c r="M113" i="4"/>
  <c r="I113" i="4"/>
  <c r="E113" i="4"/>
  <c r="Q112" i="4"/>
  <c r="M112" i="4"/>
  <c r="I112" i="4"/>
  <c r="E112" i="4"/>
  <c r="R112" i="4" s="1"/>
  <c r="Q111" i="4"/>
  <c r="M111" i="4"/>
  <c r="I111" i="4"/>
  <c r="E111" i="4"/>
  <c r="R111" i="4" s="1"/>
  <c r="Q108" i="4"/>
  <c r="P108" i="4"/>
  <c r="O108" i="4"/>
  <c r="N108" i="4"/>
  <c r="L108" i="4"/>
  <c r="K108" i="4"/>
  <c r="J108" i="4"/>
  <c r="M108" i="4" s="1"/>
  <c r="I108" i="4"/>
  <c r="H108" i="4"/>
  <c r="G108" i="4"/>
  <c r="F108" i="4"/>
  <c r="D108" i="4"/>
  <c r="C108" i="4"/>
  <c r="B108" i="4"/>
  <c r="E108" i="4" s="1"/>
  <c r="R108" i="4" s="1"/>
  <c r="R107" i="4"/>
  <c r="Q107" i="4"/>
  <c r="M107" i="4"/>
  <c r="I107" i="4"/>
  <c r="E107" i="4"/>
  <c r="Q106" i="4"/>
  <c r="M106" i="4"/>
  <c r="I106" i="4"/>
  <c r="E106" i="4"/>
  <c r="R106" i="4" s="1"/>
  <c r="Q105" i="4"/>
  <c r="M105" i="4"/>
  <c r="I105" i="4"/>
  <c r="E105" i="4"/>
  <c r="R105" i="4" s="1"/>
  <c r="Q104" i="4"/>
  <c r="M104" i="4"/>
  <c r="I104" i="4"/>
  <c r="E104" i="4"/>
  <c r="R104" i="4" s="1"/>
  <c r="Q103" i="4"/>
  <c r="M103" i="4"/>
  <c r="I103" i="4"/>
  <c r="E103" i="4"/>
  <c r="R103" i="4" s="1"/>
  <c r="Q102" i="4"/>
  <c r="M102" i="4"/>
  <c r="I102" i="4"/>
  <c r="R102" i="4" s="1"/>
  <c r="E102" i="4"/>
  <c r="Q101" i="4"/>
  <c r="M101" i="4"/>
  <c r="R101" i="4" s="1"/>
  <c r="I101" i="4"/>
  <c r="E101" i="4"/>
  <c r="Q100" i="4"/>
  <c r="M100" i="4"/>
  <c r="I100" i="4"/>
  <c r="E100" i="4"/>
  <c r="R100" i="4" s="1"/>
  <c r="P96" i="4"/>
  <c r="O96" i="4"/>
  <c r="N96" i="4"/>
  <c r="Q96" i="4" s="1"/>
  <c r="L96" i="4"/>
  <c r="K96" i="4"/>
  <c r="J96" i="4"/>
  <c r="M96" i="4" s="1"/>
  <c r="H96" i="4"/>
  <c r="G96" i="4"/>
  <c r="F96" i="4"/>
  <c r="I96" i="4" s="1"/>
  <c r="D96" i="4"/>
  <c r="C96" i="4"/>
  <c r="B96" i="4"/>
  <c r="E96" i="4" s="1"/>
  <c r="Q94" i="4"/>
  <c r="M94" i="4"/>
  <c r="I94" i="4"/>
  <c r="R94" i="4" s="1"/>
  <c r="E94" i="4"/>
  <c r="Q93" i="4"/>
  <c r="M93" i="4"/>
  <c r="R93" i="4" s="1"/>
  <c r="I93" i="4"/>
  <c r="E93" i="4"/>
  <c r="P89" i="4"/>
  <c r="P129" i="4" s="1"/>
  <c r="P132" i="4" s="1"/>
  <c r="O89" i="4"/>
  <c r="O129" i="4" s="1"/>
  <c r="O132" i="4" s="1"/>
  <c r="N89" i="4"/>
  <c r="N129" i="4" s="1"/>
  <c r="M89" i="4"/>
  <c r="L89" i="4"/>
  <c r="L129" i="4" s="1"/>
  <c r="L132" i="4" s="1"/>
  <c r="K89" i="4"/>
  <c r="K129" i="4" s="1"/>
  <c r="K132" i="4" s="1"/>
  <c r="J89" i="4"/>
  <c r="J129" i="4" s="1"/>
  <c r="H89" i="4"/>
  <c r="H129" i="4" s="1"/>
  <c r="H132" i="4" s="1"/>
  <c r="G89" i="4"/>
  <c r="G129" i="4" s="1"/>
  <c r="G132" i="4" s="1"/>
  <c r="F89" i="4"/>
  <c r="F129" i="4" s="1"/>
  <c r="E89" i="4"/>
  <c r="D89" i="4"/>
  <c r="D129" i="4" s="1"/>
  <c r="D132" i="4" s="1"/>
  <c r="C89" i="4"/>
  <c r="C129" i="4" s="1"/>
  <c r="C132" i="4" s="1"/>
  <c r="B89" i="4"/>
  <c r="B129" i="4" s="1"/>
  <c r="Q87" i="4"/>
  <c r="M87" i="4"/>
  <c r="I87" i="4"/>
  <c r="E87" i="4"/>
  <c r="R87" i="4" s="1"/>
  <c r="Q86" i="4"/>
  <c r="M86" i="4"/>
  <c r="I86" i="4"/>
  <c r="R86" i="4" s="1"/>
  <c r="E86" i="4"/>
  <c r="Q84" i="4"/>
  <c r="M84" i="4"/>
  <c r="R84" i="4" s="1"/>
  <c r="I84" i="4"/>
  <c r="E84" i="4"/>
  <c r="Q82" i="4"/>
  <c r="M82" i="4"/>
  <c r="I82" i="4"/>
  <c r="E82" i="4"/>
  <c r="R82" i="4" s="1"/>
  <c r="Q81" i="4"/>
  <c r="M81" i="4"/>
  <c r="I81" i="4"/>
  <c r="R81" i="4" s="1"/>
  <c r="E81" i="4"/>
  <c r="Q80" i="4"/>
  <c r="M80" i="4"/>
  <c r="R80" i="4" s="1"/>
  <c r="I80" i="4"/>
  <c r="E80" i="4"/>
  <c r="Q79" i="4"/>
  <c r="M79" i="4"/>
  <c r="I79" i="4"/>
  <c r="E79" i="4"/>
  <c r="R79" i="4" s="1"/>
  <c r="R78" i="4"/>
  <c r="Q78" i="4"/>
  <c r="M78" i="4"/>
  <c r="I78" i="4"/>
  <c r="E78" i="4"/>
  <c r="Q77" i="4"/>
  <c r="M77" i="4"/>
  <c r="I77" i="4"/>
  <c r="E77" i="4"/>
  <c r="R77" i="4" s="1"/>
  <c r="Q76" i="4"/>
  <c r="M76" i="4"/>
  <c r="I76" i="4"/>
  <c r="E76" i="4"/>
  <c r="R76" i="4" s="1"/>
  <c r="Q75" i="4"/>
  <c r="M75" i="4"/>
  <c r="I75" i="4"/>
  <c r="E75" i="4"/>
  <c r="R75" i="4" s="1"/>
  <c r="Q74" i="4"/>
  <c r="M74" i="4"/>
  <c r="I74" i="4"/>
  <c r="E74" i="4"/>
  <c r="R74" i="4" s="1"/>
  <c r="Q73" i="4"/>
  <c r="M73" i="4"/>
  <c r="I73" i="4"/>
  <c r="R73" i="4" s="1"/>
  <c r="E73" i="4"/>
  <c r="Q72" i="4"/>
  <c r="M72" i="4"/>
  <c r="R72" i="4" s="1"/>
  <c r="I72" i="4"/>
  <c r="E72" i="4"/>
  <c r="Q60" i="4"/>
  <c r="M60" i="4"/>
  <c r="I60" i="4"/>
  <c r="E60" i="4"/>
  <c r="R60" i="4" s="1"/>
  <c r="P58" i="4"/>
  <c r="O58" i="4"/>
  <c r="N58" i="4"/>
  <c r="Q58" i="4" s="1"/>
  <c r="M58" i="4"/>
  <c r="L58" i="4"/>
  <c r="K58" i="4"/>
  <c r="J58" i="4"/>
  <c r="H58" i="4"/>
  <c r="G58" i="4"/>
  <c r="F58" i="4"/>
  <c r="I58" i="4" s="1"/>
  <c r="E58" i="4"/>
  <c r="D58" i="4"/>
  <c r="C58" i="4"/>
  <c r="B58" i="4"/>
  <c r="P57" i="4"/>
  <c r="O57" i="4"/>
  <c r="N57" i="4"/>
  <c r="Q57" i="4" s="1"/>
  <c r="L57" i="4"/>
  <c r="K57" i="4"/>
  <c r="J57" i="4"/>
  <c r="M57" i="4" s="1"/>
  <c r="H57" i="4"/>
  <c r="G57" i="4"/>
  <c r="F57" i="4"/>
  <c r="I57" i="4" s="1"/>
  <c r="D57" i="4"/>
  <c r="C57" i="4"/>
  <c r="B57" i="4"/>
  <c r="E57" i="4" s="1"/>
  <c r="Q54" i="4"/>
  <c r="M54" i="4"/>
  <c r="I54" i="4"/>
  <c r="E54" i="4"/>
  <c r="R54" i="4" s="1"/>
  <c r="P50" i="4"/>
  <c r="O50" i="4"/>
  <c r="N50" i="4"/>
  <c r="Q50" i="4" s="1"/>
  <c r="L50" i="4"/>
  <c r="L59" i="4" s="1"/>
  <c r="L62" i="4" s="1"/>
  <c r="K50" i="4"/>
  <c r="J50" i="4"/>
  <c r="M50" i="4" s="1"/>
  <c r="H50" i="4"/>
  <c r="G50" i="4"/>
  <c r="F50" i="4"/>
  <c r="I50" i="4" s="1"/>
  <c r="D50" i="4"/>
  <c r="D59" i="4" s="1"/>
  <c r="D62" i="4" s="1"/>
  <c r="C50" i="4"/>
  <c r="B50" i="4"/>
  <c r="E50" i="4" s="1"/>
  <c r="P46" i="4"/>
  <c r="O46" i="4"/>
  <c r="N46" i="4"/>
  <c r="Q46" i="4" s="1"/>
  <c r="M46" i="4"/>
  <c r="L46" i="4"/>
  <c r="K46" i="4"/>
  <c r="J46" i="4"/>
  <c r="H46" i="4"/>
  <c r="G46" i="4"/>
  <c r="F46" i="4"/>
  <c r="I46" i="4" s="1"/>
  <c r="E46" i="4"/>
  <c r="D46" i="4"/>
  <c r="C46" i="4"/>
  <c r="B46" i="4"/>
  <c r="P41" i="4"/>
  <c r="P59" i="4" s="1"/>
  <c r="P62" i="4" s="1"/>
  <c r="O41" i="4"/>
  <c r="O59" i="4" s="1"/>
  <c r="O62" i="4" s="1"/>
  <c r="N41" i="4"/>
  <c r="N59" i="4" s="1"/>
  <c r="L41" i="4"/>
  <c r="K41" i="4"/>
  <c r="K59" i="4" s="1"/>
  <c r="K62" i="4" s="1"/>
  <c r="J41" i="4"/>
  <c r="M41" i="4" s="1"/>
  <c r="H41" i="4"/>
  <c r="H59" i="4" s="1"/>
  <c r="H62" i="4" s="1"/>
  <c r="G41" i="4"/>
  <c r="G59" i="4" s="1"/>
  <c r="G62" i="4" s="1"/>
  <c r="F41" i="4"/>
  <c r="F59" i="4" s="1"/>
  <c r="D41" i="4"/>
  <c r="C41" i="4"/>
  <c r="C59" i="4" s="1"/>
  <c r="C62" i="4" s="1"/>
  <c r="B41" i="4"/>
  <c r="E41" i="4" s="1"/>
  <c r="Q38" i="4"/>
  <c r="M38" i="4"/>
  <c r="I38" i="4"/>
  <c r="E38" i="4"/>
  <c r="R38" i="4" s="1"/>
  <c r="P27" i="4"/>
  <c r="O27" i="4"/>
  <c r="N27" i="4"/>
  <c r="M27" i="4"/>
  <c r="L27" i="4"/>
  <c r="K27" i="4"/>
  <c r="J27" i="4"/>
  <c r="H27" i="4"/>
  <c r="G27" i="4"/>
  <c r="F27" i="4"/>
  <c r="E27" i="4"/>
  <c r="D27" i="4"/>
  <c r="C27" i="4"/>
  <c r="B27" i="4"/>
  <c r="Q25" i="4"/>
  <c r="M25" i="4"/>
  <c r="I25" i="4"/>
  <c r="E25" i="4"/>
  <c r="R25" i="4" s="1"/>
  <c r="P18" i="4"/>
  <c r="O18" i="4"/>
  <c r="N18" i="4"/>
  <c r="Q18" i="4" s="1"/>
  <c r="M18" i="4"/>
  <c r="L18" i="4"/>
  <c r="K18" i="4"/>
  <c r="J18" i="4"/>
  <c r="H18" i="4"/>
  <c r="G18" i="4"/>
  <c r="F18" i="4"/>
  <c r="I18" i="4" s="1"/>
  <c r="E18" i="4"/>
  <c r="R18" i="4" s="1"/>
  <c r="D18" i="4"/>
  <c r="C18" i="4"/>
  <c r="B18" i="4"/>
  <c r="P17" i="4"/>
  <c r="O17" i="4"/>
  <c r="N17" i="4"/>
  <c r="Q17" i="4" s="1"/>
  <c r="L17" i="4"/>
  <c r="K17" i="4"/>
  <c r="J17" i="4"/>
  <c r="M17" i="4" s="1"/>
  <c r="H17" i="4"/>
  <c r="G17" i="4"/>
  <c r="F17" i="4"/>
  <c r="I17" i="4" s="1"/>
  <c r="D17" i="4"/>
  <c r="C17" i="4"/>
  <c r="B17" i="4"/>
  <c r="E17" i="4" s="1"/>
  <c r="P16" i="4"/>
  <c r="O16" i="4"/>
  <c r="Q16" i="4" s="1"/>
  <c r="N16" i="4"/>
  <c r="M16" i="4"/>
  <c r="L16" i="4"/>
  <c r="K16" i="4"/>
  <c r="J16" i="4"/>
  <c r="H16" i="4"/>
  <c r="G16" i="4"/>
  <c r="I16" i="4" s="1"/>
  <c r="F16" i="4"/>
  <c r="E16" i="4"/>
  <c r="R16" i="4" s="1"/>
  <c r="D16" i="4"/>
  <c r="C16" i="4"/>
  <c r="B16" i="4"/>
  <c r="P15" i="4"/>
  <c r="O15" i="4"/>
  <c r="N15" i="4"/>
  <c r="Q15" i="4" s="1"/>
  <c r="L15" i="4"/>
  <c r="K15" i="4"/>
  <c r="J15" i="4"/>
  <c r="M15" i="4" s="1"/>
  <c r="H15" i="4"/>
  <c r="G15" i="4"/>
  <c r="F15" i="4"/>
  <c r="I15" i="4" s="1"/>
  <c r="D15" i="4"/>
  <c r="C15" i="4"/>
  <c r="B15" i="4"/>
  <c r="E15" i="4" s="1"/>
  <c r="Q14" i="4"/>
  <c r="P14" i="4"/>
  <c r="O14" i="4"/>
  <c r="N14" i="4"/>
  <c r="L14" i="4"/>
  <c r="K14" i="4"/>
  <c r="J14" i="4"/>
  <c r="M14" i="4" s="1"/>
  <c r="I14" i="4"/>
  <c r="H14" i="4"/>
  <c r="G14" i="4"/>
  <c r="F14" i="4"/>
  <c r="D14" i="4"/>
  <c r="C14" i="4"/>
  <c r="B14" i="4"/>
  <c r="E14" i="4" s="1"/>
  <c r="P28" i="4"/>
  <c r="O28" i="4"/>
  <c r="N331" i="4"/>
  <c r="AP937" i="4" s="1"/>
  <c r="L28" i="4"/>
  <c r="D331" i="4"/>
  <c r="AP930" i="4" s="1"/>
  <c r="B28" i="4"/>
  <c r="R1" i="4"/>
  <c r="N28" i="4" l="1"/>
  <c r="F28" i="4"/>
  <c r="H28" i="4"/>
  <c r="J28" i="4"/>
  <c r="D28" i="4"/>
  <c r="K28" i="4"/>
  <c r="C28" i="4"/>
  <c r="R57" i="4"/>
  <c r="L133" i="4"/>
  <c r="G63" i="4"/>
  <c r="N132" i="4"/>
  <c r="Q129" i="4"/>
  <c r="H63" i="4"/>
  <c r="F132" i="4"/>
  <c r="I129" i="4"/>
  <c r="O133" i="4"/>
  <c r="O63" i="4"/>
  <c r="C133" i="4"/>
  <c r="D63" i="4"/>
  <c r="G133" i="4"/>
  <c r="P133" i="4"/>
  <c r="R128" i="4"/>
  <c r="S82" i="4"/>
  <c r="K63" i="4"/>
  <c r="R46" i="4"/>
  <c r="H133" i="4"/>
  <c r="R96" i="4"/>
  <c r="L320" i="4"/>
  <c r="M129" i="4"/>
  <c r="J132" i="4"/>
  <c r="R15" i="4"/>
  <c r="C63" i="4"/>
  <c r="N62" i="4"/>
  <c r="Q59" i="4"/>
  <c r="R58" i="4"/>
  <c r="E129" i="4"/>
  <c r="B132" i="4"/>
  <c r="K133" i="4"/>
  <c r="J311" i="4"/>
  <c r="D320" i="4"/>
  <c r="R50" i="4"/>
  <c r="L63" i="4"/>
  <c r="R14" i="4"/>
  <c r="R17" i="4"/>
  <c r="F62" i="4"/>
  <c r="I59" i="4"/>
  <c r="P63" i="4"/>
  <c r="D133" i="4"/>
  <c r="R127" i="4"/>
  <c r="I1053" i="4"/>
  <c r="L1053" i="4"/>
  <c r="H1053" i="4"/>
  <c r="K1053" i="4"/>
  <c r="N1053" i="4"/>
  <c r="I1055" i="4"/>
  <c r="L1055" i="4"/>
  <c r="H1055" i="4"/>
  <c r="K1055" i="4"/>
  <c r="N1055" i="4"/>
  <c r="G28" i="4"/>
  <c r="B319" i="4"/>
  <c r="G331" i="4"/>
  <c r="AP932" i="4" s="1"/>
  <c r="P556" i="4"/>
  <c r="N600" i="4"/>
  <c r="Q597" i="4"/>
  <c r="H712" i="4"/>
  <c r="R707" i="4"/>
  <c r="R1136" i="4"/>
  <c r="R1091" i="4"/>
  <c r="AS1013" i="4"/>
  <c r="R1012" i="4"/>
  <c r="R1066" i="4"/>
  <c r="R957" i="4"/>
  <c r="AS978" i="4"/>
  <c r="R928" i="4"/>
  <c r="AT951" i="4"/>
  <c r="R983" i="4"/>
  <c r="R863" i="4"/>
  <c r="R904" i="4"/>
  <c r="AT919" i="4"/>
  <c r="N1056" i="4"/>
  <c r="H1056" i="4"/>
  <c r="K1056" i="4"/>
  <c r="I1056" i="4"/>
  <c r="L1056" i="4"/>
  <c r="G973" i="4"/>
  <c r="K331" i="4"/>
  <c r="AP935" i="4" s="1"/>
  <c r="K601" i="4"/>
  <c r="K676" i="4"/>
  <c r="I41" i="4"/>
  <c r="Q41" i="4"/>
  <c r="R41" i="4" s="1"/>
  <c r="C916" i="4"/>
  <c r="M158" i="4"/>
  <c r="R218" i="4"/>
  <c r="R229" i="4"/>
  <c r="R236" i="4"/>
  <c r="R238" i="4"/>
  <c r="R276" i="4"/>
  <c r="E290" i="4"/>
  <c r="R297" i="4"/>
  <c r="H331" i="4"/>
  <c r="AP933" i="4" s="1"/>
  <c r="P331" i="4"/>
  <c r="AP939" i="4" s="1"/>
  <c r="M338" i="4"/>
  <c r="J390" i="4"/>
  <c r="I390" i="4"/>
  <c r="G556" i="4"/>
  <c r="R542" i="4"/>
  <c r="R551" i="4"/>
  <c r="O601" i="4"/>
  <c r="O666" i="4"/>
  <c r="C712" i="4"/>
  <c r="H556" i="4"/>
  <c r="C666" i="4"/>
  <c r="P712" i="4"/>
  <c r="L764" i="4"/>
  <c r="H1049" i="4"/>
  <c r="N1049" i="4"/>
  <c r="L1049" i="4"/>
  <c r="I1049" i="4"/>
  <c r="K1049" i="4"/>
  <c r="I1057" i="4"/>
  <c r="L1057" i="4"/>
  <c r="N1057" i="4"/>
  <c r="H1057" i="4"/>
  <c r="K1057" i="4"/>
  <c r="L601" i="4"/>
  <c r="I27" i="4"/>
  <c r="R27" i="4" s="1"/>
  <c r="Q27" i="4"/>
  <c r="I89" i="4"/>
  <c r="Q89" i="4"/>
  <c r="R89" i="4" s="1"/>
  <c r="N876" i="4"/>
  <c r="N214" i="4"/>
  <c r="R147" i="4"/>
  <c r="R170" i="4"/>
  <c r="R172" i="4"/>
  <c r="B882" i="4"/>
  <c r="R188" i="4"/>
  <c r="R192" i="4"/>
  <c r="T298" i="4" s="1"/>
  <c r="R194" i="4"/>
  <c r="R205" i="4"/>
  <c r="R210" i="4"/>
  <c r="R248" i="4"/>
  <c r="R250" i="4"/>
  <c r="R257" i="4"/>
  <c r="R259" i="4"/>
  <c r="R304" i="4"/>
  <c r="R309" i="4"/>
  <c r="I310" i="4"/>
  <c r="R310" i="4" s="1"/>
  <c r="G506" i="4"/>
  <c r="AM397" i="4"/>
  <c r="P601" i="4"/>
  <c r="P666" i="4"/>
  <c r="N1050" i="4"/>
  <c r="L1050" i="4"/>
  <c r="K1050" i="4"/>
  <c r="H1050" i="4"/>
  <c r="I1050" i="4"/>
  <c r="C774" i="4"/>
  <c r="N1058" i="4"/>
  <c r="K1058" i="4"/>
  <c r="H1058" i="4"/>
  <c r="L1058" i="4"/>
  <c r="I1058" i="4"/>
  <c r="J1058" i="4"/>
  <c r="N774" i="4"/>
  <c r="F876" i="4"/>
  <c r="F214" i="4"/>
  <c r="Q158" i="4"/>
  <c r="R190" i="4"/>
  <c r="R233" i="4"/>
  <c r="R273" i="4"/>
  <c r="R285" i="4"/>
  <c r="R287" i="4"/>
  <c r="R293" i="4"/>
  <c r="R314" i="4"/>
  <c r="B331" i="4"/>
  <c r="AP928" i="4" s="1"/>
  <c r="C331" i="4"/>
  <c r="AP929" i="4" s="1"/>
  <c r="C556" i="4"/>
  <c r="K556" i="4"/>
  <c r="J555" i="4"/>
  <c r="M552" i="4"/>
  <c r="G666" i="4"/>
  <c r="L666" i="4"/>
  <c r="L712" i="4"/>
  <c r="D712" i="4"/>
  <c r="I1059" i="4"/>
  <c r="L1059" i="4"/>
  <c r="N1059" i="4"/>
  <c r="K1059" i="4"/>
  <c r="H1059" i="4"/>
  <c r="O774" i="4"/>
  <c r="O331" i="4"/>
  <c r="AP938" i="4" s="1"/>
  <c r="B59" i="4"/>
  <c r="G876" i="4"/>
  <c r="G882" i="4" s="1"/>
  <c r="G214" i="4"/>
  <c r="R158" i="4"/>
  <c r="O876" i="4"/>
  <c r="O882" i="4" s="1"/>
  <c r="O214" i="4"/>
  <c r="R167" i="4"/>
  <c r="R183" i="4"/>
  <c r="R204" i="4"/>
  <c r="R245" i="4"/>
  <c r="R270" i="4"/>
  <c r="Q390" i="4"/>
  <c r="E390" i="4"/>
  <c r="L556" i="4"/>
  <c r="H601" i="4"/>
  <c r="H666" i="4"/>
  <c r="I711" i="4"/>
  <c r="F712" i="4"/>
  <c r="I1051" i="4"/>
  <c r="L1051" i="4"/>
  <c r="K1051" i="4"/>
  <c r="H1051" i="4"/>
  <c r="N1051" i="4"/>
  <c r="F968" i="4"/>
  <c r="D774" i="4"/>
  <c r="J59" i="4"/>
  <c r="N1052" i="4"/>
  <c r="H1052" i="4"/>
  <c r="I1052" i="4"/>
  <c r="K1052" i="4"/>
  <c r="J1052" i="4"/>
  <c r="L1052" i="4"/>
  <c r="F969" i="4"/>
  <c r="N1060" i="4"/>
  <c r="K1060" i="4"/>
  <c r="H1060" i="4"/>
  <c r="L1060" i="4"/>
  <c r="I1060" i="4"/>
  <c r="P676" i="4"/>
  <c r="H214" i="4"/>
  <c r="H311" i="4" s="1"/>
  <c r="H319" i="4" s="1"/>
  <c r="I158" i="4"/>
  <c r="E186" i="4"/>
  <c r="R186" i="4" s="1"/>
  <c r="M191" i="4"/>
  <c r="R191" i="4" s="1"/>
  <c r="R228" i="4"/>
  <c r="R230" i="4"/>
  <c r="R237" i="4"/>
  <c r="R242" i="4"/>
  <c r="H890" i="4"/>
  <c r="H891" i="4" s="1"/>
  <c r="H920" i="4" s="1"/>
  <c r="L331" i="4"/>
  <c r="AP936" i="4" s="1"/>
  <c r="J331" i="4"/>
  <c r="AP934" i="4" s="1"/>
  <c r="O506" i="4"/>
  <c r="R550" i="4"/>
  <c r="I662" i="4"/>
  <c r="F665" i="4"/>
  <c r="B555" i="4"/>
  <c r="K666" i="4"/>
  <c r="G676" i="4"/>
  <c r="Q708" i="4"/>
  <c r="N711" i="4"/>
  <c r="O712" i="4"/>
  <c r="O764" i="4"/>
  <c r="P500" i="4"/>
  <c r="P505" i="4" s="1"/>
  <c r="N1054" i="4"/>
  <c r="H1054" i="4"/>
  <c r="L1054" i="4"/>
  <c r="K1054" i="4"/>
  <c r="I1054" i="4"/>
  <c r="J1054" i="4"/>
  <c r="J876" i="4"/>
  <c r="M143" i="4"/>
  <c r="R225" i="4"/>
  <c r="R277" i="4"/>
  <c r="F331" i="4"/>
  <c r="AP931" i="4" s="1"/>
  <c r="R428" i="4"/>
  <c r="O556" i="4"/>
  <c r="G712" i="4"/>
  <c r="K712" i="4"/>
  <c r="P764" i="4"/>
  <c r="B763" i="4"/>
  <c r="K876" i="4"/>
  <c r="K882" i="4" s="1"/>
  <c r="P876" i="4"/>
  <c r="P882" i="4" s="1"/>
  <c r="Q890" i="4"/>
  <c r="I890" i="4"/>
  <c r="E361" i="4"/>
  <c r="R361" i="4" s="1"/>
  <c r="AA396" i="4"/>
  <c r="E397" i="4"/>
  <c r="AA398" i="4"/>
  <c r="AD398" i="4" s="1"/>
  <c r="AM398" i="4" s="1"/>
  <c r="E408" i="4"/>
  <c r="M408" i="4"/>
  <c r="B597" i="4"/>
  <c r="Q595" i="4"/>
  <c r="R614" i="4"/>
  <c r="R616" i="4"/>
  <c r="R625" i="4"/>
  <c r="I661" i="4"/>
  <c r="R661" i="4" s="1"/>
  <c r="N662" i="4"/>
  <c r="E675" i="4"/>
  <c r="B676" i="4"/>
  <c r="E708" i="4"/>
  <c r="B711" i="4"/>
  <c r="M708" i="4"/>
  <c r="J711" i="4"/>
  <c r="R723" i="4"/>
  <c r="R725" i="4"/>
  <c r="I730" i="4"/>
  <c r="I758" i="4"/>
  <c r="G763" i="4"/>
  <c r="B807" i="4"/>
  <c r="E803" i="4"/>
  <c r="D803" i="4"/>
  <c r="D807" i="4" s="1"/>
  <c r="E791" i="4"/>
  <c r="I855" i="4"/>
  <c r="F858" i="4"/>
  <c r="P860" i="4"/>
  <c r="P859" i="4"/>
  <c r="R879" i="4"/>
  <c r="F922" i="4"/>
  <c r="I922" i="4" s="1"/>
  <c r="I900" i="4"/>
  <c r="D876" i="4"/>
  <c r="D882" i="4" s="1"/>
  <c r="L876" i="4"/>
  <c r="L882" i="4" s="1"/>
  <c r="O890" i="4"/>
  <c r="G890" i="4"/>
  <c r="F290" i="4"/>
  <c r="N290" i="4"/>
  <c r="Q290" i="4" s="1"/>
  <c r="AB396" i="4"/>
  <c r="B404" i="4"/>
  <c r="E404" i="4" s="1"/>
  <c r="I889" i="4"/>
  <c r="F891" i="4"/>
  <c r="Q889" i="4"/>
  <c r="N891" i="4"/>
  <c r="E432" i="4"/>
  <c r="R432" i="4" s="1"/>
  <c r="B473" i="4"/>
  <c r="E473" i="4" s="1"/>
  <c r="J473" i="4"/>
  <c r="D885" i="4"/>
  <c r="D536" i="4"/>
  <c r="E536" i="4" s="1"/>
  <c r="R536" i="4" s="1"/>
  <c r="C597" i="4"/>
  <c r="C600" i="4" s="1"/>
  <c r="I579" i="4"/>
  <c r="R589" i="4"/>
  <c r="L676" i="4"/>
  <c r="J676" i="4"/>
  <c r="I699" i="4"/>
  <c r="R740" i="4"/>
  <c r="R755" i="4"/>
  <c r="D760" i="4"/>
  <c r="D763" i="4" s="1"/>
  <c r="R773" i="4"/>
  <c r="K809" i="4"/>
  <c r="K808" i="4"/>
  <c r="G860" i="4"/>
  <c r="G859" i="4"/>
  <c r="R854" i="4"/>
  <c r="J918" i="4"/>
  <c r="M918" i="4" s="1"/>
  <c r="M887" i="4"/>
  <c r="E889" i="4"/>
  <c r="R894" i="4"/>
  <c r="M899" i="4"/>
  <c r="E143" i="4"/>
  <c r="R143" i="4" s="1"/>
  <c r="S196" i="4" s="1"/>
  <c r="P214" i="4"/>
  <c r="P311" i="4" s="1"/>
  <c r="P319" i="4" s="1"/>
  <c r="Q241" i="4"/>
  <c r="R241" i="4" s="1"/>
  <c r="I255" i="4"/>
  <c r="R255" i="4" s="1"/>
  <c r="G290" i="4"/>
  <c r="O290" i="4"/>
  <c r="Q338" i="4"/>
  <c r="AC396" i="4"/>
  <c r="I397" i="4"/>
  <c r="C404" i="4"/>
  <c r="C500" i="4" s="1"/>
  <c r="C505" i="4" s="1"/>
  <c r="G891" i="4"/>
  <c r="G920" i="4" s="1"/>
  <c r="O891" i="4"/>
  <c r="O920" i="4" s="1"/>
  <c r="K473" i="4"/>
  <c r="K500" i="4" s="1"/>
  <c r="K505" i="4" s="1"/>
  <c r="E534" i="4"/>
  <c r="R534" i="4" s="1"/>
  <c r="S576" i="4" s="1"/>
  <c r="M536" i="4"/>
  <c r="D601" i="4"/>
  <c r="Q573" i="4"/>
  <c r="R577" i="4"/>
  <c r="I595" i="4"/>
  <c r="R595" i="4" s="1"/>
  <c r="J662" i="4"/>
  <c r="M627" i="4"/>
  <c r="R639" i="4"/>
  <c r="R641" i="4"/>
  <c r="I643" i="4"/>
  <c r="D676" i="4"/>
  <c r="N676" i="4"/>
  <c r="R706" i="4"/>
  <c r="Q707" i="4"/>
  <c r="C760" i="4"/>
  <c r="C763" i="4" s="1"/>
  <c r="K760" i="4"/>
  <c r="K763" i="4" s="1"/>
  <c r="R761" i="4"/>
  <c r="R771" i="4"/>
  <c r="F774" i="4"/>
  <c r="R802" i="4"/>
  <c r="H860" i="4"/>
  <c r="H859" i="4"/>
  <c r="R853" i="4"/>
  <c r="C891" i="4"/>
  <c r="C920" i="4" s="1"/>
  <c r="D473" i="4"/>
  <c r="D500" i="4" s="1"/>
  <c r="D505" i="4" s="1"/>
  <c r="L473" i="4"/>
  <c r="L500" i="4" s="1"/>
  <c r="L505" i="4" s="1"/>
  <c r="F552" i="4"/>
  <c r="N552" i="4"/>
  <c r="R573" i="4"/>
  <c r="D662" i="4"/>
  <c r="D665" i="4" s="1"/>
  <c r="O676" i="4"/>
  <c r="R691" i="4"/>
  <c r="R695" i="4"/>
  <c r="M758" i="4"/>
  <c r="G774" i="4"/>
  <c r="P774" i="4"/>
  <c r="C803" i="4"/>
  <c r="C807" i="4" s="1"/>
  <c r="E795" i="4"/>
  <c r="R795" i="4" s="1"/>
  <c r="J858" i="4"/>
  <c r="M855" i="4"/>
  <c r="R880" i="4"/>
  <c r="B887" i="4"/>
  <c r="M890" i="4"/>
  <c r="M900" i="4"/>
  <c r="J922" i="4"/>
  <c r="I408" i="4"/>
  <c r="Q408" i="4"/>
  <c r="F597" i="4"/>
  <c r="R615" i="4"/>
  <c r="R623" i="4"/>
  <c r="B662" i="4"/>
  <c r="E627" i="4"/>
  <c r="M633" i="4"/>
  <c r="I695" i="4"/>
  <c r="M699" i="4"/>
  <c r="R724" i="4"/>
  <c r="R730" i="4"/>
  <c r="Q734" i="4"/>
  <c r="M763" i="4"/>
  <c r="J764" i="4"/>
  <c r="O808" i="4"/>
  <c r="O809" i="4"/>
  <c r="K859" i="4"/>
  <c r="K860" i="4"/>
  <c r="R877" i="4"/>
  <c r="C887" i="4"/>
  <c r="C918" i="4" s="1"/>
  <c r="N918" i="4"/>
  <c r="Q918" i="4" s="1"/>
  <c r="Q887" i="4"/>
  <c r="H876" i="4"/>
  <c r="H882" i="4" s="1"/>
  <c r="C214" i="4"/>
  <c r="C311" i="4" s="1"/>
  <c r="C319" i="4" s="1"/>
  <c r="K214" i="4"/>
  <c r="K311" i="4" s="1"/>
  <c r="K319" i="4" s="1"/>
  <c r="C890" i="4"/>
  <c r="E885" i="4"/>
  <c r="R885" i="4" s="1"/>
  <c r="F404" i="4"/>
  <c r="I404" i="4" s="1"/>
  <c r="M889" i="4"/>
  <c r="J891" i="4"/>
  <c r="F473" i="4"/>
  <c r="N473" i="4"/>
  <c r="Q473" i="4" s="1"/>
  <c r="G597" i="4"/>
  <c r="G600" i="4" s="1"/>
  <c r="M595" i="4"/>
  <c r="Q627" i="4"/>
  <c r="Q633" i="4"/>
  <c r="R633" i="4" s="1"/>
  <c r="R651" i="4"/>
  <c r="H676" i="4"/>
  <c r="Q675" i="4"/>
  <c r="N760" i="4"/>
  <c r="I734" i="4"/>
  <c r="R734" i="4" s="1"/>
  <c r="E748" i="4"/>
  <c r="K748" i="4"/>
  <c r="M748" i="4" s="1"/>
  <c r="E758" i="4"/>
  <c r="R758" i="4" s="1"/>
  <c r="J774" i="4"/>
  <c r="G808" i="4"/>
  <c r="G809" i="4"/>
  <c r="P808" i="4"/>
  <c r="P809" i="4"/>
  <c r="L859" i="4"/>
  <c r="L860" i="4"/>
  <c r="B858" i="4"/>
  <c r="E855" i="4"/>
  <c r="R855" i="4" s="1"/>
  <c r="R843" i="4"/>
  <c r="D887" i="4"/>
  <c r="D918" i="4" s="1"/>
  <c r="E890" i="4"/>
  <c r="R890" i="4" s="1"/>
  <c r="E579" i="4"/>
  <c r="I633" i="4"/>
  <c r="R643" i="4"/>
  <c r="I675" i="4"/>
  <c r="E699" i="4"/>
  <c r="Q758" i="4"/>
  <c r="M760" i="4"/>
  <c r="B774" i="4"/>
  <c r="K774" i="4"/>
  <c r="H774" i="4"/>
  <c r="H808" i="4"/>
  <c r="H809" i="4"/>
  <c r="H775" i="4" s="1"/>
  <c r="L803" i="4"/>
  <c r="L807" i="4" s="1"/>
  <c r="M791" i="4"/>
  <c r="R801" i="4"/>
  <c r="C859" i="4"/>
  <c r="C860" i="4"/>
  <c r="Q855" i="4"/>
  <c r="N858" i="4"/>
  <c r="F887" i="4"/>
  <c r="N922" i="4"/>
  <c r="Q922" i="4" s="1"/>
  <c r="Q900" i="4"/>
  <c r="D891" i="4"/>
  <c r="D920" i="4" s="1"/>
  <c r="H473" i="4"/>
  <c r="H500" i="4" s="1"/>
  <c r="H505" i="4" s="1"/>
  <c r="P473" i="4"/>
  <c r="F676" i="4"/>
  <c r="I708" i="4"/>
  <c r="H764" i="4"/>
  <c r="I763" i="4"/>
  <c r="F764" i="4"/>
  <c r="L774" i="4"/>
  <c r="J807" i="4"/>
  <c r="M803" i="4"/>
  <c r="D859" i="4"/>
  <c r="D860" i="4"/>
  <c r="O859" i="4"/>
  <c r="O860" i="4"/>
  <c r="AO937" i="4"/>
  <c r="AF937" i="4"/>
  <c r="J597" i="4"/>
  <c r="I773" i="4"/>
  <c r="Q773" i="4"/>
  <c r="E827" i="4"/>
  <c r="M827" i="4"/>
  <c r="B891" i="4"/>
  <c r="E896" i="4"/>
  <c r="M896" i="4"/>
  <c r="G996" i="4"/>
  <c r="AH965" i="4"/>
  <c r="AE930" i="4"/>
  <c r="AF930" i="4" s="1"/>
  <c r="G1002" i="4"/>
  <c r="G974" i="4"/>
  <c r="C676" i="4"/>
  <c r="F803" i="4"/>
  <c r="N803" i="4"/>
  <c r="I884" i="4"/>
  <c r="Q884" i="4"/>
  <c r="I893" i="4"/>
  <c r="Q893" i="4"/>
  <c r="R893" i="4" s="1"/>
  <c r="B900" i="4"/>
  <c r="AO930" i="4"/>
  <c r="AO933" i="4"/>
  <c r="F967" i="4"/>
  <c r="AG964" i="4"/>
  <c r="AS964" i="4"/>
  <c r="AF964" i="4"/>
  <c r="F995" i="4"/>
  <c r="AH964" i="4"/>
  <c r="AE964" i="4"/>
  <c r="AD964" i="4"/>
  <c r="K900" i="4"/>
  <c r="K922" i="4" s="1"/>
  <c r="AO929" i="4"/>
  <c r="AF929" i="4"/>
  <c r="G995" i="4"/>
  <c r="G967" i="4"/>
  <c r="G968" i="4"/>
  <c r="AG968" i="4"/>
  <c r="F971" i="4"/>
  <c r="AS968" i="4"/>
  <c r="AF968" i="4"/>
  <c r="AH968" i="4"/>
  <c r="AE968" i="4"/>
  <c r="AD968" i="4"/>
  <c r="F999" i="4"/>
  <c r="AG970" i="4"/>
  <c r="AG965" i="4"/>
  <c r="AO928" i="4"/>
  <c r="AF928" i="4"/>
  <c r="F994" i="4"/>
  <c r="AD963" i="4"/>
  <c r="AH963" i="4"/>
  <c r="F966" i="4"/>
  <c r="AG963" i="4"/>
  <c r="AF963" i="4"/>
  <c r="AE963" i="4"/>
  <c r="AS963" i="4"/>
  <c r="F950" i="4"/>
  <c r="G997" i="4"/>
  <c r="G969" i="4"/>
  <c r="I827" i="4"/>
  <c r="Q827" i="4"/>
  <c r="I896" i="4"/>
  <c r="Q896" i="4"/>
  <c r="F899" i="4"/>
  <c r="N899" i="4"/>
  <c r="F998" i="4"/>
  <c r="AH967" i="4"/>
  <c r="F970" i="4"/>
  <c r="AG967" i="4"/>
  <c r="AD967" i="4"/>
  <c r="AJ967" i="4" s="1"/>
  <c r="AE967" i="4"/>
  <c r="AS967" i="4"/>
  <c r="AF967" i="4"/>
  <c r="AD932" i="4"/>
  <c r="E884" i="4"/>
  <c r="M884" i="4"/>
  <c r="G998" i="4"/>
  <c r="G970" i="4"/>
  <c r="E832" i="4"/>
  <c r="M832" i="4"/>
  <c r="H899" i="4"/>
  <c r="P899" i="4"/>
  <c r="AO931" i="4"/>
  <c r="AF931" i="4"/>
  <c r="AH972" i="4"/>
  <c r="F975" i="4"/>
  <c r="AG972" i="4"/>
  <c r="AD972" i="4"/>
  <c r="F1003" i="4"/>
  <c r="AE972" i="4"/>
  <c r="AS972" i="4"/>
  <c r="AF972" i="4"/>
  <c r="I1081" i="4"/>
  <c r="Y1081" i="4" s="1"/>
  <c r="G1029" i="4"/>
  <c r="G966" i="4"/>
  <c r="G994" i="4"/>
  <c r="AD938" i="4"/>
  <c r="F996" i="4"/>
  <c r="AS965" i="4"/>
  <c r="AF965" i="4"/>
  <c r="AE965" i="4"/>
  <c r="G971" i="4"/>
  <c r="F1000" i="4"/>
  <c r="F972" i="4"/>
  <c r="AS969" i="4"/>
  <c r="AF969" i="4"/>
  <c r="AE969" i="4"/>
  <c r="AJ969" i="4" s="1"/>
  <c r="AE934" i="4"/>
  <c r="AF934" i="4" s="1"/>
  <c r="G1000" i="4"/>
  <c r="F1001" i="4"/>
  <c r="AH970" i="4"/>
  <c r="F973" i="4"/>
  <c r="AE970" i="4"/>
  <c r="AD970" i="4"/>
  <c r="AF966" i="4"/>
  <c r="G972" i="4"/>
  <c r="G977" i="4"/>
  <c r="G999" i="4"/>
  <c r="J1056" i="4"/>
  <c r="F1002" i="4"/>
  <c r="F974" i="4"/>
  <c r="AE971" i="4"/>
  <c r="AD971" i="4"/>
  <c r="AH971" i="4"/>
  <c r="G950" i="4"/>
  <c r="AD965" i="4"/>
  <c r="AG971" i="4"/>
  <c r="J1057" i="4"/>
  <c r="G1003" i="4"/>
  <c r="G975" i="4"/>
  <c r="F1004" i="4"/>
  <c r="AD973" i="4"/>
  <c r="AH973" i="4"/>
  <c r="F976" i="4"/>
  <c r="AG973" i="4"/>
  <c r="I1085" i="4"/>
  <c r="Y1085" i="4" s="1"/>
  <c r="G1033" i="4"/>
  <c r="AE966" i="4"/>
  <c r="F997" i="4"/>
  <c r="AD966" i="4"/>
  <c r="AH966" i="4"/>
  <c r="G1004" i="4"/>
  <c r="G976" i="4"/>
  <c r="AS966" i="4"/>
  <c r="AG969" i="4"/>
  <c r="AS971" i="4"/>
  <c r="AE973" i="4"/>
  <c r="J1049" i="4"/>
  <c r="AF973" i="4"/>
  <c r="AD974" i="4"/>
  <c r="F1005" i="4"/>
  <c r="AG974" i="4"/>
  <c r="AE974" i="4"/>
  <c r="J1050" i="4"/>
  <c r="F977" i="4"/>
  <c r="J1060" i="4"/>
  <c r="AD1097" i="4"/>
  <c r="AD1077" i="4"/>
  <c r="AD1075" i="4"/>
  <c r="AD1080" i="4"/>
  <c r="AD1078" i="4"/>
  <c r="AD1076" i="4"/>
  <c r="AD1074" i="4"/>
  <c r="AD1079" i="4"/>
  <c r="J1053" i="4"/>
  <c r="J1055" i="4"/>
  <c r="J1059" i="4"/>
  <c r="J1051" i="4"/>
  <c r="G1164" i="4"/>
  <c r="I1151" i="4"/>
  <c r="J1152" i="4" s="1"/>
  <c r="F1108" i="4"/>
  <c r="B1081" i="4" s="1"/>
  <c r="L1108" i="4"/>
  <c r="F1110" i="4"/>
  <c r="B1083" i="4" s="1"/>
  <c r="L1110" i="4"/>
  <c r="I1164" i="4"/>
  <c r="M1164" i="4"/>
  <c r="N1155" i="4"/>
  <c r="G1101" i="4"/>
  <c r="C1074" i="4" s="1"/>
  <c r="L1101" i="4"/>
  <c r="F1109" i="4"/>
  <c r="B1082" i="4" s="1"/>
  <c r="L1109" i="4"/>
  <c r="G1102" i="4"/>
  <c r="C1075" i="4" s="1"/>
  <c r="G1103" i="4"/>
  <c r="C1076" i="4" s="1"/>
  <c r="F1112" i="4"/>
  <c r="B1085" i="4" s="1"/>
  <c r="E1164" i="4"/>
  <c r="G1111" i="4"/>
  <c r="C1084" i="4" s="1"/>
  <c r="N1152" i="4"/>
  <c r="M1103" i="4"/>
  <c r="M1107" i="4"/>
  <c r="M1105" i="4"/>
  <c r="M1109" i="4"/>
  <c r="M1110" i="4"/>
  <c r="M1102" i="4"/>
  <c r="M1104" i="4"/>
  <c r="M1111" i="4"/>
  <c r="M1108" i="4"/>
  <c r="M1106" i="4"/>
  <c r="M1112" i="4"/>
  <c r="M1101" i="4"/>
  <c r="B1110" i="4" l="1"/>
  <c r="Q1110" i="4" s="1"/>
  <c r="B1106" i="4"/>
  <c r="Q1106" i="4" s="1"/>
  <c r="B1105" i="4"/>
  <c r="Q1105" i="4" s="1"/>
  <c r="B1108" i="4"/>
  <c r="Q1108" i="4" s="1"/>
  <c r="B1103" i="4"/>
  <c r="Q1103" i="4" s="1"/>
  <c r="B1107" i="4"/>
  <c r="Q1107" i="4" s="1"/>
  <c r="B1109" i="4"/>
  <c r="Q1109" i="4" s="1"/>
  <c r="B1112" i="4"/>
  <c r="Q1112" i="4" s="1"/>
  <c r="B1102" i="4"/>
  <c r="Q1102" i="4" s="1"/>
  <c r="B1104" i="4"/>
  <c r="Q1104" i="4" s="1"/>
  <c r="B1111" i="4"/>
  <c r="Q1111" i="4" s="1"/>
  <c r="B1101" i="4"/>
  <c r="Q1101" i="4" s="1"/>
  <c r="D506" i="4"/>
  <c r="K506" i="4"/>
  <c r="H506" i="4"/>
  <c r="C506" i="4"/>
  <c r="O942" i="4"/>
  <c r="H776" i="4"/>
  <c r="H765" i="4"/>
  <c r="L506" i="4"/>
  <c r="G1060" i="4"/>
  <c r="AK939" i="4"/>
  <c r="I1080" i="4"/>
  <c r="Y1080" i="4" s="1"/>
  <c r="G1028" i="4"/>
  <c r="AD1094" i="4"/>
  <c r="AD1092" i="4"/>
  <c r="AD1095" i="4"/>
  <c r="AD1090" i="4"/>
  <c r="AD1088" i="4"/>
  <c r="AD1086" i="4"/>
  <c r="AD1084" i="4"/>
  <c r="AD1093" i="4"/>
  <c r="AD1091" i="4"/>
  <c r="AD1083" i="4"/>
  <c r="AD1096" i="4"/>
  <c r="AD1085" i="4"/>
  <c r="AD1081" i="4"/>
  <c r="AD1087" i="4"/>
  <c r="AD1082" i="4"/>
  <c r="AD1089" i="4"/>
  <c r="AH1124" i="4"/>
  <c r="AH1123" i="4"/>
  <c r="R827" i="4"/>
  <c r="Q760" i="4"/>
  <c r="N763" i="4"/>
  <c r="AJ971" i="4"/>
  <c r="AJ970" i="4"/>
  <c r="H1076" i="4"/>
  <c r="X1076" i="4" s="1"/>
  <c r="AH1031" i="4"/>
  <c r="AH996" i="4"/>
  <c r="R884" i="4"/>
  <c r="AF976" i="4"/>
  <c r="L809" i="4"/>
  <c r="L808" i="4"/>
  <c r="R699" i="4"/>
  <c r="J920" i="4"/>
  <c r="M920" i="4" s="1"/>
  <c r="M891" i="4"/>
  <c r="F600" i="4"/>
  <c r="I597" i="4"/>
  <c r="Q552" i="4"/>
  <c r="N555" i="4"/>
  <c r="Q942" i="4"/>
  <c r="H861" i="4"/>
  <c r="M662" i="4"/>
  <c r="J665" i="4"/>
  <c r="R889" i="4"/>
  <c r="M473" i="4"/>
  <c r="D809" i="4"/>
  <c r="D808" i="4"/>
  <c r="R675" i="4"/>
  <c r="P916" i="4"/>
  <c r="P924" i="4" s="1"/>
  <c r="P13" i="4" s="1"/>
  <c r="P901" i="4"/>
  <c r="O311" i="4"/>
  <c r="O319" i="4" s="1"/>
  <c r="F882" i="4"/>
  <c r="I876" i="4"/>
  <c r="E876" i="4"/>
  <c r="R338" i="4"/>
  <c r="S370" i="4" s="1"/>
  <c r="N133" i="4"/>
  <c r="Q132" i="4"/>
  <c r="I552" i="4"/>
  <c r="F555" i="4"/>
  <c r="M711" i="4"/>
  <c r="J712" i="4"/>
  <c r="Q662" i="4"/>
  <c r="N665" i="4"/>
  <c r="R408" i="4"/>
  <c r="K901" i="4"/>
  <c r="K916" i="4"/>
  <c r="K924" i="4" s="1"/>
  <c r="K13" i="4" s="1"/>
  <c r="M876" i="4"/>
  <c r="J882" i="4"/>
  <c r="H320" i="4"/>
  <c r="M59" i="4"/>
  <c r="J62" i="4"/>
  <c r="O901" i="4"/>
  <c r="O916" i="4"/>
  <c r="O924" i="4" s="1"/>
  <c r="O13" i="4" s="1"/>
  <c r="E214" i="4"/>
  <c r="F63" i="4"/>
  <c r="I62" i="4"/>
  <c r="I1083" i="4"/>
  <c r="Y1083" i="4" s="1"/>
  <c r="G1031" i="4"/>
  <c r="G1058" i="4" s="1"/>
  <c r="AO938" i="4"/>
  <c r="AF938" i="4"/>
  <c r="H1078" i="4"/>
  <c r="X1078" i="4" s="1"/>
  <c r="AH998" i="4"/>
  <c r="AH1033" i="4"/>
  <c r="I1076" i="4"/>
  <c r="Y1076" i="4" s="1"/>
  <c r="G1024" i="4"/>
  <c r="F918" i="4"/>
  <c r="I918" i="4" s="1"/>
  <c r="I887" i="4"/>
  <c r="H1082" i="4"/>
  <c r="X1082" i="4" s="1"/>
  <c r="AH1002" i="4"/>
  <c r="AH1037" i="4"/>
  <c r="H1083" i="4"/>
  <c r="X1083" i="4" s="1"/>
  <c r="AH1003" i="4"/>
  <c r="AH1038" i="4"/>
  <c r="N859" i="4"/>
  <c r="N860" i="4"/>
  <c r="Q858" i="4"/>
  <c r="D764" i="4"/>
  <c r="I290" i="4"/>
  <c r="B809" i="4"/>
  <c r="E807" i="4"/>
  <c r="B808" i="4"/>
  <c r="E760" i="4"/>
  <c r="R760" i="4" s="1"/>
  <c r="P506" i="4"/>
  <c r="N500" i="4"/>
  <c r="E319" i="4"/>
  <c r="B320" i="4"/>
  <c r="M214" i="4"/>
  <c r="N63" i="4"/>
  <c r="Q62" i="4"/>
  <c r="AO932" i="4"/>
  <c r="AF932" i="4"/>
  <c r="AF941" i="4" s="1"/>
  <c r="AD941" i="4"/>
  <c r="H1085" i="4"/>
  <c r="X1085" i="4" s="1"/>
  <c r="AH1005" i="4"/>
  <c r="AH1040" i="4"/>
  <c r="AJ964" i="4"/>
  <c r="N807" i="4"/>
  <c r="Q803" i="4"/>
  <c r="R803" i="4" s="1"/>
  <c r="M858" i="4"/>
  <c r="J859" i="4"/>
  <c r="J860" i="4"/>
  <c r="AJ974" i="4"/>
  <c r="H1080" i="4"/>
  <c r="X1080" i="4" s="1"/>
  <c r="AH1035" i="4"/>
  <c r="AH1000" i="4"/>
  <c r="Q899" i="4"/>
  <c r="I1077" i="4"/>
  <c r="Y1077" i="4" s="1"/>
  <c r="G1025" i="4"/>
  <c r="AH976" i="4"/>
  <c r="AJ968" i="4"/>
  <c r="F807" i="4"/>
  <c r="I803" i="4"/>
  <c r="R896" i="4"/>
  <c r="Q945" i="4"/>
  <c r="L861" i="4"/>
  <c r="N920" i="4"/>
  <c r="Q920" i="4" s="1"/>
  <c r="Q891" i="4"/>
  <c r="B712" i="4"/>
  <c r="E711" i="4"/>
  <c r="R397" i="4"/>
  <c r="E763" i="4"/>
  <c r="B764" i="4"/>
  <c r="G311" i="4"/>
  <c r="G319" i="4" s="1"/>
  <c r="E311" i="4"/>
  <c r="M311" i="4"/>
  <c r="J319" i="4"/>
  <c r="I132" i="4"/>
  <c r="F133" i="4"/>
  <c r="AG976" i="4"/>
  <c r="M597" i="4"/>
  <c r="J600" i="4"/>
  <c r="J808" i="4"/>
  <c r="J809" i="4"/>
  <c r="M807" i="4"/>
  <c r="P942" i="4"/>
  <c r="H810" i="4"/>
  <c r="AH1135" i="4"/>
  <c r="AH1136" i="4"/>
  <c r="I1074" i="4"/>
  <c r="Y1074" i="4" s="1"/>
  <c r="G1007" i="4"/>
  <c r="G1022" i="4"/>
  <c r="H1079" i="4"/>
  <c r="X1079" i="4" s="1"/>
  <c r="AH999" i="4"/>
  <c r="AH1034" i="4"/>
  <c r="E858" i="4"/>
  <c r="R858" i="4" s="1"/>
  <c r="B859" i="4"/>
  <c r="B860" i="4"/>
  <c r="AJ972" i="4"/>
  <c r="I1084" i="4"/>
  <c r="Y1084" i="4" s="1"/>
  <c r="G1032" i="4"/>
  <c r="AJ965" i="4"/>
  <c r="I1079" i="4"/>
  <c r="Y1079" i="4" s="1"/>
  <c r="G1027" i="4"/>
  <c r="H1081" i="4"/>
  <c r="X1081" i="4" s="1"/>
  <c r="AH1036" i="4"/>
  <c r="AH1001" i="4"/>
  <c r="R832" i="4"/>
  <c r="I899" i="4"/>
  <c r="R899" i="4" s="1"/>
  <c r="AD976" i="4"/>
  <c r="AJ963" i="4"/>
  <c r="I1075" i="4"/>
  <c r="Y1075" i="4" s="1"/>
  <c r="G1023" i="4"/>
  <c r="B920" i="4"/>
  <c r="E920" i="4" s="1"/>
  <c r="E891" i="4"/>
  <c r="R891" i="4" s="1"/>
  <c r="Q947" i="4"/>
  <c r="O861" i="4"/>
  <c r="Q938" i="4"/>
  <c r="C861" i="4"/>
  <c r="R579" i="4"/>
  <c r="R748" i="4"/>
  <c r="Q944" i="4"/>
  <c r="K861" i="4"/>
  <c r="R627" i="4"/>
  <c r="M922" i="4"/>
  <c r="C809" i="4"/>
  <c r="C808" i="4"/>
  <c r="P320" i="4"/>
  <c r="Q948" i="4"/>
  <c r="P861" i="4"/>
  <c r="G764" i="4"/>
  <c r="R708" i="4"/>
  <c r="AD396" i="4"/>
  <c r="AM396" i="4" s="1"/>
  <c r="G901" i="4"/>
  <c r="G916" i="4"/>
  <c r="G924" i="4" s="1"/>
  <c r="G13" i="4" s="1"/>
  <c r="N311" i="4"/>
  <c r="Q214" i="4"/>
  <c r="G1056" i="4"/>
  <c r="AK935" i="4"/>
  <c r="H1074" i="4"/>
  <c r="X1074" i="4" s="1"/>
  <c r="F1007" i="4"/>
  <c r="AH1029" i="4"/>
  <c r="AH994" i="4"/>
  <c r="H1075" i="4"/>
  <c r="AH1030" i="4"/>
  <c r="AH995" i="4"/>
  <c r="B922" i="4"/>
  <c r="E922" i="4" s="1"/>
  <c r="E900" i="4"/>
  <c r="R900" i="4" s="1"/>
  <c r="P948" i="4"/>
  <c r="P810" i="4"/>
  <c r="G601" i="4"/>
  <c r="K320" i="4"/>
  <c r="E662" i="4"/>
  <c r="R662" i="4" s="1"/>
  <c r="B665" i="4"/>
  <c r="P775" i="4"/>
  <c r="K764" i="4"/>
  <c r="Q941" i="4"/>
  <c r="G861" i="4"/>
  <c r="C601" i="4"/>
  <c r="I891" i="4"/>
  <c r="F920" i="4"/>
  <c r="I920" i="4" s="1"/>
  <c r="L901" i="4"/>
  <c r="L916" i="4"/>
  <c r="L924" i="4" s="1"/>
  <c r="L13" i="4" s="1"/>
  <c r="F860" i="4"/>
  <c r="I858" i="4"/>
  <c r="F859" i="4"/>
  <c r="B556" i="4"/>
  <c r="D552" i="4"/>
  <c r="E59" i="4"/>
  <c r="R59" i="4" s="1"/>
  <c r="B62" i="4"/>
  <c r="N882" i="4"/>
  <c r="Q876" i="4"/>
  <c r="F500" i="4"/>
  <c r="R290" i="4"/>
  <c r="C924" i="4"/>
  <c r="C13" i="4" s="1"/>
  <c r="AJ966" i="4"/>
  <c r="I1078" i="4"/>
  <c r="Y1078" i="4" s="1"/>
  <c r="G1026" i="4"/>
  <c r="I1082" i="4"/>
  <c r="Y1082" i="4" s="1"/>
  <c r="G1030" i="4"/>
  <c r="G1057" i="4" s="1"/>
  <c r="Q939" i="4"/>
  <c r="D861" i="4"/>
  <c r="P947" i="4"/>
  <c r="O810" i="4"/>
  <c r="O775" i="4"/>
  <c r="D666" i="4"/>
  <c r="C764" i="4"/>
  <c r="D901" i="4"/>
  <c r="D916" i="4"/>
  <c r="D924" i="4" s="1"/>
  <c r="D13" i="4" s="1"/>
  <c r="C901" i="4"/>
  <c r="Q600" i="4"/>
  <c r="N601" i="4"/>
  <c r="B133" i="4"/>
  <c r="E132" i="4"/>
  <c r="R132" i="4" s="1"/>
  <c r="J133" i="4"/>
  <c r="M132" i="4"/>
  <c r="AJ973" i="4"/>
  <c r="AS976" i="4"/>
  <c r="C320" i="4"/>
  <c r="H1077" i="4"/>
  <c r="X1077" i="4" s="1"/>
  <c r="AH1032" i="4"/>
  <c r="AH997" i="4"/>
  <c r="H1084" i="4"/>
  <c r="X1084" i="4" s="1"/>
  <c r="AH1039" i="4"/>
  <c r="AH1004" i="4"/>
  <c r="AE976" i="4"/>
  <c r="P941" i="4"/>
  <c r="G810" i="4"/>
  <c r="G775" i="4"/>
  <c r="G765" i="4" s="1"/>
  <c r="I473" i="4"/>
  <c r="R473" i="4" s="1"/>
  <c r="H916" i="4"/>
  <c r="H924" i="4" s="1"/>
  <c r="H13" i="4" s="1"/>
  <c r="H901" i="4"/>
  <c r="B918" i="4"/>
  <c r="E918" i="4" s="1"/>
  <c r="R918" i="4" s="1"/>
  <c r="E887" i="4"/>
  <c r="R887" i="4" s="1"/>
  <c r="K775" i="4"/>
  <c r="K765" i="4" s="1"/>
  <c r="K810" i="4"/>
  <c r="P944" i="4"/>
  <c r="R404" i="4"/>
  <c r="R791" i="4"/>
  <c r="B600" i="4"/>
  <c r="E597" i="4"/>
  <c r="R597" i="4" s="1"/>
  <c r="N712" i="4"/>
  <c r="Q711" i="4"/>
  <c r="I665" i="4"/>
  <c r="F666" i="4"/>
  <c r="B500" i="4"/>
  <c r="J556" i="4"/>
  <c r="M555" i="4"/>
  <c r="F311" i="4"/>
  <c r="I214" i="4"/>
  <c r="B916" i="4"/>
  <c r="E882" i="4"/>
  <c r="B901" i="4"/>
  <c r="E901" i="4" s="1"/>
  <c r="M390" i="4"/>
  <c r="R390" i="4" s="1"/>
  <c r="J500" i="4"/>
  <c r="R129" i="4"/>
  <c r="AD1098" i="4" l="1"/>
  <c r="N941" i="4"/>
  <c r="G766" i="4"/>
  <c r="G713" i="4"/>
  <c r="N944" i="4"/>
  <c r="K766" i="4"/>
  <c r="K713" i="4"/>
  <c r="F319" i="4"/>
  <c r="I311" i="4"/>
  <c r="Q968" i="4"/>
  <c r="Q996" i="4"/>
  <c r="F505" i="4"/>
  <c r="I500" i="4"/>
  <c r="R922" i="4"/>
  <c r="AG1102" i="4"/>
  <c r="AG1103" i="4"/>
  <c r="P938" i="4"/>
  <c r="C810" i="4"/>
  <c r="C775" i="4"/>
  <c r="Q995" i="4"/>
  <c r="Q967" i="4"/>
  <c r="G320" i="4"/>
  <c r="G1051" i="4"/>
  <c r="AK930" i="4"/>
  <c r="AH1130" i="4"/>
  <c r="AH1129" i="4"/>
  <c r="M62" i="4"/>
  <c r="J63" i="4"/>
  <c r="I555" i="4"/>
  <c r="F556" i="4"/>
  <c r="R876" i="4"/>
  <c r="T892" i="4" s="1"/>
  <c r="N556" i="4"/>
  <c r="Q555" i="4"/>
  <c r="P945" i="4"/>
  <c r="L810" i="4"/>
  <c r="L775" i="4"/>
  <c r="N942" i="4"/>
  <c r="H766" i="4"/>
  <c r="H713" i="4"/>
  <c r="G1059" i="4"/>
  <c r="AK938" i="4"/>
  <c r="G1052" i="4"/>
  <c r="AK931" i="4"/>
  <c r="N505" i="4"/>
  <c r="Q500" i="4"/>
  <c r="AG1130" i="4"/>
  <c r="AG1129" i="4"/>
  <c r="AH1109" i="4"/>
  <c r="AH1108" i="4"/>
  <c r="N666" i="4"/>
  <c r="Q665" i="4"/>
  <c r="P939" i="4"/>
  <c r="D810" i="4"/>
  <c r="D775" i="4"/>
  <c r="Q763" i="4"/>
  <c r="N764" i="4"/>
  <c r="AG1111" i="4"/>
  <c r="AG1112" i="4"/>
  <c r="M500" i="4"/>
  <c r="J505" i="4"/>
  <c r="AH1127" i="4"/>
  <c r="AH1126" i="4"/>
  <c r="Q882" i="4"/>
  <c r="N901" i="4"/>
  <c r="Q901" i="4" s="1"/>
  <c r="N916" i="4"/>
  <c r="Q1004" i="4"/>
  <c r="Q976" i="4"/>
  <c r="AH1133" i="4"/>
  <c r="AH1132" i="4"/>
  <c r="AH1111" i="4"/>
  <c r="AH1112" i="4"/>
  <c r="I882" i="4"/>
  <c r="F901" i="4"/>
  <c r="I901" i="4" s="1"/>
  <c r="R901" i="4" s="1"/>
  <c r="F916" i="4"/>
  <c r="G1055" i="4"/>
  <c r="AK934" i="4"/>
  <c r="O999" i="4"/>
  <c r="O971" i="4"/>
  <c r="E62" i="4"/>
  <c r="R62" i="4" s="1"/>
  <c r="B63" i="4"/>
  <c r="Q998" i="4"/>
  <c r="Q970" i="4"/>
  <c r="AH1093" i="4"/>
  <c r="AH1091" i="4"/>
  <c r="AH1096" i="4"/>
  <c r="AH1089" i="4"/>
  <c r="AH1087" i="4"/>
  <c r="AH1085" i="4"/>
  <c r="AH1083" i="4"/>
  <c r="AH1094" i="4"/>
  <c r="AH1092" i="4"/>
  <c r="AH1078" i="4"/>
  <c r="AH1076" i="4"/>
  <c r="AH1081" i="4"/>
  <c r="AH1079" i="4"/>
  <c r="X1075" i="4"/>
  <c r="AH1095" i="4"/>
  <c r="AH1086" i="4"/>
  <c r="AH1082" i="4"/>
  <c r="AH1077" i="4"/>
  <c r="AH1075" i="4"/>
  <c r="AH1088" i="4"/>
  <c r="AH1084" i="4"/>
  <c r="AH1090" i="4"/>
  <c r="AH1080" i="4"/>
  <c r="AH1097" i="4"/>
  <c r="AH1074" i="4"/>
  <c r="P999" i="4"/>
  <c r="P971" i="4"/>
  <c r="R763" i="4"/>
  <c r="Q1002" i="4"/>
  <c r="Q974" i="4"/>
  <c r="M860" i="4"/>
  <c r="Q943" i="4"/>
  <c r="J861" i="4"/>
  <c r="AG1135" i="4"/>
  <c r="AG1136" i="4"/>
  <c r="O320" i="4"/>
  <c r="I600" i="4"/>
  <c r="F601" i="4"/>
  <c r="AH1121" i="4"/>
  <c r="AH1120" i="4"/>
  <c r="Q940" i="4"/>
  <c r="F861" i="4"/>
  <c r="I860" i="4"/>
  <c r="E600" i="4"/>
  <c r="B601" i="4"/>
  <c r="O947" i="4"/>
  <c r="O776" i="4"/>
  <c r="O765" i="4"/>
  <c r="AH1115" i="4"/>
  <c r="AH1114" i="4"/>
  <c r="N319" i="4"/>
  <c r="Q311" i="4"/>
  <c r="R311" i="4" s="1"/>
  <c r="Q1005" i="4"/>
  <c r="Q977" i="4"/>
  <c r="Q1001" i="4"/>
  <c r="Q973" i="4"/>
  <c r="R920" i="4"/>
  <c r="AG1118" i="4"/>
  <c r="AG1117" i="4"/>
  <c r="Q946" i="4"/>
  <c r="N861" i="4"/>
  <c r="Q860" i="4"/>
  <c r="AG1127" i="4"/>
  <c r="AG1126" i="4"/>
  <c r="AG1115" i="4"/>
  <c r="AG1114" i="4"/>
  <c r="J916" i="4"/>
  <c r="M882" i="4"/>
  <c r="R882" i="4" s="1"/>
  <c r="T882" i="4" s="1"/>
  <c r="J901" i="4"/>
  <c r="M901" i="4" s="1"/>
  <c r="M665" i="4"/>
  <c r="J666" i="4"/>
  <c r="O944" i="4"/>
  <c r="K776" i="4"/>
  <c r="G1053" i="4"/>
  <c r="AK932" i="4"/>
  <c r="E500" i="4"/>
  <c r="R500" i="4" s="1"/>
  <c r="B505" i="4"/>
  <c r="D555" i="4"/>
  <c r="E552" i="4"/>
  <c r="R552" i="4" s="1"/>
  <c r="AH1007" i="4"/>
  <c r="G1050" i="4"/>
  <c r="AK929" i="4"/>
  <c r="AG1124" i="4"/>
  <c r="AG1123" i="4"/>
  <c r="G1035" i="4"/>
  <c r="G1049" i="4"/>
  <c r="AK928" i="4"/>
  <c r="P943" i="4"/>
  <c r="J775" i="4"/>
  <c r="J810" i="4"/>
  <c r="M809" i="4"/>
  <c r="M319" i="4"/>
  <c r="J320" i="4"/>
  <c r="R711" i="4"/>
  <c r="Q1113" i="4"/>
  <c r="R214" i="4"/>
  <c r="AG1109" i="4"/>
  <c r="AG1108" i="4"/>
  <c r="P998" i="4"/>
  <c r="P970" i="4"/>
  <c r="E916" i="4"/>
  <c r="B924" i="4"/>
  <c r="B13" i="4" s="1"/>
  <c r="E13" i="4" s="1"/>
  <c r="P1004" i="4"/>
  <c r="P976" i="4"/>
  <c r="O948" i="4"/>
  <c r="P776" i="4"/>
  <c r="P765" i="4"/>
  <c r="AH1042" i="4"/>
  <c r="AH1106" i="4"/>
  <c r="AH1105" i="4"/>
  <c r="G1054" i="4"/>
  <c r="AK933" i="4"/>
  <c r="I807" i="4"/>
  <c r="R807" i="4" s="1"/>
  <c r="F808" i="4"/>
  <c r="F809" i="4"/>
  <c r="AG1121" i="4"/>
  <c r="AG1120" i="4"/>
  <c r="AG1133" i="4"/>
  <c r="AG1132" i="4"/>
  <c r="P1005" i="4"/>
  <c r="P977" i="4"/>
  <c r="P1001" i="4"/>
  <c r="P973" i="4"/>
  <c r="O941" i="4"/>
  <c r="G776" i="4"/>
  <c r="B666" i="4"/>
  <c r="E665" i="4"/>
  <c r="AJ976" i="4"/>
  <c r="AH1118" i="4"/>
  <c r="AH1117" i="4"/>
  <c r="Q937" i="4"/>
  <c r="E860" i="4"/>
  <c r="B861" i="4"/>
  <c r="AH1102" i="4"/>
  <c r="AH1103" i="4"/>
  <c r="J601" i="4"/>
  <c r="M600" i="4"/>
  <c r="Q807" i="4"/>
  <c r="N808" i="4"/>
  <c r="N809" i="4"/>
  <c r="P937" i="4"/>
  <c r="B810" i="4"/>
  <c r="B775" i="4"/>
  <c r="E809" i="4"/>
  <c r="Q999" i="4"/>
  <c r="Q971" i="4"/>
  <c r="AH1098" i="4" l="1"/>
  <c r="E505" i="4"/>
  <c r="B506" i="4"/>
  <c r="Q972" i="4"/>
  <c r="Q1000" i="4"/>
  <c r="S1081" i="4"/>
  <c r="AR1036" i="4"/>
  <c r="AR1001" i="4"/>
  <c r="Q997" i="4"/>
  <c r="Q969" i="4"/>
  <c r="S1079" i="4"/>
  <c r="AR1034" i="4"/>
  <c r="AR999" i="4"/>
  <c r="Q950" i="4"/>
  <c r="Q994" i="4"/>
  <c r="Q966" i="4"/>
  <c r="O998" i="4"/>
  <c r="O970" i="4"/>
  <c r="O943" i="4"/>
  <c r="J776" i="4"/>
  <c r="M775" i="4"/>
  <c r="J765" i="4"/>
  <c r="S1085" i="4"/>
  <c r="AR1040" i="4"/>
  <c r="AR1005" i="4"/>
  <c r="S1082" i="4"/>
  <c r="AR1037" i="4"/>
  <c r="AR1002" i="4"/>
  <c r="L776" i="4"/>
  <c r="O945" i="4"/>
  <c r="L765" i="4"/>
  <c r="P995" i="4"/>
  <c r="P967" i="4"/>
  <c r="I916" i="4"/>
  <c r="I924" i="4" s="1"/>
  <c r="F924" i="4"/>
  <c r="F13" i="4" s="1"/>
  <c r="I13" i="4" s="1"/>
  <c r="R13" i="4" s="1"/>
  <c r="O939" i="4"/>
  <c r="D776" i="4"/>
  <c r="D765" i="4"/>
  <c r="F320" i="4"/>
  <c r="I319" i="4"/>
  <c r="J924" i="4"/>
  <c r="J13" i="4" s="1"/>
  <c r="M13" i="4" s="1"/>
  <c r="M916" i="4"/>
  <c r="M924" i="4" s="1"/>
  <c r="O1005" i="4"/>
  <c r="O977" i="4"/>
  <c r="P1000" i="4"/>
  <c r="P972" i="4"/>
  <c r="R600" i="4"/>
  <c r="Q916" i="4"/>
  <c r="Q924" i="4" s="1"/>
  <c r="N924" i="4"/>
  <c r="N13" i="4" s="1"/>
  <c r="Q13" i="4" s="1"/>
  <c r="M942" i="4"/>
  <c r="H714" i="4"/>
  <c r="H677" i="4"/>
  <c r="P974" i="4"/>
  <c r="P1002" i="4"/>
  <c r="M944" i="4"/>
  <c r="K714" i="4"/>
  <c r="K677" i="4"/>
  <c r="R1084" i="4"/>
  <c r="AQ1039" i="4"/>
  <c r="AQ1004" i="4"/>
  <c r="D556" i="4"/>
  <c r="E555" i="4"/>
  <c r="R555" i="4" s="1"/>
  <c r="R1079" i="4"/>
  <c r="AQ1034" i="4"/>
  <c r="AQ999" i="4"/>
  <c r="P968" i="4"/>
  <c r="P996" i="4"/>
  <c r="Q975" i="4"/>
  <c r="Q1003" i="4"/>
  <c r="S1084" i="4"/>
  <c r="AR1039" i="4"/>
  <c r="AR1004" i="4"/>
  <c r="O937" i="4"/>
  <c r="B776" i="4"/>
  <c r="E775" i="4"/>
  <c r="B765" i="4"/>
  <c r="R1081" i="4"/>
  <c r="AQ1036" i="4"/>
  <c r="AQ1001" i="4"/>
  <c r="AK941" i="4"/>
  <c r="O973" i="4"/>
  <c r="O1001" i="4"/>
  <c r="Q319" i="4"/>
  <c r="N320" i="4"/>
  <c r="P966" i="4"/>
  <c r="P994" i="4"/>
  <c r="R665" i="4"/>
  <c r="R1085" i="4"/>
  <c r="AQ1005" i="4"/>
  <c r="AQ1040" i="4"/>
  <c r="Q1079" i="4"/>
  <c r="AP999" i="4"/>
  <c r="AP1034" i="4"/>
  <c r="N506" i="4"/>
  <c r="Q505" i="4"/>
  <c r="N971" i="4"/>
  <c r="N999" i="4"/>
  <c r="N1001" i="4"/>
  <c r="N973" i="4"/>
  <c r="S1075" i="4"/>
  <c r="AR995" i="4"/>
  <c r="AR1030" i="4"/>
  <c r="F506" i="4"/>
  <c r="I505" i="4"/>
  <c r="M941" i="4"/>
  <c r="G714" i="4"/>
  <c r="G677" i="4"/>
  <c r="P946" i="4"/>
  <c r="N810" i="4"/>
  <c r="Q809" i="4"/>
  <c r="N775" i="4"/>
  <c r="E924" i="4"/>
  <c r="N947" i="4"/>
  <c r="O766" i="4"/>
  <c r="O713" i="4"/>
  <c r="S1078" i="4"/>
  <c r="AR1033" i="4"/>
  <c r="AR998" i="4"/>
  <c r="O938" i="4"/>
  <c r="C776" i="4"/>
  <c r="C765" i="4"/>
  <c r="S1076" i="4"/>
  <c r="AR1031" i="4"/>
  <c r="AR996" i="4"/>
  <c r="R860" i="4"/>
  <c r="I809" i="4"/>
  <c r="R809" i="4" s="1"/>
  <c r="F810" i="4"/>
  <c r="P940" i="4"/>
  <c r="P950" i="4" s="1"/>
  <c r="F775" i="4"/>
  <c r="N948" i="4"/>
  <c r="P766" i="4"/>
  <c r="P713" i="4"/>
  <c r="R1078" i="4"/>
  <c r="AQ1033" i="4"/>
  <c r="AQ998" i="4"/>
  <c r="O1004" i="4"/>
  <c r="O976" i="4"/>
  <c r="AG1106" i="4"/>
  <c r="AG1105" i="4"/>
  <c r="M505" i="4"/>
  <c r="J506" i="4"/>
  <c r="N998" i="4"/>
  <c r="N970" i="4"/>
  <c r="N938" i="4" l="1"/>
  <c r="C766" i="4"/>
  <c r="C713" i="4"/>
  <c r="N1004" i="4"/>
  <c r="N976" i="4"/>
  <c r="R1074" i="4"/>
  <c r="AQ1029" i="4"/>
  <c r="AQ994" i="4"/>
  <c r="L944" i="4"/>
  <c r="K678" i="4"/>
  <c r="K667" i="4"/>
  <c r="P1081" i="4"/>
  <c r="AO1036" i="4"/>
  <c r="AO1001" i="4"/>
  <c r="O946" i="4"/>
  <c r="Q775" i="4"/>
  <c r="N776" i="4"/>
  <c r="N765" i="4"/>
  <c r="E765" i="4"/>
  <c r="N937" i="4"/>
  <c r="B766" i="4"/>
  <c r="B713" i="4"/>
  <c r="R1082" i="4"/>
  <c r="AQ1037" i="4"/>
  <c r="AQ1002" i="4"/>
  <c r="R1075" i="4"/>
  <c r="AQ1030" i="4"/>
  <c r="AQ995" i="4"/>
  <c r="S1074" i="4"/>
  <c r="Q1007" i="4"/>
  <c r="AR1029" i="4"/>
  <c r="AR994" i="4"/>
  <c r="Q1081" i="4"/>
  <c r="AP1036" i="4"/>
  <c r="AP1001" i="4"/>
  <c r="R1076" i="4"/>
  <c r="AQ1031" i="4"/>
  <c r="AQ996" i="4"/>
  <c r="L942" i="4"/>
  <c r="H678" i="4"/>
  <c r="H667" i="4"/>
  <c r="N939" i="4"/>
  <c r="D766" i="4"/>
  <c r="D713" i="4"/>
  <c r="O1002" i="4"/>
  <c r="O974" i="4"/>
  <c r="N943" i="4"/>
  <c r="M765" i="4"/>
  <c r="J766" i="4"/>
  <c r="J713" i="4"/>
  <c r="M947" i="4"/>
  <c r="O714" i="4"/>
  <c r="O677" i="4"/>
  <c r="P1003" i="4"/>
  <c r="P975" i="4"/>
  <c r="O966" i="4"/>
  <c r="O994" i="4"/>
  <c r="O950" i="4"/>
  <c r="Q1085" i="4"/>
  <c r="AP1005" i="4"/>
  <c r="AP1040" i="4"/>
  <c r="S1080" i="4"/>
  <c r="AR1035" i="4"/>
  <c r="AR1000" i="4"/>
  <c r="R1080" i="4"/>
  <c r="AQ1035" i="4"/>
  <c r="AQ1000" i="4"/>
  <c r="N945" i="4"/>
  <c r="L766" i="4"/>
  <c r="L713" i="4"/>
  <c r="M948" i="4"/>
  <c r="P714" i="4"/>
  <c r="P677" i="4"/>
  <c r="N1005" i="4"/>
  <c r="N977" i="4"/>
  <c r="L941" i="4"/>
  <c r="G678" i="4"/>
  <c r="G667" i="4"/>
  <c r="AR1096" i="4"/>
  <c r="AR1089" i="4"/>
  <c r="AR1087" i="4"/>
  <c r="AR1085" i="4"/>
  <c r="AR1083" i="4"/>
  <c r="AR1094" i="4"/>
  <c r="AR1092" i="4"/>
  <c r="AR1097" i="4"/>
  <c r="AR1095" i="4"/>
  <c r="AR1090" i="4"/>
  <c r="AR1093" i="4"/>
  <c r="AR1086" i="4"/>
  <c r="AR1088" i="4"/>
  <c r="AR1084" i="4"/>
  <c r="AR1079" i="4"/>
  <c r="AR1077" i="4"/>
  <c r="AR1075" i="4"/>
  <c r="AR1080" i="4"/>
  <c r="AR1078" i="4"/>
  <c r="AR1091" i="4"/>
  <c r="AR1082" i="4"/>
  <c r="AR1081" i="4"/>
  <c r="AR1074" i="4"/>
  <c r="AR1076" i="4"/>
  <c r="M999" i="4"/>
  <c r="M971" i="4"/>
  <c r="O996" i="4"/>
  <c r="O968" i="4"/>
  <c r="O940" i="4"/>
  <c r="I775" i="4"/>
  <c r="R775" i="4" s="1"/>
  <c r="F776" i="4"/>
  <c r="F765" i="4"/>
  <c r="O1000" i="4"/>
  <c r="O972" i="4"/>
  <c r="Q1084" i="4"/>
  <c r="AP1004" i="4"/>
  <c r="AP1039" i="4"/>
  <c r="P997" i="4"/>
  <c r="P1007" i="4" s="1"/>
  <c r="P969" i="4"/>
  <c r="M998" i="4"/>
  <c r="M970" i="4"/>
  <c r="P1078" i="4"/>
  <c r="AO1033" i="4"/>
  <c r="AO998" i="4"/>
  <c r="O995" i="4"/>
  <c r="O967" i="4"/>
  <c r="R916" i="4"/>
  <c r="R924" i="4" s="1"/>
  <c r="P1079" i="4"/>
  <c r="AO1034" i="4"/>
  <c r="AO999" i="4"/>
  <c r="S1083" i="4"/>
  <c r="AR1038" i="4"/>
  <c r="AR1003" i="4"/>
  <c r="M1001" i="4"/>
  <c r="M973" i="4"/>
  <c r="R319" i="4"/>
  <c r="Q1078" i="4"/>
  <c r="AP998" i="4"/>
  <c r="AP1033" i="4"/>
  <c r="S1077" i="4"/>
  <c r="AR997" i="4"/>
  <c r="AR1032" i="4"/>
  <c r="R505" i="4"/>
  <c r="AR1098" i="4" l="1"/>
  <c r="N996" i="4"/>
  <c r="N968" i="4"/>
  <c r="AQ1091" i="4"/>
  <c r="AQ1096" i="4"/>
  <c r="AQ1089" i="4"/>
  <c r="AQ1087" i="4"/>
  <c r="AQ1085" i="4"/>
  <c r="AQ1083" i="4"/>
  <c r="AQ1094" i="4"/>
  <c r="AQ1092" i="4"/>
  <c r="AQ1097" i="4"/>
  <c r="AQ1095" i="4"/>
  <c r="AQ1090" i="4"/>
  <c r="AQ1088" i="4"/>
  <c r="AQ1086" i="4"/>
  <c r="AQ1084" i="4"/>
  <c r="AQ1082" i="4"/>
  <c r="AQ1081" i="4"/>
  <c r="AQ1093" i="4"/>
  <c r="AQ1079" i="4"/>
  <c r="AQ1077" i="4"/>
  <c r="AQ1075" i="4"/>
  <c r="AQ1080" i="4"/>
  <c r="AQ1078" i="4"/>
  <c r="AQ1076" i="4"/>
  <c r="AQ1074" i="4"/>
  <c r="M938" i="4"/>
  <c r="C714" i="4"/>
  <c r="C677" i="4"/>
  <c r="O1078" i="4"/>
  <c r="AN1033" i="4"/>
  <c r="AN998" i="4"/>
  <c r="N940" i="4"/>
  <c r="I765" i="4"/>
  <c r="F766" i="4"/>
  <c r="F713" i="4"/>
  <c r="K941" i="4"/>
  <c r="G668" i="4"/>
  <c r="G602" i="4"/>
  <c r="M945" i="4"/>
  <c r="L714" i="4"/>
  <c r="L677" i="4"/>
  <c r="N1000" i="4"/>
  <c r="N972" i="4"/>
  <c r="L999" i="4"/>
  <c r="L971" i="4"/>
  <c r="AR1042" i="4"/>
  <c r="O1003" i="4"/>
  <c r="O975" i="4"/>
  <c r="R1083" i="4"/>
  <c r="AQ1038" i="4"/>
  <c r="AQ1003" i="4"/>
  <c r="M937" i="4"/>
  <c r="E713" i="4"/>
  <c r="B677" i="4"/>
  <c r="B714" i="4"/>
  <c r="R1077" i="4"/>
  <c r="AQ1032" i="4"/>
  <c r="AQ1042" i="4" s="1"/>
  <c r="AQ997" i="4"/>
  <c r="L998" i="4"/>
  <c r="L970" i="4"/>
  <c r="N1002" i="4"/>
  <c r="N974" i="4"/>
  <c r="L947" i="4"/>
  <c r="O678" i="4"/>
  <c r="O667" i="4"/>
  <c r="Q1082" i="4"/>
  <c r="AP1002" i="4"/>
  <c r="AP1037" i="4"/>
  <c r="Q1075" i="4"/>
  <c r="AP1030" i="4"/>
  <c r="AP995" i="4"/>
  <c r="O969" i="4"/>
  <c r="O997" i="4"/>
  <c r="M939" i="4"/>
  <c r="D714" i="4"/>
  <c r="D677" i="4"/>
  <c r="N994" i="4"/>
  <c r="N966" i="4"/>
  <c r="O1081" i="4"/>
  <c r="AN1036" i="4"/>
  <c r="AN1001" i="4"/>
  <c r="P1085" i="4"/>
  <c r="AO1005" i="4"/>
  <c r="AO1040" i="4"/>
  <c r="M976" i="4"/>
  <c r="M1004" i="4"/>
  <c r="R765" i="4"/>
  <c r="K668" i="4"/>
  <c r="K944" i="4"/>
  <c r="K602" i="4"/>
  <c r="P1084" i="4"/>
  <c r="AO1039" i="4"/>
  <c r="AO1004" i="4"/>
  <c r="Q1076" i="4"/>
  <c r="AP1031" i="4"/>
  <c r="AP996" i="4"/>
  <c r="L948" i="4"/>
  <c r="P678" i="4"/>
  <c r="P667" i="4"/>
  <c r="M943" i="4"/>
  <c r="M713" i="4"/>
  <c r="J714" i="4"/>
  <c r="J677" i="4"/>
  <c r="N946" i="4"/>
  <c r="N950" i="4" s="1"/>
  <c r="N766" i="4"/>
  <c r="Q765" i="4"/>
  <c r="N713" i="4"/>
  <c r="Q1074" i="4"/>
  <c r="AP1029" i="4"/>
  <c r="AP994" i="4"/>
  <c r="K942" i="4"/>
  <c r="H668" i="4"/>
  <c r="H602" i="4"/>
  <c r="L1001" i="4"/>
  <c r="L973" i="4"/>
  <c r="Q1080" i="4"/>
  <c r="AP1035" i="4"/>
  <c r="AP1000" i="4"/>
  <c r="O1079" i="4"/>
  <c r="AN1034" i="4"/>
  <c r="AN999" i="4"/>
  <c r="M1005" i="4"/>
  <c r="M977" i="4"/>
  <c r="AR1007" i="4"/>
  <c r="AQ1007" i="4"/>
  <c r="N967" i="4"/>
  <c r="N995" i="4"/>
  <c r="AQ1098" i="4" l="1"/>
  <c r="L943" i="4"/>
  <c r="J678" i="4"/>
  <c r="M677" i="4"/>
  <c r="J667" i="4"/>
  <c r="Q1077" i="4"/>
  <c r="AP1032" i="4"/>
  <c r="AP1042" i="4" s="1"/>
  <c r="AP997" i="4"/>
  <c r="AP1007" i="4" s="1"/>
  <c r="L1004" i="4"/>
  <c r="L976" i="4"/>
  <c r="Q1083" i="4"/>
  <c r="AP1003" i="4"/>
  <c r="AP1038" i="4"/>
  <c r="M974" i="4"/>
  <c r="M1002" i="4"/>
  <c r="M1000" i="4"/>
  <c r="M972" i="4"/>
  <c r="L937" i="4"/>
  <c r="B678" i="4"/>
  <c r="E677" i="4"/>
  <c r="B667" i="4"/>
  <c r="J941" i="4"/>
  <c r="G603" i="4"/>
  <c r="G557" i="4"/>
  <c r="M946" i="4"/>
  <c r="Q713" i="4"/>
  <c r="N714" i="4"/>
  <c r="N677" i="4"/>
  <c r="P1082" i="4"/>
  <c r="AO1037" i="4"/>
  <c r="AO1002" i="4"/>
  <c r="J942" i="4"/>
  <c r="H603" i="4"/>
  <c r="H557" i="4"/>
  <c r="J944" i="4"/>
  <c r="K603" i="4"/>
  <c r="K557" i="4"/>
  <c r="L939" i="4"/>
  <c r="D678" i="4"/>
  <c r="D667" i="4"/>
  <c r="M994" i="4"/>
  <c r="M966" i="4"/>
  <c r="N1079" i="4"/>
  <c r="AM1034" i="4"/>
  <c r="AM999" i="4"/>
  <c r="AW963" i="4"/>
  <c r="K998" i="4"/>
  <c r="K970" i="4"/>
  <c r="L938" i="4"/>
  <c r="C678" i="4"/>
  <c r="C667" i="4"/>
  <c r="N1081" i="4"/>
  <c r="AM1036" i="4"/>
  <c r="AM1001" i="4"/>
  <c r="AW965" i="4"/>
  <c r="P1074" i="4"/>
  <c r="AO1029" i="4"/>
  <c r="AO994" i="4"/>
  <c r="R713" i="4"/>
  <c r="L1005" i="4"/>
  <c r="L977" i="4"/>
  <c r="K1001" i="4"/>
  <c r="K973" i="4"/>
  <c r="N1078" i="4"/>
  <c r="AM1033" i="4"/>
  <c r="AW962" i="4"/>
  <c r="AM998" i="4"/>
  <c r="M940" i="4"/>
  <c r="F714" i="4"/>
  <c r="I713" i="4"/>
  <c r="F677" i="4"/>
  <c r="O1085" i="4"/>
  <c r="AN1040" i="4"/>
  <c r="AN1005" i="4"/>
  <c r="K948" i="4"/>
  <c r="P668" i="4"/>
  <c r="P602" i="4"/>
  <c r="AP1093" i="4"/>
  <c r="AP1091" i="4"/>
  <c r="AP1096" i="4"/>
  <c r="AP1089" i="4"/>
  <c r="AP1087" i="4"/>
  <c r="AP1085" i="4"/>
  <c r="AP1083" i="4"/>
  <c r="AP1094" i="4"/>
  <c r="AP1092" i="4"/>
  <c r="AP1082" i="4"/>
  <c r="AP1078" i="4"/>
  <c r="AP1076" i="4"/>
  <c r="AP1086" i="4"/>
  <c r="AP1081" i="4"/>
  <c r="AP1088" i="4"/>
  <c r="AP1084" i="4"/>
  <c r="AP1095" i="4"/>
  <c r="AP1090" i="4"/>
  <c r="AP1079" i="4"/>
  <c r="AP1077" i="4"/>
  <c r="AP1075" i="4"/>
  <c r="AP1097" i="4"/>
  <c r="AP1080" i="4"/>
  <c r="AP1074" i="4"/>
  <c r="P1075" i="4"/>
  <c r="AO1030" i="4"/>
  <c r="AO995" i="4"/>
  <c r="K971" i="4"/>
  <c r="K999" i="4"/>
  <c r="N1003" i="4"/>
  <c r="N975" i="4"/>
  <c r="M968" i="4"/>
  <c r="M996" i="4"/>
  <c r="P1080" i="4"/>
  <c r="AO1035" i="4"/>
  <c r="AO1000" i="4"/>
  <c r="M967" i="4"/>
  <c r="M995" i="4"/>
  <c r="K947" i="4"/>
  <c r="O668" i="4"/>
  <c r="O602" i="4"/>
  <c r="L945" i="4"/>
  <c r="L678" i="4"/>
  <c r="L667" i="4"/>
  <c r="O1007" i="4"/>
  <c r="O1084" i="4"/>
  <c r="AN1004" i="4"/>
  <c r="AN1039" i="4"/>
  <c r="N997" i="4"/>
  <c r="N1007" i="4" s="1"/>
  <c r="N969" i="4"/>
  <c r="P1076" i="4"/>
  <c r="AO1031" i="4"/>
  <c r="AO996" i="4"/>
  <c r="AP1098" i="4" l="1"/>
  <c r="J948" i="4"/>
  <c r="P603" i="4"/>
  <c r="P557" i="4"/>
  <c r="O1075" i="4"/>
  <c r="AN1030" i="4"/>
  <c r="AN995" i="4"/>
  <c r="K1005" i="4"/>
  <c r="K977" i="4"/>
  <c r="I944" i="4"/>
  <c r="K558" i="4"/>
  <c r="K514" i="4"/>
  <c r="K513" i="4" s="1"/>
  <c r="K512" i="4" s="1"/>
  <c r="K511" i="4" s="1"/>
  <c r="K510" i="4" s="1"/>
  <c r="K509" i="4" s="1"/>
  <c r="K507" i="4"/>
  <c r="K937" i="4"/>
  <c r="E667" i="4"/>
  <c r="B668" i="4"/>
  <c r="B602" i="4"/>
  <c r="M997" i="4"/>
  <c r="M969" i="4"/>
  <c r="J998" i="4"/>
  <c r="J970" i="4"/>
  <c r="M1079" i="4"/>
  <c r="AL1034" i="4"/>
  <c r="AL999" i="4"/>
  <c r="K938" i="4"/>
  <c r="C668" i="4"/>
  <c r="C602" i="4"/>
  <c r="L946" i="4"/>
  <c r="Q677" i="4"/>
  <c r="N678" i="4"/>
  <c r="N667" i="4"/>
  <c r="K1004" i="4"/>
  <c r="K976" i="4"/>
  <c r="O1082" i="4"/>
  <c r="AN1037" i="4"/>
  <c r="AN1002" i="4"/>
  <c r="K945" i="4"/>
  <c r="L668" i="4"/>
  <c r="L602" i="4"/>
  <c r="J973" i="4"/>
  <c r="J1001" i="4"/>
  <c r="K943" i="4"/>
  <c r="M667" i="4"/>
  <c r="J668" i="4"/>
  <c r="J602" i="4"/>
  <c r="P1083" i="4"/>
  <c r="AO1038" i="4"/>
  <c r="AO1003" i="4"/>
  <c r="L995" i="4"/>
  <c r="L967" i="4"/>
  <c r="M950" i="4"/>
  <c r="I942" i="4"/>
  <c r="H514" i="4"/>
  <c r="H513" i="4" s="1"/>
  <c r="H512" i="4" s="1"/>
  <c r="H511" i="4" s="1"/>
  <c r="H510" i="4" s="1"/>
  <c r="H509" i="4" s="1"/>
  <c r="H558" i="4"/>
  <c r="H507" i="4"/>
  <c r="L994" i="4"/>
  <c r="L966" i="4"/>
  <c r="N1085" i="4"/>
  <c r="AM1040" i="4"/>
  <c r="AM1005" i="4"/>
  <c r="AW969" i="4"/>
  <c r="L968" i="4"/>
  <c r="L996" i="4"/>
  <c r="L940" i="4"/>
  <c r="F678" i="4"/>
  <c r="I677" i="4"/>
  <c r="R677" i="4" s="1"/>
  <c r="F667" i="4"/>
  <c r="AN1029" i="4"/>
  <c r="AN994" i="4"/>
  <c r="O1074" i="4"/>
  <c r="M1003" i="4"/>
  <c r="M1007" i="4" s="1"/>
  <c r="M975" i="4"/>
  <c r="L1002" i="4"/>
  <c r="L974" i="4"/>
  <c r="P1077" i="4"/>
  <c r="AO1032" i="4"/>
  <c r="AO1042" i="4" s="1"/>
  <c r="AO997" i="4"/>
  <c r="AO1007" i="4" s="1"/>
  <c r="J947" i="4"/>
  <c r="O603" i="4"/>
  <c r="O557" i="4"/>
  <c r="O1076" i="4"/>
  <c r="AN996" i="4"/>
  <c r="AN1031" i="4"/>
  <c r="AO1097" i="4"/>
  <c r="AO1095" i="4"/>
  <c r="AO1093" i="4"/>
  <c r="AO1091" i="4"/>
  <c r="AO1096" i="4"/>
  <c r="AO1089" i="4"/>
  <c r="AO1087" i="4"/>
  <c r="AO1085" i="4"/>
  <c r="AO1083" i="4"/>
  <c r="AO1094" i="4"/>
  <c r="AO1092" i="4"/>
  <c r="AO1082" i="4"/>
  <c r="AO1078" i="4"/>
  <c r="AO1076" i="4"/>
  <c r="AO1074" i="4"/>
  <c r="AO1086" i="4"/>
  <c r="AO1081" i="4"/>
  <c r="AO1088" i="4"/>
  <c r="AO1084" i="4"/>
  <c r="AO1090" i="4"/>
  <c r="AO1079" i="4"/>
  <c r="AO1077" i="4"/>
  <c r="AO1075" i="4"/>
  <c r="AO1080" i="4"/>
  <c r="M1081" i="4"/>
  <c r="AL1001" i="4"/>
  <c r="AL1036" i="4"/>
  <c r="M1078" i="4"/>
  <c r="AL1033" i="4"/>
  <c r="AL998" i="4"/>
  <c r="K939" i="4"/>
  <c r="D668" i="4"/>
  <c r="D602" i="4"/>
  <c r="J971" i="4"/>
  <c r="J999" i="4"/>
  <c r="I941" i="4"/>
  <c r="G558" i="4"/>
  <c r="G514" i="4"/>
  <c r="G513" i="4" s="1"/>
  <c r="G512" i="4" s="1"/>
  <c r="G511" i="4" s="1"/>
  <c r="G510" i="4" s="1"/>
  <c r="G509" i="4" s="1"/>
  <c r="G507" i="4"/>
  <c r="O1080" i="4"/>
  <c r="AN1000" i="4"/>
  <c r="AN1035" i="4"/>
  <c r="N1084" i="4"/>
  <c r="AM1039" i="4"/>
  <c r="AM1004" i="4"/>
  <c r="AW968" i="4"/>
  <c r="L972" i="4"/>
  <c r="L1000" i="4"/>
  <c r="AO1098" i="4" l="1"/>
  <c r="N1080" i="4"/>
  <c r="AM1035" i="4"/>
  <c r="AM1000" i="4"/>
  <c r="AW964" i="4"/>
  <c r="I998" i="4"/>
  <c r="I970" i="4"/>
  <c r="J939" i="4"/>
  <c r="D603" i="4"/>
  <c r="D557" i="4"/>
  <c r="J945" i="4"/>
  <c r="L603" i="4"/>
  <c r="L557" i="4"/>
  <c r="J937" i="4"/>
  <c r="E602" i="4"/>
  <c r="B603" i="4"/>
  <c r="B557" i="4"/>
  <c r="K946" i="4"/>
  <c r="Q667" i="4"/>
  <c r="N668" i="4"/>
  <c r="N602" i="4"/>
  <c r="M1085" i="4"/>
  <c r="AL1040" i="4"/>
  <c r="AL1005" i="4"/>
  <c r="H941" i="4"/>
  <c r="G508" i="4"/>
  <c r="G321" i="4"/>
  <c r="K968" i="4"/>
  <c r="K996" i="4"/>
  <c r="K940" i="4"/>
  <c r="F668" i="4"/>
  <c r="I667" i="4"/>
  <c r="R667" i="4" s="1"/>
  <c r="F602" i="4"/>
  <c r="I999" i="4"/>
  <c r="I971" i="4"/>
  <c r="J943" i="4"/>
  <c r="J603" i="4"/>
  <c r="M602" i="4"/>
  <c r="J557" i="4"/>
  <c r="K1002" i="4"/>
  <c r="K974" i="4"/>
  <c r="N1082" i="4"/>
  <c r="AM1037" i="4"/>
  <c r="AM1002" i="4"/>
  <c r="AW966" i="4"/>
  <c r="K966" i="4"/>
  <c r="K994" i="4"/>
  <c r="I947" i="4"/>
  <c r="O558" i="4"/>
  <c r="O514" i="4"/>
  <c r="O513" i="4" s="1"/>
  <c r="O512" i="4" s="1"/>
  <c r="O511" i="4" s="1"/>
  <c r="O510" i="4" s="1"/>
  <c r="O509" i="4" s="1"/>
  <c r="O507" i="4"/>
  <c r="L1003" i="4"/>
  <c r="L975" i="4"/>
  <c r="H944" i="4"/>
  <c r="K508" i="4"/>
  <c r="K321" i="4"/>
  <c r="AN1097" i="4"/>
  <c r="AN1095" i="4"/>
  <c r="AN1090" i="4"/>
  <c r="AN1088" i="4"/>
  <c r="AN1086" i="4"/>
  <c r="AN1084" i="4"/>
  <c r="AN1082" i="4"/>
  <c r="AN1093" i="4"/>
  <c r="AN1091" i="4"/>
  <c r="AN1096" i="4"/>
  <c r="AN1094" i="4"/>
  <c r="AN1092" i="4"/>
  <c r="AN1080" i="4"/>
  <c r="AN1085" i="4"/>
  <c r="AN1087" i="4"/>
  <c r="AN1078" i="4"/>
  <c r="AN1076" i="4"/>
  <c r="AN1074" i="4"/>
  <c r="AN1089" i="4"/>
  <c r="AN1081" i="4"/>
  <c r="AN1083" i="4"/>
  <c r="AN1079" i="4"/>
  <c r="AN1077" i="4"/>
  <c r="AN1075" i="4"/>
  <c r="I948" i="4"/>
  <c r="P558" i="4"/>
  <c r="P514" i="4"/>
  <c r="P513" i="4" s="1"/>
  <c r="P512" i="4" s="1"/>
  <c r="P511" i="4" s="1"/>
  <c r="P510" i="4" s="1"/>
  <c r="P509" i="4" s="1"/>
  <c r="P507" i="4"/>
  <c r="O1083" i="4"/>
  <c r="AN1003" i="4"/>
  <c r="AN1038" i="4"/>
  <c r="AN1042" i="4" s="1"/>
  <c r="L997" i="4"/>
  <c r="L969" i="4"/>
  <c r="L950" i="4"/>
  <c r="N1075" i="4"/>
  <c r="AM1030" i="4"/>
  <c r="AM995" i="4"/>
  <c r="AW959" i="4"/>
  <c r="K1000" i="4"/>
  <c r="K972" i="4"/>
  <c r="C603" i="4"/>
  <c r="J938" i="4"/>
  <c r="C557" i="4"/>
  <c r="L1078" i="4"/>
  <c r="AK1033" i="4"/>
  <c r="AK998" i="4"/>
  <c r="L1079" i="4"/>
  <c r="AK1034" i="4"/>
  <c r="AK999" i="4"/>
  <c r="J1004" i="4"/>
  <c r="J976" i="4"/>
  <c r="N1076" i="4"/>
  <c r="AM1031" i="4"/>
  <c r="AW960" i="4"/>
  <c r="AM996" i="4"/>
  <c r="N1074" i="4"/>
  <c r="AM1029" i="4"/>
  <c r="AM994" i="4"/>
  <c r="AW958" i="4"/>
  <c r="L1081" i="4"/>
  <c r="AK1036" i="4"/>
  <c r="AK1001" i="4"/>
  <c r="AN1007" i="4"/>
  <c r="H942" i="4"/>
  <c r="H508" i="4"/>
  <c r="H321" i="4"/>
  <c r="M1084" i="4"/>
  <c r="AL1039" i="4"/>
  <c r="AL1004" i="4"/>
  <c r="K995" i="4"/>
  <c r="K967" i="4"/>
  <c r="O1077" i="4"/>
  <c r="AN1032" i="4"/>
  <c r="AN997" i="4"/>
  <c r="I1001" i="4"/>
  <c r="I973" i="4"/>
  <c r="J1005" i="4"/>
  <c r="J977" i="4"/>
  <c r="AN1098" i="4" l="1"/>
  <c r="N1077" i="4"/>
  <c r="AM1032" i="4"/>
  <c r="AM997" i="4"/>
  <c r="AW961" i="4"/>
  <c r="E944" i="4"/>
  <c r="K323" i="4"/>
  <c r="K322" i="4"/>
  <c r="K134" i="4"/>
  <c r="E941" i="4"/>
  <c r="G322" i="4"/>
  <c r="G323" i="4"/>
  <c r="G134" i="4"/>
  <c r="M1075" i="4"/>
  <c r="AL1030" i="4"/>
  <c r="AL995" i="4"/>
  <c r="M1080" i="4"/>
  <c r="AL1000" i="4"/>
  <c r="AL1035" i="4"/>
  <c r="K1079" i="4"/>
  <c r="AJ1034" i="4"/>
  <c r="AJ999" i="4"/>
  <c r="K975" i="4"/>
  <c r="K1003" i="4"/>
  <c r="I939" i="4"/>
  <c r="D558" i="4"/>
  <c r="D514" i="4"/>
  <c r="D513" i="4" s="1"/>
  <c r="D512" i="4" s="1"/>
  <c r="D511" i="4" s="1"/>
  <c r="D510" i="4" s="1"/>
  <c r="D509" i="4" s="1"/>
  <c r="D507" i="4"/>
  <c r="L1085" i="4"/>
  <c r="AK1040" i="4"/>
  <c r="AK1005" i="4"/>
  <c r="H1001" i="4"/>
  <c r="H973" i="4"/>
  <c r="K950" i="4"/>
  <c r="J940" i="4"/>
  <c r="I602" i="4"/>
  <c r="F603" i="4"/>
  <c r="F557" i="4"/>
  <c r="H998" i="4"/>
  <c r="H970" i="4"/>
  <c r="I937" i="4"/>
  <c r="E557" i="4"/>
  <c r="B558" i="4"/>
  <c r="B514" i="4"/>
  <c r="B513" i="4" s="1"/>
  <c r="B512" i="4" s="1"/>
  <c r="B511" i="4" s="1"/>
  <c r="B510" i="4" s="1"/>
  <c r="B509" i="4" s="1"/>
  <c r="B507" i="4"/>
  <c r="H947" i="4"/>
  <c r="O508" i="4"/>
  <c r="O321" i="4"/>
  <c r="K969" i="4"/>
  <c r="K997" i="4"/>
  <c r="J994" i="4"/>
  <c r="J966" i="4"/>
  <c r="K1078" i="4"/>
  <c r="AJ998" i="4"/>
  <c r="AJ1033" i="4"/>
  <c r="M1076" i="4"/>
  <c r="AL1031" i="4"/>
  <c r="AL996" i="4"/>
  <c r="N603" i="4"/>
  <c r="Q602" i="4"/>
  <c r="J946" i="4"/>
  <c r="N557" i="4"/>
  <c r="I945" i="4"/>
  <c r="L558" i="4"/>
  <c r="L514" i="4"/>
  <c r="L513" i="4" s="1"/>
  <c r="L512" i="4" s="1"/>
  <c r="L511" i="4" s="1"/>
  <c r="L510" i="4" s="1"/>
  <c r="L509" i="4" s="1"/>
  <c r="L507" i="4"/>
  <c r="M1074" i="4"/>
  <c r="K1007" i="4"/>
  <c r="AL1029" i="4"/>
  <c r="AL994" i="4"/>
  <c r="M1082" i="4"/>
  <c r="AL1037" i="4"/>
  <c r="AL1002" i="4"/>
  <c r="J996" i="4"/>
  <c r="J968" i="4"/>
  <c r="K1081" i="4"/>
  <c r="AJ1036" i="4"/>
  <c r="AJ1001" i="4"/>
  <c r="H948" i="4"/>
  <c r="P508" i="4"/>
  <c r="P321" i="4"/>
  <c r="N1083" i="4"/>
  <c r="AM1038" i="4"/>
  <c r="AM1003" i="4"/>
  <c r="AW967" i="4"/>
  <c r="AW971" i="4" s="1"/>
  <c r="I943" i="4"/>
  <c r="J514" i="4"/>
  <c r="J513" i="4" s="1"/>
  <c r="J512" i="4" s="1"/>
  <c r="J511" i="4" s="1"/>
  <c r="J510" i="4" s="1"/>
  <c r="J509" i="4" s="1"/>
  <c r="M557" i="4"/>
  <c r="J558" i="4"/>
  <c r="J507" i="4"/>
  <c r="R602" i="4"/>
  <c r="E942" i="4"/>
  <c r="H322" i="4"/>
  <c r="H323" i="4"/>
  <c r="H134" i="4"/>
  <c r="AM1007" i="4"/>
  <c r="I938" i="4"/>
  <c r="C558" i="4"/>
  <c r="C514" i="4"/>
  <c r="C513" i="4" s="1"/>
  <c r="C512" i="4" s="1"/>
  <c r="C511" i="4" s="1"/>
  <c r="C510" i="4" s="1"/>
  <c r="C509" i="4" s="1"/>
  <c r="C507" i="4"/>
  <c r="AM1097" i="4"/>
  <c r="AM1095" i="4"/>
  <c r="AM1090" i="4"/>
  <c r="AM1088" i="4"/>
  <c r="AM1086" i="4"/>
  <c r="AM1084" i="4"/>
  <c r="AM1082" i="4"/>
  <c r="AM1093" i="4"/>
  <c r="AM1091" i="4"/>
  <c r="AM1096" i="4"/>
  <c r="AM1089" i="4"/>
  <c r="AM1087" i="4"/>
  <c r="AM1085" i="4"/>
  <c r="AM1083" i="4"/>
  <c r="AM1080" i="4"/>
  <c r="AM1078" i="4"/>
  <c r="AM1076" i="4"/>
  <c r="AM1074" i="4"/>
  <c r="AM1092" i="4"/>
  <c r="AM1081" i="4"/>
  <c r="AM1079" i="4"/>
  <c r="AM1094" i="4"/>
  <c r="AM1077" i="4"/>
  <c r="AM1075" i="4"/>
  <c r="L1007" i="4"/>
  <c r="L1084" i="4"/>
  <c r="AK1039" i="4"/>
  <c r="AK1004" i="4"/>
  <c r="J995" i="4"/>
  <c r="J967" i="4"/>
  <c r="H999" i="4"/>
  <c r="H971" i="4"/>
  <c r="AM1042" i="4"/>
  <c r="I1005" i="4"/>
  <c r="I977" i="4"/>
  <c r="J1000" i="4"/>
  <c r="J972" i="4"/>
  <c r="J1002" i="4"/>
  <c r="J974" i="4"/>
  <c r="I1004" i="4"/>
  <c r="I976" i="4"/>
  <c r="AM1098" i="4" l="1"/>
  <c r="H1005" i="4"/>
  <c r="H977" i="4"/>
  <c r="I994" i="4"/>
  <c r="I966" i="4"/>
  <c r="I996" i="4"/>
  <c r="I968" i="4"/>
  <c r="D944" i="4"/>
  <c r="K135" i="4"/>
  <c r="K64" i="4"/>
  <c r="L1082" i="4"/>
  <c r="AK1037" i="4"/>
  <c r="AK1002" i="4"/>
  <c r="L1076" i="4"/>
  <c r="AK1031" i="4"/>
  <c r="AK996" i="4"/>
  <c r="L1074" i="4"/>
  <c r="AK1029" i="4"/>
  <c r="AK994" i="4"/>
  <c r="L1080" i="4"/>
  <c r="AK1035" i="4"/>
  <c r="AK1000" i="4"/>
  <c r="K1085" i="4"/>
  <c r="AJ1040" i="4"/>
  <c r="AJ1005" i="4"/>
  <c r="I972" i="4"/>
  <c r="I1000" i="4"/>
  <c r="I1002" i="4"/>
  <c r="I974" i="4"/>
  <c r="E947" i="4"/>
  <c r="O323" i="4"/>
  <c r="O322" i="4"/>
  <c r="O134" i="4"/>
  <c r="J1081" i="4"/>
  <c r="Z1081" i="4" s="1"/>
  <c r="AI1036" i="4"/>
  <c r="AI1001" i="4"/>
  <c r="AI935" i="4"/>
  <c r="M1083" i="4"/>
  <c r="AL1038" i="4"/>
  <c r="AL1003" i="4"/>
  <c r="J1079" i="4"/>
  <c r="Z1079" i="4" s="1"/>
  <c r="AI1034" i="4"/>
  <c r="AI999" i="4"/>
  <c r="AI933" i="4"/>
  <c r="I967" i="4"/>
  <c r="I995" i="4"/>
  <c r="E948" i="4"/>
  <c r="P322" i="4"/>
  <c r="P323" i="4"/>
  <c r="P134" i="4"/>
  <c r="H945" i="4"/>
  <c r="L508" i="4"/>
  <c r="L321" i="4"/>
  <c r="J997" i="4"/>
  <c r="J969" i="4"/>
  <c r="I946" i="4"/>
  <c r="N558" i="4"/>
  <c r="N514" i="4"/>
  <c r="N513" i="4" s="1"/>
  <c r="N512" i="4" s="1"/>
  <c r="N511" i="4" s="1"/>
  <c r="N510" i="4" s="1"/>
  <c r="N509" i="4" s="1"/>
  <c r="Q557" i="4"/>
  <c r="N507" i="4"/>
  <c r="J1078" i="4"/>
  <c r="Z1078" i="4" s="1"/>
  <c r="AI1033" i="4"/>
  <c r="AI998" i="4"/>
  <c r="AI932" i="4"/>
  <c r="H943" i="4"/>
  <c r="J508" i="4"/>
  <c r="M507" i="4"/>
  <c r="J321" i="4"/>
  <c r="L1075" i="4"/>
  <c r="AK1030" i="4"/>
  <c r="AK995" i="4"/>
  <c r="D942" i="4"/>
  <c r="H135" i="4"/>
  <c r="H64" i="4"/>
  <c r="K1084" i="4"/>
  <c r="AJ1039" i="4"/>
  <c r="AJ1004" i="4"/>
  <c r="H938" i="4"/>
  <c r="C508" i="4"/>
  <c r="C321" i="4"/>
  <c r="E999" i="4"/>
  <c r="E971" i="4"/>
  <c r="AR968" i="4"/>
  <c r="J1003" i="4"/>
  <c r="J975" i="4"/>
  <c r="H1004" i="4"/>
  <c r="H976" i="4"/>
  <c r="I940" i="4"/>
  <c r="F558" i="4"/>
  <c r="F514" i="4"/>
  <c r="F513" i="4" s="1"/>
  <c r="F512" i="4" s="1"/>
  <c r="F511" i="4" s="1"/>
  <c r="F510" i="4" s="1"/>
  <c r="F509" i="4" s="1"/>
  <c r="I557" i="4"/>
  <c r="F507" i="4"/>
  <c r="AL1094" i="4"/>
  <c r="AL1092" i="4"/>
  <c r="AL1097" i="4"/>
  <c r="AL1095" i="4"/>
  <c r="AL1090" i="4"/>
  <c r="AL1088" i="4"/>
  <c r="AL1086" i="4"/>
  <c r="AL1084" i="4"/>
  <c r="AL1093" i="4"/>
  <c r="AL1091" i="4"/>
  <c r="AL1077" i="4"/>
  <c r="AL1075" i="4"/>
  <c r="AL1096" i="4"/>
  <c r="AL1085" i="4"/>
  <c r="AL1082" i="4"/>
  <c r="AL1080" i="4"/>
  <c r="AL1087" i="4"/>
  <c r="AL1089" i="4"/>
  <c r="AL1078" i="4"/>
  <c r="AL1076" i="4"/>
  <c r="AL1074" i="4"/>
  <c r="AL1083" i="4"/>
  <c r="AL1081" i="4"/>
  <c r="AL1079" i="4"/>
  <c r="AR970" i="4"/>
  <c r="E973" i="4"/>
  <c r="E1001" i="4"/>
  <c r="J950" i="4"/>
  <c r="H937" i="4"/>
  <c r="E507" i="4"/>
  <c r="B508" i="4"/>
  <c r="B321" i="4"/>
  <c r="D941" i="4"/>
  <c r="G135" i="4"/>
  <c r="G64" i="4"/>
  <c r="H939" i="4"/>
  <c r="D508" i="4"/>
  <c r="D321" i="4"/>
  <c r="M1077" i="4"/>
  <c r="AL1032" i="4"/>
  <c r="AL1042" i="4" s="1"/>
  <c r="AL997" i="4"/>
  <c r="AL1007" i="4" s="1"/>
  <c r="R557" i="4"/>
  <c r="E998" i="4"/>
  <c r="E970" i="4"/>
  <c r="AR967" i="4"/>
  <c r="AL1098" i="4" l="1"/>
  <c r="H995" i="4"/>
  <c r="H967" i="4"/>
  <c r="E977" i="4"/>
  <c r="E1005" i="4"/>
  <c r="AR974" i="4"/>
  <c r="D1001" i="4"/>
  <c r="AQ970" i="4"/>
  <c r="D973" i="4"/>
  <c r="AQ967" i="4"/>
  <c r="D998" i="4"/>
  <c r="D970" i="4"/>
  <c r="E937" i="4"/>
  <c r="E321" i="4"/>
  <c r="B322" i="4"/>
  <c r="B323" i="4"/>
  <c r="B134" i="4"/>
  <c r="H940" i="4"/>
  <c r="I507" i="4"/>
  <c r="F508" i="4"/>
  <c r="F321" i="4"/>
  <c r="L1083" i="4"/>
  <c r="AK1038" i="4"/>
  <c r="AK1003" i="4"/>
  <c r="AK1096" i="4"/>
  <c r="AK1094" i="4"/>
  <c r="AK1092" i="4"/>
  <c r="AK1097" i="4"/>
  <c r="AK1095" i="4"/>
  <c r="AK1090" i="4"/>
  <c r="AK1088" i="4"/>
  <c r="AK1086" i="4"/>
  <c r="AK1084" i="4"/>
  <c r="AK1082" i="4"/>
  <c r="AK1093" i="4"/>
  <c r="AK1091" i="4"/>
  <c r="AK1079" i="4"/>
  <c r="AK1077" i="4"/>
  <c r="AK1075" i="4"/>
  <c r="AK1085" i="4"/>
  <c r="AK1080" i="4"/>
  <c r="AK1087" i="4"/>
  <c r="AK1089" i="4"/>
  <c r="AK1078" i="4"/>
  <c r="AK1076" i="4"/>
  <c r="AK1074" i="4"/>
  <c r="AK1083" i="4"/>
  <c r="AK1081" i="4"/>
  <c r="AI1114" i="4"/>
  <c r="AI1115" i="4"/>
  <c r="L1077" i="4"/>
  <c r="AK1032" i="4"/>
  <c r="AK997" i="4"/>
  <c r="K1075" i="4"/>
  <c r="AJ1030" i="4"/>
  <c r="AJ995" i="4"/>
  <c r="E976" i="4"/>
  <c r="E1004" i="4"/>
  <c r="AR973" i="4"/>
  <c r="E939" i="4"/>
  <c r="D323" i="4"/>
  <c r="D322" i="4"/>
  <c r="D134" i="4"/>
  <c r="E943" i="4"/>
  <c r="J322" i="4"/>
  <c r="J323" i="4"/>
  <c r="M321" i="4"/>
  <c r="J134" i="4"/>
  <c r="H946" i="4"/>
  <c r="H950" i="4" s="1"/>
  <c r="Q507" i="4"/>
  <c r="N508" i="4"/>
  <c r="N321" i="4"/>
  <c r="E945" i="4"/>
  <c r="L323" i="4"/>
  <c r="L322" i="4"/>
  <c r="L134" i="4"/>
  <c r="K1076" i="4"/>
  <c r="AJ1031" i="4"/>
  <c r="AJ996" i="4"/>
  <c r="K1082" i="4"/>
  <c r="AJ1037" i="4"/>
  <c r="AJ1002" i="4"/>
  <c r="H1002" i="4"/>
  <c r="H974" i="4"/>
  <c r="K1080" i="4"/>
  <c r="AJ1035" i="4"/>
  <c r="AJ1000" i="4"/>
  <c r="AK1007" i="4"/>
  <c r="K1074" i="4"/>
  <c r="AJ1029" i="4"/>
  <c r="AJ994" i="4"/>
  <c r="H994" i="4"/>
  <c r="H966" i="4"/>
  <c r="H996" i="4"/>
  <c r="H968" i="4"/>
  <c r="I997" i="4"/>
  <c r="I1007" i="4" s="1"/>
  <c r="I969" i="4"/>
  <c r="G1079" i="4"/>
  <c r="AG1034" i="4"/>
  <c r="AG999" i="4"/>
  <c r="H1000" i="4"/>
  <c r="H972" i="4"/>
  <c r="D948" i="4"/>
  <c r="P135" i="4"/>
  <c r="P64" i="4"/>
  <c r="AI1123" i="4"/>
  <c r="AI1124" i="4"/>
  <c r="J1007" i="4"/>
  <c r="I950" i="4"/>
  <c r="C942" i="4"/>
  <c r="H65" i="4"/>
  <c r="H29" i="4"/>
  <c r="G1081" i="4"/>
  <c r="AG1036" i="4"/>
  <c r="AG1001" i="4"/>
  <c r="E938" i="4"/>
  <c r="C323" i="4"/>
  <c r="C322" i="4"/>
  <c r="C134" i="4"/>
  <c r="D999" i="4"/>
  <c r="D971" i="4"/>
  <c r="AQ968" i="4"/>
  <c r="I975" i="4"/>
  <c r="I1003" i="4"/>
  <c r="AI1117" i="4"/>
  <c r="AI1118" i="4"/>
  <c r="D947" i="4"/>
  <c r="O135" i="4"/>
  <c r="O64" i="4"/>
  <c r="AK1042" i="4"/>
  <c r="C944" i="4"/>
  <c r="K65" i="4"/>
  <c r="K29" i="4"/>
  <c r="R507" i="4"/>
  <c r="G1078" i="4"/>
  <c r="AG1033" i="4"/>
  <c r="AG998" i="4"/>
  <c r="C941" i="4"/>
  <c r="G65" i="4"/>
  <c r="G29" i="4"/>
  <c r="J1084" i="4"/>
  <c r="Z1084" i="4" s="1"/>
  <c r="AI1039" i="4"/>
  <c r="AI1004" i="4"/>
  <c r="AI938" i="4"/>
  <c r="J1085" i="4"/>
  <c r="Z1085" i="4" s="1"/>
  <c r="AI1005" i="4"/>
  <c r="AI1040" i="4"/>
  <c r="AI939" i="4"/>
  <c r="AK1098" i="4" l="1"/>
  <c r="J1076" i="4"/>
  <c r="Z1076" i="4" s="1"/>
  <c r="AI1031" i="4"/>
  <c r="AI996" i="4"/>
  <c r="AI930" i="4"/>
  <c r="F1079" i="4"/>
  <c r="AF1034" i="4"/>
  <c r="AF999" i="4"/>
  <c r="D1004" i="4"/>
  <c r="AQ973" i="4"/>
  <c r="D976" i="4"/>
  <c r="D938" i="4"/>
  <c r="C135" i="4"/>
  <c r="C64" i="4"/>
  <c r="D1005" i="4"/>
  <c r="D977" i="4"/>
  <c r="AQ974" i="4"/>
  <c r="AR971" i="4"/>
  <c r="E974" i="4"/>
  <c r="E1002" i="4"/>
  <c r="D937" i="4"/>
  <c r="E134" i="4"/>
  <c r="B135" i="4"/>
  <c r="B64" i="4"/>
  <c r="E946" i="4"/>
  <c r="Q321" i="4"/>
  <c r="N323" i="4"/>
  <c r="N322" i="4"/>
  <c r="N134" i="4"/>
  <c r="C999" i="4"/>
  <c r="C971" i="4"/>
  <c r="AP968" i="4"/>
  <c r="E972" i="4"/>
  <c r="AR969" i="4"/>
  <c r="E1000" i="4"/>
  <c r="J1080" i="4"/>
  <c r="Z1080" i="4" s="1"/>
  <c r="AI1035" i="4"/>
  <c r="AI1000" i="4"/>
  <c r="AI934" i="4"/>
  <c r="D939" i="4"/>
  <c r="D135" i="4"/>
  <c r="D64" i="4"/>
  <c r="F1081" i="4"/>
  <c r="AF1036" i="4"/>
  <c r="AF1001" i="4"/>
  <c r="AI1132" i="4"/>
  <c r="AI1133" i="4"/>
  <c r="B944" i="4"/>
  <c r="K19" i="4"/>
  <c r="K20" i="4" s="1"/>
  <c r="K30" i="4"/>
  <c r="B941" i="4"/>
  <c r="G30" i="4"/>
  <c r="G19" i="4"/>
  <c r="G20" i="4" s="1"/>
  <c r="K1083" i="4"/>
  <c r="AJ1038" i="4"/>
  <c r="AJ1003" i="4"/>
  <c r="E967" i="4"/>
  <c r="E995" i="4"/>
  <c r="AR964" i="4"/>
  <c r="AJ1096" i="4"/>
  <c r="AJ1089" i="4"/>
  <c r="AJ1087" i="4"/>
  <c r="AJ1085" i="4"/>
  <c r="AJ1083" i="4"/>
  <c r="AJ1094" i="4"/>
  <c r="AJ1092" i="4"/>
  <c r="AJ1097" i="4"/>
  <c r="AJ1095" i="4"/>
  <c r="AJ1093" i="4"/>
  <c r="AJ1091" i="4"/>
  <c r="AJ1079" i="4"/>
  <c r="AJ1077" i="4"/>
  <c r="AJ1075" i="4"/>
  <c r="AJ1086" i="4"/>
  <c r="AJ1082" i="4"/>
  <c r="AJ1088" i="4"/>
  <c r="AJ1084" i="4"/>
  <c r="AJ1080" i="4"/>
  <c r="AJ1090" i="4"/>
  <c r="AJ1078" i="4"/>
  <c r="AJ1081" i="4"/>
  <c r="AJ1076" i="4"/>
  <c r="AJ1074" i="4"/>
  <c r="C1001" i="4"/>
  <c r="AP970" i="4"/>
  <c r="C973" i="4"/>
  <c r="J1074" i="4"/>
  <c r="Z1074" i="4" s="1"/>
  <c r="AI1029" i="4"/>
  <c r="AI994" i="4"/>
  <c r="AI928" i="4"/>
  <c r="H1003" i="4"/>
  <c r="H975" i="4"/>
  <c r="E940" i="4"/>
  <c r="I321" i="4"/>
  <c r="R321" i="4" s="1"/>
  <c r="F322" i="4"/>
  <c r="F323" i="4"/>
  <c r="F134" i="4"/>
  <c r="E994" i="4"/>
  <c r="E966" i="4"/>
  <c r="AR963" i="4"/>
  <c r="G1085" i="4"/>
  <c r="AG1005" i="4"/>
  <c r="AG1040" i="4"/>
  <c r="D945" i="4"/>
  <c r="L135" i="4"/>
  <c r="L64" i="4"/>
  <c r="D943" i="4"/>
  <c r="J135" i="4"/>
  <c r="M134" i="4"/>
  <c r="J64" i="4"/>
  <c r="E968" i="4"/>
  <c r="AR965" i="4"/>
  <c r="E996" i="4"/>
  <c r="C970" i="4"/>
  <c r="AP967" i="4"/>
  <c r="C998" i="4"/>
  <c r="AI1135" i="4"/>
  <c r="AI1136" i="4"/>
  <c r="C947" i="4"/>
  <c r="O65" i="4"/>
  <c r="O29" i="4"/>
  <c r="C948" i="4"/>
  <c r="P29" i="4"/>
  <c r="P65" i="4"/>
  <c r="J1082" i="4"/>
  <c r="Z1082" i="4" s="1"/>
  <c r="AI1037" i="4"/>
  <c r="AI936" i="4"/>
  <c r="AI1002" i="4"/>
  <c r="F1078" i="4"/>
  <c r="AF1033" i="4"/>
  <c r="AF998" i="4"/>
  <c r="B942" i="4"/>
  <c r="H30" i="4"/>
  <c r="H19" i="4"/>
  <c r="H20" i="4" s="1"/>
  <c r="K1077" i="4"/>
  <c r="AJ997" i="4"/>
  <c r="AJ1007" i="4" s="1"/>
  <c r="AJ1032" i="4"/>
  <c r="AJ1042" i="4" s="1"/>
  <c r="G1084" i="4"/>
  <c r="AG1039" i="4"/>
  <c r="AG1004" i="4"/>
  <c r="H997" i="4"/>
  <c r="H1007" i="4" s="1"/>
  <c r="H969" i="4"/>
  <c r="J1075" i="4"/>
  <c r="AI1030" i="4"/>
  <c r="AI995" i="4"/>
  <c r="AI929" i="4"/>
  <c r="AJ1098" i="4" l="1"/>
  <c r="B999" i="4"/>
  <c r="B971" i="4"/>
  <c r="AO968" i="4"/>
  <c r="AT968" i="4" s="1"/>
  <c r="AN933" i="4"/>
  <c r="AG933" i="4"/>
  <c r="AH933" i="4" s="1"/>
  <c r="AJ933" i="4" s="1"/>
  <c r="AL933" i="4" s="1"/>
  <c r="AI1102" i="4"/>
  <c r="AI1103" i="4"/>
  <c r="B1001" i="4"/>
  <c r="B973" i="4"/>
  <c r="AO970" i="4"/>
  <c r="AT970" i="4" s="1"/>
  <c r="AN935" i="4"/>
  <c r="AG935" i="4"/>
  <c r="AH935" i="4" s="1"/>
  <c r="AJ935" i="4" s="1"/>
  <c r="AL935" i="4" s="1"/>
  <c r="D996" i="4"/>
  <c r="D968" i="4"/>
  <c r="AQ965" i="4"/>
  <c r="C937" i="4"/>
  <c r="B29" i="4"/>
  <c r="E64" i="4"/>
  <c r="B65" i="4"/>
  <c r="E1078" i="4"/>
  <c r="AE1033" i="4"/>
  <c r="AE998" i="4"/>
  <c r="F1085" i="4"/>
  <c r="AF1040" i="4"/>
  <c r="AF1005" i="4"/>
  <c r="AR966" i="4"/>
  <c r="E969" i="4"/>
  <c r="E997" i="4"/>
  <c r="B948" i="4"/>
  <c r="P30" i="4"/>
  <c r="P19" i="4"/>
  <c r="P20" i="4" s="1"/>
  <c r="D1000" i="4"/>
  <c r="D972" i="4"/>
  <c r="AQ969" i="4"/>
  <c r="E1079" i="4"/>
  <c r="AE1034" i="4"/>
  <c r="AE999" i="4"/>
  <c r="C938" i="4"/>
  <c r="C65" i="4"/>
  <c r="C29" i="4"/>
  <c r="D1002" i="4"/>
  <c r="AQ971" i="4"/>
  <c r="D974" i="4"/>
  <c r="C1005" i="4"/>
  <c r="AP974" i="4"/>
  <c r="C977" i="4"/>
  <c r="C945" i="4"/>
  <c r="L29" i="4"/>
  <c r="L65" i="4"/>
  <c r="AG1029" i="4"/>
  <c r="AG994" i="4"/>
  <c r="G1074" i="4"/>
  <c r="J1083" i="4"/>
  <c r="Z1083" i="4" s="1"/>
  <c r="AI1038" i="4"/>
  <c r="AI1003" i="4"/>
  <c r="AI937" i="4"/>
  <c r="E1081" i="4"/>
  <c r="AE1036" i="4"/>
  <c r="AE1001" i="4"/>
  <c r="D946" i="4"/>
  <c r="Q134" i="4"/>
  <c r="N135" i="4"/>
  <c r="N64" i="4"/>
  <c r="AQ963" i="4"/>
  <c r="D994" i="4"/>
  <c r="D966" i="4"/>
  <c r="B947" i="4"/>
  <c r="O30" i="4"/>
  <c r="O19" i="4"/>
  <c r="O20" i="4" s="1"/>
  <c r="G1076" i="4"/>
  <c r="AG1031" i="4"/>
  <c r="AG996" i="4"/>
  <c r="E950" i="4"/>
  <c r="AI941" i="4"/>
  <c r="AI1120" i="4"/>
  <c r="AI1121" i="4"/>
  <c r="G1082" i="4"/>
  <c r="AG1037" i="4"/>
  <c r="AG1002" i="4"/>
  <c r="D995" i="4"/>
  <c r="AQ964" i="4"/>
  <c r="D967" i="4"/>
  <c r="G1080" i="4"/>
  <c r="AG1035" i="4"/>
  <c r="AG1000" i="4"/>
  <c r="D940" i="4"/>
  <c r="D950" i="4" s="1"/>
  <c r="F135" i="4"/>
  <c r="I134" i="4"/>
  <c r="R134" i="4" s="1"/>
  <c r="F64" i="4"/>
  <c r="G1075" i="4"/>
  <c r="AG1030" i="4"/>
  <c r="AG995" i="4"/>
  <c r="C939" i="4"/>
  <c r="D65" i="4"/>
  <c r="D29" i="4"/>
  <c r="AI1091" i="4"/>
  <c r="AI1096" i="4"/>
  <c r="AI1089" i="4"/>
  <c r="AI1087" i="4"/>
  <c r="AI1085" i="4"/>
  <c r="AI1083" i="4"/>
  <c r="AI1094" i="4"/>
  <c r="AI1092" i="4"/>
  <c r="AI1097" i="4"/>
  <c r="AI1095" i="4"/>
  <c r="AI1090" i="4"/>
  <c r="AI1088" i="4"/>
  <c r="AI1086" i="4"/>
  <c r="AI1084" i="4"/>
  <c r="AI1082" i="4"/>
  <c r="AI1081" i="4"/>
  <c r="Z1075" i="4"/>
  <c r="AI1093" i="4"/>
  <c r="AI1079" i="4"/>
  <c r="AI1077" i="4"/>
  <c r="AI1075" i="4"/>
  <c r="AI1080" i="4"/>
  <c r="AI1078" i="4"/>
  <c r="AI1076" i="4"/>
  <c r="AI1074" i="4"/>
  <c r="B998" i="4"/>
  <c r="B970" i="4"/>
  <c r="AO967" i="4"/>
  <c r="AT967" i="4" s="1"/>
  <c r="AN932" i="4"/>
  <c r="AG932" i="4"/>
  <c r="AH932" i="4" s="1"/>
  <c r="AJ932" i="4" s="1"/>
  <c r="AL932" i="4" s="1"/>
  <c r="C1004" i="4"/>
  <c r="AP973" i="4"/>
  <c r="C976" i="4"/>
  <c r="J1077" i="4"/>
  <c r="Z1077" i="4" s="1"/>
  <c r="AI1032" i="4"/>
  <c r="AI1042" i="4" s="1"/>
  <c r="AI997" i="4"/>
  <c r="AI1007" i="4" s="1"/>
  <c r="AI931" i="4"/>
  <c r="AI1126" i="4"/>
  <c r="AI1127" i="4"/>
  <c r="C943" i="4"/>
  <c r="J65" i="4"/>
  <c r="M64" i="4"/>
  <c r="J29" i="4"/>
  <c r="E1003" i="4"/>
  <c r="E1007" i="4" s="1"/>
  <c r="E975" i="4"/>
  <c r="AR972" i="4"/>
  <c r="AR976" i="4" s="1"/>
  <c r="F1084" i="4"/>
  <c r="AF1004" i="4"/>
  <c r="AF1039" i="4"/>
  <c r="AI1109" i="4"/>
  <c r="AI1108" i="4"/>
  <c r="AI1098" i="4" l="1"/>
  <c r="E1084" i="4"/>
  <c r="AE1039" i="4"/>
  <c r="AE1004" i="4"/>
  <c r="B976" i="4"/>
  <c r="B1004" i="4"/>
  <c r="AN938" i="4"/>
  <c r="AO973" i="4"/>
  <c r="AT973" i="4" s="1"/>
  <c r="AG938" i="4"/>
  <c r="AH938" i="4" s="1"/>
  <c r="AJ938" i="4" s="1"/>
  <c r="AL938" i="4" s="1"/>
  <c r="D1003" i="4"/>
  <c r="AQ972" i="4"/>
  <c r="D975" i="4"/>
  <c r="AG1097" i="4"/>
  <c r="AG1095" i="4"/>
  <c r="AG1093" i="4"/>
  <c r="AG1091" i="4"/>
  <c r="AG1096" i="4"/>
  <c r="AG1089" i="4"/>
  <c r="AG1087" i="4"/>
  <c r="AG1085" i="4"/>
  <c r="AG1083" i="4"/>
  <c r="AG1094" i="4"/>
  <c r="AG1092" i="4"/>
  <c r="AG1078" i="4"/>
  <c r="AG1076" i="4"/>
  <c r="AG1074" i="4"/>
  <c r="AG1081" i="4"/>
  <c r="AG1079" i="4"/>
  <c r="AG1086" i="4"/>
  <c r="AG1082" i="4"/>
  <c r="AG1077" i="4"/>
  <c r="AG1075" i="4"/>
  <c r="AG1088" i="4"/>
  <c r="AG1084" i="4"/>
  <c r="AG1090" i="4"/>
  <c r="AG1080" i="4"/>
  <c r="E1085" i="4"/>
  <c r="AE1040" i="4"/>
  <c r="AE1005" i="4"/>
  <c r="AO974" i="4"/>
  <c r="AT974" i="4" s="1"/>
  <c r="B1005" i="4"/>
  <c r="B977" i="4"/>
  <c r="AG939" i="4"/>
  <c r="AH939" i="4" s="1"/>
  <c r="AJ939" i="4" s="1"/>
  <c r="AL939" i="4" s="1"/>
  <c r="AN939" i="4"/>
  <c r="AI1111" i="4"/>
  <c r="AI1112" i="4"/>
  <c r="AD1033" i="4"/>
  <c r="AS1033" i="4" s="1"/>
  <c r="R998" i="4"/>
  <c r="B1026" i="4" s="1"/>
  <c r="AD998" i="4"/>
  <c r="AS998" i="4" s="1"/>
  <c r="R1105" i="4"/>
  <c r="C940" i="4"/>
  <c r="F29" i="4"/>
  <c r="F65" i="4"/>
  <c r="I64" i="4"/>
  <c r="G1077" i="4"/>
  <c r="AG1032" i="4"/>
  <c r="AG1042" i="4" s="1"/>
  <c r="AG997" i="4"/>
  <c r="AG1007" i="4" s="1"/>
  <c r="F1076" i="4"/>
  <c r="AF1031" i="4"/>
  <c r="AF996" i="4"/>
  <c r="B943" i="4"/>
  <c r="J30" i="4"/>
  <c r="J19" i="4"/>
  <c r="M29" i="4"/>
  <c r="AI1105" i="4"/>
  <c r="AI1106" i="4"/>
  <c r="F1075" i="4"/>
  <c r="AF1030" i="4"/>
  <c r="AF995" i="4"/>
  <c r="F1074" i="4"/>
  <c r="AF1029" i="4"/>
  <c r="D1007" i="4"/>
  <c r="AF994" i="4"/>
  <c r="W1081" i="4"/>
  <c r="AF1124" i="4" s="1"/>
  <c r="U1081" i="4"/>
  <c r="V1081" i="4"/>
  <c r="AF1123" i="4" s="1"/>
  <c r="T1081" i="4"/>
  <c r="W1079" i="4"/>
  <c r="AF1118" i="4" s="1"/>
  <c r="T1079" i="4"/>
  <c r="V1079" i="4"/>
  <c r="AF1117" i="4" s="1"/>
  <c r="U1079" i="4"/>
  <c r="W1078" i="4"/>
  <c r="AF1115" i="4" s="1"/>
  <c r="T1078" i="4"/>
  <c r="U1078" i="4"/>
  <c r="V1078" i="4"/>
  <c r="AF1114" i="4" s="1"/>
  <c r="C1000" i="4"/>
  <c r="C972" i="4"/>
  <c r="AP969" i="4"/>
  <c r="B939" i="4"/>
  <c r="D19" i="4"/>
  <c r="D20" i="4" s="1"/>
  <c r="D30" i="4"/>
  <c r="F1082" i="4"/>
  <c r="AF1037" i="4"/>
  <c r="AF1002" i="4"/>
  <c r="D997" i="4"/>
  <c r="D969" i="4"/>
  <c r="AQ966" i="4"/>
  <c r="AQ976" i="4" s="1"/>
  <c r="C946" i="4"/>
  <c r="N29" i="4"/>
  <c r="N65" i="4"/>
  <c r="Q64" i="4"/>
  <c r="R64" i="4" s="1"/>
  <c r="B945" i="4"/>
  <c r="L19" i="4"/>
  <c r="L20" i="4" s="1"/>
  <c r="L30" i="4"/>
  <c r="B938" i="4"/>
  <c r="C19" i="4"/>
  <c r="C20" i="4" s="1"/>
  <c r="C30" i="4"/>
  <c r="C996" i="4"/>
  <c r="C968" i="4"/>
  <c r="AP965" i="4"/>
  <c r="C1002" i="4"/>
  <c r="AP971" i="4"/>
  <c r="C974" i="4"/>
  <c r="F1080" i="4"/>
  <c r="AF1000" i="4"/>
  <c r="AF1035" i="4"/>
  <c r="B937" i="4"/>
  <c r="B19" i="4"/>
  <c r="E29" i="4"/>
  <c r="B30" i="4"/>
  <c r="AD1034" i="4"/>
  <c r="AS1034" i="4" s="1"/>
  <c r="R999" i="4"/>
  <c r="B1027" i="4" s="1"/>
  <c r="AD999" i="4"/>
  <c r="AS999" i="4" s="1"/>
  <c r="R1106" i="4"/>
  <c r="G1083" i="4"/>
  <c r="AG1038" i="4"/>
  <c r="AG1003" i="4"/>
  <c r="AI1129" i="4"/>
  <c r="AI1130" i="4"/>
  <c r="AP964" i="4"/>
  <c r="C967" i="4"/>
  <c r="C995" i="4"/>
  <c r="C994" i="4"/>
  <c r="C966" i="4"/>
  <c r="AP963" i="4"/>
  <c r="C950" i="4"/>
  <c r="AD1001" i="4"/>
  <c r="AS1001" i="4" s="1"/>
  <c r="AD1036" i="4"/>
  <c r="AS1036" i="4" s="1"/>
  <c r="R1001" i="4"/>
  <c r="B1029" i="4" s="1"/>
  <c r="R1108" i="4"/>
  <c r="AG1098" i="4" l="1"/>
  <c r="E1074" i="4"/>
  <c r="AE1029" i="4"/>
  <c r="AE994" i="4"/>
  <c r="B994" i="4"/>
  <c r="B966" i="4"/>
  <c r="AG928" i="4"/>
  <c r="AO963" i="4"/>
  <c r="AN928" i="4"/>
  <c r="B1002" i="4"/>
  <c r="B974" i="4"/>
  <c r="AO971" i="4"/>
  <c r="AT971" i="4" s="1"/>
  <c r="AN936" i="4"/>
  <c r="AG936" i="4"/>
  <c r="AH936" i="4" s="1"/>
  <c r="AJ936" i="4" s="1"/>
  <c r="AL936" i="4" s="1"/>
  <c r="B1053" i="4"/>
  <c r="C1026" i="4"/>
  <c r="C1053" i="4" s="1"/>
  <c r="E1026" i="4"/>
  <c r="E1053" i="4" s="1"/>
  <c r="M19" i="4"/>
  <c r="J20" i="4"/>
  <c r="M20" i="4" s="1"/>
  <c r="E1075" i="4"/>
  <c r="AE1030" i="4"/>
  <c r="AE995" i="4"/>
  <c r="E1080" i="4"/>
  <c r="AE1035" i="4"/>
  <c r="AE1000" i="4"/>
  <c r="B1056" i="4"/>
  <c r="C1029" i="4"/>
  <c r="C1056" i="4" s="1"/>
  <c r="D1027" i="4"/>
  <c r="AU999" i="4"/>
  <c r="E1076" i="4"/>
  <c r="AE1031" i="4"/>
  <c r="AE996" i="4"/>
  <c r="B1054" i="4"/>
  <c r="C1027" i="4"/>
  <c r="C1054" i="4" s="1"/>
  <c r="B946" i="4"/>
  <c r="Q29" i="4"/>
  <c r="N19" i="4"/>
  <c r="N30" i="4"/>
  <c r="B1000" i="4"/>
  <c r="B972" i="4"/>
  <c r="AO969" i="4"/>
  <c r="AT969" i="4" s="1"/>
  <c r="AN934" i="4"/>
  <c r="AG934" i="4"/>
  <c r="AH934" i="4" s="1"/>
  <c r="AJ934" i="4" s="1"/>
  <c r="AL934" i="4" s="1"/>
  <c r="W1085" i="4"/>
  <c r="AF1136" i="4" s="1"/>
  <c r="U1085" i="4"/>
  <c r="V1085" i="4"/>
  <c r="AF1135" i="4" s="1"/>
  <c r="T1085" i="4"/>
  <c r="R1004" i="4"/>
  <c r="B1032" i="4" s="1"/>
  <c r="AD1039" i="4"/>
  <c r="AS1039" i="4" s="1"/>
  <c r="AD1004" i="4"/>
  <c r="AS1004" i="4" s="1"/>
  <c r="R1111" i="4"/>
  <c r="AU1001" i="4"/>
  <c r="D1029" i="4"/>
  <c r="AP972" i="4"/>
  <c r="C975" i="4"/>
  <c r="C1003" i="4"/>
  <c r="B940" i="4"/>
  <c r="B950" i="4" s="1"/>
  <c r="I29" i="4"/>
  <c r="F30" i="4"/>
  <c r="F19" i="4"/>
  <c r="B967" i="4"/>
  <c r="AO964" i="4"/>
  <c r="AT964" i="4" s="1"/>
  <c r="B995" i="4"/>
  <c r="AN929" i="4"/>
  <c r="AG929" i="4"/>
  <c r="AH929" i="4" s="1"/>
  <c r="AJ929" i="4" s="1"/>
  <c r="AL929" i="4" s="1"/>
  <c r="AF1097" i="4"/>
  <c r="AF1095" i="4"/>
  <c r="AF1090" i="4"/>
  <c r="AF1088" i="4"/>
  <c r="AF1086" i="4"/>
  <c r="AF1084" i="4"/>
  <c r="AF1082" i="4"/>
  <c r="AF1093" i="4"/>
  <c r="AF1091" i="4"/>
  <c r="AF1096" i="4"/>
  <c r="AF1094" i="4"/>
  <c r="AF1092" i="4"/>
  <c r="AF1080" i="4"/>
  <c r="AF1078" i="4"/>
  <c r="AF1076" i="4"/>
  <c r="AF1074" i="4"/>
  <c r="AF1081" i="4"/>
  <c r="AF1085" i="4"/>
  <c r="AF1087" i="4"/>
  <c r="AF1079" i="4"/>
  <c r="AF1089" i="4"/>
  <c r="AF1083" i="4"/>
  <c r="AF1075" i="4"/>
  <c r="AF1077" i="4"/>
  <c r="C969" i="4"/>
  <c r="AP966" i="4"/>
  <c r="AP976" i="4" s="1"/>
  <c r="C997" i="4"/>
  <c r="R29" i="4"/>
  <c r="E1082" i="4"/>
  <c r="AE1037" i="4"/>
  <c r="AE1002" i="4"/>
  <c r="B996" i="4"/>
  <c r="AO965" i="4"/>
  <c r="AT965" i="4" s="1"/>
  <c r="B968" i="4"/>
  <c r="AG930" i="4"/>
  <c r="AH930" i="4" s="1"/>
  <c r="AJ930" i="4" s="1"/>
  <c r="AL930" i="4" s="1"/>
  <c r="AN930" i="4"/>
  <c r="E19" i="4"/>
  <c r="B20" i="4"/>
  <c r="E20" i="4" s="1"/>
  <c r="F1077" i="4"/>
  <c r="AF1032" i="4"/>
  <c r="AF1042" i="4" s="1"/>
  <c r="AF997" i="4"/>
  <c r="AF1007" i="4" s="1"/>
  <c r="D1026" i="4"/>
  <c r="AU998" i="4"/>
  <c r="AD1005" i="4"/>
  <c r="AS1005" i="4" s="1"/>
  <c r="AD1040" i="4"/>
  <c r="AS1040" i="4" s="1"/>
  <c r="R1005" i="4"/>
  <c r="B1033" i="4" s="1"/>
  <c r="R1112" i="4"/>
  <c r="F1083" i="4"/>
  <c r="AF1003" i="4"/>
  <c r="AF1038" i="4"/>
  <c r="V1084" i="4"/>
  <c r="AF1132" i="4" s="1"/>
  <c r="T1084" i="4"/>
  <c r="W1084" i="4"/>
  <c r="AF1133" i="4" s="1"/>
  <c r="U1084" i="4"/>
  <c r="AF1098" i="4" l="1"/>
  <c r="AE1032" i="4"/>
  <c r="E1077" i="4"/>
  <c r="AE997" i="4"/>
  <c r="I19" i="4"/>
  <c r="F20" i="4"/>
  <c r="I20" i="4" s="1"/>
  <c r="AH928" i="4"/>
  <c r="B1003" i="4"/>
  <c r="B975" i="4"/>
  <c r="AO972" i="4"/>
  <c r="AT972" i="4" s="1"/>
  <c r="AN937" i="4"/>
  <c r="AG937" i="4"/>
  <c r="AH937" i="4" s="1"/>
  <c r="AJ937" i="4" s="1"/>
  <c r="AL937" i="4" s="1"/>
  <c r="D1054" i="4"/>
  <c r="AD1031" i="4"/>
  <c r="AS1031" i="4" s="1"/>
  <c r="R996" i="4"/>
  <c r="B1024" i="4" s="1"/>
  <c r="AD996" i="4"/>
  <c r="AS996" i="4" s="1"/>
  <c r="R1103" i="4"/>
  <c r="AU1004" i="4"/>
  <c r="D1032" i="4"/>
  <c r="AE1097" i="4"/>
  <c r="AS1097" i="4" s="1"/>
  <c r="AE1095" i="4"/>
  <c r="AS1095" i="4" s="1"/>
  <c r="AE1090" i="4"/>
  <c r="AS1090" i="4" s="1"/>
  <c r="AE1088" i="4"/>
  <c r="AS1088" i="4" s="1"/>
  <c r="AE1086" i="4"/>
  <c r="AS1086" i="4" s="1"/>
  <c r="AE1084" i="4"/>
  <c r="AS1084" i="4" s="1"/>
  <c r="AE1082" i="4"/>
  <c r="AS1082" i="4" s="1"/>
  <c r="AE1093" i="4"/>
  <c r="AS1093" i="4" s="1"/>
  <c r="AE1091" i="4"/>
  <c r="AS1091" i="4" s="1"/>
  <c r="AE1096" i="4"/>
  <c r="AS1096" i="4" s="1"/>
  <c r="AE1089" i="4"/>
  <c r="AS1089" i="4" s="1"/>
  <c r="AE1087" i="4"/>
  <c r="AS1087" i="4" s="1"/>
  <c r="AE1085" i="4"/>
  <c r="AS1085" i="4" s="1"/>
  <c r="AE1083" i="4"/>
  <c r="AS1083" i="4" s="1"/>
  <c r="AE1094" i="4"/>
  <c r="AS1094" i="4" s="1"/>
  <c r="AE1080" i="4"/>
  <c r="AS1080" i="4" s="1"/>
  <c r="AE1078" i="4"/>
  <c r="AS1078" i="4" s="1"/>
  <c r="AE1076" i="4"/>
  <c r="AS1076" i="4" s="1"/>
  <c r="AE1074" i="4"/>
  <c r="AE1081" i="4"/>
  <c r="AS1081" i="4" s="1"/>
  <c r="AE1092" i="4"/>
  <c r="AS1092" i="4" s="1"/>
  <c r="AE1079" i="4"/>
  <c r="AS1079" i="4" s="1"/>
  <c r="AE1077" i="4"/>
  <c r="AS1077" i="4" s="1"/>
  <c r="AE1075" i="4"/>
  <c r="AS1075" i="4" s="1"/>
  <c r="V1075" i="4"/>
  <c r="AF1105" i="4" s="1"/>
  <c r="T1075" i="4"/>
  <c r="W1075" i="4"/>
  <c r="AF1106" i="4" s="1"/>
  <c r="U1075" i="4"/>
  <c r="B997" i="4"/>
  <c r="B969" i="4"/>
  <c r="AO966" i="4"/>
  <c r="AT966" i="4" s="1"/>
  <c r="AN931" i="4"/>
  <c r="AG931" i="4"/>
  <c r="AH931" i="4" s="1"/>
  <c r="AJ931" i="4" s="1"/>
  <c r="AL931" i="4" s="1"/>
  <c r="E1027" i="4"/>
  <c r="E1054" i="4" s="1"/>
  <c r="E1029" i="4"/>
  <c r="E1056" i="4" s="1"/>
  <c r="R994" i="4"/>
  <c r="AD994" i="4"/>
  <c r="AD1029" i="4"/>
  <c r="R1101" i="4"/>
  <c r="E1083" i="4"/>
  <c r="AE1038" i="4"/>
  <c r="AE1042" i="4" s="1"/>
  <c r="AE1003" i="4"/>
  <c r="AE1007" i="4" s="1"/>
  <c r="B1059" i="4"/>
  <c r="C1032" i="4"/>
  <c r="C1059" i="4" s="1"/>
  <c r="E1032" i="4"/>
  <c r="E1059" i="4" s="1"/>
  <c r="D1033" i="4"/>
  <c r="AU1005" i="4"/>
  <c r="U1082" i="4"/>
  <c r="W1082" i="4"/>
  <c r="AF1127" i="4" s="1"/>
  <c r="T1082" i="4"/>
  <c r="V1082" i="4"/>
  <c r="AF1126" i="4" s="1"/>
  <c r="AD1030" i="4"/>
  <c r="AS1030" i="4" s="1"/>
  <c r="AD995" i="4"/>
  <c r="AS995" i="4" s="1"/>
  <c r="R995" i="4"/>
  <c r="B1023" i="4" s="1"/>
  <c r="R1102" i="4"/>
  <c r="AD1035" i="4"/>
  <c r="AS1035" i="4" s="1"/>
  <c r="AD1000" i="4"/>
  <c r="AS1000" i="4" s="1"/>
  <c r="R1000" i="4"/>
  <c r="B1028" i="4" s="1"/>
  <c r="R1107" i="4"/>
  <c r="R1002" i="4"/>
  <c r="B1030" i="4" s="1"/>
  <c r="AD1037" i="4"/>
  <c r="AS1037" i="4" s="1"/>
  <c r="AD1002" i="4"/>
  <c r="AS1002" i="4" s="1"/>
  <c r="R1109" i="4"/>
  <c r="C1007" i="4"/>
  <c r="B1060" i="4"/>
  <c r="C1033" i="4"/>
  <c r="C1060" i="4" s="1"/>
  <c r="D1053" i="4"/>
  <c r="F1026" i="4"/>
  <c r="M1026" i="4"/>
  <c r="M1029" i="4"/>
  <c r="D1056" i="4"/>
  <c r="F1029" i="4"/>
  <c r="Q19" i="4"/>
  <c r="R19" i="4" s="1"/>
  <c r="N20" i="4"/>
  <c r="Q20" i="4" s="1"/>
  <c r="R20" i="4" s="1"/>
  <c r="T1076" i="4"/>
  <c r="V1076" i="4"/>
  <c r="AF1108" i="4" s="1"/>
  <c r="W1076" i="4"/>
  <c r="AF1109" i="4" s="1"/>
  <c r="U1076" i="4"/>
  <c r="U1080" i="4"/>
  <c r="W1080" i="4"/>
  <c r="AF1121" i="4" s="1"/>
  <c r="V1080" i="4"/>
  <c r="AF1120" i="4" s="1"/>
  <c r="T1080" i="4"/>
  <c r="AT963" i="4"/>
  <c r="AT976" i="4" s="1"/>
  <c r="AO976" i="4"/>
  <c r="T1074" i="4"/>
  <c r="V1074" i="4"/>
  <c r="AF1102" i="4" s="1"/>
  <c r="U1074" i="4"/>
  <c r="W1074" i="4"/>
  <c r="AF1103" i="4" s="1"/>
  <c r="M1053" i="4" l="1"/>
  <c r="O1026" i="4"/>
  <c r="AE1098" i="4"/>
  <c r="AS1074" i="4"/>
  <c r="AD1038" i="4"/>
  <c r="AS1038" i="4" s="1"/>
  <c r="R1003" i="4"/>
  <c r="B1031" i="4" s="1"/>
  <c r="AD1003" i="4"/>
  <c r="AS1003" i="4" s="1"/>
  <c r="R1110" i="4"/>
  <c r="F1053" i="4"/>
  <c r="D1030" i="4"/>
  <c r="AU1002" i="4"/>
  <c r="B1050" i="4"/>
  <c r="C1023" i="4"/>
  <c r="C1050" i="4" s="1"/>
  <c r="W1083" i="4"/>
  <c r="AF1130" i="4" s="1"/>
  <c r="U1083" i="4"/>
  <c r="V1083" i="4"/>
  <c r="AF1129" i="4" s="1"/>
  <c r="T1083" i="4"/>
  <c r="M1027" i="4"/>
  <c r="AJ928" i="4"/>
  <c r="AH941" i="4"/>
  <c r="D1023" i="4"/>
  <c r="AU995" i="4"/>
  <c r="D1060" i="4"/>
  <c r="F1027" i="4"/>
  <c r="AG941" i="4"/>
  <c r="B1057" i="4"/>
  <c r="E1030" i="4"/>
  <c r="E1057" i="4" s="1"/>
  <c r="C1030" i="4"/>
  <c r="C1057" i="4" s="1"/>
  <c r="D1059" i="4"/>
  <c r="M1032" i="4"/>
  <c r="F1032" i="4"/>
  <c r="AS1029" i="4"/>
  <c r="F1056" i="4"/>
  <c r="E1033" i="4"/>
  <c r="E1060" i="4" s="1"/>
  <c r="B1055" i="4"/>
  <c r="C1028" i="4"/>
  <c r="C1055" i="4" s="1"/>
  <c r="AS994" i="4"/>
  <c r="AU1000" i="4"/>
  <c r="D1028" i="4"/>
  <c r="B1022" i="4"/>
  <c r="AD1032" i="4"/>
  <c r="AS1032" i="4" s="1"/>
  <c r="AD997" i="4"/>
  <c r="AS997" i="4" s="1"/>
  <c r="R997" i="4"/>
  <c r="B1025" i="4" s="1"/>
  <c r="R1104" i="4"/>
  <c r="D1024" i="4"/>
  <c r="AU996" i="4"/>
  <c r="W1077" i="4"/>
  <c r="AF1112" i="4" s="1"/>
  <c r="U1077" i="4"/>
  <c r="V1077" i="4"/>
  <c r="AF1111" i="4" s="1"/>
  <c r="T1077" i="4"/>
  <c r="M1056" i="4"/>
  <c r="O1029" i="4"/>
  <c r="B1007" i="4"/>
  <c r="R1113" i="4" s="1"/>
  <c r="C1024" i="4"/>
  <c r="C1051" i="4" s="1"/>
  <c r="B1051" i="4"/>
  <c r="D1022" i="4" l="1"/>
  <c r="AS1007" i="4"/>
  <c r="AU994" i="4"/>
  <c r="M1059" i="4"/>
  <c r="O1032" i="4"/>
  <c r="E1024" i="4"/>
  <c r="E1051" i="4" s="1"/>
  <c r="E1028" i="4"/>
  <c r="E1055" i="4" s="1"/>
  <c r="AJ941" i="4"/>
  <c r="AL928" i="4"/>
  <c r="AL941" i="4" s="1"/>
  <c r="D1057" i="4"/>
  <c r="M1030" i="4"/>
  <c r="F1030" i="4"/>
  <c r="D1051" i="4"/>
  <c r="F1024" i="4"/>
  <c r="M1024" i="4"/>
  <c r="B1052" i="4"/>
  <c r="C1025" i="4"/>
  <c r="C1052" i="4" s="1"/>
  <c r="M1054" i="4"/>
  <c r="O1027" i="4"/>
  <c r="O1056" i="4"/>
  <c r="Q1029" i="4"/>
  <c r="R1029" i="4"/>
  <c r="S1029" i="4" s="1"/>
  <c r="D1025" i="4"/>
  <c r="AU997" i="4"/>
  <c r="F1033" i="4"/>
  <c r="F1054" i="4"/>
  <c r="AS1098" i="4"/>
  <c r="AT1074" i="4"/>
  <c r="R1007" i="4"/>
  <c r="AD1042" i="4"/>
  <c r="M1033" i="4"/>
  <c r="AU1003" i="4"/>
  <c r="D1031" i="4"/>
  <c r="B1049" i="4"/>
  <c r="C1022" i="4"/>
  <c r="E1022" i="4" s="1"/>
  <c r="E1049" i="4" s="1"/>
  <c r="B1035" i="4"/>
  <c r="AS1042" i="4"/>
  <c r="B1058" i="4"/>
  <c r="C1031" i="4"/>
  <c r="C1058" i="4" s="1"/>
  <c r="Q1026" i="4"/>
  <c r="R1026" i="4" s="1"/>
  <c r="S1026" i="4" s="1"/>
  <c r="O1053" i="4"/>
  <c r="D1055" i="4"/>
  <c r="F1028" i="4"/>
  <c r="AD1007" i="4"/>
  <c r="F1059" i="4"/>
  <c r="D1050" i="4"/>
  <c r="F1023" i="4"/>
  <c r="M1023" i="4"/>
  <c r="E1023" i="4"/>
  <c r="E1050" i="4" s="1"/>
  <c r="T1026" i="4" l="1"/>
  <c r="S1053" i="4"/>
  <c r="U1026" i="4"/>
  <c r="O1023" i="4"/>
  <c r="M1050" i="4"/>
  <c r="D1052" i="4"/>
  <c r="S1056" i="4"/>
  <c r="U1029" i="4"/>
  <c r="T1029" i="4"/>
  <c r="O1024" i="4"/>
  <c r="M1051" i="4"/>
  <c r="AU1074" i="4"/>
  <c r="F1051" i="4"/>
  <c r="F1050" i="4"/>
  <c r="AT1076" i="4"/>
  <c r="AU1076" i="4" s="1"/>
  <c r="AT1091" i="4"/>
  <c r="AU1091" i="4" s="1"/>
  <c r="AT1082" i="4"/>
  <c r="AU1082" i="4" s="1"/>
  <c r="AT1092" i="4"/>
  <c r="AU1092" i="4" s="1"/>
  <c r="AT1075" i="4"/>
  <c r="AU1075" i="4" s="1"/>
  <c r="AT1087" i="4"/>
  <c r="AU1087" i="4" s="1"/>
  <c r="AT1096" i="4"/>
  <c r="AU1096" i="4" s="1"/>
  <c r="AT1097" i="4"/>
  <c r="AU1097" i="4" s="1"/>
  <c r="AT1079" i="4"/>
  <c r="AU1079" i="4" s="1"/>
  <c r="AT1085" i="4"/>
  <c r="AU1085" i="4" s="1"/>
  <c r="AT1080" i="4"/>
  <c r="AU1080" i="4" s="1"/>
  <c r="AT1088" i="4"/>
  <c r="AU1088" i="4" s="1"/>
  <c r="AT1095" i="4"/>
  <c r="AU1095" i="4" s="1"/>
  <c r="AT1077" i="4"/>
  <c r="AU1077" i="4" s="1"/>
  <c r="AT1083" i="4"/>
  <c r="AU1083" i="4" s="1"/>
  <c r="AT1086" i="4"/>
  <c r="AU1086" i="4" s="1"/>
  <c r="AT1089" i="4"/>
  <c r="AU1089" i="4" s="1"/>
  <c r="AT1093" i="4"/>
  <c r="AU1093" i="4" s="1"/>
  <c r="AT1078" i="4"/>
  <c r="AU1078" i="4" s="1"/>
  <c r="AT1094" i="4"/>
  <c r="AU1094" i="4" s="1"/>
  <c r="AT1084" i="4"/>
  <c r="AU1084" i="4" s="1"/>
  <c r="AT1090" i="4"/>
  <c r="AU1090" i="4" s="1"/>
  <c r="AT1081" i="4"/>
  <c r="AU1081" i="4" s="1"/>
  <c r="Q1056" i="4"/>
  <c r="R1056" i="4" s="1"/>
  <c r="O1059" i="4"/>
  <c r="Q1032" i="4"/>
  <c r="R1032" i="4"/>
  <c r="S1032" i="4" s="1"/>
  <c r="D1058" i="4"/>
  <c r="O1054" i="4"/>
  <c r="Q1027" i="4"/>
  <c r="R1027" i="4" s="1"/>
  <c r="S1027" i="4" s="1"/>
  <c r="F1057" i="4"/>
  <c r="M1057" i="4"/>
  <c r="O1030" i="4"/>
  <c r="Q1053" i="4"/>
  <c r="R1053" i="4" s="1"/>
  <c r="M1060" i="4"/>
  <c r="O1033" i="4"/>
  <c r="F1060" i="4"/>
  <c r="AU1007" i="4"/>
  <c r="C1035" i="4"/>
  <c r="E1035" i="4" s="1"/>
  <c r="C1049" i="4"/>
  <c r="F1055" i="4"/>
  <c r="E1031" i="4"/>
  <c r="E1058" i="4" s="1"/>
  <c r="M1028" i="4"/>
  <c r="E1025" i="4"/>
  <c r="E1052" i="4" s="1"/>
  <c r="F1022" i="4"/>
  <c r="D1035" i="4"/>
  <c r="D1049" i="4"/>
  <c r="M1022" i="4"/>
  <c r="AT1098" i="4" l="1"/>
  <c r="T1027" i="4"/>
  <c r="S1054" i="4"/>
  <c r="U1027" i="4"/>
  <c r="F1049" i="4"/>
  <c r="M1031" i="4"/>
  <c r="F1025" i="4"/>
  <c r="F1035" i="4" s="1"/>
  <c r="S1059" i="4"/>
  <c r="U1032" i="4"/>
  <c r="T1032" i="4"/>
  <c r="AX1094" i="4"/>
  <c r="AU1098" i="4"/>
  <c r="AX1074" i="4"/>
  <c r="M1025" i="4"/>
  <c r="M1055" i="4"/>
  <c r="O1028" i="4"/>
  <c r="AX1078" i="4"/>
  <c r="O1060" i="4"/>
  <c r="Q1033" i="4"/>
  <c r="R1033" i="4" s="1"/>
  <c r="S1033" i="4" s="1"/>
  <c r="Q1059" i="4"/>
  <c r="R1059" i="4" s="1"/>
  <c r="AX1079" i="4"/>
  <c r="O1051" i="4"/>
  <c r="Q1024" i="4"/>
  <c r="R1024" i="4" s="1"/>
  <c r="S1024" i="4" s="1"/>
  <c r="AW1075" i="4"/>
  <c r="AX1075" i="4" s="1"/>
  <c r="O1050" i="4"/>
  <c r="Q1023" i="4"/>
  <c r="R1023" i="4" s="1"/>
  <c r="S1023" i="4" s="1"/>
  <c r="AW1090" i="4"/>
  <c r="AW1080" i="4"/>
  <c r="AX1080" i="4" s="1"/>
  <c r="AW1079" i="4"/>
  <c r="AW1097" i="4"/>
  <c r="AX1097" i="4" s="1"/>
  <c r="AW1088" i="4"/>
  <c r="AX1088" i="4" s="1"/>
  <c r="AW1074" i="4"/>
  <c r="AW1085" i="4"/>
  <c r="AX1085" i="4" s="1"/>
  <c r="AW1084" i="4"/>
  <c r="AX1084" i="4" s="1"/>
  <c r="AW1076" i="4"/>
  <c r="AX1076" i="4" s="1"/>
  <c r="AW1089" i="4"/>
  <c r="AX1089" i="4" s="1"/>
  <c r="AW1082" i="4"/>
  <c r="AX1082" i="4" s="1"/>
  <c r="AW1093" i="4"/>
  <c r="AX1093" i="4" s="1"/>
  <c r="AW1078" i="4"/>
  <c r="AW1081" i="4"/>
  <c r="AX1081" i="4" s="1"/>
  <c r="AW1087" i="4"/>
  <c r="AW1077" i="4"/>
  <c r="AX1077" i="4" s="1"/>
  <c r="AW1095" i="4"/>
  <c r="AX1095" i="4" s="1"/>
  <c r="AW1091" i="4"/>
  <c r="AX1091" i="4" s="1"/>
  <c r="AW1094" i="4"/>
  <c r="AW1092" i="4"/>
  <c r="AX1092" i="4" s="1"/>
  <c r="AW1086" i="4"/>
  <c r="AW1083" i="4"/>
  <c r="AW1096" i="4"/>
  <c r="O1022" i="4"/>
  <c r="M1049" i="4"/>
  <c r="Q1054" i="4"/>
  <c r="R1054" i="4" s="1"/>
  <c r="AX1086" i="4"/>
  <c r="AX1083" i="4"/>
  <c r="AX1096" i="4"/>
  <c r="T1053" i="4"/>
  <c r="U1053" i="4"/>
  <c r="O1057" i="4"/>
  <c r="Q1030" i="4"/>
  <c r="R1030" i="4" s="1"/>
  <c r="S1030" i="4" s="1"/>
  <c r="F1031" i="4"/>
  <c r="AX1090" i="4"/>
  <c r="AX1087" i="4"/>
  <c r="U1056" i="4"/>
  <c r="T1056" i="4"/>
  <c r="U1024" i="4" l="1"/>
  <c r="T1024" i="4"/>
  <c r="S1051" i="4"/>
  <c r="S1057" i="4"/>
  <c r="U1030" i="4"/>
  <c r="T1030" i="4"/>
  <c r="T1023" i="4"/>
  <c r="S1050" i="4"/>
  <c r="U1023" i="4"/>
  <c r="S1060" i="4"/>
  <c r="U1033" i="4"/>
  <c r="T1033" i="4"/>
  <c r="Q1028" i="4"/>
  <c r="R1028" i="4" s="1"/>
  <c r="S1028" i="4" s="1"/>
  <c r="O1055" i="4"/>
  <c r="Q1057" i="4"/>
  <c r="R1057" i="4" s="1"/>
  <c r="M1058" i="4"/>
  <c r="O1031" i="4"/>
  <c r="Q1051" i="4"/>
  <c r="R1051" i="4" s="1"/>
  <c r="R1022" i="4"/>
  <c r="O1049" i="4"/>
  <c r="Q1022" i="4"/>
  <c r="M1052" i="4"/>
  <c r="O1025" i="4"/>
  <c r="T1059" i="4"/>
  <c r="U1059" i="4"/>
  <c r="AX1098" i="4"/>
  <c r="F1052" i="4"/>
  <c r="F1058" i="4"/>
  <c r="Q1050" i="4"/>
  <c r="R1050" i="4" s="1"/>
  <c r="Q1060" i="4"/>
  <c r="R1060" i="4" s="1"/>
  <c r="U1054" i="4"/>
  <c r="T1054" i="4"/>
  <c r="M1035" i="4"/>
  <c r="O1035" i="4" s="1"/>
  <c r="AW1098" i="4"/>
  <c r="S1055" i="4" l="1"/>
  <c r="U1028" i="4"/>
  <c r="T1028" i="4"/>
  <c r="Q1049" i="4"/>
  <c r="R1049" i="4" s="1"/>
  <c r="Q1055" i="4"/>
  <c r="R1055" i="4" s="1"/>
  <c r="S1022" i="4"/>
  <c r="T1057" i="4"/>
  <c r="U1057" i="4"/>
  <c r="Q1031" i="4"/>
  <c r="O1058" i="4"/>
  <c r="R1031" i="4"/>
  <c r="S1031" i="4" s="1"/>
  <c r="T1051" i="4"/>
  <c r="U1051" i="4"/>
  <c r="O1052" i="4"/>
  <c r="Q1025" i="4"/>
  <c r="R1025" i="4" s="1"/>
  <c r="U1060" i="4"/>
  <c r="T1060" i="4"/>
  <c r="Q1035" i="4"/>
  <c r="P1035" i="4" s="1"/>
  <c r="U1050" i="4"/>
  <c r="T1050" i="4"/>
  <c r="S1025" i="4" l="1"/>
  <c r="R1035" i="4"/>
  <c r="S1035" i="4" s="1"/>
  <c r="S1058" i="4"/>
  <c r="U1031" i="4"/>
  <c r="T1031" i="4"/>
  <c r="Q1058" i="4"/>
  <c r="R1058" i="4" s="1"/>
  <c r="Q1052" i="4"/>
  <c r="R1052" i="4" s="1"/>
  <c r="T1022" i="4"/>
  <c r="S1049" i="4"/>
  <c r="U1022" i="4"/>
  <c r="T1055" i="4"/>
  <c r="U1055" i="4"/>
  <c r="T1049" i="4" l="1"/>
  <c r="U1049" i="4"/>
  <c r="U1058" i="4"/>
  <c r="T1058" i="4"/>
  <c r="S1052" i="4"/>
  <c r="T1025" i="4"/>
  <c r="T1035" i="4" s="1"/>
  <c r="U1025" i="4"/>
  <c r="U1035" i="4" s="1"/>
  <c r="U1052" i="4" l="1"/>
  <c r="T1052" i="4"/>
  <c r="O1174" i="3" l="1"/>
  <c r="K1174" i="3"/>
  <c r="G1174" i="3"/>
  <c r="Q1171" i="3"/>
  <c r="M1171" i="3"/>
  <c r="G1171" i="3"/>
  <c r="I1171" i="3" s="1"/>
  <c r="E1171" i="3"/>
  <c r="C1171" i="3"/>
  <c r="Q1170" i="3"/>
  <c r="M1170" i="3"/>
  <c r="G1170" i="3"/>
  <c r="I1170" i="3" s="1"/>
  <c r="E1170" i="3"/>
  <c r="C1170" i="3"/>
  <c r="Q1169" i="3"/>
  <c r="R1171" i="3" s="1"/>
  <c r="M1169" i="3"/>
  <c r="N1171" i="3" s="1"/>
  <c r="G1169" i="3"/>
  <c r="I1169" i="3" s="1"/>
  <c r="J1171" i="3" s="1"/>
  <c r="E1169" i="3"/>
  <c r="C1169" i="3"/>
  <c r="Q1168" i="3"/>
  <c r="M1168" i="3"/>
  <c r="I1168" i="3"/>
  <c r="G1168" i="3"/>
  <c r="E1168" i="3"/>
  <c r="F1168" i="3" s="1"/>
  <c r="C1168" i="3"/>
  <c r="Q1167" i="3"/>
  <c r="M1167" i="3"/>
  <c r="N1168" i="3" s="1"/>
  <c r="G1167" i="3"/>
  <c r="I1167" i="3" s="1"/>
  <c r="E1167" i="3"/>
  <c r="C1167" i="3"/>
  <c r="Q1166" i="3"/>
  <c r="R1168" i="3" s="1"/>
  <c r="M1166" i="3"/>
  <c r="G1166" i="3"/>
  <c r="I1166" i="3" s="1"/>
  <c r="J1168" i="3" s="1"/>
  <c r="E1166" i="3"/>
  <c r="C1166" i="3"/>
  <c r="Q1165" i="3"/>
  <c r="N1165" i="3"/>
  <c r="M1165" i="3"/>
  <c r="I1165" i="3"/>
  <c r="G1165" i="3"/>
  <c r="E1165" i="3"/>
  <c r="C1165" i="3"/>
  <c r="Q1164" i="3"/>
  <c r="M1164" i="3"/>
  <c r="G1164" i="3"/>
  <c r="I1164" i="3" s="1"/>
  <c r="E1164" i="3"/>
  <c r="C1164" i="3"/>
  <c r="Q1163" i="3"/>
  <c r="M1163" i="3"/>
  <c r="I1163" i="3"/>
  <c r="J1165" i="3" s="1"/>
  <c r="G1163" i="3"/>
  <c r="E1163" i="3"/>
  <c r="F1165" i="3" s="1"/>
  <c r="C1163" i="3"/>
  <c r="Q1162" i="3"/>
  <c r="M1162" i="3"/>
  <c r="G1162" i="3"/>
  <c r="I1162" i="3" s="1"/>
  <c r="E1162" i="3"/>
  <c r="C1162" i="3"/>
  <c r="Q1161" i="3"/>
  <c r="M1161" i="3"/>
  <c r="I1161" i="3"/>
  <c r="J1162" i="3" s="1"/>
  <c r="G1161" i="3"/>
  <c r="E1161" i="3"/>
  <c r="C1161" i="3"/>
  <c r="Q1160" i="3"/>
  <c r="R1162" i="3" s="1"/>
  <c r="M1160" i="3"/>
  <c r="M1174" i="3" s="1"/>
  <c r="I1160" i="3"/>
  <c r="I1174" i="3" s="1"/>
  <c r="E1160" i="3"/>
  <c r="F1162" i="3" s="1"/>
  <c r="C1160" i="3"/>
  <c r="C1174" i="3" s="1"/>
  <c r="G1154" i="3"/>
  <c r="O1153" i="3"/>
  <c r="K1153" i="3"/>
  <c r="C1153" i="3"/>
  <c r="I1150" i="3"/>
  <c r="J1147" i="3"/>
  <c r="Q1146" i="3"/>
  <c r="P1122" i="3"/>
  <c r="O1122" i="3"/>
  <c r="J1122" i="3"/>
  <c r="I1122" i="3"/>
  <c r="L1122" i="3" s="1"/>
  <c r="G1122" i="3"/>
  <c r="F1122" i="3"/>
  <c r="P1121" i="3"/>
  <c r="O1121" i="3" s="1"/>
  <c r="L1121" i="3"/>
  <c r="J1121" i="3"/>
  <c r="I1121" i="3"/>
  <c r="G1121" i="3"/>
  <c r="F1121" i="3"/>
  <c r="P1120" i="3"/>
  <c r="O1120" i="3" s="1"/>
  <c r="N1120" i="3"/>
  <c r="J1120" i="3"/>
  <c r="I1120" i="3"/>
  <c r="F1120" i="3"/>
  <c r="P1119" i="3"/>
  <c r="O1119" i="3" s="1"/>
  <c r="N1119" i="3"/>
  <c r="J1119" i="3"/>
  <c r="I1119" i="3"/>
  <c r="F1119" i="3"/>
  <c r="P1118" i="3"/>
  <c r="O1118" i="3" s="1"/>
  <c r="N1118" i="3"/>
  <c r="J1118" i="3"/>
  <c r="I1118" i="3"/>
  <c r="F1118" i="3"/>
  <c r="P1117" i="3"/>
  <c r="O1117" i="3"/>
  <c r="N1117" i="3"/>
  <c r="L1117" i="3"/>
  <c r="J1117" i="3"/>
  <c r="I1117" i="3"/>
  <c r="G1117" i="3"/>
  <c r="F1117" i="3"/>
  <c r="P1116" i="3"/>
  <c r="O1116" i="3"/>
  <c r="N1116" i="3"/>
  <c r="L1116" i="3"/>
  <c r="J1116" i="3"/>
  <c r="I1116" i="3"/>
  <c r="G1116" i="3"/>
  <c r="F1116" i="3"/>
  <c r="P1115" i="3"/>
  <c r="O1115" i="3"/>
  <c r="N1115" i="3"/>
  <c r="L1115" i="3"/>
  <c r="J1115" i="3"/>
  <c r="I1115" i="3"/>
  <c r="G1115" i="3"/>
  <c r="F1115" i="3"/>
  <c r="P1114" i="3"/>
  <c r="O1114" i="3" s="1"/>
  <c r="J1114" i="3"/>
  <c r="I1114" i="3"/>
  <c r="F1114" i="3" s="1"/>
  <c r="P1113" i="3"/>
  <c r="O1113" i="3"/>
  <c r="J1113" i="3"/>
  <c r="L1113" i="3" s="1"/>
  <c r="I1113" i="3"/>
  <c r="F1113" i="3" s="1"/>
  <c r="G1113" i="3"/>
  <c r="N1112" i="3"/>
  <c r="P1112" i="3" s="1"/>
  <c r="O1112" i="3" s="1"/>
  <c r="J1112" i="3"/>
  <c r="L1112" i="3" s="1"/>
  <c r="I1112" i="3"/>
  <c r="F1112" i="3" s="1"/>
  <c r="G1112" i="3"/>
  <c r="P1111" i="3"/>
  <c r="O1111" i="3"/>
  <c r="L1111" i="3"/>
  <c r="J1111" i="3"/>
  <c r="I1111" i="3"/>
  <c r="F1111" i="3" s="1"/>
  <c r="G1111" i="3"/>
  <c r="B1105" i="3"/>
  <c r="B1102" i="3"/>
  <c r="Q1101" i="3"/>
  <c r="AD1097" i="3"/>
  <c r="C1095" i="3"/>
  <c r="B1095" i="3"/>
  <c r="C1094" i="3"/>
  <c r="B1094" i="3"/>
  <c r="B1093" i="3"/>
  <c r="B1092" i="3"/>
  <c r="D1091" i="3"/>
  <c r="B1091" i="3"/>
  <c r="D1090" i="3"/>
  <c r="C1090" i="3"/>
  <c r="B1090" i="3"/>
  <c r="D1089" i="3"/>
  <c r="C1089" i="3"/>
  <c r="B1089" i="3"/>
  <c r="C1088" i="3"/>
  <c r="B1088" i="3"/>
  <c r="AD1087" i="3"/>
  <c r="B1087" i="3"/>
  <c r="C1086" i="3"/>
  <c r="B1086" i="3"/>
  <c r="AD1085" i="3"/>
  <c r="C1085" i="3"/>
  <c r="AD1091" i="3" s="1"/>
  <c r="B1085" i="3"/>
  <c r="C1084" i="3"/>
  <c r="B1084" i="3"/>
  <c r="AE1081" i="3"/>
  <c r="B1080" i="3"/>
  <c r="B1077" i="3"/>
  <c r="Q1076" i="3"/>
  <c r="P1070" i="3"/>
  <c r="P1069" i="3"/>
  <c r="P1068" i="3"/>
  <c r="P1067" i="3"/>
  <c r="P1066" i="3"/>
  <c r="P1065" i="3"/>
  <c r="P1064" i="3"/>
  <c r="P1063" i="3"/>
  <c r="P1062" i="3"/>
  <c r="P1061" i="3"/>
  <c r="P1060" i="3"/>
  <c r="P1059" i="3"/>
  <c r="M1054" i="3"/>
  <c r="N1045" i="3"/>
  <c r="L1045" i="3"/>
  <c r="K1045" i="3"/>
  <c r="I1045" i="3"/>
  <c r="H1045" i="3"/>
  <c r="J1045" i="3" s="1"/>
  <c r="J1043" i="3"/>
  <c r="J1042" i="3"/>
  <c r="J1041" i="3"/>
  <c r="J1040" i="3"/>
  <c r="J1039" i="3"/>
  <c r="J1038" i="3"/>
  <c r="AR1037" i="3"/>
  <c r="AQ1037" i="3"/>
  <c r="AP1037" i="3"/>
  <c r="AO1037" i="3"/>
  <c r="AN1037" i="3"/>
  <c r="AM1037" i="3"/>
  <c r="AL1037" i="3"/>
  <c r="AK1037" i="3"/>
  <c r="AJ1037" i="3"/>
  <c r="AI1037" i="3"/>
  <c r="AH1037" i="3"/>
  <c r="AG1037" i="3"/>
  <c r="AF1037" i="3"/>
  <c r="AE1037" i="3"/>
  <c r="AD1037" i="3"/>
  <c r="J1037" i="3"/>
  <c r="J1036" i="3"/>
  <c r="J1035" i="3"/>
  <c r="J1034" i="3"/>
  <c r="J1033" i="3"/>
  <c r="J1032" i="3"/>
  <c r="AD1027" i="3"/>
  <c r="AD1024" i="3"/>
  <c r="B1024" i="3"/>
  <c r="AR1023" i="3"/>
  <c r="B1023" i="3"/>
  <c r="Q1022" i="3"/>
  <c r="G1013" i="3"/>
  <c r="AR1002" i="3"/>
  <c r="AQ1002" i="3"/>
  <c r="AP1002" i="3"/>
  <c r="AO1002" i="3"/>
  <c r="AN1002" i="3"/>
  <c r="AM1002" i="3"/>
  <c r="AL1002" i="3"/>
  <c r="AK1002" i="3"/>
  <c r="AJ1002" i="3"/>
  <c r="AI1002" i="3"/>
  <c r="AH1002" i="3"/>
  <c r="AG1002" i="3"/>
  <c r="AF1002" i="3"/>
  <c r="AE1002" i="3"/>
  <c r="AD1002" i="3"/>
  <c r="B997" i="3"/>
  <c r="B994" i="3"/>
  <c r="Q993" i="3"/>
  <c r="AD992" i="3"/>
  <c r="AD989" i="3"/>
  <c r="AR988" i="3"/>
  <c r="AD982" i="3"/>
  <c r="AH981" i="3"/>
  <c r="AG981" i="3"/>
  <c r="AE981" i="3"/>
  <c r="AE980" i="3"/>
  <c r="AG978" i="3"/>
  <c r="AS977" i="3"/>
  <c r="AH977" i="3"/>
  <c r="AD977" i="3"/>
  <c r="AS975" i="3"/>
  <c r="AF975" i="3"/>
  <c r="AE975" i="3"/>
  <c r="AD975" i="3"/>
  <c r="AH973" i="3"/>
  <c r="AR971" i="3"/>
  <c r="AQ971" i="3"/>
  <c r="AP971" i="3"/>
  <c r="AO971" i="3"/>
  <c r="AG971" i="3"/>
  <c r="AF971" i="3"/>
  <c r="AF979" i="3" s="1"/>
  <c r="AE971" i="3"/>
  <c r="AD971" i="3"/>
  <c r="AD979" i="3" s="1"/>
  <c r="B971" i="3"/>
  <c r="B968" i="3"/>
  <c r="Q967" i="3"/>
  <c r="AR966" i="3"/>
  <c r="AG966" i="3"/>
  <c r="AS963" i="3"/>
  <c r="AH963" i="3"/>
  <c r="AS961" i="3"/>
  <c r="T958" i="3"/>
  <c r="AE949" i="3" s="1"/>
  <c r="G958" i="3"/>
  <c r="F958" i="3"/>
  <c r="T957" i="3"/>
  <c r="G957" i="3"/>
  <c r="F957" i="3"/>
  <c r="F1014" i="3" s="1"/>
  <c r="AH1014" i="3" s="1"/>
  <c r="T956" i="3"/>
  <c r="G956" i="3"/>
  <c r="F956" i="3"/>
  <c r="AH982" i="3" s="1"/>
  <c r="T955" i="3"/>
  <c r="G955" i="3"/>
  <c r="G1012" i="3" s="1"/>
  <c r="F955" i="3"/>
  <c r="AD981" i="3" s="1"/>
  <c r="T954" i="3"/>
  <c r="AE945" i="3" s="1"/>
  <c r="G954" i="3"/>
  <c r="F954" i="3"/>
  <c r="T953" i="3"/>
  <c r="AH979" i="3" s="1"/>
  <c r="G953" i="3"/>
  <c r="F953" i="3"/>
  <c r="T952" i="3"/>
  <c r="G952" i="3"/>
  <c r="F952" i="3"/>
  <c r="AH978" i="3" s="1"/>
  <c r="T951" i="3"/>
  <c r="G951" i="3"/>
  <c r="G1008" i="3" s="1"/>
  <c r="F951" i="3"/>
  <c r="F1008" i="3" s="1"/>
  <c r="T950" i="3"/>
  <c r="AE941" i="3" s="1"/>
  <c r="G950" i="3"/>
  <c r="F950" i="3"/>
  <c r="AD949" i="3"/>
  <c r="T949" i="3"/>
  <c r="F1006" i="3" s="1"/>
  <c r="G949" i="3"/>
  <c r="F949" i="3"/>
  <c r="AE948" i="3"/>
  <c r="T948" i="3"/>
  <c r="G948" i="3"/>
  <c r="G1005" i="3" s="1"/>
  <c r="F948" i="3"/>
  <c r="AO947" i="3"/>
  <c r="AE947" i="3"/>
  <c r="AD947" i="3"/>
  <c r="T947" i="3"/>
  <c r="AE938" i="3" s="1"/>
  <c r="G947" i="3"/>
  <c r="F947" i="3"/>
  <c r="AO946" i="3"/>
  <c r="AE946" i="3"/>
  <c r="AD946" i="3"/>
  <c r="AD945" i="3"/>
  <c r="AO945" i="3" s="1"/>
  <c r="AE944" i="3"/>
  <c r="AD944" i="3"/>
  <c r="AO944" i="3" s="1"/>
  <c r="AE943" i="3"/>
  <c r="AD943" i="3"/>
  <c r="AE942" i="3"/>
  <c r="AD942" i="3"/>
  <c r="AO942" i="3" s="1"/>
  <c r="B942" i="3"/>
  <c r="AD941" i="3"/>
  <c r="AO940" i="3"/>
  <c r="AD940" i="3"/>
  <c r="AE939" i="3"/>
  <c r="AD939" i="3"/>
  <c r="AF939" i="3" s="1"/>
  <c r="B939" i="3"/>
  <c r="Q938" i="3"/>
  <c r="AF930" i="3"/>
  <c r="AS929" i="3"/>
  <c r="AN929" i="3"/>
  <c r="A920" i="3"/>
  <c r="A918" i="3"/>
  <c r="Q914" i="3"/>
  <c r="J910" i="3"/>
  <c r="D910" i="3"/>
  <c r="D932" i="3" s="1"/>
  <c r="P908" i="3"/>
  <c r="O908" i="3"/>
  <c r="N908" i="3"/>
  <c r="Q908" i="3" s="1"/>
  <c r="L908" i="3"/>
  <c r="K908" i="3"/>
  <c r="J908" i="3"/>
  <c r="H908" i="3"/>
  <c r="G908" i="3"/>
  <c r="F908" i="3"/>
  <c r="D908" i="3"/>
  <c r="C908" i="3"/>
  <c r="B908" i="3"/>
  <c r="P907" i="3"/>
  <c r="O907" i="3"/>
  <c r="Q907" i="3" s="1"/>
  <c r="N907" i="3"/>
  <c r="L907" i="3"/>
  <c r="K907" i="3"/>
  <c r="J907" i="3"/>
  <c r="H907" i="3"/>
  <c r="G907" i="3"/>
  <c r="G909" i="3" s="1"/>
  <c r="F907" i="3"/>
  <c r="D907" i="3"/>
  <c r="C907" i="3"/>
  <c r="B907" i="3"/>
  <c r="P906" i="3"/>
  <c r="O906" i="3"/>
  <c r="N906" i="3"/>
  <c r="L906" i="3"/>
  <c r="K906" i="3"/>
  <c r="J906" i="3"/>
  <c r="M906" i="3" s="1"/>
  <c r="H906" i="3"/>
  <c r="H909" i="3" s="1"/>
  <c r="G906" i="3"/>
  <c r="F906" i="3"/>
  <c r="D906" i="3"/>
  <c r="D909" i="3" s="1"/>
  <c r="C906" i="3"/>
  <c r="B906" i="3"/>
  <c r="P905" i="3"/>
  <c r="O905" i="3"/>
  <c r="N905" i="3"/>
  <c r="Q905" i="3" s="1"/>
  <c r="M905" i="3"/>
  <c r="L905" i="3"/>
  <c r="K905" i="3"/>
  <c r="J905" i="3"/>
  <c r="H905" i="3"/>
  <c r="G905" i="3"/>
  <c r="F905" i="3"/>
  <c r="I905" i="3" s="1"/>
  <c r="E905" i="3"/>
  <c r="D905" i="3"/>
  <c r="C905" i="3"/>
  <c r="B905" i="3"/>
  <c r="P904" i="3"/>
  <c r="P910" i="3" s="1"/>
  <c r="P932" i="3" s="1"/>
  <c r="O904" i="3"/>
  <c r="N904" i="3"/>
  <c r="Q904" i="3" s="1"/>
  <c r="L904" i="3"/>
  <c r="L910" i="3" s="1"/>
  <c r="L932" i="3" s="1"/>
  <c r="K904" i="3"/>
  <c r="J904" i="3"/>
  <c r="H904" i="3"/>
  <c r="H910" i="3" s="1"/>
  <c r="H932" i="3" s="1"/>
  <c r="G904" i="3"/>
  <c r="F904" i="3"/>
  <c r="F910" i="3" s="1"/>
  <c r="D904" i="3"/>
  <c r="C904" i="3"/>
  <c r="B904" i="3"/>
  <c r="E904" i="3" s="1"/>
  <c r="P903" i="3"/>
  <c r="O903" i="3"/>
  <c r="N903" i="3"/>
  <c r="L903" i="3"/>
  <c r="K903" i="3"/>
  <c r="J903" i="3"/>
  <c r="H903" i="3"/>
  <c r="G903" i="3"/>
  <c r="F903" i="3"/>
  <c r="D903" i="3"/>
  <c r="C903" i="3"/>
  <c r="B903" i="3"/>
  <c r="J901" i="3"/>
  <c r="J930" i="3" s="1"/>
  <c r="J900" i="3"/>
  <c r="P899" i="3"/>
  <c r="O899" i="3"/>
  <c r="Q899" i="3" s="1"/>
  <c r="N899" i="3"/>
  <c r="L899" i="3"/>
  <c r="J899" i="3"/>
  <c r="H899" i="3"/>
  <c r="G899" i="3"/>
  <c r="I899" i="3" s="1"/>
  <c r="F899" i="3"/>
  <c r="D899" i="3"/>
  <c r="C899" i="3"/>
  <c r="P896" i="3"/>
  <c r="O896" i="3"/>
  <c r="N896" i="3"/>
  <c r="Q896" i="3" s="1"/>
  <c r="L896" i="3"/>
  <c r="K896" i="3"/>
  <c r="M896" i="3" s="1"/>
  <c r="J896" i="3"/>
  <c r="H896" i="3"/>
  <c r="G896" i="3"/>
  <c r="F896" i="3"/>
  <c r="I896" i="3" s="1"/>
  <c r="D896" i="3"/>
  <c r="C896" i="3"/>
  <c r="E896" i="3" s="1"/>
  <c r="B896" i="3"/>
  <c r="P895" i="3"/>
  <c r="P897" i="3" s="1"/>
  <c r="P928" i="3" s="1"/>
  <c r="O895" i="3"/>
  <c r="B895" i="3"/>
  <c r="B897" i="3" s="1"/>
  <c r="P894" i="3"/>
  <c r="O894" i="3"/>
  <c r="O897" i="3" s="1"/>
  <c r="O928" i="3" s="1"/>
  <c r="N894" i="3"/>
  <c r="L894" i="3"/>
  <c r="K894" i="3"/>
  <c r="J894" i="3"/>
  <c r="H894" i="3"/>
  <c r="G894" i="3"/>
  <c r="F894" i="3"/>
  <c r="D894" i="3"/>
  <c r="C894" i="3"/>
  <c r="B894" i="3"/>
  <c r="P891" i="3"/>
  <c r="O891" i="3"/>
  <c r="N891" i="3"/>
  <c r="L891" i="3"/>
  <c r="K891" i="3"/>
  <c r="J891" i="3"/>
  <c r="H891" i="3"/>
  <c r="G891" i="3"/>
  <c r="F891" i="3"/>
  <c r="D891" i="3"/>
  <c r="C891" i="3"/>
  <c r="B891" i="3"/>
  <c r="E891" i="3" s="1"/>
  <c r="P890" i="3"/>
  <c r="O890" i="3"/>
  <c r="Q890" i="3" s="1"/>
  <c r="N890" i="3"/>
  <c r="L890" i="3"/>
  <c r="M890" i="3" s="1"/>
  <c r="K890" i="3"/>
  <c r="J890" i="3"/>
  <c r="H890" i="3"/>
  <c r="G890" i="3"/>
  <c r="I890" i="3" s="1"/>
  <c r="F890" i="3"/>
  <c r="D890" i="3"/>
  <c r="E890" i="3" s="1"/>
  <c r="R890" i="3" s="1"/>
  <c r="C890" i="3"/>
  <c r="B890" i="3"/>
  <c r="P889" i="3"/>
  <c r="O889" i="3"/>
  <c r="N889" i="3"/>
  <c r="Q889" i="3" s="1"/>
  <c r="M889" i="3"/>
  <c r="L889" i="3"/>
  <c r="K889" i="3"/>
  <c r="J889" i="3"/>
  <c r="H889" i="3"/>
  <c r="G889" i="3"/>
  <c r="F889" i="3"/>
  <c r="I889" i="3" s="1"/>
  <c r="E889" i="3"/>
  <c r="R889" i="3" s="1"/>
  <c r="D889" i="3"/>
  <c r="C889" i="3"/>
  <c r="B889" i="3"/>
  <c r="P888" i="3"/>
  <c r="O888" i="3"/>
  <c r="N888" i="3"/>
  <c r="Q888" i="3" s="1"/>
  <c r="L888" i="3"/>
  <c r="K888" i="3"/>
  <c r="J888" i="3"/>
  <c r="M888" i="3" s="1"/>
  <c r="H888" i="3"/>
  <c r="G888" i="3"/>
  <c r="F888" i="3"/>
  <c r="D888" i="3"/>
  <c r="C888" i="3"/>
  <c r="B888" i="3"/>
  <c r="E888" i="3" s="1"/>
  <c r="Q887" i="3"/>
  <c r="P887" i="3"/>
  <c r="O887" i="3"/>
  <c r="N887" i="3"/>
  <c r="M887" i="3"/>
  <c r="L887" i="3"/>
  <c r="K887" i="3"/>
  <c r="J887" i="3"/>
  <c r="I887" i="3"/>
  <c r="H887" i="3"/>
  <c r="G887" i="3"/>
  <c r="F887" i="3"/>
  <c r="E887" i="3"/>
  <c r="D887" i="3"/>
  <c r="C887" i="3"/>
  <c r="B887" i="3"/>
  <c r="A879" i="3"/>
  <c r="A877" i="3"/>
  <c r="Q873" i="3"/>
  <c r="K870" i="3"/>
  <c r="P868" i="3"/>
  <c r="Q866" i="3"/>
  <c r="M866" i="3"/>
  <c r="I866" i="3"/>
  <c r="E866" i="3"/>
  <c r="R866" i="3" s="1"/>
  <c r="F865" i="3"/>
  <c r="P864" i="3"/>
  <c r="O864" i="3"/>
  <c r="N864" i="3"/>
  <c r="L864" i="3"/>
  <c r="K864" i="3"/>
  <c r="M864" i="3" s="1"/>
  <c r="J864" i="3"/>
  <c r="H864" i="3"/>
  <c r="G864" i="3"/>
  <c r="F864" i="3"/>
  <c r="D864" i="3"/>
  <c r="C864" i="3"/>
  <c r="E864" i="3" s="1"/>
  <c r="B864" i="3"/>
  <c r="P863" i="3"/>
  <c r="O863" i="3"/>
  <c r="N863" i="3"/>
  <c r="L863" i="3"/>
  <c r="K863" i="3"/>
  <c r="J863" i="3"/>
  <c r="M863" i="3" s="1"/>
  <c r="H863" i="3"/>
  <c r="G863" i="3"/>
  <c r="F863" i="3"/>
  <c r="I863" i="3" s="1"/>
  <c r="D863" i="3"/>
  <c r="C863" i="3"/>
  <c r="B863" i="3"/>
  <c r="E863" i="3" s="1"/>
  <c r="Q860" i="3"/>
  <c r="M860" i="3"/>
  <c r="I860" i="3"/>
  <c r="E860" i="3"/>
  <c r="R860" i="3" s="1"/>
  <c r="Q859" i="3"/>
  <c r="M859" i="3"/>
  <c r="I859" i="3"/>
  <c r="E859" i="3"/>
  <c r="R859" i="3" s="1"/>
  <c r="Q857" i="3"/>
  <c r="M857" i="3"/>
  <c r="I857" i="3"/>
  <c r="R857" i="3" s="1"/>
  <c r="E857" i="3"/>
  <c r="Q856" i="3"/>
  <c r="M856" i="3"/>
  <c r="I856" i="3"/>
  <c r="E856" i="3"/>
  <c r="R856" i="3" s="1"/>
  <c r="Q853" i="3"/>
  <c r="P853" i="3"/>
  <c r="O853" i="3"/>
  <c r="N853" i="3"/>
  <c r="M853" i="3"/>
  <c r="L853" i="3"/>
  <c r="K853" i="3"/>
  <c r="J853" i="3"/>
  <c r="I853" i="3"/>
  <c r="H853" i="3"/>
  <c r="G853" i="3"/>
  <c r="F853" i="3"/>
  <c r="E853" i="3"/>
  <c r="R853" i="3" s="1"/>
  <c r="D853" i="3"/>
  <c r="C853" i="3"/>
  <c r="B853" i="3"/>
  <c r="Q852" i="3"/>
  <c r="M852" i="3"/>
  <c r="I852" i="3"/>
  <c r="E852" i="3"/>
  <c r="R852" i="3" s="1"/>
  <c r="Q851" i="3"/>
  <c r="M851" i="3"/>
  <c r="I851" i="3"/>
  <c r="R851" i="3" s="1"/>
  <c r="E851" i="3"/>
  <c r="Q850" i="3"/>
  <c r="M850" i="3"/>
  <c r="I850" i="3"/>
  <c r="E850" i="3"/>
  <c r="R850" i="3" s="1"/>
  <c r="Q849" i="3"/>
  <c r="M849" i="3"/>
  <c r="I849" i="3"/>
  <c r="E849" i="3"/>
  <c r="R849" i="3" s="1"/>
  <c r="R848" i="3"/>
  <c r="Q848" i="3"/>
  <c r="M848" i="3"/>
  <c r="I848" i="3"/>
  <c r="E848" i="3"/>
  <c r="Q847" i="3"/>
  <c r="M847" i="3"/>
  <c r="I847" i="3"/>
  <c r="E847" i="3"/>
  <c r="R845" i="3"/>
  <c r="Q845" i="3"/>
  <c r="M845" i="3"/>
  <c r="I845" i="3"/>
  <c r="E845" i="3"/>
  <c r="Q844" i="3"/>
  <c r="M844" i="3"/>
  <c r="I844" i="3"/>
  <c r="E844" i="3"/>
  <c r="P841" i="3"/>
  <c r="O841" i="3"/>
  <c r="N841" i="3"/>
  <c r="L841" i="3"/>
  <c r="K841" i="3"/>
  <c r="J841" i="3"/>
  <c r="M841" i="3" s="1"/>
  <c r="H841" i="3"/>
  <c r="G841" i="3"/>
  <c r="F841" i="3"/>
  <c r="I841" i="3" s="1"/>
  <c r="D841" i="3"/>
  <c r="C841" i="3"/>
  <c r="B841" i="3"/>
  <c r="E841" i="3" s="1"/>
  <c r="Q839" i="3"/>
  <c r="M839" i="3"/>
  <c r="I839" i="3"/>
  <c r="E839" i="3"/>
  <c r="P836" i="3"/>
  <c r="P865" i="3" s="1"/>
  <c r="O836" i="3"/>
  <c r="O865" i="3" s="1"/>
  <c r="O868" i="3" s="1"/>
  <c r="N836" i="3"/>
  <c r="Q836" i="3" s="1"/>
  <c r="L836" i="3"/>
  <c r="L865" i="3" s="1"/>
  <c r="L868" i="3" s="1"/>
  <c r="K836" i="3"/>
  <c r="K865" i="3" s="1"/>
  <c r="K868" i="3" s="1"/>
  <c r="J836" i="3"/>
  <c r="J865" i="3" s="1"/>
  <c r="H836" i="3"/>
  <c r="H865" i="3" s="1"/>
  <c r="H868" i="3" s="1"/>
  <c r="H870" i="3" s="1"/>
  <c r="G836" i="3"/>
  <c r="F836" i="3"/>
  <c r="I836" i="3" s="1"/>
  <c r="D836" i="3"/>
  <c r="D865" i="3" s="1"/>
  <c r="D868" i="3" s="1"/>
  <c r="C836" i="3"/>
  <c r="C865" i="3" s="1"/>
  <c r="C868" i="3" s="1"/>
  <c r="B836" i="3"/>
  <c r="B865" i="3" s="1"/>
  <c r="Q834" i="3"/>
  <c r="M834" i="3"/>
  <c r="I834" i="3"/>
  <c r="E834" i="3"/>
  <c r="R834" i="3" s="1"/>
  <c r="R831" i="3"/>
  <c r="Q831" i="3"/>
  <c r="M831" i="3"/>
  <c r="I831" i="3"/>
  <c r="E831" i="3"/>
  <c r="Q830" i="3"/>
  <c r="M830" i="3"/>
  <c r="I830" i="3"/>
  <c r="E830" i="3"/>
  <c r="R830" i="3" s="1"/>
  <c r="R829" i="3"/>
  <c r="Q829" i="3"/>
  <c r="M829" i="3"/>
  <c r="I829" i="3"/>
  <c r="E829" i="3"/>
  <c r="Q828" i="3"/>
  <c r="M828" i="3"/>
  <c r="I828" i="3"/>
  <c r="E828" i="3"/>
  <c r="R828" i="3" s="1"/>
  <c r="Q827" i="3"/>
  <c r="M827" i="3"/>
  <c r="I827" i="3"/>
  <c r="E827" i="3"/>
  <c r="R827" i="3" s="1"/>
  <c r="Q826" i="3"/>
  <c r="M826" i="3"/>
  <c r="I826" i="3"/>
  <c r="R826" i="3" s="1"/>
  <c r="E826" i="3"/>
  <c r="D818" i="3"/>
  <c r="R814" i="3"/>
  <c r="Q814" i="3"/>
  <c r="M814" i="3"/>
  <c r="I814" i="3"/>
  <c r="E814" i="3"/>
  <c r="Q813" i="3"/>
  <c r="M813" i="3"/>
  <c r="I813" i="3"/>
  <c r="E813" i="3"/>
  <c r="R813" i="3" s="1"/>
  <c r="L812" i="3"/>
  <c r="L816" i="3" s="1"/>
  <c r="J812" i="3"/>
  <c r="J816" i="3" s="1"/>
  <c r="D812" i="3"/>
  <c r="D816" i="3" s="1"/>
  <c r="B812" i="3"/>
  <c r="B816" i="3" s="1"/>
  <c r="Q811" i="3"/>
  <c r="P811" i="3"/>
  <c r="O811" i="3"/>
  <c r="N811" i="3"/>
  <c r="M811" i="3"/>
  <c r="L811" i="3"/>
  <c r="K811" i="3"/>
  <c r="J811" i="3"/>
  <c r="I811" i="3"/>
  <c r="H811" i="3"/>
  <c r="G811" i="3"/>
  <c r="F811" i="3"/>
  <c r="E811" i="3"/>
  <c r="R811" i="3" s="1"/>
  <c r="D811" i="3"/>
  <c r="C811" i="3"/>
  <c r="B811" i="3"/>
  <c r="P810" i="3"/>
  <c r="O810" i="3"/>
  <c r="N810" i="3"/>
  <c r="Q810" i="3" s="1"/>
  <c r="L810" i="3"/>
  <c r="K810" i="3"/>
  <c r="J810" i="3"/>
  <c r="M810" i="3" s="1"/>
  <c r="H810" i="3"/>
  <c r="G810" i="3"/>
  <c r="F810" i="3"/>
  <c r="I810" i="3" s="1"/>
  <c r="D810" i="3"/>
  <c r="C810" i="3"/>
  <c r="B810" i="3"/>
  <c r="E810" i="3" s="1"/>
  <c r="P804" i="3"/>
  <c r="O804" i="3"/>
  <c r="N804" i="3"/>
  <c r="M804" i="3"/>
  <c r="L804" i="3"/>
  <c r="K804" i="3"/>
  <c r="K812" i="3" s="1"/>
  <c r="K816" i="3" s="1"/>
  <c r="J804" i="3"/>
  <c r="H804" i="3"/>
  <c r="G804" i="3"/>
  <c r="F804" i="3"/>
  <c r="E804" i="3"/>
  <c r="D804" i="3"/>
  <c r="C804" i="3"/>
  <c r="C812" i="3" s="1"/>
  <c r="C816" i="3" s="1"/>
  <c r="B804" i="3"/>
  <c r="P800" i="3"/>
  <c r="P812" i="3" s="1"/>
  <c r="P816" i="3" s="1"/>
  <c r="O800" i="3"/>
  <c r="N800" i="3"/>
  <c r="N812" i="3" s="1"/>
  <c r="L800" i="3"/>
  <c r="K800" i="3"/>
  <c r="J800" i="3"/>
  <c r="M800" i="3" s="1"/>
  <c r="H800" i="3"/>
  <c r="H812" i="3" s="1"/>
  <c r="H816" i="3" s="1"/>
  <c r="G800" i="3"/>
  <c r="F800" i="3"/>
  <c r="F812" i="3" s="1"/>
  <c r="D800" i="3"/>
  <c r="C800" i="3"/>
  <c r="B800" i="3"/>
  <c r="E800" i="3" s="1"/>
  <c r="Q796" i="3"/>
  <c r="P796" i="3"/>
  <c r="O796" i="3"/>
  <c r="O812" i="3" s="1"/>
  <c r="O816" i="3" s="1"/>
  <c r="N796" i="3"/>
  <c r="M796" i="3"/>
  <c r="L796" i="3"/>
  <c r="K796" i="3"/>
  <c r="J796" i="3"/>
  <c r="I796" i="3"/>
  <c r="H796" i="3"/>
  <c r="G796" i="3"/>
  <c r="G812" i="3" s="1"/>
  <c r="G816" i="3" s="1"/>
  <c r="F796" i="3"/>
  <c r="E796" i="3"/>
  <c r="R796" i="3" s="1"/>
  <c r="D796" i="3"/>
  <c r="C796" i="3"/>
  <c r="B796" i="3"/>
  <c r="R792" i="3"/>
  <c r="Q792" i="3"/>
  <c r="M792" i="3"/>
  <c r="I792" i="3"/>
  <c r="E792" i="3"/>
  <c r="P782" i="3"/>
  <c r="O782" i="3"/>
  <c r="N782" i="3"/>
  <c r="L782" i="3"/>
  <c r="K782" i="3"/>
  <c r="J782" i="3"/>
  <c r="M782" i="3" s="1"/>
  <c r="H782" i="3"/>
  <c r="G782" i="3"/>
  <c r="F782" i="3"/>
  <c r="D782" i="3"/>
  <c r="C782" i="3"/>
  <c r="B782" i="3"/>
  <c r="E782" i="3" s="1"/>
  <c r="Q780" i="3"/>
  <c r="M780" i="3"/>
  <c r="I780" i="3"/>
  <c r="E780" i="3"/>
  <c r="R780" i="3" s="1"/>
  <c r="O772" i="3"/>
  <c r="K772" i="3"/>
  <c r="G772" i="3"/>
  <c r="Q770" i="3"/>
  <c r="M770" i="3"/>
  <c r="I770" i="3"/>
  <c r="E770" i="3"/>
  <c r="K769" i="3"/>
  <c r="C769" i="3"/>
  <c r="C772" i="3" s="1"/>
  <c r="P768" i="3"/>
  <c r="O768" i="3"/>
  <c r="N768" i="3"/>
  <c r="Q768" i="3" s="1"/>
  <c r="L768" i="3"/>
  <c r="K768" i="3"/>
  <c r="J768" i="3"/>
  <c r="M768" i="3" s="1"/>
  <c r="H768" i="3"/>
  <c r="G768" i="3"/>
  <c r="F768" i="3"/>
  <c r="I768" i="3" s="1"/>
  <c r="D768" i="3"/>
  <c r="C768" i="3"/>
  <c r="B768" i="3"/>
  <c r="P767" i="3"/>
  <c r="O767" i="3"/>
  <c r="N767" i="3"/>
  <c r="M767" i="3"/>
  <c r="L767" i="3"/>
  <c r="K767" i="3"/>
  <c r="J767" i="3"/>
  <c r="H767" i="3"/>
  <c r="G767" i="3"/>
  <c r="F767" i="3"/>
  <c r="I767" i="3" s="1"/>
  <c r="E767" i="3"/>
  <c r="D767" i="3"/>
  <c r="C767" i="3"/>
  <c r="B767" i="3"/>
  <c r="Q764" i="3"/>
  <c r="M764" i="3"/>
  <c r="I764" i="3"/>
  <c r="E764" i="3"/>
  <c r="R764" i="3" s="1"/>
  <c r="Q763" i="3"/>
  <c r="M763" i="3"/>
  <c r="I763" i="3"/>
  <c r="E763" i="3"/>
  <c r="R763" i="3" s="1"/>
  <c r="Q762" i="3"/>
  <c r="M762" i="3"/>
  <c r="I762" i="3"/>
  <c r="E762" i="3"/>
  <c r="R762" i="3" s="1"/>
  <c r="Q761" i="3"/>
  <c r="M761" i="3"/>
  <c r="I761" i="3"/>
  <c r="E761" i="3"/>
  <c r="P757" i="3"/>
  <c r="O757" i="3"/>
  <c r="N757" i="3"/>
  <c r="Q757" i="3" s="1"/>
  <c r="L757" i="3"/>
  <c r="K757" i="3"/>
  <c r="J757" i="3"/>
  <c r="M757" i="3" s="1"/>
  <c r="H757" i="3"/>
  <c r="G757" i="3"/>
  <c r="F757" i="3"/>
  <c r="D757" i="3"/>
  <c r="C757" i="3"/>
  <c r="B757" i="3"/>
  <c r="Q756" i="3"/>
  <c r="M756" i="3"/>
  <c r="I756" i="3"/>
  <c r="R756" i="3" s="1"/>
  <c r="E756" i="3"/>
  <c r="Q755" i="3"/>
  <c r="M755" i="3"/>
  <c r="R755" i="3" s="1"/>
  <c r="I755" i="3"/>
  <c r="E755" i="3"/>
  <c r="Q754" i="3"/>
  <c r="M754" i="3"/>
  <c r="I754" i="3"/>
  <c r="E754" i="3"/>
  <c r="R754" i="3" s="1"/>
  <c r="R753" i="3"/>
  <c r="Q753" i="3"/>
  <c r="M753" i="3"/>
  <c r="I753" i="3"/>
  <c r="E753" i="3"/>
  <c r="Q752" i="3"/>
  <c r="M752" i="3"/>
  <c r="I752" i="3"/>
  <c r="E752" i="3"/>
  <c r="R752" i="3" s="1"/>
  <c r="Q751" i="3"/>
  <c r="M751" i="3"/>
  <c r="I751" i="3"/>
  <c r="E751" i="3"/>
  <c r="R751" i="3" s="1"/>
  <c r="Q750" i="3"/>
  <c r="M750" i="3"/>
  <c r="I750" i="3"/>
  <c r="R750" i="3" s="1"/>
  <c r="E750" i="3"/>
  <c r="Q749" i="3"/>
  <c r="M749" i="3"/>
  <c r="I749" i="3"/>
  <c r="E749" i="3"/>
  <c r="R749" i="3" s="1"/>
  <c r="Q748" i="3"/>
  <c r="M748" i="3"/>
  <c r="I748" i="3"/>
  <c r="R748" i="3" s="1"/>
  <c r="E748" i="3"/>
  <c r="Q746" i="3"/>
  <c r="M746" i="3"/>
  <c r="R746" i="3" s="1"/>
  <c r="K746" i="3"/>
  <c r="K899" i="3" s="1"/>
  <c r="I746" i="3"/>
  <c r="E746" i="3"/>
  <c r="P743" i="3"/>
  <c r="O743" i="3"/>
  <c r="N743" i="3"/>
  <c r="L743" i="3"/>
  <c r="K743" i="3"/>
  <c r="J743" i="3"/>
  <c r="M743" i="3" s="1"/>
  <c r="H743" i="3"/>
  <c r="G743" i="3"/>
  <c r="F743" i="3"/>
  <c r="I743" i="3" s="1"/>
  <c r="D743" i="3"/>
  <c r="C743" i="3"/>
  <c r="B743" i="3"/>
  <c r="Q739" i="3"/>
  <c r="P739" i="3"/>
  <c r="O739" i="3"/>
  <c r="O769" i="3" s="1"/>
  <c r="K739" i="3"/>
  <c r="G739" i="3"/>
  <c r="G769" i="3" s="1"/>
  <c r="C739" i="3"/>
  <c r="R735" i="3"/>
  <c r="Q735" i="3"/>
  <c r="M735" i="3"/>
  <c r="I735" i="3"/>
  <c r="E735" i="3"/>
  <c r="Q734" i="3"/>
  <c r="M734" i="3"/>
  <c r="I734" i="3"/>
  <c r="E734" i="3"/>
  <c r="Q733" i="3"/>
  <c r="M733" i="3"/>
  <c r="R733" i="3" s="1"/>
  <c r="I733" i="3"/>
  <c r="E733" i="3"/>
  <c r="Q732" i="3"/>
  <c r="M732" i="3"/>
  <c r="I732" i="3"/>
  <c r="E732" i="3"/>
  <c r="R731" i="3"/>
  <c r="Q731" i="3"/>
  <c r="M731" i="3"/>
  <c r="I731" i="3"/>
  <c r="E731" i="3"/>
  <c r="Q730" i="3"/>
  <c r="P730" i="3"/>
  <c r="N730" i="3"/>
  <c r="N739" i="3" s="1"/>
  <c r="L730" i="3"/>
  <c r="L739" i="3" s="1"/>
  <c r="K730" i="3"/>
  <c r="J730" i="3"/>
  <c r="H730" i="3"/>
  <c r="H739" i="3" s="1"/>
  <c r="G730" i="3"/>
  <c r="F730" i="3"/>
  <c r="D730" i="3"/>
  <c r="D739" i="3" s="1"/>
  <c r="C730" i="3"/>
  <c r="B730" i="3"/>
  <c r="L720" i="3"/>
  <c r="Q718" i="3"/>
  <c r="M718" i="3"/>
  <c r="I718" i="3"/>
  <c r="R718" i="3" s="1"/>
  <c r="E718" i="3"/>
  <c r="N717" i="3"/>
  <c r="Q716" i="3"/>
  <c r="P716" i="3"/>
  <c r="O716" i="3"/>
  <c r="N716" i="3"/>
  <c r="L716" i="3"/>
  <c r="K716" i="3"/>
  <c r="J716" i="3"/>
  <c r="M716" i="3" s="1"/>
  <c r="H716" i="3"/>
  <c r="G716" i="3"/>
  <c r="I716" i="3" s="1"/>
  <c r="F716" i="3"/>
  <c r="D716" i="3"/>
  <c r="C716" i="3"/>
  <c r="B716" i="3"/>
  <c r="P715" i="3"/>
  <c r="O715" i="3"/>
  <c r="N715" i="3"/>
  <c r="Q715" i="3" s="1"/>
  <c r="L715" i="3"/>
  <c r="K715" i="3"/>
  <c r="J715" i="3"/>
  <c r="M715" i="3" s="1"/>
  <c r="H715" i="3"/>
  <c r="G715" i="3"/>
  <c r="F715" i="3"/>
  <c r="I715" i="3" s="1"/>
  <c r="D715" i="3"/>
  <c r="C715" i="3"/>
  <c r="B715" i="3"/>
  <c r="Q712" i="3"/>
  <c r="M712" i="3"/>
  <c r="I712" i="3"/>
  <c r="E712" i="3"/>
  <c r="P708" i="3"/>
  <c r="O708" i="3"/>
  <c r="N708" i="3"/>
  <c r="L708" i="3"/>
  <c r="K708" i="3"/>
  <c r="J708" i="3"/>
  <c r="M708" i="3" s="1"/>
  <c r="H708" i="3"/>
  <c r="G708" i="3"/>
  <c r="F708" i="3"/>
  <c r="D708" i="3"/>
  <c r="C708" i="3"/>
  <c r="B708" i="3"/>
  <c r="E708" i="3" s="1"/>
  <c r="Q704" i="3"/>
  <c r="P704" i="3"/>
  <c r="O704" i="3"/>
  <c r="N704" i="3"/>
  <c r="L704" i="3"/>
  <c r="K704" i="3"/>
  <c r="J704" i="3"/>
  <c r="I704" i="3"/>
  <c r="H704" i="3"/>
  <c r="G704" i="3"/>
  <c r="F704" i="3"/>
  <c r="D704" i="3"/>
  <c r="C704" i="3"/>
  <c r="B704" i="3"/>
  <c r="E704" i="3" s="1"/>
  <c r="P700" i="3"/>
  <c r="P717" i="3" s="1"/>
  <c r="P720" i="3" s="1"/>
  <c r="O700" i="3"/>
  <c r="O717" i="3" s="1"/>
  <c r="O720" i="3" s="1"/>
  <c r="N700" i="3"/>
  <c r="L700" i="3"/>
  <c r="L717" i="3" s="1"/>
  <c r="K700" i="3"/>
  <c r="J700" i="3"/>
  <c r="M700" i="3" s="1"/>
  <c r="H700" i="3"/>
  <c r="H717" i="3" s="1"/>
  <c r="H720" i="3" s="1"/>
  <c r="G700" i="3"/>
  <c r="F700" i="3"/>
  <c r="I700" i="3" s="1"/>
  <c r="D700" i="3"/>
  <c r="D717" i="3" s="1"/>
  <c r="D720" i="3" s="1"/>
  <c r="C700" i="3"/>
  <c r="B700" i="3"/>
  <c r="Q696" i="3"/>
  <c r="M696" i="3"/>
  <c r="I696" i="3"/>
  <c r="E696" i="3"/>
  <c r="Q695" i="3"/>
  <c r="R695" i="3" s="1"/>
  <c r="M695" i="3"/>
  <c r="I695" i="3"/>
  <c r="E695" i="3"/>
  <c r="Q694" i="3"/>
  <c r="M694" i="3"/>
  <c r="I694" i="3"/>
  <c r="E694" i="3"/>
  <c r="R694" i="3" s="1"/>
  <c r="Q684" i="3"/>
  <c r="P684" i="3"/>
  <c r="O684" i="3"/>
  <c r="N684" i="3"/>
  <c r="L684" i="3"/>
  <c r="K684" i="3"/>
  <c r="J684" i="3"/>
  <c r="I684" i="3"/>
  <c r="H684" i="3"/>
  <c r="G684" i="3"/>
  <c r="F684" i="3"/>
  <c r="D684" i="3"/>
  <c r="C684" i="3"/>
  <c r="B684" i="3"/>
  <c r="R682" i="3"/>
  <c r="Q682" i="3"/>
  <c r="M682" i="3"/>
  <c r="I682" i="3"/>
  <c r="E682" i="3"/>
  <c r="Q672" i="3"/>
  <c r="M672" i="3"/>
  <c r="I672" i="3"/>
  <c r="E672" i="3"/>
  <c r="R672" i="3" s="1"/>
  <c r="P671" i="3"/>
  <c r="P674" i="3" s="1"/>
  <c r="P670" i="3"/>
  <c r="O670" i="3"/>
  <c r="Q670" i="3" s="1"/>
  <c r="N670" i="3"/>
  <c r="L670" i="3"/>
  <c r="K670" i="3"/>
  <c r="J670" i="3"/>
  <c r="H670" i="3"/>
  <c r="G670" i="3"/>
  <c r="I670" i="3" s="1"/>
  <c r="F670" i="3"/>
  <c r="D670" i="3"/>
  <c r="C670" i="3"/>
  <c r="B670" i="3"/>
  <c r="P669" i="3"/>
  <c r="O669" i="3"/>
  <c r="N669" i="3"/>
  <c r="L669" i="3"/>
  <c r="K669" i="3"/>
  <c r="J669" i="3"/>
  <c r="H669" i="3"/>
  <c r="G669" i="3"/>
  <c r="F669" i="3"/>
  <c r="I669" i="3" s="1"/>
  <c r="D669" i="3"/>
  <c r="C669" i="3"/>
  <c r="B669" i="3"/>
  <c r="Q668" i="3"/>
  <c r="M668" i="3"/>
  <c r="I668" i="3"/>
  <c r="E668" i="3"/>
  <c r="Q667" i="3"/>
  <c r="M667" i="3"/>
  <c r="I667" i="3"/>
  <c r="E667" i="3"/>
  <c r="R667" i="3" s="1"/>
  <c r="Q666" i="3"/>
  <c r="M666" i="3"/>
  <c r="I666" i="3"/>
  <c r="E666" i="3"/>
  <c r="R666" i="3" s="1"/>
  <c r="Q664" i="3"/>
  <c r="M664" i="3"/>
  <c r="I664" i="3"/>
  <c r="E664" i="3"/>
  <c r="R664" i="3" s="1"/>
  <c r="Q663" i="3"/>
  <c r="M663" i="3"/>
  <c r="I663" i="3"/>
  <c r="E663" i="3"/>
  <c r="Q661" i="3"/>
  <c r="M661" i="3"/>
  <c r="R661" i="3" s="1"/>
  <c r="I661" i="3"/>
  <c r="E661" i="3"/>
  <c r="Q660" i="3"/>
  <c r="M660" i="3"/>
  <c r="I660" i="3"/>
  <c r="R660" i="3" s="1"/>
  <c r="E660" i="3"/>
  <c r="R659" i="3"/>
  <c r="Q659" i="3"/>
  <c r="M659" i="3"/>
  <c r="I659" i="3"/>
  <c r="E659" i="3"/>
  <c r="Q658" i="3"/>
  <c r="M658" i="3"/>
  <c r="I658" i="3"/>
  <c r="E658" i="3"/>
  <c r="R656" i="3"/>
  <c r="Q656" i="3"/>
  <c r="M656" i="3"/>
  <c r="I656" i="3"/>
  <c r="E656" i="3"/>
  <c r="Q655" i="3"/>
  <c r="M655" i="3"/>
  <c r="I655" i="3"/>
  <c r="E655" i="3"/>
  <c r="R655" i="3" s="1"/>
  <c r="P652" i="3"/>
  <c r="O652" i="3"/>
  <c r="N652" i="3"/>
  <c r="Q652" i="3" s="1"/>
  <c r="L652" i="3"/>
  <c r="K652" i="3"/>
  <c r="J652" i="3"/>
  <c r="H652" i="3"/>
  <c r="G652" i="3"/>
  <c r="F652" i="3"/>
  <c r="D652" i="3"/>
  <c r="C652" i="3"/>
  <c r="B652" i="3"/>
  <c r="E652" i="3" s="1"/>
  <c r="Q651" i="3"/>
  <c r="M651" i="3"/>
  <c r="I651" i="3"/>
  <c r="R651" i="3" s="1"/>
  <c r="E651" i="3"/>
  <c r="Q650" i="3"/>
  <c r="M650" i="3"/>
  <c r="R650" i="3" s="1"/>
  <c r="I650" i="3"/>
  <c r="E650" i="3"/>
  <c r="Q649" i="3"/>
  <c r="M649" i="3"/>
  <c r="I649" i="3"/>
  <c r="E649" i="3"/>
  <c r="R648" i="3"/>
  <c r="Q648" i="3"/>
  <c r="M648" i="3"/>
  <c r="I648" i="3"/>
  <c r="E648" i="3"/>
  <c r="Q647" i="3"/>
  <c r="M647" i="3"/>
  <c r="I647" i="3"/>
  <c r="E647" i="3"/>
  <c r="R647" i="3" s="1"/>
  <c r="R646" i="3"/>
  <c r="Q646" i="3"/>
  <c r="M646" i="3"/>
  <c r="I646" i="3"/>
  <c r="E646" i="3"/>
  <c r="Q645" i="3"/>
  <c r="M645" i="3"/>
  <c r="I645" i="3"/>
  <c r="R645" i="3" s="1"/>
  <c r="E645" i="3"/>
  <c r="P641" i="3"/>
  <c r="O641" i="3"/>
  <c r="N641" i="3"/>
  <c r="L641" i="3"/>
  <c r="K641" i="3"/>
  <c r="J641" i="3"/>
  <c r="M641" i="3" s="1"/>
  <c r="H641" i="3"/>
  <c r="H671" i="3" s="1"/>
  <c r="H674" i="3" s="1"/>
  <c r="G641" i="3"/>
  <c r="F641" i="3"/>
  <c r="D641" i="3"/>
  <c r="D671" i="3" s="1"/>
  <c r="D674" i="3" s="1"/>
  <c r="C641" i="3"/>
  <c r="B641" i="3"/>
  <c r="Q639" i="3"/>
  <c r="M639" i="3"/>
  <c r="I639" i="3"/>
  <c r="E639" i="3"/>
  <c r="Q638" i="3"/>
  <c r="M638" i="3"/>
  <c r="I638" i="3"/>
  <c r="E638" i="3"/>
  <c r="R638" i="3" s="1"/>
  <c r="Q635" i="3"/>
  <c r="P635" i="3"/>
  <c r="O635" i="3"/>
  <c r="N635" i="3"/>
  <c r="L635" i="3"/>
  <c r="K635" i="3"/>
  <c r="J635" i="3"/>
  <c r="I635" i="3"/>
  <c r="H635" i="3"/>
  <c r="G635" i="3"/>
  <c r="G671" i="3" s="1"/>
  <c r="G674" i="3" s="1"/>
  <c r="F635" i="3"/>
  <c r="D635" i="3"/>
  <c r="C635" i="3"/>
  <c r="B635" i="3"/>
  <c r="E635" i="3" s="1"/>
  <c r="Q633" i="3"/>
  <c r="M633" i="3"/>
  <c r="R633" i="3" s="1"/>
  <c r="I633" i="3"/>
  <c r="E633" i="3"/>
  <c r="Q631" i="3"/>
  <c r="M631" i="3"/>
  <c r="I631" i="3"/>
  <c r="E631" i="3"/>
  <c r="Q629" i="3"/>
  <c r="M629" i="3"/>
  <c r="I629" i="3"/>
  <c r="E629" i="3"/>
  <c r="R628" i="3"/>
  <c r="Q628" i="3"/>
  <c r="M628" i="3"/>
  <c r="I628" i="3"/>
  <c r="E628" i="3"/>
  <c r="Q627" i="3"/>
  <c r="M627" i="3"/>
  <c r="I627" i="3"/>
  <c r="R627" i="3" s="1"/>
  <c r="E627" i="3"/>
  <c r="Q626" i="3"/>
  <c r="M626" i="3"/>
  <c r="I626" i="3"/>
  <c r="E626" i="3"/>
  <c r="Q625" i="3"/>
  <c r="M625" i="3"/>
  <c r="I625" i="3"/>
  <c r="E625" i="3"/>
  <c r="R625" i="3" s="1"/>
  <c r="Q624" i="3"/>
  <c r="M624" i="3"/>
  <c r="I624" i="3"/>
  <c r="E624" i="3"/>
  <c r="Q623" i="3"/>
  <c r="M623" i="3"/>
  <c r="R623" i="3" s="1"/>
  <c r="I623" i="3"/>
  <c r="E623" i="3"/>
  <c r="Q622" i="3"/>
  <c r="M622" i="3"/>
  <c r="I622" i="3"/>
  <c r="E622" i="3"/>
  <c r="R621" i="3"/>
  <c r="Q621" i="3"/>
  <c r="M621" i="3"/>
  <c r="I621" i="3"/>
  <c r="E621" i="3"/>
  <c r="Q620" i="3"/>
  <c r="M620" i="3"/>
  <c r="I620" i="3"/>
  <c r="R620" i="3" s="1"/>
  <c r="E620" i="3"/>
  <c r="R619" i="3"/>
  <c r="Q619" i="3"/>
  <c r="M619" i="3"/>
  <c r="I619" i="3"/>
  <c r="E619" i="3"/>
  <c r="Q618" i="3"/>
  <c r="M618" i="3"/>
  <c r="I618" i="3"/>
  <c r="E618" i="3"/>
  <c r="R618" i="3" s="1"/>
  <c r="Q606" i="3"/>
  <c r="M606" i="3"/>
  <c r="I606" i="3"/>
  <c r="E606" i="3"/>
  <c r="R606" i="3" s="1"/>
  <c r="Q604" i="3"/>
  <c r="P604" i="3"/>
  <c r="O604" i="3"/>
  <c r="N604" i="3"/>
  <c r="L604" i="3"/>
  <c r="K604" i="3"/>
  <c r="J604" i="3"/>
  <c r="H604" i="3"/>
  <c r="G604" i="3"/>
  <c r="F604" i="3"/>
  <c r="D604" i="3"/>
  <c r="C604" i="3"/>
  <c r="B604" i="3"/>
  <c r="E604" i="3" s="1"/>
  <c r="P603" i="3"/>
  <c r="O603" i="3"/>
  <c r="Q603" i="3" s="1"/>
  <c r="N603" i="3"/>
  <c r="L603" i="3"/>
  <c r="K603" i="3"/>
  <c r="J603" i="3"/>
  <c r="M603" i="3" s="1"/>
  <c r="H603" i="3"/>
  <c r="G603" i="3"/>
  <c r="I603" i="3" s="1"/>
  <c r="F603" i="3"/>
  <c r="D603" i="3"/>
  <c r="C603" i="3"/>
  <c r="B603" i="3"/>
  <c r="E603" i="3" s="1"/>
  <c r="Q602" i="3"/>
  <c r="M602" i="3"/>
  <c r="R602" i="3" s="1"/>
  <c r="I602" i="3"/>
  <c r="E602" i="3"/>
  <c r="Q601" i="3"/>
  <c r="M601" i="3"/>
  <c r="I601" i="3"/>
  <c r="E601" i="3"/>
  <c r="Q600" i="3"/>
  <c r="M600" i="3"/>
  <c r="R600" i="3" s="1"/>
  <c r="I600" i="3"/>
  <c r="E600" i="3"/>
  <c r="R599" i="3"/>
  <c r="Q599" i="3"/>
  <c r="M599" i="3"/>
  <c r="I599" i="3"/>
  <c r="E599" i="3"/>
  <c r="Q597" i="3"/>
  <c r="M597" i="3"/>
  <c r="I597" i="3"/>
  <c r="R597" i="3" s="1"/>
  <c r="E597" i="3"/>
  <c r="P592" i="3"/>
  <c r="O592" i="3"/>
  <c r="Q592" i="3" s="1"/>
  <c r="N592" i="3"/>
  <c r="L592" i="3"/>
  <c r="K592" i="3"/>
  <c r="M592" i="3" s="1"/>
  <c r="J592" i="3"/>
  <c r="H592" i="3"/>
  <c r="G592" i="3"/>
  <c r="I592" i="3" s="1"/>
  <c r="F592" i="3"/>
  <c r="D592" i="3"/>
  <c r="C592" i="3"/>
  <c r="E592" i="3" s="1"/>
  <c r="R592" i="3" s="1"/>
  <c r="B592" i="3"/>
  <c r="Q591" i="3"/>
  <c r="M591" i="3"/>
  <c r="R591" i="3" s="1"/>
  <c r="I591" i="3"/>
  <c r="E591" i="3"/>
  <c r="Q587" i="3"/>
  <c r="P587" i="3"/>
  <c r="O587" i="3"/>
  <c r="N587" i="3"/>
  <c r="L587" i="3"/>
  <c r="K587" i="3"/>
  <c r="J587" i="3"/>
  <c r="M587" i="3" s="1"/>
  <c r="H587" i="3"/>
  <c r="F587" i="3"/>
  <c r="E587" i="3"/>
  <c r="D587" i="3"/>
  <c r="C587" i="3"/>
  <c r="B587" i="3"/>
  <c r="Q585" i="3"/>
  <c r="M585" i="3"/>
  <c r="I585" i="3"/>
  <c r="E585" i="3"/>
  <c r="R585" i="3" s="1"/>
  <c r="Q584" i="3"/>
  <c r="M584" i="3"/>
  <c r="G584" i="3"/>
  <c r="E584" i="3"/>
  <c r="P581" i="3"/>
  <c r="P605" i="3" s="1"/>
  <c r="P608" i="3" s="1"/>
  <c r="O581" i="3"/>
  <c r="O605" i="3" s="1"/>
  <c r="O608" i="3" s="1"/>
  <c r="N581" i="3"/>
  <c r="L581" i="3"/>
  <c r="K581" i="3"/>
  <c r="J581" i="3"/>
  <c r="H581" i="3"/>
  <c r="H605" i="3" s="1"/>
  <c r="H608" i="3" s="1"/>
  <c r="G581" i="3"/>
  <c r="F581" i="3"/>
  <c r="D581" i="3"/>
  <c r="D605" i="3" s="1"/>
  <c r="D608" i="3" s="1"/>
  <c r="C581" i="3"/>
  <c r="B581" i="3"/>
  <c r="Q577" i="3"/>
  <c r="M577" i="3"/>
  <c r="I577" i="3"/>
  <c r="E577" i="3"/>
  <c r="R576" i="3"/>
  <c r="Q576" i="3"/>
  <c r="M576" i="3"/>
  <c r="I576" i="3"/>
  <c r="E576" i="3"/>
  <c r="Q575" i="3"/>
  <c r="M575" i="3"/>
  <c r="I575" i="3"/>
  <c r="R575" i="3" s="1"/>
  <c r="E575" i="3"/>
  <c r="R574" i="3"/>
  <c r="Q574" i="3"/>
  <c r="M574" i="3"/>
  <c r="I574" i="3"/>
  <c r="E574" i="3"/>
  <c r="Q573" i="3"/>
  <c r="M573" i="3"/>
  <c r="I573" i="3"/>
  <c r="E573" i="3"/>
  <c r="R573" i="3" s="1"/>
  <c r="Q561" i="3"/>
  <c r="M561" i="3"/>
  <c r="I561" i="3"/>
  <c r="R561" i="3" s="1"/>
  <c r="E561" i="3"/>
  <c r="P560" i="3"/>
  <c r="P563" i="3" s="1"/>
  <c r="K560" i="3"/>
  <c r="K563" i="3" s="1"/>
  <c r="D560" i="3"/>
  <c r="D563" i="3" s="1"/>
  <c r="P559" i="3"/>
  <c r="O559" i="3"/>
  <c r="Q559" i="3" s="1"/>
  <c r="N559" i="3"/>
  <c r="M559" i="3"/>
  <c r="L559" i="3"/>
  <c r="K559" i="3"/>
  <c r="J559" i="3"/>
  <c r="H559" i="3"/>
  <c r="G559" i="3"/>
  <c r="F559" i="3"/>
  <c r="E559" i="3"/>
  <c r="D559" i="3"/>
  <c r="C559" i="3"/>
  <c r="B559" i="3"/>
  <c r="P558" i="3"/>
  <c r="O558" i="3"/>
  <c r="N558" i="3"/>
  <c r="Q558" i="3" s="1"/>
  <c r="L558" i="3"/>
  <c r="K558" i="3"/>
  <c r="J558" i="3"/>
  <c r="M558" i="3" s="1"/>
  <c r="H558" i="3"/>
  <c r="G558" i="3"/>
  <c r="F558" i="3"/>
  <c r="I558" i="3" s="1"/>
  <c r="D558" i="3"/>
  <c r="C558" i="3"/>
  <c r="B558" i="3"/>
  <c r="E558" i="3" s="1"/>
  <c r="Q557" i="3"/>
  <c r="M557" i="3"/>
  <c r="I557" i="3"/>
  <c r="E557" i="3"/>
  <c r="Q556" i="3"/>
  <c r="M556" i="3"/>
  <c r="I556" i="3"/>
  <c r="E556" i="3"/>
  <c r="Q550" i="3"/>
  <c r="P550" i="3"/>
  <c r="O550" i="3"/>
  <c r="N550" i="3"/>
  <c r="M550" i="3"/>
  <c r="L550" i="3"/>
  <c r="K550" i="3"/>
  <c r="J550" i="3"/>
  <c r="I550" i="3"/>
  <c r="H550" i="3"/>
  <c r="H560" i="3" s="1"/>
  <c r="H563" i="3" s="1"/>
  <c r="G550" i="3"/>
  <c r="F550" i="3"/>
  <c r="E550" i="3"/>
  <c r="D550" i="3"/>
  <c r="C550" i="3"/>
  <c r="B550" i="3"/>
  <c r="R549" i="3"/>
  <c r="Q549" i="3"/>
  <c r="M549" i="3"/>
  <c r="I549" i="3"/>
  <c r="E549" i="3"/>
  <c r="Q548" i="3"/>
  <c r="M548" i="3"/>
  <c r="I548" i="3"/>
  <c r="E548" i="3"/>
  <c r="R548" i="3" s="1"/>
  <c r="Q547" i="3"/>
  <c r="M547" i="3"/>
  <c r="I547" i="3"/>
  <c r="E547" i="3"/>
  <c r="Q543" i="3"/>
  <c r="P543" i="3"/>
  <c r="O543" i="3"/>
  <c r="N543" i="3"/>
  <c r="N560" i="3" s="1"/>
  <c r="L543" i="3"/>
  <c r="K543" i="3"/>
  <c r="M543" i="3" s="1"/>
  <c r="J543" i="3"/>
  <c r="I543" i="3"/>
  <c r="H543" i="3"/>
  <c r="G543" i="3"/>
  <c r="F543" i="3"/>
  <c r="D543" i="3"/>
  <c r="C543" i="3"/>
  <c r="E543" i="3" s="1"/>
  <c r="R543" i="3" s="1"/>
  <c r="B543" i="3"/>
  <c r="Q541" i="3"/>
  <c r="M541" i="3"/>
  <c r="I541" i="3"/>
  <c r="E541" i="3"/>
  <c r="R541" i="3" s="1"/>
  <c r="Q538" i="3"/>
  <c r="P538" i="3"/>
  <c r="O538" i="3"/>
  <c r="O560" i="3" s="1"/>
  <c r="O563" i="3" s="1"/>
  <c r="N538" i="3"/>
  <c r="L538" i="3"/>
  <c r="L560" i="3" s="1"/>
  <c r="L563" i="3" s="1"/>
  <c r="K538" i="3"/>
  <c r="J538" i="3"/>
  <c r="H538" i="3"/>
  <c r="G538" i="3"/>
  <c r="F538" i="3"/>
  <c r="F560" i="3" s="1"/>
  <c r="D538" i="3"/>
  <c r="C538" i="3"/>
  <c r="C560" i="3" s="1"/>
  <c r="C563" i="3" s="1"/>
  <c r="B538" i="3"/>
  <c r="Q535" i="3"/>
  <c r="M535" i="3"/>
  <c r="R535" i="3" s="1"/>
  <c r="I535" i="3"/>
  <c r="E535" i="3"/>
  <c r="Q534" i="3"/>
  <c r="M534" i="3"/>
  <c r="I534" i="3"/>
  <c r="E534" i="3"/>
  <c r="Q532" i="3"/>
  <c r="M532" i="3"/>
  <c r="I532" i="3"/>
  <c r="E532" i="3"/>
  <c r="R532" i="3" s="1"/>
  <c r="Q531" i="3"/>
  <c r="M531" i="3"/>
  <c r="I531" i="3"/>
  <c r="R531" i="3" s="1"/>
  <c r="E531" i="3"/>
  <c r="Q530" i="3"/>
  <c r="M530" i="3"/>
  <c r="I530" i="3"/>
  <c r="E530" i="3"/>
  <c r="Q529" i="3"/>
  <c r="M529" i="3"/>
  <c r="I529" i="3"/>
  <c r="E529" i="3"/>
  <c r="Q528" i="3"/>
  <c r="M528" i="3"/>
  <c r="I528" i="3"/>
  <c r="E528" i="3"/>
  <c r="Q510" i="3"/>
  <c r="M510" i="3"/>
  <c r="I510" i="3"/>
  <c r="E510" i="3"/>
  <c r="R510" i="3" s="1"/>
  <c r="R509" i="3"/>
  <c r="Q509" i="3"/>
  <c r="M509" i="3"/>
  <c r="I509" i="3"/>
  <c r="E509" i="3"/>
  <c r="Q508" i="3"/>
  <c r="M508" i="3"/>
  <c r="I508" i="3"/>
  <c r="E508" i="3"/>
  <c r="Q506" i="3"/>
  <c r="P506" i="3"/>
  <c r="O506" i="3"/>
  <c r="N506" i="3"/>
  <c r="M506" i="3"/>
  <c r="L506" i="3"/>
  <c r="K506" i="3"/>
  <c r="J506" i="3"/>
  <c r="I506" i="3"/>
  <c r="H506" i="3"/>
  <c r="G506" i="3"/>
  <c r="F506" i="3"/>
  <c r="E506" i="3"/>
  <c r="R506" i="3" s="1"/>
  <c r="D506" i="3"/>
  <c r="C506" i="3"/>
  <c r="B506" i="3"/>
  <c r="P505" i="3"/>
  <c r="O505" i="3"/>
  <c r="N505" i="3"/>
  <c r="Q505" i="3" s="1"/>
  <c r="L505" i="3"/>
  <c r="K505" i="3"/>
  <c r="J505" i="3"/>
  <c r="M505" i="3" s="1"/>
  <c r="H505" i="3"/>
  <c r="G505" i="3"/>
  <c r="F505" i="3"/>
  <c r="I505" i="3" s="1"/>
  <c r="D505" i="3"/>
  <c r="C505" i="3"/>
  <c r="B505" i="3"/>
  <c r="E505" i="3" s="1"/>
  <c r="Q504" i="3"/>
  <c r="M504" i="3"/>
  <c r="I504" i="3"/>
  <c r="E504" i="3"/>
  <c r="Q503" i="3"/>
  <c r="M503" i="3"/>
  <c r="R503" i="3" s="1"/>
  <c r="I503" i="3"/>
  <c r="E503" i="3"/>
  <c r="Q502" i="3"/>
  <c r="M502" i="3"/>
  <c r="I502" i="3"/>
  <c r="E502" i="3"/>
  <c r="Q501" i="3"/>
  <c r="M501" i="3"/>
  <c r="I501" i="3"/>
  <c r="E501" i="3"/>
  <c r="R501" i="3" s="1"/>
  <c r="Q500" i="3"/>
  <c r="M500" i="3"/>
  <c r="I500" i="3"/>
  <c r="R500" i="3" s="1"/>
  <c r="E500" i="3"/>
  <c r="Q499" i="3"/>
  <c r="M499" i="3"/>
  <c r="I499" i="3"/>
  <c r="E499" i="3"/>
  <c r="Q498" i="3"/>
  <c r="M498" i="3"/>
  <c r="I498" i="3"/>
  <c r="E498" i="3"/>
  <c r="R498" i="3" s="1"/>
  <c r="R497" i="3"/>
  <c r="Q497" i="3"/>
  <c r="M497" i="3"/>
  <c r="I497" i="3"/>
  <c r="E497" i="3"/>
  <c r="Q496" i="3"/>
  <c r="M496" i="3"/>
  <c r="I496" i="3"/>
  <c r="E496" i="3"/>
  <c r="R496" i="3" s="1"/>
  <c r="R495" i="3"/>
  <c r="Q495" i="3"/>
  <c r="M495" i="3"/>
  <c r="I495" i="3"/>
  <c r="E495" i="3"/>
  <c r="Q493" i="3"/>
  <c r="M493" i="3"/>
  <c r="I493" i="3"/>
  <c r="E493" i="3"/>
  <c r="Q492" i="3"/>
  <c r="M492" i="3"/>
  <c r="I492" i="3"/>
  <c r="E492" i="3"/>
  <c r="R492" i="3" s="1"/>
  <c r="Q491" i="3"/>
  <c r="M491" i="3"/>
  <c r="I491" i="3"/>
  <c r="R491" i="3" s="1"/>
  <c r="E491" i="3"/>
  <c r="Q490" i="3"/>
  <c r="M490" i="3"/>
  <c r="I490" i="3"/>
  <c r="E490" i="3"/>
  <c r="R490" i="3" s="1"/>
  <c r="Q489" i="3"/>
  <c r="M489" i="3"/>
  <c r="I489" i="3"/>
  <c r="E489" i="3"/>
  <c r="R489" i="3" s="1"/>
  <c r="R488" i="3"/>
  <c r="Q488" i="3"/>
  <c r="M488" i="3"/>
  <c r="I488" i="3"/>
  <c r="E488" i="3"/>
  <c r="Q486" i="3"/>
  <c r="M486" i="3"/>
  <c r="I486" i="3"/>
  <c r="E486" i="3"/>
  <c r="R486" i="3" s="1"/>
  <c r="R485" i="3"/>
  <c r="Q485" i="3"/>
  <c r="M485" i="3"/>
  <c r="I485" i="3"/>
  <c r="E485" i="3"/>
  <c r="Q483" i="3"/>
  <c r="M483" i="3"/>
  <c r="I483" i="3"/>
  <c r="E483" i="3"/>
  <c r="P480" i="3"/>
  <c r="O480" i="3"/>
  <c r="N480" i="3"/>
  <c r="Q480" i="3" s="1"/>
  <c r="L480" i="3"/>
  <c r="K480" i="3"/>
  <c r="J480" i="3"/>
  <c r="M480" i="3" s="1"/>
  <c r="H480" i="3"/>
  <c r="F480" i="3"/>
  <c r="D480" i="3"/>
  <c r="Q479" i="3"/>
  <c r="M479" i="3"/>
  <c r="I479" i="3"/>
  <c r="E479" i="3"/>
  <c r="R479" i="3" s="1"/>
  <c r="R478" i="3"/>
  <c r="Q478" i="3"/>
  <c r="M478" i="3"/>
  <c r="I478" i="3"/>
  <c r="E478" i="3"/>
  <c r="Q477" i="3"/>
  <c r="M477" i="3"/>
  <c r="I477" i="3"/>
  <c r="E477" i="3"/>
  <c r="Q476" i="3"/>
  <c r="M476" i="3"/>
  <c r="I476" i="3"/>
  <c r="E476" i="3"/>
  <c r="R476" i="3" s="1"/>
  <c r="Q475" i="3"/>
  <c r="M475" i="3"/>
  <c r="I475" i="3"/>
  <c r="R475" i="3" s="1"/>
  <c r="E475" i="3"/>
  <c r="Q474" i="3"/>
  <c r="M474" i="3"/>
  <c r="I474" i="3"/>
  <c r="E474" i="3"/>
  <c r="R474" i="3" s="1"/>
  <c r="Q473" i="3"/>
  <c r="M473" i="3"/>
  <c r="I473" i="3"/>
  <c r="E473" i="3"/>
  <c r="R473" i="3" s="1"/>
  <c r="R472" i="3"/>
  <c r="Q472" i="3"/>
  <c r="M472" i="3"/>
  <c r="I472" i="3"/>
  <c r="E472" i="3"/>
  <c r="Q471" i="3"/>
  <c r="M471" i="3"/>
  <c r="I471" i="3"/>
  <c r="E471" i="3"/>
  <c r="R471" i="3" s="1"/>
  <c r="R470" i="3"/>
  <c r="Q470" i="3"/>
  <c r="M470" i="3"/>
  <c r="I470" i="3"/>
  <c r="E470" i="3"/>
  <c r="Q469" i="3"/>
  <c r="M469" i="3"/>
  <c r="I469" i="3"/>
  <c r="E469" i="3"/>
  <c r="Q468" i="3"/>
  <c r="M468" i="3"/>
  <c r="I468" i="3"/>
  <c r="E468" i="3"/>
  <c r="R468" i="3" s="1"/>
  <c r="Q467" i="3"/>
  <c r="M467" i="3"/>
  <c r="I467" i="3"/>
  <c r="R467" i="3" s="1"/>
  <c r="E467" i="3"/>
  <c r="Q466" i="3"/>
  <c r="M466" i="3"/>
  <c r="I466" i="3"/>
  <c r="E466" i="3"/>
  <c r="Q465" i="3"/>
  <c r="M465" i="3"/>
  <c r="I465" i="3"/>
  <c r="E465" i="3"/>
  <c r="R465" i="3" s="1"/>
  <c r="R464" i="3"/>
  <c r="Q464" i="3"/>
  <c r="M464" i="3"/>
  <c r="I464" i="3"/>
  <c r="E464" i="3"/>
  <c r="Q463" i="3"/>
  <c r="M463" i="3"/>
  <c r="I463" i="3"/>
  <c r="E463" i="3"/>
  <c r="R463" i="3" s="1"/>
  <c r="R462" i="3"/>
  <c r="Q462" i="3"/>
  <c r="M462" i="3"/>
  <c r="I462" i="3"/>
  <c r="E462" i="3"/>
  <c r="Q461" i="3"/>
  <c r="M461" i="3"/>
  <c r="I461" i="3"/>
  <c r="E461" i="3"/>
  <c r="R461" i="3" s="1"/>
  <c r="Q460" i="3"/>
  <c r="M460" i="3"/>
  <c r="I460" i="3"/>
  <c r="E460" i="3"/>
  <c r="R460" i="3" s="1"/>
  <c r="Q459" i="3"/>
  <c r="M459" i="3"/>
  <c r="I459" i="3"/>
  <c r="R459" i="3" s="1"/>
  <c r="E459" i="3"/>
  <c r="Q458" i="3"/>
  <c r="M458" i="3"/>
  <c r="I458" i="3"/>
  <c r="E458" i="3"/>
  <c r="R458" i="3" s="1"/>
  <c r="Q457" i="3"/>
  <c r="M457" i="3"/>
  <c r="I457" i="3"/>
  <c r="E457" i="3"/>
  <c r="R457" i="3" s="1"/>
  <c r="R456" i="3"/>
  <c r="Q456" i="3"/>
  <c r="M456" i="3"/>
  <c r="I456" i="3"/>
  <c r="E456" i="3"/>
  <c r="Q455" i="3"/>
  <c r="M455" i="3"/>
  <c r="I455" i="3"/>
  <c r="E455" i="3"/>
  <c r="R454" i="3"/>
  <c r="Q454" i="3"/>
  <c r="M454" i="3"/>
  <c r="I454" i="3"/>
  <c r="E454" i="3"/>
  <c r="Q453" i="3"/>
  <c r="M453" i="3"/>
  <c r="I453" i="3"/>
  <c r="E453" i="3"/>
  <c r="Q452" i="3"/>
  <c r="M452" i="3"/>
  <c r="I452" i="3"/>
  <c r="E452" i="3"/>
  <c r="R452" i="3" s="1"/>
  <c r="Q451" i="3"/>
  <c r="M451" i="3"/>
  <c r="I451" i="3"/>
  <c r="R451" i="3" s="1"/>
  <c r="E451" i="3"/>
  <c r="Q450" i="3"/>
  <c r="M450" i="3"/>
  <c r="I450" i="3"/>
  <c r="E450" i="3"/>
  <c r="Q449" i="3"/>
  <c r="M449" i="3"/>
  <c r="I449" i="3"/>
  <c r="E449" i="3"/>
  <c r="R449" i="3" s="1"/>
  <c r="R448" i="3"/>
  <c r="Q448" i="3"/>
  <c r="M448" i="3"/>
  <c r="I448" i="3"/>
  <c r="E448" i="3"/>
  <c r="Q447" i="3"/>
  <c r="M447" i="3"/>
  <c r="I447" i="3"/>
  <c r="E447" i="3"/>
  <c r="R447" i="3" s="1"/>
  <c r="R446" i="3"/>
  <c r="Q446" i="3"/>
  <c r="M446" i="3"/>
  <c r="I446" i="3"/>
  <c r="E446" i="3"/>
  <c r="Q445" i="3"/>
  <c r="M445" i="3"/>
  <c r="I445" i="3"/>
  <c r="E445" i="3"/>
  <c r="Q444" i="3"/>
  <c r="M444" i="3"/>
  <c r="I444" i="3"/>
  <c r="E444" i="3"/>
  <c r="R444" i="3" s="1"/>
  <c r="Q443" i="3"/>
  <c r="M443" i="3"/>
  <c r="I443" i="3"/>
  <c r="R443" i="3" s="1"/>
  <c r="E443" i="3"/>
  <c r="Q442" i="3"/>
  <c r="M442" i="3"/>
  <c r="I442" i="3"/>
  <c r="E442" i="3"/>
  <c r="R442" i="3" s="1"/>
  <c r="Q441" i="3"/>
  <c r="M441" i="3"/>
  <c r="I441" i="3"/>
  <c r="E441" i="3"/>
  <c r="R441" i="3" s="1"/>
  <c r="R440" i="3"/>
  <c r="Q440" i="3"/>
  <c r="M440" i="3"/>
  <c r="I440" i="3"/>
  <c r="E440" i="3"/>
  <c r="Q439" i="3"/>
  <c r="M439" i="3"/>
  <c r="I439" i="3"/>
  <c r="E439" i="3"/>
  <c r="R439" i="3" s="1"/>
  <c r="R438" i="3"/>
  <c r="Q438" i="3"/>
  <c r="M438" i="3"/>
  <c r="I438" i="3"/>
  <c r="E438" i="3"/>
  <c r="Q437" i="3"/>
  <c r="M437" i="3"/>
  <c r="I437" i="3"/>
  <c r="H437" i="3"/>
  <c r="H900" i="3" s="1"/>
  <c r="G437" i="3"/>
  <c r="F437" i="3"/>
  <c r="D437" i="3"/>
  <c r="C437" i="3"/>
  <c r="C480" i="3" s="1"/>
  <c r="B437" i="3"/>
  <c r="B480" i="3" s="1"/>
  <c r="E480" i="3" s="1"/>
  <c r="R436" i="3"/>
  <c r="Q436" i="3"/>
  <c r="M436" i="3"/>
  <c r="I436" i="3"/>
  <c r="E436" i="3"/>
  <c r="Q435" i="3"/>
  <c r="M435" i="3"/>
  <c r="I435" i="3"/>
  <c r="G435" i="3"/>
  <c r="G480" i="3" s="1"/>
  <c r="E435" i="3"/>
  <c r="R435" i="3" s="1"/>
  <c r="Q434" i="3"/>
  <c r="M434" i="3"/>
  <c r="I434" i="3"/>
  <c r="E434" i="3"/>
  <c r="R433" i="3"/>
  <c r="Q433" i="3"/>
  <c r="M433" i="3"/>
  <c r="I433" i="3"/>
  <c r="E433" i="3"/>
  <c r="Q432" i="3"/>
  <c r="M432" i="3"/>
  <c r="I432" i="3"/>
  <c r="E432" i="3"/>
  <c r="Q431" i="3"/>
  <c r="M431" i="3"/>
  <c r="I431" i="3"/>
  <c r="E431" i="3"/>
  <c r="R431" i="3" s="1"/>
  <c r="Q430" i="3"/>
  <c r="M430" i="3"/>
  <c r="I430" i="3"/>
  <c r="R430" i="3" s="1"/>
  <c r="E430" i="3"/>
  <c r="Q429" i="3"/>
  <c r="M429" i="3"/>
  <c r="I429" i="3"/>
  <c r="E429" i="3"/>
  <c r="Q428" i="3"/>
  <c r="M428" i="3"/>
  <c r="I428" i="3"/>
  <c r="R428" i="3" s="1"/>
  <c r="E428" i="3"/>
  <c r="R427" i="3"/>
  <c r="Q427" i="3"/>
  <c r="M427" i="3"/>
  <c r="I427" i="3"/>
  <c r="E427" i="3"/>
  <c r="Q426" i="3"/>
  <c r="M426" i="3"/>
  <c r="I426" i="3"/>
  <c r="E426" i="3"/>
  <c r="R426" i="3" s="1"/>
  <c r="R425" i="3"/>
  <c r="Q425" i="3"/>
  <c r="M425" i="3"/>
  <c r="I425" i="3"/>
  <c r="E425" i="3"/>
  <c r="Q424" i="3"/>
  <c r="M424" i="3"/>
  <c r="I424" i="3"/>
  <c r="F424" i="3"/>
  <c r="E424" i="3"/>
  <c r="R424" i="3" s="1"/>
  <c r="Q423" i="3"/>
  <c r="M423" i="3"/>
  <c r="I423" i="3"/>
  <c r="E423" i="3"/>
  <c r="R422" i="3"/>
  <c r="Q422" i="3"/>
  <c r="M422" i="3"/>
  <c r="I422" i="3"/>
  <c r="E422" i="3"/>
  <c r="Q421" i="3"/>
  <c r="M421" i="3"/>
  <c r="I421" i="3"/>
  <c r="E421" i="3"/>
  <c r="Q420" i="3"/>
  <c r="M420" i="3"/>
  <c r="I420" i="3"/>
  <c r="E420" i="3"/>
  <c r="R420" i="3" s="1"/>
  <c r="Q419" i="3"/>
  <c r="M419" i="3"/>
  <c r="I419" i="3"/>
  <c r="R419" i="3" s="1"/>
  <c r="E419" i="3"/>
  <c r="Q418" i="3"/>
  <c r="M418" i="3"/>
  <c r="I418" i="3"/>
  <c r="E418" i="3"/>
  <c r="Q417" i="3"/>
  <c r="M417" i="3"/>
  <c r="I417" i="3"/>
  <c r="R417" i="3" s="1"/>
  <c r="E417" i="3"/>
  <c r="R416" i="3"/>
  <c r="Q416" i="3"/>
  <c r="M416" i="3"/>
  <c r="I416" i="3"/>
  <c r="E416" i="3"/>
  <c r="Q414" i="3"/>
  <c r="M414" i="3"/>
  <c r="I414" i="3"/>
  <c r="E414" i="3"/>
  <c r="R414" i="3" s="1"/>
  <c r="R413" i="3"/>
  <c r="Q413" i="3"/>
  <c r="M413" i="3"/>
  <c r="I413" i="3"/>
  <c r="E413" i="3"/>
  <c r="B413" i="3"/>
  <c r="B899" i="3" s="1"/>
  <c r="R412" i="3"/>
  <c r="Q412" i="3"/>
  <c r="M412" i="3"/>
  <c r="I412" i="3"/>
  <c r="E412" i="3"/>
  <c r="Q411" i="3"/>
  <c r="M411" i="3"/>
  <c r="I411" i="3"/>
  <c r="E411" i="3"/>
  <c r="P408" i="3"/>
  <c r="O408" i="3"/>
  <c r="N408" i="3"/>
  <c r="Q408" i="3" s="1"/>
  <c r="L408" i="3"/>
  <c r="J408" i="3"/>
  <c r="M408" i="3" s="1"/>
  <c r="H408" i="3"/>
  <c r="G408" i="3"/>
  <c r="D408" i="3"/>
  <c r="C408" i="3"/>
  <c r="B408" i="3"/>
  <c r="E408" i="3" s="1"/>
  <c r="Q406" i="3"/>
  <c r="M406" i="3"/>
  <c r="I406" i="3"/>
  <c r="R406" i="3" s="1"/>
  <c r="E406" i="3"/>
  <c r="R405" i="3"/>
  <c r="Q405" i="3"/>
  <c r="M405" i="3"/>
  <c r="I405" i="3"/>
  <c r="E405" i="3"/>
  <c r="Q404" i="3"/>
  <c r="M404" i="3"/>
  <c r="I404" i="3"/>
  <c r="E404" i="3"/>
  <c r="R404" i="3" s="1"/>
  <c r="R403" i="3"/>
  <c r="Q403" i="3"/>
  <c r="M403" i="3"/>
  <c r="I403" i="3"/>
  <c r="E403" i="3"/>
  <c r="AL402" i="3"/>
  <c r="AK402" i="3"/>
  <c r="AJ402" i="3"/>
  <c r="AI402" i="3"/>
  <c r="AH402" i="3"/>
  <c r="AG402" i="3"/>
  <c r="AF402" i="3"/>
  <c r="AE402" i="3"/>
  <c r="AB402" i="3"/>
  <c r="Z402" i="3"/>
  <c r="Y402" i="3"/>
  <c r="X402" i="3"/>
  <c r="W402" i="3"/>
  <c r="R402" i="3"/>
  <c r="Q402" i="3"/>
  <c r="M402" i="3"/>
  <c r="I402" i="3"/>
  <c r="E402" i="3"/>
  <c r="AK401" i="3"/>
  <c r="AJ401" i="3"/>
  <c r="AI401" i="3"/>
  <c r="AH401" i="3"/>
  <c r="AG401" i="3"/>
  <c r="AF401" i="3"/>
  <c r="AE401" i="3"/>
  <c r="AB401" i="3"/>
  <c r="Z401" i="3"/>
  <c r="Y401" i="3"/>
  <c r="X401" i="3"/>
  <c r="W401" i="3"/>
  <c r="Q401" i="3"/>
  <c r="M401" i="3"/>
  <c r="K401" i="3"/>
  <c r="K408" i="3" s="1"/>
  <c r="I401" i="3"/>
  <c r="G401" i="3"/>
  <c r="F401" i="3"/>
  <c r="F895" i="3" s="1"/>
  <c r="D401" i="3"/>
  <c r="E401" i="3" s="1"/>
  <c r="C401" i="3"/>
  <c r="C895" i="3" s="1"/>
  <c r="AK400" i="3"/>
  <c r="AJ400" i="3"/>
  <c r="AI400" i="3"/>
  <c r="AL400" i="3" s="1"/>
  <c r="AG400" i="3"/>
  <c r="AF400" i="3"/>
  <c r="AE400" i="3"/>
  <c r="AH400" i="3" s="1"/>
  <c r="Y400" i="3"/>
  <c r="X400" i="3"/>
  <c r="W400" i="3"/>
  <c r="Z400" i="3" s="1"/>
  <c r="Q400" i="3"/>
  <c r="M400" i="3"/>
  <c r="I400" i="3"/>
  <c r="R400" i="3" s="1"/>
  <c r="E400" i="3"/>
  <c r="AL399" i="3"/>
  <c r="AH399" i="3"/>
  <c r="AC399" i="3"/>
  <c r="AC402" i="3" s="1"/>
  <c r="AB399" i="3"/>
  <c r="AB400" i="3" s="1"/>
  <c r="AA399" i="3"/>
  <c r="AA401" i="3" s="1"/>
  <c r="Z399" i="3"/>
  <c r="Q399" i="3"/>
  <c r="M399" i="3"/>
  <c r="I399" i="3"/>
  <c r="E399" i="3"/>
  <c r="Q398" i="3"/>
  <c r="M398" i="3"/>
  <c r="I398" i="3"/>
  <c r="G398" i="3"/>
  <c r="E398" i="3"/>
  <c r="R398" i="3" s="1"/>
  <c r="W397" i="3"/>
  <c r="H394" i="3"/>
  <c r="H507" i="3" s="1"/>
  <c r="H512" i="3" s="1"/>
  <c r="F394" i="3"/>
  <c r="D394" i="3"/>
  <c r="D507" i="3" s="1"/>
  <c r="D512" i="3" s="1"/>
  <c r="Q392" i="3"/>
  <c r="M392" i="3"/>
  <c r="I392" i="3"/>
  <c r="E392" i="3"/>
  <c r="R392" i="3" s="1"/>
  <c r="R391" i="3"/>
  <c r="Q391" i="3"/>
  <c r="M391" i="3"/>
  <c r="I391" i="3"/>
  <c r="E391" i="3"/>
  <c r="Q390" i="3"/>
  <c r="M390" i="3"/>
  <c r="I390" i="3"/>
  <c r="E390" i="3"/>
  <c r="Q389" i="3"/>
  <c r="M389" i="3"/>
  <c r="R389" i="3" s="1"/>
  <c r="I389" i="3"/>
  <c r="E389" i="3"/>
  <c r="Q387" i="3"/>
  <c r="M387" i="3"/>
  <c r="I387" i="3"/>
  <c r="E387" i="3"/>
  <c r="Q386" i="3"/>
  <c r="M386" i="3"/>
  <c r="I386" i="3"/>
  <c r="E386" i="3"/>
  <c r="R386" i="3" s="1"/>
  <c r="Q385" i="3"/>
  <c r="M385" i="3"/>
  <c r="I385" i="3"/>
  <c r="R385" i="3" s="1"/>
  <c r="E385" i="3"/>
  <c r="Q384" i="3"/>
  <c r="M384" i="3"/>
  <c r="I384" i="3"/>
  <c r="E384" i="3"/>
  <c r="R384" i="3" s="1"/>
  <c r="Q383" i="3"/>
  <c r="M383" i="3"/>
  <c r="I383" i="3"/>
  <c r="E383" i="3"/>
  <c r="R383" i="3" s="1"/>
  <c r="R382" i="3"/>
  <c r="Q382" i="3"/>
  <c r="M382" i="3"/>
  <c r="I382" i="3"/>
  <c r="E382" i="3"/>
  <c r="Q381" i="3"/>
  <c r="M381" i="3"/>
  <c r="I381" i="3"/>
  <c r="E381" i="3"/>
  <c r="R381" i="3" s="1"/>
  <c r="Q380" i="3"/>
  <c r="M380" i="3"/>
  <c r="R380" i="3" s="1"/>
  <c r="I380" i="3"/>
  <c r="E380" i="3"/>
  <c r="Q379" i="3"/>
  <c r="M379" i="3"/>
  <c r="I379" i="3"/>
  <c r="E379" i="3"/>
  <c r="R379" i="3" s="1"/>
  <c r="Q378" i="3"/>
  <c r="M378" i="3"/>
  <c r="I378" i="3"/>
  <c r="E378" i="3"/>
  <c r="R378" i="3" s="1"/>
  <c r="Q377" i="3"/>
  <c r="M377" i="3"/>
  <c r="I377" i="3"/>
  <c r="R377" i="3" s="1"/>
  <c r="E377" i="3"/>
  <c r="Q375" i="3"/>
  <c r="M375" i="3"/>
  <c r="I375" i="3"/>
  <c r="E375" i="3"/>
  <c r="Q374" i="3"/>
  <c r="M374" i="3"/>
  <c r="I374" i="3"/>
  <c r="E374" i="3"/>
  <c r="R374" i="3" s="1"/>
  <c r="Q373" i="3"/>
  <c r="M373" i="3"/>
  <c r="I373" i="3"/>
  <c r="R373" i="3" s="1"/>
  <c r="E373" i="3"/>
  <c r="Q372" i="3"/>
  <c r="M372" i="3"/>
  <c r="I372" i="3"/>
  <c r="E372" i="3"/>
  <c r="R372" i="3" s="1"/>
  <c r="Q371" i="3"/>
  <c r="M371" i="3"/>
  <c r="I371" i="3"/>
  <c r="E371" i="3"/>
  <c r="R371" i="3" s="1"/>
  <c r="R370" i="3"/>
  <c r="Q370" i="3"/>
  <c r="M370" i="3"/>
  <c r="I370" i="3"/>
  <c r="E370" i="3"/>
  <c r="Q369" i="3"/>
  <c r="M369" i="3"/>
  <c r="I369" i="3"/>
  <c r="E369" i="3"/>
  <c r="Q368" i="3"/>
  <c r="M368" i="3"/>
  <c r="R368" i="3" s="1"/>
  <c r="I368" i="3"/>
  <c r="E368" i="3"/>
  <c r="Q367" i="3"/>
  <c r="M367" i="3"/>
  <c r="I367" i="3"/>
  <c r="E367" i="3"/>
  <c r="Q366" i="3"/>
  <c r="M366" i="3"/>
  <c r="I366" i="3"/>
  <c r="E366" i="3"/>
  <c r="R366" i="3" s="1"/>
  <c r="P365" i="3"/>
  <c r="O365" i="3"/>
  <c r="Q365" i="3" s="1"/>
  <c r="N365" i="3"/>
  <c r="L365" i="3"/>
  <c r="K365" i="3"/>
  <c r="J365" i="3"/>
  <c r="I365" i="3"/>
  <c r="H365" i="3"/>
  <c r="G365" i="3"/>
  <c r="D365" i="3"/>
  <c r="E365" i="3" s="1"/>
  <c r="Q364" i="3"/>
  <c r="M364" i="3"/>
  <c r="I364" i="3"/>
  <c r="E364" i="3"/>
  <c r="Q363" i="3"/>
  <c r="M363" i="3"/>
  <c r="I363" i="3"/>
  <c r="E363" i="3"/>
  <c r="R363" i="3" s="1"/>
  <c r="Q362" i="3"/>
  <c r="M362" i="3"/>
  <c r="I362" i="3"/>
  <c r="R362" i="3" s="1"/>
  <c r="E362" i="3"/>
  <c r="Q361" i="3"/>
  <c r="M361" i="3"/>
  <c r="I361" i="3"/>
  <c r="E361" i="3"/>
  <c r="R361" i="3" s="1"/>
  <c r="Q360" i="3"/>
  <c r="M360" i="3"/>
  <c r="I360" i="3"/>
  <c r="E360" i="3"/>
  <c r="R360" i="3" s="1"/>
  <c r="R359" i="3"/>
  <c r="Q359" i="3"/>
  <c r="M359" i="3"/>
  <c r="I359" i="3"/>
  <c r="E359" i="3"/>
  <c r="Q358" i="3"/>
  <c r="M358" i="3"/>
  <c r="I358" i="3"/>
  <c r="E358" i="3"/>
  <c r="R358" i="3" s="1"/>
  <c r="R357" i="3"/>
  <c r="Q357" i="3"/>
  <c r="M357" i="3"/>
  <c r="I357" i="3"/>
  <c r="E357" i="3"/>
  <c r="Q356" i="3"/>
  <c r="M356" i="3"/>
  <c r="I356" i="3"/>
  <c r="E356" i="3"/>
  <c r="Q355" i="3"/>
  <c r="M355" i="3"/>
  <c r="I355" i="3"/>
  <c r="E355" i="3"/>
  <c r="R355" i="3" s="1"/>
  <c r="Q354" i="3"/>
  <c r="M354" i="3"/>
  <c r="I354" i="3"/>
  <c r="R354" i="3" s="1"/>
  <c r="E354" i="3"/>
  <c r="Q353" i="3"/>
  <c r="M353" i="3"/>
  <c r="I353" i="3"/>
  <c r="E353" i="3"/>
  <c r="Q352" i="3"/>
  <c r="M352" i="3"/>
  <c r="I352" i="3"/>
  <c r="E352" i="3"/>
  <c r="R352" i="3" s="1"/>
  <c r="R351" i="3"/>
  <c r="Q351" i="3"/>
  <c r="M351" i="3"/>
  <c r="I351" i="3"/>
  <c r="E351" i="3"/>
  <c r="Q350" i="3"/>
  <c r="M350" i="3"/>
  <c r="I350" i="3"/>
  <c r="E350" i="3"/>
  <c r="R350" i="3" s="1"/>
  <c r="R349" i="3"/>
  <c r="Q349" i="3"/>
  <c r="M349" i="3"/>
  <c r="I349" i="3"/>
  <c r="E349" i="3"/>
  <c r="Q348" i="3"/>
  <c r="P348" i="3"/>
  <c r="O348" i="3"/>
  <c r="N348" i="3"/>
  <c r="M348" i="3"/>
  <c r="L348" i="3"/>
  <c r="K348" i="3"/>
  <c r="J348" i="3"/>
  <c r="I348" i="3"/>
  <c r="H348" i="3"/>
  <c r="G348" i="3"/>
  <c r="G394" i="3" s="1"/>
  <c r="G507" i="3" s="1"/>
  <c r="G512" i="3" s="1"/>
  <c r="F348" i="3"/>
  <c r="E348" i="3"/>
  <c r="D348" i="3"/>
  <c r="C348" i="3"/>
  <c r="C394" i="3" s="1"/>
  <c r="C507" i="3" s="1"/>
  <c r="C512" i="3" s="1"/>
  <c r="B348" i="3"/>
  <c r="R347" i="3"/>
  <c r="Q347" i="3"/>
  <c r="M347" i="3"/>
  <c r="I347" i="3"/>
  <c r="E347" i="3"/>
  <c r="Q346" i="3"/>
  <c r="M346" i="3"/>
  <c r="I346" i="3"/>
  <c r="E346" i="3"/>
  <c r="R346" i="3" s="1"/>
  <c r="Q345" i="3"/>
  <c r="M345" i="3"/>
  <c r="J345" i="3"/>
  <c r="I345" i="3"/>
  <c r="B345" i="3"/>
  <c r="Q344" i="3"/>
  <c r="M344" i="3"/>
  <c r="I344" i="3"/>
  <c r="R344" i="3" s="1"/>
  <c r="E344" i="3"/>
  <c r="Q343" i="3"/>
  <c r="M343" i="3"/>
  <c r="I343" i="3"/>
  <c r="E343" i="3"/>
  <c r="Q342" i="3"/>
  <c r="M342" i="3"/>
  <c r="I342" i="3"/>
  <c r="E342" i="3"/>
  <c r="R342" i="3" s="1"/>
  <c r="R341" i="3"/>
  <c r="Q341" i="3"/>
  <c r="M341" i="3"/>
  <c r="I341" i="3"/>
  <c r="E341" i="3"/>
  <c r="Q340" i="3"/>
  <c r="M340" i="3"/>
  <c r="I340" i="3"/>
  <c r="E340" i="3"/>
  <c r="R340" i="3" s="1"/>
  <c r="P339" i="3"/>
  <c r="P394" i="3" s="1"/>
  <c r="P507" i="3" s="1"/>
  <c r="P512" i="3" s="1"/>
  <c r="O339" i="3"/>
  <c r="O394" i="3" s="1"/>
  <c r="O507" i="3" s="1"/>
  <c r="O512" i="3" s="1"/>
  <c r="N339" i="3"/>
  <c r="Q339" i="3" s="1"/>
  <c r="L339" i="3"/>
  <c r="L394" i="3" s="1"/>
  <c r="L507" i="3" s="1"/>
  <c r="L512" i="3" s="1"/>
  <c r="K339" i="3"/>
  <c r="J339" i="3"/>
  <c r="J394" i="3" s="1"/>
  <c r="I339" i="3"/>
  <c r="E339" i="3"/>
  <c r="Q331" i="3"/>
  <c r="P331" i="3"/>
  <c r="O331" i="3"/>
  <c r="N331" i="3"/>
  <c r="L331" i="3"/>
  <c r="K331" i="3"/>
  <c r="J331" i="3"/>
  <c r="I331" i="3"/>
  <c r="H331" i="3"/>
  <c r="G331" i="3"/>
  <c r="F331" i="3"/>
  <c r="D331" i="3"/>
  <c r="C331" i="3"/>
  <c r="B331" i="3"/>
  <c r="R329" i="3"/>
  <c r="R331" i="3" s="1"/>
  <c r="Q329" i="3"/>
  <c r="M329" i="3"/>
  <c r="I329" i="3"/>
  <c r="E329" i="3"/>
  <c r="Q325" i="3"/>
  <c r="M325" i="3"/>
  <c r="I325" i="3"/>
  <c r="E325" i="3"/>
  <c r="Q318" i="3"/>
  <c r="M318" i="3"/>
  <c r="R318" i="3" s="1"/>
  <c r="I318" i="3"/>
  <c r="E318" i="3"/>
  <c r="Q317" i="3"/>
  <c r="M317" i="3"/>
  <c r="I317" i="3"/>
  <c r="E317" i="3"/>
  <c r="R317" i="3" s="1"/>
  <c r="Q316" i="3"/>
  <c r="M316" i="3"/>
  <c r="I316" i="3"/>
  <c r="E316" i="3"/>
  <c r="R316" i="3" s="1"/>
  <c r="Q315" i="3"/>
  <c r="M315" i="3"/>
  <c r="I315" i="3"/>
  <c r="R315" i="3" s="1"/>
  <c r="E315" i="3"/>
  <c r="Q314" i="3"/>
  <c r="M314" i="3"/>
  <c r="I314" i="3"/>
  <c r="E314" i="3"/>
  <c r="R314" i="3" s="1"/>
  <c r="Q313" i="3"/>
  <c r="M313" i="3"/>
  <c r="I313" i="3"/>
  <c r="E313" i="3"/>
  <c r="R313" i="3" s="1"/>
  <c r="P311" i="3"/>
  <c r="O311" i="3"/>
  <c r="Q311" i="3" s="1"/>
  <c r="N311" i="3"/>
  <c r="L311" i="3"/>
  <c r="K311" i="3"/>
  <c r="J311" i="3"/>
  <c r="H311" i="3"/>
  <c r="G311" i="3"/>
  <c r="I311" i="3" s="1"/>
  <c r="F311" i="3"/>
  <c r="D311" i="3"/>
  <c r="C311" i="3"/>
  <c r="B311" i="3"/>
  <c r="P310" i="3"/>
  <c r="O310" i="3"/>
  <c r="N310" i="3"/>
  <c r="Q310" i="3" s="1"/>
  <c r="L310" i="3"/>
  <c r="K310" i="3"/>
  <c r="J310" i="3"/>
  <c r="H310" i="3"/>
  <c r="G310" i="3"/>
  <c r="F310" i="3"/>
  <c r="I310" i="3" s="1"/>
  <c r="D310" i="3"/>
  <c r="C310" i="3"/>
  <c r="B310" i="3"/>
  <c r="E310" i="3" s="1"/>
  <c r="Q309" i="3"/>
  <c r="M309" i="3"/>
  <c r="I309" i="3"/>
  <c r="E309" i="3"/>
  <c r="R309" i="3" s="1"/>
  <c r="R307" i="3"/>
  <c r="Q307" i="3"/>
  <c r="M307" i="3"/>
  <c r="I307" i="3"/>
  <c r="E307" i="3"/>
  <c r="Q305" i="3"/>
  <c r="M305" i="3"/>
  <c r="I305" i="3"/>
  <c r="E305" i="3"/>
  <c r="R304" i="3"/>
  <c r="Q304" i="3"/>
  <c r="M304" i="3"/>
  <c r="I304" i="3"/>
  <c r="E304" i="3"/>
  <c r="Q303" i="3"/>
  <c r="M303" i="3"/>
  <c r="I303" i="3"/>
  <c r="E303" i="3"/>
  <c r="Q302" i="3"/>
  <c r="M302" i="3"/>
  <c r="I302" i="3"/>
  <c r="E302" i="3"/>
  <c r="R302" i="3" s="1"/>
  <c r="Q301" i="3"/>
  <c r="M301" i="3"/>
  <c r="I301" i="3"/>
  <c r="R301" i="3" s="1"/>
  <c r="E301" i="3"/>
  <c r="Q300" i="3"/>
  <c r="M300" i="3"/>
  <c r="I300" i="3"/>
  <c r="E300" i="3"/>
  <c r="Q299" i="3"/>
  <c r="M299" i="3"/>
  <c r="I299" i="3"/>
  <c r="E299" i="3"/>
  <c r="R299" i="3" s="1"/>
  <c r="Q298" i="3"/>
  <c r="M298" i="3"/>
  <c r="I298" i="3"/>
  <c r="R298" i="3" s="1"/>
  <c r="E298" i="3"/>
  <c r="Q296" i="3"/>
  <c r="M296" i="3"/>
  <c r="I296" i="3"/>
  <c r="E296" i="3"/>
  <c r="Q295" i="3"/>
  <c r="M295" i="3"/>
  <c r="I295" i="3"/>
  <c r="R295" i="3" s="1"/>
  <c r="E295" i="3"/>
  <c r="L292" i="3"/>
  <c r="J292" i="3"/>
  <c r="H292" i="3"/>
  <c r="B292" i="3"/>
  <c r="Q291" i="3"/>
  <c r="M291" i="3"/>
  <c r="I291" i="3"/>
  <c r="R291" i="3" s="1"/>
  <c r="E291" i="3"/>
  <c r="Q290" i="3"/>
  <c r="M290" i="3"/>
  <c r="I290" i="3"/>
  <c r="E290" i="3"/>
  <c r="Q289" i="3"/>
  <c r="M289" i="3"/>
  <c r="I289" i="3"/>
  <c r="R289" i="3" s="1"/>
  <c r="E289" i="3"/>
  <c r="R288" i="3"/>
  <c r="Q288" i="3"/>
  <c r="M288" i="3"/>
  <c r="I288" i="3"/>
  <c r="E288" i="3"/>
  <c r="Q287" i="3"/>
  <c r="M287" i="3"/>
  <c r="I287" i="3"/>
  <c r="E287" i="3"/>
  <c r="Q286" i="3"/>
  <c r="M286" i="3"/>
  <c r="F286" i="3"/>
  <c r="I286" i="3" s="1"/>
  <c r="D286" i="3"/>
  <c r="C286" i="3"/>
  <c r="C292" i="3" s="1"/>
  <c r="B286" i="3"/>
  <c r="B900" i="3" s="1"/>
  <c r="Q285" i="3"/>
  <c r="M285" i="3"/>
  <c r="I285" i="3"/>
  <c r="E285" i="3"/>
  <c r="R285" i="3" s="1"/>
  <c r="Q284" i="3"/>
  <c r="M284" i="3"/>
  <c r="R284" i="3" s="1"/>
  <c r="I284" i="3"/>
  <c r="E284" i="3"/>
  <c r="Q283" i="3"/>
  <c r="M283" i="3"/>
  <c r="I283" i="3"/>
  <c r="E283" i="3"/>
  <c r="R283" i="3" s="1"/>
  <c r="R282" i="3"/>
  <c r="Q282" i="3"/>
  <c r="M282" i="3"/>
  <c r="I282" i="3"/>
  <c r="E282" i="3"/>
  <c r="Q281" i="3"/>
  <c r="M281" i="3"/>
  <c r="I281" i="3"/>
  <c r="E281" i="3"/>
  <c r="Q280" i="3"/>
  <c r="M280" i="3"/>
  <c r="I280" i="3"/>
  <c r="E280" i="3"/>
  <c r="R280" i="3" s="1"/>
  <c r="Q279" i="3"/>
  <c r="M279" i="3"/>
  <c r="I279" i="3"/>
  <c r="E279" i="3"/>
  <c r="Q278" i="3"/>
  <c r="M278" i="3"/>
  <c r="I278" i="3"/>
  <c r="E278" i="3"/>
  <c r="R278" i="3" s="1"/>
  <c r="Q277" i="3"/>
  <c r="M277" i="3"/>
  <c r="I277" i="3"/>
  <c r="E277" i="3"/>
  <c r="R277" i="3" s="1"/>
  <c r="Q276" i="3"/>
  <c r="M276" i="3"/>
  <c r="R276" i="3" s="1"/>
  <c r="I276" i="3"/>
  <c r="E276" i="3"/>
  <c r="Q275" i="3"/>
  <c r="M275" i="3"/>
  <c r="I275" i="3"/>
  <c r="E275" i="3"/>
  <c r="R275" i="3" s="1"/>
  <c r="R274" i="3"/>
  <c r="Q274" i="3"/>
  <c r="M274" i="3"/>
  <c r="I274" i="3"/>
  <c r="E274" i="3"/>
  <c r="Q273" i="3"/>
  <c r="M273" i="3"/>
  <c r="I273" i="3"/>
  <c r="E273" i="3"/>
  <c r="Q272" i="3"/>
  <c r="M272" i="3"/>
  <c r="I272" i="3"/>
  <c r="E272" i="3"/>
  <c r="R272" i="3" s="1"/>
  <c r="Q271" i="3"/>
  <c r="M271" i="3"/>
  <c r="I271" i="3"/>
  <c r="R271" i="3" s="1"/>
  <c r="E271" i="3"/>
  <c r="Q270" i="3"/>
  <c r="M270" i="3"/>
  <c r="I270" i="3"/>
  <c r="E270" i="3"/>
  <c r="Q269" i="3"/>
  <c r="M269" i="3"/>
  <c r="I269" i="3"/>
  <c r="E269" i="3"/>
  <c r="R268" i="3"/>
  <c r="Q268" i="3"/>
  <c r="M268" i="3"/>
  <c r="I268" i="3"/>
  <c r="E268" i="3"/>
  <c r="Q267" i="3"/>
  <c r="M267" i="3"/>
  <c r="I267" i="3"/>
  <c r="E267" i="3"/>
  <c r="R267" i="3" s="1"/>
  <c r="R266" i="3"/>
  <c r="Q266" i="3"/>
  <c r="M266" i="3"/>
  <c r="I266" i="3"/>
  <c r="E266" i="3"/>
  <c r="Q265" i="3"/>
  <c r="M265" i="3"/>
  <c r="I265" i="3"/>
  <c r="E265" i="3"/>
  <c r="Q264" i="3"/>
  <c r="M264" i="3"/>
  <c r="I264" i="3"/>
  <c r="E264" i="3"/>
  <c r="R264" i="3" s="1"/>
  <c r="Q263" i="3"/>
  <c r="M263" i="3"/>
  <c r="I263" i="3"/>
  <c r="R263" i="3" s="1"/>
  <c r="E263" i="3"/>
  <c r="N262" i="3"/>
  <c r="M262" i="3"/>
  <c r="I262" i="3"/>
  <c r="E262" i="3"/>
  <c r="Q261" i="3"/>
  <c r="M261" i="3"/>
  <c r="I261" i="3"/>
  <c r="E261" i="3"/>
  <c r="R261" i="3" s="1"/>
  <c r="Q260" i="3"/>
  <c r="M260" i="3"/>
  <c r="I260" i="3"/>
  <c r="R260" i="3" s="1"/>
  <c r="E260" i="3"/>
  <c r="Q259" i="3"/>
  <c r="M259" i="3"/>
  <c r="I259" i="3"/>
  <c r="E259" i="3"/>
  <c r="Q258" i="3"/>
  <c r="M258" i="3"/>
  <c r="I258" i="3"/>
  <c r="E258" i="3"/>
  <c r="R257" i="3"/>
  <c r="Q257" i="3"/>
  <c r="M257" i="3"/>
  <c r="I257" i="3"/>
  <c r="E257" i="3"/>
  <c r="Q256" i="3"/>
  <c r="M256" i="3"/>
  <c r="G256" i="3"/>
  <c r="G900" i="3" s="1"/>
  <c r="G901" i="3" s="1"/>
  <c r="G930" i="3" s="1"/>
  <c r="F256" i="3"/>
  <c r="I256" i="3" s="1"/>
  <c r="R256" i="3" s="1"/>
  <c r="E256" i="3"/>
  <c r="Q255" i="3"/>
  <c r="L255" i="3"/>
  <c r="L900" i="3" s="1"/>
  <c r="K255" i="3"/>
  <c r="I255" i="3"/>
  <c r="E255" i="3"/>
  <c r="Q254" i="3"/>
  <c r="M254" i="3"/>
  <c r="I254" i="3"/>
  <c r="E254" i="3"/>
  <c r="Q253" i="3"/>
  <c r="M253" i="3"/>
  <c r="I253" i="3"/>
  <c r="E253" i="3"/>
  <c r="R253" i="3" s="1"/>
  <c r="Q252" i="3"/>
  <c r="M252" i="3"/>
  <c r="I252" i="3"/>
  <c r="E252" i="3"/>
  <c r="Q251" i="3"/>
  <c r="M251" i="3"/>
  <c r="R251" i="3" s="1"/>
  <c r="I251" i="3"/>
  <c r="E251" i="3"/>
  <c r="Q250" i="3"/>
  <c r="M250" i="3"/>
  <c r="I250" i="3"/>
  <c r="R250" i="3" s="1"/>
  <c r="E250" i="3"/>
  <c r="Q249" i="3"/>
  <c r="M249" i="3"/>
  <c r="I249" i="3"/>
  <c r="E249" i="3"/>
  <c r="R249" i="3" s="1"/>
  <c r="Q248" i="3"/>
  <c r="M248" i="3"/>
  <c r="I248" i="3"/>
  <c r="R248" i="3" s="1"/>
  <c r="E248" i="3"/>
  <c r="Q247" i="3"/>
  <c r="M247" i="3"/>
  <c r="I247" i="3"/>
  <c r="E247" i="3"/>
  <c r="Q246" i="3"/>
  <c r="M246" i="3"/>
  <c r="I246" i="3"/>
  <c r="E246" i="3"/>
  <c r="R245" i="3"/>
  <c r="Q245" i="3"/>
  <c r="M245" i="3"/>
  <c r="I245" i="3"/>
  <c r="E245" i="3"/>
  <c r="Q244" i="3"/>
  <c r="M244" i="3"/>
  <c r="I244" i="3"/>
  <c r="E244" i="3"/>
  <c r="R244" i="3" s="1"/>
  <c r="R243" i="3"/>
  <c r="Q243" i="3"/>
  <c r="M243" i="3"/>
  <c r="I243" i="3"/>
  <c r="E243" i="3"/>
  <c r="P242" i="3"/>
  <c r="P900" i="3" s="1"/>
  <c r="O242" i="3"/>
  <c r="Q242" i="3" s="1"/>
  <c r="M242" i="3"/>
  <c r="I242" i="3"/>
  <c r="E242" i="3"/>
  <c r="Q241" i="3"/>
  <c r="M241" i="3"/>
  <c r="I241" i="3"/>
  <c r="E241" i="3"/>
  <c r="Q240" i="3"/>
  <c r="M240" i="3"/>
  <c r="I240" i="3"/>
  <c r="E240" i="3"/>
  <c r="Q239" i="3"/>
  <c r="M239" i="3"/>
  <c r="I239" i="3"/>
  <c r="E239" i="3"/>
  <c r="R239" i="3" s="1"/>
  <c r="Q238" i="3"/>
  <c r="M238" i="3"/>
  <c r="I238" i="3"/>
  <c r="E238" i="3"/>
  <c r="R238" i="3" s="1"/>
  <c r="R237" i="3"/>
  <c r="Q237" i="3"/>
  <c r="M237" i="3"/>
  <c r="I237" i="3"/>
  <c r="E237" i="3"/>
  <c r="Q236" i="3"/>
  <c r="M236" i="3"/>
  <c r="I236" i="3"/>
  <c r="R236" i="3" s="1"/>
  <c r="E236" i="3"/>
  <c r="R235" i="3"/>
  <c r="Q235" i="3"/>
  <c r="M235" i="3"/>
  <c r="I235" i="3"/>
  <c r="E235" i="3"/>
  <c r="Q234" i="3"/>
  <c r="M234" i="3"/>
  <c r="I234" i="3"/>
  <c r="R234" i="3" s="1"/>
  <c r="E234" i="3"/>
  <c r="Q233" i="3"/>
  <c r="M233" i="3"/>
  <c r="I233" i="3"/>
  <c r="E233" i="3"/>
  <c r="Q232" i="3"/>
  <c r="M232" i="3"/>
  <c r="I232" i="3"/>
  <c r="E232" i="3"/>
  <c r="R231" i="3"/>
  <c r="Q231" i="3"/>
  <c r="M231" i="3"/>
  <c r="I231" i="3"/>
  <c r="E231" i="3"/>
  <c r="Q230" i="3"/>
  <c r="M230" i="3"/>
  <c r="I230" i="3"/>
  <c r="E230" i="3"/>
  <c r="R230" i="3" s="1"/>
  <c r="R229" i="3"/>
  <c r="Q229" i="3"/>
  <c r="M229" i="3"/>
  <c r="I229" i="3"/>
  <c r="E229" i="3"/>
  <c r="Q228" i="3"/>
  <c r="M228" i="3"/>
  <c r="I228" i="3"/>
  <c r="R228" i="3" s="1"/>
  <c r="E228" i="3"/>
  <c r="Q227" i="3"/>
  <c r="M227" i="3"/>
  <c r="I227" i="3"/>
  <c r="E227" i="3"/>
  <c r="R227" i="3" s="1"/>
  <c r="Q226" i="3"/>
  <c r="M226" i="3"/>
  <c r="I226" i="3"/>
  <c r="R226" i="3" s="1"/>
  <c r="E226" i="3"/>
  <c r="Q225" i="3"/>
  <c r="M225" i="3"/>
  <c r="I225" i="3"/>
  <c r="E225" i="3"/>
  <c r="Q221" i="3"/>
  <c r="P221" i="3"/>
  <c r="O221" i="3"/>
  <c r="N221" i="3"/>
  <c r="L221" i="3"/>
  <c r="K221" i="3"/>
  <c r="M221" i="3" s="1"/>
  <c r="J221" i="3"/>
  <c r="I221" i="3"/>
  <c r="D221" i="3"/>
  <c r="C221" i="3"/>
  <c r="B221" i="3"/>
  <c r="E221" i="3" s="1"/>
  <c r="R219" i="3"/>
  <c r="Q219" i="3"/>
  <c r="M219" i="3"/>
  <c r="I219" i="3"/>
  <c r="E219" i="3"/>
  <c r="Q218" i="3"/>
  <c r="M218" i="3"/>
  <c r="I218" i="3"/>
  <c r="E218" i="3"/>
  <c r="R218" i="3" s="1"/>
  <c r="K214" i="3"/>
  <c r="C214" i="3"/>
  <c r="Q212" i="3"/>
  <c r="M212" i="3"/>
  <c r="I212" i="3"/>
  <c r="E212" i="3"/>
  <c r="R212" i="3" s="1"/>
  <c r="R211" i="3"/>
  <c r="Q211" i="3"/>
  <c r="M211" i="3"/>
  <c r="I211" i="3"/>
  <c r="E211" i="3"/>
  <c r="Q210" i="3"/>
  <c r="M210" i="3"/>
  <c r="I210" i="3"/>
  <c r="E210" i="3"/>
  <c r="Q208" i="3"/>
  <c r="M208" i="3"/>
  <c r="I208" i="3"/>
  <c r="E208" i="3"/>
  <c r="R208" i="3" s="1"/>
  <c r="Q207" i="3"/>
  <c r="M207" i="3"/>
  <c r="I207" i="3"/>
  <c r="E207" i="3"/>
  <c r="R207" i="3" s="1"/>
  <c r="Q206" i="3"/>
  <c r="M206" i="3"/>
  <c r="I206" i="3"/>
  <c r="E206" i="3"/>
  <c r="R205" i="3"/>
  <c r="Q205" i="3"/>
  <c r="M205" i="3"/>
  <c r="I205" i="3"/>
  <c r="E205" i="3"/>
  <c r="Q204" i="3"/>
  <c r="M204" i="3"/>
  <c r="I204" i="3"/>
  <c r="E204" i="3"/>
  <c r="R204" i="3" s="1"/>
  <c r="R203" i="3"/>
  <c r="Q203" i="3"/>
  <c r="M203" i="3"/>
  <c r="I203" i="3"/>
  <c r="E203" i="3"/>
  <c r="R202" i="3"/>
  <c r="Q202" i="3"/>
  <c r="M202" i="3"/>
  <c r="I202" i="3"/>
  <c r="E202" i="3"/>
  <c r="Q201" i="3"/>
  <c r="M201" i="3"/>
  <c r="I201" i="3"/>
  <c r="E201" i="3"/>
  <c r="R201" i="3" s="1"/>
  <c r="Q200" i="3"/>
  <c r="M200" i="3"/>
  <c r="I200" i="3"/>
  <c r="R200" i="3" s="1"/>
  <c r="E200" i="3"/>
  <c r="Q199" i="3"/>
  <c r="M199" i="3"/>
  <c r="R199" i="3" s="1"/>
  <c r="I199" i="3"/>
  <c r="E199" i="3"/>
  <c r="Q197" i="3"/>
  <c r="M197" i="3"/>
  <c r="I197" i="3"/>
  <c r="E197" i="3"/>
  <c r="Q196" i="3"/>
  <c r="M196" i="3"/>
  <c r="I196" i="3"/>
  <c r="F196" i="3"/>
  <c r="E196" i="3"/>
  <c r="R196" i="3" s="1"/>
  <c r="R195" i="3"/>
  <c r="Q195" i="3"/>
  <c r="M195" i="3"/>
  <c r="I195" i="3"/>
  <c r="E195" i="3"/>
  <c r="Q194" i="3"/>
  <c r="M194" i="3"/>
  <c r="I194" i="3"/>
  <c r="E194" i="3"/>
  <c r="R194" i="3" s="1"/>
  <c r="Q193" i="3"/>
  <c r="M193" i="3"/>
  <c r="I193" i="3"/>
  <c r="E193" i="3"/>
  <c r="R192" i="3"/>
  <c r="Q192" i="3"/>
  <c r="M192" i="3"/>
  <c r="I192" i="3"/>
  <c r="E192" i="3"/>
  <c r="Q191" i="3"/>
  <c r="J191" i="3"/>
  <c r="M191" i="3" s="1"/>
  <c r="I191" i="3"/>
  <c r="E191" i="3"/>
  <c r="R191" i="3" s="1"/>
  <c r="Q190" i="3"/>
  <c r="P190" i="3"/>
  <c r="O190" i="3"/>
  <c r="N190" i="3"/>
  <c r="L190" i="3"/>
  <c r="M190" i="3" s="1"/>
  <c r="K190" i="3"/>
  <c r="J190" i="3"/>
  <c r="I190" i="3"/>
  <c r="H190" i="3"/>
  <c r="E190" i="3"/>
  <c r="Q189" i="3"/>
  <c r="M189" i="3"/>
  <c r="I189" i="3"/>
  <c r="E189" i="3"/>
  <c r="R188" i="3"/>
  <c r="Q188" i="3"/>
  <c r="M188" i="3"/>
  <c r="I188" i="3"/>
  <c r="E188" i="3"/>
  <c r="Q187" i="3"/>
  <c r="M187" i="3"/>
  <c r="I187" i="3"/>
  <c r="G187" i="3"/>
  <c r="E187" i="3"/>
  <c r="R187" i="3" s="1"/>
  <c r="Q186" i="3"/>
  <c r="P186" i="3"/>
  <c r="O186" i="3"/>
  <c r="N186" i="3"/>
  <c r="L186" i="3"/>
  <c r="L214" i="3" s="1"/>
  <c r="L312" i="3" s="1"/>
  <c r="L320" i="3" s="1"/>
  <c r="K186" i="3"/>
  <c r="J186" i="3"/>
  <c r="H186" i="3"/>
  <c r="G186" i="3"/>
  <c r="F186" i="3"/>
  <c r="I186" i="3" s="1"/>
  <c r="D186" i="3"/>
  <c r="D214" i="3" s="1"/>
  <c r="C186" i="3"/>
  <c r="B186" i="3"/>
  <c r="E186" i="3" s="1"/>
  <c r="R185" i="3"/>
  <c r="Q185" i="3"/>
  <c r="M185" i="3"/>
  <c r="I185" i="3"/>
  <c r="E185" i="3"/>
  <c r="Q184" i="3"/>
  <c r="M184" i="3"/>
  <c r="I184" i="3"/>
  <c r="E184" i="3"/>
  <c r="R184" i="3" s="1"/>
  <c r="Q183" i="3"/>
  <c r="M183" i="3"/>
  <c r="I183" i="3"/>
  <c r="E183" i="3"/>
  <c r="R182" i="3"/>
  <c r="Q182" i="3"/>
  <c r="M182" i="3"/>
  <c r="I182" i="3"/>
  <c r="E182" i="3"/>
  <c r="Q181" i="3"/>
  <c r="M181" i="3"/>
  <c r="I181" i="3"/>
  <c r="E181" i="3"/>
  <c r="R181" i="3" s="1"/>
  <c r="R180" i="3"/>
  <c r="Q180" i="3"/>
  <c r="M180" i="3"/>
  <c r="I180" i="3"/>
  <c r="E180" i="3"/>
  <c r="Q179" i="3"/>
  <c r="M179" i="3"/>
  <c r="I179" i="3"/>
  <c r="E179" i="3"/>
  <c r="Q178" i="3"/>
  <c r="M178" i="3"/>
  <c r="I178" i="3"/>
  <c r="E178" i="3"/>
  <c r="R178" i="3" s="1"/>
  <c r="Q177" i="3"/>
  <c r="M177" i="3"/>
  <c r="I177" i="3"/>
  <c r="R177" i="3" s="1"/>
  <c r="E177" i="3"/>
  <c r="Q176" i="3"/>
  <c r="M176" i="3"/>
  <c r="I176" i="3"/>
  <c r="E176" i="3"/>
  <c r="R176" i="3" s="1"/>
  <c r="Q175" i="3"/>
  <c r="M175" i="3"/>
  <c r="I175" i="3"/>
  <c r="E175" i="3"/>
  <c r="R175" i="3" s="1"/>
  <c r="Q174" i="3"/>
  <c r="M174" i="3"/>
  <c r="L174" i="3"/>
  <c r="I174" i="3"/>
  <c r="R174" i="3" s="1"/>
  <c r="E174" i="3"/>
  <c r="Q173" i="3"/>
  <c r="M173" i="3"/>
  <c r="I173" i="3"/>
  <c r="E173" i="3"/>
  <c r="R173" i="3" s="1"/>
  <c r="Q172" i="3"/>
  <c r="M172" i="3"/>
  <c r="I172" i="3"/>
  <c r="E172" i="3"/>
  <c r="Q171" i="3"/>
  <c r="M171" i="3"/>
  <c r="I171" i="3"/>
  <c r="E171" i="3"/>
  <c r="R171" i="3" s="1"/>
  <c r="Q170" i="3"/>
  <c r="M170" i="3"/>
  <c r="I170" i="3"/>
  <c r="E170" i="3"/>
  <c r="R170" i="3" s="1"/>
  <c r="Q169" i="3"/>
  <c r="M169" i="3"/>
  <c r="I169" i="3"/>
  <c r="E169" i="3"/>
  <c r="R169" i="3" s="1"/>
  <c r="Q168" i="3"/>
  <c r="M168" i="3"/>
  <c r="I168" i="3"/>
  <c r="E168" i="3"/>
  <c r="Q167" i="3"/>
  <c r="M167" i="3"/>
  <c r="R167" i="3" s="1"/>
  <c r="I167" i="3"/>
  <c r="E167" i="3"/>
  <c r="Q166" i="3"/>
  <c r="M166" i="3"/>
  <c r="I166" i="3"/>
  <c r="R166" i="3" s="1"/>
  <c r="E166" i="3"/>
  <c r="R165" i="3"/>
  <c r="Q165" i="3"/>
  <c r="M165" i="3"/>
  <c r="I165" i="3"/>
  <c r="E165" i="3"/>
  <c r="Q164" i="3"/>
  <c r="M164" i="3"/>
  <c r="I164" i="3"/>
  <c r="E164" i="3"/>
  <c r="R164" i="3" s="1"/>
  <c r="R163" i="3"/>
  <c r="Q163" i="3"/>
  <c r="M163" i="3"/>
  <c r="I163" i="3"/>
  <c r="E163" i="3"/>
  <c r="Q162" i="3"/>
  <c r="M162" i="3"/>
  <c r="I162" i="3"/>
  <c r="E162" i="3"/>
  <c r="Q161" i="3"/>
  <c r="M161" i="3"/>
  <c r="I161" i="3"/>
  <c r="E161" i="3"/>
  <c r="R161" i="3" s="1"/>
  <c r="Q160" i="3"/>
  <c r="M160" i="3"/>
  <c r="I160" i="3"/>
  <c r="E160" i="3"/>
  <c r="Q159" i="3"/>
  <c r="M159" i="3"/>
  <c r="I159" i="3"/>
  <c r="E159" i="3"/>
  <c r="R159" i="3" s="1"/>
  <c r="Q158" i="3"/>
  <c r="P158" i="3"/>
  <c r="P214" i="3" s="1"/>
  <c r="O158" i="3"/>
  <c r="N158" i="3"/>
  <c r="N214" i="3" s="1"/>
  <c r="L158" i="3"/>
  <c r="K158" i="3"/>
  <c r="J158" i="3"/>
  <c r="M158" i="3" s="1"/>
  <c r="I158" i="3"/>
  <c r="H158" i="3"/>
  <c r="H214" i="3" s="1"/>
  <c r="H312" i="3" s="1"/>
  <c r="H320" i="3" s="1"/>
  <c r="G158" i="3"/>
  <c r="F158" i="3"/>
  <c r="F214" i="3" s="1"/>
  <c r="D158" i="3"/>
  <c r="C158" i="3"/>
  <c r="C886" i="3" s="1"/>
  <c r="C892" i="3" s="1"/>
  <c r="B158" i="3"/>
  <c r="E158" i="3" s="1"/>
  <c r="R157" i="3"/>
  <c r="Q157" i="3"/>
  <c r="M157" i="3"/>
  <c r="I157" i="3"/>
  <c r="E157" i="3"/>
  <c r="Q156" i="3"/>
  <c r="M156" i="3"/>
  <c r="I156" i="3"/>
  <c r="E156" i="3"/>
  <c r="R155" i="3"/>
  <c r="Q155" i="3"/>
  <c r="M155" i="3"/>
  <c r="I155" i="3"/>
  <c r="E155" i="3"/>
  <c r="Q154" i="3"/>
  <c r="M154" i="3"/>
  <c r="I154" i="3"/>
  <c r="R154" i="3" s="1"/>
  <c r="E154" i="3"/>
  <c r="Q153" i="3"/>
  <c r="M153" i="3"/>
  <c r="I153" i="3"/>
  <c r="E153" i="3"/>
  <c r="R153" i="3" s="1"/>
  <c r="Q152" i="3"/>
  <c r="M152" i="3"/>
  <c r="I152" i="3"/>
  <c r="E152" i="3"/>
  <c r="R152" i="3" s="1"/>
  <c r="Q151" i="3"/>
  <c r="M151" i="3"/>
  <c r="I151" i="3"/>
  <c r="E151" i="3"/>
  <c r="R151" i="3" s="1"/>
  <c r="Q150" i="3"/>
  <c r="M150" i="3"/>
  <c r="I150" i="3"/>
  <c r="E150" i="3"/>
  <c r="Q149" i="3"/>
  <c r="M149" i="3"/>
  <c r="I149" i="3"/>
  <c r="E149" i="3"/>
  <c r="R149" i="3" s="1"/>
  <c r="Q148" i="3"/>
  <c r="M148" i="3"/>
  <c r="I148" i="3"/>
  <c r="E148" i="3"/>
  <c r="Q147" i="3"/>
  <c r="M147" i="3"/>
  <c r="R147" i="3" s="1"/>
  <c r="I147" i="3"/>
  <c r="E147" i="3"/>
  <c r="R146" i="3"/>
  <c r="Q146" i="3"/>
  <c r="M146" i="3"/>
  <c r="I146" i="3"/>
  <c r="E146" i="3"/>
  <c r="Q145" i="3"/>
  <c r="M145" i="3"/>
  <c r="I145" i="3"/>
  <c r="R145" i="3" s="1"/>
  <c r="E145" i="3"/>
  <c r="Q144" i="3"/>
  <c r="M144" i="3"/>
  <c r="I144" i="3"/>
  <c r="E144" i="3"/>
  <c r="Q143" i="3"/>
  <c r="M143" i="3"/>
  <c r="R143" i="3" s="1"/>
  <c r="I143" i="3"/>
  <c r="E143" i="3"/>
  <c r="Q142" i="3"/>
  <c r="M142" i="3"/>
  <c r="I142" i="3"/>
  <c r="E142" i="3"/>
  <c r="R142" i="3" s="1"/>
  <c r="Q130" i="3"/>
  <c r="M130" i="3"/>
  <c r="R130" i="3" s="1"/>
  <c r="I130" i="3"/>
  <c r="E130" i="3"/>
  <c r="J129" i="3"/>
  <c r="J132" i="3" s="1"/>
  <c r="P128" i="3"/>
  <c r="O128" i="3"/>
  <c r="N128" i="3"/>
  <c r="L128" i="3"/>
  <c r="K128" i="3"/>
  <c r="J128" i="3"/>
  <c r="H128" i="3"/>
  <c r="G128" i="3"/>
  <c r="F128" i="3"/>
  <c r="I128" i="3" s="1"/>
  <c r="D128" i="3"/>
  <c r="C128" i="3"/>
  <c r="C129" i="3" s="1"/>
  <c r="C132" i="3" s="1"/>
  <c r="B128" i="3"/>
  <c r="Q127" i="3"/>
  <c r="P127" i="3"/>
  <c r="O127" i="3"/>
  <c r="N127" i="3"/>
  <c r="M127" i="3"/>
  <c r="L127" i="3"/>
  <c r="K127" i="3"/>
  <c r="J127" i="3"/>
  <c r="I127" i="3"/>
  <c r="H127" i="3"/>
  <c r="G127" i="3"/>
  <c r="F127" i="3"/>
  <c r="E127" i="3"/>
  <c r="R127" i="3" s="1"/>
  <c r="D127" i="3"/>
  <c r="C127" i="3"/>
  <c r="B127" i="3"/>
  <c r="Q126" i="3"/>
  <c r="M126" i="3"/>
  <c r="I126" i="3"/>
  <c r="E126" i="3"/>
  <c r="R126" i="3" s="1"/>
  <c r="Q125" i="3"/>
  <c r="M125" i="3"/>
  <c r="I125" i="3"/>
  <c r="R125" i="3" s="1"/>
  <c r="E125" i="3"/>
  <c r="Q123" i="3"/>
  <c r="M123" i="3"/>
  <c r="I123" i="3"/>
  <c r="E123" i="3"/>
  <c r="R123" i="3" s="1"/>
  <c r="Q121" i="3"/>
  <c r="M121" i="3"/>
  <c r="I121" i="3"/>
  <c r="R121" i="3" s="1"/>
  <c r="E121" i="3"/>
  <c r="Q120" i="3"/>
  <c r="M120" i="3"/>
  <c r="R120" i="3" s="1"/>
  <c r="I120" i="3"/>
  <c r="E120" i="3"/>
  <c r="Q118" i="3"/>
  <c r="M118" i="3"/>
  <c r="I118" i="3"/>
  <c r="E118" i="3"/>
  <c r="R117" i="3"/>
  <c r="Q117" i="3"/>
  <c r="M117" i="3"/>
  <c r="I117" i="3"/>
  <c r="E117" i="3"/>
  <c r="Q116" i="3"/>
  <c r="M116" i="3"/>
  <c r="I116" i="3"/>
  <c r="E116" i="3"/>
  <c r="R116" i="3" s="1"/>
  <c r="R115" i="3"/>
  <c r="Q115" i="3"/>
  <c r="M115" i="3"/>
  <c r="I115" i="3"/>
  <c r="E115" i="3"/>
  <c r="Q114" i="3"/>
  <c r="M114" i="3"/>
  <c r="I114" i="3"/>
  <c r="R114" i="3" s="1"/>
  <c r="E114" i="3"/>
  <c r="Q113" i="3"/>
  <c r="M113" i="3"/>
  <c r="I113" i="3"/>
  <c r="E113" i="3"/>
  <c r="R113" i="3" s="1"/>
  <c r="Q112" i="3"/>
  <c r="M112" i="3"/>
  <c r="I112" i="3"/>
  <c r="E112" i="3"/>
  <c r="Q111" i="3"/>
  <c r="M111" i="3"/>
  <c r="I111" i="3"/>
  <c r="E111" i="3"/>
  <c r="R111" i="3" s="1"/>
  <c r="P108" i="3"/>
  <c r="O108" i="3"/>
  <c r="N108" i="3"/>
  <c r="Q108" i="3" s="1"/>
  <c r="M108" i="3"/>
  <c r="L108" i="3"/>
  <c r="K108" i="3"/>
  <c r="J108" i="3"/>
  <c r="H108" i="3"/>
  <c r="G108" i="3"/>
  <c r="F108" i="3"/>
  <c r="I108" i="3" s="1"/>
  <c r="E108" i="3"/>
  <c r="D108" i="3"/>
  <c r="C108" i="3"/>
  <c r="B108" i="3"/>
  <c r="Q107" i="3"/>
  <c r="M107" i="3"/>
  <c r="I107" i="3"/>
  <c r="R107" i="3" s="1"/>
  <c r="E107" i="3"/>
  <c r="Q106" i="3"/>
  <c r="M106" i="3"/>
  <c r="I106" i="3"/>
  <c r="E106" i="3"/>
  <c r="R105" i="3"/>
  <c r="Q105" i="3"/>
  <c r="M105" i="3"/>
  <c r="I105" i="3"/>
  <c r="E105" i="3"/>
  <c r="Q104" i="3"/>
  <c r="M104" i="3"/>
  <c r="I104" i="3"/>
  <c r="E104" i="3"/>
  <c r="R104" i="3" s="1"/>
  <c r="Q103" i="3"/>
  <c r="M103" i="3"/>
  <c r="I103" i="3"/>
  <c r="E103" i="3"/>
  <c r="R103" i="3" s="1"/>
  <c r="Q102" i="3"/>
  <c r="M102" i="3"/>
  <c r="I102" i="3"/>
  <c r="E102" i="3"/>
  <c r="Q101" i="3"/>
  <c r="M101" i="3"/>
  <c r="I101" i="3"/>
  <c r="E101" i="3"/>
  <c r="R101" i="3" s="1"/>
  <c r="Q100" i="3"/>
  <c r="M100" i="3"/>
  <c r="I100" i="3"/>
  <c r="R100" i="3" s="1"/>
  <c r="E100" i="3"/>
  <c r="P96" i="3"/>
  <c r="O96" i="3"/>
  <c r="O129" i="3" s="1"/>
  <c r="O132" i="3" s="1"/>
  <c r="N96" i="3"/>
  <c r="L96" i="3"/>
  <c r="J96" i="3"/>
  <c r="H96" i="3"/>
  <c r="F96" i="3"/>
  <c r="D96" i="3"/>
  <c r="C96" i="3"/>
  <c r="B96" i="3"/>
  <c r="E96" i="3" s="1"/>
  <c r="Q94" i="3"/>
  <c r="N94" i="3"/>
  <c r="N895" i="3" s="1"/>
  <c r="M94" i="3"/>
  <c r="L94" i="3"/>
  <c r="L895" i="3" s="1"/>
  <c r="L897" i="3" s="1"/>
  <c r="L928" i="3" s="1"/>
  <c r="K94" i="3"/>
  <c r="J94" i="3"/>
  <c r="J895" i="3" s="1"/>
  <c r="I94" i="3"/>
  <c r="H94" i="3"/>
  <c r="H895" i="3" s="1"/>
  <c r="H897" i="3" s="1"/>
  <c r="H928" i="3" s="1"/>
  <c r="G94" i="3"/>
  <c r="G895" i="3" s="1"/>
  <c r="E94" i="3"/>
  <c r="Q93" i="3"/>
  <c r="M93" i="3"/>
  <c r="I93" i="3"/>
  <c r="E93" i="3"/>
  <c r="R93" i="3" s="1"/>
  <c r="P89" i="3"/>
  <c r="O89" i="3"/>
  <c r="N89" i="3"/>
  <c r="N129" i="3" s="1"/>
  <c r="N132" i="3" s="1"/>
  <c r="M89" i="3"/>
  <c r="L89" i="3"/>
  <c r="K89" i="3"/>
  <c r="J89" i="3"/>
  <c r="H89" i="3"/>
  <c r="H129" i="3" s="1"/>
  <c r="H132" i="3" s="1"/>
  <c r="G89" i="3"/>
  <c r="F89" i="3"/>
  <c r="E89" i="3"/>
  <c r="D89" i="3"/>
  <c r="D129" i="3" s="1"/>
  <c r="D132" i="3" s="1"/>
  <c r="C89" i="3"/>
  <c r="B89" i="3"/>
  <c r="Q87" i="3"/>
  <c r="R87" i="3" s="1"/>
  <c r="M87" i="3"/>
  <c r="I87" i="3"/>
  <c r="E87" i="3"/>
  <c r="Q86" i="3"/>
  <c r="M86" i="3"/>
  <c r="I86" i="3"/>
  <c r="E86" i="3"/>
  <c r="R84" i="3"/>
  <c r="Q84" i="3"/>
  <c r="M84" i="3"/>
  <c r="I84" i="3"/>
  <c r="E84" i="3"/>
  <c r="Q82" i="3"/>
  <c r="M82" i="3"/>
  <c r="R82" i="3" s="1"/>
  <c r="I82" i="3"/>
  <c r="E82" i="3"/>
  <c r="Q81" i="3"/>
  <c r="M81" i="3"/>
  <c r="I81" i="3"/>
  <c r="E81" i="3"/>
  <c r="R80" i="3"/>
  <c r="Q80" i="3"/>
  <c r="M80" i="3"/>
  <c r="I80" i="3"/>
  <c r="E80" i="3"/>
  <c r="Q79" i="3"/>
  <c r="M79" i="3"/>
  <c r="I79" i="3"/>
  <c r="E79" i="3"/>
  <c r="R79" i="3" s="1"/>
  <c r="R78" i="3"/>
  <c r="Q78" i="3"/>
  <c r="M78" i="3"/>
  <c r="I78" i="3"/>
  <c r="E78" i="3"/>
  <c r="Q77" i="3"/>
  <c r="M77" i="3"/>
  <c r="I77" i="3"/>
  <c r="R77" i="3" s="1"/>
  <c r="E77" i="3"/>
  <c r="Q76" i="3"/>
  <c r="M76" i="3"/>
  <c r="I76" i="3"/>
  <c r="E76" i="3"/>
  <c r="R76" i="3" s="1"/>
  <c r="Q75" i="3"/>
  <c r="M75" i="3"/>
  <c r="I75" i="3"/>
  <c r="E75" i="3"/>
  <c r="Q74" i="3"/>
  <c r="M74" i="3"/>
  <c r="I74" i="3"/>
  <c r="E74" i="3"/>
  <c r="R74" i="3" s="1"/>
  <c r="Q73" i="3"/>
  <c r="M73" i="3"/>
  <c r="I73" i="3"/>
  <c r="E73" i="3"/>
  <c r="Q72" i="3"/>
  <c r="M72" i="3"/>
  <c r="I72" i="3"/>
  <c r="E72" i="3"/>
  <c r="R72" i="3" s="1"/>
  <c r="Q60" i="3"/>
  <c r="M60" i="3"/>
  <c r="I60" i="3"/>
  <c r="R60" i="3" s="1"/>
  <c r="E60" i="3"/>
  <c r="N59" i="3"/>
  <c r="J59" i="3"/>
  <c r="P58" i="3"/>
  <c r="O58" i="3"/>
  <c r="Q58" i="3" s="1"/>
  <c r="N58" i="3"/>
  <c r="M58" i="3"/>
  <c r="L58" i="3"/>
  <c r="K58" i="3"/>
  <c r="J58" i="3"/>
  <c r="H58" i="3"/>
  <c r="G58" i="3"/>
  <c r="G59" i="3" s="1"/>
  <c r="G62" i="3" s="1"/>
  <c r="F58" i="3"/>
  <c r="E58" i="3"/>
  <c r="D58" i="3"/>
  <c r="C58" i="3"/>
  <c r="B58" i="3"/>
  <c r="P57" i="3"/>
  <c r="O57" i="3"/>
  <c r="N57" i="3"/>
  <c r="Q57" i="3" s="1"/>
  <c r="L57" i="3"/>
  <c r="K57" i="3"/>
  <c r="J57" i="3"/>
  <c r="M57" i="3" s="1"/>
  <c r="H57" i="3"/>
  <c r="G57" i="3"/>
  <c r="F57" i="3"/>
  <c r="I57" i="3" s="1"/>
  <c r="D57" i="3"/>
  <c r="C57" i="3"/>
  <c r="B57" i="3"/>
  <c r="E57" i="3" s="1"/>
  <c r="R57" i="3" s="1"/>
  <c r="Q54" i="3"/>
  <c r="M54" i="3"/>
  <c r="I54" i="3"/>
  <c r="R54" i="3" s="1"/>
  <c r="E54" i="3"/>
  <c r="P50" i="3"/>
  <c r="O50" i="3"/>
  <c r="O59" i="3" s="1"/>
  <c r="O62" i="3" s="1"/>
  <c r="N50" i="3"/>
  <c r="L50" i="3"/>
  <c r="K50" i="3"/>
  <c r="J50" i="3"/>
  <c r="H50" i="3"/>
  <c r="G50" i="3"/>
  <c r="F50" i="3"/>
  <c r="D50" i="3"/>
  <c r="C50" i="3"/>
  <c r="B50" i="3"/>
  <c r="E50" i="3" s="1"/>
  <c r="P46" i="3"/>
  <c r="Q46" i="3" s="1"/>
  <c r="O46" i="3"/>
  <c r="N46" i="3"/>
  <c r="L46" i="3"/>
  <c r="M46" i="3" s="1"/>
  <c r="K46" i="3"/>
  <c r="J46" i="3"/>
  <c r="H46" i="3"/>
  <c r="H59" i="3" s="1"/>
  <c r="H62" i="3" s="1"/>
  <c r="G46" i="3"/>
  <c r="F46" i="3"/>
  <c r="D46" i="3"/>
  <c r="D59" i="3" s="1"/>
  <c r="D62" i="3" s="1"/>
  <c r="C46" i="3"/>
  <c r="B46" i="3"/>
  <c r="Q41" i="3"/>
  <c r="P41" i="3"/>
  <c r="O41" i="3"/>
  <c r="N41" i="3"/>
  <c r="L41" i="3"/>
  <c r="L59" i="3" s="1"/>
  <c r="L62" i="3" s="1"/>
  <c r="K41" i="3"/>
  <c r="J41" i="3"/>
  <c r="M41" i="3" s="1"/>
  <c r="I41" i="3"/>
  <c r="H41" i="3"/>
  <c r="G41" i="3"/>
  <c r="F41" i="3"/>
  <c r="F59" i="3" s="1"/>
  <c r="E41" i="3"/>
  <c r="R41" i="3" s="1"/>
  <c r="D41" i="3"/>
  <c r="C41" i="3"/>
  <c r="B41" i="3"/>
  <c r="B59" i="3" s="1"/>
  <c r="R38" i="3"/>
  <c r="Q38" i="3"/>
  <c r="M38" i="3"/>
  <c r="I38" i="3"/>
  <c r="E38" i="3"/>
  <c r="P27" i="3"/>
  <c r="O27" i="3"/>
  <c r="N27" i="3"/>
  <c r="M27" i="3"/>
  <c r="L27" i="3"/>
  <c r="K27" i="3"/>
  <c r="J27" i="3"/>
  <c r="H27" i="3"/>
  <c r="G27" i="3"/>
  <c r="F27" i="3"/>
  <c r="E27" i="3"/>
  <c r="D27" i="3"/>
  <c r="C27" i="3"/>
  <c r="B27" i="3"/>
  <c r="Q25" i="3"/>
  <c r="M25" i="3"/>
  <c r="I25" i="3"/>
  <c r="E25" i="3"/>
  <c r="R25" i="3" s="1"/>
  <c r="P18" i="3"/>
  <c r="O18" i="3"/>
  <c r="Q18" i="3" s="1"/>
  <c r="N18" i="3"/>
  <c r="M18" i="3"/>
  <c r="L18" i="3"/>
  <c r="K18" i="3"/>
  <c r="J18" i="3"/>
  <c r="H18" i="3"/>
  <c r="G18" i="3"/>
  <c r="I18" i="3" s="1"/>
  <c r="F18" i="3"/>
  <c r="E18" i="3"/>
  <c r="R18" i="3" s="1"/>
  <c r="D18" i="3"/>
  <c r="C18" i="3"/>
  <c r="B18" i="3"/>
  <c r="P17" i="3"/>
  <c r="O17" i="3"/>
  <c r="N17" i="3"/>
  <c r="Q17" i="3" s="1"/>
  <c r="L17" i="3"/>
  <c r="M17" i="3" s="1"/>
  <c r="K17" i="3"/>
  <c r="J17" i="3"/>
  <c r="H17" i="3"/>
  <c r="G17" i="3"/>
  <c r="F17" i="3"/>
  <c r="I17" i="3" s="1"/>
  <c r="D17" i="3"/>
  <c r="E17" i="3" s="1"/>
  <c r="C17" i="3"/>
  <c r="B17" i="3"/>
  <c r="P16" i="3"/>
  <c r="O16" i="3"/>
  <c r="N16" i="3"/>
  <c r="Q16" i="3" s="1"/>
  <c r="M16" i="3"/>
  <c r="L16" i="3"/>
  <c r="K16" i="3"/>
  <c r="J16" i="3"/>
  <c r="H16" i="3"/>
  <c r="G16" i="3"/>
  <c r="F16" i="3"/>
  <c r="I16" i="3" s="1"/>
  <c r="E16" i="3"/>
  <c r="D16" i="3"/>
  <c r="C16" i="3"/>
  <c r="B16" i="3"/>
  <c r="P15" i="3"/>
  <c r="O15" i="3"/>
  <c r="N15" i="3"/>
  <c r="Q15" i="3" s="1"/>
  <c r="L15" i="3"/>
  <c r="K15" i="3"/>
  <c r="J15" i="3"/>
  <c r="M15" i="3" s="1"/>
  <c r="H15" i="3"/>
  <c r="G15" i="3"/>
  <c r="F15" i="3"/>
  <c r="I15" i="3" s="1"/>
  <c r="D15" i="3"/>
  <c r="C15" i="3"/>
  <c r="B15" i="3"/>
  <c r="E15" i="3" s="1"/>
  <c r="Q14" i="3"/>
  <c r="P14" i="3"/>
  <c r="O14" i="3"/>
  <c r="N14" i="3"/>
  <c r="L14" i="3"/>
  <c r="K14" i="3"/>
  <c r="M14" i="3" s="1"/>
  <c r="J14" i="3"/>
  <c r="I14" i="3"/>
  <c r="H14" i="3"/>
  <c r="G14" i="3"/>
  <c r="F14" i="3"/>
  <c r="D14" i="3"/>
  <c r="C14" i="3"/>
  <c r="E14" i="3" s="1"/>
  <c r="R14" i="3" s="1"/>
  <c r="B14" i="3"/>
  <c r="N28" i="3"/>
  <c r="L564" i="3"/>
  <c r="J28" i="3"/>
  <c r="H28" i="3"/>
  <c r="B685" i="3"/>
  <c r="R1" i="3"/>
  <c r="G28" i="3" l="1"/>
  <c r="J133" i="3"/>
  <c r="D28" i="3"/>
  <c r="H133" i="3"/>
  <c r="K332" i="3"/>
  <c r="AP945" i="3" s="1"/>
  <c r="K28" i="3"/>
  <c r="D133" i="3"/>
  <c r="R255" i="3"/>
  <c r="B62" i="3"/>
  <c r="R16" i="3"/>
  <c r="D63" i="3"/>
  <c r="R15" i="3"/>
  <c r="L63" i="3"/>
  <c r="O133" i="3"/>
  <c r="C133" i="3"/>
  <c r="D513" i="3"/>
  <c r="G129" i="3"/>
  <c r="G132" i="3" s="1"/>
  <c r="I59" i="3"/>
  <c r="F62" i="3"/>
  <c r="H63" i="3"/>
  <c r="G63" i="3"/>
  <c r="O63" i="3"/>
  <c r="R17" i="3"/>
  <c r="R158" i="3"/>
  <c r="L321" i="3"/>
  <c r="L513" i="3"/>
  <c r="I1063" i="3"/>
  <c r="H1063" i="3"/>
  <c r="K1063" i="3"/>
  <c r="N1063" i="3"/>
  <c r="L1063" i="3"/>
  <c r="G685" i="3"/>
  <c r="M59" i="3"/>
  <c r="G513" i="3"/>
  <c r="I560" i="3"/>
  <c r="F563" i="3"/>
  <c r="Q560" i="3"/>
  <c r="N563" i="3"/>
  <c r="P675" i="3"/>
  <c r="L1064" i="3"/>
  <c r="I1064" i="3"/>
  <c r="N1064" i="3"/>
  <c r="K1064" i="3"/>
  <c r="H1064" i="3"/>
  <c r="G981" i="3"/>
  <c r="H721" i="3"/>
  <c r="H869" i="3"/>
  <c r="P28" i="3"/>
  <c r="L28" i="3"/>
  <c r="C59" i="3"/>
  <c r="C62" i="3" s="1"/>
  <c r="K59" i="3"/>
  <c r="K62" i="3" s="1"/>
  <c r="Q50" i="3"/>
  <c r="R81" i="3"/>
  <c r="R118" i="3"/>
  <c r="C926" i="3"/>
  <c r="K886" i="3"/>
  <c r="K892" i="3" s="1"/>
  <c r="R183" i="3"/>
  <c r="R189" i="3"/>
  <c r="R193" i="3"/>
  <c r="R206" i="3"/>
  <c r="R225" i="3"/>
  <c r="R232" i="3"/>
  <c r="R241" i="3"/>
  <c r="R246" i="3"/>
  <c r="R258" i="3"/>
  <c r="R269" i="3"/>
  <c r="R273" i="3"/>
  <c r="R300" i="3"/>
  <c r="M310" i="3"/>
  <c r="R310" i="3" s="1"/>
  <c r="E331" i="3"/>
  <c r="C332" i="3"/>
  <c r="AP939" i="3" s="1"/>
  <c r="R356" i="3"/>
  <c r="I394" i="3"/>
  <c r="R418" i="3"/>
  <c r="R429" i="3"/>
  <c r="R450" i="3"/>
  <c r="R469" i="3"/>
  <c r="I480" i="3"/>
  <c r="R483" i="3"/>
  <c r="R499" i="3"/>
  <c r="R505" i="3"/>
  <c r="R528" i="3"/>
  <c r="R558" i="3"/>
  <c r="H675" i="3"/>
  <c r="G783" i="3"/>
  <c r="H783" i="3"/>
  <c r="J62" i="3"/>
  <c r="I27" i="3"/>
  <c r="Q27" i="3"/>
  <c r="I58" i="3"/>
  <c r="R58" i="3" s="1"/>
  <c r="N62" i="3"/>
  <c r="L129" i="3"/>
  <c r="L132" i="3" s="1"/>
  <c r="K895" i="3"/>
  <c r="K96" i="3"/>
  <c r="K129" i="3" s="1"/>
  <c r="K132" i="3" s="1"/>
  <c r="B129" i="3"/>
  <c r="N133" i="3"/>
  <c r="R148" i="3"/>
  <c r="K900" i="3"/>
  <c r="M255" i="3"/>
  <c r="K292" i="3"/>
  <c r="K312" i="3" s="1"/>
  <c r="K320" i="3" s="1"/>
  <c r="N332" i="3"/>
  <c r="AP947" i="3" s="1"/>
  <c r="J507" i="3"/>
  <c r="H513" i="3"/>
  <c r="R399" i="3"/>
  <c r="G560" i="3"/>
  <c r="G563" i="3" s="1"/>
  <c r="I559" i="3"/>
  <c r="R1146" i="3"/>
  <c r="R1101" i="3"/>
  <c r="R1076" i="3"/>
  <c r="R1022" i="3"/>
  <c r="AT961" i="3"/>
  <c r="AS988" i="3"/>
  <c r="R967" i="3"/>
  <c r="R914" i="3"/>
  <c r="AS1023" i="3"/>
  <c r="AT929" i="3"/>
  <c r="R873" i="3"/>
  <c r="R993" i="3"/>
  <c r="R938" i="3"/>
  <c r="L1066" i="3"/>
  <c r="I1066" i="3"/>
  <c r="H1066" i="3"/>
  <c r="N1066" i="3"/>
  <c r="K1066" i="3"/>
  <c r="J1066" i="3"/>
  <c r="G983" i="3"/>
  <c r="K783" i="3"/>
  <c r="B28" i="3"/>
  <c r="O28" i="3"/>
  <c r="E46" i="3"/>
  <c r="I50" i="3"/>
  <c r="R50" i="3" s="1"/>
  <c r="G96" i="3"/>
  <c r="I96" i="3" s="1"/>
  <c r="R108" i="3"/>
  <c r="M128" i="3"/>
  <c r="Q129" i="3"/>
  <c r="R150" i="3"/>
  <c r="R168" i="3"/>
  <c r="R252" i="3"/>
  <c r="R281" i="3"/>
  <c r="D900" i="3"/>
  <c r="D292" i="3"/>
  <c r="D312" i="3" s="1"/>
  <c r="D320" i="3" s="1"/>
  <c r="F332" i="3"/>
  <c r="AP941" i="3" s="1"/>
  <c r="O332" i="3"/>
  <c r="AP948" i="3" s="1"/>
  <c r="K394" i="3"/>
  <c r="K507" i="3" s="1"/>
  <c r="K512" i="3" s="1"/>
  <c r="R364" i="3"/>
  <c r="M365" i="3"/>
  <c r="R387" i="3"/>
  <c r="R390" i="3"/>
  <c r="R401" i="3"/>
  <c r="AL401" i="3"/>
  <c r="R445" i="3"/>
  <c r="R477" i="3"/>
  <c r="R493" i="3"/>
  <c r="D721" i="3"/>
  <c r="D869" i="3"/>
  <c r="D870" i="3"/>
  <c r="O869" i="3"/>
  <c r="O870" i="3"/>
  <c r="J886" i="3"/>
  <c r="J214" i="3"/>
  <c r="I1059" i="3"/>
  <c r="H1059" i="3"/>
  <c r="K1059" i="3"/>
  <c r="N1059" i="3"/>
  <c r="L1059" i="3"/>
  <c r="G976" i="3"/>
  <c r="F129" i="3"/>
  <c r="C312" i="3"/>
  <c r="C320" i="3" s="1"/>
  <c r="R254" i="3"/>
  <c r="R279" i="3"/>
  <c r="R290" i="3"/>
  <c r="E292" i="3"/>
  <c r="G332" i="3"/>
  <c r="AP942" i="3" s="1"/>
  <c r="R480" i="3"/>
  <c r="K564" i="3"/>
  <c r="P721" i="3"/>
  <c r="B214" i="3"/>
  <c r="B886" i="3"/>
  <c r="O900" i="3"/>
  <c r="O901" i="3" s="1"/>
  <c r="O930" i="3" s="1"/>
  <c r="O292" i="3"/>
  <c r="H1065" i="3"/>
  <c r="I1065" i="3"/>
  <c r="L1065" i="3"/>
  <c r="N1065" i="3"/>
  <c r="K1065" i="3"/>
  <c r="F982" i="3"/>
  <c r="J332" i="3"/>
  <c r="AP944" i="3" s="1"/>
  <c r="J817" i="3"/>
  <c r="J685" i="3"/>
  <c r="H1067" i="3"/>
  <c r="I1067" i="3"/>
  <c r="N1067" i="3"/>
  <c r="L1067" i="3"/>
  <c r="K1067" i="3"/>
  <c r="F984" i="3"/>
  <c r="G984" i="3"/>
  <c r="C28" i="3"/>
  <c r="P59" i="3"/>
  <c r="P62" i="3" s="1"/>
  <c r="R73" i="3"/>
  <c r="S82" i="3" s="1"/>
  <c r="N1060" i="3"/>
  <c r="L1060" i="3"/>
  <c r="K1060" i="3"/>
  <c r="I1060" i="3"/>
  <c r="H1060" i="3"/>
  <c r="C783" i="3"/>
  <c r="L1068" i="3"/>
  <c r="I1068" i="3"/>
  <c r="H1068" i="3"/>
  <c r="N1068" i="3"/>
  <c r="K1068" i="3"/>
  <c r="N685" i="3"/>
  <c r="R75" i="3"/>
  <c r="R94" i="3"/>
  <c r="Q895" i="3"/>
  <c r="N897" i="3"/>
  <c r="R102" i="3"/>
  <c r="R112" i="3"/>
  <c r="E128" i="3"/>
  <c r="G886" i="3"/>
  <c r="G892" i="3" s="1"/>
  <c r="G214" i="3"/>
  <c r="O886" i="3"/>
  <c r="O892" i="3" s="1"/>
  <c r="O214" i="3"/>
  <c r="O312" i="3" s="1"/>
  <c r="O320" i="3" s="1"/>
  <c r="R172" i="3"/>
  <c r="R190" i="3"/>
  <c r="R197" i="3"/>
  <c r="R221" i="3"/>
  <c r="R233" i="3"/>
  <c r="R240" i="3"/>
  <c r="R242" i="3"/>
  <c r="R247" i="3"/>
  <c r="R259" i="3"/>
  <c r="N900" i="3"/>
  <c r="N292" i="3"/>
  <c r="Q262" i="3"/>
  <c r="R262" i="3" s="1"/>
  <c r="R270" i="3"/>
  <c r="R296" i="3"/>
  <c r="R303" i="3"/>
  <c r="M311" i="3"/>
  <c r="H332" i="3"/>
  <c r="AP943" i="3" s="1"/>
  <c r="R343" i="3"/>
  <c r="B394" i="3"/>
  <c r="E345" i="3"/>
  <c r="R345" i="3" s="1"/>
  <c r="R353" i="3"/>
  <c r="R369" i="3"/>
  <c r="R411" i="3"/>
  <c r="R421" i="3"/>
  <c r="R432" i="3"/>
  <c r="R453" i="3"/>
  <c r="R466" i="3"/>
  <c r="R504" i="3"/>
  <c r="H1069" i="3"/>
  <c r="K1069" i="3"/>
  <c r="I1069" i="3"/>
  <c r="L1069" i="3"/>
  <c r="N1069" i="3"/>
  <c r="O685" i="3"/>
  <c r="R27" i="3"/>
  <c r="M50" i="3"/>
  <c r="P129" i="3"/>
  <c r="P132" i="3" s="1"/>
  <c r="Q132" i="3" s="1"/>
  <c r="Q128" i="3"/>
  <c r="H321" i="3"/>
  <c r="R160" i="3"/>
  <c r="M186" i="3"/>
  <c r="R186" i="3" s="1"/>
  <c r="U186" i="3" s="1"/>
  <c r="R210" i="3"/>
  <c r="T299" i="3" s="1"/>
  <c r="M292" i="3"/>
  <c r="R305" i="3"/>
  <c r="B332" i="3"/>
  <c r="AP938" i="3" s="1"/>
  <c r="R348" i="3"/>
  <c r="R367" i="3"/>
  <c r="R375" i="3"/>
  <c r="R423" i="3"/>
  <c r="R434" i="3"/>
  <c r="R455" i="3"/>
  <c r="R502" i="3"/>
  <c r="C513" i="3"/>
  <c r="R534" i="3"/>
  <c r="C564" i="3"/>
  <c r="R557" i="3"/>
  <c r="F605" i="3"/>
  <c r="I581" i="3"/>
  <c r="P609" i="3"/>
  <c r="D675" i="3"/>
  <c r="I1061" i="3"/>
  <c r="H1061" i="3"/>
  <c r="K1061" i="3"/>
  <c r="N1061" i="3"/>
  <c r="L1061" i="3"/>
  <c r="D332" i="3"/>
  <c r="AP940" i="3" s="1"/>
  <c r="N1062" i="3"/>
  <c r="L1062" i="3"/>
  <c r="K1062" i="3"/>
  <c r="I1062" i="3"/>
  <c r="H1062" i="3"/>
  <c r="G979" i="3"/>
  <c r="L1070" i="3"/>
  <c r="I1070" i="3"/>
  <c r="N1070" i="3"/>
  <c r="K1070" i="3"/>
  <c r="H1070" i="3"/>
  <c r="G987" i="3"/>
  <c r="P332" i="3"/>
  <c r="AP949" i="3" s="1"/>
  <c r="F28" i="3"/>
  <c r="I46" i="3"/>
  <c r="R86" i="3"/>
  <c r="I89" i="3"/>
  <c r="R89" i="3" s="1"/>
  <c r="Q89" i="3"/>
  <c r="Q96" i="3"/>
  <c r="R106" i="3"/>
  <c r="R144" i="3"/>
  <c r="S196" i="3" s="1"/>
  <c r="R156" i="3"/>
  <c r="R162" i="3"/>
  <c r="R179" i="3"/>
  <c r="I214" i="3"/>
  <c r="F900" i="3"/>
  <c r="I900" i="3" s="1"/>
  <c r="F292" i="3"/>
  <c r="R265" i="3"/>
  <c r="R287" i="3"/>
  <c r="E311" i="3"/>
  <c r="R311" i="3" s="1"/>
  <c r="R325" i="3"/>
  <c r="M331" i="3"/>
  <c r="L332" i="3"/>
  <c r="AP946" i="3" s="1"/>
  <c r="P513" i="3"/>
  <c r="R365" i="3"/>
  <c r="R508" i="3"/>
  <c r="O513" i="3"/>
  <c r="O564" i="3"/>
  <c r="H564" i="3"/>
  <c r="D685" i="3"/>
  <c r="D886" i="3"/>
  <c r="D892" i="3" s="1"/>
  <c r="L886" i="3"/>
  <c r="L892" i="3" s="1"/>
  <c r="E286" i="3"/>
  <c r="R286" i="3" s="1"/>
  <c r="M339" i="3"/>
  <c r="R339" i="3" s="1"/>
  <c r="AC401" i="3"/>
  <c r="AD401" i="3" s="1"/>
  <c r="AM401" i="3" s="1"/>
  <c r="B901" i="3"/>
  <c r="E899" i="3"/>
  <c r="R556" i="3"/>
  <c r="I604" i="3"/>
  <c r="R631" i="3"/>
  <c r="M635" i="3"/>
  <c r="R635" i="3" s="1"/>
  <c r="R658" i="3"/>
  <c r="B671" i="3"/>
  <c r="I708" i="3"/>
  <c r="F717" i="3"/>
  <c r="B717" i="3"/>
  <c r="R734" i="3"/>
  <c r="E757" i="3"/>
  <c r="Q767" i="3"/>
  <c r="R767" i="3" s="1"/>
  <c r="C773" i="3"/>
  <c r="I804" i="3"/>
  <c r="J818" i="3"/>
  <c r="M816" i="3"/>
  <c r="P869" i="3"/>
  <c r="P870" i="3"/>
  <c r="B928" i="3"/>
  <c r="N394" i="3"/>
  <c r="F408" i="3"/>
  <c r="I408" i="3" s="1"/>
  <c r="R408" i="3" s="1"/>
  <c r="E437" i="3"/>
  <c r="R437" i="3" s="1"/>
  <c r="H609" i="3"/>
  <c r="I584" i="3"/>
  <c r="R584" i="3" s="1"/>
  <c r="S584" i="3" s="1"/>
  <c r="G587" i="3"/>
  <c r="R603" i="3"/>
  <c r="K671" i="3"/>
  <c r="K674" i="3" s="1"/>
  <c r="L671" i="3"/>
  <c r="L674" i="3" s="1"/>
  <c r="M652" i="3"/>
  <c r="Q669" i="3"/>
  <c r="L685" i="3"/>
  <c r="J717" i="3"/>
  <c r="D769" i="3"/>
  <c r="D772" i="3" s="1"/>
  <c r="Q743" i="3"/>
  <c r="N816" i="3"/>
  <c r="Q812" i="3"/>
  <c r="L817" i="3"/>
  <c r="L818" i="3"/>
  <c r="D895" i="3"/>
  <c r="M895" i="3"/>
  <c r="J897" i="3"/>
  <c r="F886" i="3"/>
  <c r="N886" i="3"/>
  <c r="R529" i="3"/>
  <c r="R547" i="3"/>
  <c r="M581" i="3"/>
  <c r="J605" i="3"/>
  <c r="C671" i="3"/>
  <c r="C674" i="3" s="1"/>
  <c r="R663" i="3"/>
  <c r="M670" i="3"/>
  <c r="E684" i="3"/>
  <c r="M684" i="3"/>
  <c r="K717" i="3"/>
  <c r="K720" i="3" s="1"/>
  <c r="Q717" i="3"/>
  <c r="N720" i="3"/>
  <c r="I730" i="3"/>
  <c r="F739" i="3"/>
  <c r="K773" i="3"/>
  <c r="R810" i="3"/>
  <c r="Q952" i="3"/>
  <c r="H871" i="3"/>
  <c r="R847" i="3"/>
  <c r="I864" i="3"/>
  <c r="Q954" i="3"/>
  <c r="K871" i="3"/>
  <c r="R888" i="3"/>
  <c r="G910" i="3"/>
  <c r="G932" i="3" s="1"/>
  <c r="I903" i="3"/>
  <c r="AA400" i="3"/>
  <c r="I895" i="3"/>
  <c r="F897" i="3"/>
  <c r="R550" i="3"/>
  <c r="D564" i="3"/>
  <c r="P564" i="3"/>
  <c r="C605" i="3"/>
  <c r="C608" i="3" s="1"/>
  <c r="F685" i="3"/>
  <c r="L721" i="3"/>
  <c r="O773" i="3"/>
  <c r="L783" i="3"/>
  <c r="M865" i="3"/>
  <c r="J868" i="3"/>
  <c r="F868" i="3"/>
  <c r="I865" i="3"/>
  <c r="H886" i="3"/>
  <c r="H892" i="3" s="1"/>
  <c r="P886" i="3"/>
  <c r="P892" i="3" s="1"/>
  <c r="G292" i="3"/>
  <c r="AA402" i="3"/>
  <c r="AD402" i="3" s="1"/>
  <c r="AM402" i="3" s="1"/>
  <c r="I538" i="3"/>
  <c r="R629" i="3"/>
  <c r="O671" i="3"/>
  <c r="O674" i="3" s="1"/>
  <c r="I641" i="3"/>
  <c r="F671" i="3"/>
  <c r="E670" i="3"/>
  <c r="R670" i="3" s="1"/>
  <c r="J671" i="3"/>
  <c r="H769" i="3"/>
  <c r="H772" i="3" s="1"/>
  <c r="R761" i="3"/>
  <c r="G773" i="3"/>
  <c r="P949" i="3"/>
  <c r="D819" i="3"/>
  <c r="P292" i="3"/>
  <c r="P312" i="3" s="1"/>
  <c r="P320" i="3" s="1"/>
  <c r="AC400" i="3"/>
  <c r="J560" i="3"/>
  <c r="M538" i="3"/>
  <c r="R559" i="3"/>
  <c r="N605" i="3"/>
  <c r="Q581" i="3"/>
  <c r="K605" i="3"/>
  <c r="K608" i="3" s="1"/>
  <c r="G675" i="3"/>
  <c r="O721" i="3"/>
  <c r="M730" i="3"/>
  <c r="J739" i="3"/>
  <c r="G817" i="3"/>
  <c r="G818" i="3"/>
  <c r="O817" i="3"/>
  <c r="O818" i="3"/>
  <c r="H817" i="3"/>
  <c r="H818" i="3"/>
  <c r="C818" i="3"/>
  <c r="C817" i="3"/>
  <c r="E865" i="3"/>
  <c r="B868" i="3"/>
  <c r="L869" i="3"/>
  <c r="L870" i="3"/>
  <c r="L784" i="3" s="1"/>
  <c r="F932" i="3"/>
  <c r="C900" i="3"/>
  <c r="C901" i="3" s="1"/>
  <c r="C930" i="3" s="1"/>
  <c r="AD399" i="3"/>
  <c r="AM399" i="3" s="1"/>
  <c r="R530" i="3"/>
  <c r="B560" i="3"/>
  <c r="E538" i="3"/>
  <c r="R538" i="3" s="1"/>
  <c r="D609" i="3"/>
  <c r="O609" i="3"/>
  <c r="R626" i="3"/>
  <c r="M669" i="3"/>
  <c r="P769" i="3"/>
  <c r="P772" i="3" s="1"/>
  <c r="M899" i="3"/>
  <c r="K901" i="3"/>
  <c r="K930" i="3" s="1"/>
  <c r="M930" i="3" s="1"/>
  <c r="F783" i="3"/>
  <c r="P783" i="3"/>
  <c r="B818" i="3"/>
  <c r="E816" i="3"/>
  <c r="B817" i="3"/>
  <c r="C869" i="3"/>
  <c r="C870" i="3"/>
  <c r="Q841" i="3"/>
  <c r="R841" i="3" s="1"/>
  <c r="N865" i="3"/>
  <c r="E581" i="3"/>
  <c r="B605" i="3"/>
  <c r="L605" i="3"/>
  <c r="L608" i="3" s="1"/>
  <c r="R639" i="3"/>
  <c r="E669" i="3"/>
  <c r="K685" i="3"/>
  <c r="C685" i="3"/>
  <c r="R696" i="3"/>
  <c r="G717" i="3"/>
  <c r="G720" i="3" s="1"/>
  <c r="M704" i="3"/>
  <c r="R704" i="3" s="1"/>
  <c r="Q708" i="3"/>
  <c r="R708" i="3" s="1"/>
  <c r="E715" i="3"/>
  <c r="R715" i="3" s="1"/>
  <c r="E743" i="3"/>
  <c r="R743" i="3" s="1"/>
  <c r="R770" i="3"/>
  <c r="R804" i="3"/>
  <c r="Q804" i="3"/>
  <c r="D817" i="3"/>
  <c r="K869" i="3"/>
  <c r="Q863" i="3"/>
  <c r="R863" i="3" s="1"/>
  <c r="D897" i="3"/>
  <c r="D928" i="3" s="1"/>
  <c r="B910" i="3"/>
  <c r="B909" i="3"/>
  <c r="E909" i="3" s="1"/>
  <c r="E906" i="3"/>
  <c r="I1088" i="3"/>
  <c r="Y1088" i="3" s="1"/>
  <c r="G1036" i="3"/>
  <c r="AH986" i="3"/>
  <c r="N901" i="3"/>
  <c r="AH1041" i="3"/>
  <c r="H1086" i="3"/>
  <c r="X1086" i="3" s="1"/>
  <c r="AH1006" i="3"/>
  <c r="K909" i="3"/>
  <c r="M907" i="3"/>
  <c r="R622" i="3"/>
  <c r="E641" i="3"/>
  <c r="R649" i="3"/>
  <c r="I652" i="3"/>
  <c r="R652" i="3" s="1"/>
  <c r="R668" i="3"/>
  <c r="E700" i="3"/>
  <c r="R712" i="3"/>
  <c r="E730" i="3"/>
  <c r="R730" i="3" s="1"/>
  <c r="B739" i="3"/>
  <c r="L769" i="3"/>
  <c r="L772" i="3" s="1"/>
  <c r="I757" i="3"/>
  <c r="N783" i="3"/>
  <c r="F816" i="3"/>
  <c r="I812" i="3"/>
  <c r="P817" i="3"/>
  <c r="P818" i="3"/>
  <c r="Q864" i="3"/>
  <c r="R864" i="3" s="1"/>
  <c r="O910" i="3"/>
  <c r="O932" i="3" s="1"/>
  <c r="Q903" i="3"/>
  <c r="F976" i="3"/>
  <c r="R577" i="3"/>
  <c r="R601" i="3"/>
  <c r="M604" i="3"/>
  <c r="R604" i="3" s="1"/>
  <c r="R624" i="3"/>
  <c r="Q641" i="3"/>
  <c r="N671" i="3"/>
  <c r="H685" i="3"/>
  <c r="P685" i="3"/>
  <c r="C717" i="3"/>
  <c r="C720" i="3" s="1"/>
  <c r="Q700" i="3"/>
  <c r="E716" i="3"/>
  <c r="R716" i="3" s="1"/>
  <c r="N769" i="3"/>
  <c r="R732" i="3"/>
  <c r="E768" i="3"/>
  <c r="R768" i="3" s="1"/>
  <c r="D783" i="3"/>
  <c r="O783" i="3"/>
  <c r="K818" i="3"/>
  <c r="K817" i="3"/>
  <c r="G865" i="3"/>
  <c r="G868" i="3" s="1"/>
  <c r="R839" i="3"/>
  <c r="R844" i="3"/>
  <c r="R887" i="3"/>
  <c r="I888" i="3"/>
  <c r="K897" i="3"/>
  <c r="K928" i="3" s="1"/>
  <c r="M894" i="3"/>
  <c r="F901" i="3"/>
  <c r="C909" i="3"/>
  <c r="E907" i="3"/>
  <c r="R907" i="3" s="1"/>
  <c r="AO941" i="3"/>
  <c r="AF941" i="3"/>
  <c r="C897" i="3"/>
  <c r="C928" i="3" s="1"/>
  <c r="E894" i="3"/>
  <c r="R896" i="3"/>
  <c r="I782" i="3"/>
  <c r="R782" i="3" s="1"/>
  <c r="Q782" i="3"/>
  <c r="J783" i="3"/>
  <c r="D784" i="3"/>
  <c r="I800" i="3"/>
  <c r="Q800" i="3"/>
  <c r="R800" i="3" s="1"/>
  <c r="E812" i="3"/>
  <c r="M812" i="3"/>
  <c r="E836" i="3"/>
  <c r="M836" i="3"/>
  <c r="M900" i="3"/>
  <c r="M904" i="3"/>
  <c r="L909" i="3"/>
  <c r="J909" i="3"/>
  <c r="M909" i="3" s="1"/>
  <c r="AO939" i="3"/>
  <c r="AF946" i="3"/>
  <c r="AO949" i="3"/>
  <c r="AF949" i="3"/>
  <c r="G985" i="3"/>
  <c r="F987" i="3"/>
  <c r="AS984" i="3"/>
  <c r="AF984" i="3"/>
  <c r="F1015" i="3"/>
  <c r="AH984" i="3"/>
  <c r="AG984" i="3"/>
  <c r="AE984" i="3"/>
  <c r="AD984" i="3"/>
  <c r="AJ984" i="3" s="1"/>
  <c r="M891" i="3"/>
  <c r="H901" i="3"/>
  <c r="H930" i="3" s="1"/>
  <c r="P901" i="3"/>
  <c r="P930" i="3" s="1"/>
  <c r="I908" i="3"/>
  <c r="F978" i="3"/>
  <c r="I1093" i="3"/>
  <c r="Y1093" i="3" s="1"/>
  <c r="G1041" i="3"/>
  <c r="G1068" i="3" s="1"/>
  <c r="B783" i="3"/>
  <c r="R905" i="3"/>
  <c r="N909" i="3"/>
  <c r="Q906" i="3"/>
  <c r="G1006" i="3"/>
  <c r="G978" i="3"/>
  <c r="G982" i="3"/>
  <c r="G897" i="3"/>
  <c r="G928" i="3" s="1"/>
  <c r="C910" i="3"/>
  <c r="C932" i="3" s="1"/>
  <c r="K910" i="3"/>
  <c r="K932" i="3" s="1"/>
  <c r="F909" i="3"/>
  <c r="I909" i="3" s="1"/>
  <c r="I906" i="3"/>
  <c r="O909" i="3"/>
  <c r="J932" i="3"/>
  <c r="M910" i="3"/>
  <c r="I1092" i="3"/>
  <c r="Y1092" i="3" s="1"/>
  <c r="G1040" i="3"/>
  <c r="G1067" i="3" s="1"/>
  <c r="Q891" i="3"/>
  <c r="P909" i="3"/>
  <c r="M908" i="3"/>
  <c r="AH974" i="3"/>
  <c r="F977" i="3"/>
  <c r="AG974" i="3"/>
  <c r="AS974" i="3"/>
  <c r="AF974" i="3"/>
  <c r="F1005" i="3"/>
  <c r="AE974" i="3"/>
  <c r="AD974" i="3"/>
  <c r="I894" i="3"/>
  <c r="Q894" i="3"/>
  <c r="D901" i="3"/>
  <c r="D930" i="3" s="1"/>
  <c r="L901" i="3"/>
  <c r="L930" i="3" s="1"/>
  <c r="E903" i="3"/>
  <c r="M903" i="3"/>
  <c r="I904" i="3"/>
  <c r="R904" i="3" s="1"/>
  <c r="I907" i="3"/>
  <c r="N910" i="3"/>
  <c r="G986" i="3"/>
  <c r="G1014" i="3"/>
  <c r="I891" i="3"/>
  <c r="E895" i="3"/>
  <c r="R895" i="3" s="1"/>
  <c r="E908" i="3"/>
  <c r="R908" i="3" s="1"/>
  <c r="AO943" i="3"/>
  <c r="AF943" i="3"/>
  <c r="AF947" i="3"/>
  <c r="AH976" i="3"/>
  <c r="F979" i="3"/>
  <c r="AG976" i="3"/>
  <c r="AS976" i="3"/>
  <c r="AF976" i="3"/>
  <c r="AE976" i="3"/>
  <c r="AD976" i="3"/>
  <c r="F1007" i="3"/>
  <c r="AH980" i="3"/>
  <c r="AD938" i="3"/>
  <c r="AF945" i="3"/>
  <c r="G1007" i="3"/>
  <c r="AH1043" i="3"/>
  <c r="H1088" i="3"/>
  <c r="X1088" i="3" s="1"/>
  <c r="AH1008" i="3"/>
  <c r="G1015" i="3"/>
  <c r="F960" i="3"/>
  <c r="AG975" i="3"/>
  <c r="AJ975" i="3" s="1"/>
  <c r="AE977" i="3"/>
  <c r="AJ977" i="3" s="1"/>
  <c r="AF980" i="3"/>
  <c r="AS980" i="3"/>
  <c r="AE982" i="3"/>
  <c r="AD983" i="3"/>
  <c r="F1009" i="3"/>
  <c r="G960" i="3"/>
  <c r="AH975" i="3"/>
  <c r="AF977" i="3"/>
  <c r="AG980" i="3"/>
  <c r="AF982" i="3"/>
  <c r="AJ982" i="3" s="1"/>
  <c r="AE983" i="3"/>
  <c r="AS983" i="3"/>
  <c r="F986" i="3"/>
  <c r="J1060" i="3"/>
  <c r="AE940" i="3"/>
  <c r="AF940" i="3" s="1"/>
  <c r="G1004" i="3"/>
  <c r="AD948" i="3"/>
  <c r="G1009" i="3"/>
  <c r="F1010" i="3"/>
  <c r="AG977" i="3"/>
  <c r="AE979" i="3"/>
  <c r="AJ979" i="3" s="1"/>
  <c r="F980" i="3"/>
  <c r="AG982" i="3"/>
  <c r="AF983" i="3"/>
  <c r="F1004" i="3"/>
  <c r="G1010" i="3"/>
  <c r="F1011" i="3"/>
  <c r="AD973" i="3"/>
  <c r="AS979" i="3"/>
  <c r="G980" i="3"/>
  <c r="AG983" i="3"/>
  <c r="J1062" i="3"/>
  <c r="AF942" i="3"/>
  <c r="AF944" i="3"/>
  <c r="G1011" i="3"/>
  <c r="F1012" i="3"/>
  <c r="AE973" i="3"/>
  <c r="G977" i="3"/>
  <c r="AD978" i="3"/>
  <c r="AG979" i="3"/>
  <c r="AF981" i="3"/>
  <c r="AJ981" i="3" s="1"/>
  <c r="AS981" i="3"/>
  <c r="AH983" i="3"/>
  <c r="F1013" i="3"/>
  <c r="AS982" i="3"/>
  <c r="AF973" i="3"/>
  <c r="AS973" i="3"/>
  <c r="AE978" i="3"/>
  <c r="F985" i="3"/>
  <c r="J1059" i="3"/>
  <c r="I1085" i="3"/>
  <c r="Y1085" i="3" s="1"/>
  <c r="G1033" i="3"/>
  <c r="H1094" i="3"/>
  <c r="X1094" i="3" s="1"/>
  <c r="AH1049" i="3"/>
  <c r="AG973" i="3"/>
  <c r="AF978" i="3"/>
  <c r="AS978" i="3"/>
  <c r="AD980" i="3"/>
  <c r="F981" i="3"/>
  <c r="F983" i="3"/>
  <c r="J1064" i="3"/>
  <c r="J1067" i="3"/>
  <c r="J1070" i="3"/>
  <c r="J1065" i="3"/>
  <c r="J1063" i="3"/>
  <c r="J1069" i="3"/>
  <c r="J1061" i="3"/>
  <c r="J1068" i="3"/>
  <c r="G1120" i="3"/>
  <c r="C1093" i="3" s="1"/>
  <c r="L1120" i="3"/>
  <c r="AD1107" i="3"/>
  <c r="AD1090" i="3"/>
  <c r="AD1088" i="3"/>
  <c r="AD1086" i="3"/>
  <c r="AD1084" i="3"/>
  <c r="AD1104" i="3"/>
  <c r="AD1102" i="3"/>
  <c r="AD1105" i="3"/>
  <c r="AD1100" i="3"/>
  <c r="AD1098" i="3"/>
  <c r="AD1096" i="3"/>
  <c r="AD1094" i="3"/>
  <c r="AD1103" i="3"/>
  <c r="AD1106" i="3"/>
  <c r="AD1099" i="3"/>
  <c r="AD1101" i="3"/>
  <c r="AD1095" i="3"/>
  <c r="AD1092" i="3"/>
  <c r="AD1093" i="3"/>
  <c r="AD1089" i="3"/>
  <c r="G1119" i="3"/>
  <c r="C1092" i="3" s="1"/>
  <c r="L1119" i="3"/>
  <c r="G1118" i="3"/>
  <c r="C1091" i="3" s="1"/>
  <c r="L1118" i="3"/>
  <c r="Q1174" i="3"/>
  <c r="E1174" i="3"/>
  <c r="L1114" i="3"/>
  <c r="F1171" i="3"/>
  <c r="R1165" i="3"/>
  <c r="G1114" i="3"/>
  <c r="C1087" i="3" s="1"/>
  <c r="N1162" i="3"/>
  <c r="M1113" i="3"/>
  <c r="M1120" i="3"/>
  <c r="M1112" i="3"/>
  <c r="M1119" i="3"/>
  <c r="M1111" i="3"/>
  <c r="M1115" i="3"/>
  <c r="M1114" i="3"/>
  <c r="M1117" i="3"/>
  <c r="M1116" i="3"/>
  <c r="M1118" i="3"/>
  <c r="M1122" i="3"/>
  <c r="M1121" i="3"/>
  <c r="B1112" i="3" l="1"/>
  <c r="Q1112" i="3" s="1"/>
  <c r="B1114" i="3"/>
  <c r="Q1114" i="3" s="1"/>
  <c r="B1120" i="3"/>
  <c r="Q1120" i="3" s="1"/>
  <c r="B1117" i="3"/>
  <c r="Q1117" i="3" s="1"/>
  <c r="B1119" i="3"/>
  <c r="B1116" i="3"/>
  <c r="Q1116" i="3" s="1"/>
  <c r="B1118" i="3"/>
  <c r="Q1118" i="3" s="1"/>
  <c r="B1122" i="3"/>
  <c r="Q1122" i="3" s="1"/>
  <c r="B1111" i="3"/>
  <c r="Q1111" i="3" s="1"/>
  <c r="B1115" i="3"/>
  <c r="Q1115" i="3" s="1"/>
  <c r="B1121" i="3"/>
  <c r="Q1121" i="3" s="1"/>
  <c r="B1113" i="3"/>
  <c r="Q1113" i="3" s="1"/>
  <c r="D321" i="3"/>
  <c r="K321" i="3"/>
  <c r="P321" i="3"/>
  <c r="O955" i="3"/>
  <c r="L785" i="3"/>
  <c r="P911" i="3"/>
  <c r="P926" i="3"/>
  <c r="P934" i="3" s="1"/>
  <c r="P13" i="3" s="1"/>
  <c r="J892" i="3"/>
  <c r="M886" i="3"/>
  <c r="AJ980" i="3"/>
  <c r="H1091" i="3"/>
  <c r="X1091" i="3" s="1"/>
  <c r="AH1046" i="3"/>
  <c r="AH1011" i="3"/>
  <c r="H1090" i="3"/>
  <c r="X1090" i="3" s="1"/>
  <c r="AH1045" i="3"/>
  <c r="AH1010" i="3"/>
  <c r="AG1125" i="3"/>
  <c r="AG1124" i="3"/>
  <c r="AJ974" i="3"/>
  <c r="N674" i="3"/>
  <c r="Q671" i="3"/>
  <c r="N930" i="3"/>
  <c r="Q930" i="3" s="1"/>
  <c r="Q901" i="3"/>
  <c r="N868" i="3"/>
  <c r="Q865" i="3"/>
  <c r="I932" i="3"/>
  <c r="P952" i="3"/>
  <c r="H819" i="3"/>
  <c r="M560" i="3"/>
  <c r="J563" i="3"/>
  <c r="M671" i="3"/>
  <c r="J674" i="3"/>
  <c r="Q1009" i="3"/>
  <c r="Q981" i="3"/>
  <c r="K721" i="3"/>
  <c r="P955" i="3"/>
  <c r="L819" i="3"/>
  <c r="G605" i="3"/>
  <c r="G608" i="3" s="1"/>
  <c r="I587" i="3"/>
  <c r="R587" i="3" s="1"/>
  <c r="E897" i="3"/>
  <c r="B930" i="3"/>
  <c r="E930" i="3" s="1"/>
  <c r="E901" i="3"/>
  <c r="R901" i="3" s="1"/>
  <c r="G926" i="3"/>
  <c r="G934" i="3" s="1"/>
  <c r="G13" i="3" s="1"/>
  <c r="G911" i="3"/>
  <c r="E886" i="3"/>
  <c r="B892" i="3"/>
  <c r="J312" i="3"/>
  <c r="M214" i="3"/>
  <c r="J512" i="3"/>
  <c r="M507" i="3"/>
  <c r="E900" i="3"/>
  <c r="R900" i="3" s="1"/>
  <c r="M129" i="3"/>
  <c r="E59" i="3"/>
  <c r="L773" i="3"/>
  <c r="L774" i="3"/>
  <c r="E214" i="3"/>
  <c r="B312" i="3"/>
  <c r="M62" i="3"/>
  <c r="J63" i="3"/>
  <c r="F63" i="3"/>
  <c r="I62" i="3"/>
  <c r="I1087" i="3"/>
  <c r="Y1087" i="3" s="1"/>
  <c r="G1035" i="3"/>
  <c r="R903" i="3"/>
  <c r="H1085" i="3"/>
  <c r="AH1040" i="3"/>
  <c r="AH1005" i="3"/>
  <c r="I1086" i="3"/>
  <c r="Y1086" i="3" s="1"/>
  <c r="G1034" i="3"/>
  <c r="N772" i="3"/>
  <c r="Q769" i="3"/>
  <c r="B769" i="3"/>
  <c r="E739" i="3"/>
  <c r="Q948" i="3"/>
  <c r="C871" i="3"/>
  <c r="Q955" i="3"/>
  <c r="L871" i="3"/>
  <c r="P957" i="3"/>
  <c r="O784" i="3"/>
  <c r="O819" i="3"/>
  <c r="K609" i="3"/>
  <c r="F674" i="3"/>
  <c r="I671" i="3"/>
  <c r="H911" i="3"/>
  <c r="H926" i="3"/>
  <c r="H934" i="3" s="1"/>
  <c r="H13" i="3" s="1"/>
  <c r="R684" i="3"/>
  <c r="S374" i="3"/>
  <c r="P133" i="3"/>
  <c r="B507" i="3"/>
  <c r="E394" i="3"/>
  <c r="Q292" i="3"/>
  <c r="Q957" i="3"/>
  <c r="O871" i="3"/>
  <c r="C609" i="3"/>
  <c r="AD1108" i="3"/>
  <c r="H1084" i="3"/>
  <c r="X1084" i="3" s="1"/>
  <c r="F1017" i="3"/>
  <c r="AH1004" i="3"/>
  <c r="AH1039" i="3"/>
  <c r="AO948" i="3"/>
  <c r="AF948" i="3"/>
  <c r="AG986" i="3"/>
  <c r="AS986" i="3"/>
  <c r="AJ978" i="3"/>
  <c r="I1084" i="3"/>
  <c r="Y1084" i="3" s="1"/>
  <c r="G1032" i="3"/>
  <c r="G1017" i="3"/>
  <c r="R891" i="3"/>
  <c r="M901" i="3"/>
  <c r="AH1140" i="3"/>
  <c r="AH1139" i="3"/>
  <c r="R836" i="3"/>
  <c r="G869" i="3"/>
  <c r="G870" i="3"/>
  <c r="P958" i="3"/>
  <c r="P819" i="3"/>
  <c r="G1063" i="3"/>
  <c r="AK942" i="3"/>
  <c r="R669" i="3"/>
  <c r="E560" i="3"/>
  <c r="R560" i="3" s="1"/>
  <c r="B563" i="3"/>
  <c r="Q886" i="3"/>
  <c r="N892" i="3"/>
  <c r="N817" i="3"/>
  <c r="N818" i="3"/>
  <c r="Q816" i="3"/>
  <c r="F507" i="3"/>
  <c r="R757" i="3"/>
  <c r="Q900" i="3"/>
  <c r="G564" i="3"/>
  <c r="L133" i="3"/>
  <c r="N564" i="3"/>
  <c r="Q563" i="3"/>
  <c r="Q214" i="3"/>
  <c r="I1089" i="3"/>
  <c r="Y1089" i="3" s="1"/>
  <c r="G1037" i="3"/>
  <c r="Q958" i="3"/>
  <c r="P871" i="3"/>
  <c r="F608" i="3"/>
  <c r="I605" i="3"/>
  <c r="AF986" i="3"/>
  <c r="AO938" i="3"/>
  <c r="AF938" i="3"/>
  <c r="AD951" i="3"/>
  <c r="I1094" i="3"/>
  <c r="Y1094" i="3" s="1"/>
  <c r="G1042" i="3"/>
  <c r="Q909" i="3"/>
  <c r="I901" i="3"/>
  <c r="F930" i="3"/>
  <c r="I930" i="3" s="1"/>
  <c r="AH1125" i="3"/>
  <c r="AH1124" i="3"/>
  <c r="P773" i="3"/>
  <c r="B870" i="3"/>
  <c r="E868" i="3"/>
  <c r="B869" i="3"/>
  <c r="P951" i="3"/>
  <c r="G784" i="3"/>
  <c r="G819" i="3"/>
  <c r="P1006" i="3"/>
  <c r="P978" i="3"/>
  <c r="O675" i="3"/>
  <c r="Q1011" i="3"/>
  <c r="Q983" i="3"/>
  <c r="F769" i="3"/>
  <c r="I739" i="3"/>
  <c r="I886" i="3"/>
  <c r="F892" i="3"/>
  <c r="P953" i="3"/>
  <c r="J819" i="3"/>
  <c r="M818" i="3"/>
  <c r="L911" i="3"/>
  <c r="L926" i="3"/>
  <c r="L934" i="3" s="1"/>
  <c r="L13" i="3" s="1"/>
  <c r="M96" i="3"/>
  <c r="R96" i="3" s="1"/>
  <c r="Q949" i="3"/>
  <c r="D871" i="3"/>
  <c r="Q62" i="3"/>
  <c r="N63" i="3"/>
  <c r="K911" i="3"/>
  <c r="K926" i="3"/>
  <c r="K934" i="3" s="1"/>
  <c r="K13" i="3" s="1"/>
  <c r="K63" i="3"/>
  <c r="AG1143" i="3"/>
  <c r="AG1142" i="3"/>
  <c r="AE986" i="3"/>
  <c r="AH1137" i="3"/>
  <c r="AH1136" i="3"/>
  <c r="H1095" i="3"/>
  <c r="X1095" i="3" s="1"/>
  <c r="AH1050" i="3"/>
  <c r="AH1015" i="3"/>
  <c r="R812" i="3"/>
  <c r="P954" i="3"/>
  <c r="K819" i="3"/>
  <c r="K784" i="3"/>
  <c r="C721" i="3"/>
  <c r="R700" i="3"/>
  <c r="R906" i="3"/>
  <c r="G721" i="3"/>
  <c r="L609" i="3"/>
  <c r="R865" i="3"/>
  <c r="N608" i="3"/>
  <c r="Q605" i="3"/>
  <c r="F869" i="3"/>
  <c r="F870" i="3"/>
  <c r="I868" i="3"/>
  <c r="F928" i="3"/>
  <c r="I928" i="3" s="1"/>
  <c r="I897" i="3"/>
  <c r="C675" i="3"/>
  <c r="J928" i="3"/>
  <c r="M928" i="3" s="1"/>
  <c r="M897" i="3"/>
  <c r="L675" i="3"/>
  <c r="E717" i="3"/>
  <c r="B720" i="3"/>
  <c r="D911" i="3"/>
  <c r="D926" i="3"/>
  <c r="D934" i="3" s="1"/>
  <c r="D13" i="3" s="1"/>
  <c r="O321" i="3"/>
  <c r="N928" i="3"/>
  <c r="Q928" i="3" s="1"/>
  <c r="Q897" i="3"/>
  <c r="C321" i="3"/>
  <c r="K513" i="3"/>
  <c r="Q59" i="3"/>
  <c r="C934" i="3"/>
  <c r="C13" i="3" s="1"/>
  <c r="C63" i="3"/>
  <c r="I563" i="3"/>
  <c r="F564" i="3"/>
  <c r="O949" i="3"/>
  <c r="D785" i="3"/>
  <c r="R641" i="3"/>
  <c r="P63" i="3"/>
  <c r="K133" i="3"/>
  <c r="H1092" i="3"/>
  <c r="X1092" i="3" s="1"/>
  <c r="AH1047" i="3"/>
  <c r="AH1012" i="3"/>
  <c r="I1095" i="3"/>
  <c r="Y1095" i="3" s="1"/>
  <c r="G1043" i="3"/>
  <c r="F817" i="3"/>
  <c r="F818" i="3"/>
  <c r="I816" i="3"/>
  <c r="R816" i="3" s="1"/>
  <c r="AG1119" i="3"/>
  <c r="AG1118" i="3"/>
  <c r="R909" i="3"/>
  <c r="B608" i="3"/>
  <c r="E605" i="3"/>
  <c r="B819" i="3"/>
  <c r="B784" i="3"/>
  <c r="P947" i="3"/>
  <c r="E818" i="3"/>
  <c r="J769" i="3"/>
  <c r="M739" i="3"/>
  <c r="Q720" i="3"/>
  <c r="N721" i="3"/>
  <c r="D773" i="3"/>
  <c r="D774" i="3"/>
  <c r="K675" i="3"/>
  <c r="Q394" i="3"/>
  <c r="N507" i="3"/>
  <c r="I717" i="3"/>
  <c r="F720" i="3"/>
  <c r="O926" i="3"/>
  <c r="O934" i="3" s="1"/>
  <c r="O13" i="3" s="1"/>
  <c r="O911" i="3"/>
  <c r="N312" i="3"/>
  <c r="C911" i="3"/>
  <c r="G133" i="3"/>
  <c r="I1090" i="3"/>
  <c r="Y1090" i="3" s="1"/>
  <c r="G1038" i="3"/>
  <c r="E671" i="3"/>
  <c r="R671" i="3" s="1"/>
  <c r="B674" i="3"/>
  <c r="R128" i="3"/>
  <c r="G1060" i="3"/>
  <c r="AK939" i="3"/>
  <c r="H1093" i="3"/>
  <c r="X1093" i="3" s="1"/>
  <c r="AH1048" i="3"/>
  <c r="AH1013" i="3"/>
  <c r="H1089" i="3"/>
  <c r="X1089" i="3" s="1"/>
  <c r="AH1044" i="3"/>
  <c r="AH1009" i="3"/>
  <c r="H1087" i="3"/>
  <c r="X1087" i="3" s="1"/>
  <c r="AH1042" i="3"/>
  <c r="AH1007" i="3"/>
  <c r="N932" i="3"/>
  <c r="Q932" i="3" s="1"/>
  <c r="Q910" i="3"/>
  <c r="R894" i="3"/>
  <c r="Q1119" i="3"/>
  <c r="AH1116" i="3"/>
  <c r="AH1115" i="3"/>
  <c r="I1091" i="3"/>
  <c r="Y1091" i="3" s="1"/>
  <c r="G1039" i="3"/>
  <c r="AD986" i="3"/>
  <c r="AJ973" i="3"/>
  <c r="AJ983" i="3"/>
  <c r="AJ976" i="3"/>
  <c r="M932" i="3"/>
  <c r="B932" i="3"/>
  <c r="E932" i="3" s="1"/>
  <c r="R932" i="3" s="1"/>
  <c r="E910" i="3"/>
  <c r="H784" i="3"/>
  <c r="R581" i="3"/>
  <c r="P784" i="3"/>
  <c r="I910" i="3"/>
  <c r="P948" i="3"/>
  <c r="C784" i="3"/>
  <c r="C819" i="3"/>
  <c r="H774" i="3"/>
  <c r="H773" i="3"/>
  <c r="J870" i="3"/>
  <c r="M868" i="3"/>
  <c r="J869" i="3"/>
  <c r="AD400" i="3"/>
  <c r="AM400" i="3" s="1"/>
  <c r="M605" i="3"/>
  <c r="J608" i="3"/>
  <c r="M717" i="3"/>
  <c r="J720" i="3"/>
  <c r="E928" i="3"/>
  <c r="R928" i="3" s="1"/>
  <c r="R899" i="3"/>
  <c r="I292" i="3"/>
  <c r="R292" i="3" s="1"/>
  <c r="G312" i="3"/>
  <c r="G320" i="3" s="1"/>
  <c r="F312" i="3"/>
  <c r="F132" i="3"/>
  <c r="I129" i="3"/>
  <c r="R46" i="3"/>
  <c r="M394" i="3"/>
  <c r="B132" i="3"/>
  <c r="E129" i="3"/>
  <c r="R129" i="3" s="1"/>
  <c r="M132" i="3"/>
  <c r="E62" i="3"/>
  <c r="R62" i="3" s="1"/>
  <c r="B63" i="3"/>
  <c r="F133" i="3" l="1"/>
  <c r="I132" i="3"/>
  <c r="AH1134" i="3"/>
  <c r="AH1133" i="3"/>
  <c r="I312" i="3"/>
  <c r="F320" i="3"/>
  <c r="I720" i="3"/>
  <c r="F721" i="3"/>
  <c r="G321" i="3"/>
  <c r="P1005" i="3"/>
  <c r="P977" i="3"/>
  <c r="AH1131" i="3"/>
  <c r="AH1130" i="3"/>
  <c r="R605" i="3"/>
  <c r="B721" i="3"/>
  <c r="E720" i="3"/>
  <c r="R1086" i="3"/>
  <c r="AQ1041" i="3"/>
  <c r="AQ1006" i="3"/>
  <c r="AH1143" i="3"/>
  <c r="AH1142" i="3"/>
  <c r="B564" i="3"/>
  <c r="E563" i="3"/>
  <c r="G1059" i="3"/>
  <c r="G1045" i="3"/>
  <c r="AK938" i="3"/>
  <c r="R739" i="3"/>
  <c r="R59" i="3"/>
  <c r="R886" i="3"/>
  <c r="T902" i="3" s="1"/>
  <c r="J564" i="3"/>
  <c r="M563" i="3"/>
  <c r="J911" i="3"/>
  <c r="M911" i="3" s="1"/>
  <c r="J926" i="3"/>
  <c r="M892" i="3"/>
  <c r="J609" i="3"/>
  <c r="M608" i="3"/>
  <c r="AG1128" i="3"/>
  <c r="AG1127" i="3"/>
  <c r="O948" i="3"/>
  <c r="C785" i="3"/>
  <c r="C774" i="3"/>
  <c r="G1065" i="3"/>
  <c r="AK944" i="3"/>
  <c r="AG1145" i="3"/>
  <c r="AG1146" i="3"/>
  <c r="AG1140" i="3"/>
  <c r="AG1139" i="3"/>
  <c r="Q507" i="3"/>
  <c r="N512" i="3"/>
  <c r="E608" i="3"/>
  <c r="B609" i="3"/>
  <c r="G1070" i="3"/>
  <c r="AK949" i="3"/>
  <c r="R717" i="3"/>
  <c r="O954" i="3"/>
  <c r="K785" i="3"/>
  <c r="K774" i="3"/>
  <c r="AH1112" i="3"/>
  <c r="AH1113" i="3"/>
  <c r="AH1052" i="3"/>
  <c r="B772" i="3"/>
  <c r="E769" i="3"/>
  <c r="AH1103" i="3"/>
  <c r="AH1106" i="3"/>
  <c r="AH1099" i="3"/>
  <c r="AH1097" i="3"/>
  <c r="AH1095" i="3"/>
  <c r="AH1093" i="3"/>
  <c r="AH1104" i="3"/>
  <c r="AH1102" i="3"/>
  <c r="AH1107" i="3"/>
  <c r="AH1105" i="3"/>
  <c r="AH1100" i="3"/>
  <c r="AH1092" i="3"/>
  <c r="AH1091" i="3"/>
  <c r="AH1101" i="3"/>
  <c r="AH1089" i="3"/>
  <c r="X1085" i="3"/>
  <c r="AH1098" i="3"/>
  <c r="AH1087" i="3"/>
  <c r="AH1085" i="3"/>
  <c r="AH1090" i="3"/>
  <c r="AH1096" i="3"/>
  <c r="AH1094" i="3"/>
  <c r="AH1084" i="3"/>
  <c r="AH1088" i="3"/>
  <c r="AH1086" i="3"/>
  <c r="P1012" i="3"/>
  <c r="P984" i="3"/>
  <c r="AG1131" i="3"/>
  <c r="AG1130" i="3"/>
  <c r="AH1145" i="3"/>
  <c r="AH1146" i="3"/>
  <c r="F772" i="3"/>
  <c r="I769" i="3"/>
  <c r="O951" i="3"/>
  <c r="G785" i="3"/>
  <c r="G774" i="3"/>
  <c r="AF951" i="3"/>
  <c r="I507" i="3"/>
  <c r="F512" i="3"/>
  <c r="AH1017" i="3"/>
  <c r="O957" i="3"/>
  <c r="O785" i="3"/>
  <c r="O774" i="3"/>
  <c r="Q674" i="3"/>
  <c r="N675" i="3"/>
  <c r="E132" i="3"/>
  <c r="R132" i="3" s="1"/>
  <c r="B133" i="3"/>
  <c r="Q953" i="3"/>
  <c r="J871" i="3"/>
  <c r="M870" i="3"/>
  <c r="Q950" i="3"/>
  <c r="I870" i="3"/>
  <c r="F871" i="3"/>
  <c r="P1008" i="3"/>
  <c r="P980" i="3"/>
  <c r="F609" i="3"/>
  <c r="I608" i="3"/>
  <c r="Q1014" i="3"/>
  <c r="Q986" i="3"/>
  <c r="P1014" i="3"/>
  <c r="P986" i="3"/>
  <c r="N773" i="3"/>
  <c r="Q772" i="3"/>
  <c r="G1062" i="3"/>
  <c r="AK941" i="3"/>
  <c r="P1009" i="3"/>
  <c r="P981" i="3"/>
  <c r="O958" i="3"/>
  <c r="P785" i="3"/>
  <c r="AG1121" i="3"/>
  <c r="AG1122" i="3"/>
  <c r="J721" i="3"/>
  <c r="M720" i="3"/>
  <c r="O952" i="3"/>
  <c r="H785" i="3"/>
  <c r="Q312" i="3"/>
  <c r="N320" i="3"/>
  <c r="AR1046" i="3"/>
  <c r="S1091" i="3"/>
  <c r="AR1011" i="3"/>
  <c r="Q818" i="3"/>
  <c r="P956" i="3"/>
  <c r="N819" i="3"/>
  <c r="AG1112" i="3"/>
  <c r="AG1113" i="3"/>
  <c r="AH1121" i="3"/>
  <c r="AH1122" i="3"/>
  <c r="B320" i="3"/>
  <c r="E312" i="3"/>
  <c r="R312" i="3" s="1"/>
  <c r="J513" i="3"/>
  <c r="M512" i="3"/>
  <c r="R930" i="3"/>
  <c r="AG1134" i="3"/>
  <c r="AG1133" i="3"/>
  <c r="O1012" i="3"/>
  <c r="O984" i="3"/>
  <c r="AJ986" i="3"/>
  <c r="J772" i="3"/>
  <c r="M769" i="3"/>
  <c r="P1011" i="3"/>
  <c r="P983" i="3"/>
  <c r="N952" i="3"/>
  <c r="H775" i="3"/>
  <c r="H722" i="3"/>
  <c r="R910" i="3"/>
  <c r="G1066" i="3"/>
  <c r="AK945" i="3"/>
  <c r="E674" i="3"/>
  <c r="B675" i="3"/>
  <c r="N949" i="3"/>
  <c r="D775" i="3"/>
  <c r="D722" i="3"/>
  <c r="P976" i="3"/>
  <c r="P1004" i="3"/>
  <c r="AG1137" i="3"/>
  <c r="AG1136" i="3"/>
  <c r="O978" i="3"/>
  <c r="O1006" i="3"/>
  <c r="J784" i="3"/>
  <c r="Q987" i="3"/>
  <c r="Q1015" i="3"/>
  <c r="R394" i="3"/>
  <c r="Q1012" i="3"/>
  <c r="Q984" i="3"/>
  <c r="G1061" i="3"/>
  <c r="AK940" i="3"/>
  <c r="R214" i="3"/>
  <c r="R897" i="3"/>
  <c r="S1089" i="3"/>
  <c r="AR1009" i="3"/>
  <c r="AR1044" i="3"/>
  <c r="O947" i="3"/>
  <c r="E784" i="3"/>
  <c r="B785" i="3"/>
  <c r="P950" i="3"/>
  <c r="I818" i="3"/>
  <c r="R818" i="3" s="1"/>
  <c r="F819" i="3"/>
  <c r="F784" i="3"/>
  <c r="N609" i="3"/>
  <c r="Q608" i="3"/>
  <c r="P1010" i="3"/>
  <c r="P982" i="3"/>
  <c r="Q947" i="3"/>
  <c r="E870" i="3"/>
  <c r="B871" i="3"/>
  <c r="G1064" i="3"/>
  <c r="AK943" i="3"/>
  <c r="N911" i="3"/>
  <c r="Q911" i="3" s="1"/>
  <c r="N926" i="3"/>
  <c r="Q892" i="3"/>
  <c r="P1015" i="3"/>
  <c r="P987" i="3"/>
  <c r="B512" i="3"/>
  <c r="E507" i="3"/>
  <c r="R507" i="3" s="1"/>
  <c r="I674" i="3"/>
  <c r="F675" i="3"/>
  <c r="AH1119" i="3"/>
  <c r="AH1118" i="3"/>
  <c r="N955" i="3"/>
  <c r="L775" i="3"/>
  <c r="L722" i="3"/>
  <c r="J320" i="3"/>
  <c r="M312" i="3"/>
  <c r="J675" i="3"/>
  <c r="M674" i="3"/>
  <c r="N869" i="3"/>
  <c r="N870" i="3"/>
  <c r="Q868" i="3"/>
  <c r="R868" i="3" s="1"/>
  <c r="Q1006" i="3"/>
  <c r="Q978" i="3"/>
  <c r="F911" i="3"/>
  <c r="I911" i="3" s="1"/>
  <c r="I892" i="3"/>
  <c r="F926" i="3"/>
  <c r="P774" i="3"/>
  <c r="G1069" i="3"/>
  <c r="AK948" i="3"/>
  <c r="AH1128" i="3"/>
  <c r="AH1127" i="3"/>
  <c r="Q951" i="3"/>
  <c r="G871" i="3"/>
  <c r="Q1005" i="3"/>
  <c r="Q977" i="3"/>
  <c r="B911" i="3"/>
  <c r="E911" i="3" s="1"/>
  <c r="R911" i="3" s="1"/>
  <c r="B926" i="3"/>
  <c r="E892" i="3"/>
  <c r="G609" i="3"/>
  <c r="Q1123" i="3"/>
  <c r="AH1108" i="3" l="1"/>
  <c r="N981" i="3"/>
  <c r="N1009" i="3"/>
  <c r="AR1050" i="3"/>
  <c r="S1095" i="3"/>
  <c r="AR1015" i="3"/>
  <c r="E320" i="3"/>
  <c r="B321" i="3"/>
  <c r="R892" i="3"/>
  <c r="T892" i="3" s="1"/>
  <c r="Q926" i="3"/>
  <c r="Q934" i="3" s="1"/>
  <c r="N934" i="3"/>
  <c r="N13" i="3" s="1"/>
  <c r="Q13" i="3" s="1"/>
  <c r="P1007" i="3"/>
  <c r="P979" i="3"/>
  <c r="R1091" i="3"/>
  <c r="AQ1046" i="3"/>
  <c r="AQ1011" i="3"/>
  <c r="R1094" i="3"/>
  <c r="AQ1014" i="3"/>
  <c r="AQ1049" i="3"/>
  <c r="N513" i="3"/>
  <c r="Q512" i="3"/>
  <c r="C775" i="3"/>
  <c r="N948" i="3"/>
  <c r="C722" i="3"/>
  <c r="E926" i="3"/>
  <c r="B934" i="3"/>
  <c r="B13" i="3" s="1"/>
  <c r="E13" i="3" s="1"/>
  <c r="S1086" i="3"/>
  <c r="AR1006" i="3"/>
  <c r="AR1041" i="3"/>
  <c r="R1090" i="3"/>
  <c r="AQ1045" i="3"/>
  <c r="AQ1010" i="3"/>
  <c r="P960" i="3"/>
  <c r="AQ1044" i="3"/>
  <c r="R1089" i="3"/>
  <c r="AQ1009" i="3"/>
  <c r="I512" i="3"/>
  <c r="F513" i="3"/>
  <c r="F773" i="3"/>
  <c r="F774" i="3"/>
  <c r="I772" i="3"/>
  <c r="AG1116" i="3"/>
  <c r="AG1115" i="3"/>
  <c r="R769" i="3"/>
  <c r="O1011" i="3"/>
  <c r="O983" i="3"/>
  <c r="M949" i="3"/>
  <c r="D723" i="3"/>
  <c r="D686" i="3"/>
  <c r="S1094" i="3"/>
  <c r="AR1049" i="3"/>
  <c r="AR1014" i="3"/>
  <c r="Q1007" i="3"/>
  <c r="Q979" i="3"/>
  <c r="B773" i="3"/>
  <c r="E772" i="3"/>
  <c r="R772" i="3" s="1"/>
  <c r="B774" i="3"/>
  <c r="O1005" i="3"/>
  <c r="O977" i="3"/>
  <c r="M926" i="3"/>
  <c r="M934" i="3" s="1"/>
  <c r="J934" i="3"/>
  <c r="J13" i="3" s="1"/>
  <c r="M13" i="3" s="1"/>
  <c r="AK951" i="3"/>
  <c r="I320" i="3"/>
  <c r="F321" i="3"/>
  <c r="M955" i="3"/>
  <c r="L723" i="3"/>
  <c r="L686" i="3"/>
  <c r="Q1086" i="3"/>
  <c r="AP1041" i="3"/>
  <c r="AP1006" i="3"/>
  <c r="J321" i="3"/>
  <c r="M320" i="3"/>
  <c r="O953" i="3"/>
  <c r="J785" i="3"/>
  <c r="M784" i="3"/>
  <c r="O1004" i="3"/>
  <c r="O976" i="3"/>
  <c r="B513" i="3"/>
  <c r="E512" i="3"/>
  <c r="R512" i="3" s="1"/>
  <c r="J773" i="3"/>
  <c r="J774" i="3"/>
  <c r="M772" i="3"/>
  <c r="S1085" i="3"/>
  <c r="AR1005" i="3"/>
  <c r="AR1040" i="3"/>
  <c r="P775" i="3"/>
  <c r="N958" i="3"/>
  <c r="P722" i="3"/>
  <c r="Q956" i="3"/>
  <c r="Q870" i="3"/>
  <c r="R870" i="3" s="1"/>
  <c r="N871" i="3"/>
  <c r="N1006" i="3"/>
  <c r="N978" i="3"/>
  <c r="M952" i="3"/>
  <c r="H723" i="3"/>
  <c r="H686" i="3"/>
  <c r="N784" i="3"/>
  <c r="Q320" i="3"/>
  <c r="N321" i="3"/>
  <c r="R1085" i="3"/>
  <c r="AQ1040" i="3"/>
  <c r="AQ1005" i="3"/>
  <c r="I926" i="3"/>
  <c r="I934" i="3" s="1"/>
  <c r="F934" i="3"/>
  <c r="F13" i="3" s="1"/>
  <c r="I13" i="3" s="1"/>
  <c r="N1012" i="3"/>
  <c r="N984" i="3"/>
  <c r="O950" i="3"/>
  <c r="I784" i="3"/>
  <c r="F785" i="3"/>
  <c r="S1092" i="3"/>
  <c r="AR1047" i="3"/>
  <c r="AR1012" i="3"/>
  <c r="Q1010" i="3"/>
  <c r="Q982" i="3"/>
  <c r="N957" i="3"/>
  <c r="O775" i="3"/>
  <c r="O722" i="3"/>
  <c r="N951" i="3"/>
  <c r="G775" i="3"/>
  <c r="G722" i="3"/>
  <c r="R563" i="3"/>
  <c r="R720" i="3"/>
  <c r="R1095" i="3"/>
  <c r="AQ1015" i="3"/>
  <c r="AQ1050" i="3"/>
  <c r="P1013" i="3"/>
  <c r="P985" i="3"/>
  <c r="R674" i="3"/>
  <c r="Q1008" i="3"/>
  <c r="Q980" i="3"/>
  <c r="Q960" i="3"/>
  <c r="Q976" i="3"/>
  <c r="Q1004" i="3"/>
  <c r="R1084" i="3"/>
  <c r="AQ1039" i="3"/>
  <c r="AQ1004" i="3"/>
  <c r="O1015" i="3"/>
  <c r="O987" i="3"/>
  <c r="R1088" i="3"/>
  <c r="AQ1043" i="3"/>
  <c r="AQ1008" i="3"/>
  <c r="O1014" i="3"/>
  <c r="O986" i="3"/>
  <c r="O1008" i="3"/>
  <c r="O980" i="3"/>
  <c r="R1092" i="3"/>
  <c r="AQ1012" i="3"/>
  <c r="AQ1047" i="3"/>
  <c r="N954" i="3"/>
  <c r="K775" i="3"/>
  <c r="K722" i="3"/>
  <c r="R608" i="3"/>
  <c r="AP1047" i="3"/>
  <c r="Q1092" i="3"/>
  <c r="AP1012" i="3"/>
  <c r="O1009" i="3"/>
  <c r="O981" i="3"/>
  <c r="Q1088" i="3" l="1"/>
  <c r="AP1043" i="3"/>
  <c r="AP1008" i="3"/>
  <c r="Q1094" i="3"/>
  <c r="AP1049" i="3"/>
  <c r="AP1014" i="3"/>
  <c r="N1011" i="3"/>
  <c r="N983" i="3"/>
  <c r="R1093" i="3"/>
  <c r="AQ1048" i="3"/>
  <c r="AQ1013" i="3"/>
  <c r="N1008" i="3"/>
  <c r="N980" i="3"/>
  <c r="L952" i="3"/>
  <c r="H687" i="3"/>
  <c r="H676" i="3"/>
  <c r="M958" i="3"/>
  <c r="P723" i="3"/>
  <c r="P686" i="3"/>
  <c r="L955" i="3"/>
  <c r="L687" i="3"/>
  <c r="L676" i="3"/>
  <c r="S1087" i="3"/>
  <c r="AR1042" i="3"/>
  <c r="AR1007" i="3"/>
  <c r="AP1046" i="3"/>
  <c r="AP1011" i="3"/>
  <c r="Q1091" i="3"/>
  <c r="R320" i="3"/>
  <c r="M957" i="3"/>
  <c r="O723" i="3"/>
  <c r="O686" i="3"/>
  <c r="N1015" i="3"/>
  <c r="N987" i="3"/>
  <c r="O1010" i="3"/>
  <c r="O982" i="3"/>
  <c r="M1009" i="3"/>
  <c r="M981" i="3"/>
  <c r="M1012" i="3"/>
  <c r="M984" i="3"/>
  <c r="N1014" i="3"/>
  <c r="N986" i="3"/>
  <c r="AQ1101" i="3"/>
  <c r="AQ1106" i="3"/>
  <c r="AQ1099" i="3"/>
  <c r="AQ1097" i="3"/>
  <c r="AQ1095" i="3"/>
  <c r="AQ1093" i="3"/>
  <c r="AQ1104" i="3"/>
  <c r="AQ1102" i="3"/>
  <c r="AQ1103" i="3"/>
  <c r="AQ1107" i="3"/>
  <c r="AQ1092" i="3"/>
  <c r="AQ1089" i="3"/>
  <c r="AQ1096" i="3"/>
  <c r="AQ1094" i="3"/>
  <c r="AQ1087" i="3"/>
  <c r="AQ1085" i="3"/>
  <c r="AQ1105" i="3"/>
  <c r="AQ1098" i="3"/>
  <c r="AQ1090" i="3"/>
  <c r="AQ1086" i="3"/>
  <c r="AQ1084" i="3"/>
  <c r="AQ1088" i="3"/>
  <c r="AQ1100" i="3"/>
  <c r="AQ1091" i="3"/>
  <c r="Q1085" i="3"/>
  <c r="AP1040" i="3"/>
  <c r="AP1005" i="3"/>
  <c r="R1087" i="3"/>
  <c r="AQ1042" i="3"/>
  <c r="AQ1007" i="3"/>
  <c r="AQ1017" i="3" s="1"/>
  <c r="Q1089" i="3"/>
  <c r="AP1044" i="3"/>
  <c r="AP1009" i="3"/>
  <c r="S1084" i="3"/>
  <c r="AR1039" i="3"/>
  <c r="AR1004" i="3"/>
  <c r="O1007" i="3"/>
  <c r="O979" i="3"/>
  <c r="Q1095" i="3"/>
  <c r="AP1050" i="3"/>
  <c r="AP1015" i="3"/>
  <c r="P1086" i="3"/>
  <c r="AO1041" i="3"/>
  <c r="AO1006" i="3"/>
  <c r="N947" i="3"/>
  <c r="E774" i="3"/>
  <c r="B775" i="3"/>
  <c r="B722" i="3"/>
  <c r="L949" i="3"/>
  <c r="D687" i="3"/>
  <c r="D676" i="3"/>
  <c r="R13" i="3"/>
  <c r="S1088" i="3"/>
  <c r="AR1043" i="3"/>
  <c r="AR1008" i="3"/>
  <c r="P1092" i="3"/>
  <c r="AO1012" i="3"/>
  <c r="AO1047" i="3"/>
  <c r="AR1106" i="3"/>
  <c r="AR1104" i="3"/>
  <c r="AR1102" i="3"/>
  <c r="AR1107" i="3"/>
  <c r="AR1105" i="3"/>
  <c r="AR1101" i="3"/>
  <c r="AR1097" i="3"/>
  <c r="AR1089" i="3"/>
  <c r="AR1096" i="3"/>
  <c r="AR1094" i="3"/>
  <c r="AR1087" i="3"/>
  <c r="AR1085" i="3"/>
  <c r="AR1103" i="3"/>
  <c r="AR1090" i="3"/>
  <c r="AR1098" i="3"/>
  <c r="AR1093" i="3"/>
  <c r="AR1088" i="3"/>
  <c r="AR1086" i="3"/>
  <c r="AR1084" i="3"/>
  <c r="AR1100" i="3"/>
  <c r="AR1099" i="3"/>
  <c r="AR1095" i="3"/>
  <c r="AR1092" i="3"/>
  <c r="AR1091" i="3"/>
  <c r="I774" i="3"/>
  <c r="F775" i="3"/>
  <c r="N950" i="3"/>
  <c r="F722" i="3"/>
  <c r="E934" i="3"/>
  <c r="R926" i="3"/>
  <c r="R934" i="3" s="1"/>
  <c r="P1089" i="3"/>
  <c r="AO1009" i="3"/>
  <c r="AO1044" i="3"/>
  <c r="M954" i="3"/>
  <c r="K723" i="3"/>
  <c r="K686" i="3"/>
  <c r="P1017" i="3"/>
  <c r="M951" i="3"/>
  <c r="G686" i="3"/>
  <c r="G723" i="3"/>
  <c r="Q1084" i="3"/>
  <c r="AP1004" i="3"/>
  <c r="AP1039" i="3"/>
  <c r="M1006" i="3"/>
  <c r="M978" i="3"/>
  <c r="M948" i="3"/>
  <c r="C723" i="3"/>
  <c r="C686" i="3"/>
  <c r="S1090" i="3"/>
  <c r="AR1045" i="3"/>
  <c r="AR1010" i="3"/>
  <c r="AQ1052" i="3"/>
  <c r="O956" i="3"/>
  <c r="Q784" i="3"/>
  <c r="R784" i="3" s="1"/>
  <c r="N785" i="3"/>
  <c r="N774" i="3"/>
  <c r="Q985" i="3"/>
  <c r="Q1013" i="3"/>
  <c r="Q1017" i="3" s="1"/>
  <c r="N953" i="3"/>
  <c r="J775" i="3"/>
  <c r="M774" i="3"/>
  <c r="J722" i="3"/>
  <c r="N1005" i="3"/>
  <c r="N977" i="3"/>
  <c r="AR1108" i="3" l="1"/>
  <c r="AQ1108" i="3"/>
  <c r="Q1087" i="3"/>
  <c r="AP1007" i="3"/>
  <c r="AP1042" i="3"/>
  <c r="N956" i="3"/>
  <c r="Q774" i="3"/>
  <c r="N775" i="3"/>
  <c r="N722" i="3"/>
  <c r="M1011" i="3"/>
  <c r="M983" i="3"/>
  <c r="O1092" i="3"/>
  <c r="AN1047" i="3"/>
  <c r="AN1012" i="3"/>
  <c r="P1091" i="3"/>
  <c r="AO1046" i="3"/>
  <c r="AO1011" i="3"/>
  <c r="P1085" i="3"/>
  <c r="AO1005" i="3"/>
  <c r="AO1040" i="3"/>
  <c r="L948" i="3"/>
  <c r="C687" i="3"/>
  <c r="C676" i="3"/>
  <c r="K949" i="3"/>
  <c r="D677" i="3"/>
  <c r="D610" i="3"/>
  <c r="M986" i="3"/>
  <c r="M1014" i="3"/>
  <c r="K955" i="3"/>
  <c r="L677" i="3"/>
  <c r="L610" i="3"/>
  <c r="L981" i="3"/>
  <c r="L1009" i="3"/>
  <c r="M953" i="3"/>
  <c r="J723" i="3"/>
  <c r="M722" i="3"/>
  <c r="J686" i="3"/>
  <c r="O1089" i="3"/>
  <c r="AN1044" i="3"/>
  <c r="AN1009" i="3"/>
  <c r="O985" i="3"/>
  <c r="O1013" i="3"/>
  <c r="O960" i="3"/>
  <c r="L984" i="3"/>
  <c r="L1012" i="3"/>
  <c r="P1088" i="3"/>
  <c r="AO1008" i="3"/>
  <c r="AO1043" i="3"/>
  <c r="M1005" i="3"/>
  <c r="M977" i="3"/>
  <c r="L951" i="3"/>
  <c r="G687" i="3"/>
  <c r="G676" i="3"/>
  <c r="L1006" i="3"/>
  <c r="L978" i="3"/>
  <c r="M1008" i="3"/>
  <c r="M980" i="3"/>
  <c r="M947" i="3"/>
  <c r="B686" i="3"/>
  <c r="B723" i="3"/>
  <c r="E722" i="3"/>
  <c r="AP1103" i="3"/>
  <c r="AP1106" i="3"/>
  <c r="AP1099" i="3"/>
  <c r="AP1097" i="3"/>
  <c r="AP1095" i="3"/>
  <c r="AP1093" i="3"/>
  <c r="AP1104" i="3"/>
  <c r="AP1102" i="3"/>
  <c r="AP1107" i="3"/>
  <c r="AP1105" i="3"/>
  <c r="AP1100" i="3"/>
  <c r="AP1091" i="3"/>
  <c r="AP1092" i="3"/>
  <c r="AP1089" i="3"/>
  <c r="AP1096" i="3"/>
  <c r="AP1094" i="3"/>
  <c r="AP1087" i="3"/>
  <c r="AP1085" i="3"/>
  <c r="AP1090" i="3"/>
  <c r="AP1101" i="3"/>
  <c r="AP1088" i="3"/>
  <c r="AP1098" i="3"/>
  <c r="AP1086" i="3"/>
  <c r="AP1084" i="3"/>
  <c r="Q1090" i="3"/>
  <c r="AP1045" i="3"/>
  <c r="AP1010" i="3"/>
  <c r="L958" i="3"/>
  <c r="P687" i="3"/>
  <c r="P676" i="3"/>
  <c r="N1010" i="3"/>
  <c r="N982" i="3"/>
  <c r="O1086" i="3"/>
  <c r="AN1006" i="3"/>
  <c r="AN1041" i="3"/>
  <c r="S1093" i="3"/>
  <c r="AR1048" i="3"/>
  <c r="AR1052" i="3" s="1"/>
  <c r="AR1013" i="3"/>
  <c r="AR1017" i="3" s="1"/>
  <c r="L954" i="3"/>
  <c r="K687" i="3"/>
  <c r="K676" i="3"/>
  <c r="M950" i="3"/>
  <c r="F723" i="3"/>
  <c r="I722" i="3"/>
  <c r="F686" i="3"/>
  <c r="R774" i="3"/>
  <c r="P1094" i="3"/>
  <c r="AO1049" i="3"/>
  <c r="AO1014" i="3"/>
  <c r="P1095" i="3"/>
  <c r="AO1050" i="3"/>
  <c r="AO1015" i="3"/>
  <c r="M1015" i="3"/>
  <c r="M987" i="3"/>
  <c r="N1007" i="3"/>
  <c r="N979" i="3"/>
  <c r="N1004" i="3"/>
  <c r="N976" i="3"/>
  <c r="N960" i="3"/>
  <c r="L957" i="3"/>
  <c r="O687" i="3"/>
  <c r="O676" i="3"/>
  <c r="K952" i="3"/>
  <c r="H677" i="3"/>
  <c r="H610" i="3"/>
  <c r="AP1108" i="3" l="1"/>
  <c r="M979" i="3"/>
  <c r="M1007" i="3"/>
  <c r="J952" i="3"/>
  <c r="H611" i="3"/>
  <c r="H565" i="3"/>
  <c r="P1084" i="3"/>
  <c r="AO1039" i="3"/>
  <c r="AO1004" i="3"/>
  <c r="K954" i="3"/>
  <c r="K677" i="3"/>
  <c r="K610" i="3"/>
  <c r="N1086" i="3"/>
  <c r="AM1041" i="3"/>
  <c r="AM1006" i="3"/>
  <c r="AW970" i="3"/>
  <c r="J955" i="3"/>
  <c r="L611" i="3"/>
  <c r="L565" i="3"/>
  <c r="K948" i="3"/>
  <c r="C677" i="3"/>
  <c r="C610" i="3"/>
  <c r="M956" i="3"/>
  <c r="N723" i="3"/>
  <c r="Q722" i="3"/>
  <c r="N686" i="3"/>
  <c r="R722" i="3"/>
  <c r="K951" i="3"/>
  <c r="G677" i="3"/>
  <c r="G610" i="3"/>
  <c r="N1092" i="3"/>
  <c r="AM1047" i="3"/>
  <c r="AM1012" i="3"/>
  <c r="AW976" i="3"/>
  <c r="L953" i="3"/>
  <c r="M686" i="3"/>
  <c r="J687" i="3"/>
  <c r="J676" i="3"/>
  <c r="K984" i="3"/>
  <c r="K1012" i="3"/>
  <c r="L1005" i="3"/>
  <c r="L977" i="3"/>
  <c r="K1009" i="3"/>
  <c r="K981" i="3"/>
  <c r="K958" i="3"/>
  <c r="P677" i="3"/>
  <c r="P610" i="3"/>
  <c r="E686" i="3"/>
  <c r="L947" i="3"/>
  <c r="B687" i="3"/>
  <c r="B676" i="3"/>
  <c r="L1008" i="3"/>
  <c r="L980" i="3"/>
  <c r="O1094" i="3"/>
  <c r="AN1049" i="3"/>
  <c r="AN1014" i="3"/>
  <c r="N1013" i="3"/>
  <c r="N1017" i="3" s="1"/>
  <c r="N985" i="3"/>
  <c r="P1087" i="3"/>
  <c r="AO1007" i="3"/>
  <c r="AO1042" i="3"/>
  <c r="L1011" i="3"/>
  <c r="L983" i="3"/>
  <c r="K957" i="3"/>
  <c r="O677" i="3"/>
  <c r="O610" i="3"/>
  <c r="O1095" i="3"/>
  <c r="AN1050" i="3"/>
  <c r="AN1015" i="3"/>
  <c r="L950" i="3"/>
  <c r="I686" i="3"/>
  <c r="F687" i="3"/>
  <c r="F676" i="3"/>
  <c r="M1004" i="3"/>
  <c r="M976" i="3"/>
  <c r="M960" i="3"/>
  <c r="Q1093" i="3"/>
  <c r="AP1048" i="3"/>
  <c r="AP1052" i="3" s="1"/>
  <c r="AP1013" i="3"/>
  <c r="AP1017" i="3" s="1"/>
  <c r="O1017" i="3"/>
  <c r="P1090" i="3"/>
  <c r="AO1010" i="3"/>
  <c r="AO1045" i="3"/>
  <c r="L1014" i="3"/>
  <c r="L986" i="3"/>
  <c r="L1015" i="3"/>
  <c r="L987" i="3"/>
  <c r="O1085" i="3"/>
  <c r="AN1040" i="3"/>
  <c r="AN1005" i="3"/>
  <c r="M1010" i="3"/>
  <c r="M982" i="3"/>
  <c r="J949" i="3"/>
  <c r="D611" i="3"/>
  <c r="D565" i="3"/>
  <c r="AO1107" i="3"/>
  <c r="AO1105" i="3"/>
  <c r="AO1100" i="3"/>
  <c r="AO1098" i="3"/>
  <c r="AO1096" i="3"/>
  <c r="AO1094" i="3"/>
  <c r="AO1103" i="3"/>
  <c r="AO1101" i="3"/>
  <c r="AO1106" i="3"/>
  <c r="AO1099" i="3"/>
  <c r="AO1097" i="3"/>
  <c r="AO1095" i="3"/>
  <c r="AO1093" i="3"/>
  <c r="AO1104" i="3"/>
  <c r="AO1102" i="3"/>
  <c r="AO1088" i="3"/>
  <c r="AO1086" i="3"/>
  <c r="AO1084" i="3"/>
  <c r="AO1091" i="3"/>
  <c r="AO1092" i="3"/>
  <c r="AO1089" i="3"/>
  <c r="AO1090" i="3"/>
  <c r="AO1087" i="3"/>
  <c r="AO1085" i="3"/>
  <c r="O1088" i="3"/>
  <c r="AN1008" i="3"/>
  <c r="AN1043" i="3"/>
  <c r="N1089" i="3"/>
  <c r="AM1044" i="3"/>
  <c r="AM1009" i="3"/>
  <c r="AW973" i="3"/>
  <c r="O1091" i="3"/>
  <c r="AN1046" i="3"/>
  <c r="AN1011" i="3"/>
  <c r="K1006" i="3"/>
  <c r="K978" i="3"/>
  <c r="AO1108" i="3" l="1"/>
  <c r="N1095" i="3"/>
  <c r="AM1050" i="3"/>
  <c r="AM1015" i="3"/>
  <c r="AW979" i="3"/>
  <c r="L1007" i="3"/>
  <c r="L979" i="3"/>
  <c r="N1091" i="3"/>
  <c r="AM1046" i="3"/>
  <c r="AM1011" i="3"/>
  <c r="AW975" i="3"/>
  <c r="K953" i="3"/>
  <c r="M676" i="3"/>
  <c r="J677" i="3"/>
  <c r="J610" i="3"/>
  <c r="J951" i="3"/>
  <c r="G611" i="3"/>
  <c r="G565" i="3"/>
  <c r="J948" i="3"/>
  <c r="C611" i="3"/>
  <c r="C565" i="3"/>
  <c r="J1006" i="3"/>
  <c r="J978" i="3"/>
  <c r="K987" i="3"/>
  <c r="K1015" i="3"/>
  <c r="I952" i="3"/>
  <c r="H566" i="3"/>
  <c r="H521" i="3"/>
  <c r="H520" i="3" s="1"/>
  <c r="H519" i="3" s="1"/>
  <c r="H518" i="3" s="1"/>
  <c r="H517" i="3" s="1"/>
  <c r="H516" i="3" s="1"/>
  <c r="H514" i="3"/>
  <c r="N1094" i="3"/>
  <c r="AM1049" i="3"/>
  <c r="AM1014" i="3"/>
  <c r="AW978" i="3"/>
  <c r="N1088" i="3"/>
  <c r="AM1008" i="3"/>
  <c r="AM1043" i="3"/>
  <c r="AW972" i="3"/>
  <c r="K1008" i="3"/>
  <c r="K980" i="3"/>
  <c r="K1005" i="3"/>
  <c r="K977" i="3"/>
  <c r="J954" i="3"/>
  <c r="K611" i="3"/>
  <c r="K565" i="3"/>
  <c r="O1090" i="3"/>
  <c r="AN1010" i="3"/>
  <c r="AN1045" i="3"/>
  <c r="K947" i="3"/>
  <c r="B677" i="3"/>
  <c r="E676" i="3"/>
  <c r="B610" i="3"/>
  <c r="AL1044" i="3"/>
  <c r="M1089" i="3"/>
  <c r="AL1009" i="3"/>
  <c r="L1010" i="3"/>
  <c r="L982" i="3"/>
  <c r="I955" i="3"/>
  <c r="L566" i="3"/>
  <c r="L521" i="3"/>
  <c r="L520" i="3" s="1"/>
  <c r="L519" i="3" s="1"/>
  <c r="L518" i="3" s="1"/>
  <c r="L517" i="3" s="1"/>
  <c r="L516" i="3" s="1"/>
  <c r="L514" i="3"/>
  <c r="J1009" i="3"/>
  <c r="J981" i="3"/>
  <c r="M1086" i="3"/>
  <c r="AL1041" i="3"/>
  <c r="AL1006" i="3"/>
  <c r="O1084" i="3"/>
  <c r="M1017" i="3"/>
  <c r="AN1004" i="3"/>
  <c r="AN1039" i="3"/>
  <c r="J957" i="3"/>
  <c r="O611" i="3"/>
  <c r="O565" i="3"/>
  <c r="L956" i="3"/>
  <c r="Q686" i="3"/>
  <c r="R686" i="3" s="1"/>
  <c r="N687" i="3"/>
  <c r="N676" i="3"/>
  <c r="K1011" i="3"/>
  <c r="K983" i="3"/>
  <c r="O1087" i="3"/>
  <c r="AN1042" i="3"/>
  <c r="AN1007" i="3"/>
  <c r="K950" i="3"/>
  <c r="F677" i="3"/>
  <c r="I676" i="3"/>
  <c r="F610" i="3"/>
  <c r="P1093" i="3"/>
  <c r="AO1013" i="3"/>
  <c r="AO1048" i="3"/>
  <c r="L960" i="3"/>
  <c r="L1004" i="3"/>
  <c r="L976" i="3"/>
  <c r="AM1005" i="3"/>
  <c r="N1085" i="3"/>
  <c r="AW969" i="3"/>
  <c r="AM1040" i="3"/>
  <c r="J1012" i="3"/>
  <c r="J984" i="3"/>
  <c r="AO1017" i="3"/>
  <c r="AN1107" i="3"/>
  <c r="AN1105" i="3"/>
  <c r="AN1103" i="3"/>
  <c r="AN1101" i="3"/>
  <c r="AN1106" i="3"/>
  <c r="AN1100" i="3"/>
  <c r="AN1098" i="3"/>
  <c r="AN1104" i="3"/>
  <c r="AN1097" i="3"/>
  <c r="AN1088" i="3"/>
  <c r="AN1086" i="3"/>
  <c r="AN1084" i="3"/>
  <c r="AN1091" i="3"/>
  <c r="AN1092" i="3"/>
  <c r="AN1095" i="3"/>
  <c r="AN1087" i="3"/>
  <c r="AN1085" i="3"/>
  <c r="AN1093" i="3"/>
  <c r="AN1099" i="3"/>
  <c r="AN1094" i="3"/>
  <c r="AN1102" i="3"/>
  <c r="AN1090" i="3"/>
  <c r="AN1096" i="3"/>
  <c r="AN1089" i="3"/>
  <c r="K1014" i="3"/>
  <c r="K986" i="3"/>
  <c r="M1092" i="3"/>
  <c r="AL1047" i="3"/>
  <c r="AL1012" i="3"/>
  <c r="AO1052" i="3"/>
  <c r="I949" i="3"/>
  <c r="D521" i="3"/>
  <c r="D520" i="3" s="1"/>
  <c r="D519" i="3" s="1"/>
  <c r="D518" i="3" s="1"/>
  <c r="D517" i="3" s="1"/>
  <c r="D516" i="3" s="1"/>
  <c r="D566" i="3"/>
  <c r="D514" i="3"/>
  <c r="J958" i="3"/>
  <c r="P611" i="3"/>
  <c r="P565" i="3"/>
  <c r="M1013" i="3"/>
  <c r="M985" i="3"/>
  <c r="AN1108" i="3" l="1"/>
  <c r="N1084" i="3"/>
  <c r="AM1039" i="3"/>
  <c r="AW968" i="3"/>
  <c r="AM1004" i="3"/>
  <c r="J1011" i="3"/>
  <c r="J983" i="3"/>
  <c r="I981" i="3"/>
  <c r="I1009" i="3"/>
  <c r="I951" i="3"/>
  <c r="G566" i="3"/>
  <c r="G521" i="3"/>
  <c r="G520" i="3" s="1"/>
  <c r="G519" i="3" s="1"/>
  <c r="G518" i="3" s="1"/>
  <c r="G517" i="3" s="1"/>
  <c r="G516" i="3" s="1"/>
  <c r="G514" i="3"/>
  <c r="O1093" i="3"/>
  <c r="AN1048" i="3"/>
  <c r="AN1013" i="3"/>
  <c r="AN1017" i="3" s="1"/>
  <c r="L1013" i="3"/>
  <c r="L1017" i="3" s="1"/>
  <c r="L985" i="3"/>
  <c r="I1012" i="3"/>
  <c r="I984" i="3"/>
  <c r="M1095" i="3"/>
  <c r="AL1050" i="3"/>
  <c r="AL1015" i="3"/>
  <c r="I1006" i="3"/>
  <c r="I978" i="3"/>
  <c r="K1007" i="3"/>
  <c r="K979" i="3"/>
  <c r="I958" i="3"/>
  <c r="P566" i="3"/>
  <c r="P521" i="3"/>
  <c r="P520" i="3" s="1"/>
  <c r="P519" i="3" s="1"/>
  <c r="P518" i="3" s="1"/>
  <c r="P517" i="3" s="1"/>
  <c r="P516" i="3" s="1"/>
  <c r="P514" i="3"/>
  <c r="L1092" i="3"/>
  <c r="AK1047" i="3"/>
  <c r="AK1012" i="3"/>
  <c r="I957" i="3"/>
  <c r="O521" i="3"/>
  <c r="O520" i="3" s="1"/>
  <c r="O519" i="3" s="1"/>
  <c r="O518" i="3" s="1"/>
  <c r="O517" i="3" s="1"/>
  <c r="O516" i="3" s="1"/>
  <c r="O566" i="3"/>
  <c r="O514" i="3"/>
  <c r="K1004" i="3"/>
  <c r="K960" i="3"/>
  <c r="K976" i="3"/>
  <c r="M1085" i="3"/>
  <c r="AL1005" i="3"/>
  <c r="AL1040" i="3"/>
  <c r="J1008" i="3"/>
  <c r="J980" i="3"/>
  <c r="K956" i="3"/>
  <c r="N677" i="3"/>
  <c r="Q676" i="3"/>
  <c r="N610" i="3"/>
  <c r="H955" i="3"/>
  <c r="L515" i="3"/>
  <c r="L322" i="3"/>
  <c r="I954" i="3"/>
  <c r="K566" i="3"/>
  <c r="K521" i="3"/>
  <c r="K520" i="3" s="1"/>
  <c r="K519" i="3" s="1"/>
  <c r="K518" i="3" s="1"/>
  <c r="K517" i="3" s="1"/>
  <c r="K516" i="3" s="1"/>
  <c r="K514" i="3"/>
  <c r="M1094" i="3"/>
  <c r="AL1049" i="3"/>
  <c r="AL1014" i="3"/>
  <c r="R676" i="3"/>
  <c r="N1090" i="3"/>
  <c r="AM1010" i="3"/>
  <c r="AW974" i="3"/>
  <c r="AM1045" i="3"/>
  <c r="J953" i="3"/>
  <c r="J611" i="3"/>
  <c r="M610" i="3"/>
  <c r="J565" i="3"/>
  <c r="J1015" i="3"/>
  <c r="J987" i="3"/>
  <c r="J1014" i="3"/>
  <c r="J986" i="3"/>
  <c r="M1088" i="3"/>
  <c r="AL1043" i="3"/>
  <c r="AL1008" i="3"/>
  <c r="L1086" i="3"/>
  <c r="AK1006" i="3"/>
  <c r="AK1041" i="3"/>
  <c r="N1087" i="3"/>
  <c r="AM1042" i="3"/>
  <c r="AM1007" i="3"/>
  <c r="AW971" i="3"/>
  <c r="H949" i="3"/>
  <c r="D515" i="3"/>
  <c r="D322" i="3"/>
  <c r="AM1107" i="3"/>
  <c r="AM1105" i="3"/>
  <c r="AM1100" i="3"/>
  <c r="AM1098" i="3"/>
  <c r="AM1096" i="3"/>
  <c r="AM1094" i="3"/>
  <c r="AM1092" i="3"/>
  <c r="AM1103" i="3"/>
  <c r="AM1101" i="3"/>
  <c r="AM1104" i="3"/>
  <c r="AM1102" i="3"/>
  <c r="AM1099" i="3"/>
  <c r="AM1090" i="3"/>
  <c r="AM1097" i="3"/>
  <c r="AM1088" i="3"/>
  <c r="AM1086" i="3"/>
  <c r="AM1084" i="3"/>
  <c r="AM1106" i="3"/>
  <c r="AM1091" i="3"/>
  <c r="AM1089" i="3"/>
  <c r="AM1095" i="3"/>
  <c r="AM1093" i="3"/>
  <c r="AM1087" i="3"/>
  <c r="AM1085" i="3"/>
  <c r="I610" i="3"/>
  <c r="J950" i="3"/>
  <c r="F611" i="3"/>
  <c r="F565" i="3"/>
  <c r="M1091" i="3"/>
  <c r="AL1046" i="3"/>
  <c r="AL1011" i="3"/>
  <c r="AN1052" i="3"/>
  <c r="L1089" i="3"/>
  <c r="AK1044" i="3"/>
  <c r="AK1009" i="3"/>
  <c r="H952" i="3"/>
  <c r="H515" i="3"/>
  <c r="H322" i="3"/>
  <c r="I948" i="3"/>
  <c r="C521" i="3"/>
  <c r="C520" i="3" s="1"/>
  <c r="C519" i="3" s="1"/>
  <c r="C518" i="3" s="1"/>
  <c r="C517" i="3" s="1"/>
  <c r="C516" i="3" s="1"/>
  <c r="C566" i="3"/>
  <c r="C514" i="3"/>
  <c r="K1010" i="3"/>
  <c r="K982" i="3"/>
  <c r="B611" i="3"/>
  <c r="J947" i="3"/>
  <c r="E610" i="3"/>
  <c r="B565" i="3"/>
  <c r="J1005" i="3"/>
  <c r="J977" i="3"/>
  <c r="AM1108" i="3" l="1"/>
  <c r="K1086" i="3"/>
  <c r="AJ1006" i="3"/>
  <c r="AJ1041" i="3"/>
  <c r="AK1040" i="3"/>
  <c r="L1085" i="3"/>
  <c r="AK1005" i="3"/>
  <c r="K1013" i="3"/>
  <c r="K985" i="3"/>
  <c r="M1084" i="3"/>
  <c r="AL1039" i="3"/>
  <c r="AL1004" i="3"/>
  <c r="H958" i="3"/>
  <c r="P515" i="3"/>
  <c r="P322" i="3"/>
  <c r="L1091" i="3"/>
  <c r="AK1011" i="3"/>
  <c r="AK1046" i="3"/>
  <c r="E949" i="3"/>
  <c r="D323" i="3"/>
  <c r="D324" i="3"/>
  <c r="D134" i="3"/>
  <c r="L1095" i="3"/>
  <c r="AK1050" i="3"/>
  <c r="AK1015" i="3"/>
  <c r="I1011" i="3"/>
  <c r="I983" i="3"/>
  <c r="H957" i="3"/>
  <c r="O515" i="3"/>
  <c r="O322" i="3"/>
  <c r="I1005" i="3"/>
  <c r="I977" i="3"/>
  <c r="I953" i="3"/>
  <c r="J566" i="3"/>
  <c r="M565" i="3"/>
  <c r="J521" i="3"/>
  <c r="J520" i="3" s="1"/>
  <c r="J519" i="3" s="1"/>
  <c r="J518" i="3" s="1"/>
  <c r="J517" i="3" s="1"/>
  <c r="J516" i="3" s="1"/>
  <c r="J514" i="3"/>
  <c r="E955" i="3"/>
  <c r="L323" i="3"/>
  <c r="L324" i="3"/>
  <c r="L134" i="3"/>
  <c r="L1088" i="3"/>
  <c r="AK1008" i="3"/>
  <c r="AK1043" i="3"/>
  <c r="H951" i="3"/>
  <c r="G515" i="3"/>
  <c r="G322" i="3"/>
  <c r="H948" i="3"/>
  <c r="C515" i="3"/>
  <c r="C322" i="3"/>
  <c r="J1007" i="3"/>
  <c r="J979" i="3"/>
  <c r="L1094" i="3"/>
  <c r="AK1049" i="3"/>
  <c r="AK1014" i="3"/>
  <c r="I947" i="3"/>
  <c r="B566" i="3"/>
  <c r="B521" i="3"/>
  <c r="B520" i="3" s="1"/>
  <c r="B519" i="3" s="1"/>
  <c r="B518" i="3" s="1"/>
  <c r="B517" i="3" s="1"/>
  <c r="B516" i="3" s="1"/>
  <c r="E565" i="3"/>
  <c r="B514" i="3"/>
  <c r="J1004" i="3"/>
  <c r="J976" i="3"/>
  <c r="E952" i="3"/>
  <c r="H324" i="3"/>
  <c r="H323" i="3"/>
  <c r="H134" i="3"/>
  <c r="H1006" i="3"/>
  <c r="H978" i="3"/>
  <c r="I1015" i="3"/>
  <c r="I987" i="3"/>
  <c r="H1012" i="3"/>
  <c r="H984" i="3"/>
  <c r="I1014" i="3"/>
  <c r="I986" i="3"/>
  <c r="K1092" i="3"/>
  <c r="AJ1047" i="3"/>
  <c r="AJ1012" i="3"/>
  <c r="H1009" i="3"/>
  <c r="H981" i="3"/>
  <c r="I950" i="3"/>
  <c r="F521" i="3"/>
  <c r="F520" i="3" s="1"/>
  <c r="F519" i="3" s="1"/>
  <c r="F518" i="3" s="1"/>
  <c r="F517" i="3" s="1"/>
  <c r="F516" i="3" s="1"/>
  <c r="I565" i="3"/>
  <c r="F566" i="3"/>
  <c r="F514" i="3"/>
  <c r="J1010" i="3"/>
  <c r="J982" i="3"/>
  <c r="J956" i="3"/>
  <c r="J960" i="3" s="1"/>
  <c r="Q610" i="3"/>
  <c r="R610" i="3" s="1"/>
  <c r="N611" i="3"/>
  <c r="N565" i="3"/>
  <c r="AL1104" i="3"/>
  <c r="AL1102" i="3"/>
  <c r="AL1107" i="3"/>
  <c r="AL1105" i="3"/>
  <c r="AL1100" i="3"/>
  <c r="AL1098" i="3"/>
  <c r="AL1096" i="3"/>
  <c r="AL1094" i="3"/>
  <c r="AL1103" i="3"/>
  <c r="AL1106" i="3"/>
  <c r="AL1099" i="3"/>
  <c r="AL1093" i="3"/>
  <c r="AL1090" i="3"/>
  <c r="AL1097" i="3"/>
  <c r="AL1088" i="3"/>
  <c r="AL1086" i="3"/>
  <c r="AL1084" i="3"/>
  <c r="AL1092" i="3"/>
  <c r="AL1091" i="3"/>
  <c r="AL1095" i="3"/>
  <c r="AL1101" i="3"/>
  <c r="AL1089" i="3"/>
  <c r="AL1087" i="3"/>
  <c r="AL1085" i="3"/>
  <c r="M1087" i="3"/>
  <c r="AL1042" i="3"/>
  <c r="AL1007" i="3"/>
  <c r="I980" i="3"/>
  <c r="I1008" i="3"/>
  <c r="AW981" i="3"/>
  <c r="AL1045" i="3"/>
  <c r="M1090" i="3"/>
  <c r="AL1010" i="3"/>
  <c r="H954" i="3"/>
  <c r="K515" i="3"/>
  <c r="K322" i="3"/>
  <c r="N1093" i="3"/>
  <c r="AM1013" i="3"/>
  <c r="AM1017" i="3" s="1"/>
  <c r="AM1048" i="3"/>
  <c r="AM1052" i="3" s="1"/>
  <c r="AW977" i="3"/>
  <c r="K1089" i="3"/>
  <c r="AJ1044" i="3"/>
  <c r="AJ1009" i="3"/>
  <c r="AL1108" i="3" l="1"/>
  <c r="H1011" i="3"/>
  <c r="H983" i="3"/>
  <c r="L1090" i="3"/>
  <c r="AK1010" i="3"/>
  <c r="AK1045" i="3"/>
  <c r="K1095" i="3"/>
  <c r="AJ1050" i="3"/>
  <c r="AJ1015" i="3"/>
  <c r="E951" i="3"/>
  <c r="G324" i="3"/>
  <c r="G323" i="3"/>
  <c r="G134" i="3"/>
  <c r="K1085" i="3"/>
  <c r="AJ1005" i="3"/>
  <c r="AJ1040" i="3"/>
  <c r="H950" i="3"/>
  <c r="I514" i="3"/>
  <c r="F515" i="3"/>
  <c r="F322" i="3"/>
  <c r="L1084" i="3"/>
  <c r="AK1004" i="3"/>
  <c r="AK1039" i="3"/>
  <c r="E1012" i="3"/>
  <c r="E984" i="3"/>
  <c r="AR981" i="3"/>
  <c r="E958" i="3"/>
  <c r="P324" i="3"/>
  <c r="P323" i="3"/>
  <c r="P134" i="3"/>
  <c r="M1093" i="3"/>
  <c r="AL1048" i="3"/>
  <c r="AL1013" i="3"/>
  <c r="J1086" i="3"/>
  <c r="Z1086" i="3" s="1"/>
  <c r="AI1006" i="3"/>
  <c r="AI1041" i="3"/>
  <c r="AI940" i="3"/>
  <c r="H947" i="3"/>
  <c r="E514" i="3"/>
  <c r="B515" i="3"/>
  <c r="B322" i="3"/>
  <c r="H1008" i="3"/>
  <c r="H980" i="3"/>
  <c r="H953" i="3"/>
  <c r="M514" i="3"/>
  <c r="J515" i="3"/>
  <c r="J322" i="3"/>
  <c r="E957" i="3"/>
  <c r="O323" i="3"/>
  <c r="O324" i="3"/>
  <c r="O134" i="3"/>
  <c r="D949" i="3"/>
  <c r="D135" i="3"/>
  <c r="D64" i="3"/>
  <c r="H1015" i="3"/>
  <c r="H987" i="3"/>
  <c r="AK1106" i="3"/>
  <c r="AK1099" i="3"/>
  <c r="AK1097" i="3"/>
  <c r="AK1095" i="3"/>
  <c r="AK1104" i="3"/>
  <c r="AK1107" i="3"/>
  <c r="AK1105" i="3"/>
  <c r="AK1100" i="3"/>
  <c r="AK1098" i="3"/>
  <c r="AK1096" i="3"/>
  <c r="AK1094" i="3"/>
  <c r="AK1103" i="3"/>
  <c r="AK1102" i="3"/>
  <c r="AK1101" i="3"/>
  <c r="AK1087" i="3"/>
  <c r="AK1085" i="3"/>
  <c r="AK1093" i="3"/>
  <c r="AK1090" i="3"/>
  <c r="AK1092" i="3"/>
  <c r="AK1091" i="3"/>
  <c r="AK1089" i="3"/>
  <c r="AK1088" i="3"/>
  <c r="AK1086" i="3"/>
  <c r="AK1084" i="3"/>
  <c r="E948" i="3"/>
  <c r="C323" i="3"/>
  <c r="C324" i="3"/>
  <c r="C134" i="3"/>
  <c r="H986" i="3"/>
  <c r="H1014" i="3"/>
  <c r="K1017" i="3"/>
  <c r="D952" i="3"/>
  <c r="H135" i="3"/>
  <c r="H64" i="3"/>
  <c r="K1094" i="3"/>
  <c r="AJ1049" i="3"/>
  <c r="AJ1014" i="3"/>
  <c r="I1007" i="3"/>
  <c r="I979" i="3"/>
  <c r="E1006" i="3"/>
  <c r="AR975" i="3"/>
  <c r="E978" i="3"/>
  <c r="AL1017" i="3"/>
  <c r="I956" i="3"/>
  <c r="Q565" i="3"/>
  <c r="R565" i="3" s="1"/>
  <c r="N566" i="3"/>
  <c r="N521" i="3"/>
  <c r="N520" i="3" s="1"/>
  <c r="N519" i="3" s="1"/>
  <c r="N518" i="3" s="1"/>
  <c r="N517" i="3" s="1"/>
  <c r="N516" i="3" s="1"/>
  <c r="N514" i="3"/>
  <c r="E954" i="3"/>
  <c r="K323" i="3"/>
  <c r="K324" i="3"/>
  <c r="K134" i="3"/>
  <c r="K1088" i="3"/>
  <c r="AJ1008" i="3"/>
  <c r="AJ1043" i="3"/>
  <c r="J1013" i="3"/>
  <c r="J1017" i="3" s="1"/>
  <c r="J985" i="3"/>
  <c r="J1092" i="3"/>
  <c r="Z1092" i="3" s="1"/>
  <c r="AI1047" i="3"/>
  <c r="AI1012" i="3"/>
  <c r="AI946" i="3"/>
  <c r="E1009" i="3"/>
  <c r="E981" i="3"/>
  <c r="AR978" i="3"/>
  <c r="I1004" i="3"/>
  <c r="I960" i="3"/>
  <c r="I976" i="3"/>
  <c r="H1005" i="3"/>
  <c r="H977" i="3"/>
  <c r="D955" i="3"/>
  <c r="L135" i="3"/>
  <c r="L64" i="3"/>
  <c r="I1010" i="3"/>
  <c r="I982" i="3"/>
  <c r="K1091" i="3"/>
  <c r="AJ1046" i="3"/>
  <c r="AJ1011" i="3"/>
  <c r="AL1052" i="3"/>
  <c r="L1087" i="3"/>
  <c r="AK1042" i="3"/>
  <c r="AK1007" i="3"/>
  <c r="J1089" i="3"/>
  <c r="Z1089" i="3" s="1"/>
  <c r="AI1044" i="3"/>
  <c r="AI1009" i="3"/>
  <c r="AI943" i="3"/>
  <c r="AK1108" i="3" l="1"/>
  <c r="J1095" i="3"/>
  <c r="Z1095" i="3" s="1"/>
  <c r="AI1015" i="3"/>
  <c r="AI1050" i="3"/>
  <c r="AI949" i="3"/>
  <c r="E953" i="3"/>
  <c r="J324" i="3"/>
  <c r="M322" i="3"/>
  <c r="J323" i="3"/>
  <c r="J134" i="3"/>
  <c r="AK1052" i="3"/>
  <c r="AI1127" i="3"/>
  <c r="AI1128" i="3"/>
  <c r="D984" i="3"/>
  <c r="D1012" i="3"/>
  <c r="AQ981" i="3"/>
  <c r="G1089" i="3"/>
  <c r="AG1009" i="3"/>
  <c r="AG1044" i="3"/>
  <c r="K1087" i="3"/>
  <c r="AJ1042" i="3"/>
  <c r="AJ1007" i="3"/>
  <c r="J1094" i="3"/>
  <c r="Z1094" i="3" s="1"/>
  <c r="AI1049" i="3"/>
  <c r="AI1014" i="3"/>
  <c r="AI948" i="3"/>
  <c r="C949" i="3"/>
  <c r="D29" i="3"/>
  <c r="D65" i="3"/>
  <c r="H1004" i="3"/>
  <c r="H976" i="3"/>
  <c r="D958" i="3"/>
  <c r="P135" i="3"/>
  <c r="P64" i="3"/>
  <c r="J1085" i="3"/>
  <c r="AI1005" i="3"/>
  <c r="AI939" i="3"/>
  <c r="AI1040" i="3"/>
  <c r="D954" i="3"/>
  <c r="K135" i="3"/>
  <c r="K64" i="3"/>
  <c r="I1013" i="3"/>
  <c r="I985" i="3"/>
  <c r="D948" i="3"/>
  <c r="C135" i="3"/>
  <c r="C64" i="3"/>
  <c r="D978" i="3"/>
  <c r="AQ975" i="3"/>
  <c r="D1006" i="3"/>
  <c r="H1010" i="3"/>
  <c r="H982" i="3"/>
  <c r="AJ1106" i="3"/>
  <c r="AJ1104" i="3"/>
  <c r="AJ1102" i="3"/>
  <c r="AJ1107" i="3"/>
  <c r="AJ1105" i="3"/>
  <c r="AJ1101" i="3"/>
  <c r="AJ1095" i="3"/>
  <c r="AJ1089" i="3"/>
  <c r="AJ1100" i="3"/>
  <c r="AJ1099" i="3"/>
  <c r="AJ1098" i="3"/>
  <c r="AJ1087" i="3"/>
  <c r="AJ1085" i="3"/>
  <c r="AJ1093" i="3"/>
  <c r="AJ1090" i="3"/>
  <c r="AJ1096" i="3"/>
  <c r="AJ1094" i="3"/>
  <c r="AJ1088" i="3"/>
  <c r="AJ1086" i="3"/>
  <c r="AJ1084" i="3"/>
  <c r="AJ1103" i="3"/>
  <c r="AJ1092" i="3"/>
  <c r="AJ1091" i="3"/>
  <c r="AJ1097" i="3"/>
  <c r="D957" i="3"/>
  <c r="O135" i="3"/>
  <c r="O64" i="3"/>
  <c r="E1015" i="3"/>
  <c r="E987" i="3"/>
  <c r="AR984" i="3"/>
  <c r="E950" i="3"/>
  <c r="F324" i="3"/>
  <c r="I322" i="3"/>
  <c r="F323" i="3"/>
  <c r="F134" i="3"/>
  <c r="D951" i="3"/>
  <c r="G135" i="3"/>
  <c r="G64" i="3"/>
  <c r="AI1136" i="3"/>
  <c r="AI1137" i="3"/>
  <c r="C952" i="3"/>
  <c r="H65" i="3"/>
  <c r="H29" i="3"/>
  <c r="J1088" i="3"/>
  <c r="Z1088" i="3" s="1"/>
  <c r="AI1043" i="3"/>
  <c r="AI1008" i="3"/>
  <c r="AI942" i="3"/>
  <c r="AI1119" i="3"/>
  <c r="AI1118" i="3"/>
  <c r="K1084" i="3"/>
  <c r="AJ1039" i="3"/>
  <c r="AJ1004" i="3"/>
  <c r="I1017" i="3"/>
  <c r="E1005" i="3"/>
  <c r="E977" i="3"/>
  <c r="AR974" i="3"/>
  <c r="E947" i="3"/>
  <c r="E322" i="3"/>
  <c r="B323" i="3"/>
  <c r="B324" i="3"/>
  <c r="B134" i="3"/>
  <c r="K1090" i="3"/>
  <c r="AJ1010" i="3"/>
  <c r="AJ1045" i="3"/>
  <c r="E1011" i="3"/>
  <c r="E983" i="3"/>
  <c r="AR980" i="3"/>
  <c r="C955" i="3"/>
  <c r="L29" i="3"/>
  <c r="L65" i="3"/>
  <c r="L1093" i="3"/>
  <c r="AK1048" i="3"/>
  <c r="AK1013" i="3"/>
  <c r="AK1017" i="3" s="1"/>
  <c r="H956" i="3"/>
  <c r="H960" i="3" s="1"/>
  <c r="N515" i="3"/>
  <c r="Q514" i="3"/>
  <c r="R514" i="3" s="1"/>
  <c r="N322" i="3"/>
  <c r="G1086" i="3"/>
  <c r="AG1041" i="3"/>
  <c r="AG1006" i="3"/>
  <c r="D1009" i="3"/>
  <c r="D981" i="3"/>
  <c r="AQ978" i="3"/>
  <c r="E986" i="3"/>
  <c r="E1014" i="3"/>
  <c r="AR983" i="3"/>
  <c r="G1092" i="3"/>
  <c r="AG1012" i="3"/>
  <c r="AG1047" i="3"/>
  <c r="H1007" i="3"/>
  <c r="H979" i="3"/>
  <c r="E1008" i="3"/>
  <c r="E980" i="3"/>
  <c r="AR977" i="3"/>
  <c r="J1091" i="3"/>
  <c r="Z1091" i="3" s="1"/>
  <c r="AI1011" i="3"/>
  <c r="AI1046" i="3"/>
  <c r="AI945" i="3"/>
  <c r="AJ1108" i="3" l="1"/>
  <c r="J1087" i="3"/>
  <c r="Z1087" i="3" s="1"/>
  <c r="AI1007" i="3"/>
  <c r="AI941" i="3"/>
  <c r="AI1042" i="3"/>
  <c r="C1006" i="3"/>
  <c r="C978" i="3"/>
  <c r="AP975" i="3"/>
  <c r="AG1043" i="3"/>
  <c r="G1088" i="3"/>
  <c r="AG1008" i="3"/>
  <c r="B952" i="3"/>
  <c r="H30" i="3"/>
  <c r="H19" i="3"/>
  <c r="H20" i="3" s="1"/>
  <c r="D950" i="3"/>
  <c r="I134" i="3"/>
  <c r="F135" i="3"/>
  <c r="F64" i="3"/>
  <c r="C957" i="3"/>
  <c r="O65" i="3"/>
  <c r="O29" i="3"/>
  <c r="C948" i="3"/>
  <c r="C65" i="3"/>
  <c r="C29" i="3"/>
  <c r="F1092" i="3"/>
  <c r="AF1012" i="3"/>
  <c r="AF1047" i="3"/>
  <c r="G1091" i="3"/>
  <c r="AG1011" i="3"/>
  <c r="AG1046" i="3"/>
  <c r="E1004" i="3"/>
  <c r="E976" i="3"/>
  <c r="AR973" i="3"/>
  <c r="C1009" i="3"/>
  <c r="C981" i="3"/>
  <c r="AP978" i="3"/>
  <c r="D1014" i="3"/>
  <c r="D986" i="3"/>
  <c r="AQ983" i="3"/>
  <c r="D977" i="3"/>
  <c r="D1005" i="3"/>
  <c r="AQ974" i="3"/>
  <c r="J1084" i="3"/>
  <c r="Z1084" i="3" s="1"/>
  <c r="AI1039" i="3"/>
  <c r="AI1004" i="3"/>
  <c r="AI938" i="3"/>
  <c r="AI1142" i="3"/>
  <c r="AI1143" i="3"/>
  <c r="AI1101" i="3"/>
  <c r="AI1106" i="3"/>
  <c r="AI1099" i="3"/>
  <c r="AI1097" i="3"/>
  <c r="AI1095" i="3"/>
  <c r="AI1093" i="3"/>
  <c r="AI1104" i="3"/>
  <c r="AI1102" i="3"/>
  <c r="AI1103" i="3"/>
  <c r="Z1085" i="3"/>
  <c r="AI1107" i="3"/>
  <c r="AI1089" i="3"/>
  <c r="AI1100" i="3"/>
  <c r="AI1098" i="3"/>
  <c r="AI1087" i="3"/>
  <c r="AI1085" i="3"/>
  <c r="AI1105" i="3"/>
  <c r="AI1096" i="3"/>
  <c r="AI1094" i="3"/>
  <c r="AI1084" i="3"/>
  <c r="AI1092" i="3"/>
  <c r="AI1091" i="3"/>
  <c r="AI1088" i="3"/>
  <c r="AI1086" i="3"/>
  <c r="AI1090" i="3"/>
  <c r="E982" i="3"/>
  <c r="AR979" i="3"/>
  <c r="E1010" i="3"/>
  <c r="F1089" i="3"/>
  <c r="AF1044" i="3"/>
  <c r="AF1009" i="3"/>
  <c r="AI1133" i="3"/>
  <c r="AI1134" i="3"/>
  <c r="E1007" i="3"/>
  <c r="E979" i="3"/>
  <c r="AR976" i="3"/>
  <c r="J1090" i="3"/>
  <c r="Z1090" i="3" s="1"/>
  <c r="AI1045" i="3"/>
  <c r="AI1010" i="3"/>
  <c r="AI944" i="3"/>
  <c r="AJ1048" i="3"/>
  <c r="AJ1052" i="3" s="1"/>
  <c r="K1093" i="3"/>
  <c r="AJ1013" i="3"/>
  <c r="B949" i="3"/>
  <c r="D30" i="3"/>
  <c r="D19" i="3"/>
  <c r="D20" i="3" s="1"/>
  <c r="H1013" i="3"/>
  <c r="H1017" i="3" s="1"/>
  <c r="H985" i="3"/>
  <c r="G1085" i="3"/>
  <c r="AG1040" i="3"/>
  <c r="AG1005" i="3"/>
  <c r="C951" i="3"/>
  <c r="G65" i="3"/>
  <c r="G29" i="3"/>
  <c r="F1086" i="3"/>
  <c r="AF1041" i="3"/>
  <c r="AF1006" i="3"/>
  <c r="C954" i="3"/>
  <c r="K65" i="3"/>
  <c r="K29" i="3"/>
  <c r="C958" i="3"/>
  <c r="P65" i="3"/>
  <c r="P29" i="3"/>
  <c r="G1094" i="3"/>
  <c r="AG1014" i="3"/>
  <c r="AG1049" i="3"/>
  <c r="E956" i="3"/>
  <c r="N323" i="3"/>
  <c r="Q322" i="3"/>
  <c r="R322" i="3" s="1"/>
  <c r="N324" i="3"/>
  <c r="N134" i="3"/>
  <c r="B955" i="3"/>
  <c r="L30" i="3"/>
  <c r="L19" i="3"/>
  <c r="L20" i="3" s="1"/>
  <c r="D947" i="3"/>
  <c r="E134" i="3"/>
  <c r="B135" i="3"/>
  <c r="B64" i="3"/>
  <c r="C1012" i="3"/>
  <c r="C984" i="3"/>
  <c r="AP981" i="3"/>
  <c r="AJ1017" i="3"/>
  <c r="AI1124" i="3"/>
  <c r="AI1125" i="3"/>
  <c r="D1008" i="3"/>
  <c r="D980" i="3"/>
  <c r="AQ977" i="3"/>
  <c r="G1095" i="3"/>
  <c r="AG1015" i="3"/>
  <c r="AG1050" i="3"/>
  <c r="D1011" i="3"/>
  <c r="AQ980" i="3"/>
  <c r="D983" i="3"/>
  <c r="D1015" i="3"/>
  <c r="D987" i="3"/>
  <c r="AQ984" i="3"/>
  <c r="D953" i="3"/>
  <c r="M134" i="3"/>
  <c r="J135" i="3"/>
  <c r="J64" i="3"/>
  <c r="AI1145" i="3"/>
  <c r="AI1146" i="3"/>
  <c r="AI1108" i="3" l="1"/>
  <c r="C947" i="3"/>
  <c r="B65" i="3"/>
  <c r="E64" i="3"/>
  <c r="B29" i="3"/>
  <c r="F1088" i="3"/>
  <c r="AF1008" i="3"/>
  <c r="AF1043" i="3"/>
  <c r="AP984" i="3"/>
  <c r="C1015" i="3"/>
  <c r="C987" i="3"/>
  <c r="AI1130" i="3"/>
  <c r="AI1131" i="3"/>
  <c r="G1084" i="3"/>
  <c r="AG1004" i="3"/>
  <c r="AG1039" i="3"/>
  <c r="B948" i="3"/>
  <c r="C19" i="3"/>
  <c r="C20" i="3" s="1"/>
  <c r="C30" i="3"/>
  <c r="B954" i="3"/>
  <c r="K19" i="3"/>
  <c r="K20" i="3" s="1"/>
  <c r="K30" i="3"/>
  <c r="C1008" i="3"/>
  <c r="AP977" i="3"/>
  <c r="C980" i="3"/>
  <c r="B978" i="3"/>
  <c r="AG940" i="3"/>
  <c r="AH940" i="3" s="1"/>
  <c r="AJ940" i="3" s="1"/>
  <c r="AL940" i="3" s="1"/>
  <c r="B1006" i="3"/>
  <c r="AO975" i="3"/>
  <c r="AT975" i="3" s="1"/>
  <c r="AN940" i="3"/>
  <c r="G1090" i="3"/>
  <c r="AG1045" i="3"/>
  <c r="AG1010" i="3"/>
  <c r="F1094" i="3"/>
  <c r="AF1049" i="3"/>
  <c r="AF1014" i="3"/>
  <c r="D979" i="3"/>
  <c r="AQ976" i="3"/>
  <c r="D1007" i="3"/>
  <c r="F1091" i="3"/>
  <c r="AF1046" i="3"/>
  <c r="AF1011" i="3"/>
  <c r="D976" i="3"/>
  <c r="AQ973" i="3"/>
  <c r="D1004" i="3"/>
  <c r="E985" i="3"/>
  <c r="E1013" i="3"/>
  <c r="E1017" i="3" s="1"/>
  <c r="AR982" i="3"/>
  <c r="C1005" i="3"/>
  <c r="C977" i="3"/>
  <c r="AP974" i="3"/>
  <c r="AP980" i="3"/>
  <c r="C1011" i="3"/>
  <c r="C983" i="3"/>
  <c r="G1087" i="3"/>
  <c r="AG1042" i="3"/>
  <c r="AG1007" i="3"/>
  <c r="AI1116" i="3"/>
  <c r="AI1115" i="3"/>
  <c r="AI1112" i="3"/>
  <c r="AI1113" i="3"/>
  <c r="B957" i="3"/>
  <c r="O30" i="3"/>
  <c r="O19" i="3"/>
  <c r="O20" i="3" s="1"/>
  <c r="E1086" i="3"/>
  <c r="AE1041" i="3"/>
  <c r="AE1006" i="3"/>
  <c r="C953" i="3"/>
  <c r="M64" i="3"/>
  <c r="J65" i="3"/>
  <c r="J29" i="3"/>
  <c r="D1010" i="3"/>
  <c r="D982" i="3"/>
  <c r="AQ979" i="3"/>
  <c r="AG1107" i="3"/>
  <c r="AG1105" i="3"/>
  <c r="AG1100" i="3"/>
  <c r="AG1098" i="3"/>
  <c r="AG1096" i="3"/>
  <c r="AG1094" i="3"/>
  <c r="AG1103" i="3"/>
  <c r="AG1101" i="3"/>
  <c r="AG1106" i="3"/>
  <c r="AG1099" i="3"/>
  <c r="AG1097" i="3"/>
  <c r="AG1095" i="3"/>
  <c r="AG1093" i="3"/>
  <c r="AG1104" i="3"/>
  <c r="AG1088" i="3"/>
  <c r="AG1086" i="3"/>
  <c r="AG1084" i="3"/>
  <c r="AG1102" i="3"/>
  <c r="AG1092" i="3"/>
  <c r="AG1091" i="3"/>
  <c r="AG1089" i="3"/>
  <c r="AG1085" i="3"/>
  <c r="AG1090" i="3"/>
  <c r="AG1087" i="3"/>
  <c r="E1089" i="3"/>
  <c r="AE1009" i="3"/>
  <c r="AE1044" i="3"/>
  <c r="B1009" i="3"/>
  <c r="B981" i="3"/>
  <c r="AO978" i="3"/>
  <c r="AT978" i="3" s="1"/>
  <c r="AG943" i="3"/>
  <c r="AH943" i="3" s="1"/>
  <c r="AJ943" i="3" s="1"/>
  <c r="AL943" i="3" s="1"/>
  <c r="AN943" i="3"/>
  <c r="B1012" i="3"/>
  <c r="B984" i="3"/>
  <c r="AN946" i="3"/>
  <c r="AO981" i="3"/>
  <c r="AT981" i="3" s="1"/>
  <c r="AG946" i="3"/>
  <c r="AH946" i="3" s="1"/>
  <c r="AJ946" i="3" s="1"/>
  <c r="AL946" i="3" s="1"/>
  <c r="F1085" i="3"/>
  <c r="AF1040" i="3"/>
  <c r="AF1005" i="3"/>
  <c r="E960" i="3"/>
  <c r="AP983" i="3"/>
  <c r="C986" i="3"/>
  <c r="C1014" i="3"/>
  <c r="F1095" i="3"/>
  <c r="AF1050" i="3"/>
  <c r="AF1015" i="3"/>
  <c r="E1092" i="3"/>
  <c r="AE1012" i="3"/>
  <c r="AE1047" i="3"/>
  <c r="D956" i="3"/>
  <c r="D960" i="3" s="1"/>
  <c r="Q134" i="3"/>
  <c r="R134" i="3" s="1"/>
  <c r="N135" i="3"/>
  <c r="N64" i="3"/>
  <c r="B958" i="3"/>
  <c r="P19" i="3"/>
  <c r="P20" i="3" s="1"/>
  <c r="P30" i="3"/>
  <c r="J1093" i="3"/>
  <c r="Z1093" i="3" s="1"/>
  <c r="AI1048" i="3"/>
  <c r="AI1052" i="3" s="1"/>
  <c r="AI1013" i="3"/>
  <c r="AI1017" i="3" s="1"/>
  <c r="AI947" i="3"/>
  <c r="AR986" i="3"/>
  <c r="C950" i="3"/>
  <c r="F65" i="3"/>
  <c r="F29" i="3"/>
  <c r="I64" i="3"/>
  <c r="B951" i="3"/>
  <c r="G30" i="3"/>
  <c r="G19" i="3"/>
  <c r="G20" i="3" s="1"/>
  <c r="AI951" i="3"/>
  <c r="AI1121" i="3"/>
  <c r="AI1122" i="3"/>
  <c r="AG1108" i="3" l="1"/>
  <c r="AI1139" i="3"/>
  <c r="AI1140" i="3"/>
  <c r="C1010" i="3"/>
  <c r="C982" i="3"/>
  <c r="AP979" i="3"/>
  <c r="F1084" i="3"/>
  <c r="AF1004" i="3"/>
  <c r="AF1039" i="3"/>
  <c r="AD1047" i="3"/>
  <c r="AS1047" i="3" s="1"/>
  <c r="R1012" i="3"/>
  <c r="B1040" i="3" s="1"/>
  <c r="AD1012" i="3"/>
  <c r="AS1012" i="3" s="1"/>
  <c r="R1119" i="3"/>
  <c r="T1089" i="3"/>
  <c r="V1089" i="3"/>
  <c r="AF1127" i="3" s="1"/>
  <c r="W1089" i="3"/>
  <c r="AF1128" i="3" s="1"/>
  <c r="U1089" i="3"/>
  <c r="V1092" i="3"/>
  <c r="AF1136" i="3" s="1"/>
  <c r="T1092" i="3"/>
  <c r="U1092" i="3"/>
  <c r="W1092" i="3"/>
  <c r="AF1137" i="3" s="1"/>
  <c r="AD1041" i="3"/>
  <c r="AS1041" i="3" s="1"/>
  <c r="AD1006" i="3"/>
  <c r="AS1006" i="3" s="1"/>
  <c r="R1006" i="3"/>
  <c r="B1034" i="3" s="1"/>
  <c r="R1113" i="3"/>
  <c r="B1011" i="3"/>
  <c r="AO980" i="3"/>
  <c r="AT980" i="3" s="1"/>
  <c r="B983" i="3"/>
  <c r="AG945" i="3"/>
  <c r="AH945" i="3" s="1"/>
  <c r="AJ945" i="3" s="1"/>
  <c r="AL945" i="3" s="1"/>
  <c r="AN945" i="3"/>
  <c r="U1086" i="3"/>
  <c r="W1086" i="3"/>
  <c r="AF1119" i="3" s="1"/>
  <c r="V1086" i="3"/>
  <c r="AF1118" i="3" s="1"/>
  <c r="T1086" i="3"/>
  <c r="E1085" i="3"/>
  <c r="AE1040" i="3"/>
  <c r="AE1005" i="3"/>
  <c r="C956" i="3"/>
  <c r="Q64" i="3"/>
  <c r="N65" i="3"/>
  <c r="N29" i="3"/>
  <c r="AF1107" i="3"/>
  <c r="AF1105" i="3"/>
  <c r="AF1103" i="3"/>
  <c r="AF1101" i="3"/>
  <c r="AF1106" i="3"/>
  <c r="AF1096" i="3"/>
  <c r="AF1094" i="3"/>
  <c r="AF1095" i="3"/>
  <c r="AF1088" i="3"/>
  <c r="AF1086" i="3"/>
  <c r="AF1084" i="3"/>
  <c r="AF1104" i="3"/>
  <c r="AF1102" i="3"/>
  <c r="AF1099" i="3"/>
  <c r="AF1092" i="3"/>
  <c r="AF1091" i="3"/>
  <c r="AF1100" i="3"/>
  <c r="AF1093" i="3"/>
  <c r="AF1097" i="3"/>
  <c r="AF1087" i="3"/>
  <c r="AF1085" i="3"/>
  <c r="AF1089" i="3"/>
  <c r="AF1098" i="3"/>
  <c r="AF1090" i="3"/>
  <c r="F1090" i="3"/>
  <c r="AF1045" i="3"/>
  <c r="AF1010" i="3"/>
  <c r="B947" i="3"/>
  <c r="E29" i="3"/>
  <c r="B19" i="3"/>
  <c r="B30" i="3"/>
  <c r="B950" i="3"/>
  <c r="I29" i="3"/>
  <c r="F30" i="3"/>
  <c r="F19" i="3"/>
  <c r="B1015" i="3"/>
  <c r="AO984" i="3"/>
  <c r="AT984" i="3" s="1"/>
  <c r="AG949" i="3"/>
  <c r="AH949" i="3" s="1"/>
  <c r="AJ949" i="3" s="1"/>
  <c r="AL949" i="3" s="1"/>
  <c r="B987" i="3"/>
  <c r="AN949" i="3"/>
  <c r="B953" i="3"/>
  <c r="J30" i="3"/>
  <c r="M29" i="3"/>
  <c r="J19" i="3"/>
  <c r="R64" i="3"/>
  <c r="C1007" i="3"/>
  <c r="C979" i="3"/>
  <c r="AP976" i="3"/>
  <c r="E1094" i="3"/>
  <c r="AE1049" i="3"/>
  <c r="AE1014" i="3"/>
  <c r="AD1044" i="3"/>
  <c r="AS1044" i="3" s="1"/>
  <c r="AD1009" i="3"/>
  <c r="AS1009" i="3" s="1"/>
  <c r="R1009" i="3"/>
  <c r="B1037" i="3" s="1"/>
  <c r="R1116" i="3"/>
  <c r="B1014" i="3"/>
  <c r="AO983" i="3"/>
  <c r="AT983" i="3" s="1"/>
  <c r="B986" i="3"/>
  <c r="AN948" i="3"/>
  <c r="AG948" i="3"/>
  <c r="AH948" i="3" s="1"/>
  <c r="AJ948" i="3" s="1"/>
  <c r="AL948" i="3" s="1"/>
  <c r="G1093" i="3"/>
  <c r="AG1048" i="3"/>
  <c r="AG1013" i="3"/>
  <c r="AG1017" i="3" s="1"/>
  <c r="AO974" i="3"/>
  <c r="AT974" i="3" s="1"/>
  <c r="AG939" i="3"/>
  <c r="AH939" i="3" s="1"/>
  <c r="AJ939" i="3" s="1"/>
  <c r="AL939" i="3" s="1"/>
  <c r="B1005" i="3"/>
  <c r="B977" i="3"/>
  <c r="AN939" i="3"/>
  <c r="B980" i="3"/>
  <c r="AO977" i="3"/>
  <c r="AT977" i="3" s="1"/>
  <c r="B1008" i="3"/>
  <c r="AN942" i="3"/>
  <c r="AG942" i="3"/>
  <c r="AH942" i="3" s="1"/>
  <c r="AJ942" i="3" s="1"/>
  <c r="AL942" i="3" s="1"/>
  <c r="D1013" i="3"/>
  <c r="D985" i="3"/>
  <c r="AQ982" i="3"/>
  <c r="AQ986" i="3" s="1"/>
  <c r="E1091" i="3"/>
  <c r="AE1046" i="3"/>
  <c r="AE1011" i="3"/>
  <c r="AF1042" i="3"/>
  <c r="AF1007" i="3"/>
  <c r="F1087" i="3"/>
  <c r="E1088" i="3"/>
  <c r="AE1008" i="3"/>
  <c r="AE1043" i="3"/>
  <c r="AG1052" i="3"/>
  <c r="E1095" i="3"/>
  <c r="AE1015" i="3"/>
  <c r="AE1050" i="3"/>
  <c r="C1004" i="3"/>
  <c r="C960" i="3"/>
  <c r="C976" i="3"/>
  <c r="AP973" i="3"/>
  <c r="AF1108" i="3" l="1"/>
  <c r="V1091" i="3"/>
  <c r="AF1133" i="3" s="1"/>
  <c r="T1091" i="3"/>
  <c r="W1091" i="3"/>
  <c r="AF1134" i="3" s="1"/>
  <c r="U1091" i="3"/>
  <c r="AU1009" i="3"/>
  <c r="D1037" i="3"/>
  <c r="C1013" i="3"/>
  <c r="AP982" i="3"/>
  <c r="AP986" i="3" s="1"/>
  <c r="C985" i="3"/>
  <c r="J20" i="3"/>
  <c r="M20" i="3" s="1"/>
  <c r="M19" i="3"/>
  <c r="AD1050" i="3"/>
  <c r="AS1050" i="3" s="1"/>
  <c r="AD1015" i="3"/>
  <c r="AS1015" i="3" s="1"/>
  <c r="R1015" i="3"/>
  <c r="B1043" i="3" s="1"/>
  <c r="R1122" i="3"/>
  <c r="B1004" i="3"/>
  <c r="B976" i="3"/>
  <c r="AO973" i="3"/>
  <c r="AN938" i="3"/>
  <c r="AG938" i="3"/>
  <c r="U1088" i="3"/>
  <c r="W1088" i="3"/>
  <c r="AF1125" i="3" s="1"/>
  <c r="V1088" i="3"/>
  <c r="AF1124" i="3" s="1"/>
  <c r="T1088" i="3"/>
  <c r="I19" i="3"/>
  <c r="F20" i="3"/>
  <c r="I20" i="3" s="1"/>
  <c r="F1093" i="3"/>
  <c r="AF1048" i="3"/>
  <c r="AF1052" i="3" s="1"/>
  <c r="AF1013" i="3"/>
  <c r="AF1017" i="3" s="1"/>
  <c r="AD1005" i="3"/>
  <c r="AS1005" i="3" s="1"/>
  <c r="R1005" i="3"/>
  <c r="B1033" i="3" s="1"/>
  <c r="AD1040" i="3"/>
  <c r="AS1040" i="3" s="1"/>
  <c r="R1112" i="3"/>
  <c r="AE1107" i="3"/>
  <c r="AS1107" i="3" s="1"/>
  <c r="AE1105" i="3"/>
  <c r="AS1105" i="3" s="1"/>
  <c r="AE1100" i="3"/>
  <c r="AS1100" i="3" s="1"/>
  <c r="AE1098" i="3"/>
  <c r="AS1098" i="3" s="1"/>
  <c r="AE1096" i="3"/>
  <c r="AS1096" i="3" s="1"/>
  <c r="AE1094" i="3"/>
  <c r="AS1094" i="3" s="1"/>
  <c r="AE1092" i="3"/>
  <c r="AS1092" i="3" s="1"/>
  <c r="AE1103" i="3"/>
  <c r="AS1103" i="3" s="1"/>
  <c r="AE1101" i="3"/>
  <c r="AS1101" i="3" s="1"/>
  <c r="AE1104" i="3"/>
  <c r="AS1104" i="3" s="1"/>
  <c r="AE1102" i="3"/>
  <c r="AS1102" i="3" s="1"/>
  <c r="AE1090" i="3"/>
  <c r="AS1090" i="3" s="1"/>
  <c r="AE1095" i="3"/>
  <c r="AS1095" i="3" s="1"/>
  <c r="AE1088" i="3"/>
  <c r="AS1088" i="3" s="1"/>
  <c r="AE1086" i="3"/>
  <c r="AS1086" i="3" s="1"/>
  <c r="AE1084" i="3"/>
  <c r="AE1099" i="3"/>
  <c r="AS1099" i="3" s="1"/>
  <c r="AE1091" i="3"/>
  <c r="AS1091" i="3" s="1"/>
  <c r="AE1089" i="3"/>
  <c r="AS1089" i="3" s="1"/>
  <c r="AE1097" i="3"/>
  <c r="AS1097" i="3" s="1"/>
  <c r="AE1093" i="3"/>
  <c r="AS1093" i="3" s="1"/>
  <c r="AE1085" i="3"/>
  <c r="AS1085" i="3" s="1"/>
  <c r="T1085" i="3"/>
  <c r="AE1087" i="3"/>
  <c r="AS1087" i="3" s="1"/>
  <c r="AE1106" i="3"/>
  <c r="AS1106" i="3" s="1"/>
  <c r="U1085" i="3"/>
  <c r="V1085" i="3"/>
  <c r="AF1115" i="3" s="1"/>
  <c r="W1085" i="3"/>
  <c r="AF1116" i="3" s="1"/>
  <c r="D1040" i="3"/>
  <c r="AU1012" i="3"/>
  <c r="V1094" i="3"/>
  <c r="AF1142" i="3" s="1"/>
  <c r="W1094" i="3"/>
  <c r="AF1143" i="3" s="1"/>
  <c r="U1094" i="3"/>
  <c r="T1094" i="3"/>
  <c r="B1010" i="3"/>
  <c r="AG944" i="3"/>
  <c r="AH944" i="3" s="1"/>
  <c r="AJ944" i="3" s="1"/>
  <c r="AL944" i="3" s="1"/>
  <c r="AO979" i="3"/>
  <c r="AT979" i="3" s="1"/>
  <c r="AN944" i="3"/>
  <c r="B982" i="3"/>
  <c r="AD1046" i="3"/>
  <c r="AS1046" i="3" s="1"/>
  <c r="R1011" i="3"/>
  <c r="B1039" i="3" s="1"/>
  <c r="AD1011" i="3"/>
  <c r="AS1011" i="3" s="1"/>
  <c r="R1118" i="3"/>
  <c r="B1067" i="3"/>
  <c r="C1040" i="3"/>
  <c r="C1067" i="3" s="1"/>
  <c r="E1084" i="3"/>
  <c r="AE1039" i="3"/>
  <c r="C1017" i="3"/>
  <c r="AE1004" i="3"/>
  <c r="AD1049" i="3"/>
  <c r="AS1049" i="3" s="1"/>
  <c r="R1014" i="3"/>
  <c r="B1042" i="3" s="1"/>
  <c r="AD1014" i="3"/>
  <c r="AS1014" i="3" s="1"/>
  <c r="R1121" i="3"/>
  <c r="B1007" i="3"/>
  <c r="B979" i="3"/>
  <c r="AO976" i="3"/>
  <c r="AT976" i="3" s="1"/>
  <c r="AG941" i="3"/>
  <c r="AH941" i="3" s="1"/>
  <c r="AJ941" i="3" s="1"/>
  <c r="AL941" i="3" s="1"/>
  <c r="AN941" i="3"/>
  <c r="B956" i="3"/>
  <c r="B960" i="3" s="1"/>
  <c r="Q29" i="3"/>
  <c r="R29" i="3" s="1"/>
  <c r="N30" i="3"/>
  <c r="N19" i="3"/>
  <c r="AE1045" i="3"/>
  <c r="AE1010" i="3"/>
  <c r="E1090" i="3"/>
  <c r="W1095" i="3"/>
  <c r="AF1146" i="3" s="1"/>
  <c r="V1095" i="3"/>
  <c r="AF1145" i="3" s="1"/>
  <c r="T1095" i="3"/>
  <c r="U1095" i="3"/>
  <c r="AD1043" i="3"/>
  <c r="AS1043" i="3" s="1"/>
  <c r="AD1008" i="3"/>
  <c r="AS1008" i="3" s="1"/>
  <c r="R1008" i="3"/>
  <c r="B1036" i="3" s="1"/>
  <c r="R1115" i="3"/>
  <c r="B1061" i="3"/>
  <c r="C1034" i="3"/>
  <c r="C1061" i="3" s="1"/>
  <c r="B1064" i="3"/>
  <c r="C1037" i="3"/>
  <c r="C1064" i="3" s="1"/>
  <c r="E1087" i="3"/>
  <c r="AE1042" i="3"/>
  <c r="AE1007" i="3"/>
  <c r="B20" i="3"/>
  <c r="E20" i="3" s="1"/>
  <c r="E19" i="3"/>
  <c r="AU1006" i="3"/>
  <c r="D1034" i="3"/>
  <c r="D1017" i="3"/>
  <c r="T1090" i="3" l="1"/>
  <c r="V1090" i="3"/>
  <c r="AF1130" i="3" s="1"/>
  <c r="U1090" i="3"/>
  <c r="W1090" i="3"/>
  <c r="AF1131" i="3" s="1"/>
  <c r="D1039" i="3"/>
  <c r="AU1011" i="3"/>
  <c r="AH938" i="3"/>
  <c r="D1043" i="3"/>
  <c r="AU1015" i="3"/>
  <c r="B1063" i="3"/>
  <c r="C1036" i="3"/>
  <c r="C1063" i="3" s="1"/>
  <c r="E1036" i="3"/>
  <c r="E1063" i="3" s="1"/>
  <c r="B1066" i="3"/>
  <c r="C1039" i="3"/>
  <c r="C1066" i="3" s="1"/>
  <c r="D1064" i="3"/>
  <c r="D1036" i="3"/>
  <c r="AU1008" i="3"/>
  <c r="AE1108" i="3"/>
  <c r="AS1084" i="3"/>
  <c r="AT973" i="3"/>
  <c r="T1087" i="3"/>
  <c r="V1087" i="3"/>
  <c r="AF1121" i="3" s="1"/>
  <c r="W1087" i="3"/>
  <c r="AF1122" i="3" s="1"/>
  <c r="U1087" i="3"/>
  <c r="D1061" i="3"/>
  <c r="Q19" i="3"/>
  <c r="N20" i="3"/>
  <c r="Q20" i="3" s="1"/>
  <c r="AD1007" i="3"/>
  <c r="AS1007" i="3" s="1"/>
  <c r="R1007" i="3"/>
  <c r="B1035" i="3" s="1"/>
  <c r="AD1042" i="3"/>
  <c r="AS1042" i="3" s="1"/>
  <c r="R1114" i="3"/>
  <c r="U1084" i="3"/>
  <c r="W1084" i="3"/>
  <c r="AF1113" i="3" s="1"/>
  <c r="V1084" i="3"/>
  <c r="AF1112" i="3" s="1"/>
  <c r="T1084" i="3"/>
  <c r="E1037" i="3"/>
  <c r="E1064" i="3" s="1"/>
  <c r="B1060" i="3"/>
  <c r="C1033" i="3"/>
  <c r="C1060" i="3" s="1"/>
  <c r="D1042" i="3"/>
  <c r="AU1014" i="3"/>
  <c r="E1040" i="3"/>
  <c r="E1067" i="3" s="1"/>
  <c r="D1067" i="3"/>
  <c r="AU1005" i="3"/>
  <c r="D1033" i="3"/>
  <c r="AD1039" i="3"/>
  <c r="B1017" i="3"/>
  <c r="R1123" i="3" s="1"/>
  <c r="AD1004" i="3"/>
  <c r="R1004" i="3"/>
  <c r="R1111" i="3"/>
  <c r="R20" i="3"/>
  <c r="E1034" i="3"/>
  <c r="E1061" i="3" s="1"/>
  <c r="B1013" i="3"/>
  <c r="AN947" i="3"/>
  <c r="AO982" i="3"/>
  <c r="AT982" i="3" s="1"/>
  <c r="B985" i="3"/>
  <c r="AG947" i="3"/>
  <c r="AH947" i="3" s="1"/>
  <c r="AJ947" i="3" s="1"/>
  <c r="AL947" i="3" s="1"/>
  <c r="B1069" i="3"/>
  <c r="E1042" i="3"/>
  <c r="E1069" i="3" s="1"/>
  <c r="C1042" i="3"/>
  <c r="C1069" i="3" s="1"/>
  <c r="R19" i="3"/>
  <c r="AD1045" i="3"/>
  <c r="AS1045" i="3" s="1"/>
  <c r="AD1010" i="3"/>
  <c r="AS1010" i="3" s="1"/>
  <c r="R1010" i="3"/>
  <c r="B1038" i="3" s="1"/>
  <c r="R1117" i="3"/>
  <c r="C1043" i="3"/>
  <c r="C1070" i="3" s="1"/>
  <c r="B1070" i="3"/>
  <c r="E1043" i="3"/>
  <c r="E1070" i="3" s="1"/>
  <c r="E1093" i="3"/>
  <c r="AE1013" i="3"/>
  <c r="AE1017" i="3" s="1"/>
  <c r="AE1048" i="3"/>
  <c r="AE1052" i="3" s="1"/>
  <c r="M1040" i="3" l="1"/>
  <c r="B1062" i="3"/>
  <c r="C1035" i="3"/>
  <c r="C1062" i="3" s="1"/>
  <c r="D1070" i="3"/>
  <c r="M1043" i="3"/>
  <c r="F1043" i="3"/>
  <c r="AU1007" i="3"/>
  <c r="D1035" i="3"/>
  <c r="AH951" i="3"/>
  <c r="AJ938" i="3"/>
  <c r="B1032" i="3"/>
  <c r="E1039" i="3"/>
  <c r="E1066" i="3" s="1"/>
  <c r="AG951" i="3"/>
  <c r="D1066" i="3"/>
  <c r="AS1004" i="3"/>
  <c r="D1069" i="3"/>
  <c r="F1042" i="3"/>
  <c r="M1042" i="3"/>
  <c r="AT986" i="3"/>
  <c r="F1034" i="3"/>
  <c r="AO986" i="3"/>
  <c r="B1065" i="3"/>
  <c r="C1038" i="3"/>
  <c r="C1065" i="3" s="1"/>
  <c r="E1038" i="3"/>
  <c r="E1065" i="3" s="1"/>
  <c r="AD1052" i="3"/>
  <c r="AS1039" i="3"/>
  <c r="AS1052" i="3" s="1"/>
  <c r="M1034" i="3"/>
  <c r="D1063" i="3"/>
  <c r="F1036" i="3"/>
  <c r="M1036" i="3"/>
  <c r="T1093" i="3"/>
  <c r="V1093" i="3"/>
  <c r="AF1139" i="3" s="1"/>
  <c r="W1093" i="3"/>
  <c r="AF1140" i="3" s="1"/>
  <c r="U1093" i="3"/>
  <c r="AU1010" i="3"/>
  <c r="D1038" i="3"/>
  <c r="AD1048" i="3"/>
  <c r="AS1048" i="3" s="1"/>
  <c r="AD1013" i="3"/>
  <c r="AS1013" i="3" s="1"/>
  <c r="R1013" i="3"/>
  <c r="B1041" i="3" s="1"/>
  <c r="R1120" i="3"/>
  <c r="D1060" i="3"/>
  <c r="F1033" i="3"/>
  <c r="M1033" i="3"/>
  <c r="E1033" i="3"/>
  <c r="E1060" i="3" s="1"/>
  <c r="M1037" i="3"/>
  <c r="F1040" i="3"/>
  <c r="AS1108" i="3"/>
  <c r="AT1084" i="3"/>
  <c r="F1037" i="3"/>
  <c r="M1060" i="3" l="1"/>
  <c r="O1033" i="3"/>
  <c r="M1061" i="3"/>
  <c r="O1034" i="3"/>
  <c r="M1069" i="3"/>
  <c r="O1042" i="3"/>
  <c r="F1070" i="3"/>
  <c r="F1069" i="3"/>
  <c r="M1070" i="3"/>
  <c r="O1043" i="3"/>
  <c r="F1060" i="3"/>
  <c r="B1045" i="3"/>
  <c r="C1032" i="3"/>
  <c r="B1059" i="3"/>
  <c r="C1041" i="3"/>
  <c r="C1068" i="3" s="1"/>
  <c r="B1068" i="3"/>
  <c r="AD1017" i="3"/>
  <c r="R1017" i="3"/>
  <c r="D1041" i="3"/>
  <c r="AU1013" i="3"/>
  <c r="M1063" i="3"/>
  <c r="O1036" i="3"/>
  <c r="D1032" i="3"/>
  <c r="AS1017" i="3"/>
  <c r="AU1004" i="3"/>
  <c r="AJ951" i="3"/>
  <c r="AL938" i="3"/>
  <c r="AL951" i="3" s="1"/>
  <c r="E1035" i="3"/>
  <c r="E1062" i="3" s="1"/>
  <c r="F1064" i="3"/>
  <c r="AT1091" i="3"/>
  <c r="AU1091" i="3" s="1"/>
  <c r="AT1106" i="3"/>
  <c r="AU1106" i="3" s="1"/>
  <c r="AT1094" i="3"/>
  <c r="AU1094" i="3" s="1"/>
  <c r="AT1092" i="3"/>
  <c r="AU1092" i="3" s="1"/>
  <c r="AT1100" i="3"/>
  <c r="AU1100" i="3" s="1"/>
  <c r="AT1104" i="3"/>
  <c r="AU1104" i="3" s="1"/>
  <c r="AT1099" i="3"/>
  <c r="AU1099" i="3" s="1"/>
  <c r="AT1103" i="3"/>
  <c r="AU1103" i="3" s="1"/>
  <c r="AT1097" i="3"/>
  <c r="AU1097" i="3" s="1"/>
  <c r="AT1098" i="3"/>
  <c r="AU1098" i="3" s="1"/>
  <c r="AT1093" i="3"/>
  <c r="AU1093" i="3" s="1"/>
  <c r="AT1105" i="3"/>
  <c r="AU1105" i="3" s="1"/>
  <c r="AT1101" i="3"/>
  <c r="AU1101" i="3" s="1"/>
  <c r="AT1085" i="3"/>
  <c r="AU1085" i="3" s="1"/>
  <c r="AT1090" i="3"/>
  <c r="AU1090" i="3" s="1"/>
  <c r="AT1095" i="3"/>
  <c r="AU1095" i="3" s="1"/>
  <c r="AT1089" i="3"/>
  <c r="AU1089" i="3" s="1"/>
  <c r="AT1107" i="3"/>
  <c r="AU1107" i="3" s="1"/>
  <c r="AT1087" i="3"/>
  <c r="AU1087" i="3" s="1"/>
  <c r="AT1088" i="3"/>
  <c r="AU1088" i="3" s="1"/>
  <c r="AT1086" i="3"/>
  <c r="AU1086" i="3" s="1"/>
  <c r="AT1096" i="3"/>
  <c r="AU1096" i="3" s="1"/>
  <c r="AT1102" i="3"/>
  <c r="AU1102" i="3" s="1"/>
  <c r="F1067" i="3"/>
  <c r="F1063" i="3"/>
  <c r="F1039" i="3"/>
  <c r="AU1084" i="3"/>
  <c r="M1064" i="3"/>
  <c r="O1037" i="3"/>
  <c r="D1065" i="3"/>
  <c r="F1038" i="3"/>
  <c r="M1038" i="3"/>
  <c r="F1061" i="3"/>
  <c r="M1039" i="3"/>
  <c r="D1062" i="3"/>
  <c r="M1035" i="3"/>
  <c r="F1035" i="3"/>
  <c r="M1067" i="3"/>
  <c r="O1040" i="3"/>
  <c r="AT1108" i="3" l="1"/>
  <c r="M1066" i="3"/>
  <c r="O1039" i="3"/>
  <c r="AU1108" i="3"/>
  <c r="D1068" i="3"/>
  <c r="C1059" i="3"/>
  <c r="C1045" i="3"/>
  <c r="E1045" i="3"/>
  <c r="O1069" i="3"/>
  <c r="Q1042" i="3"/>
  <c r="R1042" i="3" s="1"/>
  <c r="S1042" i="3" s="1"/>
  <c r="M1065" i="3"/>
  <c r="O1038" i="3"/>
  <c r="AU1017" i="3"/>
  <c r="F1066" i="3"/>
  <c r="D1059" i="3"/>
  <c r="D1045" i="3"/>
  <c r="O1070" i="3"/>
  <c r="Q1043" i="3"/>
  <c r="R1043" i="3" s="1"/>
  <c r="S1043" i="3" s="1"/>
  <c r="O1061" i="3"/>
  <c r="Q1034" i="3"/>
  <c r="R1034" i="3" s="1"/>
  <c r="S1034" i="3" s="1"/>
  <c r="F1062" i="3"/>
  <c r="O1063" i="3"/>
  <c r="Q1036" i="3"/>
  <c r="R1036" i="3" s="1"/>
  <c r="S1036" i="3" s="1"/>
  <c r="E1041" i="3"/>
  <c r="E1068" i="3" s="1"/>
  <c r="M1062" i="3"/>
  <c r="O1035" i="3"/>
  <c r="O1064" i="3"/>
  <c r="R1037" i="3"/>
  <c r="S1037" i="3" s="1"/>
  <c r="Q1037" i="3"/>
  <c r="E1032" i="3"/>
  <c r="E1059" i="3" s="1"/>
  <c r="O1060" i="3"/>
  <c r="AW1099" i="3"/>
  <c r="AX1099" i="3" s="1"/>
  <c r="R1033" i="3"/>
  <c r="S1033" i="3" s="1"/>
  <c r="Q1033" i="3"/>
  <c r="AW1105" i="3"/>
  <c r="AX1105" i="3" s="1"/>
  <c r="AW1094" i="3"/>
  <c r="AX1094" i="3" s="1"/>
  <c r="AW1087" i="3"/>
  <c r="AX1087" i="3" s="1"/>
  <c r="AW1092" i="3"/>
  <c r="AX1092" i="3" s="1"/>
  <c r="AW1103" i="3"/>
  <c r="AX1103" i="3" s="1"/>
  <c r="AW1089" i="3"/>
  <c r="AX1089" i="3" s="1"/>
  <c r="AW1085" i="3"/>
  <c r="AX1085" i="3" s="1"/>
  <c r="AW1104" i="3"/>
  <c r="AW1093" i="3"/>
  <c r="AX1093" i="3" s="1"/>
  <c r="AW1090" i="3"/>
  <c r="AX1090" i="3" s="1"/>
  <c r="AW1106" i="3"/>
  <c r="AX1106" i="3" s="1"/>
  <c r="AW1098" i="3"/>
  <c r="AX1098" i="3" s="1"/>
  <c r="AW1101" i="3"/>
  <c r="AX1101" i="3" s="1"/>
  <c r="AW1088" i="3"/>
  <c r="AX1088" i="3" s="1"/>
  <c r="AW1086" i="3"/>
  <c r="AX1086" i="3" s="1"/>
  <c r="AW1100" i="3"/>
  <c r="AX1100" i="3" s="1"/>
  <c r="AW1102" i="3"/>
  <c r="AX1102" i="3" s="1"/>
  <c r="AW1107" i="3"/>
  <c r="AX1107" i="3" s="1"/>
  <c r="AW1096" i="3"/>
  <c r="AW1091" i="3"/>
  <c r="AX1091" i="3" s="1"/>
  <c r="AW1097" i="3"/>
  <c r="AX1097" i="3" s="1"/>
  <c r="AW1095" i="3"/>
  <c r="AX1095" i="3" s="1"/>
  <c r="AW1084" i="3"/>
  <c r="AW1108" i="3" s="1"/>
  <c r="Q1040" i="3"/>
  <c r="R1040" i="3" s="1"/>
  <c r="S1040" i="3" s="1"/>
  <c r="O1067" i="3"/>
  <c r="F1065" i="3"/>
  <c r="AX1096" i="3"/>
  <c r="AX1104" i="3"/>
  <c r="S1063" i="3" l="1"/>
  <c r="T1036" i="3"/>
  <c r="U1036" i="3"/>
  <c r="U1034" i="3"/>
  <c r="T1034" i="3"/>
  <c r="S1061" i="3"/>
  <c r="S1067" i="3"/>
  <c r="U1040" i="3"/>
  <c r="T1040" i="3"/>
  <c r="U1043" i="3"/>
  <c r="S1070" i="3"/>
  <c r="T1043" i="3"/>
  <c r="S1069" i="3"/>
  <c r="T1042" i="3"/>
  <c r="U1042" i="3"/>
  <c r="Q1063" i="3"/>
  <c r="R1063" i="3" s="1"/>
  <c r="O1065" i="3"/>
  <c r="Q1038" i="3"/>
  <c r="R1038" i="3" s="1"/>
  <c r="S1038" i="3" s="1"/>
  <c r="S1060" i="3"/>
  <c r="T1033" i="3"/>
  <c r="U1033" i="3"/>
  <c r="T1037" i="3"/>
  <c r="S1064" i="3"/>
  <c r="U1037" i="3"/>
  <c r="Q1070" i="3"/>
  <c r="R1070" i="3" s="1"/>
  <c r="Q1064" i="3"/>
  <c r="R1064" i="3" s="1"/>
  <c r="Q1060" i="3"/>
  <c r="R1060" i="3" s="1"/>
  <c r="O1062" i="3"/>
  <c r="Q1035" i="3"/>
  <c r="R1035" i="3" s="1"/>
  <c r="S1035" i="3" s="1"/>
  <c r="F1032" i="3"/>
  <c r="Q1069" i="3"/>
  <c r="R1069" i="3" s="1"/>
  <c r="M1032" i="3"/>
  <c r="AX1084" i="3"/>
  <c r="AX1108" i="3" s="1"/>
  <c r="F1041" i="3"/>
  <c r="O1066" i="3"/>
  <c r="Q1039" i="3"/>
  <c r="R1039" i="3" s="1"/>
  <c r="S1039" i="3" s="1"/>
  <c r="Q1067" i="3"/>
  <c r="R1067" i="3" s="1"/>
  <c r="Q1061" i="3"/>
  <c r="R1061" i="3" s="1"/>
  <c r="M1041" i="3"/>
  <c r="S1066" i="3" l="1"/>
  <c r="U1039" i="3"/>
  <c r="T1039" i="3"/>
  <c r="T1038" i="3"/>
  <c r="U1038" i="3"/>
  <c r="S1065" i="3"/>
  <c r="S1062" i="3"/>
  <c r="U1035" i="3"/>
  <c r="T1035" i="3"/>
  <c r="U1067" i="3"/>
  <c r="T1067" i="3"/>
  <c r="U1061" i="3"/>
  <c r="T1061" i="3"/>
  <c r="M1059" i="3"/>
  <c r="O1032" i="3"/>
  <c r="M1045" i="3"/>
  <c r="O1045" i="3" s="1"/>
  <c r="U1060" i="3"/>
  <c r="T1060" i="3"/>
  <c r="U1069" i="3"/>
  <c r="T1069" i="3"/>
  <c r="U1070" i="3"/>
  <c r="T1070" i="3"/>
  <c r="F1045" i="3"/>
  <c r="F1059" i="3"/>
  <c r="Q1066" i="3"/>
  <c r="R1066" i="3" s="1"/>
  <c r="Q1065" i="3"/>
  <c r="R1065" i="3" s="1"/>
  <c r="Q1062" i="3"/>
  <c r="R1062" i="3" s="1"/>
  <c r="M1068" i="3"/>
  <c r="O1041" i="3"/>
  <c r="F1068" i="3"/>
  <c r="T1064" i="3"/>
  <c r="U1064" i="3"/>
  <c r="U1063" i="3"/>
  <c r="T1063" i="3"/>
  <c r="O1059" i="3" l="1"/>
  <c r="Q1032" i="3"/>
  <c r="Q1045" i="3" s="1"/>
  <c r="P1045" i="3" s="1"/>
  <c r="U1062" i="3"/>
  <c r="T1062" i="3"/>
  <c r="U1065" i="3"/>
  <c r="T1065" i="3"/>
  <c r="Q1041" i="3"/>
  <c r="R1041" i="3" s="1"/>
  <c r="S1041" i="3" s="1"/>
  <c r="O1068" i="3"/>
  <c r="T1066" i="3"/>
  <c r="U1066" i="3"/>
  <c r="S1068" i="3" l="1"/>
  <c r="U1041" i="3"/>
  <c r="T1041" i="3"/>
  <c r="R1032" i="3"/>
  <c r="Q1068" i="3"/>
  <c r="R1068" i="3" s="1"/>
  <c r="Q1059" i="3"/>
  <c r="R1059" i="3" s="1"/>
  <c r="R1045" i="3" l="1"/>
  <c r="S1045" i="3" s="1"/>
  <c r="S1032" i="3"/>
  <c r="T1068" i="3"/>
  <c r="U1068" i="3"/>
  <c r="S1059" i="3" l="1"/>
  <c r="U1032" i="3"/>
  <c r="U1045" i="3" s="1"/>
  <c r="T1032" i="3"/>
  <c r="T1045" i="3" s="1"/>
  <c r="U1059" i="3" l="1"/>
  <c r="T1059" i="3"/>
</calcChain>
</file>

<file path=xl/sharedStrings.xml><?xml version="1.0" encoding="utf-8"?>
<sst xmlns="http://schemas.openxmlformats.org/spreadsheetml/2006/main" count="41065" uniqueCount="1019">
  <si>
    <t xml:space="preserve">PRINTED:  </t>
  </si>
  <si>
    <t>CENTRAL ARIZONA PROJECT</t>
  </si>
  <si>
    <t>QUARTERLY SYSTEM DEMAND FORECAST</t>
  </si>
  <si>
    <t>(acre-feet)</t>
  </si>
  <si>
    <t>(Deliveries are actuals through XXX, and projections for the remainder of the year)</t>
  </si>
  <si>
    <t>Revised:  2/5/2020</t>
  </si>
  <si>
    <t>Number of days</t>
  </si>
  <si>
    <t xml:space="preserve"> </t>
  </si>
  <si>
    <t>JAN</t>
  </si>
  <si>
    <t>FEB</t>
  </si>
  <si>
    <t>MAR</t>
  </si>
  <si>
    <t>1st Qtr</t>
  </si>
  <si>
    <t>APR</t>
  </si>
  <si>
    <t>MAY</t>
  </si>
  <si>
    <t>JUN</t>
  </si>
  <si>
    <t>2nd Qtr</t>
  </si>
  <si>
    <t>JUL</t>
  </si>
  <si>
    <t>AUG</t>
  </si>
  <si>
    <t>SEP</t>
  </si>
  <si>
    <t>3rd Qtr</t>
  </si>
  <si>
    <t>OCT</t>
  </si>
  <si>
    <t>NOV</t>
  </si>
  <si>
    <t>DEC</t>
  </si>
  <si>
    <t>4th Qtr</t>
  </si>
  <si>
    <t>TOTAL</t>
  </si>
  <si>
    <t>TOTAL CUSTOMER DELIVERIES</t>
  </si>
  <si>
    <t>M&amp;I</t>
  </si>
  <si>
    <t>TOTAL CANAL LOSSES</t>
  </si>
  <si>
    <t>INDIAN</t>
  </si>
  <si>
    <t>MWD LAKE STORAGE THRU T/O</t>
  </si>
  <si>
    <t>SRP/CAP EXCHANGE WATER</t>
  </si>
  <si>
    <t>WADDELL PUMPING</t>
  </si>
  <si>
    <t>WADDELL RELEASES</t>
  </si>
  <si>
    <t>COLORADO RIVER DIVERSIONS</t>
  </si>
  <si>
    <t>COLORADO RIVER ACTUAL</t>
  </si>
  <si>
    <t>HAVASU  PP</t>
  </si>
  <si>
    <t xml:space="preserve">       JAN</t>
  </si>
  <si>
    <t>Canal Losses</t>
  </si>
  <si>
    <t>SEGMENT DEMAND</t>
  </si>
  <si>
    <t>SEGMENT AVG FLOW (CFS)</t>
  </si>
  <si>
    <t>VOLUME PASSING HAV</t>
  </si>
  <si>
    <t>FLOW PASSING HAV (CFS)</t>
  </si>
  <si>
    <t>Physical</t>
  </si>
  <si>
    <t>Turnout</t>
  </si>
  <si>
    <t>BOUSE  PP</t>
  </si>
  <si>
    <t>MUNICIPAL &amp; INDUSTRIAL:</t>
  </si>
  <si>
    <t xml:space="preserve">     Subcontract</t>
  </si>
  <si>
    <t xml:space="preserve">     Non-Subcontract</t>
  </si>
  <si>
    <t xml:space="preserve">               TGV Investments/Fondomonte</t>
  </si>
  <si>
    <t xml:space="preserve">     CAGRD RO</t>
  </si>
  <si>
    <t xml:space="preserve">       </t>
  </si>
  <si>
    <t xml:space="preserve">     Miscellaneous</t>
  </si>
  <si>
    <t xml:space="preserve">                    TOTAL M&amp;I</t>
  </si>
  <si>
    <t>AGRICULTURAL:</t>
  </si>
  <si>
    <t xml:space="preserve">     Drought</t>
  </si>
  <si>
    <t xml:space="preserve">     AG Pool</t>
  </si>
  <si>
    <t xml:space="preserve">     Surplus</t>
  </si>
  <si>
    <t xml:space="preserve">                    TOTAL AG</t>
  </si>
  <si>
    <t>FEDERAL:</t>
  </si>
  <si>
    <t xml:space="preserve">     On Reservation</t>
  </si>
  <si>
    <t xml:space="preserve">     Off Reservation</t>
  </si>
  <si>
    <t xml:space="preserve">                    TOTAL FEDERAL</t>
  </si>
  <si>
    <t>RECHARGE:</t>
  </si>
  <si>
    <t xml:space="preserve">     Direct</t>
  </si>
  <si>
    <t xml:space="preserve">     Direct AWBA</t>
  </si>
  <si>
    <t xml:space="preserve">               Ranegras Plain Recharge Project (AWBA, Direct)</t>
  </si>
  <si>
    <t xml:space="preserve">     Indirect</t>
  </si>
  <si>
    <t xml:space="preserve">     Indirect AWBA</t>
  </si>
  <si>
    <t xml:space="preserve">               TOTAL INDIRECT</t>
  </si>
  <si>
    <t xml:space="preserve">               TOTAL RECHARGE</t>
  </si>
  <si>
    <t xml:space="preserve">            TOTAL DELIVERIES</t>
  </si>
  <si>
    <t>VOLUME PASSING BSH</t>
  </si>
  <si>
    <t>FLOW PASSING BSH (CFS)</t>
  </si>
  <si>
    <t>LITTLE HARQUAHALA  PP</t>
  </si>
  <si>
    <t xml:space="preserve">               EPCOR-AZ American WC (AF) - TDRP</t>
  </si>
  <si>
    <t xml:space="preserve">               EPCOR-AZ American WC (PV) - TDRP</t>
  </si>
  <si>
    <t xml:space="preserve">               Buckeye - TDRP</t>
  </si>
  <si>
    <t xml:space="preserve">               Buckeye - Tonopah ID</t>
  </si>
  <si>
    <t>TON</t>
  </si>
  <si>
    <t xml:space="preserve">               CAGRD M&amp;I (Tonopah ID)</t>
  </si>
  <si>
    <t>CAGRD M&amp;I</t>
  </si>
  <si>
    <t xml:space="preserve">               Chandler - TDRP</t>
  </si>
  <si>
    <t xml:space="preserve">               El Mirage - TDRP</t>
  </si>
  <si>
    <t>TDR</t>
  </si>
  <si>
    <t xml:space="preserve">               Florence - Tonopah ID</t>
  </si>
  <si>
    <t xml:space="preserve">               Gilbert - TDRP</t>
  </si>
  <si>
    <t xml:space="preserve">               Scottsdale TDRP</t>
  </si>
  <si>
    <t xml:space="preserve">               Surprise - TDRP</t>
  </si>
  <si>
    <t xml:space="preserve">               New Harquahala Generating Co.</t>
  </si>
  <si>
    <t xml:space="preserve">               TDRP (CAGRD RO)</t>
  </si>
  <si>
    <t>CAGRD RO</t>
  </si>
  <si>
    <t xml:space="preserve">               Tonopah ID (CAGRD RO)</t>
  </si>
  <si>
    <t xml:space="preserve">               Harquahala Valley ID</t>
  </si>
  <si>
    <t>HAR</t>
  </si>
  <si>
    <t xml:space="preserve">               Tonopah ID</t>
  </si>
  <si>
    <t xml:space="preserve">               Chandler/Assignment - TDRP</t>
  </si>
  <si>
    <t xml:space="preserve">               Chandler/SRPMIC Lease - TDRP</t>
  </si>
  <si>
    <t xml:space="preserve">               Chandler/Wellton-Mohawk - TDRP</t>
  </si>
  <si>
    <t xml:space="preserve">               FMYN/Gilbert - TDRP</t>
  </si>
  <si>
    <t xml:space="preserve">               Gilbert/SRPMIC Lease - TDRP</t>
  </si>
  <si>
    <t xml:space="preserve">               Gilbert/Wellton-Mohawk - TDRP</t>
  </si>
  <si>
    <t xml:space="preserve">               GRIC exchg w/Chandler - TDRP</t>
  </si>
  <si>
    <t xml:space="preserve">               GRIC Exchange (CAGRD) / Tonopah ID</t>
  </si>
  <si>
    <t xml:space="preserve">               Active Resource Mgmt-Vidler</t>
  </si>
  <si>
    <t xml:space="preserve">               CAGRD RR (TDRP)</t>
  </si>
  <si>
    <t xml:space="preserve">               El Mirage (TDRP)</t>
  </si>
  <si>
    <t xml:space="preserve">               Hopi Tribe (TDRP)</t>
  </si>
  <si>
    <t xml:space="preserve">               Resolution Copper (TDRP)</t>
  </si>
  <si>
    <t xml:space="preserve">               Active Resource Mgmt-Vidler (TDRP)</t>
  </si>
  <si>
    <t xml:space="preserve">               Water Util. Greater Tonopah (WUG)</t>
  </si>
  <si>
    <t xml:space="preserve">               Hassayampa Ventures, LLC (HRF)</t>
  </si>
  <si>
    <t>WMC</t>
  </si>
  <si>
    <t xml:space="preserve">               TDRP, AWBA</t>
  </si>
  <si>
    <t xml:space="preserve">               Interstate Banking (TDRP, AWBA, Direct)</t>
  </si>
  <si>
    <t xml:space="preserve">               CAGRD RR/Tonopah ID</t>
  </si>
  <si>
    <t xml:space="preserve">               Interstate (Tonopah ID, AWBA, Indirect)</t>
  </si>
  <si>
    <t xml:space="preserve">               Tonopah ID (AWBA, Indirect)</t>
  </si>
  <si>
    <t xml:space="preserve">VOLUME PASSING LHQ </t>
  </si>
  <si>
    <t>FLOW PASSING LHQ (CFS)</t>
  </si>
  <si>
    <t>HASSAYAMPA PP</t>
  </si>
  <si>
    <t xml:space="preserve">               EPCOR-AZAmerican/Sun City (MWD)</t>
  </si>
  <si>
    <t>MWD</t>
  </si>
  <si>
    <t xml:space="preserve">               EPCOR-AZAmerican/Agua Fria (MWD)</t>
  </si>
  <si>
    <t xml:space="preserve">               EPCOR-AZAmerican/Sun Cty West (MWD)</t>
  </si>
  <si>
    <t xml:space="preserve">               EPCOR-AZAmerican/PV (MWD)</t>
  </si>
  <si>
    <t xml:space="preserve">               EPCOR-Rio Verde Utilities (MWD)</t>
  </si>
  <si>
    <t xml:space="preserve">               Arizona State Land Dept. (ADOT)</t>
  </si>
  <si>
    <t>Pump</t>
  </si>
  <si>
    <t xml:space="preserve">               Arizona State Land Dept. (ADOT) CSIF</t>
  </si>
  <si>
    <t xml:space="preserve">               Arizona Water Co. (White Tank) w/MWD</t>
  </si>
  <si>
    <t xml:space="preserve">               ASARCO w/ RID GSF (CSIF)</t>
  </si>
  <si>
    <t xml:space="preserve">               Avondale (AFRP)</t>
  </si>
  <si>
    <t>AFR</t>
  </si>
  <si>
    <t xml:space="preserve">               Avondale (HMRP)</t>
  </si>
  <si>
    <t>HMR</t>
  </si>
  <si>
    <t xml:space="preserve">               Avondale (CSIF)</t>
  </si>
  <si>
    <t>x</t>
  </si>
  <si>
    <t>SRP</t>
  </si>
  <si>
    <t xml:space="preserve">               Buckeye/Festival Rch</t>
  </si>
  <si>
    <t xml:space="preserve">               CAGRD M&amp;I (AFRP)</t>
  </si>
  <si>
    <t xml:space="preserve">               CAGRD M&amp;I (HMRP)</t>
  </si>
  <si>
    <t xml:space="preserve">               CAGRD M&amp;I (MWD)</t>
  </si>
  <si>
    <t xml:space="preserve">               Carefree Water Company</t>
  </si>
  <si>
    <t>CCR</t>
  </si>
  <si>
    <t xml:space="preserve">               Cave Creek Water Company</t>
  </si>
  <si>
    <t>CCR/SCO</t>
  </si>
  <si>
    <t xml:space="preserve">               Chandler, City of (HMRP)</t>
  </si>
  <si>
    <t xml:space="preserve">               Chandler, City of (CSIF)</t>
  </si>
  <si>
    <t xml:space="preserve">               EPCOR-Chaparral City Water Company (MWD)</t>
  </si>
  <si>
    <t xml:space="preserve">               EPCOR-Chaparral City Water Company (CCW)</t>
  </si>
  <si>
    <t>CCW</t>
  </si>
  <si>
    <t xml:space="preserve">               EPCOR-PV (CSIF)</t>
  </si>
  <si>
    <t xml:space="preserve">               El Mirage (HMRP)</t>
  </si>
  <si>
    <t xml:space="preserve">               Miami - SRP GSF (Freeport-McMoRan) CSIF</t>
  </si>
  <si>
    <t xml:space="preserve">               Freeport McMoRan Miami CSIF/RWCD</t>
  </si>
  <si>
    <t xml:space="preserve">               Gilbert, Town of (CSIF)</t>
  </si>
  <si>
    <t>Temporary (-) for reduced deliveries (m&amp;i)</t>
  </si>
  <si>
    <t xml:space="preserve">               Glendale (Pyramid Peak)</t>
  </si>
  <si>
    <t>GLE</t>
  </si>
  <si>
    <t xml:space="preserve">               Glendale w/MWD</t>
  </si>
  <si>
    <t xml:space="preserve">               Glendale (HMRP)</t>
  </si>
  <si>
    <t xml:space="preserve">               Glendale w/SRP (CSIF)</t>
  </si>
  <si>
    <t>CSIF</t>
  </si>
  <si>
    <t xml:space="preserve">               Goodyear w/SRP (CSIF)</t>
  </si>
  <si>
    <t xml:space="preserve">               Goodyear (AFRP)</t>
  </si>
  <si>
    <t xml:space="preserve">               Goodyear (HMRP)</t>
  </si>
  <si>
    <t xml:space="preserve">               Maricopa County Parks &amp; Rec.</t>
  </si>
  <si>
    <t xml:space="preserve">               Peoria  (AFRP)</t>
  </si>
  <si>
    <t xml:space="preserve">               Peoria  (HMRP)</t>
  </si>
  <si>
    <t xml:space="preserve">               Peoria  (QTO)</t>
  </si>
  <si>
    <t>QTO</t>
  </si>
  <si>
    <t xml:space="preserve">               Peoria  (P2)</t>
  </si>
  <si>
    <t xml:space="preserve">               Peoria  (MWD)</t>
  </si>
  <si>
    <t xml:space="preserve">               Peoria  (GLE)</t>
  </si>
  <si>
    <t xml:space="preserve">               Peoria (CSIF)</t>
  </si>
  <si>
    <t xml:space="preserve">               Phelps/Dodge Miami (SRP) CSIF</t>
  </si>
  <si>
    <t xml:space="preserve">               Phoenix, City of</t>
  </si>
  <si>
    <t xml:space="preserve">               Phoenix, City of (CSIF)</t>
  </si>
  <si>
    <t xml:space="preserve">               EPCOR Rio Verde Utilities Company (CSIF)</t>
  </si>
  <si>
    <t xml:space="preserve">               Scottsdale, City of (HMRP)</t>
  </si>
  <si>
    <t xml:space="preserve">               Scottsdale, City of</t>
  </si>
  <si>
    <t xml:space="preserve">               Scottsdale, City of (CSIF)</t>
  </si>
  <si>
    <t xml:space="preserve">               Surprise (AFRP)</t>
  </si>
  <si>
    <t xml:space="preserve">               Surprise (HMRP)</t>
  </si>
  <si>
    <t xml:space="preserve">               Surprise (MWD)</t>
  </si>
  <si>
    <t xml:space="preserve">               Tempe, City of (CSIF)</t>
  </si>
  <si>
    <t xml:space="preserve">               Tonto Hills DWID</t>
  </si>
  <si>
    <t xml:space="preserve">               WUCFD (Apache Junction) w/SRP (CSIF)</t>
  </si>
  <si>
    <t xml:space="preserve">               1440, INC</t>
  </si>
  <si>
    <t xml:space="preserve">               Ancala Country Club</t>
  </si>
  <si>
    <t xml:space="preserve">               Arizona Wholesale Growers</t>
  </si>
  <si>
    <t xml:space="preserve">               ASU-Karsten Golf Course (CSIF)</t>
  </si>
  <si>
    <t xml:space="preserve">               Lafarge North America(former Sun State)</t>
  </si>
  <si>
    <t xml:space="preserve">               Mazatzal Tree Farm</t>
  </si>
  <si>
    <t xml:space="preserve">               Peoria (MWD, Quintero, P2 pump)</t>
  </si>
  <si>
    <t xml:space="preserve">               Recreational Ctr (Scott Shadows) CSIF</t>
  </si>
  <si>
    <t xml:space="preserve">               SRP (Excess to San Tan PP?)</t>
  </si>
  <si>
    <t>Delivered from Roosevelt Lake Account in 2012</t>
  </si>
  <si>
    <t xml:space="preserve">               Shea Sunbelt/Vistancia</t>
  </si>
  <si>
    <t xml:space="preserve">               thru AFRP (CAGRD RO)</t>
  </si>
  <si>
    <t xml:space="preserve">               thru HMRP (CAGRD RO)</t>
  </si>
  <si>
    <t xml:space="preserve">               thru Scottsdale (CAGRD RO)</t>
  </si>
  <si>
    <t>SC1</t>
  </si>
  <si>
    <t xml:space="preserve">               MWD</t>
  </si>
  <si>
    <t xml:space="preserve">               SRP (CSIF)</t>
  </si>
  <si>
    <t xml:space="preserve">               Ak-Chin/Pulte/Anthem - Wad T/O</t>
  </si>
  <si>
    <t>APX</t>
  </si>
  <si>
    <t xml:space="preserve">               Ak-Chin/Pulte/MWD</t>
  </si>
  <si>
    <t xml:space="preserve">               Ak-Chin/Pulte/Sky Crossing</t>
  </si>
  <si>
    <t xml:space="preserve">               Ak-Chin/Pulte/Festival Rch pumps</t>
  </si>
  <si>
    <t xml:space="preserve">               Ak-Chin/Pulte/HMRP</t>
  </si>
  <si>
    <t xml:space="preserve">               Ak-Chin/HMRP</t>
  </si>
  <si>
    <t xml:space="preserve">               Ak-Chin/Pulte (CSIF)</t>
  </si>
  <si>
    <t xml:space="preserve">               GRIC Exchange (CAGRD)/HMRP</t>
  </si>
  <si>
    <t xml:space="preserve">               GRIC Lease  WUCFD (Apache Junction) (CSIF)</t>
  </si>
  <si>
    <t xml:space="preserve">               Chandler/Assignment (CSIF)</t>
  </si>
  <si>
    <t xml:space="preserve">               Gilbert/Assignment (CSIF)</t>
  </si>
  <si>
    <t>CGT</t>
  </si>
  <si>
    <t xml:space="preserve">               Glendale/Assignment</t>
  </si>
  <si>
    <t xml:space="preserve">               Glendale/Assignment/HMRP</t>
  </si>
  <si>
    <t xml:space="preserve">               Phoenix/Assignment</t>
  </si>
  <si>
    <t xml:space="preserve">               Scottsdale/Assignment</t>
  </si>
  <si>
    <t xml:space="preserve">               Tempe/Assignment (CSIF)</t>
  </si>
  <si>
    <t xml:space="preserve">               Gilbert/FMYN Lease (CSIF)</t>
  </si>
  <si>
    <t xml:space="preserve">               Phoenix/FMYN (CSIF)</t>
  </si>
  <si>
    <t xml:space="preserve">               Phoenix/FMYN</t>
  </si>
  <si>
    <t xml:space="preserve">               GRIC/MWD</t>
  </si>
  <si>
    <t xml:space="preserve">               Freeport-McMoRan/GRIC Lease w/SRP (CSIF)</t>
  </si>
  <si>
    <t xml:space="preserve">               Goodyear/GRIC Lease (HMRP)</t>
  </si>
  <si>
    <t xml:space="preserve">               Goodyear/GRIC Lease (AFRP)</t>
  </si>
  <si>
    <t xml:space="preserve">               Goodyear/GRIC Lease (CSIF)</t>
  </si>
  <si>
    <t xml:space="preserve">               Peoria/GRIC Lease (AFRP)</t>
  </si>
  <si>
    <t xml:space="preserve">               Peoria/GRIC Lease (HMRP)</t>
  </si>
  <si>
    <t xml:space="preserve">               Peoria/GRIC Lease (Glen,SRP)</t>
  </si>
  <si>
    <t xml:space="preserve">               Peoria/GRIC Lease (Quintero)</t>
  </si>
  <si>
    <t xml:space="preserve">               Peoria/GRIC Lease (P2 pump)</t>
  </si>
  <si>
    <t xml:space="preserve">               Peoria/GRIC Lease (MWD)</t>
  </si>
  <si>
    <t xml:space="preserve">               Phoenix/GRIC Lease (CSIF)</t>
  </si>
  <si>
    <t xml:space="preserve">               Phoenix/GRIC Lease</t>
  </si>
  <si>
    <t xml:space="preserve">               Scottsdale/GRIC Lease</t>
  </si>
  <si>
    <t xml:space="preserve">               Scottsdale/GRIC Lease (CSIF)</t>
  </si>
  <si>
    <t xml:space="preserve">               Chandler/SRPMIC Lease (CSIF)</t>
  </si>
  <si>
    <t xml:space="preserve">               Gilbert/SRPMIC Lease (CSIF)</t>
  </si>
  <si>
    <t xml:space="preserve">               Glendale/SRPMIC Lease</t>
  </si>
  <si>
    <t>GLE/MWD</t>
  </si>
  <si>
    <t xml:space="preserve">               Glendale/SRPMIC Lease (HMRP)</t>
  </si>
  <si>
    <t xml:space="preserve">               Phoenix/SRPMIC Lease</t>
  </si>
  <si>
    <t xml:space="preserve">               Phoenix/SRPMIC Lease (CSIF)</t>
  </si>
  <si>
    <t xml:space="preserve">               Scottsdale/SRPMIC Lease</t>
  </si>
  <si>
    <t xml:space="preserve">               Tempe/SRPMIC Lease (CSIF)</t>
  </si>
  <si>
    <t xml:space="preserve">               FMYN - SRP (CSIF)</t>
  </si>
  <si>
    <t xml:space="preserve">               GRIC/SRP GRUSP (CSIF)</t>
  </si>
  <si>
    <t xml:space="preserve">               GRIC/SRP (CSIF)</t>
  </si>
  <si>
    <t xml:space="preserve">               Tohono Nation (AFRP)</t>
  </si>
  <si>
    <t xml:space="preserve">               Tohono Nation (HMRP)</t>
  </si>
  <si>
    <t xml:space="preserve">               Chandler/Wellton-Mohawk (CSIF)</t>
  </si>
  <si>
    <t xml:space="preserve">               Gilbert/Wellton-Mohawk (CSIF)</t>
  </si>
  <si>
    <t xml:space="preserve">               Glendale/Wellton-Mohawk (HMRP)</t>
  </si>
  <si>
    <t xml:space="preserve">               Glendale/Wellton-Mohawk</t>
  </si>
  <si>
    <t xml:space="preserve">               Phoenix/Wellton-Mohawk</t>
  </si>
  <si>
    <t xml:space="preserve">               Phoenix/Wellton-Mohawk (CSIF)</t>
  </si>
  <si>
    <t xml:space="preserve">               Scottsdale/Wellton-Mohawk</t>
  </si>
  <si>
    <t xml:space="preserve">               Tempe/Wellton-Mohawk (CSIF)</t>
  </si>
  <si>
    <t xml:space="preserve">               SCAT - SRP (Freeport-McMoRan) CSIF</t>
  </si>
  <si>
    <t xml:space="preserve">               SCAT - SRP (Freeport-McMoRan) RWCD</t>
  </si>
  <si>
    <t xml:space="preserve">               Gilbert/FMYN GRUSP @ SRP CSIF</t>
  </si>
  <si>
    <t xml:space="preserve">               Gilbert/SCAT GRUSP @ SRP (CSIF)</t>
  </si>
  <si>
    <t xml:space="preserve">               Gilbert/SCAT 1-yr Lease @ AFRP</t>
  </si>
  <si>
    <t xml:space="preserve">               Gilbert/SCAT 1-yr Lease (CSIF)</t>
  </si>
  <si>
    <t xml:space="preserve">               Gilbert/SCAT 100-yr Lease (CSIF)</t>
  </si>
  <si>
    <t xml:space="preserve">               Scottsdale/SCAT Lease</t>
  </si>
  <si>
    <t xml:space="preserve">               Scottsdale/SCAT Lease (CSIF)</t>
  </si>
  <si>
    <t xml:space="preserve">               Scottsdale/Yavapai-Prescott (CSIF)</t>
  </si>
  <si>
    <t xml:space="preserve">               Scottsdale/Yavapai-Prescott</t>
  </si>
  <si>
    <t xml:space="preserve">               Stone Applications/SCAT Lease (AFRP)</t>
  </si>
  <si>
    <t xml:space="preserve">               Tonto Apache (CSIF)</t>
  </si>
  <si>
    <t xml:space="preserve">               CAGRD RR (AFRP)</t>
  </si>
  <si>
    <t xml:space="preserve">               CAGRD RR (HMRP)</t>
  </si>
  <si>
    <t xml:space="preserve">               AFRP (AWBA, Direct)</t>
  </si>
  <si>
    <t xml:space="preserve">               Interstate Banking (AFRP) (AWBA, Direct)</t>
  </si>
  <si>
    <t xml:space="preserve">               GRUSP (AWBA, Direct) (CSIF)</t>
  </si>
  <si>
    <t xml:space="preserve">               Interstate Banking (GRUSP) (AWBA, Direct)</t>
  </si>
  <si>
    <t xml:space="preserve">               Hieroglyphic (HMRP, AWBA, Direct)</t>
  </si>
  <si>
    <t xml:space="preserve">               Interstate Banking (Hieroglyphic) (HMRP, AWBA, Direct)</t>
  </si>
  <si>
    <t xml:space="preserve">               New Riv-Agua Fria(NAUSP)/SRP (AWBA, Direct)</t>
  </si>
  <si>
    <t xml:space="preserve">               East Salt River Valley (ESRV) (AWBA, Direct)</t>
  </si>
  <si>
    <t xml:space="preserve">               CAGRD RR/MWD</t>
  </si>
  <si>
    <t xml:space="preserve">               SRP GSF (AWBA, Indirect) (CSIF)</t>
  </si>
  <si>
    <t>Maricopa Water District Lake Water (MWD**)</t>
  </si>
  <si>
    <t>SRP/CAP Exchange Water</t>
  </si>
  <si>
    <t>Salt River Project Excess ($84/AF Water)</t>
  </si>
  <si>
    <t>Temporary Water Permits (various locals)</t>
  </si>
  <si>
    <t>Waddell (pumpage)</t>
  </si>
  <si>
    <t>VOLUME PASSING HSY</t>
  </si>
  <si>
    <t>FLOW PASSING HSY (CFS)</t>
  </si>
  <si>
    <t>FLOW AT CS19 (CFS)</t>
  </si>
  <si>
    <t xml:space="preserve">                                        PHX  PLP Turnout (AF)</t>
  </si>
  <si>
    <t>WADDELL PGP</t>
  </si>
  <si>
    <t>Waddell (outflow)</t>
  </si>
  <si>
    <t>SALT GILA PP</t>
  </si>
  <si>
    <t xml:space="preserve">               WUCFD (Apache Junction)</t>
  </si>
  <si>
    <t>MES + Pump</t>
  </si>
  <si>
    <t xml:space="preserve">               WUCFD (Apache Junction) w/NMIDD</t>
  </si>
  <si>
    <t xml:space="preserve">               WUCFD (Apache Junction) w/RWCD</t>
  </si>
  <si>
    <t xml:space="preserve">               Arizona Water Co. (Casa Grande)</t>
  </si>
  <si>
    <t>SRO</t>
  </si>
  <si>
    <t xml:space="preserve">               Arizona Water Co. (Casa Grande) w/ Pinal Valley USF</t>
  </si>
  <si>
    <t>KLK/CGE</t>
  </si>
  <si>
    <t xml:space="preserve">               Arizona Water Co. (Casa Grande) w/Hohokam</t>
  </si>
  <si>
    <t xml:space="preserve">               Arizona Water Co. (Casa Grande) w/MSIDD</t>
  </si>
  <si>
    <t xml:space="preserve">               Arizona Water Co. (Coolidge) w/Hohokam</t>
  </si>
  <si>
    <t xml:space="preserve">               Arizona Water Co. (Coolidge) w/Pinal Valley USF</t>
  </si>
  <si>
    <t xml:space="preserve">               Arizona Water Co. (Superstition)</t>
  </si>
  <si>
    <t>Pumps</t>
  </si>
  <si>
    <t xml:space="preserve">               Arizona Water Co. (Superstition) (SMRP)</t>
  </si>
  <si>
    <t>SMR</t>
  </si>
  <si>
    <t xml:space="preserve">               Arizona Water Co. (Superstition) w/RWCD</t>
  </si>
  <si>
    <t>RWC</t>
  </si>
  <si>
    <t xml:space="preserve">               ASARCO w/ RWCD GSF</t>
  </si>
  <si>
    <t xml:space="preserve">               CAGRD M&amp;I (QCID)</t>
  </si>
  <si>
    <t xml:space="preserve">               Chandler, City of (NMIDD)</t>
  </si>
  <si>
    <t xml:space="preserve">               Chandler, City of (SMRP)</t>
  </si>
  <si>
    <t xml:space="preserve">               Chandler, City of (TP's)</t>
  </si>
  <si>
    <t xml:space="preserve">               Eloy, City of</t>
  </si>
  <si>
    <t xml:space="preserve">               Eloy, City of (Thru NMIDD)</t>
  </si>
  <si>
    <t xml:space="preserve">               Florence, Town of (Thru MSIDD)</t>
  </si>
  <si>
    <t xml:space="preserve">               Miami - Freeport-McMoRan (RWCD)</t>
  </si>
  <si>
    <t xml:space="preserve">               Gilbert, Town of (SMRP)</t>
  </si>
  <si>
    <t xml:space="preserve">               Gilbert, Town of</t>
  </si>
  <si>
    <t xml:space="preserve">               Goodyear, Town of (SMRP)</t>
  </si>
  <si>
    <t xml:space="preserve">               H2O Inc.</t>
  </si>
  <si>
    <t>QCR</t>
  </si>
  <si>
    <t xml:space="preserve">               LSM Golf, LLC (Mesa)</t>
  </si>
  <si>
    <t xml:space="preserve">               Mesa, City of</t>
  </si>
  <si>
    <t>MES</t>
  </si>
  <si>
    <t xml:space="preserve">               Phoenix (MAR5)</t>
  </si>
  <si>
    <t>PIL</t>
  </si>
  <si>
    <t xml:space="preserve">               Phoenix (NMIDD)</t>
  </si>
  <si>
    <t xml:space="preserve">               Phoenix (QCID)</t>
  </si>
  <si>
    <t xml:space="preserve">               Surprise thru NMIDD</t>
  </si>
  <si>
    <t xml:space="preserve">               CAGRD M&amp;I thru NMIDD</t>
  </si>
  <si>
    <t xml:space="preserve">               Scottsdale (SMRP)</t>
  </si>
  <si>
    <t xml:space="preserve">               Red Mt Ranch Country Club (Mesa)</t>
  </si>
  <si>
    <t xml:space="preserve">               Tonto Hills DWID GSF w/RWCD</t>
  </si>
  <si>
    <t xml:space="preserve">               Queen Creek, Town of</t>
  </si>
  <si>
    <t xml:space="preserve">               Viewpoint RV &amp; Golf Resort (Mesa)</t>
  </si>
  <si>
    <t xml:space="preserve">               Arizona Pacific Materials, LLC</t>
  </si>
  <si>
    <t xml:space="preserve">               Arizona Public Service (APS)</t>
  </si>
  <si>
    <t>CGE</t>
  </si>
  <si>
    <r>
      <t xml:space="preserve">               GRIC/</t>
    </r>
    <r>
      <rPr>
        <sz val="10"/>
        <rFont val="Helv"/>
      </rPr>
      <t>SS Replenishment Bank/AWBA</t>
    </r>
  </si>
  <si>
    <t xml:space="preserve">               JADAAL, Inc.</t>
  </si>
  <si>
    <t>NM4</t>
  </si>
  <si>
    <t xml:space="preserve">               Maricopa Drilling Company</t>
  </si>
  <si>
    <t xml:space="preserve">               Oasis Golf Resort (Johnson Utilities)</t>
  </si>
  <si>
    <t>NM3</t>
  </si>
  <si>
    <t xml:space="preserve">               Pinal County Dept of Public Works</t>
  </si>
  <si>
    <t xml:space="preserve">               Red Mt Ranch/OA</t>
  </si>
  <si>
    <t xml:space="preserve">               Schafer, Todd (Bob White Farms)</t>
  </si>
  <si>
    <t xml:space="preserve">               Shea Homes/Encanterra-NMIDD</t>
  </si>
  <si>
    <t>NM1</t>
  </si>
  <si>
    <t xml:space="preserve">               thru MSIDD (CAGRD RO)</t>
  </si>
  <si>
    <t xml:space="preserve">               thru NMIDD (CAGRD RO)</t>
  </si>
  <si>
    <t xml:space="preserve">               thru QCID (CAGRD RO)</t>
  </si>
  <si>
    <t xml:space="preserve">               thru SMRP (CAGRD RO)</t>
  </si>
  <si>
    <t>CAIDD TO</t>
  </si>
  <si>
    <t>%</t>
  </si>
  <si>
    <t>CMA</t>
  </si>
  <si>
    <t>DROUGHT</t>
  </si>
  <si>
    <t>SMA</t>
  </si>
  <si>
    <t xml:space="preserve">               CAIDD (Santa Rosa)</t>
  </si>
  <si>
    <t>CAIDD</t>
  </si>
  <si>
    <t xml:space="preserve">               Chandler Heights Citris ID</t>
  </si>
  <si>
    <t>AG Pool</t>
  </si>
  <si>
    <t xml:space="preserve">               Hohokam IDD</t>
  </si>
  <si>
    <t xml:space="preserve">               Maricopa Stanfield IDD (MSIDD)</t>
  </si>
  <si>
    <t xml:space="preserve">               New Magma IDD (NMIDD)</t>
  </si>
  <si>
    <t>NM1, NM2, NM3, NM4</t>
  </si>
  <si>
    <t xml:space="preserve">               Queen Creek ID (QCID)</t>
  </si>
  <si>
    <t>Ag Pool Redistribution/Remarket (+/-)</t>
  </si>
  <si>
    <t xml:space="preserve">               Roosevelt Water Conservation Dist (RWCD)</t>
  </si>
  <si>
    <t xml:space="preserve">               San Carlos IDD</t>
  </si>
  <si>
    <t xml:space="preserve">               Ak-Chin Farm Indian Community</t>
  </si>
  <si>
    <t xml:space="preserve">               Gila River Indian IDD (GRIC)</t>
  </si>
  <si>
    <t xml:space="preserve">               GRIC (MAR5)</t>
  </si>
  <si>
    <t xml:space="preserve">               GRIC Lease (CAGRD) / MAR5</t>
  </si>
  <si>
    <t xml:space="preserve">               Ak-Chin / RWCD</t>
  </si>
  <si>
    <t xml:space="preserve">               Ak-Chin/Pulte QCID</t>
  </si>
  <si>
    <t xml:space="preserve">               CAGRD/FMYN Lease w/NMIDD</t>
  </si>
  <si>
    <t xml:space="preserve">               Chandler/Assignment -NMIDD</t>
  </si>
  <si>
    <t xml:space="preserve">               Chandler/Assignment -SMRP</t>
  </si>
  <si>
    <t xml:space="preserve">               Chandler/GRIC Lease @ CGT</t>
  </si>
  <si>
    <t xml:space="preserve">               Gilbert/Assignment - CGT</t>
  </si>
  <si>
    <t xml:space="preserve">               Gilbert/Assignment - SMRP</t>
  </si>
  <si>
    <t xml:space="preserve">               Mesa/Assignment</t>
  </si>
  <si>
    <t xml:space="preserve">               Viewpoint RV &amp; Golf Resort (Mesa) / Assignment</t>
  </si>
  <si>
    <t xml:space="preserve">               GRIC GSF w/RWCD</t>
  </si>
  <si>
    <t xml:space="preserve">               GRIC GSF w/CAIDD </t>
  </si>
  <si>
    <t xml:space="preserve">               GRIC GSF w/NMIDD</t>
  </si>
  <si>
    <t xml:space="preserve">               GRIC GSF w/MSIDD</t>
  </si>
  <si>
    <t xml:space="preserve">               GRIC GSF w/Hohokam</t>
  </si>
  <si>
    <t xml:space="preserve">               GRIC GSF w/QCID</t>
  </si>
  <si>
    <t xml:space="preserve">               GRIC Exchange (CAGRD)/NMIDD</t>
  </si>
  <si>
    <t xml:space="preserve">               GRIC Exchange (CAGRD)/QCID</t>
  </si>
  <si>
    <t xml:space="preserve">               GRIC Lease (CAGRD) / QCID</t>
  </si>
  <si>
    <t xml:space="preserve">               GRIC Lease (Freeport-McMoRan) w/RWCD</t>
  </si>
  <si>
    <t xml:space="preserve">               GRIC Lease  WUCFD (Apache Junction) w/RWCD</t>
  </si>
  <si>
    <t xml:space="preserve">               GRIC Lease  WUCFD (Apache Junction)</t>
  </si>
  <si>
    <t xml:space="preserve">               GRIC SMRP</t>
  </si>
  <si>
    <t xml:space="preserve">               GRIC exchange w/APS @ CGE</t>
  </si>
  <si>
    <t xml:space="preserve">               GRIC exchange w/Chandler @ CGT</t>
  </si>
  <si>
    <t xml:space="preserve">               GRIC exchange w/Mesa</t>
  </si>
  <si>
    <t xml:space="preserve">               GRIC/SRP Settlement Lease w/MSIDD</t>
  </si>
  <si>
    <t xml:space="preserve">               Gilbert/FMYN w/NMIDD</t>
  </si>
  <si>
    <t xml:space="preserve">               Gilbert/FMYN @ SMRP</t>
  </si>
  <si>
    <t xml:space="preserve">               Gilbert/SCAT GSF @ RWCD</t>
  </si>
  <si>
    <t xml:space="preserve">               Gilbert/SCAT 1-yr Lease @ NMIDD</t>
  </si>
  <si>
    <t xml:space="preserve">               Gilbert/FMYN @ QCID</t>
  </si>
  <si>
    <t xml:space="preserve">               Gilbert/SCAT 1-yr Lease @ QCID</t>
  </si>
  <si>
    <t xml:space="preserve">               Gilbert/SCAT 100-yr lease (CGT)</t>
  </si>
  <si>
    <t xml:space="preserve">               Gilbert/SCAT 1-yr Lease (CGT)</t>
  </si>
  <si>
    <t xml:space="preserve">               Gilbert/SCAT 1-yr Lease @ SMRP</t>
  </si>
  <si>
    <t xml:space="preserve">               Freeport McMoRan/SCAT 1 Yr Lease w/MSIDD</t>
  </si>
  <si>
    <t xml:space="preserve">               Phoenix/FMYN Lease (NMIDD)</t>
  </si>
  <si>
    <t xml:space="preserve">               Phoenix/FMYN Lease (QCID)</t>
  </si>
  <si>
    <t xml:space="preserve">               Phoenix/GRIC Lease (NMIDD)</t>
  </si>
  <si>
    <t xml:space="preserve">               Phoenix/GRIC Lease (QCID)</t>
  </si>
  <si>
    <t xml:space="preserve">               Phoenix/SRPMIC Lease (NMIDD)</t>
  </si>
  <si>
    <t xml:space="preserve">               Phoenix/SRPMIC Lease (QCID)</t>
  </si>
  <si>
    <t xml:space="preserve">               Scottsdale/GRIC Lease (SMRP)</t>
  </si>
  <si>
    <t xml:space="preserve">               Scottsdale/SCAT Lease (SMRP)</t>
  </si>
  <si>
    <t xml:space="preserve">               Stone Applications/SCAT Lease (RWCD)</t>
  </si>
  <si>
    <t xml:space="preserve">               Stone Applications/SCAT Lease (SMRP)</t>
  </si>
  <si>
    <t xml:space="preserve">               Chandler/SRPMIC Lease @ CGT TPs</t>
  </si>
  <si>
    <t xml:space="preserve">               Chandler/SRPMIC Lease @ CGT</t>
  </si>
  <si>
    <t xml:space="preserve">               Gilbert/SRPMIC Lease (CGT)</t>
  </si>
  <si>
    <t xml:space="preserve">               Gilbert/SRPMIC Lease  @SMRP</t>
  </si>
  <si>
    <t xml:space="preserve">               Mesa/SRPMIC Lease</t>
  </si>
  <si>
    <t xml:space="preserve">               Chandler/SRPMIC Lease @ NMIDD</t>
  </si>
  <si>
    <t xml:space="preserve">               Chandler/SRPMIC Lease @ SMRP</t>
  </si>
  <si>
    <t xml:space="preserve">               Chandler/Wellton-Mohawk @ CGT TPs</t>
  </si>
  <si>
    <t xml:space="preserve">               Chandler/Wellton-Mohawk @ NMIDD</t>
  </si>
  <si>
    <t xml:space="preserve">               Chandler/Wellton-Mohawk @ SMRP</t>
  </si>
  <si>
    <t xml:space="preserve">               Gilbert/Wellton-Mohawk - CGT</t>
  </si>
  <si>
    <t xml:space="preserve">               Gilbert/Wellton-Mohawk - SMRP</t>
  </si>
  <si>
    <t xml:space="preserve">               Viewpoint (Mesa)/SRPMIC Lease</t>
  </si>
  <si>
    <t xml:space="preserve">               LSM (Mesa)/SRPMIC Lease</t>
  </si>
  <si>
    <t xml:space="preserve">               Red Mt Ranch CC (Mesa)/SRPMIC Lease</t>
  </si>
  <si>
    <t xml:space="preserve">               LSM (Mesa)/Welton-Mohawk</t>
  </si>
  <si>
    <t xml:space="preserve">               Red Mt Ranch CC (Mesa)/Welton-Mohawk</t>
  </si>
  <si>
    <t xml:space="preserve">               Mesa/Wellton-Mohawk</t>
  </si>
  <si>
    <t xml:space="preserve">               Tohono O'odham/NMIDD</t>
  </si>
  <si>
    <t xml:space="preserve">               CAGRD RR (SMRP)</t>
  </si>
  <si>
    <t xml:space="preserve">               NESalt River Valley Recharge (AWBA, Direct)</t>
  </si>
  <si>
    <t xml:space="preserve">               SMRP (AWBA, Direct)</t>
  </si>
  <si>
    <t xml:space="preserve">               Active Resource Mgmt/RWCD</t>
  </si>
  <si>
    <t xml:space="preserve">               BOR/RWCD</t>
  </si>
  <si>
    <t xml:space="preserve">               CAGRD RR/QCID</t>
  </si>
  <si>
    <t xml:space="preserve">               CAGRD RR/NMIDD</t>
  </si>
  <si>
    <t xml:space="preserve">               Resolution Copper/NMIDD</t>
  </si>
  <si>
    <t xml:space="preserve">               Resolution Copper/RWCD</t>
  </si>
  <si>
    <t xml:space="preserve">               CAIDD (AWBA, Indirect)</t>
  </si>
  <si>
    <t xml:space="preserve">               Interstate (CAIDD 22%) (AWBA, Indirect)</t>
  </si>
  <si>
    <t xml:space="preserve">               Interstate (NMIDD)  (AWBA, Indirect)</t>
  </si>
  <si>
    <t xml:space="preserve">               NMIDD (AWBA, Indirect)</t>
  </si>
  <si>
    <t xml:space="preserve">               Hohokam (AWBA, Indirect)</t>
  </si>
  <si>
    <t xml:space="preserve">               Interstate (Hohokam) (AWBA, Indirect)</t>
  </si>
  <si>
    <t xml:space="preserve">               MSIDD (AWBA, Indirect)</t>
  </si>
  <si>
    <t xml:space="preserve">               Interstate (MSIDD) (AWBA, Indirect)</t>
  </si>
  <si>
    <t xml:space="preserve">               Interstate (QCID) (AWBA, Indirect)</t>
  </si>
  <si>
    <t xml:space="preserve">               QCID (AWBA, Indirect)</t>
  </si>
  <si>
    <t>Salt River Project XS ($XX/AF) w/CAIDD</t>
  </si>
  <si>
    <t>Salt River Project XS ($XX/AF) w/MSIDD</t>
  </si>
  <si>
    <t>VOLUME PASSING SGL</t>
  </si>
  <si>
    <t>FLOW PASSING SGL (CFS)</t>
  </si>
  <si>
    <t>POOL 30 FLOW (design=2400)</t>
  </si>
  <si>
    <t>POOL 31 FLOW (design=2400)</t>
  </si>
  <si>
    <t>POOL 32 FLOW (design=2400)</t>
  </si>
  <si>
    <t>POOL BRD-A FLOW (design=2400)</t>
  </si>
  <si>
    <t>POOL BRD-B FLOW (design=2250)</t>
  </si>
  <si>
    <t>POOL BRD-C FLOW (design=1200)</t>
  </si>
  <si>
    <t>BRADY PP</t>
  </si>
  <si>
    <t xml:space="preserve">               Eloy, City of Central Main</t>
  </si>
  <si>
    <t xml:space="preserve">               Eloy, City of (Thru CAIDD) GSF</t>
  </si>
  <si>
    <t xml:space="preserve">               Freeport-McMoRan (CAIDD)</t>
  </si>
  <si>
    <t xml:space="preserve">               Arizona Water Co. (Casa Grande) w/ CAIDD</t>
  </si>
  <si>
    <t xml:space="preserve">               Florence, Town of (Thru CAIDD)</t>
  </si>
  <si>
    <t xml:space="preserve">               Picacho Peak Gas Storage/CAIDD</t>
  </si>
  <si>
    <t xml:space="preserve">               Picacho Elementary School</t>
  </si>
  <si>
    <t xml:space="preserve">               CAIDD (Central Main)</t>
  </si>
  <si>
    <t xml:space="preserve">               Freeport McMoran GRIC 100-yr lease/CAIDD</t>
  </si>
  <si>
    <t xml:space="preserve">               Freeport McMoran SCAT lease/CAIDD</t>
  </si>
  <si>
    <t xml:space="preserve">               Interstate (CAIDD 45%) (AWBA, Indirect)</t>
  </si>
  <si>
    <t>VOLUME PASSING BRD</t>
  </si>
  <si>
    <t>FLOW PASSING BRD (CFS)</t>
  </si>
  <si>
    <t>PICACHO PP</t>
  </si>
  <si>
    <r>
      <t xml:space="preserve">           </t>
    </r>
    <r>
      <rPr>
        <sz val="11"/>
        <color theme="1"/>
        <rFont val="Calibri"/>
        <family val="2"/>
        <scheme val="minor"/>
      </rPr>
      <t>Arizona Water Co.  (Coolidge) W/CAIDD</t>
    </r>
  </si>
  <si>
    <t xml:space="preserve">               Metro/Kai Farms</t>
  </si>
  <si>
    <t xml:space="preserve">               Oro Valley/Kai Farms</t>
  </si>
  <si>
    <t xml:space="preserve">               Tucson/Kai Farms</t>
  </si>
  <si>
    <t xml:space="preserve">               Vail Water Company/Kai Farms</t>
  </si>
  <si>
    <t xml:space="preserve">               CAIDD (South Main)</t>
  </si>
  <si>
    <t>CAIDD AG Pool Total</t>
  </si>
  <si>
    <t xml:space="preserve">               Kai Farms</t>
  </si>
  <si>
    <t xml:space="preserve">               CAGRD RR/Kai Farms</t>
  </si>
  <si>
    <t xml:space="preserve">               Interstate (CAIDD 33%) (AWBA, Indirect)</t>
  </si>
  <si>
    <t xml:space="preserve">               Interstate (Kai Farms) (AWBA, Indirect)</t>
  </si>
  <si>
    <t xml:space="preserve">               Kai Farms (AWBA, Indirect)</t>
  </si>
  <si>
    <t xml:space="preserve">SEGMENT DEMAND </t>
  </si>
  <si>
    <t>VOLUME PASSING PIC</t>
  </si>
  <si>
    <t>FLOW PASSING PIC (CFS)</t>
  </si>
  <si>
    <t>RED ROCK PP</t>
  </si>
  <si>
    <t xml:space="preserve">               Metro/AVRP</t>
  </si>
  <si>
    <t xml:space="preserve">               Metro/BKW</t>
  </si>
  <si>
    <t xml:space="preserve">               Metro/CMID</t>
  </si>
  <si>
    <t>COT</t>
  </si>
  <si>
    <t xml:space="preserve">               Metro/LSCRP</t>
  </si>
  <si>
    <t>LSC</t>
  </si>
  <si>
    <t xml:space="preserve">               Oro Valley/LSCRP</t>
  </si>
  <si>
    <t xml:space="preserve">               Phoenix/AVRP</t>
  </si>
  <si>
    <t xml:space="preserve">               Flowing Wells/LSCRP</t>
  </si>
  <si>
    <t xml:space="preserve">               Marana/BKW</t>
  </si>
  <si>
    <t xml:space="preserve">               Marana/LSCRP</t>
  </si>
  <si>
    <t xml:space="preserve">               Spanish Trail/CMID</t>
  </si>
  <si>
    <t xml:space="preserve">               Tucson/CMID</t>
  </si>
  <si>
    <t xml:space="preserve">               Tucson/LSCRP</t>
  </si>
  <si>
    <t xml:space="preserve">               CAGRD RO/LSCRP</t>
  </si>
  <si>
    <t xml:space="preserve">               BKW Farms</t>
  </si>
  <si>
    <t xml:space="preserve">               CMID</t>
  </si>
  <si>
    <t xml:space="preserve">               Ak-Chin/LSCRP</t>
  </si>
  <si>
    <t xml:space="preserve">               Ak-Chin/CMID</t>
  </si>
  <si>
    <t xml:space="preserve">               GRIC Exchange (CAGRD)/LSCRP</t>
  </si>
  <si>
    <t xml:space="preserve">               Phoenix/AVRP SRPMIC</t>
  </si>
  <si>
    <t xml:space="preserve">               Phoenix/AVRP FMYN</t>
  </si>
  <si>
    <t xml:space="preserve">               Phoenix/AVRP GRIC</t>
  </si>
  <si>
    <t xml:space="preserve">               Tohono O'Odham/LSCRP</t>
  </si>
  <si>
    <t xml:space="preserve">               CAGRD RR/LSCRP</t>
  </si>
  <si>
    <t xml:space="preserve">               Rosemont Copper/LSCRP</t>
  </si>
  <si>
    <t xml:space="preserve">               Avra Valley/METRO (AVRP, AWBA, Direct)</t>
  </si>
  <si>
    <t xml:space="preserve">               Interstate (AVRP) (AWBA, Direct)</t>
  </si>
  <si>
    <t xml:space="preserve">               LSCRP (AWBA, Direct)</t>
  </si>
  <si>
    <t xml:space="preserve">               Interstate (LSCRP) (AWBA, Direct)</t>
  </si>
  <si>
    <t xml:space="preserve">               BOR/LSCRP</t>
  </si>
  <si>
    <t xml:space="preserve">               BOR/CMID</t>
  </si>
  <si>
    <t xml:space="preserve">               BKW Farms (AWBA)</t>
  </si>
  <si>
    <t xml:space="preserve">               Interstate (CMID) (AWBA, Indirect)</t>
  </si>
  <si>
    <t xml:space="preserve">               CMID (AWBA, Indirect)</t>
  </si>
  <si>
    <t>VOLUME PASSING RED</t>
  </si>
  <si>
    <t>FLOW PASSING RED (CFS)</t>
  </si>
  <si>
    <t>TWIN PEAKS PP</t>
  </si>
  <si>
    <t>VOLUME PASSING TWP</t>
  </si>
  <si>
    <t>FLOW PASSING TWP (CFS)</t>
  </si>
  <si>
    <t>SANDARIO PP</t>
  </si>
  <si>
    <t xml:space="preserve">               Tucson - BKW Pumps (GSF)</t>
  </si>
  <si>
    <t xml:space="preserve">               Tucson - BKW Pumps (CAVSARP)</t>
  </si>
  <si>
    <t xml:space="preserve">               Tucson/BKW/GSF-Milewide</t>
  </si>
  <si>
    <t xml:space="preserve">               CAVSARP - BKW pumps (AWBA, Direct)</t>
  </si>
  <si>
    <t>VOLUME PASSING SAN</t>
  </si>
  <si>
    <t>FLOW PASSING SAN (CFS)</t>
  </si>
  <si>
    <t>BRAWLEY PP</t>
  </si>
  <si>
    <t xml:space="preserve">               Tucson/CAVSARP</t>
  </si>
  <si>
    <t xml:space="preserve">               Tucson/SAVSARP</t>
  </si>
  <si>
    <t xml:space="preserve">               Metro/SAVSARP</t>
  </si>
  <si>
    <t xml:space="preserve">               Phoenix/SAVSARP</t>
  </si>
  <si>
    <t xml:space="preserve">               Oro Valley/CAVSARP</t>
  </si>
  <si>
    <t xml:space="preserve">               Vail/SAVSARP</t>
  </si>
  <si>
    <t xml:space="preserve">               Tohono O'Odham/Schuk Toak</t>
  </si>
  <si>
    <t>SKT</t>
  </si>
  <si>
    <t xml:space="preserve">               Pascua Yaqui/SAVSARP</t>
  </si>
  <si>
    <t>SAV</t>
  </si>
  <si>
    <t xml:space="preserve">               Pascua Yaqui (Ak-Chin Lease)/SAVSARP</t>
  </si>
  <si>
    <t xml:space="preserve">               Pascua Yaqui (SCAT Lease) SAVSARP</t>
  </si>
  <si>
    <t xml:space="preserve">               Phoenix/SAVSARP Assignment</t>
  </si>
  <si>
    <t xml:space="preserve">               Phoenix/SAVSARP Wellton-Mohawk</t>
  </si>
  <si>
    <t xml:space="preserve">               Phoenix/SAVSARP GRIC</t>
  </si>
  <si>
    <t xml:space="preserve">               Phoenix/SAVSARP FMYN</t>
  </si>
  <si>
    <t xml:space="preserve">               Phoenix/SAVSARP SRPMIC</t>
  </si>
  <si>
    <t xml:space="preserve">               Tohono O'Odham/SAVSARP</t>
  </si>
  <si>
    <t xml:space="preserve">               CAVSARP (AWBA, Direct)</t>
  </si>
  <si>
    <t xml:space="preserve">               CAVSARP (Interstate) (AWBA, Direct)</t>
  </si>
  <si>
    <t xml:space="preserve">               SAVSARP (AWBA, Direct)</t>
  </si>
  <si>
    <t xml:space="preserve">               SAVSARP (Interstate) (AWBA, Direct)</t>
  </si>
  <si>
    <t>VOLUME PASSING BRW</t>
  </si>
  <si>
    <t>FLOW PASSING BRW (CFS)</t>
  </si>
  <si>
    <t>SAN XAVIER PP</t>
  </si>
  <si>
    <t>VOLUME PASSING SXV</t>
  </si>
  <si>
    <t>FLOW PASSING SXV (CFS)</t>
  </si>
  <si>
    <t>SNYDER HILL PP</t>
  </si>
  <si>
    <t xml:space="preserve">               City of Tucson/Plant</t>
  </si>
  <si>
    <t>CAVSARP Recovery System</t>
  </si>
  <si>
    <t>VOLUME PASSING SND</t>
  </si>
  <si>
    <t>FLOW PASSING SND (CFS)</t>
  </si>
  <si>
    <t>BLACK MOUNTAIN PP</t>
  </si>
  <si>
    <t xml:space="preserve">               Community Water Co.</t>
  </si>
  <si>
    <t>PMR</t>
  </si>
  <si>
    <t xml:space="preserve">               Green Valley Water District/PMR</t>
  </si>
  <si>
    <t xml:space="preserve">               Oro Valley/PMR</t>
  </si>
  <si>
    <t xml:space="preserve">               Spanish Trail/PMR</t>
  </si>
  <si>
    <t xml:space="preserve">               Tucson/FICO</t>
  </si>
  <si>
    <t xml:space="preserve">               Tucson/PMR</t>
  </si>
  <si>
    <t xml:space="preserve">               CAGRD RO/PMR</t>
  </si>
  <si>
    <t xml:space="preserve">               FICO</t>
  </si>
  <si>
    <t xml:space="preserve">               San Xavier Cooperative Farm/Tohono (San Xavier)</t>
  </si>
  <si>
    <t>SX2</t>
  </si>
  <si>
    <t xml:space="preserve">               Pascua Yaqui</t>
  </si>
  <si>
    <t>PYQ</t>
  </si>
  <si>
    <t xml:space="preserve">               Freeport McMoRan GRIC Lease/FICO</t>
  </si>
  <si>
    <t xml:space="preserve">               Pascua Yaqui Ak-Chin Lease</t>
  </si>
  <si>
    <t xml:space="preserve">               Pascua Yaqui SCAT Lease</t>
  </si>
  <si>
    <t xml:space="preserve">               GRIC Exchange (CAGRD)/PMR</t>
  </si>
  <si>
    <t xml:space="preserve">               Tohono O'Odham/PMR</t>
  </si>
  <si>
    <t xml:space="preserve">               ASARCO/Tohono (San Xavier)</t>
  </si>
  <si>
    <t>ASR</t>
  </si>
  <si>
    <t xml:space="preserve">               CAGRD RR/PMR</t>
  </si>
  <si>
    <t xml:space="preserve">               Rosemont Copper/PMR</t>
  </si>
  <si>
    <t xml:space="preserve">               PMR (AWBA, Direct)</t>
  </si>
  <si>
    <t xml:space="preserve">               Interstate (PMR) (AWBA, Direct)</t>
  </si>
  <si>
    <t>VOLUME PASSING BLK</t>
  </si>
  <si>
    <t>FLOW PASSING BLK (CFS)</t>
  </si>
  <si>
    <t>TOTAL SYSTEM DELIVERIES</t>
  </si>
  <si>
    <t xml:space="preserve">     Non-Subcontract (direct use excess)</t>
  </si>
  <si>
    <t xml:space="preserve">     CAGRD (xs replenishment obligation)</t>
  </si>
  <si>
    <t xml:space="preserve">     Salt River Project XS</t>
  </si>
  <si>
    <t xml:space="preserve">     Temporary  Water Use Permits</t>
  </si>
  <si>
    <r>
      <t>RECHARGE</t>
    </r>
    <r>
      <rPr>
        <b/>
        <vertAlign val="superscript"/>
        <sz val="12"/>
        <rFont val="Helv"/>
      </rPr>
      <t>1</t>
    </r>
    <r>
      <rPr>
        <b/>
        <sz val="12"/>
        <rFont val="Helv"/>
      </rPr>
      <t>:</t>
    </r>
  </si>
  <si>
    <t xml:space="preserve">     Direct (excess)</t>
  </si>
  <si>
    <r>
      <t xml:space="preserve">          Interstate Banking (from Direct AWBA)</t>
    </r>
    <r>
      <rPr>
        <vertAlign val="superscript"/>
        <sz val="12"/>
        <rFont val="Helv"/>
      </rPr>
      <t>2</t>
    </r>
  </si>
  <si>
    <t xml:space="preserve">     Indirect (excess)</t>
  </si>
  <si>
    <r>
      <t xml:space="preserve">          Interstate Banking (from Indirect AWBA)</t>
    </r>
    <r>
      <rPr>
        <vertAlign val="superscript"/>
        <sz val="12"/>
        <rFont val="Helv"/>
      </rPr>
      <t>2</t>
    </r>
  </si>
  <si>
    <r>
      <rPr>
        <vertAlign val="superscript"/>
        <sz val="12"/>
        <rFont val="Helv"/>
      </rPr>
      <t>1</t>
    </r>
    <r>
      <rPr>
        <sz val="11"/>
        <color theme="1"/>
        <rFont val="Calibri"/>
        <family val="2"/>
        <scheme val="minor"/>
      </rPr>
      <t xml:space="preserve"> This classification represents </t>
    </r>
    <r>
      <rPr>
        <b/>
        <sz val="12"/>
        <rFont val="Helv"/>
      </rPr>
      <t>EXCESS</t>
    </r>
    <r>
      <rPr>
        <sz val="11"/>
        <color theme="1"/>
        <rFont val="Calibri"/>
        <family val="2"/>
        <scheme val="minor"/>
      </rPr>
      <t xml:space="preserve"> water that has been directly or indirectly recharged.  AWBA, Federal Indian Firming, CAGRD Replenishment Reserve are included in this category.  CAP water recharged under Federal or M&amp;I Subcontracts is not included.</t>
    </r>
  </si>
  <si>
    <t>2  In 2018, Nevada has entered into a Storage and Interstate Release Agreement (SIRA) for 13,500 acre-feet of Nevada un-used apportionment.</t>
  </si>
  <si>
    <t>TOTAL DELIVERIES BY CLASS</t>
  </si>
  <si>
    <t>AG</t>
  </si>
  <si>
    <t>Analysis and breakdown of energy use</t>
  </si>
  <si>
    <t/>
  </si>
  <si>
    <t>RECHARGE</t>
  </si>
  <si>
    <t>SGL to</t>
  </si>
  <si>
    <t>West Plant</t>
  </si>
  <si>
    <t>Total West</t>
  </si>
  <si>
    <t>BLK</t>
  </si>
  <si>
    <t>(MLD)</t>
  </si>
  <si>
    <t>Waddell</t>
  </si>
  <si>
    <t>Total</t>
  </si>
  <si>
    <t>Average</t>
  </si>
  <si>
    <t>TOTAL DELIVERIES</t>
  </si>
  <si>
    <t>WAD</t>
  </si>
  <si>
    <t>Use</t>
  </si>
  <si>
    <t>Energy for</t>
  </si>
  <si>
    <t>Plant</t>
  </si>
  <si>
    <t>Pumping</t>
  </si>
  <si>
    <t>CAP PP</t>
  </si>
  <si>
    <t>Generation</t>
  </si>
  <si>
    <t>Scheduled</t>
  </si>
  <si>
    <t>Flow</t>
  </si>
  <si>
    <t>Release</t>
  </si>
  <si>
    <t>.</t>
  </si>
  <si>
    <t>Rate</t>
  </si>
  <si>
    <t>Waddell (1)</t>
  </si>
  <si>
    <t>Deliveries(2)</t>
  </si>
  <si>
    <t>Energy</t>
  </si>
  <si>
    <t>Energy (3)</t>
  </si>
  <si>
    <t>at HAV</t>
  </si>
  <si>
    <t>Q at WAD</t>
  </si>
  <si>
    <t>(AF)</t>
  </si>
  <si>
    <t>(KWH/AF)</t>
  </si>
  <si>
    <t>(MWH)</t>
  </si>
  <si>
    <t>(cfs)</t>
  </si>
  <si>
    <t>--------</t>
  </si>
  <si>
    <t xml:space="preserve">        CAP Pumping Plants - Projection of Water Volumes Pumped</t>
  </si>
  <si>
    <t>Jan</t>
  </si>
  <si>
    <t>Feb</t>
  </si>
  <si>
    <t>CAWCD Water Control Department</t>
  </si>
  <si>
    <t>Mar</t>
  </si>
  <si>
    <t>Apr</t>
  </si>
  <si>
    <t>May</t>
  </si>
  <si>
    <t>(Acre-Feet)</t>
  </si>
  <si>
    <t>Jun</t>
  </si>
  <si>
    <t>Jul</t>
  </si>
  <si>
    <t>HAV</t>
  </si>
  <si>
    <t>BSH</t>
  </si>
  <si>
    <t>LHQ</t>
  </si>
  <si>
    <t>HSY</t>
  </si>
  <si>
    <t>SGL</t>
  </si>
  <si>
    <t>BRD</t>
  </si>
  <si>
    <t>PIC</t>
  </si>
  <si>
    <t>RED</t>
  </si>
  <si>
    <t>TWP</t>
  </si>
  <si>
    <t>SAN</t>
  </si>
  <si>
    <t>BRW</t>
  </si>
  <si>
    <t>SXV</t>
  </si>
  <si>
    <t>SND</t>
  </si>
  <si>
    <t>Lake Pleasant Projected EOM Elevation (ft)</t>
  </si>
  <si>
    <t>Aug</t>
  </si>
  <si>
    <t>Sep</t>
  </si>
  <si>
    <t>Oct</t>
  </si>
  <si>
    <t>Nov</t>
  </si>
  <si>
    <t>Dec</t>
  </si>
  <si>
    <t>(1)  West Plant Energy for Waddell is the pumping energy</t>
  </si>
  <si>
    <t xml:space="preserve">     used to support Waddell pumping.  (HAV+BSH+LHQ+HSY+WAD)</t>
  </si>
  <si>
    <t>(2) West Plant Energy for Deliveries is west plant energy used to make deliveries. (HAV+BSH+LHQ+HSY)</t>
  </si>
  <si>
    <t>(3) Total Scheduled Energy = ED - Waddell Generation Energy</t>
  </si>
  <si>
    <t xml:space="preserve">  Non-firm Transmission Service</t>
  </si>
  <si>
    <t>CAP Pumping Plants - Projection of Energy Use - For Waddell Filling Only</t>
  </si>
  <si>
    <t>CAP Pumping Plants - Projection of Energy Use - For Deliveries Only</t>
  </si>
  <si>
    <t xml:space="preserve">          Tucson B Plants only</t>
  </si>
  <si>
    <t>By: Brian Henning, CAWCD Water Control Department</t>
  </si>
  <si>
    <t>(MWh)</t>
  </si>
  <si>
    <t>($/MWh)</t>
  </si>
  <si>
    <t xml:space="preserve">     CAP Pumping Plants - Average Flow Projection</t>
  </si>
  <si>
    <t xml:space="preserve">    (Megawatt Hours)</t>
  </si>
  <si>
    <t>Plant -&gt;</t>
  </si>
  <si>
    <t>Use rate</t>
  </si>
  <si>
    <t>West</t>
  </si>
  <si>
    <t>(KWH/AF)-&gt;</t>
  </si>
  <si>
    <t>(CFS)</t>
  </si>
  <si>
    <t>-------</t>
  </si>
  <si>
    <t>CAP Energy Transmission Losses</t>
  </si>
  <si>
    <t xml:space="preserve">     CAP Pumping Plants - Projection of Energy Use</t>
  </si>
  <si>
    <t>(Megawatt Hours - MWh)</t>
  </si>
  <si>
    <t>pump</t>
  </si>
  <si>
    <t>NGS/McC TX</t>
  </si>
  <si>
    <t>Parker/Davis</t>
  </si>
  <si>
    <t>Intertie</t>
  </si>
  <si>
    <t>System</t>
  </si>
  <si>
    <t>CAP</t>
  </si>
  <si>
    <t>Energy Use Rate (kWh/AF)</t>
  </si>
  <si>
    <t>Cum %</t>
  </si>
  <si>
    <t>Use in River Shaper for each month</t>
  </si>
  <si>
    <t>Monthly Projection of CAP Energy Resources (MWh)</t>
  </si>
  <si>
    <t>CAP Energy Transmission Losses (Financial Reconcilation)</t>
  </si>
  <si>
    <t>Prepared by CAP Water Control Department</t>
  </si>
  <si>
    <t>Energy Needed for Water Operations</t>
  </si>
  <si>
    <t>Non Navajo Energy Resources</t>
  </si>
  <si>
    <t>Navajo Reserved Energy</t>
  </si>
  <si>
    <t>Projected Actions</t>
  </si>
  <si>
    <t>(TL)</t>
  </si>
  <si>
    <t>(ED)</t>
  </si>
  <si>
    <t>(TL+ED)</t>
  </si>
  <si>
    <t>(NG)</t>
  </si>
  <si>
    <t>(HE)</t>
  </si>
  <si>
    <t>(CP)</t>
  </si>
  <si>
    <t>(PO)</t>
  </si>
  <si>
    <t>(NE)* per WAPA</t>
  </si>
  <si>
    <t>OPS</t>
  </si>
  <si>
    <t>Purchases</t>
  </si>
  <si>
    <t>Sales</t>
  </si>
  <si>
    <t>CAP PP
Energy</t>
  </si>
  <si>
    <t>Switchyard 
Losses</t>
  </si>
  <si>
    <t>Transmission
Losses</t>
  </si>
  <si>
    <t>Total
 Energy</t>
  </si>
  <si>
    <t>Hoover B</t>
  </si>
  <si>
    <t>Hoover C</t>
  </si>
  <si>
    <t>Total
Hoover</t>
  </si>
  <si>
    <t>Energy
Provided by</t>
  </si>
  <si>
    <t xml:space="preserve">For </t>
  </si>
  <si>
    <t>Additional</t>
  </si>
  <si>
    <t>Outage /</t>
  </si>
  <si>
    <t>Net</t>
  </si>
  <si>
    <t>Balance</t>
  </si>
  <si>
    <t>(Short)</t>
  </si>
  <si>
    <t>(Long)</t>
  </si>
  <si>
    <t>@ LOAD</t>
  </si>
  <si>
    <t>Delivered</t>
  </si>
  <si>
    <t>@ GEN</t>
  </si>
  <si>
    <t>GEN</t>
  </si>
  <si>
    <t>Others</t>
  </si>
  <si>
    <t>6.2 OP1</t>
  </si>
  <si>
    <t>RSVD</t>
  </si>
  <si>
    <t>Curtailment</t>
  </si>
  <si>
    <t>Month</t>
  </si>
  <si>
    <t>---------</t>
  </si>
  <si>
    <t>----------</t>
  </si>
  <si>
    <t>NSTS</t>
  </si>
  <si>
    <t>APS</t>
  </si>
  <si>
    <t>*  Total Navajo Energy NE= ED+TL-NG-HE-CP-PO</t>
  </si>
  <si>
    <t>1) ED = 100.5% of MLD</t>
  </si>
  <si>
    <t>2) Waddell generation ends when lake elevation drops below elevation 1640.</t>
  </si>
  <si>
    <t>3) New 3-party agreement since Oct 1, 2011.  No categories for threshold or surcharge energy.</t>
  </si>
  <si>
    <r>
      <rPr>
        <b/>
        <sz val="11"/>
        <color rgb="FFFF0000"/>
        <rFont val="Arial"/>
        <family val="2"/>
      </rPr>
      <t>HOURLY AVERAGE</t>
    </r>
    <r>
      <rPr>
        <b/>
        <sz val="11"/>
        <rFont val="Arial"/>
        <family val="2"/>
      </rPr>
      <t xml:space="preserve"> of CAP Energy Resources (Mega Watts)</t>
    </r>
  </si>
  <si>
    <t>(MW)</t>
  </si>
  <si>
    <t>MW</t>
  </si>
  <si>
    <t xml:space="preserve">     CAP Pumping Plants - Daily "Average"  Power Schedule</t>
  </si>
  <si>
    <t>Num Days</t>
  </si>
  <si>
    <t>Sunday</t>
  </si>
  <si>
    <t>Includes WAD SGL</t>
  </si>
  <si>
    <t>Typical Day</t>
  </si>
  <si>
    <t>feb</t>
  </si>
  <si>
    <t>HAV*</t>
  </si>
  <si>
    <t>Total Load</t>
  </si>
  <si>
    <t>West Total</t>
  </si>
  <si>
    <t>Waddel</t>
  </si>
  <si>
    <t>South Total</t>
  </si>
  <si>
    <t>OFPK</t>
  </si>
  <si>
    <t>ONPK</t>
  </si>
  <si>
    <t>SUPER PEAK</t>
  </si>
  <si>
    <t>WAD (P)</t>
  </si>
  <si>
    <t>WAD (G)</t>
  </si>
  <si>
    <t>OFFPK</t>
  </si>
  <si>
    <t>OFF PK</t>
  </si>
  <si>
    <t>Gen</t>
  </si>
  <si>
    <t>w/SGL</t>
  </si>
  <si>
    <t>Losses</t>
  </si>
  <si>
    <t>Navajo Reserve</t>
  </si>
  <si>
    <t>Other Resources</t>
  </si>
  <si>
    <t>n/a</t>
  </si>
  <si>
    <t>* Sundays considered OFPK MW For entire day (24hrs)</t>
  </si>
  <si>
    <t xml:space="preserve">     Mark Wilmer PP Detailed Daily "Average"  Power Schedule</t>
  </si>
  <si>
    <t>Weekdays</t>
  </si>
  <si>
    <t>Sundays</t>
  </si>
  <si>
    <t xml:space="preserve">Monthly </t>
  </si>
  <si>
    <t>Monthly</t>
  </si>
  <si>
    <t>Weekday</t>
  </si>
  <si>
    <t>Days*</t>
  </si>
  <si>
    <t>SUPER-PEAK</t>
  </si>
  <si>
    <t>Day Total</t>
  </si>
  <si>
    <t>Days**</t>
  </si>
  <si>
    <t>Variance**</t>
  </si>
  <si>
    <t>On Peak</t>
  </si>
  <si>
    <t># Units</t>
  </si>
  <si>
    <t>MWH</t>
  </si>
  <si>
    <t>MWH TOT</t>
  </si>
  <si>
    <t>Hours</t>
  </si>
  <si>
    <t>West HAV - HSY</t>
  </si>
  <si>
    <t>WAD -PMP</t>
  </si>
  <si>
    <t>WAD - GEN</t>
  </si>
  <si>
    <t>South w/SGL</t>
  </si>
  <si>
    <t>Off Peak</t>
  </si>
  <si>
    <t xml:space="preserve">  </t>
  </si>
  <si>
    <t>* Excluding Sundays</t>
  </si>
  <si>
    <t>**Number of Sundays in Given Month</t>
  </si>
  <si>
    <t>Represents Monthly Variance against water projection total</t>
  </si>
  <si>
    <t>Note: Per LPD disabled super peak 1-30-2017</t>
  </si>
  <si>
    <t>Sept</t>
  </si>
  <si>
    <t xml:space="preserve">           Projection of CAP Energy Purchases</t>
  </si>
  <si>
    <t>By: Tim Kacerek, CAWCD Water Control Department</t>
  </si>
  <si>
    <t>Navajo Energy Purchases</t>
  </si>
  <si>
    <t>WAPA (or SRP) Extra Energy Purchases</t>
  </si>
  <si>
    <t>APA Hoover B Energy Purchases</t>
  </si>
  <si>
    <t>APA Hoover C Energy Purchases</t>
  </si>
  <si>
    <t xml:space="preserve">       (Energy use above threshold subject to surcharge)</t>
  </si>
  <si>
    <t>(NE)*</t>
  </si>
  <si>
    <t>(ER)</t>
  </si>
  <si>
    <t>(NExER)</t>
  </si>
  <si>
    <t>(WE)</t>
  </si>
  <si>
    <t>(WExER)</t>
  </si>
  <si>
    <t>(HExER)</t>
  </si>
  <si>
    <t>Total Navajo</t>
  </si>
  <si>
    <t>Invoice</t>
  </si>
  <si>
    <t>Western</t>
  </si>
  <si>
    <t>Hoover</t>
  </si>
  <si>
    <t>Amount</t>
  </si>
  <si>
    <t>($/MWH)</t>
  </si>
  <si>
    <t>($1000)</t>
  </si>
  <si>
    <t>Revised:  10/31/2019</t>
  </si>
  <si>
    <t xml:space="preserve">               SCAT - SRP (Freeport-McMoRan) CSIF/RWCD</t>
  </si>
  <si>
    <t xml:space="preserve">               Avondale/CSIF  (own facility)</t>
  </si>
  <si>
    <t xml:space="preserve">               Gilbert/SCAT 100-yr Lease @ NMIDD</t>
  </si>
  <si>
    <t xml:space="preserve">               GRIC GSF w/CAIDD (50%)</t>
  </si>
  <si>
    <t>Revised:  11/27/2018</t>
  </si>
  <si>
    <t xml:space="preserve">               Miami - SRP (Freeport-McMoRan) CSIF</t>
  </si>
  <si>
    <t xml:space="preserve">               Rio Verde Utilities Company (CSIF)</t>
  </si>
  <si>
    <t xml:space="preserve">               Gilbert/SCAT Lease (CSIF)</t>
  </si>
  <si>
    <t xml:space="preserve">               Gilbert/SCAT @ NMIDD</t>
  </si>
  <si>
    <t xml:space="preserve">               Gilbert/SCAT @ QCID</t>
  </si>
  <si>
    <t xml:space="preserve">               Gilbert/SCAT 1-yr lease (CGT)</t>
  </si>
  <si>
    <t xml:space="preserve">               Gilbert/SCAT 1 Yr Lease @ NMIDD</t>
  </si>
  <si>
    <t xml:space="preserve">               Gilbert/SCAT 1 Yr Lease @ SMRP</t>
  </si>
  <si>
    <t xml:space="preserve">               Unknown SCAT Water (tbd)</t>
  </si>
  <si>
    <t xml:space="preserve">               Chandler/SRPMIC Lease @SMRP</t>
  </si>
  <si>
    <t xml:space="preserve">              Viewpoint (Mesa)/Wellton-Mohawk</t>
  </si>
  <si>
    <t xml:space="preserve">               LSM (Mesa)/Wellton-Mohawk</t>
  </si>
  <si>
    <t xml:space="preserve">               Red Mt Ranch CC (Mesa)/Wellton-Mohawk</t>
  </si>
  <si>
    <t xml:space="preserve">               Miami - Freeport-McMoRan (CAIDD)</t>
  </si>
  <si>
    <t xml:space="preserve">               Freeport McMoran Storage w/ CAIDD SCAT 1 Yr Lease (Safford)</t>
  </si>
  <si>
    <t>(Deliveries are actuals through xxx, and projections for the remainder of the year)</t>
  </si>
  <si>
    <t>Revised:  11/30/2017</t>
  </si>
  <si>
    <t xml:space="preserve">               Chandler/Welton-Mohawk - TDRP</t>
  </si>
  <si>
    <t xml:space="preserve">               Gilbert/Welton-Mohawk - TDRP</t>
  </si>
  <si>
    <t xml:space="preserve">               Chaparral City Water Company (MWD)</t>
  </si>
  <si>
    <t xml:space="preserve">               Chaparral City Water Company (CCW)</t>
  </si>
  <si>
    <t xml:space="preserve">               Ak-Chin/Pulte/Festrival Rch pumps</t>
  </si>
  <si>
    <t xml:space="preserve">               Chandler/Welton-Mohawk (CSIF)</t>
  </si>
  <si>
    <t xml:space="preserve">               Gilbert/Welton-Mohawk (CSIF)</t>
  </si>
  <si>
    <t xml:space="preserve">               Glendale/Welton-Mohawk</t>
  </si>
  <si>
    <t xml:space="preserve">               Mesa/Welton-Mohawk</t>
  </si>
  <si>
    <t xml:space="preserve">               Phoenix/Welton-Mohawk</t>
  </si>
  <si>
    <t xml:space="preserve">               Scottsdale/Welton-Mohawk</t>
  </si>
  <si>
    <t xml:space="preserve">               Tempe/Welton-Mohawk (CSIF)</t>
  </si>
  <si>
    <t xml:space="preserve">               Eloy, City of (Thru MSIDD)</t>
  </si>
  <si>
    <t xml:space="preserve">               Chandler/Welton-Mohawk @ CGT TPs</t>
  </si>
  <si>
    <t xml:space="preserve">               Chandler/Welton-Mohawk @ NMIDD</t>
  </si>
  <si>
    <t xml:space="preserve">               Chandler/Welton-Mohawk @ SMRP</t>
  </si>
  <si>
    <t xml:space="preserve">               Gilbert/Welton-Mohawk - CGT</t>
  </si>
  <si>
    <t xml:space="preserve">               Gilbert/Welton-Mohawk - SMRP</t>
  </si>
  <si>
    <t xml:space="preserve">              Viewpoint (Mesa)/Welton-Mohawk</t>
  </si>
  <si>
    <t xml:space="preserve">               Freeport McMoran Storage w/ CAIDD SCAT 1 Yr Lease (Morenci)</t>
  </si>
  <si>
    <t xml:space="preserve">               Spanish Trails/CMID</t>
  </si>
  <si>
    <t>Revised:  12/8/2016</t>
  </si>
  <si>
    <t>2017 target</t>
  </si>
  <si>
    <t xml:space="preserve">     CAGRD</t>
  </si>
  <si>
    <t xml:space="preserve">               CAGRD (Tonopah ID)</t>
  </si>
  <si>
    <t xml:space="preserve">               TDRP (CAGRD)</t>
  </si>
  <si>
    <t xml:space="preserve">               Tonopah ID (CAGRD)</t>
  </si>
  <si>
    <t xml:space="preserve">               CAGRD (TDRP)</t>
  </si>
  <si>
    <t xml:space="preserve">               CAGRD/Tonopah ID</t>
  </si>
  <si>
    <t xml:space="preserve">               CAGRD (AFRP)</t>
  </si>
  <si>
    <t xml:space="preserve">               CAGRD (HMRP)</t>
  </si>
  <si>
    <t xml:space="preserve">               CAGRD (MWD)</t>
  </si>
  <si>
    <t xml:space="preserve">               thru AFRP (CAGRD)</t>
  </si>
  <si>
    <t xml:space="preserve">               thru HMRP (CAGRD)</t>
  </si>
  <si>
    <t xml:space="preserve">               thru Scottsdale (CAGRD)</t>
  </si>
  <si>
    <t xml:space="preserve">               GRIC/SRP GRSP</t>
  </si>
  <si>
    <t xml:space="preserve">               CAGRD/MWD</t>
  </si>
  <si>
    <t xml:space="preserve">               CAGRD (QCID)</t>
  </si>
  <si>
    <t xml:space="preserve">               CAGRD thru NMIDD</t>
  </si>
  <si>
    <t xml:space="preserve">               thru MSIDD (CAGRD)</t>
  </si>
  <si>
    <t xml:space="preserve">               thru NMIDD (CAGRD)</t>
  </si>
  <si>
    <t xml:space="preserve">               thru QCID (CAGRD)</t>
  </si>
  <si>
    <t xml:space="preserve">               thru SMRP (CAGRD)</t>
  </si>
  <si>
    <t xml:space="preserve">               Gilbert/FMYN GRUSP @ SRP</t>
  </si>
  <si>
    <t xml:space="preserve">               CAGRD (SMRP)</t>
  </si>
  <si>
    <t xml:space="preserve">               CAGRD/QCID</t>
  </si>
  <si>
    <t xml:space="preserve">               CAGRD/NMIDD</t>
  </si>
  <si>
    <t xml:space="preserve">               CAGRD/Kai Farms</t>
  </si>
  <si>
    <t xml:space="preserve">               CAGRD/LSCRP</t>
  </si>
  <si>
    <t xml:space="preserve">               Ak-Chin/LSC</t>
  </si>
  <si>
    <t xml:space="preserve">               Tohono O'Odham/LSC</t>
  </si>
  <si>
    <t xml:space="preserve">               CAGRD/PMR</t>
  </si>
  <si>
    <t xml:space="preserve">          Interstate Banking (from Direct AWBA)</t>
  </si>
  <si>
    <r>
      <t xml:space="preserve">     Indirect AWBA</t>
    </r>
    <r>
      <rPr>
        <b/>
        <vertAlign val="superscript"/>
        <sz val="12"/>
        <rFont val="Helv"/>
      </rPr>
      <t>2</t>
    </r>
  </si>
  <si>
    <t xml:space="preserve">          Interstate Banking (from Indirect AWBA)</t>
  </si>
  <si>
    <r>
      <rPr>
        <vertAlign val="superscript"/>
        <sz val="12"/>
        <rFont val="Helv"/>
      </rPr>
      <t>1</t>
    </r>
    <r>
      <rPr>
        <sz val="11"/>
        <color theme="1"/>
        <rFont val="Calibri"/>
        <family val="2"/>
        <scheme val="minor"/>
      </rPr>
      <t xml:space="preserve"> This classification represents </t>
    </r>
    <r>
      <rPr>
        <b/>
        <sz val="12"/>
        <rFont val="Helv"/>
      </rPr>
      <t>EXCESS</t>
    </r>
    <r>
      <rPr>
        <sz val="11"/>
        <color theme="1"/>
        <rFont val="Calibri"/>
        <family val="2"/>
        <scheme val="minor"/>
      </rPr>
      <t xml:space="preserve"> water that has been directly or indirectly recharged.  AWBA, Federal Indian Firming, CAGRD Replenishment Reserve are included in this category.  CAP water recharged under Federal or M&amp;I Subcontract are not included.</t>
    </r>
  </si>
  <si>
    <t>2  The AWBA South Side Replenishment Bank is included in this summation.  The bank offsets groundwater pumped by NIA conractors on zones near the Gila Indian Reservation.  AWBA is required to replenish up to 15,000 acre-feet</t>
  </si>
  <si>
    <t>(NE)* per WAPA 12/10/2014</t>
  </si>
  <si>
    <t>OFPK tot</t>
  </si>
  <si>
    <t>ONPK tot</t>
  </si>
  <si>
    <t>SUPER PEAK tot</t>
  </si>
  <si>
    <t>Revised:  12/8/2015</t>
  </si>
  <si>
    <t>2016 target</t>
  </si>
  <si>
    <t xml:space="preserve">               Fort McDowell Tribe/Gilbert - TDRP</t>
  </si>
  <si>
    <t xml:space="preserve">               Phoenix/RWCD Assignment</t>
  </si>
  <si>
    <t xml:space="preserve">               Gilbert/Fort McDowell Lease (CSIF)</t>
  </si>
  <si>
    <t xml:space="preserve">               Phoenix/Fort McDowell</t>
  </si>
  <si>
    <t xml:space="preserve">               Fort McDowell Tribe - SRP (CSIF)</t>
  </si>
  <si>
    <t xml:space="preserve">         AG Pool Forebearance Program</t>
  </si>
  <si>
    <t>CAIDD AG Pool Split</t>
  </si>
  <si>
    <t xml:space="preserve">               Gilbert/Fort McDowell w/NMIDD</t>
  </si>
  <si>
    <t xml:space="preserve">               Gilbert/Fort McDowell @ SMRP</t>
  </si>
  <si>
    <t xml:space="preserve">               Eloy, City of (Thru CAIDD)</t>
  </si>
  <si>
    <t>(Deliveries are actuals through DEC, and projections for the remainder of the year)</t>
  </si>
  <si>
    <t>Revised:  1/18/2018</t>
  </si>
  <si>
    <t xml:space="preserve">               Chandler, City of (AFRP)</t>
  </si>
  <si>
    <t xml:space="preserve">               Glendale (AFRP)</t>
  </si>
  <si>
    <t xml:space="preserve">               Peoria (GLE, Inadvertent Overrun)</t>
  </si>
  <si>
    <t xml:space="preserve">               Tonto Hills DWID (Inadvertent Overrun)</t>
  </si>
  <si>
    <t xml:space="preserve">               Gilbert/Welton-Mohawk (AFRP)</t>
  </si>
  <si>
    <t xml:space="preserve">               Gilbert/SCAT (AFRP)</t>
  </si>
  <si>
    <t xml:space="preserve">               Gilbert, Town of (QCID)</t>
  </si>
  <si>
    <t xml:space="preserve">               Chandler (Inadvertent Overrun)</t>
  </si>
  <si>
    <t xml:space="preserve">               Gilbert (Inadvertent Overrun)</t>
  </si>
  <si>
    <t xml:space="preserve">               Tucson/BKW (GSF) thru LSC turnout</t>
  </si>
  <si>
    <t xml:space="preserve">               Phoenix/GRIC Lease/AVRP</t>
  </si>
  <si>
    <t xml:space="preserve">               Phoenix/GRIC Lease/SAVSARP</t>
  </si>
  <si>
    <t>(Deliveries are actuals through DEC)</t>
  </si>
  <si>
    <t>Revised:  3/2/2019</t>
  </si>
  <si>
    <t>Interstate</t>
  </si>
  <si>
    <t xml:space="preserve">               Phoenix</t>
  </si>
  <si>
    <t xml:space="preserve">               Scottsdale</t>
  </si>
  <si>
    <t xml:space="preserve">               Gilbert</t>
  </si>
  <si>
    <t xml:space="preserve">               Tucson/AVRP</t>
  </si>
  <si>
    <t>(Deliveries are actuals through SEP, and projections for the remainder of the year)</t>
  </si>
  <si>
    <t>Revised:  11/4/2019</t>
  </si>
  <si>
    <t xml:space="preserve">               El Mirage (AFRP)</t>
  </si>
  <si>
    <t xml:space="preserve">               Phoenix, City of (HMRP)</t>
  </si>
  <si>
    <t xml:space="preserve">               Phoenix, City of (Hohokam-CDR)</t>
  </si>
  <si>
    <t xml:space="preserve">               Phoenix, City of (CSIF) (Hohokam-CDR)</t>
  </si>
  <si>
    <t xml:space="preserve">               Phoenix/GRIC Lease (HMRP)</t>
  </si>
  <si>
    <t xml:space="preserve">               GRIC/RWCD GSF (CSIF)</t>
  </si>
  <si>
    <t xml:space="preserve">               Phoenix @ QCID</t>
  </si>
  <si>
    <t xml:space="preserve">               Phoenix (Hohokam-CDR) @ NMIDD</t>
  </si>
  <si>
    <t xml:space="preserve">               Chandler/SRPMIC Lease -NMIDD</t>
  </si>
  <si>
    <t xml:space="preserve">               Gilbert/SCAT Lease @ SMRP</t>
  </si>
  <si>
    <t xml:space="preserve">               Morenci - Freeport-McMoRan (RWCD)</t>
  </si>
  <si>
    <t xml:space="preserve">               Phoenix/Wellton-Mohawk @ QCID</t>
  </si>
  <si>
    <t xml:space="preserve">               Phoenix/AVRP (Hohokam-CDR)</t>
  </si>
  <si>
    <t xml:space="preserve">               Marana/AVRP</t>
  </si>
  <si>
    <t xml:space="preserve">               Tucson/LSC TO/BKW</t>
  </si>
  <si>
    <t xml:space="preserve">               Phoenix/SAVSARP (Hohokam-CDR)</t>
  </si>
  <si>
    <t>(Deliveries are actuals through NOV and projections for the remainder of the year)</t>
  </si>
  <si>
    <t>Revised:  12/23/2020</t>
  </si>
  <si>
    <t xml:space="preserve">               Avondale - TDRP</t>
  </si>
  <si>
    <t xml:space="preserve">               Glendale - TDRP</t>
  </si>
  <si>
    <t xml:space="preserve">               Peoria TDRP</t>
  </si>
  <si>
    <t xml:space="preserve">               Ak-Chin - TDRP</t>
  </si>
  <si>
    <t xml:space="preserve">               GRIC Lease (CAGRD) / TDRP</t>
  </si>
  <si>
    <t xml:space="preserve">               GRIC Exchange (CAGRD) / TDRP</t>
  </si>
  <si>
    <t xml:space="preserve">               Chandler/SRPMIC Lease (HMRP)</t>
  </si>
  <si>
    <t xml:space="preserve">               Arizona Water Co. (Casa Grande) w/CAIDD</t>
  </si>
  <si>
    <t>av</t>
  </si>
  <si>
    <t xml:space="preserve">               GRIC (MAR1B)</t>
  </si>
  <si>
    <t xml:space="preserve">               GRIC Lease  WUCFD (Apache Junction) w/NMIDD</t>
  </si>
  <si>
    <t xml:space="preserve">               Gilbert/SCAT 1-yr Lease CGT</t>
  </si>
  <si>
    <t xml:space="preserve">               Freeport McMoRan/SCAT Lease w/MSIDD</t>
  </si>
  <si>
    <t xml:space="preserve">               Freeport McMoRan/GRIC Lease w/MSIDD</t>
  </si>
  <si>
    <t xml:space="preserve">               Tucson/BKW thru LSC</t>
  </si>
  <si>
    <t>Revised:  10/27/2021</t>
  </si>
  <si>
    <t>RELIABILITY VOLUME (60 DAY)</t>
  </si>
  <si>
    <t>OPERATIONAL VOLUME (90 DAY)</t>
  </si>
  <si>
    <t xml:space="preserve">               Ak-Chin/TID</t>
  </si>
  <si>
    <t xml:space="preserve">               Phoenix/Assignment (CSIF)</t>
  </si>
  <si>
    <t>DEMAND DOWNSTREAM CS19 (AF)</t>
  </si>
  <si>
    <t xml:space="preserve">               Gila River Indian IDD (GRIC) Pending Conservation</t>
  </si>
  <si>
    <t xml:space="preserve">               GRIC (MAR1B &amp; MAR5)</t>
  </si>
  <si>
    <t xml:space="preserve">               CAGRD / GRIC Lease / MAR5</t>
  </si>
  <si>
    <t xml:space="preserve">               GRIC Lease (CAGRD) / SMRP</t>
  </si>
  <si>
    <t xml:space="preserve">               Ak-Chin/PMR</t>
  </si>
  <si>
    <t>Revised:  2/23/2017</t>
  </si>
  <si>
    <t xml:space="preserve">               Surprise (NMIDD)</t>
  </si>
  <si>
    <t xml:space="preserve">               Gilbert/Welton-Mohawk @ QCID</t>
  </si>
  <si>
    <t xml:space="preserve">     Ag Excess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</si>
</sst>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5" formatCode="&quot;$&quot;#,##0_);\(&quot;$&quot;#,##0\)"/>
    <numFmt numFmtId="7" formatCode="&quot;$&quot;#,##0.00_);\(&quot;$&quot;#,##0.00\)"/>
    <numFmt numFmtId="164" formatCode="mm/dd/yy"/>
    <numFmt numFmtId="165" formatCode="0_);\(0\)"/>
    <numFmt numFmtId="166" formatCode="0.0%"/>
    <numFmt numFmtId="167" formatCode="mm/dd/yy_)"/>
  </numFmts>
  <fonts count="32" x14ac:knownFonts="1">
    <font>
      <sz val="11"/>
      <color theme="1"/>
      <name val="Calibri"/>
      <family val="2"/>
      <scheme val="minor"/>
    </font>
    <font>
      <sz val="12"/>
      <name val="Helv"/>
    </font>
    <font>
      <b/>
      <sz val="12"/>
      <name val="Helv"/>
    </font>
    <font>
      <b/>
      <sz val="16"/>
      <name val="Helv"/>
    </font>
    <font>
      <b/>
      <sz val="14"/>
      <name val="Helv"/>
    </font>
    <font>
      <sz val="12"/>
      <color rgb="FFFF0000"/>
      <name val="Helv"/>
    </font>
    <font>
      <b/>
      <sz val="12"/>
      <color rgb="FFFF0000"/>
      <name val="Helv"/>
    </font>
    <font>
      <sz val="12"/>
      <color indexed="10"/>
      <name val="Helv"/>
    </font>
    <font>
      <b/>
      <sz val="12"/>
      <color indexed="10"/>
      <name val="Helv"/>
    </font>
    <font>
      <sz val="11"/>
      <color rgb="FF9C6500"/>
      <name val="Calibri"/>
      <family val="2"/>
      <scheme val="minor"/>
    </font>
    <font>
      <sz val="10"/>
      <name val="Helv"/>
    </font>
    <font>
      <b/>
      <sz val="12"/>
      <color theme="3" tint="0.39997558519241921"/>
      <name val="Helv"/>
    </font>
    <font>
      <sz val="12"/>
      <color theme="3" tint="0.39997558519241921"/>
      <name val="Helv"/>
    </font>
    <font>
      <b/>
      <vertAlign val="superscript"/>
      <sz val="12"/>
      <name val="Helv"/>
    </font>
    <font>
      <vertAlign val="superscript"/>
      <sz val="12"/>
      <name val="Helv"/>
    </font>
    <font>
      <sz val="11"/>
      <name val="Arial"/>
      <family val="2"/>
    </font>
    <font>
      <b/>
      <sz val="11"/>
      <name val="Arial"/>
      <family val="2"/>
    </font>
    <font>
      <sz val="11"/>
      <name val="Helv"/>
    </font>
    <font>
      <b/>
      <sz val="11"/>
      <name val="Helv"/>
    </font>
    <font>
      <sz val="11"/>
      <color indexed="20"/>
      <name val="Arial"/>
      <family val="2"/>
    </font>
    <font>
      <sz val="11"/>
      <color theme="4" tint="-0.249977111117893"/>
      <name val="Arial"/>
      <family val="2"/>
    </font>
    <font>
      <b/>
      <sz val="11"/>
      <color theme="3" tint="0.39997558519241921"/>
      <name val="Arial"/>
      <family val="2"/>
    </font>
    <font>
      <b/>
      <sz val="11"/>
      <color rgb="FFFF0000"/>
      <name val="Arial"/>
      <family val="2"/>
    </font>
    <font>
      <sz val="11"/>
      <color theme="3"/>
      <name val="Arial"/>
      <family val="2"/>
    </font>
    <font>
      <sz val="11"/>
      <color theme="3" tint="-0.249977111117893"/>
      <name val="Arial"/>
      <family val="2"/>
    </font>
    <font>
      <sz val="8"/>
      <name val="Arial"/>
      <family val="2"/>
    </font>
    <font>
      <b/>
      <sz val="10"/>
      <name val="Helv"/>
    </font>
    <font>
      <b/>
      <sz val="12"/>
      <color theme="6" tint="-0.499984740745262"/>
      <name val="Helv"/>
    </font>
    <font>
      <b/>
      <sz val="12"/>
      <color theme="7" tint="-0.499984740745262"/>
      <name val="Helv"/>
    </font>
    <font>
      <b/>
      <sz val="10"/>
      <name val="Arial"/>
      <family val="2"/>
    </font>
    <font>
      <sz val="10"/>
      <name val="Arial"/>
      <family val="2"/>
    </font>
    <font>
      <i/>
      <sz val="12"/>
      <name val="Helv"/>
    </font>
  </fonts>
  <fills count="20">
    <fill>
      <patternFill patternType="none"/>
    </fill>
    <fill>
      <patternFill patternType="gray125"/>
    </fill>
    <fill>
      <patternFill patternType="solid">
        <fgColor rgb="FFFFEB9C"/>
      </patternFill>
    </fill>
    <fill>
      <patternFill patternType="solid">
        <fgColor indexed="9"/>
        <bgColor indexed="64"/>
      </patternFill>
    </fill>
    <fill>
      <patternFill patternType="solid">
        <fgColor indexed="22"/>
        <bgColor indexed="64"/>
      </patternFill>
    </fill>
    <fill>
      <patternFill patternType="solid">
        <fgColor indexed="22"/>
        <bgColor indexed="8"/>
      </patternFill>
    </fill>
    <fill>
      <patternFill patternType="solid">
        <fgColor rgb="FFFFFF00"/>
        <bgColor indexed="64"/>
      </patternFill>
    </fill>
    <fill>
      <patternFill patternType="solid">
        <fgColor rgb="FFFFFF00"/>
        <bgColor indexed="8"/>
      </patternFill>
    </fill>
    <fill>
      <patternFill patternType="solid">
        <fgColor theme="9" tint="0.59999389629810485"/>
        <bgColor indexed="64"/>
      </patternFill>
    </fill>
    <fill>
      <patternFill patternType="solid">
        <fgColor theme="7" tint="0.79998168889431442"/>
        <bgColor indexed="64"/>
      </patternFill>
    </fill>
    <fill>
      <patternFill patternType="solid">
        <fgColor indexed="4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0"/>
        <bgColor indexed="64"/>
      </patternFill>
    </fill>
  </fills>
  <borders count="78">
    <border>
      <left/>
      <right/>
      <top/>
      <bottom/>
      <diagonal/>
    </border>
    <border>
      <left style="medium">
        <color indexed="8"/>
      </left>
      <right/>
      <top style="medium">
        <color indexed="8"/>
      </top>
      <bottom/>
      <diagonal/>
    </border>
    <border>
      <left/>
      <right/>
      <top style="medium">
        <color indexed="8"/>
      </top>
      <bottom/>
      <diagonal/>
    </border>
    <border>
      <left style="medium">
        <color indexed="64"/>
      </left>
      <right style="medium">
        <color indexed="64"/>
      </right>
      <top style="medium">
        <color indexed="64"/>
      </top>
      <bottom/>
      <diagonal/>
    </border>
    <border>
      <left style="medium">
        <color indexed="8"/>
      </left>
      <right style="medium">
        <color indexed="8"/>
      </right>
      <top style="medium">
        <color indexed="8"/>
      </top>
      <bottom/>
      <diagonal/>
    </border>
    <border>
      <left style="medium">
        <color indexed="64"/>
      </left>
      <right/>
      <top style="medium">
        <color indexed="64"/>
      </top>
      <bottom style="medium">
        <color indexed="64"/>
      </bottom>
      <diagonal/>
    </border>
    <border>
      <left/>
      <right/>
      <top style="medium">
        <color auto="1"/>
      </top>
      <bottom style="medium">
        <color auto="1"/>
      </bottom>
      <diagonal/>
    </border>
    <border>
      <left style="medium">
        <color indexed="64"/>
      </left>
      <right style="medium">
        <color indexed="64"/>
      </right>
      <top style="medium">
        <color indexed="64"/>
      </top>
      <bottom style="medium">
        <color indexed="64"/>
      </bottom>
      <diagonal/>
    </border>
    <border>
      <left style="medium">
        <color indexed="8"/>
      </left>
      <right style="medium">
        <color indexed="8"/>
      </right>
      <top/>
      <bottom/>
      <diagonal/>
    </border>
    <border>
      <left style="medium">
        <color indexed="64"/>
      </left>
      <right style="medium">
        <color indexed="64"/>
      </right>
      <top/>
      <bottom/>
      <diagonal/>
    </border>
    <border>
      <left style="medium">
        <color indexed="64"/>
      </left>
      <right/>
      <top/>
      <bottom/>
      <diagonal/>
    </border>
    <border>
      <left style="medium">
        <color indexed="8"/>
      </left>
      <right style="medium">
        <color indexed="8"/>
      </right>
      <top/>
      <bottom style="medium">
        <color indexed="8"/>
      </bottom>
      <diagonal/>
    </border>
    <border>
      <left/>
      <right/>
      <top/>
      <bottom style="medium">
        <color indexed="8"/>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8"/>
      </right>
      <top style="medium">
        <color indexed="64"/>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style="medium">
        <color indexed="64"/>
      </left>
      <right style="medium">
        <color indexed="64"/>
      </right>
      <top style="medium">
        <color indexed="64"/>
      </top>
      <bottom style="medium">
        <color indexed="8"/>
      </bottom>
      <diagonal/>
    </border>
    <border>
      <left/>
      <right style="medium">
        <color indexed="8"/>
      </right>
      <top/>
      <bottom style="medium">
        <color indexed="8"/>
      </bottom>
      <diagonal/>
    </border>
    <border>
      <left/>
      <right style="medium">
        <color indexed="8"/>
      </right>
      <top/>
      <bottom/>
      <diagonal/>
    </border>
    <border>
      <left style="medium">
        <color indexed="64"/>
      </left>
      <right/>
      <top style="medium">
        <color indexed="64"/>
      </top>
      <bottom/>
      <diagonal/>
    </border>
    <border>
      <left style="medium">
        <color indexed="64"/>
      </left>
      <right style="medium">
        <color indexed="8"/>
      </right>
      <top style="medium">
        <color indexed="64"/>
      </top>
      <bottom/>
      <diagonal/>
    </border>
    <border>
      <left/>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style="medium">
        <color indexed="8"/>
      </left>
      <right/>
      <top/>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style="medium">
        <color indexed="8"/>
      </right>
      <top/>
      <bottom/>
      <diagonal/>
    </border>
    <border>
      <left style="medium">
        <color indexed="64"/>
      </left>
      <right style="medium">
        <color indexed="8"/>
      </right>
      <top/>
      <bottom style="medium">
        <color indexed="64"/>
      </bottom>
      <diagonal/>
    </border>
    <border>
      <left/>
      <right/>
      <top/>
      <bottom style="medium">
        <color indexed="64"/>
      </bottom>
      <diagonal/>
    </border>
    <border>
      <left style="medium">
        <color indexed="64"/>
      </left>
      <right style="medium">
        <color indexed="64"/>
      </right>
      <top style="medium">
        <color indexed="8"/>
      </top>
      <bottom style="medium">
        <color indexed="8"/>
      </bottom>
      <diagonal/>
    </border>
    <border>
      <left/>
      <right style="medium">
        <color indexed="8"/>
      </right>
      <top style="medium">
        <color indexed="8"/>
      </top>
      <bottom style="medium">
        <color indexed="8"/>
      </bottom>
      <diagonal/>
    </border>
    <border>
      <left/>
      <right style="thin">
        <color indexed="64"/>
      </right>
      <top style="thin">
        <color indexed="64"/>
      </top>
      <bottom style="thin">
        <color indexed="64"/>
      </bottom>
      <diagonal/>
    </border>
    <border>
      <left/>
      <right style="medium">
        <color auto="1"/>
      </right>
      <top/>
      <bottom/>
      <diagonal/>
    </border>
    <border>
      <left/>
      <right style="medium">
        <color indexed="64"/>
      </right>
      <top/>
      <bottom style="medium">
        <color indexed="64"/>
      </bottom>
      <diagonal/>
    </border>
    <border>
      <left style="medium">
        <color indexed="64"/>
      </left>
      <right/>
      <top style="medium">
        <color indexed="64"/>
      </top>
      <bottom style="medium">
        <color indexed="8"/>
      </bottom>
      <diagonal/>
    </border>
    <border>
      <left style="medium">
        <color indexed="8"/>
      </left>
      <right style="medium">
        <color indexed="64"/>
      </right>
      <top style="medium">
        <color indexed="64"/>
      </top>
      <bottom style="medium">
        <color indexed="8"/>
      </bottom>
      <diagonal/>
    </border>
    <border>
      <left style="medium">
        <color indexed="64"/>
      </left>
      <right style="medium">
        <color indexed="64"/>
      </right>
      <top/>
      <bottom style="medium">
        <color indexed="8"/>
      </bottom>
      <diagonal/>
    </border>
    <border>
      <left style="medium">
        <color indexed="64"/>
      </left>
      <right/>
      <top/>
      <bottom style="medium">
        <color indexed="8"/>
      </bottom>
      <diagonal/>
    </border>
    <border>
      <left style="medium">
        <color indexed="8"/>
      </left>
      <right style="medium">
        <color indexed="64"/>
      </right>
      <top/>
      <bottom style="medium">
        <color indexed="8"/>
      </bottom>
      <diagonal/>
    </border>
    <border>
      <left style="medium">
        <color indexed="8"/>
      </left>
      <right style="medium">
        <color indexed="64"/>
      </right>
      <top/>
      <bottom/>
      <diagonal/>
    </border>
    <border>
      <left/>
      <right style="medium">
        <color indexed="64"/>
      </right>
      <top style="medium">
        <color indexed="64"/>
      </top>
      <bottom/>
      <diagonal/>
    </border>
    <border>
      <left style="medium">
        <color indexed="8"/>
      </left>
      <right style="medium">
        <color indexed="64"/>
      </right>
      <top style="medium">
        <color indexed="64"/>
      </top>
      <bottom/>
      <diagonal/>
    </border>
    <border>
      <left style="medium">
        <color indexed="64"/>
      </left>
      <right style="medium">
        <color indexed="8"/>
      </right>
      <top style="medium">
        <color indexed="64"/>
      </top>
      <bottom style="medium">
        <color indexed="8"/>
      </bottom>
      <diagonal/>
    </border>
    <border>
      <left/>
      <right/>
      <top style="medium">
        <color indexed="64"/>
      </top>
      <bottom style="medium">
        <color indexed="8"/>
      </bottom>
      <diagonal/>
    </border>
    <border>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style="thin">
        <color indexed="64"/>
      </top>
      <bottom style="double">
        <color indexed="64"/>
      </bottom>
      <diagonal/>
    </border>
    <border>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bottom style="double">
        <color indexed="64"/>
      </bottom>
      <diagonal/>
    </border>
    <border>
      <left/>
      <right style="medium">
        <color indexed="64"/>
      </right>
      <top/>
      <bottom style="double">
        <color indexed="64"/>
      </bottom>
      <diagonal/>
    </border>
    <border>
      <left/>
      <right/>
      <top style="medium">
        <color auto="1"/>
      </top>
      <bottom style="medium">
        <color auto="1"/>
      </bottom>
      <diagonal/>
    </border>
    <border>
      <left/>
      <right style="medium">
        <color indexed="64"/>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style="medium">
        <color indexed="64"/>
      </left>
      <right style="medium">
        <color indexed="64"/>
      </right>
      <top style="medium">
        <color indexed="64"/>
      </top>
      <bottom/>
      <diagonal/>
    </border>
    <border>
      <left style="medium">
        <color indexed="8"/>
      </left>
      <right style="medium">
        <color indexed="8"/>
      </right>
      <top style="medium">
        <color indexed="8"/>
      </top>
      <bottom style="medium">
        <color indexed="8"/>
      </bottom>
      <diagonal/>
    </border>
    <border>
      <left style="medium">
        <color indexed="64"/>
      </left>
      <right/>
      <top style="medium">
        <color indexed="64"/>
      </top>
      <bottom/>
      <diagonal/>
    </border>
    <border>
      <left style="medium">
        <color indexed="64"/>
      </left>
      <right style="medium">
        <color indexed="8"/>
      </right>
      <top style="medium">
        <color indexed="64"/>
      </top>
      <bottom/>
      <diagonal/>
    </border>
    <border>
      <left style="medium">
        <color indexed="8"/>
      </left>
      <right/>
      <top style="medium">
        <color indexed="8"/>
      </top>
      <bottom/>
      <diagonal/>
    </border>
    <border>
      <left/>
      <right/>
      <top style="medium">
        <color indexed="8"/>
      </top>
      <bottom/>
      <diagonal/>
    </border>
    <border>
      <left style="medium">
        <color indexed="8"/>
      </left>
      <right style="medium">
        <color indexed="8"/>
      </right>
      <top style="medium">
        <color indexed="8"/>
      </top>
      <bottom/>
      <diagonal/>
    </border>
    <border>
      <left/>
      <right/>
      <top style="medium">
        <color indexed="64"/>
      </top>
      <bottom/>
      <diagonal/>
    </border>
    <border>
      <left style="medium">
        <color indexed="64"/>
      </left>
      <right style="medium">
        <color indexed="64"/>
      </right>
      <top style="medium">
        <color indexed="8"/>
      </top>
      <bottom style="medium">
        <color indexed="8"/>
      </bottom>
      <diagonal/>
    </border>
    <border>
      <left/>
      <right style="medium">
        <color indexed="8"/>
      </right>
      <top style="medium">
        <color indexed="8"/>
      </top>
      <bottom style="medium">
        <color indexed="8"/>
      </bottom>
      <diagonal/>
    </border>
    <border>
      <left/>
      <right style="medium">
        <color indexed="64"/>
      </right>
      <top style="medium">
        <color indexed="64"/>
      </top>
      <bottom/>
      <diagonal/>
    </border>
    <border>
      <left style="medium">
        <color indexed="8"/>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auto="1"/>
      </top>
      <bottom style="medium">
        <color auto="1"/>
      </bottom>
      <diagonal/>
    </border>
  </borders>
  <cellStyleXfs count="4">
    <xf numFmtId="0" fontId="0" fillId="0" borderId="0"/>
    <xf numFmtId="37" fontId="1" fillId="0" borderId="0"/>
    <xf numFmtId="9" fontId="1" fillId="0" borderId="0" applyFont="0" applyFill="0" applyBorder="0" applyAlignment="0" applyProtection="0"/>
    <xf numFmtId="0" fontId="9" fillId="2" borderId="0" applyNumberFormat="0" applyBorder="0" applyAlignment="0" applyProtection="0"/>
  </cellStyleXfs>
  <cellXfs count="456">
    <xf numFmtId="0" fontId="0" fillId="0" borderId="0" xfId="0"/>
    <xf numFmtId="37" fontId="1" fillId="3" borderId="0" xfId="1" applyFill="1"/>
    <xf numFmtId="37" fontId="2" fillId="3" borderId="0" xfId="1" applyFont="1" applyFill="1" applyAlignment="1">
      <alignment horizontal="right"/>
    </xf>
    <xf numFmtId="164" fontId="2" fillId="3" borderId="0" xfId="1" applyNumberFormat="1" applyFont="1" applyFill="1"/>
    <xf numFmtId="37" fontId="1" fillId="0" borderId="0" xfId="1"/>
    <xf numFmtId="37" fontId="4" fillId="3" borderId="0" xfId="1" applyFont="1" applyFill="1" applyAlignment="1">
      <alignment horizontal="center"/>
    </xf>
    <xf numFmtId="37" fontId="2" fillId="3" borderId="0" xfId="1" applyFont="1" applyFill="1" applyAlignment="1">
      <alignment horizontal="center"/>
    </xf>
    <xf numFmtId="37" fontId="2" fillId="3" borderId="0" xfId="1" applyFont="1" applyFill="1" applyAlignment="1">
      <alignment horizontal="centerContinuous"/>
    </xf>
    <xf numFmtId="37" fontId="1" fillId="3" borderId="0" xfId="1" applyFill="1" applyAlignment="1">
      <alignment horizontal="centerContinuous"/>
    </xf>
    <xf numFmtId="37" fontId="2" fillId="3" borderId="1" xfId="1" applyFont="1" applyFill="1" applyBorder="1" applyAlignment="1">
      <alignment horizontal="center"/>
    </xf>
    <xf numFmtId="37" fontId="2" fillId="3" borderId="1" xfId="1" applyFont="1" applyFill="1" applyBorder="1" applyAlignment="1">
      <alignment horizontal="right"/>
    </xf>
    <xf numFmtId="37" fontId="2" fillId="3" borderId="2" xfId="1" applyFont="1" applyFill="1" applyBorder="1" applyAlignment="1">
      <alignment horizontal="right"/>
    </xf>
    <xf numFmtId="37" fontId="2" fillId="4" borderId="3" xfId="1" applyFont="1" applyFill="1" applyBorder="1" applyAlignment="1">
      <alignment horizontal="center"/>
    </xf>
    <xf numFmtId="37" fontId="2" fillId="4" borderId="4" xfId="1" applyFont="1" applyFill="1" applyBorder="1" applyAlignment="1">
      <alignment horizontal="right"/>
    </xf>
    <xf numFmtId="37" fontId="1" fillId="4" borderId="5" xfId="1" applyFill="1" applyBorder="1"/>
    <xf numFmtId="37" fontId="1" fillId="5" borderId="6" xfId="1" applyFill="1" applyBorder="1"/>
    <xf numFmtId="37" fontId="1" fillId="5" borderId="7" xfId="1" applyFill="1" applyBorder="1"/>
    <xf numFmtId="37" fontId="2" fillId="3" borderId="8" xfId="1" applyFont="1" applyFill="1" applyBorder="1" applyAlignment="1">
      <alignment horizontal="left"/>
    </xf>
    <xf numFmtId="37" fontId="2" fillId="5" borderId="9" xfId="1" applyFont="1" applyFill="1" applyBorder="1"/>
    <xf numFmtId="37" fontId="2" fillId="5" borderId="10" xfId="1" applyFont="1" applyFill="1" applyBorder="1"/>
    <xf numFmtId="37" fontId="5" fillId="0" borderId="0" xfId="1" applyFont="1"/>
    <xf numFmtId="10" fontId="0" fillId="0" borderId="0" xfId="2" applyNumberFormat="1" applyFont="1"/>
    <xf numFmtId="37" fontId="2" fillId="3" borderId="9" xfId="1" applyFont="1" applyFill="1" applyBorder="1" applyAlignment="1">
      <alignment horizontal="left"/>
    </xf>
    <xf numFmtId="37" fontId="2" fillId="3" borderId="8" xfId="1" quotePrefix="1" applyFont="1" applyFill="1" applyBorder="1" applyAlignment="1">
      <alignment horizontal="left"/>
    </xf>
    <xf numFmtId="37" fontId="2" fillId="3" borderId="11" xfId="1" applyFont="1" applyFill="1" applyBorder="1" applyAlignment="1">
      <alignment horizontal="left"/>
    </xf>
    <xf numFmtId="37" fontId="1" fillId="3" borderId="12" xfId="1" applyFill="1" applyBorder="1"/>
    <xf numFmtId="37" fontId="2" fillId="5" borderId="13" xfId="1" applyFont="1" applyFill="1" applyBorder="1"/>
    <xf numFmtId="37" fontId="2" fillId="5" borderId="14" xfId="1" applyFont="1" applyFill="1" applyBorder="1"/>
    <xf numFmtId="37" fontId="2" fillId="3" borderId="0" xfId="1" applyFont="1" applyFill="1"/>
    <xf numFmtId="37" fontId="1" fillId="3" borderId="0" xfId="1" applyFill="1" applyAlignment="1">
      <alignment horizontal="left"/>
    </xf>
    <xf numFmtId="37" fontId="2" fillId="3" borderId="0" xfId="1" applyFont="1" applyFill="1" applyAlignment="1">
      <alignment horizontal="left"/>
    </xf>
    <xf numFmtId="37" fontId="2" fillId="3" borderId="15" xfId="1" applyFont="1" applyFill="1" applyBorder="1" applyAlignment="1">
      <alignment horizontal="center"/>
    </xf>
    <xf numFmtId="37" fontId="2" fillId="3" borderId="16" xfId="1" applyFont="1" applyFill="1" applyBorder="1" applyAlignment="1">
      <alignment horizontal="left"/>
    </xf>
    <xf numFmtId="37" fontId="2" fillId="3" borderId="17" xfId="1" applyFont="1" applyFill="1" applyBorder="1" applyAlignment="1">
      <alignment horizontal="right"/>
    </xf>
    <xf numFmtId="37" fontId="2" fillId="4" borderId="7" xfId="1" applyFont="1" applyFill="1" applyBorder="1" applyAlignment="1">
      <alignment horizontal="center"/>
    </xf>
    <xf numFmtId="37" fontId="2" fillId="4" borderId="18" xfId="1" applyFont="1" applyFill="1" applyBorder="1" applyAlignment="1">
      <alignment horizontal="right"/>
    </xf>
    <xf numFmtId="37" fontId="1" fillId="5" borderId="11" xfId="1" applyFill="1" applyBorder="1"/>
    <xf numFmtId="37" fontId="1" fillId="5" borderId="12" xfId="1" applyFill="1" applyBorder="1"/>
    <xf numFmtId="37" fontId="1" fillId="5" borderId="19" xfId="1" applyFill="1" applyBorder="1"/>
    <xf numFmtId="37" fontId="2" fillId="5" borderId="20" xfId="1" applyFont="1" applyFill="1" applyBorder="1"/>
    <xf numFmtId="37" fontId="1" fillId="3" borderId="11" xfId="1" applyFill="1" applyBorder="1" applyAlignment="1">
      <alignment horizontal="left"/>
    </xf>
    <xf numFmtId="37" fontId="2" fillId="5" borderId="3" xfId="1" applyFont="1" applyFill="1" applyBorder="1"/>
    <xf numFmtId="37" fontId="2" fillId="5" borderId="11" xfId="1" applyFont="1" applyFill="1" applyBorder="1"/>
    <xf numFmtId="37" fontId="2" fillId="5" borderId="7" xfId="1" applyFont="1" applyFill="1" applyBorder="1"/>
    <xf numFmtId="37" fontId="2" fillId="5" borderId="21" xfId="1" applyFont="1" applyFill="1" applyBorder="1"/>
    <xf numFmtId="37" fontId="2" fillId="5" borderId="22" xfId="1" applyFont="1" applyFill="1" applyBorder="1"/>
    <xf numFmtId="37" fontId="2" fillId="6" borderId="11" xfId="1" applyFont="1" applyFill="1" applyBorder="1" applyAlignment="1">
      <alignment horizontal="left"/>
    </xf>
    <xf numFmtId="37" fontId="1" fillId="6" borderId="12" xfId="1" applyFill="1" applyBorder="1"/>
    <xf numFmtId="37" fontId="2" fillId="7" borderId="13" xfId="1" applyFont="1" applyFill="1" applyBorder="1"/>
    <xf numFmtId="37" fontId="2" fillId="7" borderId="14" xfId="1" applyFont="1" applyFill="1" applyBorder="1"/>
    <xf numFmtId="37" fontId="1" fillId="6" borderId="0" xfId="1" applyFill="1"/>
    <xf numFmtId="37" fontId="2" fillId="6" borderId="0" xfId="1" applyFont="1" applyFill="1"/>
    <xf numFmtId="37" fontId="2" fillId="0" borderId="0" xfId="1" applyFont="1"/>
    <xf numFmtId="37" fontId="2" fillId="3" borderId="23" xfId="1" applyFont="1" applyFill="1" applyBorder="1" applyAlignment="1">
      <alignment horizontal="center"/>
    </xf>
    <xf numFmtId="37" fontId="2" fillId="3" borderId="1" xfId="1" applyFont="1" applyFill="1" applyBorder="1" applyAlignment="1">
      <alignment horizontal="left"/>
    </xf>
    <xf numFmtId="37" fontId="1" fillId="5" borderId="5" xfId="1" applyFill="1" applyBorder="1"/>
    <xf numFmtId="37" fontId="1" fillId="5" borderId="24" xfId="1" applyFill="1" applyBorder="1"/>
    <xf numFmtId="37" fontId="2" fillId="5" borderId="25" xfId="1" applyFont="1" applyFill="1" applyBorder="1"/>
    <xf numFmtId="37" fontId="2" fillId="3" borderId="3" xfId="1" applyFont="1" applyFill="1" applyBorder="1" applyAlignment="1">
      <alignment horizontal="left"/>
    </xf>
    <xf numFmtId="37" fontId="2" fillId="4" borderId="9" xfId="1" applyFont="1" applyFill="1" applyBorder="1"/>
    <xf numFmtId="37" fontId="2" fillId="3" borderId="0" xfId="1" quotePrefix="1" applyFont="1" applyFill="1" applyAlignment="1">
      <alignment horizontal="left"/>
    </xf>
    <xf numFmtId="37" fontId="1" fillId="3" borderId="9" xfId="1" quotePrefix="1" applyFill="1" applyBorder="1" applyAlignment="1">
      <alignment horizontal="left"/>
    </xf>
    <xf numFmtId="37" fontId="2" fillId="4" borderId="7" xfId="1" applyFont="1" applyFill="1" applyBorder="1" applyAlignment="1">
      <alignment horizontal="left"/>
    </xf>
    <xf numFmtId="37" fontId="2" fillId="4" borderId="24" xfId="1" quotePrefix="1" applyFont="1" applyFill="1" applyBorder="1" applyAlignment="1">
      <alignment horizontal="right"/>
    </xf>
    <xf numFmtId="37" fontId="2" fillId="4" borderId="7" xfId="1" applyFont="1" applyFill="1" applyBorder="1"/>
    <xf numFmtId="37" fontId="2" fillId="4" borderId="3" xfId="1" applyFont="1" applyFill="1" applyBorder="1"/>
    <xf numFmtId="37" fontId="1" fillId="3" borderId="7" xfId="1" applyFill="1" applyBorder="1" applyAlignment="1">
      <alignment horizontal="left"/>
    </xf>
    <xf numFmtId="37" fontId="1" fillId="3" borderId="24" xfId="1" applyFill="1" applyBorder="1"/>
    <xf numFmtId="37" fontId="2" fillId="5" borderId="8" xfId="1" applyFont="1" applyFill="1" applyBorder="1"/>
    <xf numFmtId="37" fontId="2" fillId="5" borderId="11" xfId="1" applyFont="1" applyFill="1" applyBorder="1" applyAlignment="1">
      <alignment horizontal="left"/>
    </xf>
    <xf numFmtId="37" fontId="2" fillId="4" borderId="26" xfId="1" applyFont="1" applyFill="1" applyBorder="1"/>
    <xf numFmtId="37" fontId="1" fillId="4" borderId="24" xfId="1" applyFill="1" applyBorder="1"/>
    <xf numFmtId="37" fontId="1" fillId="4" borderId="7" xfId="1" applyFill="1" applyBorder="1"/>
    <xf numFmtId="37" fontId="1" fillId="4" borderId="27" xfId="1" applyFill="1" applyBorder="1"/>
    <xf numFmtId="37" fontId="1" fillId="3" borderId="8" xfId="1" applyFill="1" applyBorder="1" applyAlignment="1">
      <alignment horizontal="left"/>
    </xf>
    <xf numFmtId="37" fontId="1" fillId="8" borderId="0" xfId="1" applyFill="1"/>
    <xf numFmtId="37" fontId="1" fillId="3" borderId="9" xfId="1" applyFill="1" applyBorder="1" applyAlignment="1">
      <alignment horizontal="left"/>
    </xf>
    <xf numFmtId="37" fontId="1" fillId="9" borderId="0" xfId="1" applyFill="1"/>
    <xf numFmtId="37" fontId="1" fillId="0" borderId="9" xfId="1" quotePrefix="1" applyBorder="1" applyAlignment="1">
      <alignment horizontal="left"/>
    </xf>
    <xf numFmtId="37" fontId="1" fillId="3" borderId="13" xfId="1" applyFill="1" applyBorder="1" applyAlignment="1">
      <alignment horizontal="left"/>
    </xf>
    <xf numFmtId="37" fontId="2" fillId="4" borderId="11" xfId="1" applyFont="1" applyFill="1" applyBorder="1"/>
    <xf numFmtId="37" fontId="1" fillId="4" borderId="12" xfId="1" applyFill="1" applyBorder="1"/>
    <xf numFmtId="37" fontId="2" fillId="3" borderId="23" xfId="1" applyFont="1" applyFill="1" applyBorder="1" applyAlignment="1">
      <alignment horizontal="left"/>
    </xf>
    <xf numFmtId="37" fontId="1" fillId="3" borderId="28" xfId="1" applyFill="1" applyBorder="1"/>
    <xf numFmtId="37" fontId="2" fillId="3" borderId="29" xfId="1" quotePrefix="1" applyFont="1" applyFill="1" applyBorder="1" applyAlignment="1">
      <alignment horizontal="left"/>
    </xf>
    <xf numFmtId="37" fontId="2" fillId="3" borderId="29" xfId="1" applyFont="1" applyFill="1" applyBorder="1" applyAlignment="1">
      <alignment horizontal="left"/>
    </xf>
    <xf numFmtId="37" fontId="2" fillId="3" borderId="30" xfId="1" applyFont="1" applyFill="1" applyBorder="1" applyAlignment="1">
      <alignment horizontal="left"/>
    </xf>
    <xf numFmtId="37" fontId="1" fillId="3" borderId="31" xfId="1" applyFill="1" applyBorder="1"/>
    <xf numFmtId="37" fontId="2" fillId="4" borderId="13" xfId="1" applyFont="1" applyFill="1" applyBorder="1"/>
    <xf numFmtId="37" fontId="1" fillId="4" borderId="19" xfId="1" applyFill="1" applyBorder="1"/>
    <xf numFmtId="37" fontId="2" fillId="4" borderId="8" xfId="1" applyFont="1" applyFill="1" applyBorder="1"/>
    <xf numFmtId="37" fontId="1" fillId="10" borderId="8" xfId="1" applyFill="1" applyBorder="1" applyAlignment="1">
      <alignment horizontal="left"/>
    </xf>
    <xf numFmtId="37" fontId="5" fillId="3" borderId="0" xfId="1" applyFont="1" applyFill="1"/>
    <xf numFmtId="37" fontId="6" fillId="4" borderId="9" xfId="1" applyFont="1" applyFill="1" applyBorder="1"/>
    <xf numFmtId="37" fontId="1" fillId="11" borderId="0" xfId="1" applyFill="1"/>
    <xf numFmtId="37" fontId="1" fillId="0" borderId="10" xfId="1" applyBorder="1"/>
    <xf numFmtId="37" fontId="7" fillId="3" borderId="8" xfId="1" applyFont="1" applyFill="1" applyBorder="1" applyAlignment="1">
      <alignment horizontal="left"/>
    </xf>
    <xf numFmtId="37" fontId="8" fillId="4" borderId="9" xfId="1" applyFont="1" applyFill="1" applyBorder="1"/>
    <xf numFmtId="37" fontId="7" fillId="0" borderId="0" xfId="1" applyFont="1"/>
    <xf numFmtId="37" fontId="1" fillId="10" borderId="9" xfId="1" quotePrefix="1" applyFill="1" applyBorder="1" applyAlignment="1">
      <alignment horizontal="left"/>
    </xf>
    <xf numFmtId="37" fontId="2" fillId="4" borderId="5" xfId="1" applyFont="1" applyFill="1" applyBorder="1"/>
    <xf numFmtId="37" fontId="2" fillId="4" borderId="24" xfId="1" applyFont="1" applyFill="1" applyBorder="1"/>
    <xf numFmtId="37" fontId="1" fillId="10" borderId="8" xfId="1" quotePrefix="1" applyFill="1" applyBorder="1" applyAlignment="1">
      <alignment horizontal="left"/>
    </xf>
    <xf numFmtId="37" fontId="1" fillId="0" borderId="9" xfId="1" applyBorder="1" applyAlignment="1">
      <alignment horizontal="left"/>
    </xf>
    <xf numFmtId="37" fontId="5" fillId="3" borderId="9" xfId="1" applyFont="1" applyFill="1" applyBorder="1" applyAlignment="1">
      <alignment horizontal="left"/>
    </xf>
    <xf numFmtId="37" fontId="9" fillId="2" borderId="0" xfId="3" applyNumberFormat="1"/>
    <xf numFmtId="37" fontId="10" fillId="0" borderId="0" xfId="1" applyFont="1"/>
    <xf numFmtId="37" fontId="2" fillId="4" borderId="5" xfId="1" quotePrefix="1" applyFont="1" applyFill="1" applyBorder="1" applyAlignment="1">
      <alignment horizontal="right"/>
    </xf>
    <xf numFmtId="37" fontId="1" fillId="3" borderId="8" xfId="1" quotePrefix="1" applyFill="1" applyBorder="1" applyAlignment="1">
      <alignment horizontal="left"/>
    </xf>
    <xf numFmtId="37" fontId="2" fillId="4" borderId="22" xfId="1" applyFont="1" applyFill="1" applyBorder="1"/>
    <xf numFmtId="37" fontId="2" fillId="4" borderId="10" xfId="1" applyFont="1" applyFill="1" applyBorder="1"/>
    <xf numFmtId="37" fontId="2" fillId="4" borderId="14" xfId="1" applyFont="1" applyFill="1" applyBorder="1"/>
    <xf numFmtId="37" fontId="8" fillId="3" borderId="30" xfId="1" applyFont="1" applyFill="1" applyBorder="1" applyAlignment="1">
      <alignment horizontal="left"/>
    </xf>
    <xf numFmtId="37" fontId="8" fillId="3" borderId="31" xfId="1" applyFont="1" applyFill="1" applyBorder="1"/>
    <xf numFmtId="37" fontId="8" fillId="4" borderId="13" xfId="1" applyFont="1" applyFill="1" applyBorder="1"/>
    <xf numFmtId="37" fontId="8" fillId="4" borderId="14" xfId="1" applyFont="1" applyFill="1" applyBorder="1"/>
    <xf numFmtId="37" fontId="1" fillId="10" borderId="0" xfId="1" applyFill="1" applyAlignment="1">
      <alignment horizontal="left"/>
    </xf>
    <xf numFmtId="37" fontId="2" fillId="4" borderId="20" xfId="1" applyFont="1" applyFill="1" applyBorder="1"/>
    <xf numFmtId="37" fontId="2" fillId="4" borderId="18" xfId="1" applyFont="1" applyFill="1" applyBorder="1"/>
    <xf numFmtId="37" fontId="1" fillId="4" borderId="17" xfId="1" applyFill="1" applyBorder="1"/>
    <xf numFmtId="37" fontId="2" fillId="4" borderId="32" xfId="1" applyFont="1" applyFill="1" applyBorder="1"/>
    <xf numFmtId="37" fontId="2" fillId="4" borderId="33" xfId="1" applyFont="1" applyFill="1" applyBorder="1"/>
    <xf numFmtId="37" fontId="2" fillId="4" borderId="21" xfId="1" applyFont="1" applyFill="1" applyBorder="1"/>
    <xf numFmtId="37" fontId="2" fillId="3" borderId="12" xfId="1" applyFont="1" applyFill="1" applyBorder="1"/>
    <xf numFmtId="37" fontId="2" fillId="3" borderId="4" xfId="1" applyFont="1" applyFill="1" applyBorder="1" applyAlignment="1">
      <alignment horizontal="center"/>
    </xf>
    <xf numFmtId="37" fontId="2" fillId="3" borderId="34" xfId="1" applyFont="1" applyFill="1" applyBorder="1"/>
    <xf numFmtId="37" fontId="1" fillId="4" borderId="7" xfId="1" applyFill="1" applyBorder="1" applyAlignment="1">
      <alignment horizontal="left"/>
    </xf>
    <xf numFmtId="166" fontId="11" fillId="0" borderId="0" xfId="2" applyNumberFormat="1" applyFont="1"/>
    <xf numFmtId="166" fontId="0" fillId="0" borderId="0" xfId="2" applyNumberFormat="1" applyFont="1"/>
    <xf numFmtId="37" fontId="2" fillId="3" borderId="10" xfId="1" applyFont="1" applyFill="1" applyBorder="1" applyAlignment="1">
      <alignment horizontal="center"/>
    </xf>
    <xf numFmtId="37" fontId="2" fillId="4" borderId="0" xfId="1" applyFont="1" applyFill="1" applyAlignment="1">
      <alignment horizontal="center"/>
    </xf>
    <xf numFmtId="37" fontId="2" fillId="4" borderId="35" xfId="1" applyFont="1" applyFill="1" applyBorder="1" applyAlignment="1">
      <alignment horizontal="right"/>
    </xf>
    <xf numFmtId="37" fontId="12" fillId="0" borderId="0" xfId="1" applyFont="1"/>
    <xf numFmtId="37" fontId="1" fillId="0" borderId="35" xfId="1" applyBorder="1"/>
    <xf numFmtId="37" fontId="1" fillId="0" borderId="14" xfId="1" applyBorder="1"/>
    <xf numFmtId="37" fontId="1" fillId="0" borderId="31" xfId="1" applyBorder="1"/>
    <xf numFmtId="37" fontId="1" fillId="0" borderId="36" xfId="1" applyBorder="1"/>
    <xf numFmtId="37" fontId="2" fillId="4" borderId="5" xfId="1" applyFont="1" applyFill="1" applyBorder="1" applyAlignment="1">
      <alignment horizontal="left"/>
    </xf>
    <xf numFmtId="37" fontId="2" fillId="4" borderId="27" xfId="1" applyFont="1" applyFill="1" applyBorder="1"/>
    <xf numFmtId="37" fontId="2" fillId="6" borderId="30" xfId="1" applyFont="1" applyFill="1" applyBorder="1" applyAlignment="1">
      <alignment horizontal="left"/>
    </xf>
    <xf numFmtId="37" fontId="1" fillId="6" borderId="31" xfId="1" applyFill="1" applyBorder="1"/>
    <xf numFmtId="37" fontId="2" fillId="6" borderId="13" xfId="1" applyFont="1" applyFill="1" applyBorder="1"/>
    <xf numFmtId="37" fontId="8" fillId="3" borderId="0" xfId="1" applyFont="1" applyFill="1" applyAlignment="1">
      <alignment horizontal="left"/>
    </xf>
    <xf numFmtId="37" fontId="7" fillId="3" borderId="0" xfId="1" applyFont="1" applyFill="1"/>
    <xf numFmtId="37" fontId="8" fillId="0" borderId="0" xfId="1" applyFont="1"/>
    <xf numFmtId="37" fontId="2" fillId="3" borderId="18" xfId="1" applyFont="1" applyFill="1" applyBorder="1" applyAlignment="1">
      <alignment horizontal="center"/>
    </xf>
    <xf numFmtId="37" fontId="2" fillId="4" borderId="35" xfId="1" applyFont="1" applyFill="1" applyBorder="1"/>
    <xf numFmtId="37" fontId="2" fillId="5" borderId="12" xfId="1" applyFont="1" applyFill="1" applyBorder="1"/>
    <xf numFmtId="37" fontId="2" fillId="4" borderId="28" xfId="1" quotePrefix="1" applyFont="1" applyFill="1" applyBorder="1" applyAlignment="1">
      <alignment horizontal="right"/>
    </xf>
    <xf numFmtId="37" fontId="2" fillId="4" borderId="14" xfId="1" quotePrefix="1" applyFont="1" applyFill="1" applyBorder="1" applyAlignment="1">
      <alignment horizontal="right"/>
    </xf>
    <xf numFmtId="37" fontId="2" fillId="4" borderId="31" xfId="1" quotePrefix="1" applyFont="1" applyFill="1" applyBorder="1" applyAlignment="1">
      <alignment horizontal="right"/>
    </xf>
    <xf numFmtId="37" fontId="1" fillId="5" borderId="37" xfId="1" applyFill="1" applyBorder="1"/>
    <xf numFmtId="37" fontId="2" fillId="5" borderId="38" xfId="1" applyFont="1" applyFill="1" applyBorder="1"/>
    <xf numFmtId="37" fontId="1" fillId="5" borderId="3" xfId="1" applyFill="1" applyBorder="1"/>
    <xf numFmtId="37" fontId="2" fillId="5" borderId="15" xfId="1" applyFont="1" applyFill="1" applyBorder="1"/>
    <xf numFmtId="37" fontId="2" fillId="4" borderId="33" xfId="1" applyFont="1" applyFill="1" applyBorder="1" applyAlignment="1">
      <alignment horizontal="right"/>
    </xf>
    <xf numFmtId="37" fontId="1" fillId="5" borderId="39" xfId="1" applyFill="1" applyBorder="1"/>
    <xf numFmtId="37" fontId="2" fillId="4" borderId="38" xfId="1" applyFont="1" applyFill="1" applyBorder="1" applyAlignment="1">
      <alignment horizontal="right"/>
    </xf>
    <xf numFmtId="37" fontId="1" fillId="5" borderId="40" xfId="1" applyFill="1" applyBorder="1"/>
    <xf numFmtId="37" fontId="2" fillId="5" borderId="41" xfId="1" applyFont="1" applyFill="1" applyBorder="1"/>
    <xf numFmtId="37" fontId="1" fillId="4" borderId="9" xfId="1" applyFill="1" applyBorder="1"/>
    <xf numFmtId="37" fontId="1" fillId="4" borderId="10" xfId="1" applyFill="1" applyBorder="1"/>
    <xf numFmtId="37" fontId="2" fillId="5" borderId="42" xfId="1" applyFont="1" applyFill="1" applyBorder="1"/>
    <xf numFmtId="164" fontId="2" fillId="3" borderId="0" xfId="1" applyNumberFormat="1" applyFont="1" applyFill="1" applyAlignment="1">
      <alignment horizontal="left"/>
    </xf>
    <xf numFmtId="37" fontId="2" fillId="0" borderId="8" xfId="1" applyFont="1" applyBorder="1" applyAlignment="1">
      <alignment horizontal="left"/>
    </xf>
    <xf numFmtId="37" fontId="2" fillId="4" borderId="43" xfId="1" applyFont="1" applyFill="1" applyBorder="1"/>
    <xf numFmtId="37" fontId="1" fillId="3" borderId="0" xfId="1" quotePrefix="1" applyFill="1" applyAlignment="1">
      <alignment horizontal="left"/>
    </xf>
    <xf numFmtId="37" fontId="2" fillId="4" borderId="44" xfId="1" applyFont="1" applyFill="1" applyBorder="1" applyAlignment="1">
      <alignment horizontal="right"/>
    </xf>
    <xf numFmtId="37" fontId="2" fillId="5" borderId="45" xfId="1" applyFont="1" applyFill="1" applyBorder="1"/>
    <xf numFmtId="37" fontId="1" fillId="5" borderId="46" xfId="1" applyFill="1" applyBorder="1"/>
    <xf numFmtId="37" fontId="2" fillId="5" borderId="44" xfId="1" applyFont="1" applyFill="1" applyBorder="1"/>
    <xf numFmtId="37" fontId="2" fillId="3" borderId="7" xfId="1" applyFont="1" applyFill="1" applyBorder="1" applyAlignment="1">
      <alignment horizontal="center"/>
    </xf>
    <xf numFmtId="37" fontId="2" fillId="3" borderId="5" xfId="1" applyFont="1" applyFill="1" applyBorder="1"/>
    <xf numFmtId="37" fontId="15" fillId="0" borderId="22" xfId="1" applyFont="1" applyBorder="1"/>
    <xf numFmtId="37" fontId="15" fillId="0" borderId="28" xfId="1" applyFont="1" applyBorder="1"/>
    <xf numFmtId="37" fontId="16" fillId="0" borderId="28" xfId="1" applyFont="1" applyBorder="1"/>
    <xf numFmtId="167" fontId="15" fillId="0" borderId="28" xfId="1" applyNumberFormat="1" applyFont="1" applyBorder="1"/>
    <xf numFmtId="37" fontId="16" fillId="0" borderId="28" xfId="1" applyFont="1" applyBorder="1" applyAlignment="1">
      <alignment horizontal="right"/>
    </xf>
    <xf numFmtId="164" fontId="16" fillId="0" borderId="43" xfId="1" applyNumberFormat="1" applyFont="1" applyBorder="1" applyAlignment="1">
      <alignment horizontal="left"/>
    </xf>
    <xf numFmtId="37" fontId="15" fillId="0" borderId="10" xfId="1" applyFont="1" applyBorder="1"/>
    <xf numFmtId="37" fontId="15" fillId="0" borderId="0" xfId="1" applyFont="1"/>
    <xf numFmtId="37" fontId="15" fillId="0" borderId="35" xfId="1" applyFont="1" applyBorder="1"/>
    <xf numFmtId="37" fontId="15" fillId="0" borderId="0" xfId="1" applyFont="1" applyAlignment="1">
      <alignment horizontal="center"/>
    </xf>
    <xf numFmtId="37" fontId="2" fillId="4" borderId="7" xfId="1" quotePrefix="1" applyFont="1" applyFill="1" applyBorder="1" applyAlignment="1">
      <alignment horizontal="right"/>
    </xf>
    <xf numFmtId="37" fontId="17" fillId="0" borderId="0" xfId="1" applyFont="1" applyAlignment="1">
      <alignment horizontal="center"/>
    </xf>
    <xf numFmtId="37" fontId="18" fillId="3" borderId="0" xfId="1" applyFont="1" applyFill="1" applyAlignment="1">
      <alignment horizontal="center"/>
    </xf>
    <xf numFmtId="37" fontId="18" fillId="3" borderId="0" xfId="1" quotePrefix="1" applyFont="1" applyFill="1" applyAlignment="1">
      <alignment horizontal="right"/>
    </xf>
    <xf numFmtId="37" fontId="18" fillId="3" borderId="0" xfId="1" applyFont="1" applyFill="1" applyAlignment="1">
      <alignment horizontal="right"/>
    </xf>
    <xf numFmtId="37" fontId="15" fillId="0" borderId="22" xfId="1" applyFont="1" applyBorder="1" applyAlignment="1">
      <alignment horizontal="center"/>
    </xf>
    <xf numFmtId="37" fontId="15" fillId="0" borderId="10" xfId="1" applyFont="1" applyBorder="1" applyAlignment="1">
      <alignment horizontal="center"/>
    </xf>
    <xf numFmtId="165" fontId="16" fillId="0" borderId="0" xfId="1" applyNumberFormat="1" applyFont="1" applyAlignment="1">
      <alignment horizontal="center"/>
    </xf>
    <xf numFmtId="37" fontId="16" fillId="0" borderId="47" xfId="1" applyFont="1" applyBorder="1" applyAlignment="1">
      <alignment horizontal="center"/>
    </xf>
    <xf numFmtId="37" fontId="1" fillId="0" borderId="0" xfId="1" applyAlignment="1">
      <alignment horizontal="center"/>
    </xf>
    <xf numFmtId="37" fontId="19" fillId="0" borderId="0" xfId="1" applyFont="1"/>
    <xf numFmtId="37" fontId="15" fillId="0" borderId="14" xfId="1" applyFont="1" applyBorder="1"/>
    <xf numFmtId="37" fontId="15" fillId="0" borderId="31" xfId="1" applyFont="1" applyBorder="1"/>
    <xf numFmtId="37" fontId="15" fillId="0" borderId="36" xfId="1" applyFont="1" applyBorder="1"/>
    <xf numFmtId="164" fontId="16" fillId="0" borderId="28" xfId="1" applyNumberFormat="1" applyFont="1" applyBorder="1" applyAlignment="1">
      <alignment horizontal="left"/>
    </xf>
    <xf numFmtId="37" fontId="1" fillId="0" borderId="43" xfId="1" applyBorder="1"/>
    <xf numFmtId="37" fontId="16" fillId="0" borderId="0" xfId="1" applyFont="1"/>
    <xf numFmtId="37" fontId="1" fillId="0" borderId="28" xfId="1" applyBorder="1"/>
    <xf numFmtId="37" fontId="17" fillId="0" borderId="0" xfId="1" applyFont="1"/>
    <xf numFmtId="167" fontId="15" fillId="0" borderId="0" xfId="1" applyNumberFormat="1" applyFont="1"/>
    <xf numFmtId="7" fontId="15" fillId="0" borderId="0" xfId="1" applyNumberFormat="1" applyFont="1"/>
    <xf numFmtId="37" fontId="15" fillId="0" borderId="14" xfId="1" applyFont="1" applyBorder="1" applyAlignment="1">
      <alignment horizontal="center"/>
    </xf>
    <xf numFmtId="37" fontId="15" fillId="0" borderId="31" xfId="1" applyFont="1" applyBorder="1" applyAlignment="1">
      <alignment horizontal="center"/>
    </xf>
    <xf numFmtId="37" fontId="1" fillId="0" borderId="31" xfId="1" applyBorder="1" applyAlignment="1">
      <alignment horizontal="center"/>
    </xf>
    <xf numFmtId="37" fontId="1" fillId="0" borderId="22" xfId="1" applyBorder="1"/>
    <xf numFmtId="14" fontId="16" fillId="0" borderId="43" xfId="1" applyNumberFormat="1" applyFont="1" applyBorder="1" applyAlignment="1">
      <alignment horizontal="left"/>
    </xf>
    <xf numFmtId="37" fontId="16" fillId="0" borderId="48" xfId="1" applyFont="1" applyBorder="1" applyAlignment="1">
      <alignment horizontal="center"/>
    </xf>
    <xf numFmtId="37" fontId="15" fillId="0" borderId="9" xfId="1" applyFont="1" applyBorder="1"/>
    <xf numFmtId="37" fontId="1" fillId="0" borderId="10" xfId="1" applyBorder="1" applyAlignment="1">
      <alignment horizontal="center"/>
    </xf>
    <xf numFmtId="10" fontId="20" fillId="0" borderId="0" xfId="1" applyNumberFormat="1" applyFont="1" applyAlignment="1">
      <alignment horizontal="center"/>
    </xf>
    <xf numFmtId="37" fontId="15" fillId="0" borderId="9" xfId="1" applyFont="1" applyBorder="1" applyAlignment="1">
      <alignment horizontal="center"/>
    </xf>
    <xf numFmtId="37" fontId="21" fillId="0" borderId="0" xfId="1" applyFont="1" applyAlignment="1">
      <alignment horizontal="center"/>
    </xf>
    <xf numFmtId="10" fontId="15" fillId="0" borderId="0" xfId="1" applyNumberFormat="1" applyFont="1" applyAlignment="1">
      <alignment horizontal="center"/>
    </xf>
    <xf numFmtId="37" fontId="16" fillId="0" borderId="9" xfId="1" applyFont="1" applyBorder="1"/>
    <xf numFmtId="5" fontId="15" fillId="0" borderId="0" xfId="1" applyNumberFormat="1" applyFont="1"/>
    <xf numFmtId="10" fontId="1" fillId="0" borderId="0" xfId="1" applyNumberFormat="1"/>
    <xf numFmtId="37" fontId="22" fillId="0" borderId="9" xfId="1" applyFont="1" applyBorder="1"/>
    <xf numFmtId="37" fontId="1" fillId="0" borderId="14" xfId="1" applyBorder="1" applyAlignment="1">
      <alignment horizontal="center"/>
    </xf>
    <xf numFmtId="37" fontId="15" fillId="0" borderId="13" xfId="1" applyFont="1" applyBorder="1"/>
    <xf numFmtId="37" fontId="15" fillId="0" borderId="9" xfId="1" applyFont="1" applyBorder="1" applyAlignment="1">
      <alignment horizontal="right"/>
    </xf>
    <xf numFmtId="37" fontId="1" fillId="0" borderId="24" xfId="1" applyBorder="1"/>
    <xf numFmtId="37" fontId="15" fillId="0" borderId="35" xfId="1" applyFont="1" applyBorder="1" applyAlignment="1">
      <alignment horizontal="center"/>
    </xf>
    <xf numFmtId="37" fontId="15" fillId="12" borderId="43" xfId="1" applyFont="1" applyFill="1" applyBorder="1" applyAlignment="1">
      <alignment horizontal="center"/>
    </xf>
    <xf numFmtId="37" fontId="15" fillId="12" borderId="0" xfId="1" applyFont="1" applyFill="1" applyAlignment="1">
      <alignment horizontal="center" wrapText="1"/>
    </xf>
    <xf numFmtId="37" fontId="15" fillId="12" borderId="0" xfId="1" applyFont="1" applyFill="1" applyAlignment="1">
      <alignment horizontal="center"/>
    </xf>
    <xf numFmtId="37" fontId="15" fillId="13" borderId="0" xfId="1" applyFont="1" applyFill="1" applyAlignment="1">
      <alignment horizontal="center"/>
    </xf>
    <xf numFmtId="37" fontId="15" fillId="14" borderId="35" xfId="1" applyFont="1" applyFill="1" applyBorder="1" applyAlignment="1">
      <alignment horizontal="center"/>
    </xf>
    <xf numFmtId="37" fontId="15" fillId="0" borderId="10" xfId="1" applyFont="1" applyBorder="1" applyAlignment="1">
      <alignment horizontal="center" wrapText="1"/>
    </xf>
    <xf numFmtId="37" fontId="15" fillId="0" borderId="0" xfId="1" applyFont="1" applyAlignment="1">
      <alignment horizontal="center" wrapText="1"/>
    </xf>
    <xf numFmtId="37" fontId="15" fillId="0" borderId="35" xfId="1" applyFont="1" applyBorder="1" applyAlignment="1">
      <alignment horizontal="center" wrapText="1"/>
    </xf>
    <xf numFmtId="37" fontId="15" fillId="12" borderId="10" xfId="1" applyFont="1" applyFill="1" applyBorder="1" applyAlignment="1">
      <alignment horizontal="center" wrapText="1"/>
    </xf>
    <xf numFmtId="37" fontId="15" fillId="12" borderId="35" xfId="1" applyFont="1" applyFill="1" applyBorder="1" applyAlignment="1">
      <alignment horizontal="center"/>
    </xf>
    <xf numFmtId="37" fontId="15" fillId="0" borderId="10" xfId="1" quotePrefix="1" applyFont="1" applyBorder="1" applyAlignment="1">
      <alignment horizontal="center"/>
    </xf>
    <xf numFmtId="37" fontId="15" fillId="0" borderId="35" xfId="1" quotePrefix="1" applyFont="1" applyBorder="1" applyAlignment="1">
      <alignment horizontal="center"/>
    </xf>
    <xf numFmtId="37" fontId="15" fillId="12" borderId="10" xfId="1" applyFont="1" applyFill="1" applyBorder="1" applyAlignment="1">
      <alignment horizontal="center"/>
    </xf>
    <xf numFmtId="37" fontId="23" fillId="0" borderId="0" xfId="1" applyFont="1" applyAlignment="1">
      <alignment horizontal="center"/>
    </xf>
    <xf numFmtId="37" fontId="24" fillId="12" borderId="10" xfId="1" applyFont="1" applyFill="1" applyBorder="1" applyAlignment="1">
      <alignment horizontal="center"/>
    </xf>
    <xf numFmtId="37" fontId="24" fillId="12" borderId="0" xfId="1" applyFont="1" applyFill="1" applyAlignment="1">
      <alignment horizontal="center"/>
    </xf>
    <xf numFmtId="10" fontId="15" fillId="12" borderId="0" xfId="1" applyNumberFormat="1" applyFont="1" applyFill="1" applyAlignment="1">
      <alignment horizontal="center" wrapText="1"/>
    </xf>
    <xf numFmtId="37" fontId="15" fillId="15" borderId="0" xfId="1" applyFont="1" applyFill="1" applyAlignment="1">
      <alignment horizontal="center"/>
    </xf>
    <xf numFmtId="5" fontId="15" fillId="0" borderId="0" xfId="1" applyNumberFormat="1" applyFont="1" applyAlignment="1">
      <alignment horizontal="center"/>
    </xf>
    <xf numFmtId="37" fontId="15" fillId="0" borderId="13" xfId="1" applyFont="1" applyBorder="1" applyAlignment="1">
      <alignment horizontal="center"/>
    </xf>
    <xf numFmtId="37" fontId="15" fillId="0" borderId="36" xfId="1" applyFont="1" applyBorder="1" applyAlignment="1">
      <alignment horizontal="center"/>
    </xf>
    <xf numFmtId="37" fontId="15" fillId="12" borderId="14" xfId="1" applyFont="1" applyFill="1" applyBorder="1" applyAlignment="1">
      <alignment horizontal="center"/>
    </xf>
    <xf numFmtId="37" fontId="15" fillId="12" borderId="31" xfId="1" applyFont="1" applyFill="1" applyBorder="1" applyAlignment="1">
      <alignment horizontal="center"/>
    </xf>
    <xf numFmtId="37" fontId="15" fillId="12" borderId="36" xfId="1" applyFont="1" applyFill="1" applyBorder="1" applyAlignment="1">
      <alignment horizontal="center"/>
    </xf>
    <xf numFmtId="10" fontId="15" fillId="12" borderId="14" xfId="1" applyNumberFormat="1" applyFont="1" applyFill="1" applyBorder="1" applyAlignment="1">
      <alignment horizontal="center" wrapText="1"/>
    </xf>
    <xf numFmtId="37" fontId="24" fillId="12" borderId="31" xfId="1" applyFont="1" applyFill="1" applyBorder="1" applyAlignment="1">
      <alignment horizontal="center"/>
    </xf>
    <xf numFmtId="37" fontId="15" fillId="15" borderId="31" xfId="1" applyFont="1" applyFill="1" applyBorder="1" applyAlignment="1">
      <alignment horizontal="center"/>
    </xf>
    <xf numFmtId="37" fontId="25" fillId="0" borderId="0" xfId="1" applyFont="1"/>
    <xf numFmtId="37" fontId="15" fillId="12" borderId="22" xfId="1" applyFont="1" applyFill="1" applyBorder="1" applyAlignment="1">
      <alignment horizontal="center" wrapText="1"/>
    </xf>
    <xf numFmtId="10" fontId="15" fillId="12" borderId="10" xfId="1" applyNumberFormat="1" applyFont="1" applyFill="1" applyBorder="1" applyAlignment="1">
      <alignment horizontal="center" wrapText="1"/>
    </xf>
    <xf numFmtId="37" fontId="15" fillId="15" borderId="10" xfId="1" applyFont="1" applyFill="1" applyBorder="1" applyAlignment="1">
      <alignment horizontal="center"/>
    </xf>
    <xf numFmtId="37" fontId="15" fillId="15" borderId="14" xfId="1" applyFont="1" applyFill="1" applyBorder="1" applyAlignment="1">
      <alignment horizontal="center"/>
    </xf>
    <xf numFmtId="37" fontId="1" fillId="0" borderId="10" xfId="1" applyBorder="1" applyAlignment="1">
      <alignment horizontal="right"/>
    </xf>
    <xf numFmtId="37" fontId="1" fillId="0" borderId="14" xfId="1" applyBorder="1" applyAlignment="1">
      <alignment horizontal="right"/>
    </xf>
    <xf numFmtId="37" fontId="15" fillId="0" borderId="0" xfId="1" applyFont="1" applyAlignment="1">
      <alignment horizontal="right"/>
    </xf>
    <xf numFmtId="37" fontId="1" fillId="0" borderId="0" xfId="1" applyAlignment="1">
      <alignment horizontal="right"/>
    </xf>
    <xf numFmtId="37" fontId="15" fillId="0" borderId="22" xfId="1" applyFont="1" applyBorder="1" applyAlignment="1">
      <alignment horizontal="right"/>
    </xf>
    <xf numFmtId="37" fontId="15" fillId="0" borderId="10" xfId="1" applyFont="1" applyBorder="1" applyAlignment="1">
      <alignment horizontal="right"/>
    </xf>
    <xf numFmtId="37" fontId="1" fillId="0" borderId="0" xfId="1" quotePrefix="1" applyAlignment="1">
      <alignment horizontal="right"/>
    </xf>
    <xf numFmtId="2" fontId="1" fillId="0" borderId="0" xfId="1" applyNumberFormat="1"/>
    <xf numFmtId="37" fontId="1" fillId="0" borderId="52" xfId="1" applyBorder="1"/>
    <xf numFmtId="37" fontId="26" fillId="0" borderId="0" xfId="1" applyFont="1" applyAlignment="1">
      <alignment horizontal="center"/>
    </xf>
    <xf numFmtId="37" fontId="16" fillId="0" borderId="53" xfId="1" applyFont="1" applyBorder="1" applyAlignment="1">
      <alignment horizontal="center"/>
    </xf>
    <xf numFmtId="37" fontId="16" fillId="0" borderId="54" xfId="1" applyFont="1" applyBorder="1" applyAlignment="1">
      <alignment horizontal="center"/>
    </xf>
    <xf numFmtId="37" fontId="16" fillId="0" borderId="55" xfId="1" applyFont="1" applyBorder="1" applyAlignment="1">
      <alignment horizontal="center"/>
    </xf>
    <xf numFmtId="37" fontId="16" fillId="0" borderId="0" xfId="1" applyFont="1" applyAlignment="1">
      <alignment horizontal="center"/>
    </xf>
    <xf numFmtId="37" fontId="1" fillId="0" borderId="35" xfId="1" applyBorder="1" applyAlignment="1">
      <alignment horizontal="center"/>
    </xf>
    <xf numFmtId="37" fontId="1" fillId="0" borderId="36" xfId="1" applyBorder="1" applyAlignment="1">
      <alignment horizontal="center"/>
    </xf>
    <xf numFmtId="37" fontId="1" fillId="0" borderId="22" xfId="1" applyBorder="1" applyAlignment="1">
      <alignment horizontal="right"/>
    </xf>
    <xf numFmtId="37" fontId="29" fillId="0" borderId="53" xfId="1" applyFont="1" applyBorder="1" applyAlignment="1">
      <alignment horizontal="center"/>
    </xf>
    <xf numFmtId="37" fontId="29" fillId="0" borderId="54" xfId="1" applyFont="1" applyBorder="1" applyAlignment="1">
      <alignment horizontal="center"/>
    </xf>
    <xf numFmtId="37" fontId="29" fillId="0" borderId="55" xfId="1" applyFont="1" applyBorder="1" applyAlignment="1">
      <alignment horizontal="center"/>
    </xf>
    <xf numFmtId="37" fontId="10" fillId="0" borderId="0" xfId="1" applyFont="1" applyAlignment="1">
      <alignment horizontal="center"/>
    </xf>
    <xf numFmtId="37" fontId="10" fillId="0" borderId="35" xfId="1" applyFont="1" applyBorder="1" applyAlignment="1">
      <alignment horizontal="center"/>
    </xf>
    <xf numFmtId="37" fontId="29" fillId="0" borderId="10" xfId="1" applyFont="1" applyBorder="1" applyAlignment="1">
      <alignment horizontal="center"/>
    </xf>
    <xf numFmtId="37" fontId="30" fillId="17" borderId="0" xfId="1" applyFont="1" applyFill="1" applyAlignment="1">
      <alignment horizontal="center"/>
    </xf>
    <xf numFmtId="37" fontId="30" fillId="0" borderId="0" xfId="1" applyFont="1" applyAlignment="1">
      <alignment horizontal="center"/>
    </xf>
    <xf numFmtId="37" fontId="30" fillId="0" borderId="35" xfId="1" applyFont="1" applyBorder="1" applyAlignment="1">
      <alignment horizontal="center"/>
    </xf>
    <xf numFmtId="37" fontId="30" fillId="0" borderId="10" xfId="1" applyFont="1" applyBorder="1" applyAlignment="1">
      <alignment horizontal="center"/>
    </xf>
    <xf numFmtId="37" fontId="11" fillId="17" borderId="0" xfId="1" applyFont="1" applyFill="1" applyAlignment="1">
      <alignment horizontal="center"/>
    </xf>
    <xf numFmtId="37" fontId="11" fillId="0" borderId="0" xfId="1" applyFont="1" applyAlignment="1">
      <alignment horizontal="center"/>
    </xf>
    <xf numFmtId="37" fontId="2" fillId="0" borderId="28" xfId="1" applyFont="1" applyBorder="1" applyAlignment="1">
      <alignment horizontal="center" wrapText="1"/>
    </xf>
    <xf numFmtId="37" fontId="2" fillId="0" borderId="28" xfId="1" applyFont="1" applyBorder="1" applyAlignment="1">
      <alignment horizontal="center"/>
    </xf>
    <xf numFmtId="37" fontId="2" fillId="0" borderId="10" xfId="1" applyFont="1" applyBorder="1"/>
    <xf numFmtId="37" fontId="31" fillId="0" borderId="0" xfId="1" applyFont="1"/>
    <xf numFmtId="37" fontId="11" fillId="17" borderId="31" xfId="1" applyFont="1" applyFill="1" applyBorder="1" applyAlignment="1">
      <alignment horizontal="center"/>
    </xf>
    <xf numFmtId="37" fontId="1" fillId="0" borderId="56" xfId="1" applyBorder="1" applyAlignment="1">
      <alignment horizontal="center"/>
    </xf>
    <xf numFmtId="37" fontId="1" fillId="0" borderId="57" xfId="1" applyBorder="1" applyAlignment="1">
      <alignment horizontal="center"/>
    </xf>
    <xf numFmtId="37" fontId="1" fillId="0" borderId="6" xfId="1" applyBorder="1"/>
    <xf numFmtId="37" fontId="17" fillId="0" borderId="28" xfId="1" applyFont="1" applyBorder="1"/>
    <xf numFmtId="37" fontId="2" fillId="0" borderId="14" xfId="1" applyFont="1" applyBorder="1"/>
    <xf numFmtId="37" fontId="31" fillId="0" borderId="31" xfId="1" applyFont="1" applyBorder="1"/>
    <xf numFmtId="165" fontId="15" fillId="0" borderId="0" xfId="1" applyNumberFormat="1" applyFont="1"/>
    <xf numFmtId="37" fontId="16" fillId="0" borderId="0" xfId="1" applyFont="1" applyAlignment="1">
      <alignment horizontal="left"/>
    </xf>
    <xf numFmtId="37" fontId="23" fillId="0" borderId="0" xfId="1" applyFont="1"/>
    <xf numFmtId="7" fontId="23" fillId="0" borderId="0" xfId="1" applyNumberFormat="1" applyFont="1"/>
    <xf numFmtId="5" fontId="15" fillId="0" borderId="31" xfId="1" applyNumberFormat="1" applyFont="1" applyBorder="1"/>
    <xf numFmtId="37" fontId="1" fillId="5" borderId="58" xfId="1" applyFill="1" applyBorder="1"/>
    <xf numFmtId="37" fontId="2" fillId="4" borderId="59" xfId="1" applyFont="1" applyFill="1" applyBorder="1" applyAlignment="1">
      <alignment horizontal="right"/>
    </xf>
    <xf numFmtId="37" fontId="1" fillId="0" borderId="59" xfId="1" applyBorder="1"/>
    <xf numFmtId="37" fontId="2" fillId="4" borderId="59" xfId="1" applyFont="1" applyFill="1" applyBorder="1"/>
    <xf numFmtId="37" fontId="15" fillId="0" borderId="59" xfId="1" applyFont="1" applyBorder="1"/>
    <xf numFmtId="37" fontId="15" fillId="0" borderId="59" xfId="1" applyFont="1" applyBorder="1" applyAlignment="1">
      <alignment horizontal="center"/>
    </xf>
    <xf numFmtId="37" fontId="15" fillId="14" borderId="59" xfId="1" applyFont="1" applyFill="1" applyBorder="1" applyAlignment="1">
      <alignment horizontal="center"/>
    </xf>
    <xf numFmtId="37" fontId="15" fillId="0" borderId="59" xfId="1" applyFont="1" applyBorder="1" applyAlignment="1">
      <alignment horizontal="center" wrapText="1"/>
    </xf>
    <xf numFmtId="37" fontId="15" fillId="12" borderId="59" xfId="1" applyFont="1" applyFill="1" applyBorder="1" applyAlignment="1">
      <alignment horizontal="center"/>
    </xf>
    <xf numFmtId="37" fontId="15" fillId="0" borderId="59" xfId="1" quotePrefix="1" applyFont="1" applyBorder="1" applyAlignment="1">
      <alignment horizontal="center"/>
    </xf>
    <xf numFmtId="37" fontId="1" fillId="0" borderId="59" xfId="1" applyBorder="1" applyAlignment="1">
      <alignment horizontal="center"/>
    </xf>
    <xf numFmtId="37" fontId="10" fillId="0" borderId="59" xfId="1" applyFont="1" applyBorder="1" applyAlignment="1">
      <alignment horizontal="center"/>
    </xf>
    <xf numFmtId="37" fontId="30" fillId="0" borderId="59" xfId="1" applyFont="1" applyBorder="1" applyAlignment="1">
      <alignment horizontal="center"/>
    </xf>
    <xf numFmtId="37" fontId="1" fillId="18" borderId="0" xfId="1" applyFill="1"/>
    <xf numFmtId="37" fontId="1" fillId="17" borderId="0" xfId="1" applyFill="1"/>
    <xf numFmtId="37" fontId="1" fillId="3" borderId="59" xfId="1" applyFill="1" applyBorder="1" applyAlignment="1">
      <alignment horizontal="left"/>
    </xf>
    <xf numFmtId="37" fontId="15" fillId="0" borderId="43" xfId="1" applyFont="1" applyBorder="1"/>
    <xf numFmtId="37" fontId="24" fillId="12" borderId="14" xfId="1" applyFont="1" applyFill="1" applyBorder="1" applyAlignment="1">
      <alignment horizontal="center"/>
    </xf>
    <xf numFmtId="1" fontId="1" fillId="0" borderId="0" xfId="1" applyNumberFormat="1" applyAlignment="1">
      <alignment horizontal="center"/>
    </xf>
    <xf numFmtId="37" fontId="1" fillId="3" borderId="0" xfId="1" quotePrefix="1" applyFill="1"/>
    <xf numFmtId="37" fontId="8" fillId="3" borderId="8" xfId="1" applyFont="1" applyFill="1" applyBorder="1" applyAlignment="1">
      <alignment horizontal="left"/>
    </xf>
    <xf numFmtId="37" fontId="2" fillId="3" borderId="60" xfId="1" applyFont="1" applyFill="1" applyBorder="1" applyAlignment="1">
      <alignment horizontal="left"/>
    </xf>
    <xf numFmtId="37" fontId="2" fillId="3" borderId="61" xfId="1" applyFont="1" applyFill="1" applyBorder="1" applyAlignment="1">
      <alignment horizontal="right"/>
    </xf>
    <xf numFmtId="37" fontId="2" fillId="4" borderId="62" xfId="1" applyFont="1" applyFill="1" applyBorder="1" applyAlignment="1">
      <alignment horizontal="center"/>
    </xf>
    <xf numFmtId="37" fontId="2" fillId="4" borderId="63" xfId="1" applyFont="1" applyFill="1" applyBorder="1" applyAlignment="1">
      <alignment horizontal="right"/>
    </xf>
    <xf numFmtId="37" fontId="2" fillId="5" borderId="62" xfId="1" applyFont="1" applyFill="1" applyBorder="1"/>
    <xf numFmtId="37" fontId="2" fillId="5" borderId="64" xfId="1" applyFont="1" applyFill="1" applyBorder="1"/>
    <xf numFmtId="37" fontId="2" fillId="3" borderId="65" xfId="1" applyFont="1" applyFill="1" applyBorder="1" applyAlignment="1">
      <alignment horizontal="center"/>
    </xf>
    <xf numFmtId="37" fontId="2" fillId="3" borderId="66" xfId="1" applyFont="1" applyFill="1" applyBorder="1" applyAlignment="1">
      <alignment horizontal="left"/>
    </xf>
    <xf numFmtId="37" fontId="2" fillId="3" borderId="67" xfId="1" applyFont="1" applyFill="1" applyBorder="1" applyAlignment="1">
      <alignment horizontal="right"/>
    </xf>
    <xf numFmtId="37" fontId="2" fillId="4" borderId="68" xfId="1" applyFont="1" applyFill="1" applyBorder="1" applyAlignment="1">
      <alignment horizontal="right"/>
    </xf>
    <xf numFmtId="37" fontId="2" fillId="3" borderId="62" xfId="1" applyFont="1" applyFill="1" applyBorder="1" applyAlignment="1">
      <alignment horizontal="left"/>
    </xf>
    <xf numFmtId="37" fontId="2" fillId="4" borderId="62" xfId="1" applyFont="1" applyFill="1" applyBorder="1"/>
    <xf numFmtId="37" fontId="2" fillId="3" borderId="65" xfId="1" applyFont="1" applyFill="1" applyBorder="1" applyAlignment="1">
      <alignment horizontal="left"/>
    </xf>
    <xf numFmtId="37" fontId="1" fillId="3" borderId="69" xfId="1" applyFill="1" applyBorder="1"/>
    <xf numFmtId="37" fontId="2" fillId="4" borderId="64" xfId="1" applyFont="1" applyFill="1" applyBorder="1"/>
    <xf numFmtId="37" fontId="2" fillId="4" borderId="63" xfId="1" applyFont="1" applyFill="1" applyBorder="1"/>
    <xf numFmtId="37" fontId="1" fillId="4" borderId="61" xfId="1" applyFill="1" applyBorder="1"/>
    <xf numFmtId="37" fontId="2" fillId="4" borderId="70" xfId="1" applyFont="1" applyFill="1" applyBorder="1"/>
    <xf numFmtId="37" fontId="2" fillId="4" borderId="71" xfId="1" applyFont="1" applyFill="1" applyBorder="1"/>
    <xf numFmtId="37" fontId="2" fillId="3" borderId="68" xfId="1" applyFont="1" applyFill="1" applyBorder="1" applyAlignment="1">
      <alignment horizontal="center"/>
    </xf>
    <xf numFmtId="37" fontId="2" fillId="3" borderId="63" xfId="1" applyFont="1" applyFill="1" applyBorder="1" applyAlignment="1">
      <alignment horizontal="center"/>
    </xf>
    <xf numFmtId="37" fontId="2" fillId="4" borderId="69" xfId="1" quotePrefix="1" applyFont="1" applyFill="1" applyBorder="1" applyAlignment="1">
      <alignment horizontal="right"/>
    </xf>
    <xf numFmtId="37" fontId="1" fillId="5" borderId="62" xfId="1" applyFill="1" applyBorder="1"/>
    <xf numFmtId="37" fontId="2" fillId="4" borderId="71" xfId="1" applyFont="1" applyFill="1" applyBorder="1" applyAlignment="1">
      <alignment horizontal="right"/>
    </xf>
    <xf numFmtId="37" fontId="2" fillId="4" borderId="72" xfId="1" applyFont="1" applyFill="1" applyBorder="1"/>
    <xf numFmtId="37" fontId="2" fillId="4" borderId="73" xfId="1" applyFont="1" applyFill="1" applyBorder="1" applyAlignment="1">
      <alignment horizontal="right"/>
    </xf>
    <xf numFmtId="37" fontId="2" fillId="5" borderId="73" xfId="1" applyFont="1" applyFill="1" applyBorder="1"/>
    <xf numFmtId="37" fontId="15" fillId="0" borderId="64" xfId="1" applyFont="1" applyBorder="1"/>
    <xf numFmtId="37" fontId="15" fillId="0" borderId="69" xfId="1" applyFont="1" applyBorder="1"/>
    <xf numFmtId="37" fontId="16" fillId="0" borderId="69" xfId="1" applyFont="1" applyBorder="1"/>
    <xf numFmtId="167" fontId="15" fillId="0" borderId="69" xfId="1" applyNumberFormat="1" applyFont="1" applyBorder="1"/>
    <xf numFmtId="37" fontId="16" fillId="0" borderId="69" xfId="1" applyFont="1" applyBorder="1" applyAlignment="1">
      <alignment horizontal="right"/>
    </xf>
    <xf numFmtId="164" fontId="16" fillId="0" borderId="72" xfId="1" applyNumberFormat="1" applyFont="1" applyBorder="1" applyAlignment="1">
      <alignment horizontal="left"/>
    </xf>
    <xf numFmtId="37" fontId="15" fillId="0" borderId="64" xfId="1" applyFont="1" applyBorder="1" applyAlignment="1">
      <alignment horizontal="center"/>
    </xf>
    <xf numFmtId="164" fontId="16" fillId="0" borderId="69" xfId="1" applyNumberFormat="1" applyFont="1" applyBorder="1" applyAlignment="1">
      <alignment horizontal="left"/>
    </xf>
    <xf numFmtId="37" fontId="1" fillId="0" borderId="72" xfId="1" applyBorder="1"/>
    <xf numFmtId="37" fontId="1" fillId="0" borderId="69" xfId="1" applyBorder="1"/>
    <xf numFmtId="37" fontId="1" fillId="0" borderId="64" xfId="1" applyBorder="1"/>
    <xf numFmtId="14" fontId="16" fillId="0" borderId="72" xfId="1" applyNumberFormat="1" applyFont="1" applyBorder="1" applyAlignment="1">
      <alignment horizontal="left"/>
    </xf>
    <xf numFmtId="37" fontId="15" fillId="12" borderId="72" xfId="1" applyFont="1" applyFill="1" applyBorder="1" applyAlignment="1">
      <alignment horizontal="center"/>
    </xf>
    <xf numFmtId="37" fontId="15" fillId="12" borderId="64" xfId="1" applyFont="1" applyFill="1" applyBorder="1" applyAlignment="1">
      <alignment horizontal="center" wrapText="1"/>
    </xf>
    <xf numFmtId="37" fontId="15" fillId="0" borderId="64" xfId="1" applyFont="1" applyBorder="1" applyAlignment="1">
      <alignment horizontal="right"/>
    </xf>
    <xf numFmtId="37" fontId="1" fillId="0" borderId="64" xfId="1" applyBorder="1" applyAlignment="1">
      <alignment horizontal="right"/>
    </xf>
    <xf numFmtId="37" fontId="2" fillId="0" borderId="69" xfId="1" applyFont="1" applyBorder="1" applyAlignment="1">
      <alignment horizontal="center" wrapText="1"/>
    </xf>
    <xf numFmtId="37" fontId="2" fillId="0" borderId="69" xfId="1" applyFont="1" applyBorder="1" applyAlignment="1">
      <alignment horizontal="center"/>
    </xf>
    <xf numFmtId="37" fontId="1" fillId="0" borderId="77" xfId="1" applyBorder="1"/>
    <xf numFmtId="37" fontId="17" fillId="0" borderId="69" xfId="1" applyFont="1" applyBorder="1"/>
    <xf numFmtId="37" fontId="2" fillId="3" borderId="66" xfId="1" applyFont="1" applyFill="1" applyBorder="1" applyAlignment="1">
      <alignment horizontal="center"/>
    </xf>
    <xf numFmtId="37" fontId="2" fillId="3" borderId="66" xfId="1" applyFont="1" applyFill="1" applyBorder="1" applyAlignment="1">
      <alignment horizontal="right"/>
    </xf>
    <xf numFmtId="37" fontId="1" fillId="10" borderId="59" xfId="1" applyFill="1" applyBorder="1" applyAlignment="1">
      <alignment horizontal="left"/>
    </xf>
    <xf numFmtId="37" fontId="6" fillId="3" borderId="8" xfId="1" quotePrefix="1" applyFont="1" applyFill="1" applyBorder="1" applyAlignment="1">
      <alignment horizontal="left"/>
    </xf>
    <xf numFmtId="37" fontId="9" fillId="19" borderId="0" xfId="3" applyNumberFormat="1" applyFill="1"/>
    <xf numFmtId="37" fontId="1" fillId="19" borderId="0" xfId="1" applyFill="1"/>
    <xf numFmtId="37" fontId="8" fillId="3" borderId="0" xfId="1" applyFont="1" applyFill="1"/>
    <xf numFmtId="37" fontId="8" fillId="4" borderId="0" xfId="1" applyFont="1" applyFill="1"/>
    <xf numFmtId="37" fontId="16" fillId="0" borderId="0" xfId="1" applyFont="1" applyAlignment="1">
      <alignment horizontal="right"/>
    </xf>
    <xf numFmtId="164" fontId="16" fillId="0" borderId="0" xfId="1" applyNumberFormat="1" applyFont="1" applyAlignment="1">
      <alignment horizontal="left"/>
    </xf>
    <xf numFmtId="37" fontId="19" fillId="0" borderId="35" xfId="1" applyFont="1" applyBorder="1" applyAlignment="1">
      <alignment horizontal="center"/>
    </xf>
    <xf numFmtId="37" fontId="19" fillId="0" borderId="36" xfId="1" applyFont="1" applyBorder="1" applyAlignment="1">
      <alignment horizontal="center"/>
    </xf>
    <xf numFmtId="14" fontId="16" fillId="0" borderId="0" xfId="1" applyNumberFormat="1" applyFont="1" applyAlignment="1">
      <alignment horizontal="left"/>
    </xf>
    <xf numFmtId="37" fontId="2" fillId="3" borderId="0" xfId="1" applyFont="1" applyFill="1" applyAlignment="1">
      <alignment horizontal="center"/>
    </xf>
    <xf numFmtId="37" fontId="3" fillId="3" borderId="0" xfId="1" applyFont="1" applyFill="1" applyAlignment="1">
      <alignment horizontal="center"/>
    </xf>
    <xf numFmtId="37" fontId="4" fillId="3" borderId="0" xfId="1" applyFont="1" applyFill="1" applyAlignment="1">
      <alignment horizontal="center"/>
    </xf>
    <xf numFmtId="165" fontId="4" fillId="3" borderId="0" xfId="1" applyNumberFormat="1" applyFont="1" applyFill="1" applyAlignment="1">
      <alignment horizontal="center"/>
    </xf>
    <xf numFmtId="37" fontId="16" fillId="0" borderId="28" xfId="1" applyFont="1" applyBorder="1" applyAlignment="1">
      <alignment horizontal="center"/>
    </xf>
    <xf numFmtId="37" fontId="7" fillId="0" borderId="22" xfId="1" applyFont="1" applyBorder="1" applyAlignment="1">
      <alignment horizontal="center"/>
    </xf>
    <xf numFmtId="37" fontId="7" fillId="0" borderId="28" xfId="1" applyFont="1" applyBorder="1" applyAlignment="1">
      <alignment horizontal="center"/>
    </xf>
    <xf numFmtId="37" fontId="7" fillId="0" borderId="43" xfId="1" applyFont="1" applyBorder="1" applyAlignment="1">
      <alignment horizontal="center"/>
    </xf>
    <xf numFmtId="49" fontId="2" fillId="3" borderId="0" xfId="1" applyNumberFormat="1" applyFont="1" applyFill="1" applyAlignment="1">
      <alignment horizontal="center"/>
    </xf>
    <xf numFmtId="165" fontId="2" fillId="3" borderId="0" xfId="1" applyNumberFormat="1" applyFont="1" applyFill="1" applyAlignment="1">
      <alignment horizontal="center"/>
    </xf>
    <xf numFmtId="37" fontId="1" fillId="0" borderId="28" xfId="1" applyBorder="1"/>
    <xf numFmtId="37" fontId="15" fillId="0" borderId="0" xfId="1" applyFont="1" applyAlignment="1">
      <alignment horizontal="center"/>
    </xf>
    <xf numFmtId="165" fontId="16" fillId="0" borderId="0" xfId="1" applyNumberFormat="1" applyFont="1" applyAlignment="1">
      <alignment horizontal="center"/>
    </xf>
    <xf numFmtId="37" fontId="1" fillId="0" borderId="0" xfId="1" applyAlignment="1">
      <alignment horizontal="center"/>
    </xf>
    <xf numFmtId="37" fontId="1" fillId="0" borderId="0" xfId="1"/>
    <xf numFmtId="37" fontId="16" fillId="0" borderId="22" xfId="1" applyFont="1" applyBorder="1" applyAlignment="1">
      <alignment horizontal="center"/>
    </xf>
    <xf numFmtId="165" fontId="16" fillId="0" borderId="10" xfId="1" applyNumberFormat="1" applyFont="1" applyBorder="1" applyAlignment="1">
      <alignment horizontal="center"/>
    </xf>
    <xf numFmtId="37" fontId="15" fillId="0" borderId="10" xfId="1" applyFont="1" applyBorder="1" applyAlignment="1">
      <alignment horizontal="center"/>
    </xf>
    <xf numFmtId="37" fontId="15" fillId="0" borderId="14" xfId="1" applyFont="1" applyBorder="1" applyAlignment="1">
      <alignment horizontal="center"/>
    </xf>
    <xf numFmtId="37" fontId="15" fillId="0" borderId="31" xfId="1" applyFont="1" applyBorder="1" applyAlignment="1">
      <alignment horizontal="center"/>
    </xf>
    <xf numFmtId="37" fontId="15" fillId="0" borderId="5" xfId="1" applyFont="1" applyBorder="1" applyAlignment="1">
      <alignment horizontal="center"/>
    </xf>
    <xf numFmtId="37" fontId="15" fillId="0" borderId="24" xfId="1" applyFont="1" applyBorder="1" applyAlignment="1">
      <alignment horizontal="center"/>
    </xf>
    <xf numFmtId="37" fontId="15" fillId="0" borderId="27" xfId="1" applyFont="1" applyBorder="1" applyAlignment="1">
      <alignment horizontal="center"/>
    </xf>
    <xf numFmtId="37" fontId="15" fillId="12" borderId="5" xfId="1" applyFont="1" applyFill="1" applyBorder="1" applyAlignment="1">
      <alignment horizontal="center"/>
    </xf>
    <xf numFmtId="37" fontId="15" fillId="12" borderId="24" xfId="1" applyFont="1" applyFill="1" applyBorder="1" applyAlignment="1">
      <alignment horizontal="center"/>
    </xf>
    <xf numFmtId="37" fontId="15" fillId="12" borderId="27" xfId="1" applyFont="1" applyFill="1" applyBorder="1" applyAlignment="1">
      <alignment horizontal="center"/>
    </xf>
    <xf numFmtId="37" fontId="15" fillId="12" borderId="10" xfId="1" applyFont="1" applyFill="1" applyBorder="1" applyAlignment="1">
      <alignment horizontal="center"/>
    </xf>
    <xf numFmtId="37" fontId="15" fillId="12" borderId="0" xfId="1" applyFont="1" applyFill="1" applyAlignment="1">
      <alignment horizontal="center"/>
    </xf>
    <xf numFmtId="37" fontId="15" fillId="12" borderId="59" xfId="1" applyFont="1" applyFill="1" applyBorder="1" applyAlignment="1">
      <alignment horizontal="center"/>
    </xf>
    <xf numFmtId="37" fontId="16" fillId="0" borderId="5" xfId="1" applyFont="1" applyBorder="1" applyAlignment="1">
      <alignment horizontal="center"/>
    </xf>
    <xf numFmtId="37" fontId="16" fillId="0" borderId="24" xfId="1" applyFont="1" applyBorder="1" applyAlignment="1">
      <alignment horizontal="center"/>
    </xf>
    <xf numFmtId="37" fontId="16" fillId="0" borderId="27" xfId="1" applyFont="1" applyBorder="1" applyAlignment="1">
      <alignment horizontal="center"/>
    </xf>
    <xf numFmtId="165" fontId="16" fillId="0" borderId="0" xfId="1" quotePrefix="1" applyNumberFormat="1" applyFont="1" applyAlignment="1">
      <alignment horizontal="center"/>
    </xf>
    <xf numFmtId="37" fontId="27" fillId="16" borderId="49" xfId="1" applyFont="1" applyFill="1" applyBorder="1" applyAlignment="1">
      <alignment horizontal="center"/>
    </xf>
    <xf numFmtId="37" fontId="1" fillId="0" borderId="50" xfId="1" applyBorder="1" applyAlignment="1">
      <alignment horizontal="center"/>
    </xf>
    <xf numFmtId="37" fontId="1" fillId="0" borderId="51" xfId="1" applyBorder="1" applyAlignment="1">
      <alignment horizontal="center"/>
    </xf>
    <xf numFmtId="37" fontId="28" fillId="9" borderId="49" xfId="1" applyFont="1" applyFill="1" applyBorder="1" applyAlignment="1">
      <alignment horizontal="center"/>
    </xf>
    <xf numFmtId="37" fontId="16" fillId="0" borderId="49" xfId="1" applyFont="1" applyBorder="1" applyAlignment="1">
      <alignment horizontal="center"/>
    </xf>
    <xf numFmtId="37" fontId="16" fillId="0" borderId="50" xfId="1" applyFont="1" applyBorder="1" applyAlignment="1">
      <alignment horizontal="center"/>
    </xf>
    <xf numFmtId="37" fontId="1" fillId="0" borderId="51" xfId="1" applyBorder="1"/>
    <xf numFmtId="37" fontId="16" fillId="0" borderId="69" xfId="1" applyFont="1" applyBorder="1" applyAlignment="1">
      <alignment horizontal="center"/>
    </xf>
    <xf numFmtId="37" fontId="7" fillId="0" borderId="64" xfId="1" applyFont="1" applyBorder="1" applyAlignment="1">
      <alignment horizontal="center"/>
    </xf>
    <xf numFmtId="37" fontId="7" fillId="0" borderId="69" xfId="1" applyFont="1" applyBorder="1" applyAlignment="1">
      <alignment horizontal="center"/>
    </xf>
    <xf numFmtId="37" fontId="7" fillId="0" borderId="72" xfId="1" applyFont="1" applyBorder="1" applyAlignment="1">
      <alignment horizontal="center"/>
    </xf>
    <xf numFmtId="37" fontId="1" fillId="0" borderId="69" xfId="1" applyBorder="1"/>
    <xf numFmtId="37" fontId="16" fillId="0" borderId="64" xfId="1" applyFont="1" applyBorder="1" applyAlignment="1">
      <alignment horizontal="center"/>
    </xf>
    <xf numFmtId="37" fontId="1" fillId="0" borderId="24" xfId="1" applyBorder="1"/>
    <xf numFmtId="37" fontId="1" fillId="0" borderId="27" xfId="1" applyBorder="1"/>
    <xf numFmtId="37" fontId="1" fillId="0" borderId="24" xfId="1" applyBorder="1" applyAlignment="1">
      <alignment horizontal="center"/>
    </xf>
    <xf numFmtId="37" fontId="1" fillId="0" borderId="27" xfId="1" applyBorder="1" applyAlignment="1">
      <alignment horizontal="center"/>
    </xf>
    <xf numFmtId="37" fontId="15" fillId="12" borderId="64" xfId="1" applyFont="1" applyFill="1" applyBorder="1" applyAlignment="1">
      <alignment horizontal="center"/>
    </xf>
    <xf numFmtId="37" fontId="1" fillId="0" borderId="72" xfId="1" applyBorder="1"/>
    <xf numFmtId="37" fontId="27" fillId="16" borderId="74" xfId="1" applyFont="1" applyFill="1" applyBorder="1" applyAlignment="1">
      <alignment horizontal="center"/>
    </xf>
    <xf numFmtId="37" fontId="1" fillId="0" borderId="75" xfId="1" applyBorder="1" applyAlignment="1">
      <alignment horizontal="center"/>
    </xf>
    <xf numFmtId="37" fontId="1" fillId="0" borderId="76" xfId="1" applyBorder="1" applyAlignment="1">
      <alignment horizontal="center"/>
    </xf>
    <xf numFmtId="37" fontId="28" fillId="9" borderId="74" xfId="1" applyFont="1" applyFill="1" applyBorder="1" applyAlignment="1">
      <alignment horizontal="center"/>
    </xf>
    <xf numFmtId="37" fontId="16" fillId="0" borderId="74" xfId="1" applyFont="1" applyBorder="1" applyAlignment="1">
      <alignment horizontal="center"/>
    </xf>
    <xf numFmtId="37" fontId="16" fillId="0" borderId="75" xfId="1" applyFont="1" applyBorder="1" applyAlignment="1">
      <alignment horizontal="center"/>
    </xf>
    <xf numFmtId="37" fontId="1" fillId="0" borderId="76" xfId="1" applyBorder="1"/>
    <xf numFmtId="37" fontId="15" fillId="12" borderId="69" xfId="1" applyFont="1" applyFill="1" applyBorder="1" applyAlignment="1">
      <alignment horizontal="center"/>
    </xf>
    <xf numFmtId="37" fontId="15" fillId="12" borderId="72" xfId="1" applyFont="1" applyFill="1" applyBorder="1" applyAlignment="1">
      <alignment horizontal="center"/>
    </xf>
    <xf numFmtId="37" fontId="26" fillId="0" borderId="10" xfId="1" applyFont="1" applyBorder="1" applyAlignment="1">
      <alignment horizontal="center"/>
    </xf>
    <xf numFmtId="37" fontId="26" fillId="0" borderId="0" xfId="1" applyFont="1" applyAlignment="1">
      <alignment horizontal="center"/>
    </xf>
    <xf numFmtId="37" fontId="15" fillId="12" borderId="22" xfId="1" applyFont="1" applyFill="1" applyBorder="1" applyAlignment="1">
      <alignment horizontal="center"/>
    </xf>
    <xf numFmtId="37" fontId="15" fillId="12" borderId="28" xfId="1" applyFont="1" applyFill="1" applyBorder="1" applyAlignment="1">
      <alignment horizontal="center"/>
    </xf>
    <xf numFmtId="37" fontId="15" fillId="12" borderId="43" xfId="1" applyFont="1" applyFill="1" applyBorder="1" applyAlignment="1">
      <alignment horizontal="center"/>
    </xf>
    <xf numFmtId="37" fontId="16" fillId="0" borderId="0" xfId="1" applyFont="1" applyAlignment="1">
      <alignment horizontal="center"/>
    </xf>
    <xf numFmtId="37" fontId="2" fillId="0" borderId="64" xfId="1" applyFont="1" applyBorder="1" applyAlignment="1">
      <alignment horizontal="center" wrapText="1"/>
    </xf>
    <xf numFmtId="37" fontId="2" fillId="0" borderId="72" xfId="1" applyFont="1" applyBorder="1" applyAlignment="1">
      <alignment horizontal="center" wrapText="1"/>
    </xf>
    <xf numFmtId="37" fontId="2" fillId="0" borderId="10" xfId="1" applyFont="1" applyBorder="1" applyAlignment="1">
      <alignment horizontal="center" wrapText="1"/>
    </xf>
    <xf numFmtId="37" fontId="2" fillId="0" borderId="35" xfId="1" applyFont="1" applyBorder="1" applyAlignment="1">
      <alignment horizontal="center" wrapText="1"/>
    </xf>
    <xf numFmtId="37" fontId="2" fillId="0" borderId="14" xfId="1" applyFont="1" applyBorder="1" applyAlignment="1">
      <alignment horizontal="center" wrapText="1"/>
    </xf>
    <xf numFmtId="37" fontId="2" fillId="0" borderId="36" xfId="1" applyFont="1" applyBorder="1" applyAlignment="1">
      <alignment horizontal="center" wrapText="1"/>
    </xf>
  </cellXfs>
  <cellStyles count="4">
    <cellStyle name="Neutral 2" xfId="3" xr:uid="{79C16498-94F2-4147-A71E-F6D3CF8AFB31}"/>
    <cellStyle name="Normal" xfId="0" builtinId="0"/>
    <cellStyle name="Normal 2" xfId="1" xr:uid="{548496B9-A8A7-4591-BA73-88AD2239B750}"/>
    <cellStyle name="Percent 2" xfId="2" xr:uid="{0AB1C507-082D-4C5D-AC96-1771301E1685}"/>
  </cellStyles>
  <dxfs count="44">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externalLink" Target="externalLinks/externalLink6.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Power Schedule On-Peak v Off-Peak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7678258967629041E-2"/>
          <c:y val="0.10866006311870478"/>
          <c:w val="0.88454396325459317"/>
          <c:h val="0.65336779221745989"/>
        </c:manualLayout>
      </c:layout>
      <c:barChart>
        <c:barDir val="col"/>
        <c:grouping val="stacked"/>
        <c:varyColors val="0"/>
        <c:ser>
          <c:idx val="3"/>
          <c:order val="0"/>
          <c:tx>
            <c:strRef>
              <c:f>'2017 Actual'!$AI$1049</c:f>
              <c:strCache>
                <c:ptCount val="1"/>
                <c:pt idx="0">
                  <c:v>South w/SGL</c:v>
                </c:pt>
              </c:strCache>
            </c:strRef>
          </c:tx>
          <c:spPr>
            <a:solidFill>
              <a:schemeClr val="accent4"/>
            </a:solidFill>
            <a:ln>
              <a:noFill/>
            </a:ln>
            <a:effectLst/>
          </c:spPr>
          <c:invertIfNegative val="0"/>
          <c:cat>
            <c:strRef>
              <c:f>'2017 Actual'!$AE$1050:$AE$1084</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'2017 Actual'!$AI$1050:$AI$1084</c:f>
              <c:numCache>
                <c:formatCode>#,##0_);\(#,##0\)</c:formatCode>
                <c:ptCount val="35"/>
                <c:pt idx="0">
                  <c:v>29.069892473118284</c:v>
                </c:pt>
                <c:pt idx="1">
                  <c:v>29.069892473118284</c:v>
                </c:pt>
                <c:pt idx="3">
                  <c:v>28.278273809523814</c:v>
                </c:pt>
                <c:pt idx="4">
                  <c:v>28.278273809523814</c:v>
                </c:pt>
                <c:pt idx="6">
                  <c:v>52.884408602150543</c:v>
                </c:pt>
                <c:pt idx="7">
                  <c:v>52.884408602150543</c:v>
                </c:pt>
                <c:pt idx="9">
                  <c:v>60.004166666666656</c:v>
                </c:pt>
                <c:pt idx="10">
                  <c:v>60.004166666666656</c:v>
                </c:pt>
                <c:pt idx="12">
                  <c:v>56.326612903225808</c:v>
                </c:pt>
                <c:pt idx="13">
                  <c:v>56.326612903225808</c:v>
                </c:pt>
                <c:pt idx="15">
                  <c:v>70.88611111111112</c:v>
                </c:pt>
                <c:pt idx="16">
                  <c:v>70.88611111111112</c:v>
                </c:pt>
                <c:pt idx="18">
                  <c:v>64.408602150537632</c:v>
                </c:pt>
                <c:pt idx="19">
                  <c:v>64.408602150537632</c:v>
                </c:pt>
                <c:pt idx="21">
                  <c:v>63.659946236559129</c:v>
                </c:pt>
                <c:pt idx="22">
                  <c:v>63.659946236559129</c:v>
                </c:pt>
                <c:pt idx="24">
                  <c:v>54.67916666666666</c:v>
                </c:pt>
                <c:pt idx="25">
                  <c:v>54.67916666666666</c:v>
                </c:pt>
                <c:pt idx="27">
                  <c:v>24.803763440860219</c:v>
                </c:pt>
                <c:pt idx="28">
                  <c:v>24.803763440860219</c:v>
                </c:pt>
                <c:pt idx="30">
                  <c:v>9.5527777777777771</c:v>
                </c:pt>
                <c:pt idx="31">
                  <c:v>9.5527777777777771</c:v>
                </c:pt>
                <c:pt idx="33">
                  <c:v>24.081989247311828</c:v>
                </c:pt>
                <c:pt idx="34">
                  <c:v>24.081989247311828</c:v>
                </c:pt>
              </c:numCache>
            </c:numRef>
          </c:val>
          <c:extLst>
            <c:ext xmlns:c16="http://schemas.microsoft.com/office/drawing/2014/chart" uri="{C3380CC4-5D6E-409C-BE32-E72D297353CC}">
              <c16:uniqueId val="{00000000-025B-45FB-A9BF-3C4BDCA3025C}"/>
            </c:ext>
          </c:extLst>
        </c:ser>
        <c:ser>
          <c:idx val="1"/>
          <c:order val="1"/>
          <c:tx>
            <c:strRef>
              <c:f>'2017 Actual'!$AG$1049</c:f>
              <c:strCache>
                <c:ptCount val="1"/>
                <c:pt idx="0">
                  <c:v>WAD -PMP</c:v>
                </c:pt>
              </c:strCache>
            </c:strRef>
          </c:tx>
          <c:spPr>
            <a:solidFill>
              <a:schemeClr val="accent2"/>
            </a:solidFill>
            <a:ln>
              <a:noFill/>
            </a:ln>
            <a:effectLst/>
          </c:spPr>
          <c:invertIfNegative val="0"/>
          <c:cat>
            <c:strRef>
              <c:f>'2017 Actual'!$AE$1050:$AE$1084</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'2017 Actual'!$AG$1050:$AG$1084</c:f>
              <c:numCache>
                <c:formatCode>#,##0_);\(#,##0\)</c:formatCode>
                <c:ptCount val="35"/>
                <c:pt idx="0">
                  <c:v>23.755940895817734</c:v>
                </c:pt>
                <c:pt idx="1">
                  <c:v>23.755940895817734</c:v>
                </c:pt>
                <c:pt idx="3">
                  <c:v>5.3129613829432101</c:v>
                </c:pt>
                <c:pt idx="4">
                  <c:v>5.3129613829432101</c:v>
                </c:pt>
                <c:pt idx="6">
                  <c:v>5.9462011333461797</c:v>
                </c:pt>
                <c:pt idx="7">
                  <c:v>5.9462011333461797</c:v>
                </c:pt>
                <c:pt idx="9">
                  <c:v>2.8998862115511739</c:v>
                </c:pt>
                <c:pt idx="10">
                  <c:v>2.8998862115511739</c:v>
                </c:pt>
                <c:pt idx="12">
                  <c:v>7.1756995459914172</c:v>
                </c:pt>
                <c:pt idx="13">
                  <c:v>7.1756995459914172</c:v>
                </c:pt>
                <c:pt idx="15">
                  <c:v>0</c:v>
                </c:pt>
                <c:pt idx="16">
                  <c:v>0</c:v>
                </c:pt>
                <c:pt idx="18">
                  <c:v>0</c:v>
                </c:pt>
                <c:pt idx="19">
                  <c:v>0</c:v>
                </c:pt>
                <c:pt idx="21">
                  <c:v>0</c:v>
                </c:pt>
                <c:pt idx="22">
                  <c:v>0</c:v>
                </c:pt>
                <c:pt idx="24">
                  <c:v>2.302511468882543</c:v>
                </c:pt>
                <c:pt idx="25">
                  <c:v>2.302511468882543</c:v>
                </c:pt>
                <c:pt idx="27">
                  <c:v>10.746195374473309</c:v>
                </c:pt>
                <c:pt idx="28">
                  <c:v>10.746195374473309</c:v>
                </c:pt>
                <c:pt idx="30">
                  <c:v>17.434059172942092</c:v>
                </c:pt>
                <c:pt idx="31">
                  <c:v>17.434059172942092</c:v>
                </c:pt>
                <c:pt idx="33">
                  <c:v>18.607906508697226</c:v>
                </c:pt>
                <c:pt idx="34">
                  <c:v>18.607906508697226</c:v>
                </c:pt>
              </c:numCache>
            </c:numRef>
          </c:val>
          <c:extLst>
            <c:ext xmlns:c16="http://schemas.microsoft.com/office/drawing/2014/chart" uri="{C3380CC4-5D6E-409C-BE32-E72D297353CC}">
              <c16:uniqueId val="{00000001-025B-45FB-A9BF-3C4BDCA3025C}"/>
            </c:ext>
          </c:extLst>
        </c:ser>
        <c:ser>
          <c:idx val="2"/>
          <c:order val="2"/>
          <c:tx>
            <c:strRef>
              <c:f>'2017 Actual'!$AH$1049</c:f>
              <c:strCache>
                <c:ptCount val="1"/>
                <c:pt idx="0">
                  <c:v>WAD - GEN</c:v>
                </c:pt>
              </c:strCache>
            </c:strRef>
          </c:tx>
          <c:spPr>
            <a:solidFill>
              <a:schemeClr val="accent3"/>
            </a:solidFill>
            <a:ln>
              <a:noFill/>
            </a:ln>
            <a:effectLst/>
          </c:spPr>
          <c:invertIfNegative val="0"/>
          <c:cat>
            <c:strRef>
              <c:f>'2017 Actual'!$AE$1050:$AE$1084</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'2017 Actual'!$AH$1050:$AH$1084</c:f>
              <c:numCache>
                <c:formatCode>#,##0_);\(#,##0\)</c:formatCode>
                <c:ptCount val="35"/>
                <c:pt idx="0">
                  <c:v>-0.72992462767791</c:v>
                </c:pt>
                <c:pt idx="1">
                  <c:v>-0.72992462767791</c:v>
                </c:pt>
                <c:pt idx="3">
                  <c:v>-1.8040539885886531</c:v>
                </c:pt>
                <c:pt idx="4">
                  <c:v>-1.8040539885886531</c:v>
                </c:pt>
                <c:pt idx="6">
                  <c:v>-4.4155504776721671E-2</c:v>
                </c:pt>
                <c:pt idx="7">
                  <c:v>-4.4155504776721671E-2</c:v>
                </c:pt>
                <c:pt idx="9">
                  <c:v>-1.3151325652218018E-3</c:v>
                </c:pt>
                <c:pt idx="10">
                  <c:v>-1.3151325652218018E-3</c:v>
                </c:pt>
                <c:pt idx="12">
                  <c:v>-0.30943546361345459</c:v>
                </c:pt>
                <c:pt idx="13">
                  <c:v>-0.30943546361345459</c:v>
                </c:pt>
                <c:pt idx="15">
                  <c:v>-22.077255714644576</c:v>
                </c:pt>
                <c:pt idx="16">
                  <c:v>-22.077255714644576</c:v>
                </c:pt>
                <c:pt idx="18">
                  <c:v>-16.312897380082664</c:v>
                </c:pt>
                <c:pt idx="19">
                  <c:v>-16.312897380082664</c:v>
                </c:pt>
                <c:pt idx="21">
                  <c:v>-13.366155316767534</c:v>
                </c:pt>
                <c:pt idx="22">
                  <c:v>-13.366155316767534</c:v>
                </c:pt>
                <c:pt idx="24">
                  <c:v>-1.9748487817131366</c:v>
                </c:pt>
                <c:pt idx="25">
                  <c:v>-1.9748487817131366</c:v>
                </c:pt>
                <c:pt idx="27">
                  <c:v>0</c:v>
                </c:pt>
                <c:pt idx="28">
                  <c:v>0</c:v>
                </c:pt>
                <c:pt idx="30">
                  <c:v>0</c:v>
                </c:pt>
                <c:pt idx="31">
                  <c:v>0</c:v>
                </c:pt>
                <c:pt idx="33">
                  <c:v>-1.3183328541726921E-2</c:v>
                </c:pt>
                <c:pt idx="34">
                  <c:v>-1.3183328541726921E-2</c:v>
                </c:pt>
              </c:numCache>
            </c:numRef>
          </c:val>
          <c:extLst>
            <c:ext xmlns:c16="http://schemas.microsoft.com/office/drawing/2014/chart" uri="{C3380CC4-5D6E-409C-BE32-E72D297353CC}">
              <c16:uniqueId val="{00000002-025B-45FB-A9BF-3C4BDCA3025C}"/>
            </c:ext>
          </c:extLst>
        </c:ser>
        <c:ser>
          <c:idx val="0"/>
          <c:order val="3"/>
          <c:tx>
            <c:strRef>
              <c:f>'2017 Actual'!$AF$1049</c:f>
              <c:strCache>
                <c:ptCount val="1"/>
                <c:pt idx="0">
                  <c:v>West HAV - HSY</c:v>
                </c:pt>
              </c:strCache>
            </c:strRef>
          </c:tx>
          <c:spPr>
            <a:solidFill>
              <a:schemeClr val="accent1"/>
            </a:solidFill>
            <a:ln>
              <a:noFill/>
            </a:ln>
            <a:effectLst/>
          </c:spPr>
          <c:invertIfNegative val="0"/>
          <c:cat>
            <c:strRef>
              <c:f>'2017 Actual'!$AE$1050:$AE$1084</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'2017 Actual'!$AF$1050:$AF$1084</c:f>
              <c:numCache>
                <c:formatCode>#,##0_);\(#,##0\)</c:formatCode>
                <c:ptCount val="35"/>
                <c:pt idx="0">
                  <c:v>274.3440860215054</c:v>
                </c:pt>
                <c:pt idx="1">
                  <c:v>78.344086021505376</c:v>
                </c:pt>
                <c:pt idx="3">
                  <c:v>139.43154761904762</c:v>
                </c:pt>
                <c:pt idx="4">
                  <c:v>41.43154761904762</c:v>
                </c:pt>
                <c:pt idx="6">
                  <c:v>378.32661290322579</c:v>
                </c:pt>
                <c:pt idx="7">
                  <c:v>84.326612903225808</c:v>
                </c:pt>
                <c:pt idx="9">
                  <c:v>396.30694444444441</c:v>
                </c:pt>
                <c:pt idx="10">
                  <c:v>102.30694444444444</c:v>
                </c:pt>
                <c:pt idx="12">
                  <c:v>402.62768817204301</c:v>
                </c:pt>
                <c:pt idx="13">
                  <c:v>108.62768817204301</c:v>
                </c:pt>
                <c:pt idx="15">
                  <c:v>198.57222222222222</c:v>
                </c:pt>
                <c:pt idx="16">
                  <c:v>51.572222222222223</c:v>
                </c:pt>
                <c:pt idx="18">
                  <c:v>192.33736559139786</c:v>
                </c:pt>
                <c:pt idx="19">
                  <c:v>45.337365591397848</c:v>
                </c:pt>
                <c:pt idx="21">
                  <c:v>190.49731182795699</c:v>
                </c:pt>
                <c:pt idx="22">
                  <c:v>43.497311827956992</c:v>
                </c:pt>
                <c:pt idx="24">
                  <c:v>329.68888888888887</c:v>
                </c:pt>
                <c:pt idx="25">
                  <c:v>84.688888888888883</c:v>
                </c:pt>
                <c:pt idx="27">
                  <c:v>325.38172043010752</c:v>
                </c:pt>
                <c:pt idx="28">
                  <c:v>80.381720430107521</c:v>
                </c:pt>
                <c:pt idx="30">
                  <c:v>326.8458333333333</c:v>
                </c:pt>
                <c:pt idx="31">
                  <c:v>81.845833333333331</c:v>
                </c:pt>
                <c:pt idx="33">
                  <c:v>333.10483870967744</c:v>
                </c:pt>
                <c:pt idx="34">
                  <c:v>88.104838709677423</c:v>
                </c:pt>
              </c:numCache>
            </c:numRef>
          </c:val>
          <c:extLst>
            <c:ext xmlns:c16="http://schemas.microsoft.com/office/drawing/2014/chart" uri="{C3380CC4-5D6E-409C-BE32-E72D297353CC}">
              <c16:uniqueId val="{00000003-025B-45FB-A9BF-3C4BDCA3025C}"/>
            </c:ext>
          </c:extLst>
        </c:ser>
        <c:dLbls>
          <c:showLegendKey val="0"/>
          <c:showVal val="0"/>
          <c:showCatName val="0"/>
          <c:showSerName val="0"/>
          <c:showPercent val="0"/>
          <c:showBubbleSize val="0"/>
        </c:dLbls>
        <c:gapWidth val="30"/>
        <c:overlap val="100"/>
        <c:axId val="423796840"/>
        <c:axId val="323163520"/>
      </c:barChart>
      <c:catAx>
        <c:axId val="42379684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3520"/>
        <c:crosses val="autoZero"/>
        <c:auto val="1"/>
        <c:lblAlgn val="ctr"/>
        <c:lblOffset val="100"/>
        <c:noMultiLvlLbl val="0"/>
      </c:catAx>
      <c:valAx>
        <c:axId val="323163520"/>
        <c:scaling>
          <c:orientation val="minMax"/>
          <c:max val="500"/>
          <c:min val="-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23796840"/>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Power Schedule On-Peak v Off-Peak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7678258967629041E-2"/>
          <c:y val="0.10866006311870478"/>
          <c:w val="0.88454396325459317"/>
          <c:h val="0.65336779221745989"/>
        </c:manualLayout>
      </c:layout>
      <c:barChart>
        <c:barDir val="col"/>
        <c:grouping val="stacked"/>
        <c:varyColors val="0"/>
        <c:ser>
          <c:idx val="3"/>
          <c:order val="0"/>
          <c:tx>
            <c:strRef>
              <c:f>'2018 Actual'!$AI$1075</c:f>
              <c:strCache>
                <c:ptCount val="1"/>
                <c:pt idx="0">
                  <c:v>South w/SGL</c:v>
                </c:pt>
              </c:strCache>
            </c:strRef>
          </c:tx>
          <c:spPr>
            <a:solidFill>
              <a:schemeClr val="accent4"/>
            </a:solidFill>
            <a:ln>
              <a:noFill/>
            </a:ln>
            <a:effectLst/>
          </c:spPr>
          <c:invertIfNegative val="0"/>
          <c:cat>
            <c:strRef>
              <c:f>'2018 Actual'!$AE$1076:$AE$1110</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'2018 Actual'!$AI$1076:$AI$1110</c:f>
              <c:numCache>
                <c:formatCode>#,##0_);\(#,##0\)</c:formatCode>
                <c:ptCount val="35"/>
                <c:pt idx="0">
                  <c:v>28.262096774193548</c:v>
                </c:pt>
                <c:pt idx="1">
                  <c:v>28.262096774193548</c:v>
                </c:pt>
                <c:pt idx="3">
                  <c:v>44.538690476190474</c:v>
                </c:pt>
                <c:pt idx="4">
                  <c:v>44.538690476190474</c:v>
                </c:pt>
                <c:pt idx="6">
                  <c:v>53.040322580645167</c:v>
                </c:pt>
                <c:pt idx="7">
                  <c:v>53.040322580645167</c:v>
                </c:pt>
                <c:pt idx="9">
                  <c:v>68.540277777777774</c:v>
                </c:pt>
                <c:pt idx="10">
                  <c:v>68.540277777777774</c:v>
                </c:pt>
                <c:pt idx="12">
                  <c:v>66.646505376344095</c:v>
                </c:pt>
                <c:pt idx="13">
                  <c:v>66.646505376344095</c:v>
                </c:pt>
                <c:pt idx="15">
                  <c:v>66.05972222222222</c:v>
                </c:pt>
                <c:pt idx="16">
                  <c:v>66.05972222222222</c:v>
                </c:pt>
                <c:pt idx="18">
                  <c:v>63.869623655913983</c:v>
                </c:pt>
                <c:pt idx="19">
                  <c:v>63.869623655913983</c:v>
                </c:pt>
                <c:pt idx="21">
                  <c:v>67.284946236559136</c:v>
                </c:pt>
                <c:pt idx="22">
                  <c:v>67.284946236559136</c:v>
                </c:pt>
                <c:pt idx="24">
                  <c:v>57.140277777777776</c:v>
                </c:pt>
                <c:pt idx="25">
                  <c:v>57.140277777777776</c:v>
                </c:pt>
                <c:pt idx="27">
                  <c:v>26.626344086021508</c:v>
                </c:pt>
                <c:pt idx="28">
                  <c:v>26.626344086021508</c:v>
                </c:pt>
                <c:pt idx="30">
                  <c:v>16.7</c:v>
                </c:pt>
                <c:pt idx="31">
                  <c:v>16.7</c:v>
                </c:pt>
                <c:pt idx="33">
                  <c:v>14.760752688172044</c:v>
                </c:pt>
                <c:pt idx="34">
                  <c:v>14.760752688172044</c:v>
                </c:pt>
              </c:numCache>
            </c:numRef>
          </c:val>
          <c:extLst>
            <c:ext xmlns:c16="http://schemas.microsoft.com/office/drawing/2014/chart" uri="{C3380CC4-5D6E-409C-BE32-E72D297353CC}">
              <c16:uniqueId val="{00000000-346E-4A55-9518-7A0C79E7D965}"/>
            </c:ext>
          </c:extLst>
        </c:ser>
        <c:ser>
          <c:idx val="1"/>
          <c:order val="1"/>
          <c:tx>
            <c:strRef>
              <c:f>'2018 Actual'!$AG$1075</c:f>
              <c:strCache>
                <c:ptCount val="1"/>
                <c:pt idx="0">
                  <c:v>WAD -PMP</c:v>
                </c:pt>
              </c:strCache>
            </c:strRef>
          </c:tx>
          <c:spPr>
            <a:solidFill>
              <a:schemeClr val="accent2"/>
            </a:solidFill>
            <a:ln>
              <a:noFill/>
            </a:ln>
            <a:effectLst/>
          </c:spPr>
          <c:invertIfNegative val="0"/>
          <c:cat>
            <c:strRef>
              <c:f>'2018 Actual'!$AE$1076:$AE$1110</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'2018 Actual'!$AG$1076:$AG$1110</c:f>
              <c:numCache>
                <c:formatCode>#,##0_);\(#,##0\)</c:formatCode>
                <c:ptCount val="35"/>
                <c:pt idx="0">
                  <c:v>11.989179389805024</c:v>
                </c:pt>
                <c:pt idx="1">
                  <c:v>11.989179389805024</c:v>
                </c:pt>
                <c:pt idx="3">
                  <c:v>16.448580262084075</c:v>
                </c:pt>
                <c:pt idx="4">
                  <c:v>16.448580262084075</c:v>
                </c:pt>
                <c:pt idx="6">
                  <c:v>13.652098288951628</c:v>
                </c:pt>
                <c:pt idx="7">
                  <c:v>13.652098288951628</c:v>
                </c:pt>
                <c:pt idx="9">
                  <c:v>3.1383375835475373</c:v>
                </c:pt>
                <c:pt idx="10">
                  <c:v>3.1383375835475373</c:v>
                </c:pt>
                <c:pt idx="12">
                  <c:v>1.1827884043524532</c:v>
                </c:pt>
                <c:pt idx="13">
                  <c:v>1.1827884043524532</c:v>
                </c:pt>
                <c:pt idx="15">
                  <c:v>0</c:v>
                </c:pt>
                <c:pt idx="16">
                  <c:v>0</c:v>
                </c:pt>
                <c:pt idx="18">
                  <c:v>0</c:v>
                </c:pt>
                <c:pt idx="19">
                  <c:v>0</c:v>
                </c:pt>
                <c:pt idx="21">
                  <c:v>0</c:v>
                </c:pt>
                <c:pt idx="22">
                  <c:v>0</c:v>
                </c:pt>
                <c:pt idx="24">
                  <c:v>4.3052579416601784</c:v>
                </c:pt>
                <c:pt idx="25">
                  <c:v>4.3052579416601784</c:v>
                </c:pt>
                <c:pt idx="27">
                  <c:v>22.928397106742242</c:v>
                </c:pt>
                <c:pt idx="28">
                  <c:v>22.928397106742242</c:v>
                </c:pt>
                <c:pt idx="30">
                  <c:v>21.466920605037654</c:v>
                </c:pt>
                <c:pt idx="31">
                  <c:v>21.466920605037654</c:v>
                </c:pt>
                <c:pt idx="33">
                  <c:v>20.731206096083827</c:v>
                </c:pt>
                <c:pt idx="34">
                  <c:v>20.731206096083827</c:v>
                </c:pt>
              </c:numCache>
            </c:numRef>
          </c:val>
          <c:extLst>
            <c:ext xmlns:c16="http://schemas.microsoft.com/office/drawing/2014/chart" uri="{C3380CC4-5D6E-409C-BE32-E72D297353CC}">
              <c16:uniqueId val="{00000001-346E-4A55-9518-7A0C79E7D965}"/>
            </c:ext>
          </c:extLst>
        </c:ser>
        <c:ser>
          <c:idx val="2"/>
          <c:order val="2"/>
          <c:tx>
            <c:strRef>
              <c:f>'2018 Actual'!$AH$1075</c:f>
              <c:strCache>
                <c:ptCount val="1"/>
                <c:pt idx="0">
                  <c:v>WAD - GEN</c:v>
                </c:pt>
              </c:strCache>
            </c:strRef>
          </c:tx>
          <c:spPr>
            <a:solidFill>
              <a:schemeClr val="accent3"/>
            </a:solidFill>
            <a:ln>
              <a:noFill/>
            </a:ln>
            <a:effectLst/>
          </c:spPr>
          <c:invertIfNegative val="0"/>
          <c:cat>
            <c:strRef>
              <c:f>'2018 Actual'!$AE$1076:$AE$1110</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'2018 Actual'!$AH$1076:$AH$1110</c:f>
              <c:numCache>
                <c:formatCode>#,##0_);\(#,##0\)</c:formatCode>
                <c:ptCount val="35"/>
                <c:pt idx="0">
                  <c:v>-0.94487912455920309</c:v>
                </c:pt>
                <c:pt idx="1">
                  <c:v>-0.94487912455920309</c:v>
                </c:pt>
                <c:pt idx="3">
                  <c:v>-3.327844314063229</c:v>
                </c:pt>
                <c:pt idx="4">
                  <c:v>-3.327844314063229</c:v>
                </c:pt>
                <c:pt idx="6">
                  <c:v>-4.0497210540389421</c:v>
                </c:pt>
                <c:pt idx="7">
                  <c:v>-4.0497210540389421</c:v>
                </c:pt>
                <c:pt idx="9">
                  <c:v>-1.4505912194396473</c:v>
                </c:pt>
                <c:pt idx="10">
                  <c:v>-1.4505912194396473</c:v>
                </c:pt>
                <c:pt idx="12">
                  <c:v>-1.0127167351370636</c:v>
                </c:pt>
                <c:pt idx="13">
                  <c:v>-1.0127167351370636</c:v>
                </c:pt>
                <c:pt idx="15">
                  <c:v>-20.071341999497623</c:v>
                </c:pt>
                <c:pt idx="16">
                  <c:v>-20.071341999497623</c:v>
                </c:pt>
                <c:pt idx="18">
                  <c:v>-19.193317872210777</c:v>
                </c:pt>
                <c:pt idx="19">
                  <c:v>-19.193317872210777</c:v>
                </c:pt>
                <c:pt idx="21">
                  <c:v>-22.245169094778888</c:v>
                </c:pt>
                <c:pt idx="22">
                  <c:v>-22.245169094778888</c:v>
                </c:pt>
                <c:pt idx="24">
                  <c:v>-1.1410015071590049</c:v>
                </c:pt>
                <c:pt idx="25">
                  <c:v>-1.1410015071590049</c:v>
                </c:pt>
                <c:pt idx="27">
                  <c:v>0</c:v>
                </c:pt>
                <c:pt idx="28">
                  <c:v>0</c:v>
                </c:pt>
                <c:pt idx="30">
                  <c:v>-1.8917336515113424E-2</c:v>
                </c:pt>
                <c:pt idx="31">
                  <c:v>-1.8917336515113424E-2</c:v>
                </c:pt>
                <c:pt idx="33">
                  <c:v>0</c:v>
                </c:pt>
                <c:pt idx="34">
                  <c:v>0</c:v>
                </c:pt>
              </c:numCache>
            </c:numRef>
          </c:val>
          <c:extLst>
            <c:ext xmlns:c16="http://schemas.microsoft.com/office/drawing/2014/chart" uri="{C3380CC4-5D6E-409C-BE32-E72D297353CC}">
              <c16:uniqueId val="{00000002-346E-4A55-9518-7A0C79E7D965}"/>
            </c:ext>
          </c:extLst>
        </c:ser>
        <c:ser>
          <c:idx val="0"/>
          <c:order val="3"/>
          <c:tx>
            <c:strRef>
              <c:f>'2018 Actual'!$AF$1075</c:f>
              <c:strCache>
                <c:ptCount val="1"/>
                <c:pt idx="0">
                  <c:v>West HAV - HSY</c:v>
                </c:pt>
              </c:strCache>
            </c:strRef>
          </c:tx>
          <c:spPr>
            <a:solidFill>
              <a:schemeClr val="accent1"/>
            </a:solidFill>
            <a:ln>
              <a:noFill/>
            </a:ln>
            <a:effectLst/>
          </c:spPr>
          <c:invertIfNegative val="0"/>
          <c:cat>
            <c:strRef>
              <c:f>'2018 Actual'!$AE$1076:$AE$1110</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'2018 Actual'!$AF$1076:$AF$1110</c:f>
              <c:numCache>
                <c:formatCode>#,##0_);\(#,##0\)</c:formatCode>
                <c:ptCount val="35"/>
                <c:pt idx="0">
                  <c:v>252.19623655913978</c:v>
                </c:pt>
                <c:pt idx="1">
                  <c:v>56.196236559139777</c:v>
                </c:pt>
                <c:pt idx="3">
                  <c:v>172.1860119047619</c:v>
                </c:pt>
                <c:pt idx="4">
                  <c:v>74.186011904761898</c:v>
                </c:pt>
                <c:pt idx="6">
                  <c:v>379.48252688172045</c:v>
                </c:pt>
                <c:pt idx="7">
                  <c:v>85.482526881720418</c:v>
                </c:pt>
                <c:pt idx="9">
                  <c:v>401.72638888888889</c:v>
                </c:pt>
                <c:pt idx="10">
                  <c:v>107.72638888888889</c:v>
                </c:pt>
                <c:pt idx="12">
                  <c:v>404.71102150537632</c:v>
                </c:pt>
                <c:pt idx="13">
                  <c:v>110.71102150537634</c:v>
                </c:pt>
                <c:pt idx="15">
                  <c:v>204.40833333333333</c:v>
                </c:pt>
                <c:pt idx="16">
                  <c:v>57.408333333333331</c:v>
                </c:pt>
                <c:pt idx="18">
                  <c:v>194.13575268817203</c:v>
                </c:pt>
                <c:pt idx="19">
                  <c:v>47.13575268817204</c:v>
                </c:pt>
                <c:pt idx="21">
                  <c:v>162.3991935483871</c:v>
                </c:pt>
                <c:pt idx="22">
                  <c:v>15.399193548387096</c:v>
                </c:pt>
                <c:pt idx="24">
                  <c:v>350.79722222222222</c:v>
                </c:pt>
                <c:pt idx="25">
                  <c:v>105.79722222222222</c:v>
                </c:pt>
                <c:pt idx="27">
                  <c:v>354.83467741935488</c:v>
                </c:pt>
                <c:pt idx="28">
                  <c:v>109.83467741935485</c:v>
                </c:pt>
                <c:pt idx="30">
                  <c:v>355.33472222222224</c:v>
                </c:pt>
                <c:pt idx="31">
                  <c:v>110.33472222222221</c:v>
                </c:pt>
                <c:pt idx="33">
                  <c:v>333.93010752688173</c:v>
                </c:pt>
                <c:pt idx="34">
                  <c:v>88.930107526881727</c:v>
                </c:pt>
              </c:numCache>
            </c:numRef>
          </c:val>
          <c:extLst>
            <c:ext xmlns:c16="http://schemas.microsoft.com/office/drawing/2014/chart" uri="{C3380CC4-5D6E-409C-BE32-E72D297353CC}">
              <c16:uniqueId val="{00000003-346E-4A55-9518-7A0C79E7D965}"/>
            </c:ext>
          </c:extLst>
        </c:ser>
        <c:dLbls>
          <c:showLegendKey val="0"/>
          <c:showVal val="0"/>
          <c:showCatName val="0"/>
          <c:showSerName val="0"/>
          <c:showPercent val="0"/>
          <c:showBubbleSize val="0"/>
        </c:dLbls>
        <c:gapWidth val="30"/>
        <c:overlap val="100"/>
        <c:axId val="323165480"/>
        <c:axId val="323166264"/>
      </c:barChart>
      <c:catAx>
        <c:axId val="3231654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6264"/>
        <c:crosses val="autoZero"/>
        <c:auto val="1"/>
        <c:lblAlgn val="ctr"/>
        <c:lblOffset val="100"/>
        <c:noMultiLvlLbl val="0"/>
      </c:catAx>
      <c:valAx>
        <c:axId val="323166264"/>
        <c:scaling>
          <c:orientation val="minMax"/>
          <c:max val="500"/>
          <c:min val="-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5480"/>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Power Schedule On-Peak v Off-Peak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7678258967629041E-2"/>
          <c:y val="0.10866006311870478"/>
          <c:w val="0.88454396325459317"/>
          <c:h val="0.65336779221745989"/>
        </c:manualLayout>
      </c:layout>
      <c:barChart>
        <c:barDir val="col"/>
        <c:grouping val="stacked"/>
        <c:varyColors val="0"/>
        <c:ser>
          <c:idx val="3"/>
          <c:order val="0"/>
          <c:tx>
            <c:strRef>
              <c:f>'2018 AOP'!$AI$1065</c:f>
              <c:strCache>
                <c:ptCount val="1"/>
                <c:pt idx="0">
                  <c:v>South w/SGL</c:v>
                </c:pt>
              </c:strCache>
            </c:strRef>
          </c:tx>
          <c:spPr>
            <a:solidFill>
              <a:schemeClr val="accent4"/>
            </a:solidFill>
            <a:ln>
              <a:noFill/>
            </a:ln>
            <a:effectLst/>
          </c:spPr>
          <c:invertIfNegative val="0"/>
          <c:cat>
            <c:strRef>
              <c:f>'2018 AOP'!$AE$1066:$AE$1100</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'2018 AOP'!$AI$1066:$AI$1100</c:f>
              <c:numCache>
                <c:formatCode>#,##0_);\(#,##0\)</c:formatCode>
                <c:ptCount val="35"/>
                <c:pt idx="0">
                  <c:v>39.486559139784944</c:v>
                </c:pt>
                <c:pt idx="1">
                  <c:v>39.486559139784944</c:v>
                </c:pt>
                <c:pt idx="3">
                  <c:v>45.650297619047613</c:v>
                </c:pt>
                <c:pt idx="4">
                  <c:v>45.650297619047613</c:v>
                </c:pt>
                <c:pt idx="6">
                  <c:v>52.034946236559136</c:v>
                </c:pt>
                <c:pt idx="7">
                  <c:v>52.034946236559136</c:v>
                </c:pt>
                <c:pt idx="9">
                  <c:v>60.741666666666667</c:v>
                </c:pt>
                <c:pt idx="10">
                  <c:v>60.741666666666667</c:v>
                </c:pt>
                <c:pt idx="12">
                  <c:v>62.270161290322569</c:v>
                </c:pt>
                <c:pt idx="13">
                  <c:v>62.270161290322569</c:v>
                </c:pt>
                <c:pt idx="15">
                  <c:v>72.606944444444423</c:v>
                </c:pt>
                <c:pt idx="16">
                  <c:v>72.606944444444423</c:v>
                </c:pt>
                <c:pt idx="18">
                  <c:v>72.567204301075293</c:v>
                </c:pt>
                <c:pt idx="19">
                  <c:v>72.567204301075293</c:v>
                </c:pt>
                <c:pt idx="21">
                  <c:v>67.590053763440864</c:v>
                </c:pt>
                <c:pt idx="22">
                  <c:v>67.590053763440864</c:v>
                </c:pt>
                <c:pt idx="24">
                  <c:v>55.230555555555561</c:v>
                </c:pt>
                <c:pt idx="25">
                  <c:v>55.230555555555561</c:v>
                </c:pt>
                <c:pt idx="27">
                  <c:v>31.053763440860219</c:v>
                </c:pt>
                <c:pt idx="28">
                  <c:v>31.053763440860219</c:v>
                </c:pt>
                <c:pt idx="30">
                  <c:v>17.608333333333338</c:v>
                </c:pt>
                <c:pt idx="31">
                  <c:v>17.608333333333338</c:v>
                </c:pt>
                <c:pt idx="33">
                  <c:v>17.701612903225808</c:v>
                </c:pt>
                <c:pt idx="34">
                  <c:v>17.701612903225808</c:v>
                </c:pt>
              </c:numCache>
            </c:numRef>
          </c:val>
          <c:extLst>
            <c:ext xmlns:c16="http://schemas.microsoft.com/office/drawing/2014/chart" uri="{C3380CC4-5D6E-409C-BE32-E72D297353CC}">
              <c16:uniqueId val="{00000000-3819-4781-ABC4-DBD9420A66A4}"/>
            </c:ext>
          </c:extLst>
        </c:ser>
        <c:ser>
          <c:idx val="1"/>
          <c:order val="1"/>
          <c:tx>
            <c:strRef>
              <c:f>'2018 AOP'!$AG$1065</c:f>
              <c:strCache>
                <c:ptCount val="1"/>
                <c:pt idx="0">
                  <c:v>WAD -PMP</c:v>
                </c:pt>
              </c:strCache>
            </c:strRef>
          </c:tx>
          <c:spPr>
            <a:solidFill>
              <a:schemeClr val="accent2"/>
            </a:solidFill>
            <a:ln>
              <a:noFill/>
            </a:ln>
            <a:effectLst/>
          </c:spPr>
          <c:invertIfNegative val="0"/>
          <c:cat>
            <c:strRef>
              <c:f>'2018 AOP'!$AE$1066:$AE$1100</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'2018 AOP'!$AG$1066:$AG$1100</c:f>
              <c:numCache>
                <c:formatCode>#,##0_);\(#,##0\)</c:formatCode>
                <c:ptCount val="35"/>
                <c:pt idx="0">
                  <c:v>6.0896633196854824</c:v>
                </c:pt>
                <c:pt idx="1">
                  <c:v>6.0896633196854824</c:v>
                </c:pt>
                <c:pt idx="3">
                  <c:v>11.011590957489359</c:v>
                </c:pt>
                <c:pt idx="4">
                  <c:v>11.011590957489359</c:v>
                </c:pt>
                <c:pt idx="6">
                  <c:v>16.498636000408094</c:v>
                </c:pt>
                <c:pt idx="7">
                  <c:v>16.498636000408094</c:v>
                </c:pt>
                <c:pt idx="9">
                  <c:v>8.6525667493352181</c:v>
                </c:pt>
                <c:pt idx="10">
                  <c:v>8.6525667493352181</c:v>
                </c:pt>
                <c:pt idx="12">
                  <c:v>5.4152793710789275</c:v>
                </c:pt>
                <c:pt idx="13">
                  <c:v>5.4152793710789275</c:v>
                </c:pt>
                <c:pt idx="15">
                  <c:v>0</c:v>
                </c:pt>
                <c:pt idx="16">
                  <c:v>0</c:v>
                </c:pt>
                <c:pt idx="18">
                  <c:v>0</c:v>
                </c:pt>
                <c:pt idx="19">
                  <c:v>0</c:v>
                </c:pt>
                <c:pt idx="21">
                  <c:v>0</c:v>
                </c:pt>
                <c:pt idx="22">
                  <c:v>0</c:v>
                </c:pt>
                <c:pt idx="24">
                  <c:v>1.5166759268947161</c:v>
                </c:pt>
                <c:pt idx="25">
                  <c:v>1.5166759268947161</c:v>
                </c:pt>
                <c:pt idx="27">
                  <c:v>13.287449010748865</c:v>
                </c:pt>
                <c:pt idx="28">
                  <c:v>13.287449010748865</c:v>
                </c:pt>
                <c:pt idx="30">
                  <c:v>21.033847544432877</c:v>
                </c:pt>
                <c:pt idx="31">
                  <c:v>21.033847544432877</c:v>
                </c:pt>
                <c:pt idx="33">
                  <c:v>21.059551665670803</c:v>
                </c:pt>
                <c:pt idx="34">
                  <c:v>21.059551665670803</c:v>
                </c:pt>
              </c:numCache>
            </c:numRef>
          </c:val>
          <c:extLst>
            <c:ext xmlns:c16="http://schemas.microsoft.com/office/drawing/2014/chart" uri="{C3380CC4-5D6E-409C-BE32-E72D297353CC}">
              <c16:uniqueId val="{00000001-3819-4781-ABC4-DBD9420A66A4}"/>
            </c:ext>
          </c:extLst>
        </c:ser>
        <c:ser>
          <c:idx val="2"/>
          <c:order val="2"/>
          <c:tx>
            <c:strRef>
              <c:f>'2018 AOP'!$AH$1065</c:f>
              <c:strCache>
                <c:ptCount val="1"/>
                <c:pt idx="0">
                  <c:v>WAD - GEN</c:v>
                </c:pt>
              </c:strCache>
            </c:strRef>
          </c:tx>
          <c:spPr>
            <a:solidFill>
              <a:schemeClr val="accent3"/>
            </a:solidFill>
            <a:ln>
              <a:noFill/>
            </a:ln>
            <a:effectLst/>
          </c:spPr>
          <c:invertIfNegative val="0"/>
          <c:cat>
            <c:strRef>
              <c:f>'2018 AOP'!$AE$1066:$AE$1100</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'2018 AOP'!$AH$1066:$AH$1100</c:f>
              <c:numCache>
                <c:formatCode>#,##0_);\(#,##0\)</c:formatCode>
                <c:ptCount val="35"/>
                <c:pt idx="0">
                  <c:v>0</c:v>
                </c:pt>
                <c:pt idx="1">
                  <c:v>0</c:v>
                </c:pt>
                <c:pt idx="3">
                  <c:v>0</c:v>
                </c:pt>
                <c:pt idx="4">
                  <c:v>0</c:v>
                </c:pt>
                <c:pt idx="6">
                  <c:v>0</c:v>
                </c:pt>
                <c:pt idx="7">
                  <c:v>0</c:v>
                </c:pt>
                <c:pt idx="9">
                  <c:v>0</c:v>
                </c:pt>
                <c:pt idx="10">
                  <c:v>0</c:v>
                </c:pt>
                <c:pt idx="12">
                  <c:v>0</c:v>
                </c:pt>
                <c:pt idx="13">
                  <c:v>0</c:v>
                </c:pt>
                <c:pt idx="15">
                  <c:v>-24.619799846038884</c:v>
                </c:pt>
                <c:pt idx="16">
                  <c:v>-24.619799846038884</c:v>
                </c:pt>
                <c:pt idx="18">
                  <c:v>-20.114219433768614</c:v>
                </c:pt>
                <c:pt idx="19">
                  <c:v>-20.114219433768614</c:v>
                </c:pt>
                <c:pt idx="21">
                  <c:v>-17.107558162806161</c:v>
                </c:pt>
                <c:pt idx="22">
                  <c:v>-17.107558162806161</c:v>
                </c:pt>
                <c:pt idx="24">
                  <c:v>0</c:v>
                </c:pt>
                <c:pt idx="25">
                  <c:v>0</c:v>
                </c:pt>
                <c:pt idx="27">
                  <c:v>0</c:v>
                </c:pt>
                <c:pt idx="28">
                  <c:v>0</c:v>
                </c:pt>
                <c:pt idx="30">
                  <c:v>0</c:v>
                </c:pt>
                <c:pt idx="31">
                  <c:v>0</c:v>
                </c:pt>
                <c:pt idx="33">
                  <c:v>0</c:v>
                </c:pt>
                <c:pt idx="34">
                  <c:v>0</c:v>
                </c:pt>
              </c:numCache>
            </c:numRef>
          </c:val>
          <c:extLst>
            <c:ext xmlns:c16="http://schemas.microsoft.com/office/drawing/2014/chart" uri="{C3380CC4-5D6E-409C-BE32-E72D297353CC}">
              <c16:uniqueId val="{00000002-3819-4781-ABC4-DBD9420A66A4}"/>
            </c:ext>
          </c:extLst>
        </c:ser>
        <c:ser>
          <c:idx val="0"/>
          <c:order val="3"/>
          <c:tx>
            <c:strRef>
              <c:f>'2018 AOP'!$AF$1065</c:f>
              <c:strCache>
                <c:ptCount val="1"/>
                <c:pt idx="0">
                  <c:v>West HAV - HSY</c:v>
                </c:pt>
              </c:strCache>
            </c:strRef>
          </c:tx>
          <c:spPr>
            <a:solidFill>
              <a:schemeClr val="accent1"/>
            </a:solidFill>
            <a:ln>
              <a:noFill/>
            </a:ln>
            <a:effectLst/>
          </c:spPr>
          <c:invertIfNegative val="0"/>
          <c:cat>
            <c:strRef>
              <c:f>'2018 AOP'!$AE$1066:$AE$1100</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'2018 AOP'!$AF$1066:$AF$1100</c:f>
              <c:numCache>
                <c:formatCode>#,##0_);\(#,##0\)</c:formatCode>
                <c:ptCount val="35"/>
                <c:pt idx="0">
                  <c:v>251.56182795698925</c:v>
                </c:pt>
                <c:pt idx="1">
                  <c:v>55.561827956989248</c:v>
                </c:pt>
                <c:pt idx="3">
                  <c:v>174.45684523809524</c:v>
                </c:pt>
                <c:pt idx="4">
                  <c:v>76.456845238095241</c:v>
                </c:pt>
                <c:pt idx="6">
                  <c:v>406.27688172043008</c:v>
                </c:pt>
                <c:pt idx="7">
                  <c:v>112.27688172043011</c:v>
                </c:pt>
                <c:pt idx="9">
                  <c:v>405.00694444444446</c:v>
                </c:pt>
                <c:pt idx="10">
                  <c:v>111.00694444444443</c:v>
                </c:pt>
                <c:pt idx="12">
                  <c:v>409.0322580645161</c:v>
                </c:pt>
                <c:pt idx="13">
                  <c:v>115.03225806451613</c:v>
                </c:pt>
                <c:pt idx="15">
                  <c:v>191.83472222222224</c:v>
                </c:pt>
                <c:pt idx="16">
                  <c:v>44.834722222222226</c:v>
                </c:pt>
                <c:pt idx="18">
                  <c:v>191.34408602150538</c:v>
                </c:pt>
                <c:pt idx="19">
                  <c:v>44.344086021505376</c:v>
                </c:pt>
                <c:pt idx="21">
                  <c:v>165.34946236559139</c:v>
                </c:pt>
                <c:pt idx="22">
                  <c:v>18.3494623655914</c:v>
                </c:pt>
                <c:pt idx="24">
                  <c:v>342.03055555555557</c:v>
                </c:pt>
                <c:pt idx="25">
                  <c:v>97.030555555555551</c:v>
                </c:pt>
                <c:pt idx="27">
                  <c:v>346.4529569892473</c:v>
                </c:pt>
                <c:pt idx="28">
                  <c:v>101.4529569892473</c:v>
                </c:pt>
                <c:pt idx="30">
                  <c:v>346.79166666666663</c:v>
                </c:pt>
                <c:pt idx="31">
                  <c:v>101.79166666666666</c:v>
                </c:pt>
                <c:pt idx="33">
                  <c:v>341.25940860215053</c:v>
                </c:pt>
                <c:pt idx="34">
                  <c:v>96.259408602150543</c:v>
                </c:pt>
              </c:numCache>
            </c:numRef>
          </c:val>
          <c:extLst>
            <c:ext xmlns:c16="http://schemas.microsoft.com/office/drawing/2014/chart" uri="{C3380CC4-5D6E-409C-BE32-E72D297353CC}">
              <c16:uniqueId val="{00000003-3819-4781-ABC4-DBD9420A66A4}"/>
            </c:ext>
          </c:extLst>
        </c:ser>
        <c:dLbls>
          <c:showLegendKey val="0"/>
          <c:showVal val="0"/>
          <c:showCatName val="0"/>
          <c:showSerName val="0"/>
          <c:showPercent val="0"/>
          <c:showBubbleSize val="0"/>
        </c:dLbls>
        <c:gapWidth val="30"/>
        <c:overlap val="100"/>
        <c:axId val="700108656"/>
        <c:axId val="700109048"/>
      </c:barChart>
      <c:catAx>
        <c:axId val="7001086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00109048"/>
        <c:crosses val="autoZero"/>
        <c:auto val="1"/>
        <c:lblAlgn val="ctr"/>
        <c:lblOffset val="100"/>
        <c:noMultiLvlLbl val="0"/>
      </c:catAx>
      <c:valAx>
        <c:axId val="700109048"/>
        <c:scaling>
          <c:orientation val="minMax"/>
          <c:max val="500"/>
          <c:min val="-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00108656"/>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Power Schedule On-Peak v Off-Peak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7678258967629041E-2"/>
          <c:y val="0.10866006311870478"/>
          <c:w val="0.88454396325459317"/>
          <c:h val="0.65336779221745989"/>
        </c:manualLayout>
      </c:layout>
      <c:barChart>
        <c:barDir val="col"/>
        <c:grouping val="stacked"/>
        <c:varyColors val="0"/>
        <c:ser>
          <c:idx val="3"/>
          <c:order val="0"/>
          <c:tx>
            <c:strRef>
              <c:f>'2019 Actual'!$AI$1087</c:f>
              <c:strCache>
                <c:ptCount val="1"/>
                <c:pt idx="0">
                  <c:v>South w/SGL</c:v>
                </c:pt>
              </c:strCache>
            </c:strRef>
          </c:tx>
          <c:spPr>
            <a:solidFill>
              <a:schemeClr val="accent4"/>
            </a:solidFill>
            <a:ln>
              <a:noFill/>
            </a:ln>
            <a:effectLst/>
          </c:spPr>
          <c:invertIfNegative val="0"/>
          <c:cat>
            <c:strRef>
              <c:f>'2019 Actual'!$AE$1088:$AE$1122</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'2019 Actual'!$AI$1088:$AI$1122</c:f>
              <c:numCache>
                <c:formatCode>#,##0_);\(#,##0\)</c:formatCode>
                <c:ptCount val="35"/>
                <c:pt idx="0">
                  <c:v>29.467741935483868</c:v>
                </c:pt>
                <c:pt idx="1">
                  <c:v>29.467741935483868</c:v>
                </c:pt>
                <c:pt idx="3">
                  <c:v>30.989583333333332</c:v>
                </c:pt>
                <c:pt idx="4">
                  <c:v>30.989583333333332</c:v>
                </c:pt>
                <c:pt idx="6">
                  <c:v>40.774193548387096</c:v>
                </c:pt>
                <c:pt idx="7">
                  <c:v>40.774193548387096</c:v>
                </c:pt>
                <c:pt idx="9">
                  <c:v>64.19861111111112</c:v>
                </c:pt>
                <c:pt idx="10">
                  <c:v>64.19861111111112</c:v>
                </c:pt>
                <c:pt idx="12">
                  <c:v>59.005376344086031</c:v>
                </c:pt>
                <c:pt idx="13">
                  <c:v>59.005376344086031</c:v>
                </c:pt>
                <c:pt idx="15">
                  <c:v>70.23333333333332</c:v>
                </c:pt>
                <c:pt idx="16">
                  <c:v>70.23333333333332</c:v>
                </c:pt>
                <c:pt idx="18">
                  <c:v>71.868279569892479</c:v>
                </c:pt>
                <c:pt idx="19">
                  <c:v>71.868279569892479</c:v>
                </c:pt>
                <c:pt idx="21">
                  <c:v>70.298387096774192</c:v>
                </c:pt>
                <c:pt idx="22">
                  <c:v>70.298387096774192</c:v>
                </c:pt>
                <c:pt idx="24">
                  <c:v>49.298611111111114</c:v>
                </c:pt>
                <c:pt idx="25">
                  <c:v>49.298611111111114</c:v>
                </c:pt>
                <c:pt idx="27">
                  <c:v>40.767473118279568</c:v>
                </c:pt>
                <c:pt idx="28">
                  <c:v>40.767473118279568</c:v>
                </c:pt>
                <c:pt idx="30">
                  <c:v>5.2722222222222221</c:v>
                </c:pt>
                <c:pt idx="31">
                  <c:v>5.2722222222222221</c:v>
                </c:pt>
                <c:pt idx="33">
                  <c:v>14.981182795698924</c:v>
                </c:pt>
                <c:pt idx="34">
                  <c:v>14.981182795698924</c:v>
                </c:pt>
              </c:numCache>
            </c:numRef>
          </c:val>
          <c:extLst>
            <c:ext xmlns:c16="http://schemas.microsoft.com/office/drawing/2014/chart" uri="{C3380CC4-5D6E-409C-BE32-E72D297353CC}">
              <c16:uniqueId val="{00000000-10E4-43DC-B4C3-6281A780A2ED}"/>
            </c:ext>
          </c:extLst>
        </c:ser>
        <c:ser>
          <c:idx val="1"/>
          <c:order val="1"/>
          <c:tx>
            <c:strRef>
              <c:f>'2019 Actual'!$AG$1087</c:f>
              <c:strCache>
                <c:ptCount val="1"/>
                <c:pt idx="0">
                  <c:v>WAD -PMP</c:v>
                </c:pt>
              </c:strCache>
            </c:strRef>
          </c:tx>
          <c:spPr>
            <a:solidFill>
              <a:schemeClr val="accent2"/>
            </a:solidFill>
            <a:ln>
              <a:noFill/>
            </a:ln>
            <a:effectLst/>
          </c:spPr>
          <c:invertIfNegative val="0"/>
          <c:cat>
            <c:strRef>
              <c:f>'2019 Actual'!$AE$1088:$AE$1122</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'2019 Actual'!$AG$1088:$AG$1122</c:f>
              <c:numCache>
                <c:formatCode>#,##0_);\(#,##0\)</c:formatCode>
                <c:ptCount val="35"/>
                <c:pt idx="0">
                  <c:v>17.019338610589831</c:v>
                </c:pt>
                <c:pt idx="1">
                  <c:v>17.019338610589831</c:v>
                </c:pt>
                <c:pt idx="3">
                  <c:v>30.831581488574397</c:v>
                </c:pt>
                <c:pt idx="4">
                  <c:v>30.831581488574397</c:v>
                </c:pt>
                <c:pt idx="6">
                  <c:v>1.7843850082229759E-2</c:v>
                </c:pt>
                <c:pt idx="7">
                  <c:v>1.7843850082229759E-2</c:v>
                </c:pt>
                <c:pt idx="9">
                  <c:v>3.292192060535307</c:v>
                </c:pt>
                <c:pt idx="10">
                  <c:v>3.292192060535307</c:v>
                </c:pt>
                <c:pt idx="12">
                  <c:v>5.3225765366447133</c:v>
                </c:pt>
                <c:pt idx="13">
                  <c:v>5.3225765366447133</c:v>
                </c:pt>
                <c:pt idx="15">
                  <c:v>0.42272885469863541</c:v>
                </c:pt>
                <c:pt idx="16">
                  <c:v>0.42272885469863541</c:v>
                </c:pt>
                <c:pt idx="18">
                  <c:v>0</c:v>
                </c:pt>
                <c:pt idx="19">
                  <c:v>0</c:v>
                </c:pt>
                <c:pt idx="21">
                  <c:v>6.6698144885842343E-3</c:v>
                </c:pt>
                <c:pt idx="22">
                  <c:v>6.6698144885842343E-3</c:v>
                </c:pt>
                <c:pt idx="24">
                  <c:v>7.3258898930207685</c:v>
                </c:pt>
                <c:pt idx="25">
                  <c:v>7.3258898930207685</c:v>
                </c:pt>
                <c:pt idx="27">
                  <c:v>8.8198569670132354</c:v>
                </c:pt>
                <c:pt idx="28">
                  <c:v>8.8198569670132354</c:v>
                </c:pt>
                <c:pt idx="30">
                  <c:v>24.506443656670069</c:v>
                </c:pt>
                <c:pt idx="31">
                  <c:v>24.506443656670069</c:v>
                </c:pt>
                <c:pt idx="33">
                  <c:v>6.1471567077599891</c:v>
                </c:pt>
                <c:pt idx="34">
                  <c:v>6.1471567077599891</c:v>
                </c:pt>
              </c:numCache>
            </c:numRef>
          </c:val>
          <c:extLst>
            <c:ext xmlns:c16="http://schemas.microsoft.com/office/drawing/2014/chart" uri="{C3380CC4-5D6E-409C-BE32-E72D297353CC}">
              <c16:uniqueId val="{00000001-10E4-43DC-B4C3-6281A780A2ED}"/>
            </c:ext>
          </c:extLst>
        </c:ser>
        <c:ser>
          <c:idx val="2"/>
          <c:order val="2"/>
          <c:tx>
            <c:strRef>
              <c:f>'2019 Actual'!$AH$1087</c:f>
              <c:strCache>
                <c:ptCount val="1"/>
                <c:pt idx="0">
                  <c:v>WAD - GEN</c:v>
                </c:pt>
              </c:strCache>
            </c:strRef>
          </c:tx>
          <c:spPr>
            <a:solidFill>
              <a:schemeClr val="accent3"/>
            </a:solidFill>
            <a:ln>
              <a:noFill/>
            </a:ln>
            <a:effectLst/>
          </c:spPr>
          <c:invertIfNegative val="0"/>
          <c:cat>
            <c:strRef>
              <c:f>'2019 Actual'!$AE$1088:$AE$1122</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'2019 Actual'!$AH$1088:$AH$1122</c:f>
              <c:numCache>
                <c:formatCode>#,##0_);\(#,##0\)</c:formatCode>
                <c:ptCount val="35"/>
                <c:pt idx="0">
                  <c:v>-3.3695345625341919</c:v>
                </c:pt>
                <c:pt idx="1">
                  <c:v>-3.3695345625341919</c:v>
                </c:pt>
                <c:pt idx="3">
                  <c:v>0</c:v>
                </c:pt>
                <c:pt idx="4">
                  <c:v>0</c:v>
                </c:pt>
                <c:pt idx="6">
                  <c:v>-2.5809368694848959E-2</c:v>
                </c:pt>
                <c:pt idx="7">
                  <c:v>-2.5809368694848959E-2</c:v>
                </c:pt>
                <c:pt idx="9">
                  <c:v>-2.8633531789469693</c:v>
                </c:pt>
                <c:pt idx="10">
                  <c:v>-2.8633531789469693</c:v>
                </c:pt>
                <c:pt idx="12">
                  <c:v>-3.2084460408364941</c:v>
                </c:pt>
                <c:pt idx="13">
                  <c:v>-3.2084460408364941</c:v>
                </c:pt>
                <c:pt idx="15">
                  <c:v>-16.618129448212333</c:v>
                </c:pt>
                <c:pt idx="16">
                  <c:v>-16.618129448212333</c:v>
                </c:pt>
                <c:pt idx="18">
                  <c:v>-15.667458763577983</c:v>
                </c:pt>
                <c:pt idx="19">
                  <c:v>-15.667458763577983</c:v>
                </c:pt>
                <c:pt idx="21">
                  <c:v>-10.247646205662289</c:v>
                </c:pt>
                <c:pt idx="22">
                  <c:v>-10.247646205662289</c:v>
                </c:pt>
                <c:pt idx="24">
                  <c:v>0</c:v>
                </c:pt>
                <c:pt idx="25">
                  <c:v>0</c:v>
                </c:pt>
                <c:pt idx="27">
                  <c:v>0</c:v>
                </c:pt>
                <c:pt idx="28">
                  <c:v>0</c:v>
                </c:pt>
                <c:pt idx="30">
                  <c:v>-0.25531300566014398</c:v>
                </c:pt>
                <c:pt idx="31">
                  <c:v>-0.25531300566014398</c:v>
                </c:pt>
                <c:pt idx="33">
                  <c:v>0</c:v>
                </c:pt>
                <c:pt idx="34">
                  <c:v>0</c:v>
                </c:pt>
              </c:numCache>
            </c:numRef>
          </c:val>
          <c:extLst>
            <c:ext xmlns:c16="http://schemas.microsoft.com/office/drawing/2014/chart" uri="{C3380CC4-5D6E-409C-BE32-E72D297353CC}">
              <c16:uniqueId val="{00000002-10E4-43DC-B4C3-6281A780A2ED}"/>
            </c:ext>
          </c:extLst>
        </c:ser>
        <c:ser>
          <c:idx val="0"/>
          <c:order val="3"/>
          <c:tx>
            <c:strRef>
              <c:f>'2019 Actual'!$AF$1087</c:f>
              <c:strCache>
                <c:ptCount val="1"/>
                <c:pt idx="0">
                  <c:v>West HAV - HSY</c:v>
                </c:pt>
              </c:strCache>
            </c:strRef>
          </c:tx>
          <c:spPr>
            <a:solidFill>
              <a:schemeClr val="accent1"/>
            </a:solidFill>
            <a:ln>
              <a:noFill/>
            </a:ln>
            <a:effectLst/>
          </c:spPr>
          <c:invertIfNegative val="0"/>
          <c:cat>
            <c:strRef>
              <c:f>'2019 Actual'!$AE$1088:$AE$1122</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'2019 Actual'!$AF$1088:$AF$1122</c:f>
              <c:numCache>
                <c:formatCode>#,##0_);\(#,##0\)</c:formatCode>
                <c:ptCount val="35"/>
                <c:pt idx="0">
                  <c:v>250.75537634408602</c:v>
                </c:pt>
                <c:pt idx="1">
                  <c:v>54.755376344086017</c:v>
                </c:pt>
                <c:pt idx="3">
                  <c:v>203.3154761904762</c:v>
                </c:pt>
                <c:pt idx="4">
                  <c:v>105.31547619047619</c:v>
                </c:pt>
                <c:pt idx="6">
                  <c:v>345.25940860215053</c:v>
                </c:pt>
                <c:pt idx="7">
                  <c:v>51.259408602150536</c:v>
                </c:pt>
                <c:pt idx="9">
                  <c:v>388.3</c:v>
                </c:pt>
                <c:pt idx="10">
                  <c:v>94.300000000000011</c:v>
                </c:pt>
                <c:pt idx="12">
                  <c:v>388.375</c:v>
                </c:pt>
                <c:pt idx="13">
                  <c:v>94.375</c:v>
                </c:pt>
                <c:pt idx="15">
                  <c:v>214.08750000000001</c:v>
                </c:pt>
                <c:pt idx="16">
                  <c:v>67.087500000000006</c:v>
                </c:pt>
                <c:pt idx="18">
                  <c:v>205.8736559139785</c:v>
                </c:pt>
                <c:pt idx="19">
                  <c:v>58.873655913978496</c:v>
                </c:pt>
                <c:pt idx="21">
                  <c:v>209.75806451612902</c:v>
                </c:pt>
                <c:pt idx="22">
                  <c:v>62.758064516129039</c:v>
                </c:pt>
                <c:pt idx="24">
                  <c:v>347.20277777777778</c:v>
                </c:pt>
                <c:pt idx="25">
                  <c:v>102.20277777777778</c:v>
                </c:pt>
                <c:pt idx="27">
                  <c:v>337.48252688172045</c:v>
                </c:pt>
                <c:pt idx="28">
                  <c:v>92.482526881720432</c:v>
                </c:pt>
                <c:pt idx="30">
                  <c:v>323.88472222222219</c:v>
                </c:pt>
                <c:pt idx="31">
                  <c:v>78.884722222222223</c:v>
                </c:pt>
                <c:pt idx="33">
                  <c:v>290.45833333333331</c:v>
                </c:pt>
                <c:pt idx="34">
                  <c:v>45.458333333333336</c:v>
                </c:pt>
              </c:numCache>
            </c:numRef>
          </c:val>
          <c:extLst>
            <c:ext xmlns:c16="http://schemas.microsoft.com/office/drawing/2014/chart" uri="{C3380CC4-5D6E-409C-BE32-E72D297353CC}">
              <c16:uniqueId val="{00000003-10E4-43DC-B4C3-6281A780A2ED}"/>
            </c:ext>
          </c:extLst>
        </c:ser>
        <c:dLbls>
          <c:showLegendKey val="0"/>
          <c:showVal val="0"/>
          <c:showCatName val="0"/>
          <c:showSerName val="0"/>
          <c:showPercent val="0"/>
          <c:showBubbleSize val="0"/>
        </c:dLbls>
        <c:gapWidth val="30"/>
        <c:overlap val="100"/>
        <c:axId val="323165480"/>
        <c:axId val="323166264"/>
      </c:barChart>
      <c:catAx>
        <c:axId val="3231654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6264"/>
        <c:crosses val="autoZero"/>
        <c:auto val="1"/>
        <c:lblAlgn val="ctr"/>
        <c:lblOffset val="100"/>
        <c:noMultiLvlLbl val="0"/>
      </c:catAx>
      <c:valAx>
        <c:axId val="323166264"/>
        <c:scaling>
          <c:orientation val="minMax"/>
          <c:max val="500"/>
          <c:min val="-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5480"/>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Power Schedule On-Peak v Off-Peak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7678258967629041E-2"/>
          <c:y val="0.10866006311870478"/>
          <c:w val="0.88454396325459317"/>
          <c:h val="0.65336779221745989"/>
        </c:manualLayout>
      </c:layout>
      <c:barChart>
        <c:barDir val="col"/>
        <c:grouping val="stacked"/>
        <c:varyColors val="0"/>
        <c:ser>
          <c:idx val="3"/>
          <c:order val="0"/>
          <c:tx>
            <c:strRef>
              <c:f>'2019 AOP'!$AI$1073</c:f>
              <c:strCache>
                <c:ptCount val="1"/>
                <c:pt idx="0">
                  <c:v>South w/SGL</c:v>
                </c:pt>
              </c:strCache>
            </c:strRef>
          </c:tx>
          <c:spPr>
            <a:solidFill>
              <a:schemeClr val="accent4"/>
            </a:solidFill>
            <a:ln>
              <a:noFill/>
            </a:ln>
            <a:effectLst/>
          </c:spPr>
          <c:invertIfNegative val="0"/>
          <c:cat>
            <c:strRef>
              <c:f>'2019 AOP'!$AE$1074:$AE$1108</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'2019 AOP'!$AI$1074:$AI$1108</c:f>
              <c:numCache>
                <c:formatCode>#,##0_);\(#,##0\)</c:formatCode>
                <c:ptCount val="35"/>
                <c:pt idx="0">
                  <c:v>37.759408602150543</c:v>
                </c:pt>
                <c:pt idx="1">
                  <c:v>37.759408602150543</c:v>
                </c:pt>
                <c:pt idx="3">
                  <c:v>49.257440476190489</c:v>
                </c:pt>
                <c:pt idx="4">
                  <c:v>49.257440476190489</c:v>
                </c:pt>
                <c:pt idx="6">
                  <c:v>54.37903225806452</c:v>
                </c:pt>
                <c:pt idx="7">
                  <c:v>54.37903225806452</c:v>
                </c:pt>
                <c:pt idx="9">
                  <c:v>62.426388888888894</c:v>
                </c:pt>
                <c:pt idx="10">
                  <c:v>62.426388888888894</c:v>
                </c:pt>
                <c:pt idx="12">
                  <c:v>64.334677419354847</c:v>
                </c:pt>
                <c:pt idx="13">
                  <c:v>64.334677419354847</c:v>
                </c:pt>
                <c:pt idx="15">
                  <c:v>65.775000000000006</c:v>
                </c:pt>
                <c:pt idx="16">
                  <c:v>65.775000000000006</c:v>
                </c:pt>
                <c:pt idx="18">
                  <c:v>65.380376344086017</c:v>
                </c:pt>
                <c:pt idx="19">
                  <c:v>65.380376344086017</c:v>
                </c:pt>
                <c:pt idx="21">
                  <c:v>60.869623655913976</c:v>
                </c:pt>
                <c:pt idx="22">
                  <c:v>60.869623655913976</c:v>
                </c:pt>
                <c:pt idx="24">
                  <c:v>54.473611111111119</c:v>
                </c:pt>
                <c:pt idx="25">
                  <c:v>54.473611111111119</c:v>
                </c:pt>
                <c:pt idx="27">
                  <c:v>39.497311827956992</c:v>
                </c:pt>
                <c:pt idx="28">
                  <c:v>39.497311827956992</c:v>
                </c:pt>
                <c:pt idx="30">
                  <c:v>9.1388888888888893</c:v>
                </c:pt>
                <c:pt idx="31">
                  <c:v>9.1388888888888893</c:v>
                </c:pt>
                <c:pt idx="33">
                  <c:v>20.557795698924728</c:v>
                </c:pt>
                <c:pt idx="34">
                  <c:v>20.557795698924728</c:v>
                </c:pt>
              </c:numCache>
            </c:numRef>
          </c:val>
          <c:extLst>
            <c:ext xmlns:c16="http://schemas.microsoft.com/office/drawing/2014/chart" uri="{C3380CC4-5D6E-409C-BE32-E72D297353CC}">
              <c16:uniqueId val="{00000000-3797-409C-842E-8315006C3A8C}"/>
            </c:ext>
          </c:extLst>
        </c:ser>
        <c:ser>
          <c:idx val="1"/>
          <c:order val="1"/>
          <c:tx>
            <c:strRef>
              <c:f>'2019 AOP'!$AG$1073</c:f>
              <c:strCache>
                <c:ptCount val="1"/>
                <c:pt idx="0">
                  <c:v>WAD -PMP</c:v>
                </c:pt>
              </c:strCache>
            </c:strRef>
          </c:tx>
          <c:spPr>
            <a:solidFill>
              <a:schemeClr val="accent2"/>
            </a:solidFill>
            <a:ln>
              <a:noFill/>
            </a:ln>
            <a:effectLst/>
          </c:spPr>
          <c:invertIfNegative val="0"/>
          <c:cat>
            <c:strRef>
              <c:f>'2019 AOP'!$AE$1074:$AE$1108</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'2019 AOP'!$AG$1074:$AG$1108</c:f>
              <c:numCache>
                <c:formatCode>#,##0_);\(#,##0\)</c:formatCode>
                <c:ptCount val="35"/>
                <c:pt idx="0">
                  <c:v>14.067516001664044</c:v>
                </c:pt>
                <c:pt idx="1">
                  <c:v>14.067516001664044</c:v>
                </c:pt>
                <c:pt idx="3">
                  <c:v>24.268171183916024</c:v>
                </c:pt>
                <c:pt idx="4">
                  <c:v>24.268171183916024</c:v>
                </c:pt>
                <c:pt idx="6">
                  <c:v>15.545332539233222</c:v>
                </c:pt>
                <c:pt idx="7">
                  <c:v>15.545332539233222</c:v>
                </c:pt>
                <c:pt idx="9">
                  <c:v>2.3867020191009307</c:v>
                </c:pt>
                <c:pt idx="10">
                  <c:v>2.3867020191009307</c:v>
                </c:pt>
                <c:pt idx="12">
                  <c:v>0</c:v>
                </c:pt>
                <c:pt idx="13">
                  <c:v>0</c:v>
                </c:pt>
                <c:pt idx="15">
                  <c:v>0</c:v>
                </c:pt>
                <c:pt idx="16">
                  <c:v>0</c:v>
                </c:pt>
                <c:pt idx="18">
                  <c:v>0</c:v>
                </c:pt>
                <c:pt idx="19">
                  <c:v>0</c:v>
                </c:pt>
                <c:pt idx="21">
                  <c:v>0</c:v>
                </c:pt>
                <c:pt idx="22">
                  <c:v>0</c:v>
                </c:pt>
                <c:pt idx="24">
                  <c:v>2.9128117192288028</c:v>
                </c:pt>
                <c:pt idx="25">
                  <c:v>2.9128117192288028</c:v>
                </c:pt>
                <c:pt idx="27">
                  <c:v>9.5614402214303933</c:v>
                </c:pt>
                <c:pt idx="28">
                  <c:v>9.5614402214303933</c:v>
                </c:pt>
                <c:pt idx="30">
                  <c:v>20.949765816895503</c:v>
                </c:pt>
                <c:pt idx="31">
                  <c:v>20.949765816895503</c:v>
                </c:pt>
                <c:pt idx="33">
                  <c:v>19.522397526840198</c:v>
                </c:pt>
                <c:pt idx="34">
                  <c:v>19.522397526840198</c:v>
                </c:pt>
              </c:numCache>
            </c:numRef>
          </c:val>
          <c:extLst>
            <c:ext xmlns:c16="http://schemas.microsoft.com/office/drawing/2014/chart" uri="{C3380CC4-5D6E-409C-BE32-E72D297353CC}">
              <c16:uniqueId val="{00000001-3797-409C-842E-8315006C3A8C}"/>
            </c:ext>
          </c:extLst>
        </c:ser>
        <c:ser>
          <c:idx val="2"/>
          <c:order val="2"/>
          <c:tx>
            <c:strRef>
              <c:f>'2019 AOP'!$AH$1073</c:f>
              <c:strCache>
                <c:ptCount val="1"/>
                <c:pt idx="0">
                  <c:v>WAD - GEN</c:v>
                </c:pt>
              </c:strCache>
            </c:strRef>
          </c:tx>
          <c:spPr>
            <a:solidFill>
              <a:schemeClr val="accent3"/>
            </a:solidFill>
            <a:ln>
              <a:noFill/>
            </a:ln>
            <a:effectLst/>
          </c:spPr>
          <c:invertIfNegative val="0"/>
          <c:cat>
            <c:strRef>
              <c:f>'2019 AOP'!$AE$1074:$AE$1108</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'2019 AOP'!$AH$1074:$AH$1108</c:f>
              <c:numCache>
                <c:formatCode>#,##0_);\(#,##0\)</c:formatCode>
                <c:ptCount val="35"/>
                <c:pt idx="0">
                  <c:v>-5.6608057119387993</c:v>
                </c:pt>
                <c:pt idx="1">
                  <c:v>-5.6608057119387993</c:v>
                </c:pt>
                <c:pt idx="3">
                  <c:v>0</c:v>
                </c:pt>
                <c:pt idx="4">
                  <c:v>0</c:v>
                </c:pt>
                <c:pt idx="6">
                  <c:v>0</c:v>
                </c:pt>
                <c:pt idx="7">
                  <c:v>0</c:v>
                </c:pt>
                <c:pt idx="9">
                  <c:v>0</c:v>
                </c:pt>
                <c:pt idx="10">
                  <c:v>0</c:v>
                </c:pt>
                <c:pt idx="12">
                  <c:v>-1.2074921195741821</c:v>
                </c:pt>
                <c:pt idx="13">
                  <c:v>-1.2074921195741821</c:v>
                </c:pt>
                <c:pt idx="15">
                  <c:v>-19.312228074107246</c:v>
                </c:pt>
                <c:pt idx="16">
                  <c:v>-19.312228074107246</c:v>
                </c:pt>
                <c:pt idx="18">
                  <c:v>-15.601313808429845</c:v>
                </c:pt>
                <c:pt idx="19">
                  <c:v>-15.601313808429845</c:v>
                </c:pt>
                <c:pt idx="21">
                  <c:v>-11.342003460100464</c:v>
                </c:pt>
                <c:pt idx="22">
                  <c:v>-11.342003460100464</c:v>
                </c:pt>
                <c:pt idx="24">
                  <c:v>0</c:v>
                </c:pt>
                <c:pt idx="25">
                  <c:v>0</c:v>
                </c:pt>
                <c:pt idx="27">
                  <c:v>0</c:v>
                </c:pt>
                <c:pt idx="28">
                  <c:v>0</c:v>
                </c:pt>
                <c:pt idx="30">
                  <c:v>0</c:v>
                </c:pt>
                <c:pt idx="31">
                  <c:v>0</c:v>
                </c:pt>
                <c:pt idx="33">
                  <c:v>0</c:v>
                </c:pt>
                <c:pt idx="34">
                  <c:v>0</c:v>
                </c:pt>
              </c:numCache>
            </c:numRef>
          </c:val>
          <c:extLst>
            <c:ext xmlns:c16="http://schemas.microsoft.com/office/drawing/2014/chart" uri="{C3380CC4-5D6E-409C-BE32-E72D297353CC}">
              <c16:uniqueId val="{00000002-3797-409C-842E-8315006C3A8C}"/>
            </c:ext>
          </c:extLst>
        </c:ser>
        <c:ser>
          <c:idx val="0"/>
          <c:order val="3"/>
          <c:tx>
            <c:strRef>
              <c:f>'2019 AOP'!$AF$1073</c:f>
              <c:strCache>
                <c:ptCount val="1"/>
                <c:pt idx="0">
                  <c:v>West HAV - HSY</c:v>
                </c:pt>
              </c:strCache>
            </c:strRef>
          </c:tx>
          <c:spPr>
            <a:solidFill>
              <a:schemeClr val="accent1"/>
            </a:solidFill>
            <a:ln>
              <a:noFill/>
            </a:ln>
            <a:effectLst/>
          </c:spPr>
          <c:invertIfNegative val="0"/>
          <c:cat>
            <c:strRef>
              <c:f>'2019 AOP'!$AE$1074:$AE$1108</c:f>
              <c:strCache>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Cache>
            </c:strRef>
          </c:cat>
          <c:val>
            <c:numRef>
              <c:f>'2019 AOP'!$AF$1074:$AF$1108</c:f>
              <c:numCache>
                <c:formatCode>#,##0_);\(#,##0\)</c:formatCode>
                <c:ptCount val="35"/>
                <c:pt idx="0">
                  <c:v>251.26209677419354</c:v>
                </c:pt>
                <c:pt idx="1">
                  <c:v>55.262096774193552</c:v>
                </c:pt>
                <c:pt idx="3">
                  <c:v>211.26190476190476</c:v>
                </c:pt>
                <c:pt idx="4">
                  <c:v>113.26190476190476</c:v>
                </c:pt>
                <c:pt idx="6">
                  <c:v>405.5793010752688</c:v>
                </c:pt>
                <c:pt idx="7">
                  <c:v>111.5793010752688</c:v>
                </c:pt>
                <c:pt idx="9">
                  <c:v>405.49722222222221</c:v>
                </c:pt>
                <c:pt idx="10">
                  <c:v>111.49722222222222</c:v>
                </c:pt>
                <c:pt idx="12">
                  <c:v>405.80376344086022</c:v>
                </c:pt>
                <c:pt idx="13">
                  <c:v>111.80376344086022</c:v>
                </c:pt>
                <c:pt idx="15">
                  <c:v>192.07361111111112</c:v>
                </c:pt>
                <c:pt idx="16">
                  <c:v>45.073611111111106</c:v>
                </c:pt>
                <c:pt idx="18">
                  <c:v>192.07258064516128</c:v>
                </c:pt>
                <c:pt idx="19">
                  <c:v>45.072580645161295</c:v>
                </c:pt>
                <c:pt idx="21">
                  <c:v>191.96774193548387</c:v>
                </c:pt>
                <c:pt idx="22">
                  <c:v>44.967741935483872</c:v>
                </c:pt>
                <c:pt idx="24">
                  <c:v>340.43194444444441</c:v>
                </c:pt>
                <c:pt idx="25">
                  <c:v>95.43194444444444</c:v>
                </c:pt>
                <c:pt idx="27">
                  <c:v>334.49059139784947</c:v>
                </c:pt>
                <c:pt idx="28">
                  <c:v>89.490591397849471</c:v>
                </c:pt>
                <c:pt idx="30">
                  <c:v>321.87638888888887</c:v>
                </c:pt>
                <c:pt idx="31">
                  <c:v>76.876388888888897</c:v>
                </c:pt>
                <c:pt idx="33">
                  <c:v>321.78494623655911</c:v>
                </c:pt>
                <c:pt idx="34">
                  <c:v>76.784946236559136</c:v>
                </c:pt>
              </c:numCache>
            </c:numRef>
          </c:val>
          <c:extLst>
            <c:ext xmlns:c16="http://schemas.microsoft.com/office/drawing/2014/chart" uri="{C3380CC4-5D6E-409C-BE32-E72D297353CC}">
              <c16:uniqueId val="{00000003-3797-409C-842E-8315006C3A8C}"/>
            </c:ext>
          </c:extLst>
        </c:ser>
        <c:dLbls>
          <c:showLegendKey val="0"/>
          <c:showVal val="0"/>
          <c:showCatName val="0"/>
          <c:showSerName val="0"/>
          <c:showPercent val="0"/>
          <c:showBubbleSize val="0"/>
        </c:dLbls>
        <c:gapWidth val="30"/>
        <c:overlap val="100"/>
        <c:axId val="323165480"/>
        <c:axId val="323166264"/>
      </c:barChart>
      <c:catAx>
        <c:axId val="3231654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6264"/>
        <c:crosses val="autoZero"/>
        <c:auto val="1"/>
        <c:lblAlgn val="ctr"/>
        <c:lblOffset val="100"/>
        <c:noMultiLvlLbl val="0"/>
      </c:catAx>
      <c:valAx>
        <c:axId val="323166264"/>
        <c:scaling>
          <c:orientation val="minMax"/>
          <c:max val="500"/>
          <c:min val="-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5480"/>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Power Schedule On-Peak v Off-Peak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7678258967629041E-2"/>
          <c:y val="0.10866006311870478"/>
          <c:w val="0.88454396325459317"/>
          <c:h val="0.65336779221745989"/>
        </c:manualLayout>
      </c:layout>
      <c:barChart>
        <c:barDir val="col"/>
        <c:grouping val="stacked"/>
        <c:varyColors val="0"/>
        <c:ser>
          <c:idx val="3"/>
          <c:order val="0"/>
          <c:tx>
            <c:strRef>
              <c:f>'2020 Actual'!$AI$1131</c:f>
              <c:strCache>
                <c:ptCount val="1"/>
                <c:pt idx="0">
                  <c:v>69 </c:v>
                </c:pt>
              </c:strCache>
            </c:strRef>
          </c:tx>
          <c:spPr>
            <a:solidFill>
              <a:schemeClr val="accent4"/>
            </a:solidFill>
            <a:ln>
              <a:noFill/>
            </a:ln>
            <a:effectLst/>
          </c:spPr>
          <c:invertIfNegative val="0"/>
          <c:cat>
            <c:strRef>
              <c:f>'2020 Actual'!$AE$1132:$AE$1166</c:f>
              <c:strCache>
                <c:ptCount val="23"/>
                <c:pt idx="0">
                  <c:v>On Peak</c:v>
                </c:pt>
                <c:pt idx="1">
                  <c:v> </c:v>
                </c:pt>
                <c:pt idx="2">
                  <c:v>Off Peak</c:v>
                </c:pt>
                <c:pt idx="3">
                  <c:v>On Peak</c:v>
                </c:pt>
                <c:pt idx="4">
                  <c:v> </c:v>
                </c:pt>
                <c:pt idx="5">
                  <c:v>Off Peak</c:v>
                </c:pt>
                <c:pt idx="6">
                  <c:v>On Peak</c:v>
                </c:pt>
                <c:pt idx="7">
                  <c:v> </c:v>
                </c:pt>
                <c:pt idx="8">
                  <c:v>Off Peak</c:v>
                </c:pt>
                <c:pt idx="9">
                  <c:v>On Peak</c:v>
                </c:pt>
                <c:pt idx="10">
                  <c:v> </c:v>
                </c:pt>
                <c:pt idx="11">
                  <c:v>Off Peak</c:v>
                </c:pt>
                <c:pt idx="12">
                  <c:v>On Peak</c:v>
                </c:pt>
                <c:pt idx="13">
                  <c:v> </c:v>
                </c:pt>
                <c:pt idx="14">
                  <c:v>Off Peak</c:v>
                </c:pt>
                <c:pt idx="15">
                  <c:v>On Peak</c:v>
                </c:pt>
                <c:pt idx="16">
                  <c:v> </c:v>
                </c:pt>
                <c:pt idx="17">
                  <c:v>Off Peak</c:v>
                </c:pt>
                <c:pt idx="18">
                  <c:v>On Peak</c:v>
                </c:pt>
                <c:pt idx="19">
                  <c:v> </c:v>
                </c:pt>
                <c:pt idx="20">
                  <c:v>Off Peak</c:v>
                </c:pt>
                <c:pt idx="21">
                  <c:v>On Peak</c:v>
                </c:pt>
                <c:pt idx="22">
                  <c:v> </c:v>
                </c:pt>
              </c:strCache>
            </c:strRef>
          </c:cat>
          <c:val>
            <c:numRef>
              <c:f>'2020 Actual'!$AI$1132:$AI$1166</c:f>
              <c:numCache>
                <c:formatCode>#,##0_);\(#,##0\)</c:formatCode>
                <c:ptCount val="35"/>
                <c:pt idx="0">
                  <c:v>69.106182795698928</c:v>
                </c:pt>
                <c:pt idx="2">
                  <c:v>71.226388888888891</c:v>
                </c:pt>
                <c:pt idx="3">
                  <c:v>71.226388888888891</c:v>
                </c:pt>
                <c:pt idx="5">
                  <c:v>70.724462365591393</c:v>
                </c:pt>
                <c:pt idx="6">
                  <c:v>70.724462365591393</c:v>
                </c:pt>
                <c:pt idx="8">
                  <c:v>65.13978494623656</c:v>
                </c:pt>
                <c:pt idx="9">
                  <c:v>65.13978494623656</c:v>
                </c:pt>
                <c:pt idx="11">
                  <c:v>52.186111111111103</c:v>
                </c:pt>
                <c:pt idx="12">
                  <c:v>52.186111111111103</c:v>
                </c:pt>
                <c:pt idx="14">
                  <c:v>29.010752688172044</c:v>
                </c:pt>
                <c:pt idx="15">
                  <c:v>29.010752688172044</c:v>
                </c:pt>
                <c:pt idx="17">
                  <c:v>11.956944444444444</c:v>
                </c:pt>
                <c:pt idx="18">
                  <c:v>11.956944444444444</c:v>
                </c:pt>
                <c:pt idx="20">
                  <c:v>21.9502688172043</c:v>
                </c:pt>
                <c:pt idx="21">
                  <c:v>21.9502688172043</c:v>
                </c:pt>
              </c:numCache>
            </c:numRef>
          </c:val>
          <c:extLst>
            <c:ext xmlns:c16="http://schemas.microsoft.com/office/drawing/2014/chart" uri="{C3380CC4-5D6E-409C-BE32-E72D297353CC}">
              <c16:uniqueId val="{00000000-E42C-4354-A2F5-D9DD55D4A9E9}"/>
            </c:ext>
          </c:extLst>
        </c:ser>
        <c:ser>
          <c:idx val="1"/>
          <c:order val="1"/>
          <c:tx>
            <c:strRef>
              <c:f>'2020 Actual'!$AG$1131</c:f>
              <c:strCache>
                <c:ptCount val="1"/>
                <c:pt idx="0">
                  <c:v>0 </c:v>
                </c:pt>
              </c:strCache>
            </c:strRef>
          </c:tx>
          <c:spPr>
            <a:solidFill>
              <a:schemeClr val="accent2"/>
            </a:solidFill>
            <a:ln>
              <a:noFill/>
            </a:ln>
            <a:effectLst/>
          </c:spPr>
          <c:invertIfNegative val="0"/>
          <c:cat>
            <c:strRef>
              <c:f>'2020 Actual'!$AE$1132:$AE$1166</c:f>
              <c:strCache>
                <c:ptCount val="23"/>
                <c:pt idx="0">
                  <c:v>On Peak</c:v>
                </c:pt>
                <c:pt idx="1">
                  <c:v> </c:v>
                </c:pt>
                <c:pt idx="2">
                  <c:v>Off Peak</c:v>
                </c:pt>
                <c:pt idx="3">
                  <c:v>On Peak</c:v>
                </c:pt>
                <c:pt idx="4">
                  <c:v> </c:v>
                </c:pt>
                <c:pt idx="5">
                  <c:v>Off Peak</c:v>
                </c:pt>
                <c:pt idx="6">
                  <c:v>On Peak</c:v>
                </c:pt>
                <c:pt idx="7">
                  <c:v> </c:v>
                </c:pt>
                <c:pt idx="8">
                  <c:v>Off Peak</c:v>
                </c:pt>
                <c:pt idx="9">
                  <c:v>On Peak</c:v>
                </c:pt>
                <c:pt idx="10">
                  <c:v> </c:v>
                </c:pt>
                <c:pt idx="11">
                  <c:v>Off Peak</c:v>
                </c:pt>
                <c:pt idx="12">
                  <c:v>On Peak</c:v>
                </c:pt>
                <c:pt idx="13">
                  <c:v> </c:v>
                </c:pt>
                <c:pt idx="14">
                  <c:v>Off Peak</c:v>
                </c:pt>
                <c:pt idx="15">
                  <c:v>On Peak</c:v>
                </c:pt>
                <c:pt idx="16">
                  <c:v> </c:v>
                </c:pt>
                <c:pt idx="17">
                  <c:v>Off Peak</c:v>
                </c:pt>
                <c:pt idx="18">
                  <c:v>On Peak</c:v>
                </c:pt>
                <c:pt idx="19">
                  <c:v> </c:v>
                </c:pt>
                <c:pt idx="20">
                  <c:v>Off Peak</c:v>
                </c:pt>
                <c:pt idx="21">
                  <c:v>On Peak</c:v>
                </c:pt>
                <c:pt idx="22">
                  <c:v> </c:v>
                </c:pt>
              </c:strCache>
            </c:strRef>
          </c:cat>
          <c:val>
            <c:numRef>
              <c:f>'2020 Actual'!$AG$1132:$AG$1166</c:f>
              <c:numCache>
                <c:formatCode>#,##0_);\(#,##0\)</c:formatCode>
                <c:ptCount val="35"/>
                <c:pt idx="0">
                  <c:v>0</c:v>
                </c:pt>
                <c:pt idx="2">
                  <c:v>0</c:v>
                </c:pt>
                <c:pt idx="3">
                  <c:v>0</c:v>
                </c:pt>
                <c:pt idx="5">
                  <c:v>0</c:v>
                </c:pt>
                <c:pt idx="6">
                  <c:v>0</c:v>
                </c:pt>
                <c:pt idx="8">
                  <c:v>1.1734123908369207E-3</c:v>
                </c:pt>
                <c:pt idx="9">
                  <c:v>1.1734123908369207E-3</c:v>
                </c:pt>
                <c:pt idx="11">
                  <c:v>8.0016406993854456</c:v>
                </c:pt>
                <c:pt idx="12">
                  <c:v>8.0016406993854456</c:v>
                </c:pt>
                <c:pt idx="14">
                  <c:v>14.977789702716491</c:v>
                </c:pt>
                <c:pt idx="15">
                  <c:v>14.977789702716491</c:v>
                </c:pt>
                <c:pt idx="17">
                  <c:v>17.330052259153465</c:v>
                </c:pt>
                <c:pt idx="18">
                  <c:v>17.330052259153465</c:v>
                </c:pt>
                <c:pt idx="20">
                  <c:v>20.38645502096179</c:v>
                </c:pt>
                <c:pt idx="21">
                  <c:v>20.38645502096179</c:v>
                </c:pt>
              </c:numCache>
            </c:numRef>
          </c:val>
          <c:extLst>
            <c:ext xmlns:c16="http://schemas.microsoft.com/office/drawing/2014/chart" uri="{C3380CC4-5D6E-409C-BE32-E72D297353CC}">
              <c16:uniqueId val="{00000001-E42C-4354-A2F5-D9DD55D4A9E9}"/>
            </c:ext>
          </c:extLst>
        </c:ser>
        <c:ser>
          <c:idx val="2"/>
          <c:order val="2"/>
          <c:tx>
            <c:strRef>
              <c:f>'2020 Actual'!$AH$1131</c:f>
              <c:strCache>
                <c:ptCount val="1"/>
                <c:pt idx="0">
                  <c:v>(3)</c:v>
                </c:pt>
              </c:strCache>
            </c:strRef>
          </c:tx>
          <c:spPr>
            <a:solidFill>
              <a:schemeClr val="accent3"/>
            </a:solidFill>
            <a:ln>
              <a:noFill/>
            </a:ln>
            <a:effectLst/>
          </c:spPr>
          <c:invertIfNegative val="0"/>
          <c:cat>
            <c:strRef>
              <c:f>'2020 Actual'!$AE$1132:$AE$1166</c:f>
              <c:strCache>
                <c:ptCount val="23"/>
                <c:pt idx="0">
                  <c:v>On Peak</c:v>
                </c:pt>
                <c:pt idx="1">
                  <c:v> </c:v>
                </c:pt>
                <c:pt idx="2">
                  <c:v>Off Peak</c:v>
                </c:pt>
                <c:pt idx="3">
                  <c:v>On Peak</c:v>
                </c:pt>
                <c:pt idx="4">
                  <c:v> </c:v>
                </c:pt>
                <c:pt idx="5">
                  <c:v>Off Peak</c:v>
                </c:pt>
                <c:pt idx="6">
                  <c:v>On Peak</c:v>
                </c:pt>
                <c:pt idx="7">
                  <c:v> </c:v>
                </c:pt>
                <c:pt idx="8">
                  <c:v>Off Peak</c:v>
                </c:pt>
                <c:pt idx="9">
                  <c:v>On Peak</c:v>
                </c:pt>
                <c:pt idx="10">
                  <c:v> </c:v>
                </c:pt>
                <c:pt idx="11">
                  <c:v>Off Peak</c:v>
                </c:pt>
                <c:pt idx="12">
                  <c:v>On Peak</c:v>
                </c:pt>
                <c:pt idx="13">
                  <c:v> </c:v>
                </c:pt>
                <c:pt idx="14">
                  <c:v>Off Peak</c:v>
                </c:pt>
                <c:pt idx="15">
                  <c:v>On Peak</c:v>
                </c:pt>
                <c:pt idx="16">
                  <c:v> </c:v>
                </c:pt>
                <c:pt idx="17">
                  <c:v>Off Peak</c:v>
                </c:pt>
                <c:pt idx="18">
                  <c:v>On Peak</c:v>
                </c:pt>
                <c:pt idx="19">
                  <c:v> </c:v>
                </c:pt>
                <c:pt idx="20">
                  <c:v>Off Peak</c:v>
                </c:pt>
                <c:pt idx="21">
                  <c:v>On Peak</c:v>
                </c:pt>
                <c:pt idx="22">
                  <c:v> </c:v>
                </c:pt>
              </c:strCache>
            </c:strRef>
          </c:cat>
          <c:val>
            <c:numRef>
              <c:f>'2020 Actual'!$AH$1132:$AH$1166</c:f>
              <c:numCache>
                <c:formatCode>#,##0_);\(#,##0\)</c:formatCode>
                <c:ptCount val="35"/>
                <c:pt idx="0">
                  <c:v>-2.6173428624676922</c:v>
                </c:pt>
                <c:pt idx="2">
                  <c:v>-16.365011303692548</c:v>
                </c:pt>
                <c:pt idx="3">
                  <c:v>-16.365011303692548</c:v>
                </c:pt>
                <c:pt idx="5">
                  <c:v>-18.356704829871433</c:v>
                </c:pt>
                <c:pt idx="6">
                  <c:v>-18.356704829871433</c:v>
                </c:pt>
                <c:pt idx="8">
                  <c:v>-17.156967458427946</c:v>
                </c:pt>
                <c:pt idx="9">
                  <c:v>-17.156967458427946</c:v>
                </c:pt>
                <c:pt idx="11">
                  <c:v>-0.46123160010047703</c:v>
                </c:pt>
                <c:pt idx="12">
                  <c:v>-0.46123160010047703</c:v>
                </c:pt>
                <c:pt idx="14">
                  <c:v>-3.4883640842388285E-3</c:v>
                </c:pt>
                <c:pt idx="15">
                  <c:v>-3.4883640842388285E-3</c:v>
                </c:pt>
                <c:pt idx="17">
                  <c:v>-0.9180982583940368</c:v>
                </c:pt>
                <c:pt idx="18">
                  <c:v>-0.9180982583940368</c:v>
                </c:pt>
                <c:pt idx="20">
                  <c:v>0</c:v>
                </c:pt>
                <c:pt idx="21">
                  <c:v>0</c:v>
                </c:pt>
              </c:numCache>
            </c:numRef>
          </c:val>
          <c:extLst>
            <c:ext xmlns:c16="http://schemas.microsoft.com/office/drawing/2014/chart" uri="{C3380CC4-5D6E-409C-BE32-E72D297353CC}">
              <c16:uniqueId val="{00000002-E42C-4354-A2F5-D9DD55D4A9E9}"/>
            </c:ext>
          </c:extLst>
        </c:ser>
        <c:ser>
          <c:idx val="0"/>
          <c:order val="3"/>
          <c:tx>
            <c:strRef>
              <c:f>'2020 Actual'!$AF$1131</c:f>
              <c:strCache>
                <c:ptCount val="1"/>
                <c:pt idx="0">
                  <c:v>405 </c:v>
                </c:pt>
              </c:strCache>
            </c:strRef>
          </c:tx>
          <c:spPr>
            <a:solidFill>
              <a:schemeClr val="accent1"/>
            </a:solidFill>
            <a:ln>
              <a:noFill/>
            </a:ln>
            <a:effectLst/>
          </c:spPr>
          <c:invertIfNegative val="0"/>
          <c:cat>
            <c:strRef>
              <c:f>'2020 Actual'!$AE$1132:$AE$1166</c:f>
              <c:strCache>
                <c:ptCount val="23"/>
                <c:pt idx="0">
                  <c:v>On Peak</c:v>
                </c:pt>
                <c:pt idx="1">
                  <c:v> </c:v>
                </c:pt>
                <c:pt idx="2">
                  <c:v>Off Peak</c:v>
                </c:pt>
                <c:pt idx="3">
                  <c:v>On Peak</c:v>
                </c:pt>
                <c:pt idx="4">
                  <c:v> </c:v>
                </c:pt>
                <c:pt idx="5">
                  <c:v>Off Peak</c:v>
                </c:pt>
                <c:pt idx="6">
                  <c:v>On Peak</c:v>
                </c:pt>
                <c:pt idx="7">
                  <c:v> </c:v>
                </c:pt>
                <c:pt idx="8">
                  <c:v>Off Peak</c:v>
                </c:pt>
                <c:pt idx="9">
                  <c:v>On Peak</c:v>
                </c:pt>
                <c:pt idx="10">
                  <c:v> </c:v>
                </c:pt>
                <c:pt idx="11">
                  <c:v>Off Peak</c:v>
                </c:pt>
                <c:pt idx="12">
                  <c:v>On Peak</c:v>
                </c:pt>
                <c:pt idx="13">
                  <c:v> </c:v>
                </c:pt>
                <c:pt idx="14">
                  <c:v>Off Peak</c:v>
                </c:pt>
                <c:pt idx="15">
                  <c:v>On Peak</c:v>
                </c:pt>
                <c:pt idx="16">
                  <c:v> </c:v>
                </c:pt>
                <c:pt idx="17">
                  <c:v>Off Peak</c:v>
                </c:pt>
                <c:pt idx="18">
                  <c:v>On Peak</c:v>
                </c:pt>
                <c:pt idx="19">
                  <c:v> </c:v>
                </c:pt>
                <c:pt idx="20">
                  <c:v>Off Peak</c:v>
                </c:pt>
                <c:pt idx="21">
                  <c:v>On Peak</c:v>
                </c:pt>
                <c:pt idx="22">
                  <c:v> </c:v>
                </c:pt>
              </c:strCache>
            </c:strRef>
          </c:cat>
          <c:val>
            <c:numRef>
              <c:f>'2020 Actual'!$AF$1132:$AF$1166</c:f>
              <c:numCache>
                <c:formatCode>#,##0_);\(#,##0\)</c:formatCode>
                <c:ptCount val="35"/>
                <c:pt idx="0">
                  <c:v>110.56048387096774</c:v>
                </c:pt>
                <c:pt idx="2">
                  <c:v>213.80416666666667</c:v>
                </c:pt>
                <c:pt idx="3">
                  <c:v>66.804166666666674</c:v>
                </c:pt>
                <c:pt idx="5">
                  <c:v>190.23655913978496</c:v>
                </c:pt>
                <c:pt idx="6">
                  <c:v>43.236559139784944</c:v>
                </c:pt>
                <c:pt idx="8">
                  <c:v>179.98924731182797</c:v>
                </c:pt>
                <c:pt idx="9">
                  <c:v>32.989247311827953</c:v>
                </c:pt>
                <c:pt idx="11">
                  <c:v>346.04722222222222</c:v>
                </c:pt>
                <c:pt idx="12">
                  <c:v>101.04722222222222</c:v>
                </c:pt>
                <c:pt idx="14">
                  <c:v>343.01881720430106</c:v>
                </c:pt>
                <c:pt idx="15">
                  <c:v>98.018817204301072</c:v>
                </c:pt>
                <c:pt idx="17">
                  <c:v>321.75416666666666</c:v>
                </c:pt>
                <c:pt idx="18">
                  <c:v>76.754166666666663</c:v>
                </c:pt>
                <c:pt idx="20">
                  <c:v>331.25806451612902</c:v>
                </c:pt>
                <c:pt idx="21">
                  <c:v>86.258064516129025</c:v>
                </c:pt>
              </c:numCache>
            </c:numRef>
          </c:val>
          <c:extLst>
            <c:ext xmlns:c16="http://schemas.microsoft.com/office/drawing/2014/chart" uri="{C3380CC4-5D6E-409C-BE32-E72D297353CC}">
              <c16:uniqueId val="{00000003-E42C-4354-A2F5-D9DD55D4A9E9}"/>
            </c:ext>
          </c:extLst>
        </c:ser>
        <c:dLbls>
          <c:showLegendKey val="0"/>
          <c:showVal val="0"/>
          <c:showCatName val="0"/>
          <c:showSerName val="0"/>
          <c:showPercent val="0"/>
          <c:showBubbleSize val="0"/>
        </c:dLbls>
        <c:gapWidth val="30"/>
        <c:overlap val="100"/>
        <c:axId val="323165480"/>
        <c:axId val="323166264"/>
      </c:barChart>
      <c:catAx>
        <c:axId val="3231654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6264"/>
        <c:crosses val="autoZero"/>
        <c:auto val="1"/>
        <c:lblAlgn val="ctr"/>
        <c:lblOffset val="100"/>
        <c:noMultiLvlLbl val="0"/>
      </c:catAx>
      <c:valAx>
        <c:axId val="323166264"/>
        <c:scaling>
          <c:orientation val="minMax"/>
          <c:max val="500"/>
          <c:min val="-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5480"/>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Power Schedule On-Peak v Off-Peak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7678258967629041E-2"/>
          <c:y val="0.10866006311870478"/>
          <c:w val="0.88454396325459317"/>
          <c:h val="0.65336779221745989"/>
        </c:manualLayout>
      </c:layout>
      <c:barChart>
        <c:barDir val="col"/>
        <c:grouping val="stacked"/>
        <c:varyColors val="0"/>
        <c:ser>
          <c:idx val="3"/>
          <c:order val="0"/>
          <c:tx>
            <c:v>South w/SGL</c:v>
          </c:tx>
          <c:spPr>
            <a:solidFill>
              <a:schemeClr val="accent4"/>
            </a:solidFill>
            <a:ln>
              <a:noFill/>
            </a:ln>
            <a:effectLst/>
          </c:spPr>
          <c:invertIfNegative val="0"/>
          <c:cat>
            <c:strLit>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Lit>
          </c:cat>
          <c:val>
            <c:numLit>
              <c:formatCode>General</c:formatCode>
              <c:ptCount val="35"/>
              <c:pt idx="0">
                <c:v>37.887096774193559</c:v>
              </c:pt>
              <c:pt idx="1">
                <c:v>37.887096774193559</c:v>
              </c:pt>
              <c:pt idx="3">
                <c:v>47.678160919540225</c:v>
              </c:pt>
              <c:pt idx="4">
                <c:v>47.678160919540225</c:v>
              </c:pt>
              <c:pt idx="6">
                <c:v>55.387096774193544</c:v>
              </c:pt>
              <c:pt idx="7">
                <c:v>55.387096774193544</c:v>
              </c:pt>
              <c:pt idx="9">
                <c:v>63.465277777777771</c:v>
              </c:pt>
              <c:pt idx="10">
                <c:v>63.465277777777771</c:v>
              </c:pt>
              <c:pt idx="12">
                <c:v>64.745967741935488</c:v>
              </c:pt>
              <c:pt idx="13">
                <c:v>64.745967741935488</c:v>
              </c:pt>
              <c:pt idx="15">
                <c:v>66.411111111111111</c:v>
              </c:pt>
              <c:pt idx="16">
                <c:v>66.411111111111111</c:v>
              </c:pt>
              <c:pt idx="18">
                <c:v>66.129032258064512</c:v>
              </c:pt>
              <c:pt idx="19">
                <c:v>66.129032258064512</c:v>
              </c:pt>
              <c:pt idx="21">
                <c:v>61.61021505376344</c:v>
              </c:pt>
              <c:pt idx="22">
                <c:v>61.61021505376344</c:v>
              </c:pt>
              <c:pt idx="24">
                <c:v>55.479166666666657</c:v>
              </c:pt>
              <c:pt idx="25">
                <c:v>55.479166666666657</c:v>
              </c:pt>
              <c:pt idx="27">
                <c:v>40.768817204301072</c:v>
              </c:pt>
              <c:pt idx="28">
                <c:v>40.768817204301072</c:v>
              </c:pt>
              <c:pt idx="30">
                <c:v>9.5166666666666675</c:v>
              </c:pt>
              <c:pt idx="31">
                <c:v>9.5166666666666675</c:v>
              </c:pt>
              <c:pt idx="33">
                <c:v>20.709677419354836</c:v>
              </c:pt>
              <c:pt idx="34">
                <c:v>20.709677419354836</c:v>
              </c:pt>
            </c:numLit>
          </c:val>
          <c:extLst>
            <c:ext xmlns:c16="http://schemas.microsoft.com/office/drawing/2014/chart" uri="{C3380CC4-5D6E-409C-BE32-E72D297353CC}">
              <c16:uniqueId val="{00000000-107C-48B4-9370-B41112A9257A}"/>
            </c:ext>
          </c:extLst>
        </c:ser>
        <c:ser>
          <c:idx val="1"/>
          <c:order val="1"/>
          <c:tx>
            <c:v>WAD -PMP</c:v>
          </c:tx>
          <c:spPr>
            <a:solidFill>
              <a:schemeClr val="accent2"/>
            </a:solidFill>
            <a:ln>
              <a:noFill/>
            </a:ln>
            <a:effectLst/>
          </c:spPr>
          <c:invertIfNegative val="0"/>
          <c:cat>
            <c:strLit>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Lit>
          </c:cat>
          <c:val>
            <c:numLit>
              <c:formatCode>General</c:formatCode>
              <c:ptCount val="35"/>
              <c:pt idx="0">
                <c:v>14.264355415601463</c:v>
              </c:pt>
              <c:pt idx="1">
                <c:v>14.264355415601463</c:v>
              </c:pt>
              <c:pt idx="3">
                <c:v>23.716310568347794</c:v>
              </c:pt>
              <c:pt idx="4">
                <c:v>23.716310568347794</c:v>
              </c:pt>
              <c:pt idx="6">
                <c:v>14.816329568181672</c:v>
              </c:pt>
              <c:pt idx="7">
                <c:v>14.816329568181672</c:v>
              </c:pt>
              <c:pt idx="9">
                <c:v>1.2010591539095501</c:v>
              </c:pt>
              <c:pt idx="10">
                <c:v>1.2010591539095501</c:v>
              </c:pt>
              <c:pt idx="12">
                <c:v>0</c:v>
              </c:pt>
              <c:pt idx="13">
                <c:v>0</c:v>
              </c:pt>
              <c:pt idx="15">
                <c:v>0</c:v>
              </c:pt>
              <c:pt idx="16">
                <c:v>0</c:v>
              </c:pt>
              <c:pt idx="18">
                <c:v>0</c:v>
              </c:pt>
              <c:pt idx="19">
                <c:v>0</c:v>
              </c:pt>
              <c:pt idx="21">
                <c:v>0</c:v>
              </c:pt>
              <c:pt idx="22">
                <c:v>0</c:v>
              </c:pt>
              <c:pt idx="24">
                <c:v>2.9117163568879949</c:v>
              </c:pt>
              <c:pt idx="25">
                <c:v>2.9117163568879949</c:v>
              </c:pt>
              <c:pt idx="27">
                <c:v>9.5581881151136141</c:v>
              </c:pt>
              <c:pt idx="28">
                <c:v>9.5581881151136141</c:v>
              </c:pt>
              <c:pt idx="30">
                <c:v>20.943760618939489</c:v>
              </c:pt>
              <c:pt idx="31">
                <c:v>20.943760618939489</c:v>
              </c:pt>
              <c:pt idx="33">
                <c:v>19.517514937787887</c:v>
              </c:pt>
              <c:pt idx="34">
                <c:v>19.517514937787887</c:v>
              </c:pt>
            </c:numLit>
          </c:val>
          <c:extLst>
            <c:ext xmlns:c16="http://schemas.microsoft.com/office/drawing/2014/chart" uri="{C3380CC4-5D6E-409C-BE32-E72D297353CC}">
              <c16:uniqueId val="{00000001-107C-48B4-9370-B41112A9257A}"/>
            </c:ext>
          </c:extLst>
        </c:ser>
        <c:ser>
          <c:idx val="2"/>
          <c:order val="2"/>
          <c:tx>
            <c:v>WAD - GEN</c:v>
          </c:tx>
          <c:spPr>
            <a:solidFill>
              <a:schemeClr val="accent3"/>
            </a:solidFill>
            <a:ln>
              <a:noFill/>
            </a:ln>
            <a:effectLst/>
          </c:spPr>
          <c:invertIfNegative val="0"/>
          <c:cat>
            <c:strLit>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Lit>
          </c:cat>
          <c:val>
            <c:numLit>
              <c:formatCode>General</c:formatCode>
              <c:ptCount val="35"/>
              <c:pt idx="0">
                <c:v>-5.8004408859118906</c:v>
              </c:pt>
              <c:pt idx="1">
                <c:v>-5.8004408859118906</c:v>
              </c:pt>
              <c:pt idx="3">
                <c:v>0</c:v>
              </c:pt>
              <c:pt idx="4">
                <c:v>0</c:v>
              </c:pt>
              <c:pt idx="6">
                <c:v>0</c:v>
              </c:pt>
              <c:pt idx="7">
                <c:v>0</c:v>
              </c:pt>
              <c:pt idx="9">
                <c:v>0</c:v>
              </c:pt>
              <c:pt idx="10">
                <c:v>0</c:v>
              </c:pt>
              <c:pt idx="12">
                <c:v>-1.2205511799333035</c:v>
              </c:pt>
              <c:pt idx="13">
                <c:v>-1.2205511799333035</c:v>
              </c:pt>
              <c:pt idx="15">
                <c:v>-20.502526345806164</c:v>
              </c:pt>
              <c:pt idx="16">
                <c:v>-20.502526345806164</c:v>
              </c:pt>
              <c:pt idx="18">
                <c:v>-16.174906736153343</c:v>
              </c:pt>
              <c:pt idx="19">
                <c:v>-16.174906736153343</c:v>
              </c:pt>
              <c:pt idx="21">
                <c:v>-11.332630851062866</c:v>
              </c:pt>
              <c:pt idx="22">
                <c:v>-11.332630851062866</c:v>
              </c:pt>
              <c:pt idx="24">
                <c:v>0</c:v>
              </c:pt>
              <c:pt idx="25">
                <c:v>0</c:v>
              </c:pt>
              <c:pt idx="27">
                <c:v>0</c:v>
              </c:pt>
              <c:pt idx="28">
                <c:v>0</c:v>
              </c:pt>
              <c:pt idx="30">
                <c:v>0</c:v>
              </c:pt>
              <c:pt idx="31">
                <c:v>0</c:v>
              </c:pt>
              <c:pt idx="33">
                <c:v>0</c:v>
              </c:pt>
              <c:pt idx="34">
                <c:v>0</c:v>
              </c:pt>
            </c:numLit>
          </c:val>
          <c:extLst>
            <c:ext xmlns:c16="http://schemas.microsoft.com/office/drawing/2014/chart" uri="{C3380CC4-5D6E-409C-BE32-E72D297353CC}">
              <c16:uniqueId val="{00000002-107C-48B4-9370-B41112A9257A}"/>
            </c:ext>
          </c:extLst>
        </c:ser>
        <c:ser>
          <c:idx val="0"/>
          <c:order val="3"/>
          <c:tx>
            <c:v>West HAV - HSY</c:v>
          </c:tx>
          <c:spPr>
            <a:solidFill>
              <a:schemeClr val="accent1"/>
            </a:solidFill>
            <a:ln>
              <a:noFill/>
            </a:ln>
            <a:effectLst/>
          </c:spPr>
          <c:invertIfNegative val="0"/>
          <c:cat>
            <c:strLit>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Lit>
          </c:cat>
          <c:val>
            <c:numLit>
              <c:formatCode>General</c:formatCode>
              <c:ptCount val="35"/>
              <c:pt idx="0">
                <c:v>252.02553763440861</c:v>
              </c:pt>
              <c:pt idx="1">
                <c:v>56.0255376344086</c:v>
              </c:pt>
              <c:pt idx="3">
                <c:v>208.16522988505747</c:v>
              </c:pt>
              <c:pt idx="4">
                <c:v>110.16522988505747</c:v>
              </c:pt>
              <c:pt idx="6">
                <c:v>406.43548387096774</c:v>
              </c:pt>
              <c:pt idx="7">
                <c:v>112.43548387096774</c:v>
              </c:pt>
              <c:pt idx="9">
                <c:v>406.22500000000002</c:v>
              </c:pt>
              <c:pt idx="10">
                <c:v>112.22500000000001</c:v>
              </c:pt>
              <c:pt idx="12">
                <c:v>403.57123655913978</c:v>
              </c:pt>
              <c:pt idx="13">
                <c:v>109.57123655913979</c:v>
              </c:pt>
              <c:pt idx="15">
                <c:v>191.24027777777778</c:v>
              </c:pt>
              <c:pt idx="16">
                <c:v>44.240277777777777</c:v>
              </c:pt>
              <c:pt idx="18">
                <c:v>190.91801075268819</c:v>
              </c:pt>
              <c:pt idx="19">
                <c:v>43.918010752688176</c:v>
              </c:pt>
              <c:pt idx="21">
                <c:v>191.06720430107526</c:v>
              </c:pt>
              <c:pt idx="22">
                <c:v>44.067204301075265</c:v>
              </c:pt>
              <c:pt idx="24">
                <c:v>341.69861111111106</c:v>
              </c:pt>
              <c:pt idx="25">
                <c:v>96.698611111111092</c:v>
              </c:pt>
              <c:pt idx="27">
                <c:v>335.60618279569894</c:v>
              </c:pt>
              <c:pt idx="28">
                <c:v>90.606182795698928</c:v>
              </c:pt>
              <c:pt idx="30">
                <c:v>323.83055555555558</c:v>
              </c:pt>
              <c:pt idx="31">
                <c:v>78.830555555555563</c:v>
              </c:pt>
              <c:pt idx="33">
                <c:v>322.4986559139785</c:v>
              </c:pt>
              <c:pt idx="34">
                <c:v>77.498655913978496</c:v>
              </c:pt>
            </c:numLit>
          </c:val>
          <c:extLst>
            <c:ext xmlns:c16="http://schemas.microsoft.com/office/drawing/2014/chart" uri="{C3380CC4-5D6E-409C-BE32-E72D297353CC}">
              <c16:uniqueId val="{00000003-107C-48B4-9370-B41112A9257A}"/>
            </c:ext>
          </c:extLst>
        </c:ser>
        <c:dLbls>
          <c:showLegendKey val="0"/>
          <c:showVal val="0"/>
          <c:showCatName val="0"/>
          <c:showSerName val="0"/>
          <c:showPercent val="0"/>
          <c:showBubbleSize val="0"/>
        </c:dLbls>
        <c:gapWidth val="30"/>
        <c:overlap val="100"/>
        <c:axId val="323165480"/>
        <c:axId val="323166264"/>
      </c:barChart>
      <c:catAx>
        <c:axId val="3231654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6264"/>
        <c:crosses val="autoZero"/>
        <c:auto val="1"/>
        <c:lblAlgn val="ctr"/>
        <c:lblOffset val="100"/>
        <c:noMultiLvlLbl val="0"/>
      </c:catAx>
      <c:valAx>
        <c:axId val="323166264"/>
        <c:scaling>
          <c:orientation val="minMax"/>
          <c:max val="500"/>
          <c:min val="-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5480"/>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Power Schedule On-Peak v Off-Peak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7678258967629041E-2"/>
          <c:y val="0.10866006311870478"/>
          <c:w val="0.88454396325459317"/>
          <c:h val="0.65336779221745989"/>
        </c:manualLayout>
      </c:layout>
      <c:barChart>
        <c:barDir val="col"/>
        <c:grouping val="stacked"/>
        <c:varyColors val="0"/>
        <c:ser>
          <c:idx val="3"/>
          <c:order val="0"/>
          <c:tx>
            <c:strRef>
              <c:f>'2020 AOP'!$AI$1114</c:f>
              <c:strCache>
                <c:ptCount val="1"/>
                <c:pt idx="0">
                  <c:v>61 </c:v>
                </c:pt>
              </c:strCache>
            </c:strRef>
          </c:tx>
          <c:spPr>
            <a:solidFill>
              <a:schemeClr val="accent4"/>
            </a:solidFill>
            <a:ln>
              <a:noFill/>
            </a:ln>
            <a:effectLst/>
          </c:spPr>
          <c:invertIfNegative val="0"/>
          <c:cat>
            <c:strRef>
              <c:f>'2020 AOP'!$AE$1115:$AE$1149</c:f>
              <c:strCache>
                <c:ptCount val="23"/>
                <c:pt idx="0">
                  <c:v>On Peak</c:v>
                </c:pt>
                <c:pt idx="1">
                  <c:v> </c:v>
                </c:pt>
                <c:pt idx="2">
                  <c:v>Off Peak</c:v>
                </c:pt>
                <c:pt idx="3">
                  <c:v>On Peak</c:v>
                </c:pt>
                <c:pt idx="4">
                  <c:v> </c:v>
                </c:pt>
                <c:pt idx="5">
                  <c:v>Off Peak</c:v>
                </c:pt>
                <c:pt idx="6">
                  <c:v>On Peak</c:v>
                </c:pt>
                <c:pt idx="7">
                  <c:v> </c:v>
                </c:pt>
                <c:pt idx="8">
                  <c:v>Off Peak</c:v>
                </c:pt>
                <c:pt idx="9">
                  <c:v>On Peak</c:v>
                </c:pt>
                <c:pt idx="10">
                  <c:v> </c:v>
                </c:pt>
                <c:pt idx="11">
                  <c:v>Off Peak</c:v>
                </c:pt>
                <c:pt idx="12">
                  <c:v>On Peak</c:v>
                </c:pt>
                <c:pt idx="13">
                  <c:v> </c:v>
                </c:pt>
                <c:pt idx="14">
                  <c:v>Off Peak</c:v>
                </c:pt>
                <c:pt idx="15">
                  <c:v>On Peak</c:v>
                </c:pt>
                <c:pt idx="16">
                  <c:v> </c:v>
                </c:pt>
                <c:pt idx="17">
                  <c:v>Off Peak</c:v>
                </c:pt>
                <c:pt idx="18">
                  <c:v>On Peak</c:v>
                </c:pt>
                <c:pt idx="19">
                  <c:v> </c:v>
                </c:pt>
                <c:pt idx="20">
                  <c:v>Off Peak</c:v>
                </c:pt>
                <c:pt idx="21">
                  <c:v>On Peak</c:v>
                </c:pt>
                <c:pt idx="22">
                  <c:v> </c:v>
                </c:pt>
              </c:strCache>
            </c:strRef>
          </c:cat>
          <c:val>
            <c:numRef>
              <c:f>'2020 AOP'!$AI$1115:$AI$1149</c:f>
              <c:numCache>
                <c:formatCode>#,##0_);\(#,##0\)</c:formatCode>
                <c:ptCount val="35"/>
                <c:pt idx="0">
                  <c:v>61.1989247311828</c:v>
                </c:pt>
                <c:pt idx="2">
                  <c:v>69.459722222222226</c:v>
                </c:pt>
                <c:pt idx="3">
                  <c:v>69.459722222222226</c:v>
                </c:pt>
                <c:pt idx="5">
                  <c:v>61.146505376344088</c:v>
                </c:pt>
                <c:pt idx="6">
                  <c:v>61.146505376344088</c:v>
                </c:pt>
                <c:pt idx="8">
                  <c:v>64.685483870967744</c:v>
                </c:pt>
                <c:pt idx="9">
                  <c:v>64.685483870967744</c:v>
                </c:pt>
                <c:pt idx="11">
                  <c:v>52.206944444444446</c:v>
                </c:pt>
                <c:pt idx="12">
                  <c:v>52.206944444444446</c:v>
                </c:pt>
                <c:pt idx="14">
                  <c:v>32.880376344086017</c:v>
                </c:pt>
                <c:pt idx="15">
                  <c:v>32.880376344086017</c:v>
                </c:pt>
                <c:pt idx="17">
                  <c:v>15.354166666666668</c:v>
                </c:pt>
                <c:pt idx="18">
                  <c:v>15.354166666666668</c:v>
                </c:pt>
                <c:pt idx="20">
                  <c:v>9.638440860215054</c:v>
                </c:pt>
                <c:pt idx="21">
                  <c:v>9.638440860215054</c:v>
                </c:pt>
              </c:numCache>
            </c:numRef>
          </c:val>
          <c:extLst>
            <c:ext xmlns:c16="http://schemas.microsoft.com/office/drawing/2014/chart" uri="{C3380CC4-5D6E-409C-BE32-E72D297353CC}">
              <c16:uniqueId val="{00000000-5C3B-4A82-8DB8-1DB5BAF9B37F}"/>
            </c:ext>
          </c:extLst>
        </c:ser>
        <c:ser>
          <c:idx val="1"/>
          <c:order val="1"/>
          <c:tx>
            <c:strRef>
              <c:f>'2020 AOP'!$AG$1114</c:f>
              <c:strCache>
                <c:ptCount val="1"/>
                <c:pt idx="0">
                  <c:v>0 </c:v>
                </c:pt>
              </c:strCache>
            </c:strRef>
          </c:tx>
          <c:spPr>
            <a:solidFill>
              <a:schemeClr val="accent2"/>
            </a:solidFill>
            <a:ln>
              <a:noFill/>
            </a:ln>
            <a:effectLst/>
          </c:spPr>
          <c:invertIfNegative val="0"/>
          <c:cat>
            <c:strRef>
              <c:f>'2020 AOP'!$AE$1115:$AE$1149</c:f>
              <c:strCache>
                <c:ptCount val="23"/>
                <c:pt idx="0">
                  <c:v>On Peak</c:v>
                </c:pt>
                <c:pt idx="1">
                  <c:v> </c:v>
                </c:pt>
                <c:pt idx="2">
                  <c:v>Off Peak</c:v>
                </c:pt>
                <c:pt idx="3">
                  <c:v>On Peak</c:v>
                </c:pt>
                <c:pt idx="4">
                  <c:v> </c:v>
                </c:pt>
                <c:pt idx="5">
                  <c:v>Off Peak</c:v>
                </c:pt>
                <c:pt idx="6">
                  <c:v>On Peak</c:v>
                </c:pt>
                <c:pt idx="7">
                  <c:v> </c:v>
                </c:pt>
                <c:pt idx="8">
                  <c:v>Off Peak</c:v>
                </c:pt>
                <c:pt idx="9">
                  <c:v>On Peak</c:v>
                </c:pt>
                <c:pt idx="10">
                  <c:v> </c:v>
                </c:pt>
                <c:pt idx="11">
                  <c:v>Off Peak</c:v>
                </c:pt>
                <c:pt idx="12">
                  <c:v>On Peak</c:v>
                </c:pt>
                <c:pt idx="13">
                  <c:v> </c:v>
                </c:pt>
                <c:pt idx="14">
                  <c:v>Off Peak</c:v>
                </c:pt>
                <c:pt idx="15">
                  <c:v>On Peak</c:v>
                </c:pt>
                <c:pt idx="16">
                  <c:v> </c:v>
                </c:pt>
                <c:pt idx="17">
                  <c:v>Off Peak</c:v>
                </c:pt>
                <c:pt idx="18">
                  <c:v>On Peak</c:v>
                </c:pt>
                <c:pt idx="19">
                  <c:v> </c:v>
                </c:pt>
                <c:pt idx="20">
                  <c:v>Off Peak</c:v>
                </c:pt>
                <c:pt idx="21">
                  <c:v>On Peak</c:v>
                </c:pt>
                <c:pt idx="22">
                  <c:v> </c:v>
                </c:pt>
              </c:strCache>
            </c:strRef>
          </c:cat>
          <c:val>
            <c:numRef>
              <c:f>'2020 AOP'!$AG$1115:$AG$1149</c:f>
              <c:numCache>
                <c:formatCode>#,##0_);\(#,##0\)</c:formatCode>
                <c:ptCount val="35"/>
                <c:pt idx="0">
                  <c:v>0</c:v>
                </c:pt>
                <c:pt idx="2">
                  <c:v>0</c:v>
                </c:pt>
                <c:pt idx="3">
                  <c:v>0</c:v>
                </c:pt>
                <c:pt idx="5">
                  <c:v>0</c:v>
                </c:pt>
                <c:pt idx="6">
                  <c:v>0</c:v>
                </c:pt>
                <c:pt idx="8">
                  <c:v>0</c:v>
                </c:pt>
                <c:pt idx="9">
                  <c:v>0</c:v>
                </c:pt>
                <c:pt idx="11">
                  <c:v>4.2424231371518255</c:v>
                </c:pt>
                <c:pt idx="12">
                  <c:v>4.2424231371518255</c:v>
                </c:pt>
                <c:pt idx="14">
                  <c:v>17.666190457586705</c:v>
                </c:pt>
                <c:pt idx="15">
                  <c:v>17.666190457586705</c:v>
                </c:pt>
                <c:pt idx="17">
                  <c:v>25.845151183632002</c:v>
                </c:pt>
                <c:pt idx="18">
                  <c:v>25.845151183632002</c:v>
                </c:pt>
                <c:pt idx="20">
                  <c:v>14.978922119482251</c:v>
                </c:pt>
                <c:pt idx="21">
                  <c:v>14.978922119482251</c:v>
                </c:pt>
              </c:numCache>
            </c:numRef>
          </c:val>
          <c:extLst>
            <c:ext xmlns:c16="http://schemas.microsoft.com/office/drawing/2014/chart" uri="{C3380CC4-5D6E-409C-BE32-E72D297353CC}">
              <c16:uniqueId val="{00000001-5C3B-4A82-8DB8-1DB5BAF9B37F}"/>
            </c:ext>
          </c:extLst>
        </c:ser>
        <c:ser>
          <c:idx val="2"/>
          <c:order val="2"/>
          <c:tx>
            <c:strRef>
              <c:f>'2020 AOP'!$AH$1114</c:f>
              <c:strCache>
                <c:ptCount val="1"/>
                <c:pt idx="0">
                  <c:v>(2)</c:v>
                </c:pt>
              </c:strCache>
            </c:strRef>
          </c:tx>
          <c:spPr>
            <a:solidFill>
              <a:schemeClr val="accent3"/>
            </a:solidFill>
            <a:ln>
              <a:noFill/>
            </a:ln>
            <a:effectLst/>
          </c:spPr>
          <c:invertIfNegative val="0"/>
          <c:cat>
            <c:strRef>
              <c:f>'2020 AOP'!$AE$1115:$AE$1149</c:f>
              <c:strCache>
                <c:ptCount val="23"/>
                <c:pt idx="0">
                  <c:v>On Peak</c:v>
                </c:pt>
                <c:pt idx="1">
                  <c:v> </c:v>
                </c:pt>
                <c:pt idx="2">
                  <c:v>Off Peak</c:v>
                </c:pt>
                <c:pt idx="3">
                  <c:v>On Peak</c:v>
                </c:pt>
                <c:pt idx="4">
                  <c:v> </c:v>
                </c:pt>
                <c:pt idx="5">
                  <c:v>Off Peak</c:v>
                </c:pt>
                <c:pt idx="6">
                  <c:v>On Peak</c:v>
                </c:pt>
                <c:pt idx="7">
                  <c:v> </c:v>
                </c:pt>
                <c:pt idx="8">
                  <c:v>Off Peak</c:v>
                </c:pt>
                <c:pt idx="9">
                  <c:v>On Peak</c:v>
                </c:pt>
                <c:pt idx="10">
                  <c:v> </c:v>
                </c:pt>
                <c:pt idx="11">
                  <c:v>Off Peak</c:v>
                </c:pt>
                <c:pt idx="12">
                  <c:v>On Peak</c:v>
                </c:pt>
                <c:pt idx="13">
                  <c:v> </c:v>
                </c:pt>
                <c:pt idx="14">
                  <c:v>Off Peak</c:v>
                </c:pt>
                <c:pt idx="15">
                  <c:v>On Peak</c:v>
                </c:pt>
                <c:pt idx="16">
                  <c:v> </c:v>
                </c:pt>
                <c:pt idx="17">
                  <c:v>Off Peak</c:v>
                </c:pt>
                <c:pt idx="18">
                  <c:v>On Peak</c:v>
                </c:pt>
                <c:pt idx="19">
                  <c:v> </c:v>
                </c:pt>
                <c:pt idx="20">
                  <c:v>Off Peak</c:v>
                </c:pt>
                <c:pt idx="21">
                  <c:v>On Peak</c:v>
                </c:pt>
                <c:pt idx="22">
                  <c:v> </c:v>
                </c:pt>
              </c:strCache>
            </c:strRef>
          </c:cat>
          <c:val>
            <c:numRef>
              <c:f>'2020 AOP'!$AH$1115:$AH$1149</c:f>
              <c:numCache>
                <c:formatCode>#,##0_);\(#,##0\)</c:formatCode>
                <c:ptCount val="35"/>
                <c:pt idx="0">
                  <c:v>-2.1046819001843078</c:v>
                </c:pt>
                <c:pt idx="2">
                  <c:v>-18.594165077723279</c:v>
                </c:pt>
                <c:pt idx="3">
                  <c:v>-18.594165077723279</c:v>
                </c:pt>
                <c:pt idx="5">
                  <c:v>-18.399467687480097</c:v>
                </c:pt>
                <c:pt idx="6">
                  <c:v>-18.399467687480097</c:v>
                </c:pt>
                <c:pt idx="8">
                  <c:v>-12.877349674217996</c:v>
                </c:pt>
                <c:pt idx="9">
                  <c:v>-12.877349674217996</c:v>
                </c:pt>
                <c:pt idx="11">
                  <c:v>0</c:v>
                </c:pt>
                <c:pt idx="12">
                  <c:v>0</c:v>
                </c:pt>
                <c:pt idx="14">
                  <c:v>0</c:v>
                </c:pt>
                <c:pt idx="15">
                  <c:v>0</c:v>
                </c:pt>
                <c:pt idx="17">
                  <c:v>0</c:v>
                </c:pt>
                <c:pt idx="18">
                  <c:v>0</c:v>
                </c:pt>
                <c:pt idx="20">
                  <c:v>0</c:v>
                </c:pt>
                <c:pt idx="21">
                  <c:v>0</c:v>
                </c:pt>
              </c:numCache>
            </c:numRef>
          </c:val>
          <c:extLst>
            <c:ext xmlns:c16="http://schemas.microsoft.com/office/drawing/2014/chart" uri="{C3380CC4-5D6E-409C-BE32-E72D297353CC}">
              <c16:uniqueId val="{00000002-5C3B-4A82-8DB8-1DB5BAF9B37F}"/>
            </c:ext>
          </c:extLst>
        </c:ser>
        <c:ser>
          <c:idx val="0"/>
          <c:order val="3"/>
          <c:tx>
            <c:strRef>
              <c:f>'2020 AOP'!$AF$1114</c:f>
              <c:strCache>
                <c:ptCount val="1"/>
                <c:pt idx="0">
                  <c:v>393 </c:v>
                </c:pt>
              </c:strCache>
            </c:strRef>
          </c:tx>
          <c:spPr>
            <a:solidFill>
              <a:schemeClr val="accent1"/>
            </a:solidFill>
            <a:ln>
              <a:noFill/>
            </a:ln>
            <a:effectLst/>
          </c:spPr>
          <c:invertIfNegative val="0"/>
          <c:cat>
            <c:strRef>
              <c:f>'2020 AOP'!$AE$1115:$AE$1149</c:f>
              <c:strCache>
                <c:ptCount val="23"/>
                <c:pt idx="0">
                  <c:v>On Peak</c:v>
                </c:pt>
                <c:pt idx="1">
                  <c:v> </c:v>
                </c:pt>
                <c:pt idx="2">
                  <c:v>Off Peak</c:v>
                </c:pt>
                <c:pt idx="3">
                  <c:v>On Peak</c:v>
                </c:pt>
                <c:pt idx="4">
                  <c:v> </c:v>
                </c:pt>
                <c:pt idx="5">
                  <c:v>Off Peak</c:v>
                </c:pt>
                <c:pt idx="6">
                  <c:v>On Peak</c:v>
                </c:pt>
                <c:pt idx="7">
                  <c:v> </c:v>
                </c:pt>
                <c:pt idx="8">
                  <c:v>Off Peak</c:v>
                </c:pt>
                <c:pt idx="9">
                  <c:v>On Peak</c:v>
                </c:pt>
                <c:pt idx="10">
                  <c:v> </c:v>
                </c:pt>
                <c:pt idx="11">
                  <c:v>Off Peak</c:v>
                </c:pt>
                <c:pt idx="12">
                  <c:v>On Peak</c:v>
                </c:pt>
                <c:pt idx="13">
                  <c:v> </c:v>
                </c:pt>
                <c:pt idx="14">
                  <c:v>Off Peak</c:v>
                </c:pt>
                <c:pt idx="15">
                  <c:v>On Peak</c:v>
                </c:pt>
                <c:pt idx="16">
                  <c:v> </c:v>
                </c:pt>
                <c:pt idx="17">
                  <c:v>Off Peak</c:v>
                </c:pt>
                <c:pt idx="18">
                  <c:v>On Peak</c:v>
                </c:pt>
                <c:pt idx="19">
                  <c:v> </c:v>
                </c:pt>
                <c:pt idx="20">
                  <c:v>Off Peak</c:v>
                </c:pt>
                <c:pt idx="21">
                  <c:v>On Peak</c:v>
                </c:pt>
                <c:pt idx="22">
                  <c:v> </c:v>
                </c:pt>
              </c:strCache>
            </c:strRef>
          </c:cat>
          <c:val>
            <c:numRef>
              <c:f>'2020 AOP'!$AF$1115:$AF$1149</c:f>
              <c:numCache>
                <c:formatCode>#,##0_);\(#,##0\)</c:formatCode>
                <c:ptCount val="35"/>
                <c:pt idx="0">
                  <c:v>99.233870967741922</c:v>
                </c:pt>
                <c:pt idx="2">
                  <c:v>207.61111111111111</c:v>
                </c:pt>
                <c:pt idx="3">
                  <c:v>60.611111111111114</c:v>
                </c:pt>
                <c:pt idx="5">
                  <c:v>177.31854838709677</c:v>
                </c:pt>
                <c:pt idx="6">
                  <c:v>30.318548387096769</c:v>
                </c:pt>
                <c:pt idx="8">
                  <c:v>177.55376344086022</c:v>
                </c:pt>
                <c:pt idx="9">
                  <c:v>30.553763440860216</c:v>
                </c:pt>
                <c:pt idx="11">
                  <c:v>328.85833333333335</c:v>
                </c:pt>
                <c:pt idx="12">
                  <c:v>83.858333333333348</c:v>
                </c:pt>
                <c:pt idx="14">
                  <c:v>347.27688172043008</c:v>
                </c:pt>
                <c:pt idx="15">
                  <c:v>102.27688172043011</c:v>
                </c:pt>
                <c:pt idx="17">
                  <c:v>347.64027777777778</c:v>
                </c:pt>
                <c:pt idx="18">
                  <c:v>102.64027777777778</c:v>
                </c:pt>
                <c:pt idx="20">
                  <c:v>306.43145161290323</c:v>
                </c:pt>
                <c:pt idx="21">
                  <c:v>61.431451612903231</c:v>
                </c:pt>
              </c:numCache>
            </c:numRef>
          </c:val>
          <c:extLst>
            <c:ext xmlns:c16="http://schemas.microsoft.com/office/drawing/2014/chart" uri="{C3380CC4-5D6E-409C-BE32-E72D297353CC}">
              <c16:uniqueId val="{00000003-5C3B-4A82-8DB8-1DB5BAF9B37F}"/>
            </c:ext>
          </c:extLst>
        </c:ser>
        <c:dLbls>
          <c:showLegendKey val="0"/>
          <c:showVal val="0"/>
          <c:showCatName val="0"/>
          <c:showSerName val="0"/>
          <c:showPercent val="0"/>
          <c:showBubbleSize val="0"/>
        </c:dLbls>
        <c:gapWidth val="30"/>
        <c:overlap val="100"/>
        <c:axId val="323165480"/>
        <c:axId val="323166264"/>
      </c:barChart>
      <c:catAx>
        <c:axId val="3231654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6264"/>
        <c:crosses val="autoZero"/>
        <c:auto val="1"/>
        <c:lblAlgn val="ctr"/>
        <c:lblOffset val="100"/>
        <c:noMultiLvlLbl val="0"/>
      </c:catAx>
      <c:valAx>
        <c:axId val="323166264"/>
        <c:scaling>
          <c:orientation val="minMax"/>
          <c:max val="500"/>
          <c:min val="-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5480"/>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Power Schedule On-Peak v Off-Peak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7678258967629041E-2"/>
          <c:y val="0.10866006311870478"/>
          <c:w val="0.88454396325459317"/>
          <c:h val="0.65336779221745989"/>
        </c:manualLayout>
      </c:layout>
      <c:barChart>
        <c:barDir val="col"/>
        <c:grouping val="stacked"/>
        <c:varyColors val="0"/>
        <c:ser>
          <c:idx val="3"/>
          <c:order val="0"/>
          <c:tx>
            <c:v>South w/SGL</c:v>
          </c:tx>
          <c:spPr>
            <a:solidFill>
              <a:schemeClr val="accent4"/>
            </a:solidFill>
            <a:ln>
              <a:noFill/>
            </a:ln>
            <a:effectLst/>
          </c:spPr>
          <c:invertIfNegative val="0"/>
          <c:cat>
            <c:strLit>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Lit>
          </c:cat>
          <c:val>
            <c:numLit>
              <c:formatCode>General</c:formatCode>
              <c:ptCount val="35"/>
              <c:pt idx="0">
                <c:v>37.887096774193559</c:v>
              </c:pt>
              <c:pt idx="1">
                <c:v>37.887096774193559</c:v>
              </c:pt>
              <c:pt idx="3">
                <c:v>47.678160919540225</c:v>
              </c:pt>
              <c:pt idx="4">
                <c:v>47.678160919540225</c:v>
              </c:pt>
              <c:pt idx="6">
                <c:v>55.387096774193544</c:v>
              </c:pt>
              <c:pt idx="7">
                <c:v>55.387096774193544</c:v>
              </c:pt>
              <c:pt idx="9">
                <c:v>63.465277777777771</c:v>
              </c:pt>
              <c:pt idx="10">
                <c:v>63.465277777777771</c:v>
              </c:pt>
              <c:pt idx="12">
                <c:v>64.745967741935488</c:v>
              </c:pt>
              <c:pt idx="13">
                <c:v>64.745967741935488</c:v>
              </c:pt>
              <c:pt idx="15">
                <c:v>66.411111111111111</c:v>
              </c:pt>
              <c:pt idx="16">
                <c:v>66.411111111111111</c:v>
              </c:pt>
              <c:pt idx="18">
                <c:v>66.129032258064512</c:v>
              </c:pt>
              <c:pt idx="19">
                <c:v>66.129032258064512</c:v>
              </c:pt>
              <c:pt idx="21">
                <c:v>61.61021505376344</c:v>
              </c:pt>
              <c:pt idx="22">
                <c:v>61.61021505376344</c:v>
              </c:pt>
              <c:pt idx="24">
                <c:v>55.479166666666657</c:v>
              </c:pt>
              <c:pt idx="25">
                <c:v>55.479166666666657</c:v>
              </c:pt>
              <c:pt idx="27">
                <c:v>40.768817204301072</c:v>
              </c:pt>
              <c:pt idx="28">
                <c:v>40.768817204301072</c:v>
              </c:pt>
              <c:pt idx="30">
                <c:v>9.5166666666666675</c:v>
              </c:pt>
              <c:pt idx="31">
                <c:v>9.5166666666666675</c:v>
              </c:pt>
              <c:pt idx="33">
                <c:v>20.709677419354836</c:v>
              </c:pt>
              <c:pt idx="34">
                <c:v>20.709677419354836</c:v>
              </c:pt>
            </c:numLit>
          </c:val>
          <c:extLst>
            <c:ext xmlns:c16="http://schemas.microsoft.com/office/drawing/2014/chart" uri="{C3380CC4-5D6E-409C-BE32-E72D297353CC}">
              <c16:uniqueId val="{00000000-2A49-4350-8895-870677064168}"/>
            </c:ext>
          </c:extLst>
        </c:ser>
        <c:ser>
          <c:idx val="1"/>
          <c:order val="1"/>
          <c:tx>
            <c:v>WAD -PMP</c:v>
          </c:tx>
          <c:spPr>
            <a:solidFill>
              <a:schemeClr val="accent2"/>
            </a:solidFill>
            <a:ln>
              <a:noFill/>
            </a:ln>
            <a:effectLst/>
          </c:spPr>
          <c:invertIfNegative val="0"/>
          <c:cat>
            <c:strLit>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Lit>
          </c:cat>
          <c:val>
            <c:numLit>
              <c:formatCode>General</c:formatCode>
              <c:ptCount val="35"/>
              <c:pt idx="0">
                <c:v>14.264355415601463</c:v>
              </c:pt>
              <c:pt idx="1">
                <c:v>14.264355415601463</c:v>
              </c:pt>
              <c:pt idx="3">
                <c:v>23.716310568347794</c:v>
              </c:pt>
              <c:pt idx="4">
                <c:v>23.716310568347794</c:v>
              </c:pt>
              <c:pt idx="6">
                <c:v>14.816329568181672</c:v>
              </c:pt>
              <c:pt idx="7">
                <c:v>14.816329568181672</c:v>
              </c:pt>
              <c:pt idx="9">
                <c:v>1.2010591539095501</c:v>
              </c:pt>
              <c:pt idx="10">
                <c:v>1.2010591539095501</c:v>
              </c:pt>
              <c:pt idx="12">
                <c:v>0</c:v>
              </c:pt>
              <c:pt idx="13">
                <c:v>0</c:v>
              </c:pt>
              <c:pt idx="15">
                <c:v>0</c:v>
              </c:pt>
              <c:pt idx="16">
                <c:v>0</c:v>
              </c:pt>
              <c:pt idx="18">
                <c:v>0</c:v>
              </c:pt>
              <c:pt idx="19">
                <c:v>0</c:v>
              </c:pt>
              <c:pt idx="21">
                <c:v>0</c:v>
              </c:pt>
              <c:pt idx="22">
                <c:v>0</c:v>
              </c:pt>
              <c:pt idx="24">
                <c:v>2.9117163568879949</c:v>
              </c:pt>
              <c:pt idx="25">
                <c:v>2.9117163568879949</c:v>
              </c:pt>
              <c:pt idx="27">
                <c:v>9.5581881151136141</c:v>
              </c:pt>
              <c:pt idx="28">
                <c:v>9.5581881151136141</c:v>
              </c:pt>
              <c:pt idx="30">
                <c:v>20.943760618939489</c:v>
              </c:pt>
              <c:pt idx="31">
                <c:v>20.943760618939489</c:v>
              </c:pt>
              <c:pt idx="33">
                <c:v>19.517514937787887</c:v>
              </c:pt>
              <c:pt idx="34">
                <c:v>19.517514937787887</c:v>
              </c:pt>
            </c:numLit>
          </c:val>
          <c:extLst>
            <c:ext xmlns:c16="http://schemas.microsoft.com/office/drawing/2014/chart" uri="{C3380CC4-5D6E-409C-BE32-E72D297353CC}">
              <c16:uniqueId val="{00000001-2A49-4350-8895-870677064168}"/>
            </c:ext>
          </c:extLst>
        </c:ser>
        <c:ser>
          <c:idx val="2"/>
          <c:order val="2"/>
          <c:tx>
            <c:v>WAD - GEN</c:v>
          </c:tx>
          <c:spPr>
            <a:solidFill>
              <a:schemeClr val="accent3"/>
            </a:solidFill>
            <a:ln>
              <a:noFill/>
            </a:ln>
            <a:effectLst/>
          </c:spPr>
          <c:invertIfNegative val="0"/>
          <c:cat>
            <c:strLit>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Lit>
          </c:cat>
          <c:val>
            <c:numLit>
              <c:formatCode>General</c:formatCode>
              <c:ptCount val="35"/>
              <c:pt idx="0">
                <c:v>-5.8004408859118906</c:v>
              </c:pt>
              <c:pt idx="1">
                <c:v>-5.8004408859118906</c:v>
              </c:pt>
              <c:pt idx="3">
                <c:v>0</c:v>
              </c:pt>
              <c:pt idx="4">
                <c:v>0</c:v>
              </c:pt>
              <c:pt idx="6">
                <c:v>0</c:v>
              </c:pt>
              <c:pt idx="7">
                <c:v>0</c:v>
              </c:pt>
              <c:pt idx="9">
                <c:v>0</c:v>
              </c:pt>
              <c:pt idx="10">
                <c:v>0</c:v>
              </c:pt>
              <c:pt idx="12">
                <c:v>-1.2205511799333035</c:v>
              </c:pt>
              <c:pt idx="13">
                <c:v>-1.2205511799333035</c:v>
              </c:pt>
              <c:pt idx="15">
                <c:v>-20.502526345806164</c:v>
              </c:pt>
              <c:pt idx="16">
                <c:v>-20.502526345806164</c:v>
              </c:pt>
              <c:pt idx="18">
                <c:v>-16.174906736153343</c:v>
              </c:pt>
              <c:pt idx="19">
                <c:v>-16.174906736153343</c:v>
              </c:pt>
              <c:pt idx="21">
                <c:v>-11.332630851062866</c:v>
              </c:pt>
              <c:pt idx="22">
                <c:v>-11.332630851062866</c:v>
              </c:pt>
              <c:pt idx="24">
                <c:v>0</c:v>
              </c:pt>
              <c:pt idx="25">
                <c:v>0</c:v>
              </c:pt>
              <c:pt idx="27">
                <c:v>0</c:v>
              </c:pt>
              <c:pt idx="28">
                <c:v>0</c:v>
              </c:pt>
              <c:pt idx="30">
                <c:v>0</c:v>
              </c:pt>
              <c:pt idx="31">
                <c:v>0</c:v>
              </c:pt>
              <c:pt idx="33">
                <c:v>0</c:v>
              </c:pt>
              <c:pt idx="34">
                <c:v>0</c:v>
              </c:pt>
            </c:numLit>
          </c:val>
          <c:extLst>
            <c:ext xmlns:c16="http://schemas.microsoft.com/office/drawing/2014/chart" uri="{C3380CC4-5D6E-409C-BE32-E72D297353CC}">
              <c16:uniqueId val="{00000002-2A49-4350-8895-870677064168}"/>
            </c:ext>
          </c:extLst>
        </c:ser>
        <c:ser>
          <c:idx val="0"/>
          <c:order val="3"/>
          <c:tx>
            <c:v>West HAV - HSY</c:v>
          </c:tx>
          <c:spPr>
            <a:solidFill>
              <a:schemeClr val="accent1"/>
            </a:solidFill>
            <a:ln>
              <a:noFill/>
            </a:ln>
            <a:effectLst/>
          </c:spPr>
          <c:invertIfNegative val="0"/>
          <c:cat>
            <c:strLit>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Lit>
          </c:cat>
          <c:val>
            <c:numLit>
              <c:formatCode>General</c:formatCode>
              <c:ptCount val="35"/>
              <c:pt idx="0">
                <c:v>252.02553763440861</c:v>
              </c:pt>
              <c:pt idx="1">
                <c:v>56.0255376344086</c:v>
              </c:pt>
              <c:pt idx="3">
                <c:v>208.16522988505747</c:v>
              </c:pt>
              <c:pt idx="4">
                <c:v>110.16522988505747</c:v>
              </c:pt>
              <c:pt idx="6">
                <c:v>406.43548387096774</c:v>
              </c:pt>
              <c:pt idx="7">
                <c:v>112.43548387096774</c:v>
              </c:pt>
              <c:pt idx="9">
                <c:v>406.22500000000002</c:v>
              </c:pt>
              <c:pt idx="10">
                <c:v>112.22500000000001</c:v>
              </c:pt>
              <c:pt idx="12">
                <c:v>403.57123655913978</c:v>
              </c:pt>
              <c:pt idx="13">
                <c:v>109.57123655913979</c:v>
              </c:pt>
              <c:pt idx="15">
                <c:v>191.24027777777778</c:v>
              </c:pt>
              <c:pt idx="16">
                <c:v>44.240277777777777</c:v>
              </c:pt>
              <c:pt idx="18">
                <c:v>190.91801075268819</c:v>
              </c:pt>
              <c:pt idx="19">
                <c:v>43.918010752688176</c:v>
              </c:pt>
              <c:pt idx="21">
                <c:v>191.06720430107526</c:v>
              </c:pt>
              <c:pt idx="22">
                <c:v>44.067204301075265</c:v>
              </c:pt>
              <c:pt idx="24">
                <c:v>341.69861111111106</c:v>
              </c:pt>
              <c:pt idx="25">
                <c:v>96.698611111111092</c:v>
              </c:pt>
              <c:pt idx="27">
                <c:v>335.60618279569894</c:v>
              </c:pt>
              <c:pt idx="28">
                <c:v>90.606182795698928</c:v>
              </c:pt>
              <c:pt idx="30">
                <c:v>323.83055555555558</c:v>
              </c:pt>
              <c:pt idx="31">
                <c:v>78.830555555555563</c:v>
              </c:pt>
              <c:pt idx="33">
                <c:v>322.4986559139785</c:v>
              </c:pt>
              <c:pt idx="34">
                <c:v>77.498655913978496</c:v>
              </c:pt>
            </c:numLit>
          </c:val>
          <c:extLst>
            <c:ext xmlns:c16="http://schemas.microsoft.com/office/drawing/2014/chart" uri="{C3380CC4-5D6E-409C-BE32-E72D297353CC}">
              <c16:uniqueId val="{00000003-2A49-4350-8895-870677064168}"/>
            </c:ext>
          </c:extLst>
        </c:ser>
        <c:dLbls>
          <c:showLegendKey val="0"/>
          <c:showVal val="0"/>
          <c:showCatName val="0"/>
          <c:showSerName val="0"/>
          <c:showPercent val="0"/>
          <c:showBubbleSize val="0"/>
        </c:dLbls>
        <c:gapWidth val="30"/>
        <c:overlap val="100"/>
        <c:axId val="323165480"/>
        <c:axId val="323166264"/>
      </c:barChart>
      <c:catAx>
        <c:axId val="3231654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6264"/>
        <c:crosses val="autoZero"/>
        <c:auto val="1"/>
        <c:lblAlgn val="ctr"/>
        <c:lblOffset val="100"/>
        <c:noMultiLvlLbl val="0"/>
      </c:catAx>
      <c:valAx>
        <c:axId val="323166264"/>
        <c:scaling>
          <c:orientation val="minMax"/>
          <c:max val="500"/>
          <c:min val="-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5480"/>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Power Schedule On-Peak v Off-Peak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7678258967629041E-2"/>
          <c:y val="0.10866006311870478"/>
          <c:w val="0.88454396325459317"/>
          <c:h val="0.65336779221745989"/>
        </c:manualLayout>
      </c:layout>
      <c:barChart>
        <c:barDir val="col"/>
        <c:grouping val="stacked"/>
        <c:varyColors val="0"/>
        <c:ser>
          <c:idx val="3"/>
          <c:order val="0"/>
          <c:tx>
            <c:strRef>
              <c:f>'2021 AOP'!$AI$1124</c:f>
              <c:strCache>
                <c:ptCount val="1"/>
                <c:pt idx="0">
                  <c:v>70 </c:v>
                </c:pt>
              </c:strCache>
            </c:strRef>
          </c:tx>
          <c:spPr>
            <a:solidFill>
              <a:schemeClr val="accent4"/>
            </a:solidFill>
            <a:ln>
              <a:noFill/>
            </a:ln>
            <a:effectLst/>
          </c:spPr>
          <c:invertIfNegative val="0"/>
          <c:cat>
            <c:strRef>
              <c:f>'2021 AOP'!$AE$1125:$AE$1159</c:f>
              <c:strCache>
                <c:ptCount val="23"/>
                <c:pt idx="0">
                  <c:v>On Peak</c:v>
                </c:pt>
                <c:pt idx="1">
                  <c:v> </c:v>
                </c:pt>
                <c:pt idx="2">
                  <c:v>Off Peak</c:v>
                </c:pt>
                <c:pt idx="3">
                  <c:v>On Peak</c:v>
                </c:pt>
                <c:pt idx="4">
                  <c:v> </c:v>
                </c:pt>
                <c:pt idx="5">
                  <c:v>Off Peak</c:v>
                </c:pt>
                <c:pt idx="6">
                  <c:v>On Peak</c:v>
                </c:pt>
                <c:pt idx="7">
                  <c:v> </c:v>
                </c:pt>
                <c:pt idx="8">
                  <c:v>Off Peak</c:v>
                </c:pt>
                <c:pt idx="9">
                  <c:v>On Peak</c:v>
                </c:pt>
                <c:pt idx="10">
                  <c:v> </c:v>
                </c:pt>
                <c:pt idx="11">
                  <c:v>Off Peak</c:v>
                </c:pt>
                <c:pt idx="12">
                  <c:v>On Peak</c:v>
                </c:pt>
                <c:pt idx="13">
                  <c:v> </c:v>
                </c:pt>
                <c:pt idx="14">
                  <c:v>Off Peak</c:v>
                </c:pt>
                <c:pt idx="15">
                  <c:v>On Peak</c:v>
                </c:pt>
                <c:pt idx="16">
                  <c:v> </c:v>
                </c:pt>
                <c:pt idx="17">
                  <c:v>Off Peak</c:v>
                </c:pt>
                <c:pt idx="18">
                  <c:v>On Peak</c:v>
                </c:pt>
                <c:pt idx="19">
                  <c:v> </c:v>
                </c:pt>
                <c:pt idx="20">
                  <c:v>Off Peak</c:v>
                </c:pt>
                <c:pt idx="21">
                  <c:v>On Peak</c:v>
                </c:pt>
                <c:pt idx="22">
                  <c:v> </c:v>
                </c:pt>
              </c:strCache>
            </c:strRef>
          </c:cat>
          <c:val>
            <c:numRef>
              <c:f>'2021 AOP'!$AI$1125:$AI$1159</c:f>
              <c:numCache>
                <c:formatCode>#,##0_);\(#,##0\)</c:formatCode>
                <c:ptCount val="35"/>
                <c:pt idx="0">
                  <c:v>69.762096774193552</c:v>
                </c:pt>
                <c:pt idx="2">
                  <c:v>73.783333333333331</c:v>
                </c:pt>
                <c:pt idx="3">
                  <c:v>73.783333333333331</c:v>
                </c:pt>
                <c:pt idx="5">
                  <c:v>70.943548387096769</c:v>
                </c:pt>
                <c:pt idx="6">
                  <c:v>70.943548387096769</c:v>
                </c:pt>
                <c:pt idx="8">
                  <c:v>63.202956989247319</c:v>
                </c:pt>
                <c:pt idx="9">
                  <c:v>63.202956989247319</c:v>
                </c:pt>
                <c:pt idx="11">
                  <c:v>51.676388888888887</c:v>
                </c:pt>
                <c:pt idx="12">
                  <c:v>51.676388888888887</c:v>
                </c:pt>
                <c:pt idx="14">
                  <c:v>25.263440860215056</c:v>
                </c:pt>
                <c:pt idx="15">
                  <c:v>25.263440860215056</c:v>
                </c:pt>
                <c:pt idx="17">
                  <c:v>10.841666666666667</c:v>
                </c:pt>
                <c:pt idx="18">
                  <c:v>10.841666666666667</c:v>
                </c:pt>
                <c:pt idx="20">
                  <c:v>23.630376344086024</c:v>
                </c:pt>
                <c:pt idx="21">
                  <c:v>23.630376344086024</c:v>
                </c:pt>
              </c:numCache>
            </c:numRef>
          </c:val>
          <c:extLst>
            <c:ext xmlns:c16="http://schemas.microsoft.com/office/drawing/2014/chart" uri="{C3380CC4-5D6E-409C-BE32-E72D297353CC}">
              <c16:uniqueId val="{00000000-123F-4911-B1E5-EC9D98E0C73B}"/>
            </c:ext>
          </c:extLst>
        </c:ser>
        <c:ser>
          <c:idx val="1"/>
          <c:order val="1"/>
          <c:tx>
            <c:strRef>
              <c:f>'2021 AOP'!$AG$1124</c:f>
              <c:strCache>
                <c:ptCount val="1"/>
                <c:pt idx="0">
                  <c:v>0 </c:v>
                </c:pt>
              </c:strCache>
            </c:strRef>
          </c:tx>
          <c:spPr>
            <a:solidFill>
              <a:schemeClr val="accent2"/>
            </a:solidFill>
            <a:ln>
              <a:noFill/>
            </a:ln>
            <a:effectLst/>
          </c:spPr>
          <c:invertIfNegative val="0"/>
          <c:cat>
            <c:strRef>
              <c:f>'2021 AOP'!$AE$1125:$AE$1159</c:f>
              <c:strCache>
                <c:ptCount val="23"/>
                <c:pt idx="0">
                  <c:v>On Peak</c:v>
                </c:pt>
                <c:pt idx="1">
                  <c:v> </c:v>
                </c:pt>
                <c:pt idx="2">
                  <c:v>Off Peak</c:v>
                </c:pt>
                <c:pt idx="3">
                  <c:v>On Peak</c:v>
                </c:pt>
                <c:pt idx="4">
                  <c:v> </c:v>
                </c:pt>
                <c:pt idx="5">
                  <c:v>Off Peak</c:v>
                </c:pt>
                <c:pt idx="6">
                  <c:v>On Peak</c:v>
                </c:pt>
                <c:pt idx="7">
                  <c:v> </c:v>
                </c:pt>
                <c:pt idx="8">
                  <c:v>Off Peak</c:v>
                </c:pt>
                <c:pt idx="9">
                  <c:v>On Peak</c:v>
                </c:pt>
                <c:pt idx="10">
                  <c:v> </c:v>
                </c:pt>
                <c:pt idx="11">
                  <c:v>Off Peak</c:v>
                </c:pt>
                <c:pt idx="12">
                  <c:v>On Peak</c:v>
                </c:pt>
                <c:pt idx="13">
                  <c:v> </c:v>
                </c:pt>
                <c:pt idx="14">
                  <c:v>Off Peak</c:v>
                </c:pt>
                <c:pt idx="15">
                  <c:v>On Peak</c:v>
                </c:pt>
                <c:pt idx="16">
                  <c:v> </c:v>
                </c:pt>
                <c:pt idx="17">
                  <c:v>Off Peak</c:v>
                </c:pt>
                <c:pt idx="18">
                  <c:v>On Peak</c:v>
                </c:pt>
                <c:pt idx="19">
                  <c:v> </c:v>
                </c:pt>
                <c:pt idx="20">
                  <c:v>Off Peak</c:v>
                </c:pt>
                <c:pt idx="21">
                  <c:v>On Peak</c:v>
                </c:pt>
                <c:pt idx="22">
                  <c:v> </c:v>
                </c:pt>
              </c:strCache>
            </c:strRef>
          </c:cat>
          <c:val>
            <c:numRef>
              <c:f>'2021 AOP'!$AG$1125:$AG$1159</c:f>
              <c:numCache>
                <c:formatCode>#,##0_);\(#,##0\)</c:formatCode>
                <c:ptCount val="35"/>
                <c:pt idx="0">
                  <c:v>0</c:v>
                </c:pt>
                <c:pt idx="2">
                  <c:v>0</c:v>
                </c:pt>
                <c:pt idx="3">
                  <c:v>0</c:v>
                </c:pt>
                <c:pt idx="5">
                  <c:v>0</c:v>
                </c:pt>
                <c:pt idx="6">
                  <c:v>0</c:v>
                </c:pt>
                <c:pt idx="8">
                  <c:v>0</c:v>
                </c:pt>
                <c:pt idx="9">
                  <c:v>0</c:v>
                </c:pt>
                <c:pt idx="11">
                  <c:v>3.7402394118380697</c:v>
                </c:pt>
                <c:pt idx="12">
                  <c:v>3.7402394118380697</c:v>
                </c:pt>
                <c:pt idx="14">
                  <c:v>13.708029347336522</c:v>
                </c:pt>
                <c:pt idx="15">
                  <c:v>13.708029347336522</c:v>
                </c:pt>
                <c:pt idx="17">
                  <c:v>21.012780818711924</c:v>
                </c:pt>
                <c:pt idx="18">
                  <c:v>21.012780818711924</c:v>
                </c:pt>
                <c:pt idx="20">
                  <c:v>12.967389336067507</c:v>
                </c:pt>
                <c:pt idx="21">
                  <c:v>12.967389336067507</c:v>
                </c:pt>
              </c:numCache>
            </c:numRef>
          </c:val>
          <c:extLst>
            <c:ext xmlns:c16="http://schemas.microsoft.com/office/drawing/2014/chart" uri="{C3380CC4-5D6E-409C-BE32-E72D297353CC}">
              <c16:uniqueId val="{00000001-123F-4911-B1E5-EC9D98E0C73B}"/>
            </c:ext>
          </c:extLst>
        </c:ser>
        <c:ser>
          <c:idx val="2"/>
          <c:order val="2"/>
          <c:tx>
            <c:strRef>
              <c:f>'2021 AOP'!$AH$1124</c:f>
              <c:strCache>
                <c:ptCount val="1"/>
                <c:pt idx="0">
                  <c:v>0 </c:v>
                </c:pt>
              </c:strCache>
            </c:strRef>
          </c:tx>
          <c:spPr>
            <a:solidFill>
              <a:schemeClr val="accent3"/>
            </a:solidFill>
            <a:ln>
              <a:noFill/>
            </a:ln>
            <a:effectLst/>
          </c:spPr>
          <c:invertIfNegative val="0"/>
          <c:cat>
            <c:strRef>
              <c:f>'2021 AOP'!$AE$1125:$AE$1159</c:f>
              <c:strCache>
                <c:ptCount val="23"/>
                <c:pt idx="0">
                  <c:v>On Peak</c:v>
                </c:pt>
                <c:pt idx="1">
                  <c:v> </c:v>
                </c:pt>
                <c:pt idx="2">
                  <c:v>Off Peak</c:v>
                </c:pt>
                <c:pt idx="3">
                  <c:v>On Peak</c:v>
                </c:pt>
                <c:pt idx="4">
                  <c:v> </c:v>
                </c:pt>
                <c:pt idx="5">
                  <c:v>Off Peak</c:v>
                </c:pt>
                <c:pt idx="6">
                  <c:v>On Peak</c:v>
                </c:pt>
                <c:pt idx="7">
                  <c:v> </c:v>
                </c:pt>
                <c:pt idx="8">
                  <c:v>Off Peak</c:v>
                </c:pt>
                <c:pt idx="9">
                  <c:v>On Peak</c:v>
                </c:pt>
                <c:pt idx="10">
                  <c:v> </c:v>
                </c:pt>
                <c:pt idx="11">
                  <c:v>Off Peak</c:v>
                </c:pt>
                <c:pt idx="12">
                  <c:v>On Peak</c:v>
                </c:pt>
                <c:pt idx="13">
                  <c:v> </c:v>
                </c:pt>
                <c:pt idx="14">
                  <c:v>Off Peak</c:v>
                </c:pt>
                <c:pt idx="15">
                  <c:v>On Peak</c:v>
                </c:pt>
                <c:pt idx="16">
                  <c:v> </c:v>
                </c:pt>
                <c:pt idx="17">
                  <c:v>Off Peak</c:v>
                </c:pt>
                <c:pt idx="18">
                  <c:v>On Peak</c:v>
                </c:pt>
                <c:pt idx="19">
                  <c:v> </c:v>
                </c:pt>
                <c:pt idx="20">
                  <c:v>Off Peak</c:v>
                </c:pt>
                <c:pt idx="21">
                  <c:v>On Peak</c:v>
                </c:pt>
                <c:pt idx="22">
                  <c:v> </c:v>
                </c:pt>
              </c:strCache>
            </c:strRef>
          </c:cat>
          <c:val>
            <c:numRef>
              <c:f>'2021 AOP'!$AH$1125:$AH$1159</c:f>
              <c:numCache>
                <c:formatCode>#,##0_);\(#,##0\)</c:formatCode>
                <c:ptCount val="35"/>
                <c:pt idx="0">
                  <c:v>0</c:v>
                </c:pt>
                <c:pt idx="2">
                  <c:v>-21.96721634360711</c:v>
                </c:pt>
                <c:pt idx="3">
                  <c:v>-21.96721634360711</c:v>
                </c:pt>
                <c:pt idx="5">
                  <c:v>-19.852710780525623</c:v>
                </c:pt>
                <c:pt idx="6">
                  <c:v>-19.852710780525623</c:v>
                </c:pt>
                <c:pt idx="8">
                  <c:v>-10.87922856973494</c:v>
                </c:pt>
                <c:pt idx="9">
                  <c:v>-10.87922856973494</c:v>
                </c:pt>
                <c:pt idx="11">
                  <c:v>0</c:v>
                </c:pt>
                <c:pt idx="12">
                  <c:v>0</c:v>
                </c:pt>
                <c:pt idx="14">
                  <c:v>0</c:v>
                </c:pt>
                <c:pt idx="15">
                  <c:v>0</c:v>
                </c:pt>
                <c:pt idx="17">
                  <c:v>0</c:v>
                </c:pt>
                <c:pt idx="18">
                  <c:v>0</c:v>
                </c:pt>
                <c:pt idx="20">
                  <c:v>0</c:v>
                </c:pt>
                <c:pt idx="21">
                  <c:v>0</c:v>
                </c:pt>
              </c:numCache>
            </c:numRef>
          </c:val>
          <c:extLst>
            <c:ext xmlns:c16="http://schemas.microsoft.com/office/drawing/2014/chart" uri="{C3380CC4-5D6E-409C-BE32-E72D297353CC}">
              <c16:uniqueId val="{00000002-123F-4911-B1E5-EC9D98E0C73B}"/>
            </c:ext>
          </c:extLst>
        </c:ser>
        <c:ser>
          <c:idx val="0"/>
          <c:order val="3"/>
          <c:tx>
            <c:strRef>
              <c:f>'2021 AOP'!$AF$1124</c:f>
              <c:strCache>
                <c:ptCount val="1"/>
                <c:pt idx="0">
                  <c:v>400 </c:v>
                </c:pt>
              </c:strCache>
            </c:strRef>
          </c:tx>
          <c:spPr>
            <a:solidFill>
              <a:schemeClr val="accent1"/>
            </a:solidFill>
            <a:ln>
              <a:noFill/>
            </a:ln>
            <a:effectLst/>
          </c:spPr>
          <c:invertIfNegative val="0"/>
          <c:cat>
            <c:strRef>
              <c:f>'2021 AOP'!$AE$1125:$AE$1159</c:f>
              <c:strCache>
                <c:ptCount val="23"/>
                <c:pt idx="0">
                  <c:v>On Peak</c:v>
                </c:pt>
                <c:pt idx="1">
                  <c:v> </c:v>
                </c:pt>
                <c:pt idx="2">
                  <c:v>Off Peak</c:v>
                </c:pt>
                <c:pt idx="3">
                  <c:v>On Peak</c:v>
                </c:pt>
                <c:pt idx="4">
                  <c:v> </c:v>
                </c:pt>
                <c:pt idx="5">
                  <c:v>Off Peak</c:v>
                </c:pt>
                <c:pt idx="6">
                  <c:v>On Peak</c:v>
                </c:pt>
                <c:pt idx="7">
                  <c:v> </c:v>
                </c:pt>
                <c:pt idx="8">
                  <c:v>Off Peak</c:v>
                </c:pt>
                <c:pt idx="9">
                  <c:v>On Peak</c:v>
                </c:pt>
                <c:pt idx="10">
                  <c:v> </c:v>
                </c:pt>
                <c:pt idx="11">
                  <c:v>Off Peak</c:v>
                </c:pt>
                <c:pt idx="12">
                  <c:v>On Peak</c:v>
                </c:pt>
                <c:pt idx="13">
                  <c:v> </c:v>
                </c:pt>
                <c:pt idx="14">
                  <c:v>Off Peak</c:v>
                </c:pt>
                <c:pt idx="15">
                  <c:v>On Peak</c:v>
                </c:pt>
                <c:pt idx="16">
                  <c:v> </c:v>
                </c:pt>
                <c:pt idx="17">
                  <c:v>Off Peak</c:v>
                </c:pt>
                <c:pt idx="18">
                  <c:v>On Peak</c:v>
                </c:pt>
                <c:pt idx="19">
                  <c:v> </c:v>
                </c:pt>
                <c:pt idx="20">
                  <c:v>Off Peak</c:v>
                </c:pt>
                <c:pt idx="21">
                  <c:v>On Peak</c:v>
                </c:pt>
                <c:pt idx="22">
                  <c:v> </c:v>
                </c:pt>
              </c:strCache>
            </c:strRef>
          </c:cat>
          <c:val>
            <c:numRef>
              <c:f>'2021 AOP'!$AF$1125:$AF$1159</c:f>
              <c:numCache>
                <c:formatCode>#,##0_);\(#,##0\)</c:formatCode>
                <c:ptCount val="35"/>
                <c:pt idx="0">
                  <c:v>106.42876344086022</c:v>
                </c:pt>
                <c:pt idx="2">
                  <c:v>192.90694444444443</c:v>
                </c:pt>
                <c:pt idx="3">
                  <c:v>45.906944444444449</c:v>
                </c:pt>
                <c:pt idx="5">
                  <c:v>177.24596774193549</c:v>
                </c:pt>
                <c:pt idx="6">
                  <c:v>30.24596774193548</c:v>
                </c:pt>
                <c:pt idx="8">
                  <c:v>177.87768817204301</c:v>
                </c:pt>
                <c:pt idx="9">
                  <c:v>30.877688172043015</c:v>
                </c:pt>
                <c:pt idx="11">
                  <c:v>328.47638888888889</c:v>
                </c:pt>
                <c:pt idx="12">
                  <c:v>83.476388888888891</c:v>
                </c:pt>
                <c:pt idx="14">
                  <c:v>335.06451612903226</c:v>
                </c:pt>
                <c:pt idx="15">
                  <c:v>90.064516129032256</c:v>
                </c:pt>
                <c:pt idx="17">
                  <c:v>334.7833333333333</c:v>
                </c:pt>
                <c:pt idx="18">
                  <c:v>89.783333333333331</c:v>
                </c:pt>
                <c:pt idx="20">
                  <c:v>312.53763440860212</c:v>
                </c:pt>
                <c:pt idx="21">
                  <c:v>67.537634408602145</c:v>
                </c:pt>
              </c:numCache>
            </c:numRef>
          </c:val>
          <c:extLst>
            <c:ext xmlns:c16="http://schemas.microsoft.com/office/drawing/2014/chart" uri="{C3380CC4-5D6E-409C-BE32-E72D297353CC}">
              <c16:uniqueId val="{00000003-123F-4911-B1E5-EC9D98E0C73B}"/>
            </c:ext>
          </c:extLst>
        </c:ser>
        <c:dLbls>
          <c:showLegendKey val="0"/>
          <c:showVal val="0"/>
          <c:showCatName val="0"/>
          <c:showSerName val="0"/>
          <c:showPercent val="0"/>
          <c:showBubbleSize val="0"/>
        </c:dLbls>
        <c:gapWidth val="30"/>
        <c:overlap val="100"/>
        <c:axId val="323165480"/>
        <c:axId val="323166264"/>
      </c:barChart>
      <c:catAx>
        <c:axId val="3231654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6264"/>
        <c:crosses val="autoZero"/>
        <c:auto val="1"/>
        <c:lblAlgn val="ctr"/>
        <c:lblOffset val="100"/>
        <c:noMultiLvlLbl val="0"/>
      </c:catAx>
      <c:valAx>
        <c:axId val="323166264"/>
        <c:scaling>
          <c:orientation val="minMax"/>
          <c:max val="500"/>
          <c:min val="-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5480"/>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Power Schedule On-Peak v Off-Peak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7678258967629041E-2"/>
          <c:y val="0.10866006311870478"/>
          <c:w val="0.88454396325459317"/>
          <c:h val="0.65336779221745989"/>
        </c:manualLayout>
      </c:layout>
      <c:barChart>
        <c:barDir val="col"/>
        <c:grouping val="stacked"/>
        <c:varyColors val="0"/>
        <c:ser>
          <c:idx val="3"/>
          <c:order val="0"/>
          <c:tx>
            <c:v>South w/SGL</c:v>
          </c:tx>
          <c:spPr>
            <a:solidFill>
              <a:schemeClr val="accent4"/>
            </a:solidFill>
            <a:ln>
              <a:noFill/>
            </a:ln>
            <a:effectLst/>
          </c:spPr>
          <c:invertIfNegative val="0"/>
          <c:cat>
            <c:strLit>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Lit>
          </c:cat>
          <c:val>
            <c:numLit>
              <c:formatCode>General</c:formatCode>
              <c:ptCount val="35"/>
              <c:pt idx="0">
                <c:v>37.887096774193559</c:v>
              </c:pt>
              <c:pt idx="1">
                <c:v>37.887096774193559</c:v>
              </c:pt>
              <c:pt idx="3">
                <c:v>47.678160919540225</c:v>
              </c:pt>
              <c:pt idx="4">
                <c:v>47.678160919540225</c:v>
              </c:pt>
              <c:pt idx="6">
                <c:v>55.387096774193544</c:v>
              </c:pt>
              <c:pt idx="7">
                <c:v>55.387096774193544</c:v>
              </c:pt>
              <c:pt idx="9">
                <c:v>63.465277777777771</c:v>
              </c:pt>
              <c:pt idx="10">
                <c:v>63.465277777777771</c:v>
              </c:pt>
              <c:pt idx="12">
                <c:v>64.745967741935488</c:v>
              </c:pt>
              <c:pt idx="13">
                <c:v>64.745967741935488</c:v>
              </c:pt>
              <c:pt idx="15">
                <c:v>66.411111111111111</c:v>
              </c:pt>
              <c:pt idx="16">
                <c:v>66.411111111111111</c:v>
              </c:pt>
              <c:pt idx="18">
                <c:v>66.129032258064512</c:v>
              </c:pt>
              <c:pt idx="19">
                <c:v>66.129032258064512</c:v>
              </c:pt>
              <c:pt idx="21">
                <c:v>61.61021505376344</c:v>
              </c:pt>
              <c:pt idx="22">
                <c:v>61.61021505376344</c:v>
              </c:pt>
              <c:pt idx="24">
                <c:v>55.479166666666657</c:v>
              </c:pt>
              <c:pt idx="25">
                <c:v>55.479166666666657</c:v>
              </c:pt>
              <c:pt idx="27">
                <c:v>40.768817204301072</c:v>
              </c:pt>
              <c:pt idx="28">
                <c:v>40.768817204301072</c:v>
              </c:pt>
              <c:pt idx="30">
                <c:v>9.5166666666666675</c:v>
              </c:pt>
              <c:pt idx="31">
                <c:v>9.5166666666666675</c:v>
              </c:pt>
              <c:pt idx="33">
                <c:v>20.709677419354836</c:v>
              </c:pt>
              <c:pt idx="34">
                <c:v>20.709677419354836</c:v>
              </c:pt>
            </c:numLit>
          </c:val>
          <c:extLst>
            <c:ext xmlns:c16="http://schemas.microsoft.com/office/drawing/2014/chart" uri="{C3380CC4-5D6E-409C-BE32-E72D297353CC}">
              <c16:uniqueId val="{00000000-9A05-4033-ABBC-06362547B95B}"/>
            </c:ext>
          </c:extLst>
        </c:ser>
        <c:ser>
          <c:idx val="1"/>
          <c:order val="1"/>
          <c:tx>
            <c:v>WAD -PMP</c:v>
          </c:tx>
          <c:spPr>
            <a:solidFill>
              <a:schemeClr val="accent2"/>
            </a:solidFill>
            <a:ln>
              <a:noFill/>
            </a:ln>
            <a:effectLst/>
          </c:spPr>
          <c:invertIfNegative val="0"/>
          <c:cat>
            <c:strLit>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Lit>
          </c:cat>
          <c:val>
            <c:numLit>
              <c:formatCode>General</c:formatCode>
              <c:ptCount val="35"/>
              <c:pt idx="0">
                <c:v>14.264355415601463</c:v>
              </c:pt>
              <c:pt idx="1">
                <c:v>14.264355415601463</c:v>
              </c:pt>
              <c:pt idx="3">
                <c:v>23.716310568347794</c:v>
              </c:pt>
              <c:pt idx="4">
                <c:v>23.716310568347794</c:v>
              </c:pt>
              <c:pt idx="6">
                <c:v>14.816329568181672</c:v>
              </c:pt>
              <c:pt idx="7">
                <c:v>14.816329568181672</c:v>
              </c:pt>
              <c:pt idx="9">
                <c:v>1.2010591539095501</c:v>
              </c:pt>
              <c:pt idx="10">
                <c:v>1.2010591539095501</c:v>
              </c:pt>
              <c:pt idx="12">
                <c:v>0</c:v>
              </c:pt>
              <c:pt idx="13">
                <c:v>0</c:v>
              </c:pt>
              <c:pt idx="15">
                <c:v>0</c:v>
              </c:pt>
              <c:pt idx="16">
                <c:v>0</c:v>
              </c:pt>
              <c:pt idx="18">
                <c:v>0</c:v>
              </c:pt>
              <c:pt idx="19">
                <c:v>0</c:v>
              </c:pt>
              <c:pt idx="21">
                <c:v>0</c:v>
              </c:pt>
              <c:pt idx="22">
                <c:v>0</c:v>
              </c:pt>
              <c:pt idx="24">
                <c:v>2.9117163568879949</c:v>
              </c:pt>
              <c:pt idx="25">
                <c:v>2.9117163568879949</c:v>
              </c:pt>
              <c:pt idx="27">
                <c:v>9.5581881151136141</c:v>
              </c:pt>
              <c:pt idx="28">
                <c:v>9.5581881151136141</c:v>
              </c:pt>
              <c:pt idx="30">
                <c:v>20.943760618939489</c:v>
              </c:pt>
              <c:pt idx="31">
                <c:v>20.943760618939489</c:v>
              </c:pt>
              <c:pt idx="33">
                <c:v>19.517514937787887</c:v>
              </c:pt>
              <c:pt idx="34">
                <c:v>19.517514937787887</c:v>
              </c:pt>
            </c:numLit>
          </c:val>
          <c:extLst>
            <c:ext xmlns:c16="http://schemas.microsoft.com/office/drawing/2014/chart" uri="{C3380CC4-5D6E-409C-BE32-E72D297353CC}">
              <c16:uniqueId val="{00000001-9A05-4033-ABBC-06362547B95B}"/>
            </c:ext>
          </c:extLst>
        </c:ser>
        <c:ser>
          <c:idx val="2"/>
          <c:order val="2"/>
          <c:tx>
            <c:v>WAD - GEN</c:v>
          </c:tx>
          <c:spPr>
            <a:solidFill>
              <a:schemeClr val="accent3"/>
            </a:solidFill>
            <a:ln>
              <a:noFill/>
            </a:ln>
            <a:effectLst/>
          </c:spPr>
          <c:invertIfNegative val="0"/>
          <c:cat>
            <c:strLit>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Lit>
          </c:cat>
          <c:val>
            <c:numLit>
              <c:formatCode>General</c:formatCode>
              <c:ptCount val="35"/>
              <c:pt idx="0">
                <c:v>-5.8004408859118906</c:v>
              </c:pt>
              <c:pt idx="1">
                <c:v>-5.8004408859118906</c:v>
              </c:pt>
              <c:pt idx="3">
                <c:v>0</c:v>
              </c:pt>
              <c:pt idx="4">
                <c:v>0</c:v>
              </c:pt>
              <c:pt idx="6">
                <c:v>0</c:v>
              </c:pt>
              <c:pt idx="7">
                <c:v>0</c:v>
              </c:pt>
              <c:pt idx="9">
                <c:v>0</c:v>
              </c:pt>
              <c:pt idx="10">
                <c:v>0</c:v>
              </c:pt>
              <c:pt idx="12">
                <c:v>-1.2205511799333035</c:v>
              </c:pt>
              <c:pt idx="13">
                <c:v>-1.2205511799333035</c:v>
              </c:pt>
              <c:pt idx="15">
                <c:v>-20.502526345806164</c:v>
              </c:pt>
              <c:pt idx="16">
                <c:v>-20.502526345806164</c:v>
              </c:pt>
              <c:pt idx="18">
                <c:v>-16.174906736153343</c:v>
              </c:pt>
              <c:pt idx="19">
                <c:v>-16.174906736153343</c:v>
              </c:pt>
              <c:pt idx="21">
                <c:v>-11.332630851062866</c:v>
              </c:pt>
              <c:pt idx="22">
                <c:v>-11.332630851062866</c:v>
              </c:pt>
              <c:pt idx="24">
                <c:v>0</c:v>
              </c:pt>
              <c:pt idx="25">
                <c:v>0</c:v>
              </c:pt>
              <c:pt idx="27">
                <c:v>0</c:v>
              </c:pt>
              <c:pt idx="28">
                <c:v>0</c:v>
              </c:pt>
              <c:pt idx="30">
                <c:v>0</c:v>
              </c:pt>
              <c:pt idx="31">
                <c:v>0</c:v>
              </c:pt>
              <c:pt idx="33">
                <c:v>0</c:v>
              </c:pt>
              <c:pt idx="34">
                <c:v>0</c:v>
              </c:pt>
            </c:numLit>
          </c:val>
          <c:extLst>
            <c:ext xmlns:c16="http://schemas.microsoft.com/office/drawing/2014/chart" uri="{C3380CC4-5D6E-409C-BE32-E72D297353CC}">
              <c16:uniqueId val="{00000002-9A05-4033-ABBC-06362547B95B}"/>
            </c:ext>
          </c:extLst>
        </c:ser>
        <c:ser>
          <c:idx val="0"/>
          <c:order val="3"/>
          <c:tx>
            <c:v>West HAV - HSY</c:v>
          </c:tx>
          <c:spPr>
            <a:solidFill>
              <a:schemeClr val="accent1"/>
            </a:solidFill>
            <a:ln>
              <a:noFill/>
            </a:ln>
            <a:effectLst/>
          </c:spPr>
          <c:invertIfNegative val="0"/>
          <c:cat>
            <c:strLit>
              <c:ptCount val="35"/>
              <c:pt idx="0">
                <c:v>Off Peak</c:v>
              </c:pt>
              <c:pt idx="1">
                <c:v>On Peak</c:v>
              </c:pt>
              <c:pt idx="2">
                <c:v> </c:v>
              </c:pt>
              <c:pt idx="3">
                <c:v>Off Peak</c:v>
              </c:pt>
              <c:pt idx="4">
                <c:v>On Peak</c:v>
              </c:pt>
              <c:pt idx="5">
                <c:v> </c:v>
              </c:pt>
              <c:pt idx="6">
                <c:v>Off Peak</c:v>
              </c:pt>
              <c:pt idx="7">
                <c:v>On Peak</c:v>
              </c:pt>
              <c:pt idx="8">
                <c:v> </c:v>
              </c:pt>
              <c:pt idx="9">
                <c:v>Off Peak</c:v>
              </c:pt>
              <c:pt idx="10">
                <c:v>On Peak</c:v>
              </c:pt>
              <c:pt idx="11">
                <c:v> </c:v>
              </c:pt>
              <c:pt idx="12">
                <c:v>Off Peak</c:v>
              </c:pt>
              <c:pt idx="13">
                <c:v>On Peak</c:v>
              </c:pt>
              <c:pt idx="14">
                <c:v> </c:v>
              </c:pt>
              <c:pt idx="15">
                <c:v>Off Peak</c:v>
              </c:pt>
              <c:pt idx="16">
                <c:v>On Peak</c:v>
              </c:pt>
              <c:pt idx="17">
                <c:v> </c:v>
              </c:pt>
              <c:pt idx="18">
                <c:v>Off Peak</c:v>
              </c:pt>
              <c:pt idx="19">
                <c:v>On Peak</c:v>
              </c:pt>
              <c:pt idx="20">
                <c:v> </c:v>
              </c:pt>
              <c:pt idx="21">
                <c:v>Off Peak</c:v>
              </c:pt>
              <c:pt idx="22">
                <c:v>On Peak</c:v>
              </c:pt>
              <c:pt idx="23">
                <c:v> </c:v>
              </c:pt>
              <c:pt idx="24">
                <c:v>Off Peak</c:v>
              </c:pt>
              <c:pt idx="25">
                <c:v>On Peak</c:v>
              </c:pt>
              <c:pt idx="26">
                <c:v> </c:v>
              </c:pt>
              <c:pt idx="27">
                <c:v>Off Peak</c:v>
              </c:pt>
              <c:pt idx="28">
                <c:v>On Peak</c:v>
              </c:pt>
              <c:pt idx="29">
                <c:v> </c:v>
              </c:pt>
              <c:pt idx="30">
                <c:v>Off Peak</c:v>
              </c:pt>
              <c:pt idx="31">
                <c:v>On Peak</c:v>
              </c:pt>
              <c:pt idx="32">
                <c:v> </c:v>
              </c:pt>
              <c:pt idx="33">
                <c:v>Off Peak</c:v>
              </c:pt>
              <c:pt idx="34">
                <c:v>On Peak</c:v>
              </c:pt>
            </c:strLit>
          </c:cat>
          <c:val>
            <c:numLit>
              <c:formatCode>General</c:formatCode>
              <c:ptCount val="35"/>
              <c:pt idx="0">
                <c:v>252.02553763440861</c:v>
              </c:pt>
              <c:pt idx="1">
                <c:v>56.0255376344086</c:v>
              </c:pt>
              <c:pt idx="3">
                <c:v>208.16522988505747</c:v>
              </c:pt>
              <c:pt idx="4">
                <c:v>110.16522988505747</c:v>
              </c:pt>
              <c:pt idx="6">
                <c:v>406.43548387096774</c:v>
              </c:pt>
              <c:pt idx="7">
                <c:v>112.43548387096774</c:v>
              </c:pt>
              <c:pt idx="9">
                <c:v>406.22500000000002</c:v>
              </c:pt>
              <c:pt idx="10">
                <c:v>112.22500000000001</c:v>
              </c:pt>
              <c:pt idx="12">
                <c:v>403.57123655913978</c:v>
              </c:pt>
              <c:pt idx="13">
                <c:v>109.57123655913979</c:v>
              </c:pt>
              <c:pt idx="15">
                <c:v>191.24027777777778</c:v>
              </c:pt>
              <c:pt idx="16">
                <c:v>44.240277777777777</c:v>
              </c:pt>
              <c:pt idx="18">
                <c:v>190.91801075268819</c:v>
              </c:pt>
              <c:pt idx="19">
                <c:v>43.918010752688176</c:v>
              </c:pt>
              <c:pt idx="21">
                <c:v>191.06720430107526</c:v>
              </c:pt>
              <c:pt idx="22">
                <c:v>44.067204301075265</c:v>
              </c:pt>
              <c:pt idx="24">
                <c:v>341.69861111111106</c:v>
              </c:pt>
              <c:pt idx="25">
                <c:v>96.698611111111092</c:v>
              </c:pt>
              <c:pt idx="27">
                <c:v>335.60618279569894</c:v>
              </c:pt>
              <c:pt idx="28">
                <c:v>90.606182795698928</c:v>
              </c:pt>
              <c:pt idx="30">
                <c:v>323.83055555555558</c:v>
              </c:pt>
              <c:pt idx="31">
                <c:v>78.830555555555563</c:v>
              </c:pt>
              <c:pt idx="33">
                <c:v>322.4986559139785</c:v>
              </c:pt>
              <c:pt idx="34">
                <c:v>77.498655913978496</c:v>
              </c:pt>
            </c:numLit>
          </c:val>
          <c:extLst>
            <c:ext xmlns:c16="http://schemas.microsoft.com/office/drawing/2014/chart" uri="{C3380CC4-5D6E-409C-BE32-E72D297353CC}">
              <c16:uniqueId val="{00000003-9A05-4033-ABBC-06362547B95B}"/>
            </c:ext>
          </c:extLst>
        </c:ser>
        <c:dLbls>
          <c:showLegendKey val="0"/>
          <c:showVal val="0"/>
          <c:showCatName val="0"/>
          <c:showSerName val="0"/>
          <c:showPercent val="0"/>
          <c:showBubbleSize val="0"/>
        </c:dLbls>
        <c:gapWidth val="30"/>
        <c:overlap val="100"/>
        <c:axId val="323165480"/>
        <c:axId val="323166264"/>
      </c:barChart>
      <c:catAx>
        <c:axId val="3231654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6264"/>
        <c:crosses val="autoZero"/>
        <c:auto val="1"/>
        <c:lblAlgn val="ctr"/>
        <c:lblOffset val="100"/>
        <c:noMultiLvlLbl val="0"/>
      </c:catAx>
      <c:valAx>
        <c:axId val="323166264"/>
        <c:scaling>
          <c:orientation val="minMax"/>
          <c:max val="500"/>
          <c:min val="-5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165480"/>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36</xdr:col>
      <xdr:colOff>606199</xdr:colOff>
      <xdr:row>1030</xdr:row>
      <xdr:rowOff>46603</xdr:rowOff>
    </xdr:from>
    <xdr:to>
      <xdr:col>51</xdr:col>
      <xdr:colOff>449035</xdr:colOff>
      <xdr:row>1064</xdr:row>
      <xdr:rowOff>51026</xdr:rowOff>
    </xdr:to>
    <xdr:graphicFrame macro="">
      <xdr:nvGraphicFramePr>
        <xdr:cNvPr id="2" name="Chart 1">
          <a:extLst>
            <a:ext uri="{FF2B5EF4-FFF2-40B4-BE49-F238E27FC236}">
              <a16:creationId xmlns:a16="http://schemas.microsoft.com/office/drawing/2014/main" id="{83DC92DA-47BD-4C3C-8096-89E283003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36</xdr:col>
      <xdr:colOff>606199</xdr:colOff>
      <xdr:row>1056</xdr:row>
      <xdr:rowOff>46603</xdr:rowOff>
    </xdr:from>
    <xdr:to>
      <xdr:col>51</xdr:col>
      <xdr:colOff>449035</xdr:colOff>
      <xdr:row>1090</xdr:row>
      <xdr:rowOff>51026</xdr:rowOff>
    </xdr:to>
    <xdr:graphicFrame macro="">
      <xdr:nvGraphicFramePr>
        <xdr:cNvPr id="2" name="Chart 1">
          <a:extLst>
            <a:ext uri="{FF2B5EF4-FFF2-40B4-BE49-F238E27FC236}">
              <a16:creationId xmlns:a16="http://schemas.microsoft.com/office/drawing/2014/main" id="{FC841484-6A31-4A88-BF23-D32C0BB34F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36</xdr:col>
      <xdr:colOff>606199</xdr:colOff>
      <xdr:row>1046</xdr:row>
      <xdr:rowOff>46603</xdr:rowOff>
    </xdr:from>
    <xdr:to>
      <xdr:col>51</xdr:col>
      <xdr:colOff>449035</xdr:colOff>
      <xdr:row>1080</xdr:row>
      <xdr:rowOff>51026</xdr:rowOff>
    </xdr:to>
    <xdr:graphicFrame macro="">
      <xdr:nvGraphicFramePr>
        <xdr:cNvPr id="2" name="Chart 1">
          <a:extLst>
            <a:ext uri="{FF2B5EF4-FFF2-40B4-BE49-F238E27FC236}">
              <a16:creationId xmlns:a16="http://schemas.microsoft.com/office/drawing/2014/main" id="{65CF75E6-3A2A-4D4B-AAAB-7008252FBA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36</xdr:col>
      <xdr:colOff>606199</xdr:colOff>
      <xdr:row>1068</xdr:row>
      <xdr:rowOff>46603</xdr:rowOff>
    </xdr:from>
    <xdr:to>
      <xdr:col>51</xdr:col>
      <xdr:colOff>449035</xdr:colOff>
      <xdr:row>1102</xdr:row>
      <xdr:rowOff>51026</xdr:rowOff>
    </xdr:to>
    <xdr:graphicFrame macro="">
      <xdr:nvGraphicFramePr>
        <xdr:cNvPr id="2" name="Chart 1">
          <a:extLst>
            <a:ext uri="{FF2B5EF4-FFF2-40B4-BE49-F238E27FC236}">
              <a16:creationId xmlns:a16="http://schemas.microsoft.com/office/drawing/2014/main" id="{494AAD91-8B05-48B4-8839-A4D447514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36</xdr:col>
      <xdr:colOff>606199</xdr:colOff>
      <xdr:row>1054</xdr:row>
      <xdr:rowOff>46603</xdr:rowOff>
    </xdr:from>
    <xdr:to>
      <xdr:col>51</xdr:col>
      <xdr:colOff>449035</xdr:colOff>
      <xdr:row>1088</xdr:row>
      <xdr:rowOff>51026</xdr:rowOff>
    </xdr:to>
    <xdr:graphicFrame macro="">
      <xdr:nvGraphicFramePr>
        <xdr:cNvPr id="2" name="Chart 1">
          <a:extLst>
            <a:ext uri="{FF2B5EF4-FFF2-40B4-BE49-F238E27FC236}">
              <a16:creationId xmlns:a16="http://schemas.microsoft.com/office/drawing/2014/main" id="{EE966FAE-2980-4642-A401-C0D5BE6E3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36</xdr:col>
      <xdr:colOff>606199</xdr:colOff>
      <xdr:row>1112</xdr:row>
      <xdr:rowOff>46603</xdr:rowOff>
    </xdr:from>
    <xdr:to>
      <xdr:col>51</xdr:col>
      <xdr:colOff>449035</xdr:colOff>
      <xdr:row>1146</xdr:row>
      <xdr:rowOff>51026</xdr:rowOff>
    </xdr:to>
    <xdr:graphicFrame macro="">
      <xdr:nvGraphicFramePr>
        <xdr:cNvPr id="2" name="Chart 1">
          <a:extLst>
            <a:ext uri="{FF2B5EF4-FFF2-40B4-BE49-F238E27FC236}">
              <a16:creationId xmlns:a16="http://schemas.microsoft.com/office/drawing/2014/main" id="{D04A1804-A0E8-4D75-97FD-B98DB685AA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606199</xdr:colOff>
      <xdr:row>1099</xdr:row>
      <xdr:rowOff>46603</xdr:rowOff>
    </xdr:from>
    <xdr:to>
      <xdr:col>51</xdr:col>
      <xdr:colOff>449035</xdr:colOff>
      <xdr:row>1133</xdr:row>
      <xdr:rowOff>51026</xdr:rowOff>
    </xdr:to>
    <xdr:graphicFrame macro="">
      <xdr:nvGraphicFramePr>
        <xdr:cNvPr id="3" name="Chart 2">
          <a:extLst>
            <a:ext uri="{FF2B5EF4-FFF2-40B4-BE49-F238E27FC236}">
              <a16:creationId xmlns:a16="http://schemas.microsoft.com/office/drawing/2014/main" id="{70DD6FAB-7AAC-4847-B1EB-CC1038F0C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36</xdr:col>
      <xdr:colOff>606199</xdr:colOff>
      <xdr:row>1095</xdr:row>
      <xdr:rowOff>46603</xdr:rowOff>
    </xdr:from>
    <xdr:to>
      <xdr:col>51</xdr:col>
      <xdr:colOff>449035</xdr:colOff>
      <xdr:row>1129</xdr:row>
      <xdr:rowOff>51026</xdr:rowOff>
    </xdr:to>
    <xdr:graphicFrame macro="">
      <xdr:nvGraphicFramePr>
        <xdr:cNvPr id="2" name="Chart 1">
          <a:extLst>
            <a:ext uri="{FF2B5EF4-FFF2-40B4-BE49-F238E27FC236}">
              <a16:creationId xmlns:a16="http://schemas.microsoft.com/office/drawing/2014/main" id="{74650A1B-C8A8-4CCE-9B8E-315F36E6C0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606199</xdr:colOff>
      <xdr:row>1082</xdr:row>
      <xdr:rowOff>46603</xdr:rowOff>
    </xdr:from>
    <xdr:to>
      <xdr:col>51</xdr:col>
      <xdr:colOff>449035</xdr:colOff>
      <xdr:row>1116</xdr:row>
      <xdr:rowOff>51026</xdr:rowOff>
    </xdr:to>
    <xdr:graphicFrame macro="">
      <xdr:nvGraphicFramePr>
        <xdr:cNvPr id="3" name="Chart 2">
          <a:extLst>
            <a:ext uri="{FF2B5EF4-FFF2-40B4-BE49-F238E27FC236}">
              <a16:creationId xmlns:a16="http://schemas.microsoft.com/office/drawing/2014/main" id="{22B0042A-4622-4D88-880A-2EE9A7B3EB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36</xdr:col>
      <xdr:colOff>606199</xdr:colOff>
      <xdr:row>1105</xdr:row>
      <xdr:rowOff>46603</xdr:rowOff>
    </xdr:from>
    <xdr:to>
      <xdr:col>51</xdr:col>
      <xdr:colOff>449035</xdr:colOff>
      <xdr:row>1139</xdr:row>
      <xdr:rowOff>51026</xdr:rowOff>
    </xdr:to>
    <xdr:graphicFrame macro="">
      <xdr:nvGraphicFramePr>
        <xdr:cNvPr id="2" name="Chart 1">
          <a:extLst>
            <a:ext uri="{FF2B5EF4-FFF2-40B4-BE49-F238E27FC236}">
              <a16:creationId xmlns:a16="http://schemas.microsoft.com/office/drawing/2014/main" id="{8BA08B60-4843-41D1-A0E1-AC931C2647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606199</xdr:colOff>
      <xdr:row>1092</xdr:row>
      <xdr:rowOff>46603</xdr:rowOff>
    </xdr:from>
    <xdr:to>
      <xdr:col>51</xdr:col>
      <xdr:colOff>449035</xdr:colOff>
      <xdr:row>1126</xdr:row>
      <xdr:rowOff>51026</xdr:rowOff>
    </xdr:to>
    <xdr:graphicFrame macro="">
      <xdr:nvGraphicFramePr>
        <xdr:cNvPr id="3" name="Chart 2">
          <a:extLst>
            <a:ext uri="{FF2B5EF4-FFF2-40B4-BE49-F238E27FC236}">
              <a16:creationId xmlns:a16="http://schemas.microsoft.com/office/drawing/2014/main" id="{1C966CD6-8D9C-488A-BFA1-63674A309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jwhite\AppData\Roaming\OpenText\OTEdit\EC__capec\v11450594~2710\cap_water_forecast__271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jwhite\AppData\Roaming\OpenText\OTEdit\EC__capec\c27095\cap_water_forecast.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jwhite\AppData\Roaming\OpenText\OTEdit\EC__capec\v11450594~2813\cap_water_forecast__2813.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jwhite\AppData\Roaming\OpenText\OTEdit\EC__capec\v11450594~2912\cap_water_forecast__291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jwhite\AppData\Roaming\OpenText\OTEdit\EC__capec\v11450594~2980\cap_water_forecast__2980.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jwhite\AppData\Roaming\OpenText\OTEdit\EC__capec\v11450594~3069\cap_water_forecast__3069.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jwhite\AppData\Roaming\OpenText\OTEdit\EC__capec\v11450594~3131\cap_water_forecast__313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amp;P 2015"/>
      <sheetName val="DS&amp;P 2016"/>
      <sheetName val="DS&amp;P 2016 (15FCST)"/>
      <sheetName val="DS&amp;P 2017"/>
      <sheetName val="Lake Pleasant Forecast"/>
      <sheetName val="12_MTH_FC"/>
      <sheetName val="Log Sheet"/>
      <sheetName val="B"/>
      <sheetName val="DS&amp;P 2015_FC"/>
      <sheetName val="DS&amp;P 2016 (14FCST)"/>
      <sheetName val="DS&amp;P 2014"/>
      <sheetName val="DS&amp;P 2013"/>
      <sheetName val="DS&amp;P 2012"/>
      <sheetName val="DS&amp;P 2011"/>
      <sheetName val="DS&amp;P_2010"/>
      <sheetName val="DS&amp;P_2009"/>
      <sheetName val="DS&amp;P_2008"/>
      <sheetName val="SYS CAP"/>
      <sheetName val="Delivery Comparisons"/>
    </sheetNames>
    <sheetDataSet>
      <sheetData sheetId="0" refreshError="1"/>
      <sheetData sheetId="1"/>
      <sheetData sheetId="2" refreshError="1"/>
      <sheetData sheetId="3" refreshError="1"/>
      <sheetData sheetId="4">
        <row r="35">
          <cell r="B35">
            <v>1692.969882837926</v>
          </cell>
        </row>
        <row r="37">
          <cell r="B37">
            <v>1695.2098854486831</v>
          </cell>
        </row>
        <row r="39">
          <cell r="B39">
            <v>1696.1</v>
          </cell>
        </row>
        <row r="41">
          <cell r="B41">
            <v>1692.0600000000002</v>
          </cell>
        </row>
        <row r="43">
          <cell r="B43">
            <v>1695.14</v>
          </cell>
        </row>
        <row r="45">
          <cell r="B45">
            <v>1685.16</v>
          </cell>
        </row>
        <row r="47">
          <cell r="B47">
            <v>1673.81</v>
          </cell>
        </row>
        <row r="49">
          <cell r="B49">
            <v>1660.1991624790624</v>
          </cell>
        </row>
        <row r="51">
          <cell r="B51">
            <v>1665.2499516397249</v>
          </cell>
        </row>
        <row r="53">
          <cell r="B53">
            <v>1667.24</v>
          </cell>
        </row>
        <row r="55">
          <cell r="B55">
            <v>1671.9045612419297</v>
          </cell>
        </row>
        <row r="57">
          <cell r="B57">
            <v>1678.0283147111163</v>
          </cell>
        </row>
        <row r="83">
          <cell r="B83">
            <v>1687.1529095188469</v>
          </cell>
        </row>
        <row r="85">
          <cell r="B85">
            <v>1688.6494724941372</v>
          </cell>
        </row>
        <row r="87">
          <cell r="B87">
            <v>1688.7790541724141</v>
          </cell>
        </row>
        <row r="89">
          <cell r="B89">
            <v>1689.173033708578</v>
          </cell>
        </row>
        <row r="91">
          <cell r="B91">
            <v>1689.2336554548435</v>
          </cell>
        </row>
        <row r="93">
          <cell r="B93">
            <v>1675.0848530645339</v>
          </cell>
        </row>
        <row r="95">
          <cell r="B95">
            <v>1659.4494895487489</v>
          </cell>
        </row>
        <row r="97">
          <cell r="B97">
            <v>1644.2492588700356</v>
          </cell>
        </row>
        <row r="99">
          <cell r="B99">
            <v>1648.6088746902299</v>
          </cell>
        </row>
        <row r="101">
          <cell r="B101">
            <v>1655.807456632213</v>
          </cell>
        </row>
        <row r="103">
          <cell r="B103">
            <v>1664.6174151047669</v>
          </cell>
        </row>
        <row r="105">
          <cell r="B105">
            <v>1673.7566611001193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7"/>
      <sheetName val="2018"/>
      <sheetName val="2019"/>
      <sheetName val="2020 T0"/>
      <sheetName val="2022 T1"/>
      <sheetName val="2021 T0"/>
      <sheetName val="2022 T1 1030"/>
      <sheetName val="2023 T1 1030"/>
      <sheetName val="2023 T2a 1030"/>
      <sheetName val="2023 T1 No Mitigation"/>
      <sheetName val="2024 T1 1030"/>
      <sheetName val="2023 T2a No Mitigation"/>
      <sheetName val="2023 T2a Updated"/>
      <sheetName val="Municipal"/>
      <sheetName val="Lake Pleasant Forecast"/>
      <sheetName val="No LTSC"/>
      <sheetName val="Municipal and Cons"/>
      <sheetName val="12_MTH_FC"/>
      <sheetName val="12_MTH_FCSEQ"/>
      <sheetName val="Log Sheet"/>
      <sheetName val="2022 T1 (2021 FC)"/>
      <sheetName val="2023 T1 (2021 FC)"/>
      <sheetName val="2023 T2a (2021 FC)"/>
      <sheetName val="2021 T0 (2020 FC)"/>
      <sheetName val="2022 T0 (2020 FC)"/>
      <sheetName val="B"/>
      <sheetName val="2016"/>
      <sheetName val="2015"/>
      <sheetName val="2014"/>
      <sheetName val="2013"/>
      <sheetName val="2012"/>
      <sheetName val="2011"/>
      <sheetName val="2010"/>
      <sheetName val="2009"/>
      <sheetName val="2008"/>
      <sheetName val="SYS CAP"/>
      <sheetName val="Delivery Comparisons"/>
    </sheetNames>
    <sheetDataSet>
      <sheetData sheetId="0">
        <row r="1049">
          <cell r="AF1049" t="str">
            <v>West HAV - HSY</v>
          </cell>
        </row>
      </sheetData>
      <sheetData sheetId="1">
        <row r="1075">
          <cell r="AF1075" t="str">
            <v>West HAV - HSY</v>
          </cell>
        </row>
      </sheetData>
      <sheetData sheetId="2">
        <row r="1087">
          <cell r="AF1087" t="str">
            <v>West HAV - HSY</v>
          </cell>
        </row>
      </sheetData>
      <sheetData sheetId="3">
        <row r="1131">
          <cell r="AF1131">
            <v>404.56048387096774</v>
          </cell>
        </row>
      </sheetData>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35">
          <cell r="B35">
            <v>1690.1998116000643</v>
          </cell>
        </row>
        <row r="37">
          <cell r="B37">
            <v>1693.66</v>
          </cell>
        </row>
        <row r="39">
          <cell r="B39">
            <v>1696.7</v>
          </cell>
        </row>
        <row r="41">
          <cell r="B41">
            <v>1696.11085484296</v>
          </cell>
        </row>
        <row r="43">
          <cell r="B43">
            <v>1693.7800000000002</v>
          </cell>
        </row>
        <row r="45">
          <cell r="B45">
            <v>1681.1000000000001</v>
          </cell>
        </row>
        <row r="47">
          <cell r="B47">
            <v>1671.6699725311105</v>
          </cell>
        </row>
        <row r="49">
          <cell r="B49">
            <v>1661.2798188452823</v>
          </cell>
        </row>
        <row r="51">
          <cell r="B51">
            <v>1659.68</v>
          </cell>
        </row>
        <row r="53">
          <cell r="B53">
            <v>1666.2699999999998</v>
          </cell>
        </row>
        <row r="55">
          <cell r="B55">
            <v>1674.31</v>
          </cell>
        </row>
        <row r="57">
          <cell r="B57">
            <v>1677.029882034898</v>
          </cell>
        </row>
        <row r="83">
          <cell r="B83">
            <v>1681.7798369695518</v>
          </cell>
        </row>
        <row r="85">
          <cell r="B85">
            <v>1686.81</v>
          </cell>
        </row>
        <row r="87">
          <cell r="B87">
            <v>1691.7200000000003</v>
          </cell>
        </row>
        <row r="89">
          <cell r="B89">
            <v>1692.7695776379537</v>
          </cell>
        </row>
        <row r="91">
          <cell r="B91">
            <v>1693.5298773138181</v>
          </cell>
        </row>
        <row r="93">
          <cell r="B93">
            <v>1685.73</v>
          </cell>
        </row>
        <row r="95">
          <cell r="B95">
            <v>1674.21025968872</v>
          </cell>
        </row>
        <row r="97">
          <cell r="B97">
            <v>1658.5929583660702</v>
          </cell>
        </row>
        <row r="99">
          <cell r="B99">
            <v>1654.1799355606342</v>
          </cell>
        </row>
        <row r="101">
          <cell r="B101">
            <v>1655.0814369759692</v>
          </cell>
        </row>
        <row r="103">
          <cell r="B103">
            <v>1659.806129592801</v>
          </cell>
        </row>
        <row r="105">
          <cell r="B105">
            <v>1662.7303014455374</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amp;P 2017 (16 forecast)"/>
      <sheetName val="DS&amp;P 2015"/>
      <sheetName val="DS&amp;P 2016"/>
      <sheetName val="DS&amp;P 2017"/>
      <sheetName val="DS&amp;P 2018"/>
      <sheetName val="Lake Pleasant Forecast"/>
      <sheetName val="12_MTH_FC"/>
      <sheetName val="Log Sheet"/>
      <sheetName val="B"/>
      <sheetName val="DS&amp;P 2017 (15FCST)"/>
      <sheetName val="DS&amp;P 2016 (15FCST)"/>
      <sheetName val="DS&amp;P 2016 (14FCST)"/>
      <sheetName val="DS&amp;P 2015_FC"/>
      <sheetName val="DS&amp;P 2014"/>
      <sheetName val="DS&amp;P 2013"/>
      <sheetName val="DS&amp;P 2012"/>
      <sheetName val="DS&amp;P 2011"/>
      <sheetName val="DS&amp;P_2010"/>
      <sheetName val="DS&amp;P_2009"/>
      <sheetName val="DS&amp;P_2008"/>
      <sheetName val="SYS CAP"/>
      <sheetName val="Delivery Comparisons"/>
    </sheetNames>
    <sheetDataSet>
      <sheetData sheetId="0" refreshError="1"/>
      <sheetData sheetId="1" refreshError="1"/>
      <sheetData sheetId="2" refreshError="1"/>
      <sheetData sheetId="3"/>
      <sheetData sheetId="4" refreshError="1"/>
      <sheetData sheetId="5">
        <row r="35">
          <cell r="B35">
            <v>1691.4099999999999</v>
          </cell>
        </row>
        <row r="37">
          <cell r="B37">
            <v>1694.6000000000001</v>
          </cell>
        </row>
        <row r="39">
          <cell r="B39">
            <v>1693.5498413913765</v>
          </cell>
        </row>
        <row r="41">
          <cell r="B41">
            <v>1696.1606419657769</v>
          </cell>
        </row>
        <row r="43">
          <cell r="B43">
            <v>1697.04</v>
          </cell>
        </row>
        <row r="45">
          <cell r="B45">
            <v>1683.71</v>
          </cell>
        </row>
        <row r="47">
          <cell r="B47">
            <v>1668.3399999999997</v>
          </cell>
        </row>
        <row r="49">
          <cell r="B49">
            <v>1656.1100000000001</v>
          </cell>
        </row>
        <row r="51">
          <cell r="B51">
            <v>1655.21</v>
          </cell>
        </row>
        <row r="53">
          <cell r="B53">
            <v>1660.2892962508656</v>
          </cell>
        </row>
        <row r="55">
          <cell r="B55">
            <v>1669.9493333899975</v>
          </cell>
        </row>
        <row r="57">
          <cell r="B57">
            <v>1676.4094133498775</v>
          </cell>
        </row>
        <row r="83">
          <cell r="B83">
            <v>1685.3029660953925</v>
          </cell>
        </row>
        <row r="85">
          <cell r="B85">
            <v>1684.640226347932</v>
          </cell>
        </row>
        <row r="87">
          <cell r="B87">
            <v>1690.886673786865</v>
          </cell>
        </row>
        <row r="89">
          <cell r="B89">
            <v>1692.683655351198</v>
          </cell>
        </row>
        <row r="91">
          <cell r="B91">
            <v>1693.0440137801775</v>
          </cell>
        </row>
        <row r="93">
          <cell r="B93">
            <v>1679.6755059398265</v>
          </cell>
        </row>
        <row r="95">
          <cell r="B95">
            <v>1664.5672706984933</v>
          </cell>
        </row>
        <row r="97">
          <cell r="B97">
            <v>1650.1450502444902</v>
          </cell>
        </row>
        <row r="99">
          <cell r="B99">
            <v>1650.0982317331907</v>
          </cell>
        </row>
        <row r="101">
          <cell r="B101">
            <v>1655.913529862632</v>
          </cell>
        </row>
        <row r="103">
          <cell r="B103">
            <v>1665.3892565266151</v>
          </cell>
        </row>
        <row r="105">
          <cell r="B105">
            <v>1673.7216370810079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amp;P 2017"/>
      <sheetName val="DS&amp;P 2018"/>
      <sheetName val="DS&amp;P 2018 (17FCST)"/>
      <sheetName val="DS&amp;P 2019 (17FCST)"/>
      <sheetName val="Lake Pleasant Forecast"/>
      <sheetName val="12_MTH_FC"/>
      <sheetName val="Log Sheet"/>
      <sheetName val="B"/>
      <sheetName val="DS&amp;P 2016"/>
      <sheetName val="DS&amp;P 2015"/>
      <sheetName val="DS&amp;P 2014"/>
      <sheetName val="DS&amp;P 2013"/>
      <sheetName val="DS&amp;P 2012"/>
      <sheetName val="DS&amp;P 2011"/>
      <sheetName val="DS&amp;P_2010"/>
      <sheetName val="DS&amp;P_2009"/>
      <sheetName val="DS&amp;P_2008"/>
      <sheetName val="SYS CAP"/>
      <sheetName val="Delivery Comparisons"/>
    </sheetNames>
    <sheetDataSet>
      <sheetData sheetId="0" refreshError="1"/>
      <sheetData sheetId="1">
        <row r="1065">
          <cell r="AF1065" t="str">
            <v>West HAV - HSY</v>
          </cell>
        </row>
      </sheetData>
      <sheetData sheetId="2" refreshError="1"/>
      <sheetData sheetId="3" refreshError="1"/>
      <sheetData sheetId="4">
        <row r="35">
          <cell r="B35">
            <v>1688.839709604149</v>
          </cell>
        </row>
        <row r="37">
          <cell r="B37">
            <v>1693.5997875767807</v>
          </cell>
        </row>
        <row r="39">
          <cell r="B39">
            <v>1696.8393281545243</v>
          </cell>
        </row>
        <row r="41">
          <cell r="B41">
            <v>1697.4800000000002</v>
          </cell>
        </row>
        <row r="43">
          <cell r="B43">
            <v>1699.2</v>
          </cell>
        </row>
        <row r="45">
          <cell r="B45">
            <v>1685.59</v>
          </cell>
        </row>
        <row r="47">
          <cell r="B47">
            <v>1672.9698932926826</v>
          </cell>
        </row>
        <row r="49">
          <cell r="B49">
            <v>1659.82</v>
          </cell>
        </row>
        <row r="51">
          <cell r="B51">
            <v>1658.5600000000004</v>
          </cell>
        </row>
        <row r="53">
          <cell r="B53">
            <v>1663.9799502371964</v>
          </cell>
        </row>
        <row r="55">
          <cell r="B55">
            <v>1671.5146151058866</v>
          </cell>
        </row>
        <row r="57">
          <cell r="B57">
            <v>1682.5744433868022</v>
          </cell>
        </row>
        <row r="83">
          <cell r="B83">
            <v>1685.4160211128813</v>
          </cell>
        </row>
        <row r="85">
          <cell r="B85">
            <v>1689.6376452247994</v>
          </cell>
        </row>
        <row r="87">
          <cell r="B87">
            <v>1695.6248855169758</v>
          </cell>
        </row>
        <row r="89">
          <cell r="B89">
            <v>1698.1653205515481</v>
          </cell>
        </row>
        <row r="91">
          <cell r="B91">
            <v>1699.1950577596729</v>
          </cell>
        </row>
        <row r="93">
          <cell r="B93">
            <v>1684.7442125591247</v>
          </cell>
        </row>
        <row r="95">
          <cell r="B95">
            <v>1668.3710367299479</v>
          </cell>
        </row>
        <row r="97">
          <cell r="B97">
            <v>1645.8841512369052</v>
          </cell>
        </row>
        <row r="99">
          <cell r="B99">
            <v>1646.9519336005576</v>
          </cell>
        </row>
        <row r="101">
          <cell r="B101">
            <v>1655.8523891811967</v>
          </cell>
        </row>
        <row r="103">
          <cell r="B103">
            <v>1667.3324572612046</v>
          </cell>
        </row>
        <row r="105">
          <cell r="B105">
            <v>1677.6466202439667</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amp;P 2017"/>
      <sheetName val="DS&amp;P 2018"/>
      <sheetName val="DS&amp;P 2019"/>
      <sheetName val="DS&amp;P 2019 + 86,000"/>
      <sheetName val="DS&amp;P 2019 (Dec17FCST)"/>
      <sheetName val="DS&amp;P 2020 (Dec17FCST)"/>
      <sheetName val="DS&amp;P 2018 (17FCST)"/>
      <sheetName val="DS&amp;P 2019 (17FCST)"/>
      <sheetName val="Lake Pleasant Forecast"/>
      <sheetName val="Lake Pleasant Forecast + 86,000"/>
      <sheetName val="12_MTH_FC"/>
      <sheetName val="Log Sheet"/>
      <sheetName val="B"/>
      <sheetName val="DS&amp;P 2016"/>
      <sheetName val="DS&amp;P 2015"/>
      <sheetName val="DS&amp;P 2014"/>
      <sheetName val="DS&amp;P 2013"/>
      <sheetName val="DS&amp;P 2012"/>
      <sheetName val="DS&amp;P 2011"/>
      <sheetName val="DS&amp;P_2010"/>
      <sheetName val="DS&amp;P_2009"/>
      <sheetName val="DS&amp;P_2008"/>
      <sheetName val="SYS CAP"/>
      <sheetName val="Delivery Comparisons"/>
    </sheetNames>
    <sheetDataSet>
      <sheetData sheetId="0" refreshError="1"/>
      <sheetData sheetId="1" refreshError="1"/>
      <sheetData sheetId="2">
        <row r="1073">
          <cell r="AF1073" t="str">
            <v>West HAV - HSY</v>
          </cell>
        </row>
      </sheetData>
      <sheetData sheetId="3" refreshError="1"/>
      <sheetData sheetId="4" refreshError="1"/>
      <sheetData sheetId="5" refreshError="1"/>
      <sheetData sheetId="6" refreshError="1"/>
      <sheetData sheetId="7" refreshError="1"/>
      <sheetData sheetId="8">
        <row r="35">
          <cell r="B35">
            <v>1684.5398516114076</v>
          </cell>
        </row>
        <row r="37">
          <cell r="B37">
            <v>1688.4591080103814</v>
          </cell>
        </row>
        <row r="39">
          <cell r="B39">
            <v>1691.0098602527289</v>
          </cell>
        </row>
        <row r="41">
          <cell r="B41">
            <v>1690.8898605350059</v>
          </cell>
        </row>
        <row r="43">
          <cell r="B43">
            <v>1690.0596349512823</v>
          </cell>
        </row>
        <row r="45">
          <cell r="B45">
            <v>1676.8198464766933</v>
          </cell>
        </row>
        <row r="47">
          <cell r="B47">
            <v>1661.5998292723079</v>
          </cell>
        </row>
        <row r="49">
          <cell r="B49">
            <v>1636.4198930779394</v>
          </cell>
        </row>
        <row r="51">
          <cell r="B51">
            <v>1637.4399930821514</v>
          </cell>
        </row>
        <row r="53">
          <cell r="B53">
            <v>1654.2199901218305</v>
          </cell>
        </row>
        <row r="55">
          <cell r="B55">
            <v>1666.9137737303781</v>
          </cell>
        </row>
        <row r="57">
          <cell r="B57">
            <v>1673.1406835951339</v>
          </cell>
        </row>
        <row r="83">
          <cell r="B83">
            <v>1676.0794780261915</v>
          </cell>
        </row>
        <row r="85">
          <cell r="B85">
            <v>1685.7947359444636</v>
          </cell>
        </row>
        <row r="87">
          <cell r="B87">
            <v>1691.7615416769956</v>
          </cell>
        </row>
        <row r="89">
          <cell r="B89">
            <v>1692.2414105600383</v>
          </cell>
        </row>
        <row r="91">
          <cell r="B91">
            <v>1690.7452066458463</v>
          </cell>
        </row>
        <row r="93">
          <cell r="B93">
            <v>1677.6227812669395</v>
          </cell>
        </row>
        <row r="95">
          <cell r="B95">
            <v>1663.3765883518556</v>
          </cell>
        </row>
        <row r="97">
          <cell r="B97">
            <v>1649.1207418150293</v>
          </cell>
        </row>
        <row r="99">
          <cell r="B99">
            <v>1651.0524816944628</v>
          </cell>
        </row>
        <row r="101">
          <cell r="B101">
            <v>1657.251919437095</v>
          </cell>
        </row>
        <row r="103">
          <cell r="B103">
            <v>1668.4776455507865</v>
          </cell>
        </row>
        <row r="105">
          <cell r="B105">
            <v>1677.9742706476784</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7"/>
      <sheetName val="2018"/>
      <sheetName val="2019"/>
      <sheetName val="2020 T0"/>
      <sheetName val="2020 T0 (2019 FC)"/>
      <sheetName val="2021 T0 (2019 FC)"/>
      <sheetName val="Lake Pleasant Forecast"/>
      <sheetName val="12_MTH_FC"/>
      <sheetName val="Log Sheet"/>
      <sheetName val="B"/>
      <sheetName val="2016"/>
      <sheetName val="2015"/>
      <sheetName val="2014"/>
      <sheetName val="2013"/>
      <sheetName val="2012"/>
      <sheetName val="2011"/>
      <sheetName val="2010"/>
      <sheetName val="2009"/>
      <sheetName val="2008"/>
      <sheetName val="SYS CAP"/>
      <sheetName val="Delivery Comparisons"/>
    </sheetNames>
    <sheetDataSet>
      <sheetData sheetId="0" refreshError="1"/>
      <sheetData sheetId="1" refreshError="1"/>
      <sheetData sheetId="2" refreshError="1"/>
      <sheetData sheetId="3">
        <row r="1114">
          <cell r="AF1114">
            <v>393.23387096774195</v>
          </cell>
        </row>
      </sheetData>
      <sheetData sheetId="4" refreshError="1"/>
      <sheetData sheetId="5" refreshError="1"/>
      <sheetData sheetId="6">
        <row r="83">
          <cell r="B83">
            <v>1692.6737761630673</v>
          </cell>
        </row>
        <row r="85">
          <cell r="B85">
            <v>1692.9119058018148</v>
          </cell>
        </row>
        <row r="87">
          <cell r="B87">
            <v>1697.5932335894677</v>
          </cell>
        </row>
        <row r="89">
          <cell r="B89">
            <v>1697.1904927967209</v>
          </cell>
        </row>
        <row r="91">
          <cell r="B91">
            <v>1695.2963591934583</v>
          </cell>
        </row>
        <row r="93">
          <cell r="B93">
            <v>1683.9292139680206</v>
          </cell>
        </row>
        <row r="95">
          <cell r="B95">
            <v>1669.0306566420379</v>
          </cell>
        </row>
        <row r="97">
          <cell r="B97">
            <v>1654.9682640257968</v>
          </cell>
        </row>
        <row r="99">
          <cell r="B99">
            <v>1657.5005720093734</v>
          </cell>
        </row>
        <row r="101">
          <cell r="B101">
            <v>1667.4004988678105</v>
          </cell>
        </row>
        <row r="103">
          <cell r="B103">
            <v>1679.2709948720853</v>
          </cell>
        </row>
        <row r="105">
          <cell r="B105">
            <v>1685.7509956929698</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7"/>
      <sheetName val="2018"/>
      <sheetName val="2019"/>
      <sheetName val="2020 T0"/>
      <sheetName val="2021 T0"/>
      <sheetName val="Lake Pleasant Forecast"/>
      <sheetName val="12_MTH_FC"/>
      <sheetName val="Log Sheet"/>
      <sheetName val="2021 T0 (2020 FC)"/>
      <sheetName val="2022 T0 (2020 FC)"/>
      <sheetName val="B"/>
      <sheetName val="2016"/>
      <sheetName val="2015"/>
      <sheetName val="2014"/>
      <sheetName val="2013"/>
      <sheetName val="2012"/>
      <sheetName val="2011"/>
      <sheetName val="2010"/>
      <sheetName val="2009"/>
      <sheetName val="2008"/>
      <sheetName val="SYS CAP"/>
      <sheetName val="Delivery Comparisons"/>
    </sheetNames>
    <sheetDataSet>
      <sheetData sheetId="0" refreshError="1"/>
      <sheetData sheetId="1" refreshError="1"/>
      <sheetData sheetId="2" refreshError="1"/>
      <sheetData sheetId="3" refreshError="1"/>
      <sheetData sheetId="4">
        <row r="1124">
          <cell r="AF1124">
            <v>400.42876344086022</v>
          </cell>
        </row>
      </sheetData>
      <sheetData sheetId="5">
        <row r="83">
          <cell r="B83">
            <v>1686.5533104540602</v>
          </cell>
        </row>
        <row r="85">
          <cell r="B85">
            <v>1693.1377792108647</v>
          </cell>
        </row>
        <row r="87">
          <cell r="B87">
            <v>1696.1335207516547</v>
          </cell>
        </row>
        <row r="89">
          <cell r="B89">
            <v>1694.6692864298</v>
          </cell>
        </row>
        <row r="91">
          <cell r="B91">
            <v>1693.8331531467943</v>
          </cell>
        </row>
        <row r="93">
          <cell r="B93">
            <v>1679.5863747198991</v>
          </cell>
        </row>
        <row r="95">
          <cell r="B95">
            <v>1660.904762840722</v>
          </cell>
        </row>
        <row r="97">
          <cell r="B97">
            <v>1646.2006725314106</v>
          </cell>
        </row>
        <row r="99">
          <cell r="B99">
            <v>1648.80748967049</v>
          </cell>
        </row>
        <row r="101">
          <cell r="B101">
            <v>1657.7182601211505</v>
          </cell>
        </row>
        <row r="103">
          <cell r="B103">
            <v>1668.9037991016071</v>
          </cell>
        </row>
        <row r="105">
          <cell r="B105">
            <v>1675.4137510075911</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C9616-1D4C-4ADC-BBDC-0B612A2D157E}">
  <sheetPr codeName="Sheet20">
    <pageSetUpPr fitToPage="1"/>
  </sheetPr>
  <dimension ref="A1:AX1073"/>
  <sheetViews>
    <sheetView topLeftCell="A7" zoomScale="70" zoomScaleNormal="70" workbookViewId="0">
      <pane xSplit="1" ySplit="25" topLeftCell="B898" activePane="bottomRight" state="frozen"/>
      <selection activeCell="A7" sqref="A7"/>
      <selection pane="topRight" activeCell="B7" sqref="B7"/>
      <selection pane="bottomLeft" activeCell="A32" sqref="A32"/>
      <selection pane="bottomRight" activeCell="F901" sqref="F901"/>
    </sheetView>
  </sheetViews>
  <sheetFormatPr defaultColWidth="8.77734375" defaultRowHeight="15.6" x14ac:dyDescent="0.3"/>
  <cols>
    <col min="1" max="1" width="48.21875" style="4" customWidth="1"/>
    <col min="2" max="3" width="11.21875" style="4" customWidth="1"/>
    <col min="4" max="4" width="12.44140625" style="4" customWidth="1"/>
    <col min="5" max="5" width="13.88671875" style="4" customWidth="1"/>
    <col min="6" max="7" width="11.21875" style="4" customWidth="1"/>
    <col min="8" max="8" width="11.77734375" style="4" bestFit="1" customWidth="1"/>
    <col min="9" max="9" width="13.109375" style="4" customWidth="1"/>
    <col min="10" max="12" width="11.21875" style="4" bestFit="1" customWidth="1"/>
    <col min="13" max="13" width="15" style="4" customWidth="1"/>
    <col min="14" max="14" width="11.21875" style="4" bestFit="1" customWidth="1"/>
    <col min="15" max="15" width="11.77734375" style="4" bestFit="1" customWidth="1"/>
    <col min="16" max="16" width="11.21875" style="4" bestFit="1" customWidth="1"/>
    <col min="17" max="17" width="13" style="4" customWidth="1"/>
    <col min="18" max="18" width="14.21875" style="4" customWidth="1"/>
    <col min="19" max="19" width="12.33203125" style="4" bestFit="1" customWidth="1"/>
    <col min="20" max="20" width="11.21875" style="4" bestFit="1" customWidth="1"/>
    <col min="21" max="21" width="8.77734375" style="4"/>
    <col min="22" max="22" width="10.33203125" style="4" customWidth="1"/>
    <col min="23" max="28" width="8.77734375" style="4"/>
    <col min="29" max="29" width="13.6640625" style="4" customWidth="1"/>
    <col min="30" max="48" width="8.77734375" style="4"/>
    <col min="49" max="49" width="21.5546875" style="4" customWidth="1"/>
    <col min="50" max="50" width="20.88671875" style="4" bestFit="1" customWidth="1"/>
    <col min="51" max="16384" width="8.77734375" style="4"/>
  </cols>
  <sheetData>
    <row r="1" spans="1:36" x14ac:dyDescent="0.3">
      <c r="A1" s="1"/>
      <c r="B1" s="1"/>
      <c r="C1" s="1"/>
      <c r="D1" s="1"/>
      <c r="E1" s="1"/>
      <c r="F1" s="1"/>
      <c r="G1" s="1"/>
      <c r="H1" s="1"/>
      <c r="I1" s="1"/>
      <c r="J1" s="1"/>
      <c r="K1" s="1"/>
      <c r="L1" s="1"/>
      <c r="M1" s="1"/>
      <c r="N1" s="1"/>
      <c r="O1" s="1"/>
      <c r="P1" s="1"/>
      <c r="Q1" s="2" t="s">
        <v>0</v>
      </c>
      <c r="R1" s="3">
        <f ca="1">NOW()</f>
        <v>44894.658168518516</v>
      </c>
    </row>
    <row r="2" spans="1:36" ht="19.5" customHeight="1" x14ac:dyDescent="0.35">
      <c r="A2" s="384" t="s">
        <v>1</v>
      </c>
      <c r="B2" s="384"/>
      <c r="C2" s="384"/>
      <c r="D2" s="384"/>
      <c r="E2" s="384"/>
      <c r="F2" s="384"/>
      <c r="G2" s="384"/>
      <c r="H2" s="384"/>
      <c r="I2" s="384"/>
      <c r="J2" s="384"/>
      <c r="K2" s="384"/>
      <c r="L2" s="384"/>
      <c r="M2" s="384"/>
      <c r="N2" s="384"/>
      <c r="O2" s="384"/>
      <c r="P2" s="384"/>
      <c r="Q2" s="384"/>
      <c r="R2" s="384"/>
    </row>
    <row r="3" spans="1:36" ht="19.5" customHeight="1" x14ac:dyDescent="0.35">
      <c r="A3" s="384" t="s">
        <v>2</v>
      </c>
      <c r="B3" s="384"/>
      <c r="C3" s="384"/>
      <c r="D3" s="384"/>
      <c r="E3" s="384"/>
      <c r="F3" s="384"/>
      <c r="G3" s="384"/>
      <c r="H3" s="384"/>
      <c r="I3" s="384"/>
      <c r="J3" s="384"/>
      <c r="K3" s="384"/>
      <c r="L3" s="384"/>
      <c r="M3" s="384"/>
      <c r="N3" s="384"/>
      <c r="O3" s="384"/>
      <c r="P3" s="384"/>
      <c r="Q3" s="384"/>
      <c r="R3" s="384"/>
    </row>
    <row r="4" spans="1:36" ht="19.5" customHeight="1" x14ac:dyDescent="0.35">
      <c r="A4" s="385" t="s">
        <v>3</v>
      </c>
      <c r="B4" s="385"/>
      <c r="C4" s="385"/>
      <c r="D4" s="385"/>
      <c r="E4" s="385"/>
      <c r="F4" s="385"/>
      <c r="G4" s="385"/>
      <c r="H4" s="385"/>
      <c r="I4" s="385"/>
      <c r="J4" s="385"/>
      <c r="K4" s="385"/>
      <c r="L4" s="385"/>
      <c r="M4" s="385"/>
      <c r="N4" s="385"/>
      <c r="O4" s="385"/>
      <c r="P4" s="385"/>
      <c r="Q4" s="385"/>
      <c r="R4" s="385"/>
    </row>
    <row r="5" spans="1:36" ht="19.5" customHeight="1" x14ac:dyDescent="0.35">
      <c r="A5" s="386">
        <v>2016</v>
      </c>
      <c r="B5" s="386"/>
      <c r="C5" s="386"/>
      <c r="D5" s="386"/>
      <c r="E5" s="386"/>
      <c r="F5" s="386"/>
      <c r="G5" s="386"/>
      <c r="H5" s="386"/>
      <c r="I5" s="386"/>
      <c r="J5" s="386"/>
      <c r="K5" s="386"/>
      <c r="L5" s="386"/>
      <c r="M5" s="386"/>
      <c r="N5" s="386"/>
      <c r="O5" s="386"/>
      <c r="P5" s="386"/>
      <c r="Q5" s="386"/>
      <c r="R5" s="386"/>
    </row>
    <row r="6" spans="1:36" ht="19.5" customHeight="1" x14ac:dyDescent="0.35">
      <c r="A6" s="385" t="s">
        <v>873</v>
      </c>
      <c r="B6" s="385"/>
      <c r="C6" s="385"/>
      <c r="D6" s="385"/>
      <c r="E6" s="385"/>
      <c r="F6" s="385"/>
      <c r="G6" s="385"/>
      <c r="H6" s="385"/>
      <c r="I6" s="385"/>
      <c r="J6" s="385"/>
      <c r="K6" s="385"/>
      <c r="L6" s="385"/>
      <c r="M6" s="385"/>
      <c r="N6" s="385"/>
      <c r="O6" s="385"/>
      <c r="P6" s="385"/>
      <c r="Q6" s="385"/>
      <c r="R6" s="385"/>
    </row>
    <row r="7" spans="1:36" ht="19.5" customHeight="1" x14ac:dyDescent="0.35">
      <c r="A7" s="5"/>
      <c r="B7" s="5"/>
      <c r="C7" s="5"/>
      <c r="D7" s="5"/>
      <c r="E7" s="5"/>
      <c r="F7" s="5"/>
      <c r="G7" s="5"/>
      <c r="H7" s="5"/>
      <c r="I7" s="5"/>
      <c r="J7" s="5"/>
      <c r="K7" s="5"/>
      <c r="L7" s="5"/>
      <c r="M7" s="5"/>
      <c r="N7" s="5"/>
      <c r="O7" s="5"/>
      <c r="P7" s="5"/>
      <c r="Q7" s="5"/>
      <c r="R7" s="5"/>
    </row>
    <row r="8" spans="1:36" ht="15.75" customHeight="1" x14ac:dyDescent="0.3">
      <c r="A8" s="383" t="s">
        <v>936</v>
      </c>
      <c r="B8" s="383"/>
      <c r="C8" s="383"/>
      <c r="D8" s="383"/>
      <c r="E8" s="383"/>
      <c r="F8" s="383"/>
      <c r="G8" s="383"/>
      <c r="H8" s="383"/>
      <c r="I8" s="383"/>
      <c r="J8" s="383"/>
      <c r="K8" s="383"/>
      <c r="L8" s="383"/>
      <c r="M8" s="383"/>
      <c r="N8" s="383"/>
      <c r="O8" s="383"/>
      <c r="P8" s="383"/>
      <c r="Q8" s="383"/>
      <c r="R8" s="383"/>
    </row>
    <row r="9" spans="1:36" x14ac:dyDescent="0.3">
      <c r="A9" s="7"/>
      <c r="B9" s="8"/>
      <c r="C9" s="8"/>
      <c r="D9" s="8"/>
      <c r="E9" s="8"/>
      <c r="F9" s="8"/>
      <c r="G9" s="8"/>
      <c r="H9" s="8"/>
      <c r="I9" s="8"/>
      <c r="J9" s="8"/>
      <c r="K9" s="8"/>
      <c r="L9" s="8"/>
      <c r="M9" s="8"/>
      <c r="N9" s="8"/>
      <c r="O9" s="8"/>
      <c r="P9" s="8"/>
      <c r="Q9" s="8"/>
      <c r="R9" s="8"/>
    </row>
    <row r="10" spans="1:36" ht="16.2" thickBot="1" x14ac:dyDescent="0.35">
      <c r="A10" s="1" t="s">
        <v>6</v>
      </c>
      <c r="B10" s="1">
        <v>31</v>
      </c>
      <c r="C10" s="1">
        <v>29</v>
      </c>
      <c r="D10" s="1">
        <v>31</v>
      </c>
      <c r="E10" s="1"/>
      <c r="F10" s="1">
        <v>30</v>
      </c>
      <c r="G10" s="1">
        <v>31</v>
      </c>
      <c r="H10" s="1">
        <v>30</v>
      </c>
      <c r="I10" s="1"/>
      <c r="J10" s="1">
        <v>31</v>
      </c>
      <c r="K10" s="1">
        <v>31</v>
      </c>
      <c r="L10" s="1">
        <v>30</v>
      </c>
      <c r="M10" s="1"/>
      <c r="N10" s="1">
        <v>31</v>
      </c>
      <c r="O10" s="1">
        <v>30</v>
      </c>
      <c r="P10" s="1">
        <v>31</v>
      </c>
      <c r="Q10" s="1"/>
      <c r="R10" s="1"/>
    </row>
    <row r="11" spans="1:36" ht="15.75" customHeight="1" thickBot="1" x14ac:dyDescent="0.35">
      <c r="A11" s="9" t="s">
        <v>7</v>
      </c>
      <c r="B11" s="10" t="s">
        <v>8</v>
      </c>
      <c r="C11" s="11" t="s">
        <v>9</v>
      </c>
      <c r="D11" s="11" t="s">
        <v>10</v>
      </c>
      <c r="E11" s="12" t="s">
        <v>11</v>
      </c>
      <c r="F11" s="11" t="s">
        <v>12</v>
      </c>
      <c r="G11" s="11" t="s">
        <v>13</v>
      </c>
      <c r="H11" s="11" t="s">
        <v>14</v>
      </c>
      <c r="I11" s="12" t="s">
        <v>15</v>
      </c>
      <c r="J11" s="11" t="s">
        <v>16</v>
      </c>
      <c r="K11" s="11" t="s">
        <v>17</v>
      </c>
      <c r="L11" s="11" t="s">
        <v>18</v>
      </c>
      <c r="M11" s="12" t="s">
        <v>19</v>
      </c>
      <c r="N11" s="11" t="s">
        <v>20</v>
      </c>
      <c r="O11" s="11" t="s">
        <v>21</v>
      </c>
      <c r="P11" s="11" t="s">
        <v>22</v>
      </c>
      <c r="Q11" s="12" t="s">
        <v>23</v>
      </c>
      <c r="R11" s="13" t="s">
        <v>24</v>
      </c>
    </row>
    <row r="12" spans="1:36" ht="16.5" customHeight="1" thickBot="1" x14ac:dyDescent="0.35">
      <c r="A12" s="14"/>
      <c r="B12" s="56"/>
      <c r="C12" s="56"/>
      <c r="D12" s="56"/>
      <c r="E12" s="16"/>
      <c r="F12" s="56"/>
      <c r="G12" s="56"/>
      <c r="H12" s="56"/>
      <c r="I12" s="16"/>
      <c r="J12" s="56"/>
      <c r="K12" s="56"/>
      <c r="L12" s="56"/>
      <c r="M12" s="16"/>
      <c r="N12" s="56"/>
      <c r="O12" s="56"/>
      <c r="P12" s="56"/>
      <c r="Q12" s="16"/>
      <c r="R12" s="16"/>
    </row>
    <row r="13" spans="1:36" ht="15.75" customHeight="1" x14ac:dyDescent="0.3">
      <c r="A13" s="17" t="s">
        <v>25</v>
      </c>
      <c r="B13" s="1">
        <f>+B833</f>
        <v>67529</v>
      </c>
      <c r="C13" s="1">
        <f>+C833</f>
        <v>83864</v>
      </c>
      <c r="D13" s="1">
        <f>+D833</f>
        <v>133967</v>
      </c>
      <c r="E13" s="18">
        <f>SUM(B13:D13)</f>
        <v>285360</v>
      </c>
      <c r="F13" s="1">
        <f>+F833</f>
        <v>165761</v>
      </c>
      <c r="G13" s="1">
        <f>+G833</f>
        <v>171644</v>
      </c>
      <c r="H13" s="1">
        <f>+H833</f>
        <v>189759</v>
      </c>
      <c r="I13" s="18">
        <f t="shared" ref="I13:I19" si="0">SUM(F13:H13)</f>
        <v>527164</v>
      </c>
      <c r="J13" s="1">
        <f>+J833</f>
        <v>181672</v>
      </c>
      <c r="K13" s="1">
        <f>+K833</f>
        <v>166084</v>
      </c>
      <c r="L13" s="1">
        <f>+L833</f>
        <v>110862</v>
      </c>
      <c r="M13" s="18">
        <f t="shared" ref="M13:M20" si="1">SUM(J13:L13)</f>
        <v>458618</v>
      </c>
      <c r="N13" s="1">
        <f>+N833</f>
        <v>82494</v>
      </c>
      <c r="O13" s="1">
        <f>+O833</f>
        <v>63134</v>
      </c>
      <c r="P13" s="1">
        <f>+P833</f>
        <v>63672</v>
      </c>
      <c r="Q13" s="19">
        <f t="shared" ref="Q13:Q19" si="2">SUM(N13:P13)</f>
        <v>209300</v>
      </c>
      <c r="R13" s="18">
        <f t="shared" ref="R13:R20" si="3">+E13+I13+M13+Q13</f>
        <v>1480442</v>
      </c>
      <c r="S13" s="4">
        <f>1495413+25265</f>
        <v>1520678</v>
      </c>
      <c r="T13" s="4">
        <f>+R13-S13</f>
        <v>-40236</v>
      </c>
      <c r="U13" s="4">
        <f>+R13-1478209</f>
        <v>2233</v>
      </c>
      <c r="V13" s="21"/>
      <c r="W13" s="21"/>
      <c r="X13" s="21"/>
      <c r="Z13" s="21"/>
      <c r="AA13" s="21"/>
      <c r="AB13" s="21"/>
      <c r="AD13" s="21"/>
      <c r="AE13" s="21"/>
      <c r="AF13" s="21"/>
      <c r="AH13" s="21"/>
      <c r="AI13" s="21"/>
      <c r="AJ13" s="21"/>
    </row>
    <row r="14" spans="1:36" ht="15.75" customHeight="1" x14ac:dyDescent="0.3">
      <c r="A14" s="17" t="s">
        <v>27</v>
      </c>
      <c r="B14" s="1">
        <f>B25+B60+B126+B288+B435+B482+B525+B580+B590+B626+B673+B683+B717+B765</f>
        <v>739</v>
      </c>
      <c r="C14" s="1">
        <f>C25+C60+C126+C288+C435+C482+C525+C580+C590+C626+C673+C683+C717+C765</f>
        <v>1283</v>
      </c>
      <c r="D14" s="1">
        <f>D25+D60+D126+D288+D435+D482+D525+D580+D590+D626+D673+D683+D717+D765</f>
        <v>2185</v>
      </c>
      <c r="E14" s="18">
        <f t="shared" ref="E14:E19" si="4">SUM(B14:D14)</f>
        <v>4207</v>
      </c>
      <c r="F14" s="1">
        <f>F25+F60+F126+F288+F435+F482+F525+F580+F590+F626+F673+F683+F717+F765</f>
        <v>2959</v>
      </c>
      <c r="G14" s="1">
        <f>G25+G60+G126+G288+G435+G482+G525+G580+G590+G626+G673+G683+G717+G765</f>
        <v>3425</v>
      </c>
      <c r="H14" s="1">
        <f>H25+H60+H126+H288+H435+H482+H525+H580+H590+H626+H673+H683+H717+H765</f>
        <v>3464</v>
      </c>
      <c r="I14" s="18">
        <f t="shared" si="0"/>
        <v>9848</v>
      </c>
      <c r="J14" s="1">
        <f>J25+J60+J126+J288+J435+J482+J525+J580+J590+J626+J673+J683+J717+J765</f>
        <v>3382</v>
      </c>
      <c r="K14" s="1">
        <f>K25+K60+K126+K288+K435+K482+K525+K580+K590+K626+K673+K683+K717+K765</f>
        <v>2663</v>
      </c>
      <c r="L14" s="1">
        <f>L25+L60+L126+L288+L435+L482+L525+L580+L590+L626+L673+L683+L717+L765</f>
        <v>2559</v>
      </c>
      <c r="M14" s="18">
        <f t="shared" si="1"/>
        <v>8604</v>
      </c>
      <c r="N14" s="1">
        <f>N25+N60+N126+N288+N435+N482+N525+N580+N590+N626+N673+N683+N717+N765</f>
        <v>2343</v>
      </c>
      <c r="O14" s="1">
        <f>O25+O60+O126+O288+O435+O482+O525+O580+O590+O626+O673+O683+O717+O765</f>
        <v>1892</v>
      </c>
      <c r="P14" s="1">
        <f>P25+P60+P126+P288+P435+P482+P525+P580+P590+P626+P673+P683+P717+P765</f>
        <v>1423</v>
      </c>
      <c r="Q14" s="19">
        <f t="shared" si="2"/>
        <v>5658</v>
      </c>
      <c r="R14" s="18">
        <f t="shared" si="3"/>
        <v>28317</v>
      </c>
    </row>
    <row r="15" spans="1:36" ht="15.75" customHeight="1" x14ac:dyDescent="0.3">
      <c r="A15" s="17" t="s">
        <v>29</v>
      </c>
      <c r="B15" s="1">
        <f>B283</f>
        <v>0</v>
      </c>
      <c r="C15" s="1">
        <f>C283</f>
        <v>1647</v>
      </c>
      <c r="D15" s="1">
        <f>D283</f>
        <v>2564</v>
      </c>
      <c r="E15" s="18">
        <f t="shared" si="4"/>
        <v>4211</v>
      </c>
      <c r="F15" s="1">
        <f>F283</f>
        <v>2794</v>
      </c>
      <c r="G15" s="1">
        <f>G283</f>
        <v>2948</v>
      </c>
      <c r="H15" s="1">
        <f>H283</f>
        <v>2747</v>
      </c>
      <c r="I15" s="18">
        <f t="shared" si="0"/>
        <v>8489</v>
      </c>
      <c r="J15" s="1">
        <f>J283</f>
        <v>2349</v>
      </c>
      <c r="K15" s="1">
        <f>K283</f>
        <v>1510</v>
      </c>
      <c r="L15" s="1">
        <f>L283</f>
        <v>1729</v>
      </c>
      <c r="M15" s="18">
        <f t="shared" si="1"/>
        <v>5588</v>
      </c>
      <c r="N15" s="1">
        <f>N283</f>
        <v>2527</v>
      </c>
      <c r="O15" s="1">
        <f>O283</f>
        <v>3117</v>
      </c>
      <c r="P15" s="1">
        <f>P283</f>
        <v>882</v>
      </c>
      <c r="Q15" s="19">
        <f t="shared" si="2"/>
        <v>6526</v>
      </c>
      <c r="R15" s="18">
        <f t="shared" si="3"/>
        <v>24814</v>
      </c>
    </row>
    <row r="16" spans="1:36" ht="15.75" customHeight="1" x14ac:dyDescent="0.3">
      <c r="A16" s="22" t="s">
        <v>30</v>
      </c>
      <c r="B16" s="1">
        <f>+B284</f>
        <v>0</v>
      </c>
      <c r="C16" s="1">
        <f>+C284</f>
        <v>0</v>
      </c>
      <c r="D16" s="1">
        <f>+D284</f>
        <v>0</v>
      </c>
      <c r="E16" s="18">
        <f t="shared" si="4"/>
        <v>0</v>
      </c>
      <c r="F16" s="1">
        <f>+F284</f>
        <v>-4000</v>
      </c>
      <c r="G16" s="1">
        <f>+G284</f>
        <v>-6000</v>
      </c>
      <c r="H16" s="1">
        <f>+H284</f>
        <v>-4000</v>
      </c>
      <c r="I16" s="18">
        <f t="shared" si="0"/>
        <v>-14000</v>
      </c>
      <c r="J16" s="1">
        <f>+J284</f>
        <v>-2000</v>
      </c>
      <c r="K16" s="1">
        <f>+K284</f>
        <v>0</v>
      </c>
      <c r="L16" s="1">
        <f>+L284</f>
        <v>0</v>
      </c>
      <c r="M16" s="18">
        <f t="shared" si="1"/>
        <v>-2000</v>
      </c>
      <c r="N16" s="1">
        <f>+N284</f>
        <v>0</v>
      </c>
      <c r="O16" s="1">
        <f>+O284</f>
        <v>0</v>
      </c>
      <c r="P16" s="1">
        <f>+P284</f>
        <v>0</v>
      </c>
      <c r="Q16" s="19">
        <f t="shared" si="2"/>
        <v>0</v>
      </c>
      <c r="R16" s="18">
        <f t="shared" si="3"/>
        <v>-16000</v>
      </c>
    </row>
    <row r="17" spans="1:20" ht="15.75" customHeight="1" x14ac:dyDescent="0.3">
      <c r="A17" s="23" t="s">
        <v>31</v>
      </c>
      <c r="B17" s="1">
        <f>B287</f>
        <v>75000</v>
      </c>
      <c r="C17" s="1">
        <f>C287</f>
        <v>11000</v>
      </c>
      <c r="D17" s="1">
        <f>D287</f>
        <v>2000</v>
      </c>
      <c r="E17" s="18">
        <f t="shared" si="4"/>
        <v>88000</v>
      </c>
      <c r="F17" s="1">
        <f>F287</f>
        <v>7000</v>
      </c>
      <c r="G17" s="1">
        <f>G287</f>
        <v>8000</v>
      </c>
      <c r="H17" s="1">
        <f>H287</f>
        <v>0</v>
      </c>
      <c r="I17" s="18">
        <f t="shared" si="0"/>
        <v>15000</v>
      </c>
      <c r="J17" s="1">
        <f>J287</f>
        <v>0</v>
      </c>
      <c r="K17" s="1">
        <f>K287</f>
        <v>0</v>
      </c>
      <c r="L17" s="1">
        <f>L287</f>
        <v>28000</v>
      </c>
      <c r="M17" s="18">
        <f t="shared" si="1"/>
        <v>28000</v>
      </c>
      <c r="N17" s="1">
        <f>N287</f>
        <v>48000</v>
      </c>
      <c r="O17" s="1">
        <f>O287</f>
        <v>63000</v>
      </c>
      <c r="P17" s="1">
        <f>P287</f>
        <v>69000</v>
      </c>
      <c r="Q17" s="19">
        <f t="shared" si="2"/>
        <v>180000</v>
      </c>
      <c r="R17" s="18">
        <f t="shared" si="3"/>
        <v>311000</v>
      </c>
    </row>
    <row r="18" spans="1:20" ht="15.75" customHeight="1" x14ac:dyDescent="0.3">
      <c r="A18" s="23" t="s">
        <v>32</v>
      </c>
      <c r="B18" s="1">
        <f>B299</f>
        <v>0</v>
      </c>
      <c r="C18" s="1">
        <f>C299</f>
        <v>0</v>
      </c>
      <c r="D18" s="1">
        <f>D299</f>
        <v>0</v>
      </c>
      <c r="E18" s="18">
        <f t="shared" si="4"/>
        <v>0</v>
      </c>
      <c r="F18" s="1">
        <f>F299</f>
        <v>0</v>
      </c>
      <c r="G18" s="1">
        <f>G299</f>
        <v>0</v>
      </c>
      <c r="H18" s="1">
        <f>H299</f>
        <v>-114000</v>
      </c>
      <c r="I18" s="18">
        <f t="shared" si="0"/>
        <v>-114000</v>
      </c>
      <c r="J18" s="1">
        <f>J299</f>
        <v>-115000</v>
      </c>
      <c r="K18" s="1">
        <f>K299</f>
        <v>-100000</v>
      </c>
      <c r="L18" s="1">
        <f>L299</f>
        <v>0</v>
      </c>
      <c r="M18" s="18">
        <f t="shared" si="1"/>
        <v>-215000</v>
      </c>
      <c r="N18" s="1">
        <f>N299</f>
        <v>0</v>
      </c>
      <c r="O18" s="1">
        <f>O299</f>
        <v>0</v>
      </c>
      <c r="P18" s="1">
        <f>P299</f>
        <v>0</v>
      </c>
      <c r="Q18" s="19">
        <f t="shared" si="2"/>
        <v>0</v>
      </c>
      <c r="R18" s="18">
        <f t="shared" si="3"/>
        <v>-329000</v>
      </c>
    </row>
    <row r="19" spans="1:20" ht="16.5" customHeight="1" thickBot="1" x14ac:dyDescent="0.35">
      <c r="A19" s="24" t="s">
        <v>33</v>
      </c>
      <c r="B19" s="25">
        <f>(B29)</f>
        <v>143268</v>
      </c>
      <c r="C19" s="25">
        <f>(C29)</f>
        <v>97794</v>
      </c>
      <c r="D19" s="25">
        <f>(D29)</f>
        <v>140716</v>
      </c>
      <c r="E19" s="26">
        <f t="shared" si="4"/>
        <v>381778</v>
      </c>
      <c r="F19" s="25">
        <f>(F29)</f>
        <v>174514</v>
      </c>
      <c r="G19" s="25">
        <f>(G29)</f>
        <v>180017</v>
      </c>
      <c r="H19" s="25">
        <f>(H29)</f>
        <v>77970</v>
      </c>
      <c r="I19" s="26">
        <f t="shared" si="0"/>
        <v>432501</v>
      </c>
      <c r="J19" s="25">
        <f>(J29)</f>
        <v>70403</v>
      </c>
      <c r="K19" s="25">
        <f>(K29)</f>
        <v>70257</v>
      </c>
      <c r="L19" s="25">
        <f>(L29)</f>
        <v>143150</v>
      </c>
      <c r="M19" s="26">
        <f t="shared" si="1"/>
        <v>283810</v>
      </c>
      <c r="N19" s="25">
        <f>(N29)</f>
        <v>135364</v>
      </c>
      <c r="O19" s="25">
        <f>(O29)</f>
        <v>131143</v>
      </c>
      <c r="P19" s="25">
        <f>(P29)</f>
        <v>134977</v>
      </c>
      <c r="Q19" s="27">
        <f t="shared" si="2"/>
        <v>401484</v>
      </c>
      <c r="R19" s="26">
        <f t="shared" si="3"/>
        <v>1499573</v>
      </c>
      <c r="S19" s="4">
        <v>1491000</v>
      </c>
      <c r="T19" s="4" t="s">
        <v>937</v>
      </c>
    </row>
    <row r="20" spans="1:20" ht="16.5" customHeight="1" thickBot="1" x14ac:dyDescent="0.35">
      <c r="A20" s="24" t="s">
        <v>34</v>
      </c>
      <c r="B20" s="25">
        <f>+B19</f>
        <v>143268</v>
      </c>
      <c r="C20" s="25">
        <f>+C19</f>
        <v>97794</v>
      </c>
      <c r="D20" s="25">
        <f>+D19</f>
        <v>140716</v>
      </c>
      <c r="E20" s="26">
        <f>SUM(B20:D20)</f>
        <v>381778</v>
      </c>
      <c r="F20" s="25">
        <f>+F19</f>
        <v>174514</v>
      </c>
      <c r="G20" s="25">
        <f>+G19</f>
        <v>180017</v>
      </c>
      <c r="H20" s="25">
        <f>+H19</f>
        <v>77970</v>
      </c>
      <c r="I20" s="26">
        <f>SUM(F20:H20)</f>
        <v>432501</v>
      </c>
      <c r="J20" s="25">
        <f>+J19</f>
        <v>70403</v>
      </c>
      <c r="K20" s="25">
        <f>+K19</f>
        <v>70257</v>
      </c>
      <c r="L20" s="25">
        <f>+L19</f>
        <v>143150</v>
      </c>
      <c r="M20" s="26">
        <f t="shared" si="1"/>
        <v>283810</v>
      </c>
      <c r="N20" s="25">
        <f>+N19</f>
        <v>135364</v>
      </c>
      <c r="O20" s="25">
        <f>+O19</f>
        <v>131143</v>
      </c>
      <c r="P20" s="25">
        <f>+P19</f>
        <v>134977</v>
      </c>
      <c r="Q20" s="27">
        <f>SUM(N20:P20)</f>
        <v>401484</v>
      </c>
      <c r="R20" s="26">
        <f t="shared" si="3"/>
        <v>1499573</v>
      </c>
    </row>
    <row r="21" spans="1:20" ht="15.75" customHeight="1" x14ac:dyDescent="0.3">
      <c r="A21" s="1"/>
      <c r="B21" s="1"/>
      <c r="C21" s="1"/>
      <c r="D21" s="1"/>
      <c r="E21" s="1"/>
      <c r="F21" s="1"/>
      <c r="G21" s="1"/>
      <c r="H21" s="1"/>
      <c r="I21" s="1"/>
      <c r="J21" s="1"/>
      <c r="K21" s="1"/>
      <c r="L21" s="1"/>
      <c r="M21" s="1"/>
      <c r="N21" s="1"/>
      <c r="O21" s="1"/>
      <c r="P21" s="1"/>
      <c r="Q21" s="1"/>
      <c r="R21" s="28"/>
    </row>
    <row r="22" spans="1:20" ht="15.75" customHeight="1" thickBot="1" x14ac:dyDescent="0.35">
      <c r="A22" s="1"/>
      <c r="B22" s="1"/>
      <c r="C22" s="1"/>
      <c r="D22" s="1"/>
      <c r="E22" s="1"/>
      <c r="F22" s="29" t="s">
        <v>7</v>
      </c>
      <c r="G22" s="29" t="s">
        <v>7</v>
      </c>
      <c r="H22" s="1"/>
      <c r="I22" s="1"/>
      <c r="J22" s="1"/>
      <c r="K22" s="1"/>
      <c r="L22" s="1"/>
      <c r="M22" s="1"/>
      <c r="N22" s="29" t="s">
        <v>7</v>
      </c>
      <c r="O22" s="29" t="s">
        <v>7</v>
      </c>
      <c r="P22" s="29" t="s">
        <v>7</v>
      </c>
      <c r="Q22" s="29"/>
      <c r="R22" s="30" t="s">
        <v>7</v>
      </c>
    </row>
    <row r="23" spans="1:20" ht="16.5" customHeight="1" thickBot="1" x14ac:dyDescent="0.35">
      <c r="A23" s="31" t="s">
        <v>35</v>
      </c>
      <c r="B23" s="32" t="s">
        <v>36</v>
      </c>
      <c r="C23" s="33" t="s">
        <v>9</v>
      </c>
      <c r="D23" s="33" t="s">
        <v>10</v>
      </c>
      <c r="E23" s="12" t="s">
        <v>11</v>
      </c>
      <c r="F23" s="33" t="s">
        <v>12</v>
      </c>
      <c r="G23" s="33" t="s">
        <v>13</v>
      </c>
      <c r="H23" s="33" t="s">
        <v>14</v>
      </c>
      <c r="I23" s="34" t="s">
        <v>15</v>
      </c>
      <c r="J23" s="33" t="s">
        <v>16</v>
      </c>
      <c r="K23" s="33" t="s">
        <v>17</v>
      </c>
      <c r="L23" s="33" t="s">
        <v>18</v>
      </c>
      <c r="M23" s="34" t="s">
        <v>19</v>
      </c>
      <c r="N23" s="33" t="s">
        <v>20</v>
      </c>
      <c r="O23" s="33" t="s">
        <v>21</v>
      </c>
      <c r="P23" s="33" t="s">
        <v>22</v>
      </c>
      <c r="Q23" s="34" t="s">
        <v>23</v>
      </c>
      <c r="R23" s="35" t="s">
        <v>24</v>
      </c>
    </row>
    <row r="24" spans="1:20" ht="16.5" customHeight="1" thickBot="1" x14ac:dyDescent="0.35">
      <c r="A24" s="36"/>
      <c r="B24" s="37"/>
      <c r="C24" s="37"/>
      <c r="D24" s="37"/>
      <c r="E24" s="38"/>
      <c r="F24" s="37"/>
      <c r="G24" s="37"/>
      <c r="H24" s="37"/>
      <c r="I24" s="38"/>
      <c r="J24" s="37"/>
      <c r="K24" s="37"/>
      <c r="L24" s="37"/>
      <c r="M24" s="38"/>
      <c r="N24" s="37"/>
      <c r="O24" s="37"/>
      <c r="P24" s="37"/>
      <c r="Q24" s="38"/>
      <c r="R24" s="39"/>
    </row>
    <row r="25" spans="1:20" ht="16.5" customHeight="1" thickBot="1" x14ac:dyDescent="0.35">
      <c r="A25" s="40" t="s">
        <v>37</v>
      </c>
      <c r="B25" s="25">
        <v>97</v>
      </c>
      <c r="C25" s="25">
        <v>148</v>
      </c>
      <c r="D25" s="25">
        <v>274</v>
      </c>
      <c r="E25" s="41">
        <f>SUM(B25:D25)</f>
        <v>519</v>
      </c>
      <c r="F25" s="25">
        <v>367</v>
      </c>
      <c r="G25" s="25">
        <v>425</v>
      </c>
      <c r="H25" s="25">
        <v>417</v>
      </c>
      <c r="I25" s="41">
        <f>SUM(F25:H25)</f>
        <v>1209</v>
      </c>
      <c r="J25" s="25">
        <v>416</v>
      </c>
      <c r="K25" s="25">
        <v>334</v>
      </c>
      <c r="L25" s="25">
        <v>316</v>
      </c>
      <c r="M25" s="41">
        <f>SUM(J25:L25)</f>
        <v>1066</v>
      </c>
      <c r="N25" s="25">
        <v>285</v>
      </c>
      <c r="O25" s="25">
        <v>235</v>
      </c>
      <c r="P25" s="25">
        <v>186</v>
      </c>
      <c r="Q25" s="41">
        <f>SUM(N25:P25)</f>
        <v>706</v>
      </c>
      <c r="R25" s="26">
        <f>+E25+I25+M25+Q25</f>
        <v>3500</v>
      </c>
    </row>
    <row r="26" spans="1:20" ht="16.5" customHeight="1" thickBot="1" x14ac:dyDescent="0.35">
      <c r="A26" s="42"/>
      <c r="B26" s="37"/>
      <c r="C26" s="37"/>
      <c r="D26" s="37"/>
      <c r="E26" s="43"/>
      <c r="F26" s="37"/>
      <c r="G26" s="37"/>
      <c r="H26" s="37"/>
      <c r="I26" s="43"/>
      <c r="J26" s="37"/>
      <c r="K26" s="37"/>
      <c r="L26" s="37"/>
      <c r="M26" s="43"/>
      <c r="N26" s="37"/>
      <c r="O26" s="37"/>
      <c r="P26" s="37"/>
      <c r="Q26" s="43"/>
      <c r="R26" s="44"/>
    </row>
    <row r="27" spans="1:20" ht="15.75" customHeight="1" x14ac:dyDescent="0.3">
      <c r="A27" s="17" t="s">
        <v>38</v>
      </c>
      <c r="B27" s="1">
        <f>B25</f>
        <v>97</v>
      </c>
      <c r="C27" s="1">
        <f>C25</f>
        <v>148</v>
      </c>
      <c r="D27" s="1">
        <f>D25</f>
        <v>274</v>
      </c>
      <c r="E27" s="41">
        <f>SUM(B27:D27)</f>
        <v>519</v>
      </c>
      <c r="F27" s="1">
        <f>F25</f>
        <v>367</v>
      </c>
      <c r="G27" s="1">
        <f>G25</f>
        <v>425</v>
      </c>
      <c r="H27" s="1">
        <f>H25</f>
        <v>417</v>
      </c>
      <c r="I27" s="41">
        <f>SUM(F27:H27)</f>
        <v>1209</v>
      </c>
      <c r="J27" s="1">
        <f>J25</f>
        <v>416</v>
      </c>
      <c r="K27" s="1">
        <f>K25</f>
        <v>334</v>
      </c>
      <c r="L27" s="1">
        <f>L25</f>
        <v>316</v>
      </c>
      <c r="M27" s="41">
        <f>SUM(J27:L27)</f>
        <v>1066</v>
      </c>
      <c r="N27" s="1">
        <f>N25</f>
        <v>285</v>
      </c>
      <c r="O27" s="1">
        <f>O25</f>
        <v>235</v>
      </c>
      <c r="P27" s="1">
        <f>P25</f>
        <v>186</v>
      </c>
      <c r="Q27" s="45">
        <f>SUM(N27:P27)</f>
        <v>706</v>
      </c>
      <c r="R27" s="41">
        <f>+E27+I27+M27+Q27</f>
        <v>3500</v>
      </c>
    </row>
    <row r="28" spans="1:20" ht="15.75" customHeight="1" x14ac:dyDescent="0.3">
      <c r="A28" s="17" t="s">
        <v>39</v>
      </c>
      <c r="B28" s="1">
        <f>(B27/B10)/1.983</f>
        <v>1.5779285214647079</v>
      </c>
      <c r="C28" s="1">
        <f>(C27/C10)/1.983</f>
        <v>2.5735997356843514</v>
      </c>
      <c r="D28" s="1">
        <f>(D27/D10)/1.983</f>
        <v>4.457241390529175</v>
      </c>
      <c r="E28" s="18"/>
      <c r="F28" s="1">
        <f>(F27/F10)/1.983</f>
        <v>6.1691040511010247</v>
      </c>
      <c r="G28" s="1">
        <f>(G27/G10)/1.983</f>
        <v>6.9136043466237203</v>
      </c>
      <c r="H28" s="1">
        <f>(H27/H10)/1.983</f>
        <v>7.0095814422592033</v>
      </c>
      <c r="I28" s="18"/>
      <c r="J28" s="1">
        <f>(J27/J10)/1.983</f>
        <v>6.7671986075187478</v>
      </c>
      <c r="K28" s="1">
        <f>(K27/K10)/1.983</f>
        <v>5.433279651228994</v>
      </c>
      <c r="L28" s="1">
        <f>(L27/L10)/1.983</f>
        <v>5.3118171121196838</v>
      </c>
      <c r="M28" s="18"/>
      <c r="N28" s="1">
        <f>(N27/N10)/1.983</f>
        <v>4.6361817383241419</v>
      </c>
      <c r="O28" s="1">
        <f>(O27/O10)/1.983</f>
        <v>3.9502437384434357</v>
      </c>
      <c r="P28" s="1">
        <f>(P27/P10)/1.983</f>
        <v>3.02571860816944</v>
      </c>
      <c r="Q28" s="19"/>
      <c r="R28" s="18"/>
    </row>
    <row r="29" spans="1:20" ht="15.75" customHeight="1" x14ac:dyDescent="0.3">
      <c r="A29" s="17" t="s">
        <v>40</v>
      </c>
      <c r="B29" s="1">
        <f>B27+B64</f>
        <v>143268</v>
      </c>
      <c r="C29" s="1">
        <f>C27+C64</f>
        <v>97794</v>
      </c>
      <c r="D29" s="1">
        <f>D27+D64</f>
        <v>140716</v>
      </c>
      <c r="E29" s="18">
        <f>SUM(B29:D29)</f>
        <v>381778</v>
      </c>
      <c r="F29" s="1">
        <f>F27+F64</f>
        <v>174514</v>
      </c>
      <c r="G29" s="1">
        <f>G27+G64</f>
        <v>180017</v>
      </c>
      <c r="H29" s="1">
        <f>H27+H64</f>
        <v>77970</v>
      </c>
      <c r="I29" s="18">
        <f>SUM(F29:H29)</f>
        <v>432501</v>
      </c>
      <c r="J29" s="1">
        <f>J27+J64</f>
        <v>70403</v>
      </c>
      <c r="K29" s="1">
        <f>K27+K64</f>
        <v>70257</v>
      </c>
      <c r="L29" s="1">
        <f>L27+L64</f>
        <v>143150</v>
      </c>
      <c r="M29" s="18">
        <f>SUM(J29:L29)</f>
        <v>283810</v>
      </c>
      <c r="N29" s="1">
        <f>N27+N64</f>
        <v>135364</v>
      </c>
      <c r="O29" s="1">
        <f>O27+O64</f>
        <v>131143</v>
      </c>
      <c r="P29" s="1">
        <f>P27+P64</f>
        <v>134977</v>
      </c>
      <c r="Q29" s="19">
        <f>SUM(N29:P29)</f>
        <v>401484</v>
      </c>
      <c r="R29" s="18">
        <f>+E29+I29+M29+Q29</f>
        <v>1499573</v>
      </c>
    </row>
    <row r="30" spans="1:20" s="50" customFormat="1" ht="16.5" customHeight="1" thickBot="1" x14ac:dyDescent="0.35">
      <c r="A30" s="46" t="s">
        <v>41</v>
      </c>
      <c r="B30" s="47">
        <f>(B29/B10)/1.983</f>
        <v>2330.5841588990288</v>
      </c>
      <c r="C30" s="47">
        <f>(C29/C10)/1.983</f>
        <v>1700.5581929156449</v>
      </c>
      <c r="D30" s="47">
        <f>(D29/D10)/1.983</f>
        <v>2289.0699982105962</v>
      </c>
      <c r="E30" s="48"/>
      <c r="F30" s="47">
        <f>(F29/F10)/1.983</f>
        <v>2933.5014288115649</v>
      </c>
      <c r="G30" s="47">
        <f>(G29/G10)/1.983</f>
        <v>2928.3913262733231</v>
      </c>
      <c r="H30" s="47">
        <f>(H29/H10)/1.983</f>
        <v>1310.6404437720626</v>
      </c>
      <c r="I30" s="48"/>
      <c r="J30" s="47">
        <f>(J29/J10)/1.983</f>
        <v>1145.2670278008231</v>
      </c>
      <c r="K30" s="47">
        <f>(K29/K10)/1.983</f>
        <v>1142.8920013664535</v>
      </c>
      <c r="L30" s="47">
        <f>(L29/L10)/1.983</f>
        <v>2406.286770885863</v>
      </c>
      <c r="M30" s="48"/>
      <c r="N30" s="47">
        <f>(N29/N10)/1.983</f>
        <v>2202.0073853561726</v>
      </c>
      <c r="O30" s="47">
        <f>(O29/O10)/1.983</f>
        <v>2204.4545301731382</v>
      </c>
      <c r="P30" s="47">
        <f>(P29/P10)/1.983</f>
        <v>2195.7119385746587</v>
      </c>
      <c r="Q30" s="49"/>
      <c r="R30" s="48"/>
      <c r="T30" s="51" t="s">
        <v>42</v>
      </c>
    </row>
    <row r="31" spans="1:20" ht="15.75" customHeight="1" x14ac:dyDescent="0.3">
      <c r="A31" s="28"/>
      <c r="B31" s="1"/>
      <c r="C31" s="1"/>
      <c r="D31" s="1"/>
      <c r="E31" s="1"/>
      <c r="F31" s="1"/>
      <c r="G31" s="1"/>
      <c r="H31" s="1"/>
      <c r="I31" s="1"/>
      <c r="J31" s="1"/>
      <c r="K31" s="1"/>
      <c r="L31" s="1"/>
      <c r="M31" s="1"/>
      <c r="N31" s="1"/>
      <c r="O31" s="1"/>
      <c r="P31" s="1"/>
      <c r="Q31" s="1"/>
      <c r="R31" s="28"/>
      <c r="T31" s="52" t="s">
        <v>43</v>
      </c>
    </row>
    <row r="32" spans="1:20" ht="15.75" customHeight="1" thickBot="1" x14ac:dyDescent="0.35">
      <c r="A32" s="28"/>
      <c r="B32" s="1"/>
      <c r="C32" s="1"/>
      <c r="D32" s="1"/>
      <c r="E32" s="1"/>
      <c r="F32" s="1"/>
      <c r="G32" s="1"/>
      <c r="H32" s="1"/>
      <c r="I32" s="1"/>
      <c r="J32" s="1"/>
      <c r="K32" s="1"/>
      <c r="L32" s="1"/>
      <c r="M32" s="1"/>
      <c r="N32" s="1"/>
      <c r="O32" s="1"/>
      <c r="P32" s="1"/>
      <c r="Q32" s="1"/>
      <c r="R32" s="28"/>
    </row>
    <row r="33" spans="1:18" ht="15.75" customHeight="1" thickBot="1" x14ac:dyDescent="0.35">
      <c r="A33" s="53" t="s">
        <v>44</v>
      </c>
      <c r="B33" s="54" t="s">
        <v>36</v>
      </c>
      <c r="C33" s="11" t="s">
        <v>9</v>
      </c>
      <c r="D33" s="11" t="s">
        <v>10</v>
      </c>
      <c r="E33" s="12" t="s">
        <v>11</v>
      </c>
      <c r="F33" s="11" t="s">
        <v>12</v>
      </c>
      <c r="G33" s="11" t="s">
        <v>13</v>
      </c>
      <c r="H33" s="11" t="s">
        <v>14</v>
      </c>
      <c r="I33" s="12" t="s">
        <v>15</v>
      </c>
      <c r="J33" s="11" t="s">
        <v>16</v>
      </c>
      <c r="K33" s="11" t="s">
        <v>17</v>
      </c>
      <c r="L33" s="11" t="s">
        <v>18</v>
      </c>
      <c r="M33" s="12" t="s">
        <v>19</v>
      </c>
      <c r="N33" s="11" t="s">
        <v>20</v>
      </c>
      <c r="O33" s="11" t="s">
        <v>21</v>
      </c>
      <c r="P33" s="11" t="s">
        <v>22</v>
      </c>
      <c r="Q33" s="12" t="s">
        <v>23</v>
      </c>
      <c r="R33" s="13" t="s">
        <v>24</v>
      </c>
    </row>
    <row r="34" spans="1:18" ht="16.5" customHeight="1" thickBot="1" x14ac:dyDescent="0.35">
      <c r="A34" s="43"/>
      <c r="B34" s="55"/>
      <c r="C34" s="56"/>
      <c r="D34" s="56"/>
      <c r="E34" s="16"/>
      <c r="F34" s="56"/>
      <c r="G34" s="56"/>
      <c r="H34" s="56"/>
      <c r="I34" s="16"/>
      <c r="J34" s="56"/>
      <c r="K34" s="56"/>
      <c r="L34" s="56"/>
      <c r="M34" s="16"/>
      <c r="N34" s="56"/>
      <c r="O34" s="56"/>
      <c r="P34" s="56"/>
      <c r="Q34" s="16"/>
      <c r="R34" s="57"/>
    </row>
    <row r="35" spans="1:18" ht="15.75" customHeight="1" x14ac:dyDescent="0.3">
      <c r="A35" s="58" t="s">
        <v>45</v>
      </c>
      <c r="B35" s="30"/>
      <c r="C35" s="30"/>
      <c r="D35" s="30"/>
      <c r="E35" s="59" t="s">
        <v>7</v>
      </c>
      <c r="F35" s="30"/>
      <c r="G35" s="30"/>
      <c r="H35" s="30"/>
      <c r="I35" s="59" t="s">
        <v>7</v>
      </c>
      <c r="J35" s="30"/>
      <c r="K35" s="30"/>
      <c r="L35" s="30"/>
      <c r="M35" s="59" t="s">
        <v>7</v>
      </c>
      <c r="N35" s="30"/>
      <c r="O35" s="30"/>
      <c r="P35" s="30"/>
      <c r="Q35" s="59" t="s">
        <v>7</v>
      </c>
      <c r="R35" s="59" t="s">
        <v>7</v>
      </c>
    </row>
    <row r="36" spans="1:18" ht="15.75" customHeight="1" x14ac:dyDescent="0.3">
      <c r="A36" s="22" t="s">
        <v>46</v>
      </c>
      <c r="B36" s="30" t="s">
        <v>7</v>
      </c>
      <c r="C36" s="60"/>
      <c r="D36" s="60"/>
      <c r="E36" s="59" t="s">
        <v>7</v>
      </c>
      <c r="F36" s="60"/>
      <c r="G36" s="60"/>
      <c r="H36" s="60"/>
      <c r="I36" s="59" t="s">
        <v>7</v>
      </c>
      <c r="J36" s="60"/>
      <c r="K36" s="60"/>
      <c r="L36" s="60"/>
      <c r="M36" s="59" t="s">
        <v>7</v>
      </c>
      <c r="N36" s="60"/>
      <c r="O36" s="60"/>
      <c r="P36" s="60"/>
      <c r="Q36" s="59" t="s">
        <v>7</v>
      </c>
      <c r="R36" s="59" t="s">
        <v>7</v>
      </c>
    </row>
    <row r="37" spans="1:18" ht="15.75" customHeight="1" x14ac:dyDescent="0.3">
      <c r="A37" s="22" t="s">
        <v>47</v>
      </c>
      <c r="B37" s="30"/>
      <c r="C37" s="30"/>
      <c r="D37" s="30"/>
      <c r="E37" s="59" t="s">
        <v>7</v>
      </c>
      <c r="F37" s="30"/>
      <c r="G37" s="30"/>
      <c r="H37" s="30"/>
      <c r="I37" s="59" t="s">
        <v>7</v>
      </c>
      <c r="J37" s="30"/>
      <c r="K37" s="30"/>
      <c r="L37" s="30"/>
      <c r="M37" s="59" t="s">
        <v>7</v>
      </c>
      <c r="N37" s="30"/>
      <c r="O37" s="30"/>
      <c r="P37" s="30"/>
      <c r="Q37" s="59" t="s">
        <v>7</v>
      </c>
      <c r="R37" s="59" t="s">
        <v>7</v>
      </c>
    </row>
    <row r="38" spans="1:18" ht="15.75" customHeight="1" x14ac:dyDescent="0.3">
      <c r="A38" s="61" t="s">
        <v>48</v>
      </c>
      <c r="B38" s="1"/>
      <c r="C38" s="1"/>
      <c r="D38" s="1"/>
      <c r="E38" s="59">
        <f>SUM(B38:D38)</f>
        <v>0</v>
      </c>
      <c r="F38" s="1"/>
      <c r="G38" s="1"/>
      <c r="H38" s="1"/>
      <c r="I38" s="59">
        <f>SUM(F38:H38)</f>
        <v>0</v>
      </c>
      <c r="J38" s="1"/>
      <c r="K38" s="1"/>
      <c r="L38" s="1"/>
      <c r="M38" s="59">
        <f>SUM(J38:L38)</f>
        <v>0</v>
      </c>
      <c r="N38" s="1"/>
      <c r="O38" s="1"/>
      <c r="P38" s="1"/>
      <c r="Q38" s="59">
        <f>SUM(N38:P38)</f>
        <v>0</v>
      </c>
      <c r="R38" s="59">
        <f>+E38+I38+M38+Q38</f>
        <v>0</v>
      </c>
    </row>
    <row r="39" spans="1:18" ht="15.75" customHeight="1" x14ac:dyDescent="0.3">
      <c r="A39" s="22" t="s">
        <v>898</v>
      </c>
      <c r="B39" s="30"/>
      <c r="C39" s="30"/>
      <c r="D39" s="30"/>
      <c r="E39" s="59" t="s">
        <v>50</v>
      </c>
      <c r="F39" s="30"/>
      <c r="G39" s="30"/>
      <c r="H39" s="30"/>
      <c r="I39" s="59" t="s">
        <v>50</v>
      </c>
      <c r="J39" s="30"/>
      <c r="K39" s="30"/>
      <c r="L39" s="30"/>
      <c r="M39" s="59" t="s">
        <v>50</v>
      </c>
      <c r="N39" s="30"/>
      <c r="O39" s="30"/>
      <c r="P39" s="30"/>
      <c r="Q39" s="59" t="s">
        <v>50</v>
      </c>
      <c r="R39" s="59" t="s">
        <v>50</v>
      </c>
    </row>
    <row r="40" spans="1:18" ht="15.75" customHeight="1" thickBot="1" x14ac:dyDescent="0.35">
      <c r="A40" s="22" t="s">
        <v>51</v>
      </c>
      <c r="B40" s="60"/>
      <c r="C40" s="60"/>
      <c r="D40" s="60"/>
      <c r="E40" s="59" t="s">
        <v>7</v>
      </c>
      <c r="F40" s="60"/>
      <c r="G40" s="60"/>
      <c r="H40" s="60"/>
      <c r="I40" s="59" t="s">
        <v>7</v>
      </c>
      <c r="J40" s="60"/>
      <c r="K40" s="60"/>
      <c r="L40" s="60"/>
      <c r="M40" s="59" t="s">
        <v>7</v>
      </c>
      <c r="N40" s="60"/>
      <c r="O40" s="60"/>
      <c r="P40" s="60"/>
      <c r="Q40" s="59" t="s">
        <v>7</v>
      </c>
      <c r="R40" s="59" t="s">
        <v>7</v>
      </c>
    </row>
    <row r="41" spans="1:18" ht="16.5" customHeight="1" thickBot="1" x14ac:dyDescent="0.35">
      <c r="A41" s="62" t="s">
        <v>52</v>
      </c>
      <c r="B41" s="63">
        <f>SUM(B35:B40)</f>
        <v>0</v>
      </c>
      <c r="C41" s="63">
        <f>SUM(C35:C40)</f>
        <v>0</v>
      </c>
      <c r="D41" s="63">
        <f>SUM(D35:D40)</f>
        <v>0</v>
      </c>
      <c r="E41" s="64">
        <f>SUM(B41:D41)</f>
        <v>0</v>
      </c>
      <c r="F41" s="63">
        <f>SUM(F35:F40)</f>
        <v>0</v>
      </c>
      <c r="G41" s="63">
        <f>SUM(G35:G40)</f>
        <v>0</v>
      </c>
      <c r="H41" s="63">
        <f>SUM(H35:H40)</f>
        <v>0</v>
      </c>
      <c r="I41" s="64">
        <f>SUM(F41:H41)</f>
        <v>0</v>
      </c>
      <c r="J41" s="63">
        <f>SUM(J35:J40)</f>
        <v>0</v>
      </c>
      <c r="K41" s="63">
        <f>SUM(K35:K40)</f>
        <v>0</v>
      </c>
      <c r="L41" s="63">
        <f>SUM(L35:L40)</f>
        <v>0</v>
      </c>
      <c r="M41" s="64">
        <f>SUM(J41:L41)</f>
        <v>0</v>
      </c>
      <c r="N41" s="63">
        <f>SUM(N35:N40)</f>
        <v>0</v>
      </c>
      <c r="O41" s="63">
        <f>SUM(O35:O40)</f>
        <v>0</v>
      </c>
      <c r="P41" s="63">
        <f>SUM(P35:P40)</f>
        <v>0</v>
      </c>
      <c r="Q41" s="64">
        <f>SUM(N41:P41)</f>
        <v>0</v>
      </c>
      <c r="R41" s="64">
        <f>+E41+I41+M41+Q41</f>
        <v>0</v>
      </c>
    </row>
    <row r="42" spans="1:18" ht="15.75" customHeight="1" x14ac:dyDescent="0.3">
      <c r="A42" s="22" t="s">
        <v>53</v>
      </c>
      <c r="B42" s="60"/>
      <c r="C42" s="60"/>
      <c r="D42" s="60"/>
      <c r="E42" s="59" t="s">
        <v>7</v>
      </c>
      <c r="F42" s="60"/>
      <c r="G42" s="60"/>
      <c r="H42" s="60"/>
      <c r="I42" s="59" t="s">
        <v>7</v>
      </c>
      <c r="J42" s="60"/>
      <c r="K42" s="60"/>
      <c r="L42" s="60"/>
      <c r="M42" s="59" t="s">
        <v>7</v>
      </c>
      <c r="N42" s="60"/>
      <c r="O42" s="60"/>
      <c r="P42" s="60"/>
      <c r="Q42" s="59" t="s">
        <v>7</v>
      </c>
      <c r="R42" s="65" t="s">
        <v>7</v>
      </c>
    </row>
    <row r="43" spans="1:18" ht="15.75" customHeight="1" x14ac:dyDescent="0.3">
      <c r="A43" s="22" t="s">
        <v>54</v>
      </c>
      <c r="B43" s="60"/>
      <c r="C43" s="60"/>
      <c r="D43" s="60"/>
      <c r="E43" s="59"/>
      <c r="F43" s="60"/>
      <c r="G43" s="60"/>
      <c r="H43" s="60"/>
      <c r="I43" s="59"/>
      <c r="J43" s="60"/>
      <c r="K43" s="60"/>
      <c r="L43" s="60"/>
      <c r="M43" s="59"/>
      <c r="N43" s="60"/>
      <c r="O43" s="60"/>
      <c r="P43" s="60"/>
      <c r="Q43" s="59"/>
      <c r="R43" s="59"/>
    </row>
    <row r="44" spans="1:18" ht="15.75" customHeight="1" x14ac:dyDescent="0.3">
      <c r="A44" s="22" t="s">
        <v>55</v>
      </c>
      <c r="B44" s="60"/>
      <c r="C44" s="60"/>
      <c r="D44" s="60"/>
      <c r="E44" s="59" t="s">
        <v>7</v>
      </c>
      <c r="F44" s="60"/>
      <c r="G44" s="60"/>
      <c r="H44" s="60"/>
      <c r="I44" s="59" t="s">
        <v>7</v>
      </c>
      <c r="J44" s="60"/>
      <c r="K44" s="60"/>
      <c r="L44" s="60"/>
      <c r="M44" s="59" t="s">
        <v>7</v>
      </c>
      <c r="N44" s="60"/>
      <c r="O44" s="60"/>
      <c r="P44" s="60"/>
      <c r="Q44" s="59" t="s">
        <v>7</v>
      </c>
      <c r="R44" s="59" t="s">
        <v>7</v>
      </c>
    </row>
    <row r="45" spans="1:18" ht="15.75" customHeight="1" thickBot="1" x14ac:dyDescent="0.35">
      <c r="A45" s="22" t="s">
        <v>56</v>
      </c>
      <c r="B45" s="60"/>
      <c r="C45" s="60"/>
      <c r="D45" s="60"/>
      <c r="E45" s="59" t="s">
        <v>7</v>
      </c>
      <c r="F45" s="60"/>
      <c r="G45" s="60"/>
      <c r="H45" s="60"/>
      <c r="I45" s="59" t="s">
        <v>7</v>
      </c>
      <c r="J45" s="60"/>
      <c r="K45" s="60"/>
      <c r="L45" s="60"/>
      <c r="M45" s="59" t="s">
        <v>7</v>
      </c>
      <c r="N45" s="60"/>
      <c r="O45" s="60"/>
      <c r="P45" s="60"/>
      <c r="Q45" s="59" t="s">
        <v>7</v>
      </c>
      <c r="R45" s="59" t="s">
        <v>7</v>
      </c>
    </row>
    <row r="46" spans="1:18" ht="16.5" customHeight="1" thickBot="1" x14ac:dyDescent="0.35">
      <c r="A46" s="62" t="s">
        <v>57</v>
      </c>
      <c r="B46" s="63">
        <f>SUM(B42:B45)</f>
        <v>0</v>
      </c>
      <c r="C46" s="63">
        <f>SUM(C42:C45)</f>
        <v>0</v>
      </c>
      <c r="D46" s="63">
        <f>SUM(D42:D45)</f>
        <v>0</v>
      </c>
      <c r="E46" s="64">
        <f>SUM(B46:D46)</f>
        <v>0</v>
      </c>
      <c r="F46" s="63">
        <f>SUM(F42:F45)</f>
        <v>0</v>
      </c>
      <c r="G46" s="63">
        <f>SUM(G42:G45)</f>
        <v>0</v>
      </c>
      <c r="H46" s="63">
        <f>SUM(H42:H45)</f>
        <v>0</v>
      </c>
      <c r="I46" s="64">
        <f>SUM(F46:H46)</f>
        <v>0</v>
      </c>
      <c r="J46" s="63">
        <f>SUM(J42:J45)</f>
        <v>0</v>
      </c>
      <c r="K46" s="63">
        <f>SUM(K42:K45)</f>
        <v>0</v>
      </c>
      <c r="L46" s="63">
        <f>SUM(L42:L45)</f>
        <v>0</v>
      </c>
      <c r="M46" s="64">
        <f>SUM(J46:L46)</f>
        <v>0</v>
      </c>
      <c r="N46" s="63">
        <f>SUM(N42:N45)</f>
        <v>0</v>
      </c>
      <c r="O46" s="63">
        <f>SUM(O42:O45)</f>
        <v>0</v>
      </c>
      <c r="P46" s="63">
        <f>SUM(P42:P45)</f>
        <v>0</v>
      </c>
      <c r="Q46" s="64">
        <f>SUM(N46:P46)</f>
        <v>0</v>
      </c>
      <c r="R46" s="64">
        <f>+E46+I46+M46+Q46</f>
        <v>0</v>
      </c>
    </row>
    <row r="47" spans="1:18" ht="15.75" customHeight="1" x14ac:dyDescent="0.3">
      <c r="A47" s="22" t="s">
        <v>58</v>
      </c>
      <c r="B47" s="60"/>
      <c r="C47" s="60"/>
      <c r="D47" s="60"/>
      <c r="E47" s="59" t="s">
        <v>7</v>
      </c>
      <c r="F47" s="60"/>
      <c r="G47" s="60"/>
      <c r="H47" s="60"/>
      <c r="I47" s="59" t="s">
        <v>7</v>
      </c>
      <c r="J47" s="60"/>
      <c r="K47" s="60"/>
      <c r="L47" s="60"/>
      <c r="M47" s="59" t="s">
        <v>7</v>
      </c>
      <c r="N47" s="60"/>
      <c r="O47" s="60"/>
      <c r="P47" s="60"/>
      <c r="Q47" s="59" t="s">
        <v>7</v>
      </c>
      <c r="R47" s="59" t="s">
        <v>7</v>
      </c>
    </row>
    <row r="48" spans="1:18" ht="15.75" customHeight="1" x14ac:dyDescent="0.3">
      <c r="A48" s="22" t="s">
        <v>59</v>
      </c>
      <c r="B48" s="60"/>
      <c r="C48" s="60"/>
      <c r="D48" s="60"/>
      <c r="E48" s="59" t="s">
        <v>7</v>
      </c>
      <c r="F48" s="60"/>
      <c r="G48" s="60"/>
      <c r="H48" s="60"/>
      <c r="I48" s="59" t="s">
        <v>7</v>
      </c>
      <c r="J48" s="60"/>
      <c r="K48" s="60"/>
      <c r="L48" s="60"/>
      <c r="M48" s="59" t="s">
        <v>7</v>
      </c>
      <c r="N48" s="60"/>
      <c r="O48" s="60"/>
      <c r="P48" s="60"/>
      <c r="Q48" s="59" t="s">
        <v>7</v>
      </c>
      <c r="R48" s="59" t="s">
        <v>7</v>
      </c>
    </row>
    <row r="49" spans="1:18" ht="15.75" customHeight="1" thickBot="1" x14ac:dyDescent="0.35">
      <c r="A49" s="22" t="s">
        <v>60</v>
      </c>
      <c r="B49" s="60"/>
      <c r="C49" s="60"/>
      <c r="D49" s="60"/>
      <c r="E49" s="59"/>
      <c r="F49" s="60"/>
      <c r="G49" s="60"/>
      <c r="H49" s="60"/>
      <c r="I49" s="59"/>
      <c r="J49" s="60"/>
      <c r="K49" s="60"/>
      <c r="L49" s="60"/>
      <c r="M49" s="59"/>
      <c r="N49" s="60"/>
      <c r="O49" s="60"/>
      <c r="P49" s="60"/>
      <c r="Q49" s="59"/>
      <c r="R49" s="59"/>
    </row>
    <row r="50" spans="1:18" ht="16.5" customHeight="1" thickBot="1" x14ac:dyDescent="0.35">
      <c r="A50" s="62" t="s">
        <v>61</v>
      </c>
      <c r="B50" s="63">
        <f>SUM(B47:B49)</f>
        <v>0</v>
      </c>
      <c r="C50" s="63">
        <f>SUM(C47:C49)</f>
        <v>0</v>
      </c>
      <c r="D50" s="63">
        <f>SUM(D47:D49)</f>
        <v>0</v>
      </c>
      <c r="E50" s="64">
        <f>SUM(B50:D50)</f>
        <v>0</v>
      </c>
      <c r="F50" s="63">
        <f>SUM(F47:F49)</f>
        <v>0</v>
      </c>
      <c r="G50" s="63">
        <f>SUM(G47:G49)</f>
        <v>0</v>
      </c>
      <c r="H50" s="63">
        <f>SUM(H47:H49)</f>
        <v>0</v>
      </c>
      <c r="I50" s="64">
        <f>SUM(F50:H50)</f>
        <v>0</v>
      </c>
      <c r="J50" s="63">
        <f>SUM(J47:J49)</f>
        <v>0</v>
      </c>
      <c r="K50" s="63">
        <f>SUM(K47:K49)</f>
        <v>0</v>
      </c>
      <c r="L50" s="63">
        <f>SUM(L47:L49)</f>
        <v>0</v>
      </c>
      <c r="M50" s="64">
        <f>SUM(J50:L50)</f>
        <v>0</v>
      </c>
      <c r="N50" s="63">
        <f>SUM(N47:N49)</f>
        <v>0</v>
      </c>
      <c r="O50" s="63">
        <f>SUM(O47:O49)</f>
        <v>0</v>
      </c>
      <c r="P50" s="63">
        <f>SUM(P47:P49)</f>
        <v>0</v>
      </c>
      <c r="Q50" s="64">
        <f>SUM(N50:P50)</f>
        <v>0</v>
      </c>
      <c r="R50" s="64">
        <f>+E50+I50+M50+Q50</f>
        <v>0</v>
      </c>
    </row>
    <row r="51" spans="1:18" ht="15.75" customHeight="1" x14ac:dyDescent="0.3">
      <c r="A51" s="22" t="s">
        <v>62</v>
      </c>
      <c r="B51" s="60"/>
      <c r="C51" s="60"/>
      <c r="D51" s="60"/>
      <c r="E51" s="59" t="s">
        <v>7</v>
      </c>
      <c r="F51" s="60"/>
      <c r="G51" s="60"/>
      <c r="H51" s="60"/>
      <c r="I51" s="59" t="s">
        <v>7</v>
      </c>
      <c r="J51" s="60"/>
      <c r="K51" s="60"/>
      <c r="L51" s="60"/>
      <c r="M51" s="59" t="s">
        <v>7</v>
      </c>
      <c r="N51" s="60"/>
      <c r="O51" s="60"/>
      <c r="P51" s="60"/>
      <c r="Q51" s="59" t="s">
        <v>7</v>
      </c>
      <c r="R51" s="59" t="s">
        <v>7</v>
      </c>
    </row>
    <row r="52" spans="1:18" ht="15.75" customHeight="1" x14ac:dyDescent="0.3">
      <c r="A52" s="22" t="s">
        <v>63</v>
      </c>
      <c r="B52" s="60"/>
      <c r="C52" s="60"/>
      <c r="D52" s="60"/>
      <c r="E52" s="59" t="s">
        <v>7</v>
      </c>
      <c r="F52" s="60"/>
      <c r="G52" s="60"/>
      <c r="H52" s="60"/>
      <c r="I52" s="59" t="s">
        <v>7</v>
      </c>
      <c r="J52" s="60"/>
      <c r="K52" s="60"/>
      <c r="L52" s="60"/>
      <c r="M52" s="59" t="s">
        <v>7</v>
      </c>
      <c r="N52" s="60"/>
      <c r="O52" s="60"/>
      <c r="P52" s="60"/>
      <c r="Q52" s="59" t="s">
        <v>7</v>
      </c>
      <c r="R52" s="59" t="s">
        <v>7</v>
      </c>
    </row>
    <row r="53" spans="1:18" ht="15.75" customHeight="1" x14ac:dyDescent="0.3">
      <c r="A53" s="22" t="s">
        <v>64</v>
      </c>
      <c r="B53" s="60"/>
      <c r="C53" s="60"/>
      <c r="D53" s="60"/>
      <c r="E53" s="59" t="s">
        <v>7</v>
      </c>
      <c r="F53" s="60"/>
      <c r="G53" s="60"/>
      <c r="H53" s="60"/>
      <c r="I53" s="59" t="s">
        <v>7</v>
      </c>
      <c r="J53" s="60"/>
      <c r="K53" s="60"/>
      <c r="L53" s="60"/>
      <c r="M53" s="59" t="s">
        <v>7</v>
      </c>
      <c r="N53" s="60"/>
      <c r="O53" s="60"/>
      <c r="P53" s="60"/>
      <c r="Q53" s="59" t="s">
        <v>7</v>
      </c>
      <c r="R53" s="59" t="s">
        <v>7</v>
      </c>
    </row>
    <row r="54" spans="1:18" ht="15.75" customHeight="1" x14ac:dyDescent="0.3">
      <c r="A54" s="61" t="s">
        <v>65</v>
      </c>
      <c r="B54" s="1"/>
      <c r="C54" s="1"/>
      <c r="D54" s="1"/>
      <c r="E54" s="59">
        <f>SUM(B54:D54)</f>
        <v>0</v>
      </c>
      <c r="F54" s="1"/>
      <c r="G54" s="1"/>
      <c r="H54" s="1"/>
      <c r="I54" s="59">
        <f>SUM(F54:H54)</f>
        <v>0</v>
      </c>
      <c r="J54" s="1"/>
      <c r="K54" s="1"/>
      <c r="L54" s="1"/>
      <c r="M54" s="59">
        <f>SUM(J54:L54)</f>
        <v>0</v>
      </c>
      <c r="N54" s="1"/>
      <c r="O54" s="1"/>
      <c r="P54" s="1"/>
      <c r="Q54" s="59">
        <f>SUM(N54:P54)</f>
        <v>0</v>
      </c>
      <c r="R54" s="59">
        <f>+E54+I54+M54+Q54</f>
        <v>0</v>
      </c>
    </row>
    <row r="55" spans="1:18" ht="15.75" customHeight="1" x14ac:dyDescent="0.3">
      <c r="A55" s="22" t="s">
        <v>66</v>
      </c>
      <c r="B55" s="60"/>
      <c r="C55" s="60"/>
      <c r="D55" s="60"/>
      <c r="E55" s="59" t="s">
        <v>7</v>
      </c>
      <c r="F55" s="60"/>
      <c r="G55" s="60"/>
      <c r="H55" s="60"/>
      <c r="I55" s="59" t="s">
        <v>7</v>
      </c>
      <c r="J55" s="60"/>
      <c r="K55" s="60"/>
      <c r="L55" s="60"/>
      <c r="M55" s="59" t="s">
        <v>7</v>
      </c>
      <c r="N55" s="60"/>
      <c r="O55" s="60"/>
      <c r="P55" s="60"/>
      <c r="Q55" s="59" t="s">
        <v>7</v>
      </c>
      <c r="R55" s="59" t="s">
        <v>7</v>
      </c>
    </row>
    <row r="56" spans="1:18" ht="15.75" customHeight="1" thickBot="1" x14ac:dyDescent="0.35">
      <c r="A56" s="22" t="s">
        <v>67</v>
      </c>
      <c r="B56" s="60"/>
      <c r="C56" s="60"/>
      <c r="D56" s="60"/>
      <c r="E56" s="59" t="s">
        <v>7</v>
      </c>
      <c r="F56" s="60"/>
      <c r="G56" s="60"/>
      <c r="H56" s="60"/>
      <c r="I56" s="59" t="s">
        <v>7</v>
      </c>
      <c r="J56" s="60"/>
      <c r="K56" s="60"/>
      <c r="L56" s="60"/>
      <c r="M56" s="59" t="s">
        <v>7</v>
      </c>
      <c r="N56" s="60"/>
      <c r="O56" s="60"/>
      <c r="P56" s="60"/>
      <c r="Q56" s="59" t="s">
        <v>7</v>
      </c>
      <c r="R56" s="59" t="s">
        <v>7</v>
      </c>
    </row>
    <row r="57" spans="1:18" ht="16.5" customHeight="1" thickBot="1" x14ac:dyDescent="0.35">
      <c r="A57" s="62" t="s">
        <v>68</v>
      </c>
      <c r="B57" s="63">
        <f>SUM(B55:B56)</f>
        <v>0</v>
      </c>
      <c r="C57" s="63">
        <f>SUM(C55:C56)</f>
        <v>0</v>
      </c>
      <c r="D57" s="63">
        <f>SUM(D55:D56)</f>
        <v>0</v>
      </c>
      <c r="E57" s="65">
        <f>SUM(B57:D57)</f>
        <v>0</v>
      </c>
      <c r="F57" s="63">
        <f>SUM(F55:F56)</f>
        <v>0</v>
      </c>
      <c r="G57" s="63">
        <f>SUM(G55:G56)</f>
        <v>0</v>
      </c>
      <c r="H57" s="63">
        <f>SUM(H55:H56)</f>
        <v>0</v>
      </c>
      <c r="I57" s="65">
        <f>SUM(F57:H57)</f>
        <v>0</v>
      </c>
      <c r="J57" s="63">
        <f>SUM(J55:J56)</f>
        <v>0</v>
      </c>
      <c r="K57" s="63">
        <f>SUM(K55:K56)</f>
        <v>0</v>
      </c>
      <c r="L57" s="63">
        <f>SUM(L55:L56)</f>
        <v>0</v>
      </c>
      <c r="M57" s="65">
        <f>SUM(J57:L57)</f>
        <v>0</v>
      </c>
      <c r="N57" s="63">
        <f>SUM(N55:N56)</f>
        <v>0</v>
      </c>
      <c r="O57" s="63">
        <f>SUM(O55:O56)</f>
        <v>0</v>
      </c>
      <c r="P57" s="63">
        <f>SUM(P55:P56)</f>
        <v>0</v>
      </c>
      <c r="Q57" s="65">
        <f>SUM(N57:P57)</f>
        <v>0</v>
      </c>
      <c r="R57" s="64">
        <f>+E57+I57+M57+Q57</f>
        <v>0</v>
      </c>
    </row>
    <row r="58" spans="1:18" ht="16.5" customHeight="1" thickBot="1" x14ac:dyDescent="0.35">
      <c r="A58" s="62" t="s">
        <v>69</v>
      </c>
      <c r="B58" s="63">
        <f>SUM(B51:B56)</f>
        <v>0</v>
      </c>
      <c r="C58" s="63">
        <f>SUM(C51:C56)</f>
        <v>0</v>
      </c>
      <c r="D58" s="63">
        <f>SUM(D51:D56)</f>
        <v>0</v>
      </c>
      <c r="E58" s="65">
        <f>SUM(B58:D58)</f>
        <v>0</v>
      </c>
      <c r="F58" s="63">
        <f>SUM(F51:F56)</f>
        <v>0</v>
      </c>
      <c r="G58" s="63">
        <f>SUM(G51:G56)</f>
        <v>0</v>
      </c>
      <c r="H58" s="63">
        <f>SUM(H51:H56)</f>
        <v>0</v>
      </c>
      <c r="I58" s="65">
        <f>SUM(F58:H58)</f>
        <v>0</v>
      </c>
      <c r="J58" s="63">
        <f>SUM(J51:J56)</f>
        <v>0</v>
      </c>
      <c r="K58" s="63">
        <f>SUM(K51:K56)</f>
        <v>0</v>
      </c>
      <c r="L58" s="63">
        <f>SUM(L51:L56)</f>
        <v>0</v>
      </c>
      <c r="M58" s="65">
        <f>SUM(J58:L58)</f>
        <v>0</v>
      </c>
      <c r="N58" s="63">
        <f>SUM(N51:N56)</f>
        <v>0</v>
      </c>
      <c r="O58" s="63">
        <f>SUM(O51:O56)</f>
        <v>0</v>
      </c>
      <c r="P58" s="63">
        <f>SUM(P51:P56)</f>
        <v>0</v>
      </c>
      <c r="Q58" s="65">
        <f>SUM(N58:P58)</f>
        <v>0</v>
      </c>
      <c r="R58" s="64">
        <f>+E58+I58+M58+Q58</f>
        <v>0</v>
      </c>
    </row>
    <row r="59" spans="1:18" ht="16.5" customHeight="1" thickBot="1" x14ac:dyDescent="0.35">
      <c r="A59" s="62" t="s">
        <v>70</v>
      </c>
      <c r="B59" s="63">
        <f>+B41+B46+B50+B58</f>
        <v>0</v>
      </c>
      <c r="C59" s="63">
        <f>+C41+C46+C50+C58</f>
        <v>0</v>
      </c>
      <c r="D59" s="63">
        <f>+D41+D46+D50+D58</f>
        <v>0</v>
      </c>
      <c r="E59" s="64">
        <f>SUM(B59:D59)</f>
        <v>0</v>
      </c>
      <c r="F59" s="63">
        <f>+F41+F46+F50+F58</f>
        <v>0</v>
      </c>
      <c r="G59" s="63">
        <f>+G41+G46+G50+G58</f>
        <v>0</v>
      </c>
      <c r="H59" s="63">
        <f>+H41+H46+H50+H58</f>
        <v>0</v>
      </c>
      <c r="I59" s="64">
        <f>SUM(F59:H59)</f>
        <v>0</v>
      </c>
      <c r="J59" s="63">
        <f>+J41+J46+J50+J58</f>
        <v>0</v>
      </c>
      <c r="K59" s="63">
        <f>+K41+K46+K50+K58</f>
        <v>0</v>
      </c>
      <c r="L59" s="63">
        <f>+L41+L46+L50+L58</f>
        <v>0</v>
      </c>
      <c r="M59" s="64">
        <f>SUM(J59:L59)</f>
        <v>0</v>
      </c>
      <c r="N59" s="63">
        <f>+N41+N46+N50+N58</f>
        <v>0</v>
      </c>
      <c r="O59" s="63">
        <f>+O41+O46+O50+O58</f>
        <v>0</v>
      </c>
      <c r="P59" s="63">
        <f>+P41+P46+P50+P58</f>
        <v>0</v>
      </c>
      <c r="Q59" s="64">
        <f>SUM(N59:P59)</f>
        <v>0</v>
      </c>
      <c r="R59" s="64">
        <f>+E59+I59+M59+Q59</f>
        <v>0</v>
      </c>
    </row>
    <row r="60" spans="1:18" ht="16.5" customHeight="1" thickBot="1" x14ac:dyDescent="0.35">
      <c r="A60" s="66" t="s">
        <v>37</v>
      </c>
      <c r="B60" s="67">
        <v>96</v>
      </c>
      <c r="C60" s="67">
        <v>145</v>
      </c>
      <c r="D60" s="67">
        <v>261</v>
      </c>
      <c r="E60" s="43">
        <f>SUM(B60:D60)</f>
        <v>502</v>
      </c>
      <c r="F60" s="67">
        <v>350</v>
      </c>
      <c r="G60" s="67">
        <v>402</v>
      </c>
      <c r="H60" s="67">
        <v>396</v>
      </c>
      <c r="I60" s="43">
        <f>SUM(F60:H60)</f>
        <v>1148</v>
      </c>
      <c r="J60" s="67">
        <v>394</v>
      </c>
      <c r="K60" s="67">
        <v>318</v>
      </c>
      <c r="L60" s="67">
        <v>301</v>
      </c>
      <c r="M60" s="43">
        <f>SUM(J60:L60)</f>
        <v>1013</v>
      </c>
      <c r="N60" s="67">
        <v>272</v>
      </c>
      <c r="O60" s="67">
        <v>226</v>
      </c>
      <c r="P60" s="67">
        <v>179</v>
      </c>
      <c r="Q60" s="43">
        <f>SUM(N60:P60)</f>
        <v>677</v>
      </c>
      <c r="R60" s="43">
        <f>+E60+I60+M60+Q60</f>
        <v>3340</v>
      </c>
    </row>
    <row r="61" spans="1:18" ht="16.5" customHeight="1" thickBot="1" x14ac:dyDescent="0.35">
      <c r="A61" s="42"/>
      <c r="B61" s="37"/>
      <c r="C61" s="37"/>
      <c r="D61" s="37"/>
      <c r="E61" s="26"/>
      <c r="F61" s="37"/>
      <c r="G61" s="37"/>
      <c r="H61" s="37"/>
      <c r="I61" s="26"/>
      <c r="J61" s="37"/>
      <c r="K61" s="37"/>
      <c r="L61" s="37"/>
      <c r="M61" s="26"/>
      <c r="N61" s="37"/>
      <c r="O61" s="37"/>
      <c r="P61" s="37"/>
      <c r="Q61" s="26"/>
      <c r="R61" s="42"/>
    </row>
    <row r="62" spans="1:18" ht="15.75" customHeight="1" x14ac:dyDescent="0.3">
      <c r="A62" s="17" t="s">
        <v>38</v>
      </c>
      <c r="B62" s="1">
        <f>+B59+B60</f>
        <v>96</v>
      </c>
      <c r="C62" s="1">
        <f>+C59+C60</f>
        <v>145</v>
      </c>
      <c r="D62" s="1">
        <f>+D59+D60</f>
        <v>261</v>
      </c>
      <c r="E62" s="41">
        <f>SUM(B62:D62)</f>
        <v>502</v>
      </c>
      <c r="F62" s="1">
        <f>+F59+F60</f>
        <v>350</v>
      </c>
      <c r="G62" s="1">
        <f>+G59+G60</f>
        <v>402</v>
      </c>
      <c r="H62" s="1">
        <f>+H59+H60</f>
        <v>396</v>
      </c>
      <c r="I62" s="41">
        <f>SUM(F62:H62)</f>
        <v>1148</v>
      </c>
      <c r="J62" s="1">
        <f>+J59+J60</f>
        <v>394</v>
      </c>
      <c r="K62" s="1">
        <f>+K59+K60</f>
        <v>318</v>
      </c>
      <c r="L62" s="1">
        <f>+L59+L60</f>
        <v>301</v>
      </c>
      <c r="M62" s="41">
        <f>SUM(J62:L62)</f>
        <v>1013</v>
      </c>
      <c r="N62" s="1">
        <f>+N59+N60</f>
        <v>272</v>
      </c>
      <c r="O62" s="1">
        <f>+O59+O60</f>
        <v>226</v>
      </c>
      <c r="P62" s="1">
        <f>+P59+P60</f>
        <v>179</v>
      </c>
      <c r="Q62" s="45">
        <f>SUM(N62:P62)</f>
        <v>677</v>
      </c>
      <c r="R62" s="18">
        <f>+E62+I62+M62+Q62</f>
        <v>3340</v>
      </c>
    </row>
    <row r="63" spans="1:18" ht="15.75" customHeight="1" x14ac:dyDescent="0.3">
      <c r="A63" s="17" t="s">
        <v>39</v>
      </c>
      <c r="B63" s="1">
        <f>(B62/B10)/1.983</f>
        <v>1.5616612171197111</v>
      </c>
      <c r="C63" s="1">
        <f>(C62/C10)/1.983</f>
        <v>2.5214321734745333</v>
      </c>
      <c r="D63" s="1">
        <f>(D62/D10)/1.983</f>
        <v>4.2457664340442145</v>
      </c>
      <c r="E63" s="18"/>
      <c r="F63" s="1">
        <f>(F62/F10)/1.983</f>
        <v>5.8833417381072444</v>
      </c>
      <c r="G63" s="1">
        <f>(G62/G10)/1.983</f>
        <v>6.5394563466887892</v>
      </c>
      <c r="H63" s="1">
        <f>(H62/H10)/1.983</f>
        <v>6.6565809379727678</v>
      </c>
      <c r="I63" s="18"/>
      <c r="J63" s="1">
        <f>(J62/J10)/1.983</f>
        <v>6.4093179119288139</v>
      </c>
      <c r="K63" s="1">
        <f>(K62/K10)/1.983</f>
        <v>5.1730027817090427</v>
      </c>
      <c r="L63" s="1">
        <f>(L62/L10)/1.983</f>
        <v>5.0596738947722306</v>
      </c>
      <c r="M63" s="18"/>
      <c r="N63" s="1">
        <f>(N62/N10)/1.983</f>
        <v>4.4247067818391805</v>
      </c>
      <c r="O63" s="1">
        <f>(O62/O10)/1.983</f>
        <v>3.7989578080349635</v>
      </c>
      <c r="P63" s="1">
        <f>(P62/P10)/1.983</f>
        <v>2.9118474777544612</v>
      </c>
      <c r="Q63" s="19"/>
      <c r="R63" s="68"/>
    </row>
    <row r="64" spans="1:18" ht="15.75" customHeight="1" x14ac:dyDescent="0.3">
      <c r="A64" s="17" t="s">
        <v>71</v>
      </c>
      <c r="B64" s="1">
        <f>B62+B130</f>
        <v>143171</v>
      </c>
      <c r="C64" s="1">
        <f>C62+C130</f>
        <v>97646</v>
      </c>
      <c r="D64" s="1">
        <f>D62+D130</f>
        <v>140442</v>
      </c>
      <c r="E64" s="18">
        <f>SUM(B64:D64)</f>
        <v>381259</v>
      </c>
      <c r="F64" s="1">
        <f>F62+F130</f>
        <v>174147</v>
      </c>
      <c r="G64" s="1">
        <f>G62+G130</f>
        <v>179592</v>
      </c>
      <c r="H64" s="1">
        <f>H62+H130</f>
        <v>77553</v>
      </c>
      <c r="I64" s="18">
        <f>SUM(F64:H64)</f>
        <v>431292</v>
      </c>
      <c r="J64" s="1">
        <f>J62+J130</f>
        <v>69987</v>
      </c>
      <c r="K64" s="1">
        <f>K62+K130</f>
        <v>69923</v>
      </c>
      <c r="L64" s="1">
        <f>L62+L130</f>
        <v>142834</v>
      </c>
      <c r="M64" s="18">
        <f>SUM(J64:L64)</f>
        <v>282744</v>
      </c>
      <c r="N64" s="1">
        <f>N62+N130</f>
        <v>135079</v>
      </c>
      <c r="O64" s="1">
        <f>O62+O130</f>
        <v>130908</v>
      </c>
      <c r="P64" s="1">
        <f>P62+P130</f>
        <v>134791</v>
      </c>
      <c r="Q64" s="19">
        <f>SUM(N64:P64)</f>
        <v>400778</v>
      </c>
      <c r="R64" s="18">
        <f>+E64+I64+M64+Q64</f>
        <v>1496073</v>
      </c>
    </row>
    <row r="65" spans="1:20" ht="16.5" customHeight="1" thickBot="1" x14ac:dyDescent="0.35">
      <c r="A65" s="24" t="s">
        <v>72</v>
      </c>
      <c r="B65" s="25">
        <f>(B64/B10)/1.983</f>
        <v>2329.006230377564</v>
      </c>
      <c r="C65" s="25">
        <f>(C64/C10)/1.983</f>
        <v>1697.9845931799605</v>
      </c>
      <c r="D65" s="25">
        <f>(D64/D10)/1.983</f>
        <v>2284.6127568200673</v>
      </c>
      <c r="E65" s="26"/>
      <c r="F65" s="25">
        <f>(F64/F10)/1.983</f>
        <v>2927.3323247604635</v>
      </c>
      <c r="G65" s="25">
        <f>(G64/G10)/1.983</f>
        <v>2921.4777219266994</v>
      </c>
      <c r="H65" s="25">
        <f>(H64/H10)/1.983</f>
        <v>1303.6308623298032</v>
      </c>
      <c r="I65" s="26"/>
      <c r="J65" s="25">
        <f>(J64/J10)/1.983</f>
        <v>1138.4998291933043</v>
      </c>
      <c r="K65" s="25">
        <f>(K64/K10)/1.983</f>
        <v>1137.4587217152246</v>
      </c>
      <c r="L65" s="25">
        <f>(L64/L10)/1.983</f>
        <v>2400.9749537737434</v>
      </c>
      <c r="M65" s="26"/>
      <c r="N65" s="25">
        <f>(N64/N10)/1.983</f>
        <v>2197.3712036178481</v>
      </c>
      <c r="O65" s="25">
        <f>(O64/O10)/1.983</f>
        <v>2200.5042864346951</v>
      </c>
      <c r="P65" s="25">
        <f>(P64/P10)/1.983</f>
        <v>2192.6862199664893</v>
      </c>
      <c r="Q65" s="27"/>
      <c r="R65" s="69" t="s">
        <v>7</v>
      </c>
    </row>
    <row r="66" spans="1:20" ht="15.75" customHeight="1" x14ac:dyDescent="0.3">
      <c r="A66" s="28"/>
      <c r="B66" s="1"/>
      <c r="C66" s="1"/>
      <c r="D66" s="1"/>
      <c r="E66" s="1"/>
      <c r="F66" s="1"/>
      <c r="G66" s="1"/>
      <c r="H66" s="1"/>
      <c r="I66" s="1"/>
      <c r="J66" s="1"/>
      <c r="K66" s="1"/>
      <c r="L66" s="1"/>
      <c r="M66" s="1"/>
      <c r="N66" s="1"/>
      <c r="O66" s="1"/>
      <c r="P66" s="1"/>
      <c r="Q66" s="1"/>
      <c r="R66" s="28"/>
    </row>
    <row r="67" spans="1:20" ht="15.75" customHeight="1" thickBot="1" x14ac:dyDescent="0.35">
      <c r="A67" s="28"/>
      <c r="B67" s="1"/>
      <c r="C67" s="1"/>
      <c r="D67" s="1"/>
      <c r="E67" s="1"/>
      <c r="F67" s="1"/>
      <c r="G67" s="1"/>
      <c r="H67" s="1"/>
      <c r="I67" s="1"/>
      <c r="J67" s="1"/>
      <c r="K67" s="1"/>
      <c r="L67" s="1"/>
      <c r="M67" s="1"/>
      <c r="N67" s="1"/>
      <c r="O67" s="1"/>
      <c r="P67" s="1"/>
      <c r="Q67" s="1"/>
      <c r="R67" s="28"/>
    </row>
    <row r="68" spans="1:20" ht="16.5" customHeight="1" thickBot="1" x14ac:dyDescent="0.35">
      <c r="A68" s="31" t="s">
        <v>73</v>
      </c>
      <c r="B68" s="32" t="s">
        <v>36</v>
      </c>
      <c r="C68" s="33" t="s">
        <v>9</v>
      </c>
      <c r="D68" s="33" t="s">
        <v>10</v>
      </c>
      <c r="E68" s="12" t="s">
        <v>11</v>
      </c>
      <c r="F68" s="33" t="s">
        <v>12</v>
      </c>
      <c r="G68" s="33" t="s">
        <v>13</v>
      </c>
      <c r="H68" s="33" t="s">
        <v>14</v>
      </c>
      <c r="I68" s="34" t="s">
        <v>15</v>
      </c>
      <c r="J68" s="33" t="s">
        <v>16</v>
      </c>
      <c r="K68" s="33" t="s">
        <v>17</v>
      </c>
      <c r="L68" s="33" t="s">
        <v>18</v>
      </c>
      <c r="M68" s="34" t="s">
        <v>19</v>
      </c>
      <c r="N68" s="33" t="s">
        <v>20</v>
      </c>
      <c r="O68" s="33" t="s">
        <v>21</v>
      </c>
      <c r="P68" s="33" t="s">
        <v>22</v>
      </c>
      <c r="Q68" s="34" t="s">
        <v>23</v>
      </c>
      <c r="R68" s="35" t="s">
        <v>24</v>
      </c>
    </row>
    <row r="69" spans="1:20" ht="16.5" customHeight="1" thickBot="1" x14ac:dyDescent="0.35">
      <c r="A69" s="70"/>
      <c r="B69" s="14"/>
      <c r="C69" s="71"/>
      <c r="D69" s="71"/>
      <c r="E69" s="72"/>
      <c r="F69" s="71"/>
      <c r="G69" s="71"/>
      <c r="H69" s="71"/>
      <c r="I69" s="72"/>
      <c r="J69" s="71"/>
      <c r="K69" s="71"/>
      <c r="L69" s="71"/>
      <c r="M69" s="72"/>
      <c r="N69" s="71"/>
      <c r="O69" s="71"/>
      <c r="P69" s="73"/>
      <c r="Q69" s="72"/>
      <c r="R69" s="64"/>
    </row>
    <row r="70" spans="1:20" ht="15.75" customHeight="1" x14ac:dyDescent="0.3">
      <c r="A70" s="58" t="s">
        <v>45</v>
      </c>
      <c r="B70" s="30"/>
      <c r="C70" s="30"/>
      <c r="D70" s="30"/>
      <c r="E70" s="59" t="s">
        <v>7</v>
      </c>
      <c r="F70" s="30"/>
      <c r="G70" s="30"/>
      <c r="H70" s="30"/>
      <c r="I70" s="59" t="s">
        <v>7</v>
      </c>
      <c r="J70" s="30"/>
      <c r="K70" s="30"/>
      <c r="L70" s="30"/>
      <c r="M70" s="59" t="s">
        <v>7</v>
      </c>
      <c r="N70" s="30"/>
      <c r="O70" s="30"/>
      <c r="P70" s="30"/>
      <c r="Q70" s="59" t="s">
        <v>7</v>
      </c>
      <c r="R70" s="59" t="s">
        <v>7</v>
      </c>
    </row>
    <row r="71" spans="1:20" ht="15.75" customHeight="1" x14ac:dyDescent="0.3">
      <c r="A71" s="22" t="s">
        <v>46</v>
      </c>
      <c r="B71" s="30"/>
      <c r="C71" s="60"/>
      <c r="D71" s="60"/>
      <c r="E71" s="59" t="s">
        <v>7</v>
      </c>
      <c r="F71" s="60"/>
      <c r="G71" s="60"/>
      <c r="H71" s="60"/>
      <c r="I71" s="59" t="s">
        <v>7</v>
      </c>
      <c r="J71" s="60"/>
      <c r="K71" s="60"/>
      <c r="L71" s="60"/>
      <c r="M71" s="59" t="s">
        <v>7</v>
      </c>
      <c r="N71" s="60"/>
      <c r="O71" s="60"/>
      <c r="P71" s="60"/>
      <c r="Q71" s="59" t="s">
        <v>7</v>
      </c>
      <c r="R71" s="59" t="s">
        <v>7</v>
      </c>
    </row>
    <row r="72" spans="1:20" ht="15.75" customHeight="1" x14ac:dyDescent="0.3">
      <c r="A72" s="74" t="s">
        <v>74</v>
      </c>
      <c r="B72" s="1"/>
      <c r="C72" s="1"/>
      <c r="D72" s="1"/>
      <c r="E72" s="59">
        <f t="shared" ref="E72:E81" si="5">SUM(B72:D72)</f>
        <v>0</v>
      </c>
      <c r="F72" s="1"/>
      <c r="G72" s="1"/>
      <c r="H72" s="1"/>
      <c r="I72" s="59">
        <f t="shared" ref="I72:I81" si="6">SUM(F72:H72)</f>
        <v>0</v>
      </c>
      <c r="J72" s="1"/>
      <c r="K72" s="1"/>
      <c r="L72" s="1"/>
      <c r="M72" s="59">
        <f t="shared" ref="M72:M81" si="7">SUM(J72:L72)</f>
        <v>0</v>
      </c>
      <c r="N72" s="1"/>
      <c r="O72" s="1"/>
      <c r="P72" s="1"/>
      <c r="Q72" s="59">
        <f t="shared" ref="Q72:Q81" si="8">SUM(N72:P72)</f>
        <v>0</v>
      </c>
      <c r="R72" s="59">
        <f t="shared" ref="R72:R81" si="9">+E72+I72+M72+Q72</f>
        <v>0</v>
      </c>
    </row>
    <row r="73" spans="1:20" ht="15.75" customHeight="1" x14ac:dyDescent="0.3">
      <c r="A73" s="74" t="s">
        <v>75</v>
      </c>
      <c r="B73" s="1"/>
      <c r="C73" s="1"/>
      <c r="D73" s="1"/>
      <c r="E73" s="59">
        <f>SUM(B73:D73)</f>
        <v>0</v>
      </c>
      <c r="F73" s="1"/>
      <c r="G73" s="1"/>
      <c r="H73" s="1"/>
      <c r="I73" s="59">
        <f>SUM(F73:H73)</f>
        <v>0</v>
      </c>
      <c r="J73" s="1"/>
      <c r="K73" s="1"/>
      <c r="L73" s="1"/>
      <c r="M73" s="59">
        <f>SUM(J73:L73)</f>
        <v>0</v>
      </c>
      <c r="N73" s="1"/>
      <c r="O73" s="1"/>
      <c r="P73" s="1"/>
      <c r="Q73" s="59">
        <f>SUM(N73:P73)</f>
        <v>0</v>
      </c>
      <c r="R73" s="59">
        <f>+E73+I73+M73+Q73</f>
        <v>0</v>
      </c>
    </row>
    <row r="74" spans="1:20" ht="15.75" customHeight="1" x14ac:dyDescent="0.3">
      <c r="A74" s="74" t="s">
        <v>76</v>
      </c>
      <c r="B74" s="1"/>
      <c r="C74" s="1"/>
      <c r="D74" s="1"/>
      <c r="E74" s="59">
        <f t="shared" si="5"/>
        <v>0</v>
      </c>
      <c r="F74" s="1"/>
      <c r="G74" s="1"/>
      <c r="H74" s="1"/>
      <c r="I74" s="59">
        <f t="shared" si="6"/>
        <v>0</v>
      </c>
      <c r="J74" s="1"/>
      <c r="K74" s="1"/>
      <c r="L74" s="1"/>
      <c r="M74" s="59">
        <f t="shared" si="7"/>
        <v>0</v>
      </c>
      <c r="N74" s="1"/>
      <c r="O74" s="1"/>
      <c r="P74" s="1"/>
      <c r="Q74" s="59">
        <f t="shared" si="8"/>
        <v>0</v>
      </c>
      <c r="R74" s="59">
        <f t="shared" si="9"/>
        <v>0</v>
      </c>
    </row>
    <row r="75" spans="1:20" ht="15.75" customHeight="1" x14ac:dyDescent="0.3">
      <c r="A75" s="74" t="s">
        <v>77</v>
      </c>
      <c r="B75" s="1"/>
      <c r="C75" s="1"/>
      <c r="D75" s="1"/>
      <c r="E75" s="59">
        <f t="shared" si="5"/>
        <v>0</v>
      </c>
      <c r="F75" s="1"/>
      <c r="G75" s="1"/>
      <c r="H75" s="1"/>
      <c r="I75" s="59">
        <f t="shared" si="6"/>
        <v>0</v>
      </c>
      <c r="J75" s="1">
        <v>279</v>
      </c>
      <c r="K75" s="1"/>
      <c r="L75" s="1"/>
      <c r="M75" s="59">
        <f t="shared" si="7"/>
        <v>279</v>
      </c>
      <c r="N75" s="1"/>
      <c r="O75" s="1"/>
      <c r="P75" s="1"/>
      <c r="Q75" s="59">
        <f t="shared" si="8"/>
        <v>0</v>
      </c>
      <c r="R75" s="59">
        <f t="shared" si="9"/>
        <v>279</v>
      </c>
      <c r="T75" s="4" t="s">
        <v>78</v>
      </c>
    </row>
    <row r="76" spans="1:20" ht="15.75" customHeight="1" x14ac:dyDescent="0.3">
      <c r="A76" s="74" t="s">
        <v>899</v>
      </c>
      <c r="B76" s="1"/>
      <c r="C76" s="1"/>
      <c r="D76" s="1"/>
      <c r="E76" s="59">
        <f t="shared" si="5"/>
        <v>0</v>
      </c>
      <c r="F76" s="1"/>
      <c r="G76" s="1"/>
      <c r="H76" s="1"/>
      <c r="I76" s="59">
        <f t="shared" si="6"/>
        <v>0</v>
      </c>
      <c r="J76" s="1"/>
      <c r="K76" s="1"/>
      <c r="L76" s="1"/>
      <c r="M76" s="59">
        <f t="shared" si="7"/>
        <v>0</v>
      </c>
      <c r="N76" s="1"/>
      <c r="O76" s="1"/>
      <c r="P76" s="1"/>
      <c r="Q76" s="59">
        <f t="shared" si="8"/>
        <v>0</v>
      </c>
      <c r="R76" s="59">
        <f t="shared" si="9"/>
        <v>0</v>
      </c>
      <c r="T76" s="4" t="s">
        <v>78</v>
      </c>
    </row>
    <row r="77" spans="1:20" ht="15.75" customHeight="1" x14ac:dyDescent="0.3">
      <c r="A77" s="74" t="s">
        <v>81</v>
      </c>
      <c r="B77" s="1"/>
      <c r="C77" s="1"/>
      <c r="D77" s="1"/>
      <c r="E77" s="59">
        <f t="shared" si="5"/>
        <v>0</v>
      </c>
      <c r="F77" s="1"/>
      <c r="G77" s="1"/>
      <c r="H77" s="1"/>
      <c r="I77" s="59">
        <f t="shared" si="6"/>
        <v>0</v>
      </c>
      <c r="J77" s="1"/>
      <c r="K77" s="1"/>
      <c r="L77" s="1"/>
      <c r="M77" s="59">
        <f t="shared" si="7"/>
        <v>0</v>
      </c>
      <c r="N77" s="1"/>
      <c r="O77" s="1"/>
      <c r="P77" s="1"/>
      <c r="Q77" s="59">
        <f t="shared" si="8"/>
        <v>0</v>
      </c>
      <c r="R77" s="59">
        <f t="shared" si="9"/>
        <v>0</v>
      </c>
    </row>
    <row r="78" spans="1:20" ht="15.75" customHeight="1" x14ac:dyDescent="0.3">
      <c r="A78" s="74" t="s">
        <v>82</v>
      </c>
      <c r="B78" s="1"/>
      <c r="C78" s="1"/>
      <c r="D78" s="1"/>
      <c r="E78" s="59">
        <f t="shared" si="5"/>
        <v>0</v>
      </c>
      <c r="F78" s="1"/>
      <c r="G78" s="1"/>
      <c r="H78" s="1"/>
      <c r="I78" s="59">
        <f t="shared" si="6"/>
        <v>0</v>
      </c>
      <c r="J78" s="1"/>
      <c r="K78" s="1"/>
      <c r="L78" s="1"/>
      <c r="M78" s="59">
        <f t="shared" si="7"/>
        <v>0</v>
      </c>
      <c r="N78" s="1"/>
      <c r="O78" s="1"/>
      <c r="P78" s="1"/>
      <c r="Q78" s="59">
        <f t="shared" si="8"/>
        <v>0</v>
      </c>
      <c r="R78" s="59">
        <f t="shared" si="9"/>
        <v>0</v>
      </c>
      <c r="T78" s="4" t="s">
        <v>83</v>
      </c>
    </row>
    <row r="79" spans="1:20" ht="15.75" customHeight="1" x14ac:dyDescent="0.3">
      <c r="A79" s="76" t="s">
        <v>85</v>
      </c>
      <c r="B79" s="1"/>
      <c r="C79" s="1"/>
      <c r="D79" s="1"/>
      <c r="E79" s="59">
        <f t="shared" si="5"/>
        <v>0</v>
      </c>
      <c r="F79" s="1"/>
      <c r="G79" s="1"/>
      <c r="H79" s="1"/>
      <c r="I79" s="59">
        <f t="shared" si="6"/>
        <v>0</v>
      </c>
      <c r="J79" s="1"/>
      <c r="K79" s="1"/>
      <c r="L79" s="1"/>
      <c r="M79" s="59">
        <f t="shared" si="7"/>
        <v>0</v>
      </c>
      <c r="N79" s="1"/>
      <c r="O79" s="1"/>
      <c r="P79" s="1"/>
      <c r="Q79" s="59">
        <f t="shared" si="8"/>
        <v>0</v>
      </c>
      <c r="R79" s="59">
        <f t="shared" si="9"/>
        <v>0</v>
      </c>
    </row>
    <row r="80" spans="1:20" ht="15.75" customHeight="1" x14ac:dyDescent="0.3">
      <c r="A80" s="76" t="s">
        <v>86</v>
      </c>
      <c r="B80" s="1"/>
      <c r="C80" s="1"/>
      <c r="D80" s="1"/>
      <c r="E80" s="59">
        <f>SUM(B80:D80)</f>
        <v>0</v>
      </c>
      <c r="F80" s="1"/>
      <c r="G80" s="1"/>
      <c r="H80" s="1"/>
      <c r="I80" s="59">
        <f>SUM(F80:H80)</f>
        <v>0</v>
      </c>
      <c r="J80" s="1"/>
      <c r="K80" s="1"/>
      <c r="L80" s="1"/>
      <c r="M80" s="59">
        <f>SUM(J80:L80)</f>
        <v>0</v>
      </c>
      <c r="N80" s="1"/>
      <c r="O80" s="1"/>
      <c r="P80" s="1"/>
      <c r="Q80" s="59">
        <f>SUM(N80:P80)</f>
        <v>0</v>
      </c>
      <c r="R80" s="59">
        <f t="shared" si="9"/>
        <v>0</v>
      </c>
    </row>
    <row r="81" spans="1:20" ht="15.75" customHeight="1" x14ac:dyDescent="0.3">
      <c r="A81" s="76" t="s">
        <v>87</v>
      </c>
      <c r="B81" s="1"/>
      <c r="C81" s="1"/>
      <c r="D81" s="1"/>
      <c r="E81" s="59">
        <f t="shared" si="5"/>
        <v>0</v>
      </c>
      <c r="F81" s="1"/>
      <c r="G81" s="1"/>
      <c r="H81" s="1"/>
      <c r="I81" s="59">
        <f t="shared" si="6"/>
        <v>0</v>
      </c>
      <c r="J81" s="1"/>
      <c r="K81" s="1"/>
      <c r="L81" s="1"/>
      <c r="M81" s="59">
        <f t="shared" si="7"/>
        <v>0</v>
      </c>
      <c r="N81" s="1"/>
      <c r="O81" s="1"/>
      <c r="P81" s="1"/>
      <c r="Q81" s="59">
        <f t="shared" si="8"/>
        <v>0</v>
      </c>
      <c r="R81" s="59">
        <f t="shared" si="9"/>
        <v>0</v>
      </c>
      <c r="S81" s="4">
        <f>SUM(R72:R81)</f>
        <v>279</v>
      </c>
    </row>
    <row r="82" spans="1:20" ht="15.75" customHeight="1" x14ac:dyDescent="0.3">
      <c r="A82" s="22" t="s">
        <v>47</v>
      </c>
      <c r="B82" s="30"/>
      <c r="C82" s="30"/>
      <c r="D82" s="30"/>
      <c r="E82" s="59" t="s">
        <v>7</v>
      </c>
      <c r="F82" s="30"/>
      <c r="G82" s="30"/>
      <c r="H82" s="30"/>
      <c r="I82" s="59" t="s">
        <v>7</v>
      </c>
      <c r="J82" s="30"/>
      <c r="K82" s="30"/>
      <c r="L82" s="30"/>
      <c r="M82" s="59" t="s">
        <v>7</v>
      </c>
      <c r="N82" s="30"/>
      <c r="O82" s="30"/>
      <c r="P82" s="30"/>
      <c r="Q82" s="59" t="s">
        <v>7</v>
      </c>
      <c r="R82" s="59" t="s">
        <v>7</v>
      </c>
    </row>
    <row r="83" spans="1:20" ht="15.75" customHeight="1" x14ac:dyDescent="0.3">
      <c r="A83" s="76" t="s">
        <v>88</v>
      </c>
      <c r="B83" s="1"/>
      <c r="C83" s="1"/>
      <c r="D83" s="1"/>
      <c r="E83" s="59">
        <f>SUM(B83:D83)</f>
        <v>0</v>
      </c>
      <c r="F83" s="1"/>
      <c r="G83" s="1"/>
      <c r="H83" s="1"/>
      <c r="I83" s="59">
        <f>SUM(F83:H83)</f>
        <v>0</v>
      </c>
      <c r="J83" s="1"/>
      <c r="K83" s="1"/>
      <c r="L83" s="1"/>
      <c r="M83" s="59">
        <f>SUM(J83:L83)</f>
        <v>0</v>
      </c>
      <c r="N83" s="1"/>
      <c r="O83" s="1"/>
      <c r="P83" s="1"/>
      <c r="Q83" s="59">
        <f>SUM(N83:P83)</f>
        <v>0</v>
      </c>
      <c r="R83" s="59">
        <f>+E83+I83+M83+Q83</f>
        <v>0</v>
      </c>
    </row>
    <row r="84" spans="1:20" ht="15.75" customHeight="1" x14ac:dyDescent="0.3">
      <c r="A84" s="22" t="s">
        <v>898</v>
      </c>
      <c r="B84" s="30"/>
      <c r="C84" s="30"/>
      <c r="D84" s="30"/>
      <c r="E84" s="59" t="s">
        <v>50</v>
      </c>
      <c r="F84" s="30"/>
      <c r="G84" s="30"/>
      <c r="H84" s="30"/>
      <c r="I84" s="59" t="s">
        <v>50</v>
      </c>
      <c r="J84" s="30"/>
      <c r="K84" s="30"/>
      <c r="L84" s="30"/>
      <c r="M84" s="59" t="s">
        <v>50</v>
      </c>
      <c r="N84" s="30"/>
      <c r="O84" s="30"/>
      <c r="P84" s="30"/>
      <c r="Q84" s="59" t="s">
        <v>50</v>
      </c>
      <c r="R84" s="59" t="s">
        <v>50</v>
      </c>
    </row>
    <row r="85" spans="1:20" ht="15.75" customHeight="1" x14ac:dyDescent="0.3">
      <c r="A85" s="61" t="s">
        <v>900</v>
      </c>
      <c r="B85" s="1"/>
      <c r="C85" s="1"/>
      <c r="D85" s="1"/>
      <c r="E85" s="59">
        <f>SUM(B85:D85)</f>
        <v>0</v>
      </c>
      <c r="F85" s="1"/>
      <c r="G85" s="1"/>
      <c r="H85" s="1"/>
      <c r="I85" s="59">
        <f>SUM(F85:H85)</f>
        <v>0</v>
      </c>
      <c r="J85" s="1"/>
      <c r="K85" s="1"/>
      <c r="L85" s="1"/>
      <c r="M85" s="59">
        <f>SUM(J85:L85)</f>
        <v>0</v>
      </c>
      <c r="N85" s="1"/>
      <c r="O85" s="1"/>
      <c r="P85" s="1"/>
      <c r="Q85" s="59">
        <f>SUM(N85:P85)</f>
        <v>0</v>
      </c>
      <c r="R85" s="59">
        <f>+E85+I85+M85+Q85</f>
        <v>0</v>
      </c>
    </row>
    <row r="86" spans="1:20" ht="15.75" customHeight="1" x14ac:dyDescent="0.3">
      <c r="A86" s="61" t="s">
        <v>901</v>
      </c>
      <c r="B86" s="1">
        <v>470</v>
      </c>
      <c r="C86" s="1">
        <v>570</v>
      </c>
      <c r="D86" s="1">
        <v>1570</v>
      </c>
      <c r="E86" s="59">
        <f>SUM(B86:D86)</f>
        <v>2610</v>
      </c>
      <c r="F86" s="1">
        <v>2070</v>
      </c>
      <c r="G86" s="1">
        <v>1170</v>
      </c>
      <c r="H86" s="1">
        <v>1370</v>
      </c>
      <c r="I86" s="59">
        <f>SUM(F86:H86)</f>
        <v>4610</v>
      </c>
      <c r="J86" s="1">
        <v>670</v>
      </c>
      <c r="K86" s="1">
        <v>1670</v>
      </c>
      <c r="L86" s="1">
        <v>1370</v>
      </c>
      <c r="M86" s="59">
        <f>SUM(J86:L86)</f>
        <v>3710</v>
      </c>
      <c r="N86" s="1">
        <v>970</v>
      </c>
      <c r="O86" s="1">
        <v>370</v>
      </c>
      <c r="P86" s="1">
        <v>370</v>
      </c>
      <c r="Q86" s="59">
        <f>SUM(N86:P86)</f>
        <v>1710</v>
      </c>
      <c r="R86" s="59">
        <f>+E86+I86+M86+Q86</f>
        <v>12640</v>
      </c>
      <c r="T86" s="4" t="s">
        <v>78</v>
      </c>
    </row>
    <row r="87" spans="1:20" ht="15.75" customHeight="1" thickBot="1" x14ac:dyDescent="0.35">
      <c r="A87" s="22" t="s">
        <v>51</v>
      </c>
      <c r="B87" s="60"/>
      <c r="C87" s="60"/>
      <c r="D87" s="60"/>
      <c r="E87" s="59" t="s">
        <v>7</v>
      </c>
      <c r="F87" s="60"/>
      <c r="G87" s="60"/>
      <c r="H87" s="60"/>
      <c r="I87" s="59" t="s">
        <v>7</v>
      </c>
      <c r="J87" s="60"/>
      <c r="K87" s="60"/>
      <c r="L87" s="60"/>
      <c r="M87" s="59" t="s">
        <v>7</v>
      </c>
      <c r="N87" s="60"/>
      <c r="O87" s="60"/>
      <c r="P87" s="60"/>
      <c r="Q87" s="59" t="s">
        <v>7</v>
      </c>
      <c r="R87" s="59" t="s">
        <v>7</v>
      </c>
    </row>
    <row r="88" spans="1:20" ht="16.5" customHeight="1" thickBot="1" x14ac:dyDescent="0.35">
      <c r="A88" s="62" t="s">
        <v>52</v>
      </c>
      <c r="B88" s="63">
        <f>SUM(B70:B87)</f>
        <v>470</v>
      </c>
      <c r="C88" s="63">
        <f>SUM(C70:C87)</f>
        <v>570</v>
      </c>
      <c r="D88" s="63">
        <f>SUM(D70:D87)</f>
        <v>1570</v>
      </c>
      <c r="E88" s="64">
        <f>SUM(B88:D88)</f>
        <v>2610</v>
      </c>
      <c r="F88" s="63">
        <f>SUM(F70:F87)</f>
        <v>2070</v>
      </c>
      <c r="G88" s="63">
        <f>SUM(G70:G87)</f>
        <v>1170</v>
      </c>
      <c r="H88" s="63">
        <f>SUM(H70:H87)</f>
        <v>1370</v>
      </c>
      <c r="I88" s="64">
        <f>SUM(F88:H88)</f>
        <v>4610</v>
      </c>
      <c r="J88" s="63">
        <f>SUM(J70:J87)</f>
        <v>949</v>
      </c>
      <c r="K88" s="63">
        <f>SUM(K70:K87)</f>
        <v>1670</v>
      </c>
      <c r="L88" s="63">
        <f>SUM(L70:L87)</f>
        <v>1370</v>
      </c>
      <c r="M88" s="64">
        <f>SUM(J88:L88)</f>
        <v>3989</v>
      </c>
      <c r="N88" s="63">
        <f>SUM(N70:N87)</f>
        <v>970</v>
      </c>
      <c r="O88" s="63">
        <f>SUM(O70:O87)</f>
        <v>370</v>
      </c>
      <c r="P88" s="63">
        <f>SUM(P70:P87)</f>
        <v>370</v>
      </c>
      <c r="Q88" s="64">
        <f>SUM(N88:P88)</f>
        <v>1710</v>
      </c>
      <c r="R88" s="64">
        <f>+E88+I88+M88+Q88</f>
        <v>12919</v>
      </c>
    </row>
    <row r="89" spans="1:20" ht="15.75" customHeight="1" x14ac:dyDescent="0.3">
      <c r="A89" s="22" t="s">
        <v>53</v>
      </c>
      <c r="B89" s="60"/>
      <c r="C89" s="60"/>
      <c r="D89" s="60"/>
      <c r="E89" s="59" t="s">
        <v>7</v>
      </c>
      <c r="F89" s="60"/>
      <c r="G89" s="60"/>
      <c r="H89" s="60"/>
      <c r="I89" s="59" t="s">
        <v>7</v>
      </c>
      <c r="J89" s="60"/>
      <c r="K89" s="60"/>
      <c r="L89" s="60"/>
      <c r="M89" s="59" t="s">
        <v>7</v>
      </c>
      <c r="N89" s="60"/>
      <c r="O89" s="60"/>
      <c r="P89" s="60"/>
      <c r="Q89" s="59" t="s">
        <v>7</v>
      </c>
      <c r="R89" s="65" t="s">
        <v>7</v>
      </c>
    </row>
    <row r="90" spans="1:20" ht="15.75" customHeight="1" x14ac:dyDescent="0.3">
      <c r="A90" s="22" t="s">
        <v>54</v>
      </c>
      <c r="B90" s="60"/>
      <c r="C90" s="60"/>
      <c r="D90" s="60"/>
      <c r="E90" s="59" t="s">
        <v>7</v>
      </c>
      <c r="F90" s="60"/>
      <c r="G90" s="60"/>
      <c r="H90" s="60"/>
      <c r="I90" s="59" t="s">
        <v>7</v>
      </c>
      <c r="J90" s="60"/>
      <c r="K90" s="60"/>
      <c r="L90" s="60"/>
      <c r="M90" s="59" t="s">
        <v>7</v>
      </c>
      <c r="N90" s="60"/>
      <c r="O90" s="60"/>
      <c r="P90" s="60"/>
      <c r="Q90" s="59" t="s">
        <v>7</v>
      </c>
      <c r="R90" s="59" t="s">
        <v>7</v>
      </c>
    </row>
    <row r="91" spans="1:20" ht="15.75" customHeight="1" x14ac:dyDescent="0.3">
      <c r="A91" s="22" t="s">
        <v>55</v>
      </c>
      <c r="B91" s="60"/>
      <c r="C91" s="60"/>
      <c r="D91" s="60"/>
      <c r="E91" s="59" t="s">
        <v>7</v>
      </c>
      <c r="F91" s="60"/>
      <c r="G91" s="60"/>
      <c r="H91" s="60"/>
      <c r="I91" s="59" t="s">
        <v>7</v>
      </c>
      <c r="J91" s="60"/>
      <c r="K91" s="60"/>
      <c r="L91" s="60"/>
      <c r="M91" s="59" t="s">
        <v>7</v>
      </c>
      <c r="N91" s="60"/>
      <c r="O91" s="60"/>
      <c r="P91" s="60"/>
      <c r="Q91" s="59" t="s">
        <v>7</v>
      </c>
      <c r="R91" s="59" t="s">
        <v>7</v>
      </c>
    </row>
    <row r="92" spans="1:20" ht="15.75" customHeight="1" x14ac:dyDescent="0.3">
      <c r="A92" s="76" t="s">
        <v>92</v>
      </c>
      <c r="B92" s="1">
        <v>1000</v>
      </c>
      <c r="C92" s="1">
        <v>1466</v>
      </c>
      <c r="D92" s="1">
        <v>3500</v>
      </c>
      <c r="E92" s="59">
        <f>SUM(B92:D92)</f>
        <v>5966</v>
      </c>
      <c r="F92" s="1">
        <v>5000</v>
      </c>
      <c r="G92" s="1">
        <v>5000</v>
      </c>
      <c r="H92" s="1">
        <v>4500</v>
      </c>
      <c r="I92" s="59">
        <f>SUM(F92:H92)</f>
        <v>14500</v>
      </c>
      <c r="J92" s="1">
        <v>4500</v>
      </c>
      <c r="K92" s="1">
        <v>4500</v>
      </c>
      <c r="L92" s="1">
        <v>2500</v>
      </c>
      <c r="M92" s="59">
        <f>SUM(J92:L92)</f>
        <v>11500</v>
      </c>
      <c r="N92" s="1">
        <v>1000</v>
      </c>
      <c r="O92" s="1">
        <v>500</v>
      </c>
      <c r="P92" s="1">
        <v>1037</v>
      </c>
      <c r="Q92" s="59">
        <f>SUM(N92:P92)</f>
        <v>2537</v>
      </c>
      <c r="R92" s="59">
        <f>+E92+I92+M92+Q92</f>
        <v>34503</v>
      </c>
      <c r="T92" s="4" t="s">
        <v>93</v>
      </c>
    </row>
    <row r="93" spans="1:20" ht="15.75" customHeight="1" x14ac:dyDescent="0.3">
      <c r="A93" s="76" t="s">
        <v>94</v>
      </c>
      <c r="B93" s="1"/>
      <c r="C93" s="1"/>
      <c r="D93" s="1"/>
      <c r="E93" s="59">
        <f>SUM(B93:D93)</f>
        <v>0</v>
      </c>
      <c r="F93" s="1"/>
      <c r="G93" s="1">
        <v>250</v>
      </c>
      <c r="H93" s="1">
        <v>250</v>
      </c>
      <c r="I93" s="59">
        <f>SUM(F93:H93)</f>
        <v>500</v>
      </c>
      <c r="J93" s="1">
        <v>250</v>
      </c>
      <c r="K93" s="1">
        <v>250</v>
      </c>
      <c r="L93" s="1">
        <v>250</v>
      </c>
      <c r="M93" s="59">
        <f>SUM(J93:L93)</f>
        <v>750</v>
      </c>
      <c r="N93" s="1">
        <v>250</v>
      </c>
      <c r="O93" s="1"/>
      <c r="P93" s="1"/>
      <c r="Q93" s="59">
        <f>SUM(N93:P93)</f>
        <v>250</v>
      </c>
      <c r="R93" s="59">
        <f>+E93+I93+M93+Q93</f>
        <v>1500</v>
      </c>
      <c r="T93" s="4" t="s">
        <v>78</v>
      </c>
    </row>
    <row r="94" spans="1:20" ht="15.75" customHeight="1" thickBot="1" x14ac:dyDescent="0.35">
      <c r="A94" s="22" t="s">
        <v>56</v>
      </c>
      <c r="B94" s="60"/>
      <c r="C94" s="60"/>
      <c r="D94" s="60"/>
      <c r="E94" s="59" t="s">
        <v>7</v>
      </c>
      <c r="F94" s="60"/>
      <c r="G94" s="60"/>
      <c r="H94" s="60"/>
      <c r="I94" s="59" t="s">
        <v>7</v>
      </c>
      <c r="J94" s="60"/>
      <c r="K94" s="60"/>
      <c r="L94" s="60"/>
      <c r="M94" s="59" t="s">
        <v>7</v>
      </c>
      <c r="N94" s="60"/>
      <c r="O94" s="60"/>
      <c r="P94" s="60"/>
      <c r="Q94" s="59" t="s">
        <v>7</v>
      </c>
      <c r="R94" s="59" t="s">
        <v>7</v>
      </c>
    </row>
    <row r="95" spans="1:20" ht="16.5" customHeight="1" thickBot="1" x14ac:dyDescent="0.35">
      <c r="A95" s="62" t="s">
        <v>57</v>
      </c>
      <c r="B95" s="63">
        <f>SUM(B89:B94)</f>
        <v>1000</v>
      </c>
      <c r="C95" s="63">
        <f>SUM(C89:C94)</f>
        <v>1466</v>
      </c>
      <c r="D95" s="63">
        <f>SUM(D89:D94)</f>
        <v>3500</v>
      </c>
      <c r="E95" s="64">
        <f>SUM(B95:D95)</f>
        <v>5966</v>
      </c>
      <c r="F95" s="63">
        <f>SUM(F89:F94)</f>
        <v>5000</v>
      </c>
      <c r="G95" s="63">
        <f>SUM(G89:G94)</f>
        <v>5250</v>
      </c>
      <c r="H95" s="63">
        <f>SUM(H89:H94)</f>
        <v>4750</v>
      </c>
      <c r="I95" s="64">
        <f>SUM(F95:H95)</f>
        <v>15000</v>
      </c>
      <c r="J95" s="63">
        <f>SUM(J89:J94)</f>
        <v>4750</v>
      </c>
      <c r="K95" s="63">
        <f>SUM(K89:K94)</f>
        <v>4750</v>
      </c>
      <c r="L95" s="63">
        <f>SUM(L89:L94)</f>
        <v>2750</v>
      </c>
      <c r="M95" s="64">
        <f>SUM(J95:L95)</f>
        <v>12250</v>
      </c>
      <c r="N95" s="63">
        <f>SUM(N89:N94)</f>
        <v>1250</v>
      </c>
      <c r="O95" s="63">
        <f>SUM(O89:O94)</f>
        <v>500</v>
      </c>
      <c r="P95" s="63">
        <f>SUM(P89:P94)</f>
        <v>1037</v>
      </c>
      <c r="Q95" s="64">
        <f>SUM(N95:P95)</f>
        <v>2787</v>
      </c>
      <c r="R95" s="64">
        <f>+E95+I95+M95+Q95</f>
        <v>36003</v>
      </c>
    </row>
    <row r="96" spans="1:20" ht="15.75" customHeight="1" x14ac:dyDescent="0.3">
      <c r="A96" s="22" t="s">
        <v>58</v>
      </c>
      <c r="B96" s="60"/>
      <c r="C96" s="60"/>
      <c r="D96" s="60"/>
      <c r="E96" s="59" t="s">
        <v>7</v>
      </c>
      <c r="F96" s="60"/>
      <c r="G96" s="60"/>
      <c r="H96" s="60"/>
      <c r="I96" s="59" t="s">
        <v>7</v>
      </c>
      <c r="J96" s="60"/>
      <c r="K96" s="60"/>
      <c r="L96" s="60"/>
      <c r="M96" s="59" t="s">
        <v>7</v>
      </c>
      <c r="N96" s="60"/>
      <c r="O96" s="60"/>
      <c r="P96" s="60"/>
      <c r="Q96" s="59" t="s">
        <v>7</v>
      </c>
      <c r="R96" s="59" t="s">
        <v>7</v>
      </c>
    </row>
    <row r="97" spans="1:20" ht="15.75" customHeight="1" x14ac:dyDescent="0.3">
      <c r="A97" s="22" t="s">
        <v>59</v>
      </c>
      <c r="B97" s="60"/>
      <c r="C97" s="60"/>
      <c r="D97" s="60"/>
      <c r="E97" s="59" t="s">
        <v>7</v>
      </c>
      <c r="F97" s="60"/>
      <c r="G97" s="60"/>
      <c r="H97" s="60"/>
      <c r="I97" s="59" t="s">
        <v>7</v>
      </c>
      <c r="J97" s="60"/>
      <c r="K97" s="60"/>
      <c r="L97" s="60"/>
      <c r="M97" s="59" t="s">
        <v>7</v>
      </c>
      <c r="N97" s="60"/>
      <c r="O97" s="60"/>
      <c r="P97" s="60"/>
      <c r="Q97" s="59" t="s">
        <v>7</v>
      </c>
      <c r="R97" s="59" t="s">
        <v>7</v>
      </c>
    </row>
    <row r="98" spans="1:20" ht="15.75" customHeight="1" x14ac:dyDescent="0.3">
      <c r="A98" s="22" t="s">
        <v>60</v>
      </c>
      <c r="B98" s="60"/>
      <c r="C98" s="60"/>
      <c r="D98" s="60"/>
      <c r="E98" s="59"/>
      <c r="F98" s="60"/>
      <c r="G98" s="60"/>
      <c r="H98" s="60"/>
      <c r="I98" s="59"/>
      <c r="J98" s="60"/>
      <c r="K98" s="60"/>
      <c r="L98" s="60"/>
      <c r="M98" s="59"/>
      <c r="N98" s="60"/>
      <c r="O98" s="60"/>
      <c r="P98" s="60"/>
      <c r="Q98" s="59"/>
      <c r="R98" s="59"/>
    </row>
    <row r="99" spans="1:20" ht="15.75" customHeight="1" x14ac:dyDescent="0.3">
      <c r="A99" s="76" t="s">
        <v>95</v>
      </c>
      <c r="B99" s="1"/>
      <c r="C99" s="1"/>
      <c r="D99" s="1"/>
      <c r="E99" s="59">
        <f t="shared" ref="E99:E106" si="10">SUM(B99:D99)</f>
        <v>0</v>
      </c>
      <c r="F99" s="1"/>
      <c r="G99" s="1"/>
      <c r="H99" s="1"/>
      <c r="I99" s="59">
        <f t="shared" ref="I99:I106" si="11">SUM(F99:H99)</f>
        <v>0</v>
      </c>
      <c r="J99" s="1"/>
      <c r="K99" s="1"/>
      <c r="L99" s="1"/>
      <c r="M99" s="59">
        <f t="shared" ref="M99:M106" si="12">SUM(J99:L99)</f>
        <v>0</v>
      </c>
      <c r="N99" s="1"/>
      <c r="O99" s="1"/>
      <c r="P99" s="1"/>
      <c r="Q99" s="59">
        <f t="shared" ref="Q99:Q106" si="13">SUM(N99:P99)</f>
        <v>0</v>
      </c>
      <c r="R99" s="59">
        <f t="shared" ref="R99:R106" si="14">+E99+I99+M99+Q99</f>
        <v>0</v>
      </c>
    </row>
    <row r="100" spans="1:20" ht="15.75" customHeight="1" x14ac:dyDescent="0.3">
      <c r="A100" s="76" t="s">
        <v>96</v>
      </c>
      <c r="B100" s="1"/>
      <c r="C100" s="1"/>
      <c r="D100" s="1"/>
      <c r="E100" s="59">
        <f t="shared" si="10"/>
        <v>0</v>
      </c>
      <c r="F100" s="1"/>
      <c r="G100" s="1"/>
      <c r="H100" s="1"/>
      <c r="I100" s="59">
        <f t="shared" si="11"/>
        <v>0</v>
      </c>
      <c r="J100" s="1"/>
      <c r="K100" s="1"/>
      <c r="L100" s="1"/>
      <c r="M100" s="59">
        <f t="shared" si="12"/>
        <v>0</v>
      </c>
      <c r="N100" s="1"/>
      <c r="O100" s="1"/>
      <c r="P100" s="1"/>
      <c r="Q100" s="59">
        <f t="shared" si="13"/>
        <v>0</v>
      </c>
      <c r="R100" s="59">
        <f t="shared" si="14"/>
        <v>0</v>
      </c>
    </row>
    <row r="101" spans="1:20" ht="15.75" customHeight="1" x14ac:dyDescent="0.3">
      <c r="A101" s="76" t="s">
        <v>875</v>
      </c>
      <c r="B101" s="1"/>
      <c r="C101" s="1"/>
      <c r="D101" s="1"/>
      <c r="E101" s="59">
        <f>SUM(B101:D101)</f>
        <v>0</v>
      </c>
      <c r="F101" s="1"/>
      <c r="G101" s="1"/>
      <c r="H101" s="1"/>
      <c r="I101" s="59">
        <f>SUM(F101:H101)</f>
        <v>0</v>
      </c>
      <c r="J101" s="1"/>
      <c r="K101" s="1"/>
      <c r="L101" s="1"/>
      <c r="M101" s="59">
        <f>SUM(J101:L101)</f>
        <v>0</v>
      </c>
      <c r="N101" s="1"/>
      <c r="O101" s="1"/>
      <c r="P101" s="1"/>
      <c r="Q101" s="59">
        <f>SUM(N101:P101)</f>
        <v>0</v>
      </c>
      <c r="R101" s="59">
        <f>+E101+I101+M101+Q101</f>
        <v>0</v>
      </c>
    </row>
    <row r="102" spans="1:20" ht="15.75" customHeight="1" x14ac:dyDescent="0.3">
      <c r="A102" s="76" t="s">
        <v>938</v>
      </c>
      <c r="B102" s="1"/>
      <c r="C102" s="1"/>
      <c r="D102" s="1"/>
      <c r="E102" s="59">
        <f>SUM(B102:D102)</f>
        <v>0</v>
      </c>
      <c r="F102" s="1"/>
      <c r="G102" s="1"/>
      <c r="H102" s="1"/>
      <c r="I102" s="59">
        <f>SUM(F102:H102)</f>
        <v>0</v>
      </c>
      <c r="J102" s="1"/>
      <c r="K102" s="1"/>
      <c r="L102" s="1"/>
      <c r="M102" s="59">
        <f>SUM(J102:L102)</f>
        <v>0</v>
      </c>
      <c r="N102" s="1"/>
      <c r="O102" s="1"/>
      <c r="P102" s="1"/>
      <c r="Q102" s="59">
        <f>SUM(N102:P102)</f>
        <v>0</v>
      </c>
      <c r="R102" s="59">
        <f>+E102+I102+M102+Q102</f>
        <v>0</v>
      </c>
      <c r="T102" s="4" t="s">
        <v>83</v>
      </c>
    </row>
    <row r="103" spans="1:20" ht="15.75" customHeight="1" x14ac:dyDescent="0.3">
      <c r="A103" s="76" t="s">
        <v>99</v>
      </c>
      <c r="B103" s="1"/>
      <c r="C103" s="1"/>
      <c r="D103" s="1"/>
      <c r="E103" s="59">
        <f>SUM(B103:D103)</f>
        <v>0</v>
      </c>
      <c r="F103" s="1"/>
      <c r="G103" s="1"/>
      <c r="H103" s="1"/>
      <c r="I103" s="59">
        <f>SUM(F103:H103)</f>
        <v>0</v>
      </c>
      <c r="J103" s="1"/>
      <c r="K103" s="1"/>
      <c r="L103" s="1"/>
      <c r="M103" s="59">
        <f>SUM(J103:L103)</f>
        <v>0</v>
      </c>
      <c r="N103" s="1"/>
      <c r="O103" s="1"/>
      <c r="P103" s="1"/>
      <c r="Q103" s="59">
        <f>SUM(N103:P103)</f>
        <v>0</v>
      </c>
      <c r="R103" s="59">
        <f>+E103+I103+M103+Q103</f>
        <v>0</v>
      </c>
    </row>
    <row r="104" spans="1:20" ht="15.75" customHeight="1" x14ac:dyDescent="0.3">
      <c r="A104" s="76" t="s">
        <v>876</v>
      </c>
      <c r="B104" s="1"/>
      <c r="C104" s="1"/>
      <c r="D104" s="1"/>
      <c r="E104" s="59">
        <f t="shared" si="10"/>
        <v>0</v>
      </c>
      <c r="F104" s="1"/>
      <c r="G104" s="1"/>
      <c r="H104" s="1"/>
      <c r="I104" s="59">
        <f t="shared" si="11"/>
        <v>0</v>
      </c>
      <c r="J104" s="1"/>
      <c r="K104" s="1"/>
      <c r="L104" s="1"/>
      <c r="M104" s="59">
        <f t="shared" si="12"/>
        <v>0</v>
      </c>
      <c r="N104" s="1"/>
      <c r="O104" s="1"/>
      <c r="P104" s="1"/>
      <c r="Q104" s="59">
        <f t="shared" si="13"/>
        <v>0</v>
      </c>
      <c r="R104" s="59">
        <f t="shared" si="14"/>
        <v>0</v>
      </c>
    </row>
    <row r="105" spans="1:20" ht="15.75" customHeight="1" thickBot="1" x14ac:dyDescent="0.35">
      <c r="A105" s="76" t="s">
        <v>101</v>
      </c>
      <c r="B105" s="1"/>
      <c r="C105" s="1"/>
      <c r="D105" s="1"/>
      <c r="E105" s="59">
        <f t="shared" si="10"/>
        <v>0</v>
      </c>
      <c r="F105" s="1"/>
      <c r="G105" s="1"/>
      <c r="H105" s="1"/>
      <c r="I105" s="59">
        <f t="shared" si="11"/>
        <v>0</v>
      </c>
      <c r="J105" s="1"/>
      <c r="K105" s="1"/>
      <c r="L105" s="1"/>
      <c r="M105" s="59">
        <f t="shared" si="12"/>
        <v>0</v>
      </c>
      <c r="N105" s="1"/>
      <c r="O105" s="1"/>
      <c r="P105" s="1"/>
      <c r="Q105" s="59">
        <f t="shared" si="13"/>
        <v>0</v>
      </c>
      <c r="R105" s="59">
        <f t="shared" si="14"/>
        <v>0</v>
      </c>
    </row>
    <row r="106" spans="1:20" ht="16.5" customHeight="1" thickBot="1" x14ac:dyDescent="0.35">
      <c r="A106" s="62" t="s">
        <v>61</v>
      </c>
      <c r="B106" s="63">
        <f>SUM(B96:B105)</f>
        <v>0</v>
      </c>
      <c r="C106" s="63">
        <f>SUM(C96:C105)</f>
        <v>0</v>
      </c>
      <c r="D106" s="63">
        <f>SUM(D96:D105)</f>
        <v>0</v>
      </c>
      <c r="E106" s="64">
        <f t="shared" si="10"/>
        <v>0</v>
      </c>
      <c r="F106" s="63">
        <f>SUM(F96:F105)</f>
        <v>0</v>
      </c>
      <c r="G106" s="63">
        <f>SUM(G96:G105)</f>
        <v>0</v>
      </c>
      <c r="H106" s="63">
        <f>SUM(H96:H105)</f>
        <v>0</v>
      </c>
      <c r="I106" s="64">
        <f t="shared" si="11"/>
        <v>0</v>
      </c>
      <c r="J106" s="63">
        <f>SUM(J96:J105)</f>
        <v>0</v>
      </c>
      <c r="K106" s="63">
        <f>SUM(K96:K105)</f>
        <v>0</v>
      </c>
      <c r="L106" s="63">
        <f>SUM(L96:L105)</f>
        <v>0</v>
      </c>
      <c r="M106" s="64">
        <f t="shared" si="12"/>
        <v>0</v>
      </c>
      <c r="N106" s="63">
        <f>SUM(N96:N105)</f>
        <v>0</v>
      </c>
      <c r="O106" s="63">
        <f>SUM(O96:O105)</f>
        <v>0</v>
      </c>
      <c r="P106" s="63">
        <f>SUM(P96:P105)</f>
        <v>0</v>
      </c>
      <c r="Q106" s="64">
        <f t="shared" si="13"/>
        <v>0</v>
      </c>
      <c r="R106" s="64">
        <f t="shared" si="14"/>
        <v>0</v>
      </c>
    </row>
    <row r="107" spans="1:20" ht="15.75" customHeight="1" x14ac:dyDescent="0.3">
      <c r="A107" s="22" t="s">
        <v>62</v>
      </c>
      <c r="B107" s="60"/>
      <c r="C107" s="60"/>
      <c r="D107" s="60"/>
      <c r="E107" s="59" t="s">
        <v>7</v>
      </c>
      <c r="F107" s="60"/>
      <c r="G107" s="60"/>
      <c r="H107" s="60"/>
      <c r="I107" s="59" t="s">
        <v>7</v>
      </c>
      <c r="J107" s="60"/>
      <c r="K107" s="60"/>
      <c r="L107" s="60"/>
      <c r="M107" s="59" t="s">
        <v>7</v>
      </c>
      <c r="N107" s="60"/>
      <c r="O107" s="60"/>
      <c r="P107" s="60"/>
      <c r="Q107" s="59" t="s">
        <v>7</v>
      </c>
      <c r="R107" s="59" t="s">
        <v>7</v>
      </c>
    </row>
    <row r="108" spans="1:20" ht="15.75" customHeight="1" x14ac:dyDescent="0.3">
      <c r="A108" s="22" t="s">
        <v>63</v>
      </c>
      <c r="B108" s="60"/>
      <c r="C108" s="60"/>
      <c r="D108" s="60"/>
      <c r="E108" s="59" t="s">
        <v>7</v>
      </c>
      <c r="F108" s="60"/>
      <c r="G108" s="60"/>
      <c r="H108" s="60"/>
      <c r="I108" s="59" t="s">
        <v>7</v>
      </c>
      <c r="J108" s="60"/>
      <c r="K108" s="60"/>
      <c r="L108" s="60"/>
      <c r="M108" s="59" t="s">
        <v>7</v>
      </c>
      <c r="N108" s="60"/>
      <c r="O108" s="60"/>
      <c r="P108" s="60"/>
      <c r="Q108" s="59" t="s">
        <v>7</v>
      </c>
      <c r="R108" s="59" t="s">
        <v>7</v>
      </c>
    </row>
    <row r="109" spans="1:20" ht="15.75" customHeight="1" x14ac:dyDescent="0.3">
      <c r="A109" s="61" t="s">
        <v>103</v>
      </c>
      <c r="B109" s="1"/>
      <c r="C109" s="1"/>
      <c r="D109" s="1"/>
      <c r="E109" s="59">
        <f t="shared" ref="E109:E114" si="15">SUM(B109:D109)</f>
        <v>0</v>
      </c>
      <c r="F109" s="1"/>
      <c r="G109" s="1"/>
      <c r="H109" s="1"/>
      <c r="I109" s="59">
        <f t="shared" ref="I109:I114" si="16">SUM(F109:H109)</f>
        <v>0</v>
      </c>
      <c r="J109" s="1"/>
      <c r="K109" s="1"/>
      <c r="L109" s="1"/>
      <c r="M109" s="59">
        <f t="shared" ref="M109:M114" si="17">SUM(J109:L109)</f>
        <v>0</v>
      </c>
      <c r="N109" s="1"/>
      <c r="O109" s="1"/>
      <c r="P109" s="1"/>
      <c r="Q109" s="59">
        <f t="shared" ref="Q109:Q114" si="18">SUM(N109:P109)</f>
        <v>0</v>
      </c>
      <c r="R109" s="59">
        <f t="shared" ref="R109:R114" si="19">+E109+I109+M109+Q109</f>
        <v>0</v>
      </c>
    </row>
    <row r="110" spans="1:20" ht="15.75" customHeight="1" x14ac:dyDescent="0.3">
      <c r="A110" s="61" t="s">
        <v>902</v>
      </c>
      <c r="B110" s="1"/>
      <c r="C110" s="1"/>
      <c r="D110" s="1"/>
      <c r="E110" s="59">
        <f t="shared" si="15"/>
        <v>0</v>
      </c>
      <c r="F110" s="1"/>
      <c r="G110" s="1"/>
      <c r="H110" s="1"/>
      <c r="I110" s="59">
        <f t="shared" si="16"/>
        <v>0</v>
      </c>
      <c r="J110" s="1"/>
      <c r="K110" s="1"/>
      <c r="L110" s="1"/>
      <c r="M110" s="59">
        <f t="shared" si="17"/>
        <v>0</v>
      </c>
      <c r="N110" s="1"/>
      <c r="O110" s="1"/>
      <c r="P110" s="1"/>
      <c r="Q110" s="59">
        <f t="shared" si="18"/>
        <v>0</v>
      </c>
      <c r="R110" s="59">
        <f t="shared" si="19"/>
        <v>0</v>
      </c>
    </row>
    <row r="111" spans="1:20" ht="15.75" customHeight="1" x14ac:dyDescent="0.3">
      <c r="A111" s="61" t="s">
        <v>105</v>
      </c>
      <c r="B111" s="1"/>
      <c r="C111" s="1"/>
      <c r="D111" s="1"/>
      <c r="E111" s="59">
        <f t="shared" si="15"/>
        <v>0</v>
      </c>
      <c r="F111" s="1"/>
      <c r="G111" s="1"/>
      <c r="H111" s="1"/>
      <c r="I111" s="59">
        <f t="shared" si="16"/>
        <v>0</v>
      </c>
      <c r="J111" s="1"/>
      <c r="K111" s="1"/>
      <c r="L111" s="1"/>
      <c r="M111" s="59">
        <f t="shared" si="17"/>
        <v>0</v>
      </c>
      <c r="N111" s="1"/>
      <c r="O111" s="1"/>
      <c r="P111" s="1"/>
      <c r="Q111" s="59">
        <f t="shared" si="18"/>
        <v>0</v>
      </c>
      <c r="R111" s="59">
        <f t="shared" si="19"/>
        <v>0</v>
      </c>
    </row>
    <row r="112" spans="1:20" ht="15.75" customHeight="1" x14ac:dyDescent="0.3">
      <c r="A112" s="61" t="s">
        <v>106</v>
      </c>
      <c r="B112" s="1"/>
      <c r="C112" s="1"/>
      <c r="D112" s="1"/>
      <c r="E112" s="59">
        <f t="shared" si="15"/>
        <v>0</v>
      </c>
      <c r="F112" s="1"/>
      <c r="G112" s="1"/>
      <c r="H112" s="1"/>
      <c r="I112" s="59">
        <f t="shared" si="16"/>
        <v>0</v>
      </c>
      <c r="J112" s="1"/>
      <c r="K112" s="1"/>
      <c r="L112" s="1"/>
      <c r="M112" s="59">
        <f t="shared" si="17"/>
        <v>0</v>
      </c>
      <c r="N112" s="1"/>
      <c r="O112" s="1"/>
      <c r="P112" s="1"/>
      <c r="Q112" s="59">
        <f t="shared" si="18"/>
        <v>0</v>
      </c>
      <c r="R112" s="59">
        <f t="shared" si="19"/>
        <v>0</v>
      </c>
    </row>
    <row r="113" spans="1:20" ht="15.75" customHeight="1" x14ac:dyDescent="0.3">
      <c r="A113" s="61" t="s">
        <v>107</v>
      </c>
      <c r="B113" s="1"/>
      <c r="C113" s="1"/>
      <c r="D113" s="1"/>
      <c r="E113" s="59">
        <f t="shared" si="15"/>
        <v>0</v>
      </c>
      <c r="F113" s="1"/>
      <c r="G113" s="1"/>
      <c r="H113" s="1"/>
      <c r="I113" s="59">
        <f t="shared" si="16"/>
        <v>0</v>
      </c>
      <c r="J113" s="1"/>
      <c r="K113" s="1"/>
      <c r="L113" s="1"/>
      <c r="M113" s="59">
        <f t="shared" si="17"/>
        <v>0</v>
      </c>
      <c r="N113" s="1"/>
      <c r="O113" s="1"/>
      <c r="P113" s="1"/>
      <c r="Q113" s="59">
        <f t="shared" si="18"/>
        <v>0</v>
      </c>
      <c r="R113" s="59">
        <f t="shared" si="19"/>
        <v>0</v>
      </c>
    </row>
    <row r="114" spans="1:20" ht="15.75" customHeight="1" x14ac:dyDescent="0.3">
      <c r="A114" s="61" t="s">
        <v>108</v>
      </c>
      <c r="B114" s="1"/>
      <c r="C114" s="1"/>
      <c r="D114" s="1"/>
      <c r="E114" s="59">
        <f t="shared" si="15"/>
        <v>0</v>
      </c>
      <c r="F114" s="1"/>
      <c r="G114" s="1"/>
      <c r="H114" s="1"/>
      <c r="I114" s="59">
        <f t="shared" si="16"/>
        <v>0</v>
      </c>
      <c r="J114" s="1"/>
      <c r="K114" s="1"/>
      <c r="L114" s="1"/>
      <c r="M114" s="59">
        <f t="shared" si="17"/>
        <v>0</v>
      </c>
      <c r="N114" s="1"/>
      <c r="O114" s="1"/>
      <c r="P114" s="1"/>
      <c r="Q114" s="59">
        <f t="shared" si="18"/>
        <v>0</v>
      </c>
      <c r="R114" s="59">
        <f t="shared" si="19"/>
        <v>0</v>
      </c>
    </row>
    <row r="115" spans="1:20" ht="15.75" customHeight="1" x14ac:dyDescent="0.3">
      <c r="A115" s="61" t="s">
        <v>109</v>
      </c>
      <c r="B115" s="1"/>
      <c r="C115" s="1"/>
      <c r="D115" s="1"/>
      <c r="E115" s="59">
        <f>SUM(B115:D115)</f>
        <v>0</v>
      </c>
      <c r="F115" s="1"/>
      <c r="G115" s="1"/>
      <c r="H115" s="1"/>
      <c r="I115" s="59">
        <f>SUM(F115:H115)</f>
        <v>0</v>
      </c>
      <c r="J115" s="1"/>
      <c r="K115" s="1"/>
      <c r="L115" s="1"/>
      <c r="M115" s="59">
        <f>SUM(J115:L115)</f>
        <v>0</v>
      </c>
      <c r="N115" s="1"/>
      <c r="O115" s="1"/>
      <c r="P115" s="1"/>
      <c r="Q115" s="59">
        <f>SUM(N115:P115)</f>
        <v>0</v>
      </c>
      <c r="R115" s="59">
        <f>+E115+I115+M115+Q115</f>
        <v>0</v>
      </c>
    </row>
    <row r="116" spans="1:20" ht="15.75" customHeight="1" x14ac:dyDescent="0.3">
      <c r="A116" s="78" t="s">
        <v>110</v>
      </c>
      <c r="B116" s="1"/>
      <c r="C116" s="1"/>
      <c r="D116" s="1"/>
      <c r="E116" s="59">
        <f>SUM(B116:D116)</f>
        <v>0</v>
      </c>
      <c r="F116" s="1"/>
      <c r="G116" s="1"/>
      <c r="H116" s="1"/>
      <c r="I116" s="59">
        <f>SUM(F116:H116)</f>
        <v>0</v>
      </c>
      <c r="J116" s="1"/>
      <c r="K116" s="1"/>
      <c r="L116" s="1"/>
      <c r="M116" s="59">
        <f>SUM(J116:L116)</f>
        <v>0</v>
      </c>
      <c r="N116" s="1"/>
      <c r="O116" s="1"/>
      <c r="P116" s="1"/>
      <c r="Q116" s="59">
        <f>SUM(N116:P116)</f>
        <v>0</v>
      </c>
      <c r="R116" s="59">
        <f>+E116+I116+M116+Q116</f>
        <v>0</v>
      </c>
      <c r="T116" s="4" t="s">
        <v>111</v>
      </c>
    </row>
    <row r="117" spans="1:20" ht="15.75" customHeight="1" x14ac:dyDescent="0.3">
      <c r="A117" s="22" t="s">
        <v>64</v>
      </c>
      <c r="B117" s="60"/>
      <c r="C117" s="60"/>
      <c r="D117" s="60"/>
      <c r="E117" s="59" t="s">
        <v>7</v>
      </c>
      <c r="F117" s="60"/>
      <c r="G117" s="60"/>
      <c r="H117" s="60"/>
      <c r="I117" s="59" t="s">
        <v>7</v>
      </c>
      <c r="J117" s="60"/>
      <c r="K117" s="60"/>
      <c r="L117" s="60"/>
      <c r="M117" s="59" t="s">
        <v>7</v>
      </c>
      <c r="N117" s="60"/>
      <c r="O117" s="60"/>
      <c r="P117" s="60"/>
      <c r="Q117" s="59" t="s">
        <v>7</v>
      </c>
      <c r="R117" s="59" t="s">
        <v>7</v>
      </c>
    </row>
    <row r="118" spans="1:20" ht="15.75" customHeight="1" x14ac:dyDescent="0.3">
      <c r="A118" s="61" t="s">
        <v>112</v>
      </c>
      <c r="B118" s="1"/>
      <c r="C118" s="1"/>
      <c r="D118" s="1"/>
      <c r="E118" s="59">
        <f>SUM(B118:D118)</f>
        <v>0</v>
      </c>
      <c r="F118" s="1"/>
      <c r="G118" s="1"/>
      <c r="H118" s="1"/>
      <c r="I118" s="59">
        <f>SUM(F118:H118)</f>
        <v>0</v>
      </c>
      <c r="J118" s="1"/>
      <c r="K118" s="1"/>
      <c r="L118" s="1"/>
      <c r="M118" s="59">
        <f>SUM(J118:L118)</f>
        <v>0</v>
      </c>
      <c r="N118" s="1">
        <v>6000</v>
      </c>
      <c r="O118" s="1">
        <v>6000</v>
      </c>
      <c r="P118" s="1">
        <v>4215</v>
      </c>
      <c r="Q118" s="59">
        <f>SUM(N118:P118)</f>
        <v>16215</v>
      </c>
      <c r="R118" s="59">
        <f>+E118+I118+M118+Q118</f>
        <v>16215</v>
      </c>
    </row>
    <row r="119" spans="1:20" ht="15.75" customHeight="1" x14ac:dyDescent="0.3">
      <c r="A119" s="61" t="s">
        <v>113</v>
      </c>
      <c r="B119" s="1"/>
      <c r="C119" s="1"/>
      <c r="D119" s="1"/>
      <c r="E119" s="59">
        <f>SUM(B119:D119)</f>
        <v>0</v>
      </c>
      <c r="F119" s="1"/>
      <c r="G119" s="1"/>
      <c r="H119" s="1"/>
      <c r="I119" s="59">
        <f>SUM(F119:H119)</f>
        <v>0</v>
      </c>
      <c r="J119" s="1"/>
      <c r="K119" s="1"/>
      <c r="L119" s="1"/>
      <c r="M119" s="59">
        <f>SUM(J119:L119)</f>
        <v>0</v>
      </c>
      <c r="N119" s="1"/>
      <c r="O119" s="1"/>
      <c r="P119" s="1"/>
      <c r="Q119" s="59">
        <f>SUM(N119:P119)</f>
        <v>0</v>
      </c>
      <c r="R119" s="59">
        <f>+E119+I119+M119+Q119</f>
        <v>0</v>
      </c>
    </row>
    <row r="120" spans="1:20" ht="15.75" customHeight="1" x14ac:dyDescent="0.3">
      <c r="A120" s="22" t="s">
        <v>66</v>
      </c>
      <c r="B120" s="60"/>
      <c r="C120" s="60"/>
      <c r="D120" s="60"/>
      <c r="E120" s="59" t="s">
        <v>7</v>
      </c>
      <c r="F120" s="60"/>
      <c r="G120" s="60"/>
      <c r="H120" s="60"/>
      <c r="I120" s="59" t="s">
        <v>7</v>
      </c>
      <c r="J120" s="60"/>
      <c r="K120" s="60"/>
      <c r="L120" s="60"/>
      <c r="M120" s="59" t="s">
        <v>7</v>
      </c>
      <c r="N120" s="60"/>
      <c r="O120" s="60"/>
      <c r="P120" s="60"/>
      <c r="Q120" s="59" t="s">
        <v>7</v>
      </c>
      <c r="R120" s="59" t="s">
        <v>7</v>
      </c>
    </row>
    <row r="121" spans="1:20" ht="15.75" customHeight="1" x14ac:dyDescent="0.3">
      <c r="A121" s="61" t="s">
        <v>903</v>
      </c>
      <c r="B121" s="1"/>
      <c r="C121" s="1"/>
      <c r="D121" s="1">
        <v>420</v>
      </c>
      <c r="E121" s="59">
        <f>SUM(B121:D121)</f>
        <v>420</v>
      </c>
      <c r="F121" s="1">
        <v>500</v>
      </c>
      <c r="G121" s="1">
        <v>500</v>
      </c>
      <c r="H121" s="1">
        <v>500</v>
      </c>
      <c r="I121" s="59">
        <f>SUM(F121:H121)</f>
        <v>1500</v>
      </c>
      <c r="J121" s="1">
        <v>440</v>
      </c>
      <c r="K121" s="1"/>
      <c r="L121" s="1"/>
      <c r="M121" s="59">
        <f>SUM(J121:L121)</f>
        <v>440</v>
      </c>
      <c r="N121" s="1"/>
      <c r="O121" s="1"/>
      <c r="P121" s="1"/>
      <c r="Q121" s="59">
        <f>SUM(N121:P121)</f>
        <v>0</v>
      </c>
      <c r="R121" s="59">
        <f>+E121+I121+M121+Q121</f>
        <v>2360</v>
      </c>
      <c r="T121" s="4" t="s">
        <v>78</v>
      </c>
    </row>
    <row r="122" spans="1:20" ht="15.75" customHeight="1" thickBot="1" x14ac:dyDescent="0.35">
      <c r="A122" s="22" t="s">
        <v>67</v>
      </c>
      <c r="B122" s="60"/>
      <c r="C122" s="60"/>
      <c r="D122" s="60"/>
      <c r="E122" s="59" t="s">
        <v>7</v>
      </c>
      <c r="F122" s="60"/>
      <c r="G122" s="60"/>
      <c r="H122" s="60"/>
      <c r="I122" s="59" t="s">
        <v>7</v>
      </c>
      <c r="J122" s="60"/>
      <c r="K122" s="60"/>
      <c r="L122" s="60"/>
      <c r="M122" s="59" t="s">
        <v>7</v>
      </c>
      <c r="N122" s="60"/>
      <c r="O122" s="60"/>
      <c r="P122" s="60"/>
      <c r="Q122" s="59" t="s">
        <v>7</v>
      </c>
      <c r="R122" s="59" t="s">
        <v>7</v>
      </c>
    </row>
    <row r="123" spans="1:20" ht="16.5" customHeight="1" thickBot="1" x14ac:dyDescent="0.35">
      <c r="A123" s="62" t="s">
        <v>68</v>
      </c>
      <c r="B123" s="63">
        <f>SUM(B120:B122)</f>
        <v>0</v>
      </c>
      <c r="C123" s="63">
        <f>SUM(C120:C122)</f>
        <v>0</v>
      </c>
      <c r="D123" s="63">
        <f>SUM(D120:D122)</f>
        <v>420</v>
      </c>
      <c r="E123" s="65">
        <f>SUM(B123:D123)</f>
        <v>420</v>
      </c>
      <c r="F123" s="63">
        <f>SUM(F120:F122)</f>
        <v>500</v>
      </c>
      <c r="G123" s="63">
        <f>SUM(G120:G122)</f>
        <v>500</v>
      </c>
      <c r="H123" s="63">
        <f>SUM(H120:H122)</f>
        <v>500</v>
      </c>
      <c r="I123" s="65">
        <f>SUM(F123:H123)</f>
        <v>1500</v>
      </c>
      <c r="J123" s="63">
        <f>SUM(J120:J122)</f>
        <v>440</v>
      </c>
      <c r="K123" s="63">
        <f>SUM(K120:K122)</f>
        <v>0</v>
      </c>
      <c r="L123" s="63">
        <f>SUM(L120:L122)</f>
        <v>0</v>
      </c>
      <c r="M123" s="65">
        <f>SUM(J123:L123)</f>
        <v>440</v>
      </c>
      <c r="N123" s="63">
        <f>SUM(N120:N122)</f>
        <v>0</v>
      </c>
      <c r="O123" s="63">
        <f>SUM(O120:O122)</f>
        <v>0</v>
      </c>
      <c r="P123" s="63">
        <f>SUM(P120:P122)</f>
        <v>0</v>
      </c>
      <c r="Q123" s="65">
        <f>SUM(N123:P123)</f>
        <v>0</v>
      </c>
      <c r="R123" s="64">
        <f>+E123+I123+M123+Q123</f>
        <v>2360</v>
      </c>
    </row>
    <row r="124" spans="1:20" ht="16.5" customHeight="1" thickBot="1" x14ac:dyDescent="0.35">
      <c r="A124" s="62" t="s">
        <v>69</v>
      </c>
      <c r="B124" s="63">
        <f>SUM(B107:B122)</f>
        <v>0</v>
      </c>
      <c r="C124" s="63">
        <f>SUM(C107:C122)</f>
        <v>0</v>
      </c>
      <c r="D124" s="63">
        <f>SUM(D107:D122)</f>
        <v>420</v>
      </c>
      <c r="E124" s="65">
        <f>SUM(B124:D124)</f>
        <v>420</v>
      </c>
      <c r="F124" s="63">
        <f>SUM(F107:F122)</f>
        <v>500</v>
      </c>
      <c r="G124" s="63">
        <f>SUM(G107:G122)</f>
        <v>500</v>
      </c>
      <c r="H124" s="63">
        <f>SUM(H107:H122)</f>
        <v>500</v>
      </c>
      <c r="I124" s="65">
        <f>SUM(F124:H124)</f>
        <v>1500</v>
      </c>
      <c r="J124" s="63">
        <f>SUM(J107:J122)</f>
        <v>440</v>
      </c>
      <c r="K124" s="63">
        <f>SUM(K107:K122)</f>
        <v>0</v>
      </c>
      <c r="L124" s="63">
        <f>SUM(L107:L122)</f>
        <v>0</v>
      </c>
      <c r="M124" s="65">
        <f>SUM(J124:L124)</f>
        <v>440</v>
      </c>
      <c r="N124" s="63">
        <f>SUM(N107:N122)</f>
        <v>6000</v>
      </c>
      <c r="O124" s="63">
        <f>SUM(O107:O122)</f>
        <v>6000</v>
      </c>
      <c r="P124" s="63">
        <f>SUM(P107:P122)</f>
        <v>4215</v>
      </c>
      <c r="Q124" s="65">
        <f>SUM(N124:P124)</f>
        <v>16215</v>
      </c>
      <c r="R124" s="64">
        <f>+E124+I124+M124+Q124</f>
        <v>18575</v>
      </c>
    </row>
    <row r="125" spans="1:20" ht="16.5" customHeight="1" thickBot="1" x14ac:dyDescent="0.35">
      <c r="A125" s="62" t="s">
        <v>70</v>
      </c>
      <c r="B125" s="63">
        <f>+B88+B95+B106+B124</f>
        <v>1470</v>
      </c>
      <c r="C125" s="63">
        <f>+C88+C95+C106+C124</f>
        <v>2036</v>
      </c>
      <c r="D125" s="63">
        <f>+D88+D95+D106+D124</f>
        <v>5490</v>
      </c>
      <c r="E125" s="64">
        <f>SUM(B125:D125)</f>
        <v>8996</v>
      </c>
      <c r="F125" s="63">
        <f>+F88+F95+F106+F124</f>
        <v>7570</v>
      </c>
      <c r="G125" s="63">
        <f>+G88+G95+G106+G124</f>
        <v>6920</v>
      </c>
      <c r="H125" s="63">
        <f>+H88+H95+H106+H124</f>
        <v>6620</v>
      </c>
      <c r="I125" s="64">
        <f>SUM(F125:H125)</f>
        <v>21110</v>
      </c>
      <c r="J125" s="63">
        <f>+J88+J95+J106+J124</f>
        <v>6139</v>
      </c>
      <c r="K125" s="63">
        <f>+K88+K95+K106+K124</f>
        <v>6420</v>
      </c>
      <c r="L125" s="63">
        <f>+L88+L95+L106+L124</f>
        <v>4120</v>
      </c>
      <c r="M125" s="64">
        <f>SUM(J125:L125)</f>
        <v>16679</v>
      </c>
      <c r="N125" s="63">
        <f>+N88+N95+N106+N124</f>
        <v>8220</v>
      </c>
      <c r="O125" s="63">
        <f>+O88+O95+O106+O124</f>
        <v>6870</v>
      </c>
      <c r="P125" s="63">
        <f>+P88+P95+P106+P124</f>
        <v>5622</v>
      </c>
      <c r="Q125" s="64">
        <f>SUM(N125:P125)</f>
        <v>20712</v>
      </c>
      <c r="R125" s="64">
        <f>+E125+I125+M125+Q125</f>
        <v>67497</v>
      </c>
    </row>
    <row r="126" spans="1:20" ht="16.5" customHeight="1" thickBot="1" x14ac:dyDescent="0.35">
      <c r="A126" s="79" t="s">
        <v>37</v>
      </c>
      <c r="B126" s="25">
        <v>173</v>
      </c>
      <c r="C126" s="25">
        <v>260</v>
      </c>
      <c r="D126" s="25">
        <v>471</v>
      </c>
      <c r="E126" s="59">
        <f>SUM(B126:D126)</f>
        <v>904</v>
      </c>
      <c r="F126" s="25">
        <v>629</v>
      </c>
      <c r="G126" s="25">
        <v>725</v>
      </c>
      <c r="H126" s="25">
        <v>712</v>
      </c>
      <c r="I126" s="59">
        <f>SUM(F126:H126)</f>
        <v>2066</v>
      </c>
      <c r="J126" s="25">
        <v>711</v>
      </c>
      <c r="K126" s="25">
        <v>573</v>
      </c>
      <c r="L126" s="25">
        <v>542</v>
      </c>
      <c r="M126" s="59">
        <f>SUM(J126:L126)</f>
        <v>1826</v>
      </c>
      <c r="N126" s="25">
        <v>490</v>
      </c>
      <c r="O126" s="25">
        <v>407</v>
      </c>
      <c r="P126" s="25">
        <v>323</v>
      </c>
      <c r="Q126" s="59">
        <f>SUM(N126:P126)</f>
        <v>1220</v>
      </c>
      <c r="R126" s="59">
        <f>+E126+I126+M126+Q126</f>
        <v>6016</v>
      </c>
    </row>
    <row r="127" spans="1:20" ht="16.5" customHeight="1" thickBot="1" x14ac:dyDescent="0.35">
      <c r="A127" s="80"/>
      <c r="B127" s="81"/>
      <c r="C127" s="81"/>
      <c r="D127" s="81"/>
      <c r="E127" s="64" t="s">
        <v>7</v>
      </c>
      <c r="F127" s="81"/>
      <c r="G127" s="81"/>
      <c r="H127" s="81"/>
      <c r="I127" s="64" t="s">
        <v>7</v>
      </c>
      <c r="J127" s="81"/>
      <c r="K127" s="81"/>
      <c r="L127" s="81"/>
      <c r="M127" s="64" t="s">
        <v>7</v>
      </c>
      <c r="N127" s="81"/>
      <c r="O127" s="81"/>
      <c r="P127" s="81"/>
      <c r="Q127" s="64" t="s">
        <v>7</v>
      </c>
      <c r="R127" s="64" t="s">
        <v>7</v>
      </c>
    </row>
    <row r="128" spans="1:20" ht="15.75" customHeight="1" x14ac:dyDescent="0.3">
      <c r="A128" s="82" t="s">
        <v>38</v>
      </c>
      <c r="B128" s="83">
        <f>+B125+B126</f>
        <v>1643</v>
      </c>
      <c r="C128" s="83">
        <f>+C125+C126</f>
        <v>2296</v>
      </c>
      <c r="D128" s="83">
        <f>+D125+D126</f>
        <v>5961</v>
      </c>
      <c r="E128" s="59">
        <f>SUM(B128:D128)</f>
        <v>9900</v>
      </c>
      <c r="F128" s="83">
        <f>+F125+F126</f>
        <v>8199</v>
      </c>
      <c r="G128" s="83">
        <f>+G125+G126</f>
        <v>7645</v>
      </c>
      <c r="H128" s="83">
        <f>+H125+H126</f>
        <v>7332</v>
      </c>
      <c r="I128" s="59">
        <f>SUM(F128:H128)</f>
        <v>23176</v>
      </c>
      <c r="J128" s="83">
        <f>+J125+J126</f>
        <v>6850</v>
      </c>
      <c r="K128" s="83">
        <f>+K125+K126</f>
        <v>6993</v>
      </c>
      <c r="L128" s="83">
        <f>+L125+L126</f>
        <v>4662</v>
      </c>
      <c r="M128" s="59">
        <f>SUM(J128:L128)</f>
        <v>18505</v>
      </c>
      <c r="N128" s="83">
        <f>+N125+N126</f>
        <v>8710</v>
      </c>
      <c r="O128" s="83">
        <f>+O125+O126</f>
        <v>7277</v>
      </c>
      <c r="P128" s="83">
        <f>+P125+P126</f>
        <v>5945</v>
      </c>
      <c r="Q128" s="59">
        <f>SUM(N128:P128)</f>
        <v>21932</v>
      </c>
      <c r="R128" s="59">
        <f>+E128+I128+M128+Q128</f>
        <v>73513</v>
      </c>
    </row>
    <row r="129" spans="1:20" ht="15.75" customHeight="1" x14ac:dyDescent="0.3">
      <c r="A129" s="84" t="s">
        <v>39</v>
      </c>
      <c r="B129" s="1">
        <f>(B128/B10)/1.983</f>
        <v>26.727181038830054</v>
      </c>
      <c r="C129" s="1">
        <f>(C128/C10)/1.983</f>
        <v>39.925574277913988</v>
      </c>
      <c r="D129" s="1">
        <f>(D128/D10)/1.983</f>
        <v>96.969401200527045</v>
      </c>
      <c r="E129" s="59" t="s">
        <v>7</v>
      </c>
      <c r="F129" s="1">
        <f>(F128/F10)/1.983</f>
        <v>137.82148260211801</v>
      </c>
      <c r="G129" s="1">
        <f>(G128/G10)/1.983</f>
        <v>124.36354171750199</v>
      </c>
      <c r="H129" s="1">
        <f>(H128/H10)/1.983</f>
        <v>123.2476046394352</v>
      </c>
      <c r="I129" s="59" t="s">
        <v>7</v>
      </c>
      <c r="J129" s="1">
        <f>(J128/J10)/1.983</f>
        <v>111.43103476322938</v>
      </c>
      <c r="K129" s="1">
        <f>(K128/K10)/1.983</f>
        <v>113.75725928456396</v>
      </c>
      <c r="L129" s="1">
        <f>(L128/L10)/1.983</f>
        <v>78.366111951588508</v>
      </c>
      <c r="M129" s="59" t="s">
        <v>7</v>
      </c>
      <c r="N129" s="1">
        <f>(N128/N10)/1.983</f>
        <v>141.68822084492376</v>
      </c>
      <c r="O129" s="1">
        <f>(O128/O10)/1.983</f>
        <v>122.32307950916119</v>
      </c>
      <c r="P129" s="1">
        <f>(P128/P10)/1.983</f>
        <v>96.709124331007104</v>
      </c>
      <c r="Q129" s="59" t="s">
        <v>7</v>
      </c>
      <c r="R129" s="59" t="s">
        <v>7</v>
      </c>
    </row>
    <row r="130" spans="1:20" ht="15.75" customHeight="1" x14ac:dyDescent="0.3">
      <c r="A130" s="85" t="s">
        <v>117</v>
      </c>
      <c r="B130" s="1">
        <f>B128+B292</f>
        <v>143075</v>
      </c>
      <c r="C130" s="1">
        <f>C128+C292</f>
        <v>97501</v>
      </c>
      <c r="D130" s="1">
        <f>D128+D292</f>
        <v>140181</v>
      </c>
      <c r="E130" s="59">
        <f>SUM(B130:D130)</f>
        <v>380757</v>
      </c>
      <c r="F130" s="1">
        <f>F128+F292</f>
        <v>173797</v>
      </c>
      <c r="G130" s="1">
        <f>G128+G292</f>
        <v>179190</v>
      </c>
      <c r="H130" s="1">
        <f>H128+H292</f>
        <v>77157</v>
      </c>
      <c r="I130" s="59">
        <f>SUM(F130:H130)</f>
        <v>430144</v>
      </c>
      <c r="J130" s="1">
        <f>J128+J292</f>
        <v>69593</v>
      </c>
      <c r="K130" s="1">
        <f>K128+K292</f>
        <v>69605</v>
      </c>
      <c r="L130" s="1">
        <f>L128+L292</f>
        <v>142533</v>
      </c>
      <c r="M130" s="59">
        <f>SUM(J130:L130)</f>
        <v>281731</v>
      </c>
      <c r="N130" s="1">
        <f>N128+N292</f>
        <v>134807</v>
      </c>
      <c r="O130" s="1">
        <f>O128+O292</f>
        <v>130682</v>
      </c>
      <c r="P130" s="1">
        <f>P128+P292</f>
        <v>134612</v>
      </c>
      <c r="Q130" s="59">
        <f>SUM(N130:P130)</f>
        <v>400101</v>
      </c>
      <c r="R130" s="59">
        <f>+E130+I130+M130+Q130</f>
        <v>1492733</v>
      </c>
    </row>
    <row r="131" spans="1:20" ht="16.5" customHeight="1" thickBot="1" x14ac:dyDescent="0.35">
      <c r="A131" s="86" t="s">
        <v>118</v>
      </c>
      <c r="B131" s="87">
        <f>(B130/B10)/1.983</f>
        <v>2327.4445691604442</v>
      </c>
      <c r="C131" s="87">
        <f>(C130/C10)/1.983</f>
        <v>1695.463161006486</v>
      </c>
      <c r="D131" s="87">
        <f>(D130/D10)/1.983</f>
        <v>2280.3669903860232</v>
      </c>
      <c r="E131" s="88" t="s">
        <v>7</v>
      </c>
      <c r="F131" s="87">
        <f>(F130/F10)/1.983</f>
        <v>2921.4489830223565</v>
      </c>
      <c r="G131" s="87">
        <f>(G130/G10)/1.983</f>
        <v>2914.9382655800105</v>
      </c>
      <c r="H131" s="87">
        <f>(H130/H10)/1.983</f>
        <v>1296.9742813918306</v>
      </c>
      <c r="I131" s="88" t="s">
        <v>7</v>
      </c>
      <c r="J131" s="87">
        <f>(J130/J10)/1.983</f>
        <v>1132.0905112813755</v>
      </c>
      <c r="K131" s="87">
        <f>(K130/K10)/1.983</f>
        <v>1132.2857189335155</v>
      </c>
      <c r="L131" s="87">
        <f>(L130/L10)/1.983</f>
        <v>2395.9152798789714</v>
      </c>
      <c r="M131" s="88" t="s">
        <v>7</v>
      </c>
      <c r="N131" s="87">
        <f>(N130/N10)/1.983</f>
        <v>2192.9464968360094</v>
      </c>
      <c r="O131" s="87">
        <f>(O130/O10)/1.983</f>
        <v>2196.7053286266596</v>
      </c>
      <c r="P131" s="87">
        <f>(P130/P10)/1.983</f>
        <v>2189.7743724887346</v>
      </c>
      <c r="Q131" s="88" t="s">
        <v>7</v>
      </c>
      <c r="R131" s="88" t="s">
        <v>7</v>
      </c>
    </row>
    <row r="132" spans="1:20" ht="15.75" customHeight="1" x14ac:dyDescent="0.3">
      <c r="A132" s="30"/>
      <c r="B132" s="1"/>
      <c r="C132" s="1"/>
      <c r="D132" s="1"/>
      <c r="E132" s="1"/>
      <c r="F132" s="1"/>
      <c r="G132" s="1"/>
      <c r="H132" s="1"/>
      <c r="I132" s="1"/>
      <c r="J132" s="1"/>
      <c r="K132" s="1"/>
      <c r="L132" s="1"/>
      <c r="M132" s="1"/>
      <c r="N132" s="1"/>
      <c r="O132" s="1"/>
      <c r="P132" s="1"/>
      <c r="Q132" s="1"/>
      <c r="R132" s="28"/>
    </row>
    <row r="133" spans="1:20" ht="15.75" customHeight="1" thickBot="1" x14ac:dyDescent="0.35">
      <c r="A133" s="30" t="s">
        <v>7</v>
      </c>
      <c r="B133" s="1"/>
      <c r="C133" s="1"/>
      <c r="D133" s="1"/>
      <c r="E133" s="1"/>
      <c r="F133" s="1"/>
      <c r="G133" s="1"/>
      <c r="H133" s="1"/>
      <c r="I133" s="1"/>
      <c r="J133" s="1"/>
      <c r="K133" s="1"/>
      <c r="L133" s="1"/>
      <c r="M133" s="1"/>
      <c r="N133" s="1"/>
      <c r="O133" s="1"/>
      <c r="P133" s="1"/>
      <c r="Q133" s="1"/>
      <c r="R133" s="28"/>
    </row>
    <row r="134" spans="1:20" ht="16.5" customHeight="1" thickBot="1" x14ac:dyDescent="0.35">
      <c r="A134" s="31" t="s">
        <v>119</v>
      </c>
      <c r="B134" s="32" t="s">
        <v>36</v>
      </c>
      <c r="C134" s="33" t="s">
        <v>9</v>
      </c>
      <c r="D134" s="33" t="s">
        <v>10</v>
      </c>
      <c r="E134" s="12" t="s">
        <v>11</v>
      </c>
      <c r="F134" s="33" t="s">
        <v>12</v>
      </c>
      <c r="G134" s="33" t="s">
        <v>13</v>
      </c>
      <c r="H134" s="33" t="s">
        <v>14</v>
      </c>
      <c r="I134" s="34" t="s">
        <v>15</v>
      </c>
      <c r="J134" s="33" t="s">
        <v>16</v>
      </c>
      <c r="K134" s="33" t="s">
        <v>17</v>
      </c>
      <c r="L134" s="33" t="s">
        <v>18</v>
      </c>
      <c r="M134" s="34" t="s">
        <v>19</v>
      </c>
      <c r="N134" s="33" t="s">
        <v>20</v>
      </c>
      <c r="O134" s="33" t="s">
        <v>21</v>
      </c>
      <c r="P134" s="33" t="s">
        <v>22</v>
      </c>
      <c r="Q134" s="34" t="s">
        <v>23</v>
      </c>
      <c r="R134" s="35" t="s">
        <v>24</v>
      </c>
    </row>
    <row r="135" spans="1:20" ht="16.5" customHeight="1" thickBot="1" x14ac:dyDescent="0.35">
      <c r="A135" s="80"/>
      <c r="B135" s="81"/>
      <c r="C135" s="81"/>
      <c r="D135" s="81"/>
      <c r="E135" s="89"/>
      <c r="F135" s="81"/>
      <c r="G135" s="81"/>
      <c r="H135" s="81"/>
      <c r="I135" s="89"/>
      <c r="J135" s="81"/>
      <c r="K135" s="81"/>
      <c r="L135" s="81"/>
      <c r="M135" s="89"/>
      <c r="N135" s="81"/>
      <c r="O135" s="81"/>
      <c r="P135" s="81"/>
      <c r="Q135" s="89"/>
      <c r="R135" s="80"/>
    </row>
    <row r="136" spans="1:20" ht="15.75" customHeight="1" x14ac:dyDescent="0.3">
      <c r="A136" s="17" t="s">
        <v>45</v>
      </c>
      <c r="B136" s="1" t="s">
        <v>7</v>
      </c>
      <c r="C136" s="1" t="s">
        <v>7</v>
      </c>
      <c r="D136" s="1" t="s">
        <v>7</v>
      </c>
      <c r="E136" s="59" t="s">
        <v>7</v>
      </c>
      <c r="F136" s="1" t="s">
        <v>7</v>
      </c>
      <c r="G136" s="1" t="s">
        <v>7</v>
      </c>
      <c r="H136" s="1" t="s">
        <v>7</v>
      </c>
      <c r="I136" s="59" t="s">
        <v>7</v>
      </c>
      <c r="J136" s="1" t="s">
        <v>7</v>
      </c>
      <c r="K136" s="1" t="s">
        <v>7</v>
      </c>
      <c r="L136" s="1" t="s">
        <v>7</v>
      </c>
      <c r="M136" s="59" t="s">
        <v>7</v>
      </c>
      <c r="N136" s="1" t="s">
        <v>7</v>
      </c>
      <c r="O136" s="1" t="s">
        <v>7</v>
      </c>
      <c r="P136" s="1" t="s">
        <v>7</v>
      </c>
      <c r="Q136" s="59" t="s">
        <v>7</v>
      </c>
      <c r="R136" s="90" t="s">
        <v>7</v>
      </c>
    </row>
    <row r="137" spans="1:20" ht="15.75" customHeight="1" x14ac:dyDescent="0.3">
      <c r="A137" s="17" t="s">
        <v>46</v>
      </c>
      <c r="B137" s="1"/>
      <c r="C137" s="1"/>
      <c r="D137" s="1"/>
      <c r="E137" s="59" t="s">
        <v>7</v>
      </c>
      <c r="F137" s="1"/>
      <c r="G137" s="1"/>
      <c r="H137" s="1"/>
      <c r="I137" s="59" t="s">
        <v>7</v>
      </c>
      <c r="J137" s="1"/>
      <c r="K137" s="1"/>
      <c r="L137" s="1"/>
      <c r="M137" s="59" t="s">
        <v>7</v>
      </c>
      <c r="N137" s="1"/>
      <c r="O137" s="1"/>
      <c r="P137" s="1"/>
      <c r="Q137" s="59" t="s">
        <v>7</v>
      </c>
      <c r="R137" s="90"/>
    </row>
    <row r="138" spans="1:20" ht="15.75" customHeight="1" x14ac:dyDescent="0.3">
      <c r="A138" s="91" t="s">
        <v>120</v>
      </c>
      <c r="B138" s="1"/>
      <c r="C138" s="1"/>
      <c r="D138" s="1">
        <v>122</v>
      </c>
      <c r="E138" s="59">
        <f t="shared" ref="E138:E143" si="20">SUM(B138:D138)</f>
        <v>122</v>
      </c>
      <c r="F138" s="1">
        <v>633</v>
      </c>
      <c r="G138" s="1">
        <v>611</v>
      </c>
      <c r="H138" s="1">
        <v>585</v>
      </c>
      <c r="I138" s="59">
        <f t="shared" ref="I138:I143" si="21">SUM(F138:H138)</f>
        <v>1829</v>
      </c>
      <c r="J138" s="1">
        <v>656</v>
      </c>
      <c r="K138" s="1">
        <v>443</v>
      </c>
      <c r="L138" s="1">
        <v>703</v>
      </c>
      <c r="M138" s="59">
        <f t="shared" ref="M138:M143" si="22">SUM(J138:L138)</f>
        <v>1802</v>
      </c>
      <c r="N138" s="1">
        <v>436</v>
      </c>
      <c r="O138" s="1"/>
      <c r="P138" s="1"/>
      <c r="Q138" s="59">
        <f t="shared" ref="Q138:Q143" si="23">SUM(N138:P138)</f>
        <v>436</v>
      </c>
      <c r="R138" s="59">
        <f t="shared" ref="R138:R180" si="24">+E138+I138+M138+Q138</f>
        <v>4189</v>
      </c>
      <c r="T138" s="4" t="s">
        <v>121</v>
      </c>
    </row>
    <row r="139" spans="1:20" ht="15.75" customHeight="1" x14ac:dyDescent="0.3">
      <c r="A139" s="91" t="s">
        <v>122</v>
      </c>
      <c r="B139" s="1"/>
      <c r="C139" s="1">
        <v>139</v>
      </c>
      <c r="D139" s="1">
        <f>29+529</f>
        <v>558</v>
      </c>
      <c r="E139" s="59">
        <f t="shared" si="20"/>
        <v>697</v>
      </c>
      <c r="F139" s="1">
        <f>151+1000</f>
        <v>1151</v>
      </c>
      <c r="G139" s="1">
        <f>146+1300</f>
        <v>1446</v>
      </c>
      <c r="H139" s="1">
        <f>140+1400</f>
        <v>1540</v>
      </c>
      <c r="I139" s="59">
        <f t="shared" si="21"/>
        <v>4137</v>
      </c>
      <c r="J139" s="1">
        <f>157+1400</f>
        <v>1557</v>
      </c>
      <c r="K139" s="1">
        <f>106+1400</f>
        <v>1506</v>
      </c>
      <c r="L139" s="1">
        <f>168+1300</f>
        <v>1468</v>
      </c>
      <c r="M139" s="59">
        <f t="shared" si="22"/>
        <v>4531</v>
      </c>
      <c r="N139" s="1">
        <f>103+1200</f>
        <v>1303</v>
      </c>
      <c r="O139" s="1">
        <v>425</v>
      </c>
      <c r="P139" s="1"/>
      <c r="Q139" s="59">
        <f t="shared" si="23"/>
        <v>1728</v>
      </c>
      <c r="R139" s="59">
        <f t="shared" si="24"/>
        <v>11093</v>
      </c>
      <c r="T139" s="4" t="s">
        <v>121</v>
      </c>
    </row>
    <row r="140" spans="1:20" ht="15.75" customHeight="1" x14ac:dyDescent="0.3">
      <c r="A140" s="91" t="s">
        <v>123</v>
      </c>
      <c r="B140" s="1"/>
      <c r="C140" s="1"/>
      <c r="D140" s="1">
        <v>69</v>
      </c>
      <c r="E140" s="59">
        <f t="shared" si="20"/>
        <v>69</v>
      </c>
      <c r="F140" s="1">
        <v>358</v>
      </c>
      <c r="G140" s="1">
        <v>346</v>
      </c>
      <c r="H140" s="1">
        <v>331</v>
      </c>
      <c r="I140" s="59">
        <f t="shared" si="21"/>
        <v>1035</v>
      </c>
      <c r="J140" s="1">
        <v>371</v>
      </c>
      <c r="K140" s="1">
        <v>251</v>
      </c>
      <c r="L140" s="1">
        <v>398</v>
      </c>
      <c r="M140" s="59">
        <f t="shared" si="22"/>
        <v>1020</v>
      </c>
      <c r="N140" s="1">
        <v>248</v>
      </c>
      <c r="O140" s="1"/>
      <c r="P140" s="1"/>
      <c r="Q140" s="59">
        <f t="shared" si="23"/>
        <v>248</v>
      </c>
      <c r="R140" s="59">
        <f t="shared" si="24"/>
        <v>2372</v>
      </c>
      <c r="T140" s="4" t="s">
        <v>121</v>
      </c>
    </row>
    <row r="141" spans="1:20" ht="15.75" customHeight="1" x14ac:dyDescent="0.3">
      <c r="A141" s="91" t="s">
        <v>124</v>
      </c>
      <c r="B141" s="1"/>
      <c r="C141" s="1"/>
      <c r="D141" s="1">
        <v>94</v>
      </c>
      <c r="E141" s="59">
        <f t="shared" si="20"/>
        <v>94</v>
      </c>
      <c r="F141" s="1">
        <v>488</v>
      </c>
      <c r="G141" s="1">
        <v>471</v>
      </c>
      <c r="H141" s="1">
        <v>451</v>
      </c>
      <c r="I141" s="59">
        <f t="shared" si="21"/>
        <v>1410</v>
      </c>
      <c r="J141" s="1">
        <v>506</v>
      </c>
      <c r="K141" s="1">
        <v>342</v>
      </c>
      <c r="L141" s="1">
        <v>542</v>
      </c>
      <c r="M141" s="59">
        <f t="shared" si="22"/>
        <v>1390</v>
      </c>
      <c r="N141" s="1">
        <v>337</v>
      </c>
      <c r="O141" s="1"/>
      <c r="P141" s="1"/>
      <c r="Q141" s="59">
        <f t="shared" si="23"/>
        <v>337</v>
      </c>
      <c r="R141" s="59">
        <f t="shared" si="24"/>
        <v>3231</v>
      </c>
      <c r="T141" s="4" t="s">
        <v>121</v>
      </c>
    </row>
    <row r="142" spans="1:20" ht="15.75" customHeight="1" x14ac:dyDescent="0.3">
      <c r="A142" s="74" t="s">
        <v>126</v>
      </c>
      <c r="B142" s="1">
        <v>35</v>
      </c>
      <c r="C142" s="1">
        <v>35</v>
      </c>
      <c r="D142" s="1">
        <v>35</v>
      </c>
      <c r="E142" s="59">
        <f t="shared" si="20"/>
        <v>105</v>
      </c>
      <c r="F142" s="1">
        <v>35</v>
      </c>
      <c r="G142" s="1">
        <v>35</v>
      </c>
      <c r="H142" s="1">
        <v>35</v>
      </c>
      <c r="I142" s="59">
        <f t="shared" si="21"/>
        <v>105</v>
      </c>
      <c r="J142" s="1">
        <v>35</v>
      </c>
      <c r="K142" s="1">
        <v>35</v>
      </c>
      <c r="L142" s="1">
        <v>30</v>
      </c>
      <c r="M142" s="59">
        <f t="shared" si="22"/>
        <v>100</v>
      </c>
      <c r="N142" s="1">
        <v>30</v>
      </c>
      <c r="O142" s="1">
        <v>30</v>
      </c>
      <c r="P142" s="1">
        <v>30</v>
      </c>
      <c r="Q142" s="59">
        <f t="shared" si="23"/>
        <v>90</v>
      </c>
      <c r="R142" s="59">
        <f t="shared" si="24"/>
        <v>400</v>
      </c>
      <c r="T142" s="4" t="s">
        <v>127</v>
      </c>
    </row>
    <row r="143" spans="1:20" ht="15.75" customHeight="1" x14ac:dyDescent="0.3">
      <c r="A143" s="91" t="s">
        <v>129</v>
      </c>
      <c r="B143" s="1"/>
      <c r="C143" s="1"/>
      <c r="D143" s="1">
        <v>375</v>
      </c>
      <c r="E143" s="59">
        <f t="shared" si="20"/>
        <v>375</v>
      </c>
      <c r="F143" s="1"/>
      <c r="G143" s="1"/>
      <c r="H143" s="1"/>
      <c r="I143" s="59">
        <f t="shared" si="21"/>
        <v>0</v>
      </c>
      <c r="J143" s="1"/>
      <c r="K143" s="1"/>
      <c r="L143" s="1"/>
      <c r="M143" s="59">
        <f t="shared" si="22"/>
        <v>0</v>
      </c>
      <c r="N143" s="1"/>
      <c r="O143" s="1"/>
      <c r="P143" s="1"/>
      <c r="Q143" s="59">
        <f t="shared" si="23"/>
        <v>0</v>
      </c>
      <c r="R143" s="59">
        <f t="shared" si="24"/>
        <v>375</v>
      </c>
      <c r="T143" s="4" t="s">
        <v>121</v>
      </c>
    </row>
    <row r="144" spans="1:20" ht="15.75" customHeight="1" x14ac:dyDescent="0.3">
      <c r="A144" s="91" t="s">
        <v>131</v>
      </c>
      <c r="B144" s="1"/>
      <c r="C144" s="1"/>
      <c r="D144" s="1"/>
      <c r="E144" s="59">
        <f t="shared" ref="E144:E155" si="25">SUM(B144:D144)</f>
        <v>0</v>
      </c>
      <c r="F144" s="1"/>
      <c r="G144" s="1"/>
      <c r="H144" s="1"/>
      <c r="I144" s="59">
        <f t="shared" ref="I144:I177" si="26">SUM(F144:H144)</f>
        <v>0</v>
      </c>
      <c r="J144" s="1"/>
      <c r="K144" s="1"/>
      <c r="L144" s="1"/>
      <c r="M144" s="59">
        <f t="shared" ref="M144:M177" si="27">SUM(J144:L144)</f>
        <v>0</v>
      </c>
      <c r="N144" s="1"/>
      <c r="O144" s="1"/>
      <c r="P144" s="1"/>
      <c r="Q144" s="59">
        <f t="shared" ref="Q144:Q173" si="28">SUM(N144:P144)</f>
        <v>0</v>
      </c>
      <c r="R144" s="59">
        <f t="shared" si="24"/>
        <v>0</v>
      </c>
      <c r="T144" s="4" t="s">
        <v>132</v>
      </c>
    </row>
    <row r="145" spans="1:20" ht="15.75" customHeight="1" x14ac:dyDescent="0.3">
      <c r="A145" s="91" t="s">
        <v>133</v>
      </c>
      <c r="B145" s="1"/>
      <c r="C145" s="1">
        <v>1000</v>
      </c>
      <c r="D145" s="1">
        <v>1000</v>
      </c>
      <c r="E145" s="59">
        <f t="shared" si="25"/>
        <v>2000</v>
      </c>
      <c r="F145" s="1">
        <v>2000</v>
      </c>
      <c r="G145" s="1">
        <v>1416</v>
      </c>
      <c r="H145" s="1"/>
      <c r="I145" s="59">
        <f t="shared" si="26"/>
        <v>3416</v>
      </c>
      <c r="J145" s="1"/>
      <c r="K145" s="1"/>
      <c r="L145" s="1"/>
      <c r="M145" s="59">
        <f t="shared" si="27"/>
        <v>0</v>
      </c>
      <c r="N145" s="1"/>
      <c r="O145" s="1"/>
      <c r="P145" s="1"/>
      <c r="Q145" s="59">
        <f t="shared" si="28"/>
        <v>0</v>
      </c>
      <c r="R145" s="59">
        <f t="shared" si="24"/>
        <v>5416</v>
      </c>
      <c r="T145" s="4" t="s">
        <v>134</v>
      </c>
    </row>
    <row r="146" spans="1:20" ht="15.75" customHeight="1" x14ac:dyDescent="0.3">
      <c r="A146" s="74" t="s">
        <v>135</v>
      </c>
      <c r="B146" s="1"/>
      <c r="C146" s="1"/>
      <c r="D146" s="1"/>
      <c r="E146" s="59">
        <f t="shared" si="25"/>
        <v>0</v>
      </c>
      <c r="F146" s="1"/>
      <c r="G146" s="1"/>
      <c r="H146" s="1"/>
      <c r="I146" s="59">
        <f t="shared" si="26"/>
        <v>0</v>
      </c>
      <c r="J146" s="1"/>
      <c r="K146" s="1"/>
      <c r="L146" s="1"/>
      <c r="M146" s="59">
        <f t="shared" si="27"/>
        <v>0</v>
      </c>
      <c r="N146" s="1"/>
      <c r="O146" s="1"/>
      <c r="P146" s="1"/>
      <c r="Q146" s="59">
        <f t="shared" si="28"/>
        <v>0</v>
      </c>
      <c r="R146" s="59">
        <f t="shared" si="24"/>
        <v>0</v>
      </c>
      <c r="S146" s="4" t="s">
        <v>136</v>
      </c>
      <c r="T146" s="4" t="s">
        <v>137</v>
      </c>
    </row>
    <row r="147" spans="1:20" ht="15.75" customHeight="1" x14ac:dyDescent="0.3">
      <c r="A147" s="91" t="s">
        <v>904</v>
      </c>
      <c r="B147" s="1">
        <v>839</v>
      </c>
      <c r="C147" s="1">
        <v>1000</v>
      </c>
      <c r="D147" s="1">
        <v>1000</v>
      </c>
      <c r="E147" s="59">
        <f>SUM(B147:D147)</f>
        <v>2839</v>
      </c>
      <c r="F147" s="1">
        <v>1000</v>
      </c>
      <c r="G147" s="1">
        <v>1000</v>
      </c>
      <c r="H147" s="1"/>
      <c r="I147" s="59">
        <f t="shared" si="26"/>
        <v>2000</v>
      </c>
      <c r="J147" s="1"/>
      <c r="K147" s="1"/>
      <c r="L147" s="1"/>
      <c r="M147" s="59">
        <f t="shared" si="27"/>
        <v>0</v>
      </c>
      <c r="N147" s="1"/>
      <c r="O147" s="1"/>
      <c r="P147" s="1"/>
      <c r="Q147" s="59">
        <f t="shared" si="28"/>
        <v>0</v>
      </c>
      <c r="R147" s="59">
        <f t="shared" si="24"/>
        <v>4839</v>
      </c>
      <c r="T147" s="4" t="s">
        <v>132</v>
      </c>
    </row>
    <row r="148" spans="1:20" ht="15.75" customHeight="1" x14ac:dyDescent="0.3">
      <c r="A148" s="91" t="s">
        <v>905</v>
      </c>
      <c r="B148" s="1"/>
      <c r="C148" s="1"/>
      <c r="D148" s="1"/>
      <c r="E148" s="59">
        <f t="shared" si="25"/>
        <v>0</v>
      </c>
      <c r="F148" s="1"/>
      <c r="G148" s="1"/>
      <c r="H148" s="1">
        <v>157</v>
      </c>
      <c r="I148" s="59">
        <f t="shared" si="26"/>
        <v>157</v>
      </c>
      <c r="J148" s="1"/>
      <c r="K148" s="1"/>
      <c r="L148" s="1"/>
      <c r="M148" s="59">
        <f t="shared" si="27"/>
        <v>0</v>
      </c>
      <c r="N148" s="1"/>
      <c r="O148" s="1"/>
      <c r="P148" s="1"/>
      <c r="Q148" s="59">
        <f t="shared" si="28"/>
        <v>0</v>
      </c>
      <c r="R148" s="59">
        <f t="shared" si="24"/>
        <v>157</v>
      </c>
      <c r="T148" s="4" t="s">
        <v>134</v>
      </c>
    </row>
    <row r="149" spans="1:20" ht="15.75" customHeight="1" x14ac:dyDescent="0.3">
      <c r="A149" s="91" t="s">
        <v>906</v>
      </c>
      <c r="B149" s="1"/>
      <c r="C149" s="1"/>
      <c r="D149" s="1"/>
      <c r="E149" s="59">
        <f t="shared" si="25"/>
        <v>0</v>
      </c>
      <c r="F149" s="1">
        <v>1000</v>
      </c>
      <c r="G149" s="1">
        <v>1000</v>
      </c>
      <c r="H149" s="1">
        <v>1000</v>
      </c>
      <c r="I149" s="59">
        <f t="shared" si="26"/>
        <v>3000</v>
      </c>
      <c r="J149" s="1"/>
      <c r="K149" s="1"/>
      <c r="L149" s="1"/>
      <c r="M149" s="59">
        <f t="shared" si="27"/>
        <v>0</v>
      </c>
      <c r="N149" s="1"/>
      <c r="O149" s="1"/>
      <c r="P149" s="1"/>
      <c r="Q149" s="59">
        <f t="shared" si="28"/>
        <v>0</v>
      </c>
      <c r="R149" s="59">
        <f t="shared" si="24"/>
        <v>3000</v>
      </c>
      <c r="T149" s="4" t="s">
        <v>121</v>
      </c>
    </row>
    <row r="150" spans="1:20" ht="15.75" customHeight="1" x14ac:dyDescent="0.3">
      <c r="A150" s="74" t="s">
        <v>142</v>
      </c>
      <c r="B150" s="1">
        <f>14+20</f>
        <v>34</v>
      </c>
      <c r="C150" s="1">
        <f>14+20</f>
        <v>34</v>
      </c>
      <c r="D150" s="1">
        <f>20+21</f>
        <v>41</v>
      </c>
      <c r="E150" s="59">
        <f t="shared" si="25"/>
        <v>109</v>
      </c>
      <c r="F150" s="1">
        <f>20+21</f>
        <v>41</v>
      </c>
      <c r="G150" s="1">
        <f>32+21</f>
        <v>53</v>
      </c>
      <c r="H150" s="1">
        <f>32+25</f>
        <v>57</v>
      </c>
      <c r="I150" s="59">
        <f t="shared" si="26"/>
        <v>151</v>
      </c>
      <c r="J150" s="1">
        <f>32+25</f>
        <v>57</v>
      </c>
      <c r="K150" s="1">
        <f>32+21</f>
        <v>53</v>
      </c>
      <c r="L150" s="1">
        <f>20+21</f>
        <v>41</v>
      </c>
      <c r="M150" s="59">
        <f t="shared" si="27"/>
        <v>151</v>
      </c>
      <c r="N150" s="1">
        <f>20+21</f>
        <v>41</v>
      </c>
      <c r="O150" s="1">
        <f>14+20</f>
        <v>34</v>
      </c>
      <c r="P150" s="1">
        <f>14+20</f>
        <v>34</v>
      </c>
      <c r="Q150" s="59">
        <f t="shared" si="28"/>
        <v>109</v>
      </c>
      <c r="R150" s="59">
        <f t="shared" si="24"/>
        <v>520</v>
      </c>
      <c r="T150" s="4" t="s">
        <v>143</v>
      </c>
    </row>
    <row r="151" spans="1:20" ht="15.75" customHeight="1" x14ac:dyDescent="0.3">
      <c r="A151" s="74" t="s">
        <v>144</v>
      </c>
      <c r="B151" s="1">
        <v>170</v>
      </c>
      <c r="C151" s="1">
        <v>145</v>
      </c>
      <c r="D151" s="1">
        <v>155</v>
      </c>
      <c r="E151" s="59">
        <f t="shared" si="25"/>
        <v>470</v>
      </c>
      <c r="F151" s="1">
        <v>172</v>
      </c>
      <c r="G151" s="1">
        <v>175</v>
      </c>
      <c r="H151" s="1">
        <v>183</v>
      </c>
      <c r="I151" s="59">
        <f t="shared" si="26"/>
        <v>530</v>
      </c>
      <c r="J151" s="1">
        <v>200</v>
      </c>
      <c r="K151" s="1">
        <v>200</v>
      </c>
      <c r="L151" s="1">
        <v>180</v>
      </c>
      <c r="M151" s="59">
        <f t="shared" si="27"/>
        <v>580</v>
      </c>
      <c r="N151" s="1">
        <v>180</v>
      </c>
      <c r="O151" s="1">
        <v>180</v>
      </c>
      <c r="P151" s="1">
        <v>160</v>
      </c>
      <c r="Q151" s="59">
        <f t="shared" si="28"/>
        <v>520</v>
      </c>
      <c r="R151" s="59">
        <f t="shared" si="24"/>
        <v>2100</v>
      </c>
      <c r="T151" s="4" t="s">
        <v>145</v>
      </c>
    </row>
    <row r="152" spans="1:20" ht="15.75" customHeight="1" x14ac:dyDescent="0.3">
      <c r="A152" s="74" t="s">
        <v>147</v>
      </c>
      <c r="B152" s="1"/>
      <c r="C152" s="1"/>
      <c r="D152" s="1">
        <v>400</v>
      </c>
      <c r="E152" s="59">
        <f t="shared" si="25"/>
        <v>400</v>
      </c>
      <c r="F152" s="1"/>
      <c r="G152" s="1"/>
      <c r="H152" s="1"/>
      <c r="I152" s="59">
        <f t="shared" si="26"/>
        <v>0</v>
      </c>
      <c r="J152" s="1"/>
      <c r="K152" s="1">
        <v>763</v>
      </c>
      <c r="L152" s="1">
        <v>1000</v>
      </c>
      <c r="M152" s="59">
        <f t="shared" si="27"/>
        <v>1763</v>
      </c>
      <c r="N152" s="1">
        <v>700</v>
      </c>
      <c r="O152" s="1">
        <v>500</v>
      </c>
      <c r="P152" s="1"/>
      <c r="Q152" s="59">
        <f t="shared" si="28"/>
        <v>1200</v>
      </c>
      <c r="R152" s="59">
        <f t="shared" si="24"/>
        <v>3363</v>
      </c>
      <c r="S152" s="4" t="s">
        <v>136</v>
      </c>
    </row>
    <row r="153" spans="1:20" ht="15.75" customHeight="1" x14ac:dyDescent="0.3">
      <c r="A153" s="91" t="s">
        <v>877</v>
      </c>
      <c r="B153" s="1"/>
      <c r="C153" s="1"/>
      <c r="D153" s="1">
        <v>14</v>
      </c>
      <c r="E153" s="59">
        <f t="shared" si="25"/>
        <v>14</v>
      </c>
      <c r="F153" s="1">
        <v>75</v>
      </c>
      <c r="G153" s="1">
        <v>73</v>
      </c>
      <c r="H153" s="1">
        <v>69</v>
      </c>
      <c r="I153" s="59">
        <f t="shared" si="26"/>
        <v>217</v>
      </c>
      <c r="J153" s="1">
        <v>78</v>
      </c>
      <c r="K153" s="1">
        <v>53</v>
      </c>
      <c r="L153" s="1">
        <v>84</v>
      </c>
      <c r="M153" s="59">
        <f t="shared" si="27"/>
        <v>215</v>
      </c>
      <c r="N153" s="1">
        <v>54</v>
      </c>
      <c r="O153" s="1"/>
      <c r="P153" s="1"/>
      <c r="Q153" s="59">
        <f t="shared" si="28"/>
        <v>54</v>
      </c>
      <c r="R153" s="59">
        <f t="shared" si="24"/>
        <v>500</v>
      </c>
      <c r="T153" s="4" t="s">
        <v>121</v>
      </c>
    </row>
    <row r="154" spans="1:20" ht="15.75" customHeight="1" x14ac:dyDescent="0.3">
      <c r="A154" s="74" t="s">
        <v>878</v>
      </c>
      <c r="B154" s="1">
        <v>429</v>
      </c>
      <c r="C154" s="1">
        <v>394</v>
      </c>
      <c r="D154" s="1">
        <v>436</v>
      </c>
      <c r="E154" s="59">
        <f t="shared" si="25"/>
        <v>1259</v>
      </c>
      <c r="F154" s="1">
        <v>449</v>
      </c>
      <c r="G154" s="1">
        <v>529</v>
      </c>
      <c r="H154" s="1">
        <v>581</v>
      </c>
      <c r="I154" s="59">
        <f t="shared" si="26"/>
        <v>1559</v>
      </c>
      <c r="J154" s="1">
        <v>609</v>
      </c>
      <c r="K154" s="1">
        <v>610</v>
      </c>
      <c r="L154" s="1">
        <v>556</v>
      </c>
      <c r="M154" s="59">
        <f t="shared" si="27"/>
        <v>1775</v>
      </c>
      <c r="N154" s="1">
        <v>594</v>
      </c>
      <c r="O154" s="1">
        <v>626</v>
      </c>
      <c r="P154" s="1">
        <v>447</v>
      </c>
      <c r="Q154" s="59">
        <f t="shared" si="28"/>
        <v>1667</v>
      </c>
      <c r="R154" s="59">
        <f t="shared" si="24"/>
        <v>6260</v>
      </c>
      <c r="T154" s="4" t="s">
        <v>150</v>
      </c>
    </row>
    <row r="155" spans="1:20" ht="15.75" customHeight="1" x14ac:dyDescent="0.3">
      <c r="A155" s="91" t="s">
        <v>152</v>
      </c>
      <c r="B155" s="1"/>
      <c r="C155" s="1"/>
      <c r="D155" s="1"/>
      <c r="E155" s="59">
        <f t="shared" si="25"/>
        <v>0</v>
      </c>
      <c r="F155" s="1"/>
      <c r="G155" s="1"/>
      <c r="H155" s="1"/>
      <c r="I155" s="59">
        <f t="shared" si="26"/>
        <v>0</v>
      </c>
      <c r="J155" s="1"/>
      <c r="K155" s="1">
        <v>508</v>
      </c>
      <c r="L155" s="1"/>
      <c r="M155" s="59">
        <f t="shared" si="27"/>
        <v>508</v>
      </c>
      <c r="N155" s="1"/>
      <c r="O155" s="1"/>
      <c r="P155" s="1"/>
      <c r="Q155" s="59">
        <f t="shared" si="28"/>
        <v>0</v>
      </c>
      <c r="R155" s="59">
        <f t="shared" si="24"/>
        <v>508</v>
      </c>
      <c r="T155" s="4" t="s">
        <v>134</v>
      </c>
    </row>
    <row r="156" spans="1:20" ht="15.75" customHeight="1" x14ac:dyDescent="0.3">
      <c r="A156" s="74" t="s">
        <v>155</v>
      </c>
      <c r="B156" s="1"/>
      <c r="C156" s="1"/>
      <c r="D156" s="1"/>
      <c r="E156" s="59">
        <f t="shared" ref="E156:E176" si="29">SUM(B156:D156)</f>
        <v>0</v>
      </c>
      <c r="F156" s="1"/>
      <c r="G156" s="1"/>
      <c r="H156" s="1"/>
      <c r="I156" s="59">
        <f t="shared" si="26"/>
        <v>0</v>
      </c>
      <c r="J156" s="1"/>
      <c r="K156" s="1">
        <v>600</v>
      </c>
      <c r="L156" s="1">
        <v>600</v>
      </c>
      <c r="M156" s="59">
        <f t="shared" si="27"/>
        <v>1200</v>
      </c>
      <c r="N156" s="1">
        <v>500</v>
      </c>
      <c r="O156" s="1"/>
      <c r="P156" s="1"/>
      <c r="Q156" s="59">
        <f t="shared" si="28"/>
        <v>500</v>
      </c>
      <c r="R156" s="59">
        <f t="shared" si="24"/>
        <v>1700</v>
      </c>
      <c r="S156" s="4" t="s">
        <v>136</v>
      </c>
      <c r="T156" s="4" t="s">
        <v>137</v>
      </c>
    </row>
    <row r="157" spans="1:20" s="98" customFormat="1" ht="15.75" customHeight="1" x14ac:dyDescent="0.3">
      <c r="A157" s="96" t="s">
        <v>156</v>
      </c>
      <c r="B157" s="143"/>
      <c r="C157" s="143"/>
      <c r="D157" s="143"/>
      <c r="E157" s="97">
        <f t="shared" si="29"/>
        <v>0</v>
      </c>
      <c r="F157" s="143"/>
      <c r="G157" s="143"/>
      <c r="H157" s="143"/>
      <c r="I157" s="97">
        <f t="shared" si="26"/>
        <v>0</v>
      </c>
      <c r="J157" s="143"/>
      <c r="K157" s="143"/>
      <c r="L157" s="143"/>
      <c r="M157" s="97">
        <f t="shared" si="27"/>
        <v>0</v>
      </c>
      <c r="N157" s="143"/>
      <c r="O157" s="143"/>
      <c r="P157" s="143"/>
      <c r="Q157" s="97">
        <f t="shared" si="28"/>
        <v>0</v>
      </c>
      <c r="R157" s="97">
        <f t="shared" si="24"/>
        <v>0</v>
      </c>
    </row>
    <row r="158" spans="1:20" ht="15.75" customHeight="1" x14ac:dyDescent="0.3">
      <c r="A158" s="74" t="s">
        <v>157</v>
      </c>
      <c r="B158" s="1"/>
      <c r="C158" s="1"/>
      <c r="D158" s="1"/>
      <c r="E158" s="59">
        <f t="shared" si="29"/>
        <v>0</v>
      </c>
      <c r="F158" s="1">
        <v>1054</v>
      </c>
      <c r="G158" s="1">
        <v>1300</v>
      </c>
      <c r="H158" s="1">
        <v>1400</v>
      </c>
      <c r="I158" s="59">
        <f t="shared" si="26"/>
        <v>3754</v>
      </c>
      <c r="J158" s="1">
        <v>1450</v>
      </c>
      <c r="K158" s="1">
        <v>1170</v>
      </c>
      <c r="L158" s="1">
        <v>1100</v>
      </c>
      <c r="M158" s="59">
        <f t="shared" si="27"/>
        <v>3720</v>
      </c>
      <c r="N158" s="1">
        <v>1430</v>
      </c>
      <c r="O158" s="1">
        <v>1430</v>
      </c>
      <c r="P158" s="1">
        <v>1430</v>
      </c>
      <c r="Q158" s="59">
        <f t="shared" si="28"/>
        <v>4290</v>
      </c>
      <c r="R158" s="59">
        <f>+E158+I158+M158+Q158</f>
        <v>11764</v>
      </c>
      <c r="T158" s="4" t="s">
        <v>158</v>
      </c>
    </row>
    <row r="159" spans="1:20" ht="15.75" customHeight="1" x14ac:dyDescent="0.3">
      <c r="A159" s="91" t="s">
        <v>159</v>
      </c>
      <c r="B159" s="1"/>
      <c r="C159" s="1"/>
      <c r="D159" s="1"/>
      <c r="E159" s="59">
        <f t="shared" si="29"/>
        <v>0</v>
      </c>
      <c r="F159" s="1"/>
      <c r="G159" s="1"/>
      <c r="H159" s="1"/>
      <c r="I159" s="59">
        <f t="shared" si="26"/>
        <v>0</v>
      </c>
      <c r="J159" s="1">
        <v>500</v>
      </c>
      <c r="K159" s="1">
        <v>500</v>
      </c>
      <c r="L159" s="1"/>
      <c r="M159" s="59">
        <f t="shared" si="27"/>
        <v>1000</v>
      </c>
      <c r="N159" s="1"/>
      <c r="O159" s="1"/>
      <c r="P159" s="1"/>
      <c r="Q159" s="59">
        <f t="shared" si="28"/>
        <v>0</v>
      </c>
      <c r="R159" s="59">
        <f t="shared" ref="R159:R164" si="30">+E159+I159+M159+Q159</f>
        <v>1000</v>
      </c>
      <c r="T159" s="4" t="s">
        <v>121</v>
      </c>
    </row>
    <row r="160" spans="1:20" ht="15.75" customHeight="1" x14ac:dyDescent="0.3">
      <c r="A160" s="91" t="s">
        <v>160</v>
      </c>
      <c r="B160" s="1"/>
      <c r="C160" s="1"/>
      <c r="D160" s="1"/>
      <c r="E160" s="59">
        <f t="shared" si="29"/>
        <v>0</v>
      </c>
      <c r="F160" s="1"/>
      <c r="G160" s="1"/>
      <c r="H160" s="1"/>
      <c r="I160" s="59">
        <f t="shared" si="26"/>
        <v>0</v>
      </c>
      <c r="J160" s="1"/>
      <c r="K160" s="1"/>
      <c r="L160" s="1"/>
      <c r="M160" s="59">
        <f t="shared" si="27"/>
        <v>0</v>
      </c>
      <c r="N160" s="1"/>
      <c r="O160" s="1"/>
      <c r="P160" s="1"/>
      <c r="Q160" s="59">
        <f t="shared" si="28"/>
        <v>0</v>
      </c>
      <c r="R160" s="59">
        <f t="shared" si="30"/>
        <v>0</v>
      </c>
      <c r="T160" s="4" t="s">
        <v>134</v>
      </c>
    </row>
    <row r="161" spans="1:20" ht="15.75" customHeight="1" x14ac:dyDescent="0.3">
      <c r="A161" s="74" t="s">
        <v>161</v>
      </c>
      <c r="B161" s="1"/>
      <c r="C161" s="1"/>
      <c r="D161" s="1"/>
      <c r="E161" s="59">
        <f t="shared" si="29"/>
        <v>0</v>
      </c>
      <c r="F161" s="1"/>
      <c r="G161" s="1"/>
      <c r="H161" s="1"/>
      <c r="I161" s="59">
        <f t="shared" si="26"/>
        <v>0</v>
      </c>
      <c r="J161" s="1">
        <v>1000</v>
      </c>
      <c r="K161" s="1"/>
      <c r="L161" s="1"/>
      <c r="M161" s="59">
        <f t="shared" si="27"/>
        <v>1000</v>
      </c>
      <c r="N161" s="1"/>
      <c r="O161" s="1"/>
      <c r="P161" s="1"/>
      <c r="Q161" s="59">
        <f t="shared" si="28"/>
        <v>0</v>
      </c>
      <c r="R161" s="59">
        <f t="shared" si="30"/>
        <v>1000</v>
      </c>
      <c r="S161" s="4" t="s">
        <v>136</v>
      </c>
      <c r="T161" s="4" t="s">
        <v>162</v>
      </c>
    </row>
    <row r="162" spans="1:20" ht="15.75" customHeight="1" x14ac:dyDescent="0.3">
      <c r="A162" s="91" t="s">
        <v>164</v>
      </c>
      <c r="B162" s="1"/>
      <c r="C162" s="1"/>
      <c r="D162" s="1"/>
      <c r="E162" s="59">
        <f t="shared" si="29"/>
        <v>0</v>
      </c>
      <c r="F162" s="1">
        <v>1000</v>
      </c>
      <c r="G162" s="1"/>
      <c r="H162" s="1"/>
      <c r="I162" s="59">
        <f t="shared" si="26"/>
        <v>1000</v>
      </c>
      <c r="J162" s="1"/>
      <c r="K162" s="1"/>
      <c r="L162" s="1"/>
      <c r="M162" s="59">
        <f t="shared" si="27"/>
        <v>0</v>
      </c>
      <c r="N162" s="1"/>
      <c r="O162" s="1"/>
      <c r="P162" s="1"/>
      <c r="Q162" s="59">
        <f t="shared" si="28"/>
        <v>0</v>
      </c>
      <c r="R162" s="59">
        <f t="shared" si="30"/>
        <v>1000</v>
      </c>
      <c r="T162" s="4" t="s">
        <v>132</v>
      </c>
    </row>
    <row r="163" spans="1:20" ht="15.75" customHeight="1" x14ac:dyDescent="0.3">
      <c r="A163" s="91" t="s">
        <v>165</v>
      </c>
      <c r="B163" s="1"/>
      <c r="C163" s="1">
        <v>1000</v>
      </c>
      <c r="D163" s="1"/>
      <c r="E163" s="59">
        <f t="shared" si="29"/>
        <v>1000</v>
      </c>
      <c r="F163" s="1"/>
      <c r="G163" s="1"/>
      <c r="H163" s="1"/>
      <c r="I163" s="59">
        <f t="shared" si="26"/>
        <v>0</v>
      </c>
      <c r="J163" s="1"/>
      <c r="K163" s="1"/>
      <c r="L163" s="1"/>
      <c r="M163" s="59">
        <f t="shared" si="27"/>
        <v>0</v>
      </c>
      <c r="N163" s="1"/>
      <c r="O163" s="1"/>
      <c r="P163" s="1"/>
      <c r="Q163" s="59">
        <f t="shared" si="28"/>
        <v>0</v>
      </c>
      <c r="R163" s="59">
        <f t="shared" si="30"/>
        <v>1000</v>
      </c>
      <c r="T163" s="4" t="s">
        <v>134</v>
      </c>
    </row>
    <row r="164" spans="1:20" ht="15.75" customHeight="1" x14ac:dyDescent="0.3">
      <c r="A164" s="74" t="s">
        <v>166</v>
      </c>
      <c r="B164" s="1">
        <v>30</v>
      </c>
      <c r="C164" s="1">
        <v>30</v>
      </c>
      <c r="D164" s="1">
        <v>45</v>
      </c>
      <c r="E164" s="59">
        <f t="shared" si="29"/>
        <v>105</v>
      </c>
      <c r="F164" s="1">
        <v>60</v>
      </c>
      <c r="G164" s="1">
        <v>60</v>
      </c>
      <c r="H164" s="1">
        <v>75</v>
      </c>
      <c r="I164" s="59">
        <f t="shared" si="26"/>
        <v>195</v>
      </c>
      <c r="J164" s="1">
        <v>88</v>
      </c>
      <c r="K164" s="1">
        <v>87</v>
      </c>
      <c r="L164" s="1">
        <v>85</v>
      </c>
      <c r="M164" s="59">
        <f t="shared" si="27"/>
        <v>260</v>
      </c>
      <c r="N164" s="1">
        <v>45</v>
      </c>
      <c r="O164" s="1">
        <v>30</v>
      </c>
      <c r="P164" s="1">
        <v>30</v>
      </c>
      <c r="Q164" s="59">
        <f t="shared" si="28"/>
        <v>105</v>
      </c>
      <c r="R164" s="59">
        <f t="shared" si="30"/>
        <v>665</v>
      </c>
      <c r="T164" s="4" t="s">
        <v>127</v>
      </c>
    </row>
    <row r="165" spans="1:20" ht="15.75" customHeight="1" x14ac:dyDescent="0.3">
      <c r="A165" s="91" t="s">
        <v>167</v>
      </c>
      <c r="B165" s="1">
        <v>300</v>
      </c>
      <c r="C165" s="1"/>
      <c r="D165" s="1">
        <v>100</v>
      </c>
      <c r="E165" s="59">
        <f t="shared" si="29"/>
        <v>400</v>
      </c>
      <c r="F165" s="1">
        <v>500</v>
      </c>
      <c r="G165" s="1"/>
      <c r="H165" s="1"/>
      <c r="I165" s="59">
        <f t="shared" si="26"/>
        <v>500</v>
      </c>
      <c r="J165" s="1"/>
      <c r="K165" s="1"/>
      <c r="L165" s="1"/>
      <c r="M165" s="59">
        <f t="shared" si="27"/>
        <v>0</v>
      </c>
      <c r="N165" s="1"/>
      <c r="O165" s="1"/>
      <c r="P165" s="1"/>
      <c r="Q165" s="59">
        <f t="shared" si="28"/>
        <v>0</v>
      </c>
      <c r="R165" s="59">
        <f t="shared" si="24"/>
        <v>900</v>
      </c>
      <c r="T165" s="4" t="s">
        <v>132</v>
      </c>
    </row>
    <row r="166" spans="1:20" ht="15.75" customHeight="1" x14ac:dyDescent="0.3">
      <c r="A166" s="91" t="s">
        <v>168</v>
      </c>
      <c r="B166" s="1"/>
      <c r="C166" s="1"/>
      <c r="D166" s="1"/>
      <c r="E166" s="59">
        <f t="shared" si="29"/>
        <v>0</v>
      </c>
      <c r="F166" s="1"/>
      <c r="G166" s="1"/>
      <c r="H166" s="1"/>
      <c r="I166" s="59">
        <f t="shared" si="26"/>
        <v>0</v>
      </c>
      <c r="J166" s="1"/>
      <c r="K166" s="1"/>
      <c r="L166" s="1"/>
      <c r="M166" s="59">
        <f t="shared" si="27"/>
        <v>0</v>
      </c>
      <c r="N166" s="1"/>
      <c r="O166" s="1"/>
      <c r="P166" s="1"/>
      <c r="Q166" s="59">
        <f t="shared" si="28"/>
        <v>0</v>
      </c>
      <c r="R166" s="59">
        <f t="shared" si="24"/>
        <v>0</v>
      </c>
      <c r="T166" s="4" t="s">
        <v>134</v>
      </c>
    </row>
    <row r="167" spans="1:20" ht="15.75" customHeight="1" x14ac:dyDescent="0.3">
      <c r="A167" s="91" t="s">
        <v>169</v>
      </c>
      <c r="B167" s="1"/>
      <c r="C167" s="1"/>
      <c r="D167" s="1"/>
      <c r="E167" s="59">
        <f t="shared" si="29"/>
        <v>0</v>
      </c>
      <c r="F167" s="1"/>
      <c r="G167" s="1"/>
      <c r="H167" s="1">
        <v>86</v>
      </c>
      <c r="I167" s="59">
        <f t="shared" si="26"/>
        <v>86</v>
      </c>
      <c r="J167" s="1">
        <v>87</v>
      </c>
      <c r="K167" s="1">
        <v>56</v>
      </c>
      <c r="L167" s="1">
        <v>53</v>
      </c>
      <c r="M167" s="59">
        <f t="shared" si="27"/>
        <v>196</v>
      </c>
      <c r="N167" s="1">
        <v>87</v>
      </c>
      <c r="O167" s="1">
        <v>31</v>
      </c>
      <c r="P167" s="1">
        <v>14</v>
      </c>
      <c r="Q167" s="59">
        <f t="shared" si="28"/>
        <v>132</v>
      </c>
      <c r="R167" s="59">
        <f t="shared" si="24"/>
        <v>414</v>
      </c>
      <c r="T167" s="4" t="s">
        <v>170</v>
      </c>
    </row>
    <row r="168" spans="1:20" ht="15.75" customHeight="1" x14ac:dyDescent="0.3">
      <c r="A168" s="91" t="s">
        <v>171</v>
      </c>
      <c r="B168" s="1"/>
      <c r="C168" s="1"/>
      <c r="D168" s="1"/>
      <c r="E168" s="59">
        <f t="shared" si="29"/>
        <v>0</v>
      </c>
      <c r="F168" s="1"/>
      <c r="G168" s="1"/>
      <c r="H168" s="1">
        <v>80</v>
      </c>
      <c r="I168" s="59">
        <f t="shared" si="26"/>
        <v>80</v>
      </c>
      <c r="J168" s="1">
        <v>97</v>
      </c>
      <c r="K168" s="1">
        <v>50</v>
      </c>
      <c r="L168" s="1">
        <v>50</v>
      </c>
      <c r="M168" s="59">
        <f t="shared" si="27"/>
        <v>197</v>
      </c>
      <c r="N168" s="1">
        <v>70</v>
      </c>
      <c r="O168" s="1">
        <v>23</v>
      </c>
      <c r="P168" s="1">
        <v>13</v>
      </c>
      <c r="Q168" s="59">
        <f t="shared" si="28"/>
        <v>106</v>
      </c>
      <c r="R168" s="59">
        <f t="shared" si="24"/>
        <v>383</v>
      </c>
      <c r="T168" s="4" t="s">
        <v>127</v>
      </c>
    </row>
    <row r="169" spans="1:20" ht="15.75" customHeight="1" x14ac:dyDescent="0.3">
      <c r="A169" s="91" t="s">
        <v>172</v>
      </c>
      <c r="B169" s="1"/>
      <c r="C169" s="1"/>
      <c r="D169" s="1"/>
      <c r="E169" s="59">
        <f t="shared" si="29"/>
        <v>0</v>
      </c>
      <c r="F169" s="1"/>
      <c r="G169" s="1"/>
      <c r="H169" s="1">
        <v>20</v>
      </c>
      <c r="I169" s="59">
        <f t="shared" si="26"/>
        <v>20</v>
      </c>
      <c r="J169" s="1">
        <v>15</v>
      </c>
      <c r="K169" s="1">
        <v>15</v>
      </c>
      <c r="L169" s="1">
        <v>10</v>
      </c>
      <c r="M169" s="59">
        <f t="shared" si="27"/>
        <v>40</v>
      </c>
      <c r="N169" s="1">
        <v>10</v>
      </c>
      <c r="O169" s="1">
        <v>10</v>
      </c>
      <c r="P169" s="1"/>
      <c r="Q169" s="59">
        <f t="shared" si="28"/>
        <v>20</v>
      </c>
      <c r="R169" s="59">
        <f t="shared" si="24"/>
        <v>80</v>
      </c>
      <c r="T169" s="4" t="s">
        <v>121</v>
      </c>
    </row>
    <row r="170" spans="1:20" ht="15.75" customHeight="1" x14ac:dyDescent="0.3">
      <c r="A170" s="74" t="s">
        <v>173</v>
      </c>
      <c r="B170" s="1"/>
      <c r="C170" s="1"/>
      <c r="D170" s="1"/>
      <c r="E170" s="59">
        <f t="shared" si="29"/>
        <v>0</v>
      </c>
      <c r="F170" s="1"/>
      <c r="G170" s="1"/>
      <c r="H170" s="1">
        <v>191</v>
      </c>
      <c r="I170" s="59">
        <f t="shared" si="26"/>
        <v>191</v>
      </c>
      <c r="J170" s="1">
        <v>1040</v>
      </c>
      <c r="K170" s="1">
        <v>1040</v>
      </c>
      <c r="L170" s="1">
        <v>1040</v>
      </c>
      <c r="M170" s="59">
        <f t="shared" si="27"/>
        <v>3120</v>
      </c>
      <c r="N170" s="1">
        <v>1009</v>
      </c>
      <c r="O170" s="1">
        <v>1000</v>
      </c>
      <c r="P170" s="1">
        <v>803</v>
      </c>
      <c r="Q170" s="59">
        <f t="shared" si="28"/>
        <v>2812</v>
      </c>
      <c r="R170" s="59">
        <f t="shared" si="24"/>
        <v>6123</v>
      </c>
      <c r="T170" s="4" t="s">
        <v>158</v>
      </c>
    </row>
    <row r="171" spans="1:20" ht="15.75" customHeight="1" x14ac:dyDescent="0.3">
      <c r="A171" s="74" t="s">
        <v>174</v>
      </c>
      <c r="B171" s="1"/>
      <c r="C171" s="1"/>
      <c r="D171" s="1"/>
      <c r="E171" s="59">
        <f t="shared" si="29"/>
        <v>0</v>
      </c>
      <c r="F171" s="1"/>
      <c r="G171" s="1"/>
      <c r="H171" s="1"/>
      <c r="I171" s="59">
        <f t="shared" si="26"/>
        <v>0</v>
      </c>
      <c r="J171" s="1">
        <v>2500</v>
      </c>
      <c r="K171" s="1">
        <v>2850</v>
      </c>
      <c r="L171" s="1">
        <v>2150</v>
      </c>
      <c r="M171" s="59">
        <f t="shared" si="27"/>
        <v>7500</v>
      </c>
      <c r="N171" s="1"/>
      <c r="O171" s="1"/>
      <c r="P171" s="1"/>
      <c r="Q171" s="59">
        <f t="shared" si="28"/>
        <v>0</v>
      </c>
      <c r="R171" s="59">
        <f t="shared" si="24"/>
        <v>7500</v>
      </c>
      <c r="S171" s="4" t="s">
        <v>136</v>
      </c>
      <c r="T171" s="4" t="s">
        <v>137</v>
      </c>
    </row>
    <row r="172" spans="1:20" ht="15.75" customHeight="1" x14ac:dyDescent="0.3">
      <c r="A172" s="74" t="s">
        <v>175</v>
      </c>
      <c r="B172" s="1"/>
      <c r="C172" s="1"/>
      <c r="D172" s="1"/>
      <c r="E172" s="59">
        <f t="shared" si="29"/>
        <v>0</v>
      </c>
      <c r="F172" s="1"/>
      <c r="G172" s="1"/>
      <c r="H172" s="1"/>
      <c r="I172" s="59">
        <f t="shared" si="26"/>
        <v>0</v>
      </c>
      <c r="J172" s="1"/>
      <c r="K172" s="1"/>
      <c r="L172" s="1"/>
      <c r="M172" s="59">
        <f t="shared" si="27"/>
        <v>0</v>
      </c>
      <c r="N172" s="1"/>
      <c r="O172" s="1"/>
      <c r="P172" s="1"/>
      <c r="Q172" s="59">
        <f t="shared" si="28"/>
        <v>0</v>
      </c>
      <c r="R172" s="59">
        <f t="shared" si="24"/>
        <v>0</v>
      </c>
      <c r="T172" s="4" t="s">
        <v>137</v>
      </c>
    </row>
    <row r="173" spans="1:20" ht="15.75" customHeight="1" x14ac:dyDescent="0.3">
      <c r="A173" s="74" t="s">
        <v>176</v>
      </c>
      <c r="B173" s="1">
        <v>5964</v>
      </c>
      <c r="C173" s="1">
        <f>3179+3399+1+1+20</f>
        <v>6600</v>
      </c>
      <c r="D173" s="1">
        <f>4347+1+2+50</f>
        <v>4400</v>
      </c>
      <c r="E173" s="59">
        <f t="shared" si="29"/>
        <v>16964</v>
      </c>
      <c r="F173" s="1">
        <f>7119+2298+1+2+80</f>
        <v>9500</v>
      </c>
      <c r="G173" s="1">
        <v>9680</v>
      </c>
      <c r="H173" s="1"/>
      <c r="I173" s="59">
        <f t="shared" si="26"/>
        <v>19180</v>
      </c>
      <c r="J173" s="1">
        <v>2097</v>
      </c>
      <c r="K173" s="1">
        <v>12420</v>
      </c>
      <c r="L173" s="1">
        <v>10370</v>
      </c>
      <c r="M173" s="59">
        <f t="shared" si="27"/>
        <v>24887</v>
      </c>
      <c r="N173" s="1">
        <v>10820</v>
      </c>
      <c r="O173" s="1">
        <v>9020</v>
      </c>
      <c r="P173" s="1">
        <v>7220</v>
      </c>
      <c r="Q173" s="59">
        <f t="shared" si="28"/>
        <v>27060</v>
      </c>
      <c r="R173" s="59">
        <f t="shared" si="24"/>
        <v>88091</v>
      </c>
      <c r="S173" s="4" t="s">
        <v>136</v>
      </c>
    </row>
    <row r="174" spans="1:20" ht="15.75" customHeight="1" x14ac:dyDescent="0.3">
      <c r="A174" s="74" t="s">
        <v>177</v>
      </c>
      <c r="B174" s="1"/>
      <c r="C174" s="1"/>
      <c r="D174" s="1"/>
      <c r="E174" s="59">
        <f t="shared" si="29"/>
        <v>0</v>
      </c>
      <c r="F174" s="1"/>
      <c r="G174" s="1"/>
      <c r="H174" s="1"/>
      <c r="I174" s="59">
        <f t="shared" si="26"/>
        <v>0</v>
      </c>
      <c r="J174" s="1">
        <f>4600+350</f>
        <v>4950</v>
      </c>
      <c r="K174" s="1">
        <f>5400+1030</f>
        <v>6430</v>
      </c>
      <c r="L174" s="1">
        <v>1030</v>
      </c>
      <c r="M174" s="59">
        <f t="shared" si="27"/>
        <v>12410</v>
      </c>
      <c r="N174" s="1">
        <v>1030</v>
      </c>
      <c r="O174" s="1">
        <v>1030</v>
      </c>
      <c r="P174" s="1">
        <v>1030</v>
      </c>
      <c r="Q174" s="59">
        <f t="shared" ref="Q174:Q183" si="31">SUM(N174:P174)</f>
        <v>3090</v>
      </c>
      <c r="R174" s="59">
        <f>+E174+I174+M174+Q174</f>
        <v>15500</v>
      </c>
      <c r="T174" s="4" t="s">
        <v>137</v>
      </c>
    </row>
    <row r="175" spans="1:20" ht="15.75" customHeight="1" x14ac:dyDescent="0.3">
      <c r="A175" s="74" t="s">
        <v>859</v>
      </c>
      <c r="B175" s="1">
        <v>30</v>
      </c>
      <c r="C175" s="1">
        <v>30</v>
      </c>
      <c r="D175" s="1">
        <v>30</v>
      </c>
      <c r="E175" s="59">
        <f t="shared" si="29"/>
        <v>90</v>
      </c>
      <c r="F175" s="1">
        <v>30</v>
      </c>
      <c r="G175" s="1">
        <v>35</v>
      </c>
      <c r="H175" s="1">
        <v>35</v>
      </c>
      <c r="I175" s="59">
        <f t="shared" si="26"/>
        <v>100</v>
      </c>
      <c r="J175" s="1">
        <v>35</v>
      </c>
      <c r="K175" s="1">
        <v>35</v>
      </c>
      <c r="L175" s="1">
        <v>35</v>
      </c>
      <c r="M175" s="59">
        <f t="shared" si="27"/>
        <v>105</v>
      </c>
      <c r="N175" s="1">
        <v>30</v>
      </c>
      <c r="O175" s="1">
        <v>30</v>
      </c>
      <c r="P175" s="1">
        <v>30</v>
      </c>
      <c r="Q175" s="59">
        <f t="shared" si="31"/>
        <v>90</v>
      </c>
      <c r="R175" s="59">
        <f t="shared" si="24"/>
        <v>385</v>
      </c>
      <c r="S175" s="4" t="s">
        <v>136</v>
      </c>
      <c r="T175" s="4" t="s">
        <v>137</v>
      </c>
    </row>
    <row r="176" spans="1:20" ht="15.75" customHeight="1" x14ac:dyDescent="0.3">
      <c r="A176" s="74" t="s">
        <v>180</v>
      </c>
      <c r="B176" s="1">
        <v>3283</v>
      </c>
      <c r="C176" s="1"/>
      <c r="D176" s="1"/>
      <c r="E176" s="59">
        <f t="shared" si="29"/>
        <v>3283</v>
      </c>
      <c r="F176" s="1"/>
      <c r="G176" s="1">
        <v>3150</v>
      </c>
      <c r="H176" s="1">
        <f>5134+1059+122+55</f>
        <v>6370</v>
      </c>
      <c r="I176" s="59">
        <f t="shared" si="26"/>
        <v>9520</v>
      </c>
      <c r="J176" s="1">
        <f>5448+856+111+56</f>
        <v>6471</v>
      </c>
      <c r="K176" s="1">
        <f>4759+666+102+52</f>
        <v>5579</v>
      </c>
      <c r="L176" s="1">
        <f>5584+460+92+40</f>
        <v>6176</v>
      </c>
      <c r="M176" s="59">
        <f t="shared" si="27"/>
        <v>18226</v>
      </c>
      <c r="N176" s="1">
        <f>6227+476+120+55</f>
        <v>6878</v>
      </c>
      <c r="O176" s="1">
        <f>5160+75+22</f>
        <v>5257</v>
      </c>
      <c r="P176" s="1">
        <f>4662+71+17</f>
        <v>4750</v>
      </c>
      <c r="Q176" s="59">
        <f t="shared" si="31"/>
        <v>16885</v>
      </c>
      <c r="R176" s="59">
        <f>+E176+I176+M176+Q176</f>
        <v>47914</v>
      </c>
    </row>
    <row r="177" spans="1:20" ht="15.75" customHeight="1" x14ac:dyDescent="0.3">
      <c r="A177" s="74" t="s">
        <v>181</v>
      </c>
      <c r="C177" s="1"/>
      <c r="D177" s="1"/>
      <c r="E177" s="59">
        <f t="shared" ref="E177:E183" si="32">SUM(B177:D177)</f>
        <v>0</v>
      </c>
      <c r="F177" s="1"/>
      <c r="G177" s="1"/>
      <c r="H177" s="4">
        <v>500</v>
      </c>
      <c r="I177" s="59">
        <f t="shared" si="26"/>
        <v>500</v>
      </c>
      <c r="J177" s="1">
        <v>500</v>
      </c>
      <c r="K177" s="1">
        <v>250</v>
      </c>
      <c r="L177" s="1">
        <v>250</v>
      </c>
      <c r="M177" s="59">
        <f t="shared" si="27"/>
        <v>1000</v>
      </c>
      <c r="N177" s="1">
        <v>250</v>
      </c>
      <c r="O177" s="1"/>
      <c r="P177" s="1"/>
      <c r="Q177" s="59">
        <f t="shared" si="31"/>
        <v>250</v>
      </c>
      <c r="R177" s="59">
        <f t="shared" si="24"/>
        <v>1750</v>
      </c>
      <c r="S177" s="4" t="s">
        <v>136</v>
      </c>
    </row>
    <row r="178" spans="1:20" ht="15.75" customHeight="1" x14ac:dyDescent="0.3">
      <c r="A178" s="91" t="s">
        <v>182</v>
      </c>
      <c r="B178" s="1"/>
      <c r="C178" s="1"/>
      <c r="D178" s="1"/>
      <c r="E178" s="59">
        <f t="shared" si="32"/>
        <v>0</v>
      </c>
      <c r="F178" s="1"/>
      <c r="G178" s="1"/>
      <c r="H178" s="1"/>
      <c r="I178" s="59">
        <f t="shared" ref="I178:I183" si="33">SUM(F178:H178)</f>
        <v>0</v>
      </c>
      <c r="J178" s="1"/>
      <c r="K178" s="1"/>
      <c r="L178" s="1">
        <v>2050</v>
      </c>
      <c r="M178" s="59">
        <f t="shared" ref="M178:M183" si="34">SUM(J178:L178)</f>
        <v>2050</v>
      </c>
      <c r="N178" s="1">
        <v>1025</v>
      </c>
      <c r="O178" s="1">
        <v>1025</v>
      </c>
      <c r="P178" s="1">
        <v>1025</v>
      </c>
      <c r="Q178" s="59">
        <f t="shared" si="31"/>
        <v>3075</v>
      </c>
      <c r="R178" s="59">
        <f t="shared" si="24"/>
        <v>5125</v>
      </c>
      <c r="T178" s="4" t="s">
        <v>132</v>
      </c>
    </row>
    <row r="179" spans="1:20" ht="15.75" customHeight="1" x14ac:dyDescent="0.3">
      <c r="A179" s="91" t="s">
        <v>183</v>
      </c>
      <c r="B179" s="1">
        <v>854</v>
      </c>
      <c r="C179" s="1">
        <v>854</v>
      </c>
      <c r="D179" s="1">
        <v>354</v>
      </c>
      <c r="E179" s="59">
        <f t="shared" si="32"/>
        <v>2062</v>
      </c>
      <c r="F179" s="1">
        <v>354</v>
      </c>
      <c r="G179" s="1">
        <v>354</v>
      </c>
      <c r="H179" s="1">
        <v>354</v>
      </c>
      <c r="I179" s="59">
        <f t="shared" si="33"/>
        <v>1062</v>
      </c>
      <c r="J179" s="1"/>
      <c r="K179" s="1"/>
      <c r="L179" s="1"/>
      <c r="M179" s="59">
        <f t="shared" si="34"/>
        <v>0</v>
      </c>
      <c r="N179" s="1"/>
      <c r="O179" s="1"/>
      <c r="P179" s="1"/>
      <c r="Q179" s="59">
        <f t="shared" si="31"/>
        <v>0</v>
      </c>
      <c r="R179" s="59">
        <f>+E179+I179+M179+Q179</f>
        <v>3124</v>
      </c>
    </row>
    <row r="180" spans="1:20" ht="15.75" customHeight="1" x14ac:dyDescent="0.3">
      <c r="A180" s="91" t="s">
        <v>184</v>
      </c>
      <c r="B180" s="1"/>
      <c r="C180" s="1"/>
      <c r="D180" s="1">
        <v>500</v>
      </c>
      <c r="E180" s="59">
        <f t="shared" si="32"/>
        <v>500</v>
      </c>
      <c r="F180" s="1">
        <v>500</v>
      </c>
      <c r="G180" s="1">
        <v>500</v>
      </c>
      <c r="H180" s="1">
        <v>500</v>
      </c>
      <c r="I180" s="59">
        <f t="shared" si="33"/>
        <v>1500</v>
      </c>
      <c r="J180" s="1"/>
      <c r="K180" s="1"/>
      <c r="L180" s="1"/>
      <c r="M180" s="59">
        <f t="shared" si="34"/>
        <v>0</v>
      </c>
      <c r="N180" s="1"/>
      <c r="O180" s="1"/>
      <c r="P180" s="1"/>
      <c r="Q180" s="59">
        <f t="shared" si="31"/>
        <v>0</v>
      </c>
      <c r="R180" s="59">
        <f t="shared" si="24"/>
        <v>2000</v>
      </c>
    </row>
    <row r="181" spans="1:20" ht="15.75" customHeight="1" x14ac:dyDescent="0.3">
      <c r="A181" s="74" t="s">
        <v>185</v>
      </c>
      <c r="B181" s="1">
        <f>28+94</f>
        <v>122</v>
      </c>
      <c r="C181" s="1">
        <f>206+94</f>
        <v>300</v>
      </c>
      <c r="D181" s="1">
        <f>256+94</f>
        <v>350</v>
      </c>
      <c r="E181" s="59">
        <f t="shared" si="32"/>
        <v>772</v>
      </c>
      <c r="F181" s="1">
        <f>256+94</f>
        <v>350</v>
      </c>
      <c r="G181" s="1">
        <f>306+94</f>
        <v>400</v>
      </c>
      <c r="H181" s="1">
        <f>356+94</f>
        <v>450</v>
      </c>
      <c r="I181" s="59">
        <f t="shared" si="33"/>
        <v>1200</v>
      </c>
      <c r="J181" s="1">
        <f>399+94</f>
        <v>493</v>
      </c>
      <c r="K181" s="1">
        <f>406+94</f>
        <v>500</v>
      </c>
      <c r="L181" s="1">
        <f>306+94</f>
        <v>400</v>
      </c>
      <c r="M181" s="59">
        <f t="shared" si="34"/>
        <v>1393</v>
      </c>
      <c r="N181" s="1">
        <f>306+94</f>
        <v>400</v>
      </c>
      <c r="O181" s="1">
        <f>206+94</f>
        <v>300</v>
      </c>
      <c r="P181" s="1">
        <f>156+94</f>
        <v>250</v>
      </c>
      <c r="Q181" s="59">
        <f t="shared" si="31"/>
        <v>950</v>
      </c>
      <c r="R181" s="59">
        <f>+E181+I181+M181+Q181</f>
        <v>4315</v>
      </c>
      <c r="S181" s="4" t="s">
        <v>136</v>
      </c>
      <c r="T181" s="4" t="s">
        <v>137</v>
      </c>
    </row>
    <row r="182" spans="1:20" ht="15.75" customHeight="1" x14ac:dyDescent="0.3">
      <c r="A182" s="74" t="s">
        <v>186</v>
      </c>
      <c r="B182" s="1">
        <v>3</v>
      </c>
      <c r="C182" s="1">
        <v>2</v>
      </c>
      <c r="D182" s="1">
        <v>2</v>
      </c>
      <c r="E182" s="59">
        <f t="shared" si="32"/>
        <v>7</v>
      </c>
      <c r="F182" s="1">
        <v>3</v>
      </c>
      <c r="G182" s="1">
        <v>3</v>
      </c>
      <c r="H182" s="1">
        <v>4</v>
      </c>
      <c r="I182" s="59">
        <f t="shared" si="33"/>
        <v>10</v>
      </c>
      <c r="J182" s="1">
        <v>3</v>
      </c>
      <c r="K182" s="1">
        <v>3</v>
      </c>
      <c r="L182" s="1">
        <v>3</v>
      </c>
      <c r="M182" s="59">
        <f t="shared" si="34"/>
        <v>9</v>
      </c>
      <c r="N182" s="1">
        <v>3</v>
      </c>
      <c r="O182" s="1">
        <v>3</v>
      </c>
      <c r="P182" s="1">
        <v>2</v>
      </c>
      <c r="Q182" s="59">
        <f t="shared" si="31"/>
        <v>8</v>
      </c>
      <c r="R182" s="59">
        <f>+E182+I182+M182+Q182</f>
        <v>34</v>
      </c>
      <c r="S182" s="4">
        <f>SUM(R138:R182)</f>
        <v>250090</v>
      </c>
    </row>
    <row r="183" spans="1:20" ht="15.75" customHeight="1" x14ac:dyDescent="0.3">
      <c r="A183" s="74" t="s">
        <v>187</v>
      </c>
      <c r="B183" s="1"/>
      <c r="C183" s="1"/>
      <c r="D183" s="1"/>
      <c r="E183" s="59">
        <f t="shared" si="32"/>
        <v>0</v>
      </c>
      <c r="F183" s="1"/>
      <c r="G183" s="1"/>
      <c r="H183" s="1"/>
      <c r="I183" s="59">
        <f t="shared" si="33"/>
        <v>0</v>
      </c>
      <c r="J183" s="1"/>
      <c r="K183" s="1"/>
      <c r="L183" s="1"/>
      <c r="M183" s="59">
        <f t="shared" si="34"/>
        <v>0</v>
      </c>
      <c r="N183" s="1">
        <v>250</v>
      </c>
      <c r="O183" s="1"/>
      <c r="P183" s="1"/>
      <c r="Q183" s="59">
        <f t="shared" si="31"/>
        <v>250</v>
      </c>
      <c r="R183" s="59">
        <f>+E183+I183+M183+Q183</f>
        <v>250</v>
      </c>
      <c r="S183" s="4" t="s">
        <v>136</v>
      </c>
      <c r="T183" s="4" t="s">
        <v>137</v>
      </c>
    </row>
    <row r="184" spans="1:20" ht="15.75" customHeight="1" x14ac:dyDescent="0.3">
      <c r="A184" s="17" t="s">
        <v>47</v>
      </c>
      <c r="B184" s="1"/>
      <c r="C184" s="1"/>
      <c r="D184" s="1"/>
      <c r="E184" s="59" t="s">
        <v>7</v>
      </c>
      <c r="F184" s="1"/>
      <c r="G184" s="1"/>
      <c r="H184" s="1"/>
      <c r="I184" s="59" t="s">
        <v>7</v>
      </c>
      <c r="J184" s="1"/>
      <c r="K184" s="1"/>
      <c r="L184" s="1"/>
      <c r="M184" s="59" t="s">
        <v>7</v>
      </c>
      <c r="N184" s="1"/>
      <c r="O184" s="1"/>
      <c r="P184" s="1"/>
      <c r="Q184" s="59" t="s">
        <v>7</v>
      </c>
      <c r="R184" s="59" t="s">
        <v>7</v>
      </c>
    </row>
    <row r="185" spans="1:20" ht="15.75" customHeight="1" x14ac:dyDescent="0.3">
      <c r="A185" s="74" t="s">
        <v>188</v>
      </c>
      <c r="B185" s="1"/>
      <c r="C185" s="1"/>
      <c r="D185" s="1"/>
      <c r="E185" s="59">
        <f t="shared" ref="E185:E194" si="35">SUM(B185:D185)</f>
        <v>0</v>
      </c>
      <c r="F185" s="1"/>
      <c r="G185" s="1"/>
      <c r="H185" s="1"/>
      <c r="I185" s="59">
        <f t="shared" ref="I185:I194" si="36">SUM(F185:H185)</f>
        <v>0</v>
      </c>
      <c r="J185" s="1"/>
      <c r="K185" s="1"/>
      <c r="L185" s="1"/>
      <c r="M185" s="59">
        <f t="shared" ref="M185:M194" si="37">SUM(J185:L185)</f>
        <v>0</v>
      </c>
      <c r="N185" s="1"/>
      <c r="O185" s="1"/>
      <c r="P185" s="1"/>
      <c r="Q185" s="59">
        <f t="shared" ref="Q185:Q194" si="38">SUM(N185:P185)</f>
        <v>0</v>
      </c>
      <c r="R185" s="59">
        <f t="shared" ref="R185:R194" si="39">+E185+I185+M185+Q185</f>
        <v>0</v>
      </c>
    </row>
    <row r="186" spans="1:20" ht="15.75" customHeight="1" x14ac:dyDescent="0.3">
      <c r="A186" s="74" t="s">
        <v>189</v>
      </c>
      <c r="B186" s="1"/>
      <c r="C186" s="1"/>
      <c r="D186" s="1"/>
      <c r="E186" s="59">
        <f>SUM(B186:D186)</f>
        <v>0</v>
      </c>
      <c r="F186" s="1"/>
      <c r="G186" s="1"/>
      <c r="H186" s="1"/>
      <c r="I186" s="59">
        <f>SUM(F186:H186)</f>
        <v>0</v>
      </c>
      <c r="J186" s="1"/>
      <c r="K186" s="1"/>
      <c r="L186" s="1"/>
      <c r="M186" s="59">
        <f>SUM(J186:L186)</f>
        <v>0</v>
      </c>
      <c r="N186" s="1"/>
      <c r="O186" s="1"/>
      <c r="P186" s="1"/>
      <c r="Q186" s="59">
        <f>SUM(N186:P186)</f>
        <v>0</v>
      </c>
      <c r="R186" s="59">
        <f>+E186+I186+M186+Q186</f>
        <v>0</v>
      </c>
      <c r="T186" s="4" t="s">
        <v>127</v>
      </c>
    </row>
    <row r="187" spans="1:20" ht="15.75" customHeight="1" x14ac:dyDescent="0.3">
      <c r="A187" s="74" t="s">
        <v>190</v>
      </c>
      <c r="B187" s="1"/>
      <c r="C187" s="1"/>
      <c r="D187" s="1"/>
      <c r="E187" s="59">
        <f t="shared" si="35"/>
        <v>0</v>
      </c>
      <c r="F187" s="1"/>
      <c r="G187" s="1"/>
      <c r="H187" s="1"/>
      <c r="I187" s="59">
        <f t="shared" si="36"/>
        <v>0</v>
      </c>
      <c r="J187" s="1"/>
      <c r="K187" s="1"/>
      <c r="L187" s="1"/>
      <c r="M187" s="59">
        <f t="shared" si="37"/>
        <v>0</v>
      </c>
      <c r="N187" s="1"/>
      <c r="O187" s="1"/>
      <c r="P187" s="1"/>
      <c r="Q187" s="59">
        <f t="shared" si="38"/>
        <v>0</v>
      </c>
      <c r="R187" s="59">
        <f t="shared" si="39"/>
        <v>0</v>
      </c>
    </row>
    <row r="188" spans="1:20" ht="15.75" customHeight="1" x14ac:dyDescent="0.3">
      <c r="A188" s="74" t="s">
        <v>191</v>
      </c>
      <c r="B188" s="1"/>
      <c r="C188" s="1"/>
      <c r="D188" s="1"/>
      <c r="E188" s="59">
        <f t="shared" si="35"/>
        <v>0</v>
      </c>
      <c r="F188" s="1"/>
      <c r="G188" s="1"/>
      <c r="H188" s="1"/>
      <c r="I188" s="59">
        <f t="shared" si="36"/>
        <v>0</v>
      </c>
      <c r="J188" s="1"/>
      <c r="K188" s="1"/>
      <c r="L188" s="1"/>
      <c r="M188" s="59">
        <f t="shared" si="37"/>
        <v>0</v>
      </c>
      <c r="N188" s="1"/>
      <c r="O188" s="1"/>
      <c r="P188" s="1"/>
      <c r="Q188" s="59">
        <f t="shared" si="38"/>
        <v>0</v>
      </c>
      <c r="R188" s="59">
        <f t="shared" si="39"/>
        <v>0</v>
      </c>
      <c r="T188" s="4" t="s">
        <v>137</v>
      </c>
    </row>
    <row r="189" spans="1:20" ht="15.75" customHeight="1" x14ac:dyDescent="0.3">
      <c r="A189" s="74" t="s">
        <v>192</v>
      </c>
      <c r="B189" s="1"/>
      <c r="C189" s="1"/>
      <c r="D189" s="1"/>
      <c r="E189" s="59">
        <f t="shared" si="35"/>
        <v>0</v>
      </c>
      <c r="F189" s="1"/>
      <c r="G189" s="1"/>
      <c r="H189" s="1"/>
      <c r="I189" s="59">
        <f t="shared" si="36"/>
        <v>0</v>
      </c>
      <c r="J189" s="1"/>
      <c r="K189" s="1"/>
      <c r="L189" s="1"/>
      <c r="M189" s="59">
        <f t="shared" si="37"/>
        <v>0</v>
      </c>
      <c r="N189" s="1"/>
      <c r="O189" s="1"/>
      <c r="P189" s="1"/>
      <c r="Q189" s="59">
        <f t="shared" si="38"/>
        <v>0</v>
      </c>
      <c r="R189" s="59">
        <f t="shared" si="39"/>
        <v>0</v>
      </c>
    </row>
    <row r="190" spans="1:20" ht="15.75" customHeight="1" x14ac:dyDescent="0.3">
      <c r="A190" s="74" t="s">
        <v>193</v>
      </c>
      <c r="B190" s="1"/>
      <c r="C190" s="1"/>
      <c r="D190" s="1"/>
      <c r="E190" s="59">
        <f t="shared" si="35"/>
        <v>0</v>
      </c>
      <c r="F190" s="1"/>
      <c r="G190" s="1"/>
      <c r="H190" s="1"/>
      <c r="I190" s="59">
        <f t="shared" si="36"/>
        <v>0</v>
      </c>
      <c r="J190" s="1"/>
      <c r="K190" s="1"/>
      <c r="L190" s="1"/>
      <c r="M190" s="59">
        <f t="shared" si="37"/>
        <v>0</v>
      </c>
      <c r="N190" s="1"/>
      <c r="O190" s="1"/>
      <c r="P190" s="1"/>
      <c r="Q190" s="59">
        <f t="shared" si="38"/>
        <v>0</v>
      </c>
      <c r="R190" s="59">
        <f t="shared" si="39"/>
        <v>0</v>
      </c>
    </row>
    <row r="191" spans="1:20" ht="15.75" customHeight="1" x14ac:dyDescent="0.3">
      <c r="A191" s="91" t="s">
        <v>194</v>
      </c>
      <c r="B191" s="1"/>
      <c r="C191" s="1"/>
      <c r="D191" s="1"/>
      <c r="E191" s="59">
        <f t="shared" si="35"/>
        <v>0</v>
      </c>
      <c r="F191" s="1"/>
      <c r="G191" s="1"/>
      <c r="H191" s="1"/>
      <c r="I191" s="59">
        <f t="shared" si="36"/>
        <v>0</v>
      </c>
      <c r="J191" s="1"/>
      <c r="K191" s="1"/>
      <c r="L191" s="1"/>
      <c r="M191" s="59">
        <f t="shared" si="37"/>
        <v>0</v>
      </c>
      <c r="N191" s="1"/>
      <c r="O191" s="1"/>
      <c r="P191" s="1"/>
      <c r="Q191" s="59">
        <f t="shared" si="38"/>
        <v>0</v>
      </c>
      <c r="R191" s="59">
        <f t="shared" si="39"/>
        <v>0</v>
      </c>
      <c r="T191" s="4" t="s">
        <v>121</v>
      </c>
    </row>
    <row r="192" spans="1:20" ht="15.75" customHeight="1" x14ac:dyDescent="0.3">
      <c r="A192" s="74" t="s">
        <v>195</v>
      </c>
      <c r="B192" s="1"/>
      <c r="C192" s="1"/>
      <c r="D192" s="1"/>
      <c r="E192" s="59">
        <f t="shared" si="35"/>
        <v>0</v>
      </c>
      <c r="F192" s="1"/>
      <c r="G192" s="1"/>
      <c r="H192" s="1"/>
      <c r="I192" s="59">
        <f t="shared" si="36"/>
        <v>0</v>
      </c>
      <c r="J192" s="1"/>
      <c r="K192" s="1"/>
      <c r="L192" s="1"/>
      <c r="M192" s="59">
        <f t="shared" si="37"/>
        <v>0</v>
      </c>
      <c r="N192" s="1"/>
      <c r="O192" s="1"/>
      <c r="P192" s="1"/>
      <c r="Q192" s="59">
        <f t="shared" si="38"/>
        <v>0</v>
      </c>
      <c r="R192" s="59">
        <f t="shared" si="39"/>
        <v>0</v>
      </c>
      <c r="T192" s="4" t="s">
        <v>137</v>
      </c>
    </row>
    <row r="193" spans="1:20" ht="15.75" customHeight="1" x14ac:dyDescent="0.3">
      <c r="A193" s="74" t="s">
        <v>196</v>
      </c>
      <c r="B193" s="1"/>
      <c r="C193" s="1"/>
      <c r="D193" s="1"/>
      <c r="E193" s="59">
        <f t="shared" si="35"/>
        <v>0</v>
      </c>
      <c r="F193" s="1"/>
      <c r="G193" s="1"/>
      <c r="H193" s="1"/>
      <c r="I193" s="59">
        <f t="shared" si="36"/>
        <v>0</v>
      </c>
      <c r="J193" s="1"/>
      <c r="K193" s="1"/>
      <c r="L193" s="1"/>
      <c r="M193" s="59">
        <f t="shared" si="37"/>
        <v>0</v>
      </c>
      <c r="N193" s="1"/>
      <c r="O193" s="1"/>
      <c r="P193" s="1"/>
      <c r="Q193" s="59">
        <f t="shared" si="38"/>
        <v>0</v>
      </c>
      <c r="R193" s="59">
        <f t="shared" si="39"/>
        <v>0</v>
      </c>
      <c r="T193" s="4" t="s">
        <v>197</v>
      </c>
    </row>
    <row r="194" spans="1:20" ht="15.75" customHeight="1" x14ac:dyDescent="0.3">
      <c r="A194" s="91" t="s">
        <v>198</v>
      </c>
      <c r="B194" s="1"/>
      <c r="C194" s="1"/>
      <c r="D194" s="1"/>
      <c r="E194" s="59">
        <f t="shared" si="35"/>
        <v>0</v>
      </c>
      <c r="F194" s="1"/>
      <c r="G194" s="1"/>
      <c r="H194" s="1"/>
      <c r="I194" s="59">
        <f t="shared" si="36"/>
        <v>0</v>
      </c>
      <c r="J194" s="1"/>
      <c r="K194" s="1"/>
      <c r="L194" s="1"/>
      <c r="M194" s="59">
        <f t="shared" si="37"/>
        <v>0</v>
      </c>
      <c r="N194" s="1"/>
      <c r="O194" s="1"/>
      <c r="P194" s="1"/>
      <c r="Q194" s="59">
        <f t="shared" si="38"/>
        <v>0</v>
      </c>
      <c r="R194" s="59">
        <f t="shared" si="39"/>
        <v>0</v>
      </c>
    </row>
    <row r="195" spans="1:20" ht="15.75" customHeight="1" x14ac:dyDescent="0.3">
      <c r="A195" s="17" t="s">
        <v>898</v>
      </c>
      <c r="B195" s="1"/>
      <c r="C195" s="1"/>
      <c r="D195" s="1"/>
      <c r="E195" s="59" t="s">
        <v>7</v>
      </c>
      <c r="F195" s="1"/>
      <c r="G195" s="1"/>
      <c r="H195" s="1"/>
      <c r="I195" s="59" t="s">
        <v>7</v>
      </c>
      <c r="J195" s="1"/>
      <c r="K195" s="1"/>
      <c r="L195" s="1"/>
      <c r="M195" s="59" t="s">
        <v>7</v>
      </c>
      <c r="N195" s="1"/>
      <c r="O195" s="1"/>
      <c r="P195" s="1"/>
      <c r="Q195" s="59" t="s">
        <v>7</v>
      </c>
      <c r="R195" s="59" t="s">
        <v>7</v>
      </c>
    </row>
    <row r="196" spans="1:20" ht="15.75" customHeight="1" x14ac:dyDescent="0.3">
      <c r="A196" s="99" t="s">
        <v>907</v>
      </c>
      <c r="B196" s="1"/>
      <c r="C196" s="1"/>
      <c r="D196" s="1"/>
      <c r="E196" s="59">
        <f>SUM(B196:D196)</f>
        <v>0</v>
      </c>
      <c r="F196" s="1"/>
      <c r="G196" s="1"/>
      <c r="H196" s="1"/>
      <c r="I196" s="59">
        <f>SUM(F196:H196)</f>
        <v>0</v>
      </c>
      <c r="J196" s="1"/>
      <c r="K196" s="1"/>
      <c r="L196" s="1"/>
      <c r="M196" s="59">
        <f>SUM(J196:L196)</f>
        <v>0</v>
      </c>
      <c r="N196" s="1"/>
      <c r="O196" s="1"/>
      <c r="P196" s="1"/>
      <c r="Q196" s="59">
        <f>SUM(N196:P196)</f>
        <v>0</v>
      </c>
      <c r="R196" s="59">
        <f>+E196+I196+M196+Q196</f>
        <v>0</v>
      </c>
      <c r="T196" s="4" t="s">
        <v>132</v>
      </c>
    </row>
    <row r="197" spans="1:20" ht="15.75" customHeight="1" x14ac:dyDescent="0.3">
      <c r="A197" s="99" t="s">
        <v>908</v>
      </c>
      <c r="B197" s="1"/>
      <c r="C197" s="1"/>
      <c r="D197" s="1"/>
      <c r="E197" s="59">
        <f>SUM(B197:D197)</f>
        <v>0</v>
      </c>
      <c r="F197" s="1"/>
      <c r="G197" s="1"/>
      <c r="H197" s="1"/>
      <c r="I197" s="59">
        <f>SUM(F197:H197)</f>
        <v>0</v>
      </c>
      <c r="J197" s="1"/>
      <c r="K197" s="1"/>
      <c r="L197" s="1"/>
      <c r="M197" s="59">
        <f>SUM(J197:L197)</f>
        <v>0</v>
      </c>
      <c r="N197" s="1"/>
      <c r="O197" s="1"/>
      <c r="P197" s="1"/>
      <c r="Q197" s="59">
        <f>SUM(N197:P197)</f>
        <v>0</v>
      </c>
      <c r="R197" s="59">
        <f>+E197+I197+M197+Q197</f>
        <v>0</v>
      </c>
      <c r="T197" s="4" t="s">
        <v>134</v>
      </c>
    </row>
    <row r="198" spans="1:20" ht="15.75" customHeight="1" x14ac:dyDescent="0.3">
      <c r="A198" s="61" t="s">
        <v>909</v>
      </c>
      <c r="B198" s="1"/>
      <c r="C198" s="1"/>
      <c r="D198" s="1">
        <v>600</v>
      </c>
      <c r="E198" s="59">
        <f>SUM(B198:D198)</f>
        <v>600</v>
      </c>
      <c r="F198" s="1">
        <v>600</v>
      </c>
      <c r="G198" s="1">
        <v>560</v>
      </c>
      <c r="H198" s="1"/>
      <c r="I198" s="59">
        <f>SUM(F198:H198)</f>
        <v>1160</v>
      </c>
      <c r="J198" s="1"/>
      <c r="K198" s="1"/>
      <c r="L198" s="1"/>
      <c r="M198" s="59">
        <f>SUM(J198:L198)</f>
        <v>0</v>
      </c>
      <c r="N198" s="1"/>
      <c r="O198" s="1"/>
      <c r="P198" s="1"/>
      <c r="Q198" s="59">
        <f>SUM(N198:P198)</f>
        <v>0</v>
      </c>
      <c r="R198" s="59">
        <f>+E198+I198+M198+Q198</f>
        <v>1760</v>
      </c>
      <c r="T198" s="4" t="s">
        <v>202</v>
      </c>
    </row>
    <row r="199" spans="1:20" ht="15.75" customHeight="1" thickBot="1" x14ac:dyDescent="0.35">
      <c r="A199" s="17" t="s">
        <v>51</v>
      </c>
      <c r="B199" s="1"/>
      <c r="C199" s="1"/>
      <c r="D199" s="1"/>
      <c r="E199" s="59" t="s">
        <v>7</v>
      </c>
      <c r="F199" s="1"/>
      <c r="G199" s="1"/>
      <c r="H199" s="1"/>
      <c r="I199" s="59" t="s">
        <v>7</v>
      </c>
      <c r="J199" s="1"/>
      <c r="K199" s="1"/>
      <c r="L199" s="1"/>
      <c r="M199" s="59" t="s">
        <v>7</v>
      </c>
      <c r="N199" s="1"/>
      <c r="O199" s="1"/>
      <c r="P199" s="1"/>
      <c r="Q199" s="59" t="s">
        <v>7</v>
      </c>
      <c r="R199" s="59" t="s">
        <v>7</v>
      </c>
    </row>
    <row r="200" spans="1:20" ht="16.5" customHeight="1" thickBot="1" x14ac:dyDescent="0.35">
      <c r="A200" s="62" t="s">
        <v>52</v>
      </c>
      <c r="B200" s="100">
        <f>SUM(B136:B199)</f>
        <v>12093</v>
      </c>
      <c r="C200" s="101">
        <f>SUM(C136:C199)</f>
        <v>11563</v>
      </c>
      <c r="D200" s="101">
        <f>SUM(D136:D199)</f>
        <v>10680</v>
      </c>
      <c r="E200" s="64">
        <f>SUM(B200:D200)</f>
        <v>34336</v>
      </c>
      <c r="F200" s="101">
        <f>SUM(F136:F199)</f>
        <v>21353</v>
      </c>
      <c r="G200" s="101">
        <f>SUM(G136:G199)</f>
        <v>23197</v>
      </c>
      <c r="H200" s="101">
        <f>SUM(H136:H199)</f>
        <v>15054</v>
      </c>
      <c r="I200" s="64">
        <f>SUM(F200:H200)</f>
        <v>59604</v>
      </c>
      <c r="J200" s="101">
        <f>SUM(J136:J199)</f>
        <v>25395</v>
      </c>
      <c r="K200" s="101">
        <f>SUM(K136:K199)</f>
        <v>36349</v>
      </c>
      <c r="L200" s="101">
        <f>SUM(L136:L199)</f>
        <v>30404</v>
      </c>
      <c r="M200" s="64">
        <f>SUM(J200:L200)</f>
        <v>92148</v>
      </c>
      <c r="N200" s="101">
        <f>SUM(N136:N199)</f>
        <v>27760</v>
      </c>
      <c r="O200" s="101">
        <f>SUM(O136:O199)</f>
        <v>20984</v>
      </c>
      <c r="P200" s="101">
        <f>SUM(P136:P199)</f>
        <v>17268</v>
      </c>
      <c r="Q200" s="64">
        <f>SUM(N200:P200)</f>
        <v>66012</v>
      </c>
      <c r="R200" s="64">
        <f>+E200+I200+M200+Q200</f>
        <v>252100</v>
      </c>
    </row>
    <row r="201" spans="1:20" ht="15.75" customHeight="1" x14ac:dyDescent="0.3">
      <c r="A201" s="17" t="s">
        <v>53</v>
      </c>
      <c r="B201" s="1"/>
      <c r="C201" s="1"/>
      <c r="D201" s="1"/>
      <c r="E201" s="59" t="s">
        <v>7</v>
      </c>
      <c r="F201" s="1"/>
      <c r="G201" s="1"/>
      <c r="H201" s="1"/>
      <c r="I201" s="59" t="s">
        <v>7</v>
      </c>
      <c r="J201" s="1"/>
      <c r="K201" s="1"/>
      <c r="L201" s="1"/>
      <c r="M201" s="59" t="s">
        <v>7</v>
      </c>
      <c r="N201" s="1"/>
      <c r="O201" s="1"/>
      <c r="P201" s="1"/>
      <c r="Q201" s="59" t="s">
        <v>7</v>
      </c>
      <c r="R201" s="59" t="s">
        <v>7</v>
      </c>
    </row>
    <row r="202" spans="1:20" ht="15.75" customHeight="1" x14ac:dyDescent="0.3">
      <c r="A202" s="17" t="s">
        <v>54</v>
      </c>
      <c r="B202" s="1"/>
      <c r="C202" s="1"/>
      <c r="D202" s="1"/>
      <c r="E202" s="59" t="s">
        <v>7</v>
      </c>
      <c r="F202" s="1"/>
      <c r="G202" s="1"/>
      <c r="H202" s="1"/>
      <c r="I202" s="59" t="s">
        <v>7</v>
      </c>
      <c r="J202" s="1"/>
      <c r="K202" s="1"/>
      <c r="L202" s="1"/>
      <c r="M202" s="59" t="s">
        <v>7</v>
      </c>
      <c r="N202" s="1"/>
      <c r="O202" s="1"/>
      <c r="P202" s="1"/>
      <c r="Q202" s="59" t="s">
        <v>7</v>
      </c>
      <c r="R202" s="59" t="s">
        <v>7</v>
      </c>
    </row>
    <row r="203" spans="1:20" ht="15.75" customHeight="1" x14ac:dyDescent="0.3">
      <c r="A203" s="17" t="s">
        <v>55</v>
      </c>
      <c r="B203" s="1"/>
      <c r="C203" s="1"/>
      <c r="D203" s="1"/>
      <c r="E203" s="59" t="s">
        <v>7</v>
      </c>
      <c r="F203" s="1"/>
      <c r="G203" s="1"/>
      <c r="H203" s="1"/>
      <c r="I203" s="59" t="s">
        <v>7</v>
      </c>
      <c r="J203" s="1"/>
      <c r="K203" s="1"/>
      <c r="L203" s="1"/>
      <c r="M203" s="59" t="s">
        <v>7</v>
      </c>
      <c r="N203" s="1"/>
      <c r="O203" s="1"/>
      <c r="P203" s="1"/>
      <c r="Q203" s="59" t="s">
        <v>7</v>
      </c>
      <c r="R203" s="59" t="s">
        <v>7</v>
      </c>
    </row>
    <row r="204" spans="1:20" ht="15.75" customHeight="1" x14ac:dyDescent="0.3">
      <c r="A204" s="99" t="s">
        <v>203</v>
      </c>
      <c r="B204" s="1"/>
      <c r="C204" s="1"/>
      <c r="D204" s="1"/>
      <c r="E204" s="59">
        <f>SUM(B204:D204)</f>
        <v>0</v>
      </c>
      <c r="F204" s="1"/>
      <c r="G204" s="1"/>
      <c r="H204" s="1"/>
      <c r="I204" s="59">
        <f>SUM(F204:H204)</f>
        <v>0</v>
      </c>
      <c r="J204" s="1"/>
      <c r="K204" s="1"/>
      <c r="L204" s="1"/>
      <c r="M204" s="59">
        <f>SUM(J204:L204)</f>
        <v>0</v>
      </c>
      <c r="N204" s="1"/>
      <c r="O204" s="1"/>
      <c r="P204" s="1"/>
      <c r="Q204" s="59">
        <f>SUM(N204:P204)</f>
        <v>0</v>
      </c>
      <c r="R204" s="59">
        <f>+E204+I204+M204+Q204</f>
        <v>0</v>
      </c>
      <c r="T204" s="4" t="s">
        <v>121</v>
      </c>
    </row>
    <row r="205" spans="1:20" ht="15.75" customHeight="1" x14ac:dyDescent="0.3">
      <c r="A205" s="76" t="s">
        <v>204</v>
      </c>
      <c r="B205" s="1"/>
      <c r="C205" s="1"/>
      <c r="D205" s="1"/>
      <c r="E205" s="59">
        <f>SUM(B205:D205)</f>
        <v>0</v>
      </c>
      <c r="F205" s="1"/>
      <c r="G205" s="1"/>
      <c r="H205" s="1"/>
      <c r="I205" s="59">
        <f>SUM(F205:H205)</f>
        <v>0</v>
      </c>
      <c r="J205" s="1"/>
      <c r="K205" s="1"/>
      <c r="L205" s="1"/>
      <c r="M205" s="59">
        <f>SUM(J205:L205)</f>
        <v>0</v>
      </c>
      <c r="N205" s="1"/>
      <c r="O205" s="1"/>
      <c r="P205" s="1"/>
      <c r="Q205" s="59">
        <f>SUM(N205:P205)</f>
        <v>0</v>
      </c>
      <c r="R205" s="59">
        <f>+E205+I205+M205+Q205</f>
        <v>0</v>
      </c>
      <c r="S205" s="4" t="s">
        <v>136</v>
      </c>
      <c r="T205" s="4" t="s">
        <v>137</v>
      </c>
    </row>
    <row r="206" spans="1:20" ht="15.75" customHeight="1" thickBot="1" x14ac:dyDescent="0.35">
      <c r="A206" s="17" t="s">
        <v>56</v>
      </c>
      <c r="B206" s="1"/>
      <c r="C206" s="1"/>
      <c r="D206" s="1"/>
      <c r="E206" s="59" t="s">
        <v>7</v>
      </c>
      <c r="F206" s="1"/>
      <c r="G206" s="1"/>
      <c r="H206" s="1"/>
      <c r="I206" s="59" t="s">
        <v>7</v>
      </c>
      <c r="J206" s="1"/>
      <c r="K206" s="1"/>
      <c r="L206" s="1"/>
      <c r="M206" s="59" t="s">
        <v>7</v>
      </c>
      <c r="N206" s="1"/>
      <c r="O206" s="1"/>
      <c r="P206" s="1"/>
      <c r="Q206" s="59" t="s">
        <v>7</v>
      </c>
      <c r="R206" s="59" t="s">
        <v>7</v>
      </c>
    </row>
    <row r="207" spans="1:20" ht="16.5" customHeight="1" thickBot="1" x14ac:dyDescent="0.35">
      <c r="A207" s="62" t="s">
        <v>57</v>
      </c>
      <c r="B207" s="100">
        <f>SUM(B201:B206)</f>
        <v>0</v>
      </c>
      <c r="C207" s="101">
        <f>SUM(C201:C206)</f>
        <v>0</v>
      </c>
      <c r="D207" s="101">
        <f>SUM(D201:D206)</f>
        <v>0</v>
      </c>
      <c r="E207" s="64">
        <f>SUM(B207:D207)</f>
        <v>0</v>
      </c>
      <c r="F207" s="101">
        <f>SUM(F201:F206)</f>
        <v>0</v>
      </c>
      <c r="G207" s="101">
        <f>SUM(G201:G206)</f>
        <v>0</v>
      </c>
      <c r="H207" s="101">
        <f>SUM(H201:H206)</f>
        <v>0</v>
      </c>
      <c r="I207" s="64">
        <f>SUM(F207:H207)</f>
        <v>0</v>
      </c>
      <c r="J207" s="101">
        <f>SUM(J201:J206)</f>
        <v>0</v>
      </c>
      <c r="K207" s="101">
        <f>SUM(K201:K206)</f>
        <v>0</v>
      </c>
      <c r="L207" s="101">
        <f>SUM(L201:L206)</f>
        <v>0</v>
      </c>
      <c r="M207" s="64">
        <f>SUM(J207:L207)</f>
        <v>0</v>
      </c>
      <c r="N207" s="101">
        <f>SUM(N201:N206)</f>
        <v>0</v>
      </c>
      <c r="O207" s="101">
        <f>SUM(O201:O206)</f>
        <v>0</v>
      </c>
      <c r="P207" s="101">
        <f>SUM(P201:P206)</f>
        <v>0</v>
      </c>
      <c r="Q207" s="64">
        <f>SUM(N207:P207)</f>
        <v>0</v>
      </c>
      <c r="R207" s="64">
        <f>+E207+I207+M207+Q207</f>
        <v>0</v>
      </c>
    </row>
    <row r="208" spans="1:20" ht="15.75" customHeight="1" x14ac:dyDescent="0.3">
      <c r="A208" s="17" t="s">
        <v>58</v>
      </c>
      <c r="B208" s="1"/>
      <c r="C208" s="1"/>
      <c r="D208" s="1"/>
      <c r="E208" s="59" t="s">
        <v>7</v>
      </c>
      <c r="F208" s="1"/>
      <c r="G208" s="1"/>
      <c r="H208" s="1"/>
      <c r="I208" s="59" t="s">
        <v>7</v>
      </c>
      <c r="J208" s="1"/>
      <c r="K208" s="1"/>
      <c r="L208" s="1"/>
      <c r="M208" s="59" t="s">
        <v>7</v>
      </c>
      <c r="N208" s="1"/>
      <c r="O208" s="1"/>
      <c r="P208" s="1"/>
      <c r="Q208" s="59" t="s">
        <v>7</v>
      </c>
      <c r="R208" s="59" t="s">
        <v>7</v>
      </c>
    </row>
    <row r="209" spans="1:20" ht="15.75" customHeight="1" x14ac:dyDescent="0.3">
      <c r="A209" s="17" t="s">
        <v>59</v>
      </c>
      <c r="B209" s="1"/>
      <c r="C209" s="1"/>
      <c r="D209" s="1"/>
      <c r="E209" s="59" t="s">
        <v>7</v>
      </c>
      <c r="F209" s="1"/>
      <c r="G209" s="1"/>
      <c r="H209" s="1"/>
      <c r="I209" s="59" t="s">
        <v>7</v>
      </c>
      <c r="J209" s="1"/>
      <c r="K209" s="1"/>
      <c r="L209" s="1"/>
      <c r="M209" s="59" t="s">
        <v>7</v>
      </c>
      <c r="N209" s="1"/>
      <c r="O209" s="1"/>
      <c r="P209" s="1"/>
      <c r="Q209" s="59" t="s">
        <v>7</v>
      </c>
      <c r="R209" s="59" t="s">
        <v>7</v>
      </c>
    </row>
    <row r="210" spans="1:20" ht="15.75" customHeight="1" x14ac:dyDescent="0.3">
      <c r="A210" s="17" t="s">
        <v>60</v>
      </c>
      <c r="B210" s="1"/>
      <c r="C210" s="1"/>
      <c r="D210" s="1"/>
      <c r="E210" s="59" t="s">
        <v>7</v>
      </c>
      <c r="F210" s="1"/>
      <c r="G210" s="1"/>
      <c r="H210" s="1"/>
      <c r="I210" s="59" t="s">
        <v>7</v>
      </c>
      <c r="J210" s="1"/>
      <c r="K210" s="1"/>
      <c r="L210" s="1"/>
      <c r="M210" s="59" t="s">
        <v>7</v>
      </c>
      <c r="N210" s="1"/>
      <c r="O210" s="1"/>
      <c r="P210" s="1"/>
      <c r="Q210" s="59" t="s">
        <v>7</v>
      </c>
      <c r="R210" s="59" t="s">
        <v>7</v>
      </c>
    </row>
    <row r="211" spans="1:20" ht="15.75" customHeight="1" x14ac:dyDescent="0.3">
      <c r="A211" s="102" t="s">
        <v>205</v>
      </c>
      <c r="B211" s="1">
        <v>292</v>
      </c>
      <c r="C211" s="1">
        <v>264</v>
      </c>
      <c r="D211" s="1">
        <v>317</v>
      </c>
      <c r="E211" s="59">
        <f>SUM(B211:D211)</f>
        <v>873</v>
      </c>
      <c r="F211" s="1">
        <v>376</v>
      </c>
      <c r="G211" s="1">
        <v>498</v>
      </c>
      <c r="H211" s="1">
        <v>559</v>
      </c>
      <c r="I211" s="59">
        <f>SUM(F211:H211)</f>
        <v>1433</v>
      </c>
      <c r="J211" s="1">
        <v>543</v>
      </c>
      <c r="K211" s="1">
        <v>503</v>
      </c>
      <c r="L211" s="1">
        <v>430</v>
      </c>
      <c r="M211" s="59">
        <f>SUM(J211:L211)</f>
        <v>1476</v>
      </c>
      <c r="N211" s="1">
        <v>453</v>
      </c>
      <c r="O211" s="1">
        <v>341</v>
      </c>
      <c r="P211" s="1">
        <v>265</v>
      </c>
      <c r="Q211" s="59">
        <f>SUM(N211:P211)</f>
        <v>1059</v>
      </c>
      <c r="R211" s="59">
        <f t="shared" ref="R211:R262" si="40">+E211+I211+M211+Q211</f>
        <v>4841</v>
      </c>
      <c r="T211" s="4" t="s">
        <v>206</v>
      </c>
    </row>
    <row r="212" spans="1:20" ht="15.75" customHeight="1" x14ac:dyDescent="0.3">
      <c r="A212" s="102" t="s">
        <v>207</v>
      </c>
      <c r="B212" s="1"/>
      <c r="C212" s="1"/>
      <c r="D212" s="1">
        <v>357</v>
      </c>
      <c r="E212" s="59">
        <f>SUM(B212:D212)</f>
        <v>357</v>
      </c>
      <c r="F212" s="1"/>
      <c r="G212" s="1"/>
      <c r="H212" s="1"/>
      <c r="I212" s="59">
        <f>SUM(F212:H212)</f>
        <v>0</v>
      </c>
      <c r="J212" s="1">
        <v>500</v>
      </c>
      <c r="K212" s="1">
        <v>500</v>
      </c>
      <c r="L212" s="1"/>
      <c r="M212" s="59">
        <f>SUM(J212:L212)</f>
        <v>1000</v>
      </c>
      <c r="N212" s="1"/>
      <c r="O212" s="1"/>
      <c r="P212" s="1"/>
      <c r="Q212" s="59">
        <f>SUM(N212:P212)</f>
        <v>0</v>
      </c>
      <c r="R212" s="59">
        <f t="shared" si="40"/>
        <v>1357</v>
      </c>
      <c r="T212" s="4" t="s">
        <v>121</v>
      </c>
    </row>
    <row r="213" spans="1:20" ht="15.75" customHeight="1" x14ac:dyDescent="0.3">
      <c r="A213" s="102" t="s">
        <v>879</v>
      </c>
      <c r="B213" s="1">
        <v>14</v>
      </c>
      <c r="C213" s="1">
        <v>15</v>
      </c>
      <c r="D213" s="1">
        <v>18</v>
      </c>
      <c r="E213" s="59">
        <f>SUM(B213:D213)</f>
        <v>47</v>
      </c>
      <c r="F213" s="1">
        <v>26</v>
      </c>
      <c r="G213" s="1">
        <v>38</v>
      </c>
      <c r="H213" s="1">
        <v>45</v>
      </c>
      <c r="I213" s="59">
        <f>SUM(F213:H213)</f>
        <v>109</v>
      </c>
      <c r="J213" s="1">
        <v>48</v>
      </c>
      <c r="K213" s="1">
        <v>54</v>
      </c>
      <c r="L213" s="1">
        <v>36</v>
      </c>
      <c r="M213" s="59">
        <f>SUM(J213:L213)</f>
        <v>138</v>
      </c>
      <c r="N213" s="1">
        <v>42</v>
      </c>
      <c r="O213" s="1">
        <v>18</v>
      </c>
      <c r="P213" s="1">
        <v>9</v>
      </c>
      <c r="Q213" s="59">
        <f>SUM(N213:P213)</f>
        <v>69</v>
      </c>
      <c r="R213" s="59">
        <f t="shared" si="40"/>
        <v>363</v>
      </c>
      <c r="T213" s="4" t="s">
        <v>127</v>
      </c>
    </row>
    <row r="214" spans="1:20" ht="15.75" customHeight="1" x14ac:dyDescent="0.3">
      <c r="A214" s="102" t="s">
        <v>210</v>
      </c>
      <c r="B214" s="1">
        <v>100</v>
      </c>
      <c r="C214" s="1"/>
      <c r="D214" s="1"/>
      <c r="E214" s="59">
        <f>SUM(B214:D214)</f>
        <v>100</v>
      </c>
      <c r="F214" s="1"/>
      <c r="G214" s="1"/>
      <c r="H214" s="1"/>
      <c r="I214" s="59">
        <f>SUM(F214:H214)</f>
        <v>0</v>
      </c>
      <c r="J214" s="1"/>
      <c r="K214" s="1"/>
      <c r="L214" s="1"/>
      <c r="M214" s="59">
        <f>SUM(J214:L214)</f>
        <v>0</v>
      </c>
      <c r="N214" s="1"/>
      <c r="O214" s="1"/>
      <c r="P214" s="1"/>
      <c r="Q214" s="59">
        <f>SUM(N214:P214)</f>
        <v>0</v>
      </c>
      <c r="R214" s="59">
        <f>+E214+I214+M214+Q214</f>
        <v>100</v>
      </c>
      <c r="T214" s="4" t="s">
        <v>134</v>
      </c>
    </row>
    <row r="215" spans="1:20" ht="15.75" customHeight="1" x14ac:dyDescent="0.3">
      <c r="A215" s="76" t="s">
        <v>212</v>
      </c>
      <c r="B215" s="1"/>
      <c r="C215" s="1"/>
      <c r="D215" s="1"/>
      <c r="E215" s="59">
        <f>SUM(B215:D215)</f>
        <v>0</v>
      </c>
      <c r="F215" s="1"/>
      <c r="G215" s="1"/>
      <c r="H215" s="1">
        <v>3339</v>
      </c>
      <c r="I215" s="59">
        <f>SUM(F215:H215)</f>
        <v>3339</v>
      </c>
      <c r="J215" s="1"/>
      <c r="K215" s="1"/>
      <c r="L215" s="1"/>
      <c r="M215" s="59">
        <f>SUM(J215:L215)</f>
        <v>0</v>
      </c>
      <c r="N215" s="1"/>
      <c r="O215" s="1"/>
      <c r="P215" s="1"/>
      <c r="Q215" s="59">
        <f>SUM(N215:P215)</f>
        <v>0</v>
      </c>
      <c r="R215" s="59">
        <f>+E215+I215+M215+Q215</f>
        <v>3339</v>
      </c>
      <c r="T215" s="4" t="s">
        <v>137</v>
      </c>
    </row>
    <row r="216" spans="1:20" ht="15.75" customHeight="1" x14ac:dyDescent="0.3">
      <c r="A216" s="76" t="s">
        <v>215</v>
      </c>
      <c r="B216" s="1">
        <v>500</v>
      </c>
      <c r="C216" s="1"/>
      <c r="D216" s="1"/>
      <c r="E216" s="59">
        <f t="shared" ref="E216:E262" si="41">SUM(B216:D216)</f>
        <v>500</v>
      </c>
      <c r="F216" s="1"/>
      <c r="G216" s="1"/>
      <c r="H216" s="1"/>
      <c r="I216" s="59">
        <f t="shared" ref="I216:I262" si="42">SUM(F216:H216)</f>
        <v>0</v>
      </c>
      <c r="J216" s="1"/>
      <c r="K216" s="1"/>
      <c r="L216" s="1"/>
      <c r="M216" s="59">
        <f t="shared" ref="M216:M262" si="43">SUM(J216:L216)</f>
        <v>0</v>
      </c>
      <c r="N216" s="1"/>
      <c r="O216" s="1"/>
      <c r="P216" s="1"/>
      <c r="Q216" s="59">
        <f t="shared" ref="Q216:Q262" si="44">SUM(N216:P216)</f>
        <v>0</v>
      </c>
      <c r="R216" s="59">
        <f t="shared" si="40"/>
        <v>500</v>
      </c>
      <c r="S216" s="4" t="s">
        <v>136</v>
      </c>
    </row>
    <row r="217" spans="1:20" ht="15.75" customHeight="1" x14ac:dyDescent="0.3">
      <c r="A217" s="76" t="s">
        <v>218</v>
      </c>
      <c r="B217" s="1">
        <v>682</v>
      </c>
      <c r="C217" s="1"/>
      <c r="D217" s="1"/>
      <c r="E217" s="59">
        <f>SUM(B217:D217)</f>
        <v>682</v>
      </c>
      <c r="F217" s="1"/>
      <c r="G217" s="1"/>
      <c r="H217" s="1"/>
      <c r="I217" s="59">
        <f>SUM(F217:H217)</f>
        <v>0</v>
      </c>
      <c r="J217" s="1"/>
      <c r="K217" s="1"/>
      <c r="L217" s="1"/>
      <c r="M217" s="59">
        <f>SUM(J217:L217)</f>
        <v>0</v>
      </c>
      <c r="N217" s="1"/>
      <c r="O217" s="1"/>
      <c r="P217" s="1"/>
      <c r="Q217" s="59">
        <f>SUM(N217:P217)</f>
        <v>0</v>
      </c>
      <c r="R217" s="59">
        <f t="shared" si="40"/>
        <v>682</v>
      </c>
      <c r="T217" s="4" t="s">
        <v>158</v>
      </c>
    </row>
    <row r="218" spans="1:20" ht="15.75" customHeight="1" x14ac:dyDescent="0.3">
      <c r="A218" s="76" t="s">
        <v>393</v>
      </c>
      <c r="B218" s="1"/>
      <c r="C218" s="1"/>
      <c r="D218" s="1"/>
      <c r="E218" s="59">
        <f t="shared" si="41"/>
        <v>0</v>
      </c>
      <c r="F218" s="1"/>
      <c r="G218" s="1"/>
      <c r="H218" s="1"/>
      <c r="I218" s="59">
        <f t="shared" si="42"/>
        <v>0</v>
      </c>
      <c r="J218" s="1"/>
      <c r="K218" s="1"/>
      <c r="L218" s="1"/>
      <c r="M218" s="59">
        <f t="shared" si="43"/>
        <v>0</v>
      </c>
      <c r="N218" s="1"/>
      <c r="O218" s="1"/>
      <c r="P218" s="1"/>
      <c r="Q218" s="59">
        <f t="shared" si="44"/>
        <v>0</v>
      </c>
      <c r="R218" s="59">
        <f t="shared" si="40"/>
        <v>0</v>
      </c>
    </row>
    <row r="219" spans="1:20" ht="15.75" customHeight="1" x14ac:dyDescent="0.3">
      <c r="A219" s="76" t="s">
        <v>939</v>
      </c>
      <c r="B219" s="1">
        <v>1136</v>
      </c>
      <c r="C219" s="1"/>
      <c r="D219" s="1"/>
      <c r="E219" s="59">
        <f t="shared" si="41"/>
        <v>1136</v>
      </c>
      <c r="F219" s="1"/>
      <c r="G219" s="1"/>
      <c r="H219" s="1"/>
      <c r="I219" s="59">
        <f t="shared" si="42"/>
        <v>0</v>
      </c>
      <c r="J219" s="1"/>
      <c r="K219" s="1"/>
      <c r="L219" s="1"/>
      <c r="M219" s="59">
        <f t="shared" si="43"/>
        <v>0</v>
      </c>
      <c r="N219" s="1"/>
      <c r="O219" s="1"/>
      <c r="P219" s="1"/>
      <c r="Q219" s="59">
        <f t="shared" si="44"/>
        <v>0</v>
      </c>
      <c r="R219" s="59">
        <f t="shared" si="40"/>
        <v>1136</v>
      </c>
    </row>
    <row r="220" spans="1:20" ht="15.75" customHeight="1" x14ac:dyDescent="0.3">
      <c r="A220" s="76" t="s">
        <v>221</v>
      </c>
      <c r="B220" s="1">
        <v>23</v>
      </c>
      <c r="C220" s="1"/>
      <c r="D220" s="1"/>
      <c r="E220" s="59">
        <f t="shared" si="41"/>
        <v>23</v>
      </c>
      <c r="F220" s="1"/>
      <c r="G220" s="1"/>
      <c r="H220" s="1"/>
      <c r="I220" s="59">
        <f t="shared" si="42"/>
        <v>0</v>
      </c>
      <c r="J220" s="1"/>
      <c r="K220" s="1"/>
      <c r="L220" s="1"/>
      <c r="M220" s="59">
        <f t="shared" si="43"/>
        <v>0</v>
      </c>
      <c r="N220" s="1"/>
      <c r="O220" s="1"/>
      <c r="P220" s="1"/>
      <c r="Q220" s="59">
        <f t="shared" si="44"/>
        <v>0</v>
      </c>
      <c r="R220" s="59">
        <f t="shared" si="40"/>
        <v>23</v>
      </c>
    </row>
    <row r="221" spans="1:20" ht="15.75" customHeight="1" x14ac:dyDescent="0.3">
      <c r="A221" s="76" t="s">
        <v>222</v>
      </c>
      <c r="B221" s="1">
        <v>23</v>
      </c>
      <c r="C221" s="1"/>
      <c r="D221" s="1"/>
      <c r="E221" s="59">
        <f t="shared" si="41"/>
        <v>23</v>
      </c>
      <c r="F221" s="1"/>
      <c r="G221" s="1"/>
      <c r="H221" s="1"/>
      <c r="I221" s="59">
        <f t="shared" si="42"/>
        <v>0</v>
      </c>
      <c r="J221" s="1"/>
      <c r="K221" s="1"/>
      <c r="L221" s="1"/>
      <c r="M221" s="59">
        <f t="shared" si="43"/>
        <v>0</v>
      </c>
      <c r="N221" s="1"/>
      <c r="O221" s="1"/>
      <c r="P221" s="1"/>
      <c r="Q221" s="59">
        <f t="shared" si="44"/>
        <v>0</v>
      </c>
      <c r="R221" s="59">
        <f t="shared" si="40"/>
        <v>23</v>
      </c>
      <c r="S221" s="4" t="s">
        <v>136</v>
      </c>
      <c r="T221" s="4" t="s">
        <v>137</v>
      </c>
    </row>
    <row r="222" spans="1:20" ht="15.75" customHeight="1" x14ac:dyDescent="0.3">
      <c r="A222" s="76" t="s">
        <v>940</v>
      </c>
      <c r="B222" s="1"/>
      <c r="C222" s="1"/>
      <c r="D222" s="1"/>
      <c r="E222" s="59">
        <f t="shared" si="41"/>
        <v>0</v>
      </c>
      <c r="F222" s="1"/>
      <c r="G222" s="1"/>
      <c r="H222" s="1"/>
      <c r="I222" s="59">
        <f t="shared" si="42"/>
        <v>0</v>
      </c>
      <c r="J222" s="1"/>
      <c r="K222" s="1"/>
      <c r="L222" s="1"/>
      <c r="M222" s="59">
        <f t="shared" si="43"/>
        <v>0</v>
      </c>
      <c r="N222" s="1"/>
      <c r="O222" s="1"/>
      <c r="P222" s="1"/>
      <c r="Q222" s="59">
        <f t="shared" si="44"/>
        <v>0</v>
      </c>
      <c r="R222" s="59">
        <f t="shared" si="40"/>
        <v>0</v>
      </c>
      <c r="S222" s="4" t="s">
        <v>136</v>
      </c>
      <c r="T222" s="4" t="s">
        <v>137</v>
      </c>
    </row>
    <row r="223" spans="1:20" ht="15.75" customHeight="1" x14ac:dyDescent="0.3">
      <c r="A223" s="76" t="s">
        <v>941</v>
      </c>
      <c r="B223" s="1"/>
      <c r="C223" s="1"/>
      <c r="D223" s="1"/>
      <c r="E223" s="59">
        <f t="shared" si="41"/>
        <v>0</v>
      </c>
      <c r="F223" s="1"/>
      <c r="G223" s="1"/>
      <c r="H223" s="1">
        <v>4300</v>
      </c>
      <c r="I223" s="59">
        <f t="shared" si="42"/>
        <v>4300</v>
      </c>
      <c r="J223" s="1"/>
      <c r="K223" s="1"/>
      <c r="L223" s="1"/>
      <c r="M223" s="59">
        <f t="shared" si="43"/>
        <v>0</v>
      </c>
      <c r="N223" s="1"/>
      <c r="O223" s="1"/>
      <c r="P223" s="1"/>
      <c r="Q223" s="59">
        <f t="shared" si="44"/>
        <v>0</v>
      </c>
      <c r="R223" s="59">
        <f t="shared" si="40"/>
        <v>4300</v>
      </c>
    </row>
    <row r="224" spans="1:20" ht="15.75" customHeight="1" x14ac:dyDescent="0.3">
      <c r="A224" s="102" t="s">
        <v>226</v>
      </c>
      <c r="B224" s="1"/>
      <c r="C224" s="1"/>
      <c r="D224" s="1"/>
      <c r="E224" s="59">
        <f t="shared" si="41"/>
        <v>0</v>
      </c>
      <c r="F224" s="1"/>
      <c r="G224" s="1"/>
      <c r="H224" s="1"/>
      <c r="I224" s="59">
        <f t="shared" si="42"/>
        <v>0</v>
      </c>
      <c r="J224" s="1"/>
      <c r="K224" s="1"/>
      <c r="L224" s="1"/>
      <c r="M224" s="59">
        <f t="shared" si="43"/>
        <v>0</v>
      </c>
      <c r="N224" s="1"/>
      <c r="O224" s="1"/>
      <c r="P224" s="1"/>
      <c r="Q224" s="59">
        <f t="shared" si="44"/>
        <v>0</v>
      </c>
      <c r="R224" s="59">
        <f t="shared" si="40"/>
        <v>0</v>
      </c>
      <c r="T224" s="4" t="s">
        <v>121</v>
      </c>
    </row>
    <row r="225" spans="1:21" ht="15.75" customHeight="1" x14ac:dyDescent="0.3">
      <c r="A225" s="76" t="s">
        <v>227</v>
      </c>
      <c r="B225" s="1"/>
      <c r="C225" s="1"/>
      <c r="D225" s="1"/>
      <c r="E225" s="59">
        <f t="shared" si="41"/>
        <v>0</v>
      </c>
      <c r="F225" s="1"/>
      <c r="G225" s="1"/>
      <c r="H225" s="1">
        <v>1634</v>
      </c>
      <c r="I225" s="59">
        <f t="shared" si="42"/>
        <v>1634</v>
      </c>
      <c r="J225" s="1">
        <v>816</v>
      </c>
      <c r="K225" s="1">
        <v>1634</v>
      </c>
      <c r="L225" s="1">
        <v>1416</v>
      </c>
      <c r="M225" s="59">
        <f t="shared" si="43"/>
        <v>3866</v>
      </c>
      <c r="N225" s="1"/>
      <c r="O225" s="1"/>
      <c r="P225" s="1"/>
      <c r="Q225" s="59">
        <f>SUM(N225:P225)</f>
        <v>0</v>
      </c>
      <c r="R225" s="59">
        <f>+E225+I225+M225+Q225</f>
        <v>5500</v>
      </c>
      <c r="T225" s="4" t="s">
        <v>137</v>
      </c>
    </row>
    <row r="226" spans="1:21" ht="15.75" customHeight="1" x14ac:dyDescent="0.3">
      <c r="A226" s="102" t="s">
        <v>228</v>
      </c>
      <c r="B226" s="1"/>
      <c r="C226" s="1"/>
      <c r="D226" s="1">
        <v>1000</v>
      </c>
      <c r="E226" s="59">
        <f t="shared" si="41"/>
        <v>1000</v>
      </c>
      <c r="F226" s="1">
        <v>1000</v>
      </c>
      <c r="G226" s="1">
        <v>1000</v>
      </c>
      <c r="H226" s="1">
        <v>1000</v>
      </c>
      <c r="I226" s="59">
        <f t="shared" si="42"/>
        <v>3000</v>
      </c>
      <c r="J226" s="1"/>
      <c r="K226" s="1"/>
      <c r="L226" s="1"/>
      <c r="M226" s="59">
        <f t="shared" si="43"/>
        <v>0</v>
      </c>
      <c r="N226" s="1"/>
      <c r="O226" s="1"/>
      <c r="P226" s="1"/>
      <c r="Q226" s="59">
        <f t="shared" si="44"/>
        <v>0</v>
      </c>
      <c r="R226" s="59">
        <f t="shared" si="40"/>
        <v>4000</v>
      </c>
    </row>
    <row r="227" spans="1:21" ht="15.75" customHeight="1" x14ac:dyDescent="0.3">
      <c r="A227" s="102" t="s">
        <v>229</v>
      </c>
      <c r="B227" s="1">
        <v>1000</v>
      </c>
      <c r="C227" s="1">
        <v>1000</v>
      </c>
      <c r="D227" s="1">
        <v>1000</v>
      </c>
      <c r="E227" s="59">
        <f t="shared" si="41"/>
        <v>3000</v>
      </c>
      <c r="F227" s="1"/>
      <c r="G227" s="1"/>
      <c r="H227" s="1"/>
      <c r="I227" s="59">
        <f t="shared" si="42"/>
        <v>0</v>
      </c>
      <c r="J227" s="1"/>
      <c r="K227" s="1"/>
      <c r="L227" s="1"/>
      <c r="M227" s="59">
        <f t="shared" si="43"/>
        <v>0</v>
      </c>
      <c r="N227" s="1"/>
      <c r="O227" s="1"/>
      <c r="P227" s="1"/>
      <c r="Q227" s="59">
        <f t="shared" si="44"/>
        <v>0</v>
      </c>
      <c r="R227" s="59">
        <f t="shared" si="40"/>
        <v>3000</v>
      </c>
    </row>
    <row r="228" spans="1:21" ht="15.75" customHeight="1" x14ac:dyDescent="0.3">
      <c r="A228" s="102" t="s">
        <v>231</v>
      </c>
      <c r="B228" s="1">
        <v>229</v>
      </c>
      <c r="C228" s="1">
        <v>500</v>
      </c>
      <c r="D228" s="1">
        <v>400</v>
      </c>
      <c r="E228" s="59">
        <f t="shared" si="41"/>
        <v>1129</v>
      </c>
      <c r="F228" s="1"/>
      <c r="G228" s="1"/>
      <c r="H228" s="1"/>
      <c r="I228" s="59">
        <f t="shared" si="42"/>
        <v>0</v>
      </c>
      <c r="J228" s="1"/>
      <c r="K228" s="1"/>
      <c r="L228" s="1"/>
      <c r="M228" s="59">
        <f t="shared" si="43"/>
        <v>0</v>
      </c>
      <c r="N228" s="1"/>
      <c r="O228" s="1"/>
      <c r="P228" s="1"/>
      <c r="Q228" s="59">
        <f t="shared" si="44"/>
        <v>0</v>
      </c>
      <c r="R228" s="59">
        <f t="shared" si="40"/>
        <v>1129</v>
      </c>
    </row>
    <row r="229" spans="1:21" ht="15.75" customHeight="1" x14ac:dyDescent="0.3">
      <c r="A229" s="102" t="s">
        <v>232</v>
      </c>
      <c r="B229" s="1">
        <v>130</v>
      </c>
      <c r="C229" s="1">
        <v>150</v>
      </c>
      <c r="D229" s="1"/>
      <c r="E229" s="59">
        <f t="shared" si="41"/>
        <v>280</v>
      </c>
      <c r="F229" s="1"/>
      <c r="G229" s="1"/>
      <c r="H229" s="1"/>
      <c r="I229" s="59">
        <f t="shared" si="42"/>
        <v>0</v>
      </c>
      <c r="J229" s="1"/>
      <c r="K229" s="1"/>
      <c r="L229" s="1"/>
      <c r="M229" s="59">
        <f t="shared" si="43"/>
        <v>0</v>
      </c>
      <c r="N229" s="1"/>
      <c r="O229" s="1"/>
      <c r="P229" s="1"/>
      <c r="Q229" s="59">
        <f t="shared" si="44"/>
        <v>0</v>
      </c>
      <c r="R229" s="59">
        <f t="shared" si="40"/>
        <v>280</v>
      </c>
    </row>
    <row r="230" spans="1:21" ht="15.75" customHeight="1" x14ac:dyDescent="0.3">
      <c r="A230" s="76" t="s">
        <v>233</v>
      </c>
      <c r="B230" s="1">
        <v>781</v>
      </c>
      <c r="C230" s="1">
        <v>735</v>
      </c>
      <c r="D230" s="1">
        <v>797</v>
      </c>
      <c r="E230" s="59">
        <f t="shared" si="41"/>
        <v>2313</v>
      </c>
      <c r="F230" s="1">
        <v>879</v>
      </c>
      <c r="G230" s="1">
        <v>1041</v>
      </c>
      <c r="H230" s="1">
        <v>846</v>
      </c>
      <c r="I230" s="59">
        <f t="shared" si="42"/>
        <v>2766</v>
      </c>
      <c r="J230" s="1"/>
      <c r="K230" s="1"/>
      <c r="L230" s="1"/>
      <c r="M230" s="59">
        <f t="shared" si="43"/>
        <v>0</v>
      </c>
      <c r="N230" s="1"/>
      <c r="O230" s="1"/>
      <c r="P230" s="1"/>
      <c r="Q230" s="59">
        <f t="shared" si="44"/>
        <v>0</v>
      </c>
      <c r="R230" s="59">
        <f t="shared" si="40"/>
        <v>5079</v>
      </c>
    </row>
    <row r="231" spans="1:21" ht="15.75" customHeight="1" x14ac:dyDescent="0.3">
      <c r="A231" s="91" t="s">
        <v>234</v>
      </c>
      <c r="B231" s="1">
        <v>26</v>
      </c>
      <c r="C231" s="1">
        <v>33</v>
      </c>
      <c r="D231" s="1">
        <v>48</v>
      </c>
      <c r="E231" s="59">
        <f>SUM(B231:D231)</f>
        <v>107</v>
      </c>
      <c r="F231" s="1">
        <v>19</v>
      </c>
      <c r="G231" s="1">
        <v>88</v>
      </c>
      <c r="H231" s="1"/>
      <c r="I231" s="59">
        <f t="shared" si="42"/>
        <v>107</v>
      </c>
      <c r="J231" s="1"/>
      <c r="K231" s="1"/>
      <c r="L231" s="1"/>
      <c r="M231" s="59">
        <f t="shared" si="43"/>
        <v>0</v>
      </c>
      <c r="N231" s="1"/>
      <c r="O231" s="1"/>
      <c r="P231" s="1"/>
      <c r="Q231" s="59">
        <f t="shared" si="44"/>
        <v>0</v>
      </c>
      <c r="R231" s="59">
        <f t="shared" si="40"/>
        <v>214</v>
      </c>
    </row>
    <row r="232" spans="1:21" ht="15.75" customHeight="1" x14ac:dyDescent="0.3">
      <c r="A232" s="91" t="s">
        <v>235</v>
      </c>
      <c r="B232" s="1">
        <v>18</v>
      </c>
      <c r="C232" s="1">
        <v>21</v>
      </c>
      <c r="D232" s="1">
        <v>38</v>
      </c>
      <c r="E232" s="59">
        <f>SUM(B232:D232)</f>
        <v>77</v>
      </c>
      <c r="F232" s="1">
        <v>78</v>
      </c>
      <c r="G232" s="1">
        <v>103</v>
      </c>
      <c r="H232" s="1"/>
      <c r="I232" s="59">
        <f t="shared" si="42"/>
        <v>181</v>
      </c>
      <c r="J232" s="1"/>
      <c r="K232" s="1"/>
      <c r="L232" s="1"/>
      <c r="M232" s="59">
        <f t="shared" si="43"/>
        <v>0</v>
      </c>
      <c r="N232" s="1"/>
      <c r="O232" s="1"/>
      <c r="P232" s="1"/>
      <c r="Q232" s="59">
        <f t="shared" si="44"/>
        <v>0</v>
      </c>
      <c r="R232" s="59">
        <f t="shared" si="40"/>
        <v>258</v>
      </c>
    </row>
    <row r="233" spans="1:21" ht="15.75" customHeight="1" x14ac:dyDescent="0.3">
      <c r="A233" s="91" t="s">
        <v>236</v>
      </c>
      <c r="B233" s="1"/>
      <c r="C233" s="1"/>
      <c r="D233" s="1"/>
      <c r="E233" s="59">
        <f>SUM(B233:D233)</f>
        <v>0</v>
      </c>
      <c r="F233" s="1">
        <v>10</v>
      </c>
      <c r="G233" s="1">
        <v>30</v>
      </c>
      <c r="H233" s="1"/>
      <c r="I233" s="59">
        <f t="shared" si="42"/>
        <v>40</v>
      </c>
      <c r="J233" s="1"/>
      <c r="K233" s="1"/>
      <c r="L233" s="1"/>
      <c r="M233" s="59">
        <f t="shared" si="43"/>
        <v>0</v>
      </c>
      <c r="N233" s="1"/>
      <c r="O233" s="1"/>
      <c r="P233" s="1"/>
      <c r="Q233" s="59">
        <f t="shared" si="44"/>
        <v>0</v>
      </c>
      <c r="R233" s="59">
        <f t="shared" si="40"/>
        <v>40</v>
      </c>
      <c r="T233" s="4" t="s">
        <v>121</v>
      </c>
    </row>
    <row r="234" spans="1:21" ht="15.75" customHeight="1" x14ac:dyDescent="0.3">
      <c r="A234" s="76" t="s">
        <v>238</v>
      </c>
      <c r="B234" s="1"/>
      <c r="C234" s="1"/>
      <c r="D234" s="1"/>
      <c r="E234" s="59">
        <f t="shared" si="41"/>
        <v>0</v>
      </c>
      <c r="F234" s="1"/>
      <c r="G234" s="1"/>
      <c r="H234" s="1">
        <v>3547</v>
      </c>
      <c r="I234" s="59">
        <f t="shared" si="42"/>
        <v>3547</v>
      </c>
      <c r="J234" s="1">
        <v>11453</v>
      </c>
      <c r="K234" s="1"/>
      <c r="L234" s="1"/>
      <c r="M234" s="59">
        <f t="shared" si="43"/>
        <v>11453</v>
      </c>
      <c r="N234" s="1"/>
      <c r="O234" s="1"/>
      <c r="P234" s="1"/>
      <c r="Q234" s="59">
        <f t="shared" si="44"/>
        <v>0</v>
      </c>
      <c r="R234" s="59">
        <f t="shared" si="40"/>
        <v>15000</v>
      </c>
      <c r="S234" s="4" t="s">
        <v>136</v>
      </c>
    </row>
    <row r="235" spans="1:21" ht="15.75" customHeight="1" x14ac:dyDescent="0.3">
      <c r="A235" s="76" t="s">
        <v>239</v>
      </c>
      <c r="B235" s="1"/>
      <c r="C235" s="1"/>
      <c r="D235" s="1"/>
      <c r="E235" s="59">
        <f t="shared" si="41"/>
        <v>0</v>
      </c>
      <c r="F235" s="1">
        <f>5368+322+104+40</f>
        <v>5834</v>
      </c>
      <c r="G235" s="1">
        <v>3023</v>
      </c>
      <c r="H235" s="1"/>
      <c r="I235" s="59">
        <f t="shared" si="42"/>
        <v>8857</v>
      </c>
      <c r="J235" s="1"/>
      <c r="K235" s="1"/>
      <c r="L235" s="1"/>
      <c r="M235" s="59">
        <f t="shared" si="43"/>
        <v>0</v>
      </c>
      <c r="N235" s="1"/>
      <c r="O235" s="1"/>
      <c r="P235" s="1"/>
      <c r="Q235" s="59">
        <f t="shared" si="44"/>
        <v>0</v>
      </c>
      <c r="R235" s="59">
        <f t="shared" si="40"/>
        <v>8857</v>
      </c>
      <c r="S235" s="4" t="s">
        <v>136</v>
      </c>
    </row>
    <row r="236" spans="1:21" ht="15.75" customHeight="1" x14ac:dyDescent="0.3">
      <c r="A236" s="76" t="s">
        <v>240</v>
      </c>
      <c r="B236" s="1"/>
      <c r="C236" s="1"/>
      <c r="D236" s="1">
        <v>2143</v>
      </c>
      <c r="E236" s="59">
        <f t="shared" si="41"/>
        <v>2143</v>
      </c>
      <c r="F236" s="1"/>
      <c r="G236" s="1"/>
      <c r="H236" s="1"/>
      <c r="I236" s="59">
        <f t="shared" si="42"/>
        <v>0</v>
      </c>
      <c r="J236" s="1"/>
      <c r="K236" s="1"/>
      <c r="L236" s="1"/>
      <c r="M236" s="59">
        <f t="shared" si="43"/>
        <v>0</v>
      </c>
      <c r="N236" s="1"/>
      <c r="O236" s="1"/>
      <c r="P236" s="1"/>
      <c r="Q236" s="59">
        <f t="shared" ref="Q236" si="45">SUM(N236:P236)</f>
        <v>0</v>
      </c>
      <c r="R236" s="59">
        <f t="shared" si="40"/>
        <v>2143</v>
      </c>
    </row>
    <row r="237" spans="1:21" ht="15.75" customHeight="1" x14ac:dyDescent="0.3">
      <c r="A237" s="76" t="s">
        <v>241</v>
      </c>
      <c r="B237" s="1"/>
      <c r="C237" s="1"/>
      <c r="D237" s="1"/>
      <c r="E237" s="59">
        <f t="shared" si="41"/>
        <v>0</v>
      </c>
      <c r="F237" s="1">
        <v>500</v>
      </c>
      <c r="G237" s="1">
        <v>1000</v>
      </c>
      <c r="H237" s="1">
        <v>210</v>
      </c>
      <c r="I237" s="59">
        <f t="shared" si="42"/>
        <v>1710</v>
      </c>
      <c r="J237" s="1"/>
      <c r="K237" s="1"/>
      <c r="L237" s="1"/>
      <c r="M237" s="59">
        <f t="shared" si="43"/>
        <v>0</v>
      </c>
      <c r="N237" s="1"/>
      <c r="O237" s="1"/>
      <c r="P237" s="1"/>
      <c r="Q237" s="59">
        <f t="shared" si="44"/>
        <v>0</v>
      </c>
      <c r="R237" s="59">
        <f t="shared" si="40"/>
        <v>1710</v>
      </c>
      <c r="S237" s="4" t="s">
        <v>136</v>
      </c>
      <c r="T237" s="4" t="s">
        <v>137</v>
      </c>
    </row>
    <row r="238" spans="1:21" ht="15.75" customHeight="1" x14ac:dyDescent="0.3">
      <c r="A238" s="76" t="s">
        <v>242</v>
      </c>
      <c r="B238" s="1"/>
      <c r="C238" s="1"/>
      <c r="D238" s="1"/>
      <c r="E238" s="59">
        <f t="shared" si="41"/>
        <v>0</v>
      </c>
      <c r="F238" s="1"/>
      <c r="G238" s="1"/>
      <c r="H238" s="1"/>
      <c r="I238" s="59">
        <f t="shared" si="42"/>
        <v>0</v>
      </c>
      <c r="J238" s="1">
        <v>719</v>
      </c>
      <c r="K238" s="1"/>
      <c r="L238" s="1"/>
      <c r="M238" s="59">
        <f t="shared" si="43"/>
        <v>719</v>
      </c>
      <c r="N238" s="1"/>
      <c r="O238" s="1"/>
      <c r="P238" s="1"/>
      <c r="Q238" s="59">
        <f t="shared" si="44"/>
        <v>0</v>
      </c>
      <c r="R238" s="59">
        <f t="shared" si="40"/>
        <v>719</v>
      </c>
      <c r="S238" s="106" t="s">
        <v>136</v>
      </c>
      <c r="T238" s="106" t="s">
        <v>137</v>
      </c>
      <c r="U238" s="106"/>
    </row>
    <row r="239" spans="1:21" ht="15.75" customHeight="1" x14ac:dyDescent="0.3">
      <c r="A239" s="76" t="s">
        <v>243</v>
      </c>
      <c r="B239" s="1"/>
      <c r="C239" s="1"/>
      <c r="D239" s="1">
        <v>568</v>
      </c>
      <c r="E239" s="59">
        <f>SUM(B239:D239)</f>
        <v>568</v>
      </c>
      <c r="F239" s="1">
        <v>246</v>
      </c>
      <c r="G239" s="1"/>
      <c r="H239" s="1"/>
      <c r="I239" s="59">
        <f>SUM(F239:H239)</f>
        <v>246</v>
      </c>
      <c r="J239" s="1"/>
      <c r="K239" s="1"/>
      <c r="L239" s="1"/>
      <c r="M239" s="59">
        <f t="shared" si="43"/>
        <v>0</v>
      </c>
      <c r="N239" s="1"/>
      <c r="O239" s="1"/>
      <c r="P239" s="1"/>
      <c r="Q239" s="59">
        <f t="shared" si="44"/>
        <v>0</v>
      </c>
      <c r="R239" s="59">
        <f t="shared" si="40"/>
        <v>814</v>
      </c>
      <c r="T239" s="4" t="s">
        <v>244</v>
      </c>
    </row>
    <row r="240" spans="1:21" ht="15.75" customHeight="1" x14ac:dyDescent="0.3">
      <c r="A240" s="91" t="s">
        <v>245</v>
      </c>
      <c r="B240" s="1"/>
      <c r="C240" s="1"/>
      <c r="D240" s="1">
        <v>500</v>
      </c>
      <c r="E240" s="59">
        <f>SUM(B240:D240)</f>
        <v>500</v>
      </c>
      <c r="F240" s="1">
        <v>500</v>
      </c>
      <c r="G240" s="1"/>
      <c r="H240" s="1"/>
      <c r="I240" s="59">
        <f>SUM(F240:H240)</f>
        <v>500</v>
      </c>
      <c r="J240" s="1"/>
      <c r="K240" s="1"/>
      <c r="L240" s="1"/>
      <c r="M240" s="59">
        <f t="shared" si="43"/>
        <v>0</v>
      </c>
      <c r="N240" s="1"/>
      <c r="O240" s="1"/>
      <c r="P240" s="1"/>
      <c r="Q240" s="59">
        <f>SUM(N240:P240)</f>
        <v>0</v>
      </c>
      <c r="R240" s="59">
        <f>+E240+I240+M240+Q240</f>
        <v>1000</v>
      </c>
      <c r="T240" s="4" t="s">
        <v>134</v>
      </c>
    </row>
    <row r="241" spans="1:20" ht="15.75" customHeight="1" x14ac:dyDescent="0.3">
      <c r="A241" s="76" t="s">
        <v>436</v>
      </c>
      <c r="B241" s="1"/>
      <c r="C241" s="1"/>
      <c r="E241" s="59">
        <f t="shared" si="41"/>
        <v>0</v>
      </c>
      <c r="F241" s="1"/>
      <c r="H241" s="1"/>
      <c r="I241" s="59">
        <f t="shared" si="42"/>
        <v>0</v>
      </c>
      <c r="J241" s="1"/>
      <c r="K241" s="1"/>
      <c r="L241" s="1"/>
      <c r="M241" s="59">
        <f t="shared" si="43"/>
        <v>0</v>
      </c>
      <c r="N241" s="1"/>
      <c r="O241" s="1"/>
      <c r="P241" s="1"/>
      <c r="Q241" s="59">
        <f t="shared" si="44"/>
        <v>0</v>
      </c>
      <c r="R241" s="59">
        <f t="shared" si="40"/>
        <v>0</v>
      </c>
    </row>
    <row r="242" spans="1:20" ht="15.75" customHeight="1" x14ac:dyDescent="0.3">
      <c r="A242" s="76" t="s">
        <v>246</v>
      </c>
      <c r="B242" s="1"/>
      <c r="C242" s="1"/>
      <c r="D242" s="1"/>
      <c r="E242" s="59">
        <f t="shared" si="41"/>
        <v>0</v>
      </c>
      <c r="F242" s="1"/>
      <c r="G242" s="1"/>
      <c r="H242" s="1">
        <v>3023</v>
      </c>
      <c r="I242" s="59">
        <f t="shared" si="42"/>
        <v>3023</v>
      </c>
      <c r="J242" s="1"/>
      <c r="K242" s="1"/>
      <c r="L242" s="1"/>
      <c r="M242" s="59">
        <f t="shared" si="43"/>
        <v>0</v>
      </c>
      <c r="N242" s="1"/>
      <c r="O242" s="1"/>
      <c r="P242" s="1"/>
      <c r="Q242" s="59">
        <f t="shared" si="44"/>
        <v>0</v>
      </c>
      <c r="R242" s="59">
        <f t="shared" si="40"/>
        <v>3023</v>
      </c>
    </row>
    <row r="243" spans="1:20" ht="15.75" customHeight="1" x14ac:dyDescent="0.3">
      <c r="A243" s="76" t="s">
        <v>248</v>
      </c>
      <c r="B243" s="1">
        <v>60</v>
      </c>
      <c r="C243" s="1"/>
      <c r="D243" s="1"/>
      <c r="E243" s="59">
        <f t="shared" si="41"/>
        <v>60</v>
      </c>
      <c r="F243" s="1"/>
      <c r="G243" s="1"/>
      <c r="H243" s="1"/>
      <c r="I243" s="59">
        <f t="shared" si="42"/>
        <v>0</v>
      </c>
      <c r="J243" s="1"/>
      <c r="K243" s="1"/>
      <c r="L243" s="1"/>
      <c r="M243" s="59">
        <f t="shared" si="43"/>
        <v>0</v>
      </c>
      <c r="N243" s="1"/>
      <c r="O243" s="1"/>
      <c r="P243" s="1"/>
      <c r="Q243" s="59">
        <f t="shared" si="44"/>
        <v>0</v>
      </c>
      <c r="R243" s="59">
        <f t="shared" si="40"/>
        <v>60</v>
      </c>
    </row>
    <row r="244" spans="1:20" ht="15.75" customHeight="1" x14ac:dyDescent="0.3">
      <c r="A244" s="76" t="s">
        <v>249</v>
      </c>
      <c r="B244" s="1">
        <v>60</v>
      </c>
      <c r="C244" s="1"/>
      <c r="D244" s="1"/>
      <c r="E244" s="59">
        <f t="shared" si="41"/>
        <v>60</v>
      </c>
      <c r="F244" s="1"/>
      <c r="G244" s="1"/>
      <c r="H244" s="1"/>
      <c r="I244" s="59">
        <f t="shared" si="42"/>
        <v>0</v>
      </c>
      <c r="J244" s="1"/>
      <c r="K244" s="1"/>
      <c r="L244" s="1"/>
      <c r="M244" s="59">
        <f t="shared" si="43"/>
        <v>0</v>
      </c>
      <c r="N244" s="1"/>
      <c r="O244" s="1"/>
      <c r="P244" s="1"/>
      <c r="Q244" s="59">
        <f t="shared" si="44"/>
        <v>0</v>
      </c>
      <c r="R244" s="59">
        <f t="shared" si="40"/>
        <v>60</v>
      </c>
      <c r="S244" s="4" t="s">
        <v>136</v>
      </c>
      <c r="T244" s="4" t="s">
        <v>137</v>
      </c>
    </row>
    <row r="245" spans="1:20" ht="15.75" customHeight="1" x14ac:dyDescent="0.3">
      <c r="A245" s="76" t="s">
        <v>942</v>
      </c>
      <c r="B245" s="1"/>
      <c r="C245" s="1"/>
      <c r="D245" s="1"/>
      <c r="E245" s="59">
        <f t="shared" si="41"/>
        <v>0</v>
      </c>
      <c r="F245" s="1"/>
      <c r="G245" s="1"/>
      <c r="H245" s="1"/>
      <c r="I245" s="59">
        <f t="shared" si="42"/>
        <v>0</v>
      </c>
      <c r="J245" s="1"/>
      <c r="K245" s="1"/>
      <c r="L245" s="1"/>
      <c r="M245" s="59">
        <f t="shared" si="43"/>
        <v>0</v>
      </c>
      <c r="N245" s="1"/>
      <c r="O245" s="1"/>
      <c r="P245" s="1"/>
      <c r="Q245" s="59">
        <f t="shared" si="44"/>
        <v>0</v>
      </c>
      <c r="R245" s="59">
        <f t="shared" si="40"/>
        <v>0</v>
      </c>
      <c r="T245" s="4" t="s">
        <v>137</v>
      </c>
    </row>
    <row r="246" spans="1:20" ht="15.75" customHeight="1" x14ac:dyDescent="0.3">
      <c r="A246" s="76" t="s">
        <v>263</v>
      </c>
      <c r="B246" s="1">
        <v>1000</v>
      </c>
      <c r="C246" s="1">
        <v>1000</v>
      </c>
      <c r="D246" s="1">
        <v>1100</v>
      </c>
      <c r="E246" s="59">
        <f t="shared" si="41"/>
        <v>3100</v>
      </c>
      <c r="F246" s="1">
        <v>1100</v>
      </c>
      <c r="G246" s="1">
        <v>1000</v>
      </c>
      <c r="H246" s="1">
        <f>1366+600</f>
        <v>1966</v>
      </c>
      <c r="I246" s="59">
        <f t="shared" si="42"/>
        <v>4066</v>
      </c>
      <c r="J246" s="1">
        <f>684+200</f>
        <v>884</v>
      </c>
      <c r="K246" s="1">
        <f>1366+950</f>
        <v>2316</v>
      </c>
      <c r="L246" s="1">
        <f>1184+750</f>
        <v>1934</v>
      </c>
      <c r="M246" s="59">
        <f t="shared" si="43"/>
        <v>5134</v>
      </c>
      <c r="N246" s="1">
        <v>750</v>
      </c>
      <c r="O246" s="1">
        <v>550</v>
      </c>
      <c r="P246" s="1">
        <v>400</v>
      </c>
      <c r="Q246" s="59">
        <f t="shared" si="44"/>
        <v>1700</v>
      </c>
      <c r="R246" s="59">
        <f t="shared" si="40"/>
        <v>14000</v>
      </c>
      <c r="S246" s="4" t="s">
        <v>136</v>
      </c>
      <c r="T246" s="4" t="s">
        <v>137</v>
      </c>
    </row>
    <row r="247" spans="1:20" ht="15.75" customHeight="1" x14ac:dyDescent="0.3">
      <c r="A247" s="317" t="s">
        <v>252</v>
      </c>
      <c r="B247" s="1"/>
      <c r="C247" s="1"/>
      <c r="D247" s="1"/>
      <c r="E247" s="59">
        <f t="shared" si="41"/>
        <v>0</v>
      </c>
      <c r="F247" s="1"/>
      <c r="G247" s="1">
        <v>4500</v>
      </c>
      <c r="H247" s="1">
        <v>5000</v>
      </c>
      <c r="I247" s="59">
        <f t="shared" si="42"/>
        <v>9500</v>
      </c>
      <c r="J247" s="1">
        <v>4500</v>
      </c>
      <c r="K247" s="1">
        <v>6500</v>
      </c>
      <c r="L247" s="1">
        <v>2189</v>
      </c>
      <c r="M247" s="59">
        <f t="shared" si="43"/>
        <v>13189</v>
      </c>
      <c r="N247" s="1"/>
      <c r="O247" s="1"/>
      <c r="P247" s="1"/>
      <c r="Q247" s="59">
        <f t="shared" si="44"/>
        <v>0</v>
      </c>
      <c r="R247" s="59">
        <f t="shared" si="40"/>
        <v>22689</v>
      </c>
      <c r="S247" s="4" t="s">
        <v>136</v>
      </c>
      <c r="T247" s="4" t="s">
        <v>137</v>
      </c>
    </row>
    <row r="248" spans="1:20" ht="15.75" customHeight="1" x14ac:dyDescent="0.3">
      <c r="A248" s="102" t="s">
        <v>253</v>
      </c>
      <c r="B248" s="1"/>
      <c r="C248" s="1"/>
      <c r="D248" s="1"/>
      <c r="E248" s="59">
        <f t="shared" si="41"/>
        <v>0</v>
      </c>
      <c r="F248" s="1"/>
      <c r="G248" s="1"/>
      <c r="H248" s="1"/>
      <c r="I248" s="59">
        <f t="shared" si="42"/>
        <v>0</v>
      </c>
      <c r="J248" s="1"/>
      <c r="K248" s="1"/>
      <c r="L248" s="1"/>
      <c r="M248" s="59">
        <f t="shared" si="43"/>
        <v>0</v>
      </c>
      <c r="N248" s="1"/>
      <c r="O248" s="1">
        <v>1330</v>
      </c>
      <c r="P248" s="1">
        <v>500</v>
      </c>
      <c r="Q248" s="59">
        <f t="shared" si="44"/>
        <v>1830</v>
      </c>
      <c r="R248" s="59">
        <f t="shared" si="40"/>
        <v>1830</v>
      </c>
      <c r="T248" s="4" t="s">
        <v>132</v>
      </c>
    </row>
    <row r="249" spans="1:20" ht="15.75" customHeight="1" x14ac:dyDescent="0.3">
      <c r="A249" s="102" t="s">
        <v>254</v>
      </c>
      <c r="B249" s="1"/>
      <c r="C249" s="1"/>
      <c r="D249" s="1"/>
      <c r="E249" s="59">
        <f t="shared" si="41"/>
        <v>0</v>
      </c>
      <c r="F249" s="1"/>
      <c r="G249" s="1"/>
      <c r="H249" s="1"/>
      <c r="I249" s="59">
        <f t="shared" ref="I249" si="46">SUM(F249:H249)</f>
        <v>0</v>
      </c>
      <c r="J249" s="1">
        <v>2000</v>
      </c>
      <c r="K249" s="1">
        <v>1500</v>
      </c>
      <c r="L249" s="1">
        <v>500</v>
      </c>
      <c r="M249" s="59">
        <f t="shared" ref="M249" si="47">SUM(J249:L249)</f>
        <v>4000</v>
      </c>
      <c r="N249" s="1"/>
      <c r="O249" s="1"/>
      <c r="P249" s="1"/>
      <c r="Q249" s="59">
        <f t="shared" si="44"/>
        <v>0</v>
      </c>
      <c r="R249" s="59">
        <f t="shared" si="40"/>
        <v>4000</v>
      </c>
      <c r="T249" s="4" t="s">
        <v>134</v>
      </c>
    </row>
    <row r="250" spans="1:20" ht="15.75" customHeight="1" x14ac:dyDescent="0.3">
      <c r="A250" s="76" t="s">
        <v>880</v>
      </c>
      <c r="B250" s="1"/>
      <c r="C250" s="1"/>
      <c r="D250" s="1"/>
      <c r="E250" s="59">
        <f t="shared" si="41"/>
        <v>0</v>
      </c>
      <c r="F250" s="1"/>
      <c r="G250" s="1"/>
      <c r="H250" s="1">
        <v>1190</v>
      </c>
      <c r="I250" s="59">
        <f t="shared" si="42"/>
        <v>1190</v>
      </c>
      <c r="J250" s="1">
        <v>500</v>
      </c>
      <c r="K250" s="1">
        <v>237</v>
      </c>
      <c r="L250" s="1"/>
      <c r="M250" s="59">
        <f>SUM(J250:L250)</f>
        <v>737</v>
      </c>
      <c r="N250" s="1"/>
      <c r="O250" s="1"/>
      <c r="P250" s="1"/>
      <c r="Q250" s="59">
        <f t="shared" si="44"/>
        <v>0</v>
      </c>
      <c r="R250" s="59">
        <f t="shared" si="40"/>
        <v>1927</v>
      </c>
      <c r="S250" s="4" t="s">
        <v>136</v>
      </c>
      <c r="T250" s="4" t="s">
        <v>137</v>
      </c>
    </row>
    <row r="251" spans="1:20" ht="15.75" customHeight="1" x14ac:dyDescent="0.3">
      <c r="A251" s="76" t="s">
        <v>881</v>
      </c>
      <c r="B251" s="1"/>
      <c r="C251" s="1"/>
      <c r="D251" s="1"/>
      <c r="E251" s="59">
        <f t="shared" si="41"/>
        <v>0</v>
      </c>
      <c r="F251" s="1"/>
      <c r="G251" s="1"/>
      <c r="H251" s="1"/>
      <c r="I251" s="59">
        <f t="shared" si="42"/>
        <v>0</v>
      </c>
      <c r="J251" s="1"/>
      <c r="K251" s="1"/>
      <c r="L251" s="1"/>
      <c r="M251" s="59">
        <f t="shared" si="43"/>
        <v>0</v>
      </c>
      <c r="N251" s="1"/>
      <c r="O251" s="1"/>
      <c r="P251" s="1"/>
      <c r="Q251" s="59">
        <f t="shared" si="44"/>
        <v>0</v>
      </c>
      <c r="R251" s="59">
        <f t="shared" si="40"/>
        <v>0</v>
      </c>
      <c r="T251" s="4" t="s">
        <v>137</v>
      </c>
    </row>
    <row r="252" spans="1:20" ht="15.75" customHeight="1" x14ac:dyDescent="0.3">
      <c r="A252" s="76" t="s">
        <v>882</v>
      </c>
      <c r="B252" s="1">
        <v>368</v>
      </c>
      <c r="C252" s="1">
        <v>1350</v>
      </c>
      <c r="D252" s="1">
        <v>1132</v>
      </c>
      <c r="E252" s="59">
        <f t="shared" si="41"/>
        <v>2850</v>
      </c>
      <c r="F252" s="1"/>
      <c r="G252" s="1"/>
      <c r="H252" s="1"/>
      <c r="I252" s="59">
        <f t="shared" si="42"/>
        <v>0</v>
      </c>
      <c r="J252" s="1"/>
      <c r="K252" s="1"/>
      <c r="L252" s="1"/>
      <c r="M252" s="59">
        <f t="shared" si="43"/>
        <v>0</v>
      </c>
      <c r="N252" s="1"/>
      <c r="O252" s="1"/>
      <c r="P252" s="1"/>
      <c r="Q252" s="59">
        <f t="shared" si="44"/>
        <v>0</v>
      </c>
      <c r="R252" s="59">
        <f t="shared" si="40"/>
        <v>2850</v>
      </c>
      <c r="T252" s="4" t="s">
        <v>158</v>
      </c>
    </row>
    <row r="253" spans="1:20" ht="15.75" customHeight="1" x14ac:dyDescent="0.3">
      <c r="A253" s="76" t="s">
        <v>883</v>
      </c>
      <c r="B253" s="1"/>
      <c r="C253" s="1"/>
      <c r="D253" s="1"/>
      <c r="E253" s="59">
        <f t="shared" si="41"/>
        <v>0</v>
      </c>
      <c r="F253" s="1"/>
      <c r="G253" s="1"/>
      <c r="H253" s="1"/>
      <c r="I253" s="59">
        <f t="shared" si="42"/>
        <v>0</v>
      </c>
      <c r="J253" s="1"/>
      <c r="K253" s="1"/>
      <c r="L253" s="1"/>
      <c r="M253" s="59">
        <f t="shared" si="43"/>
        <v>0</v>
      </c>
      <c r="N253" s="1"/>
      <c r="O253" s="1"/>
      <c r="P253" s="1"/>
      <c r="Q253" s="59">
        <f t="shared" si="44"/>
        <v>0</v>
      </c>
      <c r="R253" s="59">
        <f t="shared" si="40"/>
        <v>0</v>
      </c>
    </row>
    <row r="254" spans="1:20" ht="15.75" customHeight="1" x14ac:dyDescent="0.3">
      <c r="A254" s="76" t="s">
        <v>884</v>
      </c>
      <c r="B254" s="1"/>
      <c r="C254" s="1"/>
      <c r="D254" s="1"/>
      <c r="E254" s="59">
        <f t="shared" si="41"/>
        <v>0</v>
      </c>
      <c r="F254" s="1"/>
      <c r="G254" s="1">
        <v>2220</v>
      </c>
      <c r="H254" s="1">
        <v>2530</v>
      </c>
      <c r="I254" s="59">
        <f t="shared" si="42"/>
        <v>4750</v>
      </c>
      <c r="J254" s="1"/>
      <c r="K254" s="1"/>
      <c r="L254" s="1"/>
      <c r="M254" s="59">
        <f t="shared" si="43"/>
        <v>0</v>
      </c>
      <c r="N254" s="1"/>
      <c r="O254" s="1"/>
      <c r="P254" s="1"/>
      <c r="Q254" s="59">
        <f t="shared" si="44"/>
        <v>0</v>
      </c>
      <c r="R254" s="59">
        <f t="shared" si="40"/>
        <v>4750</v>
      </c>
      <c r="S254" s="4" t="s">
        <v>136</v>
      </c>
    </row>
    <row r="255" spans="1:20" ht="15.75" customHeight="1" x14ac:dyDescent="0.3">
      <c r="A255" s="76" t="s">
        <v>885</v>
      </c>
      <c r="B255" s="1">
        <v>95</v>
      </c>
      <c r="C255" s="1"/>
      <c r="D255" s="1"/>
      <c r="E255" s="59">
        <f t="shared" si="41"/>
        <v>95</v>
      </c>
      <c r="F255" s="1"/>
      <c r="G255" s="1"/>
      <c r="H255" s="1"/>
      <c r="I255" s="59">
        <f t="shared" si="42"/>
        <v>0</v>
      </c>
      <c r="J255" s="1"/>
      <c r="K255" s="1"/>
      <c r="L255" s="1"/>
      <c r="M255" s="59">
        <f t="shared" si="43"/>
        <v>0</v>
      </c>
      <c r="N255" s="1"/>
      <c r="O255" s="1"/>
      <c r="P255" s="1"/>
      <c r="Q255" s="59">
        <f t="shared" si="44"/>
        <v>0</v>
      </c>
      <c r="R255" s="59">
        <f t="shared" si="40"/>
        <v>95</v>
      </c>
    </row>
    <row r="256" spans="1:20" ht="15.75" customHeight="1" x14ac:dyDescent="0.3">
      <c r="A256" s="76" t="s">
        <v>886</v>
      </c>
      <c r="B256" s="1">
        <v>95</v>
      </c>
      <c r="C256" s="1"/>
      <c r="D256" s="1"/>
      <c r="E256" s="59">
        <f t="shared" si="41"/>
        <v>95</v>
      </c>
      <c r="F256" s="1"/>
      <c r="G256" s="1"/>
      <c r="H256" s="1"/>
      <c r="I256" s="59">
        <f t="shared" si="42"/>
        <v>0</v>
      </c>
      <c r="J256" s="1"/>
      <c r="K256" s="1"/>
      <c r="L256" s="1"/>
      <c r="M256" s="59">
        <f t="shared" si="43"/>
        <v>0</v>
      </c>
      <c r="N256" s="1"/>
      <c r="O256" s="1"/>
      <c r="P256" s="1"/>
      <c r="Q256" s="59">
        <f t="shared" si="44"/>
        <v>0</v>
      </c>
      <c r="R256" s="59">
        <f t="shared" si="40"/>
        <v>95</v>
      </c>
      <c r="S256" s="4" t="s">
        <v>136</v>
      </c>
      <c r="T256" s="4" t="s">
        <v>137</v>
      </c>
    </row>
    <row r="257" spans="1:20" ht="15.75" customHeight="1" x14ac:dyDescent="0.3">
      <c r="A257" s="76" t="s">
        <v>860</v>
      </c>
      <c r="B257" s="1">
        <v>619</v>
      </c>
      <c r="C257" s="1">
        <v>178</v>
      </c>
      <c r="D257" s="1">
        <v>276</v>
      </c>
      <c r="E257" s="59">
        <f t="shared" si="41"/>
        <v>1073</v>
      </c>
      <c r="F257" s="1">
        <v>368</v>
      </c>
      <c r="G257" s="1">
        <v>737</v>
      </c>
      <c r="H257" s="1">
        <v>822</v>
      </c>
      <c r="I257" s="59">
        <f t="shared" si="42"/>
        <v>1927</v>
      </c>
      <c r="J257" s="1"/>
      <c r="K257" s="1"/>
      <c r="L257" s="1"/>
      <c r="M257" s="59">
        <f t="shared" si="43"/>
        <v>0</v>
      </c>
      <c r="N257" s="1"/>
      <c r="O257" s="1"/>
      <c r="P257" s="1"/>
      <c r="Q257" s="59">
        <f t="shared" si="44"/>
        <v>0</v>
      </c>
      <c r="R257" s="59">
        <f t="shared" si="40"/>
        <v>3000</v>
      </c>
      <c r="S257" s="4" t="s">
        <v>136</v>
      </c>
    </row>
    <row r="258" spans="1:20" ht="15.75" customHeight="1" x14ac:dyDescent="0.3">
      <c r="A258" s="76" t="s">
        <v>270</v>
      </c>
      <c r="B258" s="1">
        <f>441+77+17</f>
        <v>535</v>
      </c>
      <c r="C258" s="1">
        <f>3662+77+18</f>
        <v>3757</v>
      </c>
      <c r="D258" s="1">
        <v>4851</v>
      </c>
      <c r="E258" s="59">
        <f>SUM(B258:D258)</f>
        <v>9143</v>
      </c>
      <c r="F258" s="1"/>
      <c r="G258" s="1"/>
      <c r="H258" s="1"/>
      <c r="I258" s="59">
        <f>SUM(F258:H258)</f>
        <v>0</v>
      </c>
      <c r="J258" s="1"/>
      <c r="K258" s="1"/>
      <c r="L258" s="1"/>
      <c r="M258" s="59">
        <f>SUM(J258:L258)</f>
        <v>0</v>
      </c>
      <c r="N258" s="1"/>
      <c r="O258" s="1"/>
      <c r="P258" s="1"/>
      <c r="Q258" s="59">
        <f>SUM(N258:P258)</f>
        <v>0</v>
      </c>
      <c r="R258" s="59">
        <f>+E258+I258+M258+Q258</f>
        <v>9143</v>
      </c>
      <c r="S258" s="4" t="s">
        <v>136</v>
      </c>
    </row>
    <row r="259" spans="1:20" ht="15.75" customHeight="1" x14ac:dyDescent="0.3">
      <c r="A259" s="76" t="s">
        <v>271</v>
      </c>
      <c r="B259" s="1"/>
      <c r="C259" s="1"/>
      <c r="D259" s="1">
        <v>357</v>
      </c>
      <c r="E259" s="59">
        <f>SUM(B259:D259)</f>
        <v>357</v>
      </c>
      <c r="F259" s="1"/>
      <c r="G259" s="1"/>
      <c r="H259" s="1"/>
      <c r="I259" s="59">
        <f>SUM(F259:H259)</f>
        <v>0</v>
      </c>
      <c r="J259" s="1"/>
      <c r="K259" s="1"/>
      <c r="L259" s="1"/>
      <c r="M259" s="59">
        <f>SUM(J259:L259)</f>
        <v>0</v>
      </c>
      <c r="N259" s="1"/>
      <c r="O259" s="1"/>
      <c r="P259" s="1"/>
      <c r="Q259" s="59">
        <f>SUM(N259:P259)</f>
        <v>0</v>
      </c>
      <c r="R259" s="59">
        <f>+E259+I259+M259+Q259</f>
        <v>357</v>
      </c>
    </row>
    <row r="260" spans="1:20" ht="15.75" customHeight="1" x14ac:dyDescent="0.3">
      <c r="A260" s="76" t="s">
        <v>273</v>
      </c>
      <c r="B260" s="1">
        <v>500</v>
      </c>
      <c r="C260" s="1"/>
      <c r="D260" s="1"/>
      <c r="E260" s="59">
        <f t="shared" si="41"/>
        <v>500</v>
      </c>
      <c r="F260" s="1"/>
      <c r="G260" s="1"/>
      <c r="H260" s="1"/>
      <c r="I260" s="59">
        <f t="shared" si="42"/>
        <v>0</v>
      </c>
      <c r="J260" s="1"/>
      <c r="K260" s="1"/>
      <c r="L260" s="1"/>
      <c r="M260" s="59">
        <f t="shared" si="43"/>
        <v>0</v>
      </c>
      <c r="N260" s="1"/>
      <c r="O260" s="1"/>
      <c r="P260" s="1"/>
      <c r="Q260" s="59">
        <f t="shared" si="44"/>
        <v>0</v>
      </c>
      <c r="R260" s="59">
        <f t="shared" si="40"/>
        <v>500</v>
      </c>
    </row>
    <row r="261" spans="1:20" ht="15.75" customHeight="1" thickBot="1" x14ac:dyDescent="0.35">
      <c r="A261" s="76" t="s">
        <v>275</v>
      </c>
      <c r="B261" s="1"/>
      <c r="C261" s="1"/>
      <c r="D261" s="1"/>
      <c r="E261" s="59">
        <f>SUM(B261:D261)</f>
        <v>0</v>
      </c>
      <c r="F261" s="1"/>
      <c r="G261" s="1">
        <v>128</v>
      </c>
      <c r="H261" s="1"/>
      <c r="I261" s="59">
        <f>SUM(F261:H261)</f>
        <v>128</v>
      </c>
      <c r="J261" s="1"/>
      <c r="K261" s="1"/>
      <c r="L261" s="1"/>
      <c r="M261" s="59">
        <f>SUM(J261:L261)</f>
        <v>0</v>
      </c>
      <c r="N261" s="1"/>
      <c r="O261" s="1"/>
      <c r="P261" s="1"/>
      <c r="Q261" s="59">
        <f>SUM(N261:P261)</f>
        <v>0</v>
      </c>
      <c r="R261" s="59">
        <f t="shared" si="40"/>
        <v>128</v>
      </c>
      <c r="S261" s="4" t="s">
        <v>136</v>
      </c>
    </row>
    <row r="262" spans="1:20" ht="16.5" customHeight="1" thickBot="1" x14ac:dyDescent="0.35">
      <c r="A262" s="62" t="s">
        <v>61</v>
      </c>
      <c r="B262" s="100">
        <f>SUM(B208:B261)</f>
        <v>8286</v>
      </c>
      <c r="C262" s="101">
        <f>SUM(C208:C261)</f>
        <v>9003</v>
      </c>
      <c r="D262" s="101">
        <f>SUM(D208:D261)</f>
        <v>14902</v>
      </c>
      <c r="E262" s="64">
        <f t="shared" si="41"/>
        <v>32191</v>
      </c>
      <c r="F262" s="101">
        <f>SUM(F208:F261)</f>
        <v>10936</v>
      </c>
      <c r="G262" s="101">
        <f>SUM(G208:G261)</f>
        <v>15406</v>
      </c>
      <c r="H262" s="101">
        <f>SUM(H208:H261)</f>
        <v>30011</v>
      </c>
      <c r="I262" s="64">
        <f t="shared" si="42"/>
        <v>56353</v>
      </c>
      <c r="J262" s="101">
        <f>SUM(J208:J261)</f>
        <v>21963</v>
      </c>
      <c r="K262" s="101">
        <f>SUM(K208:K261)</f>
        <v>13244</v>
      </c>
      <c r="L262" s="101">
        <f>SUM(L208:L261)</f>
        <v>6505</v>
      </c>
      <c r="M262" s="64">
        <f t="shared" si="43"/>
        <v>41712</v>
      </c>
      <c r="N262" s="101">
        <f>SUM(N208:N261)</f>
        <v>1245</v>
      </c>
      <c r="O262" s="101">
        <f>SUM(O208:O261)</f>
        <v>2239</v>
      </c>
      <c r="P262" s="101">
        <f>SUM(P208:P261)</f>
        <v>1174</v>
      </c>
      <c r="Q262" s="64">
        <f t="shared" si="44"/>
        <v>4658</v>
      </c>
      <c r="R262" s="64">
        <f t="shared" si="40"/>
        <v>134914</v>
      </c>
    </row>
    <row r="263" spans="1:20" ht="15.75" customHeight="1" x14ac:dyDescent="0.3">
      <c r="A263" s="17" t="s">
        <v>62</v>
      </c>
      <c r="B263" s="1"/>
      <c r="C263" s="1"/>
      <c r="D263" s="1"/>
      <c r="E263" s="59" t="s">
        <v>7</v>
      </c>
      <c r="F263" s="1"/>
      <c r="G263" s="1"/>
      <c r="H263" s="1"/>
      <c r="I263" s="59" t="s">
        <v>7</v>
      </c>
      <c r="J263" s="1"/>
      <c r="K263" s="1"/>
      <c r="L263" s="1"/>
      <c r="M263" s="59" t="s">
        <v>7</v>
      </c>
      <c r="N263" s="1"/>
      <c r="O263" s="1"/>
      <c r="P263" s="1"/>
      <c r="Q263" s="59" t="s">
        <v>7</v>
      </c>
      <c r="R263" s="59" t="s">
        <v>7</v>
      </c>
    </row>
    <row r="264" spans="1:20" ht="15.75" customHeight="1" x14ac:dyDescent="0.3">
      <c r="A264" s="17" t="s">
        <v>63</v>
      </c>
      <c r="B264" s="1"/>
      <c r="C264" s="1"/>
      <c r="D264" s="1"/>
      <c r="E264" s="59" t="s">
        <v>7</v>
      </c>
      <c r="F264" s="1"/>
      <c r="G264" s="1"/>
      <c r="H264" s="1"/>
      <c r="I264" s="59" t="s">
        <v>7</v>
      </c>
      <c r="J264" s="1"/>
      <c r="K264" s="1"/>
      <c r="L264" s="1"/>
      <c r="M264" s="59" t="s">
        <v>7</v>
      </c>
      <c r="N264" s="1"/>
      <c r="O264" s="1"/>
      <c r="P264" s="1"/>
      <c r="Q264" s="59" t="s">
        <v>7</v>
      </c>
      <c r="R264" s="59" t="s">
        <v>7</v>
      </c>
    </row>
    <row r="265" spans="1:20" ht="15.75" customHeight="1" x14ac:dyDescent="0.3">
      <c r="A265" s="78" t="s">
        <v>854</v>
      </c>
      <c r="B265" s="1"/>
      <c r="C265" s="1"/>
      <c r="D265" s="1"/>
      <c r="E265" s="59">
        <f>SUM(B265:D265)</f>
        <v>0</v>
      </c>
      <c r="F265" s="1"/>
      <c r="G265" s="1"/>
      <c r="H265" s="1"/>
      <c r="I265" s="59">
        <f>SUM(F265:H265)</f>
        <v>0</v>
      </c>
      <c r="J265" s="1"/>
      <c r="K265" s="1"/>
      <c r="L265" s="1"/>
      <c r="M265" s="59">
        <f>SUM(J265:L265)</f>
        <v>0</v>
      </c>
      <c r="N265" s="1"/>
      <c r="O265" s="1"/>
      <c r="P265" s="1"/>
      <c r="Q265" s="59">
        <f>SUM(N265:P265)</f>
        <v>0</v>
      </c>
      <c r="R265" s="59">
        <f>+E265+I265+M265+Q265</f>
        <v>0</v>
      </c>
      <c r="T265" s="4" t="s">
        <v>137</v>
      </c>
    </row>
    <row r="266" spans="1:20" ht="15.75" customHeight="1" x14ac:dyDescent="0.3">
      <c r="A266" s="99" t="s">
        <v>904</v>
      </c>
      <c r="B266" s="1"/>
      <c r="C266" s="1"/>
      <c r="D266" s="1"/>
      <c r="E266" s="59">
        <f>SUM(B266:D266)</f>
        <v>0</v>
      </c>
      <c r="F266" s="1"/>
      <c r="G266" s="1"/>
      <c r="H266" s="1"/>
      <c r="I266" s="59">
        <f>SUM(F266:H266)</f>
        <v>0</v>
      </c>
      <c r="J266" s="1"/>
      <c r="K266" s="1"/>
      <c r="L266" s="1"/>
      <c r="M266" s="59">
        <f>SUM(J266:L266)</f>
        <v>0</v>
      </c>
      <c r="N266" s="1"/>
      <c r="O266" s="1"/>
      <c r="P266" s="1"/>
      <c r="Q266" s="59">
        <f>SUM(N266:P266)</f>
        <v>0</v>
      </c>
      <c r="R266" s="59">
        <f>+E266+I266+M266+Q266</f>
        <v>0</v>
      </c>
      <c r="T266" s="4" t="s">
        <v>132</v>
      </c>
    </row>
    <row r="267" spans="1:20" ht="15.75" customHeight="1" x14ac:dyDescent="0.3">
      <c r="A267" s="99" t="s">
        <v>905</v>
      </c>
      <c r="B267" s="1"/>
      <c r="C267" s="1"/>
      <c r="D267" s="1"/>
      <c r="E267" s="59">
        <f>SUM(B267:D267)</f>
        <v>0</v>
      </c>
      <c r="F267" s="1"/>
      <c r="G267" s="1"/>
      <c r="H267" s="1">
        <v>843</v>
      </c>
      <c r="I267" s="59">
        <f>SUM(F267:H267)</f>
        <v>843</v>
      </c>
      <c r="J267" s="1">
        <v>1000</v>
      </c>
      <c r="K267" s="1">
        <v>1000</v>
      </c>
      <c r="L267" s="1">
        <v>1100</v>
      </c>
      <c r="M267" s="59">
        <f>SUM(J267:L267)</f>
        <v>3100</v>
      </c>
      <c r="N267" s="1">
        <v>697</v>
      </c>
      <c r="O267" s="1"/>
      <c r="P267" s="1"/>
      <c r="Q267" s="59">
        <f>SUM(N267:P267)</f>
        <v>697</v>
      </c>
      <c r="R267" s="59">
        <f>+E267+I267+M267+Q267</f>
        <v>4640</v>
      </c>
      <c r="T267" s="4" t="s">
        <v>134</v>
      </c>
    </row>
    <row r="268" spans="1:20" ht="15.75" customHeight="1" x14ac:dyDescent="0.3">
      <c r="A268" s="17" t="s">
        <v>64</v>
      </c>
      <c r="B268" s="1"/>
      <c r="C268" s="1"/>
      <c r="D268" s="1"/>
      <c r="E268" s="59" t="s">
        <v>7</v>
      </c>
      <c r="F268" s="1"/>
      <c r="G268" s="1"/>
      <c r="H268" s="1"/>
      <c r="I268" s="59" t="s">
        <v>7</v>
      </c>
      <c r="J268" s="1"/>
      <c r="K268" s="1"/>
      <c r="L268" s="1"/>
      <c r="M268" s="59" t="s">
        <v>7</v>
      </c>
      <c r="N268" s="1"/>
      <c r="O268" s="1"/>
      <c r="P268" s="1"/>
      <c r="Q268" s="59" t="s">
        <v>7</v>
      </c>
      <c r="R268" s="59" t="s">
        <v>7</v>
      </c>
    </row>
    <row r="269" spans="1:20" ht="15.75" customHeight="1" x14ac:dyDescent="0.3">
      <c r="A269" s="99" t="s">
        <v>278</v>
      </c>
      <c r="B269" s="1"/>
      <c r="C269" s="1"/>
      <c r="D269" s="1"/>
      <c r="E269" s="59">
        <f>SUM(B269:D269)</f>
        <v>0</v>
      </c>
      <c r="F269" s="1"/>
      <c r="G269" s="1">
        <v>1500</v>
      </c>
      <c r="H269" s="1">
        <v>2000</v>
      </c>
      <c r="I269" s="59">
        <f>SUM(F269:H269)</f>
        <v>3500</v>
      </c>
      <c r="J269" s="1"/>
      <c r="K269" s="1"/>
      <c r="L269" s="1">
        <v>157</v>
      </c>
      <c r="M269" s="59">
        <f>SUM(J269:L269)</f>
        <v>157</v>
      </c>
      <c r="N269" s="1">
        <v>1400</v>
      </c>
      <c r="O269" s="1">
        <v>145</v>
      </c>
      <c r="P269" s="1">
        <v>975</v>
      </c>
      <c r="Q269" s="59">
        <f>SUM(N269:P269)</f>
        <v>2520</v>
      </c>
      <c r="R269" s="59">
        <f>+E269+I269+M269+Q269</f>
        <v>6177</v>
      </c>
    </row>
    <row r="270" spans="1:20" ht="15.75" customHeight="1" x14ac:dyDescent="0.3">
      <c r="A270" s="99" t="s">
        <v>279</v>
      </c>
      <c r="B270" s="1"/>
      <c r="C270" s="1"/>
      <c r="D270" s="1"/>
      <c r="E270" s="59">
        <f>SUM(B270:D270)</f>
        <v>0</v>
      </c>
      <c r="F270" s="1"/>
      <c r="G270" s="1"/>
      <c r="H270" s="1"/>
      <c r="I270" s="59">
        <f>SUM(F270:H270)</f>
        <v>0</v>
      </c>
      <c r="J270" s="1"/>
      <c r="K270" s="1"/>
      <c r="L270" s="1"/>
      <c r="M270" s="59">
        <f>SUM(J270:L270)</f>
        <v>0</v>
      </c>
      <c r="N270" s="1"/>
      <c r="O270" s="1"/>
      <c r="P270" s="1"/>
      <c r="Q270" s="59">
        <f>SUM(N270:P270)</f>
        <v>0</v>
      </c>
      <c r="R270" s="59">
        <f>+E270+I270+M270+Q270</f>
        <v>0</v>
      </c>
      <c r="T270" s="4">
        <f>24000-SUM(R144,R147,R162,R165,R178,R196,R227,R228,R248,R266,R269,R270)</f>
        <v>0</v>
      </c>
    </row>
    <row r="271" spans="1:20" ht="15.75" customHeight="1" x14ac:dyDescent="0.3">
      <c r="A271" s="74" t="s">
        <v>280</v>
      </c>
      <c r="B271" s="1"/>
      <c r="C271" s="1">
        <v>500</v>
      </c>
      <c r="D271" s="1"/>
      <c r="E271" s="59">
        <f t="shared" ref="E271:E276" si="48">SUM(B271:D271)</f>
        <v>500</v>
      </c>
      <c r="F271" s="1"/>
      <c r="G271" s="1"/>
      <c r="H271" s="1"/>
      <c r="I271" s="59">
        <f t="shared" ref="I271:I276" si="49">SUM(F271:H271)</f>
        <v>0</v>
      </c>
      <c r="J271" s="1"/>
      <c r="K271" s="1"/>
      <c r="L271" s="1"/>
      <c r="M271" s="59">
        <f t="shared" ref="M271:M276" si="50">SUM(J271:L271)</f>
        <v>0</v>
      </c>
      <c r="N271" s="1"/>
      <c r="O271" s="1"/>
      <c r="P271" s="1"/>
      <c r="Q271" s="59">
        <f t="shared" ref="Q271:Q276" si="51">SUM(N271:P271)</f>
        <v>0</v>
      </c>
      <c r="R271" s="59">
        <f t="shared" ref="R271:R276" si="52">+E271+I271+M271+Q271</f>
        <v>500</v>
      </c>
      <c r="S271" s="4" t="s">
        <v>136</v>
      </c>
    </row>
    <row r="272" spans="1:20" ht="15.75" customHeight="1" x14ac:dyDescent="0.3">
      <c r="A272" s="74" t="s">
        <v>281</v>
      </c>
      <c r="B272" s="1"/>
      <c r="C272" s="1"/>
      <c r="D272" s="1"/>
      <c r="E272" s="59">
        <f t="shared" si="48"/>
        <v>0</v>
      </c>
      <c r="F272" s="1"/>
      <c r="G272" s="1"/>
      <c r="H272" s="1"/>
      <c r="I272" s="59">
        <f t="shared" si="49"/>
        <v>0</v>
      </c>
      <c r="J272" s="1"/>
      <c r="K272" s="1"/>
      <c r="L272" s="1"/>
      <c r="M272" s="59">
        <f t="shared" si="50"/>
        <v>0</v>
      </c>
      <c r="N272" s="1"/>
      <c r="O272" s="1"/>
      <c r="P272" s="1"/>
      <c r="Q272" s="59">
        <f t="shared" si="51"/>
        <v>0</v>
      </c>
      <c r="R272" s="59">
        <f t="shared" si="52"/>
        <v>0</v>
      </c>
    </row>
    <row r="273" spans="1:20" ht="15.75" customHeight="1" x14ac:dyDescent="0.3">
      <c r="A273" s="91" t="s">
        <v>282</v>
      </c>
      <c r="B273" s="1"/>
      <c r="C273" s="1"/>
      <c r="D273" s="1">
        <v>1000</v>
      </c>
      <c r="E273" s="59">
        <f t="shared" si="48"/>
        <v>1000</v>
      </c>
      <c r="F273" s="1"/>
      <c r="G273" s="1">
        <v>700</v>
      </c>
      <c r="H273" s="1">
        <v>1000</v>
      </c>
      <c r="I273" s="59">
        <f t="shared" si="49"/>
        <v>1700</v>
      </c>
      <c r="J273" s="1">
        <v>500</v>
      </c>
      <c r="K273" s="1"/>
      <c r="L273" s="1">
        <v>1500</v>
      </c>
      <c r="M273" s="59">
        <f t="shared" si="50"/>
        <v>2000</v>
      </c>
      <c r="N273" s="1">
        <v>800</v>
      </c>
      <c r="O273" s="1">
        <v>3000</v>
      </c>
      <c r="P273" s="1">
        <v>2236</v>
      </c>
      <c r="Q273" s="59">
        <f t="shared" si="51"/>
        <v>6036</v>
      </c>
      <c r="R273" s="59">
        <f t="shared" si="52"/>
        <v>10736</v>
      </c>
    </row>
    <row r="274" spans="1:20" ht="15.75" customHeight="1" x14ac:dyDescent="0.3">
      <c r="A274" s="91" t="s">
        <v>283</v>
      </c>
      <c r="B274" s="1"/>
      <c r="C274" s="1"/>
      <c r="D274" s="1"/>
      <c r="E274" s="59">
        <f t="shared" si="48"/>
        <v>0</v>
      </c>
      <c r="F274" s="1"/>
      <c r="G274" s="1"/>
      <c r="H274" s="1"/>
      <c r="I274" s="59">
        <f t="shared" si="49"/>
        <v>0</v>
      </c>
      <c r="J274" s="1"/>
      <c r="K274" s="1"/>
      <c r="L274" s="1"/>
      <c r="M274" s="59">
        <f t="shared" si="50"/>
        <v>0</v>
      </c>
      <c r="N274" s="1"/>
      <c r="O274" s="1"/>
      <c r="P274" s="1"/>
      <c r="Q274" s="59">
        <f t="shared" si="51"/>
        <v>0</v>
      </c>
      <c r="R274" s="59">
        <f t="shared" si="52"/>
        <v>0</v>
      </c>
    </row>
    <row r="275" spans="1:20" ht="15.75" customHeight="1" x14ac:dyDescent="0.3">
      <c r="A275" s="61" t="s">
        <v>284</v>
      </c>
      <c r="B275" s="1"/>
      <c r="C275" s="1"/>
      <c r="D275" s="1"/>
      <c r="E275" s="59">
        <f t="shared" si="48"/>
        <v>0</v>
      </c>
      <c r="F275" s="1"/>
      <c r="G275" s="1"/>
      <c r="H275" s="1"/>
      <c r="I275" s="59">
        <f t="shared" si="49"/>
        <v>0</v>
      </c>
      <c r="J275" s="1"/>
      <c r="K275" s="1"/>
      <c r="L275" s="1"/>
      <c r="M275" s="59">
        <f t="shared" si="50"/>
        <v>0</v>
      </c>
      <c r="N275" s="1"/>
      <c r="O275" s="1"/>
      <c r="P275" s="1"/>
      <c r="Q275" s="59">
        <f t="shared" si="51"/>
        <v>0</v>
      </c>
      <c r="R275" s="59">
        <f t="shared" si="52"/>
        <v>0</v>
      </c>
    </row>
    <row r="276" spans="1:20" ht="15.75" customHeight="1" x14ac:dyDescent="0.3">
      <c r="A276" s="61" t="s">
        <v>285</v>
      </c>
      <c r="B276" s="1"/>
      <c r="C276" s="1"/>
      <c r="D276" s="1"/>
      <c r="E276" s="59">
        <f t="shared" si="48"/>
        <v>0</v>
      </c>
      <c r="F276" s="1"/>
      <c r="G276" s="1"/>
      <c r="H276" s="1"/>
      <c r="I276" s="59">
        <f t="shared" si="49"/>
        <v>0</v>
      </c>
      <c r="J276" s="1"/>
      <c r="K276" s="1"/>
      <c r="L276" s="1"/>
      <c r="M276" s="59">
        <f t="shared" si="50"/>
        <v>0</v>
      </c>
      <c r="N276" s="1"/>
      <c r="O276" s="1"/>
      <c r="P276" s="1"/>
      <c r="Q276" s="59">
        <f t="shared" si="51"/>
        <v>0</v>
      </c>
      <c r="R276" s="59">
        <f t="shared" si="52"/>
        <v>0</v>
      </c>
    </row>
    <row r="277" spans="1:20" ht="15.75" customHeight="1" x14ac:dyDescent="0.3">
      <c r="A277" s="17" t="s">
        <v>66</v>
      </c>
      <c r="B277" s="1"/>
      <c r="C277" s="1"/>
      <c r="D277" s="1"/>
      <c r="E277" s="59" t="s">
        <v>7</v>
      </c>
      <c r="F277" s="1"/>
      <c r="G277" s="1"/>
      <c r="H277" s="1"/>
      <c r="I277" s="59" t="s">
        <v>7</v>
      </c>
      <c r="J277" s="1"/>
      <c r="K277" s="1"/>
      <c r="L277" s="1"/>
      <c r="M277" s="59" t="s">
        <v>7</v>
      </c>
      <c r="N277" s="1"/>
      <c r="O277" s="1"/>
      <c r="P277" s="1"/>
      <c r="Q277" s="59" t="s">
        <v>7</v>
      </c>
      <c r="R277" s="59" t="s">
        <v>7</v>
      </c>
    </row>
    <row r="278" spans="1:20" ht="15.75" customHeight="1" x14ac:dyDescent="0.3">
      <c r="A278" s="17" t="s">
        <v>67</v>
      </c>
      <c r="B278" s="1"/>
      <c r="C278" s="1"/>
      <c r="D278" s="1"/>
      <c r="E278" s="59" t="s">
        <v>7</v>
      </c>
      <c r="F278" s="1"/>
      <c r="G278" s="1"/>
      <c r="H278" s="1"/>
      <c r="I278" s="59" t="s">
        <v>7</v>
      </c>
      <c r="J278" s="1"/>
      <c r="K278" s="1"/>
      <c r="L278" s="1"/>
      <c r="M278" s="59" t="s">
        <v>7</v>
      </c>
      <c r="N278" s="1"/>
      <c r="O278" s="1"/>
      <c r="P278" s="1"/>
      <c r="Q278" s="59" t="s">
        <v>7</v>
      </c>
      <c r="R278" s="59" t="s">
        <v>7</v>
      </c>
    </row>
    <row r="279" spans="1:20" ht="15.75" customHeight="1" thickBot="1" x14ac:dyDescent="0.35">
      <c r="A279" s="74" t="s">
        <v>287</v>
      </c>
      <c r="B279" s="1"/>
      <c r="C279" s="1"/>
      <c r="D279" s="1">
        <v>2500</v>
      </c>
      <c r="E279" s="59">
        <f t="shared" ref="E279" si="53">SUM(B279:D279)</f>
        <v>2500</v>
      </c>
      <c r="F279" s="1">
        <v>7500</v>
      </c>
      <c r="G279" s="1"/>
      <c r="H279" s="1"/>
      <c r="I279" s="59">
        <f t="shared" ref="I279:I288" si="54">SUM(F279:H279)</f>
        <v>7500</v>
      </c>
      <c r="J279" s="1"/>
      <c r="K279" s="1"/>
      <c r="L279" s="1"/>
      <c r="M279" s="59">
        <f t="shared" ref="M279:M288" si="55">SUM(J279:L279)</f>
        <v>0</v>
      </c>
      <c r="N279" s="1"/>
      <c r="O279" s="1"/>
      <c r="P279" s="1"/>
      <c r="Q279" s="59">
        <f t="shared" ref="Q279:Q288" si="56">SUM(N279:P279)</f>
        <v>0</v>
      </c>
      <c r="R279" s="59">
        <f t="shared" ref="R279:R288" si="57">+E279+I279+M279+Q279</f>
        <v>10000</v>
      </c>
      <c r="S279" s="4" t="s">
        <v>136</v>
      </c>
    </row>
    <row r="280" spans="1:20" ht="16.5" customHeight="1" thickBot="1" x14ac:dyDescent="0.35">
      <c r="A280" s="62" t="s">
        <v>68</v>
      </c>
      <c r="B280" s="63">
        <f>SUM(B277:B279)</f>
        <v>0</v>
      </c>
      <c r="C280" s="63">
        <f>SUM(C277:C279)</f>
        <v>0</v>
      </c>
      <c r="D280" s="63">
        <f>SUM(D277:D279)</f>
        <v>2500</v>
      </c>
      <c r="E280" s="65">
        <f t="shared" ref="E280:E288" si="58">SUM(B280:D280)</f>
        <v>2500</v>
      </c>
      <c r="F280" s="63">
        <f>SUM(F277:F279)</f>
        <v>7500</v>
      </c>
      <c r="G280" s="63">
        <f>SUM(G277:G279)</f>
        <v>0</v>
      </c>
      <c r="H280" s="63">
        <f>SUM(H277:H279)</f>
        <v>0</v>
      </c>
      <c r="I280" s="65">
        <f t="shared" si="54"/>
        <v>7500</v>
      </c>
      <c r="J280" s="63">
        <f>SUM(J277:J279)</f>
        <v>0</v>
      </c>
      <c r="K280" s="63">
        <f>SUM(K277:K279)</f>
        <v>0</v>
      </c>
      <c r="L280" s="63">
        <f>SUM(L277:L279)</f>
        <v>0</v>
      </c>
      <c r="M280" s="65">
        <f t="shared" si="55"/>
        <v>0</v>
      </c>
      <c r="N280" s="63">
        <f>SUM(N277:N279)</f>
        <v>0</v>
      </c>
      <c r="O280" s="63">
        <f>SUM(O277:O279)</f>
        <v>0</v>
      </c>
      <c r="P280" s="63">
        <f>SUM(P277:P279)</f>
        <v>0</v>
      </c>
      <c r="Q280" s="65">
        <f t="shared" si="56"/>
        <v>0</v>
      </c>
      <c r="R280" s="64">
        <f t="shared" si="57"/>
        <v>10000</v>
      </c>
    </row>
    <row r="281" spans="1:20" ht="16.5" customHeight="1" thickBot="1" x14ac:dyDescent="0.35">
      <c r="A281" s="62" t="s">
        <v>69</v>
      </c>
      <c r="B281" s="100">
        <f>SUM(B263:B279)</f>
        <v>0</v>
      </c>
      <c r="C281" s="101">
        <f>SUM(C263:C279)</f>
        <v>500</v>
      </c>
      <c r="D281" s="101">
        <f>SUM(D263:D279)</f>
        <v>3500</v>
      </c>
      <c r="E281" s="64">
        <f t="shared" si="58"/>
        <v>4000</v>
      </c>
      <c r="F281" s="101">
        <f>SUM(F263:F279)</f>
        <v>7500</v>
      </c>
      <c r="G281" s="101">
        <f>SUM(G263:G279)</f>
        <v>2200</v>
      </c>
      <c r="H281" s="101">
        <f>SUM(H263:H279)</f>
        <v>3843</v>
      </c>
      <c r="I281" s="64">
        <f t="shared" si="54"/>
        <v>13543</v>
      </c>
      <c r="J281" s="101">
        <f>SUM(J263:J279)</f>
        <v>1500</v>
      </c>
      <c r="K281" s="101">
        <f>SUM(K263:K279)</f>
        <v>1000</v>
      </c>
      <c r="L281" s="101">
        <f>SUM(L263:L279)</f>
        <v>2757</v>
      </c>
      <c r="M281" s="64">
        <f t="shared" si="55"/>
        <v>5257</v>
      </c>
      <c r="N281" s="101">
        <f>SUM(N263:N279)</f>
        <v>2897</v>
      </c>
      <c r="O281" s="101">
        <f>SUM(O263:O279)</f>
        <v>3145</v>
      </c>
      <c r="P281" s="101">
        <f>SUM(P263:P279)</f>
        <v>3211</v>
      </c>
      <c r="Q281" s="64">
        <f t="shared" si="56"/>
        <v>9253</v>
      </c>
      <c r="R281" s="64">
        <f t="shared" si="57"/>
        <v>32053</v>
      </c>
    </row>
    <row r="282" spans="1:20" ht="16.5" customHeight="1" thickBot="1" x14ac:dyDescent="0.35">
      <c r="A282" s="62" t="s">
        <v>70</v>
      </c>
      <c r="B282" s="107">
        <f>+B200+B207+B262+B281</f>
        <v>20379</v>
      </c>
      <c r="C282" s="63">
        <f>+C200+C207+C262+C281</f>
        <v>21066</v>
      </c>
      <c r="D282" s="63">
        <f>+D200+D207+D262+D281</f>
        <v>29082</v>
      </c>
      <c r="E282" s="88">
        <f t="shared" si="58"/>
        <v>70527</v>
      </c>
      <c r="F282" s="63">
        <f>+F200+F207+F262+F281</f>
        <v>39789</v>
      </c>
      <c r="G282" s="63">
        <f>+G200+G207+G262+G281</f>
        <v>40803</v>
      </c>
      <c r="H282" s="63">
        <f>+H200+H207+H262+H281</f>
        <v>48908</v>
      </c>
      <c r="I282" s="88">
        <f t="shared" si="54"/>
        <v>129500</v>
      </c>
      <c r="J282" s="63">
        <f>+J200+J207+J262+J281</f>
        <v>48858</v>
      </c>
      <c r="K282" s="63">
        <f>+K200+K207+K262+K281</f>
        <v>50593</v>
      </c>
      <c r="L282" s="63">
        <f>+L200+L207+L262+L281</f>
        <v>39666</v>
      </c>
      <c r="M282" s="88">
        <f t="shared" si="55"/>
        <v>139117</v>
      </c>
      <c r="N282" s="63">
        <f>+N200+N207+N262+N281</f>
        <v>31902</v>
      </c>
      <c r="O282" s="63">
        <f>+O200+O207+O262+O281</f>
        <v>26368</v>
      </c>
      <c r="P282" s="63">
        <f>+P200+P207+P262+P281</f>
        <v>21653</v>
      </c>
      <c r="Q282" s="88">
        <f t="shared" si="56"/>
        <v>79923</v>
      </c>
      <c r="R282" s="88">
        <f t="shared" si="57"/>
        <v>419067</v>
      </c>
    </row>
    <row r="283" spans="1:20" ht="15.75" customHeight="1" x14ac:dyDescent="0.3">
      <c r="A283" s="102" t="s">
        <v>288</v>
      </c>
      <c r="B283" s="1"/>
      <c r="C283" s="1">
        <v>1647</v>
      </c>
      <c r="D283" s="1">
        <v>2564</v>
      </c>
      <c r="E283" s="59">
        <f t="shared" si="58"/>
        <v>4211</v>
      </c>
      <c r="F283" s="1">
        <v>2794</v>
      </c>
      <c r="G283" s="1">
        <v>2948</v>
      </c>
      <c r="H283" s="1">
        <v>2747</v>
      </c>
      <c r="I283" s="59">
        <f t="shared" si="54"/>
        <v>8489</v>
      </c>
      <c r="J283" s="1">
        <v>2349</v>
      </c>
      <c r="K283" s="1">
        <v>1510</v>
      </c>
      <c r="L283" s="1">
        <v>1729</v>
      </c>
      <c r="M283" s="59">
        <f t="shared" si="55"/>
        <v>5588</v>
      </c>
      <c r="N283" s="1">
        <v>2527</v>
      </c>
      <c r="O283" s="1">
        <v>3117</v>
      </c>
      <c r="P283" s="1">
        <v>882</v>
      </c>
      <c r="Q283" s="59">
        <f t="shared" si="56"/>
        <v>6526</v>
      </c>
      <c r="R283" s="59">
        <f t="shared" si="57"/>
        <v>24814</v>
      </c>
      <c r="T283" s="4" t="s">
        <v>121</v>
      </c>
    </row>
    <row r="284" spans="1:20" ht="15.75" customHeight="1" x14ac:dyDescent="0.3">
      <c r="A284" s="108" t="s">
        <v>289</v>
      </c>
      <c r="B284" s="1"/>
      <c r="C284" s="1"/>
      <c r="D284" s="1"/>
      <c r="E284" s="59">
        <f t="shared" si="58"/>
        <v>0</v>
      </c>
      <c r="F284" s="1">
        <v>-4000</v>
      </c>
      <c r="G284" s="1">
        <v>-6000</v>
      </c>
      <c r="H284" s="1">
        <v>-4000</v>
      </c>
      <c r="I284" s="59">
        <f t="shared" si="54"/>
        <v>-14000</v>
      </c>
      <c r="J284" s="1">
        <v>-2000</v>
      </c>
      <c r="K284" s="1"/>
      <c r="L284" s="1"/>
      <c r="M284" s="59">
        <f t="shared" si="55"/>
        <v>-2000</v>
      </c>
      <c r="N284" s="1"/>
      <c r="O284" s="1"/>
      <c r="P284" s="1"/>
      <c r="Q284" s="59">
        <f t="shared" si="56"/>
        <v>0</v>
      </c>
      <c r="R284" s="59">
        <f t="shared" si="57"/>
        <v>-16000</v>
      </c>
    </row>
    <row r="285" spans="1:20" ht="15.75" customHeight="1" x14ac:dyDescent="0.3">
      <c r="A285" s="74" t="s">
        <v>290</v>
      </c>
      <c r="B285" s="1"/>
      <c r="C285" s="1"/>
      <c r="D285" s="1"/>
      <c r="E285" s="59">
        <f t="shared" si="58"/>
        <v>0</v>
      </c>
      <c r="F285" s="1"/>
      <c r="G285" s="1"/>
      <c r="H285" s="1"/>
      <c r="I285" s="59">
        <f t="shared" si="54"/>
        <v>0</v>
      </c>
      <c r="J285" s="1"/>
      <c r="K285" s="1"/>
      <c r="L285" s="1"/>
      <c r="M285" s="59">
        <f t="shared" si="55"/>
        <v>0</v>
      </c>
      <c r="N285" s="1"/>
      <c r="O285" s="1"/>
      <c r="P285" s="1"/>
      <c r="Q285" s="59">
        <f t="shared" si="56"/>
        <v>0</v>
      </c>
      <c r="R285" s="59">
        <f t="shared" si="57"/>
        <v>0</v>
      </c>
    </row>
    <row r="286" spans="1:20" ht="15.75" customHeight="1" x14ac:dyDescent="0.3">
      <c r="A286" s="108" t="s">
        <v>291</v>
      </c>
      <c r="B286" s="1">
        <v>25</v>
      </c>
      <c r="C286" s="1">
        <v>25</v>
      </c>
      <c r="D286" s="1">
        <v>30</v>
      </c>
      <c r="E286" s="59">
        <f>SUM(B286:D286)</f>
        <v>80</v>
      </c>
      <c r="F286" s="1">
        <v>30</v>
      </c>
      <c r="G286" s="1">
        <v>40</v>
      </c>
      <c r="H286" s="1">
        <v>50</v>
      </c>
      <c r="I286" s="59">
        <f>SUM(F286:H286)</f>
        <v>120</v>
      </c>
      <c r="J286" s="1">
        <v>50</v>
      </c>
      <c r="K286" s="1">
        <v>50</v>
      </c>
      <c r="L286" s="1">
        <v>30</v>
      </c>
      <c r="M286" s="59">
        <f>SUM(J286:L286)</f>
        <v>130</v>
      </c>
      <c r="N286" s="1">
        <v>30</v>
      </c>
      <c r="O286" s="1">
        <v>25</v>
      </c>
      <c r="P286" s="1">
        <v>25</v>
      </c>
      <c r="Q286" s="59">
        <f>SUM(N286:P286)</f>
        <v>80</v>
      </c>
      <c r="R286" s="59">
        <f t="shared" si="57"/>
        <v>410</v>
      </c>
    </row>
    <row r="287" spans="1:20" ht="15.75" customHeight="1" x14ac:dyDescent="0.3">
      <c r="A287" s="91" t="s">
        <v>292</v>
      </c>
      <c r="B287" s="1">
        <v>75000</v>
      </c>
      <c r="C287" s="1">
        <v>11000</v>
      </c>
      <c r="D287" s="1">
        <v>2000</v>
      </c>
      <c r="E287" s="59">
        <f t="shared" si="58"/>
        <v>88000</v>
      </c>
      <c r="F287" s="1">
        <v>7000</v>
      </c>
      <c r="G287" s="1">
        <v>8000</v>
      </c>
      <c r="H287" s="1"/>
      <c r="I287" s="59">
        <f t="shared" si="54"/>
        <v>15000</v>
      </c>
      <c r="J287" s="1"/>
      <c r="K287" s="1"/>
      <c r="L287" s="1">
        <v>28000</v>
      </c>
      <c r="M287" s="59">
        <f t="shared" si="55"/>
        <v>28000</v>
      </c>
      <c r="N287" s="1">
        <v>48000</v>
      </c>
      <c r="O287" s="1">
        <v>63000</v>
      </c>
      <c r="P287" s="1">
        <v>69000</v>
      </c>
      <c r="Q287" s="59">
        <f t="shared" si="56"/>
        <v>180000</v>
      </c>
      <c r="R287" s="59">
        <f t="shared" si="57"/>
        <v>311000</v>
      </c>
    </row>
    <row r="288" spans="1:20" ht="16.5" customHeight="1" thickBot="1" x14ac:dyDescent="0.35">
      <c r="A288" s="40" t="s">
        <v>37</v>
      </c>
      <c r="B288" s="25">
        <v>104</v>
      </c>
      <c r="C288" s="25">
        <v>268</v>
      </c>
      <c r="D288" s="25">
        <v>474</v>
      </c>
      <c r="E288" s="59">
        <f t="shared" si="58"/>
        <v>846</v>
      </c>
      <c r="F288" s="25">
        <v>647</v>
      </c>
      <c r="G288" s="25">
        <v>742</v>
      </c>
      <c r="H288" s="25">
        <v>781</v>
      </c>
      <c r="I288" s="59">
        <f t="shared" si="54"/>
        <v>2170</v>
      </c>
      <c r="J288" s="25">
        <v>774</v>
      </c>
      <c r="K288" s="25">
        <v>596</v>
      </c>
      <c r="L288" s="25">
        <v>546</v>
      </c>
      <c r="M288" s="59">
        <f t="shared" si="55"/>
        <v>1916</v>
      </c>
      <c r="N288" s="25">
        <v>517</v>
      </c>
      <c r="O288" s="25">
        <v>413</v>
      </c>
      <c r="P288" s="25">
        <v>302</v>
      </c>
      <c r="Q288" s="59">
        <f t="shared" si="56"/>
        <v>1232</v>
      </c>
      <c r="R288" s="59">
        <f t="shared" si="57"/>
        <v>6164</v>
      </c>
    </row>
    <row r="289" spans="1:18" ht="16.5" customHeight="1" thickBot="1" x14ac:dyDescent="0.35">
      <c r="A289" s="80"/>
      <c r="B289" s="81"/>
      <c r="C289" s="81"/>
      <c r="D289" s="81"/>
      <c r="E289" s="65"/>
      <c r="F289" s="81"/>
      <c r="G289" s="81"/>
      <c r="H289" s="81"/>
      <c r="I289" s="64"/>
      <c r="J289" s="81"/>
      <c r="K289" s="81"/>
      <c r="L289" s="81"/>
      <c r="M289" s="64"/>
      <c r="N289" s="81"/>
      <c r="O289" s="81"/>
      <c r="P289" s="81"/>
      <c r="Q289" s="64"/>
      <c r="R289" s="64" t="s">
        <v>7</v>
      </c>
    </row>
    <row r="290" spans="1:18" ht="15.75" customHeight="1" x14ac:dyDescent="0.3">
      <c r="A290" s="82" t="s">
        <v>38</v>
      </c>
      <c r="B290" s="83">
        <f>SUM(B282:B288)</f>
        <v>95508</v>
      </c>
      <c r="C290" s="83">
        <f>SUM(C282:C288)</f>
        <v>34006</v>
      </c>
      <c r="D290" s="83">
        <f>SUM(D282:D288)</f>
        <v>34150</v>
      </c>
      <c r="E290" s="65">
        <f>SUM(B290:D290)</f>
        <v>163664</v>
      </c>
      <c r="F290" s="83">
        <f>SUM(F282:F288)</f>
        <v>46260</v>
      </c>
      <c r="G290" s="83">
        <f>SUM(G282:G288)</f>
        <v>46533</v>
      </c>
      <c r="H290" s="83">
        <f>SUM(H282:H288)</f>
        <v>48486</v>
      </c>
      <c r="I290" s="65">
        <f>SUM(F290:H290)</f>
        <v>141279</v>
      </c>
      <c r="J290" s="83">
        <f>SUM(J282:J288)</f>
        <v>50031</v>
      </c>
      <c r="K290" s="83">
        <f>SUM(K282:K288)</f>
        <v>52749</v>
      </c>
      <c r="L290" s="83">
        <f>SUM(L282:L288)</f>
        <v>69971</v>
      </c>
      <c r="M290" s="65">
        <f>SUM(J290:L290)</f>
        <v>172751</v>
      </c>
      <c r="N290" s="83">
        <f>SUM(N282:N288)</f>
        <v>82976</v>
      </c>
      <c r="O290" s="83">
        <f>SUM(O282:O288)</f>
        <v>92923</v>
      </c>
      <c r="P290" s="83">
        <f>SUM(P282:P288)</f>
        <v>91862</v>
      </c>
      <c r="Q290" s="109">
        <f>SUM(N290:P290)</f>
        <v>267761</v>
      </c>
      <c r="R290" s="65">
        <f>+E290+I290+M290+Q290</f>
        <v>745455</v>
      </c>
    </row>
    <row r="291" spans="1:18" ht="15.75" customHeight="1" x14ac:dyDescent="0.3">
      <c r="A291" s="85" t="s">
        <v>39</v>
      </c>
      <c r="B291" s="1">
        <f>(B290/B10)/1.983</f>
        <v>1553.6577033819726</v>
      </c>
      <c r="C291" s="1">
        <f>(C290/C10)/1.983</f>
        <v>591.33670683568948</v>
      </c>
      <c r="D291" s="1">
        <f>(D290/D10)/1.983</f>
        <v>555.52844338164709</v>
      </c>
      <c r="E291" s="59" t="s">
        <v>7</v>
      </c>
      <c r="F291" s="1">
        <f>(F290/F10)/1.983</f>
        <v>777.60968229954608</v>
      </c>
      <c r="G291" s="1">
        <f>(G290/G10)/1.983</f>
        <v>756.96647308574495</v>
      </c>
      <c r="H291" s="1">
        <f>(H290/H10)/1.983</f>
        <v>815.02773575390825</v>
      </c>
      <c r="I291" s="59" t="s">
        <v>7</v>
      </c>
      <c r="J291" s="1">
        <f>(J290/J10)/1.983</f>
        <v>813.86950368454438</v>
      </c>
      <c r="K291" s="1">
        <f>(K290/K10)/1.983</f>
        <v>858.0840368942462</v>
      </c>
      <c r="L291" s="1">
        <f>(L290/L10)/1.983</f>
        <v>1176.1808707345772</v>
      </c>
      <c r="M291" s="59" t="s">
        <v>7</v>
      </c>
      <c r="N291" s="1">
        <f>(N290/N10)/1.983</f>
        <v>1349.7958453304702</v>
      </c>
      <c r="O291" s="1">
        <f>(O290/O10)/1.983</f>
        <v>1561.9936123718271</v>
      </c>
      <c r="P291" s="1">
        <f>(P290/P10)/1.983</f>
        <v>1494.3471117401136</v>
      </c>
      <c r="Q291" s="110" t="s">
        <v>7</v>
      </c>
      <c r="R291" s="59" t="s">
        <v>7</v>
      </c>
    </row>
    <row r="292" spans="1:18" ht="15.75" customHeight="1" x14ac:dyDescent="0.3">
      <c r="A292" s="85" t="s">
        <v>293</v>
      </c>
      <c r="B292" s="1">
        <f>(+B290+B439)+B299</f>
        <v>141432</v>
      </c>
      <c r="C292" s="1">
        <f>(+C290+C439)+C299</f>
        <v>95205</v>
      </c>
      <c r="D292" s="1">
        <f>(+D290+D439)+D299</f>
        <v>134220</v>
      </c>
      <c r="E292" s="59">
        <f>SUM(B292:D292)</f>
        <v>370857</v>
      </c>
      <c r="F292" s="1">
        <f>(+F290+F439)+F299</f>
        <v>165598</v>
      </c>
      <c r="G292" s="1">
        <f>(+G290+G439)+G299</f>
        <v>171545</v>
      </c>
      <c r="H292" s="1">
        <f>(+H290+H439)+H299</f>
        <v>69825</v>
      </c>
      <c r="I292" s="59">
        <f>SUM(F292:H292)</f>
        <v>406968</v>
      </c>
      <c r="J292" s="1">
        <f>(+J290+J439)+J299</f>
        <v>62743</v>
      </c>
      <c r="K292" s="1">
        <f>(+K290+K439)+K299</f>
        <v>62612</v>
      </c>
      <c r="L292" s="1">
        <f>(+L290+L439)+L299</f>
        <v>137871</v>
      </c>
      <c r="M292" s="59">
        <f>SUM(J292:L292)</f>
        <v>263226</v>
      </c>
      <c r="N292" s="1">
        <f>(+N290+N439)+N299</f>
        <v>126097</v>
      </c>
      <c r="O292" s="1">
        <f>(+O290+O439)+O299</f>
        <v>123405</v>
      </c>
      <c r="P292" s="1">
        <f>(+P290+P439)+P299</f>
        <v>128667</v>
      </c>
      <c r="Q292" s="110">
        <f>SUM(N292:P292)</f>
        <v>378169</v>
      </c>
      <c r="R292" s="59">
        <f>+E292+I292+M292+Q292</f>
        <v>1419220</v>
      </c>
    </row>
    <row r="293" spans="1:18" ht="16.5" customHeight="1" thickBot="1" x14ac:dyDescent="0.35">
      <c r="A293" s="86" t="s">
        <v>294</v>
      </c>
      <c r="B293" s="87">
        <f>(B292/B10)/1.983</f>
        <v>2300.717388121614</v>
      </c>
      <c r="C293" s="87">
        <f>(C292/C10)/1.983</f>
        <v>1655.537586728572</v>
      </c>
      <c r="D293" s="87">
        <f>(D292/D10)/1.983</f>
        <v>2183.3975891854961</v>
      </c>
      <c r="E293" s="88" t="s">
        <v>7</v>
      </c>
      <c r="F293" s="87">
        <f>(F292/F10)/1.983</f>
        <v>2783.6275004202384</v>
      </c>
      <c r="G293" s="87">
        <f>(G292/G10)/1.983</f>
        <v>2790.5747238625086</v>
      </c>
      <c r="H293" s="87">
        <f>(H292/H10)/1.983</f>
        <v>1173.7266767523954</v>
      </c>
      <c r="I293" s="88" t="s">
        <v>7</v>
      </c>
      <c r="J293" s="87">
        <f>(J292/J10)/1.983</f>
        <v>1020.6594765181461</v>
      </c>
      <c r="K293" s="87">
        <f>(K292/K10)/1.983</f>
        <v>1018.5284596489515</v>
      </c>
      <c r="L293" s="87">
        <f>(L292/L10)/1.983</f>
        <v>2317.5491679273828</v>
      </c>
      <c r="M293" s="88" t="s">
        <v>7</v>
      </c>
      <c r="N293" s="87">
        <f>(N292/N10)/1.983</f>
        <v>2051.2582759910852</v>
      </c>
      <c r="O293" s="87">
        <f>(O292/O10)/1.983</f>
        <v>2074.3822491174988</v>
      </c>
      <c r="P293" s="87">
        <f>(P292/P10)/1.983</f>
        <v>2093.0652481577281</v>
      </c>
      <c r="Q293" s="111" t="s">
        <v>7</v>
      </c>
      <c r="R293" s="88" t="s">
        <v>7</v>
      </c>
    </row>
    <row r="294" spans="1:18" ht="16.5" customHeight="1" thickBot="1" x14ac:dyDescent="0.35">
      <c r="A294" s="112" t="s">
        <v>295</v>
      </c>
      <c r="B294" s="113">
        <f>+(B292-(B138+B139+B140+B141+B143+B144+B145+B147+B148+B149+B153+B155++B159+B160+B162+B163+B165+B166+B167+B168+B169+B178+B179+B180+B191+B194+B196+B197+B204+B211+B212+B213+B214+B224+B226+B227+B228+B229+B231+B232+B233+B240+B248+B249+B266+B267+B269+B270+B273+B274+B283+B287+B295)-B299)/(B10*1.983)</f>
        <v>989.57265791485679</v>
      </c>
      <c r="C294" s="113">
        <f>+(C292-(C138+C139+C140+C141+C143+C144+C145+C147+C148+C149+C153+C155++C159+C160+C162+C163+C165+C166+C167+C168+C169+C178+C179+C180+C191+C194+C196+C197+C204+C211+C212+C213+C214+C224+C226+C227+C228+C229+C231+C232+C233+C240+C248+C249+C266+C267+C269+C270+C273+C274+C283+C287+C295)-C299)/(C10*1.983)</f>
        <v>1272.5929017337019</v>
      </c>
      <c r="D294" s="113">
        <f>+(D292-(D138+D139+D140+D141+D143+D144+D145+D147+D148+D149+D153+D155++D159+D160+D162+D163+D165+D166+D167+D168+D169+D178+D179+D180+D191+D194+D196+D197+D204+D211+D212+D213+D214+D224+D226+D227+D228+D229+D231+D232+D233+D240+D248+D249+D266+D267+D269+D270+D273+D274+D283+D287+D295)-D299)/(D10*1.983)</f>
        <v>1894.2462544531743</v>
      </c>
      <c r="E294" s="114"/>
      <c r="F294" s="113">
        <f>+(F292-(F138+F139+F140+F141+F143+F144+F145+F147+F148+F149+F153+F155++F159+F160+F162+F163+F165+F166+F167+F168+F169+F178+F179+F180+F191+F194+F196+F197+F204+F211+F212+F213+F214+F224+F226+F227+F228+F229+F231+F232+F233+F240+F248+F249+F266+F267+F269+F270+F273+F274+F283+F287+F295)-F299)/(F10*1.983)</f>
        <v>2394.3183728357708</v>
      </c>
      <c r="G294" s="113">
        <f>+(G292-(G138+G139+G140+G141+G143+G144+G145+G147+G148+G149+G153+G155++G159+G160+G162+G163+G165+G166+G167+G168+G169+G178+G179+G180+G191+G194+G196+G197+G204+G211+G212+G213+G214+G224+G226+G227+G228+G229+G231+G232+G233+G240+G248+G249+G266+G267+G269+G270+G273+G274+G283+G287+G295)-G299)/(G10*1.983)</f>
        <v>2385.1934995851834</v>
      </c>
      <c r="H294" s="113">
        <f>+(H292-(H138+H139+H140+H141+H143+H144+H145+H147+H148+H149+H153+H155++H159+H160+H162+H163+H165+H166+H167+H168+H169+H178+H179+H180+H191+H194+H196+H197+H204+H211+H212+H213+H214+H224+H226+H227+H228+H229+H231+H232+H233+H240+H248+H249+H266+H267+H269+H270+H273+H274+H283+H287+H295)-H299)/(H10*1.983)</f>
        <v>2818.2887880316021</v>
      </c>
      <c r="I294" s="114"/>
      <c r="J294" s="113">
        <f>+(J292-(J138+J139+J140+J141+J143+J144+J145+J147+J148+J149+J153+J155++J159+J160+J162+J163+J165+J166+J167+J168+J169+J178+J179+J180+J191+J194+J196+J197+J204+J211+J212+J213+J214+J224+J226+J227+J228+J229+J231+J232+J233+J240+J248+J249+J266+J267+J269+J270+J273+J274+J283+J287+J295)-J299)/(J10*1.983)</f>
        <v>2671.7095310136156</v>
      </c>
      <c r="K294" s="113">
        <f>+(K292-(K138+K139+K140+K141+K143+K144+K145+K147+K148+K149+K153+K155++K159+K160+K162+K163+K165+K166+K167+K168+K169+K178+K179+K180+K191+K194+K196+K197+K204+K211+K212+K213+K214+K224+K226+K227+K228+K229+K231+K232+K233+K240+K248+K249+K266+K267+K269+K270+K273+K274+K283+K287+K295)-K299)/(K10*1.983)</f>
        <v>2456.7371040944804</v>
      </c>
      <c r="L294" s="113">
        <f>+(L292-(L138+L139+L140+L141+L143+L144+L145+L147+L148+L149+L153+L155++L159+L160+L162+L163+L165+L166+L167+L168+L169+L178+L179+L180+L191+L194+L196+L197+L204+L211+L212+L213+L214+L224+L226+L227+L228+L229+L231+L232+L233+L240+L248+L249+L266+L267+L269+L270+L273+L274+L283+L287+L295)-L299)/(L10*1.983)</f>
        <v>1621.4994116658261</v>
      </c>
      <c r="M294" s="114"/>
      <c r="N294" s="113">
        <f>+(N292-(N138+N139+N140+N141+N143+N144+N145+N147+N148+N149+N153+N155++N159+N160+N162+N163+N165+N166+N167+N168+N169+N178+N179+N180+N191+N194+N196+N197+N204+N211+N212+N213+N214+N224+N226+N227+N228+N229+N231+N232+N233+N240+N248+N249+N266+N267+N269+N270+N273+N274+N283+N287+N295)-N299)/(N10*1.983)</f>
        <v>1072.1942966830966</v>
      </c>
      <c r="O294" s="113">
        <f>+(O292-(O138+O139+O140+O141+O143+O144+O145+O147+O148+O149+O153+O155++O159+O160+O162+O163+O165+O166+O167+O168+O169+O178+O179+O180+O191+O194+O196+O197+O204+O211+O212+O213+O214+O224+O226+O227+O228+O229+O231+O232+O233+O240+O248+O249+O266+O267+O269+O270+O273+O274+O283+O287+O295)-O299)/(O10*1.983)</f>
        <v>815.96907043200531</v>
      </c>
      <c r="P294" s="113">
        <f>+(P292-(P138+P139+P140+P141+P143+P144+P145+P147+P148+P149+P153+P155++P159+P160+P162+P163+P165+P166+P167+P168+P169+P178+P179+P180+P191+P194+P196+P197+P204+P211+P212+P213+P214+P224+P226+P227+P228+P229+P231+P232+P233+P240+P248+P249+P266+P267+P269+P270+P273+P274+P283+P287+P295)-P299)/(P10*1.983)</f>
        <v>840.2062694190945</v>
      </c>
      <c r="Q294" s="115"/>
      <c r="R294" s="114"/>
    </row>
    <row r="295" spans="1:18" ht="15.75" customHeight="1" x14ac:dyDescent="0.3">
      <c r="A295" s="116" t="s">
        <v>296</v>
      </c>
      <c r="B295" s="1">
        <v>1798</v>
      </c>
      <c r="C295" s="1">
        <v>3399</v>
      </c>
      <c r="D295" s="1">
        <v>4347</v>
      </c>
      <c r="E295" s="1"/>
      <c r="F295" s="1">
        <v>2298</v>
      </c>
      <c r="G295" s="1">
        <v>2798</v>
      </c>
      <c r="H295" s="1">
        <v>2798</v>
      </c>
      <c r="I295" s="1"/>
      <c r="J295" s="1">
        <v>2698</v>
      </c>
      <c r="K295" s="1">
        <v>2798</v>
      </c>
      <c r="L295" s="1">
        <v>2598</v>
      </c>
      <c r="M295" s="1"/>
      <c r="N295" s="1">
        <v>2697</v>
      </c>
      <c r="O295" s="1">
        <v>2398</v>
      </c>
      <c r="P295" s="1">
        <v>2098</v>
      </c>
      <c r="Q295" s="1"/>
      <c r="R295" s="28"/>
    </row>
    <row r="296" spans="1:18" ht="15.75" customHeight="1" thickBot="1" x14ac:dyDescent="0.35">
      <c r="A296" s="30"/>
      <c r="B296" s="1"/>
      <c r="C296" s="1"/>
      <c r="D296" s="1"/>
      <c r="E296" s="1"/>
      <c r="F296" s="1"/>
      <c r="G296" s="1"/>
      <c r="H296" s="1"/>
      <c r="I296" s="1"/>
      <c r="J296" s="1"/>
      <c r="K296" s="1"/>
      <c r="L296" s="1"/>
      <c r="M296" s="1"/>
      <c r="N296" s="1"/>
      <c r="O296" s="1"/>
      <c r="P296" s="1"/>
      <c r="Q296" s="1"/>
      <c r="R296" s="28"/>
    </row>
    <row r="297" spans="1:18" ht="16.5" customHeight="1" thickBot="1" x14ac:dyDescent="0.35">
      <c r="A297" s="31" t="s">
        <v>297</v>
      </c>
      <c r="B297" s="32" t="s">
        <v>36</v>
      </c>
      <c r="C297" s="33" t="s">
        <v>9</v>
      </c>
      <c r="D297" s="33" t="s">
        <v>10</v>
      </c>
      <c r="E297" s="12" t="s">
        <v>11</v>
      </c>
      <c r="F297" s="33" t="s">
        <v>12</v>
      </c>
      <c r="G297" s="33" t="s">
        <v>13</v>
      </c>
      <c r="H297" s="33" t="s">
        <v>14</v>
      </c>
      <c r="I297" s="34" t="s">
        <v>15</v>
      </c>
      <c r="J297" s="33" t="s">
        <v>16</v>
      </c>
      <c r="K297" s="33" t="s">
        <v>17</v>
      </c>
      <c r="L297" s="33" t="s">
        <v>18</v>
      </c>
      <c r="M297" s="34" t="s">
        <v>19</v>
      </c>
      <c r="N297" s="33" t="s">
        <v>20</v>
      </c>
      <c r="O297" s="33" t="s">
        <v>21</v>
      </c>
      <c r="P297" s="33" t="s">
        <v>22</v>
      </c>
      <c r="Q297" s="34" t="s">
        <v>23</v>
      </c>
      <c r="R297" s="35" t="s">
        <v>24</v>
      </c>
    </row>
    <row r="298" spans="1:18" ht="16.5" customHeight="1" thickBot="1" x14ac:dyDescent="0.35">
      <c r="A298" s="80"/>
      <c r="B298" s="81"/>
      <c r="C298" s="81"/>
      <c r="D298" s="81"/>
      <c r="E298" s="89"/>
      <c r="F298" s="81"/>
      <c r="G298" s="81"/>
      <c r="H298" s="81"/>
      <c r="I298" s="89"/>
      <c r="J298" s="81"/>
      <c r="K298" s="81"/>
      <c r="L298" s="81"/>
      <c r="M298" s="89"/>
      <c r="N298" s="81"/>
      <c r="O298" s="81"/>
      <c r="P298" s="81"/>
      <c r="Q298" s="89"/>
      <c r="R298" s="117"/>
    </row>
    <row r="299" spans="1:18" ht="15.75" customHeight="1" thickBot="1" x14ac:dyDescent="0.35">
      <c r="A299" s="74" t="s">
        <v>298</v>
      </c>
      <c r="B299" s="1"/>
      <c r="C299" s="1"/>
      <c r="D299" s="1"/>
      <c r="E299" s="59">
        <f>SUM(B299:D299)</f>
        <v>0</v>
      </c>
      <c r="F299" s="1"/>
      <c r="G299" s="1"/>
      <c r="H299" s="1">
        <v>-114000</v>
      </c>
      <c r="I299" s="59">
        <f>SUM(F299:H299)</f>
        <v>-114000</v>
      </c>
      <c r="J299" s="1">
        <v>-115000</v>
      </c>
      <c r="K299" s="1">
        <v>-100000</v>
      </c>
      <c r="L299" s="1"/>
      <c r="M299" s="59">
        <f>SUM(J299:L299)</f>
        <v>-215000</v>
      </c>
      <c r="N299" s="1"/>
      <c r="O299" s="1"/>
      <c r="P299" s="1"/>
      <c r="Q299" s="59">
        <f>SUM(N299:P299)</f>
        <v>0</v>
      </c>
      <c r="R299" s="59">
        <f>+E299+I299+M299+Q299</f>
        <v>-329000</v>
      </c>
    </row>
    <row r="300" spans="1:18" ht="16.5" customHeight="1" thickBot="1" x14ac:dyDescent="0.35">
      <c r="A300" s="118"/>
      <c r="B300" s="119"/>
      <c r="C300" s="119"/>
      <c r="D300" s="119"/>
      <c r="E300" s="120"/>
      <c r="F300" s="119"/>
      <c r="G300" s="119"/>
      <c r="H300" s="119"/>
      <c r="I300" s="120"/>
      <c r="J300" s="119"/>
      <c r="K300" s="119"/>
      <c r="L300" s="119"/>
      <c r="M300" s="120"/>
      <c r="N300" s="119"/>
      <c r="O300" s="119"/>
      <c r="P300" s="119"/>
      <c r="Q300" s="120"/>
      <c r="R300" s="121"/>
    </row>
    <row r="301" spans="1:18" ht="15.75" customHeight="1" x14ac:dyDescent="0.3">
      <c r="A301" s="17" t="s">
        <v>32</v>
      </c>
      <c r="B301" s="1">
        <f>B299</f>
        <v>0</v>
      </c>
      <c r="C301" s="1">
        <f>C299</f>
        <v>0</v>
      </c>
      <c r="D301" s="1">
        <f>D299</f>
        <v>0</v>
      </c>
      <c r="E301" s="59">
        <f>SUM(B301:D301)</f>
        <v>0</v>
      </c>
      <c r="F301" s="1">
        <f>F299</f>
        <v>0</v>
      </c>
      <c r="G301" s="1">
        <f>G299</f>
        <v>0</v>
      </c>
      <c r="H301" s="1">
        <f>H299</f>
        <v>-114000</v>
      </c>
      <c r="I301" s="59">
        <f>SUM(F301:H301)</f>
        <v>-114000</v>
      </c>
      <c r="J301" s="1">
        <f>J299</f>
        <v>-115000</v>
      </c>
      <c r="K301" s="1">
        <f>K299</f>
        <v>-100000</v>
      </c>
      <c r="L301" s="1">
        <f>L299</f>
        <v>0</v>
      </c>
      <c r="M301" s="59">
        <f>SUM(J301:L301)</f>
        <v>-215000</v>
      </c>
      <c r="N301" s="1">
        <f>N299</f>
        <v>0</v>
      </c>
      <c r="O301" s="1">
        <f>O299</f>
        <v>0</v>
      </c>
      <c r="P301" s="1">
        <f>P299</f>
        <v>0</v>
      </c>
      <c r="Q301" s="59">
        <f>SUM(N301:P301)</f>
        <v>0</v>
      </c>
      <c r="R301" s="122">
        <f>R299</f>
        <v>-329000</v>
      </c>
    </row>
    <row r="302" spans="1:18" ht="16.5" customHeight="1" thickBot="1" x14ac:dyDescent="0.35">
      <c r="A302" s="24" t="s">
        <v>39</v>
      </c>
      <c r="B302" s="25">
        <f>(B301/B10)/1.983</f>
        <v>0</v>
      </c>
      <c r="C302" s="25">
        <f>(C301/C10)/1.983</f>
        <v>0</v>
      </c>
      <c r="D302" s="25">
        <f>(D301/D10)/1.983</f>
        <v>0</v>
      </c>
      <c r="E302" s="88"/>
      <c r="F302" s="25">
        <f>(F301/F10)/1.983</f>
        <v>0</v>
      </c>
      <c r="G302" s="25">
        <f>(G301/G10)/1.983</f>
        <v>0</v>
      </c>
      <c r="H302" s="25">
        <f>(H301/H10)/1.983</f>
        <v>-1916.2884518406454</v>
      </c>
      <c r="I302" s="88"/>
      <c r="J302" s="25">
        <f>(J301/J10)/1.983</f>
        <v>-1870.7399996746537</v>
      </c>
      <c r="K302" s="25">
        <f>(K301/K10)/1.983</f>
        <v>-1626.730434499699</v>
      </c>
      <c r="L302" s="25">
        <f>(L301/L10)/1.983</f>
        <v>0</v>
      </c>
      <c r="M302" s="88"/>
      <c r="N302" s="25">
        <f>(N301/N10)/1.983</f>
        <v>0</v>
      </c>
      <c r="O302" s="25">
        <f>(O301/O10)/1.983</f>
        <v>0</v>
      </c>
      <c r="P302" s="25">
        <f>(P301/P10)/1.983</f>
        <v>0</v>
      </c>
      <c r="Q302" s="88"/>
      <c r="R302" s="117" t="s">
        <v>7</v>
      </c>
    </row>
    <row r="303" spans="1:18" ht="15.75" customHeight="1" x14ac:dyDescent="0.3">
      <c r="A303" s="28"/>
      <c r="B303" s="1"/>
      <c r="C303" s="1"/>
      <c r="D303" s="1"/>
      <c r="E303" s="1"/>
      <c r="F303" s="1"/>
      <c r="G303" s="1"/>
      <c r="H303" s="1"/>
      <c r="I303" s="1"/>
      <c r="J303" s="1"/>
      <c r="K303" s="1"/>
      <c r="L303" s="1"/>
      <c r="M303" s="1"/>
      <c r="N303" s="1"/>
      <c r="O303" s="1"/>
      <c r="P303" s="1"/>
      <c r="Q303" s="1"/>
      <c r="R303" s="28"/>
    </row>
    <row r="304" spans="1:18" ht="16.5" customHeight="1" thickBot="1" x14ac:dyDescent="0.35">
      <c r="A304" s="123"/>
      <c r="B304" s="25"/>
      <c r="C304" s="25"/>
      <c r="D304" s="25"/>
      <c r="E304" s="25"/>
      <c r="F304" s="25"/>
      <c r="G304" s="25"/>
      <c r="H304" s="25"/>
      <c r="I304" s="25"/>
      <c r="J304" s="25"/>
      <c r="K304" s="25"/>
      <c r="L304" s="25"/>
      <c r="M304" s="25"/>
      <c r="N304" s="25"/>
      <c r="O304" s="25"/>
      <c r="P304" s="25"/>
      <c r="Q304" s="25"/>
      <c r="R304" s="123"/>
    </row>
    <row r="305" spans="1:20" ht="16.5" customHeight="1" thickBot="1" x14ac:dyDescent="0.35">
      <c r="A305" s="124" t="s">
        <v>299</v>
      </c>
      <c r="B305" s="32" t="s">
        <v>36</v>
      </c>
      <c r="C305" s="33" t="s">
        <v>9</v>
      </c>
      <c r="D305" s="33" t="s">
        <v>10</v>
      </c>
      <c r="E305" s="12" t="s">
        <v>11</v>
      </c>
      <c r="F305" s="33" t="s">
        <v>12</v>
      </c>
      <c r="G305" s="33" t="s">
        <v>13</v>
      </c>
      <c r="H305" s="33" t="s">
        <v>14</v>
      </c>
      <c r="I305" s="34" t="s">
        <v>15</v>
      </c>
      <c r="J305" s="33" t="s">
        <v>16</v>
      </c>
      <c r="K305" s="33" t="s">
        <v>17</v>
      </c>
      <c r="L305" s="33" t="s">
        <v>18</v>
      </c>
      <c r="M305" s="34" t="s">
        <v>19</v>
      </c>
      <c r="N305" s="33" t="s">
        <v>20</v>
      </c>
      <c r="O305" s="33" t="s">
        <v>21</v>
      </c>
      <c r="P305" s="33" t="s">
        <v>22</v>
      </c>
      <c r="Q305" s="34" t="s">
        <v>23</v>
      </c>
      <c r="R305" s="35" t="s">
        <v>24</v>
      </c>
    </row>
    <row r="306" spans="1:20" ht="16.5" customHeight="1" thickBot="1" x14ac:dyDescent="0.35">
      <c r="A306" s="64"/>
      <c r="B306" s="81"/>
      <c r="C306" s="81"/>
      <c r="D306" s="81"/>
      <c r="E306" s="72"/>
      <c r="F306" s="81"/>
      <c r="G306" s="81"/>
      <c r="H306" s="81"/>
      <c r="I306" s="89"/>
      <c r="J306" s="81"/>
      <c r="K306" s="81"/>
      <c r="L306" s="81"/>
      <c r="M306" s="89"/>
      <c r="N306" s="81"/>
      <c r="O306" s="81"/>
      <c r="P306" s="81"/>
      <c r="Q306" s="89"/>
      <c r="R306" s="122"/>
    </row>
    <row r="307" spans="1:20" ht="15.75" customHeight="1" x14ac:dyDescent="0.3">
      <c r="A307" s="17" t="s">
        <v>45</v>
      </c>
      <c r="B307" s="1" t="s">
        <v>7</v>
      </c>
      <c r="C307" s="1" t="s">
        <v>7</v>
      </c>
      <c r="D307" s="1" t="s">
        <v>7</v>
      </c>
      <c r="E307" s="59" t="s">
        <v>7</v>
      </c>
      <c r="F307" s="1" t="s">
        <v>7</v>
      </c>
      <c r="G307" s="1" t="s">
        <v>7</v>
      </c>
      <c r="H307" s="1" t="s">
        <v>7</v>
      </c>
      <c r="I307" s="59" t="s">
        <v>7</v>
      </c>
      <c r="J307" s="1" t="s">
        <v>7</v>
      </c>
      <c r="K307" s="1" t="s">
        <v>7</v>
      </c>
      <c r="L307" s="1" t="s">
        <v>7</v>
      </c>
      <c r="M307" s="59" t="s">
        <v>7</v>
      </c>
      <c r="N307" s="1" t="s">
        <v>7</v>
      </c>
      <c r="O307" s="1" t="s">
        <v>7</v>
      </c>
      <c r="P307" s="1" t="s">
        <v>7</v>
      </c>
      <c r="Q307" s="59" t="s">
        <v>7</v>
      </c>
      <c r="R307" s="65" t="s">
        <v>7</v>
      </c>
    </row>
    <row r="308" spans="1:20" ht="15.75" customHeight="1" x14ac:dyDescent="0.3">
      <c r="A308" s="17" t="s">
        <v>46</v>
      </c>
      <c r="B308" s="1"/>
      <c r="C308" s="1"/>
      <c r="D308" s="1"/>
      <c r="E308" s="59" t="s">
        <v>7</v>
      </c>
      <c r="F308" s="1"/>
      <c r="G308" s="1"/>
      <c r="H308" s="1"/>
      <c r="I308" s="59" t="s">
        <v>7</v>
      </c>
      <c r="J308" s="1"/>
      <c r="K308" s="1"/>
      <c r="L308" s="1"/>
      <c r="M308" s="59" t="s">
        <v>7</v>
      </c>
      <c r="N308" s="1"/>
      <c r="O308" s="1"/>
      <c r="P308" s="1"/>
      <c r="Q308" s="59" t="s">
        <v>7</v>
      </c>
      <c r="R308" s="59" t="s">
        <v>7</v>
      </c>
    </row>
    <row r="309" spans="1:20" ht="15.75" customHeight="1" x14ac:dyDescent="0.3">
      <c r="A309" s="76" t="s">
        <v>300</v>
      </c>
      <c r="B309" s="1"/>
      <c r="C309" s="321"/>
      <c r="D309" s="1"/>
      <c r="E309" s="59">
        <f t="shared" ref="E309:E332" si="59">SUM(B309:D309)</f>
        <v>0</v>
      </c>
      <c r="F309" s="1"/>
      <c r="G309" s="1"/>
      <c r="H309" s="1"/>
      <c r="I309" s="59">
        <f t="shared" ref="I309:I332" si="60">SUM(F309:H309)</f>
        <v>0</v>
      </c>
      <c r="J309" s="1"/>
      <c r="K309" s="1"/>
      <c r="L309" s="1"/>
      <c r="M309" s="59">
        <f t="shared" ref="M309:M332" si="61">SUM(J309:L309)</f>
        <v>0</v>
      </c>
      <c r="N309" s="1">
        <v>15</v>
      </c>
      <c r="O309" s="1">
        <f>1+3+94</f>
        <v>98</v>
      </c>
      <c r="P309" s="1">
        <f>1+3+99</f>
        <v>103</v>
      </c>
      <c r="Q309" s="59">
        <f t="shared" ref="Q309:Q332" si="62">SUM(N309:P309)</f>
        <v>216</v>
      </c>
      <c r="R309" s="59">
        <f t="shared" ref="R309:R332" si="63">+E309+I309+M309+Q309</f>
        <v>216</v>
      </c>
      <c r="T309" s="4" t="s">
        <v>301</v>
      </c>
    </row>
    <row r="310" spans="1:20" ht="15.75" customHeight="1" x14ac:dyDescent="0.3">
      <c r="A310" s="76" t="s">
        <v>303</v>
      </c>
      <c r="B310" s="1"/>
      <c r="C310" s="321"/>
      <c r="D310" s="1"/>
      <c r="E310" s="59">
        <f t="shared" si="59"/>
        <v>0</v>
      </c>
      <c r="F310" s="1"/>
      <c r="G310" s="1"/>
      <c r="H310" s="1"/>
      <c r="I310" s="59">
        <f t="shared" si="60"/>
        <v>0</v>
      </c>
      <c r="J310" s="1">
        <v>250</v>
      </c>
      <c r="K310" s="1"/>
      <c r="L310" s="1"/>
      <c r="M310" s="59">
        <f t="shared" si="61"/>
        <v>250</v>
      </c>
      <c r="N310" s="1"/>
      <c r="O310" s="1"/>
      <c r="P310" s="1"/>
      <c r="Q310" s="59">
        <f t="shared" si="62"/>
        <v>0</v>
      </c>
      <c r="R310" s="59">
        <f t="shared" si="63"/>
        <v>250</v>
      </c>
    </row>
    <row r="311" spans="1:20" ht="15.75" customHeight="1" x14ac:dyDescent="0.3">
      <c r="A311" s="76" t="s">
        <v>304</v>
      </c>
      <c r="B311" s="1">
        <v>169</v>
      </c>
      <c r="C311" s="1">
        <v>160</v>
      </c>
      <c r="D311" s="1">
        <v>245</v>
      </c>
      <c r="E311" s="59">
        <f t="shared" si="59"/>
        <v>574</v>
      </c>
      <c r="F311" s="1">
        <v>250</v>
      </c>
      <c r="G311" s="1">
        <v>275</v>
      </c>
      <c r="H311" s="1">
        <v>302</v>
      </c>
      <c r="I311" s="59">
        <f t="shared" si="60"/>
        <v>827</v>
      </c>
      <c r="J311" s="1">
        <v>307</v>
      </c>
      <c r="K311" s="1">
        <v>264</v>
      </c>
      <c r="L311" s="1">
        <v>228</v>
      </c>
      <c r="M311" s="59">
        <f t="shared" si="61"/>
        <v>799</v>
      </c>
      <c r="N311" s="1">
        <v>265</v>
      </c>
      <c r="O311" s="1">
        <v>203</v>
      </c>
      <c r="P311" s="1">
        <v>168</v>
      </c>
      <c r="Q311" s="59">
        <f t="shared" si="62"/>
        <v>636</v>
      </c>
      <c r="R311" s="59">
        <f t="shared" si="63"/>
        <v>2836</v>
      </c>
      <c r="T311" s="4" t="s">
        <v>305</v>
      </c>
    </row>
    <row r="312" spans="1:20" ht="15.75" customHeight="1" x14ac:dyDescent="0.3">
      <c r="A312" s="76" t="s">
        <v>308</v>
      </c>
      <c r="B312" s="1"/>
      <c r="C312" s="1"/>
      <c r="D312" s="1"/>
      <c r="E312" s="59">
        <f t="shared" si="59"/>
        <v>0</v>
      </c>
      <c r="F312" s="1"/>
      <c r="G312" s="1"/>
      <c r="H312" s="1"/>
      <c r="I312" s="59">
        <f t="shared" si="60"/>
        <v>0</v>
      </c>
      <c r="J312" s="1"/>
      <c r="K312" s="1"/>
      <c r="L312" s="1">
        <v>400</v>
      </c>
      <c r="M312" s="59">
        <f t="shared" si="61"/>
        <v>400</v>
      </c>
      <c r="N312" s="1"/>
      <c r="O312" s="1"/>
      <c r="P312" s="1"/>
      <c r="Q312" s="59">
        <f t="shared" si="62"/>
        <v>0</v>
      </c>
      <c r="R312" s="59">
        <f t="shared" si="63"/>
        <v>400</v>
      </c>
      <c r="T312" s="4" t="s">
        <v>307</v>
      </c>
    </row>
    <row r="313" spans="1:20" ht="15.75" customHeight="1" x14ac:dyDescent="0.3">
      <c r="A313" s="76" t="s">
        <v>309</v>
      </c>
      <c r="B313" s="1"/>
      <c r="C313" s="1"/>
      <c r="D313" s="1"/>
      <c r="E313" s="59">
        <f>SUM(B313:D313)</f>
        <v>0</v>
      </c>
      <c r="F313" s="1">
        <v>2500</v>
      </c>
      <c r="G313" s="1"/>
      <c r="H313" s="1"/>
      <c r="I313" s="59">
        <f>SUM(F313:H313)</f>
        <v>2500</v>
      </c>
      <c r="J313" s="1"/>
      <c r="K313" s="1"/>
      <c r="L313" s="1"/>
      <c r="M313" s="59">
        <f>SUM(J313:L313)</f>
        <v>0</v>
      </c>
      <c r="N313" s="1"/>
      <c r="O313" s="1"/>
      <c r="P313" s="1"/>
      <c r="Q313" s="59">
        <f>SUM(N313:P313)</f>
        <v>0</v>
      </c>
      <c r="R313" s="59">
        <f t="shared" si="63"/>
        <v>2500</v>
      </c>
      <c r="T313" s="4" t="s">
        <v>305</v>
      </c>
    </row>
    <row r="314" spans="1:20" ht="15.75" customHeight="1" x14ac:dyDescent="0.3">
      <c r="A314" s="76" t="s">
        <v>310</v>
      </c>
      <c r="B314" s="1"/>
      <c r="C314" s="1"/>
      <c r="D314" s="1"/>
      <c r="E314" s="59">
        <f>SUM(B314:D314)</f>
        <v>0</v>
      </c>
      <c r="F314" s="1"/>
      <c r="G314" s="1"/>
      <c r="H314" s="1"/>
      <c r="I314" s="59">
        <f>SUM(F314:H314)</f>
        <v>0</v>
      </c>
      <c r="J314" s="1"/>
      <c r="K314" s="1"/>
      <c r="L314" s="1">
        <v>600</v>
      </c>
      <c r="M314" s="59">
        <f>SUM(J314:L314)</f>
        <v>600</v>
      </c>
      <c r="N314" s="1"/>
      <c r="O314" s="1"/>
      <c r="P314" s="1"/>
      <c r="Q314" s="59">
        <f>SUM(N314:P314)</f>
        <v>0</v>
      </c>
      <c r="R314" s="59">
        <f t="shared" si="63"/>
        <v>600</v>
      </c>
      <c r="T314" s="4" t="s">
        <v>307</v>
      </c>
    </row>
    <row r="315" spans="1:20" ht="15.75" customHeight="1" x14ac:dyDescent="0.3">
      <c r="A315" s="76" t="s">
        <v>312</v>
      </c>
      <c r="B315" s="1">
        <f>15+70</f>
        <v>85</v>
      </c>
      <c r="C315" s="1">
        <f>15+80</f>
        <v>95</v>
      </c>
      <c r="D315" s="1">
        <f>30+120</f>
        <v>150</v>
      </c>
      <c r="E315" s="59">
        <f>SUM(B315:D315)</f>
        <v>330</v>
      </c>
      <c r="F315" s="1">
        <f>35+200</f>
        <v>235</v>
      </c>
      <c r="G315" s="1">
        <f>40+330</f>
        <v>370</v>
      </c>
      <c r="H315" s="1">
        <f>60+330</f>
        <v>390</v>
      </c>
      <c r="I315" s="59">
        <f>SUM(F315:H315)</f>
        <v>995</v>
      </c>
      <c r="J315" s="1">
        <f>60+295</f>
        <v>355</v>
      </c>
      <c r="K315" s="1">
        <f>50+280</f>
        <v>330</v>
      </c>
      <c r="L315" s="1">
        <f>40+240</f>
        <v>280</v>
      </c>
      <c r="M315" s="59">
        <f>SUM(J315:L315)</f>
        <v>965</v>
      </c>
      <c r="N315" s="1">
        <f>35+330</f>
        <v>365</v>
      </c>
      <c r="O315" s="1">
        <f>30+130</f>
        <v>160</v>
      </c>
      <c r="P315" s="1">
        <f>15+110</f>
        <v>125</v>
      </c>
      <c r="Q315" s="59">
        <f>SUM(N315:P315)</f>
        <v>650</v>
      </c>
      <c r="R315" s="59">
        <f>+E315+I315+M315+Q315</f>
        <v>2940</v>
      </c>
      <c r="T315" s="4" t="s">
        <v>313</v>
      </c>
    </row>
    <row r="316" spans="1:20" ht="15.75" customHeight="1" x14ac:dyDescent="0.3">
      <c r="A316" s="76" t="s">
        <v>316</v>
      </c>
      <c r="B316" s="1"/>
      <c r="C316" s="1"/>
      <c r="D316" s="1"/>
      <c r="E316" s="59">
        <f>SUM(B316:D316)</f>
        <v>0</v>
      </c>
      <c r="F316" s="1"/>
      <c r="G316" s="1"/>
      <c r="H316" s="1">
        <v>1600</v>
      </c>
      <c r="I316" s="59">
        <f>SUM(F316:H316)</f>
        <v>1600</v>
      </c>
      <c r="J316" s="1"/>
      <c r="K316" s="1"/>
      <c r="L316" s="1"/>
      <c r="M316" s="59">
        <f>SUM(J316:L316)</f>
        <v>0</v>
      </c>
      <c r="N316" s="1"/>
      <c r="O316" s="1"/>
      <c r="P316" s="1"/>
      <c r="Q316" s="59">
        <f>SUM(N316:P316)</f>
        <v>0</v>
      </c>
      <c r="R316" s="59">
        <f>+E316+I316+M316+Q316</f>
        <v>1600</v>
      </c>
      <c r="T316" s="4" t="s">
        <v>317</v>
      </c>
    </row>
    <row r="317" spans="1:20" ht="15.75" customHeight="1" x14ac:dyDescent="0.3">
      <c r="A317" s="76" t="s">
        <v>912</v>
      </c>
      <c r="B317" s="1"/>
      <c r="C317" s="1"/>
      <c r="D317" s="1"/>
      <c r="E317" s="59">
        <f>SUM(B317:D317)</f>
        <v>0</v>
      </c>
      <c r="F317" s="1"/>
      <c r="G317" s="1">
        <v>315</v>
      </c>
      <c r="H317" s="1"/>
      <c r="I317" s="59">
        <f>SUM(F317:H317)</f>
        <v>315</v>
      </c>
      <c r="J317" s="1"/>
      <c r="K317" s="1"/>
      <c r="L317" s="1"/>
      <c r="M317" s="59">
        <f>SUM(J317:L317)</f>
        <v>0</v>
      </c>
      <c r="N317" s="1"/>
      <c r="O317" s="1"/>
      <c r="P317" s="1"/>
      <c r="Q317" s="59">
        <f>SUM(N317:P317)</f>
        <v>0</v>
      </c>
      <c r="R317" s="59">
        <f>+E317+I317+M317+Q317</f>
        <v>315</v>
      </c>
    </row>
    <row r="318" spans="1:20" ht="15.75" customHeight="1" x14ac:dyDescent="0.3">
      <c r="A318" s="76" t="s">
        <v>321</v>
      </c>
      <c r="B318" s="1">
        <v>528</v>
      </c>
      <c r="C318" s="1">
        <v>1000</v>
      </c>
      <c r="D318" s="1">
        <v>1000</v>
      </c>
      <c r="E318" s="59">
        <f t="shared" si="59"/>
        <v>2528</v>
      </c>
      <c r="F318" s="1">
        <v>24</v>
      </c>
      <c r="G318" s="1"/>
      <c r="H318" s="1"/>
      <c r="I318" s="59">
        <f t="shared" si="60"/>
        <v>24</v>
      </c>
      <c r="J318" s="1"/>
      <c r="K318" s="1"/>
      <c r="L318" s="1"/>
      <c r="M318" s="59">
        <f t="shared" si="61"/>
        <v>0</v>
      </c>
      <c r="N318" s="1"/>
      <c r="O318" s="1"/>
      <c r="P318" s="1"/>
      <c r="Q318" s="59">
        <f t="shared" si="62"/>
        <v>0</v>
      </c>
      <c r="R318" s="59">
        <f t="shared" si="63"/>
        <v>2552</v>
      </c>
      <c r="T318" s="4" t="s">
        <v>315</v>
      </c>
    </row>
    <row r="319" spans="1:20" ht="15.75" customHeight="1" x14ac:dyDescent="0.3">
      <c r="A319" s="76" t="s">
        <v>322</v>
      </c>
      <c r="B319" s="1"/>
      <c r="C319" s="1"/>
      <c r="D319" s="1"/>
      <c r="E319" s="59">
        <f t="shared" si="59"/>
        <v>0</v>
      </c>
      <c r="F319" s="1"/>
      <c r="G319" s="1"/>
      <c r="H319" s="1"/>
      <c r="I319" s="59">
        <f t="shared" si="60"/>
        <v>0</v>
      </c>
      <c r="J319" s="1"/>
      <c r="K319" s="1">
        <v>1142</v>
      </c>
      <c r="L319" s="1">
        <v>1105</v>
      </c>
      <c r="M319" s="59">
        <f t="shared" si="61"/>
        <v>2247</v>
      </c>
      <c r="N319" s="1">
        <v>1142</v>
      </c>
      <c r="O319" s="1">
        <v>1105</v>
      </c>
      <c r="P319" s="1">
        <v>1142</v>
      </c>
      <c r="Q319" s="59">
        <f t="shared" si="62"/>
        <v>3389</v>
      </c>
      <c r="R319" s="59">
        <f t="shared" si="63"/>
        <v>5636</v>
      </c>
      <c r="T319" s="4" t="s">
        <v>217</v>
      </c>
    </row>
    <row r="320" spans="1:20" ht="15.75" customHeight="1" x14ac:dyDescent="0.3">
      <c r="A320" s="76" t="s">
        <v>887</v>
      </c>
      <c r="B320" s="1">
        <v>3</v>
      </c>
      <c r="C320" s="1">
        <v>27</v>
      </c>
      <c r="D320" s="1">
        <v>38</v>
      </c>
      <c r="E320" s="59">
        <f t="shared" si="59"/>
        <v>68</v>
      </c>
      <c r="F320" s="1">
        <v>45</v>
      </c>
      <c r="G320" s="1">
        <v>55</v>
      </c>
      <c r="H320" s="1">
        <f>1600+80</f>
        <v>1680</v>
      </c>
      <c r="I320" s="59">
        <f t="shared" si="60"/>
        <v>1780</v>
      </c>
      <c r="J320" s="1">
        <v>60</v>
      </c>
      <c r="K320" s="1">
        <v>50</v>
      </c>
      <c r="L320" s="1">
        <v>36</v>
      </c>
      <c r="M320" s="59">
        <f t="shared" si="61"/>
        <v>146</v>
      </c>
      <c r="N320" s="1">
        <v>70</v>
      </c>
      <c r="O320" s="1">
        <v>22</v>
      </c>
      <c r="P320" s="1">
        <v>25</v>
      </c>
      <c r="Q320" s="59">
        <f t="shared" si="62"/>
        <v>117</v>
      </c>
      <c r="R320" s="59">
        <f t="shared" si="63"/>
        <v>2111</v>
      </c>
      <c r="T320" s="4" t="s">
        <v>305</v>
      </c>
    </row>
    <row r="321" spans="1:20" ht="15.75" customHeight="1" x14ac:dyDescent="0.3">
      <c r="A321" s="76" t="s">
        <v>325</v>
      </c>
      <c r="B321" s="1"/>
      <c r="C321" s="1"/>
      <c r="D321" s="1"/>
      <c r="E321" s="59">
        <f t="shared" si="59"/>
        <v>0</v>
      </c>
      <c r="F321" s="1"/>
      <c r="G321" s="1"/>
      <c r="H321" s="1">
        <v>2048</v>
      </c>
      <c r="I321" s="59">
        <f t="shared" si="60"/>
        <v>2048</v>
      </c>
      <c r="J321" s="1"/>
      <c r="K321" s="1"/>
      <c r="L321" s="1"/>
      <c r="M321" s="59">
        <f t="shared" si="61"/>
        <v>0</v>
      </c>
      <c r="N321" s="1"/>
      <c r="O321" s="1"/>
      <c r="P321" s="1"/>
      <c r="Q321" s="59">
        <f t="shared" si="62"/>
        <v>0</v>
      </c>
      <c r="R321" s="59">
        <f t="shared" si="63"/>
        <v>2048</v>
      </c>
      <c r="T321" s="4" t="s">
        <v>305</v>
      </c>
    </row>
    <row r="322" spans="1:20" ht="15.75" customHeight="1" x14ac:dyDescent="0.3">
      <c r="A322" s="76" t="s">
        <v>327</v>
      </c>
      <c r="B322" s="1"/>
      <c r="C322" s="1"/>
      <c r="D322" s="1"/>
      <c r="E322" s="59">
        <f>SUM(B322:D322)</f>
        <v>0</v>
      </c>
      <c r="F322" s="1"/>
      <c r="G322" s="1"/>
      <c r="H322" s="1"/>
      <c r="I322" s="59">
        <f>SUM(F322:H322)</f>
        <v>0</v>
      </c>
      <c r="J322" s="1"/>
      <c r="K322" s="1"/>
      <c r="L322" s="1"/>
      <c r="M322" s="59">
        <f>SUM(J322:L322)</f>
        <v>0</v>
      </c>
      <c r="N322" s="1"/>
      <c r="O322" s="1"/>
      <c r="P322" s="1"/>
      <c r="Q322" s="59">
        <f>SUM(N322:P322)</f>
        <v>0</v>
      </c>
      <c r="R322" s="59">
        <f t="shared" si="63"/>
        <v>0</v>
      </c>
      <c r="T322" s="4" t="s">
        <v>315</v>
      </c>
    </row>
    <row r="323" spans="1:20" ht="15.75" customHeight="1" x14ac:dyDescent="0.3">
      <c r="A323" s="76" t="s">
        <v>328</v>
      </c>
      <c r="B323" s="1"/>
      <c r="C323" s="1"/>
      <c r="D323" s="1"/>
      <c r="E323" s="59">
        <f t="shared" si="59"/>
        <v>0</v>
      </c>
      <c r="F323" s="1"/>
      <c r="G323" s="1"/>
      <c r="H323" s="1"/>
      <c r="I323" s="59">
        <f t="shared" si="60"/>
        <v>0</v>
      </c>
      <c r="J323" s="1">
        <v>90</v>
      </c>
      <c r="K323" s="1">
        <v>1142</v>
      </c>
      <c r="L323" s="1">
        <v>1105</v>
      </c>
      <c r="M323" s="59">
        <f t="shared" si="61"/>
        <v>2337</v>
      </c>
      <c r="N323" s="1">
        <v>1142</v>
      </c>
      <c r="O323" s="1">
        <v>1105</v>
      </c>
      <c r="P323" s="1">
        <v>951</v>
      </c>
      <c r="Q323" s="59">
        <f t="shared" si="62"/>
        <v>3198</v>
      </c>
      <c r="R323" s="59">
        <f t="shared" si="63"/>
        <v>5535</v>
      </c>
      <c r="T323" s="4" t="s">
        <v>217</v>
      </c>
    </row>
    <row r="324" spans="1:20" ht="15.75" customHeight="1" x14ac:dyDescent="0.3">
      <c r="A324" s="76" t="s">
        <v>329</v>
      </c>
      <c r="B324" s="1"/>
      <c r="C324" s="1"/>
      <c r="D324" s="1"/>
      <c r="E324" s="59">
        <f>SUM(B324:D324)</f>
        <v>0</v>
      </c>
      <c r="F324" s="1"/>
      <c r="G324" s="1"/>
      <c r="H324" s="1"/>
      <c r="I324" s="59">
        <f>SUM(F324:H324)</f>
        <v>0</v>
      </c>
      <c r="J324" s="1"/>
      <c r="K324" s="1"/>
      <c r="L324" s="1"/>
      <c r="M324" s="59">
        <f>SUM(J324:L324)</f>
        <v>0</v>
      </c>
      <c r="N324" s="1"/>
      <c r="O324" s="1"/>
      <c r="P324" s="1"/>
      <c r="Q324" s="59">
        <f>SUM(N324:P324)</f>
        <v>0</v>
      </c>
      <c r="R324" s="59">
        <f t="shared" si="63"/>
        <v>0</v>
      </c>
      <c r="T324" s="4" t="s">
        <v>315</v>
      </c>
    </row>
    <row r="325" spans="1:20" ht="15.75" customHeight="1" x14ac:dyDescent="0.3">
      <c r="A325" s="76" t="s">
        <v>330</v>
      </c>
      <c r="B325" s="1"/>
      <c r="C325" s="1"/>
      <c r="D325" s="1"/>
      <c r="E325" s="59">
        <f t="shared" si="59"/>
        <v>0</v>
      </c>
      <c r="F325" s="1"/>
      <c r="G325" s="1"/>
      <c r="H325" s="1"/>
      <c r="I325" s="59">
        <f t="shared" si="60"/>
        <v>0</v>
      </c>
      <c r="J325" s="1"/>
      <c r="K325" s="1"/>
      <c r="L325" s="1"/>
      <c r="M325" s="59">
        <f t="shared" si="61"/>
        <v>0</v>
      </c>
      <c r="N325" s="1"/>
      <c r="O325" s="1"/>
      <c r="P325" s="1"/>
      <c r="Q325" s="59">
        <f t="shared" si="62"/>
        <v>0</v>
      </c>
      <c r="R325" s="59">
        <f t="shared" si="63"/>
        <v>0</v>
      </c>
      <c r="S325" s="125"/>
      <c r="T325" s="4" t="s">
        <v>331</v>
      </c>
    </row>
    <row r="326" spans="1:20" ht="15.75" customHeight="1" x14ac:dyDescent="0.3">
      <c r="A326" s="76" t="s">
        <v>332</v>
      </c>
      <c r="B326" s="1">
        <v>15</v>
      </c>
      <c r="C326" s="1">
        <v>13</v>
      </c>
      <c r="D326" s="1">
        <v>23</v>
      </c>
      <c r="E326" s="59">
        <f>SUM(B326:D326)</f>
        <v>51</v>
      </c>
      <c r="F326" s="1">
        <v>25</v>
      </c>
      <c r="G326" s="1">
        <v>61</v>
      </c>
      <c r="H326" s="1">
        <v>66</v>
      </c>
      <c r="I326" s="59">
        <f>SUM(F326:H326)</f>
        <v>152</v>
      </c>
      <c r="J326" s="1">
        <v>69</v>
      </c>
      <c r="K326" s="1">
        <v>65</v>
      </c>
      <c r="L326" s="1">
        <v>54</v>
      </c>
      <c r="M326" s="59">
        <f>SUM(J326:L326)</f>
        <v>188</v>
      </c>
      <c r="N326" s="1">
        <v>56</v>
      </c>
      <c r="O326" s="1">
        <v>55</v>
      </c>
      <c r="P326" s="1">
        <v>48</v>
      </c>
      <c r="Q326" s="59">
        <f>SUM(N326:P326)</f>
        <v>159</v>
      </c>
      <c r="R326" s="59">
        <f>+E326+I326+M326+Q326</f>
        <v>550</v>
      </c>
      <c r="T326" s="4" t="s">
        <v>127</v>
      </c>
    </row>
    <row r="327" spans="1:20" ht="15.75" customHeight="1" x14ac:dyDescent="0.3">
      <c r="A327" s="76" t="s">
        <v>333</v>
      </c>
      <c r="B327" s="1">
        <v>1248</v>
      </c>
      <c r="C327" s="1">
        <v>1024</v>
      </c>
      <c r="D327" s="1">
        <v>1814</v>
      </c>
      <c r="E327" s="59">
        <f t="shared" si="59"/>
        <v>4086</v>
      </c>
      <c r="F327" s="1">
        <v>838</v>
      </c>
      <c r="G327" s="1">
        <v>1182</v>
      </c>
      <c r="H327" s="1">
        <v>5388</v>
      </c>
      <c r="I327" s="59">
        <f t="shared" si="60"/>
        <v>7408</v>
      </c>
      <c r="J327" s="1">
        <v>5622</v>
      </c>
      <c r="K327" s="1">
        <v>5325</v>
      </c>
      <c r="L327" s="1">
        <v>4347</v>
      </c>
      <c r="M327" s="59">
        <f t="shared" si="61"/>
        <v>15294</v>
      </c>
      <c r="N327" s="1">
        <v>4558</v>
      </c>
      <c r="O327" s="1">
        <v>4520</v>
      </c>
      <c r="P327" s="1">
        <v>3944</v>
      </c>
      <c r="Q327" s="59">
        <f t="shared" si="62"/>
        <v>13022</v>
      </c>
      <c r="R327" s="59">
        <f t="shared" si="63"/>
        <v>39810</v>
      </c>
      <c r="T327" s="4" t="s">
        <v>334</v>
      </c>
    </row>
    <row r="328" spans="1:20" ht="15.75" customHeight="1" x14ac:dyDescent="0.3">
      <c r="A328" s="76" t="s">
        <v>913</v>
      </c>
      <c r="B328" s="1"/>
      <c r="C328" s="1"/>
      <c r="D328" s="1"/>
      <c r="E328" s="59">
        <f t="shared" si="59"/>
        <v>0</v>
      </c>
      <c r="F328" s="1"/>
      <c r="G328" s="1"/>
      <c r="H328" s="1"/>
      <c r="I328" s="59">
        <f t="shared" si="60"/>
        <v>0</v>
      </c>
      <c r="J328" s="1"/>
      <c r="K328" s="1"/>
      <c r="L328" s="1"/>
      <c r="M328" s="59">
        <f t="shared" si="61"/>
        <v>0</v>
      </c>
      <c r="N328" s="1"/>
      <c r="O328" s="1"/>
      <c r="P328" s="1"/>
      <c r="Q328" s="59">
        <f t="shared" si="62"/>
        <v>0</v>
      </c>
      <c r="R328" s="59">
        <f t="shared" si="63"/>
        <v>0</v>
      </c>
    </row>
    <row r="329" spans="1:20" ht="15.75" customHeight="1" x14ac:dyDescent="0.3">
      <c r="A329" s="76" t="s">
        <v>341</v>
      </c>
      <c r="B329" s="1"/>
      <c r="C329" s="1"/>
      <c r="D329" s="1"/>
      <c r="E329" s="59">
        <f t="shared" si="59"/>
        <v>0</v>
      </c>
      <c r="F329" s="1"/>
      <c r="G329" s="1">
        <v>3000</v>
      </c>
      <c r="H329" s="1">
        <v>2400</v>
      </c>
      <c r="I329" s="59">
        <f t="shared" si="60"/>
        <v>5400</v>
      </c>
      <c r="J329" s="1"/>
      <c r="K329" s="1"/>
      <c r="L329" s="1"/>
      <c r="M329" s="59">
        <f t="shared" si="61"/>
        <v>0</v>
      </c>
      <c r="N329" s="1"/>
      <c r="O329" s="1"/>
      <c r="P329" s="1"/>
      <c r="Q329" s="59">
        <f>SUM(N329:P329)</f>
        <v>0</v>
      </c>
      <c r="R329" s="59">
        <f>+E329+I329+M329+Q329</f>
        <v>5400</v>
      </c>
      <c r="T329" s="4" t="s">
        <v>315</v>
      </c>
    </row>
    <row r="330" spans="1:20" ht="15.75" customHeight="1" x14ac:dyDescent="0.3">
      <c r="A330" s="76" t="s">
        <v>342</v>
      </c>
      <c r="B330" s="1">
        <v>15</v>
      </c>
      <c r="C330" s="1">
        <v>13</v>
      </c>
      <c r="D330" s="1">
        <v>23</v>
      </c>
      <c r="E330" s="59">
        <f>SUM(B330:D330)</f>
        <v>51</v>
      </c>
      <c r="F330" s="1">
        <v>25</v>
      </c>
      <c r="G330" s="1">
        <v>61</v>
      </c>
      <c r="H330" s="1">
        <v>66</v>
      </c>
      <c r="I330" s="59">
        <f>SUM(F330:H330)</f>
        <v>152</v>
      </c>
      <c r="J330" s="1">
        <v>69</v>
      </c>
      <c r="K330" s="1">
        <v>65</v>
      </c>
      <c r="L330" s="1">
        <v>54</v>
      </c>
      <c r="M330" s="59">
        <f>SUM(J330:L330)</f>
        <v>188</v>
      </c>
      <c r="N330" s="1">
        <v>56</v>
      </c>
      <c r="O330" s="1">
        <v>55</v>
      </c>
      <c r="P330" s="1">
        <v>48</v>
      </c>
      <c r="Q330" s="59">
        <f>SUM(N330:P330)</f>
        <v>159</v>
      </c>
      <c r="R330" s="59">
        <f>+E330+I330+M330+Q330</f>
        <v>550</v>
      </c>
      <c r="T330" s="4" t="s">
        <v>127</v>
      </c>
    </row>
    <row r="331" spans="1:20" ht="15.75" customHeight="1" x14ac:dyDescent="0.3">
      <c r="A331" s="74" t="s">
        <v>343</v>
      </c>
      <c r="B331" s="1"/>
      <c r="C331" s="1"/>
      <c r="D331" s="1"/>
      <c r="E331" s="59">
        <f>SUM(B331:D331)</f>
        <v>0</v>
      </c>
      <c r="F331" s="1"/>
      <c r="G331" s="1"/>
      <c r="H331" s="1">
        <v>37</v>
      </c>
      <c r="I331" s="59">
        <f>SUM(F331:H331)</f>
        <v>37</v>
      </c>
      <c r="J331" s="1"/>
      <c r="K331" s="1"/>
      <c r="L331" s="1"/>
      <c r="M331" s="59">
        <f>SUM(J331:L331)</f>
        <v>0</v>
      </c>
      <c r="N331" s="1"/>
      <c r="O331" s="1"/>
      <c r="P331" s="1"/>
      <c r="Q331" s="59">
        <f>SUM(N331:P331)</f>
        <v>0</v>
      </c>
      <c r="R331" s="59">
        <f t="shared" si="63"/>
        <v>37</v>
      </c>
    </row>
    <row r="332" spans="1:20" ht="15.75" customHeight="1" x14ac:dyDescent="0.3">
      <c r="A332" s="76" t="s">
        <v>344</v>
      </c>
      <c r="B332" s="1"/>
      <c r="C332" s="1">
        <v>5</v>
      </c>
      <c r="D332" s="1">
        <v>20</v>
      </c>
      <c r="E332" s="59">
        <f t="shared" si="59"/>
        <v>25</v>
      </c>
      <c r="F332" s="1">
        <v>30</v>
      </c>
      <c r="G332" s="1">
        <v>85</v>
      </c>
      <c r="H332" s="1">
        <v>85</v>
      </c>
      <c r="I332" s="59">
        <f t="shared" si="60"/>
        <v>200</v>
      </c>
      <c r="J332" s="1">
        <v>85</v>
      </c>
      <c r="K332" s="1">
        <v>85</v>
      </c>
      <c r="L332" s="1">
        <v>50</v>
      </c>
      <c r="M332" s="59">
        <f t="shared" si="61"/>
        <v>220</v>
      </c>
      <c r="N332" s="1">
        <v>40</v>
      </c>
      <c r="O332" s="1">
        <v>10</v>
      </c>
      <c r="P332" s="1"/>
      <c r="Q332" s="59">
        <f t="shared" si="62"/>
        <v>50</v>
      </c>
      <c r="R332" s="59">
        <f t="shared" si="63"/>
        <v>495</v>
      </c>
      <c r="S332" s="4">
        <f>SUM(R309:R332)</f>
        <v>76381</v>
      </c>
      <c r="T332" s="4" t="s">
        <v>331</v>
      </c>
    </row>
    <row r="333" spans="1:20" ht="15.75" customHeight="1" x14ac:dyDescent="0.3">
      <c r="A333" s="76" t="s">
        <v>345</v>
      </c>
      <c r="B333" s="1">
        <v>20</v>
      </c>
      <c r="C333" s="1">
        <v>20</v>
      </c>
      <c r="D333" s="1">
        <v>40</v>
      </c>
      <c r="E333" s="59">
        <f>SUM(B333:D333)</f>
        <v>80</v>
      </c>
      <c r="F333" s="1">
        <v>60</v>
      </c>
      <c r="G333" s="1">
        <v>60</v>
      </c>
      <c r="H333" s="1">
        <v>40</v>
      </c>
      <c r="I333" s="59">
        <f>SUM(F333:H333)</f>
        <v>160</v>
      </c>
      <c r="J333" s="1">
        <v>40</v>
      </c>
      <c r="K333" s="1">
        <v>65</v>
      </c>
      <c r="L333" s="1">
        <v>65</v>
      </c>
      <c r="M333" s="59">
        <f>SUM(J333:L333)</f>
        <v>170</v>
      </c>
      <c r="N333" s="1">
        <v>80</v>
      </c>
      <c r="O333" s="1">
        <v>30</v>
      </c>
      <c r="P333" s="1">
        <v>30</v>
      </c>
      <c r="Q333" s="59">
        <f>SUM(N333:P333)</f>
        <v>140</v>
      </c>
      <c r="R333" s="59">
        <f>+E333+I333+M333+Q333</f>
        <v>550</v>
      </c>
      <c r="T333" s="4" t="s">
        <v>127</v>
      </c>
    </row>
    <row r="334" spans="1:20" ht="15.75" customHeight="1" x14ac:dyDescent="0.3">
      <c r="A334" s="17" t="s">
        <v>47</v>
      </c>
      <c r="B334" s="1"/>
      <c r="C334" s="1"/>
      <c r="D334" s="1"/>
      <c r="E334" s="59" t="s">
        <v>7</v>
      </c>
      <c r="F334" s="1"/>
      <c r="G334" s="1"/>
      <c r="H334" s="1"/>
      <c r="I334" s="59" t="s">
        <v>7</v>
      </c>
      <c r="J334" s="1"/>
      <c r="K334" s="1"/>
      <c r="L334" s="1"/>
      <c r="M334" s="59" t="s">
        <v>7</v>
      </c>
      <c r="N334" s="1"/>
      <c r="O334" s="1"/>
      <c r="P334" s="1"/>
      <c r="Q334" s="59" t="s">
        <v>7</v>
      </c>
      <c r="R334" s="59" t="s">
        <v>7</v>
      </c>
    </row>
    <row r="335" spans="1:20" ht="15.75" customHeight="1" x14ac:dyDescent="0.3">
      <c r="A335" s="76" t="s">
        <v>346</v>
      </c>
      <c r="B335" s="1"/>
      <c r="C335" s="1"/>
      <c r="D335" s="1"/>
      <c r="E335" s="59">
        <f t="shared" ref="E335:E345" si="64">SUM(B335:D335)</f>
        <v>0</v>
      </c>
      <c r="F335" s="1"/>
      <c r="G335" s="1"/>
      <c r="H335" s="1"/>
      <c r="I335" s="59">
        <f t="shared" ref="I335:I345" si="65">SUM(F335:H335)</f>
        <v>0</v>
      </c>
      <c r="J335" s="1"/>
      <c r="K335" s="1"/>
      <c r="L335" s="1"/>
      <c r="M335" s="59">
        <f t="shared" ref="M335:M345" si="66">SUM(J335:L335)</f>
        <v>0</v>
      </c>
      <c r="N335" s="1"/>
      <c r="O335" s="1"/>
      <c r="P335" s="1"/>
      <c r="Q335" s="59">
        <f t="shared" ref="Q335:Q345" si="67">SUM(N335:P335)</f>
        <v>0</v>
      </c>
      <c r="R335" s="59">
        <f t="shared" ref="R335:R345" si="68">+E335+I335+M335+Q335</f>
        <v>0</v>
      </c>
    </row>
    <row r="336" spans="1:20" ht="15.75" customHeight="1" x14ac:dyDescent="0.3">
      <c r="A336" s="76" t="s">
        <v>347</v>
      </c>
      <c r="B336" s="1"/>
      <c r="C336" s="1"/>
      <c r="D336" s="1"/>
      <c r="E336" s="59">
        <f>SUM(B336:D336)</f>
        <v>0</v>
      </c>
      <c r="F336" s="1"/>
      <c r="G336" s="1"/>
      <c r="H336" s="1"/>
      <c r="I336" s="59">
        <f>SUM(F336:H336)</f>
        <v>0</v>
      </c>
      <c r="J336" s="1"/>
      <c r="K336" s="1"/>
      <c r="L336" s="1"/>
      <c r="M336" s="59">
        <f>SUM(J336:L336)</f>
        <v>0</v>
      </c>
      <c r="N336" s="1"/>
      <c r="O336" s="1"/>
      <c r="P336" s="1"/>
      <c r="Q336" s="59">
        <f>SUM(N336:P336)</f>
        <v>0</v>
      </c>
      <c r="R336" s="59">
        <f>+E336+I336+M336+Q336</f>
        <v>0</v>
      </c>
      <c r="T336" s="4" t="s">
        <v>348</v>
      </c>
    </row>
    <row r="337" spans="1:23" ht="15.75" customHeight="1" x14ac:dyDescent="0.3">
      <c r="A337" s="76" t="s">
        <v>349</v>
      </c>
      <c r="B337" s="1"/>
      <c r="C337" s="1"/>
      <c r="D337" s="1"/>
      <c r="E337" s="59">
        <f>SUM(B337:D337)</f>
        <v>0</v>
      </c>
      <c r="F337" s="1"/>
      <c r="G337" s="1"/>
      <c r="H337" s="1"/>
      <c r="I337" s="59">
        <f>SUM(F337:H337)</f>
        <v>0</v>
      </c>
      <c r="J337" s="1"/>
      <c r="K337" s="1"/>
      <c r="L337" s="1"/>
      <c r="M337" s="59">
        <f>SUM(J337:L337)</f>
        <v>0</v>
      </c>
      <c r="N337" s="1"/>
      <c r="O337" s="1"/>
      <c r="P337" s="1"/>
      <c r="Q337" s="59">
        <f>SUM(N337:P337)</f>
        <v>0</v>
      </c>
      <c r="R337" s="59">
        <f>+E337+I337+M337+Q337</f>
        <v>0</v>
      </c>
      <c r="T337" s="4" t="s">
        <v>336</v>
      </c>
    </row>
    <row r="338" spans="1:23" ht="15.75" customHeight="1" x14ac:dyDescent="0.3">
      <c r="A338" s="76" t="s">
        <v>330</v>
      </c>
      <c r="B338" s="1"/>
      <c r="C338" s="1"/>
      <c r="D338" s="1"/>
      <c r="E338" s="59">
        <f t="shared" si="64"/>
        <v>0</v>
      </c>
      <c r="F338" s="1"/>
      <c r="G338" s="1"/>
      <c r="H338" s="1"/>
      <c r="I338" s="59">
        <f t="shared" si="65"/>
        <v>0</v>
      </c>
      <c r="J338" s="1"/>
      <c r="K338" s="1"/>
      <c r="L338" s="1"/>
      <c r="M338" s="59">
        <f t="shared" si="66"/>
        <v>0</v>
      </c>
      <c r="N338" s="1"/>
      <c r="O338" s="1"/>
      <c r="P338" s="1"/>
      <c r="Q338" s="59">
        <f t="shared" si="67"/>
        <v>0</v>
      </c>
      <c r="R338" s="59">
        <f>+E338+I338+M338+Q338</f>
        <v>0</v>
      </c>
      <c r="T338" s="4" t="s">
        <v>331</v>
      </c>
    </row>
    <row r="339" spans="1:23" ht="15.75" customHeight="1" x14ac:dyDescent="0.3">
      <c r="A339" s="76" t="s">
        <v>350</v>
      </c>
      <c r="B339" s="1"/>
      <c r="C339" s="1"/>
      <c r="D339" s="1"/>
      <c r="E339" s="59">
        <f>SUM(B339:D339)</f>
        <v>0</v>
      </c>
      <c r="F339" s="1"/>
      <c r="G339" s="1"/>
      <c r="H339" s="1"/>
      <c r="I339" s="59">
        <f>SUM(F339:H339)</f>
        <v>0</v>
      </c>
      <c r="J339" s="1"/>
      <c r="K339" s="1"/>
      <c r="L339" s="1"/>
      <c r="M339" s="59">
        <f>SUM(J339:L339)</f>
        <v>0</v>
      </c>
      <c r="N339" s="1"/>
      <c r="O339" s="1"/>
      <c r="P339" s="1"/>
      <c r="Q339" s="59">
        <f>SUM(N339:P339)</f>
        <v>0</v>
      </c>
      <c r="R339" s="59">
        <f>+E339+I339+M339+Q339</f>
        <v>0</v>
      </c>
      <c r="T339" s="4" t="s">
        <v>351</v>
      </c>
    </row>
    <row r="340" spans="1:23" ht="15.75" customHeight="1" x14ac:dyDescent="0.3">
      <c r="A340" s="76" t="s">
        <v>352</v>
      </c>
      <c r="B340" s="1"/>
      <c r="C340" s="1"/>
      <c r="D340" s="1"/>
      <c r="E340" s="59">
        <f t="shared" si="64"/>
        <v>0</v>
      </c>
      <c r="F340" s="1"/>
      <c r="G340" s="1"/>
      <c r="H340" s="1"/>
      <c r="I340" s="59">
        <f t="shared" si="65"/>
        <v>0</v>
      </c>
      <c r="J340" s="1"/>
      <c r="K340" s="1"/>
      <c r="L340" s="1"/>
      <c r="M340" s="59">
        <f t="shared" si="66"/>
        <v>0</v>
      </c>
      <c r="N340" s="1"/>
      <c r="O340" s="1"/>
      <c r="P340" s="1"/>
      <c r="Q340" s="59">
        <f t="shared" si="67"/>
        <v>0</v>
      </c>
      <c r="R340" s="59">
        <f t="shared" si="68"/>
        <v>0</v>
      </c>
    </row>
    <row r="341" spans="1:23" ht="15.75" customHeight="1" x14ac:dyDescent="0.3">
      <c r="A341" s="76" t="s">
        <v>353</v>
      </c>
      <c r="B341" s="1"/>
      <c r="C341" s="1"/>
      <c r="D341" s="1"/>
      <c r="E341" s="59">
        <f t="shared" si="64"/>
        <v>0</v>
      </c>
      <c r="F341" s="1"/>
      <c r="G341" s="1"/>
      <c r="H341" s="1"/>
      <c r="I341" s="59">
        <f t="shared" si="65"/>
        <v>0</v>
      </c>
      <c r="J341" s="1"/>
      <c r="K341" s="1"/>
      <c r="L341" s="1"/>
      <c r="M341" s="59">
        <f t="shared" si="66"/>
        <v>0</v>
      </c>
      <c r="N341" s="1"/>
      <c r="O341" s="1"/>
      <c r="P341" s="1"/>
      <c r="Q341" s="59">
        <f t="shared" si="67"/>
        <v>0</v>
      </c>
      <c r="R341" s="59">
        <f t="shared" si="68"/>
        <v>0</v>
      </c>
      <c r="T341" s="4" t="s">
        <v>354</v>
      </c>
    </row>
    <row r="342" spans="1:23" ht="15.75" customHeight="1" x14ac:dyDescent="0.3">
      <c r="A342" s="76" t="s">
        <v>355</v>
      </c>
      <c r="B342" s="1"/>
      <c r="C342" s="1"/>
      <c r="D342" s="1"/>
      <c r="E342" s="59">
        <f t="shared" si="64"/>
        <v>0</v>
      </c>
      <c r="F342" s="1"/>
      <c r="G342" s="1"/>
      <c r="H342" s="1"/>
      <c r="I342" s="59">
        <f t="shared" si="65"/>
        <v>0</v>
      </c>
      <c r="J342" s="1"/>
      <c r="K342" s="1"/>
      <c r="L342" s="1"/>
      <c r="M342" s="59">
        <f t="shared" si="66"/>
        <v>0</v>
      </c>
      <c r="N342" s="1"/>
      <c r="O342" s="1"/>
      <c r="P342" s="1"/>
      <c r="Q342" s="59">
        <f t="shared" si="67"/>
        <v>0</v>
      </c>
      <c r="R342" s="59">
        <f t="shared" si="68"/>
        <v>0</v>
      </c>
      <c r="T342" s="4" t="s">
        <v>354</v>
      </c>
    </row>
    <row r="343" spans="1:23" ht="15.75" customHeight="1" x14ac:dyDescent="0.3">
      <c r="A343" s="76" t="s">
        <v>356</v>
      </c>
      <c r="B343" s="1"/>
      <c r="C343" s="1"/>
      <c r="D343" s="1"/>
      <c r="E343" s="59">
        <f t="shared" si="64"/>
        <v>0</v>
      </c>
      <c r="F343" s="1"/>
      <c r="G343" s="1"/>
      <c r="H343" s="1"/>
      <c r="I343" s="59">
        <f t="shared" si="65"/>
        <v>0</v>
      </c>
      <c r="J343" s="1"/>
      <c r="K343" s="1"/>
      <c r="L343" s="1"/>
      <c r="M343" s="59">
        <f t="shared" si="66"/>
        <v>0</v>
      </c>
      <c r="N343" s="1"/>
      <c r="O343" s="1"/>
      <c r="P343" s="1"/>
      <c r="Q343" s="59">
        <f t="shared" si="67"/>
        <v>0</v>
      </c>
      <c r="R343" s="59">
        <f t="shared" si="68"/>
        <v>0</v>
      </c>
      <c r="T343" s="4" t="s">
        <v>127</v>
      </c>
    </row>
    <row r="344" spans="1:23" ht="15.75" customHeight="1" x14ac:dyDescent="0.3">
      <c r="A344" s="76" t="s">
        <v>357</v>
      </c>
      <c r="B344" s="1"/>
      <c r="C344" s="1"/>
      <c r="D344" s="1"/>
      <c r="E344" s="59">
        <f>SUM(B344:D344)</f>
        <v>0</v>
      </c>
      <c r="F344" s="1"/>
      <c r="G344" s="1"/>
      <c r="H344" s="1"/>
      <c r="I344" s="59">
        <f>SUM(F344:H344)</f>
        <v>0</v>
      </c>
      <c r="J344" s="1"/>
      <c r="K344" s="1"/>
      <c r="L344" s="1"/>
      <c r="M344" s="59">
        <f>SUM(J344:L344)</f>
        <v>0</v>
      </c>
      <c r="N344" s="1"/>
      <c r="O344" s="1"/>
      <c r="P344" s="1"/>
      <c r="Q344" s="59">
        <f>SUM(N344:P344)</f>
        <v>0</v>
      </c>
      <c r="R344" s="59">
        <f>+E344+I344+M344+Q344</f>
        <v>0</v>
      </c>
      <c r="T344" s="4" t="s">
        <v>127</v>
      </c>
    </row>
    <row r="345" spans="1:23" ht="15.75" customHeight="1" x14ac:dyDescent="0.3">
      <c r="A345" s="76" t="s">
        <v>358</v>
      </c>
      <c r="B345" s="1"/>
      <c r="C345" s="1"/>
      <c r="D345" s="1"/>
      <c r="E345" s="59">
        <f t="shared" si="64"/>
        <v>0</v>
      </c>
      <c r="F345" s="1"/>
      <c r="G345" s="1"/>
      <c r="H345" s="1"/>
      <c r="I345" s="59">
        <f t="shared" si="65"/>
        <v>0</v>
      </c>
      <c r="J345" s="1"/>
      <c r="K345" s="1"/>
      <c r="L345" s="1"/>
      <c r="M345" s="59">
        <f t="shared" si="66"/>
        <v>0</v>
      </c>
      <c r="N345" s="1"/>
      <c r="O345" s="1"/>
      <c r="P345" s="1"/>
      <c r="Q345" s="59">
        <f t="shared" si="67"/>
        <v>0</v>
      </c>
      <c r="R345" s="59">
        <f t="shared" si="68"/>
        <v>0</v>
      </c>
      <c r="T345" s="4" t="s">
        <v>359</v>
      </c>
    </row>
    <row r="346" spans="1:23" ht="15.75" customHeight="1" x14ac:dyDescent="0.3">
      <c r="A346" s="17" t="s">
        <v>898</v>
      </c>
      <c r="B346" s="1"/>
      <c r="C346" s="1"/>
      <c r="D346" s="1"/>
      <c r="E346" s="59" t="s">
        <v>7</v>
      </c>
      <c r="F346" s="1"/>
      <c r="G346" s="1"/>
      <c r="H346" s="1"/>
      <c r="I346" s="59" t="s">
        <v>7</v>
      </c>
      <c r="J346" s="1"/>
      <c r="K346" s="1"/>
      <c r="L346" s="1"/>
      <c r="M346" s="59" t="s">
        <v>7</v>
      </c>
      <c r="N346" s="1"/>
      <c r="O346" s="1"/>
      <c r="P346" s="1"/>
      <c r="Q346" s="59" t="s">
        <v>7</v>
      </c>
      <c r="R346" s="59" t="s">
        <v>7</v>
      </c>
    </row>
    <row r="347" spans="1:23" ht="15.75" customHeight="1" x14ac:dyDescent="0.3">
      <c r="A347" s="76" t="s">
        <v>914</v>
      </c>
      <c r="B347" s="1"/>
      <c r="C347" s="1"/>
      <c r="D347" s="1"/>
      <c r="E347" s="59">
        <f>SUM(B347:D347)</f>
        <v>0</v>
      </c>
      <c r="F347" s="1"/>
      <c r="G347" s="1"/>
      <c r="H347" s="1"/>
      <c r="I347" s="59">
        <f>SUM(F347:H347)</f>
        <v>0</v>
      </c>
      <c r="J347" s="1"/>
      <c r="K347" s="1"/>
      <c r="L347" s="1">
        <v>160</v>
      </c>
      <c r="M347" s="59">
        <f>SUM(J347:L347)</f>
        <v>160</v>
      </c>
      <c r="N347" s="1"/>
      <c r="O347" s="1"/>
      <c r="P347" s="1"/>
      <c r="Q347" s="59">
        <f>SUM(N347:P347)</f>
        <v>0</v>
      </c>
      <c r="R347" s="59">
        <f>+E347+I347+M347+Q347</f>
        <v>160</v>
      </c>
      <c r="T347" s="4" t="s">
        <v>305</v>
      </c>
    </row>
    <row r="348" spans="1:23" ht="15.75" customHeight="1" x14ac:dyDescent="0.3">
      <c r="A348" s="76" t="s">
        <v>915</v>
      </c>
      <c r="B348" s="1"/>
      <c r="C348" s="1"/>
      <c r="D348" s="1"/>
      <c r="E348" s="59">
        <f>SUM(B348:D348)</f>
        <v>0</v>
      </c>
      <c r="F348" s="1"/>
      <c r="G348" s="1">
        <v>3000</v>
      </c>
      <c r="H348" s="1">
        <v>3000</v>
      </c>
      <c r="I348" s="59">
        <f>SUM(F348:H348)</f>
        <v>6000</v>
      </c>
      <c r="J348" s="1">
        <v>3000</v>
      </c>
      <c r="K348" s="1"/>
      <c r="L348" s="1"/>
      <c r="M348" s="59">
        <f>SUM(J348:L348)</f>
        <v>3000</v>
      </c>
      <c r="N348" s="1"/>
      <c r="O348" s="1"/>
      <c r="P348" s="1"/>
      <c r="Q348" s="59">
        <f>SUM(N348:P348)</f>
        <v>0</v>
      </c>
      <c r="R348" s="59">
        <f>+E348+I348+M348+Q348</f>
        <v>9000</v>
      </c>
    </row>
    <row r="349" spans="1:23" ht="15.75" customHeight="1" x14ac:dyDescent="0.3">
      <c r="A349" s="76" t="s">
        <v>916</v>
      </c>
      <c r="B349" s="1"/>
      <c r="C349" s="1"/>
      <c r="D349" s="1"/>
      <c r="E349" s="59">
        <f>SUM(B349:D349)</f>
        <v>0</v>
      </c>
      <c r="F349" s="1"/>
      <c r="G349" s="1">
        <v>2685</v>
      </c>
      <c r="H349" s="1"/>
      <c r="I349" s="59">
        <f>SUM(F349:H349)</f>
        <v>2685</v>
      </c>
      <c r="J349" s="1"/>
      <c r="K349" s="1"/>
      <c r="L349" s="1"/>
      <c r="M349" s="59">
        <f>SUM(J349:L349)</f>
        <v>0</v>
      </c>
      <c r="N349" s="1"/>
      <c r="O349" s="1"/>
      <c r="P349" s="1"/>
      <c r="Q349" s="59">
        <f>SUM(N349:P349)</f>
        <v>0</v>
      </c>
      <c r="R349" s="59">
        <f>+E349+I349+M349+Q349</f>
        <v>2685</v>
      </c>
      <c r="T349" s="4" t="s">
        <v>331</v>
      </c>
    </row>
    <row r="350" spans="1:23" ht="15.75" customHeight="1" x14ac:dyDescent="0.3">
      <c r="A350" s="76" t="s">
        <v>917</v>
      </c>
      <c r="B350" s="1">
        <v>1000</v>
      </c>
      <c r="C350" s="1">
        <v>1000</v>
      </c>
      <c r="D350" s="1">
        <v>1000</v>
      </c>
      <c r="E350" s="59">
        <f>SUM(B350:D350)</f>
        <v>3000</v>
      </c>
      <c r="F350" s="1">
        <v>1000</v>
      </c>
      <c r="G350" s="1">
        <v>1000</v>
      </c>
      <c r="H350" s="1">
        <v>555</v>
      </c>
      <c r="I350" s="59">
        <f>SUM(F350:H350)</f>
        <v>2555</v>
      </c>
      <c r="J350" s="1"/>
      <c r="K350" s="1"/>
      <c r="L350" s="1"/>
      <c r="M350" s="59">
        <f>SUM(J350:L350)</f>
        <v>0</v>
      </c>
      <c r="N350" s="1"/>
      <c r="O350" s="1"/>
      <c r="P350" s="1"/>
      <c r="Q350" s="59">
        <f>SUM(N350:P350)</f>
        <v>0</v>
      </c>
      <c r="R350" s="59">
        <f>+E350+I350+M350+Q350</f>
        <v>5555</v>
      </c>
      <c r="T350" s="4" t="s">
        <v>315</v>
      </c>
    </row>
    <row r="351" spans="1:23" ht="16.5" customHeight="1" thickBot="1" x14ac:dyDescent="0.35">
      <c r="A351" s="17" t="s">
        <v>51</v>
      </c>
      <c r="B351" s="1"/>
      <c r="C351" s="1"/>
      <c r="D351" s="1"/>
      <c r="E351" s="59" t="s">
        <v>7</v>
      </c>
      <c r="F351" s="1"/>
      <c r="G351" s="1"/>
      <c r="H351" s="1"/>
      <c r="I351" s="59" t="s">
        <v>7</v>
      </c>
      <c r="J351" s="1"/>
      <c r="K351" s="1"/>
      <c r="L351" s="1"/>
      <c r="M351" s="59" t="s">
        <v>7</v>
      </c>
      <c r="N351" s="1"/>
      <c r="O351" s="1"/>
      <c r="P351" s="1"/>
      <c r="Q351" s="59" t="s">
        <v>7</v>
      </c>
      <c r="R351" s="88" t="s">
        <v>7</v>
      </c>
      <c r="V351" s="4" t="s">
        <v>364</v>
      </c>
      <c r="W351" s="4" t="s">
        <v>365</v>
      </c>
    </row>
    <row r="352" spans="1:23" ht="16.5" customHeight="1" thickBot="1" x14ac:dyDescent="0.35">
      <c r="A352" s="126" t="s">
        <v>52</v>
      </c>
      <c r="B352" s="100">
        <f>SUM(B307:B351)</f>
        <v>3083</v>
      </c>
      <c r="C352" s="101">
        <f>SUM(C307:C351)</f>
        <v>3357</v>
      </c>
      <c r="D352" s="101">
        <f>SUM(D307:D351)</f>
        <v>4353</v>
      </c>
      <c r="E352" s="64">
        <f>SUM(B352:D352)</f>
        <v>10793</v>
      </c>
      <c r="F352" s="101">
        <f>SUM(F307:F351)</f>
        <v>5032</v>
      </c>
      <c r="G352" s="101">
        <f>SUM(G307:G351)</f>
        <v>12149</v>
      </c>
      <c r="H352" s="101">
        <f>SUM(H307:H351)</f>
        <v>17657</v>
      </c>
      <c r="I352" s="64">
        <f>SUM(F352:H352)</f>
        <v>34838</v>
      </c>
      <c r="J352" s="101">
        <f>SUM(J307:J351)</f>
        <v>9947</v>
      </c>
      <c r="K352" s="101">
        <f>SUM(K307:K351)</f>
        <v>8533</v>
      </c>
      <c r="L352" s="101">
        <f>SUM(L307:L351)</f>
        <v>8484</v>
      </c>
      <c r="M352" s="64">
        <f>SUM(J352:L352)</f>
        <v>26964</v>
      </c>
      <c r="N352" s="101">
        <f>SUM(N307:N351)</f>
        <v>7789</v>
      </c>
      <c r="O352" s="101">
        <f>SUM(O307:O351)</f>
        <v>7363</v>
      </c>
      <c r="P352" s="101">
        <f>SUM(P307:P351)</f>
        <v>6584</v>
      </c>
      <c r="Q352" s="64">
        <f>SUM(N352:P352)</f>
        <v>21736</v>
      </c>
      <c r="R352" s="64">
        <f>+E352+I352+M352+Q352</f>
        <v>94331</v>
      </c>
      <c r="T352" s="106"/>
      <c r="V352" s="4" t="s">
        <v>305</v>
      </c>
      <c r="W352" s="127">
        <v>0.18</v>
      </c>
    </row>
    <row r="353" spans="1:39" ht="15.75" customHeight="1" x14ac:dyDescent="0.3">
      <c r="A353" s="17" t="s">
        <v>53</v>
      </c>
      <c r="B353" s="1"/>
      <c r="C353" s="1"/>
      <c r="D353" s="1"/>
      <c r="E353" s="59" t="s">
        <v>7</v>
      </c>
      <c r="F353" s="1"/>
      <c r="G353" s="1"/>
      <c r="H353" s="1"/>
      <c r="I353" s="59" t="s">
        <v>7</v>
      </c>
      <c r="J353" s="1"/>
      <c r="K353" s="1"/>
      <c r="L353" s="1"/>
      <c r="M353" s="59" t="s">
        <v>7</v>
      </c>
      <c r="N353" s="1"/>
      <c r="O353" s="1"/>
      <c r="P353" s="1"/>
      <c r="Q353" s="59" t="s">
        <v>7</v>
      </c>
      <c r="R353" s="59" t="s">
        <v>7</v>
      </c>
      <c r="V353" s="4" t="s">
        <v>366</v>
      </c>
      <c r="W353" s="127">
        <v>0.52</v>
      </c>
    </row>
    <row r="354" spans="1:39" ht="15.75" customHeight="1" x14ac:dyDescent="0.3">
      <c r="A354" s="17" t="s">
        <v>367</v>
      </c>
      <c r="B354" s="1"/>
      <c r="C354" s="1"/>
      <c r="D354" s="1"/>
      <c r="E354" s="59"/>
      <c r="F354" s="1"/>
      <c r="G354" s="1"/>
      <c r="H354" s="1"/>
      <c r="I354" s="59"/>
      <c r="J354" s="1"/>
      <c r="K354" s="1"/>
      <c r="L354" s="1"/>
      <c r="M354" s="59"/>
      <c r="N354" s="1"/>
      <c r="O354" s="1"/>
      <c r="P354" s="1"/>
      <c r="Q354" s="59"/>
      <c r="R354" s="59"/>
      <c r="V354" s="4" t="s">
        <v>368</v>
      </c>
      <c r="W354" s="127">
        <v>0.3</v>
      </c>
    </row>
    <row r="355" spans="1:39" ht="15.75" customHeight="1" thickBot="1" x14ac:dyDescent="0.35">
      <c r="A355" s="17" t="s">
        <v>55</v>
      </c>
      <c r="B355" s="1"/>
      <c r="C355" s="1"/>
      <c r="D355" s="1"/>
      <c r="E355" s="59" t="s">
        <v>7</v>
      </c>
      <c r="F355" s="1"/>
      <c r="G355" s="1"/>
      <c r="H355" s="1"/>
      <c r="I355" s="59" t="s">
        <v>7</v>
      </c>
      <c r="J355" s="1"/>
      <c r="K355" s="1"/>
      <c r="L355" s="1"/>
      <c r="M355" s="59" t="s">
        <v>7</v>
      </c>
      <c r="N355" s="1"/>
      <c r="O355" s="1"/>
      <c r="P355" s="1"/>
      <c r="Q355" s="59" t="s">
        <v>7</v>
      </c>
      <c r="R355" s="59" t="s">
        <v>7</v>
      </c>
      <c r="W355" s="128">
        <f>+SUM(W352:W354)</f>
        <v>1</v>
      </c>
    </row>
    <row r="356" spans="1:39" s="98" customFormat="1" ht="15.75" customHeight="1" x14ac:dyDescent="0.3">
      <c r="A356" s="322" t="s">
        <v>943</v>
      </c>
      <c r="B356" s="143"/>
      <c r="C356" s="143"/>
      <c r="D356" s="143"/>
      <c r="E356" s="97">
        <f>SUM(B356:D356)</f>
        <v>0</v>
      </c>
      <c r="F356" s="143"/>
      <c r="G356" s="143"/>
      <c r="H356" s="143"/>
      <c r="I356" s="97">
        <f>SUM(F356:H356)</f>
        <v>0</v>
      </c>
      <c r="J356" s="143"/>
      <c r="K356" s="143"/>
      <c r="L356" s="143"/>
      <c r="M356" s="97">
        <f>SUM(J356:L356)</f>
        <v>0</v>
      </c>
      <c r="N356" s="143"/>
      <c r="O356" s="143"/>
      <c r="P356" s="143"/>
      <c r="Q356" s="97">
        <f>SUM(N356:P356)</f>
        <v>0</v>
      </c>
      <c r="R356" s="97">
        <f t="shared" ref="R356:R364" si="69">+E356+I356+M356+Q356</f>
        <v>0</v>
      </c>
      <c r="V356" s="388" t="s">
        <v>944</v>
      </c>
      <c r="W356" s="389"/>
      <c r="X356" s="389"/>
      <c r="Y356" s="389"/>
      <c r="Z356" s="389"/>
      <c r="AA356" s="389"/>
      <c r="AB356" s="389"/>
      <c r="AC356" s="389"/>
      <c r="AD356" s="389"/>
      <c r="AE356" s="389"/>
      <c r="AF356" s="389"/>
      <c r="AG356" s="389"/>
      <c r="AH356" s="389"/>
      <c r="AI356" s="389"/>
      <c r="AJ356" s="389"/>
      <c r="AK356" s="389"/>
      <c r="AL356" s="389"/>
      <c r="AM356" s="390"/>
    </row>
    <row r="357" spans="1:39" ht="15.75" customHeight="1" x14ac:dyDescent="0.3">
      <c r="A357" s="76" t="s">
        <v>369</v>
      </c>
      <c r="B357" s="1">
        <v>60</v>
      </c>
      <c r="C357" s="1">
        <v>60</v>
      </c>
      <c r="D357" s="1">
        <v>1225</v>
      </c>
      <c r="E357" s="59">
        <f>SUM(B357:D357)</f>
        <v>1345</v>
      </c>
      <c r="F357" s="1">
        <v>1120</v>
      </c>
      <c r="G357" s="1">
        <v>2436</v>
      </c>
      <c r="H357" s="1">
        <v>2657</v>
      </c>
      <c r="I357" s="59">
        <f>SUM(F357:H357)</f>
        <v>6213</v>
      </c>
      <c r="J357" s="1">
        <v>2600</v>
      </c>
      <c r="K357" s="1">
        <v>1570</v>
      </c>
      <c r="L357" s="1">
        <v>400</v>
      </c>
      <c r="M357" s="59">
        <f>SUM(J357:L357)</f>
        <v>4570</v>
      </c>
      <c r="N357" s="1">
        <v>51</v>
      </c>
      <c r="O357" s="1">
        <v>70</v>
      </c>
      <c r="P357" s="1">
        <v>75</v>
      </c>
      <c r="Q357" s="59">
        <f>SUM(N357:P357)</f>
        <v>196</v>
      </c>
      <c r="R357" s="59">
        <f t="shared" si="69"/>
        <v>12324</v>
      </c>
      <c r="T357" s="4" t="s">
        <v>305</v>
      </c>
      <c r="V357" s="129" t="s">
        <v>370</v>
      </c>
      <c r="W357" s="30" t="s">
        <v>36</v>
      </c>
      <c r="X357" s="2" t="s">
        <v>9</v>
      </c>
      <c r="Y357" s="2" t="s">
        <v>10</v>
      </c>
      <c r="Z357" s="130" t="s">
        <v>11</v>
      </c>
      <c r="AA357" s="2" t="s">
        <v>12</v>
      </c>
      <c r="AB357" s="2" t="s">
        <v>13</v>
      </c>
      <c r="AC357" s="2" t="s">
        <v>14</v>
      </c>
      <c r="AD357" s="130" t="s">
        <v>15</v>
      </c>
      <c r="AE357" s="2" t="s">
        <v>16</v>
      </c>
      <c r="AF357" s="2" t="s">
        <v>17</v>
      </c>
      <c r="AG357" s="2" t="s">
        <v>18</v>
      </c>
      <c r="AH357" s="130" t="s">
        <v>19</v>
      </c>
      <c r="AI357" s="2" t="s">
        <v>20</v>
      </c>
      <c r="AJ357" s="2" t="s">
        <v>21</v>
      </c>
      <c r="AK357" s="2" t="s">
        <v>22</v>
      </c>
      <c r="AL357" s="130" t="s">
        <v>23</v>
      </c>
      <c r="AM357" s="303" t="s">
        <v>24</v>
      </c>
    </row>
    <row r="358" spans="1:39" ht="15.75" customHeight="1" x14ac:dyDescent="0.3">
      <c r="A358" s="76" t="s">
        <v>371</v>
      </c>
      <c r="B358" s="1"/>
      <c r="C358" s="1"/>
      <c r="D358" s="1"/>
      <c r="E358" s="59">
        <f>SUM(B358:D358)</f>
        <v>0</v>
      </c>
      <c r="F358" s="1"/>
      <c r="G358" s="1"/>
      <c r="H358" s="1"/>
      <c r="I358" s="59">
        <f>SUM(F358:H358)</f>
        <v>0</v>
      </c>
      <c r="J358" s="1"/>
      <c r="K358" s="1"/>
      <c r="L358" s="1"/>
      <c r="M358" s="59">
        <f>SUM(J358:L358)</f>
        <v>0</v>
      </c>
      <c r="N358" s="1"/>
      <c r="O358" s="1"/>
      <c r="P358" s="1"/>
      <c r="Q358" s="59">
        <f>SUM(N358:P358)</f>
        <v>0</v>
      </c>
      <c r="R358" s="59">
        <f t="shared" si="69"/>
        <v>0</v>
      </c>
      <c r="T358" s="4" t="s">
        <v>331</v>
      </c>
      <c r="V358" s="95" t="s">
        <v>372</v>
      </c>
      <c r="W358" s="132">
        <v>1500</v>
      </c>
      <c r="X358" s="132">
        <v>1500</v>
      </c>
      <c r="Y358" s="132">
        <v>6800</v>
      </c>
      <c r="Z358" s="4">
        <f>+SUM(W358:Y358)</f>
        <v>9800</v>
      </c>
      <c r="AA358" s="132">
        <f>8000+1500</f>
        <v>9500</v>
      </c>
      <c r="AB358" s="132">
        <f>10000+2000</f>
        <v>12000</v>
      </c>
      <c r="AC358" s="132">
        <f>12000+1500</f>
        <v>13500</v>
      </c>
      <c r="AD358" s="4">
        <f>+SUM(AA358:AC358)</f>
        <v>35000</v>
      </c>
      <c r="AE358" s="132">
        <v>25500</v>
      </c>
      <c r="AF358" s="132">
        <v>19000</v>
      </c>
      <c r="AG358" s="132">
        <v>4000</v>
      </c>
      <c r="AH358" s="4">
        <f>+SUM(AE358:AG358)</f>
        <v>48500</v>
      </c>
      <c r="AI358" s="132">
        <v>1500</v>
      </c>
      <c r="AJ358" s="132">
        <v>1000</v>
      </c>
      <c r="AK358" s="132">
        <v>1069</v>
      </c>
      <c r="AL358" s="4">
        <f>+SUM(AI358:AK358)</f>
        <v>3569</v>
      </c>
      <c r="AM358" s="304">
        <f>+Z358+AD358+AH358+AL358</f>
        <v>96869</v>
      </c>
    </row>
    <row r="359" spans="1:39" ht="15.75" customHeight="1" x14ac:dyDescent="0.3">
      <c r="A359" s="76" t="s">
        <v>373</v>
      </c>
      <c r="B359" s="1">
        <v>1700</v>
      </c>
      <c r="C359" s="1">
        <v>1500</v>
      </c>
      <c r="D359" s="1">
        <v>7000</v>
      </c>
      <c r="E359" s="59">
        <f t="shared" ref="E359:E364" si="70">SUM(B359:D359)</f>
        <v>10200</v>
      </c>
      <c r="F359" s="1">
        <v>8500</v>
      </c>
      <c r="G359" s="1">
        <v>7500</v>
      </c>
      <c r="H359" s="1">
        <f>3000+1269</f>
        <v>4269</v>
      </c>
      <c r="I359" s="59">
        <f t="shared" ref="I359:I364" si="71">SUM(F359:H359)</f>
        <v>20269</v>
      </c>
      <c r="J359" s="1">
        <f>347+500</f>
        <v>847</v>
      </c>
      <c r="K359" s="1">
        <v>400</v>
      </c>
      <c r="L359" s="1"/>
      <c r="M359" s="59">
        <f t="shared" ref="M359:M364" si="72">SUM(J359:L359)</f>
        <v>1247</v>
      </c>
      <c r="N359" s="1"/>
      <c r="O359" s="1"/>
      <c r="P359" s="1"/>
      <c r="Q359" s="59">
        <f t="shared" ref="Q359:Q364" si="73">SUM(N359:P359)</f>
        <v>0</v>
      </c>
      <c r="R359" s="59">
        <f t="shared" si="69"/>
        <v>31716</v>
      </c>
      <c r="T359" s="4" t="s">
        <v>307</v>
      </c>
      <c r="V359" s="95" t="s">
        <v>305</v>
      </c>
      <c r="W359" s="4">
        <f>+$W$352*W358</f>
        <v>270</v>
      </c>
      <c r="X359" s="4">
        <f>+$W$352*X358</f>
        <v>270</v>
      </c>
      <c r="Y359" s="4">
        <f>+$W$352*Y358</f>
        <v>1224</v>
      </c>
      <c r="Z359" s="4">
        <f>+SUM(W359:Y359)</f>
        <v>1764</v>
      </c>
      <c r="AA359" s="4">
        <f>+$W$352*AA358</f>
        <v>1710</v>
      </c>
      <c r="AB359" s="4">
        <f>+$W$352*AB358</f>
        <v>2160</v>
      </c>
      <c r="AC359" s="4">
        <f>+$W$352*AC358</f>
        <v>2430</v>
      </c>
      <c r="AD359" s="4">
        <f>+SUM(AA359:AC359)</f>
        <v>6300</v>
      </c>
      <c r="AE359" s="4">
        <f>+$W$352*AE358</f>
        <v>4590</v>
      </c>
      <c r="AF359" s="4">
        <f>+$W$352*AF358</f>
        <v>3420</v>
      </c>
      <c r="AG359" s="4">
        <f>+$W$352*AG358</f>
        <v>720</v>
      </c>
      <c r="AH359" s="4">
        <f>+SUM(AE359:AG359)</f>
        <v>8730</v>
      </c>
      <c r="AI359" s="4">
        <f>+$W$352*AI358</f>
        <v>270</v>
      </c>
      <c r="AJ359" s="4">
        <f>+$W$352*AJ358</f>
        <v>180</v>
      </c>
      <c r="AK359" s="4">
        <f>+$W$352*AK358</f>
        <v>192.42</v>
      </c>
      <c r="AL359" s="4">
        <f>+SUM(AI359:AK359)</f>
        <v>642.41999999999996</v>
      </c>
      <c r="AM359" s="304">
        <f>+Z359+AD359+AH359+AL359</f>
        <v>17436.419999999998</v>
      </c>
    </row>
    <row r="360" spans="1:39" ht="15.75" customHeight="1" x14ac:dyDescent="0.3">
      <c r="A360" s="76" t="s">
        <v>374</v>
      </c>
      <c r="B360" s="1">
        <v>1840</v>
      </c>
      <c r="C360" s="1">
        <v>2480</v>
      </c>
      <c r="D360" s="1">
        <v>9520</v>
      </c>
      <c r="E360" s="59">
        <f t="shared" si="70"/>
        <v>13840</v>
      </c>
      <c r="F360" s="1">
        <v>14810</v>
      </c>
      <c r="G360" s="1">
        <v>15150</v>
      </c>
      <c r="H360" s="1">
        <f>13960+398</f>
        <v>14358</v>
      </c>
      <c r="I360" s="59">
        <f t="shared" si="71"/>
        <v>44318</v>
      </c>
      <c r="J360" s="1">
        <v>11550</v>
      </c>
      <c r="K360" s="1">
        <v>9120</v>
      </c>
      <c r="L360" s="1">
        <v>4630</v>
      </c>
      <c r="M360" s="59">
        <f t="shared" si="72"/>
        <v>25300</v>
      </c>
      <c r="N360" s="1">
        <v>2330</v>
      </c>
      <c r="O360" s="1">
        <v>1570</v>
      </c>
      <c r="P360" s="1">
        <v>422</v>
      </c>
      <c r="Q360" s="59">
        <f t="shared" si="73"/>
        <v>4322</v>
      </c>
      <c r="R360" s="59">
        <f t="shared" si="69"/>
        <v>87780</v>
      </c>
      <c r="T360" s="4" t="s">
        <v>305</v>
      </c>
      <c r="V360" s="95" t="s">
        <v>366</v>
      </c>
      <c r="W360" s="4">
        <f>+$W$353*W358</f>
        <v>780</v>
      </c>
      <c r="X360" s="4">
        <f>+$W$353*X358</f>
        <v>780</v>
      </c>
      <c r="Y360" s="4">
        <f>+$W$353*Y358</f>
        <v>3536</v>
      </c>
      <c r="Z360" s="4">
        <f>+SUM(W360:Y360)</f>
        <v>5096</v>
      </c>
      <c r="AA360" s="4">
        <f>+$W$353*AA358</f>
        <v>4940</v>
      </c>
      <c r="AB360" s="4">
        <f>+$W$353*AB358</f>
        <v>6240</v>
      </c>
      <c r="AC360" s="4">
        <f>+$W$353*AC358</f>
        <v>7020</v>
      </c>
      <c r="AD360" s="4">
        <f>+SUM(AA360:AC360)</f>
        <v>18200</v>
      </c>
      <c r="AE360" s="4">
        <f>+$W$353*AE358</f>
        <v>13260</v>
      </c>
      <c r="AF360" s="4">
        <f>+$W$353*AF358</f>
        <v>9880</v>
      </c>
      <c r="AG360" s="4">
        <f>+$W$353*AG358</f>
        <v>2080</v>
      </c>
      <c r="AH360" s="4">
        <f>+SUM(AE360:AG360)</f>
        <v>25220</v>
      </c>
      <c r="AI360" s="4">
        <f>+$W$353*AI358</f>
        <v>780</v>
      </c>
      <c r="AJ360" s="4">
        <f>+$W$353*AJ358</f>
        <v>520</v>
      </c>
      <c r="AK360" s="4">
        <f>+$W$353*AK358</f>
        <v>555.88</v>
      </c>
      <c r="AL360" s="4">
        <f>+SUM(AI360:AK360)</f>
        <v>1855.88</v>
      </c>
      <c r="AM360" s="304">
        <f>+Z360+AD360+AH360+AL360</f>
        <v>50371.88</v>
      </c>
    </row>
    <row r="361" spans="1:39" ht="15.75" customHeight="1" x14ac:dyDescent="0.3">
      <c r="A361" s="76" t="s">
        <v>375</v>
      </c>
      <c r="B361" s="1"/>
      <c r="C361" s="1"/>
      <c r="D361" s="1"/>
      <c r="E361" s="59">
        <f t="shared" si="70"/>
        <v>0</v>
      </c>
      <c r="F361" s="1"/>
      <c r="G361" s="1"/>
      <c r="H361" s="1"/>
      <c r="I361" s="59">
        <f t="shared" si="71"/>
        <v>0</v>
      </c>
      <c r="J361" s="1"/>
      <c r="K361" s="1"/>
      <c r="L361" s="1"/>
      <c r="M361" s="59">
        <f t="shared" si="72"/>
        <v>0</v>
      </c>
      <c r="N361" s="1"/>
      <c r="O361" s="1"/>
      <c r="P361" s="1"/>
      <c r="Q361" s="59">
        <f t="shared" si="73"/>
        <v>0</v>
      </c>
      <c r="R361" s="59">
        <f t="shared" si="69"/>
        <v>0</v>
      </c>
      <c r="T361" s="4" t="s">
        <v>376</v>
      </c>
      <c r="V361" s="95" t="s">
        <v>368</v>
      </c>
      <c r="W361" s="4">
        <f>+$W$354*W358</f>
        <v>450</v>
      </c>
      <c r="X361" s="4">
        <f>+$W$354*X358</f>
        <v>450</v>
      </c>
      <c r="Y361" s="4">
        <f>+$W$354*Y358</f>
        <v>2040</v>
      </c>
      <c r="Z361" s="4">
        <f>+SUM(W361:Y361)</f>
        <v>2940</v>
      </c>
      <c r="AA361" s="4">
        <f>+$W$354*AA358</f>
        <v>2850</v>
      </c>
      <c r="AB361" s="4">
        <f>+$W$354*AB358</f>
        <v>3600</v>
      </c>
      <c r="AC361" s="4">
        <f>+$W$354*AC358</f>
        <v>4050</v>
      </c>
      <c r="AD361" s="4">
        <f>+SUM(AA361:AC361)</f>
        <v>10500</v>
      </c>
      <c r="AE361" s="4">
        <f>+$W$354*AE358</f>
        <v>7650</v>
      </c>
      <c r="AF361" s="4">
        <f>+$W$354*AF358</f>
        <v>5700</v>
      </c>
      <c r="AG361" s="4">
        <f>+$W$354*AG358</f>
        <v>1200</v>
      </c>
      <c r="AH361" s="4">
        <f>+SUM(AE361:AG361)</f>
        <v>14550</v>
      </c>
      <c r="AI361" s="4">
        <f>+$W$354*AI358</f>
        <v>450</v>
      </c>
      <c r="AJ361" s="4">
        <f>+$W$354*AJ358</f>
        <v>300</v>
      </c>
      <c r="AK361" s="4">
        <f>+$W$354*AK358</f>
        <v>320.7</v>
      </c>
      <c r="AL361" s="4">
        <f>+$W$354*AL358</f>
        <v>1070.7</v>
      </c>
      <c r="AM361" s="304">
        <f>+Z361+AD361+AH361+AL361</f>
        <v>29060.7</v>
      </c>
    </row>
    <row r="362" spans="1:39" ht="15.75" customHeight="1" thickBot="1" x14ac:dyDescent="0.35">
      <c r="A362" s="76" t="s">
        <v>377</v>
      </c>
      <c r="B362" s="1"/>
      <c r="C362" s="1"/>
      <c r="D362" s="1"/>
      <c r="E362" s="59">
        <f t="shared" si="70"/>
        <v>0</v>
      </c>
      <c r="F362" s="1"/>
      <c r="G362" s="1"/>
      <c r="H362" s="1"/>
      <c r="I362" s="59">
        <f t="shared" si="71"/>
        <v>0</v>
      </c>
      <c r="J362" s="1"/>
      <c r="K362" s="1"/>
      <c r="L362" s="1"/>
      <c r="M362" s="59">
        <f t="shared" si="72"/>
        <v>0</v>
      </c>
      <c r="N362" s="1"/>
      <c r="O362" s="1"/>
      <c r="P362" s="1"/>
      <c r="Q362" s="59">
        <f t="shared" si="73"/>
        <v>0</v>
      </c>
      <c r="R362" s="59">
        <f t="shared" si="69"/>
        <v>0</v>
      </c>
      <c r="T362" s="4" t="s">
        <v>331</v>
      </c>
      <c r="V362" s="134"/>
      <c r="W362" s="135"/>
      <c r="X362" s="135"/>
      <c r="Y362" s="135"/>
      <c r="Z362" s="135"/>
      <c r="AA362" s="135"/>
      <c r="AB362" s="135"/>
      <c r="AC362" s="135"/>
      <c r="AD362" s="135"/>
      <c r="AE362" s="135"/>
      <c r="AF362" s="135"/>
      <c r="AG362" s="135"/>
      <c r="AH362" s="135"/>
      <c r="AI362" s="135"/>
      <c r="AJ362" s="135"/>
      <c r="AK362" s="135"/>
      <c r="AL362" s="135"/>
      <c r="AM362" s="136"/>
    </row>
    <row r="363" spans="1:39" ht="15.75" customHeight="1" x14ac:dyDescent="0.3">
      <c r="A363" s="76" t="s">
        <v>379</v>
      </c>
      <c r="B363" s="1"/>
      <c r="C363" s="1"/>
      <c r="D363" s="1"/>
      <c r="E363" s="59">
        <f t="shared" si="70"/>
        <v>0</v>
      </c>
      <c r="F363" s="1"/>
      <c r="G363" s="1"/>
      <c r="H363" s="1"/>
      <c r="I363" s="59">
        <f t="shared" si="71"/>
        <v>0</v>
      </c>
      <c r="J363" s="1"/>
      <c r="K363" s="1"/>
      <c r="L363" s="1"/>
      <c r="M363" s="59">
        <f t="shared" si="72"/>
        <v>0</v>
      </c>
      <c r="N363" s="1"/>
      <c r="O363" s="1"/>
      <c r="P363" s="1"/>
      <c r="Q363" s="59">
        <f t="shared" si="73"/>
        <v>0</v>
      </c>
      <c r="R363" s="59">
        <f t="shared" si="69"/>
        <v>0</v>
      </c>
      <c r="T363" s="4" t="s">
        <v>317</v>
      </c>
    </row>
    <row r="364" spans="1:39" ht="15.75" customHeight="1" x14ac:dyDescent="0.3">
      <c r="A364" s="76" t="s">
        <v>380</v>
      </c>
      <c r="B364" s="1">
        <v>500</v>
      </c>
      <c r="C364" s="1"/>
      <c r="D364" s="1"/>
      <c r="E364" s="59">
        <f t="shared" si="70"/>
        <v>500</v>
      </c>
      <c r="F364" s="1">
        <v>500</v>
      </c>
      <c r="G364" s="1">
        <v>1000</v>
      </c>
      <c r="H364" s="1">
        <v>2500</v>
      </c>
      <c r="I364" s="59">
        <f t="shared" si="71"/>
        <v>4000</v>
      </c>
      <c r="J364" s="1">
        <v>5500</v>
      </c>
      <c r="K364" s="1">
        <v>7500</v>
      </c>
      <c r="L364" s="1">
        <v>6500</v>
      </c>
      <c r="M364" s="59">
        <f t="shared" si="72"/>
        <v>19500</v>
      </c>
      <c r="N364" s="1">
        <v>4000</v>
      </c>
      <c r="O364" s="1">
        <v>4500</v>
      </c>
      <c r="P364" s="1">
        <v>1149</v>
      </c>
      <c r="Q364" s="59">
        <f t="shared" si="73"/>
        <v>9649</v>
      </c>
      <c r="R364" s="59">
        <f t="shared" si="69"/>
        <v>33649</v>
      </c>
    </row>
    <row r="365" spans="1:39" ht="15.75" customHeight="1" thickBot="1" x14ac:dyDescent="0.35">
      <c r="A365" s="17" t="s">
        <v>56</v>
      </c>
      <c r="B365" s="1"/>
      <c r="C365" s="1"/>
      <c r="D365" s="1"/>
      <c r="E365" s="59" t="s">
        <v>7</v>
      </c>
      <c r="F365" s="1"/>
      <c r="G365" s="1"/>
      <c r="H365" s="1"/>
      <c r="I365" s="59" t="s">
        <v>7</v>
      </c>
      <c r="J365" s="1"/>
      <c r="K365" s="1"/>
      <c r="L365" s="1"/>
      <c r="M365" s="59" t="s">
        <v>7</v>
      </c>
      <c r="N365" s="1"/>
      <c r="O365" s="1"/>
      <c r="P365" s="1"/>
      <c r="Q365" s="59" t="s">
        <v>7</v>
      </c>
      <c r="R365" s="59" t="s">
        <v>7</v>
      </c>
    </row>
    <row r="366" spans="1:39" ht="16.5" customHeight="1" thickBot="1" x14ac:dyDescent="0.35">
      <c r="A366" s="62" t="s">
        <v>57</v>
      </c>
      <c r="B366" s="100">
        <f>SUM(B353:B365)</f>
        <v>4100</v>
      </c>
      <c r="C366" s="101">
        <f>SUM(C353:C365)</f>
        <v>4040</v>
      </c>
      <c r="D366" s="101">
        <f>SUM(D353:D365)</f>
        <v>17745</v>
      </c>
      <c r="E366" s="64">
        <f>SUM(B366:D366)</f>
        <v>25885</v>
      </c>
      <c r="F366" s="101">
        <f>SUM(F353:F365)</f>
        <v>24930</v>
      </c>
      <c r="G366" s="101">
        <f>SUM(G353:G365)</f>
        <v>26086</v>
      </c>
      <c r="H366" s="101">
        <f>SUM(H353:H365)</f>
        <v>23784</v>
      </c>
      <c r="I366" s="64">
        <f>SUM(F366:H366)</f>
        <v>74800</v>
      </c>
      <c r="J366" s="101">
        <f>SUM(J353:J365)</f>
        <v>20497</v>
      </c>
      <c r="K366" s="101">
        <f>SUM(K353:K365)</f>
        <v>18590</v>
      </c>
      <c r="L366" s="101">
        <f>SUM(L353:L365)</f>
        <v>11530</v>
      </c>
      <c r="M366" s="64">
        <f>SUM(J366:L366)</f>
        <v>50617</v>
      </c>
      <c r="N366" s="101">
        <f>SUM(N353:N365)</f>
        <v>6381</v>
      </c>
      <c r="O366" s="101">
        <f>SUM(O353:O365)</f>
        <v>6140</v>
      </c>
      <c r="P366" s="101">
        <f>SUM(P353:P365)</f>
        <v>1646</v>
      </c>
      <c r="Q366" s="64">
        <f>SUM(N366:P366)</f>
        <v>14167</v>
      </c>
      <c r="R366" s="64">
        <f>+E366+I366+M366+Q366</f>
        <v>165469</v>
      </c>
    </row>
    <row r="367" spans="1:39" ht="15.75" customHeight="1" x14ac:dyDescent="0.3">
      <c r="A367" s="17" t="s">
        <v>58</v>
      </c>
      <c r="B367" s="1"/>
      <c r="C367" s="1"/>
      <c r="D367" s="1"/>
      <c r="E367" s="59" t="s">
        <v>7</v>
      </c>
      <c r="F367" s="1"/>
      <c r="G367" s="1"/>
      <c r="H367" s="1"/>
      <c r="I367" s="59" t="s">
        <v>7</v>
      </c>
      <c r="J367" s="1"/>
      <c r="K367" s="1"/>
      <c r="L367" s="1"/>
      <c r="M367" s="59" t="s">
        <v>7</v>
      </c>
      <c r="N367" s="1"/>
      <c r="O367" s="1"/>
      <c r="P367" s="1"/>
      <c r="Q367" s="59" t="s">
        <v>7</v>
      </c>
      <c r="R367" s="59" t="s">
        <v>7</v>
      </c>
    </row>
    <row r="368" spans="1:39" ht="15.75" customHeight="1" x14ac:dyDescent="0.3">
      <c r="A368" s="17" t="s">
        <v>59</v>
      </c>
      <c r="B368" s="1"/>
      <c r="C368" s="1"/>
      <c r="D368" s="1"/>
      <c r="E368" s="59" t="s">
        <v>7</v>
      </c>
      <c r="F368" s="1"/>
      <c r="G368" s="1"/>
      <c r="H368" s="1"/>
      <c r="I368" s="59" t="s">
        <v>7</v>
      </c>
      <c r="J368" s="1"/>
      <c r="K368" s="1"/>
      <c r="L368" s="1"/>
      <c r="M368" s="59" t="s">
        <v>7</v>
      </c>
      <c r="N368" s="1"/>
      <c r="O368" s="1"/>
      <c r="P368" s="1"/>
      <c r="Q368" s="59" t="s">
        <v>7</v>
      </c>
      <c r="R368" s="59" t="s">
        <v>7</v>
      </c>
    </row>
    <row r="369" spans="1:20" ht="15.75" customHeight="1" x14ac:dyDescent="0.3">
      <c r="A369" s="76" t="s">
        <v>381</v>
      </c>
      <c r="B369" s="1">
        <v>3180</v>
      </c>
      <c r="C369" s="1">
        <v>6572</v>
      </c>
      <c r="D369" s="1">
        <v>8480</v>
      </c>
      <c r="E369" s="59">
        <f>SUM(B369:D369)</f>
        <v>18232</v>
      </c>
      <c r="F369" s="1">
        <v>11660</v>
      </c>
      <c r="G369" s="1">
        <v>8480</v>
      </c>
      <c r="H369" s="1">
        <v>11660</v>
      </c>
      <c r="I369" s="59">
        <f>SUM(F369:H369)</f>
        <v>31800</v>
      </c>
      <c r="J369" s="1">
        <v>6890</v>
      </c>
      <c r="K369" s="1">
        <v>8480</v>
      </c>
      <c r="L369" s="1">
        <v>4770</v>
      </c>
      <c r="M369" s="59">
        <f>SUM(J369:L369)</f>
        <v>20140</v>
      </c>
      <c r="N369" s="1">
        <v>2650</v>
      </c>
      <c r="O369" s="1">
        <v>2120</v>
      </c>
      <c r="P369" s="1">
        <v>3180</v>
      </c>
      <c r="Q369" s="59">
        <f>SUM(N369:P369)</f>
        <v>7950</v>
      </c>
      <c r="R369" s="59">
        <f>+E369+I369+M369+Q369</f>
        <v>78122</v>
      </c>
      <c r="T369" s="4" t="s">
        <v>305</v>
      </c>
    </row>
    <row r="370" spans="1:20" ht="15.75" customHeight="1" x14ac:dyDescent="0.3">
      <c r="A370" s="76" t="s">
        <v>382</v>
      </c>
      <c r="B370" s="1">
        <f>1845+160</f>
        <v>2005</v>
      </c>
      <c r="C370" s="1">
        <f>4167+278</f>
        <v>4445</v>
      </c>
      <c r="D370" s="1">
        <f>7072+307</f>
        <v>7379</v>
      </c>
      <c r="E370" s="59">
        <f>SUM(B370:D370)</f>
        <v>13829</v>
      </c>
      <c r="F370" s="1">
        <f>9820+298</f>
        <v>10118</v>
      </c>
      <c r="G370" s="1">
        <f>10454+615</f>
        <v>11069</v>
      </c>
      <c r="H370" s="1">
        <f>12200+893</f>
        <v>13093</v>
      </c>
      <c r="I370" s="59">
        <f>SUM(F370:H370)</f>
        <v>34280</v>
      </c>
      <c r="J370" s="1">
        <f>15374+922</f>
        <v>16296</v>
      </c>
      <c r="K370" s="1">
        <f>11070+922</f>
        <v>11992</v>
      </c>
      <c r="L370" s="1">
        <f>6250+298</f>
        <v>6548</v>
      </c>
      <c r="M370" s="59">
        <f>SUM(J370:L370)</f>
        <v>34836</v>
      </c>
      <c r="N370" s="1">
        <f>6765+307</f>
        <v>7072</v>
      </c>
      <c r="O370" s="1"/>
      <c r="P370" s="1">
        <v>4140</v>
      </c>
      <c r="Q370" s="59">
        <f>SUM(N370:P370)</f>
        <v>11212</v>
      </c>
      <c r="R370" s="59">
        <f>+E370+I370+M370+Q370</f>
        <v>94157</v>
      </c>
      <c r="T370" s="4" t="s">
        <v>336</v>
      </c>
    </row>
    <row r="371" spans="1:20" ht="15.75" customHeight="1" x14ac:dyDescent="0.3">
      <c r="A371" s="17" t="s">
        <v>60</v>
      </c>
      <c r="B371" s="1"/>
      <c r="C371" s="1"/>
      <c r="D371" s="1"/>
      <c r="E371" s="59" t="s">
        <v>7</v>
      </c>
      <c r="F371" s="1"/>
      <c r="G371" s="1"/>
      <c r="H371" s="1"/>
      <c r="I371" s="59" t="s">
        <v>7</v>
      </c>
      <c r="J371" s="1"/>
      <c r="K371" s="1"/>
      <c r="L371" s="1"/>
      <c r="M371" s="59" t="s">
        <v>7</v>
      </c>
      <c r="N371" s="1"/>
      <c r="O371" s="1"/>
      <c r="P371" s="1"/>
      <c r="Q371" s="59" t="s">
        <v>7</v>
      </c>
      <c r="R371" s="59" t="s">
        <v>7</v>
      </c>
    </row>
    <row r="372" spans="1:20" ht="15.75" customHeight="1" x14ac:dyDescent="0.3">
      <c r="A372" s="76" t="s">
        <v>389</v>
      </c>
      <c r="B372" s="1">
        <v>472</v>
      </c>
      <c r="C372" s="1"/>
      <c r="D372" s="1"/>
      <c r="E372" s="59">
        <f t="shared" ref="E372:E407" si="74">SUM(B372:D372)</f>
        <v>472</v>
      </c>
      <c r="F372" s="1"/>
      <c r="G372" s="1"/>
      <c r="H372" s="1"/>
      <c r="I372" s="59">
        <f t="shared" ref="I372:I407" si="75">SUM(F372:H372)</f>
        <v>0</v>
      </c>
      <c r="J372" s="1"/>
      <c r="K372" s="1"/>
      <c r="L372" s="1"/>
      <c r="M372" s="59">
        <f t="shared" ref="M372:M407" si="76">SUM(J372:L372)</f>
        <v>0</v>
      </c>
      <c r="N372" s="1"/>
      <c r="O372" s="1"/>
      <c r="P372" s="1"/>
      <c r="Q372" s="59">
        <f t="shared" ref="Q372:Q407" si="77">SUM(N372:P372)</f>
        <v>0</v>
      </c>
      <c r="R372" s="59">
        <f>+E372+I372+M372+Q372</f>
        <v>472</v>
      </c>
      <c r="T372" s="4" t="s">
        <v>315</v>
      </c>
    </row>
    <row r="373" spans="1:20" ht="15.75" customHeight="1" x14ac:dyDescent="0.3">
      <c r="A373" s="76" t="s">
        <v>391</v>
      </c>
      <c r="B373" s="1">
        <v>516</v>
      </c>
      <c r="C373" s="1">
        <v>21</v>
      </c>
      <c r="D373" s="1"/>
      <c r="E373" s="59">
        <f t="shared" si="74"/>
        <v>537</v>
      </c>
      <c r="F373" s="1"/>
      <c r="G373" s="1"/>
      <c r="H373" s="1"/>
      <c r="I373" s="59">
        <f t="shared" si="75"/>
        <v>0</v>
      </c>
      <c r="J373" s="1"/>
      <c r="K373" s="1"/>
      <c r="L373" s="1"/>
      <c r="M373" s="59">
        <f t="shared" si="76"/>
        <v>0</v>
      </c>
      <c r="N373" s="1"/>
      <c r="O373" s="1"/>
      <c r="P373" s="1"/>
      <c r="Q373" s="59">
        <f t="shared" si="77"/>
        <v>0</v>
      </c>
      <c r="R373" s="59">
        <f>+E373+I373+M373+Q373</f>
        <v>537</v>
      </c>
      <c r="T373" s="4" t="s">
        <v>217</v>
      </c>
    </row>
    <row r="374" spans="1:20" ht="15.75" customHeight="1" x14ac:dyDescent="0.3">
      <c r="A374" s="76" t="s">
        <v>392</v>
      </c>
      <c r="B374" s="1">
        <v>1000</v>
      </c>
      <c r="C374" s="1"/>
      <c r="D374" s="1"/>
      <c r="E374" s="59">
        <f t="shared" si="74"/>
        <v>1000</v>
      </c>
      <c r="F374" s="1"/>
      <c r="G374" s="1"/>
      <c r="H374" s="1"/>
      <c r="I374" s="59">
        <f t="shared" si="75"/>
        <v>0</v>
      </c>
      <c r="J374" s="1"/>
      <c r="K374" s="1"/>
      <c r="L374" s="1"/>
      <c r="M374" s="59">
        <f t="shared" si="76"/>
        <v>0</v>
      </c>
      <c r="N374" s="1"/>
      <c r="O374" s="1"/>
      <c r="P374" s="1"/>
      <c r="Q374" s="59">
        <f t="shared" si="77"/>
        <v>0</v>
      </c>
      <c r="R374" s="59">
        <f>+E374+I374+M374+Q374</f>
        <v>1000</v>
      </c>
      <c r="T374" s="4" t="s">
        <v>315</v>
      </c>
    </row>
    <row r="375" spans="1:20" ht="15.75" customHeight="1" x14ac:dyDescent="0.3">
      <c r="A375" s="76" t="s">
        <v>393</v>
      </c>
      <c r="B375" s="1"/>
      <c r="C375" s="1"/>
      <c r="D375" s="1"/>
      <c r="E375" s="59">
        <f t="shared" si="74"/>
        <v>0</v>
      </c>
      <c r="F375" s="1">
        <v>627</v>
      </c>
      <c r="G375" s="1"/>
      <c r="H375" s="1"/>
      <c r="I375" s="59">
        <f t="shared" si="75"/>
        <v>627</v>
      </c>
      <c r="J375" s="1"/>
      <c r="K375" s="1"/>
      <c r="L375" s="1"/>
      <c r="M375" s="59">
        <f t="shared" si="76"/>
        <v>0</v>
      </c>
      <c r="N375" s="1"/>
      <c r="O375" s="1"/>
      <c r="P375" s="1"/>
      <c r="Q375" s="59">
        <f t="shared" si="77"/>
        <v>0</v>
      </c>
      <c r="R375" s="59">
        <f t="shared" ref="R375:R406" si="78">+E375+I375+M375+Q375</f>
        <v>627</v>
      </c>
    </row>
    <row r="376" spans="1:20" ht="15.75" customHeight="1" x14ac:dyDescent="0.3">
      <c r="A376" s="76" t="s">
        <v>395</v>
      </c>
      <c r="B376" s="1"/>
      <c r="C376" s="1">
        <v>4000</v>
      </c>
      <c r="D376" s="1">
        <v>8000</v>
      </c>
      <c r="E376" s="59">
        <f t="shared" si="74"/>
        <v>12000</v>
      </c>
      <c r="F376" s="1">
        <v>8000</v>
      </c>
      <c r="G376" s="1">
        <v>8000</v>
      </c>
      <c r="H376" s="1">
        <v>500</v>
      </c>
      <c r="I376" s="59">
        <f t="shared" si="75"/>
        <v>16500</v>
      </c>
      <c r="J376" s="1"/>
      <c r="K376" s="1"/>
      <c r="L376" s="1"/>
      <c r="M376" s="59">
        <f t="shared" si="76"/>
        <v>0</v>
      </c>
      <c r="N376" s="1"/>
      <c r="O376" s="1"/>
      <c r="P376" s="1"/>
      <c r="Q376" s="59">
        <f t="shared" si="77"/>
        <v>0</v>
      </c>
      <c r="R376" s="59">
        <f>+E376+I376+M376+Q376</f>
        <v>28500</v>
      </c>
      <c r="T376" s="4" t="s">
        <v>317</v>
      </c>
    </row>
    <row r="377" spans="1:20" ht="15.75" customHeight="1" x14ac:dyDescent="0.3">
      <c r="A377" s="76" t="s">
        <v>396</v>
      </c>
      <c r="B377" s="1"/>
      <c r="C377" s="1"/>
      <c r="D377" s="1"/>
      <c r="E377" s="59">
        <f t="shared" si="74"/>
        <v>0</v>
      </c>
      <c r="F377" s="1"/>
      <c r="G377" s="1"/>
      <c r="H377" s="1"/>
      <c r="I377" s="59">
        <f t="shared" si="75"/>
        <v>0</v>
      </c>
      <c r="J377" s="1"/>
      <c r="K377" s="1"/>
      <c r="L377" s="1"/>
      <c r="M377" s="59">
        <f t="shared" si="76"/>
        <v>0</v>
      </c>
      <c r="N377" s="1"/>
      <c r="O377" s="1"/>
      <c r="P377" s="1"/>
      <c r="Q377" s="59">
        <f t="shared" si="77"/>
        <v>0</v>
      </c>
      <c r="R377" s="59">
        <f t="shared" si="78"/>
        <v>0</v>
      </c>
      <c r="T377" s="4" t="s">
        <v>305</v>
      </c>
    </row>
    <row r="378" spans="1:20" ht="15.75" customHeight="1" x14ac:dyDescent="0.3">
      <c r="A378" s="76" t="s">
        <v>397</v>
      </c>
      <c r="B378" s="1">
        <v>2000</v>
      </c>
      <c r="C378" s="1">
        <v>3000</v>
      </c>
      <c r="D378" s="1">
        <v>3000</v>
      </c>
      <c r="E378" s="59">
        <f t="shared" si="74"/>
        <v>8000</v>
      </c>
      <c r="F378" s="1">
        <v>2000</v>
      </c>
      <c r="G378" s="1">
        <v>2000</v>
      </c>
      <c r="H378" s="1">
        <v>2000</v>
      </c>
      <c r="I378" s="59">
        <f t="shared" si="75"/>
        <v>6000</v>
      </c>
      <c r="J378" s="1">
        <v>4000</v>
      </c>
      <c r="K378" s="1">
        <v>4000</v>
      </c>
      <c r="L378" s="1">
        <v>4000</v>
      </c>
      <c r="M378" s="59">
        <f t="shared" si="76"/>
        <v>12000</v>
      </c>
      <c r="N378" s="1">
        <v>4000</v>
      </c>
      <c r="O378" s="1">
        <v>3000</v>
      </c>
      <c r="P378" s="1">
        <v>2000</v>
      </c>
      <c r="Q378" s="59">
        <f t="shared" si="77"/>
        <v>9000</v>
      </c>
      <c r="R378" s="59">
        <f t="shared" si="78"/>
        <v>35000</v>
      </c>
    </row>
    <row r="379" spans="1:20" ht="15.75" customHeight="1" x14ac:dyDescent="0.3">
      <c r="A379" s="76" t="s">
        <v>398</v>
      </c>
      <c r="B379" s="1">
        <v>200</v>
      </c>
      <c r="C379" s="1">
        <v>1660</v>
      </c>
      <c r="D379" s="1">
        <v>3470</v>
      </c>
      <c r="E379" s="59">
        <f t="shared" si="74"/>
        <v>5330</v>
      </c>
      <c r="F379" s="1">
        <v>4910</v>
      </c>
      <c r="G379" s="1">
        <v>6100</v>
      </c>
      <c r="H379" s="1">
        <v>7790</v>
      </c>
      <c r="I379" s="59">
        <f t="shared" si="75"/>
        <v>18800</v>
      </c>
      <c r="J379" s="1">
        <v>2650</v>
      </c>
      <c r="K379" s="1">
        <v>1220</v>
      </c>
      <c r="L379" s="1"/>
      <c r="M379" s="59">
        <f t="shared" si="76"/>
        <v>3870</v>
      </c>
      <c r="N379" s="1"/>
      <c r="O379" s="1"/>
      <c r="P379" s="1"/>
      <c r="Q379" s="59">
        <f t="shared" si="77"/>
        <v>0</v>
      </c>
      <c r="R379" s="59">
        <f t="shared" si="78"/>
        <v>28000</v>
      </c>
      <c r="T379" s="4" t="s">
        <v>305</v>
      </c>
    </row>
    <row r="380" spans="1:20" ht="15.75" customHeight="1" x14ac:dyDescent="0.3">
      <c r="A380" s="76" t="s">
        <v>399</v>
      </c>
      <c r="B380" s="1"/>
      <c r="C380" s="1"/>
      <c r="D380" s="1"/>
      <c r="E380" s="59">
        <f t="shared" si="74"/>
        <v>0</v>
      </c>
      <c r="F380" s="1"/>
      <c r="G380" s="1"/>
      <c r="H380" s="1">
        <v>3253</v>
      </c>
      <c r="I380" s="59">
        <f t="shared" si="75"/>
        <v>3253</v>
      </c>
      <c r="J380" s="1">
        <v>7400</v>
      </c>
      <c r="K380" s="1">
        <v>7000</v>
      </c>
      <c r="L380" s="1">
        <v>347</v>
      </c>
      <c r="M380" s="59">
        <f t="shared" si="76"/>
        <v>14747</v>
      </c>
      <c r="N380" s="1"/>
      <c r="O380" s="1"/>
      <c r="P380" s="1"/>
      <c r="Q380" s="59">
        <f t="shared" si="77"/>
        <v>0</v>
      </c>
      <c r="R380" s="59">
        <f t="shared" si="78"/>
        <v>18000</v>
      </c>
    </row>
    <row r="381" spans="1:20" ht="15.75" customHeight="1" x14ac:dyDescent="0.3">
      <c r="A381" s="76" t="s">
        <v>404</v>
      </c>
      <c r="B381" s="1">
        <v>3000</v>
      </c>
      <c r="C381" s="1">
        <v>3500</v>
      </c>
      <c r="D381" s="1"/>
      <c r="E381" s="59">
        <f t="shared" si="74"/>
        <v>6500</v>
      </c>
      <c r="F381" s="1"/>
      <c r="G381" s="1"/>
      <c r="H381" s="1"/>
      <c r="I381" s="59">
        <f t="shared" si="75"/>
        <v>0</v>
      </c>
      <c r="J381" s="1"/>
      <c r="K381" s="1"/>
      <c r="L381" s="1"/>
      <c r="M381" s="59">
        <f t="shared" si="76"/>
        <v>0</v>
      </c>
      <c r="N381" s="1"/>
      <c r="O381" s="1"/>
      <c r="P381" s="1"/>
      <c r="Q381" s="59">
        <f t="shared" si="77"/>
        <v>0</v>
      </c>
      <c r="R381" s="59">
        <f t="shared" si="78"/>
        <v>6500</v>
      </c>
    </row>
    <row r="382" spans="1:20" ht="15.75" customHeight="1" x14ac:dyDescent="0.3">
      <c r="A382" s="76" t="s">
        <v>406</v>
      </c>
      <c r="B382" s="1">
        <f>1+113</f>
        <v>114</v>
      </c>
      <c r="C382" s="1">
        <f>1+93</f>
        <v>94</v>
      </c>
      <c r="D382" s="1">
        <f>1+113</f>
        <v>114</v>
      </c>
      <c r="E382" s="59">
        <f t="shared" si="74"/>
        <v>322</v>
      </c>
      <c r="F382" s="1">
        <f>1+98</f>
        <v>99</v>
      </c>
      <c r="G382" s="1">
        <f>1+73+25</f>
        <v>99</v>
      </c>
      <c r="H382" s="1">
        <f>1+51+51</f>
        <v>103</v>
      </c>
      <c r="I382" s="59">
        <f t="shared" si="75"/>
        <v>301</v>
      </c>
      <c r="J382" s="1">
        <f>1+23+69</f>
        <v>93</v>
      </c>
      <c r="K382" s="1">
        <f>1+3+99</f>
        <v>103</v>
      </c>
      <c r="L382" s="1">
        <f>1+3+89</f>
        <v>93</v>
      </c>
      <c r="M382" s="59">
        <f t="shared" si="76"/>
        <v>289</v>
      </c>
      <c r="N382" s="1">
        <f>1+3+99-15</f>
        <v>88</v>
      </c>
      <c r="O382" s="1"/>
      <c r="P382" s="1"/>
      <c r="Q382" s="59">
        <f t="shared" si="77"/>
        <v>88</v>
      </c>
      <c r="R382" s="59">
        <f t="shared" si="78"/>
        <v>1000</v>
      </c>
    </row>
    <row r="383" spans="1:20" ht="15.75" customHeight="1" x14ac:dyDescent="0.3">
      <c r="A383" s="76" t="s">
        <v>407</v>
      </c>
      <c r="B383" s="1"/>
      <c r="C383" s="1"/>
      <c r="D383" s="1"/>
      <c r="E383" s="59">
        <f t="shared" si="74"/>
        <v>0</v>
      </c>
      <c r="F383" s="1"/>
      <c r="G383" s="1"/>
      <c r="H383" s="1"/>
      <c r="I383" s="59">
        <f t="shared" si="75"/>
        <v>0</v>
      </c>
      <c r="J383" s="1"/>
      <c r="K383" s="1"/>
      <c r="L383" s="1"/>
      <c r="M383" s="59">
        <f t="shared" si="76"/>
        <v>0</v>
      </c>
      <c r="N383" s="1"/>
      <c r="O383" s="1"/>
      <c r="P383" s="1"/>
      <c r="Q383" s="59">
        <f t="shared" si="77"/>
        <v>0</v>
      </c>
      <c r="R383" s="59">
        <f t="shared" si="78"/>
        <v>0</v>
      </c>
      <c r="T383" s="4" t="s">
        <v>315</v>
      </c>
    </row>
    <row r="384" spans="1:20" ht="15.75" customHeight="1" x14ac:dyDescent="0.3">
      <c r="A384" s="76" t="s">
        <v>408</v>
      </c>
      <c r="B384" s="1">
        <v>20</v>
      </c>
      <c r="C384" s="1">
        <v>17</v>
      </c>
      <c r="D384" s="1">
        <v>16</v>
      </c>
      <c r="E384" s="59">
        <f t="shared" si="74"/>
        <v>53</v>
      </c>
      <c r="F384" s="1">
        <v>16</v>
      </c>
      <c r="G384" s="1">
        <v>18</v>
      </c>
      <c r="H384" s="1">
        <v>19</v>
      </c>
      <c r="I384" s="59">
        <f t="shared" si="75"/>
        <v>53</v>
      </c>
      <c r="J384" s="1">
        <v>45</v>
      </c>
      <c r="K384" s="1">
        <v>37</v>
      </c>
      <c r="L384" s="1">
        <v>15</v>
      </c>
      <c r="M384" s="59">
        <f t="shared" si="76"/>
        <v>97</v>
      </c>
      <c r="N384" s="1">
        <v>14</v>
      </c>
      <c r="O384" s="1">
        <v>15</v>
      </c>
      <c r="P384" s="1">
        <v>18</v>
      </c>
      <c r="Q384" s="59">
        <f t="shared" si="77"/>
        <v>47</v>
      </c>
      <c r="R384" s="59">
        <f t="shared" si="78"/>
        <v>250</v>
      </c>
      <c r="T384" s="4" t="s">
        <v>348</v>
      </c>
    </row>
    <row r="385" spans="1:20" ht="15.75" customHeight="1" x14ac:dyDescent="0.3">
      <c r="A385" s="76" t="s">
        <v>409</v>
      </c>
      <c r="B385" s="1">
        <v>552</v>
      </c>
      <c r="C385" s="1">
        <v>1031</v>
      </c>
      <c r="D385" s="1">
        <v>1142</v>
      </c>
      <c r="E385" s="59">
        <f t="shared" si="74"/>
        <v>2725</v>
      </c>
      <c r="F385" s="1">
        <v>1105</v>
      </c>
      <c r="G385" s="1">
        <v>1142</v>
      </c>
      <c r="H385" s="1">
        <v>110</v>
      </c>
      <c r="I385" s="59">
        <f t="shared" si="75"/>
        <v>2357</v>
      </c>
      <c r="J385" s="1"/>
      <c r="K385" s="1"/>
      <c r="L385" s="1"/>
      <c r="M385" s="59">
        <f t="shared" si="76"/>
        <v>0</v>
      </c>
      <c r="N385" s="1"/>
      <c r="O385" s="1"/>
      <c r="P385" s="1"/>
      <c r="Q385" s="59">
        <f t="shared" si="77"/>
        <v>0</v>
      </c>
      <c r="R385" s="59">
        <f t="shared" si="78"/>
        <v>5082</v>
      </c>
      <c r="T385" s="4" t="s">
        <v>217</v>
      </c>
    </row>
    <row r="386" spans="1:20" ht="15.75" customHeight="1" x14ac:dyDescent="0.3">
      <c r="A386" s="76" t="s">
        <v>410</v>
      </c>
      <c r="B386" s="1">
        <v>2032</v>
      </c>
      <c r="C386" s="1">
        <v>2030</v>
      </c>
      <c r="D386" s="1">
        <v>2030</v>
      </c>
      <c r="E386" s="59">
        <f t="shared" si="74"/>
        <v>6092</v>
      </c>
      <c r="F386" s="1">
        <v>2030</v>
      </c>
      <c r="G386" s="1"/>
      <c r="H386" s="1"/>
      <c r="I386" s="59">
        <f t="shared" si="75"/>
        <v>2030</v>
      </c>
      <c r="J386" s="1"/>
      <c r="K386" s="1"/>
      <c r="L386" s="1"/>
      <c r="M386" s="59">
        <f t="shared" si="76"/>
        <v>0</v>
      </c>
      <c r="N386" s="1"/>
      <c r="O386" s="1"/>
      <c r="P386" s="1"/>
      <c r="Q386" s="59">
        <f t="shared" si="77"/>
        <v>0</v>
      </c>
      <c r="R386" s="59">
        <f>+E386+I386+M386+Q386</f>
        <v>8122</v>
      </c>
    </row>
    <row r="387" spans="1:20" ht="15.75" customHeight="1" x14ac:dyDescent="0.3">
      <c r="A387" s="76" t="s">
        <v>411</v>
      </c>
      <c r="B387" s="1"/>
      <c r="C387" s="1"/>
      <c r="D387" s="1"/>
      <c r="E387" s="59">
        <f t="shared" si="74"/>
        <v>0</v>
      </c>
      <c r="F387" s="1"/>
      <c r="G387" s="1"/>
      <c r="H387" s="1"/>
      <c r="I387" s="59">
        <f t="shared" si="75"/>
        <v>0</v>
      </c>
      <c r="J387" s="1"/>
      <c r="K387" s="1"/>
      <c r="L387" s="1"/>
      <c r="M387" s="59">
        <f t="shared" si="76"/>
        <v>0</v>
      </c>
      <c r="N387" s="1"/>
      <c r="O387" s="1"/>
      <c r="P387" s="1"/>
      <c r="Q387" s="59">
        <f t="shared" si="77"/>
        <v>0</v>
      </c>
      <c r="R387" s="59">
        <f>+E387+I387+M387+Q387</f>
        <v>0</v>
      </c>
    </row>
    <row r="388" spans="1:20" ht="15.75" customHeight="1" x14ac:dyDescent="0.3">
      <c r="A388" s="76" t="s">
        <v>945</v>
      </c>
      <c r="B388" s="1"/>
      <c r="C388" s="1"/>
      <c r="D388" s="1"/>
      <c r="E388" s="59">
        <f t="shared" si="74"/>
        <v>0</v>
      </c>
      <c r="F388" s="1"/>
      <c r="G388" s="1"/>
      <c r="H388" s="1"/>
      <c r="I388" s="59">
        <f t="shared" si="75"/>
        <v>0</v>
      </c>
      <c r="J388" s="1"/>
      <c r="K388" s="1"/>
      <c r="L388" s="1"/>
      <c r="M388" s="59">
        <f t="shared" si="76"/>
        <v>0</v>
      </c>
      <c r="N388" s="1"/>
      <c r="O388" s="1"/>
      <c r="P388" s="1"/>
      <c r="Q388" s="59">
        <f t="shared" si="77"/>
        <v>0</v>
      </c>
      <c r="R388" s="59">
        <f>+E388+I388+M388+Q388</f>
        <v>0</v>
      </c>
    </row>
    <row r="389" spans="1:20" ht="15.75" customHeight="1" x14ac:dyDescent="0.3">
      <c r="A389" s="76" t="s">
        <v>946</v>
      </c>
      <c r="B389" s="1"/>
      <c r="C389" s="1"/>
      <c r="D389" s="1"/>
      <c r="E389" s="59">
        <f t="shared" si="74"/>
        <v>0</v>
      </c>
      <c r="F389" s="1"/>
      <c r="G389" s="1"/>
      <c r="H389" s="1"/>
      <c r="I389" s="59">
        <f t="shared" si="75"/>
        <v>0</v>
      </c>
      <c r="J389" s="1"/>
      <c r="K389" s="1"/>
      <c r="L389" s="1"/>
      <c r="M389" s="59">
        <f t="shared" si="76"/>
        <v>0</v>
      </c>
      <c r="N389" s="1"/>
      <c r="O389" s="1"/>
      <c r="P389" s="1"/>
      <c r="Q389" s="59">
        <f t="shared" si="77"/>
        <v>0</v>
      </c>
      <c r="R389" s="59">
        <f>+E389+I389+M389+Q389</f>
        <v>0</v>
      </c>
      <c r="T389" s="4" t="s">
        <v>315</v>
      </c>
    </row>
    <row r="390" spans="1:20" ht="15.75" customHeight="1" x14ac:dyDescent="0.3">
      <c r="A390" s="76" t="s">
        <v>861</v>
      </c>
      <c r="B390" s="1"/>
      <c r="C390" s="1"/>
      <c r="D390" s="1">
        <v>2000</v>
      </c>
      <c r="E390" s="59">
        <f t="shared" si="74"/>
        <v>2000</v>
      </c>
      <c r="F390" s="1">
        <v>2000</v>
      </c>
      <c r="G390" s="1">
        <v>2000</v>
      </c>
      <c r="H390" s="1"/>
      <c r="I390" s="59">
        <f t="shared" si="75"/>
        <v>4000</v>
      </c>
      <c r="J390" s="1"/>
      <c r="K390" s="1"/>
      <c r="L390" s="1"/>
      <c r="M390" s="59">
        <f t="shared" si="76"/>
        <v>0</v>
      </c>
      <c r="N390" s="1"/>
      <c r="O390" s="1"/>
      <c r="P390" s="1"/>
      <c r="Q390" s="59">
        <f t="shared" si="77"/>
        <v>0</v>
      </c>
      <c r="R390" s="59">
        <f t="shared" si="78"/>
        <v>6000</v>
      </c>
      <c r="T390" s="4" t="s">
        <v>376</v>
      </c>
    </row>
    <row r="391" spans="1:20" ht="15.75" customHeight="1" x14ac:dyDescent="0.3">
      <c r="A391" s="76" t="s">
        <v>862</v>
      </c>
      <c r="B391" s="1"/>
      <c r="C391" s="1"/>
      <c r="D391" s="1"/>
      <c r="E391" s="59">
        <f t="shared" si="74"/>
        <v>0</v>
      </c>
      <c r="F391" s="1"/>
      <c r="G391" s="1"/>
      <c r="H391" s="1">
        <v>2000</v>
      </c>
      <c r="I391" s="59">
        <f t="shared" si="75"/>
        <v>2000</v>
      </c>
      <c r="J391" s="1">
        <v>4500</v>
      </c>
      <c r="K391" s="1">
        <v>3086</v>
      </c>
      <c r="L391" s="1">
        <v>500</v>
      </c>
      <c r="M391" s="59">
        <f t="shared" si="76"/>
        <v>8086</v>
      </c>
      <c r="N391" s="1">
        <v>700</v>
      </c>
      <c r="O391" s="1">
        <v>214</v>
      </c>
      <c r="P391" s="1"/>
      <c r="Q391" s="59">
        <f t="shared" si="77"/>
        <v>914</v>
      </c>
      <c r="R391" s="59">
        <f t="shared" si="78"/>
        <v>11000</v>
      </c>
      <c r="T391" s="4" t="s">
        <v>331</v>
      </c>
    </row>
    <row r="392" spans="1:20" ht="15.75" customHeight="1" x14ac:dyDescent="0.3">
      <c r="A392" s="76" t="s">
        <v>863</v>
      </c>
      <c r="B392" s="1"/>
      <c r="C392" s="1"/>
      <c r="D392" s="1"/>
      <c r="E392" s="59">
        <f t="shared" si="74"/>
        <v>0</v>
      </c>
      <c r="F392" s="1"/>
      <c r="G392" s="1"/>
      <c r="H392" s="1"/>
      <c r="I392" s="59">
        <f t="shared" si="75"/>
        <v>0</v>
      </c>
      <c r="J392" s="1"/>
      <c r="K392" s="1"/>
      <c r="L392" s="1"/>
      <c r="M392" s="59">
        <f t="shared" si="76"/>
        <v>0</v>
      </c>
      <c r="N392" s="1"/>
      <c r="O392" s="1"/>
      <c r="P392" s="1"/>
      <c r="Q392" s="59">
        <f t="shared" si="77"/>
        <v>0</v>
      </c>
      <c r="R392" s="59">
        <f>+E392+I392+M392+Q392</f>
        <v>0</v>
      </c>
      <c r="T392" s="4" t="s">
        <v>217</v>
      </c>
    </row>
    <row r="393" spans="1:20" ht="15.75" customHeight="1" x14ac:dyDescent="0.3">
      <c r="A393" s="76" t="s">
        <v>865</v>
      </c>
      <c r="B393" s="1"/>
      <c r="C393" s="1"/>
      <c r="D393" s="1"/>
      <c r="E393" s="59">
        <f t="shared" si="74"/>
        <v>0</v>
      </c>
      <c r="F393" s="1"/>
      <c r="G393" s="1"/>
      <c r="H393" s="1"/>
      <c r="I393" s="59">
        <f t="shared" si="75"/>
        <v>0</v>
      </c>
      <c r="J393" s="1"/>
      <c r="K393" s="1"/>
      <c r="L393" s="1"/>
      <c r="M393" s="59">
        <f t="shared" si="76"/>
        <v>0</v>
      </c>
      <c r="N393" s="1"/>
      <c r="O393" s="1"/>
      <c r="P393" s="1"/>
      <c r="Q393" s="59">
        <f t="shared" si="77"/>
        <v>0</v>
      </c>
      <c r="R393" s="59">
        <f>+E393+I393+M393+Q393</f>
        <v>0</v>
      </c>
      <c r="T393" s="4" t="s">
        <v>315</v>
      </c>
    </row>
    <row r="394" spans="1:20" ht="15.75" customHeight="1" x14ac:dyDescent="0.3">
      <c r="A394" s="76" t="s">
        <v>428</v>
      </c>
      <c r="B394" s="1"/>
      <c r="C394" s="1"/>
      <c r="D394" s="1"/>
      <c r="E394" s="59">
        <f t="shared" si="74"/>
        <v>0</v>
      </c>
      <c r="F394" s="1">
        <v>1000</v>
      </c>
      <c r="G394" s="1"/>
      <c r="H394" s="1"/>
      <c r="I394" s="59">
        <f t="shared" si="75"/>
        <v>1000</v>
      </c>
      <c r="J394" s="1"/>
      <c r="K394" s="1"/>
      <c r="L394" s="1"/>
      <c r="M394" s="59">
        <f t="shared" si="76"/>
        <v>0</v>
      </c>
      <c r="N394" s="1"/>
      <c r="O394" s="1"/>
      <c r="P394" s="1"/>
      <c r="Q394" s="59">
        <f t="shared" ref="Q394" si="79">SUM(N394:P394)</f>
        <v>0</v>
      </c>
      <c r="R394" s="59">
        <f>+E394+I394+M394+Q394</f>
        <v>1000</v>
      </c>
    </row>
    <row r="395" spans="1:20" ht="15.75" customHeight="1" x14ac:dyDescent="0.3">
      <c r="A395" s="76" t="s">
        <v>429</v>
      </c>
      <c r="B395" s="1">
        <v>1000</v>
      </c>
      <c r="C395" s="1">
        <v>1000</v>
      </c>
      <c r="D395" s="1">
        <v>1000</v>
      </c>
      <c r="E395" s="59">
        <f t="shared" si="74"/>
        <v>3000</v>
      </c>
      <c r="F395" s="1"/>
      <c r="G395" s="1"/>
      <c r="H395" s="1"/>
      <c r="I395" s="59">
        <f t="shared" si="75"/>
        <v>0</v>
      </c>
      <c r="J395" s="1"/>
      <c r="K395" s="1"/>
      <c r="L395" s="1"/>
      <c r="M395" s="59">
        <f t="shared" si="76"/>
        <v>0</v>
      </c>
      <c r="N395" s="1"/>
      <c r="O395" s="1"/>
      <c r="P395" s="1"/>
      <c r="Q395" s="59">
        <f t="shared" si="77"/>
        <v>0</v>
      </c>
      <c r="R395" s="59">
        <f>+E395+I395+M395+Q395</f>
        <v>3000</v>
      </c>
    </row>
    <row r="396" spans="1:20" ht="15.75" customHeight="1" x14ac:dyDescent="0.3">
      <c r="A396" s="76" t="s">
        <v>433</v>
      </c>
      <c r="B396" s="1"/>
      <c r="C396" s="1"/>
      <c r="D396" s="1"/>
      <c r="E396" s="59">
        <f t="shared" si="74"/>
        <v>0</v>
      </c>
      <c r="F396" s="1"/>
      <c r="G396" s="1"/>
      <c r="H396" s="1"/>
      <c r="I396" s="59">
        <f t="shared" si="75"/>
        <v>0</v>
      </c>
      <c r="J396" s="1"/>
      <c r="K396" s="1"/>
      <c r="L396" s="1"/>
      <c r="M396" s="59">
        <f t="shared" si="76"/>
        <v>0</v>
      </c>
      <c r="N396" s="1"/>
      <c r="O396" s="1"/>
      <c r="P396" s="1"/>
      <c r="Q396" s="59">
        <f t="shared" si="77"/>
        <v>0</v>
      </c>
      <c r="R396" s="59">
        <f>+E396+I396+M396+Q396</f>
        <v>0</v>
      </c>
      <c r="T396" s="4" t="s">
        <v>217</v>
      </c>
    </row>
    <row r="397" spans="1:20" ht="15.75" customHeight="1" x14ac:dyDescent="0.3">
      <c r="A397" s="76" t="s">
        <v>434</v>
      </c>
      <c r="B397" s="1"/>
      <c r="C397" s="1"/>
      <c r="D397" s="1"/>
      <c r="E397" s="59">
        <f t="shared" si="74"/>
        <v>0</v>
      </c>
      <c r="F397" s="1"/>
      <c r="G397" s="1">
        <v>1142</v>
      </c>
      <c r="H397" s="1">
        <v>1105</v>
      </c>
      <c r="I397" s="59">
        <f t="shared" si="75"/>
        <v>2247</v>
      </c>
      <c r="J397" s="1">
        <v>1052</v>
      </c>
      <c r="K397" s="1"/>
      <c r="L397" s="1"/>
      <c r="M397" s="59">
        <f t="shared" si="76"/>
        <v>1052</v>
      </c>
      <c r="N397" s="1"/>
      <c r="O397" s="1"/>
      <c r="P397" s="1"/>
      <c r="Q397" s="59">
        <f t="shared" si="77"/>
        <v>0</v>
      </c>
      <c r="R397" s="59">
        <f t="shared" si="78"/>
        <v>3299</v>
      </c>
      <c r="T397" s="4" t="s">
        <v>217</v>
      </c>
    </row>
    <row r="398" spans="1:20" ht="15.75" customHeight="1" x14ac:dyDescent="0.3">
      <c r="A398" s="76" t="s">
        <v>435</v>
      </c>
      <c r="B398" s="1"/>
      <c r="C398" s="1"/>
      <c r="D398" s="1"/>
      <c r="E398" s="59">
        <f t="shared" si="74"/>
        <v>0</v>
      </c>
      <c r="F398" s="1">
        <v>70</v>
      </c>
      <c r="G398" s="1"/>
      <c r="H398" s="1"/>
      <c r="I398" s="59">
        <f t="shared" si="75"/>
        <v>70</v>
      </c>
      <c r="J398" s="1"/>
      <c r="K398" s="1"/>
      <c r="L398" s="1"/>
      <c r="M398" s="59">
        <f t="shared" si="76"/>
        <v>0</v>
      </c>
      <c r="N398" s="1"/>
      <c r="O398" s="1"/>
      <c r="P398" s="1"/>
      <c r="Q398" s="59">
        <f t="shared" si="77"/>
        <v>0</v>
      </c>
      <c r="R398" s="59">
        <f t="shared" si="78"/>
        <v>70</v>
      </c>
      <c r="T398" s="4" t="s">
        <v>315</v>
      </c>
    </row>
    <row r="399" spans="1:20" ht="15.75" customHeight="1" x14ac:dyDescent="0.3">
      <c r="A399" s="76" t="s">
        <v>436</v>
      </c>
      <c r="B399" s="1"/>
      <c r="C399" s="1"/>
      <c r="D399" s="1"/>
      <c r="E399" s="59">
        <f t="shared" si="74"/>
        <v>0</v>
      </c>
      <c r="F399" s="4">
        <v>505</v>
      </c>
      <c r="G399" s="1">
        <v>1164</v>
      </c>
      <c r="H399" s="1"/>
      <c r="I399" s="59">
        <f t="shared" si="75"/>
        <v>1669</v>
      </c>
      <c r="J399" s="1"/>
      <c r="K399" s="1"/>
      <c r="L399" s="1"/>
      <c r="M399" s="59">
        <f t="shared" si="76"/>
        <v>0</v>
      </c>
      <c r="N399" s="1"/>
      <c r="O399" s="1"/>
      <c r="P399" s="1"/>
      <c r="Q399" s="59">
        <f t="shared" si="77"/>
        <v>0</v>
      </c>
      <c r="R399" s="59">
        <f t="shared" si="78"/>
        <v>1669</v>
      </c>
    </row>
    <row r="400" spans="1:20" ht="15.75" customHeight="1" x14ac:dyDescent="0.3">
      <c r="A400" s="76" t="s">
        <v>867</v>
      </c>
      <c r="B400" s="1"/>
      <c r="C400" s="1"/>
      <c r="D400" s="1"/>
      <c r="E400" s="59">
        <f t="shared" si="74"/>
        <v>0</v>
      </c>
      <c r="F400" s="1">
        <v>876</v>
      </c>
      <c r="G400" s="1"/>
      <c r="H400" s="1"/>
      <c r="I400" s="59">
        <f t="shared" si="75"/>
        <v>876</v>
      </c>
      <c r="J400" s="1"/>
      <c r="K400" s="1"/>
      <c r="L400" s="1"/>
      <c r="M400" s="59">
        <f t="shared" si="76"/>
        <v>0</v>
      </c>
      <c r="N400" s="1"/>
      <c r="O400" s="1"/>
      <c r="P400" s="1"/>
      <c r="Q400" s="59">
        <f t="shared" si="77"/>
        <v>0</v>
      </c>
      <c r="R400" s="59">
        <f t="shared" si="78"/>
        <v>876</v>
      </c>
      <c r="T400" s="4" t="s">
        <v>315</v>
      </c>
    </row>
    <row r="401" spans="1:21" ht="15.75" customHeight="1" x14ac:dyDescent="0.3">
      <c r="A401" s="76" t="s">
        <v>888</v>
      </c>
      <c r="B401" s="1"/>
      <c r="C401" s="1"/>
      <c r="D401" s="1"/>
      <c r="E401" s="59">
        <f t="shared" si="74"/>
        <v>0</v>
      </c>
      <c r="F401" s="1"/>
      <c r="G401" s="1"/>
      <c r="H401" s="1">
        <v>995</v>
      </c>
      <c r="I401" s="59">
        <f t="shared" si="75"/>
        <v>995</v>
      </c>
      <c r="J401" s="1">
        <v>1142</v>
      </c>
      <c r="K401" s="1"/>
      <c r="L401" s="1"/>
      <c r="M401" s="59">
        <f t="shared" si="76"/>
        <v>1142</v>
      </c>
      <c r="N401" s="1"/>
      <c r="O401" s="1"/>
      <c r="P401" s="1"/>
      <c r="Q401" s="59">
        <f t="shared" si="77"/>
        <v>0</v>
      </c>
      <c r="R401" s="59">
        <f t="shared" si="78"/>
        <v>2137</v>
      </c>
      <c r="T401" s="4" t="s">
        <v>217</v>
      </c>
    </row>
    <row r="402" spans="1:21" ht="15.75" customHeight="1" x14ac:dyDescent="0.3">
      <c r="A402" s="76" t="s">
        <v>890</v>
      </c>
      <c r="B402" s="1"/>
      <c r="C402" s="1"/>
      <c r="D402" s="1"/>
      <c r="E402" s="59">
        <f t="shared" si="74"/>
        <v>0</v>
      </c>
      <c r="F402" s="1"/>
      <c r="G402" s="1"/>
      <c r="H402" s="1"/>
      <c r="I402" s="59">
        <f t="shared" si="75"/>
        <v>0</v>
      </c>
      <c r="J402" s="1"/>
      <c r="K402" s="1"/>
      <c r="L402" s="1"/>
      <c r="M402" s="59">
        <f t="shared" si="76"/>
        <v>0</v>
      </c>
      <c r="N402" s="1"/>
      <c r="O402" s="1"/>
      <c r="P402" s="1"/>
      <c r="Q402" s="59">
        <f t="shared" si="77"/>
        <v>0</v>
      </c>
      <c r="R402" s="59">
        <f>+E402+I402+M402+Q402</f>
        <v>0</v>
      </c>
      <c r="T402" s="4" t="s">
        <v>315</v>
      </c>
    </row>
    <row r="403" spans="1:21" ht="15.75" customHeight="1" x14ac:dyDescent="0.3">
      <c r="A403" s="76" t="s">
        <v>891</v>
      </c>
      <c r="B403" s="1"/>
      <c r="C403" s="1">
        <v>1047</v>
      </c>
      <c r="D403" s="1">
        <v>1142</v>
      </c>
      <c r="E403" s="59">
        <f t="shared" si="74"/>
        <v>2189</v>
      </c>
      <c r="F403" s="1">
        <v>1105</v>
      </c>
      <c r="G403" s="1"/>
      <c r="H403" s="1"/>
      <c r="I403" s="59">
        <f t="shared" si="75"/>
        <v>1105</v>
      </c>
      <c r="J403" s="1"/>
      <c r="K403" s="1"/>
      <c r="L403" s="1"/>
      <c r="M403" s="59">
        <f t="shared" si="76"/>
        <v>0</v>
      </c>
      <c r="N403" s="1"/>
      <c r="O403" s="1"/>
      <c r="P403" s="1"/>
      <c r="Q403" s="59">
        <f t="shared" si="77"/>
        <v>0</v>
      </c>
      <c r="R403" s="59">
        <f t="shared" si="78"/>
        <v>3294</v>
      </c>
      <c r="T403" s="4" t="s">
        <v>217</v>
      </c>
    </row>
    <row r="404" spans="1:21" ht="15.75" customHeight="1" x14ac:dyDescent="0.3">
      <c r="A404" s="76" t="s">
        <v>892</v>
      </c>
      <c r="B404" s="1"/>
      <c r="C404" s="1">
        <v>1000</v>
      </c>
      <c r="D404" s="1">
        <v>1000</v>
      </c>
      <c r="E404" s="59">
        <f t="shared" si="74"/>
        <v>2000</v>
      </c>
      <c r="F404" s="1">
        <v>1130</v>
      </c>
      <c r="G404" s="1"/>
      <c r="H404" s="1"/>
      <c r="I404" s="59">
        <f t="shared" si="75"/>
        <v>1130</v>
      </c>
      <c r="J404" s="1"/>
      <c r="K404" s="1"/>
      <c r="L404" s="1"/>
      <c r="M404" s="59">
        <f t="shared" si="76"/>
        <v>0</v>
      </c>
      <c r="N404" s="1"/>
      <c r="O404" s="1"/>
      <c r="P404" s="1"/>
      <c r="Q404" s="59">
        <f t="shared" si="77"/>
        <v>0</v>
      </c>
      <c r="R404" s="59">
        <f t="shared" si="78"/>
        <v>3130</v>
      </c>
      <c r="T404" s="4" t="s">
        <v>315</v>
      </c>
    </row>
    <row r="405" spans="1:21" ht="15.75" customHeight="1" x14ac:dyDescent="0.3">
      <c r="A405" s="76" t="s">
        <v>883</v>
      </c>
      <c r="B405" s="1"/>
      <c r="C405" s="1"/>
      <c r="D405" s="1"/>
      <c r="E405" s="59">
        <f t="shared" si="74"/>
        <v>0</v>
      </c>
      <c r="F405" s="1"/>
      <c r="G405" s="1">
        <v>2622</v>
      </c>
      <c r="H405" s="1"/>
      <c r="I405" s="59">
        <f t="shared" si="75"/>
        <v>2622</v>
      </c>
      <c r="J405" s="1"/>
      <c r="K405" s="1"/>
      <c r="L405" s="1"/>
      <c r="M405" s="59">
        <f t="shared" si="76"/>
        <v>0</v>
      </c>
      <c r="N405" s="1"/>
      <c r="O405" s="1"/>
      <c r="P405" s="1"/>
      <c r="Q405" s="59">
        <f t="shared" si="77"/>
        <v>0</v>
      </c>
      <c r="R405" s="59">
        <f t="shared" si="78"/>
        <v>2622</v>
      </c>
    </row>
    <row r="406" spans="1:21" ht="15.75" customHeight="1" thickBot="1" x14ac:dyDescent="0.35">
      <c r="A406" s="76" t="s">
        <v>450</v>
      </c>
      <c r="B406" s="1">
        <v>2000</v>
      </c>
      <c r="C406" s="1">
        <v>2000</v>
      </c>
      <c r="D406" s="1">
        <v>2000</v>
      </c>
      <c r="E406" s="59">
        <f t="shared" si="74"/>
        <v>6000</v>
      </c>
      <c r="F406" s="1">
        <v>2000</v>
      </c>
      <c r="G406" s="1">
        <v>2000</v>
      </c>
      <c r="H406" s="1">
        <v>2000</v>
      </c>
      <c r="I406" s="59">
        <f t="shared" si="75"/>
        <v>6000</v>
      </c>
      <c r="J406" s="1">
        <v>2000</v>
      </c>
      <c r="K406" s="1">
        <v>3000</v>
      </c>
      <c r="L406" s="1">
        <v>2000</v>
      </c>
      <c r="M406" s="59">
        <f t="shared" si="76"/>
        <v>7000</v>
      </c>
      <c r="N406" s="1">
        <v>2000</v>
      </c>
      <c r="O406" s="1">
        <v>2000</v>
      </c>
      <c r="P406" s="1">
        <v>2000</v>
      </c>
      <c r="Q406" s="59">
        <f t="shared" si="77"/>
        <v>6000</v>
      </c>
      <c r="R406" s="59">
        <f t="shared" si="78"/>
        <v>25000</v>
      </c>
    </row>
    <row r="407" spans="1:21" ht="16.5" customHeight="1" thickBot="1" x14ac:dyDescent="0.35">
      <c r="A407" s="137" t="s">
        <v>61</v>
      </c>
      <c r="B407" s="107">
        <f>SUM(B367:B406)</f>
        <v>18091</v>
      </c>
      <c r="C407" s="63">
        <f>SUM(C367:C406)</f>
        <v>31417</v>
      </c>
      <c r="D407" s="63">
        <f>SUM(D367:D406)</f>
        <v>40773</v>
      </c>
      <c r="E407" s="64">
        <f t="shared" si="74"/>
        <v>90281</v>
      </c>
      <c r="F407" s="63">
        <f>SUM(F367:F406)</f>
        <v>49251</v>
      </c>
      <c r="G407" s="63">
        <f>SUM(G367:G406)</f>
        <v>45836</v>
      </c>
      <c r="H407" s="63">
        <f>SUM(H367:H406)</f>
        <v>44628</v>
      </c>
      <c r="I407" s="64">
        <f t="shared" si="75"/>
        <v>139715</v>
      </c>
      <c r="J407" s="63">
        <f>SUM(J367:J406)</f>
        <v>46068</v>
      </c>
      <c r="K407" s="63">
        <f>SUM(K367:K406)</f>
        <v>38918</v>
      </c>
      <c r="L407" s="63">
        <f>SUM(L367:L406)</f>
        <v>18273</v>
      </c>
      <c r="M407" s="64">
        <f t="shared" si="76"/>
        <v>103259</v>
      </c>
      <c r="N407" s="63">
        <f>SUM(N367:N406)</f>
        <v>16524</v>
      </c>
      <c r="O407" s="63">
        <f>SUM(O367:O406)</f>
        <v>7349</v>
      </c>
      <c r="P407" s="63">
        <f>SUM(P367:P406)</f>
        <v>11338</v>
      </c>
      <c r="Q407" s="64">
        <f t="shared" si="77"/>
        <v>35211</v>
      </c>
      <c r="R407" s="64">
        <f>+E407+I407+M407+Q407</f>
        <v>368466</v>
      </c>
      <c r="T407" s="106"/>
    </row>
    <row r="408" spans="1:21" ht="15.75" customHeight="1" x14ac:dyDescent="0.3">
      <c r="A408" s="17" t="s">
        <v>62</v>
      </c>
      <c r="B408" s="1"/>
      <c r="C408" s="1"/>
      <c r="D408" s="1"/>
      <c r="E408" s="59" t="s">
        <v>7</v>
      </c>
      <c r="F408" s="1"/>
      <c r="G408" s="1"/>
      <c r="H408" s="1"/>
      <c r="I408" s="59" t="s">
        <v>7</v>
      </c>
      <c r="J408" s="1"/>
      <c r="K408" s="1"/>
      <c r="L408" s="1"/>
      <c r="M408" s="59" t="s">
        <v>7</v>
      </c>
      <c r="N408" s="1"/>
      <c r="O408" s="1"/>
      <c r="P408" s="1"/>
      <c r="Q408" s="59" t="s">
        <v>7</v>
      </c>
      <c r="R408" s="59" t="s">
        <v>7</v>
      </c>
    </row>
    <row r="409" spans="1:21" ht="15.75" customHeight="1" x14ac:dyDescent="0.3">
      <c r="A409" s="17" t="s">
        <v>63</v>
      </c>
      <c r="B409" s="1"/>
      <c r="C409" s="1"/>
      <c r="D409" s="1"/>
      <c r="E409" s="59" t="s">
        <v>7</v>
      </c>
      <c r="F409" s="1"/>
      <c r="G409" s="1"/>
      <c r="H409" s="1"/>
      <c r="I409" s="59" t="s">
        <v>7</v>
      </c>
      <c r="J409" s="1"/>
      <c r="K409" s="1"/>
      <c r="L409" s="1"/>
      <c r="M409" s="59" t="s">
        <v>7</v>
      </c>
      <c r="N409" s="1"/>
      <c r="O409" s="1"/>
      <c r="P409" s="1"/>
      <c r="Q409" s="59" t="s">
        <v>7</v>
      </c>
      <c r="R409" s="59" t="s">
        <v>7</v>
      </c>
    </row>
    <row r="410" spans="1:21" ht="15.75" customHeight="1" x14ac:dyDescent="0.3">
      <c r="A410" s="76" t="s">
        <v>919</v>
      </c>
      <c r="B410" s="1"/>
      <c r="C410" s="1"/>
      <c r="D410" s="1"/>
      <c r="E410" s="59">
        <f>SUM(B410:D410)</f>
        <v>0</v>
      </c>
      <c r="F410" s="1"/>
      <c r="G410" s="1"/>
      <c r="H410" s="1"/>
      <c r="I410" s="59">
        <f>SUM(F410:H410)</f>
        <v>0</v>
      </c>
      <c r="J410" s="1"/>
      <c r="K410" s="1"/>
      <c r="L410" s="1"/>
      <c r="M410" s="59">
        <f>SUM(J410:L410)</f>
        <v>0</v>
      </c>
      <c r="N410" s="1"/>
      <c r="O410" s="1"/>
      <c r="P410" s="1"/>
      <c r="Q410" s="59">
        <f>SUM(N410:P410)</f>
        <v>0</v>
      </c>
      <c r="R410" s="59">
        <f>+E410+I410+M410+Q410</f>
        <v>0</v>
      </c>
      <c r="U410" s="20"/>
    </row>
    <row r="411" spans="1:21" ht="15.75" customHeight="1" x14ac:dyDescent="0.3">
      <c r="A411" s="17" t="s">
        <v>64</v>
      </c>
      <c r="B411" s="1"/>
      <c r="C411" s="1"/>
      <c r="D411" s="1"/>
      <c r="E411" s="59" t="s">
        <v>7</v>
      </c>
      <c r="F411" s="1"/>
      <c r="G411" s="1"/>
      <c r="H411" s="1"/>
      <c r="I411" s="59" t="s">
        <v>7</v>
      </c>
      <c r="J411" s="1"/>
      <c r="K411" s="1"/>
      <c r="L411" s="1"/>
      <c r="M411" s="59" t="s">
        <v>7</v>
      </c>
      <c r="N411" s="1"/>
      <c r="O411" s="1"/>
      <c r="P411" s="1"/>
      <c r="Q411" s="59" t="s">
        <v>7</v>
      </c>
      <c r="R411" s="59" t="s">
        <v>7</v>
      </c>
    </row>
    <row r="412" spans="1:21" ht="15.75" customHeight="1" x14ac:dyDescent="0.3">
      <c r="A412" s="76" t="s">
        <v>452</v>
      </c>
      <c r="B412" s="1"/>
      <c r="C412" s="1"/>
      <c r="D412" s="1"/>
      <c r="E412" s="59">
        <f>SUM(B412:D412)</f>
        <v>0</v>
      </c>
      <c r="F412" s="1"/>
      <c r="G412" s="1"/>
      <c r="H412" s="1"/>
      <c r="I412" s="59">
        <f>SUM(F412:H412)</f>
        <v>0</v>
      </c>
      <c r="J412" s="1"/>
      <c r="K412" s="1"/>
      <c r="L412" s="1"/>
      <c r="M412" s="59">
        <f>SUM(J412:L412)</f>
        <v>0</v>
      </c>
      <c r="N412" s="1"/>
      <c r="O412" s="1"/>
      <c r="P412" s="1"/>
      <c r="Q412" s="59">
        <f>SUM(N412:P412)</f>
        <v>0</v>
      </c>
      <c r="R412" s="59">
        <f>+E412+I412+M412+Q412</f>
        <v>0</v>
      </c>
    </row>
    <row r="413" spans="1:21" ht="15.75" customHeight="1" x14ac:dyDescent="0.3">
      <c r="A413" s="76" t="s">
        <v>453</v>
      </c>
      <c r="B413" s="1"/>
      <c r="C413" s="1"/>
      <c r="D413" s="1"/>
      <c r="E413" s="59">
        <f>SUM(B413:D413)</f>
        <v>0</v>
      </c>
      <c r="F413" s="1"/>
      <c r="G413" s="1"/>
      <c r="H413" s="1"/>
      <c r="I413" s="59">
        <f>SUM(F413:H413)</f>
        <v>0</v>
      </c>
      <c r="J413" s="1">
        <v>1345</v>
      </c>
      <c r="K413" s="1"/>
      <c r="L413" s="1"/>
      <c r="M413" s="59">
        <f>SUM(J413:L413)</f>
        <v>1345</v>
      </c>
      <c r="N413" s="1"/>
      <c r="O413" s="1"/>
      <c r="P413" s="1"/>
      <c r="Q413" s="59">
        <f>SUM(N413:P413)</f>
        <v>0</v>
      </c>
      <c r="R413" s="59">
        <f>+E413+I413+M413+Q413</f>
        <v>1345</v>
      </c>
    </row>
    <row r="414" spans="1:21" ht="15.75" customHeight="1" x14ac:dyDescent="0.3">
      <c r="A414" s="17" t="s">
        <v>66</v>
      </c>
      <c r="B414" s="1"/>
      <c r="C414" s="1"/>
      <c r="D414" s="1"/>
      <c r="E414" s="59" t="s">
        <v>7</v>
      </c>
      <c r="F414" s="1"/>
      <c r="G414" s="1"/>
      <c r="H414" s="1"/>
      <c r="I414" s="59" t="s">
        <v>7</v>
      </c>
      <c r="J414" s="1"/>
      <c r="K414" s="1"/>
      <c r="L414" s="1"/>
      <c r="M414" s="59" t="s">
        <v>7</v>
      </c>
      <c r="N414" s="1"/>
      <c r="O414" s="1"/>
      <c r="P414" s="1"/>
      <c r="Q414" s="59" t="s">
        <v>7</v>
      </c>
      <c r="R414" s="59" t="s">
        <v>7</v>
      </c>
    </row>
    <row r="415" spans="1:21" ht="15.75" customHeight="1" x14ac:dyDescent="0.3">
      <c r="A415" s="76" t="s">
        <v>454</v>
      </c>
      <c r="B415" s="1"/>
      <c r="C415" s="1"/>
      <c r="D415" s="1"/>
      <c r="E415" s="59">
        <f t="shared" ref="E415:E420" si="80">SUM(B415:D415)</f>
        <v>0</v>
      </c>
      <c r="F415" s="1"/>
      <c r="G415" s="1"/>
      <c r="H415" s="1"/>
      <c r="I415" s="59">
        <f t="shared" ref="I415:I420" si="81">SUM(F415:H415)</f>
        <v>0</v>
      </c>
      <c r="J415" s="1"/>
      <c r="K415" s="1"/>
      <c r="L415" s="1"/>
      <c r="M415" s="59">
        <f t="shared" ref="M415:M420" si="82">SUM(J415:L415)</f>
        <v>0</v>
      </c>
      <c r="N415" s="1"/>
      <c r="O415" s="1"/>
      <c r="P415" s="1"/>
      <c r="Q415" s="59">
        <f t="shared" ref="Q415:Q420" si="83">SUM(N415:P415)</f>
        <v>0</v>
      </c>
      <c r="R415" s="59">
        <f t="shared" ref="R415:R420" si="84">+E415+I415+M415+Q415</f>
        <v>0</v>
      </c>
      <c r="T415" s="4" t="s">
        <v>317</v>
      </c>
    </row>
    <row r="416" spans="1:21" ht="15.75" customHeight="1" x14ac:dyDescent="0.3">
      <c r="A416" s="76" t="s">
        <v>455</v>
      </c>
      <c r="B416" s="1"/>
      <c r="C416" s="1"/>
      <c r="D416" s="1"/>
      <c r="E416" s="59">
        <f t="shared" si="80"/>
        <v>0</v>
      </c>
      <c r="F416" s="1"/>
      <c r="G416" s="1"/>
      <c r="H416" s="1">
        <v>5000</v>
      </c>
      <c r="I416" s="59">
        <f t="shared" si="81"/>
        <v>5000</v>
      </c>
      <c r="J416" s="1"/>
      <c r="K416" s="1"/>
      <c r="L416" s="1"/>
      <c r="M416" s="59">
        <f t="shared" si="82"/>
        <v>0</v>
      </c>
      <c r="N416" s="1"/>
      <c r="O416" s="1"/>
      <c r="P416" s="1"/>
      <c r="Q416" s="59">
        <f t="shared" si="83"/>
        <v>0</v>
      </c>
      <c r="R416" s="59">
        <f t="shared" si="84"/>
        <v>5000</v>
      </c>
      <c r="T416" s="4" t="s">
        <v>317</v>
      </c>
    </row>
    <row r="417" spans="1:21" ht="15.75" customHeight="1" x14ac:dyDescent="0.3">
      <c r="A417" s="76" t="s">
        <v>920</v>
      </c>
      <c r="B417" s="1"/>
      <c r="C417" s="1"/>
      <c r="D417" s="1"/>
      <c r="E417" s="59">
        <f t="shared" si="80"/>
        <v>0</v>
      </c>
      <c r="F417" s="1"/>
      <c r="G417" s="1"/>
      <c r="H417" s="1">
        <v>1000</v>
      </c>
      <c r="I417" s="59">
        <f t="shared" si="81"/>
        <v>1000</v>
      </c>
      <c r="J417" s="1"/>
      <c r="K417" s="1"/>
      <c r="L417" s="1"/>
      <c r="M417" s="59">
        <f t="shared" si="82"/>
        <v>0</v>
      </c>
      <c r="N417" s="1"/>
      <c r="O417" s="1"/>
      <c r="P417" s="1"/>
      <c r="Q417" s="59">
        <f t="shared" si="83"/>
        <v>0</v>
      </c>
      <c r="R417" s="59">
        <f t="shared" si="84"/>
        <v>1000</v>
      </c>
      <c r="T417" s="4" t="s">
        <v>331</v>
      </c>
    </row>
    <row r="418" spans="1:21" ht="15.75" customHeight="1" x14ac:dyDescent="0.3">
      <c r="A418" s="76" t="s">
        <v>921</v>
      </c>
      <c r="B418" s="1"/>
      <c r="C418" s="1"/>
      <c r="D418" s="1"/>
      <c r="E418" s="59">
        <f t="shared" si="80"/>
        <v>0</v>
      </c>
      <c r="F418" s="1"/>
      <c r="G418" s="1"/>
      <c r="H418" s="1"/>
      <c r="I418" s="59">
        <f t="shared" si="81"/>
        <v>0</v>
      </c>
      <c r="J418" s="1"/>
      <c r="K418" s="1"/>
      <c r="L418" s="1"/>
      <c r="M418" s="59">
        <f t="shared" si="82"/>
        <v>0</v>
      </c>
      <c r="N418" s="1"/>
      <c r="O418" s="1"/>
      <c r="P418" s="1"/>
      <c r="Q418" s="59">
        <f t="shared" si="83"/>
        <v>0</v>
      </c>
      <c r="R418" s="59">
        <f t="shared" si="84"/>
        <v>0</v>
      </c>
    </row>
    <row r="419" spans="1:21" ht="15.75" customHeight="1" x14ac:dyDescent="0.3">
      <c r="A419" s="76" t="s">
        <v>458</v>
      </c>
      <c r="B419" s="1"/>
      <c r="C419" s="1"/>
      <c r="D419" s="1"/>
      <c r="E419" s="59">
        <f t="shared" si="80"/>
        <v>0</v>
      </c>
      <c r="F419" s="1"/>
      <c r="G419" s="1"/>
      <c r="H419" s="1"/>
      <c r="I419" s="59">
        <f t="shared" si="81"/>
        <v>0</v>
      </c>
      <c r="J419" s="1"/>
      <c r="K419" s="1"/>
      <c r="L419" s="1"/>
      <c r="M419" s="59">
        <f t="shared" si="82"/>
        <v>0</v>
      </c>
      <c r="N419" s="1"/>
      <c r="O419" s="1"/>
      <c r="P419" s="1"/>
      <c r="Q419" s="59">
        <f t="shared" si="83"/>
        <v>0</v>
      </c>
      <c r="R419" s="59">
        <f t="shared" si="84"/>
        <v>0</v>
      </c>
    </row>
    <row r="420" spans="1:21" ht="15.75" customHeight="1" x14ac:dyDescent="0.3">
      <c r="A420" s="76" t="s">
        <v>459</v>
      </c>
      <c r="B420" s="1"/>
      <c r="C420" s="1"/>
      <c r="D420" s="1"/>
      <c r="E420" s="59">
        <f t="shared" si="80"/>
        <v>0</v>
      </c>
      <c r="F420" s="1"/>
      <c r="G420" s="1"/>
      <c r="H420" s="1"/>
      <c r="I420" s="59">
        <f t="shared" si="81"/>
        <v>0</v>
      </c>
      <c r="J420" s="1"/>
      <c r="K420" s="1"/>
      <c r="L420" s="1"/>
      <c r="M420" s="59">
        <f t="shared" si="82"/>
        <v>0</v>
      </c>
      <c r="N420" s="1"/>
      <c r="O420" s="1"/>
      <c r="P420" s="1"/>
      <c r="Q420" s="59">
        <f t="shared" si="83"/>
        <v>0</v>
      </c>
      <c r="R420" s="59">
        <f t="shared" si="84"/>
        <v>0</v>
      </c>
      <c r="T420" s="4" t="s">
        <v>317</v>
      </c>
    </row>
    <row r="421" spans="1:21" ht="15.75" customHeight="1" x14ac:dyDescent="0.3">
      <c r="A421" s="17" t="s">
        <v>67</v>
      </c>
      <c r="B421" s="1"/>
      <c r="C421" s="1"/>
      <c r="D421" s="1"/>
      <c r="E421" s="59" t="s">
        <v>7</v>
      </c>
      <c r="F421" s="1"/>
      <c r="G421" s="1"/>
      <c r="H421" s="1"/>
      <c r="I421" s="59" t="s">
        <v>7</v>
      </c>
      <c r="J421" s="1"/>
      <c r="K421" s="1"/>
      <c r="L421" s="1"/>
      <c r="M421" s="59" t="s">
        <v>7</v>
      </c>
      <c r="N421" s="1"/>
      <c r="O421" s="1"/>
      <c r="P421" s="1"/>
      <c r="Q421" s="59" t="s">
        <v>7</v>
      </c>
      <c r="R421" s="59" t="s">
        <v>7</v>
      </c>
    </row>
    <row r="422" spans="1:21" ht="15.75" customHeight="1" x14ac:dyDescent="0.3">
      <c r="A422" s="76" t="s">
        <v>460</v>
      </c>
      <c r="B422" s="1"/>
      <c r="C422" s="1"/>
      <c r="D422" s="1"/>
      <c r="E422" s="59">
        <f>SUM(B422:D422)</f>
        <v>0</v>
      </c>
      <c r="F422" s="1"/>
      <c r="G422" s="1"/>
      <c r="H422" s="1"/>
      <c r="I422" s="59">
        <f>SUM(F422:H422)</f>
        <v>0</v>
      </c>
      <c r="J422" s="1"/>
      <c r="K422" s="1"/>
      <c r="L422" s="1"/>
      <c r="M422" s="59">
        <f>SUM(J422:L422)</f>
        <v>0</v>
      </c>
      <c r="N422" s="1"/>
      <c r="O422" s="1"/>
      <c r="P422" s="1"/>
      <c r="Q422" s="59">
        <f>SUM(N422:P422)</f>
        <v>0</v>
      </c>
      <c r="R422" s="59">
        <f>+E422+I422+M422+Q422</f>
        <v>0</v>
      </c>
      <c r="T422" s="4" t="s">
        <v>305</v>
      </c>
    </row>
    <row r="423" spans="1:21" ht="15.75" customHeight="1" x14ac:dyDescent="0.3">
      <c r="A423" s="76" t="s">
        <v>461</v>
      </c>
      <c r="B423" s="1"/>
      <c r="C423" s="1"/>
      <c r="D423" s="1"/>
      <c r="E423" s="59">
        <f>SUM(B423:D423)</f>
        <v>0</v>
      </c>
      <c r="F423" s="1"/>
      <c r="G423" s="1"/>
      <c r="H423" s="1"/>
      <c r="I423" s="59">
        <f>SUM(F423:H423)</f>
        <v>0</v>
      </c>
      <c r="J423" s="1"/>
      <c r="K423" s="1"/>
      <c r="L423" s="1"/>
      <c r="M423" s="59">
        <f>SUM(J423:L423)</f>
        <v>0</v>
      </c>
      <c r="N423" s="1"/>
      <c r="O423" s="1"/>
      <c r="P423" s="1"/>
      <c r="Q423" s="59">
        <f>SUM(N423:P423)</f>
        <v>0</v>
      </c>
      <c r="R423" s="59">
        <f>+E423+I423+M423+Q423</f>
        <v>0</v>
      </c>
      <c r="T423" s="4" t="s">
        <v>305</v>
      </c>
    </row>
    <row r="424" spans="1:21" ht="15.75" customHeight="1" x14ac:dyDescent="0.3">
      <c r="A424" s="76" t="s">
        <v>463</v>
      </c>
      <c r="B424" s="1"/>
      <c r="C424" s="1"/>
      <c r="D424" s="1"/>
      <c r="E424" s="59">
        <f>SUM(B424:D424)</f>
        <v>0</v>
      </c>
      <c r="F424" s="1"/>
      <c r="G424" s="1"/>
      <c r="H424" s="1"/>
      <c r="I424" s="59">
        <f>SUM(F424:H424)</f>
        <v>0</v>
      </c>
      <c r="J424" s="1"/>
      <c r="K424" s="1"/>
      <c r="L424" s="1"/>
      <c r="M424" s="59">
        <f>SUM(J424:L424)</f>
        <v>0</v>
      </c>
      <c r="N424" s="1"/>
      <c r="O424" s="1"/>
      <c r="P424" s="1"/>
      <c r="Q424" s="59">
        <f>SUM(N424:P424)</f>
        <v>0</v>
      </c>
      <c r="R424" s="59">
        <f>+E424+I424+M424+Q424</f>
        <v>0</v>
      </c>
    </row>
    <row r="425" spans="1:21" ht="15.75" customHeight="1" x14ac:dyDescent="0.3">
      <c r="A425" s="76" t="s">
        <v>464</v>
      </c>
      <c r="B425" s="1"/>
      <c r="C425" s="1"/>
      <c r="D425" s="1"/>
      <c r="E425" s="59">
        <f t="shared" ref="E425:E435" si="85">SUM(B425:D425)</f>
        <v>0</v>
      </c>
      <c r="F425" s="1"/>
      <c r="G425" s="1"/>
      <c r="H425" s="1">
        <v>3000</v>
      </c>
      <c r="I425" s="59">
        <f t="shared" ref="I425:I435" si="86">SUM(F425:H425)</f>
        <v>3000</v>
      </c>
      <c r="J425" s="1">
        <v>2000</v>
      </c>
      <c r="K425" s="1">
        <v>840</v>
      </c>
      <c r="L425" s="1"/>
      <c r="M425" s="59">
        <f t="shared" ref="M425:M435" si="87">SUM(J425:L425)</f>
        <v>2840</v>
      </c>
      <c r="N425" s="1"/>
      <c r="O425" s="1"/>
      <c r="P425" s="1"/>
      <c r="Q425" s="59">
        <f t="shared" ref="Q425:Q435" si="88">SUM(N425:P425)</f>
        <v>0</v>
      </c>
      <c r="R425" s="59">
        <f t="shared" ref="R425:R435" si="89">+E425+I425+M425+Q425</f>
        <v>5840</v>
      </c>
    </row>
    <row r="426" spans="1:21" ht="15.75" customHeight="1" x14ac:dyDescent="0.3">
      <c r="A426" s="76" t="s">
        <v>465</v>
      </c>
      <c r="B426" s="1"/>
      <c r="C426" s="1"/>
      <c r="D426" s="1"/>
      <c r="E426" s="59">
        <f>SUM(B426:D426)</f>
        <v>0</v>
      </c>
      <c r="F426" s="1"/>
      <c r="G426" s="1"/>
      <c r="H426" s="1"/>
      <c r="I426" s="59">
        <f>SUM(F426:H426)</f>
        <v>0</v>
      </c>
      <c r="J426" s="1"/>
      <c r="K426" s="1"/>
      <c r="L426" s="1"/>
      <c r="M426" s="59">
        <f>SUM(J426:L426)</f>
        <v>0</v>
      </c>
      <c r="N426" s="1"/>
      <c r="O426" s="1"/>
      <c r="P426" s="1"/>
      <c r="Q426" s="59">
        <f>SUM(N426:P426)</f>
        <v>0</v>
      </c>
      <c r="R426" s="59">
        <f>+E426+I426+M426+Q426</f>
        <v>0</v>
      </c>
    </row>
    <row r="427" spans="1:21" ht="15.75" customHeight="1" x14ac:dyDescent="0.3">
      <c r="A427" s="76" t="s">
        <v>466</v>
      </c>
      <c r="B427" s="1">
        <v>200</v>
      </c>
      <c r="C427" s="1">
        <v>500</v>
      </c>
      <c r="D427" s="1">
        <v>1090</v>
      </c>
      <c r="E427" s="59">
        <f>SUM(B427:D427)</f>
        <v>1790</v>
      </c>
      <c r="F427" s="1">
        <v>1200</v>
      </c>
      <c r="G427" s="1">
        <v>1260</v>
      </c>
      <c r="H427" s="1">
        <v>510</v>
      </c>
      <c r="I427" s="59">
        <f>SUM(F427:H427)</f>
        <v>2970</v>
      </c>
      <c r="J427" s="1">
        <v>510</v>
      </c>
      <c r="K427" s="1">
        <v>310</v>
      </c>
      <c r="L427" s="1">
        <v>200</v>
      </c>
      <c r="M427" s="59">
        <f>SUM(J427:L427)</f>
        <v>1020</v>
      </c>
      <c r="N427" s="1">
        <v>60</v>
      </c>
      <c r="O427" s="1"/>
      <c r="P427" s="1"/>
      <c r="Q427" s="59">
        <f>SUM(N427:P427)</f>
        <v>60</v>
      </c>
      <c r="R427" s="59">
        <f>+E427+I427+M427+Q427</f>
        <v>5840</v>
      </c>
      <c r="T427" s="4" t="s">
        <v>305</v>
      </c>
      <c r="U427" s="20"/>
    </row>
    <row r="428" spans="1:21" ht="15.75" customHeight="1" x14ac:dyDescent="0.3">
      <c r="A428" s="76" t="s">
        <v>467</v>
      </c>
      <c r="B428" s="1"/>
      <c r="C428" s="1"/>
      <c r="D428" s="1"/>
      <c r="E428" s="59">
        <f>SUM(B428:D428)</f>
        <v>0</v>
      </c>
      <c r="F428" s="1"/>
      <c r="G428" s="1"/>
      <c r="H428" s="1"/>
      <c r="I428" s="59">
        <f>SUM(F428:H428)</f>
        <v>0</v>
      </c>
      <c r="J428" s="1"/>
      <c r="K428" s="1"/>
      <c r="L428" s="1"/>
      <c r="M428" s="59">
        <f>SUM(J428:L428)</f>
        <v>0</v>
      </c>
      <c r="N428" s="1"/>
      <c r="O428" s="1"/>
      <c r="P428" s="1"/>
      <c r="Q428" s="59">
        <f>SUM(N428:P428)</f>
        <v>0</v>
      </c>
      <c r="R428" s="59">
        <f>+E428+I428+M428+Q428</f>
        <v>0</v>
      </c>
    </row>
    <row r="429" spans="1:21" ht="15.75" customHeight="1" thickBot="1" x14ac:dyDescent="0.35">
      <c r="A429" s="76" t="s">
        <v>469</v>
      </c>
      <c r="B429" s="1"/>
      <c r="C429" s="1"/>
      <c r="D429" s="1"/>
      <c r="E429" s="59">
        <f>SUM(B429:D429)</f>
        <v>0</v>
      </c>
      <c r="F429" s="1"/>
      <c r="G429" s="1"/>
      <c r="H429" s="1"/>
      <c r="I429" s="59">
        <f>SUM(F429:H429)</f>
        <v>0</v>
      </c>
      <c r="J429" s="1"/>
      <c r="K429" s="1">
        <v>1230</v>
      </c>
      <c r="L429" s="1">
        <v>2000</v>
      </c>
      <c r="M429" s="59">
        <f>SUM(J429:L429)</f>
        <v>3230</v>
      </c>
      <c r="N429" s="1">
        <v>1000</v>
      </c>
      <c r="O429" s="1">
        <v>500</v>
      </c>
      <c r="P429" s="1">
        <v>500</v>
      </c>
      <c r="Q429" s="59">
        <f>SUM(N429:P429)</f>
        <v>2000</v>
      </c>
      <c r="R429" s="59">
        <f>+E429+I429+M429+Q429</f>
        <v>5230</v>
      </c>
      <c r="T429" s="4" t="s">
        <v>331</v>
      </c>
    </row>
    <row r="430" spans="1:21" ht="16.5" customHeight="1" thickBot="1" x14ac:dyDescent="0.35">
      <c r="A430" s="62" t="s">
        <v>68</v>
      </c>
      <c r="B430" s="63">
        <f>SUM(B414:B429)</f>
        <v>200</v>
      </c>
      <c r="C430" s="63">
        <f>SUM(C414:C429)</f>
        <v>500</v>
      </c>
      <c r="D430" s="63">
        <f>SUM(D414:D429)</f>
        <v>1090</v>
      </c>
      <c r="E430" s="65">
        <f t="shared" si="85"/>
        <v>1790</v>
      </c>
      <c r="F430" s="63">
        <f>SUM(F414:F429)</f>
        <v>1200</v>
      </c>
      <c r="G430" s="63">
        <f>SUM(G414:G429)</f>
        <v>1260</v>
      </c>
      <c r="H430" s="63">
        <f>SUM(H414:H429)</f>
        <v>9510</v>
      </c>
      <c r="I430" s="65">
        <f t="shared" si="86"/>
        <v>11970</v>
      </c>
      <c r="J430" s="63">
        <f>SUM(J414:J429)</f>
        <v>2510</v>
      </c>
      <c r="K430" s="63">
        <f>SUM(K414:K429)</f>
        <v>2380</v>
      </c>
      <c r="L430" s="63">
        <f>SUM(L414:L429)</f>
        <v>2200</v>
      </c>
      <c r="M430" s="65">
        <f t="shared" si="87"/>
        <v>7090</v>
      </c>
      <c r="N430" s="63">
        <f>SUM(N414:N429)</f>
        <v>1060</v>
      </c>
      <c r="O430" s="63">
        <f>SUM(O414:O429)</f>
        <v>500</v>
      </c>
      <c r="P430" s="63">
        <f>SUM(P414:P429)</f>
        <v>500</v>
      </c>
      <c r="Q430" s="65">
        <f t="shared" si="88"/>
        <v>2060</v>
      </c>
      <c r="R430" s="64">
        <f t="shared" si="89"/>
        <v>22910</v>
      </c>
    </row>
    <row r="431" spans="1:21" ht="16.5" customHeight="1" thickBot="1" x14ac:dyDescent="0.35">
      <c r="A431" s="137" t="s">
        <v>69</v>
      </c>
      <c r="B431" s="100">
        <f>SUM(B408:B429)</f>
        <v>200</v>
      </c>
      <c r="C431" s="101">
        <f>SUM(C408:C429)</f>
        <v>500</v>
      </c>
      <c r="D431" s="138">
        <f>SUM(D408:D429)</f>
        <v>1090</v>
      </c>
      <c r="E431" s="65">
        <f t="shared" si="85"/>
        <v>1790</v>
      </c>
      <c r="F431" s="101">
        <f>SUM(F408:F429)</f>
        <v>1200</v>
      </c>
      <c r="G431" s="101">
        <f>SUM(G408:G429)</f>
        <v>1260</v>
      </c>
      <c r="H431" s="101">
        <f>SUM(H408:H429)</f>
        <v>9510</v>
      </c>
      <c r="I431" s="65">
        <f t="shared" si="86"/>
        <v>11970</v>
      </c>
      <c r="J431" s="101">
        <f>SUM(J408:J429)</f>
        <v>3855</v>
      </c>
      <c r="K431" s="101">
        <f>SUM(K408:K429)</f>
        <v>2380</v>
      </c>
      <c r="L431" s="101">
        <f>SUM(L408:L429)</f>
        <v>2200</v>
      </c>
      <c r="M431" s="65">
        <f t="shared" si="87"/>
        <v>8435</v>
      </c>
      <c r="N431" s="101">
        <f>SUM(N408:N429)</f>
        <v>1060</v>
      </c>
      <c r="O431" s="101">
        <f>SUM(O408:O429)</f>
        <v>500</v>
      </c>
      <c r="P431" s="101">
        <f>SUM(P408:P429)</f>
        <v>500</v>
      </c>
      <c r="Q431" s="65">
        <f t="shared" si="88"/>
        <v>2060</v>
      </c>
      <c r="R431" s="64">
        <f t="shared" si="89"/>
        <v>24255</v>
      </c>
    </row>
    <row r="432" spans="1:21" ht="16.5" customHeight="1" thickBot="1" x14ac:dyDescent="0.35">
      <c r="A432" s="62" t="s">
        <v>70</v>
      </c>
      <c r="B432" s="107">
        <f>+B352+B366+B407+B431</f>
        <v>25474</v>
      </c>
      <c r="C432" s="63">
        <f>+C352+C366+C407+C431</f>
        <v>39314</v>
      </c>
      <c r="D432" s="63">
        <f>+D352+D366+D407+D431</f>
        <v>63961</v>
      </c>
      <c r="E432" s="64">
        <f t="shared" si="85"/>
        <v>128749</v>
      </c>
      <c r="F432" s="63">
        <f>+F352+F366+F407+F431</f>
        <v>80413</v>
      </c>
      <c r="G432" s="63">
        <f>+G352+G366+G407+G431</f>
        <v>85331</v>
      </c>
      <c r="H432" s="63">
        <f>+H352+H366+H407+H431</f>
        <v>95579</v>
      </c>
      <c r="I432" s="64">
        <f t="shared" si="86"/>
        <v>261323</v>
      </c>
      <c r="J432" s="63">
        <f>+J352+J366+J407+J431</f>
        <v>80367</v>
      </c>
      <c r="K432" s="63">
        <f>+K352+K366+K407+K431</f>
        <v>68421</v>
      </c>
      <c r="L432" s="63">
        <f>+L352+L366+L407+L431</f>
        <v>40487</v>
      </c>
      <c r="M432" s="64">
        <f t="shared" si="87"/>
        <v>189275</v>
      </c>
      <c r="N432" s="63">
        <f>+N352+N366+N407+N431</f>
        <v>31754</v>
      </c>
      <c r="O432" s="63">
        <f>+O352+O366+O407+O431</f>
        <v>21352</v>
      </c>
      <c r="P432" s="63">
        <f>+P352+P366+P407+P431</f>
        <v>20068</v>
      </c>
      <c r="Q432" s="64">
        <f t="shared" si="88"/>
        <v>73174</v>
      </c>
      <c r="R432" s="88">
        <f t="shared" si="89"/>
        <v>652521</v>
      </c>
    </row>
    <row r="433" spans="1:18" ht="15.75" customHeight="1" x14ac:dyDescent="0.3">
      <c r="A433" s="74" t="s">
        <v>470</v>
      </c>
      <c r="B433" s="1"/>
      <c r="C433" s="1"/>
      <c r="D433" s="1"/>
      <c r="E433" s="59">
        <f t="shared" si="85"/>
        <v>0</v>
      </c>
      <c r="F433" s="1"/>
      <c r="G433" s="1"/>
      <c r="H433" s="1"/>
      <c r="I433" s="59">
        <f t="shared" si="86"/>
        <v>0</v>
      </c>
      <c r="J433" s="1"/>
      <c r="K433" s="1"/>
      <c r="L433" s="1"/>
      <c r="M433" s="59">
        <f t="shared" si="87"/>
        <v>0</v>
      </c>
      <c r="N433" s="1"/>
      <c r="O433" s="1"/>
      <c r="P433" s="1"/>
      <c r="Q433" s="59">
        <f t="shared" si="88"/>
        <v>0</v>
      </c>
      <c r="R433" s="59">
        <f t="shared" si="89"/>
        <v>0</v>
      </c>
    </row>
    <row r="434" spans="1:18" ht="15.75" customHeight="1" x14ac:dyDescent="0.3">
      <c r="A434" s="74" t="s">
        <v>471</v>
      </c>
      <c r="B434" s="1"/>
      <c r="C434" s="1"/>
      <c r="D434" s="1"/>
      <c r="E434" s="59">
        <f t="shared" si="85"/>
        <v>0</v>
      </c>
      <c r="F434" s="1"/>
      <c r="G434" s="1"/>
      <c r="H434" s="1"/>
      <c r="I434" s="59">
        <f t="shared" si="86"/>
        <v>0</v>
      </c>
      <c r="J434" s="1"/>
      <c r="K434" s="1"/>
      <c r="L434" s="1"/>
      <c r="M434" s="59">
        <f t="shared" si="87"/>
        <v>0</v>
      </c>
      <c r="N434" s="1"/>
      <c r="O434" s="1"/>
      <c r="P434" s="1"/>
      <c r="Q434" s="59">
        <f t="shared" si="88"/>
        <v>0</v>
      </c>
      <c r="R434" s="59">
        <f t="shared" si="89"/>
        <v>0</v>
      </c>
    </row>
    <row r="435" spans="1:18" ht="16.5" customHeight="1" thickBot="1" x14ac:dyDescent="0.35">
      <c r="A435" s="79" t="s">
        <v>37</v>
      </c>
      <c r="B435" s="25">
        <v>155</v>
      </c>
      <c r="C435" s="25">
        <v>283</v>
      </c>
      <c r="D435" s="25">
        <v>435</v>
      </c>
      <c r="E435" s="88">
        <f t="shared" si="85"/>
        <v>873</v>
      </c>
      <c r="F435" s="25">
        <v>602</v>
      </c>
      <c r="G435" s="25">
        <v>711</v>
      </c>
      <c r="H435" s="25">
        <v>722</v>
      </c>
      <c r="I435" s="88">
        <f t="shared" si="86"/>
        <v>2035</v>
      </c>
      <c r="J435" s="25">
        <v>686</v>
      </c>
      <c r="K435" s="25">
        <v>519</v>
      </c>
      <c r="L435" s="25">
        <v>531</v>
      </c>
      <c r="M435" s="88">
        <f t="shared" si="87"/>
        <v>1736</v>
      </c>
      <c r="N435" s="25">
        <v>489</v>
      </c>
      <c r="O435" s="25">
        <v>389</v>
      </c>
      <c r="P435" s="25">
        <v>275</v>
      </c>
      <c r="Q435" s="88">
        <f t="shared" si="88"/>
        <v>1153</v>
      </c>
      <c r="R435" s="59">
        <f t="shared" si="89"/>
        <v>5797</v>
      </c>
    </row>
    <row r="436" spans="1:18" ht="16.5" customHeight="1" thickBot="1" x14ac:dyDescent="0.35">
      <c r="A436" s="80"/>
      <c r="B436" s="81"/>
      <c r="C436" s="81"/>
      <c r="D436" s="81"/>
      <c r="E436" s="64"/>
      <c r="F436" s="81"/>
      <c r="G436" s="81"/>
      <c r="H436" s="81"/>
      <c r="I436" s="64"/>
      <c r="J436" s="81"/>
      <c r="K436" s="81"/>
      <c r="L436" s="81"/>
      <c r="M436" s="64"/>
      <c r="N436" s="81"/>
      <c r="O436" s="81"/>
      <c r="P436" s="81"/>
      <c r="Q436" s="64"/>
      <c r="R436" s="64" t="s">
        <v>7</v>
      </c>
    </row>
    <row r="437" spans="1:18" ht="15.75" customHeight="1" x14ac:dyDescent="0.3">
      <c r="A437" s="82" t="s">
        <v>38</v>
      </c>
      <c r="B437" s="83">
        <f>SUM(B432:B435)</f>
        <v>25629</v>
      </c>
      <c r="C437" s="83">
        <f>SUM(C432:C435)</f>
        <v>39597</v>
      </c>
      <c r="D437" s="83">
        <f>SUM(D432:D435)</f>
        <v>64396</v>
      </c>
      <c r="E437" s="65">
        <f>SUM(B437:D437)</f>
        <v>129622</v>
      </c>
      <c r="F437" s="83">
        <f>SUM(F432:F435)</f>
        <v>81015</v>
      </c>
      <c r="G437" s="83">
        <f>SUM(G432:G435)</f>
        <v>86042</v>
      </c>
      <c r="H437" s="83">
        <f>SUM(H432:H435)</f>
        <v>96301</v>
      </c>
      <c r="I437" s="65">
        <f>SUM(F437:H437)</f>
        <v>263358</v>
      </c>
      <c r="J437" s="83">
        <f>SUM(J432:J435)</f>
        <v>81053</v>
      </c>
      <c r="K437" s="83">
        <f>SUM(K432:K435)</f>
        <v>68940</v>
      </c>
      <c r="L437" s="83">
        <f>SUM(L432:L435)</f>
        <v>41018</v>
      </c>
      <c r="M437" s="65">
        <f>SUM(J437:L437)</f>
        <v>191011</v>
      </c>
      <c r="N437" s="83">
        <f>SUM(N432:N435)</f>
        <v>32243</v>
      </c>
      <c r="O437" s="83">
        <f>SUM(O432:O435)</f>
        <v>21741</v>
      </c>
      <c r="P437" s="83">
        <f>SUM(P432:P435)</f>
        <v>20343</v>
      </c>
      <c r="Q437" s="65">
        <f>SUM(N437:P437)</f>
        <v>74327</v>
      </c>
      <c r="R437" s="65">
        <f>+E437+I437+M437+Q437</f>
        <v>658318</v>
      </c>
    </row>
    <row r="438" spans="1:18" ht="15.75" customHeight="1" x14ac:dyDescent="0.3">
      <c r="A438" s="85" t="s">
        <v>39</v>
      </c>
      <c r="B438" s="1">
        <f>(B437/B10)/1.983</f>
        <v>416.91474305792786</v>
      </c>
      <c r="C438" s="1">
        <f>(C437/C10)/1.983</f>
        <v>688.55965360738696</v>
      </c>
      <c r="D438" s="1">
        <f>(D437/D10)/1.983</f>
        <v>1047.5493306004262</v>
      </c>
      <c r="E438" s="59" t="s">
        <v>7</v>
      </c>
      <c r="F438" s="1">
        <f>(F437/F10)/1.983</f>
        <v>1361.8255168935955</v>
      </c>
      <c r="G438" s="1">
        <f>(G437/G10)/1.983</f>
        <v>1399.671400452231</v>
      </c>
      <c r="H438" s="1">
        <f>(H437/H10)/1.983</f>
        <v>1618.7762649184735</v>
      </c>
      <c r="I438" s="59" t="s">
        <v>7</v>
      </c>
      <c r="J438" s="1">
        <f>(J437/J10)/1.983</f>
        <v>1318.5138190750411</v>
      </c>
      <c r="K438" s="1">
        <f>(K437/K10)/1.983</f>
        <v>1121.4679615440925</v>
      </c>
      <c r="L438" s="1">
        <f>(L437/L10)/1.983</f>
        <v>689.49403261052271</v>
      </c>
      <c r="M438" s="59" t="s">
        <v>7</v>
      </c>
      <c r="N438" s="1">
        <f>(N437/N10)/1.983</f>
        <v>524.50669399573792</v>
      </c>
      <c r="O438" s="1">
        <f>(O437/O10)/1.983</f>
        <v>365.45637922339887</v>
      </c>
      <c r="P438" s="1">
        <f>(P437/P10)/1.983</f>
        <v>330.92577229027376</v>
      </c>
      <c r="Q438" s="59" t="s">
        <v>7</v>
      </c>
      <c r="R438" s="59" t="s">
        <v>7</v>
      </c>
    </row>
    <row r="439" spans="1:18" ht="15.75" customHeight="1" x14ac:dyDescent="0.3">
      <c r="A439" s="85" t="s">
        <v>472</v>
      </c>
      <c r="B439" s="1">
        <f>B437+B486</f>
        <v>45924</v>
      </c>
      <c r="C439" s="1">
        <f>C437+C486</f>
        <v>61199</v>
      </c>
      <c r="D439" s="1">
        <f>D437+D486</f>
        <v>100070</v>
      </c>
      <c r="E439" s="59">
        <f>SUM(B439:D439)</f>
        <v>207193</v>
      </c>
      <c r="F439" s="1">
        <f>F437+F486</f>
        <v>119338</v>
      </c>
      <c r="G439" s="1">
        <f>G437+G486</f>
        <v>125012</v>
      </c>
      <c r="H439" s="1">
        <f>H437+H486</f>
        <v>135339</v>
      </c>
      <c r="I439" s="59">
        <f>SUM(F439:H439)</f>
        <v>379689</v>
      </c>
      <c r="J439" s="1">
        <f>J437+J486</f>
        <v>127712</v>
      </c>
      <c r="K439" s="1">
        <f>K437+K486</f>
        <v>109863</v>
      </c>
      <c r="L439" s="1">
        <f>L437+L486</f>
        <v>67900</v>
      </c>
      <c r="M439" s="59">
        <f>SUM(J439:L439)</f>
        <v>305475</v>
      </c>
      <c r="N439" s="1">
        <f>N437+N486</f>
        <v>43121</v>
      </c>
      <c r="O439" s="1">
        <f>O437+O486</f>
        <v>30482</v>
      </c>
      <c r="P439" s="1">
        <f>P437+P486</f>
        <v>36805</v>
      </c>
      <c r="Q439" s="59">
        <f>SUM(N439:P439)</f>
        <v>110408</v>
      </c>
      <c r="R439" s="59">
        <f>+E439+I439+M439+Q439</f>
        <v>1002765</v>
      </c>
    </row>
    <row r="440" spans="1:18" s="50" customFormat="1" ht="16.5" customHeight="1" thickBot="1" x14ac:dyDescent="0.35">
      <c r="A440" s="139" t="s">
        <v>473</v>
      </c>
      <c r="B440" s="140">
        <f>(B439/B10)/1.983</f>
        <v>747.05968473964174</v>
      </c>
      <c r="C440" s="140">
        <f>(C439/C10)/1.983</f>
        <v>1064.2008798928825</v>
      </c>
      <c r="D440" s="140">
        <f>(D439/D10)/1.983</f>
        <v>1627.8691458038488</v>
      </c>
      <c r="E440" s="141" t="s">
        <v>7</v>
      </c>
      <c r="F440" s="140">
        <f>(F439/F10)/1.983</f>
        <v>2006.0178181206925</v>
      </c>
      <c r="G440" s="140">
        <f>(G439/G10)/1.983</f>
        <v>2033.6082507767637</v>
      </c>
      <c r="H440" s="140">
        <f>(H439/H10)/1.983</f>
        <v>2274.9873928391326</v>
      </c>
      <c r="I440" s="141" t="s">
        <v>7</v>
      </c>
      <c r="J440" s="140">
        <f>(J439/J10)/1.983</f>
        <v>2077.5299725082555</v>
      </c>
      <c r="K440" s="140">
        <f>(K439/K10)/1.983</f>
        <v>1787.1748572544043</v>
      </c>
      <c r="L440" s="140">
        <f>(L439/L10)/1.983</f>
        <v>1141.3682971928056</v>
      </c>
      <c r="M440" s="141" t="s">
        <v>7</v>
      </c>
      <c r="N440" s="140">
        <f>(N439/N10)/1.983</f>
        <v>701.46243066061515</v>
      </c>
      <c r="O440" s="140">
        <f>(O439/O10)/1.983</f>
        <v>512.38863674567153</v>
      </c>
      <c r="P440" s="140">
        <f>(P439/P10)/1.983</f>
        <v>598.71813641761423</v>
      </c>
      <c r="Q440" s="141" t="s">
        <v>7</v>
      </c>
      <c r="R440" s="141" t="s">
        <v>7</v>
      </c>
    </row>
    <row r="441" spans="1:18" ht="15.75" customHeight="1" x14ac:dyDescent="0.3">
      <c r="A441" s="142" t="s">
        <v>474</v>
      </c>
      <c r="B441" s="143">
        <f>B$442+(SUMIF($T$300:$T$418,"FLG",B$307:B$434)/B10/1.98)+(SUMIF($T$300:$T$418,"FCA",B$307:B$434)/B10/1.98)+(SUMIF($T$300:$T$418,"NSC",B$307:B$434)/B10/1.98)</f>
        <v>400.70538482280222</v>
      </c>
      <c r="C441" s="143">
        <f>C$442+(SUMIF($T$300:$T$418,"FLG",C$307:C$434)/C10/1.98)+(SUMIF($T$300:$T$418,"FCA",C$307:C$434)/C10/1.98)+(SUMIF($T$300:$T$418,"NSC",C$307:C$434)/C10/1.98)</f>
        <v>516.67222593718498</v>
      </c>
      <c r="D441" s="143">
        <f>D$442+(SUMIF($T$300:$T$418,"FLG",D$307:D$434)/D10/1.98)+(SUMIF($T$300:$T$418,"FCA",D$307:D$434)/D10/1.98)+(SUMIF($T$300:$T$418,"NSC",D$307:D$434)/D10/1.98)</f>
        <v>790.45340920798435</v>
      </c>
      <c r="E441" s="144"/>
      <c r="F441" s="143">
        <f>F$442+(SUMIF($T$300:$T$418,"FLG",F$307:F$434)/F10/1.98)+(SUMIF($T$300:$T$418,"FCA",F$307:F$434)/F10/1.98)+(SUMIF($T$300:$T$418,"NSC",F$307:F$434)/F10/1.98)</f>
        <v>837.00374903854481</v>
      </c>
      <c r="G441" s="143">
        <f>G$442+(SUMIF($T$300:$T$418,"FLG",G$307:G$434)/G10/1.98)+(SUMIF($T$300:$T$418,"FCA",G$307:G$434)/G10/1.98)+(SUMIF($T$300:$T$418,"NSC",G$307:G$434)/G10/1.98)</f>
        <v>801.0108157855949</v>
      </c>
      <c r="H441" s="143">
        <f>H$442+(SUMIF($T$300:$T$418,"FLG",H$307:H$434)/H10/1.98)+(SUMIF($T$300:$T$418,"FCA",H$307:H$434)/H10/1.98)+(SUMIF($T$300:$T$418,"NSC",H$307:H$434)/H10/1.98)</f>
        <v>859.69597640550751</v>
      </c>
      <c r="I441" s="52"/>
      <c r="J441" s="143">
        <f>J$442+(SUMIF($T$300:$T$418,"FLG",J$307:J$434)/J10/1.98)+(SUMIF($T$300:$T$418,"FCA",J$307:J$434)/J10/1.98)+(SUMIF($T$300:$T$418,"NSC",J$307:J$434)/J10/1.98)</f>
        <v>1015.239679011579</v>
      </c>
      <c r="K441" s="143">
        <f>K$442+(SUMIF($T$300:$T$418,"FLG",K$307:K$434)/K10/1.98)+(SUMIF($T$300:$T$418,"FCA",K$307:K$434)/K10/1.98)+(SUMIF($T$300:$T$418,"NSC",K$307:K$434)/K10/1.98)</f>
        <v>926.34554021992403</v>
      </c>
      <c r="L441" s="143">
        <f>L$442+(SUMIF($T$300:$T$418,"FLG",L$307:L$434)/L10/1.98)+(SUMIF($T$300:$T$418,"FCA",L$307:L$434)/L10/1.98)+(SUMIF($T$300:$T$418,"NSC",L$307:L$434)/L10/1.98)</f>
        <v>643.7597864678047</v>
      </c>
      <c r="M441" s="52"/>
      <c r="N441" s="143">
        <f>N$442+(SUMIF($T$300:$T$418,"FLG",N$307:N$434)/N10/1.98)+(SUMIF($T$300:$T$418,"FCA",N$307:N$434)/N10/1.98)+(SUMIF($T$300:$T$418,"NSC",N$307:N$434)/N10/1.98)</f>
        <v>329.1551501546133</v>
      </c>
      <c r="O441" s="143">
        <f>O$442+(SUMIF($T$300:$T$418,"FLG",O$307:O$434)/O10/1.98)+(SUMIF($T$300:$T$418,"FCA",O$307:O$434)/O10/1.98)+(SUMIF($T$300:$T$418,"NSC",O$307:O$434)/O10/1.98)</f>
        <v>303.00969859971366</v>
      </c>
      <c r="P441" s="143">
        <f>P$442+(SUMIF($T$300:$T$418,"FLG",P$307:P$434)/P10/1.98)+(SUMIF($T$300:$T$418,"FCA",P$307:P$434)/P10/1.98)+(SUMIF($T$300:$T$418,"NSC",P$307:P$434)/P10/1.98)</f>
        <v>351.46782844796604</v>
      </c>
      <c r="Q441" s="52"/>
      <c r="R441" s="52"/>
    </row>
    <row r="442" spans="1:18" ht="15.75" customHeight="1" x14ac:dyDescent="0.3">
      <c r="A442" s="142" t="s">
        <v>475</v>
      </c>
      <c r="B442" s="143">
        <f>B$443+(SUMIF($T$300:$T$418,"FCI",B$307:B$434)/B10/1.98)+(SUMIF($T$300:$T$418,"FCC",B$307:B$434)/B10/1.98)</f>
        <v>400.70538482280222</v>
      </c>
      <c r="C442" s="143">
        <f>C$443+(SUMIF($T$300:$T$418,"FCI",C$307:C$434)/C10/1.98)+(SUMIF($T$300:$T$418,"FCC",C$307:C$434)/C10/1.98)</f>
        <v>516.67222593718498</v>
      </c>
      <c r="D442" s="143">
        <f>D$443+(SUMIF($T$300:$T$418,"FCI",D$307:D$434)/D10/1.98)+(SUMIF($T$300:$T$418,"FCC",D$307:D$434)/D10/1.98)</f>
        <v>790.45340920798435</v>
      </c>
      <c r="E442" s="144"/>
      <c r="F442" s="143">
        <f>F$443+(SUMIF($T$300:$T$418,"FCI",F$307:F$434)/F10/1.98)+(SUMIF($T$300:$T$418,"FCC",F$307:F$434)/F10/1.98)</f>
        <v>837.00374903854481</v>
      </c>
      <c r="G442" s="143">
        <f>G$443+(SUMIF($T$300:$T$418,"FCI",G$307:G$434)/G10/1.98)+(SUMIF($T$300:$T$418,"FCC",G$307:G$434)/G10/1.98)</f>
        <v>801.0108157855949</v>
      </c>
      <c r="H442" s="143">
        <f>H$443+(SUMIF($T$300:$T$418,"FCI",H$307:H$434)/H10/1.98)+(SUMIF($T$300:$T$418,"FCC",H$307:H$434)/H10/1.98)</f>
        <v>859.69597640550751</v>
      </c>
      <c r="I442" s="52"/>
      <c r="J442" s="143">
        <f>J$443+(SUMIF($T$300:$T$418,"FCI",J$307:J$434)/J10/1.98)+(SUMIF($T$300:$T$418,"FCC",J$307:J$434)/J10/1.98)</f>
        <v>1015.239679011579</v>
      </c>
      <c r="K442" s="143">
        <f>K$443+(SUMIF($T$300:$T$418,"FCI",K$307:K$434)/K10/1.98)+(SUMIF($T$300:$T$418,"FCC",K$307:K$434)/K10/1.98)</f>
        <v>926.34554021992403</v>
      </c>
      <c r="L442" s="143">
        <f>L$443+(SUMIF($T$300:$T$418,"FCI",L$307:L$434)/L10/1.98)+(SUMIF($T$300:$T$418,"FCC",L$307:L$434)/L10/1.98)</f>
        <v>643.7597864678047</v>
      </c>
      <c r="M442" s="52"/>
      <c r="N442" s="143">
        <f>N$443+(SUMIF($T$300:$T$418,"FCI",N$307:N$434)/N10/1.98)+(SUMIF($T$300:$T$418,"FCC",N$307:N$434)/N10/1.98)</f>
        <v>329.1551501546133</v>
      </c>
      <c r="O442" s="143">
        <f>O$443+(SUMIF($T$300:$T$418,"FCI",O$307:O$434)/O10/1.98)+(SUMIF($T$300:$T$418,"FCC",O$307:O$434)/O10/1.98)</f>
        <v>303.00969859971366</v>
      </c>
      <c r="P442" s="143">
        <f>P$443+(SUMIF($T$300:$T$418,"FCI",P$307:P$434)/P10/1.98)+(SUMIF($T$300:$T$418,"FCC",P$307:P$434)/P10/1.98)</f>
        <v>351.46782844796604</v>
      </c>
      <c r="Q442" s="52"/>
      <c r="R442" s="52"/>
    </row>
    <row r="443" spans="1:18" ht="15.75" customHeight="1" x14ac:dyDescent="0.3">
      <c r="A443" s="142" t="s">
        <v>476</v>
      </c>
      <c r="B443" s="143">
        <f>B$444+(SUMIF($T$300:$T$418,"PIL",B$307:B$434)/B10/1.98)+(SUMIF($T$300:$T$418,"KLK",B$307:B$434)/B10/1.98)</f>
        <v>400.70538482280222</v>
      </c>
      <c r="C443" s="143">
        <f>C$444+(SUMIF($T$300:$T$418,"PIL",C$307:C$434)/C10/1.98)+(SUMIF($T$300:$T$418,"KLK",C$307:C$434)/C10/1.98)</f>
        <v>516.67222593718498</v>
      </c>
      <c r="D443" s="143">
        <f>D$444+(SUMIF($T$300:$T$418,"PIL",D$307:D$434)/D10/1.98)+(SUMIF($T$300:$T$418,"KLK",D$307:D$434)/D10/1.98)</f>
        <v>790.45340920798435</v>
      </c>
      <c r="E443" s="144"/>
      <c r="F443" s="143">
        <f>F$444+(SUMIF($T$300:$T$418,"PIL",F$307:F$434)/F10/1.98)+(SUMIF($T$300:$T$418,"KLK",F$307:F$434)/F10/1.98)</f>
        <v>837.00374903854481</v>
      </c>
      <c r="G443" s="143">
        <f>G$444+(SUMIF($T$300:$T$418,"PIL",G$307:G$434)/G10/1.98)+(SUMIF($T$300:$T$418,"KLK",G$307:G$434)/G10/1.98)</f>
        <v>801.0108157855949</v>
      </c>
      <c r="H443" s="143">
        <f>H$444+(SUMIF($T$300:$T$418,"PIL",H$307:H$434)/H10/1.98)+(SUMIF($T$300:$T$418,"KLK",H$307:H$434)/H10/1.98)</f>
        <v>859.69597640550751</v>
      </c>
      <c r="I443" s="52"/>
      <c r="J443" s="143">
        <f>J$444+(SUMIF($T$300:$T$418,"PIL",J$307:J$434)/J10/1.98)+(SUMIF($T$300:$T$418,"KLK",J$307:J$434)/J10/1.98)</f>
        <v>1015.239679011579</v>
      </c>
      <c r="K443" s="143">
        <f>K$444+(SUMIF($T$300:$T$418,"PIL",K$307:K$434)/K10/1.98)+(SUMIF($T$300:$T$418,"KLK",K$307:K$434)/K10/1.98)</f>
        <v>926.34554021992403</v>
      </c>
      <c r="L443" s="143">
        <f>L$444+(SUMIF($T$300:$T$418,"PIL",L$307:L$434)/L10/1.98)+(SUMIF($T$300:$T$418,"KLK",L$307:L$434)/L10/1.98)</f>
        <v>643.7597864678047</v>
      </c>
      <c r="M443" s="52"/>
      <c r="N443" s="143">
        <f>N$444+(SUMIF($T$300:$T$418,"PIL",N$307:N$434)/N10/1.98)+(SUMIF($T$300:$T$418,"KLK",N$307:N$434)/N10/1.98)</f>
        <v>329.1551501546133</v>
      </c>
      <c r="O443" s="143">
        <f>O$444+(SUMIF($T$300:$T$418,"PIL",O$307:O$434)/O10/1.98)+(SUMIF($T$300:$T$418,"KLK",O$307:O$434)/O10/1.98)</f>
        <v>303.00969859971366</v>
      </c>
      <c r="P443" s="143">
        <f>P$444+(SUMIF($T$300:$T$418,"PIL",P$307:P$434)/P10/1.98)+(SUMIF($T$300:$T$418,"KLK",P$307:P$434)/P10/1.98)</f>
        <v>351.46782844796604</v>
      </c>
      <c r="Q443" s="52"/>
      <c r="R443" s="52"/>
    </row>
    <row r="444" spans="1:18" ht="15.75" customHeight="1" x14ac:dyDescent="0.3">
      <c r="A444" s="142" t="s">
        <v>477</v>
      </c>
      <c r="B444" s="143">
        <f>B$445+(SUMIF($T$300:$T$418,"CGE",B$307:B$434)/B10/1.98)</f>
        <v>400.70538482280222</v>
      </c>
      <c r="C444" s="143">
        <f>C$445+(SUMIF($T$300:$T$418,"CGE",C$307:C$434)/C10/1.98)</f>
        <v>516.67222593718498</v>
      </c>
      <c r="D444" s="143">
        <f>D$445+(SUMIF($T$300:$T$418,"CGE",D$307:D$434)/D10/1.98)</f>
        <v>790.45340920798435</v>
      </c>
      <c r="E444" s="144"/>
      <c r="F444" s="143">
        <f>F$445+(SUMIF($T$300:$T$418,"CGE",F$307:F$434)/F10/1.98)</f>
        <v>837.00374903854481</v>
      </c>
      <c r="G444" s="143">
        <f>G$445+(SUMIF($T$300:$T$418,"CGE",G$307:G$434)/G10/1.98)</f>
        <v>801.0108157855949</v>
      </c>
      <c r="H444" s="143">
        <f>H$445+(SUMIF($T$300:$T$418,"CGE",H$307:H$434)/H10/1.98)</f>
        <v>859.69597640550751</v>
      </c>
      <c r="I444" s="52"/>
      <c r="J444" s="143">
        <f>J$445+(SUMIF($T$300:$T$418,"CGE",J$307:J$434)/J10/1.98)</f>
        <v>1015.239679011579</v>
      </c>
      <c r="K444" s="143">
        <f>K$445+(SUMIF($T$300:$T$418,"CGE",K$307:K$434)/K10/1.98)</f>
        <v>926.34554021992403</v>
      </c>
      <c r="L444" s="143">
        <f>L$445+(SUMIF($T$300:$T$418,"CGE",L$307:L$434)/L10/1.98)</f>
        <v>643.7597864678047</v>
      </c>
      <c r="M444" s="52"/>
      <c r="N444" s="143">
        <f>N$445+(SUMIF($T$300:$T$418,"CGE",N$307:N$434)/N10/1.98)</f>
        <v>329.1551501546133</v>
      </c>
      <c r="O444" s="143">
        <f>O$445+(SUMIF($T$300:$T$418,"CGE",O$307:O$434)/O10/1.98)</f>
        <v>303.00969859971366</v>
      </c>
      <c r="P444" s="143">
        <f>P$445+(SUMIF($T$300:$T$418,"CGE",P$307:P$434)/P10/1.98)</f>
        <v>351.46782844796604</v>
      </c>
      <c r="Q444" s="52"/>
      <c r="R444" s="52"/>
    </row>
    <row r="445" spans="1:18" ht="15.75" customHeight="1" x14ac:dyDescent="0.3">
      <c r="A445" s="142" t="s">
        <v>478</v>
      </c>
      <c r="B445" s="143">
        <f>B$446+(SUMIF($T$300:$T$418,"SRO",B$307:B$434)/B10/1.98)</f>
        <v>400.70538482280222</v>
      </c>
      <c r="C445" s="143">
        <f>C$446+(SUMIF($T$300:$T$418,"SRO",C$307:C$434)/C10/1.98)</f>
        <v>516.67222593718498</v>
      </c>
      <c r="D445" s="143">
        <f>D$446+(SUMIF($T$300:$T$418,"SRO",D$307:D$434)/D10/1.98)</f>
        <v>790.45340920798435</v>
      </c>
      <c r="E445" s="144"/>
      <c r="F445" s="143">
        <f>F$446+(SUMIF($T$300:$T$418,"SRO",F$307:F$434)/F10/1.98)</f>
        <v>837.00374903854481</v>
      </c>
      <c r="G445" s="143">
        <f>G$446+(SUMIF($T$300:$T$418,"SRO",G$307:G$434)/G10/1.98)</f>
        <v>801.0108157855949</v>
      </c>
      <c r="H445" s="143">
        <f>H$446+(SUMIF($T$300:$T$418,"SRO",H$307:H$434)/H10/1.98)</f>
        <v>826.02594273547379</v>
      </c>
      <c r="I445" s="52"/>
      <c r="J445" s="143">
        <f>J$446+(SUMIF($T$300:$T$418,"SRO",J$307:J$434)/J10/1.98)</f>
        <v>941.92589602037663</v>
      </c>
      <c r="K445" s="143">
        <f>K$446+(SUMIF($T$300:$T$418,"SRO",K$307:K$434)/K10/1.98)</f>
        <v>876.06857703973503</v>
      </c>
      <c r="L445" s="143">
        <f>L$446+(SUMIF($T$300:$T$418,"SRO",L$307:L$434)/L10/1.98)</f>
        <v>635.34227805029627</v>
      </c>
      <c r="M445" s="52"/>
      <c r="N445" s="143">
        <f>N$446+(SUMIF($T$300:$T$418,"SRO",N$307:N$434)/N10/1.98)</f>
        <v>317.75078391153738</v>
      </c>
      <c r="O445" s="143">
        <f>O$446+(SUMIF($T$300:$T$418,"SRO",O$307:O$434)/O10/1.98)</f>
        <v>299.40700499702007</v>
      </c>
      <c r="P445" s="143">
        <f>P$446+(SUMIF($T$300:$T$418,"SRO",P$307:P$434)/P10/1.98)</f>
        <v>351.46782844796604</v>
      </c>
      <c r="Q445" s="52"/>
      <c r="R445" s="52"/>
    </row>
    <row r="446" spans="1:18" ht="15.75" customHeight="1" x14ac:dyDescent="0.3">
      <c r="A446" s="142" t="s">
        <v>479</v>
      </c>
      <c r="B446" s="143">
        <f>B$486/B10/1.983</f>
        <v>330.14494168171387</v>
      </c>
      <c r="C446" s="143">
        <f>C$486/C10/1.983</f>
        <v>375.64122628549563</v>
      </c>
      <c r="D446" s="143">
        <f>D$486/D10/1.983</f>
        <v>580.31981520342265</v>
      </c>
      <c r="E446" s="98"/>
      <c r="F446" s="143">
        <f>F$486/F10/1.983</f>
        <v>644.192301227097</v>
      </c>
      <c r="G446" s="143">
        <f>G$486/G10/1.983</f>
        <v>633.93685032453266</v>
      </c>
      <c r="H446" s="143">
        <f>H$486/H10/1.983</f>
        <v>656.2111279206589</v>
      </c>
      <c r="I446" s="1"/>
      <c r="J446" s="143">
        <f>J$486/J10/1.983</f>
        <v>759.01615343321464</v>
      </c>
      <c r="K446" s="143">
        <f>K$486/K10/1.983</f>
        <v>665.70689571031176</v>
      </c>
      <c r="L446" s="143">
        <f>L$486/L10/1.983</f>
        <v>451.87426458228276</v>
      </c>
      <c r="N446" s="143">
        <f>N$486/N10/1.983</f>
        <v>176.95573666487724</v>
      </c>
      <c r="O446" s="143">
        <f>O$486/O10/1.983</f>
        <v>146.93225752227264</v>
      </c>
      <c r="P446" s="143">
        <f>P$486/P10/1.983</f>
        <v>267.79236412734042</v>
      </c>
      <c r="R446" s="52"/>
    </row>
    <row r="447" spans="1:18" ht="15.75" customHeight="1" x14ac:dyDescent="0.3">
      <c r="A447" s="142"/>
      <c r="B447" s="143"/>
      <c r="C447" s="143"/>
      <c r="D447" s="143"/>
      <c r="E447" s="98"/>
      <c r="F447" s="143"/>
      <c r="G447" s="143"/>
      <c r="H447" s="143"/>
      <c r="I447" s="1"/>
      <c r="J447" s="143"/>
      <c r="K447" s="143"/>
      <c r="L447" s="143"/>
      <c r="N447" s="143"/>
      <c r="O447" s="143"/>
      <c r="P447" s="143"/>
      <c r="R447" s="52"/>
    </row>
    <row r="448" spans="1:18" ht="15.75" customHeight="1" thickBot="1" x14ac:dyDescent="0.35">
      <c r="A448" s="30"/>
      <c r="B448" s="1"/>
      <c r="C448" s="1"/>
      <c r="D448" s="1"/>
      <c r="E448" s="1"/>
      <c r="F448" s="1"/>
      <c r="G448" s="1"/>
      <c r="H448" s="1"/>
      <c r="I448" s="1"/>
      <c r="J448" s="1"/>
      <c r="K448" s="1"/>
      <c r="L448" s="1"/>
      <c r="M448" s="1"/>
      <c r="N448" s="1"/>
      <c r="O448" s="1"/>
      <c r="P448" s="1"/>
      <c r="Q448" s="1"/>
      <c r="R448" s="28"/>
    </row>
    <row r="449" spans="1:20" ht="16.5" customHeight="1" thickBot="1" x14ac:dyDescent="0.35">
      <c r="A449" s="31" t="s">
        <v>480</v>
      </c>
      <c r="B449" s="32" t="s">
        <v>36</v>
      </c>
      <c r="C449" s="33" t="s">
        <v>9</v>
      </c>
      <c r="D449" s="33" t="s">
        <v>10</v>
      </c>
      <c r="E449" s="12" t="s">
        <v>11</v>
      </c>
      <c r="F449" s="33" t="s">
        <v>12</v>
      </c>
      <c r="G449" s="33" t="s">
        <v>13</v>
      </c>
      <c r="H449" s="33" t="s">
        <v>14</v>
      </c>
      <c r="I449" s="34" t="s">
        <v>15</v>
      </c>
      <c r="J449" s="33" t="s">
        <v>16</v>
      </c>
      <c r="K449" s="33" t="s">
        <v>17</v>
      </c>
      <c r="L449" s="33" t="s">
        <v>18</v>
      </c>
      <c r="M449" s="34" t="s">
        <v>19</v>
      </c>
      <c r="N449" s="33" t="s">
        <v>20</v>
      </c>
      <c r="O449" s="33" t="s">
        <v>21</v>
      </c>
      <c r="P449" s="33" t="s">
        <v>22</v>
      </c>
      <c r="Q449" s="34" t="s">
        <v>23</v>
      </c>
      <c r="R449" s="35" t="s">
        <v>24</v>
      </c>
    </row>
    <row r="450" spans="1:20" ht="16.5" customHeight="1" thickBot="1" x14ac:dyDescent="0.35">
      <c r="A450" s="64"/>
      <c r="B450" s="81"/>
      <c r="C450" s="81"/>
      <c r="D450" s="81"/>
      <c r="E450" s="72"/>
      <c r="F450" s="81"/>
      <c r="G450" s="81"/>
      <c r="H450" s="81"/>
      <c r="I450" s="89"/>
      <c r="J450" s="81"/>
      <c r="K450" s="81"/>
      <c r="L450" s="81"/>
      <c r="M450" s="89"/>
      <c r="N450" s="81"/>
      <c r="O450" s="81"/>
      <c r="P450" s="81"/>
      <c r="Q450" s="89"/>
      <c r="R450" s="117"/>
    </row>
    <row r="451" spans="1:20" ht="15.75" customHeight="1" x14ac:dyDescent="0.3">
      <c r="A451" s="17" t="s">
        <v>45</v>
      </c>
      <c r="B451" s="1" t="s">
        <v>7</v>
      </c>
      <c r="C451" s="1" t="s">
        <v>7</v>
      </c>
      <c r="D451" s="1" t="s">
        <v>7</v>
      </c>
      <c r="E451" s="59" t="s">
        <v>7</v>
      </c>
      <c r="F451" s="1" t="s">
        <v>7</v>
      </c>
      <c r="G451" s="1" t="s">
        <v>7</v>
      </c>
      <c r="H451" s="1" t="s">
        <v>7</v>
      </c>
      <c r="I451" s="59" t="s">
        <v>7</v>
      </c>
      <c r="J451" s="1" t="s">
        <v>7</v>
      </c>
      <c r="K451" s="1" t="s">
        <v>7</v>
      </c>
      <c r="L451" s="1" t="s">
        <v>7</v>
      </c>
      <c r="M451" s="59" t="s">
        <v>7</v>
      </c>
      <c r="N451" s="1" t="s">
        <v>7</v>
      </c>
      <c r="O451" s="1" t="s">
        <v>7</v>
      </c>
      <c r="P451" s="1" t="s">
        <v>7</v>
      </c>
      <c r="Q451" s="59" t="s">
        <v>7</v>
      </c>
      <c r="R451" s="59" t="s">
        <v>7</v>
      </c>
    </row>
    <row r="452" spans="1:20" ht="15.75" customHeight="1" x14ac:dyDescent="0.3">
      <c r="A452" s="17" t="s">
        <v>46</v>
      </c>
      <c r="B452" s="1"/>
      <c r="C452" s="1"/>
      <c r="D452" s="1"/>
      <c r="E452" s="59" t="s">
        <v>7</v>
      </c>
      <c r="F452" s="1"/>
      <c r="G452" s="1"/>
      <c r="H452" s="1"/>
      <c r="I452" s="59" t="s">
        <v>7</v>
      </c>
      <c r="J452" s="1"/>
      <c r="K452" s="1"/>
      <c r="L452" s="1"/>
      <c r="M452" s="59" t="s">
        <v>7</v>
      </c>
      <c r="N452" s="1"/>
      <c r="O452" s="1"/>
      <c r="P452" s="1"/>
      <c r="Q452" s="59" t="s">
        <v>7</v>
      </c>
      <c r="R452" s="59" t="s">
        <v>7</v>
      </c>
    </row>
    <row r="453" spans="1:20" ht="15.75" customHeight="1" x14ac:dyDescent="0.3">
      <c r="A453" s="74" t="s">
        <v>947</v>
      </c>
      <c r="B453" s="1"/>
      <c r="C453" s="1"/>
      <c r="D453" s="1"/>
      <c r="E453" s="59">
        <f>SUM(B453:D453)</f>
        <v>0</v>
      </c>
      <c r="F453" s="1">
        <v>6</v>
      </c>
      <c r="G453" s="1">
        <v>6</v>
      </c>
      <c r="H453" s="1">
        <v>12</v>
      </c>
      <c r="I453" s="59">
        <f>SUM(F453:H453)</f>
        <v>24</v>
      </c>
      <c r="J453" s="1">
        <v>12</v>
      </c>
      <c r="K453" s="1">
        <v>12</v>
      </c>
      <c r="L453" s="1">
        <v>6</v>
      </c>
      <c r="M453" s="59">
        <f>SUM(J453:L453)</f>
        <v>30</v>
      </c>
      <c r="N453" s="1">
        <v>4</v>
      </c>
      <c r="O453" s="1">
        <v>1</v>
      </c>
      <c r="P453" s="1">
        <v>1</v>
      </c>
      <c r="Q453" s="59">
        <f>SUM(N453:P453)</f>
        <v>6</v>
      </c>
      <c r="R453" s="59">
        <f>+E453+I453+M453+Q453</f>
        <v>60</v>
      </c>
      <c r="T453" s="4" t="s">
        <v>366</v>
      </c>
    </row>
    <row r="454" spans="1:20" ht="15.75" customHeight="1" x14ac:dyDescent="0.3">
      <c r="A454" s="74" t="s">
        <v>484</v>
      </c>
      <c r="B454" s="1"/>
      <c r="C454" s="1"/>
      <c r="D454" s="1"/>
      <c r="E454" s="59">
        <f>SUM(B454:D454)</f>
        <v>0</v>
      </c>
      <c r="F454" s="1"/>
      <c r="G454" s="1">
        <v>1100</v>
      </c>
      <c r="H454" s="1"/>
      <c r="I454" s="59">
        <f>SUM(F454:H454)</f>
        <v>1100</v>
      </c>
      <c r="J454" s="1"/>
      <c r="K454" s="1"/>
      <c r="L454" s="1"/>
      <c r="M454" s="59">
        <f>SUM(J454:L454)</f>
        <v>0</v>
      </c>
      <c r="N454" s="1"/>
      <c r="O454" s="1"/>
      <c r="P454" s="1"/>
      <c r="Q454" s="59">
        <f>SUM(N454:P454)</f>
        <v>0</v>
      </c>
      <c r="R454" s="59">
        <f>+E454+I454+M454+Q454</f>
        <v>1100</v>
      </c>
      <c r="T454" s="4" t="s">
        <v>366</v>
      </c>
    </row>
    <row r="455" spans="1:20" ht="15.75" customHeight="1" x14ac:dyDescent="0.3">
      <c r="A455" s="76" t="s">
        <v>485</v>
      </c>
      <c r="B455" s="1"/>
      <c r="C455" s="1"/>
      <c r="D455" s="1"/>
      <c r="E455" s="59">
        <f>SUM(B455:D455)</f>
        <v>0</v>
      </c>
      <c r="F455" s="1"/>
      <c r="G455" s="1"/>
      <c r="H455" s="1"/>
      <c r="I455" s="59">
        <f>SUM(F455:H455)</f>
        <v>0</v>
      </c>
      <c r="J455" s="1"/>
      <c r="K455" s="1"/>
      <c r="L455" s="1"/>
      <c r="M455" s="59">
        <f>SUM(J455:L455)</f>
        <v>0</v>
      </c>
      <c r="N455" s="1"/>
      <c r="O455" s="1"/>
      <c r="P455" s="1"/>
      <c r="Q455" s="59">
        <f>SUM(N455:P455)</f>
        <v>0</v>
      </c>
      <c r="R455" s="59">
        <f>+E455+I455+M455+Q455</f>
        <v>0</v>
      </c>
      <c r="T455" s="4" t="s">
        <v>366</v>
      </c>
    </row>
    <row r="456" spans="1:20" ht="15.75" customHeight="1" x14ac:dyDescent="0.3">
      <c r="A456" s="17" t="s">
        <v>47</v>
      </c>
      <c r="B456" s="1"/>
      <c r="C456" s="1"/>
      <c r="D456" s="1"/>
      <c r="E456" s="59" t="s">
        <v>7</v>
      </c>
      <c r="F456" s="1"/>
      <c r="G456" s="1"/>
      <c r="H456" s="1"/>
      <c r="I456" s="59" t="s">
        <v>7</v>
      </c>
      <c r="J456" s="1"/>
      <c r="K456" s="1"/>
      <c r="L456" s="1"/>
      <c r="M456" s="59" t="s">
        <v>7</v>
      </c>
      <c r="N456" s="1"/>
      <c r="O456" s="1"/>
      <c r="P456" s="1"/>
      <c r="Q456" s="59" t="s">
        <v>7</v>
      </c>
      <c r="R456" s="59" t="s">
        <v>7</v>
      </c>
    </row>
    <row r="457" spans="1:20" ht="15.75" customHeight="1" x14ac:dyDescent="0.3">
      <c r="A457" s="74" t="s">
        <v>486</v>
      </c>
      <c r="B457" s="1"/>
      <c r="C457" s="1"/>
      <c r="D457" s="1"/>
      <c r="E457" s="59">
        <f>SUM(B457:D457)</f>
        <v>0</v>
      </c>
      <c r="F457" s="1"/>
      <c r="G457" s="1"/>
      <c r="H457" s="1"/>
      <c r="I457" s="59">
        <f>SUM(F457:H457)</f>
        <v>0</v>
      </c>
      <c r="J457" s="1"/>
      <c r="K457" s="1"/>
      <c r="L457" s="1"/>
      <c r="M457" s="59">
        <f>SUM(J457:L457)</f>
        <v>0</v>
      </c>
      <c r="N457" s="1"/>
      <c r="O457" s="1"/>
      <c r="P457" s="1"/>
      <c r="Q457" s="59">
        <f>SUM(N457:P457)</f>
        <v>0</v>
      </c>
      <c r="R457" s="59">
        <f>+E457+I457+M457+Q457</f>
        <v>0</v>
      </c>
    </row>
    <row r="458" spans="1:20" ht="15.75" customHeight="1" x14ac:dyDescent="0.3">
      <c r="A458" s="74" t="s">
        <v>487</v>
      </c>
      <c r="B458" s="1"/>
      <c r="C458" s="1"/>
      <c r="D458" s="1"/>
      <c r="E458" s="59">
        <f>SUM(B458:D458)</f>
        <v>0</v>
      </c>
      <c r="F458" s="1"/>
      <c r="G458" s="1"/>
      <c r="H458" s="1"/>
      <c r="I458" s="59">
        <f>SUM(F458:H458)</f>
        <v>0</v>
      </c>
      <c r="J458" s="1"/>
      <c r="K458" s="1"/>
      <c r="L458" s="1"/>
      <c r="M458" s="59">
        <f>SUM(J458:L458)</f>
        <v>0</v>
      </c>
      <c r="N458" s="1"/>
      <c r="O458" s="1"/>
      <c r="P458" s="1"/>
      <c r="Q458" s="59">
        <f>SUM(N458:P458)</f>
        <v>0</v>
      </c>
      <c r="R458" s="59">
        <f>+E458+I458+M458+Q458</f>
        <v>0</v>
      </c>
    </row>
    <row r="459" spans="1:20" ht="15.75" customHeight="1" x14ac:dyDescent="0.3">
      <c r="A459" s="17" t="s">
        <v>898</v>
      </c>
      <c r="B459" s="1"/>
      <c r="C459" s="1"/>
      <c r="D459" s="1"/>
      <c r="E459" s="59" t="s">
        <v>7</v>
      </c>
      <c r="F459" s="1"/>
      <c r="G459" s="1"/>
      <c r="H459" s="1"/>
      <c r="I459" s="59" t="s">
        <v>7</v>
      </c>
      <c r="J459" s="1"/>
      <c r="K459" s="1"/>
      <c r="L459" s="1"/>
      <c r="M459" s="59" t="s">
        <v>7</v>
      </c>
      <c r="N459" s="1"/>
      <c r="O459" s="1"/>
      <c r="P459" s="1"/>
      <c r="Q459" s="59" t="s">
        <v>7</v>
      </c>
      <c r="R459" s="59" t="s">
        <v>7</v>
      </c>
    </row>
    <row r="460" spans="1:20" ht="15.75" customHeight="1" thickBot="1" x14ac:dyDescent="0.35">
      <c r="A460" s="17" t="s">
        <v>51</v>
      </c>
      <c r="B460" s="1"/>
      <c r="C460" s="1"/>
      <c r="D460" s="1"/>
      <c r="E460" s="59" t="s">
        <v>7</v>
      </c>
      <c r="F460" s="1"/>
      <c r="G460" s="1"/>
      <c r="H460" s="1"/>
      <c r="I460" s="59" t="s">
        <v>7</v>
      </c>
      <c r="J460" s="1"/>
      <c r="K460" s="1"/>
      <c r="L460" s="1"/>
      <c r="M460" s="59" t="s">
        <v>7</v>
      </c>
      <c r="N460" s="1"/>
      <c r="O460" s="1"/>
      <c r="P460" s="1"/>
      <c r="Q460" s="59" t="s">
        <v>7</v>
      </c>
      <c r="R460" s="59" t="s">
        <v>7</v>
      </c>
    </row>
    <row r="461" spans="1:20" ht="16.5" customHeight="1" thickBot="1" x14ac:dyDescent="0.35">
      <c r="A461" s="126" t="s">
        <v>52</v>
      </c>
      <c r="B461" s="100">
        <f>SUM(B451:B460)</f>
        <v>0</v>
      </c>
      <c r="C461" s="101">
        <f>SUM(C451:C460)</f>
        <v>0</v>
      </c>
      <c r="D461" s="101">
        <f>SUM(D451:D460)</f>
        <v>0</v>
      </c>
      <c r="E461" s="64">
        <f>SUM(B461:D461)</f>
        <v>0</v>
      </c>
      <c r="F461" s="101">
        <f>SUM(F451:F460)</f>
        <v>6</v>
      </c>
      <c r="G461" s="101">
        <f>SUM(G451:G460)</f>
        <v>1106</v>
      </c>
      <c r="H461" s="101">
        <f>SUM(H451:H460)</f>
        <v>12</v>
      </c>
      <c r="I461" s="64">
        <f>SUM(F461:H461)</f>
        <v>1124</v>
      </c>
      <c r="J461" s="101">
        <f>SUM(J451:J460)</f>
        <v>12</v>
      </c>
      <c r="K461" s="101">
        <f>SUM(K451:K460)</f>
        <v>12</v>
      </c>
      <c r="L461" s="101">
        <f>SUM(L451:L460)</f>
        <v>6</v>
      </c>
      <c r="M461" s="64">
        <f>SUM(J461:L461)</f>
        <v>30</v>
      </c>
      <c r="N461" s="101">
        <f>SUM(N451:N460)</f>
        <v>4</v>
      </c>
      <c r="O461" s="101">
        <f>SUM(O451:O460)</f>
        <v>1</v>
      </c>
      <c r="P461" s="101">
        <f>SUM(P451:P460)</f>
        <v>1</v>
      </c>
      <c r="Q461" s="64">
        <f>SUM(N461:P461)</f>
        <v>6</v>
      </c>
      <c r="R461" s="64">
        <f>+E461+I461+M461+Q461</f>
        <v>1160</v>
      </c>
    </row>
    <row r="462" spans="1:20" ht="15.75" customHeight="1" x14ac:dyDescent="0.3">
      <c r="A462" s="17" t="s">
        <v>53</v>
      </c>
      <c r="B462" s="1"/>
      <c r="C462" s="1"/>
      <c r="D462" s="1"/>
      <c r="E462" s="59" t="s">
        <v>7</v>
      </c>
      <c r="F462" s="1"/>
      <c r="G462" s="1"/>
      <c r="H462" s="1"/>
      <c r="I462" s="59" t="s">
        <v>7</v>
      </c>
      <c r="J462" s="1"/>
      <c r="K462" s="1"/>
      <c r="L462" s="1"/>
      <c r="M462" s="59" t="s">
        <v>7</v>
      </c>
      <c r="N462" s="1" t="s">
        <v>7</v>
      </c>
      <c r="O462" s="1"/>
      <c r="P462" s="1"/>
      <c r="Q462" s="59" t="s">
        <v>7</v>
      </c>
      <c r="R462" s="59" t="s">
        <v>7</v>
      </c>
    </row>
    <row r="463" spans="1:20" ht="15.75" customHeight="1" x14ac:dyDescent="0.3">
      <c r="A463" s="17" t="s">
        <v>55</v>
      </c>
      <c r="B463" s="1"/>
      <c r="C463" s="1"/>
      <c r="D463" s="1"/>
      <c r="E463" s="59" t="s">
        <v>7</v>
      </c>
      <c r="F463" s="1"/>
      <c r="G463" s="1"/>
      <c r="H463" s="1"/>
      <c r="I463" s="59" t="s">
        <v>7</v>
      </c>
      <c r="J463" s="1"/>
      <c r="K463" s="1"/>
      <c r="L463" s="1"/>
      <c r="M463" s="59" t="s">
        <v>7</v>
      </c>
      <c r="N463" s="1"/>
      <c r="O463" s="1"/>
      <c r="P463" s="1"/>
      <c r="Q463" s="59" t="s">
        <v>7</v>
      </c>
      <c r="R463" s="59" t="s">
        <v>7</v>
      </c>
    </row>
    <row r="464" spans="1:20" ht="15.75" customHeight="1" x14ac:dyDescent="0.3">
      <c r="A464" s="74" t="s">
        <v>488</v>
      </c>
      <c r="B464" s="1">
        <v>825</v>
      </c>
      <c r="C464" s="1">
        <v>545</v>
      </c>
      <c r="D464" s="1">
        <v>5105</v>
      </c>
      <c r="E464" s="59">
        <f>SUM(B464:D464)</f>
        <v>6475</v>
      </c>
      <c r="F464" s="1">
        <v>4160</v>
      </c>
      <c r="G464" s="1">
        <v>7313</v>
      </c>
      <c r="H464" s="1">
        <v>7627</v>
      </c>
      <c r="I464" s="59">
        <f>SUM(F464:H464)</f>
        <v>19100</v>
      </c>
      <c r="J464" s="1">
        <v>13800</v>
      </c>
      <c r="K464" s="1">
        <v>8206</v>
      </c>
      <c r="L464" s="1">
        <v>4080</v>
      </c>
      <c r="M464" s="59">
        <f>SUM(J464:L464)</f>
        <v>26086</v>
      </c>
      <c r="N464" s="1">
        <v>534</v>
      </c>
      <c r="O464" s="1">
        <v>850</v>
      </c>
      <c r="P464" s="1">
        <v>909</v>
      </c>
      <c r="Q464" s="59">
        <f>SUM(N464:P464)</f>
        <v>2293</v>
      </c>
      <c r="R464" s="59">
        <f>+E464+I464+M464+Q464</f>
        <v>53954</v>
      </c>
    </row>
    <row r="465" spans="1:20" ht="15.75" customHeight="1" thickBot="1" x14ac:dyDescent="0.35">
      <c r="A465" s="17" t="s">
        <v>56</v>
      </c>
      <c r="B465" s="1"/>
      <c r="C465" s="1"/>
      <c r="D465" s="1"/>
      <c r="E465" s="59" t="s">
        <v>7</v>
      </c>
      <c r="F465" s="1"/>
      <c r="G465" s="1"/>
      <c r="H465" s="1"/>
      <c r="I465" s="59" t="s">
        <v>7</v>
      </c>
      <c r="J465" s="1"/>
      <c r="K465" s="1"/>
      <c r="L465" s="1"/>
      <c r="M465" s="59" t="s">
        <v>7</v>
      </c>
      <c r="N465" s="1"/>
      <c r="O465" s="1"/>
      <c r="P465" s="1"/>
      <c r="Q465" s="59" t="s">
        <v>7</v>
      </c>
      <c r="R465" s="59" t="s">
        <v>7</v>
      </c>
    </row>
    <row r="466" spans="1:20" ht="16.5" customHeight="1" thickBot="1" x14ac:dyDescent="0.35">
      <c r="A466" s="62" t="s">
        <v>57</v>
      </c>
      <c r="B466" s="100">
        <f>SUM(B462:B465)</f>
        <v>825</v>
      </c>
      <c r="C466" s="101">
        <f>SUM(C462:C465)</f>
        <v>545</v>
      </c>
      <c r="D466" s="101">
        <f>SUM(D462:D465)</f>
        <v>5105</v>
      </c>
      <c r="E466" s="64">
        <f>SUM(B466:D466)</f>
        <v>6475</v>
      </c>
      <c r="F466" s="101">
        <f>SUM(F462:F465)</f>
        <v>4160</v>
      </c>
      <c r="G466" s="101">
        <f>SUM(G462:G465)</f>
        <v>7313</v>
      </c>
      <c r="H466" s="101">
        <f>SUM(H462:H465)</f>
        <v>7627</v>
      </c>
      <c r="I466" s="64">
        <f>SUM(F466:H466)</f>
        <v>19100</v>
      </c>
      <c r="J466" s="101">
        <f>SUM(J462:J465)</f>
        <v>13800</v>
      </c>
      <c r="K466" s="101">
        <f>SUM(K462:K465)</f>
        <v>8206</v>
      </c>
      <c r="L466" s="101">
        <f>SUM(L462:L465)</f>
        <v>4080</v>
      </c>
      <c r="M466" s="64">
        <f>SUM(J466:L466)</f>
        <v>26086</v>
      </c>
      <c r="N466" s="101">
        <f>SUM(N462:N465)</f>
        <v>534</v>
      </c>
      <c r="O466" s="101">
        <f>SUM(O462:O465)</f>
        <v>850</v>
      </c>
      <c r="P466" s="101">
        <f>SUM(P462:P465)</f>
        <v>909</v>
      </c>
      <c r="Q466" s="64">
        <f>SUM(N466:P466)</f>
        <v>2293</v>
      </c>
      <c r="R466" s="64">
        <f>+E466+I466+M466+Q466</f>
        <v>53954</v>
      </c>
    </row>
    <row r="467" spans="1:20" ht="15.75" customHeight="1" x14ac:dyDescent="0.3">
      <c r="A467" s="17" t="s">
        <v>58</v>
      </c>
      <c r="B467" s="1"/>
      <c r="C467" s="1"/>
      <c r="D467" s="1"/>
      <c r="E467" s="59" t="s">
        <v>7</v>
      </c>
      <c r="F467" s="1"/>
      <c r="G467" s="1"/>
      <c r="H467" s="1"/>
      <c r="I467" s="59" t="s">
        <v>7</v>
      </c>
      <c r="J467" s="1"/>
      <c r="K467" s="1"/>
      <c r="L467" s="1"/>
      <c r="M467" s="59" t="s">
        <v>7</v>
      </c>
      <c r="N467" s="1"/>
      <c r="O467" s="1"/>
      <c r="P467" s="1"/>
      <c r="Q467" s="59" t="s">
        <v>7</v>
      </c>
      <c r="R467" s="59" t="s">
        <v>7</v>
      </c>
    </row>
    <row r="468" spans="1:20" ht="15.75" customHeight="1" x14ac:dyDescent="0.3">
      <c r="A468" s="17" t="s">
        <v>59</v>
      </c>
      <c r="B468" s="1"/>
      <c r="C468" s="1"/>
      <c r="D468" s="1"/>
      <c r="E468" s="59" t="s">
        <v>7</v>
      </c>
      <c r="F468" s="1"/>
      <c r="G468" s="1"/>
      <c r="H468" s="1"/>
      <c r="I468" s="59" t="s">
        <v>7</v>
      </c>
      <c r="J468" s="1"/>
      <c r="K468" s="1"/>
      <c r="L468" s="1"/>
      <c r="M468" s="59" t="s">
        <v>7</v>
      </c>
      <c r="N468" s="1"/>
      <c r="O468" s="1"/>
      <c r="P468" s="1"/>
      <c r="Q468" s="59" t="s">
        <v>7</v>
      </c>
      <c r="R468" s="59" t="s">
        <v>7</v>
      </c>
    </row>
    <row r="469" spans="1:20" ht="15.75" customHeight="1" x14ac:dyDescent="0.3">
      <c r="A469" s="17" t="s">
        <v>60</v>
      </c>
      <c r="B469" s="1"/>
      <c r="C469" s="1"/>
      <c r="D469" s="1"/>
      <c r="E469" s="59" t="s">
        <v>7</v>
      </c>
      <c r="F469" s="1"/>
      <c r="G469" s="1"/>
      <c r="H469" s="1"/>
      <c r="I469" s="59" t="s">
        <v>7</v>
      </c>
      <c r="J469" s="1"/>
      <c r="K469" s="1"/>
      <c r="L469" s="1"/>
      <c r="M469" s="59" t="s">
        <v>7</v>
      </c>
      <c r="N469" s="1"/>
      <c r="O469" s="1"/>
      <c r="P469" s="1"/>
      <c r="Q469" s="59" t="s">
        <v>7</v>
      </c>
      <c r="R469" s="59" t="s">
        <v>7</v>
      </c>
    </row>
    <row r="470" spans="1:20" ht="15.75" customHeight="1" thickBot="1" x14ac:dyDescent="0.35">
      <c r="A470" s="103" t="s">
        <v>856</v>
      </c>
      <c r="B470" s="1"/>
      <c r="C470" s="1"/>
      <c r="D470" s="4">
        <v>3000</v>
      </c>
      <c r="E470" s="59">
        <f>SUM(B470:D470)</f>
        <v>3000</v>
      </c>
      <c r="F470" s="1">
        <v>6000</v>
      </c>
      <c r="G470" s="1">
        <v>6000</v>
      </c>
      <c r="H470" s="1">
        <v>3000</v>
      </c>
      <c r="I470" s="59">
        <f>SUM(F470:H470)</f>
        <v>15000</v>
      </c>
      <c r="J470" s="1"/>
      <c r="K470" s="1"/>
      <c r="L470" s="1"/>
      <c r="M470" s="59">
        <f>SUM(J470:L470)</f>
        <v>0</v>
      </c>
      <c r="N470" s="1"/>
      <c r="O470" s="1"/>
      <c r="P470" s="1"/>
      <c r="Q470" s="59">
        <f>SUM(N470:P470)</f>
        <v>0</v>
      </c>
      <c r="R470" s="59">
        <f>+E470+I470+M470+Q470</f>
        <v>18000</v>
      </c>
      <c r="T470" s="4" t="s">
        <v>366</v>
      </c>
    </row>
    <row r="471" spans="1:20" ht="16.5" customHeight="1" thickBot="1" x14ac:dyDescent="0.35">
      <c r="A471" s="137" t="s">
        <v>61</v>
      </c>
      <c r="B471" s="100">
        <f>SUM(B467:B470)</f>
        <v>0</v>
      </c>
      <c r="C471" s="101">
        <f>SUM(C467:C470)</f>
        <v>0</v>
      </c>
      <c r="D471" s="101">
        <f>SUM(D467:D470)</f>
        <v>3000</v>
      </c>
      <c r="E471" s="64">
        <f>SUM(B471:D471)</f>
        <v>3000</v>
      </c>
      <c r="F471" s="101">
        <f>SUM(F467:F470)</f>
        <v>6000</v>
      </c>
      <c r="G471" s="101">
        <f>SUM(G467:G470)</f>
        <v>6000</v>
      </c>
      <c r="H471" s="101">
        <f>SUM(H467:H470)</f>
        <v>3000</v>
      </c>
      <c r="I471" s="64">
        <f>SUM(F471:H471)</f>
        <v>15000</v>
      </c>
      <c r="J471" s="101">
        <f>SUM(J467:J470)</f>
        <v>0</v>
      </c>
      <c r="K471" s="101">
        <f>SUM(K467:K470)</f>
        <v>0</v>
      </c>
      <c r="L471" s="101">
        <f>SUM(L467:L470)</f>
        <v>0</v>
      </c>
      <c r="M471" s="64">
        <f>SUM(J471:L471)</f>
        <v>0</v>
      </c>
      <c r="N471" s="101">
        <f>SUM(N467:N470)</f>
        <v>0</v>
      </c>
      <c r="O471" s="101">
        <f>SUM(O467:O470)</f>
        <v>0</v>
      </c>
      <c r="P471" s="101">
        <f>SUM(P467:P470)</f>
        <v>0</v>
      </c>
      <c r="Q471" s="64">
        <f>SUM(N471:P471)</f>
        <v>0</v>
      </c>
      <c r="R471" s="64">
        <f>+E471+I471+M471+Q471</f>
        <v>18000</v>
      </c>
    </row>
    <row r="472" spans="1:20" ht="15.75" customHeight="1" x14ac:dyDescent="0.3">
      <c r="A472" s="17" t="s">
        <v>62</v>
      </c>
      <c r="B472" s="1"/>
      <c r="C472" s="1"/>
      <c r="D472" s="1"/>
      <c r="E472" s="59" t="s">
        <v>7</v>
      </c>
      <c r="F472" s="1"/>
      <c r="G472" s="1"/>
      <c r="H472" s="1"/>
      <c r="I472" s="59" t="s">
        <v>7</v>
      </c>
      <c r="J472" s="1"/>
      <c r="K472" s="1"/>
      <c r="L472" s="1"/>
      <c r="M472" s="59" t="s">
        <v>7</v>
      </c>
      <c r="N472" s="1"/>
      <c r="O472" s="1"/>
      <c r="P472" s="1"/>
      <c r="Q472" s="59" t="s">
        <v>7</v>
      </c>
      <c r="R472" s="59" t="s">
        <v>7</v>
      </c>
    </row>
    <row r="473" spans="1:20" ht="15.75" customHeight="1" x14ac:dyDescent="0.3">
      <c r="A473" s="17" t="s">
        <v>63</v>
      </c>
      <c r="B473" s="1"/>
      <c r="C473" s="1"/>
      <c r="D473" s="1"/>
      <c r="E473" s="59" t="s">
        <v>7</v>
      </c>
      <c r="F473" s="1"/>
      <c r="G473" s="1"/>
      <c r="H473" s="1"/>
      <c r="I473" s="59" t="s">
        <v>7</v>
      </c>
      <c r="J473" s="1"/>
      <c r="K473" s="1"/>
      <c r="L473" s="1"/>
      <c r="M473" s="59" t="s">
        <v>7</v>
      </c>
      <c r="N473" s="1"/>
      <c r="O473" s="1"/>
      <c r="P473" s="1"/>
      <c r="Q473" s="59" t="s">
        <v>7</v>
      </c>
      <c r="R473" s="59" t="s">
        <v>7</v>
      </c>
    </row>
    <row r="474" spans="1:20" ht="15.75" customHeight="1" x14ac:dyDescent="0.3">
      <c r="A474" s="17" t="s">
        <v>64</v>
      </c>
      <c r="B474" s="1"/>
      <c r="C474" s="1"/>
      <c r="D474" s="1"/>
      <c r="E474" s="59" t="s">
        <v>7</v>
      </c>
      <c r="F474" s="1"/>
      <c r="G474" s="1"/>
      <c r="H474" s="1"/>
      <c r="I474" s="59" t="s">
        <v>7</v>
      </c>
      <c r="J474" s="1"/>
      <c r="K474" s="1"/>
      <c r="L474" s="1"/>
      <c r="M474" s="59" t="s">
        <v>7</v>
      </c>
      <c r="N474" s="1"/>
      <c r="O474" s="1"/>
      <c r="P474" s="1"/>
      <c r="Q474" s="59" t="s">
        <v>7</v>
      </c>
      <c r="R474" s="59" t="s">
        <v>7</v>
      </c>
    </row>
    <row r="475" spans="1:20" ht="15.75" customHeight="1" x14ac:dyDescent="0.3">
      <c r="A475" s="17" t="s">
        <v>66</v>
      </c>
      <c r="B475" s="1"/>
      <c r="C475" s="1"/>
      <c r="D475" s="1"/>
      <c r="E475" s="59" t="s">
        <v>7</v>
      </c>
      <c r="F475" s="1"/>
      <c r="G475" s="1"/>
      <c r="H475" s="1"/>
      <c r="I475" s="59" t="s">
        <v>7</v>
      </c>
      <c r="J475" s="1"/>
      <c r="K475" s="1"/>
      <c r="L475" s="1"/>
      <c r="M475" s="59" t="s">
        <v>7</v>
      </c>
      <c r="N475" s="1"/>
      <c r="O475" s="1"/>
      <c r="P475" s="1"/>
      <c r="Q475" s="59" t="s">
        <v>7</v>
      </c>
      <c r="R475" s="59" t="s">
        <v>7</v>
      </c>
    </row>
    <row r="476" spans="1:20" ht="15.75" customHeight="1" x14ac:dyDescent="0.3">
      <c r="A476" s="17" t="s">
        <v>67</v>
      </c>
      <c r="B476" s="1"/>
      <c r="C476" s="1"/>
      <c r="D476" s="1"/>
      <c r="E476" s="59" t="s">
        <v>7</v>
      </c>
      <c r="F476" s="1"/>
      <c r="G476" s="1"/>
      <c r="H476" s="1"/>
      <c r="I476" s="59" t="s">
        <v>7</v>
      </c>
      <c r="J476" s="1"/>
      <c r="K476" s="1"/>
      <c r="L476" s="1"/>
      <c r="M476" s="59" t="s">
        <v>7</v>
      </c>
      <c r="N476" s="1"/>
      <c r="O476" s="1"/>
      <c r="P476" s="1"/>
      <c r="Q476" s="59" t="s">
        <v>7</v>
      </c>
      <c r="R476" s="59" t="s">
        <v>7</v>
      </c>
    </row>
    <row r="477" spans="1:20" ht="15.75" customHeight="1" x14ac:dyDescent="0.3">
      <c r="A477" s="74" t="s">
        <v>460</v>
      </c>
      <c r="B477" s="1"/>
      <c r="C477" s="1"/>
      <c r="D477" s="1"/>
      <c r="E477" s="59">
        <f t="shared" ref="E477:E482" si="90">SUM(B477:D477)</f>
        <v>0</v>
      </c>
      <c r="F477" s="1"/>
      <c r="G477" s="1"/>
      <c r="H477" s="1"/>
      <c r="I477" s="59">
        <f t="shared" ref="I477:I482" si="91">SUM(F477:H477)</f>
        <v>0</v>
      </c>
      <c r="J477" s="1">
        <v>1040</v>
      </c>
      <c r="K477" s="1">
        <v>4800</v>
      </c>
      <c r="L477" s="1"/>
      <c r="M477" s="59">
        <f t="shared" ref="M477:M482" si="92">SUM(J477:L477)</f>
        <v>5840</v>
      </c>
      <c r="N477" s="1"/>
      <c r="O477" s="1"/>
      <c r="P477" s="1"/>
      <c r="Q477" s="59">
        <f t="shared" ref="Q477:Q482" si="93">SUM(N477:P477)</f>
        <v>0</v>
      </c>
      <c r="R477" s="59">
        <f t="shared" ref="R477:R482" si="94">+E477+I477+M477+Q477</f>
        <v>5840</v>
      </c>
      <c r="T477" s="4" t="s">
        <v>366</v>
      </c>
    </row>
    <row r="478" spans="1:20" ht="15.75" customHeight="1" thickBot="1" x14ac:dyDescent="0.35">
      <c r="A478" s="74" t="s">
        <v>491</v>
      </c>
      <c r="B478" s="1"/>
      <c r="C478" s="1"/>
      <c r="D478" s="1"/>
      <c r="E478" s="59">
        <f t="shared" si="90"/>
        <v>0</v>
      </c>
      <c r="F478" s="1"/>
      <c r="G478" s="1"/>
      <c r="H478" s="1"/>
      <c r="I478" s="59">
        <f t="shared" si="91"/>
        <v>0</v>
      </c>
      <c r="J478" s="1"/>
      <c r="K478" s="1"/>
      <c r="L478" s="1"/>
      <c r="M478" s="59">
        <f t="shared" si="92"/>
        <v>0</v>
      </c>
      <c r="N478" s="1"/>
      <c r="O478" s="1"/>
      <c r="P478" s="1"/>
      <c r="Q478" s="59">
        <f t="shared" si="93"/>
        <v>0</v>
      </c>
      <c r="R478" s="59">
        <f t="shared" si="94"/>
        <v>0</v>
      </c>
      <c r="T478" s="4" t="s">
        <v>366</v>
      </c>
    </row>
    <row r="479" spans="1:20" ht="16.5" customHeight="1" thickBot="1" x14ac:dyDescent="0.35">
      <c r="A479" s="62" t="s">
        <v>68</v>
      </c>
      <c r="B479" s="63">
        <f>SUM(B475:B478)</f>
        <v>0</v>
      </c>
      <c r="C479" s="63">
        <f>SUM(C475:C478)</f>
        <v>0</v>
      </c>
      <c r="D479" s="63">
        <f>SUM(D475:D478)</f>
        <v>0</v>
      </c>
      <c r="E479" s="65">
        <f t="shared" si="90"/>
        <v>0</v>
      </c>
      <c r="F479" s="63">
        <f>SUM(F475:F478)</f>
        <v>0</v>
      </c>
      <c r="G479" s="63">
        <f>SUM(G475:G478)</f>
        <v>0</v>
      </c>
      <c r="H479" s="63">
        <f>SUM(H475:H478)</f>
        <v>0</v>
      </c>
      <c r="I479" s="65">
        <f t="shared" si="91"/>
        <v>0</v>
      </c>
      <c r="J479" s="63">
        <f>SUM(J475:J478)</f>
        <v>1040</v>
      </c>
      <c r="K479" s="63">
        <f>SUM(K475:K478)</f>
        <v>4800</v>
      </c>
      <c r="L479" s="63">
        <f>SUM(L475:L478)</f>
        <v>0</v>
      </c>
      <c r="M479" s="65">
        <f t="shared" si="92"/>
        <v>5840</v>
      </c>
      <c r="N479" s="63">
        <f>SUM(N475:N478)</f>
        <v>0</v>
      </c>
      <c r="O479" s="63">
        <f>SUM(O475:O478)</f>
        <v>0</v>
      </c>
      <c r="P479" s="63">
        <f>SUM(P475:P478)</f>
        <v>0</v>
      </c>
      <c r="Q479" s="65">
        <f t="shared" si="93"/>
        <v>0</v>
      </c>
      <c r="R479" s="64">
        <f t="shared" si="94"/>
        <v>5840</v>
      </c>
    </row>
    <row r="480" spans="1:20" ht="16.5" customHeight="1" thickBot="1" x14ac:dyDescent="0.35">
      <c r="A480" s="137" t="s">
        <v>69</v>
      </c>
      <c r="B480" s="100">
        <f>SUM(B472:B478)</f>
        <v>0</v>
      </c>
      <c r="C480" s="101">
        <f>SUM(C472:C478)</f>
        <v>0</v>
      </c>
      <c r="D480" s="138">
        <f>SUM(D472:D478)</f>
        <v>0</v>
      </c>
      <c r="E480" s="65">
        <f t="shared" si="90"/>
        <v>0</v>
      </c>
      <c r="F480" s="101">
        <f>SUM(F472:F478)</f>
        <v>0</v>
      </c>
      <c r="G480" s="101">
        <f>SUM(G472:G478)</f>
        <v>0</v>
      </c>
      <c r="H480" s="101">
        <f>SUM(H472:H478)</f>
        <v>0</v>
      </c>
      <c r="I480" s="65">
        <f t="shared" si="91"/>
        <v>0</v>
      </c>
      <c r="J480" s="101">
        <f>SUM(J472:J478)</f>
        <v>1040</v>
      </c>
      <c r="K480" s="101">
        <f>SUM(K472:K478)</f>
        <v>4800</v>
      </c>
      <c r="L480" s="101">
        <f>SUM(L472:L478)</f>
        <v>0</v>
      </c>
      <c r="M480" s="65">
        <f t="shared" si="92"/>
        <v>5840</v>
      </c>
      <c r="N480" s="101">
        <f>SUM(N472:N478)</f>
        <v>0</v>
      </c>
      <c r="O480" s="101">
        <f>SUM(O472:O478)</f>
        <v>0</v>
      </c>
      <c r="P480" s="101">
        <f>SUM(P472:P478)</f>
        <v>0</v>
      </c>
      <c r="Q480" s="65">
        <f t="shared" si="93"/>
        <v>0</v>
      </c>
      <c r="R480" s="64">
        <f t="shared" si="94"/>
        <v>5840</v>
      </c>
    </row>
    <row r="481" spans="1:20" ht="16.5" customHeight="1" thickBot="1" x14ac:dyDescent="0.35">
      <c r="A481" s="62" t="s">
        <v>70</v>
      </c>
      <c r="B481" s="107">
        <f>+B461+B466+B471+B480</f>
        <v>825</v>
      </c>
      <c r="C481" s="63">
        <f>+C461+C466+C471+C480</f>
        <v>545</v>
      </c>
      <c r="D481" s="63">
        <f>+D461+D466+D471+D480</f>
        <v>8105</v>
      </c>
      <c r="E481" s="64">
        <f t="shared" si="90"/>
        <v>9475</v>
      </c>
      <c r="F481" s="63">
        <f>+F461+F466+F471+F480</f>
        <v>10166</v>
      </c>
      <c r="G481" s="63">
        <f>+G461+G466+G471+G480</f>
        <v>14419</v>
      </c>
      <c r="H481" s="63">
        <f>+H461+H466+H471+H480</f>
        <v>10639</v>
      </c>
      <c r="I481" s="64">
        <f t="shared" si="91"/>
        <v>35224</v>
      </c>
      <c r="J481" s="63">
        <f>+J461+J466+J471+J480</f>
        <v>14852</v>
      </c>
      <c r="K481" s="63">
        <f>+K461+K466+K471+K480</f>
        <v>13018</v>
      </c>
      <c r="L481" s="63">
        <f>+L461+L466+L471+L480</f>
        <v>4086</v>
      </c>
      <c r="M481" s="64">
        <f t="shared" si="92"/>
        <v>31956</v>
      </c>
      <c r="N481" s="63">
        <f>+N461+N466+N471+N480</f>
        <v>538</v>
      </c>
      <c r="O481" s="63">
        <f>+O461+O466+O471+O480</f>
        <v>851</v>
      </c>
      <c r="P481" s="63">
        <f>+P461+P466+P471+P480</f>
        <v>910</v>
      </c>
      <c r="Q481" s="64">
        <f t="shared" si="93"/>
        <v>2299</v>
      </c>
      <c r="R481" s="88">
        <f t="shared" si="94"/>
        <v>78954</v>
      </c>
    </row>
    <row r="482" spans="1:20" ht="16.5" customHeight="1" thickBot="1" x14ac:dyDescent="0.35">
      <c r="A482" s="40" t="s">
        <v>37</v>
      </c>
      <c r="B482" s="25">
        <v>9</v>
      </c>
      <c r="C482" s="25">
        <v>16</v>
      </c>
      <c r="D482" s="25">
        <v>25</v>
      </c>
      <c r="E482" s="59">
        <f t="shared" si="90"/>
        <v>50</v>
      </c>
      <c r="F482" s="25">
        <v>34</v>
      </c>
      <c r="G482" s="25">
        <v>41</v>
      </c>
      <c r="H482" s="25">
        <v>41</v>
      </c>
      <c r="I482" s="59">
        <f t="shared" si="91"/>
        <v>116</v>
      </c>
      <c r="J482" s="25">
        <v>39</v>
      </c>
      <c r="K482" s="25">
        <v>30</v>
      </c>
      <c r="L482" s="25">
        <v>30</v>
      </c>
      <c r="M482" s="59">
        <f t="shared" si="92"/>
        <v>99</v>
      </c>
      <c r="N482" s="25">
        <v>28</v>
      </c>
      <c r="O482" s="25">
        <v>22</v>
      </c>
      <c r="P482" s="25">
        <v>16</v>
      </c>
      <c r="Q482" s="59">
        <f t="shared" si="93"/>
        <v>66</v>
      </c>
      <c r="R482" s="59">
        <f t="shared" si="94"/>
        <v>331</v>
      </c>
    </row>
    <row r="483" spans="1:20" ht="16.5" customHeight="1" thickBot="1" x14ac:dyDescent="0.35">
      <c r="A483" s="80"/>
      <c r="B483" s="81"/>
      <c r="C483" s="81"/>
      <c r="D483" s="81"/>
      <c r="E483" s="64"/>
      <c r="F483" s="81"/>
      <c r="G483" s="81"/>
      <c r="H483" s="81"/>
      <c r="I483" s="64"/>
      <c r="J483" s="81"/>
      <c r="K483" s="81"/>
      <c r="L483" s="81"/>
      <c r="M483" s="64"/>
      <c r="N483" s="81"/>
      <c r="O483" s="81"/>
      <c r="P483" s="81"/>
      <c r="Q483" s="64"/>
      <c r="R483" s="64" t="s">
        <v>7</v>
      </c>
    </row>
    <row r="484" spans="1:20" ht="15.75" customHeight="1" x14ac:dyDescent="0.3">
      <c r="A484" s="82" t="s">
        <v>38</v>
      </c>
      <c r="B484" s="83">
        <f>SUM(B481:B482)</f>
        <v>834</v>
      </c>
      <c r="C484" s="83">
        <f>SUM(C481:C482)</f>
        <v>561</v>
      </c>
      <c r="D484" s="83">
        <f>SUM(D481:D482)</f>
        <v>8130</v>
      </c>
      <c r="E484" s="65">
        <f>SUM(B484:D484)</f>
        <v>9525</v>
      </c>
      <c r="F484" s="83">
        <f>SUM(F481:F482)</f>
        <v>10200</v>
      </c>
      <c r="G484" s="83">
        <f>SUM(G481:G482)</f>
        <v>14460</v>
      </c>
      <c r="H484" s="83">
        <f>SUM(H481:H482)</f>
        <v>10680</v>
      </c>
      <c r="I484" s="65">
        <f>SUM(F484:H484)</f>
        <v>35340</v>
      </c>
      <c r="J484" s="83">
        <f>SUM(J481:J482)</f>
        <v>14891</v>
      </c>
      <c r="K484" s="83">
        <f>SUM(K481:K482)</f>
        <v>13048</v>
      </c>
      <c r="L484" s="83">
        <f>SUM(L481:L482)</f>
        <v>4116</v>
      </c>
      <c r="M484" s="65">
        <f>SUM(J484:L484)</f>
        <v>32055</v>
      </c>
      <c r="N484" s="83">
        <f>SUM(N481:N482)</f>
        <v>566</v>
      </c>
      <c r="O484" s="83">
        <f>SUM(O481:O482)</f>
        <v>873</v>
      </c>
      <c r="P484" s="83">
        <f>SUM(P481:P482)</f>
        <v>926</v>
      </c>
      <c r="Q484" s="65">
        <f>SUM(N484:P484)</f>
        <v>2365</v>
      </c>
      <c r="R484" s="65">
        <f>+E484+I484+M484+Q484</f>
        <v>79285</v>
      </c>
    </row>
    <row r="485" spans="1:20" ht="15.75" customHeight="1" x14ac:dyDescent="0.3">
      <c r="A485" s="85" t="s">
        <v>39</v>
      </c>
      <c r="B485" s="1">
        <f>(B484/B10)/1.983</f>
        <v>13.566931823727488</v>
      </c>
      <c r="C485" s="1">
        <f>(C484/C10)/1.983</f>
        <v>9.7553341332359533</v>
      </c>
      <c r="D485" s="1">
        <f>(D484/D10)/1.983</f>
        <v>132.25318432482553</v>
      </c>
      <c r="E485" s="59" t="s">
        <v>7</v>
      </c>
      <c r="F485" s="1">
        <f>(F484/F10)/1.983</f>
        <v>171.45738779626828</v>
      </c>
      <c r="G485" s="1">
        <f>(G484/G10)/1.983</f>
        <v>235.22522082865646</v>
      </c>
      <c r="H485" s="1">
        <f>(H484/H10)/1.983</f>
        <v>179.52597075138678</v>
      </c>
      <c r="I485" s="59" t="s">
        <v>7</v>
      </c>
      <c r="J485" s="1">
        <f>(J484/J10)/1.983</f>
        <v>242.23642900135019</v>
      </c>
      <c r="K485" s="1">
        <f>(K484/K10)/1.983</f>
        <v>212.25578709352072</v>
      </c>
      <c r="L485" s="1">
        <f>(L484/L10)/1.983</f>
        <v>69.188098840141194</v>
      </c>
      <c r="M485" s="59" t="s">
        <v>7</v>
      </c>
      <c r="N485" s="1">
        <f>(N484/N10)/1.983</f>
        <v>9.2072942592682967</v>
      </c>
      <c r="O485" s="1">
        <f>(O484/O10)/1.983</f>
        <v>14.674735249621785</v>
      </c>
      <c r="P485" s="1">
        <f>(P484/P10)/1.983</f>
        <v>15.063523823467213</v>
      </c>
      <c r="Q485" s="59" t="s">
        <v>7</v>
      </c>
      <c r="R485" s="59" t="s">
        <v>7</v>
      </c>
    </row>
    <row r="486" spans="1:20" ht="15.75" customHeight="1" x14ac:dyDescent="0.3">
      <c r="A486" s="85" t="s">
        <v>492</v>
      </c>
      <c r="B486" s="1">
        <f>B484+B529</f>
        <v>20295</v>
      </c>
      <c r="C486" s="1">
        <f>C484+C529</f>
        <v>21602</v>
      </c>
      <c r="D486" s="1">
        <f>D484+D529</f>
        <v>35674</v>
      </c>
      <c r="E486" s="59">
        <f>SUM(B486:D486)</f>
        <v>77571</v>
      </c>
      <c r="F486" s="1">
        <f>F484+F529</f>
        <v>38323</v>
      </c>
      <c r="G486" s="1">
        <f>G484+G529</f>
        <v>38970</v>
      </c>
      <c r="H486" s="1">
        <f>H484+H529</f>
        <v>39038</v>
      </c>
      <c r="I486" s="59">
        <f>SUM(F486:H486)</f>
        <v>116331</v>
      </c>
      <c r="J486" s="1">
        <f>J484+J529</f>
        <v>46659</v>
      </c>
      <c r="K486" s="1">
        <f>K484+K529</f>
        <v>40923</v>
      </c>
      <c r="L486" s="1">
        <f>L484+L529</f>
        <v>26882</v>
      </c>
      <c r="M486" s="59">
        <f>SUM(J486:L486)</f>
        <v>114464</v>
      </c>
      <c r="N486" s="1">
        <f>N484+N529</f>
        <v>10878</v>
      </c>
      <c r="O486" s="1">
        <f>O484+O529</f>
        <v>8741</v>
      </c>
      <c r="P486" s="1">
        <f>P484+P529</f>
        <v>16462</v>
      </c>
      <c r="Q486" s="59">
        <f>SUM(N486:P486)</f>
        <v>36081</v>
      </c>
      <c r="R486" s="59">
        <f>+E486+I486+M486+Q486</f>
        <v>344447</v>
      </c>
    </row>
    <row r="487" spans="1:20" ht="16.5" customHeight="1" thickBot="1" x14ac:dyDescent="0.35">
      <c r="A487" s="86" t="s">
        <v>493</v>
      </c>
      <c r="B487" s="87">
        <f>(B486/B10)/1.983</f>
        <v>330.14494168171387</v>
      </c>
      <c r="C487" s="87">
        <f>(C486/C10)/1.983</f>
        <v>375.64122628549563</v>
      </c>
      <c r="D487" s="87">
        <f>(D486/D10)/1.983</f>
        <v>580.31981520342265</v>
      </c>
      <c r="E487" s="88" t="s">
        <v>7</v>
      </c>
      <c r="F487" s="87">
        <f>(F486/F10)/1.983</f>
        <v>644.192301227097</v>
      </c>
      <c r="G487" s="87">
        <f>(G486/G10)/1.983</f>
        <v>633.93685032453266</v>
      </c>
      <c r="H487" s="87">
        <f>(H486/H10)/1.983</f>
        <v>656.2111279206589</v>
      </c>
      <c r="I487" s="88" t="s">
        <v>7</v>
      </c>
      <c r="J487" s="87">
        <f>(J486/J10)/1.983</f>
        <v>759.01615343321464</v>
      </c>
      <c r="K487" s="87">
        <f>(K486/K10)/1.983</f>
        <v>665.70689571031176</v>
      </c>
      <c r="L487" s="87">
        <f>(L486/L10)/1.983</f>
        <v>451.87426458228276</v>
      </c>
      <c r="M487" s="88" t="s">
        <v>7</v>
      </c>
      <c r="N487" s="87">
        <f>(N486/N10)/1.983</f>
        <v>176.95573666487724</v>
      </c>
      <c r="O487" s="87">
        <f>(O486/O10)/1.983</f>
        <v>146.93225752227264</v>
      </c>
      <c r="P487" s="87">
        <f>(P486/P10)/1.983</f>
        <v>267.79236412734042</v>
      </c>
      <c r="Q487" s="88" t="s">
        <v>7</v>
      </c>
      <c r="R487" s="88" t="s">
        <v>7</v>
      </c>
    </row>
    <row r="488" spans="1:20" ht="15.75" customHeight="1" x14ac:dyDescent="0.3">
      <c r="A488" s="28"/>
      <c r="B488" s="1"/>
      <c r="C488" s="1"/>
      <c r="D488" s="1"/>
      <c r="E488" s="1"/>
      <c r="F488" s="1"/>
      <c r="G488" s="1"/>
      <c r="H488" s="1"/>
      <c r="I488" s="1"/>
      <c r="J488" s="1"/>
      <c r="K488" s="1"/>
      <c r="L488" s="1"/>
      <c r="M488" s="1"/>
      <c r="N488" s="1"/>
      <c r="O488" s="1"/>
      <c r="P488" s="1"/>
      <c r="Q488" s="1"/>
      <c r="R488" s="28"/>
    </row>
    <row r="489" spans="1:20" ht="15.75" customHeight="1" thickBot="1" x14ac:dyDescent="0.35">
      <c r="A489" s="28"/>
      <c r="B489" s="1"/>
      <c r="C489" s="1"/>
      <c r="D489" s="1"/>
      <c r="E489" s="1"/>
      <c r="F489" s="1"/>
      <c r="G489" s="1"/>
      <c r="H489" s="1"/>
      <c r="I489" s="1"/>
      <c r="J489" s="1"/>
      <c r="K489" s="1"/>
      <c r="L489" s="1"/>
      <c r="M489" s="1"/>
      <c r="N489" s="1"/>
      <c r="O489" s="1"/>
      <c r="P489" s="1"/>
      <c r="Q489" s="1"/>
      <c r="R489" s="28"/>
    </row>
    <row r="490" spans="1:20" ht="16.5" customHeight="1" thickBot="1" x14ac:dyDescent="0.35">
      <c r="A490" s="145" t="s">
        <v>494</v>
      </c>
      <c r="B490" s="32" t="s">
        <v>36</v>
      </c>
      <c r="C490" s="33" t="s">
        <v>9</v>
      </c>
      <c r="D490" s="33" t="s">
        <v>10</v>
      </c>
      <c r="E490" s="12" t="s">
        <v>11</v>
      </c>
      <c r="F490" s="33" t="s">
        <v>12</v>
      </c>
      <c r="G490" s="33" t="s">
        <v>13</v>
      </c>
      <c r="H490" s="33" t="s">
        <v>14</v>
      </c>
      <c r="I490" s="34" t="s">
        <v>15</v>
      </c>
      <c r="J490" s="33" t="s">
        <v>16</v>
      </c>
      <c r="K490" s="33" t="s">
        <v>17</v>
      </c>
      <c r="L490" s="33" t="s">
        <v>18</v>
      </c>
      <c r="M490" s="34" t="s">
        <v>19</v>
      </c>
      <c r="N490" s="33" t="s">
        <v>20</v>
      </c>
      <c r="O490" s="33" t="s">
        <v>21</v>
      </c>
      <c r="P490" s="33" t="s">
        <v>22</v>
      </c>
      <c r="Q490" s="34" t="s">
        <v>23</v>
      </c>
      <c r="R490" s="35" t="s">
        <v>24</v>
      </c>
    </row>
    <row r="491" spans="1:20" ht="16.5" customHeight="1" thickBot="1" x14ac:dyDescent="0.35">
      <c r="A491" s="64"/>
      <c r="B491" s="81"/>
      <c r="C491" s="81"/>
      <c r="D491" s="81"/>
      <c r="E491" s="72"/>
      <c r="F491" s="81"/>
      <c r="G491" s="81"/>
      <c r="H491" s="81"/>
      <c r="I491" s="89"/>
      <c r="J491" s="81"/>
      <c r="K491" s="81"/>
      <c r="L491" s="81"/>
      <c r="M491" s="89"/>
      <c r="N491" s="81"/>
      <c r="O491" s="81"/>
      <c r="P491" s="81"/>
      <c r="Q491" s="89"/>
      <c r="R491" s="117"/>
    </row>
    <row r="492" spans="1:20" ht="15.75" customHeight="1" x14ac:dyDescent="0.3">
      <c r="A492" s="17" t="s">
        <v>45</v>
      </c>
      <c r="B492" s="1" t="s">
        <v>7</v>
      </c>
      <c r="C492" s="1" t="s">
        <v>7</v>
      </c>
      <c r="D492" s="1" t="s">
        <v>7</v>
      </c>
      <c r="E492" s="59" t="s">
        <v>7</v>
      </c>
      <c r="F492" s="1" t="s">
        <v>7</v>
      </c>
      <c r="G492" s="1" t="s">
        <v>7</v>
      </c>
      <c r="H492" s="1" t="s">
        <v>7</v>
      </c>
      <c r="I492" s="59" t="s">
        <v>7</v>
      </c>
      <c r="J492" s="1" t="s">
        <v>7</v>
      </c>
      <c r="K492" s="1" t="s">
        <v>7</v>
      </c>
      <c r="L492" s="1" t="s">
        <v>7</v>
      </c>
      <c r="M492" s="59" t="s">
        <v>7</v>
      </c>
      <c r="N492" s="1" t="s">
        <v>7</v>
      </c>
      <c r="O492" s="1" t="s">
        <v>7</v>
      </c>
      <c r="P492" s="1" t="s">
        <v>7</v>
      </c>
      <c r="Q492" s="59" t="s">
        <v>7</v>
      </c>
      <c r="R492" s="59" t="s">
        <v>7</v>
      </c>
    </row>
    <row r="493" spans="1:20" ht="15.75" customHeight="1" x14ac:dyDescent="0.3">
      <c r="A493" s="17" t="s">
        <v>46</v>
      </c>
      <c r="B493" s="1"/>
      <c r="C493" s="1"/>
      <c r="D493" s="1"/>
      <c r="E493" s="59" t="s">
        <v>7</v>
      </c>
      <c r="F493" s="1"/>
      <c r="G493" s="1"/>
      <c r="H493" s="1"/>
      <c r="I493" s="59" t="s">
        <v>7</v>
      </c>
      <c r="J493" s="1"/>
      <c r="K493" s="1"/>
      <c r="L493" s="1"/>
      <c r="M493" s="59" t="s">
        <v>7</v>
      </c>
      <c r="N493" s="1"/>
      <c r="O493" s="1"/>
      <c r="P493" s="1"/>
      <c r="Q493" s="59" t="s">
        <v>7</v>
      </c>
      <c r="R493" s="59" t="s">
        <v>7</v>
      </c>
    </row>
    <row r="494" spans="1:20" ht="15.75" customHeight="1" x14ac:dyDescent="0.3">
      <c r="A494" s="17" t="s">
        <v>495</v>
      </c>
      <c r="B494" s="1"/>
      <c r="C494" s="1"/>
      <c r="D494" s="1"/>
      <c r="E494" s="59">
        <f>SUM(B494:D494)</f>
        <v>0</v>
      </c>
      <c r="F494" s="1"/>
      <c r="G494" s="1">
        <v>1400</v>
      </c>
      <c r="H494" s="1"/>
      <c r="I494" s="59">
        <f>SUM(F494:H494)</f>
        <v>1400</v>
      </c>
      <c r="J494" s="1"/>
      <c r="K494" s="1"/>
      <c r="L494" s="1"/>
      <c r="M494" s="59">
        <f>SUM(J494:L494)</f>
        <v>0</v>
      </c>
      <c r="N494" s="1"/>
      <c r="O494" s="1"/>
      <c r="P494" s="1"/>
      <c r="Q494" s="59">
        <f>SUM(N494:P494)</f>
        <v>0</v>
      </c>
      <c r="R494" s="59">
        <f>+E494+I494+M494+Q494</f>
        <v>1400</v>
      </c>
      <c r="T494" s="4" t="s">
        <v>368</v>
      </c>
    </row>
    <row r="495" spans="1:20" ht="15.75" customHeight="1" x14ac:dyDescent="0.3">
      <c r="A495" s="74" t="s">
        <v>496</v>
      </c>
      <c r="B495" s="1"/>
      <c r="C495" s="1"/>
      <c r="D495" s="1">
        <v>250</v>
      </c>
      <c r="E495" s="59">
        <f>SUM(B495:D495)</f>
        <v>250</v>
      </c>
      <c r="F495" s="1">
        <v>850</v>
      </c>
      <c r="G495" s="1"/>
      <c r="H495" s="1"/>
      <c r="I495" s="59">
        <f>SUM(F495:H495)</f>
        <v>850</v>
      </c>
      <c r="J495" s="1"/>
      <c r="K495" s="1"/>
      <c r="L495" s="1"/>
      <c r="M495" s="59">
        <f>SUM(J495:L495)</f>
        <v>0</v>
      </c>
      <c r="N495" s="1"/>
      <c r="O495" s="1"/>
      <c r="P495" s="1"/>
      <c r="Q495" s="59">
        <f>SUM(N495:P495)</f>
        <v>0</v>
      </c>
      <c r="R495" s="59">
        <f>+E495+I495+M495+Q495</f>
        <v>1100</v>
      </c>
    </row>
    <row r="496" spans="1:20" ht="15.75" customHeight="1" x14ac:dyDescent="0.3">
      <c r="A496" s="74" t="s">
        <v>497</v>
      </c>
      <c r="B496" s="1"/>
      <c r="C496" s="1"/>
      <c r="D496" s="1">
        <v>250</v>
      </c>
      <c r="E496" s="59">
        <f>SUM(B496:D496)</f>
        <v>250</v>
      </c>
      <c r="F496" s="1">
        <v>250</v>
      </c>
      <c r="G496" s="1">
        <v>250</v>
      </c>
      <c r="H496" s="1">
        <v>1250</v>
      </c>
      <c r="I496" s="59">
        <f>SUM(F496:H496)</f>
        <v>1750</v>
      </c>
      <c r="J496" s="1">
        <v>1000</v>
      </c>
      <c r="K496" s="1">
        <v>500</v>
      </c>
      <c r="L496" s="1">
        <v>500</v>
      </c>
      <c r="M496" s="59">
        <f>SUM(J496:L496)</f>
        <v>2000</v>
      </c>
      <c r="N496" s="1"/>
      <c r="O496" s="1"/>
      <c r="P496" s="1"/>
      <c r="Q496" s="59">
        <f>SUM(N496:P496)</f>
        <v>0</v>
      </c>
      <c r="R496" s="59">
        <f>+E496+I496+M496+Q496</f>
        <v>4000</v>
      </c>
    </row>
    <row r="497" spans="1:20" ht="15.75" customHeight="1" x14ac:dyDescent="0.3">
      <c r="A497" s="74" t="s">
        <v>499</v>
      </c>
      <c r="B497" s="1"/>
      <c r="C497" s="1"/>
      <c r="D497" s="1"/>
      <c r="E497" s="59">
        <f>SUM(B497:D497)</f>
        <v>0</v>
      </c>
      <c r="F497" s="1"/>
      <c r="G497" s="1"/>
      <c r="H497" s="1"/>
      <c r="I497" s="59">
        <f>SUM(F497:H497)</f>
        <v>0</v>
      </c>
      <c r="J497" s="1">
        <v>257</v>
      </c>
      <c r="K497" s="1"/>
      <c r="L497" s="1">
        <v>500</v>
      </c>
      <c r="M497" s="59">
        <f>SUM(J497:L497)</f>
        <v>757</v>
      </c>
      <c r="N497" s="1"/>
      <c r="O497" s="1"/>
      <c r="P497" s="1"/>
      <c r="Q497" s="59">
        <f>SUM(N497:P497)</f>
        <v>0</v>
      </c>
      <c r="R497" s="59">
        <f>+E497+I497+M497+Q497</f>
        <v>757</v>
      </c>
    </row>
    <row r="498" spans="1:20" ht="15.75" customHeight="1" x14ac:dyDescent="0.3">
      <c r="A498" s="17" t="s">
        <v>47</v>
      </c>
      <c r="B498" s="1"/>
      <c r="C498" s="1"/>
      <c r="D498" s="1"/>
      <c r="E498" s="59" t="s">
        <v>7</v>
      </c>
      <c r="F498" s="1"/>
      <c r="G498" s="1"/>
      <c r="H498" s="1"/>
      <c r="I498" s="59" t="s">
        <v>7</v>
      </c>
      <c r="J498" s="1"/>
      <c r="K498" s="1"/>
      <c r="L498" s="1"/>
      <c r="M498" s="59" t="s">
        <v>7</v>
      </c>
      <c r="N498" s="1"/>
      <c r="O498" s="1"/>
      <c r="P498" s="1"/>
      <c r="Q498" s="59" t="s">
        <v>7</v>
      </c>
      <c r="R498" s="59" t="s">
        <v>7</v>
      </c>
    </row>
    <row r="499" spans="1:20" ht="15.75" customHeight="1" x14ac:dyDescent="0.3">
      <c r="A499" s="17" t="s">
        <v>898</v>
      </c>
      <c r="B499" s="1"/>
      <c r="C499" s="1"/>
      <c r="D499" s="1"/>
      <c r="E499" s="59" t="s">
        <v>7</v>
      </c>
      <c r="F499" s="1"/>
      <c r="G499" s="1"/>
      <c r="H499" s="1"/>
      <c r="I499" s="59" t="s">
        <v>7</v>
      </c>
      <c r="J499" s="1"/>
      <c r="K499" s="1"/>
      <c r="L499" s="1"/>
      <c r="M499" s="59" t="s">
        <v>7</v>
      </c>
      <c r="N499" s="1"/>
      <c r="O499" s="1"/>
      <c r="P499" s="1"/>
      <c r="Q499" s="59" t="s">
        <v>7</v>
      </c>
      <c r="R499" s="59" t="s">
        <v>7</v>
      </c>
    </row>
    <row r="500" spans="1:20" ht="15.75" customHeight="1" thickBot="1" x14ac:dyDescent="0.35">
      <c r="A500" s="17" t="s">
        <v>51</v>
      </c>
      <c r="B500" s="1"/>
      <c r="C500" s="1"/>
      <c r="D500" s="1"/>
      <c r="E500" s="59" t="s">
        <v>7</v>
      </c>
      <c r="F500" s="1"/>
      <c r="G500" s="1"/>
      <c r="H500" s="1"/>
      <c r="I500" s="59" t="s">
        <v>7</v>
      </c>
      <c r="J500" s="1"/>
      <c r="K500" s="1"/>
      <c r="L500" s="1"/>
      <c r="M500" s="59" t="s">
        <v>7</v>
      </c>
      <c r="N500" s="1"/>
      <c r="O500" s="1"/>
      <c r="P500" s="1"/>
      <c r="Q500" s="59" t="s">
        <v>7</v>
      </c>
      <c r="R500" s="59" t="s">
        <v>7</v>
      </c>
    </row>
    <row r="501" spans="1:20" ht="16.5" customHeight="1" thickBot="1" x14ac:dyDescent="0.35">
      <c r="A501" s="126" t="s">
        <v>52</v>
      </c>
      <c r="B501" s="100">
        <f>SUM(B492:B500)</f>
        <v>0</v>
      </c>
      <c r="C501" s="101">
        <f>SUM(C492:C500)</f>
        <v>0</v>
      </c>
      <c r="D501" s="101">
        <f>SUM(D492:D500)</f>
        <v>500</v>
      </c>
      <c r="E501" s="64">
        <f>SUM(B501:D501)</f>
        <v>500</v>
      </c>
      <c r="F501" s="101">
        <f>SUM(F492:F500)</f>
        <v>1100</v>
      </c>
      <c r="G501" s="101">
        <f>SUM(G492:G500)</f>
        <v>1650</v>
      </c>
      <c r="H501" s="101">
        <f>SUM(H492:H500)</f>
        <v>1250</v>
      </c>
      <c r="I501" s="64">
        <f>SUM(F501:H501)</f>
        <v>4000</v>
      </c>
      <c r="J501" s="101">
        <f>SUM(J492:J500)</f>
        <v>1257</v>
      </c>
      <c r="K501" s="101">
        <f>SUM(K492:K500)</f>
        <v>500</v>
      </c>
      <c r="L501" s="101">
        <f>SUM(L492:L500)</f>
        <v>1000</v>
      </c>
      <c r="M501" s="64">
        <f>SUM(J501:L501)</f>
        <v>2757</v>
      </c>
      <c r="N501" s="101">
        <f>SUM(N492:N500)</f>
        <v>0</v>
      </c>
      <c r="O501" s="101">
        <f>SUM(O492:O500)</f>
        <v>0</v>
      </c>
      <c r="P501" s="101">
        <f>SUM(P492:P500)</f>
        <v>0</v>
      </c>
      <c r="Q501" s="64">
        <f>SUM(N501:P501)</f>
        <v>0</v>
      </c>
      <c r="R501" s="64">
        <f>+E501+I501+M501+Q501</f>
        <v>7257</v>
      </c>
    </row>
    <row r="502" spans="1:20" ht="15.75" customHeight="1" x14ac:dyDescent="0.3">
      <c r="A502" s="17" t="s">
        <v>53</v>
      </c>
      <c r="B502" s="1"/>
      <c r="C502" s="1"/>
      <c r="D502" s="1"/>
      <c r="E502" s="65" t="s">
        <v>7</v>
      </c>
      <c r="F502" s="1"/>
      <c r="G502" s="1"/>
      <c r="H502" s="1"/>
      <c r="I502" s="65" t="s">
        <v>7</v>
      </c>
      <c r="J502" s="1"/>
      <c r="K502" s="1"/>
      <c r="L502" s="1"/>
      <c r="M502" s="65" t="s">
        <v>7</v>
      </c>
      <c r="N502" s="1"/>
      <c r="O502" s="1"/>
      <c r="P502" s="1"/>
      <c r="Q502" s="65" t="s">
        <v>7</v>
      </c>
      <c r="R502" s="305" t="s">
        <v>7</v>
      </c>
    </row>
    <row r="503" spans="1:20" ht="15.75" customHeight="1" x14ac:dyDescent="0.3">
      <c r="A503" s="17" t="s">
        <v>55</v>
      </c>
      <c r="B503" s="1"/>
      <c r="C503" s="1"/>
      <c r="D503" s="1"/>
      <c r="E503" s="59" t="s">
        <v>7</v>
      </c>
      <c r="F503" s="1"/>
      <c r="G503" s="1"/>
      <c r="H503" s="1"/>
      <c r="I503" s="59" t="s">
        <v>7</v>
      </c>
      <c r="J503" s="1"/>
      <c r="K503" s="1"/>
      <c r="L503" s="1"/>
      <c r="M503" s="59" t="s">
        <v>7</v>
      </c>
      <c r="N503" s="1"/>
      <c r="O503" s="1"/>
      <c r="P503" s="1"/>
      <c r="Q503" s="59" t="s">
        <v>7</v>
      </c>
      <c r="R503" s="305" t="s">
        <v>7</v>
      </c>
    </row>
    <row r="504" spans="1:20" ht="15.75" customHeight="1" x14ac:dyDescent="0.3">
      <c r="A504" s="74" t="s">
        <v>500</v>
      </c>
      <c r="B504" s="1">
        <v>615</v>
      </c>
      <c r="C504" s="1">
        <v>375</v>
      </c>
      <c r="D504" s="1">
        <v>3850</v>
      </c>
      <c r="E504" s="59">
        <f>SUM(B504:D504)</f>
        <v>4840</v>
      </c>
      <c r="F504" s="1">
        <v>2400</v>
      </c>
      <c r="G504" s="1">
        <v>2051</v>
      </c>
      <c r="H504" s="1">
        <v>4428</v>
      </c>
      <c r="I504" s="59">
        <f>SUM(F504:H504)</f>
        <v>8879</v>
      </c>
      <c r="J504" s="1">
        <v>3600</v>
      </c>
      <c r="K504" s="1">
        <v>3824</v>
      </c>
      <c r="L504" s="1">
        <v>1600</v>
      </c>
      <c r="M504" s="59">
        <f>SUM(J504:L504)</f>
        <v>9024</v>
      </c>
      <c r="N504" s="1">
        <v>595</v>
      </c>
      <c r="O504" s="1">
        <v>80</v>
      </c>
      <c r="P504" s="1">
        <v>85</v>
      </c>
      <c r="Q504" s="59">
        <f>SUM(N504:P504)</f>
        <v>760</v>
      </c>
      <c r="R504" s="59">
        <f>+E504+I504+M504+Q504</f>
        <v>23503</v>
      </c>
      <c r="S504" s="4">
        <f>+SUM(R504,R464,R357)</f>
        <v>89781</v>
      </c>
      <c r="T504" s="4" t="s">
        <v>501</v>
      </c>
    </row>
    <row r="505" spans="1:20" ht="15.75" customHeight="1" x14ac:dyDescent="0.3">
      <c r="A505" s="74" t="s">
        <v>502</v>
      </c>
      <c r="B505" s="1"/>
      <c r="C505" s="1"/>
      <c r="D505" s="1"/>
      <c r="E505" s="59">
        <f>SUM(B505:D505)</f>
        <v>0</v>
      </c>
      <c r="F505" s="1"/>
      <c r="G505" s="1"/>
      <c r="H505" s="1"/>
      <c r="I505" s="59">
        <f>SUM(F505:H505)</f>
        <v>0</v>
      </c>
      <c r="J505" s="1"/>
      <c r="K505" s="1"/>
      <c r="L505" s="1"/>
      <c r="M505" s="59">
        <f>SUM(J505:L505)</f>
        <v>0</v>
      </c>
      <c r="N505" s="1"/>
      <c r="O505" s="1"/>
      <c r="P505" s="1"/>
      <c r="Q505" s="59">
        <f>SUM(N505:P505)</f>
        <v>0</v>
      </c>
      <c r="R505" s="59">
        <f>+E505+I505+M505+Q505</f>
        <v>0</v>
      </c>
    </row>
    <row r="506" spans="1:20" ht="15.75" customHeight="1" thickBot="1" x14ac:dyDescent="0.35">
      <c r="A506" s="17" t="s">
        <v>56</v>
      </c>
      <c r="B506" s="1"/>
      <c r="C506" s="1"/>
      <c r="D506" s="1"/>
      <c r="E506" s="59" t="s">
        <v>7</v>
      </c>
      <c r="F506" s="1"/>
      <c r="G506" s="1"/>
      <c r="H506" s="1"/>
      <c r="I506" s="59" t="s">
        <v>7</v>
      </c>
      <c r="J506" s="1"/>
      <c r="K506" s="1"/>
      <c r="L506" s="1"/>
      <c r="M506" s="59" t="s">
        <v>7</v>
      </c>
      <c r="N506" s="1"/>
      <c r="O506" s="1"/>
      <c r="P506" s="1"/>
      <c r="Q506" s="59" t="s">
        <v>7</v>
      </c>
      <c r="R506" s="305" t="s">
        <v>7</v>
      </c>
    </row>
    <row r="507" spans="1:20" ht="16.5" customHeight="1" thickBot="1" x14ac:dyDescent="0.35">
      <c r="A507" s="62" t="s">
        <v>57</v>
      </c>
      <c r="B507" s="100">
        <f>SUM(B502:B506)</f>
        <v>615</v>
      </c>
      <c r="C507" s="101">
        <f>SUM(C502:C506)</f>
        <v>375</v>
      </c>
      <c r="D507" s="101">
        <f>SUM(D502:D506)</f>
        <v>3850</v>
      </c>
      <c r="E507" s="64">
        <f>SUM(B507:D507)</f>
        <v>4840</v>
      </c>
      <c r="F507" s="101">
        <f>SUM(F502:F506)</f>
        <v>2400</v>
      </c>
      <c r="G507" s="101">
        <f>SUM(G502:G506)</f>
        <v>2051</v>
      </c>
      <c r="H507" s="101">
        <f>SUM(H502:H506)</f>
        <v>4428</v>
      </c>
      <c r="I507" s="64">
        <f>SUM(F507:H507)</f>
        <v>8879</v>
      </c>
      <c r="J507" s="101">
        <f>SUM(J502:J506)</f>
        <v>3600</v>
      </c>
      <c r="K507" s="101">
        <f>SUM(K502:K506)</f>
        <v>3824</v>
      </c>
      <c r="L507" s="101">
        <f>SUM(L502:L506)</f>
        <v>1600</v>
      </c>
      <c r="M507" s="64">
        <f>SUM(J507:L507)</f>
        <v>9024</v>
      </c>
      <c r="N507" s="101">
        <f>SUM(N502:N506)</f>
        <v>595</v>
      </c>
      <c r="O507" s="101">
        <f>SUM(O502:O506)</f>
        <v>80</v>
      </c>
      <c r="P507" s="101">
        <f>SUM(P502:P506)</f>
        <v>85</v>
      </c>
      <c r="Q507" s="64">
        <f>SUM(N507:P507)</f>
        <v>760</v>
      </c>
      <c r="R507" s="64">
        <f>+E507+I507+M507+Q507</f>
        <v>23503</v>
      </c>
    </row>
    <row r="508" spans="1:20" ht="15.75" customHeight="1" x14ac:dyDescent="0.3">
      <c r="A508" s="17" t="s">
        <v>58</v>
      </c>
      <c r="B508" s="1"/>
      <c r="C508" s="1"/>
      <c r="D508" s="1"/>
      <c r="E508" s="59" t="s">
        <v>7</v>
      </c>
      <c r="F508" s="1"/>
      <c r="G508" s="1"/>
      <c r="H508" s="1"/>
      <c r="I508" s="59" t="s">
        <v>7</v>
      </c>
      <c r="J508" s="1"/>
      <c r="K508" s="1"/>
      <c r="L508" s="1"/>
      <c r="M508" s="59" t="s">
        <v>7</v>
      </c>
      <c r="N508" s="1"/>
      <c r="O508" s="1"/>
      <c r="P508" s="1"/>
      <c r="Q508" s="59" t="s">
        <v>7</v>
      </c>
      <c r="R508" s="59" t="s">
        <v>7</v>
      </c>
    </row>
    <row r="509" spans="1:20" ht="15.75" customHeight="1" x14ac:dyDescent="0.3">
      <c r="A509" s="17" t="s">
        <v>59</v>
      </c>
      <c r="B509" s="1"/>
      <c r="C509" s="1"/>
      <c r="D509" s="1"/>
      <c r="E509" s="59" t="s">
        <v>7</v>
      </c>
      <c r="F509" s="1"/>
      <c r="G509" s="1"/>
      <c r="H509" s="1"/>
      <c r="I509" s="59" t="s">
        <v>7</v>
      </c>
      <c r="J509" s="1"/>
      <c r="K509" s="1"/>
      <c r="L509" s="1"/>
      <c r="M509" s="59" t="s">
        <v>7</v>
      </c>
      <c r="N509" s="1"/>
      <c r="O509" s="1"/>
      <c r="P509" s="1"/>
      <c r="Q509" s="59" t="s">
        <v>7</v>
      </c>
      <c r="R509" s="59" t="s">
        <v>7</v>
      </c>
    </row>
    <row r="510" spans="1:20" ht="15.75" customHeight="1" x14ac:dyDescent="0.3">
      <c r="A510" s="17" t="s">
        <v>60</v>
      </c>
      <c r="B510" s="1"/>
      <c r="C510" s="1"/>
      <c r="D510" s="1"/>
      <c r="E510" s="59" t="s">
        <v>7</v>
      </c>
      <c r="F510" s="1"/>
      <c r="G510" s="1"/>
      <c r="H510" s="1"/>
      <c r="I510" s="59" t="s">
        <v>7</v>
      </c>
      <c r="J510" s="1"/>
      <c r="K510" s="1"/>
      <c r="L510" s="1"/>
      <c r="M510" s="59" t="s">
        <v>7</v>
      </c>
      <c r="N510" s="1"/>
      <c r="O510" s="1"/>
      <c r="P510" s="1"/>
      <c r="Q510" s="59" t="s">
        <v>7</v>
      </c>
      <c r="R510" s="59" t="s">
        <v>7</v>
      </c>
    </row>
    <row r="511" spans="1:20" ht="15.75" customHeight="1" thickBot="1" x14ac:dyDescent="0.35">
      <c r="A511" s="103" t="s">
        <v>856</v>
      </c>
      <c r="B511" s="1"/>
      <c r="C511" s="1"/>
      <c r="D511" s="1"/>
      <c r="E511" s="59">
        <f>SUM(B511:D511)</f>
        <v>0</v>
      </c>
      <c r="F511" s="1"/>
      <c r="G511" s="1"/>
      <c r="H511" s="1"/>
      <c r="I511" s="59">
        <f>SUM(F511:H511)</f>
        <v>0</v>
      </c>
      <c r="J511" s="1"/>
      <c r="K511" s="1"/>
      <c r="L511" s="1"/>
      <c r="M511" s="59">
        <f>SUM(J511:L511)</f>
        <v>0</v>
      </c>
      <c r="N511" s="1"/>
      <c r="O511" s="1"/>
      <c r="P511" s="1"/>
      <c r="Q511" s="59">
        <f>SUM(N511:P511)</f>
        <v>0</v>
      </c>
      <c r="R511" s="59">
        <f>+E511+I511+M511+Q511</f>
        <v>0</v>
      </c>
      <c r="T511" s="4" t="s">
        <v>368</v>
      </c>
    </row>
    <row r="512" spans="1:20" ht="16.5" customHeight="1" thickBot="1" x14ac:dyDescent="0.35">
      <c r="A512" s="137" t="s">
        <v>61</v>
      </c>
      <c r="B512" s="100">
        <f>SUM(B508:B511)</f>
        <v>0</v>
      </c>
      <c r="C512" s="101">
        <f>SUM(C508:C511)</f>
        <v>0</v>
      </c>
      <c r="D512" s="101">
        <f>SUM(D508:D511)</f>
        <v>0</v>
      </c>
      <c r="E512" s="64">
        <f>SUM(B512:D512)</f>
        <v>0</v>
      </c>
      <c r="F512" s="101">
        <f>SUM(F508:F511)</f>
        <v>0</v>
      </c>
      <c r="G512" s="101">
        <f>SUM(G508:G511)</f>
        <v>0</v>
      </c>
      <c r="H512" s="101">
        <f>SUM(H508:H511)</f>
        <v>0</v>
      </c>
      <c r="I512" s="64">
        <f>SUM(F512:H512)</f>
        <v>0</v>
      </c>
      <c r="J512" s="101">
        <f>SUM(J508:J511)</f>
        <v>0</v>
      </c>
      <c r="K512" s="101">
        <f>SUM(K508:K511)</f>
        <v>0</v>
      </c>
      <c r="L512" s="101">
        <f>SUM(L508:L511)</f>
        <v>0</v>
      </c>
      <c r="M512" s="64">
        <f>SUM(J512:L512)</f>
        <v>0</v>
      </c>
      <c r="N512" s="101">
        <f>SUM(N508:N511)</f>
        <v>0</v>
      </c>
      <c r="O512" s="101">
        <f>SUM(O508:O511)</f>
        <v>0</v>
      </c>
      <c r="P512" s="101">
        <f>SUM(P508:P511)</f>
        <v>0</v>
      </c>
      <c r="Q512" s="64">
        <f>SUM(N512:P512)</f>
        <v>0</v>
      </c>
      <c r="R512" s="64">
        <f>+E512+I512+M512+Q512</f>
        <v>0</v>
      </c>
    </row>
    <row r="513" spans="1:20" ht="15.75" customHeight="1" x14ac:dyDescent="0.3">
      <c r="A513" s="17" t="s">
        <v>62</v>
      </c>
      <c r="B513" s="1"/>
      <c r="C513" s="1"/>
      <c r="D513" s="1"/>
      <c r="E513" s="59" t="s">
        <v>7</v>
      </c>
      <c r="F513" s="1"/>
      <c r="G513" s="1"/>
      <c r="H513" s="1"/>
      <c r="I513" s="59" t="s">
        <v>7</v>
      </c>
      <c r="J513" s="1"/>
      <c r="K513" s="1"/>
      <c r="L513" s="1"/>
      <c r="M513" s="59" t="s">
        <v>7</v>
      </c>
      <c r="N513" s="1"/>
      <c r="O513" s="1"/>
      <c r="P513" s="1"/>
      <c r="Q513" s="59" t="s">
        <v>7</v>
      </c>
      <c r="R513" s="59" t="s">
        <v>7</v>
      </c>
    </row>
    <row r="514" spans="1:20" ht="15.75" customHeight="1" x14ac:dyDescent="0.3">
      <c r="A514" s="17" t="s">
        <v>63</v>
      </c>
      <c r="B514" s="1"/>
      <c r="C514" s="1"/>
      <c r="D514" s="1"/>
      <c r="E514" s="59" t="s">
        <v>7</v>
      </c>
      <c r="F514" s="1"/>
      <c r="G514" s="1"/>
      <c r="H514" s="1"/>
      <c r="I514" s="59" t="s">
        <v>7</v>
      </c>
      <c r="J514" s="1"/>
      <c r="K514" s="1"/>
      <c r="L514" s="1"/>
      <c r="M514" s="59" t="s">
        <v>7</v>
      </c>
      <c r="N514" s="1"/>
      <c r="O514" s="1"/>
      <c r="P514" s="1"/>
      <c r="Q514" s="59" t="s">
        <v>7</v>
      </c>
      <c r="R514" s="59" t="s">
        <v>7</v>
      </c>
    </row>
    <row r="515" spans="1:20" ht="15.75" customHeight="1" x14ac:dyDescent="0.3">
      <c r="A515" s="17" t="s">
        <v>64</v>
      </c>
      <c r="B515" s="1"/>
      <c r="C515" s="1"/>
      <c r="D515" s="1"/>
      <c r="E515" s="59" t="s">
        <v>7</v>
      </c>
      <c r="F515" s="1"/>
      <c r="G515" s="1"/>
      <c r="H515" s="1"/>
      <c r="I515" s="59" t="s">
        <v>7</v>
      </c>
      <c r="J515" s="1"/>
      <c r="K515" s="1"/>
      <c r="L515" s="1"/>
      <c r="M515" s="59" t="s">
        <v>7</v>
      </c>
      <c r="N515" s="1"/>
      <c r="O515" s="1"/>
      <c r="P515" s="1"/>
      <c r="Q515" s="59" t="s">
        <v>7</v>
      </c>
      <c r="R515" s="59" t="s">
        <v>7</v>
      </c>
    </row>
    <row r="516" spans="1:20" ht="15.75" customHeight="1" x14ac:dyDescent="0.3">
      <c r="A516" s="17" t="s">
        <v>66</v>
      </c>
      <c r="B516" s="1"/>
      <c r="C516" s="1"/>
      <c r="D516" s="1"/>
      <c r="E516" s="59" t="s">
        <v>7</v>
      </c>
      <c r="F516" s="1"/>
      <c r="G516" s="1"/>
      <c r="H516" s="1"/>
      <c r="I516" s="59" t="s">
        <v>7</v>
      </c>
      <c r="J516" s="1"/>
      <c r="K516" s="1"/>
      <c r="L516" s="1"/>
      <c r="M516" s="59" t="s">
        <v>7</v>
      </c>
      <c r="N516" s="1"/>
      <c r="O516" s="1"/>
      <c r="P516" s="1"/>
      <c r="Q516" s="59" t="s">
        <v>7</v>
      </c>
      <c r="R516" s="59" t="s">
        <v>7</v>
      </c>
    </row>
    <row r="517" spans="1:20" ht="15.75" customHeight="1" x14ac:dyDescent="0.3">
      <c r="A517" s="74" t="s">
        <v>922</v>
      </c>
      <c r="B517" s="1"/>
      <c r="C517" s="1"/>
      <c r="D517" s="1"/>
      <c r="E517" s="59">
        <f>SUM(B517:D517)</f>
        <v>0</v>
      </c>
      <c r="F517" s="1"/>
      <c r="G517" s="1"/>
      <c r="H517" s="1"/>
      <c r="I517" s="59">
        <f>SUM(F517:H517)</f>
        <v>0</v>
      </c>
      <c r="J517" s="1"/>
      <c r="K517" s="1"/>
      <c r="L517" s="1">
        <v>500</v>
      </c>
      <c r="M517" s="59">
        <f>SUM(J517:L517)</f>
        <v>500</v>
      </c>
      <c r="N517" s="1"/>
      <c r="O517" s="1"/>
      <c r="P517" s="1"/>
      <c r="Q517" s="59">
        <f>SUM(N517:P517)</f>
        <v>0</v>
      </c>
      <c r="R517" s="59">
        <f>+E517+I517+M517+Q517</f>
        <v>500</v>
      </c>
    </row>
    <row r="518" spans="1:20" ht="15.75" customHeight="1" x14ac:dyDescent="0.3">
      <c r="A518" s="17" t="s">
        <v>67</v>
      </c>
      <c r="B518" s="1"/>
      <c r="C518" s="1"/>
      <c r="D518" s="1"/>
      <c r="E518" s="59"/>
      <c r="F518" s="1"/>
      <c r="G518" s="1"/>
      <c r="H518" s="1"/>
      <c r="I518" s="59"/>
      <c r="J518" s="1"/>
      <c r="K518" s="1"/>
      <c r="L518" s="1"/>
      <c r="M518" s="59"/>
      <c r="N518" s="1"/>
      <c r="O518" s="1"/>
      <c r="P518" s="1"/>
      <c r="Q518" s="59"/>
      <c r="R518" s="59" t="s">
        <v>7</v>
      </c>
    </row>
    <row r="519" spans="1:20" ht="15.75" customHeight="1" x14ac:dyDescent="0.3">
      <c r="A519" s="74" t="s">
        <v>460</v>
      </c>
      <c r="B519" s="1"/>
      <c r="C519" s="1"/>
      <c r="D519" s="1"/>
      <c r="E519" s="59">
        <f t="shared" ref="E519:E525" si="95">SUM(B519:D519)</f>
        <v>0</v>
      </c>
      <c r="F519" s="1"/>
      <c r="G519" s="1"/>
      <c r="H519" s="1"/>
      <c r="I519" s="59">
        <f t="shared" ref="I519:I525" si="96">SUM(F519:H519)</f>
        <v>0</v>
      </c>
      <c r="J519" s="1"/>
      <c r="K519" s="1"/>
      <c r="L519" s="1"/>
      <c r="M519" s="59">
        <f t="shared" ref="M519:M525" si="97">SUM(J519:L519)</f>
        <v>0</v>
      </c>
      <c r="N519" s="1"/>
      <c r="O519" s="1"/>
      <c r="P519" s="1"/>
      <c r="Q519" s="59">
        <f t="shared" ref="Q519:Q525" si="98">SUM(N519:P519)</f>
        <v>0</v>
      </c>
      <c r="R519" s="59">
        <f t="shared" ref="R519:R525" si="99">+E519+I519+M519+Q519</f>
        <v>0</v>
      </c>
      <c r="T519" s="4" t="s">
        <v>368</v>
      </c>
    </row>
    <row r="520" spans="1:20" ht="15.75" customHeight="1" x14ac:dyDescent="0.3">
      <c r="A520" s="74" t="s">
        <v>504</v>
      </c>
      <c r="B520" s="1"/>
      <c r="C520" s="1"/>
      <c r="D520" s="1"/>
      <c r="E520" s="59">
        <f>SUM(B520:D520)</f>
        <v>0</v>
      </c>
      <c r="F520" s="1"/>
      <c r="G520" s="1"/>
      <c r="H520" s="1"/>
      <c r="I520" s="59">
        <f>SUM(F520:H520)</f>
        <v>0</v>
      </c>
      <c r="J520" s="1"/>
      <c r="K520" s="1"/>
      <c r="L520" s="1"/>
      <c r="M520" s="59">
        <f>SUM(J520:L520)</f>
        <v>0</v>
      </c>
      <c r="N520" s="1"/>
      <c r="O520" s="1"/>
      <c r="P520" s="1"/>
      <c r="Q520" s="59">
        <f>SUM(N520:P520)</f>
        <v>0</v>
      </c>
      <c r="R520" s="59">
        <f>+E520+I520+M520+Q520</f>
        <v>0</v>
      </c>
      <c r="T520" s="4" t="s">
        <v>368</v>
      </c>
    </row>
    <row r="521" spans="1:20" ht="15.75" customHeight="1" thickBot="1" x14ac:dyDescent="0.35">
      <c r="A521" s="74" t="s">
        <v>506</v>
      </c>
      <c r="B521" s="1"/>
      <c r="C521" s="1"/>
      <c r="D521" s="1"/>
      <c r="E521" s="59">
        <f t="shared" si="95"/>
        <v>0</v>
      </c>
      <c r="F521" s="1"/>
      <c r="G521" s="1"/>
      <c r="H521" s="1"/>
      <c r="I521" s="59">
        <f t="shared" si="96"/>
        <v>0</v>
      </c>
      <c r="J521" s="1"/>
      <c r="K521" s="1"/>
      <c r="L521" s="1"/>
      <c r="M521" s="59">
        <f t="shared" si="97"/>
        <v>0</v>
      </c>
      <c r="N521" s="1"/>
      <c r="O521" s="1"/>
      <c r="P521" s="1"/>
      <c r="Q521" s="59">
        <f t="shared" si="98"/>
        <v>0</v>
      </c>
      <c r="R521" s="59">
        <f t="shared" si="99"/>
        <v>0</v>
      </c>
    </row>
    <row r="522" spans="1:20" ht="16.5" customHeight="1" thickBot="1" x14ac:dyDescent="0.35">
      <c r="A522" s="62" t="s">
        <v>68</v>
      </c>
      <c r="B522" s="63">
        <f>SUM(B516:B521)</f>
        <v>0</v>
      </c>
      <c r="C522" s="63">
        <f>SUM(C516:C521)</f>
        <v>0</v>
      </c>
      <c r="D522" s="63">
        <f>SUM(D516:D521)</f>
        <v>0</v>
      </c>
      <c r="E522" s="65">
        <f t="shared" si="95"/>
        <v>0</v>
      </c>
      <c r="F522" s="63">
        <f>SUM(F516:F521)</f>
        <v>0</v>
      </c>
      <c r="G522" s="63">
        <f>SUM(G516:G521)</f>
        <v>0</v>
      </c>
      <c r="H522" s="63">
        <f>SUM(H516:H521)</f>
        <v>0</v>
      </c>
      <c r="I522" s="65">
        <f t="shared" si="96"/>
        <v>0</v>
      </c>
      <c r="J522" s="63">
        <f>SUM(J516:J521)</f>
        <v>0</v>
      </c>
      <c r="K522" s="63">
        <f>SUM(K516:K521)</f>
        <v>0</v>
      </c>
      <c r="L522" s="63">
        <f>SUM(L516:L521)</f>
        <v>500</v>
      </c>
      <c r="M522" s="65">
        <f t="shared" si="97"/>
        <v>500</v>
      </c>
      <c r="N522" s="63">
        <f>SUM(N516:N521)</f>
        <v>0</v>
      </c>
      <c r="O522" s="63">
        <f>SUM(O516:O521)</f>
        <v>0</v>
      </c>
      <c r="P522" s="63">
        <f>SUM(P516:P521)</f>
        <v>0</v>
      </c>
      <c r="Q522" s="65">
        <f t="shared" si="98"/>
        <v>0</v>
      </c>
      <c r="R522" s="64">
        <f t="shared" si="99"/>
        <v>500</v>
      </c>
    </row>
    <row r="523" spans="1:20" ht="16.5" customHeight="1" thickBot="1" x14ac:dyDescent="0.35">
      <c r="A523" s="137" t="s">
        <v>69</v>
      </c>
      <c r="B523" s="100">
        <f>SUM(B513:B521)</f>
        <v>0</v>
      </c>
      <c r="C523" s="101">
        <f>SUM(C513:C521)</f>
        <v>0</v>
      </c>
      <c r="D523" s="138">
        <f>SUM(D513:D521)</f>
        <v>0</v>
      </c>
      <c r="E523" s="65">
        <f t="shared" si="95"/>
        <v>0</v>
      </c>
      <c r="F523" s="101">
        <f>SUM(F513:F521)</f>
        <v>0</v>
      </c>
      <c r="G523" s="101">
        <f>SUM(G513:G521)</f>
        <v>0</v>
      </c>
      <c r="H523" s="101">
        <f>SUM(H513:H521)</f>
        <v>0</v>
      </c>
      <c r="I523" s="65">
        <f t="shared" si="96"/>
        <v>0</v>
      </c>
      <c r="J523" s="101">
        <f>SUM(J513:J521)</f>
        <v>0</v>
      </c>
      <c r="K523" s="101">
        <f>SUM(K513:K521)</f>
        <v>0</v>
      </c>
      <c r="L523" s="101">
        <f>SUM(L513:L521)</f>
        <v>500</v>
      </c>
      <c r="M523" s="65">
        <f t="shared" si="97"/>
        <v>500</v>
      </c>
      <c r="N523" s="101">
        <f>SUM(N513:N521)</f>
        <v>0</v>
      </c>
      <c r="O523" s="101">
        <f>SUM(O513:O521)</f>
        <v>0</v>
      </c>
      <c r="P523" s="101">
        <f>SUM(P513:P521)</f>
        <v>0</v>
      </c>
      <c r="Q523" s="65">
        <f t="shared" si="98"/>
        <v>0</v>
      </c>
      <c r="R523" s="64">
        <f t="shared" si="99"/>
        <v>500</v>
      </c>
    </row>
    <row r="524" spans="1:20" ht="16.5" customHeight="1" thickBot="1" x14ac:dyDescent="0.35">
      <c r="A524" s="62" t="s">
        <v>70</v>
      </c>
      <c r="B524" s="107">
        <f>+B501+B507+B512+B523</f>
        <v>615</v>
      </c>
      <c r="C524" s="63">
        <f>+C501+C507+C512+C523</f>
        <v>375</v>
      </c>
      <c r="D524" s="63">
        <f>+D501+D507+D512+D523</f>
        <v>4350</v>
      </c>
      <c r="E524" s="64">
        <f t="shared" si="95"/>
        <v>5340</v>
      </c>
      <c r="F524" s="63">
        <f>+F501+F507+F512+F523</f>
        <v>3500</v>
      </c>
      <c r="G524" s="63">
        <f>+G501+G507+G512+G523</f>
        <v>3701</v>
      </c>
      <c r="H524" s="63">
        <f>+H501+H507+H512+H523</f>
        <v>5678</v>
      </c>
      <c r="I524" s="64">
        <f t="shared" si="96"/>
        <v>12879</v>
      </c>
      <c r="J524" s="63">
        <f>+J501+J507+J512+J523</f>
        <v>4857</v>
      </c>
      <c r="K524" s="63">
        <f>+K501+K507+K512+K523</f>
        <v>4324</v>
      </c>
      <c r="L524" s="63">
        <f>+L501+L507+L512+L523</f>
        <v>3100</v>
      </c>
      <c r="M524" s="64">
        <f t="shared" si="97"/>
        <v>12281</v>
      </c>
      <c r="N524" s="63">
        <f>+N501+N507+N512+N523</f>
        <v>595</v>
      </c>
      <c r="O524" s="63">
        <f>+O501+O507+O512+O523</f>
        <v>80</v>
      </c>
      <c r="P524" s="63">
        <f>+P501+P507+P512+P523</f>
        <v>85</v>
      </c>
      <c r="Q524" s="64">
        <f t="shared" si="98"/>
        <v>760</v>
      </c>
      <c r="R524" s="88">
        <f t="shared" si="99"/>
        <v>31260</v>
      </c>
    </row>
    <row r="525" spans="1:20" ht="16.5" customHeight="1" thickBot="1" x14ac:dyDescent="0.35">
      <c r="A525" s="40" t="s">
        <v>37</v>
      </c>
      <c r="B525" s="25">
        <v>23</v>
      </c>
      <c r="C525" s="25">
        <v>43</v>
      </c>
      <c r="D525" s="25">
        <v>66</v>
      </c>
      <c r="E525" s="88">
        <f t="shared" si="95"/>
        <v>132</v>
      </c>
      <c r="F525" s="25">
        <v>91</v>
      </c>
      <c r="G525" s="25">
        <v>108</v>
      </c>
      <c r="H525" s="25">
        <v>109</v>
      </c>
      <c r="I525" s="88">
        <f t="shared" si="96"/>
        <v>308</v>
      </c>
      <c r="J525" s="25">
        <v>104</v>
      </c>
      <c r="K525" s="25">
        <v>79</v>
      </c>
      <c r="L525" s="25">
        <v>80</v>
      </c>
      <c r="M525" s="88">
        <f t="shared" si="97"/>
        <v>263</v>
      </c>
      <c r="N525" s="25">
        <v>74</v>
      </c>
      <c r="O525" s="25">
        <v>58</v>
      </c>
      <c r="P525" s="25">
        <v>42</v>
      </c>
      <c r="Q525" s="88">
        <f t="shared" si="98"/>
        <v>174</v>
      </c>
      <c r="R525" s="59">
        <f t="shared" si="99"/>
        <v>877</v>
      </c>
    </row>
    <row r="526" spans="1:20" ht="16.5" customHeight="1" thickBot="1" x14ac:dyDescent="0.35">
      <c r="A526" s="42"/>
      <c r="B526" s="37"/>
      <c r="C526" s="37"/>
      <c r="D526" s="37"/>
      <c r="E526" s="43"/>
      <c r="F526" s="37"/>
      <c r="G526" s="37"/>
      <c r="H526" s="37"/>
      <c r="I526" s="147"/>
      <c r="J526" s="37"/>
      <c r="K526" s="37"/>
      <c r="L526" s="37"/>
      <c r="M526" s="147"/>
      <c r="N526" s="37"/>
      <c r="O526" s="37"/>
      <c r="P526" s="37"/>
      <c r="Q526" s="147"/>
      <c r="R526" s="43"/>
    </row>
    <row r="527" spans="1:20" ht="15.75" customHeight="1" x14ac:dyDescent="0.3">
      <c r="A527" s="17" t="s">
        <v>507</v>
      </c>
      <c r="B527" s="83">
        <f>SUM(B524:B525)</f>
        <v>638</v>
      </c>
      <c r="C527" s="83">
        <f>SUM(C524:C525)</f>
        <v>418</v>
      </c>
      <c r="D527" s="83">
        <f>SUM(D524:D525)</f>
        <v>4416</v>
      </c>
      <c r="E527" s="65">
        <f>SUM(B527:D527)</f>
        <v>5472</v>
      </c>
      <c r="F527" s="83">
        <f>SUM(F524:F525)</f>
        <v>3591</v>
      </c>
      <c r="G527" s="83">
        <f>SUM(G524:G525)</f>
        <v>3809</v>
      </c>
      <c r="H527" s="83">
        <f>SUM(H524:H525)</f>
        <v>5787</v>
      </c>
      <c r="I527" s="65">
        <f>SUM(F527:H527)</f>
        <v>13187</v>
      </c>
      <c r="J527" s="83">
        <f>SUM(J524:J525)</f>
        <v>4961</v>
      </c>
      <c r="K527" s="83">
        <f>SUM(K524:K525)</f>
        <v>4403</v>
      </c>
      <c r="L527" s="83">
        <f>SUM(L524:L525)</f>
        <v>3180</v>
      </c>
      <c r="M527" s="65">
        <f>SUM(J527:L527)</f>
        <v>12544</v>
      </c>
      <c r="N527" s="83">
        <f>SUM(N524:N525)</f>
        <v>669</v>
      </c>
      <c r="O527" s="83">
        <f>SUM(O524:O525)</f>
        <v>138</v>
      </c>
      <c r="P527" s="83">
        <f>SUM(P524:P525)</f>
        <v>127</v>
      </c>
      <c r="Q527" s="65">
        <f>SUM(N527:P527)</f>
        <v>934</v>
      </c>
      <c r="R527" s="65">
        <f>+E527+I527+M527+Q527</f>
        <v>32137</v>
      </c>
    </row>
    <row r="528" spans="1:20" ht="15.75" customHeight="1" x14ac:dyDescent="0.3">
      <c r="A528" s="17" t="s">
        <v>39</v>
      </c>
      <c r="B528" s="1">
        <f>(B527/B10)/1.983</f>
        <v>10.37854017210808</v>
      </c>
      <c r="C528" s="1">
        <f>(C527/C10)/1.983</f>
        <v>7.2686803345679651</v>
      </c>
      <c r="D528" s="1">
        <f>(D527/D10)/1.983</f>
        <v>71.836415987506697</v>
      </c>
      <c r="E528" s="59" t="s">
        <v>7</v>
      </c>
      <c r="F528" s="1">
        <f>(F527/F10)/1.983</f>
        <v>60.363086232980329</v>
      </c>
      <c r="G528" s="1">
        <f>(G527/G10)/1.983</f>
        <v>61.962162250093535</v>
      </c>
      <c r="H528" s="1">
        <f>(H527/H10)/1.983</f>
        <v>97.276853252647498</v>
      </c>
      <c r="I528" s="59" t="s">
        <v>7</v>
      </c>
      <c r="J528" s="1">
        <f>(J527/J10)/1.983</f>
        <v>80.702096855530073</v>
      </c>
      <c r="K528" s="1">
        <f>(K527/K10)/1.983</f>
        <v>71.624941031021748</v>
      </c>
      <c r="L528" s="1">
        <f>(L527/L10)/1.983</f>
        <v>53.454362077660107</v>
      </c>
      <c r="M528" s="59" t="s">
        <v>7</v>
      </c>
      <c r="N528" s="1">
        <f>(N527/N10)/1.983</f>
        <v>10.882826606802986</v>
      </c>
      <c r="O528" s="1">
        <f>(O527/O10)/1.983</f>
        <v>2.3197175995965704</v>
      </c>
      <c r="P528" s="1">
        <f>(P527/P10)/1.983</f>
        <v>2.0659476518146178</v>
      </c>
      <c r="Q528" s="59" t="s">
        <v>7</v>
      </c>
      <c r="R528" s="59" t="s">
        <v>7</v>
      </c>
    </row>
    <row r="529" spans="1:20" ht="15.75" customHeight="1" x14ac:dyDescent="0.3">
      <c r="A529" s="17" t="s">
        <v>508</v>
      </c>
      <c r="B529" s="1">
        <f>B527+B584</f>
        <v>19461</v>
      </c>
      <c r="C529" s="1">
        <f>C527+C584</f>
        <v>21041</v>
      </c>
      <c r="D529" s="1">
        <f>D527+D584</f>
        <v>27544</v>
      </c>
      <c r="E529" s="59">
        <f>SUM(B529:D529)</f>
        <v>68046</v>
      </c>
      <c r="F529" s="1">
        <f>F527+F584</f>
        <v>28123</v>
      </c>
      <c r="G529" s="1">
        <f>G527+G584</f>
        <v>24510</v>
      </c>
      <c r="H529" s="1">
        <f>H527+H584</f>
        <v>28358</v>
      </c>
      <c r="I529" s="59">
        <f>SUM(F529:H529)</f>
        <v>80991</v>
      </c>
      <c r="J529" s="1">
        <f>J527+J584</f>
        <v>31768</v>
      </c>
      <c r="K529" s="1">
        <f>K527+K584</f>
        <v>27875</v>
      </c>
      <c r="L529" s="1">
        <f>L527+L584</f>
        <v>22766</v>
      </c>
      <c r="M529" s="59">
        <f>SUM(J529:L529)</f>
        <v>82409</v>
      </c>
      <c r="N529" s="1">
        <f>N527+N584</f>
        <v>10312</v>
      </c>
      <c r="O529" s="1">
        <f>O527+O584</f>
        <v>7868</v>
      </c>
      <c r="P529" s="1">
        <f>P527+P584</f>
        <v>15536</v>
      </c>
      <c r="Q529" s="59">
        <f>SUM(N529:P529)</f>
        <v>33716</v>
      </c>
      <c r="R529" s="59">
        <f>+E529+I529+M529+Q529</f>
        <v>265162</v>
      </c>
    </row>
    <row r="530" spans="1:20" ht="16.5" customHeight="1" thickBot="1" x14ac:dyDescent="0.35">
      <c r="A530" s="24" t="s">
        <v>509</v>
      </c>
      <c r="B530" s="87">
        <f>(B529/B10)/1.983</f>
        <v>316.57800985798639</v>
      </c>
      <c r="C530" s="87">
        <f>(C529/C10)/1.983</f>
        <v>365.88589215225971</v>
      </c>
      <c r="D530" s="87">
        <f>(D529/D10)/1.983</f>
        <v>448.0666308785971</v>
      </c>
      <c r="E530" s="88" t="s">
        <v>7</v>
      </c>
      <c r="F530" s="87">
        <f>(F529/F10)/1.983</f>
        <v>472.73491343082867</v>
      </c>
      <c r="G530" s="87">
        <f>(G529/G10)/1.983</f>
        <v>398.7116294958762</v>
      </c>
      <c r="H530" s="87">
        <f>(H529/H10)/1.983</f>
        <v>476.68515716927209</v>
      </c>
      <c r="I530" s="88" t="s">
        <v>7</v>
      </c>
      <c r="J530" s="87">
        <f>(J529/J10)/1.983</f>
        <v>516.77972443186434</v>
      </c>
      <c r="K530" s="87">
        <f>(K529/K10)/1.983</f>
        <v>453.45110861679109</v>
      </c>
      <c r="L530" s="87">
        <f>(L529/L10)/1.983</f>
        <v>382.6861657421415</v>
      </c>
      <c r="M530" s="88" t="s">
        <v>7</v>
      </c>
      <c r="N530" s="87">
        <f>(N529/N10)/1.983</f>
        <v>167.74844240560896</v>
      </c>
      <c r="O530" s="87">
        <f>(O529/O10)/1.983</f>
        <v>132.25752227265085</v>
      </c>
      <c r="P530" s="87">
        <f>(P529/P10)/1.983</f>
        <v>252.72884030387326</v>
      </c>
      <c r="Q530" s="88" t="s">
        <v>7</v>
      </c>
      <c r="R530" s="88" t="s">
        <v>7</v>
      </c>
    </row>
    <row r="531" spans="1:20" ht="15.75" customHeight="1" x14ac:dyDescent="0.3">
      <c r="A531" s="28"/>
      <c r="B531" s="1"/>
      <c r="C531" s="1"/>
      <c r="D531" s="1"/>
      <c r="E531" s="1"/>
      <c r="F531" s="1"/>
      <c r="G531" s="1"/>
      <c r="H531" s="1"/>
      <c r="I531" s="1"/>
      <c r="J531" s="1"/>
      <c r="K531" s="1"/>
      <c r="L531" s="1"/>
      <c r="M531" s="1"/>
      <c r="N531" s="1"/>
      <c r="O531" s="1"/>
      <c r="P531" s="1"/>
      <c r="Q531" s="1"/>
      <c r="R531" s="28"/>
    </row>
    <row r="532" spans="1:20" ht="15.75" customHeight="1" thickBot="1" x14ac:dyDescent="0.35">
      <c r="A532" s="28"/>
      <c r="B532" s="1"/>
      <c r="C532" s="1"/>
      <c r="D532" s="1"/>
      <c r="E532" s="1"/>
      <c r="F532" s="1"/>
      <c r="G532" s="1"/>
      <c r="H532" s="1"/>
      <c r="I532" s="1"/>
      <c r="J532" s="1"/>
      <c r="K532" s="1"/>
      <c r="L532" s="1"/>
      <c r="M532" s="1"/>
      <c r="N532" s="1"/>
      <c r="O532" s="1"/>
      <c r="P532" s="1"/>
      <c r="Q532" s="1"/>
      <c r="R532" s="28"/>
    </row>
    <row r="533" spans="1:20" ht="16.5" customHeight="1" thickBot="1" x14ac:dyDescent="0.35">
      <c r="A533" s="145" t="s">
        <v>510</v>
      </c>
      <c r="B533" s="32" t="s">
        <v>36</v>
      </c>
      <c r="C533" s="33" t="s">
        <v>9</v>
      </c>
      <c r="D533" s="33" t="s">
        <v>10</v>
      </c>
      <c r="E533" s="12" t="s">
        <v>11</v>
      </c>
      <c r="F533" s="33" t="s">
        <v>12</v>
      </c>
      <c r="G533" s="33" t="s">
        <v>13</v>
      </c>
      <c r="H533" s="33" t="s">
        <v>14</v>
      </c>
      <c r="I533" s="34" t="s">
        <v>15</v>
      </c>
      <c r="J533" s="33" t="s">
        <v>16</v>
      </c>
      <c r="K533" s="33" t="s">
        <v>17</v>
      </c>
      <c r="L533" s="33" t="s">
        <v>18</v>
      </c>
      <c r="M533" s="34" t="s">
        <v>19</v>
      </c>
      <c r="N533" s="33" t="s">
        <v>20</v>
      </c>
      <c r="O533" s="33" t="s">
        <v>21</v>
      </c>
      <c r="P533" s="33" t="s">
        <v>22</v>
      </c>
      <c r="Q533" s="34" t="s">
        <v>23</v>
      </c>
      <c r="R533" s="35" t="s">
        <v>24</v>
      </c>
    </row>
    <row r="534" spans="1:20" ht="16.5" customHeight="1" thickBot="1" x14ac:dyDescent="0.35">
      <c r="A534" s="64"/>
      <c r="B534" s="81"/>
      <c r="C534" s="81"/>
      <c r="D534" s="81"/>
      <c r="E534" s="72"/>
      <c r="F534" s="81"/>
      <c r="G534" s="81"/>
      <c r="H534" s="81"/>
      <c r="I534" s="89"/>
      <c r="J534" s="81"/>
      <c r="K534" s="81"/>
      <c r="L534" s="81"/>
      <c r="M534" s="89"/>
      <c r="N534" s="81"/>
      <c r="O534" s="81"/>
      <c r="P534" s="81"/>
      <c r="Q534" s="89"/>
      <c r="R534" s="117"/>
    </row>
    <row r="535" spans="1:20" ht="15.75" customHeight="1" x14ac:dyDescent="0.3">
      <c r="A535" s="17" t="s">
        <v>45</v>
      </c>
      <c r="B535" s="1" t="s">
        <v>7</v>
      </c>
      <c r="C535" s="1" t="s">
        <v>7</v>
      </c>
      <c r="D535" s="1" t="s">
        <v>7</v>
      </c>
      <c r="E535" s="59" t="s">
        <v>7</v>
      </c>
      <c r="F535" s="1" t="s">
        <v>7</v>
      </c>
      <c r="G535" s="1" t="s">
        <v>7</v>
      </c>
      <c r="H535" s="1" t="s">
        <v>7</v>
      </c>
      <c r="I535" s="59" t="s">
        <v>7</v>
      </c>
      <c r="J535" s="1" t="s">
        <v>7</v>
      </c>
      <c r="K535" s="1" t="s">
        <v>7</v>
      </c>
      <c r="L535" s="1" t="s">
        <v>7</v>
      </c>
      <c r="M535" s="59" t="s">
        <v>7</v>
      </c>
      <c r="N535" s="1" t="s">
        <v>7</v>
      </c>
      <c r="O535" s="1" t="s">
        <v>7</v>
      </c>
      <c r="P535" s="1" t="s">
        <v>7</v>
      </c>
      <c r="Q535" s="59" t="s">
        <v>7</v>
      </c>
      <c r="R535" s="59" t="s">
        <v>7</v>
      </c>
    </row>
    <row r="536" spans="1:20" ht="15.75" customHeight="1" x14ac:dyDescent="0.3">
      <c r="A536" s="17" t="s">
        <v>46</v>
      </c>
      <c r="B536" s="1"/>
      <c r="C536" s="1"/>
      <c r="D536" s="1"/>
      <c r="E536" s="59" t="s">
        <v>7</v>
      </c>
      <c r="F536" s="1"/>
      <c r="G536" s="1"/>
      <c r="H536" s="1"/>
      <c r="I536" s="59" t="s">
        <v>7</v>
      </c>
      <c r="J536" s="1"/>
      <c r="K536" s="1"/>
      <c r="L536" s="1"/>
      <c r="M536" s="59" t="s">
        <v>7</v>
      </c>
      <c r="N536" s="1"/>
      <c r="O536" s="1"/>
      <c r="P536" s="1"/>
      <c r="Q536" s="59" t="s">
        <v>7</v>
      </c>
      <c r="R536" s="59" t="s">
        <v>7</v>
      </c>
    </row>
    <row r="537" spans="1:20" ht="15.75" customHeight="1" x14ac:dyDescent="0.3">
      <c r="A537" s="74" t="s">
        <v>511</v>
      </c>
      <c r="B537" s="1">
        <v>500</v>
      </c>
      <c r="C537" s="1">
        <v>500</v>
      </c>
      <c r="D537" s="1">
        <v>500</v>
      </c>
      <c r="E537" s="59">
        <f t="shared" ref="E537:E545" si="100">SUM(B537:D537)</f>
        <v>1500</v>
      </c>
      <c r="F537" s="1">
        <v>500</v>
      </c>
      <c r="G537" s="1">
        <v>500</v>
      </c>
      <c r="H537" s="1">
        <v>500</v>
      </c>
      <c r="I537" s="59">
        <f t="shared" ref="I537:I545" si="101">SUM(F537:H537)</f>
        <v>1500</v>
      </c>
      <c r="J537" s="1">
        <v>500</v>
      </c>
      <c r="K537" s="1">
        <v>450</v>
      </c>
      <c r="L537" s="1"/>
      <c r="M537" s="59">
        <f t="shared" ref="M537:M545" si="102">SUM(J537:L537)</f>
        <v>950</v>
      </c>
      <c r="N537" s="1"/>
      <c r="O537" s="1"/>
      <c r="P537" s="1"/>
      <c r="Q537" s="59">
        <f t="shared" ref="Q537:Q545" si="103">SUM(N537:P537)</f>
        <v>0</v>
      </c>
      <c r="R537" s="59">
        <f t="shared" ref="R537:R545" si="104">+E537+I537+M537+Q537</f>
        <v>3950</v>
      </c>
    </row>
    <row r="538" spans="1:20" ht="15.75" customHeight="1" x14ac:dyDescent="0.3">
      <c r="A538" s="74" t="s">
        <v>512</v>
      </c>
      <c r="B538" s="1"/>
      <c r="C538" s="1">
        <v>500</v>
      </c>
      <c r="D538" s="1">
        <v>600</v>
      </c>
      <c r="E538" s="59">
        <f>SUM(B538:D538)</f>
        <v>1100</v>
      </c>
      <c r="F538" s="1">
        <v>500</v>
      </c>
      <c r="G538" s="1">
        <v>400</v>
      </c>
      <c r="H538" s="1">
        <v>300</v>
      </c>
      <c r="I538" s="59">
        <f>SUM(F538:H538)</f>
        <v>1200</v>
      </c>
      <c r="J538" s="1">
        <v>100</v>
      </c>
      <c r="K538" s="1"/>
      <c r="L538" s="1"/>
      <c r="M538" s="59">
        <f>SUM(J538:L538)</f>
        <v>100</v>
      </c>
      <c r="N538" s="1"/>
      <c r="O538" s="1"/>
      <c r="P538" s="1"/>
      <c r="Q538" s="59">
        <f>SUM(N538:P538)</f>
        <v>0</v>
      </c>
      <c r="R538" s="59">
        <f>+E538+I538+M538+Q538</f>
        <v>2400</v>
      </c>
    </row>
    <row r="539" spans="1:20" ht="15.75" customHeight="1" x14ac:dyDescent="0.3">
      <c r="A539" s="74" t="s">
        <v>513</v>
      </c>
      <c r="B539" s="1"/>
      <c r="C539" s="1">
        <v>600</v>
      </c>
      <c r="D539" s="1">
        <v>600</v>
      </c>
      <c r="E539" s="59">
        <f t="shared" si="100"/>
        <v>1200</v>
      </c>
      <c r="F539" s="1">
        <v>1100</v>
      </c>
      <c r="G539" s="1">
        <v>500</v>
      </c>
      <c r="H539" s="1">
        <v>550</v>
      </c>
      <c r="I539" s="59">
        <f t="shared" si="101"/>
        <v>2150</v>
      </c>
      <c r="J539" s="1">
        <v>1062</v>
      </c>
      <c r="K539" s="1"/>
      <c r="L539" s="1"/>
      <c r="M539" s="59">
        <f t="shared" si="102"/>
        <v>1062</v>
      </c>
      <c r="N539" s="1"/>
      <c r="O539" s="1"/>
      <c r="P539" s="1"/>
      <c r="Q539" s="59">
        <f t="shared" si="103"/>
        <v>0</v>
      </c>
      <c r="R539" s="59">
        <f t="shared" si="104"/>
        <v>4412</v>
      </c>
      <c r="T539" s="4" t="s">
        <v>514</v>
      </c>
    </row>
    <row r="540" spans="1:20" ht="15.75" customHeight="1" x14ac:dyDescent="0.3">
      <c r="A540" s="74" t="s">
        <v>515</v>
      </c>
      <c r="B540" s="1"/>
      <c r="C540" s="1"/>
      <c r="D540" s="1"/>
      <c r="E540" s="59">
        <f>SUM(B540:D540)</f>
        <v>0</v>
      </c>
      <c r="F540" s="1"/>
      <c r="G540" s="1"/>
      <c r="H540" s="1"/>
      <c r="I540" s="59">
        <f>SUM(F540:H540)</f>
        <v>0</v>
      </c>
      <c r="J540" s="1"/>
      <c r="K540" s="1"/>
      <c r="L540" s="1"/>
      <c r="M540" s="59">
        <f>SUM(J540:L540)</f>
        <v>0</v>
      </c>
      <c r="N540" s="1"/>
      <c r="O540" s="1"/>
      <c r="P540" s="1"/>
      <c r="Q540" s="59">
        <f>SUM(N540:P540)</f>
        <v>0</v>
      </c>
      <c r="R540" s="59">
        <f>+E540+I540+M540+Q540</f>
        <v>0</v>
      </c>
      <c r="T540" s="4" t="s">
        <v>516</v>
      </c>
    </row>
    <row r="541" spans="1:20" ht="15.75" customHeight="1" x14ac:dyDescent="0.3">
      <c r="A541" s="74" t="s">
        <v>517</v>
      </c>
      <c r="B541" s="1"/>
      <c r="C541" s="1"/>
      <c r="D541" s="1"/>
      <c r="E541" s="59">
        <f t="shared" si="100"/>
        <v>0</v>
      </c>
      <c r="F541" s="1"/>
      <c r="G541" s="1"/>
      <c r="H541" s="1"/>
      <c r="I541" s="59">
        <f t="shared" si="101"/>
        <v>0</v>
      </c>
      <c r="J541" s="1">
        <v>1000</v>
      </c>
      <c r="K541" s="1">
        <v>2005</v>
      </c>
      <c r="L541" s="1"/>
      <c r="M541" s="59">
        <f t="shared" si="102"/>
        <v>3005</v>
      </c>
      <c r="N541" s="1"/>
      <c r="O541" s="1"/>
      <c r="P541" s="1"/>
      <c r="Q541" s="59">
        <f t="shared" si="103"/>
        <v>0</v>
      </c>
      <c r="R541" s="59">
        <f t="shared" si="104"/>
        <v>3005</v>
      </c>
      <c r="T541" s="4" t="s">
        <v>516</v>
      </c>
    </row>
    <row r="542" spans="1:20" ht="15.75" customHeight="1" x14ac:dyDescent="0.3">
      <c r="A542" s="74" t="s">
        <v>518</v>
      </c>
      <c r="B542" s="1">
        <v>150</v>
      </c>
      <c r="C542" s="1">
        <v>150</v>
      </c>
      <c r="D542" s="1">
        <v>150</v>
      </c>
      <c r="E542" s="59">
        <f>SUM(B542:D542)</f>
        <v>450</v>
      </c>
      <c r="F542" s="1">
        <v>150</v>
      </c>
      <c r="G542" s="1">
        <v>150</v>
      </c>
      <c r="H542" s="1">
        <v>150</v>
      </c>
      <c r="I542" s="59">
        <f>SUM(F542:H542)</f>
        <v>450</v>
      </c>
      <c r="J542" s="1">
        <v>150</v>
      </c>
      <c r="K542" s="1">
        <v>200</v>
      </c>
      <c r="L542" s="1">
        <v>250</v>
      </c>
      <c r="M542" s="59">
        <f>SUM(J542:L542)</f>
        <v>600</v>
      </c>
      <c r="N542" s="1"/>
      <c r="O542" s="1"/>
      <c r="P542" s="1"/>
      <c r="Q542" s="59">
        <f>SUM(N542:P542)</f>
        <v>0</v>
      </c>
      <c r="R542" s="59">
        <f t="shared" si="104"/>
        <v>1500</v>
      </c>
    </row>
    <row r="543" spans="1:20" ht="15.75" customHeight="1" x14ac:dyDescent="0.3">
      <c r="A543" s="74" t="s">
        <v>519</v>
      </c>
      <c r="B543" s="1"/>
      <c r="C543" s="1"/>
      <c r="D543" s="1"/>
      <c r="E543" s="59">
        <f t="shared" si="100"/>
        <v>0</v>
      </c>
      <c r="F543" s="1"/>
      <c r="G543" s="1"/>
      <c r="H543" s="1"/>
      <c r="I543" s="59">
        <f t="shared" si="101"/>
        <v>0</v>
      </c>
      <c r="J543" s="1">
        <v>2800</v>
      </c>
      <c r="K543" s="1"/>
      <c r="L543" s="1"/>
      <c r="M543" s="59">
        <f t="shared" si="102"/>
        <v>2800</v>
      </c>
      <c r="N543" s="1"/>
      <c r="O543" s="1"/>
      <c r="P543" s="1"/>
      <c r="Q543" s="59">
        <f t="shared" si="103"/>
        <v>0</v>
      </c>
      <c r="R543" s="59">
        <f t="shared" si="104"/>
        <v>2800</v>
      </c>
      <c r="T543" s="4" t="s">
        <v>516</v>
      </c>
    </row>
    <row r="544" spans="1:20" ht="15.75" customHeight="1" x14ac:dyDescent="0.3">
      <c r="A544" s="74" t="s">
        <v>520</v>
      </c>
      <c r="B544" s="1"/>
      <c r="C544" s="1"/>
      <c r="D544" s="1">
        <v>300</v>
      </c>
      <c r="E544" s="59">
        <f t="shared" si="100"/>
        <v>300</v>
      </c>
      <c r="F544" s="1">
        <v>500</v>
      </c>
      <c r="G544" s="1">
        <v>400</v>
      </c>
      <c r="H544" s="1">
        <v>200</v>
      </c>
      <c r="I544" s="59">
        <f t="shared" si="101"/>
        <v>1100</v>
      </c>
      <c r="J544" s="1">
        <v>128</v>
      </c>
      <c r="K544" s="1"/>
      <c r="L544" s="1"/>
      <c r="M544" s="59">
        <f t="shared" si="102"/>
        <v>128</v>
      </c>
      <c r="N544" s="1"/>
      <c r="O544" s="1"/>
      <c r="P544" s="1"/>
      <c r="Q544" s="59">
        <f>SUM(N544:P544)</f>
        <v>0</v>
      </c>
      <c r="R544" s="59">
        <f>+E544+I544+M544+Q544</f>
        <v>1528</v>
      </c>
    </row>
    <row r="545" spans="1:20" ht="15.75" customHeight="1" x14ac:dyDescent="0.3">
      <c r="A545" s="74" t="s">
        <v>521</v>
      </c>
      <c r="B545" s="1"/>
      <c r="C545" s="1"/>
      <c r="D545" s="1"/>
      <c r="E545" s="59">
        <f t="shared" si="100"/>
        <v>0</v>
      </c>
      <c r="F545" s="1"/>
      <c r="G545" s="1"/>
      <c r="H545" s="1"/>
      <c r="I545" s="59">
        <f t="shared" si="101"/>
        <v>0</v>
      </c>
      <c r="J545" s="1"/>
      <c r="K545" s="1"/>
      <c r="L545" s="1"/>
      <c r="M545" s="59">
        <f t="shared" si="102"/>
        <v>0</v>
      </c>
      <c r="N545" s="1"/>
      <c r="O545" s="1"/>
      <c r="P545" s="1"/>
      <c r="Q545" s="59">
        <f t="shared" si="103"/>
        <v>0</v>
      </c>
      <c r="R545" s="59">
        <f t="shared" si="104"/>
        <v>0</v>
      </c>
      <c r="T545" s="4" t="s">
        <v>516</v>
      </c>
    </row>
    <row r="546" spans="1:20" ht="15.75" customHeight="1" x14ac:dyDescent="0.3">
      <c r="A546" s="74" t="s">
        <v>895</v>
      </c>
      <c r="B546" s="1"/>
      <c r="C546" s="1">
        <v>500</v>
      </c>
      <c r="D546" s="1">
        <v>250</v>
      </c>
      <c r="E546" s="59">
        <f>SUM(B546:D546)</f>
        <v>750</v>
      </c>
      <c r="F546" s="1">
        <v>1100</v>
      </c>
      <c r="G546" s="1">
        <v>340</v>
      </c>
      <c r="H546" s="1">
        <v>297</v>
      </c>
      <c r="I546" s="59">
        <f>SUM(F546:H546)</f>
        <v>1737</v>
      </c>
      <c r="J546" s="1">
        <v>500</v>
      </c>
      <c r="K546" s="1"/>
      <c r="L546" s="1"/>
      <c r="M546" s="59">
        <f>SUM(J546:L546)</f>
        <v>500</v>
      </c>
      <c r="N546" s="1"/>
      <c r="O546" s="1"/>
      <c r="P546" s="1"/>
      <c r="Q546" s="59">
        <f>SUM(N546:P546)</f>
        <v>0</v>
      </c>
      <c r="R546" s="59">
        <f>+E546+I546+M546+Q546</f>
        <v>2987</v>
      </c>
      <c r="T546" s="4" t="s">
        <v>514</v>
      </c>
    </row>
    <row r="547" spans="1:20" ht="15.75" customHeight="1" x14ac:dyDescent="0.3">
      <c r="A547" s="17" t="s">
        <v>47</v>
      </c>
      <c r="B547" s="1"/>
      <c r="C547" s="1"/>
      <c r="D547" s="1"/>
      <c r="E547" s="59" t="s">
        <v>7</v>
      </c>
      <c r="F547" s="1"/>
      <c r="G547" s="1"/>
      <c r="H547" s="1"/>
      <c r="I547" s="59" t="s">
        <v>7</v>
      </c>
      <c r="J547" s="1"/>
      <c r="K547" s="1"/>
      <c r="L547" s="1"/>
      <c r="M547" s="59" t="s">
        <v>7</v>
      </c>
      <c r="N547" s="1"/>
      <c r="O547" s="1"/>
      <c r="P547" s="1"/>
      <c r="Q547" s="59" t="s">
        <v>7</v>
      </c>
      <c r="R547" s="59" t="s">
        <v>7</v>
      </c>
    </row>
    <row r="548" spans="1:20" ht="15.75" customHeight="1" x14ac:dyDescent="0.3">
      <c r="A548" s="74" t="s">
        <v>521</v>
      </c>
      <c r="B548" s="1"/>
      <c r="C548" s="1"/>
      <c r="D548" s="1"/>
      <c r="E548" s="59">
        <f>SUM(B548:D548)</f>
        <v>0</v>
      </c>
      <c r="F548" s="1"/>
      <c r="G548" s="1"/>
      <c r="H548" s="1"/>
      <c r="I548" s="59">
        <f>SUM(F548:H548)</f>
        <v>0</v>
      </c>
      <c r="J548" s="1"/>
      <c r="K548" s="1"/>
      <c r="L548" s="1"/>
      <c r="M548" s="59">
        <f>SUM(J548:L548)</f>
        <v>0</v>
      </c>
      <c r="N548" s="1"/>
      <c r="O548" s="1"/>
      <c r="P548" s="1"/>
      <c r="Q548" s="59">
        <f>SUM(N548:P548)</f>
        <v>0</v>
      </c>
      <c r="R548" s="59">
        <f>+E548+I548+M548+Q548</f>
        <v>0</v>
      </c>
      <c r="T548" s="4" t="s">
        <v>516</v>
      </c>
    </row>
    <row r="549" spans="1:20" ht="15.75" customHeight="1" x14ac:dyDescent="0.3">
      <c r="A549" s="17" t="s">
        <v>898</v>
      </c>
      <c r="B549" s="1"/>
      <c r="C549" s="1"/>
      <c r="D549" s="1"/>
      <c r="E549" s="59" t="s">
        <v>7</v>
      </c>
      <c r="F549" s="1"/>
      <c r="G549" s="1"/>
      <c r="H549" s="1"/>
      <c r="I549" s="59" t="s">
        <v>7</v>
      </c>
      <c r="J549" s="1"/>
      <c r="K549" s="1"/>
      <c r="L549" s="1"/>
      <c r="M549" s="59" t="s">
        <v>7</v>
      </c>
      <c r="N549" s="1"/>
      <c r="O549" s="1"/>
      <c r="P549" s="1"/>
      <c r="Q549" s="59" t="s">
        <v>7</v>
      </c>
      <c r="R549" s="59" t="s">
        <v>7</v>
      </c>
    </row>
    <row r="550" spans="1:20" ht="15.75" customHeight="1" x14ac:dyDescent="0.3">
      <c r="A550" s="74" t="s">
        <v>923</v>
      </c>
      <c r="B550" s="1"/>
      <c r="C550" s="1"/>
      <c r="D550" s="1"/>
      <c r="E550" s="59">
        <f>SUM(B550:D550)</f>
        <v>0</v>
      </c>
      <c r="F550" s="1"/>
      <c r="G550" s="1"/>
      <c r="H550" s="1"/>
      <c r="I550" s="59">
        <f>SUM(F550:H550)</f>
        <v>0</v>
      </c>
      <c r="J550" s="1"/>
      <c r="K550" s="1"/>
      <c r="L550" s="1"/>
      <c r="M550" s="59">
        <f>SUM(J550:L550)</f>
        <v>0</v>
      </c>
      <c r="N550" s="1">
        <v>1000</v>
      </c>
      <c r="O550" s="1"/>
      <c r="P550" s="1"/>
      <c r="Q550" s="59">
        <f>SUM(N550:P550)</f>
        <v>1000</v>
      </c>
      <c r="R550" s="59">
        <f>+E550+I550+M550+Q550</f>
        <v>1000</v>
      </c>
      <c r="T550" s="4" t="s">
        <v>516</v>
      </c>
    </row>
    <row r="551" spans="1:20" ht="15.75" customHeight="1" thickBot="1" x14ac:dyDescent="0.35">
      <c r="A551" s="17" t="s">
        <v>51</v>
      </c>
      <c r="B551" s="1"/>
      <c r="C551" s="1"/>
      <c r="D551" s="1"/>
      <c r="E551" s="59" t="s">
        <v>7</v>
      </c>
      <c r="F551" s="1"/>
      <c r="G551" s="1"/>
      <c r="H551" s="1"/>
      <c r="I551" s="59" t="s">
        <v>7</v>
      </c>
      <c r="J551" s="1"/>
      <c r="K551" s="1"/>
      <c r="L551" s="1"/>
      <c r="M551" s="59" t="s">
        <v>7</v>
      </c>
      <c r="N551" s="1"/>
      <c r="O551" s="1"/>
      <c r="P551" s="1"/>
      <c r="Q551" s="59" t="s">
        <v>7</v>
      </c>
      <c r="R551" s="59" t="s">
        <v>7</v>
      </c>
    </row>
    <row r="552" spans="1:20" ht="16.5" customHeight="1" thickBot="1" x14ac:dyDescent="0.35">
      <c r="A552" s="126" t="s">
        <v>52</v>
      </c>
      <c r="B552" s="100">
        <f>SUM(B535:B551)</f>
        <v>650</v>
      </c>
      <c r="C552" s="101">
        <f>SUM(C535:C551)</f>
        <v>2250</v>
      </c>
      <c r="D552" s="101">
        <f>SUM(D535:D551)</f>
        <v>2400</v>
      </c>
      <c r="E552" s="64">
        <f>SUM(B552:D552)</f>
        <v>5300</v>
      </c>
      <c r="F552" s="101">
        <f>SUM(F535:F551)</f>
        <v>3850</v>
      </c>
      <c r="G552" s="101">
        <f>SUM(G535:G551)</f>
        <v>2290</v>
      </c>
      <c r="H552" s="101">
        <f>SUM(H535:H551)</f>
        <v>1997</v>
      </c>
      <c r="I552" s="64">
        <f>SUM(F552:H552)</f>
        <v>8137</v>
      </c>
      <c r="J552" s="101">
        <f>SUM(J535:J551)</f>
        <v>6240</v>
      </c>
      <c r="K552" s="101">
        <f>SUM(K535:K551)</f>
        <v>2655</v>
      </c>
      <c r="L552" s="101">
        <f>SUM(L535:L551)</f>
        <v>250</v>
      </c>
      <c r="M552" s="64">
        <f>SUM(J552:L552)</f>
        <v>9145</v>
      </c>
      <c r="N552" s="101">
        <f>SUM(N535:N551)</f>
        <v>1000</v>
      </c>
      <c r="O552" s="101">
        <f>SUM(O535:O551)</f>
        <v>0</v>
      </c>
      <c r="P552" s="101">
        <f>SUM(P535:P551)</f>
        <v>0</v>
      </c>
      <c r="Q552" s="64">
        <f>SUM(N552:P552)</f>
        <v>1000</v>
      </c>
      <c r="R552" s="64">
        <f>+E552+I552+M552+Q552</f>
        <v>23582</v>
      </c>
    </row>
    <row r="553" spans="1:20" ht="15.75" customHeight="1" x14ac:dyDescent="0.3">
      <c r="A553" s="17" t="s">
        <v>53</v>
      </c>
      <c r="B553" s="1"/>
      <c r="C553" s="1"/>
      <c r="D553" s="1"/>
      <c r="E553" s="59" t="s">
        <v>7</v>
      </c>
      <c r="F553" s="1"/>
      <c r="G553" s="1"/>
      <c r="H553" s="1"/>
      <c r="I553" s="59" t="s">
        <v>7</v>
      </c>
      <c r="J553" s="1"/>
      <c r="K553" s="1"/>
      <c r="L553" s="1"/>
      <c r="M553" s="59" t="s">
        <v>7</v>
      </c>
      <c r="N553" s="1"/>
      <c r="O553" s="1"/>
      <c r="P553" s="1"/>
      <c r="Q553" s="59" t="s">
        <v>7</v>
      </c>
      <c r="R553" s="59" t="s">
        <v>7</v>
      </c>
    </row>
    <row r="554" spans="1:20" ht="15.75" customHeight="1" x14ac:dyDescent="0.3">
      <c r="A554" s="17" t="s">
        <v>55</v>
      </c>
      <c r="B554" s="1"/>
      <c r="C554" s="1"/>
      <c r="D554" s="1"/>
      <c r="E554" s="59" t="s">
        <v>7</v>
      </c>
      <c r="F554" s="1"/>
      <c r="G554" s="1"/>
      <c r="H554" s="1"/>
      <c r="I554" s="59" t="s">
        <v>7</v>
      </c>
      <c r="J554" s="1"/>
      <c r="K554" s="1"/>
      <c r="L554" s="1"/>
      <c r="M554" s="59" t="s">
        <v>7</v>
      </c>
      <c r="N554" s="1"/>
      <c r="O554" s="1"/>
      <c r="P554" s="1"/>
      <c r="Q554" s="59" t="s">
        <v>7</v>
      </c>
      <c r="R554" s="59" t="s">
        <v>7</v>
      </c>
    </row>
    <row r="555" spans="1:20" ht="15.75" customHeight="1" x14ac:dyDescent="0.3">
      <c r="A555" s="74" t="s">
        <v>526</v>
      </c>
      <c r="B555" s="1"/>
      <c r="C555" s="1"/>
      <c r="D555" s="1"/>
      <c r="E555" s="59">
        <f>SUM(B555:D555)</f>
        <v>0</v>
      </c>
      <c r="F555" s="1"/>
      <c r="G555" s="1"/>
      <c r="H555" s="1"/>
      <c r="I555" s="59">
        <f>SUM(F555:H555)</f>
        <v>0</v>
      </c>
      <c r="J555" s="1"/>
      <c r="K555" s="1"/>
      <c r="L555" s="1"/>
      <c r="M555" s="59">
        <f>SUM(J555:L555)</f>
        <v>0</v>
      </c>
      <c r="N555" s="1"/>
      <c r="O555" s="1"/>
      <c r="P555" s="1"/>
      <c r="Q555" s="59">
        <f>SUM(N555:P555)</f>
        <v>0</v>
      </c>
      <c r="R555" s="59">
        <f>+E555+I555+M555+Q555</f>
        <v>0</v>
      </c>
    </row>
    <row r="556" spans="1:20" ht="15.75" customHeight="1" x14ac:dyDescent="0.3">
      <c r="A556" s="74" t="s">
        <v>527</v>
      </c>
      <c r="B556" s="1"/>
      <c r="C556" s="1"/>
      <c r="D556" s="1"/>
      <c r="E556" s="59">
        <f>SUM(B556:D556)</f>
        <v>0</v>
      </c>
      <c r="F556" s="1"/>
      <c r="G556" s="1"/>
      <c r="H556" s="1"/>
      <c r="I556" s="59">
        <f>SUM(F556:H556)</f>
        <v>0</v>
      </c>
      <c r="J556" s="1"/>
      <c r="K556" s="1"/>
      <c r="L556" s="1"/>
      <c r="M556" s="59">
        <f>SUM(J556:L556)</f>
        <v>0</v>
      </c>
      <c r="N556" s="1"/>
      <c r="O556" s="1"/>
      <c r="P556" s="1"/>
      <c r="Q556" s="59">
        <f>SUM(N556:P556)</f>
        <v>0</v>
      </c>
      <c r="R556" s="59">
        <f>+E556+I556+M556+Q556</f>
        <v>0</v>
      </c>
    </row>
    <row r="557" spans="1:20" ht="15.75" customHeight="1" thickBot="1" x14ac:dyDescent="0.35">
      <c r="A557" s="17" t="s">
        <v>56</v>
      </c>
      <c r="B557" s="1"/>
      <c r="C557" s="1"/>
      <c r="D557" s="1"/>
      <c r="E557" s="59" t="s">
        <v>7</v>
      </c>
      <c r="F557" s="1"/>
      <c r="G557" s="1"/>
      <c r="H557" s="1"/>
      <c r="I557" s="59" t="s">
        <v>7</v>
      </c>
      <c r="J557" s="1"/>
      <c r="K557" s="1"/>
      <c r="L557" s="1"/>
      <c r="M557" s="59" t="s">
        <v>7</v>
      </c>
      <c r="N557" s="1"/>
      <c r="O557" s="1"/>
      <c r="P557" s="1"/>
      <c r="Q557" s="59" t="s">
        <v>7</v>
      </c>
      <c r="R557" s="59" t="s">
        <v>7</v>
      </c>
    </row>
    <row r="558" spans="1:20" ht="16.5" customHeight="1" thickBot="1" x14ac:dyDescent="0.35">
      <c r="A558" s="62" t="s">
        <v>57</v>
      </c>
      <c r="B558" s="100">
        <f>SUM(B553:B557)</f>
        <v>0</v>
      </c>
      <c r="C558" s="101">
        <f>SUM(C553:C557)</f>
        <v>0</v>
      </c>
      <c r="D558" s="101">
        <f>SUM(D553:D557)</f>
        <v>0</v>
      </c>
      <c r="E558" s="64">
        <f>SUM(B558:D558)</f>
        <v>0</v>
      </c>
      <c r="F558" s="101">
        <f>SUM(F553:F557)</f>
        <v>0</v>
      </c>
      <c r="G558" s="101">
        <f>SUM(G553:G557)</f>
        <v>0</v>
      </c>
      <c r="H558" s="101">
        <f>SUM(H553:H557)</f>
        <v>0</v>
      </c>
      <c r="I558" s="64">
        <f>SUM(F558:H558)</f>
        <v>0</v>
      </c>
      <c r="J558" s="101">
        <f>SUM(J553:J557)</f>
        <v>0</v>
      </c>
      <c r="K558" s="101">
        <f>SUM(K553:K557)</f>
        <v>0</v>
      </c>
      <c r="L558" s="101">
        <f>SUM(L553:L557)</f>
        <v>0</v>
      </c>
      <c r="M558" s="64">
        <f>SUM(J558:L558)</f>
        <v>0</v>
      </c>
      <c r="N558" s="101">
        <f>SUM(N553:N557)</f>
        <v>0</v>
      </c>
      <c r="O558" s="101">
        <f>SUM(O553:O557)</f>
        <v>0</v>
      </c>
      <c r="P558" s="101">
        <f>SUM(P553:P557)</f>
        <v>0</v>
      </c>
      <c r="Q558" s="64">
        <f>SUM(N558:P558)</f>
        <v>0</v>
      </c>
      <c r="R558" s="64">
        <f>+E558+I558+M558+Q558</f>
        <v>0</v>
      </c>
    </row>
    <row r="559" spans="1:20" ht="15.75" customHeight="1" x14ac:dyDescent="0.3">
      <c r="A559" s="17" t="s">
        <v>58</v>
      </c>
      <c r="B559" s="1"/>
      <c r="C559" s="1"/>
      <c r="D559" s="1"/>
      <c r="E559" s="59" t="s">
        <v>7</v>
      </c>
      <c r="F559" s="1"/>
      <c r="G559" s="1"/>
      <c r="H559" s="1"/>
      <c r="I559" s="59" t="s">
        <v>7</v>
      </c>
      <c r="J559" s="1"/>
      <c r="K559" s="1"/>
      <c r="L559" s="1"/>
      <c r="M559" s="59" t="s">
        <v>7</v>
      </c>
      <c r="N559" s="1"/>
      <c r="O559" s="1"/>
      <c r="P559" s="1"/>
      <c r="Q559" s="59" t="s">
        <v>7</v>
      </c>
      <c r="R559" s="59" t="s">
        <v>7</v>
      </c>
    </row>
    <row r="560" spans="1:20" ht="15.75" customHeight="1" x14ac:dyDescent="0.3">
      <c r="A560" s="17" t="s">
        <v>59</v>
      </c>
      <c r="B560" s="1"/>
      <c r="C560" s="1"/>
      <c r="D560" s="1"/>
      <c r="E560" s="59" t="s">
        <v>7</v>
      </c>
      <c r="F560" s="1"/>
      <c r="G560" s="1"/>
      <c r="H560" s="1"/>
      <c r="I560" s="59" t="s">
        <v>7</v>
      </c>
      <c r="J560" s="1"/>
      <c r="K560" s="1"/>
      <c r="L560" s="1"/>
      <c r="M560" s="59" t="s">
        <v>7</v>
      </c>
      <c r="N560" s="1"/>
      <c r="O560" s="1"/>
      <c r="P560" s="1"/>
      <c r="Q560" s="59" t="s">
        <v>7</v>
      </c>
      <c r="R560" s="59" t="s">
        <v>7</v>
      </c>
    </row>
    <row r="561" spans="1:20" ht="15.75" customHeight="1" x14ac:dyDescent="0.3">
      <c r="A561" s="17" t="s">
        <v>60</v>
      </c>
      <c r="B561" s="1"/>
      <c r="C561" s="1"/>
      <c r="D561" s="1"/>
      <c r="E561" s="59" t="s">
        <v>7</v>
      </c>
      <c r="F561" s="1"/>
      <c r="G561" s="1"/>
      <c r="H561" s="1"/>
      <c r="I561" s="59" t="s">
        <v>7</v>
      </c>
      <c r="J561" s="1"/>
      <c r="K561" s="1"/>
      <c r="L561" s="1"/>
      <c r="M561" s="59" t="s">
        <v>7</v>
      </c>
      <c r="N561" s="1"/>
      <c r="O561" s="1"/>
      <c r="P561" s="1"/>
      <c r="Q561" s="59" t="s">
        <v>7</v>
      </c>
      <c r="R561" s="59" t="s">
        <v>7</v>
      </c>
    </row>
    <row r="562" spans="1:20" ht="15.75" customHeight="1" thickBot="1" x14ac:dyDescent="0.35">
      <c r="A562" s="74" t="s">
        <v>925</v>
      </c>
      <c r="B562" s="1">
        <v>1000</v>
      </c>
      <c r="C562" s="1">
        <v>1000</v>
      </c>
      <c r="D562" s="1">
        <v>1000</v>
      </c>
      <c r="E562" s="59">
        <f>SUM(B562:D562)</f>
        <v>3000</v>
      </c>
      <c r="F562" s="1">
        <v>1000</v>
      </c>
      <c r="G562" s="1"/>
      <c r="H562" s="1"/>
      <c r="I562" s="59">
        <f>SUM(F562:H562)</f>
        <v>1000</v>
      </c>
      <c r="J562" s="1"/>
      <c r="K562" s="1"/>
      <c r="L562" s="1"/>
      <c r="M562" s="59">
        <f>SUM(J562:L562)</f>
        <v>0</v>
      </c>
      <c r="N562" s="1"/>
      <c r="O562" s="1"/>
      <c r="P562" s="1"/>
      <c r="Q562" s="59">
        <f>SUM(N562:P562)</f>
        <v>0</v>
      </c>
      <c r="R562" s="59">
        <f>+E562+I562+M562+Q562</f>
        <v>4000</v>
      </c>
      <c r="T562" s="4" t="s">
        <v>516</v>
      </c>
    </row>
    <row r="563" spans="1:20" ht="16.5" customHeight="1" thickBot="1" x14ac:dyDescent="0.35">
      <c r="A563" s="137" t="s">
        <v>61</v>
      </c>
      <c r="B563" s="100">
        <f>SUM(B559:B562)</f>
        <v>1000</v>
      </c>
      <c r="C563" s="101">
        <f>SUM(C559:C562)</f>
        <v>1000</v>
      </c>
      <c r="D563" s="101">
        <f>SUM(D559:D562)</f>
        <v>1000</v>
      </c>
      <c r="E563" s="64">
        <f>SUM(B563:D563)</f>
        <v>3000</v>
      </c>
      <c r="F563" s="101">
        <f>SUM(F559:F562)</f>
        <v>1000</v>
      </c>
      <c r="G563" s="101">
        <f>SUM(G559:G562)</f>
        <v>0</v>
      </c>
      <c r="H563" s="101">
        <f>SUM(H559:H562)</f>
        <v>0</v>
      </c>
      <c r="I563" s="64">
        <f>SUM(F563:H563)</f>
        <v>1000</v>
      </c>
      <c r="J563" s="101">
        <f>SUM(J559:J562)</f>
        <v>0</v>
      </c>
      <c r="K563" s="101">
        <f>SUM(K559:K562)</f>
        <v>0</v>
      </c>
      <c r="L563" s="101">
        <f>SUM(L559:L562)</f>
        <v>0</v>
      </c>
      <c r="M563" s="64">
        <f>SUM(J563:L563)</f>
        <v>0</v>
      </c>
      <c r="N563" s="101">
        <f>SUM(N559:N562)</f>
        <v>0</v>
      </c>
      <c r="O563" s="101">
        <f>SUM(O559:O562)</f>
        <v>0</v>
      </c>
      <c r="P563" s="101">
        <f>SUM(P559:P562)</f>
        <v>0</v>
      </c>
      <c r="Q563" s="64">
        <f>SUM(N563:P563)</f>
        <v>0</v>
      </c>
      <c r="R563" s="64">
        <f>+E563+I563+M563+Q563</f>
        <v>4000</v>
      </c>
    </row>
    <row r="564" spans="1:20" ht="15.75" customHeight="1" x14ac:dyDescent="0.3">
      <c r="A564" s="17" t="s">
        <v>62</v>
      </c>
      <c r="B564" s="1"/>
      <c r="C564" s="1"/>
      <c r="D564" s="1"/>
      <c r="E564" s="59" t="s">
        <v>7</v>
      </c>
      <c r="F564" s="1"/>
      <c r="G564" s="1"/>
      <c r="H564" s="1"/>
      <c r="I564" s="59" t="s">
        <v>7</v>
      </c>
      <c r="J564" s="1"/>
      <c r="K564" s="1"/>
      <c r="L564" s="1"/>
      <c r="M564" s="59" t="s">
        <v>7</v>
      </c>
      <c r="N564" s="1"/>
      <c r="O564" s="1"/>
      <c r="P564" s="1"/>
      <c r="Q564" s="59" t="s">
        <v>7</v>
      </c>
      <c r="R564" s="59" t="s">
        <v>7</v>
      </c>
    </row>
    <row r="565" spans="1:20" ht="15.75" customHeight="1" x14ac:dyDescent="0.3">
      <c r="A565" s="17" t="s">
        <v>63</v>
      </c>
      <c r="B565" s="1"/>
      <c r="C565" s="1"/>
      <c r="D565" s="1"/>
      <c r="E565" s="59" t="s">
        <v>7</v>
      </c>
      <c r="F565" s="1"/>
      <c r="G565" s="1"/>
      <c r="H565" s="1"/>
      <c r="I565" s="59" t="s">
        <v>7</v>
      </c>
      <c r="J565" s="1"/>
      <c r="K565" s="1"/>
      <c r="L565" s="1"/>
      <c r="M565" s="59" t="s">
        <v>7</v>
      </c>
      <c r="N565" s="1"/>
      <c r="O565" s="1"/>
      <c r="P565" s="1"/>
      <c r="Q565" s="59" t="s">
        <v>7</v>
      </c>
      <c r="R565" s="59" t="s">
        <v>7</v>
      </c>
    </row>
    <row r="566" spans="1:20" ht="15.75" customHeight="1" x14ac:dyDescent="0.3">
      <c r="A566" s="74" t="s">
        <v>923</v>
      </c>
      <c r="B566" s="1"/>
      <c r="C566" s="1"/>
      <c r="D566" s="1"/>
      <c r="E566" s="59">
        <f>SUM(B566:D566)</f>
        <v>0</v>
      </c>
      <c r="F566" s="1"/>
      <c r="G566" s="1"/>
      <c r="H566" s="1"/>
      <c r="I566" s="59">
        <f>SUM(F566:H566)</f>
        <v>0</v>
      </c>
      <c r="J566" s="1"/>
      <c r="K566" s="1"/>
      <c r="L566" s="1"/>
      <c r="M566" s="59">
        <f>SUM(J566:L566)</f>
        <v>0</v>
      </c>
      <c r="N566" s="1">
        <v>100</v>
      </c>
      <c r="O566" s="1"/>
      <c r="P566" s="1"/>
      <c r="Q566" s="59">
        <f>SUM(N566:P566)</f>
        <v>100</v>
      </c>
      <c r="R566" s="59">
        <f>+E566+I566+M566+Q566</f>
        <v>100</v>
      </c>
      <c r="T566" s="4" t="s">
        <v>516</v>
      </c>
    </row>
    <row r="567" spans="1:20" ht="15.75" customHeight="1" x14ac:dyDescent="0.3">
      <c r="A567" s="74" t="s">
        <v>536</v>
      </c>
      <c r="B567" s="1"/>
      <c r="C567" s="1"/>
      <c r="D567" s="1"/>
      <c r="E567" s="59">
        <f>SUM(B567:D567)</f>
        <v>0</v>
      </c>
      <c r="F567" s="1"/>
      <c r="G567" s="1"/>
      <c r="H567" s="1"/>
      <c r="I567" s="59">
        <f>SUM(F567:H567)</f>
        <v>0</v>
      </c>
      <c r="J567" s="1"/>
      <c r="K567" s="1"/>
      <c r="L567" s="1"/>
      <c r="M567" s="59">
        <f>SUM(J567:L567)</f>
        <v>0</v>
      </c>
      <c r="N567" s="1"/>
      <c r="O567" s="1"/>
      <c r="P567" s="1"/>
      <c r="Q567" s="59">
        <f>SUM(N567:P567)</f>
        <v>0</v>
      </c>
      <c r="R567" s="59">
        <f>+E567+I567+M567+Q567</f>
        <v>0</v>
      </c>
      <c r="T567" s="4" t="s">
        <v>516</v>
      </c>
    </row>
    <row r="568" spans="1:20" ht="15.75" customHeight="1" x14ac:dyDescent="0.3">
      <c r="A568" s="17" t="s">
        <v>64</v>
      </c>
      <c r="B568" s="1"/>
      <c r="C568" s="1"/>
      <c r="D568" s="1"/>
      <c r="E568" s="59" t="s">
        <v>7</v>
      </c>
      <c r="F568" s="1"/>
      <c r="G568" s="1"/>
      <c r="H568" s="1"/>
      <c r="I568" s="59" t="s">
        <v>7</v>
      </c>
      <c r="J568" s="1"/>
      <c r="K568" s="1"/>
      <c r="L568" s="1"/>
      <c r="M568" s="59" t="s">
        <v>7</v>
      </c>
      <c r="N568" s="1"/>
      <c r="O568" s="1"/>
      <c r="P568" s="1"/>
      <c r="Q568" s="59" t="s">
        <v>7</v>
      </c>
      <c r="R568" s="59" t="s">
        <v>7</v>
      </c>
    </row>
    <row r="569" spans="1:20" ht="15.75" customHeight="1" x14ac:dyDescent="0.3">
      <c r="A569" s="74" t="s">
        <v>537</v>
      </c>
      <c r="B569" s="1"/>
      <c r="C569" s="1"/>
      <c r="D569" s="1"/>
      <c r="E569" s="59">
        <f>SUM(B569:D569)</f>
        <v>0</v>
      </c>
      <c r="F569" s="1"/>
      <c r="G569" s="1"/>
      <c r="H569" s="1"/>
      <c r="I569" s="59">
        <f>SUM(F569:H569)</f>
        <v>0</v>
      </c>
      <c r="J569" s="1"/>
      <c r="K569" s="1"/>
      <c r="L569" s="1"/>
      <c r="M569" s="59">
        <f>SUM(J569:L569)</f>
        <v>0</v>
      </c>
      <c r="N569" s="1">
        <v>200</v>
      </c>
      <c r="O569" s="1">
        <v>650</v>
      </c>
      <c r="P569" s="1">
        <v>650</v>
      </c>
      <c r="Q569" s="59">
        <f>SUM(N569:P569)</f>
        <v>1500</v>
      </c>
      <c r="R569" s="59">
        <f>+E569+I569+M569+Q569</f>
        <v>1500</v>
      </c>
    </row>
    <row r="570" spans="1:20" ht="15.75" customHeight="1" x14ac:dyDescent="0.3">
      <c r="A570" s="74" t="s">
        <v>538</v>
      </c>
      <c r="B570" s="1"/>
      <c r="C570" s="1"/>
      <c r="D570" s="1"/>
      <c r="E570" s="59">
        <f>SUM(B570:D570)</f>
        <v>0</v>
      </c>
      <c r="F570" s="1"/>
      <c r="G570" s="1"/>
      <c r="H570" s="1"/>
      <c r="I570" s="59">
        <f>SUM(F570:H570)</f>
        <v>0</v>
      </c>
      <c r="J570" s="1"/>
      <c r="K570" s="1"/>
      <c r="L570" s="1"/>
      <c r="M570" s="59">
        <f>SUM(J570:L570)</f>
        <v>0</v>
      </c>
      <c r="N570" s="1"/>
      <c r="O570" s="1"/>
      <c r="P570" s="1"/>
      <c r="Q570" s="59">
        <f>SUM(N570:P570)</f>
        <v>0</v>
      </c>
      <c r="R570" s="59">
        <f>+E570+I570+M570+Q570</f>
        <v>0</v>
      </c>
    </row>
    <row r="571" spans="1:20" ht="15.75" customHeight="1" x14ac:dyDescent="0.3">
      <c r="A571" s="74" t="s">
        <v>539</v>
      </c>
      <c r="B571" s="1"/>
      <c r="C571" s="1"/>
      <c r="D571" s="1"/>
      <c r="E571" s="59">
        <f>SUM(B571:D571)</f>
        <v>0</v>
      </c>
      <c r="F571" s="1"/>
      <c r="G571" s="1"/>
      <c r="H571" s="1"/>
      <c r="I571" s="59">
        <f>SUM(F571:H571)</f>
        <v>0</v>
      </c>
      <c r="J571" s="1"/>
      <c r="K571" s="1"/>
      <c r="L571" s="1"/>
      <c r="M571" s="59">
        <f>SUM(J571:L571)</f>
        <v>0</v>
      </c>
      <c r="N571" s="1"/>
      <c r="O571" s="1"/>
      <c r="P571" s="1"/>
      <c r="Q571" s="59">
        <f>SUM(N571:P571)</f>
        <v>0</v>
      </c>
      <c r="R571" s="59">
        <f>+E571+I571+M571+Q571</f>
        <v>0</v>
      </c>
      <c r="T571" s="4" t="s">
        <v>516</v>
      </c>
    </row>
    <row r="572" spans="1:20" ht="15.75" customHeight="1" x14ac:dyDescent="0.3">
      <c r="A572" s="74" t="s">
        <v>540</v>
      </c>
      <c r="B572" s="1"/>
      <c r="C572" s="1"/>
      <c r="D572" s="1"/>
      <c r="E572" s="59">
        <f>SUM(B572:D572)</f>
        <v>0</v>
      </c>
      <c r="F572" s="1"/>
      <c r="G572" s="1"/>
      <c r="H572" s="1"/>
      <c r="I572" s="59">
        <f>SUM(F572:H572)</f>
        <v>0</v>
      </c>
      <c r="J572" s="1"/>
      <c r="K572" s="1"/>
      <c r="L572" s="1"/>
      <c r="M572" s="59">
        <f>SUM(J572:L572)</f>
        <v>0</v>
      </c>
      <c r="N572" s="1"/>
      <c r="O572" s="1"/>
      <c r="P572" s="1"/>
      <c r="Q572" s="59">
        <f>SUM(N572:P572)</f>
        <v>0</v>
      </c>
      <c r="R572" s="59">
        <f>+E572+I572+M572+Q572</f>
        <v>0</v>
      </c>
      <c r="T572" s="4" t="s">
        <v>516</v>
      </c>
    </row>
    <row r="573" spans="1:20" ht="15.75" customHeight="1" x14ac:dyDescent="0.3">
      <c r="A573" s="17" t="s">
        <v>66</v>
      </c>
      <c r="B573" s="1"/>
      <c r="C573" s="1"/>
      <c r="D573" s="1"/>
      <c r="E573" s="59" t="s">
        <v>7</v>
      </c>
      <c r="F573" s="1"/>
      <c r="G573" s="1"/>
      <c r="H573" s="1"/>
      <c r="I573" s="59" t="s">
        <v>7</v>
      </c>
      <c r="J573" s="1"/>
      <c r="K573" s="1"/>
      <c r="L573" s="1"/>
      <c r="M573" s="59" t="s">
        <v>7</v>
      </c>
      <c r="N573" s="1"/>
      <c r="O573" s="1"/>
      <c r="P573" s="1"/>
      <c r="Q573" s="59" t="s">
        <v>7</v>
      </c>
      <c r="R573" s="59" t="s">
        <v>7</v>
      </c>
    </row>
    <row r="574" spans="1:20" ht="15.75" customHeight="1" x14ac:dyDescent="0.3">
      <c r="A574" s="17" t="s">
        <v>67</v>
      </c>
      <c r="B574" s="1"/>
      <c r="C574" s="1"/>
      <c r="D574" s="1"/>
      <c r="E574" s="59" t="s">
        <v>7</v>
      </c>
      <c r="F574" s="1"/>
      <c r="G574" s="1"/>
      <c r="H574" s="1"/>
      <c r="I574" s="59" t="s">
        <v>7</v>
      </c>
      <c r="J574" s="1"/>
      <c r="K574" s="1"/>
      <c r="L574" s="1"/>
      <c r="M574" s="59" t="s">
        <v>7</v>
      </c>
      <c r="N574" s="1"/>
      <c r="O574" s="1"/>
      <c r="P574" s="1"/>
      <c r="Q574" s="59" t="s">
        <v>7</v>
      </c>
      <c r="R574" s="59" t="s">
        <v>7</v>
      </c>
    </row>
    <row r="575" spans="1:20" ht="15.75" customHeight="1" x14ac:dyDescent="0.3">
      <c r="A575" s="74" t="s">
        <v>543</v>
      </c>
      <c r="B575" s="1"/>
      <c r="C575" s="1"/>
      <c r="D575" s="1"/>
      <c r="E575" s="59">
        <f t="shared" ref="E575:E580" si="105">SUM(B575:D575)</f>
        <v>0</v>
      </c>
      <c r="F575" s="1"/>
      <c r="G575" s="1"/>
      <c r="H575" s="1">
        <v>200</v>
      </c>
      <c r="I575" s="59">
        <f t="shared" ref="I575:I580" si="106">SUM(F575:H575)</f>
        <v>200</v>
      </c>
      <c r="J575" s="1">
        <v>200</v>
      </c>
      <c r="K575" s="1">
        <v>200</v>
      </c>
      <c r="L575" s="1">
        <v>200</v>
      </c>
      <c r="M575" s="59">
        <f t="shared" ref="M575:M580" si="107">SUM(J575:L575)</f>
        <v>600</v>
      </c>
      <c r="N575" s="1">
        <v>200</v>
      </c>
      <c r="O575" s="1"/>
      <c r="P575" s="1"/>
      <c r="Q575" s="59">
        <f t="shared" ref="Q575:Q580" si="108">SUM(N575:P575)</f>
        <v>200</v>
      </c>
      <c r="R575" s="59">
        <f t="shared" ref="R575:R580" si="109">+E575+I575+M575+Q575</f>
        <v>1000</v>
      </c>
    </row>
    <row r="576" spans="1:20" ht="15.75" customHeight="1" thickBot="1" x14ac:dyDescent="0.35">
      <c r="A576" s="74" t="s">
        <v>545</v>
      </c>
      <c r="B576" s="1">
        <v>250</v>
      </c>
      <c r="C576" s="1"/>
      <c r="D576" s="1">
        <v>250</v>
      </c>
      <c r="E576" s="59">
        <f t="shared" si="105"/>
        <v>500</v>
      </c>
      <c r="F576" s="1"/>
      <c r="G576" s="1"/>
      <c r="H576" s="1">
        <v>250</v>
      </c>
      <c r="I576" s="59">
        <f t="shared" si="106"/>
        <v>250</v>
      </c>
      <c r="J576" s="1"/>
      <c r="K576" s="1">
        <v>750</v>
      </c>
      <c r="L576" s="1"/>
      <c r="M576" s="59">
        <f t="shared" si="107"/>
        <v>750</v>
      </c>
      <c r="N576" s="1"/>
      <c r="O576" s="1"/>
      <c r="P576" s="1"/>
      <c r="Q576" s="59">
        <f t="shared" si="108"/>
        <v>0</v>
      </c>
      <c r="R576" s="59">
        <f t="shared" si="109"/>
        <v>1500</v>
      </c>
    </row>
    <row r="577" spans="1:18" ht="16.5" customHeight="1" thickBot="1" x14ac:dyDescent="0.35">
      <c r="A577" s="62" t="s">
        <v>68</v>
      </c>
      <c r="B577" s="148">
        <f>SUM(B573:B576)</f>
        <v>250</v>
      </c>
      <c r="C577" s="148">
        <f>SUM(C573:C576)</f>
        <v>0</v>
      </c>
      <c r="D577" s="148">
        <f>SUM(D573:D576)</f>
        <v>250</v>
      </c>
      <c r="E577" s="65">
        <f t="shared" si="105"/>
        <v>500</v>
      </c>
      <c r="F577" s="148">
        <f>SUM(F573:F576)</f>
        <v>0</v>
      </c>
      <c r="G577" s="148">
        <f>SUM(G573:G576)</f>
        <v>0</v>
      </c>
      <c r="H577" s="148">
        <f>SUM(H573:H576)</f>
        <v>450</v>
      </c>
      <c r="I577" s="65">
        <f t="shared" si="106"/>
        <v>450</v>
      </c>
      <c r="J577" s="148">
        <f>SUM(J573:J576)</f>
        <v>200</v>
      </c>
      <c r="K577" s="148">
        <f>SUM(K573:K576)</f>
        <v>950</v>
      </c>
      <c r="L577" s="148">
        <f>SUM(L573:L576)</f>
        <v>200</v>
      </c>
      <c r="M577" s="65">
        <f t="shared" si="107"/>
        <v>1350</v>
      </c>
      <c r="N577" s="148">
        <f>SUM(N573:N576)</f>
        <v>200</v>
      </c>
      <c r="O577" s="148">
        <f>SUM(O573:O576)</f>
        <v>0</v>
      </c>
      <c r="P577" s="148">
        <f>SUM(P573:P576)</f>
        <v>0</v>
      </c>
      <c r="Q577" s="65">
        <f t="shared" si="108"/>
        <v>200</v>
      </c>
      <c r="R577" s="64">
        <f t="shared" si="109"/>
        <v>2500</v>
      </c>
    </row>
    <row r="578" spans="1:18" ht="16.5" customHeight="1" thickBot="1" x14ac:dyDescent="0.35">
      <c r="A578" s="137" t="s">
        <v>69</v>
      </c>
      <c r="B578" s="100">
        <f>SUM(B564:B576)</f>
        <v>250</v>
      </c>
      <c r="C578" s="101">
        <f>SUM(C564:C576)</f>
        <v>0</v>
      </c>
      <c r="D578" s="138">
        <f>SUM(D564:D576)</f>
        <v>250</v>
      </c>
      <c r="E578" s="65">
        <f t="shared" si="105"/>
        <v>500</v>
      </c>
      <c r="F578" s="100">
        <f>SUM(F564:F576)</f>
        <v>0</v>
      </c>
      <c r="G578" s="101">
        <f>SUM(G564:G576)</f>
        <v>0</v>
      </c>
      <c r="H578" s="138">
        <f>SUM(H564:H576)</f>
        <v>450</v>
      </c>
      <c r="I578" s="65">
        <f t="shared" si="106"/>
        <v>450</v>
      </c>
      <c r="J578" s="100">
        <f>SUM(J564:J576)</f>
        <v>200</v>
      </c>
      <c r="K578" s="101">
        <f>SUM(K564:K576)</f>
        <v>950</v>
      </c>
      <c r="L578" s="138">
        <f>SUM(L564:L576)</f>
        <v>200</v>
      </c>
      <c r="M578" s="65">
        <f t="shared" si="107"/>
        <v>1350</v>
      </c>
      <c r="N578" s="100">
        <f>SUM(N564:N576)</f>
        <v>500</v>
      </c>
      <c r="O578" s="101">
        <f>SUM(O564:O576)</f>
        <v>650</v>
      </c>
      <c r="P578" s="138">
        <f>SUM(P564:P576)</f>
        <v>650</v>
      </c>
      <c r="Q578" s="65">
        <f t="shared" si="108"/>
        <v>1800</v>
      </c>
      <c r="R578" s="64">
        <f t="shared" si="109"/>
        <v>4100</v>
      </c>
    </row>
    <row r="579" spans="1:18" ht="16.5" customHeight="1" thickBot="1" x14ac:dyDescent="0.35">
      <c r="A579" s="62" t="s">
        <v>70</v>
      </c>
      <c r="B579" s="149">
        <f>+B552+B558+B563+B578</f>
        <v>1900</v>
      </c>
      <c r="C579" s="150">
        <f>+C552+C558+C563+C578</f>
        <v>3250</v>
      </c>
      <c r="D579" s="150">
        <f>+D552+D558+D563+D578</f>
        <v>3650</v>
      </c>
      <c r="E579" s="64">
        <f t="shared" si="105"/>
        <v>8800</v>
      </c>
      <c r="F579" s="63">
        <f>+F552+F558+F563+F578</f>
        <v>4850</v>
      </c>
      <c r="G579" s="63">
        <f>+G552+G558+G563+G578</f>
        <v>2290</v>
      </c>
      <c r="H579" s="63">
        <f>+H552+H558+H563+H578</f>
        <v>2447</v>
      </c>
      <c r="I579" s="64">
        <f t="shared" si="106"/>
        <v>9587</v>
      </c>
      <c r="J579" s="63">
        <f>+J552+J558+J563+J578</f>
        <v>6440</v>
      </c>
      <c r="K579" s="63">
        <f>+K552+K558+K563+K578</f>
        <v>3605</v>
      </c>
      <c r="L579" s="63">
        <f>+L552+L558+L563+L578</f>
        <v>450</v>
      </c>
      <c r="M579" s="64">
        <f t="shared" si="107"/>
        <v>10495</v>
      </c>
      <c r="N579" s="63">
        <f>+N552+N558+N563+N578</f>
        <v>1500</v>
      </c>
      <c r="O579" s="63">
        <f>+O552+O558+O563+O578</f>
        <v>650</v>
      </c>
      <c r="P579" s="63">
        <f>+P552+P558+P563+P578</f>
        <v>650</v>
      </c>
      <c r="Q579" s="64">
        <f t="shared" si="108"/>
        <v>2800</v>
      </c>
      <c r="R579" s="88">
        <f t="shared" si="109"/>
        <v>31682</v>
      </c>
    </row>
    <row r="580" spans="1:18" ht="16.5" customHeight="1" thickBot="1" x14ac:dyDescent="0.35">
      <c r="A580" s="40" t="s">
        <v>37</v>
      </c>
      <c r="B580" s="25">
        <v>17</v>
      </c>
      <c r="C580" s="25">
        <v>47</v>
      </c>
      <c r="D580" s="25">
        <v>84</v>
      </c>
      <c r="E580" s="59">
        <f t="shared" si="105"/>
        <v>148</v>
      </c>
      <c r="F580" s="25">
        <v>116</v>
      </c>
      <c r="G580" s="25">
        <v>132</v>
      </c>
      <c r="H580" s="25">
        <v>138</v>
      </c>
      <c r="I580" s="59">
        <f t="shared" si="106"/>
        <v>386</v>
      </c>
      <c r="J580" s="25">
        <v>126</v>
      </c>
      <c r="K580" s="25">
        <v>95</v>
      </c>
      <c r="L580" s="25">
        <v>99</v>
      </c>
      <c r="M580" s="59">
        <f t="shared" si="107"/>
        <v>320</v>
      </c>
      <c r="N580" s="25">
        <v>91</v>
      </c>
      <c r="O580" s="25">
        <v>67</v>
      </c>
      <c r="P580" s="25">
        <v>38</v>
      </c>
      <c r="Q580" s="59">
        <f t="shared" si="108"/>
        <v>196</v>
      </c>
      <c r="R580" s="59">
        <f t="shared" si="109"/>
        <v>1050</v>
      </c>
    </row>
    <row r="581" spans="1:18" ht="16.5" customHeight="1" thickBot="1" x14ac:dyDescent="0.35">
      <c r="A581" s="42"/>
      <c r="B581" s="37"/>
      <c r="C581" s="37"/>
      <c r="D581" s="37"/>
      <c r="E581" s="43"/>
      <c r="F581" s="37"/>
      <c r="G581" s="37"/>
      <c r="H581" s="37"/>
      <c r="I581" s="43"/>
      <c r="J581" s="37"/>
      <c r="K581" s="37"/>
      <c r="L581" s="37"/>
      <c r="M581" s="43"/>
      <c r="N581" s="37"/>
      <c r="O581" s="37"/>
      <c r="P581" s="37"/>
      <c r="Q581" s="43"/>
      <c r="R581" s="43"/>
    </row>
    <row r="582" spans="1:18" ht="15.75" customHeight="1" x14ac:dyDescent="0.3">
      <c r="A582" s="82" t="s">
        <v>507</v>
      </c>
      <c r="B582" s="83">
        <f>SUM(B579:B580)</f>
        <v>1917</v>
      </c>
      <c r="C582" s="83">
        <f>SUM(C579:C580)</f>
        <v>3297</v>
      </c>
      <c r="D582" s="83">
        <f>SUM(D579:D580)</f>
        <v>3734</v>
      </c>
      <c r="E582" s="65">
        <f>SUM(B582:D582)</f>
        <v>8948</v>
      </c>
      <c r="F582" s="83">
        <f>SUM(F579:F580)</f>
        <v>4966</v>
      </c>
      <c r="G582" s="83">
        <f>SUM(G579:G580)</f>
        <v>2422</v>
      </c>
      <c r="H582" s="83">
        <f>SUM(H579:H580)</f>
        <v>2585</v>
      </c>
      <c r="I582" s="65">
        <f>SUM(F582:H582)</f>
        <v>9973</v>
      </c>
      <c r="J582" s="83">
        <f>SUM(J579:J580)</f>
        <v>6566</v>
      </c>
      <c r="K582" s="83">
        <f>SUM(K579:K580)</f>
        <v>3700</v>
      </c>
      <c r="L582" s="83">
        <f>SUM(L579:L580)</f>
        <v>549</v>
      </c>
      <c r="M582" s="65">
        <f>SUM(J582:L582)</f>
        <v>10815</v>
      </c>
      <c r="N582" s="83">
        <f>SUM(N579:N580)</f>
        <v>1591</v>
      </c>
      <c r="O582" s="83">
        <f>SUM(O579:O580)</f>
        <v>717</v>
      </c>
      <c r="P582" s="83">
        <f>SUM(P579:P580)</f>
        <v>688</v>
      </c>
      <c r="Q582" s="65">
        <f>SUM(N582:P582)</f>
        <v>2996</v>
      </c>
      <c r="R582" s="65">
        <f>+E582+I582+M582+Q582</f>
        <v>32732</v>
      </c>
    </row>
    <row r="583" spans="1:18" ht="15.75" customHeight="1" x14ac:dyDescent="0.3">
      <c r="A583" s="85" t="s">
        <v>39</v>
      </c>
      <c r="B583" s="1">
        <f>(B582/B10)/1.983</f>
        <v>31.184422429359227</v>
      </c>
      <c r="C583" s="1">
        <f>(C582/C10)/1.983</f>
        <v>57.332150868589906</v>
      </c>
      <c r="D583" s="1">
        <f>(D582/D10)/1.983</f>
        <v>60.742114424218762</v>
      </c>
      <c r="E583" s="59" t="s">
        <v>7</v>
      </c>
      <c r="F583" s="1">
        <f>(F582/F10)/1.983</f>
        <v>83.476214489830213</v>
      </c>
      <c r="G583" s="1">
        <f>(G582/G10)/1.983</f>
        <v>39.399411123582709</v>
      </c>
      <c r="H583" s="1">
        <f>(H582/H10)/1.983</f>
        <v>43.452681122877792</v>
      </c>
      <c r="I583" s="59" t="s">
        <v>7</v>
      </c>
      <c r="J583" s="1">
        <f>(J582/J10)/1.983</f>
        <v>106.81112032925024</v>
      </c>
      <c r="K583" s="1">
        <f>(K582/K10)/1.983</f>
        <v>60.189026076488865</v>
      </c>
      <c r="L583" s="1">
        <f>(L582/L10)/1.983</f>
        <v>9.2284417549167923</v>
      </c>
      <c r="M583" s="59" t="s">
        <v>7</v>
      </c>
      <c r="N583" s="1">
        <f>(N582/N10)/1.983</f>
        <v>25.881281212890208</v>
      </c>
      <c r="O583" s="1">
        <f>(O582/O10)/1.983</f>
        <v>12.052445789208269</v>
      </c>
      <c r="P583" s="1">
        <f>(P582/P10)/1.983</f>
        <v>11.191905389357929</v>
      </c>
      <c r="Q583" s="59" t="s">
        <v>7</v>
      </c>
      <c r="R583" s="59" t="s">
        <v>7</v>
      </c>
    </row>
    <row r="584" spans="1:18" ht="15.75" customHeight="1" x14ac:dyDescent="0.3">
      <c r="A584" s="85" t="s">
        <v>546</v>
      </c>
      <c r="B584" s="1">
        <f>B582+B594</f>
        <v>18823</v>
      </c>
      <c r="C584" s="1">
        <f>C582+C594</f>
        <v>20623</v>
      </c>
      <c r="D584" s="1">
        <f>D582+D594</f>
        <v>23128</v>
      </c>
      <c r="E584" s="59">
        <f>SUM(B584:D584)</f>
        <v>62574</v>
      </c>
      <c r="F584" s="1">
        <f>F582+F594</f>
        <v>24532</v>
      </c>
      <c r="G584" s="1">
        <f>G582+G594</f>
        <v>20701</v>
      </c>
      <c r="H584" s="1">
        <f>H582+H594</f>
        <v>22571</v>
      </c>
      <c r="I584" s="59">
        <f>SUM(F584:H584)</f>
        <v>67804</v>
      </c>
      <c r="J584" s="1">
        <f>J582+J594</f>
        <v>26807</v>
      </c>
      <c r="K584" s="1">
        <f>K582+K594</f>
        <v>23472</v>
      </c>
      <c r="L584" s="1">
        <f>L582+L594</f>
        <v>19586</v>
      </c>
      <c r="M584" s="59">
        <f>SUM(J584:L584)</f>
        <v>69865</v>
      </c>
      <c r="N584" s="1">
        <f>N582+N594</f>
        <v>9643</v>
      </c>
      <c r="O584" s="1">
        <f>O582+O594</f>
        <v>7730</v>
      </c>
      <c r="P584" s="1">
        <f>P582+P594</f>
        <v>15409</v>
      </c>
      <c r="Q584" s="59">
        <f>SUM(N584:P584)</f>
        <v>32782</v>
      </c>
      <c r="R584" s="59">
        <f>+E584+I584+M584+Q584</f>
        <v>233025</v>
      </c>
    </row>
    <row r="585" spans="1:18" ht="16.5" customHeight="1" thickBot="1" x14ac:dyDescent="0.35">
      <c r="A585" s="86" t="s">
        <v>547</v>
      </c>
      <c r="B585" s="87">
        <f>(B584/B10)/1.983</f>
        <v>306.19946968587834</v>
      </c>
      <c r="C585" s="87">
        <f>(C584/C10)/1.983</f>
        <v>358.61721181769178</v>
      </c>
      <c r="D585" s="87">
        <f>(D584/D10)/1.983</f>
        <v>376.23021489109038</v>
      </c>
      <c r="E585" s="88" t="s">
        <v>7</v>
      </c>
      <c r="F585" s="87">
        <f>(F584/F10)/1.983</f>
        <v>412.37182719784835</v>
      </c>
      <c r="G585" s="87">
        <f>(G584/G10)/1.983</f>
        <v>336.74946724578268</v>
      </c>
      <c r="H585" s="87">
        <f>(H584/H10)/1.983</f>
        <v>379.40830391662462</v>
      </c>
      <c r="I585" s="88" t="s">
        <v>7</v>
      </c>
      <c r="J585" s="87">
        <f>(J584/J10)/1.983</f>
        <v>436.07762757633429</v>
      </c>
      <c r="K585" s="87">
        <f>(K584/K10)/1.983</f>
        <v>381.82616758576933</v>
      </c>
      <c r="L585" s="87">
        <f>(L584/L10)/1.983</f>
        <v>329.23180366448139</v>
      </c>
      <c r="M585" s="88" t="s">
        <v>7</v>
      </c>
      <c r="N585" s="87">
        <f>(N584/N10)/1.983</f>
        <v>156.86561579880598</v>
      </c>
      <c r="O585" s="87">
        <f>(O584/O10)/1.983</f>
        <v>129.9378046730543</v>
      </c>
      <c r="P585" s="87">
        <f>(P584/P10)/1.983</f>
        <v>250.66289265205862</v>
      </c>
      <c r="Q585" s="88" t="s">
        <v>7</v>
      </c>
      <c r="R585" s="88" t="s">
        <v>7</v>
      </c>
    </row>
    <row r="586" spans="1:18" ht="15.75" customHeight="1" x14ac:dyDescent="0.3">
      <c r="A586" s="28"/>
      <c r="B586" s="1"/>
      <c r="C586" s="1"/>
      <c r="D586" s="1"/>
      <c r="E586" s="1"/>
      <c r="F586" s="1"/>
      <c r="G586" s="1"/>
      <c r="H586" s="1"/>
      <c r="I586" s="1"/>
      <c r="J586" s="1"/>
      <c r="K586" s="1"/>
      <c r="L586" s="1"/>
      <c r="M586" s="1"/>
      <c r="N586" s="1"/>
      <c r="O586" s="1"/>
      <c r="P586" s="1"/>
      <c r="Q586" s="1"/>
      <c r="R586" s="28"/>
    </row>
    <row r="587" spans="1:18" ht="16.5" customHeight="1" thickBot="1" x14ac:dyDescent="0.35">
      <c r="A587" s="123"/>
      <c r="B587" s="25"/>
      <c r="C587" s="25"/>
      <c r="D587" s="25"/>
      <c r="E587" s="25"/>
      <c r="F587" s="25"/>
      <c r="G587" s="25"/>
      <c r="H587" s="25"/>
      <c r="I587" s="25"/>
      <c r="J587" s="25"/>
      <c r="K587" s="25"/>
      <c r="L587" s="25"/>
      <c r="M587" s="25"/>
      <c r="N587" s="25"/>
      <c r="O587" s="25"/>
      <c r="P587" s="25"/>
      <c r="Q587" s="25"/>
      <c r="R587" s="123"/>
    </row>
    <row r="588" spans="1:18" ht="16.5" customHeight="1" thickBot="1" x14ac:dyDescent="0.35">
      <c r="A588" s="145" t="s">
        <v>548</v>
      </c>
      <c r="B588" s="32" t="s">
        <v>36</v>
      </c>
      <c r="C588" s="33" t="s">
        <v>9</v>
      </c>
      <c r="D588" s="33" t="s">
        <v>10</v>
      </c>
      <c r="E588" s="12" t="s">
        <v>11</v>
      </c>
      <c r="F588" s="33" t="s">
        <v>12</v>
      </c>
      <c r="G588" s="33" t="s">
        <v>13</v>
      </c>
      <c r="H588" s="33" t="s">
        <v>14</v>
      </c>
      <c r="I588" s="34" t="s">
        <v>15</v>
      </c>
      <c r="J588" s="33" t="s">
        <v>16</v>
      </c>
      <c r="K588" s="33" t="s">
        <v>17</v>
      </c>
      <c r="L588" s="33" t="s">
        <v>18</v>
      </c>
      <c r="M588" s="34" t="s">
        <v>19</v>
      </c>
      <c r="N588" s="33" t="s">
        <v>20</v>
      </c>
      <c r="O588" s="33" t="s">
        <v>21</v>
      </c>
      <c r="P588" s="33" t="s">
        <v>22</v>
      </c>
      <c r="Q588" s="12" t="s">
        <v>23</v>
      </c>
      <c r="R588" s="13" t="s">
        <v>24</v>
      </c>
    </row>
    <row r="589" spans="1:18" ht="16.5" customHeight="1" thickBot="1" x14ac:dyDescent="0.35">
      <c r="A589" s="42"/>
      <c r="B589" s="37"/>
      <c r="C589" s="37"/>
      <c r="D589" s="37"/>
      <c r="E589" s="38"/>
      <c r="F589" s="37"/>
      <c r="G589" s="37"/>
      <c r="H589" s="37"/>
      <c r="I589" s="38"/>
      <c r="J589" s="37"/>
      <c r="K589" s="37"/>
      <c r="L589" s="37"/>
      <c r="M589" s="38"/>
      <c r="N589" s="37"/>
      <c r="O589" s="37"/>
      <c r="P589" s="37"/>
      <c r="Q589" s="151"/>
      <c r="R589" s="152"/>
    </row>
    <row r="590" spans="1:18" ht="16.5" customHeight="1" thickBot="1" x14ac:dyDescent="0.35">
      <c r="A590" s="40" t="s">
        <v>37</v>
      </c>
      <c r="B590" s="25">
        <v>20</v>
      </c>
      <c r="C590" s="25">
        <v>22</v>
      </c>
      <c r="D590" s="25">
        <v>28</v>
      </c>
      <c r="E590" s="59">
        <f>SUM(B590:D590)</f>
        <v>70</v>
      </c>
      <c r="F590" s="25">
        <v>37</v>
      </c>
      <c r="G590" s="25">
        <v>42</v>
      </c>
      <c r="H590" s="25">
        <v>44</v>
      </c>
      <c r="I590" s="59">
        <f>SUM(F590:H590)</f>
        <v>123</v>
      </c>
      <c r="J590" s="25">
        <v>39</v>
      </c>
      <c r="K590" s="25">
        <v>36</v>
      </c>
      <c r="L590" s="25">
        <v>34</v>
      </c>
      <c r="M590" s="59">
        <f>SUM(J590:L590)</f>
        <v>109</v>
      </c>
      <c r="N590" s="25">
        <v>29</v>
      </c>
      <c r="O590" s="25">
        <v>23</v>
      </c>
      <c r="P590" s="25">
        <v>19</v>
      </c>
      <c r="Q590" s="59">
        <f>SUM(N590:P590)</f>
        <v>71</v>
      </c>
      <c r="R590" s="59">
        <f>+E590+I590+M590+Q590</f>
        <v>373</v>
      </c>
    </row>
    <row r="591" spans="1:18" ht="16.5" customHeight="1" thickBot="1" x14ac:dyDescent="0.35">
      <c r="A591" s="42"/>
      <c r="B591" s="37"/>
      <c r="C591" s="37"/>
      <c r="D591" s="37"/>
      <c r="E591" s="16"/>
      <c r="F591" s="37"/>
      <c r="G591" s="37"/>
      <c r="H591" s="37"/>
      <c r="I591" s="16"/>
      <c r="J591" s="37"/>
      <c r="K591" s="37"/>
      <c r="L591" s="37"/>
      <c r="M591" s="16"/>
      <c r="N591" s="37"/>
      <c r="O591" s="37"/>
      <c r="P591" s="37"/>
      <c r="Q591" s="16"/>
      <c r="R591" s="43"/>
    </row>
    <row r="592" spans="1:18" ht="15.75" customHeight="1" x14ac:dyDescent="0.3">
      <c r="A592" s="82" t="s">
        <v>507</v>
      </c>
      <c r="B592" s="83">
        <f>B590</f>
        <v>20</v>
      </c>
      <c r="C592" s="83">
        <f>C590</f>
        <v>22</v>
      </c>
      <c r="D592" s="83">
        <f>D590</f>
        <v>28</v>
      </c>
      <c r="E592" s="65">
        <f>SUM(B592:D592)</f>
        <v>70</v>
      </c>
      <c r="F592" s="83">
        <f>F590</f>
        <v>37</v>
      </c>
      <c r="G592" s="83">
        <f>G590</f>
        <v>42</v>
      </c>
      <c r="H592" s="83">
        <f>H590</f>
        <v>44</v>
      </c>
      <c r="I592" s="65">
        <f>SUM(F592:H592)</f>
        <v>123</v>
      </c>
      <c r="J592" s="83">
        <f>J590</f>
        <v>39</v>
      </c>
      <c r="K592" s="83">
        <f>K590</f>
        <v>36</v>
      </c>
      <c r="L592" s="83">
        <f>L590</f>
        <v>34</v>
      </c>
      <c r="M592" s="65">
        <f>SUM(J592:L592)</f>
        <v>109</v>
      </c>
      <c r="N592" s="83">
        <f>N590</f>
        <v>29</v>
      </c>
      <c r="O592" s="83">
        <f>O590</f>
        <v>23</v>
      </c>
      <c r="P592" s="83">
        <f>P590</f>
        <v>19</v>
      </c>
      <c r="Q592" s="65">
        <f>SUM(N592:P592)</f>
        <v>71</v>
      </c>
      <c r="R592" s="65">
        <f>+E592+I592+M592+Q592</f>
        <v>373</v>
      </c>
    </row>
    <row r="593" spans="1:18" ht="15.75" customHeight="1" x14ac:dyDescent="0.3">
      <c r="A593" s="85" t="s">
        <v>39</v>
      </c>
      <c r="B593" s="1">
        <f>(B592/B10)/1.983</f>
        <v>0.32534608689993977</v>
      </c>
      <c r="C593" s="1">
        <f>(C592/C10)/1.983</f>
        <v>0.38256212287199814</v>
      </c>
      <c r="D593" s="1">
        <f>(D592/D10)/1.983</f>
        <v>0.45548452165991571</v>
      </c>
      <c r="E593" s="59" t="s">
        <v>7</v>
      </c>
      <c r="F593" s="1">
        <f>(F592/F10)/1.983</f>
        <v>0.62195326945705165</v>
      </c>
      <c r="G593" s="1">
        <f>(G592/G10)/1.983</f>
        <v>0.68322678248987356</v>
      </c>
      <c r="H593" s="1">
        <f>(H592/H10)/1.983</f>
        <v>0.73962010421919644</v>
      </c>
      <c r="I593" s="59" t="s">
        <v>7</v>
      </c>
      <c r="J593" s="1">
        <f>(J592/J10)/1.983</f>
        <v>0.63442486945488263</v>
      </c>
      <c r="K593" s="1">
        <f>(K592/K10)/1.983</f>
        <v>0.5856229564198917</v>
      </c>
      <c r="L593" s="1">
        <f>(L592/L10)/1.983</f>
        <v>0.57152462598756093</v>
      </c>
      <c r="M593" s="59" t="s">
        <v>7</v>
      </c>
      <c r="N593" s="1">
        <f>(N592/N10)/1.983</f>
        <v>0.47175182600491267</v>
      </c>
      <c r="O593" s="1">
        <f>(O592/O10)/1.983</f>
        <v>0.38661959993276179</v>
      </c>
      <c r="P593" s="1">
        <f>(P592/P10)/1.983</f>
        <v>0.30907878255494281</v>
      </c>
      <c r="Q593" s="59" t="s">
        <v>7</v>
      </c>
      <c r="R593" s="59" t="s">
        <v>7</v>
      </c>
    </row>
    <row r="594" spans="1:18" ht="15.75" customHeight="1" x14ac:dyDescent="0.3">
      <c r="A594" s="85" t="s">
        <v>549</v>
      </c>
      <c r="B594" s="1">
        <f>B592+B630</f>
        <v>16906</v>
      </c>
      <c r="C594" s="1">
        <f>C592+C630</f>
        <v>17326</v>
      </c>
      <c r="D594" s="1">
        <f>D592+D630</f>
        <v>19394</v>
      </c>
      <c r="E594" s="59">
        <f>SUM(B594:D594)</f>
        <v>53626</v>
      </c>
      <c r="F594" s="1">
        <f>F592+F630</f>
        <v>19566</v>
      </c>
      <c r="G594" s="1">
        <f>G592+G630</f>
        <v>18279</v>
      </c>
      <c r="H594" s="1">
        <f>H592+H630</f>
        <v>19986</v>
      </c>
      <c r="I594" s="59">
        <f>SUM(F594:H594)</f>
        <v>57831</v>
      </c>
      <c r="J594" s="1">
        <f>J592+J630</f>
        <v>20241</v>
      </c>
      <c r="K594" s="1">
        <f>K592+K630</f>
        <v>19772</v>
      </c>
      <c r="L594" s="1">
        <f>L592+L630</f>
        <v>19037</v>
      </c>
      <c r="M594" s="59">
        <f>SUM(J594:L594)</f>
        <v>59050</v>
      </c>
      <c r="N594" s="1">
        <f>N592+N630</f>
        <v>8052</v>
      </c>
      <c r="O594" s="1">
        <f>O592+O630</f>
        <v>7013</v>
      </c>
      <c r="P594" s="1">
        <f>P592+P630</f>
        <v>14721</v>
      </c>
      <c r="Q594" s="59">
        <f>SUM(N594:P594)</f>
        <v>29786</v>
      </c>
      <c r="R594" s="59">
        <f>+E594+I594+M594+Q594</f>
        <v>200293</v>
      </c>
    </row>
    <row r="595" spans="1:18" ht="16.5" customHeight="1" thickBot="1" x14ac:dyDescent="0.35">
      <c r="A595" s="86" t="s">
        <v>550</v>
      </c>
      <c r="B595" s="87">
        <f>(B594/B10)/1.983</f>
        <v>275.0150472565191</v>
      </c>
      <c r="C595" s="87">
        <f>(C594/C10)/1.983</f>
        <v>301.28506094910182</v>
      </c>
      <c r="D595" s="87">
        <f>(D594/D10)/1.983</f>
        <v>315.48810046687163</v>
      </c>
      <c r="E595" s="88" t="s">
        <v>7</v>
      </c>
      <c r="F595" s="87">
        <f>(F594/F10)/1.983</f>
        <v>328.89561270801818</v>
      </c>
      <c r="G595" s="87">
        <f>(G594/G10)/1.983</f>
        <v>297.35005612219999</v>
      </c>
      <c r="H595" s="87">
        <f>(H594/H10)/1.983</f>
        <v>335.95562279374684</v>
      </c>
      <c r="I595" s="88" t="s">
        <v>7</v>
      </c>
      <c r="J595" s="87">
        <f>(J594/J10)/1.983</f>
        <v>329.26650724708406</v>
      </c>
      <c r="K595" s="87">
        <f>(K594/K10)/1.983</f>
        <v>321.63714150928047</v>
      </c>
      <c r="L595" s="87">
        <f>(L594/L10)/1.983</f>
        <v>320.00336190956466</v>
      </c>
      <c r="M595" s="88" t="s">
        <v>7</v>
      </c>
      <c r="N595" s="87">
        <f>(N594/N10)/1.983</f>
        <v>130.98433458591578</v>
      </c>
      <c r="O595" s="87">
        <f>(O594/O10)/1.983</f>
        <v>117.88535888384602</v>
      </c>
      <c r="P595" s="87">
        <f>(P594/P10)/1.983</f>
        <v>239.47098726270067</v>
      </c>
      <c r="Q595" s="88" t="s">
        <v>7</v>
      </c>
      <c r="R595" s="88" t="s">
        <v>7</v>
      </c>
    </row>
    <row r="596" spans="1:18" ht="15.75" customHeight="1" x14ac:dyDescent="0.3">
      <c r="A596" s="30"/>
      <c r="B596" s="1"/>
      <c r="C596" s="1"/>
      <c r="D596" s="1"/>
      <c r="E596" s="1"/>
      <c r="F596" s="1"/>
      <c r="G596" s="1"/>
      <c r="H596" s="1"/>
      <c r="I596" s="1"/>
      <c r="J596" s="1"/>
      <c r="K596" s="1"/>
      <c r="L596" s="1"/>
      <c r="M596" s="1"/>
      <c r="N596" s="1"/>
      <c r="O596" s="1"/>
      <c r="P596" s="1"/>
      <c r="Q596" s="1"/>
      <c r="R596" s="28"/>
    </row>
    <row r="597" spans="1:18" ht="15.75" customHeight="1" thickBot="1" x14ac:dyDescent="0.35">
      <c r="A597" s="30"/>
      <c r="B597" s="1"/>
      <c r="C597" s="1"/>
      <c r="D597" s="1"/>
      <c r="E597" s="1"/>
      <c r="F597" s="1"/>
      <c r="G597" s="1"/>
      <c r="H597" s="1"/>
      <c r="I597" s="1"/>
      <c r="J597" s="1"/>
      <c r="K597" s="1"/>
      <c r="L597" s="1"/>
      <c r="M597" s="1"/>
      <c r="N597" s="1"/>
      <c r="O597" s="1"/>
      <c r="P597" s="1"/>
      <c r="Q597" s="1"/>
      <c r="R597" s="28"/>
    </row>
    <row r="598" spans="1:18" ht="16.5" customHeight="1" thickBot="1" x14ac:dyDescent="0.35">
      <c r="A598" s="31" t="s">
        <v>551</v>
      </c>
      <c r="B598" s="32" t="s">
        <v>36</v>
      </c>
      <c r="C598" s="33" t="s">
        <v>9</v>
      </c>
      <c r="D598" s="33" t="s">
        <v>10</v>
      </c>
      <c r="E598" s="12" t="s">
        <v>11</v>
      </c>
      <c r="F598" s="33" t="s">
        <v>12</v>
      </c>
      <c r="G598" s="33" t="s">
        <v>13</v>
      </c>
      <c r="H598" s="33" t="s">
        <v>14</v>
      </c>
      <c r="I598" s="34" t="s">
        <v>15</v>
      </c>
      <c r="J598" s="33" t="s">
        <v>16</v>
      </c>
      <c r="K598" s="33" t="s">
        <v>17</v>
      </c>
      <c r="L598" s="33" t="s">
        <v>18</v>
      </c>
      <c r="M598" s="34" t="s">
        <v>19</v>
      </c>
      <c r="N598" s="33" t="s">
        <v>20</v>
      </c>
      <c r="O598" s="33" t="s">
        <v>21</v>
      </c>
      <c r="P598" s="33" t="s">
        <v>22</v>
      </c>
      <c r="Q598" s="34" t="s">
        <v>23</v>
      </c>
      <c r="R598" s="35" t="s">
        <v>24</v>
      </c>
    </row>
    <row r="599" spans="1:18" ht="16.5" customHeight="1" thickBot="1" x14ac:dyDescent="0.35">
      <c r="A599" s="42"/>
      <c r="B599" s="37"/>
      <c r="C599" s="37"/>
      <c r="D599" s="37"/>
      <c r="E599" s="16"/>
      <c r="F599" s="37"/>
      <c r="G599" s="37"/>
      <c r="H599" s="37"/>
      <c r="I599" s="16"/>
      <c r="J599" s="37"/>
      <c r="K599" s="37"/>
      <c r="L599" s="37"/>
      <c r="M599" s="16"/>
      <c r="N599" s="37"/>
      <c r="O599" s="37"/>
      <c r="P599" s="37"/>
      <c r="Q599" s="16"/>
      <c r="R599" s="39"/>
    </row>
    <row r="600" spans="1:18" ht="15.75" customHeight="1" x14ac:dyDescent="0.3">
      <c r="A600" s="17" t="s">
        <v>45</v>
      </c>
      <c r="B600" s="1" t="s">
        <v>7</v>
      </c>
      <c r="C600" s="1" t="s">
        <v>7</v>
      </c>
      <c r="D600" s="1" t="s">
        <v>7</v>
      </c>
      <c r="E600" s="59" t="s">
        <v>7</v>
      </c>
      <c r="F600" s="1" t="s">
        <v>7</v>
      </c>
      <c r="G600" s="1" t="s">
        <v>7</v>
      </c>
      <c r="H600" s="1" t="s">
        <v>7</v>
      </c>
      <c r="I600" s="59" t="s">
        <v>7</v>
      </c>
      <c r="J600" s="1" t="s">
        <v>7</v>
      </c>
      <c r="K600" s="1" t="s">
        <v>7</v>
      </c>
      <c r="L600" s="1" t="s">
        <v>7</v>
      </c>
      <c r="M600" s="59" t="s">
        <v>7</v>
      </c>
      <c r="N600" s="1" t="s">
        <v>7</v>
      </c>
      <c r="O600" s="1" t="s">
        <v>7</v>
      </c>
      <c r="P600" s="1" t="s">
        <v>7</v>
      </c>
      <c r="Q600" s="59" t="s">
        <v>7</v>
      </c>
      <c r="R600" s="59" t="s">
        <v>7</v>
      </c>
    </row>
    <row r="601" spans="1:18" ht="15.75" customHeight="1" x14ac:dyDescent="0.3">
      <c r="A601" s="17" t="s">
        <v>46</v>
      </c>
      <c r="B601" s="1"/>
      <c r="C601" s="1"/>
      <c r="D601" s="1"/>
      <c r="E601" s="59" t="s">
        <v>7</v>
      </c>
      <c r="F601" s="1"/>
      <c r="G601" s="1"/>
      <c r="H601" s="1"/>
      <c r="I601" s="59" t="s">
        <v>7</v>
      </c>
      <c r="J601" s="1"/>
      <c r="K601" s="1"/>
      <c r="L601" s="1"/>
      <c r="M601" s="59" t="s">
        <v>7</v>
      </c>
      <c r="N601" s="1"/>
      <c r="O601" s="1"/>
      <c r="P601" s="1"/>
      <c r="Q601" s="59" t="s">
        <v>7</v>
      </c>
      <c r="R601" s="59" t="s">
        <v>7</v>
      </c>
    </row>
    <row r="602" spans="1:18" ht="15.75" customHeight="1" x14ac:dyDescent="0.3">
      <c r="A602" s="74" t="s">
        <v>552</v>
      </c>
      <c r="B602" s="1">
        <v>100</v>
      </c>
      <c r="C602" s="1">
        <v>150</v>
      </c>
      <c r="D602" s="1">
        <v>150</v>
      </c>
      <c r="E602" s="59">
        <f>SUM(B602:D602)</f>
        <v>400</v>
      </c>
      <c r="F602" s="1">
        <v>150</v>
      </c>
      <c r="G602" s="1">
        <v>800</v>
      </c>
      <c r="H602" s="1">
        <v>400</v>
      </c>
      <c r="I602" s="59">
        <f>SUM(F602:H602)</f>
        <v>1350</v>
      </c>
      <c r="J602" s="1">
        <v>1200</v>
      </c>
      <c r="K602" s="1">
        <v>1300</v>
      </c>
      <c r="L602" s="1">
        <v>450</v>
      </c>
      <c r="M602" s="59">
        <f>SUM(J602:L602)</f>
        <v>2950</v>
      </c>
      <c r="N602" s="1">
        <v>100</v>
      </c>
      <c r="O602" s="1">
        <v>100</v>
      </c>
      <c r="P602" s="1">
        <v>100</v>
      </c>
      <c r="Q602" s="59">
        <f>SUM(N602:P602)</f>
        <v>300</v>
      </c>
      <c r="R602" s="59">
        <f>+E602+I602+M602+Q602</f>
        <v>5000</v>
      </c>
    </row>
    <row r="603" spans="1:18" ht="15.75" customHeight="1" x14ac:dyDescent="0.3">
      <c r="A603" s="74" t="s">
        <v>553</v>
      </c>
      <c r="B603" s="1"/>
      <c r="C603" s="1"/>
      <c r="D603" s="1"/>
      <c r="E603" s="59">
        <f>SUM(B603:D603)</f>
        <v>0</v>
      </c>
      <c r="F603" s="1"/>
      <c r="G603" s="1"/>
      <c r="H603" s="1"/>
      <c r="I603" s="59">
        <f>SUM(F603:H603)</f>
        <v>0</v>
      </c>
      <c r="J603" s="1"/>
      <c r="K603" s="1"/>
      <c r="L603" s="1"/>
      <c r="M603" s="59">
        <f>SUM(J603:L603)</f>
        <v>0</v>
      </c>
      <c r="N603" s="1"/>
      <c r="O603" s="1"/>
      <c r="P603" s="1"/>
      <c r="Q603" s="59">
        <f>SUM(N603:P603)</f>
        <v>0</v>
      </c>
      <c r="R603" s="59">
        <f>+E603+I603+M603+Q603</f>
        <v>0</v>
      </c>
    </row>
    <row r="604" spans="1:18" ht="15.75" customHeight="1" x14ac:dyDescent="0.3">
      <c r="A604" s="74" t="s">
        <v>554</v>
      </c>
      <c r="B604" s="1"/>
      <c r="C604" s="1"/>
      <c r="D604" s="1">
        <v>50</v>
      </c>
      <c r="E604" s="59">
        <f>SUM(B604:D604)</f>
        <v>50</v>
      </c>
      <c r="F604" s="1">
        <v>50</v>
      </c>
      <c r="G604" s="1">
        <v>50</v>
      </c>
      <c r="H604" s="1">
        <v>50</v>
      </c>
      <c r="I604" s="59">
        <f>SUM(F604:H604)</f>
        <v>150</v>
      </c>
      <c r="J604" s="1">
        <v>50</v>
      </c>
      <c r="K604" s="1">
        <v>50</v>
      </c>
      <c r="L604" s="1"/>
      <c r="M604" s="59">
        <f>SUM(J604:L604)</f>
        <v>100</v>
      </c>
      <c r="N604" s="1"/>
      <c r="O604" s="1"/>
      <c r="P604" s="1"/>
      <c r="Q604" s="59">
        <f>SUM(N604:P604)</f>
        <v>0</v>
      </c>
      <c r="R604" s="59">
        <f>+E604+I604+M604+Q604</f>
        <v>300</v>
      </c>
    </row>
    <row r="605" spans="1:18" ht="15.75" customHeight="1" x14ac:dyDescent="0.3">
      <c r="A605" s="17" t="s">
        <v>47</v>
      </c>
      <c r="B605" s="1"/>
      <c r="C605" s="1"/>
      <c r="D605" s="1"/>
      <c r="E605" s="59" t="s">
        <v>7</v>
      </c>
      <c r="F605" s="1"/>
      <c r="G605" s="1"/>
      <c r="H605" s="1"/>
      <c r="I605" s="59" t="s">
        <v>7</v>
      </c>
      <c r="J605" s="1"/>
      <c r="K605" s="1"/>
      <c r="L605" s="1"/>
      <c r="M605" s="59" t="s">
        <v>7</v>
      </c>
      <c r="N605" s="1"/>
      <c r="O605" s="1"/>
      <c r="P605" s="1"/>
      <c r="Q605" s="59" t="s">
        <v>7</v>
      </c>
      <c r="R605" s="59" t="s">
        <v>7</v>
      </c>
    </row>
    <row r="606" spans="1:18" ht="15.75" customHeight="1" x14ac:dyDescent="0.3">
      <c r="A606" s="17" t="s">
        <v>898</v>
      </c>
      <c r="B606" s="1"/>
      <c r="C606" s="1"/>
      <c r="D606" s="1"/>
      <c r="E606" s="59" t="s">
        <v>7</v>
      </c>
      <c r="F606" s="1"/>
      <c r="G606" s="1"/>
      <c r="H606" s="1"/>
      <c r="I606" s="59" t="s">
        <v>7</v>
      </c>
      <c r="J606" s="1"/>
      <c r="K606" s="1"/>
      <c r="L606" s="1"/>
      <c r="M606" s="59" t="s">
        <v>7</v>
      </c>
      <c r="N606" s="1"/>
      <c r="O606" s="1"/>
      <c r="P606" s="1"/>
      <c r="Q606" s="59" t="s">
        <v>7</v>
      </c>
      <c r="R606" s="59" t="s">
        <v>7</v>
      </c>
    </row>
    <row r="607" spans="1:18" ht="15.75" customHeight="1" thickBot="1" x14ac:dyDescent="0.35">
      <c r="A607" s="17" t="s">
        <v>51</v>
      </c>
      <c r="B607" s="1"/>
      <c r="C607" s="1"/>
      <c r="D607" s="1"/>
      <c r="E607" s="59" t="s">
        <v>7</v>
      </c>
      <c r="F607" s="1"/>
      <c r="G607" s="1"/>
      <c r="H607" s="1"/>
      <c r="I607" s="59" t="s">
        <v>7</v>
      </c>
      <c r="J607" s="1"/>
      <c r="K607" s="1"/>
      <c r="L607" s="1"/>
      <c r="M607" s="59" t="s">
        <v>7</v>
      </c>
      <c r="N607" s="1"/>
      <c r="O607" s="1"/>
      <c r="P607" s="1"/>
      <c r="Q607" s="59" t="s">
        <v>7</v>
      </c>
      <c r="R607" s="59" t="s">
        <v>7</v>
      </c>
    </row>
    <row r="608" spans="1:18" ht="16.5" customHeight="1" thickBot="1" x14ac:dyDescent="0.35">
      <c r="A608" s="126" t="s">
        <v>52</v>
      </c>
      <c r="B608" s="100">
        <f>SUM(B600:B607)</f>
        <v>100</v>
      </c>
      <c r="C608" s="101">
        <f>SUM(C600:C607)</f>
        <v>150</v>
      </c>
      <c r="D608" s="101">
        <f>SUM(D600:D607)</f>
        <v>200</v>
      </c>
      <c r="E608" s="64">
        <f>SUM(B608:D608)</f>
        <v>450</v>
      </c>
      <c r="F608" s="101">
        <f>SUM(F600:F607)</f>
        <v>200</v>
      </c>
      <c r="G608" s="101">
        <f>SUM(G600:G607)</f>
        <v>850</v>
      </c>
      <c r="H608" s="101">
        <f>SUM(H600:H607)</f>
        <v>450</v>
      </c>
      <c r="I608" s="64">
        <f>SUM(F608:H608)</f>
        <v>1500</v>
      </c>
      <c r="J608" s="101">
        <f>SUM(J600:J607)</f>
        <v>1250</v>
      </c>
      <c r="K608" s="101">
        <f>SUM(K600:K607)</f>
        <v>1350</v>
      </c>
      <c r="L608" s="101">
        <f>SUM(L600:L607)</f>
        <v>450</v>
      </c>
      <c r="M608" s="64">
        <f>SUM(J608:L608)</f>
        <v>3050</v>
      </c>
      <c r="N608" s="101">
        <f>SUM(N600:N607)</f>
        <v>100</v>
      </c>
      <c r="O608" s="101">
        <f>SUM(O600:O607)</f>
        <v>100</v>
      </c>
      <c r="P608" s="101">
        <f>SUM(P600:P607)</f>
        <v>100</v>
      </c>
      <c r="Q608" s="64">
        <f>SUM(N608:P608)</f>
        <v>300</v>
      </c>
      <c r="R608" s="64">
        <f>+E608+I608+M608+Q608</f>
        <v>5300</v>
      </c>
    </row>
    <row r="609" spans="1:18" ht="15.75" customHeight="1" x14ac:dyDescent="0.3">
      <c r="A609" s="17" t="s">
        <v>53</v>
      </c>
      <c r="B609" s="1"/>
      <c r="C609" s="1"/>
      <c r="D609" s="1"/>
      <c r="E609" s="59" t="s">
        <v>7</v>
      </c>
      <c r="F609" s="1"/>
      <c r="G609" s="1"/>
      <c r="H609" s="1"/>
      <c r="I609" s="59" t="s">
        <v>7</v>
      </c>
      <c r="J609" s="1"/>
      <c r="K609" s="1"/>
      <c r="L609" s="1"/>
      <c r="M609" s="59" t="s">
        <v>7</v>
      </c>
      <c r="N609" s="1"/>
      <c r="O609" s="1"/>
      <c r="P609" s="1"/>
      <c r="Q609" s="59" t="s">
        <v>7</v>
      </c>
      <c r="R609" s="59" t="s">
        <v>7</v>
      </c>
    </row>
    <row r="610" spans="1:18" ht="15.75" customHeight="1" x14ac:dyDescent="0.3">
      <c r="A610" s="17" t="s">
        <v>55</v>
      </c>
      <c r="B610" s="1"/>
      <c r="C610" s="1"/>
      <c r="D610" s="1"/>
      <c r="E610" s="59" t="s">
        <v>7</v>
      </c>
      <c r="F610" s="1"/>
      <c r="G610" s="1"/>
      <c r="H610" s="1"/>
      <c r="I610" s="59" t="s">
        <v>7</v>
      </c>
      <c r="J610" s="1"/>
      <c r="K610" s="1"/>
      <c r="L610" s="1"/>
      <c r="M610" s="59" t="s">
        <v>7</v>
      </c>
      <c r="N610" s="1"/>
      <c r="O610" s="1"/>
      <c r="P610" s="1"/>
      <c r="Q610" s="59" t="s">
        <v>7</v>
      </c>
      <c r="R610" s="59" t="s">
        <v>7</v>
      </c>
    </row>
    <row r="611" spans="1:18" ht="15.75" customHeight="1" thickBot="1" x14ac:dyDescent="0.35">
      <c r="A611" s="17" t="s">
        <v>56</v>
      </c>
      <c r="B611" s="1"/>
      <c r="C611" s="1"/>
      <c r="D611" s="1"/>
      <c r="E611" s="59" t="s">
        <v>7</v>
      </c>
      <c r="F611" s="1"/>
      <c r="G611" s="1"/>
      <c r="H611" s="1"/>
      <c r="I611" s="59" t="s">
        <v>7</v>
      </c>
      <c r="J611" s="1"/>
      <c r="K611" s="1"/>
      <c r="L611" s="1"/>
      <c r="M611" s="59" t="s">
        <v>7</v>
      </c>
      <c r="N611" s="1"/>
      <c r="O611" s="1"/>
      <c r="P611" s="1"/>
      <c r="Q611" s="59" t="s">
        <v>7</v>
      </c>
      <c r="R611" s="59" t="s">
        <v>7</v>
      </c>
    </row>
    <row r="612" spans="1:18" ht="16.5" customHeight="1" thickBot="1" x14ac:dyDescent="0.35">
      <c r="A612" s="62" t="s">
        <v>57</v>
      </c>
      <c r="B612" s="100">
        <f>SUM(B609:B611)</f>
        <v>0</v>
      </c>
      <c r="C612" s="101">
        <f>SUM(C609:C611)</f>
        <v>0</v>
      </c>
      <c r="D612" s="101">
        <f>SUM(D609:D611)</f>
        <v>0</v>
      </c>
      <c r="E612" s="64">
        <f>SUM(B612:D612)</f>
        <v>0</v>
      </c>
      <c r="F612" s="101">
        <f>SUM(F609:F611)</f>
        <v>0</v>
      </c>
      <c r="G612" s="101">
        <f>SUM(G609:G611)</f>
        <v>0</v>
      </c>
      <c r="H612" s="101">
        <f>SUM(H609:H611)</f>
        <v>0</v>
      </c>
      <c r="I612" s="64">
        <f>SUM(F612:H612)</f>
        <v>0</v>
      </c>
      <c r="J612" s="101">
        <f>SUM(J609:J611)</f>
        <v>0</v>
      </c>
      <c r="K612" s="101">
        <f>SUM(K609:K611)</f>
        <v>0</v>
      </c>
      <c r="L612" s="101">
        <f>SUM(L609:L611)</f>
        <v>0</v>
      </c>
      <c r="M612" s="64">
        <f>SUM(J612:L612)</f>
        <v>0</v>
      </c>
      <c r="N612" s="101">
        <f>SUM(N609:N611)</f>
        <v>0</v>
      </c>
      <c r="O612" s="101">
        <f>SUM(O609:O611)</f>
        <v>0</v>
      </c>
      <c r="P612" s="101">
        <f>SUM(P609:P611)</f>
        <v>0</v>
      </c>
      <c r="Q612" s="64">
        <f>SUM(N612:P612)</f>
        <v>0</v>
      </c>
      <c r="R612" s="64">
        <f>+E612+I612+M612+Q612</f>
        <v>0</v>
      </c>
    </row>
    <row r="613" spans="1:18" ht="15.75" customHeight="1" x14ac:dyDescent="0.3">
      <c r="A613" s="17" t="s">
        <v>58</v>
      </c>
      <c r="B613" s="1"/>
      <c r="C613" s="1"/>
      <c r="D613" s="1"/>
      <c r="E613" s="59" t="s">
        <v>7</v>
      </c>
      <c r="F613" s="1"/>
      <c r="G613" s="1"/>
      <c r="H613" s="1"/>
      <c r="I613" s="59" t="s">
        <v>7</v>
      </c>
      <c r="J613" s="1"/>
      <c r="K613" s="1"/>
      <c r="L613" s="1"/>
      <c r="M613" s="59" t="s">
        <v>7</v>
      </c>
      <c r="N613" s="1"/>
      <c r="O613" s="1"/>
      <c r="P613" s="1"/>
      <c r="Q613" s="59" t="s">
        <v>7</v>
      </c>
      <c r="R613" s="59" t="s">
        <v>7</v>
      </c>
    </row>
    <row r="614" spans="1:18" ht="15.75" customHeight="1" x14ac:dyDescent="0.3">
      <c r="A614" s="17" t="s">
        <v>59</v>
      </c>
      <c r="B614" s="1"/>
      <c r="C614" s="1"/>
      <c r="D614" s="1"/>
      <c r="E614" s="59" t="s">
        <v>7</v>
      </c>
      <c r="F614" s="1"/>
      <c r="G614" s="1"/>
      <c r="H614" s="1"/>
      <c r="I614" s="59" t="s">
        <v>7</v>
      </c>
      <c r="J614" s="1"/>
      <c r="K614" s="1"/>
      <c r="L614" s="1"/>
      <c r="M614" s="59" t="s">
        <v>7</v>
      </c>
      <c r="N614" s="1"/>
      <c r="O614" s="1"/>
      <c r="P614" s="1"/>
      <c r="Q614" s="59" t="s">
        <v>7</v>
      </c>
      <c r="R614" s="59" t="s">
        <v>7</v>
      </c>
    </row>
    <row r="615" spans="1:18" ht="15.75" customHeight="1" thickBot="1" x14ac:dyDescent="0.35">
      <c r="A615" s="17" t="s">
        <v>60</v>
      </c>
      <c r="B615" s="1"/>
      <c r="C615" s="1"/>
      <c r="D615" s="1"/>
      <c r="E615" s="59" t="s">
        <v>7</v>
      </c>
      <c r="F615" s="1"/>
      <c r="G615" s="1"/>
      <c r="H615" s="1"/>
      <c r="I615" s="59" t="s">
        <v>7</v>
      </c>
      <c r="J615" s="1"/>
      <c r="K615" s="1"/>
      <c r="L615" s="1"/>
      <c r="M615" s="59" t="s">
        <v>7</v>
      </c>
      <c r="N615" s="1"/>
      <c r="O615" s="1"/>
      <c r="P615" s="1"/>
      <c r="Q615" s="59" t="s">
        <v>7</v>
      </c>
      <c r="R615" s="59" t="s">
        <v>7</v>
      </c>
    </row>
    <row r="616" spans="1:18" ht="16.5" customHeight="1" thickBot="1" x14ac:dyDescent="0.35">
      <c r="A616" s="137" t="s">
        <v>61</v>
      </c>
      <c r="B616" s="100">
        <f>SUM(B613:B615)</f>
        <v>0</v>
      </c>
      <c r="C616" s="101">
        <f>SUM(C613:C615)</f>
        <v>0</v>
      </c>
      <c r="D616" s="101">
        <f>SUM(D613:D615)</f>
        <v>0</v>
      </c>
      <c r="E616" s="64">
        <f>SUM(B616:D616)</f>
        <v>0</v>
      </c>
      <c r="F616" s="101">
        <f>SUM(F613:F615)</f>
        <v>0</v>
      </c>
      <c r="G616" s="101">
        <f>SUM(G613:G615)</f>
        <v>0</v>
      </c>
      <c r="H616" s="101">
        <f>SUM(H613:H615)</f>
        <v>0</v>
      </c>
      <c r="I616" s="64">
        <f>SUM(F616:H616)</f>
        <v>0</v>
      </c>
      <c r="J616" s="101">
        <f>SUM(J613:J615)</f>
        <v>0</v>
      </c>
      <c r="K616" s="101">
        <f>SUM(K613:K615)</f>
        <v>0</v>
      </c>
      <c r="L616" s="101">
        <f>SUM(L613:L615)</f>
        <v>0</v>
      </c>
      <c r="M616" s="64">
        <f>SUM(J616:L616)</f>
        <v>0</v>
      </c>
      <c r="N616" s="101">
        <f>SUM(N613:N615)</f>
        <v>0</v>
      </c>
      <c r="O616" s="101">
        <f>SUM(O613:O615)</f>
        <v>0</v>
      </c>
      <c r="P616" s="101">
        <f>SUM(P613:P615)</f>
        <v>0</v>
      </c>
      <c r="Q616" s="64">
        <f>SUM(N616:P616)</f>
        <v>0</v>
      </c>
      <c r="R616" s="64">
        <f>+E616+I616+M616+Q616</f>
        <v>0</v>
      </c>
    </row>
    <row r="617" spans="1:18" ht="15.75" customHeight="1" x14ac:dyDescent="0.3">
      <c r="A617" s="17" t="s">
        <v>62</v>
      </c>
      <c r="B617" s="1"/>
      <c r="C617" s="1"/>
      <c r="D617" s="1"/>
      <c r="E617" s="59" t="s">
        <v>7</v>
      </c>
      <c r="F617" s="1"/>
      <c r="G617" s="1"/>
      <c r="H617" s="1"/>
      <c r="I617" s="59" t="s">
        <v>7</v>
      </c>
      <c r="J617" s="1"/>
      <c r="K617" s="1"/>
      <c r="L617" s="1"/>
      <c r="M617" s="59" t="s">
        <v>7</v>
      </c>
      <c r="N617" s="1"/>
      <c r="O617" s="1"/>
      <c r="P617" s="1"/>
      <c r="Q617" s="59" t="s">
        <v>7</v>
      </c>
      <c r="R617" s="59" t="s">
        <v>7</v>
      </c>
    </row>
    <row r="618" spans="1:18" ht="15.75" customHeight="1" x14ac:dyDescent="0.3">
      <c r="A618" s="17" t="s">
        <v>63</v>
      </c>
      <c r="B618" s="1"/>
      <c r="C618" s="1"/>
      <c r="D618" s="1"/>
      <c r="E618" s="59" t="s">
        <v>7</v>
      </c>
      <c r="F618" s="1"/>
      <c r="G618" s="1"/>
      <c r="H618" s="1"/>
      <c r="I618" s="59" t="s">
        <v>7</v>
      </c>
      <c r="J618" s="1"/>
      <c r="K618" s="1"/>
      <c r="L618" s="1"/>
      <c r="M618" s="59" t="s">
        <v>7</v>
      </c>
      <c r="N618" s="1"/>
      <c r="O618" s="1"/>
      <c r="P618" s="1"/>
      <c r="Q618" s="59" t="s">
        <v>7</v>
      </c>
      <c r="R618" s="59" t="s">
        <v>7</v>
      </c>
    </row>
    <row r="619" spans="1:18" ht="15.75" customHeight="1" x14ac:dyDescent="0.3">
      <c r="A619" s="17" t="s">
        <v>64</v>
      </c>
      <c r="B619" s="1"/>
      <c r="C619" s="1"/>
      <c r="D619" s="1"/>
      <c r="E619" s="59" t="s">
        <v>7</v>
      </c>
      <c r="F619" s="1"/>
      <c r="G619" s="1"/>
      <c r="H619" s="1"/>
      <c r="I619" s="59" t="s">
        <v>7</v>
      </c>
      <c r="J619" s="1"/>
      <c r="K619" s="1"/>
      <c r="L619" s="1"/>
      <c r="M619" s="59" t="s">
        <v>7</v>
      </c>
      <c r="N619" s="1"/>
      <c r="O619" s="1"/>
      <c r="P619" s="1"/>
      <c r="Q619" s="59" t="s">
        <v>7</v>
      </c>
      <c r="R619" s="59" t="s">
        <v>7</v>
      </c>
    </row>
    <row r="620" spans="1:18" ht="15.75" customHeight="1" x14ac:dyDescent="0.3">
      <c r="A620" s="74" t="s">
        <v>555</v>
      </c>
      <c r="B620" s="1"/>
      <c r="C620" s="1"/>
      <c r="D620" s="1"/>
      <c r="E620" s="59">
        <f>SUM(B620:D620)</f>
        <v>0</v>
      </c>
      <c r="F620" s="1"/>
      <c r="G620" s="1"/>
      <c r="H620" s="1"/>
      <c r="I620" s="59">
        <f>SUM(F620:H620)</f>
        <v>0</v>
      </c>
      <c r="J620" s="1"/>
      <c r="K620" s="1"/>
      <c r="L620" s="1"/>
      <c r="M620" s="59">
        <f>SUM(J620:L620)</f>
        <v>0</v>
      </c>
      <c r="N620" s="1"/>
      <c r="O620" s="1"/>
      <c r="P620" s="1"/>
      <c r="Q620" s="59">
        <f>SUM(N620:P620)</f>
        <v>0</v>
      </c>
      <c r="R620" s="59">
        <f>+E620+I620+M620+Q620</f>
        <v>0</v>
      </c>
    </row>
    <row r="621" spans="1:18" ht="15.75" customHeight="1" x14ac:dyDescent="0.3">
      <c r="A621" s="17" t="s">
        <v>66</v>
      </c>
      <c r="B621" s="1"/>
      <c r="C621" s="1"/>
      <c r="D621" s="1"/>
      <c r="E621" s="59" t="s">
        <v>7</v>
      </c>
      <c r="F621" s="1"/>
      <c r="G621" s="1"/>
      <c r="H621" s="1"/>
      <c r="I621" s="59" t="s">
        <v>7</v>
      </c>
      <c r="J621" s="1"/>
      <c r="K621" s="1"/>
      <c r="L621" s="1"/>
      <c r="M621" s="59" t="s">
        <v>7</v>
      </c>
      <c r="N621" s="1"/>
      <c r="O621" s="1"/>
      <c r="P621" s="1"/>
      <c r="Q621" s="59" t="s">
        <v>7</v>
      </c>
      <c r="R621" s="59" t="s">
        <v>7</v>
      </c>
    </row>
    <row r="622" spans="1:18" ht="15.75" customHeight="1" thickBot="1" x14ac:dyDescent="0.35">
      <c r="A622" s="17" t="s">
        <v>67</v>
      </c>
      <c r="B622" s="1"/>
      <c r="C622" s="1"/>
      <c r="D622" s="1"/>
      <c r="E622" s="59" t="s">
        <v>7</v>
      </c>
      <c r="F622" s="1"/>
      <c r="G622" s="1"/>
      <c r="H622" s="1"/>
      <c r="I622" s="59" t="s">
        <v>7</v>
      </c>
      <c r="J622" s="1"/>
      <c r="K622" s="1"/>
      <c r="L622" s="1"/>
      <c r="M622" s="59" t="s">
        <v>7</v>
      </c>
      <c r="N622" s="1"/>
      <c r="O622" s="1"/>
      <c r="P622" s="1"/>
      <c r="Q622" s="59" t="s">
        <v>7</v>
      </c>
      <c r="R622" s="59" t="s">
        <v>7</v>
      </c>
    </row>
    <row r="623" spans="1:18" ht="16.5" customHeight="1" thickBot="1" x14ac:dyDescent="0.35">
      <c r="A623" s="62" t="s">
        <v>68</v>
      </c>
      <c r="B623" s="63">
        <f>SUM(B621:B622)</f>
        <v>0</v>
      </c>
      <c r="C623" s="63">
        <f>SUM(C621:C622)</f>
        <v>0</v>
      </c>
      <c r="D623" s="63">
        <f>SUM(D621:D622)</f>
        <v>0</v>
      </c>
      <c r="E623" s="65">
        <f>SUM(B623:D623)</f>
        <v>0</v>
      </c>
      <c r="F623" s="63">
        <f>SUM(F621:F622)</f>
        <v>0</v>
      </c>
      <c r="G623" s="63">
        <f>SUM(G621:G622)</f>
        <v>0</v>
      </c>
      <c r="H623" s="63">
        <f>SUM(H621:H622)</f>
        <v>0</v>
      </c>
      <c r="I623" s="65">
        <f>SUM(F623:H623)</f>
        <v>0</v>
      </c>
      <c r="J623" s="63">
        <f>SUM(J621:J622)</f>
        <v>0</v>
      </c>
      <c r="K623" s="63">
        <f>SUM(K621:K622)</f>
        <v>0</v>
      </c>
      <c r="L623" s="63">
        <f>SUM(L621:L622)</f>
        <v>0</v>
      </c>
      <c r="M623" s="65">
        <f>SUM(J623:L623)</f>
        <v>0</v>
      </c>
      <c r="N623" s="63">
        <f>SUM(N621:N622)</f>
        <v>0</v>
      </c>
      <c r="O623" s="63">
        <f>SUM(O621:O622)</f>
        <v>0</v>
      </c>
      <c r="P623" s="63">
        <f>SUM(P621:P622)</f>
        <v>0</v>
      </c>
      <c r="Q623" s="65">
        <f>SUM(N623:P623)</f>
        <v>0</v>
      </c>
      <c r="R623" s="64">
        <f>+E623+I623+M623+Q623</f>
        <v>0</v>
      </c>
    </row>
    <row r="624" spans="1:18" ht="16.5" customHeight="1" thickBot="1" x14ac:dyDescent="0.35">
      <c r="A624" s="137" t="s">
        <v>69</v>
      </c>
      <c r="B624" s="100">
        <f>SUM(B617:B622)</f>
        <v>0</v>
      </c>
      <c r="C624" s="101">
        <f>SUM(C617:C622)</f>
        <v>0</v>
      </c>
      <c r="D624" s="138">
        <f>SUM(D617:D622)</f>
        <v>0</v>
      </c>
      <c r="E624" s="65">
        <f>SUM(B624:D624)</f>
        <v>0</v>
      </c>
      <c r="F624" s="101">
        <f>SUM(F617:F622)</f>
        <v>0</v>
      </c>
      <c r="G624" s="101">
        <f>SUM(G617:G622)</f>
        <v>0</v>
      </c>
      <c r="H624" s="101">
        <f>SUM(H617:H622)</f>
        <v>0</v>
      </c>
      <c r="I624" s="65">
        <f>SUM(F624:H624)</f>
        <v>0</v>
      </c>
      <c r="J624" s="101">
        <f>SUM(J617:J622)</f>
        <v>0</v>
      </c>
      <c r="K624" s="101">
        <f>SUM(K617:K622)</f>
        <v>0</v>
      </c>
      <c r="L624" s="101">
        <f>SUM(L617:L622)</f>
        <v>0</v>
      </c>
      <c r="M624" s="65">
        <f>SUM(J624:L624)</f>
        <v>0</v>
      </c>
      <c r="N624" s="101">
        <f>SUM(N617:N622)</f>
        <v>0</v>
      </c>
      <c r="O624" s="101">
        <f>SUM(O617:O622)</f>
        <v>0</v>
      </c>
      <c r="P624" s="101">
        <f>SUM(P617:P622)</f>
        <v>0</v>
      </c>
      <c r="Q624" s="65">
        <f>SUM(N624:P624)</f>
        <v>0</v>
      </c>
      <c r="R624" s="64">
        <f>+E624+I624+M624+Q624</f>
        <v>0</v>
      </c>
    </row>
    <row r="625" spans="1:18" ht="16.5" customHeight="1" thickBot="1" x14ac:dyDescent="0.35">
      <c r="A625" s="62" t="s">
        <v>70</v>
      </c>
      <c r="B625" s="107">
        <f>+B608+B612+B616+B624</f>
        <v>100</v>
      </c>
      <c r="C625" s="63">
        <f>+C608+C612+C616+C624</f>
        <v>150</v>
      </c>
      <c r="D625" s="63">
        <f>+D608+D612+D616+D624</f>
        <v>200</v>
      </c>
      <c r="E625" s="64">
        <f>SUM(B625:D625)</f>
        <v>450</v>
      </c>
      <c r="F625" s="63">
        <f>+F608+F612+F616+F624</f>
        <v>200</v>
      </c>
      <c r="G625" s="63">
        <f>+G608+G612+G616+G624</f>
        <v>850</v>
      </c>
      <c r="H625" s="63">
        <f>+H608+H612+H616+H624</f>
        <v>450</v>
      </c>
      <c r="I625" s="64">
        <f>SUM(F625:H625)</f>
        <v>1500</v>
      </c>
      <c r="J625" s="63">
        <f>+J608+J612+J616+J624</f>
        <v>1250</v>
      </c>
      <c r="K625" s="63">
        <f>+K608+K612+K616+K624</f>
        <v>1350</v>
      </c>
      <c r="L625" s="63">
        <f>+L608+L612+L616+L624</f>
        <v>450</v>
      </c>
      <c r="M625" s="64">
        <f>SUM(J625:L625)</f>
        <v>3050</v>
      </c>
      <c r="N625" s="63">
        <f>+N608+N612+N616+N624</f>
        <v>100</v>
      </c>
      <c r="O625" s="63">
        <f>+O608+O612+O616+O624</f>
        <v>100</v>
      </c>
      <c r="P625" s="63">
        <f>+P608+P612+P616+P624</f>
        <v>100</v>
      </c>
      <c r="Q625" s="64">
        <f>SUM(N625:P625)</f>
        <v>300</v>
      </c>
      <c r="R625" s="88">
        <f>+E625+I625+M625+Q625</f>
        <v>5300</v>
      </c>
    </row>
    <row r="626" spans="1:18" ht="16.5" customHeight="1" thickBot="1" x14ac:dyDescent="0.35">
      <c r="A626" s="40" t="s">
        <v>37</v>
      </c>
      <c r="B626" s="25">
        <v>10</v>
      </c>
      <c r="C626" s="25">
        <v>11</v>
      </c>
      <c r="D626" s="25">
        <v>14</v>
      </c>
      <c r="E626" s="59">
        <f>SUM(B626:D626)</f>
        <v>35</v>
      </c>
      <c r="F626" s="25">
        <v>18</v>
      </c>
      <c r="G626" s="25">
        <v>21</v>
      </c>
      <c r="H626" s="25">
        <v>22</v>
      </c>
      <c r="I626" s="59">
        <f>SUM(F626:H626)</f>
        <v>61</v>
      </c>
      <c r="J626" s="25">
        <v>19</v>
      </c>
      <c r="K626" s="25">
        <v>17</v>
      </c>
      <c r="L626" s="25">
        <v>17</v>
      </c>
      <c r="M626" s="59">
        <f>SUM(J626:L626)</f>
        <v>53</v>
      </c>
      <c r="N626" s="25">
        <v>14</v>
      </c>
      <c r="O626" s="25">
        <v>11</v>
      </c>
      <c r="P626" s="25">
        <v>9</v>
      </c>
      <c r="Q626" s="59">
        <f>SUM(N626:P626)</f>
        <v>34</v>
      </c>
      <c r="R626" s="59">
        <f>+E626+I626+M626+Q626</f>
        <v>183</v>
      </c>
    </row>
    <row r="627" spans="1:18" ht="16.5" customHeight="1" thickBot="1" x14ac:dyDescent="0.35">
      <c r="A627" s="42"/>
      <c r="B627" s="37"/>
      <c r="C627" s="37"/>
      <c r="D627" s="37"/>
      <c r="E627" s="16"/>
      <c r="F627" s="37"/>
      <c r="G627" s="37"/>
      <c r="H627" s="37"/>
      <c r="I627" s="16"/>
      <c r="J627" s="37"/>
      <c r="K627" s="37"/>
      <c r="L627" s="37"/>
      <c r="M627" s="153"/>
      <c r="N627" s="37"/>
      <c r="O627" s="37"/>
      <c r="P627" s="37"/>
      <c r="Q627" s="153"/>
      <c r="R627" s="41"/>
    </row>
    <row r="628" spans="1:18" ht="15.75" customHeight="1" x14ac:dyDescent="0.3">
      <c r="A628" s="17" t="s">
        <v>507</v>
      </c>
      <c r="B628" s="1">
        <f>SUM(B625:B626)</f>
        <v>110</v>
      </c>
      <c r="C628" s="1">
        <f>SUM(C625:C626)</f>
        <v>161</v>
      </c>
      <c r="D628" s="1">
        <f>SUM(D625:D626)</f>
        <v>214</v>
      </c>
      <c r="E628" s="59">
        <f>SUM(B628:D628)</f>
        <v>485</v>
      </c>
      <c r="F628" s="1">
        <f>SUM(F625:F626)</f>
        <v>218</v>
      </c>
      <c r="G628" s="1">
        <f>SUM(G625:G626)</f>
        <v>871</v>
      </c>
      <c r="H628" s="1">
        <f>SUM(H625:H626)</f>
        <v>472</v>
      </c>
      <c r="I628" s="65">
        <f>SUM(F628:H628)</f>
        <v>1561</v>
      </c>
      <c r="J628" s="1">
        <f>SUM(J625:J626)</f>
        <v>1269</v>
      </c>
      <c r="K628" s="1">
        <f>SUM(K625:K626)</f>
        <v>1367</v>
      </c>
      <c r="L628" s="1">
        <f>SUM(L625:L626)</f>
        <v>467</v>
      </c>
      <c r="M628" s="65">
        <f>SUM(J628:L628)</f>
        <v>3103</v>
      </c>
      <c r="N628" s="1">
        <f>SUM(N625:N626)</f>
        <v>114</v>
      </c>
      <c r="O628" s="1">
        <f>SUM(O625:O626)</f>
        <v>111</v>
      </c>
      <c r="P628" s="1">
        <f>SUM(P625:P626)</f>
        <v>109</v>
      </c>
      <c r="Q628" s="65">
        <f>SUM(N628:P628)</f>
        <v>334</v>
      </c>
      <c r="R628" s="65">
        <f>+E628+I628+M628+Q628</f>
        <v>5483</v>
      </c>
    </row>
    <row r="629" spans="1:18" ht="15.75" customHeight="1" x14ac:dyDescent="0.3">
      <c r="A629" s="17" t="s">
        <v>39</v>
      </c>
      <c r="B629" s="1">
        <f>(B628/B10)/1.983</f>
        <v>1.7894034779496688</v>
      </c>
      <c r="C629" s="1">
        <f>(C628/C10)/1.983</f>
        <v>2.799659171926896</v>
      </c>
      <c r="D629" s="1">
        <f>(D628/D10)/1.983</f>
        <v>3.481203129829356</v>
      </c>
      <c r="E629" s="59" t="s">
        <v>7</v>
      </c>
      <c r="F629" s="1">
        <f>(F628/F10)/1.983</f>
        <v>3.6644814254496554</v>
      </c>
      <c r="G629" s="1">
        <f>(G628/G10)/1.983</f>
        <v>14.168822084492378</v>
      </c>
      <c r="H629" s="1">
        <f>(H628/H10)/1.983</f>
        <v>7.9341065725331976</v>
      </c>
      <c r="I629" s="59" t="s">
        <v>7</v>
      </c>
      <c r="J629" s="1">
        <f>(J628/J10)/1.983</f>
        <v>20.643209213801182</v>
      </c>
      <c r="K629" s="1">
        <f>(K628/K10)/1.983</f>
        <v>22.237405039610884</v>
      </c>
      <c r="L629" s="1">
        <f>(L628/L10)/1.983</f>
        <v>7.8500588334173802</v>
      </c>
      <c r="M629" s="59" t="s">
        <v>7</v>
      </c>
      <c r="N629" s="1">
        <f>(N628/N10)/1.983</f>
        <v>1.8544726953296569</v>
      </c>
      <c r="O629" s="1">
        <f>(O628/O10)/1.983</f>
        <v>1.8658598083711548</v>
      </c>
      <c r="P629" s="1">
        <f>(P628/P10)/1.983</f>
        <v>1.7731361736046718</v>
      </c>
      <c r="Q629" s="59" t="s">
        <v>7</v>
      </c>
      <c r="R629" s="59" t="s">
        <v>7</v>
      </c>
    </row>
    <row r="630" spans="1:18" ht="15.75" customHeight="1" x14ac:dyDescent="0.3">
      <c r="A630" s="17" t="s">
        <v>556</v>
      </c>
      <c r="B630" s="1">
        <f>B628+B677</f>
        <v>16886</v>
      </c>
      <c r="C630" s="1">
        <f>C628+C677</f>
        <v>17304</v>
      </c>
      <c r="D630" s="1">
        <f>D628+D677</f>
        <v>19366</v>
      </c>
      <c r="E630" s="59">
        <f>SUM(B630:D630)</f>
        <v>53556</v>
      </c>
      <c r="F630" s="1">
        <f>F628+F677</f>
        <v>19529</v>
      </c>
      <c r="G630" s="1">
        <f>G628+G677</f>
        <v>18237</v>
      </c>
      <c r="H630" s="1">
        <f>H628+H677</f>
        <v>19942</v>
      </c>
      <c r="I630" s="59">
        <f>SUM(F630:H630)</f>
        <v>57708</v>
      </c>
      <c r="J630" s="1">
        <f>J628+J677</f>
        <v>20202</v>
      </c>
      <c r="K630" s="1">
        <f>K628+K677</f>
        <v>19736</v>
      </c>
      <c r="L630" s="1">
        <f>L628+L677</f>
        <v>19003</v>
      </c>
      <c r="M630" s="59">
        <f>SUM(J630:L630)</f>
        <v>58941</v>
      </c>
      <c r="N630" s="1">
        <f>N628+N677</f>
        <v>8023</v>
      </c>
      <c r="O630" s="1">
        <f>O628+O677</f>
        <v>6990</v>
      </c>
      <c r="P630" s="1">
        <f>P628+P677</f>
        <v>14702</v>
      </c>
      <c r="Q630" s="59">
        <f>SUM(N630:P630)</f>
        <v>29715</v>
      </c>
      <c r="R630" s="59">
        <f>+E630+I630+M630+Q630</f>
        <v>199920</v>
      </c>
    </row>
    <row r="631" spans="1:18" ht="16.5" customHeight="1" thickBot="1" x14ac:dyDescent="0.35">
      <c r="A631" s="24" t="s">
        <v>557</v>
      </c>
      <c r="B631" s="25">
        <f>(B630/B10)/1.983</f>
        <v>274.68970116961918</v>
      </c>
      <c r="C631" s="25">
        <f>(C630/C10)/1.983</f>
        <v>300.90249882622987</v>
      </c>
      <c r="D631" s="25">
        <f>(D630/D10)/1.983</f>
        <v>315.03261594521172</v>
      </c>
      <c r="E631" s="88" t="s">
        <v>7</v>
      </c>
      <c r="F631" s="25">
        <f>(F630/F10)/1.983</f>
        <v>328.27365943856108</v>
      </c>
      <c r="G631" s="25">
        <f>(G630/G10)/1.983</f>
        <v>296.66682933971009</v>
      </c>
      <c r="H631" s="25">
        <f>(H630/H10)/1.983</f>
        <v>335.21600268952767</v>
      </c>
      <c r="I631" s="88" t="s">
        <v>7</v>
      </c>
      <c r="J631" s="25">
        <f>(J630/J10)/1.983</f>
        <v>328.63208237762916</v>
      </c>
      <c r="K631" s="25">
        <f>(K630/K10)/1.983</f>
        <v>321.05151855286056</v>
      </c>
      <c r="L631" s="25">
        <f>(L630/L10)/1.983</f>
        <v>319.43183728357701</v>
      </c>
      <c r="M631" s="88" t="s">
        <v>7</v>
      </c>
      <c r="N631" s="25">
        <f>(N630/N10)/1.983</f>
        <v>130.51258275991086</v>
      </c>
      <c r="O631" s="25">
        <f>(O630/O10)/1.983</f>
        <v>117.49873928391325</v>
      </c>
      <c r="P631" s="25">
        <f>(P630/P10)/1.983</f>
        <v>239.16190848014574</v>
      </c>
      <c r="Q631" s="88" t="s">
        <v>7</v>
      </c>
      <c r="R631" s="88" t="s">
        <v>7</v>
      </c>
    </row>
    <row r="632" spans="1:18" ht="15.75" customHeight="1" x14ac:dyDescent="0.3">
      <c r="A632" s="28"/>
      <c r="B632" s="1"/>
      <c r="C632" s="1"/>
      <c r="D632" s="1"/>
      <c r="E632" s="1"/>
      <c r="F632" s="1"/>
      <c r="G632" s="1"/>
      <c r="H632" s="1"/>
      <c r="I632" s="1"/>
      <c r="J632" s="1"/>
      <c r="K632" s="1"/>
      <c r="L632" s="1"/>
      <c r="M632" s="1"/>
      <c r="N632" s="1"/>
      <c r="O632" s="1"/>
      <c r="P632" s="1"/>
      <c r="Q632" s="1"/>
      <c r="R632" s="28"/>
    </row>
    <row r="633" spans="1:18" ht="16.5" customHeight="1" thickBot="1" x14ac:dyDescent="0.35">
      <c r="A633" s="123"/>
      <c r="B633" s="25"/>
      <c r="C633" s="25"/>
      <c r="D633" s="25"/>
      <c r="E633" s="25"/>
      <c r="F633" s="25"/>
      <c r="G633" s="25"/>
      <c r="H633" s="25"/>
      <c r="I633" s="25"/>
      <c r="J633" s="25"/>
      <c r="K633" s="25"/>
      <c r="L633" s="25"/>
      <c r="M633" s="25"/>
      <c r="N633" s="25"/>
      <c r="O633" s="25"/>
      <c r="P633" s="25"/>
      <c r="Q633" s="25"/>
      <c r="R633" s="123"/>
    </row>
    <row r="634" spans="1:18" ht="15.75" customHeight="1" thickBot="1" x14ac:dyDescent="0.35">
      <c r="A634" s="124" t="s">
        <v>558</v>
      </c>
      <c r="B634" s="54" t="s">
        <v>36</v>
      </c>
      <c r="C634" s="11" t="s">
        <v>9</v>
      </c>
      <c r="D634" s="11" t="s">
        <v>10</v>
      </c>
      <c r="E634" s="12" t="s">
        <v>11</v>
      </c>
      <c r="F634" s="11" t="s">
        <v>12</v>
      </c>
      <c r="G634" s="11" t="s">
        <v>13</v>
      </c>
      <c r="H634" s="11" t="s">
        <v>14</v>
      </c>
      <c r="I634" s="12" t="s">
        <v>15</v>
      </c>
      <c r="J634" s="11" t="s">
        <v>16</v>
      </c>
      <c r="K634" s="11" t="s">
        <v>17</v>
      </c>
      <c r="L634" s="11" t="s">
        <v>18</v>
      </c>
      <c r="M634" s="12" t="s">
        <v>19</v>
      </c>
      <c r="N634" s="11" t="s">
        <v>20</v>
      </c>
      <c r="O634" s="11" t="s">
        <v>21</v>
      </c>
      <c r="P634" s="11" t="s">
        <v>22</v>
      </c>
      <c r="Q634" s="12" t="s">
        <v>23</v>
      </c>
      <c r="R634" s="13" t="s">
        <v>24</v>
      </c>
    </row>
    <row r="635" spans="1:18" ht="16.5" customHeight="1" thickBot="1" x14ac:dyDescent="0.35">
      <c r="A635" s="154"/>
      <c r="B635" s="56"/>
      <c r="C635" s="56"/>
      <c r="D635" s="56"/>
      <c r="E635" s="16"/>
      <c r="F635" s="56"/>
      <c r="G635" s="56"/>
      <c r="H635" s="56"/>
      <c r="I635" s="16"/>
      <c r="J635" s="56"/>
      <c r="K635" s="56"/>
      <c r="L635" s="56"/>
      <c r="M635" s="16"/>
      <c r="N635" s="56"/>
      <c r="O635" s="56"/>
      <c r="P635" s="56"/>
      <c r="Q635" s="16"/>
      <c r="R635" s="57"/>
    </row>
    <row r="636" spans="1:18" ht="15.75" customHeight="1" x14ac:dyDescent="0.3">
      <c r="A636" s="17" t="s">
        <v>45</v>
      </c>
      <c r="B636" s="1" t="s">
        <v>7</v>
      </c>
      <c r="C636" s="1" t="s">
        <v>7</v>
      </c>
      <c r="D636" s="1" t="s">
        <v>7</v>
      </c>
      <c r="E636" s="59" t="s">
        <v>7</v>
      </c>
      <c r="F636" s="1" t="s">
        <v>7</v>
      </c>
      <c r="G636" s="1" t="s">
        <v>7</v>
      </c>
      <c r="H636" s="1" t="s">
        <v>7</v>
      </c>
      <c r="I636" s="59" t="s">
        <v>7</v>
      </c>
      <c r="J636" s="1" t="s">
        <v>7</v>
      </c>
      <c r="K636" s="1" t="s">
        <v>7</v>
      </c>
      <c r="L636" s="1" t="s">
        <v>7</v>
      </c>
      <c r="M636" s="59" t="s">
        <v>7</v>
      </c>
      <c r="N636" s="1" t="s">
        <v>7</v>
      </c>
      <c r="O636" s="1" t="s">
        <v>7</v>
      </c>
      <c r="P636" s="1" t="s">
        <v>7</v>
      </c>
      <c r="Q636" s="59" t="s">
        <v>7</v>
      </c>
      <c r="R636" s="59" t="s">
        <v>7</v>
      </c>
    </row>
    <row r="637" spans="1:18" ht="15.75" customHeight="1" x14ac:dyDescent="0.3">
      <c r="A637" s="17" t="s">
        <v>46</v>
      </c>
      <c r="B637" s="1"/>
      <c r="C637" s="1"/>
      <c r="D637" s="1"/>
      <c r="E637" s="59" t="s">
        <v>7</v>
      </c>
      <c r="F637" s="1"/>
      <c r="G637" s="1"/>
      <c r="H637" s="1"/>
      <c r="I637" s="59" t="s">
        <v>7</v>
      </c>
      <c r="J637" s="1"/>
      <c r="K637" s="1"/>
      <c r="L637" s="1"/>
      <c r="M637" s="59" t="s">
        <v>7</v>
      </c>
      <c r="N637" s="1"/>
      <c r="O637" s="1"/>
      <c r="P637" s="1"/>
      <c r="Q637" s="59" t="s">
        <v>7</v>
      </c>
      <c r="R637" s="59" t="s">
        <v>7</v>
      </c>
    </row>
    <row r="638" spans="1:18" ht="15.75" customHeight="1" x14ac:dyDescent="0.3">
      <c r="A638" s="74" t="s">
        <v>559</v>
      </c>
      <c r="B638" s="1">
        <v>5500</v>
      </c>
      <c r="C638" s="1">
        <v>5500</v>
      </c>
      <c r="D638" s="1">
        <v>6500</v>
      </c>
      <c r="E638" s="59">
        <f t="shared" ref="E638:E643" si="110">SUM(B638:D638)</f>
        <v>17500</v>
      </c>
      <c r="F638" s="1">
        <v>6500</v>
      </c>
      <c r="G638" s="1">
        <v>6500</v>
      </c>
      <c r="H638" s="1">
        <v>6500</v>
      </c>
      <c r="I638" s="59">
        <f t="shared" ref="I638:I643" si="111">SUM(F638:H638)</f>
        <v>19500</v>
      </c>
      <c r="J638" s="1">
        <v>5500</v>
      </c>
      <c r="K638" s="1">
        <v>5500</v>
      </c>
      <c r="L638" s="1">
        <v>5500</v>
      </c>
      <c r="M638" s="59">
        <f t="shared" ref="M638:M643" si="112">SUM(J638:L638)</f>
        <v>16500</v>
      </c>
      <c r="N638" s="1">
        <v>2500</v>
      </c>
      <c r="O638" s="1">
        <v>2500</v>
      </c>
      <c r="P638" s="1">
        <v>4950</v>
      </c>
      <c r="Q638" s="59">
        <f t="shared" ref="Q638:Q643" si="113">SUM(N638:P638)</f>
        <v>9950</v>
      </c>
      <c r="R638" s="59">
        <f t="shared" ref="R638:R643" si="114">+E638+I638+M638+Q638</f>
        <v>63450</v>
      </c>
    </row>
    <row r="639" spans="1:18" ht="15.75" customHeight="1" x14ac:dyDescent="0.3">
      <c r="A639" s="74" t="s">
        <v>560</v>
      </c>
      <c r="B639" s="1">
        <v>5000</v>
      </c>
      <c r="C639" s="1">
        <v>5250</v>
      </c>
      <c r="D639" s="1">
        <v>5250</v>
      </c>
      <c r="E639" s="59">
        <f t="shared" si="110"/>
        <v>15500</v>
      </c>
      <c r="F639" s="1">
        <v>5250</v>
      </c>
      <c r="G639" s="1">
        <v>5250</v>
      </c>
      <c r="H639" s="1">
        <v>5250</v>
      </c>
      <c r="I639" s="59">
        <f t="shared" si="111"/>
        <v>15750</v>
      </c>
      <c r="J639" s="1">
        <v>5250</v>
      </c>
      <c r="K639" s="1">
        <v>5250</v>
      </c>
      <c r="L639" s="1">
        <v>5250</v>
      </c>
      <c r="M639" s="59">
        <f t="shared" si="112"/>
        <v>15750</v>
      </c>
      <c r="N639" s="1">
        <v>1500</v>
      </c>
      <c r="O639" s="1">
        <v>1500</v>
      </c>
      <c r="P639" s="1">
        <v>4441</v>
      </c>
      <c r="Q639" s="59">
        <f t="shared" si="113"/>
        <v>7441</v>
      </c>
      <c r="R639" s="59">
        <f t="shared" si="114"/>
        <v>54441</v>
      </c>
    </row>
    <row r="640" spans="1:18" ht="15.75" customHeight="1" x14ac:dyDescent="0.3">
      <c r="A640" s="74" t="s">
        <v>561</v>
      </c>
      <c r="B640" s="1">
        <v>50</v>
      </c>
      <c r="C640" s="1"/>
      <c r="D640" s="1"/>
      <c r="E640" s="59">
        <f t="shared" si="110"/>
        <v>50</v>
      </c>
      <c r="F640" s="1"/>
      <c r="G640" s="1"/>
      <c r="H640" s="1"/>
      <c r="I640" s="59">
        <f t="shared" si="111"/>
        <v>0</v>
      </c>
      <c r="J640" s="1"/>
      <c r="K640" s="1"/>
      <c r="L640" s="1"/>
      <c r="M640" s="59">
        <f t="shared" si="112"/>
        <v>0</v>
      </c>
      <c r="N640" s="1"/>
      <c r="O640" s="1"/>
      <c r="P640" s="1"/>
      <c r="Q640" s="59">
        <f t="shared" si="113"/>
        <v>0</v>
      </c>
      <c r="R640" s="59">
        <f t="shared" si="114"/>
        <v>50</v>
      </c>
    </row>
    <row r="641" spans="1:20" ht="15.75" customHeight="1" x14ac:dyDescent="0.3">
      <c r="A641" s="74" t="s">
        <v>562</v>
      </c>
      <c r="B641" s="1">
        <v>350</v>
      </c>
      <c r="C641" s="1">
        <v>350</v>
      </c>
      <c r="D641" s="1">
        <v>350</v>
      </c>
      <c r="E641" s="59">
        <f t="shared" si="110"/>
        <v>1050</v>
      </c>
      <c r="F641" s="1">
        <v>350</v>
      </c>
      <c r="G641" s="1">
        <v>350</v>
      </c>
      <c r="H641" s="1">
        <v>350</v>
      </c>
      <c r="I641" s="59">
        <f t="shared" si="111"/>
        <v>1050</v>
      </c>
      <c r="J641" s="1">
        <v>350</v>
      </c>
      <c r="K641" s="1">
        <v>350</v>
      </c>
      <c r="L641" s="1">
        <v>350</v>
      </c>
      <c r="M641" s="59">
        <f t="shared" si="112"/>
        <v>1050</v>
      </c>
      <c r="N641" s="1">
        <v>250</v>
      </c>
      <c r="O641" s="1">
        <v>250</v>
      </c>
      <c r="P641" s="1">
        <v>350</v>
      </c>
      <c r="Q641" s="59">
        <f t="shared" si="113"/>
        <v>850</v>
      </c>
      <c r="R641" s="59">
        <f t="shared" si="114"/>
        <v>4000</v>
      </c>
    </row>
    <row r="642" spans="1:20" ht="15.75" customHeight="1" x14ac:dyDescent="0.3">
      <c r="A642" s="74" t="s">
        <v>563</v>
      </c>
      <c r="B642" s="1">
        <v>192</v>
      </c>
      <c r="C642" s="1">
        <v>192</v>
      </c>
      <c r="D642" s="1">
        <v>192</v>
      </c>
      <c r="E642" s="59">
        <f t="shared" si="110"/>
        <v>576</v>
      </c>
      <c r="F642" s="1">
        <v>192</v>
      </c>
      <c r="G642" s="1">
        <v>192</v>
      </c>
      <c r="H642" s="1">
        <v>192</v>
      </c>
      <c r="I642" s="59">
        <f t="shared" si="111"/>
        <v>576</v>
      </c>
      <c r="J642" s="1">
        <v>192</v>
      </c>
      <c r="K642" s="1">
        <v>192</v>
      </c>
      <c r="L642" s="1">
        <v>191</v>
      </c>
      <c r="M642" s="59">
        <f t="shared" si="112"/>
        <v>575</v>
      </c>
      <c r="N642" s="1">
        <v>191</v>
      </c>
      <c r="O642" s="1">
        <v>191</v>
      </c>
      <c r="P642" s="1">
        <v>191</v>
      </c>
      <c r="Q642" s="59">
        <f t="shared" si="113"/>
        <v>573</v>
      </c>
      <c r="R642" s="59">
        <f t="shared" si="114"/>
        <v>2300</v>
      </c>
    </row>
    <row r="643" spans="1:20" ht="15.75" customHeight="1" x14ac:dyDescent="0.3">
      <c r="A643" s="74" t="s">
        <v>564</v>
      </c>
      <c r="B643" s="1">
        <v>100</v>
      </c>
      <c r="C643" s="1">
        <v>100</v>
      </c>
      <c r="D643" s="1">
        <v>100</v>
      </c>
      <c r="E643" s="59">
        <f t="shared" si="110"/>
        <v>300</v>
      </c>
      <c r="F643" s="1">
        <v>100</v>
      </c>
      <c r="G643" s="1">
        <v>100</v>
      </c>
      <c r="H643" s="1">
        <v>100</v>
      </c>
      <c r="I643" s="59">
        <f t="shared" si="111"/>
        <v>300</v>
      </c>
      <c r="J643" s="1">
        <v>100</v>
      </c>
      <c r="K643" s="1">
        <v>100</v>
      </c>
      <c r="L643" s="1">
        <v>100</v>
      </c>
      <c r="M643" s="59">
        <f t="shared" si="112"/>
        <v>300</v>
      </c>
      <c r="N643" s="1"/>
      <c r="O643" s="1">
        <v>100</v>
      </c>
      <c r="P643" s="1">
        <v>100</v>
      </c>
      <c r="Q643" s="59">
        <f t="shared" si="113"/>
        <v>200</v>
      </c>
      <c r="R643" s="59">
        <f t="shared" si="114"/>
        <v>1100</v>
      </c>
    </row>
    <row r="644" spans="1:20" ht="15.75" customHeight="1" x14ac:dyDescent="0.3">
      <c r="A644" s="17" t="s">
        <v>47</v>
      </c>
      <c r="B644" s="1"/>
      <c r="C644" s="1"/>
      <c r="D644" s="1"/>
      <c r="E644" s="59" t="s">
        <v>7</v>
      </c>
      <c r="F644" s="1"/>
      <c r="G644" s="1"/>
      <c r="H644" s="1"/>
      <c r="I644" s="59" t="s">
        <v>7</v>
      </c>
      <c r="J644" s="1"/>
      <c r="K644" s="1"/>
      <c r="L644" s="1"/>
      <c r="M644" s="59" t="s">
        <v>7</v>
      </c>
      <c r="N644" s="1"/>
      <c r="O644" s="1"/>
      <c r="P644" s="1"/>
      <c r="Q644" s="59" t="s">
        <v>7</v>
      </c>
      <c r="R644" s="59" t="s">
        <v>7</v>
      </c>
    </row>
    <row r="645" spans="1:20" ht="15.75" customHeight="1" x14ac:dyDescent="0.3">
      <c r="A645" s="17" t="s">
        <v>898</v>
      </c>
      <c r="B645" s="1"/>
      <c r="C645" s="1"/>
      <c r="D645" s="1"/>
      <c r="E645" s="59" t="s">
        <v>7</v>
      </c>
      <c r="F645" s="1"/>
      <c r="G645" s="1"/>
      <c r="H645" s="1"/>
      <c r="I645" s="59" t="s">
        <v>7</v>
      </c>
      <c r="J645" s="1"/>
      <c r="K645" s="1"/>
      <c r="L645" s="1"/>
      <c r="M645" s="59" t="s">
        <v>7</v>
      </c>
      <c r="N645" s="1"/>
      <c r="O645" s="1"/>
      <c r="P645" s="1"/>
      <c r="Q645" s="59" t="s">
        <v>7</v>
      </c>
      <c r="R645" s="59" t="s">
        <v>7</v>
      </c>
    </row>
    <row r="646" spans="1:20" ht="15.75" customHeight="1" thickBot="1" x14ac:dyDescent="0.35">
      <c r="A646" s="17" t="s">
        <v>51</v>
      </c>
      <c r="B646" s="1"/>
      <c r="C646" s="1"/>
      <c r="D646" s="1"/>
      <c r="E646" s="59" t="s">
        <v>7</v>
      </c>
      <c r="F646" s="1"/>
      <c r="G646" s="1"/>
      <c r="H646" s="1"/>
      <c r="I646" s="59" t="s">
        <v>7</v>
      </c>
      <c r="J646" s="1"/>
      <c r="K646" s="1"/>
      <c r="L646" s="1"/>
      <c r="M646" s="59" t="s">
        <v>7</v>
      </c>
      <c r="N646" s="1"/>
      <c r="O646" s="1"/>
      <c r="P646" s="1"/>
      <c r="Q646" s="59" t="s">
        <v>7</v>
      </c>
      <c r="R646" s="59" t="s">
        <v>7</v>
      </c>
    </row>
    <row r="647" spans="1:20" ht="16.5" customHeight="1" thickBot="1" x14ac:dyDescent="0.35">
      <c r="A647" s="126" t="s">
        <v>52</v>
      </c>
      <c r="B647" s="100">
        <f>SUM(B636:B646)</f>
        <v>11192</v>
      </c>
      <c r="C647" s="101">
        <f>SUM(C636:C646)</f>
        <v>11392</v>
      </c>
      <c r="D647" s="101">
        <f>SUM(D636:D646)</f>
        <v>12392</v>
      </c>
      <c r="E647" s="64">
        <f>SUM(B647:D647)</f>
        <v>34976</v>
      </c>
      <c r="F647" s="101">
        <f>SUM(F636:F646)</f>
        <v>12392</v>
      </c>
      <c r="G647" s="101">
        <f>SUM(G636:G646)</f>
        <v>12392</v>
      </c>
      <c r="H647" s="101">
        <f>SUM(H636:H646)</f>
        <v>12392</v>
      </c>
      <c r="I647" s="64">
        <f>SUM(F647:H647)</f>
        <v>37176</v>
      </c>
      <c r="J647" s="101">
        <f>SUM(J636:J646)</f>
        <v>11392</v>
      </c>
      <c r="K647" s="101">
        <f>SUM(K636:K646)</f>
        <v>11392</v>
      </c>
      <c r="L647" s="101">
        <f>SUM(L636:L646)</f>
        <v>11391</v>
      </c>
      <c r="M647" s="64">
        <f>SUM(J647:L647)</f>
        <v>34175</v>
      </c>
      <c r="N647" s="101">
        <f>SUM(N636:N646)</f>
        <v>4441</v>
      </c>
      <c r="O647" s="101">
        <f>SUM(O636:O646)</f>
        <v>4541</v>
      </c>
      <c r="P647" s="101">
        <f>SUM(P636:P646)</f>
        <v>10032</v>
      </c>
      <c r="Q647" s="64">
        <f>SUM(N647:P647)</f>
        <v>19014</v>
      </c>
      <c r="R647" s="64">
        <f>+E647+I647+M647+Q647</f>
        <v>125341</v>
      </c>
    </row>
    <row r="648" spans="1:20" ht="15.75" customHeight="1" x14ac:dyDescent="0.3">
      <c r="A648" s="17" t="s">
        <v>53</v>
      </c>
      <c r="B648" s="1"/>
      <c r="C648" s="1"/>
      <c r="D648" s="1"/>
      <c r="E648" s="59" t="s">
        <v>7</v>
      </c>
      <c r="F648" s="1"/>
      <c r="G648" s="1"/>
      <c r="H648" s="1"/>
      <c r="I648" s="59" t="s">
        <v>7</v>
      </c>
      <c r="J648" s="1"/>
      <c r="K648" s="1"/>
      <c r="L648" s="1"/>
      <c r="M648" s="59" t="s">
        <v>7</v>
      </c>
      <c r="N648" s="1"/>
      <c r="O648" s="1"/>
      <c r="P648" s="1"/>
      <c r="Q648" s="59" t="s">
        <v>7</v>
      </c>
      <c r="R648" s="59" t="s">
        <v>7</v>
      </c>
    </row>
    <row r="649" spans="1:20" ht="15.75" customHeight="1" x14ac:dyDescent="0.3">
      <c r="A649" s="17" t="s">
        <v>55</v>
      </c>
      <c r="B649" s="1"/>
      <c r="C649" s="1"/>
      <c r="D649" s="1"/>
      <c r="E649" s="59" t="s">
        <v>7</v>
      </c>
      <c r="F649" s="1"/>
      <c r="G649" s="1"/>
      <c r="H649" s="1"/>
      <c r="I649" s="59" t="s">
        <v>7</v>
      </c>
      <c r="J649" s="1"/>
      <c r="K649" s="1"/>
      <c r="L649" s="1"/>
      <c r="M649" s="59" t="s">
        <v>7</v>
      </c>
      <c r="N649" s="1"/>
      <c r="O649" s="1"/>
      <c r="P649" s="1"/>
      <c r="Q649" s="59" t="s">
        <v>7</v>
      </c>
      <c r="R649" s="59" t="s">
        <v>7</v>
      </c>
    </row>
    <row r="650" spans="1:20" ht="15.75" customHeight="1" thickBot="1" x14ac:dyDescent="0.35">
      <c r="A650" s="17" t="s">
        <v>56</v>
      </c>
      <c r="B650" s="1"/>
      <c r="C650" s="1"/>
      <c r="D650" s="1"/>
      <c r="E650" s="59" t="s">
        <v>7</v>
      </c>
      <c r="F650" s="1"/>
      <c r="G650" s="1"/>
      <c r="H650" s="1"/>
      <c r="I650" s="59" t="s">
        <v>7</v>
      </c>
      <c r="J650" s="1"/>
      <c r="K650" s="1"/>
      <c r="L650" s="1"/>
      <c r="M650" s="59" t="s">
        <v>7</v>
      </c>
      <c r="N650" s="1"/>
      <c r="O650" s="1"/>
      <c r="P650" s="1"/>
      <c r="Q650" s="59" t="s">
        <v>7</v>
      </c>
      <c r="R650" s="59" t="s">
        <v>7</v>
      </c>
    </row>
    <row r="651" spans="1:20" ht="16.5" customHeight="1" thickBot="1" x14ac:dyDescent="0.35">
      <c r="A651" s="62" t="s">
        <v>57</v>
      </c>
      <c r="B651" s="100">
        <f>SUM(B648:B650)</f>
        <v>0</v>
      </c>
      <c r="C651" s="101">
        <f>SUM(C648:C650)</f>
        <v>0</v>
      </c>
      <c r="D651" s="101">
        <f>SUM(D648:D650)</f>
        <v>0</v>
      </c>
      <c r="E651" s="64">
        <f>SUM(B651:D651)</f>
        <v>0</v>
      </c>
      <c r="F651" s="101">
        <f>SUM(F648:F650)</f>
        <v>0</v>
      </c>
      <c r="G651" s="101">
        <f>SUM(G648:G650)</f>
        <v>0</v>
      </c>
      <c r="H651" s="101">
        <f>SUM(H648:H650)</f>
        <v>0</v>
      </c>
      <c r="I651" s="64">
        <f>SUM(F651:H651)</f>
        <v>0</v>
      </c>
      <c r="J651" s="101">
        <f>SUM(J648:J650)</f>
        <v>0</v>
      </c>
      <c r="K651" s="101">
        <f>SUM(K648:K650)</f>
        <v>0</v>
      </c>
      <c r="L651" s="101">
        <f>SUM(L648:L650)</f>
        <v>0</v>
      </c>
      <c r="M651" s="64">
        <f>SUM(J651:L651)</f>
        <v>0</v>
      </c>
      <c r="N651" s="101">
        <f>SUM(N648:N650)</f>
        <v>0</v>
      </c>
      <c r="O651" s="101">
        <f>SUM(O648:O650)</f>
        <v>0</v>
      </c>
      <c r="P651" s="101">
        <f>SUM(P648:P650)</f>
        <v>0</v>
      </c>
      <c r="Q651" s="64">
        <f>SUM(N651:P651)</f>
        <v>0</v>
      </c>
      <c r="R651" s="64">
        <f>+E651+I651+M651+Q651</f>
        <v>0</v>
      </c>
    </row>
    <row r="652" spans="1:20" ht="15.75" customHeight="1" x14ac:dyDescent="0.3">
      <c r="A652" s="17" t="s">
        <v>58</v>
      </c>
      <c r="B652" s="1"/>
      <c r="C652" s="1"/>
      <c r="D652" s="1"/>
      <c r="E652" s="59" t="s">
        <v>7</v>
      </c>
      <c r="F652" s="1"/>
      <c r="G652" s="1"/>
      <c r="H652" s="1"/>
      <c r="I652" s="59" t="s">
        <v>7</v>
      </c>
      <c r="J652" s="1"/>
      <c r="K652" s="1"/>
      <c r="L652" s="1"/>
      <c r="M652" s="59" t="s">
        <v>7</v>
      </c>
      <c r="N652" s="1"/>
      <c r="O652" s="1"/>
      <c r="P652" s="1"/>
      <c r="Q652" s="59" t="s">
        <v>7</v>
      </c>
      <c r="R652" s="59" t="s">
        <v>7</v>
      </c>
    </row>
    <row r="653" spans="1:20" ht="15.75" customHeight="1" x14ac:dyDescent="0.3">
      <c r="A653" s="17" t="s">
        <v>59</v>
      </c>
      <c r="B653" s="1"/>
      <c r="C653" s="1"/>
      <c r="D653" s="1"/>
      <c r="E653" s="59" t="s">
        <v>7</v>
      </c>
      <c r="F653" s="1"/>
      <c r="G653" s="1"/>
      <c r="H653" s="1"/>
      <c r="I653" s="59" t="s">
        <v>7</v>
      </c>
      <c r="J653" s="1"/>
      <c r="K653" s="1"/>
      <c r="L653" s="1"/>
      <c r="M653" s="59" t="s">
        <v>7</v>
      </c>
      <c r="N653" s="1"/>
      <c r="O653" s="1"/>
      <c r="P653" s="1"/>
      <c r="Q653" s="59" t="s">
        <v>7</v>
      </c>
      <c r="R653" s="59" t="s">
        <v>7</v>
      </c>
    </row>
    <row r="654" spans="1:20" ht="15.75" customHeight="1" x14ac:dyDescent="0.3">
      <c r="A654" s="74" t="s">
        <v>565</v>
      </c>
      <c r="B654" s="1">
        <v>500</v>
      </c>
      <c r="C654" s="1">
        <v>480</v>
      </c>
      <c r="D654" s="1">
        <v>1350</v>
      </c>
      <c r="E654" s="59">
        <f>SUM(B654:D654)</f>
        <v>2330</v>
      </c>
      <c r="F654" s="1">
        <v>1500</v>
      </c>
      <c r="G654" s="1">
        <v>1950</v>
      </c>
      <c r="H654" s="1">
        <v>1600</v>
      </c>
      <c r="I654" s="59">
        <f>SUM(F654:H654)</f>
        <v>5050</v>
      </c>
      <c r="J654" s="1">
        <v>2000</v>
      </c>
      <c r="K654" s="1">
        <f>1420+80</f>
        <v>1500</v>
      </c>
      <c r="L654" s="1">
        <v>1220</v>
      </c>
      <c r="M654" s="59">
        <f>SUM(J654:L654)</f>
        <v>4720</v>
      </c>
      <c r="N654" s="1">
        <v>400</v>
      </c>
      <c r="O654" s="1">
        <v>150</v>
      </c>
      <c r="P654" s="1">
        <v>150</v>
      </c>
      <c r="Q654" s="59">
        <f>SUM(N654:P654)</f>
        <v>700</v>
      </c>
      <c r="R654" s="59">
        <f>+E654+I654+M654+Q654</f>
        <v>12800</v>
      </c>
      <c r="T654" s="4" t="s">
        <v>566</v>
      </c>
    </row>
    <row r="655" spans="1:20" ht="15.75" customHeight="1" x14ac:dyDescent="0.3">
      <c r="A655" s="17" t="s">
        <v>60</v>
      </c>
      <c r="B655" s="1"/>
      <c r="C655" s="1"/>
      <c r="D655" s="1"/>
      <c r="E655" s="59" t="s">
        <v>7</v>
      </c>
      <c r="F655" s="1"/>
      <c r="G655" s="1"/>
      <c r="H655" s="1"/>
      <c r="I655" s="59" t="s">
        <v>7</v>
      </c>
      <c r="J655" s="1"/>
      <c r="K655" s="1"/>
      <c r="L655" s="1"/>
      <c r="M655" s="59" t="s">
        <v>7</v>
      </c>
      <c r="N655" s="1"/>
      <c r="O655" s="1"/>
      <c r="P655" s="1"/>
      <c r="Q655" s="59" t="s">
        <v>7</v>
      </c>
      <c r="R655" s="59" t="s">
        <v>7</v>
      </c>
    </row>
    <row r="656" spans="1:20" ht="15.75" customHeight="1" x14ac:dyDescent="0.3">
      <c r="A656" s="74" t="s">
        <v>567</v>
      </c>
      <c r="B656" s="1"/>
      <c r="C656" s="1"/>
      <c r="D656" s="1"/>
      <c r="E656" s="59">
        <f>SUM(B656:D656)</f>
        <v>0</v>
      </c>
      <c r="F656" s="1"/>
      <c r="G656" s="1"/>
      <c r="H656" s="1"/>
      <c r="I656" s="59">
        <f>SUM(F656:H656)</f>
        <v>0</v>
      </c>
      <c r="J656" s="1"/>
      <c r="K656" s="1"/>
      <c r="L656" s="1"/>
      <c r="M656" s="59">
        <f>SUM(J656:L656)</f>
        <v>0</v>
      </c>
      <c r="N656" s="1"/>
      <c r="O656" s="1"/>
      <c r="P656" s="1"/>
      <c r="Q656" s="59">
        <f>SUM(N656:P656)</f>
        <v>0</v>
      </c>
      <c r="R656" s="59">
        <f>+E656+I656+M656+Q656</f>
        <v>0</v>
      </c>
      <c r="T656" s="4" t="s">
        <v>568</v>
      </c>
    </row>
    <row r="657" spans="1:20" ht="15.75" customHeight="1" x14ac:dyDescent="0.3">
      <c r="A657" s="74" t="s">
        <v>569</v>
      </c>
      <c r="B657" s="1">
        <v>75</v>
      </c>
      <c r="C657" s="1">
        <v>70</v>
      </c>
      <c r="D657" s="1">
        <v>50</v>
      </c>
      <c r="E657" s="59">
        <f>SUM(B657:D657)</f>
        <v>195</v>
      </c>
      <c r="F657" s="1">
        <v>66</v>
      </c>
      <c r="G657" s="1">
        <v>60</v>
      </c>
      <c r="H657" s="1">
        <v>70</v>
      </c>
      <c r="I657" s="59">
        <f>SUM(F657:H657)</f>
        <v>196</v>
      </c>
      <c r="J657" s="1">
        <v>60</v>
      </c>
      <c r="K657" s="1">
        <v>60</v>
      </c>
      <c r="L657" s="1">
        <v>89</v>
      </c>
      <c r="M657" s="59">
        <f>SUM(J657:L657)</f>
        <v>209</v>
      </c>
      <c r="N657" s="1">
        <v>60</v>
      </c>
      <c r="O657" s="1">
        <v>60</v>
      </c>
      <c r="P657" s="1">
        <v>50</v>
      </c>
      <c r="Q657" s="59">
        <f>SUM(N657:P657)</f>
        <v>170</v>
      </c>
      <c r="R657" s="59">
        <f>+E657+I657+M657+Q657</f>
        <v>770</v>
      </c>
      <c r="T657" s="4" t="s">
        <v>568</v>
      </c>
    </row>
    <row r="658" spans="1:20" ht="15.75" customHeight="1" x14ac:dyDescent="0.3">
      <c r="A658" s="74" t="s">
        <v>570</v>
      </c>
      <c r="B658" s="1">
        <v>51</v>
      </c>
      <c r="C658" s="1">
        <v>56</v>
      </c>
      <c r="D658" s="1">
        <v>76</v>
      </c>
      <c r="E658" s="59">
        <f>SUM(B658:D658)</f>
        <v>183</v>
      </c>
      <c r="F658" s="1">
        <v>60</v>
      </c>
      <c r="G658" s="1">
        <v>66</v>
      </c>
      <c r="H658" s="1">
        <v>56</v>
      </c>
      <c r="I658" s="59">
        <f>SUM(F658:H658)</f>
        <v>182</v>
      </c>
      <c r="J658" s="1">
        <v>66</v>
      </c>
      <c r="K658" s="1">
        <v>66</v>
      </c>
      <c r="L658" s="1">
        <v>37</v>
      </c>
      <c r="M658" s="59">
        <f>SUM(J658:L658)</f>
        <v>169</v>
      </c>
      <c r="N658" s="1">
        <v>66</v>
      </c>
      <c r="O658" s="1">
        <v>66</v>
      </c>
      <c r="P658" s="1">
        <v>124</v>
      </c>
      <c r="Q658" s="59">
        <f>SUM(N658:P658)</f>
        <v>256</v>
      </c>
      <c r="R658" s="59">
        <f>+E658+I658+M658+Q658</f>
        <v>790</v>
      </c>
      <c r="T658" s="4" t="s">
        <v>568</v>
      </c>
    </row>
    <row r="659" spans="1:20" ht="15.75" customHeight="1" thickBot="1" x14ac:dyDescent="0.35">
      <c r="A659" s="74" t="s">
        <v>576</v>
      </c>
      <c r="B659" s="1"/>
      <c r="C659" s="1"/>
      <c r="D659" s="1"/>
      <c r="E659" s="59">
        <f>SUM(B659:D659)</f>
        <v>0</v>
      </c>
      <c r="F659" s="1"/>
      <c r="G659" s="1"/>
      <c r="H659" s="1"/>
      <c r="I659" s="59">
        <f>SUM(F659:H659)</f>
        <v>0</v>
      </c>
      <c r="J659" s="1"/>
      <c r="K659" s="1"/>
      <c r="L659" s="1"/>
      <c r="M659" s="59">
        <f>SUM(J659:L659)</f>
        <v>0</v>
      </c>
      <c r="N659" s="1"/>
      <c r="O659" s="1"/>
      <c r="P659" s="1"/>
      <c r="Q659" s="59">
        <f>SUM(N659:P659)</f>
        <v>0</v>
      </c>
      <c r="R659" s="59">
        <f>+E659+I659+M659+Q659</f>
        <v>0</v>
      </c>
      <c r="T659" s="4" t="s">
        <v>568</v>
      </c>
    </row>
    <row r="660" spans="1:20" ht="16.5" customHeight="1" thickBot="1" x14ac:dyDescent="0.35">
      <c r="A660" s="62" t="s">
        <v>61</v>
      </c>
      <c r="B660" s="100">
        <f>SUM(B652:B659)</f>
        <v>626</v>
      </c>
      <c r="C660" s="101">
        <f>SUM(C652:C659)</f>
        <v>606</v>
      </c>
      <c r="D660" s="101">
        <f>SUM(D652:D659)</f>
        <v>1476</v>
      </c>
      <c r="E660" s="64">
        <f>SUM(B660:D660)</f>
        <v>2708</v>
      </c>
      <c r="F660" s="101">
        <f>SUM(F652:F659)</f>
        <v>1626</v>
      </c>
      <c r="G660" s="101">
        <f>SUM(G652:G659)</f>
        <v>2076</v>
      </c>
      <c r="H660" s="101">
        <f>SUM(H652:H659)</f>
        <v>1726</v>
      </c>
      <c r="I660" s="64">
        <f>SUM(F660:H660)</f>
        <v>5428</v>
      </c>
      <c r="J660" s="101">
        <f>SUM(J652:J659)</f>
        <v>2126</v>
      </c>
      <c r="K660" s="101">
        <f>SUM(K652:K659)</f>
        <v>1626</v>
      </c>
      <c r="L660" s="101">
        <f>SUM(L652:L659)</f>
        <v>1346</v>
      </c>
      <c r="M660" s="64">
        <f>SUM(J660:L660)</f>
        <v>5098</v>
      </c>
      <c r="N660" s="101">
        <f>SUM(N652:N659)</f>
        <v>526</v>
      </c>
      <c r="O660" s="101">
        <f>SUM(O652:O659)</f>
        <v>276</v>
      </c>
      <c r="P660" s="101">
        <f>SUM(P652:P659)</f>
        <v>324</v>
      </c>
      <c r="Q660" s="64">
        <f>SUM(N660:P660)</f>
        <v>1126</v>
      </c>
      <c r="R660" s="138">
        <f>+E660+I660+M660+Q660</f>
        <v>14360</v>
      </c>
    </row>
    <row r="661" spans="1:20" ht="15.75" customHeight="1" x14ac:dyDescent="0.3">
      <c r="A661" s="17" t="s">
        <v>62</v>
      </c>
      <c r="B661" s="1"/>
      <c r="C661" s="1"/>
      <c r="D661" s="1"/>
      <c r="E661" s="59" t="s">
        <v>7</v>
      </c>
      <c r="F661" s="1"/>
      <c r="G661" s="1"/>
      <c r="H661" s="1"/>
      <c r="I661" s="59" t="s">
        <v>7</v>
      </c>
      <c r="J661" s="1"/>
      <c r="K661" s="1"/>
      <c r="L661" s="1"/>
      <c r="M661" s="59" t="s">
        <v>7</v>
      </c>
      <c r="N661" s="1"/>
      <c r="O661" s="1"/>
      <c r="P661" s="1"/>
      <c r="Q661" s="59" t="s">
        <v>7</v>
      </c>
      <c r="R661" s="59" t="s">
        <v>7</v>
      </c>
    </row>
    <row r="662" spans="1:20" ht="15.75" customHeight="1" x14ac:dyDescent="0.3">
      <c r="A662" s="17" t="s">
        <v>63</v>
      </c>
      <c r="B662" s="1"/>
      <c r="C662" s="1"/>
      <c r="D662" s="1"/>
      <c r="E662" s="59" t="s">
        <v>7</v>
      </c>
      <c r="F662" s="1"/>
      <c r="G662" s="1"/>
      <c r="H662" s="1"/>
      <c r="I662" s="59" t="s">
        <v>7</v>
      </c>
      <c r="J662" s="1"/>
      <c r="K662" s="1"/>
      <c r="L662" s="1"/>
      <c r="M662" s="59" t="s">
        <v>7</v>
      </c>
      <c r="N662" s="1"/>
      <c r="O662" s="1"/>
      <c r="P662" s="1"/>
      <c r="Q662" s="59" t="s">
        <v>7</v>
      </c>
      <c r="R662" s="59" t="s">
        <v>7</v>
      </c>
    </row>
    <row r="663" spans="1:20" ht="15.75" customHeight="1" x14ac:dyDescent="0.3">
      <c r="A663" s="17" t="s">
        <v>64</v>
      </c>
      <c r="B663" s="1"/>
      <c r="C663" s="1"/>
      <c r="D663" s="1"/>
      <c r="E663" s="59" t="s">
        <v>7</v>
      </c>
      <c r="F663" s="1"/>
      <c r="G663" s="1"/>
      <c r="H663" s="1"/>
      <c r="I663" s="59" t="s">
        <v>7</v>
      </c>
      <c r="J663" s="1"/>
      <c r="K663" s="1"/>
      <c r="L663" s="1"/>
      <c r="M663" s="59" t="s">
        <v>7</v>
      </c>
      <c r="N663" s="1"/>
      <c r="O663" s="1"/>
      <c r="P663" s="1"/>
      <c r="Q663" s="59" t="s">
        <v>7</v>
      </c>
      <c r="R663" s="59" t="s">
        <v>7</v>
      </c>
    </row>
    <row r="664" spans="1:20" ht="15.75" customHeight="1" x14ac:dyDescent="0.3">
      <c r="A664" s="74" t="s">
        <v>577</v>
      </c>
      <c r="B664" s="1"/>
      <c r="C664" s="1"/>
      <c r="D664" s="1"/>
      <c r="E664" s="59">
        <f>SUM(B664:D664)</f>
        <v>0</v>
      </c>
      <c r="F664" s="1"/>
      <c r="G664" s="1"/>
      <c r="H664" s="1"/>
      <c r="I664" s="59">
        <f>SUM(F664:H664)</f>
        <v>0</v>
      </c>
      <c r="J664" s="1"/>
      <c r="K664" s="1"/>
      <c r="L664" s="1"/>
      <c r="M664" s="59">
        <f>SUM(J664:L664)</f>
        <v>0</v>
      </c>
      <c r="N664" s="1"/>
      <c r="O664" s="1"/>
      <c r="P664" s="1"/>
      <c r="Q664" s="59">
        <f>SUM(N664:P664)</f>
        <v>0</v>
      </c>
      <c r="R664" s="59">
        <f>+E664+I664+M664+Q664</f>
        <v>0</v>
      </c>
    </row>
    <row r="665" spans="1:20" ht="15.75" customHeight="1" x14ac:dyDescent="0.3">
      <c r="A665" s="74" t="s">
        <v>578</v>
      </c>
      <c r="B665" s="1"/>
      <c r="C665" s="1"/>
      <c r="D665" s="1"/>
      <c r="E665" s="59">
        <f>SUM(B665:D665)</f>
        <v>0</v>
      </c>
      <c r="F665" s="1"/>
      <c r="G665" s="1"/>
      <c r="H665" s="1"/>
      <c r="I665" s="59">
        <f>SUM(F665:H665)</f>
        <v>0</v>
      </c>
      <c r="J665" s="1"/>
      <c r="K665" s="1"/>
      <c r="L665" s="1"/>
      <c r="M665" s="59">
        <f>SUM(J665:L665)</f>
        <v>0</v>
      </c>
      <c r="N665" s="1"/>
      <c r="O665" s="1"/>
      <c r="P665" s="1"/>
      <c r="Q665" s="59">
        <f>SUM(N665:P665)</f>
        <v>0</v>
      </c>
      <c r="R665" s="59">
        <f>+E665+I665+M665+Q665</f>
        <v>0</v>
      </c>
    </row>
    <row r="666" spans="1:20" ht="15.75" customHeight="1" x14ac:dyDescent="0.3">
      <c r="A666" s="74" t="s">
        <v>579</v>
      </c>
      <c r="B666" s="1">
        <v>1020</v>
      </c>
      <c r="C666" s="1">
        <v>1020</v>
      </c>
      <c r="D666" s="1">
        <v>1020</v>
      </c>
      <c r="E666" s="59">
        <f>SUM(B666:D666)</f>
        <v>3060</v>
      </c>
      <c r="F666" s="1">
        <v>1020</v>
      </c>
      <c r="G666" s="1">
        <v>1020</v>
      </c>
      <c r="H666" s="1">
        <v>1020</v>
      </c>
      <c r="I666" s="59">
        <f>SUM(F666:H666)</f>
        <v>3060</v>
      </c>
      <c r="J666" s="1">
        <v>1020</v>
      </c>
      <c r="K666" s="1">
        <v>1020</v>
      </c>
      <c r="L666" s="1">
        <v>1020</v>
      </c>
      <c r="M666" s="59">
        <f>SUM(J666:L666)</f>
        <v>3060</v>
      </c>
      <c r="N666" s="1"/>
      <c r="O666" s="1"/>
      <c r="P666" s="1">
        <v>1020</v>
      </c>
      <c r="Q666" s="59">
        <f>SUM(N666:P666)</f>
        <v>1020</v>
      </c>
      <c r="R666" s="59">
        <f>+E666+I666+M666+Q666</f>
        <v>10200</v>
      </c>
    </row>
    <row r="667" spans="1:20" ht="15.75" customHeight="1" x14ac:dyDescent="0.3">
      <c r="A667" s="74" t="s">
        <v>580</v>
      </c>
      <c r="B667" s="1"/>
      <c r="C667" s="1"/>
      <c r="D667" s="1"/>
      <c r="E667" s="59">
        <f>SUM(B667:D667)</f>
        <v>0</v>
      </c>
      <c r="F667" s="1"/>
      <c r="G667" s="1"/>
      <c r="H667" s="1"/>
      <c r="I667" s="59">
        <f>SUM(F667:H667)</f>
        <v>0</v>
      </c>
      <c r="J667" s="1"/>
      <c r="K667" s="1"/>
      <c r="L667" s="1"/>
      <c r="M667" s="59">
        <f>SUM(J667:L667)</f>
        <v>0</v>
      </c>
      <c r="N667" s="1"/>
      <c r="O667" s="1"/>
      <c r="P667" s="1"/>
      <c r="Q667" s="59">
        <f>SUM(N667:P667)</f>
        <v>0</v>
      </c>
      <c r="R667" s="59">
        <f>+E667+I667+M667+Q667</f>
        <v>0</v>
      </c>
    </row>
    <row r="668" spans="1:20" ht="15.75" customHeight="1" x14ac:dyDescent="0.3">
      <c r="A668" s="17" t="s">
        <v>66</v>
      </c>
      <c r="B668" s="1"/>
      <c r="C668" s="1"/>
      <c r="D668" s="1"/>
      <c r="E668" s="59" t="s">
        <v>7</v>
      </c>
      <c r="F668" s="1"/>
      <c r="G668" s="1"/>
      <c r="H668" s="1"/>
      <c r="I668" s="59" t="s">
        <v>7</v>
      </c>
      <c r="J668" s="1"/>
      <c r="K668" s="1"/>
      <c r="L668" s="1"/>
      <c r="M668" s="59" t="s">
        <v>7</v>
      </c>
      <c r="N668" s="1"/>
      <c r="O668" s="1"/>
      <c r="P668" s="1"/>
      <c r="Q668" s="59" t="s">
        <v>7</v>
      </c>
      <c r="R668" s="59" t="s">
        <v>7</v>
      </c>
    </row>
    <row r="669" spans="1:20" ht="15.75" customHeight="1" thickBot="1" x14ac:dyDescent="0.35">
      <c r="A669" s="17" t="s">
        <v>67</v>
      </c>
      <c r="B669" s="1"/>
      <c r="C669" s="1"/>
      <c r="D669" s="1"/>
      <c r="E669" s="59" t="s">
        <v>7</v>
      </c>
      <c r="F669" s="1"/>
      <c r="G669" s="1"/>
      <c r="H669" s="1"/>
      <c r="I669" s="59" t="s">
        <v>7</v>
      </c>
      <c r="J669" s="1"/>
      <c r="K669" s="1"/>
      <c r="L669" s="1"/>
      <c r="M669" s="59" t="s">
        <v>7</v>
      </c>
      <c r="N669" s="1"/>
      <c r="O669" s="1"/>
      <c r="P669" s="1"/>
      <c r="Q669" s="59" t="s">
        <v>7</v>
      </c>
      <c r="R669" s="59" t="s">
        <v>7</v>
      </c>
    </row>
    <row r="670" spans="1:20" ht="16.5" customHeight="1" thickBot="1" x14ac:dyDescent="0.35">
      <c r="A670" s="62" t="s">
        <v>68</v>
      </c>
      <c r="B670" s="63">
        <f>SUM(B668:B669)</f>
        <v>0</v>
      </c>
      <c r="C670" s="63">
        <f>SUM(C668:C669)</f>
        <v>0</v>
      </c>
      <c r="D670" s="63">
        <f>SUM(D668:D669)</f>
        <v>0</v>
      </c>
      <c r="E670" s="65">
        <f>SUM(B670:D670)</f>
        <v>0</v>
      </c>
      <c r="F670" s="63">
        <f>SUM(F668:F669)</f>
        <v>0</v>
      </c>
      <c r="G670" s="63">
        <f>SUM(G668:G669)</f>
        <v>0</v>
      </c>
      <c r="H670" s="63">
        <f>SUM(H668:H669)</f>
        <v>0</v>
      </c>
      <c r="I670" s="65">
        <f>SUM(F670:H670)</f>
        <v>0</v>
      </c>
      <c r="J670" s="63">
        <f>SUM(J668:J669)</f>
        <v>0</v>
      </c>
      <c r="K670" s="63">
        <f>SUM(K668:K669)</f>
        <v>0</v>
      </c>
      <c r="L670" s="63">
        <f>SUM(L668:L669)</f>
        <v>0</v>
      </c>
      <c r="M670" s="65">
        <f>SUM(J670:L670)</f>
        <v>0</v>
      </c>
      <c r="N670" s="63">
        <f>SUM(N668:N669)</f>
        <v>0</v>
      </c>
      <c r="O670" s="63">
        <f>SUM(O668:O669)</f>
        <v>0</v>
      </c>
      <c r="P670" s="63">
        <f>SUM(P668:P669)</f>
        <v>0</v>
      </c>
      <c r="Q670" s="65">
        <f>SUM(N670:P670)</f>
        <v>0</v>
      </c>
      <c r="R670" s="64">
        <f>+E670+I670+M670+Q670</f>
        <v>0</v>
      </c>
    </row>
    <row r="671" spans="1:20" ht="16.5" customHeight="1" thickBot="1" x14ac:dyDescent="0.35">
      <c r="A671" s="137" t="s">
        <v>69</v>
      </c>
      <c r="B671" s="100">
        <f>SUM(B661:B669)</f>
        <v>1020</v>
      </c>
      <c r="C671" s="101">
        <f>SUM(C661:C669)</f>
        <v>1020</v>
      </c>
      <c r="D671" s="138">
        <f>SUM(D661:D669)</f>
        <v>1020</v>
      </c>
      <c r="E671" s="65">
        <f>SUM(B671:D671)</f>
        <v>3060</v>
      </c>
      <c r="F671" s="101">
        <f>SUM(F661:F669)</f>
        <v>1020</v>
      </c>
      <c r="G671" s="101">
        <f>SUM(G661:G669)</f>
        <v>1020</v>
      </c>
      <c r="H671" s="101">
        <f>SUM(H661:H669)</f>
        <v>1020</v>
      </c>
      <c r="I671" s="65">
        <f>SUM(F671:H671)</f>
        <v>3060</v>
      </c>
      <c r="J671" s="101">
        <f>SUM(J661:J669)</f>
        <v>1020</v>
      </c>
      <c r="K671" s="101">
        <f>SUM(K661:K669)</f>
        <v>1020</v>
      </c>
      <c r="L671" s="101">
        <f>SUM(L661:L669)</f>
        <v>1020</v>
      </c>
      <c r="M671" s="65">
        <f>SUM(J671:L671)</f>
        <v>3060</v>
      </c>
      <c r="N671" s="101">
        <f>SUM(N661:N669)</f>
        <v>0</v>
      </c>
      <c r="O671" s="101">
        <f>SUM(O661:O669)</f>
        <v>0</v>
      </c>
      <c r="P671" s="101">
        <f>SUM(P661:P669)</f>
        <v>1020</v>
      </c>
      <c r="Q671" s="65">
        <f>SUM(N671:P671)</f>
        <v>1020</v>
      </c>
      <c r="R671" s="64">
        <f>+E671+I671+M671+Q671</f>
        <v>10200</v>
      </c>
    </row>
    <row r="672" spans="1:20" ht="16.5" customHeight="1" thickBot="1" x14ac:dyDescent="0.35">
      <c r="A672" s="62" t="s">
        <v>70</v>
      </c>
      <c r="B672" s="107">
        <f>+B647+B651+B660+B671</f>
        <v>12838</v>
      </c>
      <c r="C672" s="63">
        <f>+C647+C651+C660+C671</f>
        <v>13018</v>
      </c>
      <c r="D672" s="63">
        <f>+D647+D651+D660+D671</f>
        <v>14888</v>
      </c>
      <c r="E672" s="64">
        <f>SUM(B672:D672)</f>
        <v>40744</v>
      </c>
      <c r="F672" s="63">
        <f>+F647+F651+F660+F671</f>
        <v>15038</v>
      </c>
      <c r="G672" s="63">
        <f>+G647+G651+G660+G671</f>
        <v>15488</v>
      </c>
      <c r="H672" s="63">
        <f>+H647+H651+H660+H671</f>
        <v>15138</v>
      </c>
      <c r="I672" s="64">
        <f>SUM(F672:H672)</f>
        <v>45664</v>
      </c>
      <c r="J672" s="63">
        <f>+J647+J651+J660+J671</f>
        <v>14538</v>
      </c>
      <c r="K672" s="63">
        <f>+K647+K651+K660+K671</f>
        <v>14038</v>
      </c>
      <c r="L672" s="63">
        <f>+L647+L651+L660+L671</f>
        <v>13757</v>
      </c>
      <c r="M672" s="64">
        <f>SUM(J672:L672)</f>
        <v>42333</v>
      </c>
      <c r="N672" s="63">
        <f>+N647+N651+N660+N671</f>
        <v>4967</v>
      </c>
      <c r="O672" s="63">
        <f>+O647+O651+O660+O671</f>
        <v>4817</v>
      </c>
      <c r="P672" s="63">
        <f>+P647+P651+P660+P671</f>
        <v>11376</v>
      </c>
      <c r="Q672" s="64">
        <f>SUM(N672:P672)</f>
        <v>21160</v>
      </c>
      <c r="R672" s="88">
        <f>+E672+I672+M672+Q672</f>
        <v>149901</v>
      </c>
    </row>
    <row r="673" spans="1:18" ht="16.5" customHeight="1" thickBot="1" x14ac:dyDescent="0.35">
      <c r="A673" s="66" t="s">
        <v>37</v>
      </c>
      <c r="B673" s="25">
        <v>22</v>
      </c>
      <c r="C673" s="25">
        <v>24</v>
      </c>
      <c r="D673" s="25">
        <v>31</v>
      </c>
      <c r="E673" s="64">
        <f>SUM(B673:D673)</f>
        <v>77</v>
      </c>
      <c r="F673" s="25">
        <v>40</v>
      </c>
      <c r="G673" s="25">
        <v>45</v>
      </c>
      <c r="H673" s="25">
        <v>48</v>
      </c>
      <c r="I673" s="64">
        <f>SUM(F673:H673)</f>
        <v>133</v>
      </c>
      <c r="J673" s="25">
        <v>42</v>
      </c>
      <c r="K673" s="25">
        <v>39</v>
      </c>
      <c r="L673" s="25">
        <v>38</v>
      </c>
      <c r="M673" s="64">
        <f>SUM(J673:L673)</f>
        <v>119</v>
      </c>
      <c r="N673" s="25">
        <v>32</v>
      </c>
      <c r="O673" s="25">
        <v>25</v>
      </c>
      <c r="P673" s="25">
        <v>21</v>
      </c>
      <c r="Q673" s="64">
        <f>SUM(N673:P673)</f>
        <v>78</v>
      </c>
      <c r="R673" s="65">
        <f>+E673+I673+M673+Q673</f>
        <v>407</v>
      </c>
    </row>
    <row r="674" spans="1:18" ht="16.5" customHeight="1" thickBot="1" x14ac:dyDescent="0.35">
      <c r="A674" s="42"/>
      <c r="B674" s="37"/>
      <c r="C674" s="37"/>
      <c r="D674" s="37"/>
      <c r="E674" s="16"/>
      <c r="F674" s="37"/>
      <c r="G674" s="37"/>
      <c r="H674" s="37"/>
      <c r="I674" s="16"/>
      <c r="J674" s="37"/>
      <c r="K674" s="37"/>
      <c r="L674" s="37"/>
      <c r="M674" s="16"/>
      <c r="N674" s="37"/>
      <c r="O674" s="37"/>
      <c r="P674" s="37"/>
      <c r="Q674" s="16"/>
      <c r="R674" s="43"/>
    </row>
    <row r="675" spans="1:18" ht="15.75" customHeight="1" x14ac:dyDescent="0.3">
      <c r="A675" s="17" t="s">
        <v>507</v>
      </c>
      <c r="B675" s="1">
        <f>+SUM(B672:B673)</f>
        <v>12860</v>
      </c>
      <c r="C675" s="1">
        <f>+SUM(C672:C673)</f>
        <v>13042</v>
      </c>
      <c r="D675" s="1">
        <f>+SUM(D672:D673)</f>
        <v>14919</v>
      </c>
      <c r="E675" s="65">
        <f>SUM(B675:D675)</f>
        <v>40821</v>
      </c>
      <c r="F675" s="1">
        <f>+SUM(F672:F673)</f>
        <v>15078</v>
      </c>
      <c r="G675" s="1">
        <f>+SUM(G672:G673)</f>
        <v>15533</v>
      </c>
      <c r="H675" s="1">
        <f>+SUM(H672:H673)</f>
        <v>15186</v>
      </c>
      <c r="I675" s="65">
        <f>SUM(F675:H675)</f>
        <v>45797</v>
      </c>
      <c r="J675" s="1">
        <f>+SUM(J672:J673)</f>
        <v>14580</v>
      </c>
      <c r="K675" s="1">
        <f>+SUM(K672:K673)</f>
        <v>14077</v>
      </c>
      <c r="L675" s="1">
        <f>+SUM(L672:L673)</f>
        <v>13795</v>
      </c>
      <c r="M675" s="65">
        <f>SUM(J675:L675)</f>
        <v>42452</v>
      </c>
      <c r="N675" s="1">
        <f>+SUM(N672:N673)</f>
        <v>4999</v>
      </c>
      <c r="O675" s="1">
        <f>+SUM(O672:O673)</f>
        <v>4842</v>
      </c>
      <c r="P675" s="1">
        <f>+SUM(P672:P673)</f>
        <v>11397</v>
      </c>
      <c r="Q675" s="65">
        <f>SUM(N675:P675)</f>
        <v>21238</v>
      </c>
      <c r="R675" s="65">
        <f>+E675+I675+M675+Q675</f>
        <v>150308</v>
      </c>
    </row>
    <row r="676" spans="1:18" ht="15.75" customHeight="1" x14ac:dyDescent="0.3">
      <c r="A676" s="17" t="s">
        <v>39</v>
      </c>
      <c r="B676" s="1">
        <f>(B675/B10)/1.983</f>
        <v>209.19753387666128</v>
      </c>
      <c r="C676" s="1">
        <f>(C675/C10)/1.983</f>
        <v>226.78978211348183</v>
      </c>
      <c r="D676" s="1">
        <f>(D675/D10)/1.983</f>
        <v>242.6919135230101</v>
      </c>
      <c r="E676" s="59" t="s">
        <v>7</v>
      </c>
      <c r="F676" s="1">
        <f>(F675/F10)/1.983</f>
        <v>253.45436207766011</v>
      </c>
      <c r="G676" s="1">
        <f>(G675/G10)/1.983</f>
        <v>252.68003839083823</v>
      </c>
      <c r="H676" s="1">
        <f>(H675/H10)/1.983</f>
        <v>255.26979324256175</v>
      </c>
      <c r="I676" s="59" t="s">
        <v>7</v>
      </c>
      <c r="J676" s="1">
        <f>(J675/J10)/1.983</f>
        <v>237.17729735005611</v>
      </c>
      <c r="K676" s="1">
        <f>(K675/K10)/1.983</f>
        <v>228.99484326452264</v>
      </c>
      <c r="L676" s="1">
        <f>(L675/L10)/1.983</f>
        <v>231.88771222054126</v>
      </c>
      <c r="M676" s="59" t="s">
        <v>7</v>
      </c>
      <c r="N676" s="1">
        <f>(N675/N10)/1.983</f>
        <v>81.320254420639955</v>
      </c>
      <c r="O676" s="1">
        <f>(O675/O10)/1.983</f>
        <v>81.391830559757935</v>
      </c>
      <c r="P676" s="1">
        <f>(P675/P10)/1.983</f>
        <v>185.39846761993067</v>
      </c>
      <c r="Q676" s="59" t="s">
        <v>7</v>
      </c>
      <c r="R676" s="59" t="s">
        <v>7</v>
      </c>
    </row>
    <row r="677" spans="1:18" ht="15.75" customHeight="1" x14ac:dyDescent="0.3">
      <c r="A677" s="17" t="s">
        <v>581</v>
      </c>
      <c r="B677" s="1">
        <f>B675+B687</f>
        <v>16776</v>
      </c>
      <c r="C677" s="1">
        <f>C675+C687</f>
        <v>17143</v>
      </c>
      <c r="D677" s="1">
        <f>D675+D687</f>
        <v>19152</v>
      </c>
      <c r="E677" s="59">
        <f>SUM(B677:D677)</f>
        <v>53071</v>
      </c>
      <c r="F677" s="1">
        <f>F675+F687</f>
        <v>19311</v>
      </c>
      <c r="G677" s="1">
        <f>G675+G687</f>
        <v>17366</v>
      </c>
      <c r="H677" s="1">
        <f>H675+H687</f>
        <v>19470</v>
      </c>
      <c r="I677" s="59">
        <f>SUM(F677:H677)</f>
        <v>56147</v>
      </c>
      <c r="J677" s="1">
        <f>J675+J687</f>
        <v>18933</v>
      </c>
      <c r="K677" s="1">
        <f>K675+K687</f>
        <v>18369</v>
      </c>
      <c r="L677" s="1">
        <f>L675+L687</f>
        <v>18536</v>
      </c>
      <c r="M677" s="59">
        <f>SUM(J677:L677)</f>
        <v>55838</v>
      </c>
      <c r="N677" s="1">
        <f>N675+N687</f>
        <v>7909</v>
      </c>
      <c r="O677" s="1">
        <f>O675+O687</f>
        <v>6879</v>
      </c>
      <c r="P677" s="1">
        <f>P675+P687</f>
        <v>14593</v>
      </c>
      <c r="Q677" s="59">
        <f>SUM(N677:P677)</f>
        <v>29381</v>
      </c>
      <c r="R677" s="59">
        <f>+E677+I677+M677+Q677</f>
        <v>194437</v>
      </c>
    </row>
    <row r="678" spans="1:18" ht="16.5" customHeight="1" thickBot="1" x14ac:dyDescent="0.35">
      <c r="A678" s="24" t="s">
        <v>582</v>
      </c>
      <c r="B678" s="25">
        <f>(B677/B10)/1.983</f>
        <v>272.90029769166949</v>
      </c>
      <c r="C678" s="25">
        <f>(C677/C10)/1.983</f>
        <v>298.10283965430295</v>
      </c>
      <c r="D678" s="25">
        <f>(D677/D10)/1.983</f>
        <v>311.55141281538232</v>
      </c>
      <c r="E678" s="88" t="s">
        <v>7</v>
      </c>
      <c r="F678" s="25">
        <f>(F677/F10)/1.983</f>
        <v>324.60917801311143</v>
      </c>
      <c r="G678" s="25">
        <f>(G677/G10)/1.983</f>
        <v>282.49800725521777</v>
      </c>
      <c r="H678" s="25">
        <f>(H677/H10)/1.983</f>
        <v>327.28189611699446</v>
      </c>
      <c r="I678" s="88" t="s">
        <v>7</v>
      </c>
      <c r="J678" s="25">
        <f>(J677/J10)/1.983</f>
        <v>307.98887316382803</v>
      </c>
      <c r="K678" s="25">
        <f>(K677/K10)/1.983</f>
        <v>298.81411351324971</v>
      </c>
      <c r="L678" s="25">
        <f>(L677/L10)/1.983</f>
        <v>311.58177845015967</v>
      </c>
      <c r="M678" s="88" t="s">
        <v>7</v>
      </c>
      <c r="N678" s="25">
        <f>(N677/N10)/1.983</f>
        <v>128.65811006458119</v>
      </c>
      <c r="O678" s="25">
        <f>(O677/O10)/1.983</f>
        <v>115.63287947554211</v>
      </c>
      <c r="P678" s="25">
        <f>(P677/P10)/1.983</f>
        <v>237.38877230654109</v>
      </c>
      <c r="Q678" s="88" t="s">
        <v>7</v>
      </c>
      <c r="R678" s="88" t="s">
        <v>7</v>
      </c>
    </row>
    <row r="679" spans="1:18" ht="15.75" customHeight="1" x14ac:dyDescent="0.3">
      <c r="A679" s="28"/>
      <c r="B679" s="1"/>
      <c r="C679" s="1"/>
      <c r="D679" s="1"/>
      <c r="E679" s="1"/>
      <c r="F679" s="1"/>
      <c r="G679" s="1"/>
      <c r="H679" s="1"/>
      <c r="I679" s="1"/>
      <c r="J679" s="1"/>
      <c r="K679" s="1"/>
      <c r="L679" s="1"/>
      <c r="M679" s="1"/>
      <c r="N679" s="1"/>
      <c r="O679" s="1"/>
      <c r="P679" s="1"/>
      <c r="Q679" s="1"/>
      <c r="R679" s="28"/>
    </row>
    <row r="680" spans="1:18" ht="15.75" customHeight="1" thickBot="1" x14ac:dyDescent="0.35">
      <c r="A680" s="28"/>
      <c r="B680" s="1"/>
      <c r="C680" s="1"/>
      <c r="D680" s="1"/>
      <c r="E680" s="1"/>
      <c r="F680" s="1"/>
      <c r="G680" s="1"/>
      <c r="H680" s="1"/>
      <c r="I680" s="1"/>
      <c r="J680" s="1"/>
      <c r="K680" s="1"/>
      <c r="L680" s="1"/>
      <c r="M680" s="1"/>
      <c r="N680" s="1"/>
      <c r="O680" s="1"/>
      <c r="P680" s="1"/>
      <c r="Q680" s="1"/>
      <c r="R680" s="28"/>
    </row>
    <row r="681" spans="1:18" ht="16.5" customHeight="1" thickBot="1" x14ac:dyDescent="0.35">
      <c r="A681" s="145" t="s">
        <v>583</v>
      </c>
      <c r="B681" s="32" t="s">
        <v>36</v>
      </c>
      <c r="C681" s="33" t="s">
        <v>9</v>
      </c>
      <c r="D681" s="33" t="s">
        <v>10</v>
      </c>
      <c r="E681" s="12" t="s">
        <v>11</v>
      </c>
      <c r="F681" s="33" t="s">
        <v>12</v>
      </c>
      <c r="G681" s="33" t="s">
        <v>13</v>
      </c>
      <c r="H681" s="33" t="s">
        <v>14</v>
      </c>
      <c r="I681" s="34" t="s">
        <v>15</v>
      </c>
      <c r="J681" s="33" t="s">
        <v>16</v>
      </c>
      <c r="K681" s="33" t="s">
        <v>17</v>
      </c>
      <c r="L681" s="33" t="s">
        <v>18</v>
      </c>
      <c r="M681" s="34" t="s">
        <v>19</v>
      </c>
      <c r="N681" s="33" t="s">
        <v>20</v>
      </c>
      <c r="O681" s="33" t="s">
        <v>21</v>
      </c>
      <c r="P681" s="33" t="s">
        <v>22</v>
      </c>
      <c r="Q681" s="34" t="s">
        <v>23</v>
      </c>
      <c r="R681" s="35" t="s">
        <v>24</v>
      </c>
    </row>
    <row r="682" spans="1:18" ht="16.5" customHeight="1" thickBot="1" x14ac:dyDescent="0.35">
      <c r="A682" s="42"/>
      <c r="B682" s="37"/>
      <c r="C682" s="37"/>
      <c r="D682" s="37"/>
      <c r="E682" s="38"/>
      <c r="F682" s="37"/>
      <c r="G682" s="37"/>
      <c r="H682" s="37"/>
      <c r="I682" s="38"/>
      <c r="J682" s="37"/>
      <c r="K682" s="37"/>
      <c r="L682" s="37"/>
      <c r="M682" s="38"/>
      <c r="N682" s="37"/>
      <c r="O682" s="37"/>
      <c r="P682" s="37"/>
      <c r="Q682" s="38"/>
      <c r="R682" s="42"/>
    </row>
    <row r="683" spans="1:18" ht="16.5" customHeight="1" thickBot="1" x14ac:dyDescent="0.35">
      <c r="A683" s="40" t="s">
        <v>37</v>
      </c>
      <c r="B683" s="25">
        <v>2</v>
      </c>
      <c r="C683" s="25">
        <v>3</v>
      </c>
      <c r="D683" s="25">
        <v>5</v>
      </c>
      <c r="E683" s="59">
        <f>SUM(B683:D683)</f>
        <v>10</v>
      </c>
      <c r="F683" s="25">
        <v>7</v>
      </c>
      <c r="G683" s="25">
        <v>8</v>
      </c>
      <c r="H683" s="25">
        <v>9</v>
      </c>
      <c r="I683" s="59">
        <f>SUM(F683:H683)</f>
        <v>24</v>
      </c>
      <c r="J683" s="25">
        <v>7</v>
      </c>
      <c r="K683" s="25">
        <v>6</v>
      </c>
      <c r="L683" s="25">
        <v>6</v>
      </c>
      <c r="M683" s="59">
        <f>SUM(J683:L683)</f>
        <v>19</v>
      </c>
      <c r="N683" s="25">
        <v>5</v>
      </c>
      <c r="O683" s="25">
        <v>3</v>
      </c>
      <c r="P683" s="25">
        <v>2</v>
      </c>
      <c r="Q683" s="59">
        <f>SUM(N683:P683)</f>
        <v>10</v>
      </c>
      <c r="R683" s="65">
        <f>+E683+I683+M683+Q683</f>
        <v>63</v>
      </c>
    </row>
    <row r="684" spans="1:18" ht="16.5" customHeight="1" thickBot="1" x14ac:dyDescent="0.35">
      <c r="A684" s="42"/>
      <c r="B684" s="37"/>
      <c r="C684" s="37"/>
      <c r="D684" s="37"/>
      <c r="E684" s="16"/>
      <c r="F684" s="37"/>
      <c r="G684" s="37"/>
      <c r="H684" s="37"/>
      <c r="I684" s="16"/>
      <c r="J684" s="37"/>
      <c r="K684" s="37"/>
      <c r="L684" s="37"/>
      <c r="M684" s="16"/>
      <c r="N684" s="37"/>
      <c r="O684" s="37"/>
      <c r="P684" s="37"/>
      <c r="Q684" s="16"/>
      <c r="R684" s="43"/>
    </row>
    <row r="685" spans="1:18" ht="15.75" customHeight="1" x14ac:dyDescent="0.3">
      <c r="A685" s="17" t="s">
        <v>507</v>
      </c>
      <c r="B685" s="1">
        <f>B683</f>
        <v>2</v>
      </c>
      <c r="C685" s="1">
        <f>C683</f>
        <v>3</v>
      </c>
      <c r="D685" s="1">
        <f>D683</f>
        <v>5</v>
      </c>
      <c r="E685" s="65">
        <f>SUM(B685:D685)</f>
        <v>10</v>
      </c>
      <c r="F685" s="1">
        <f>F683</f>
        <v>7</v>
      </c>
      <c r="G685" s="1">
        <f>G683</f>
        <v>8</v>
      </c>
      <c r="H685" s="1">
        <f>H683</f>
        <v>9</v>
      </c>
      <c r="I685" s="65">
        <f>SUM(F685:H685)</f>
        <v>24</v>
      </c>
      <c r="J685" s="1">
        <f>J683</f>
        <v>7</v>
      </c>
      <c r="K685" s="1">
        <f>K683</f>
        <v>6</v>
      </c>
      <c r="L685" s="1">
        <f>L683</f>
        <v>6</v>
      </c>
      <c r="M685" s="65">
        <f>SUM(J685:L685)</f>
        <v>19</v>
      </c>
      <c r="N685" s="1">
        <f>N683</f>
        <v>5</v>
      </c>
      <c r="O685" s="1">
        <f>O683</f>
        <v>3</v>
      </c>
      <c r="P685" s="1">
        <f>P683</f>
        <v>2</v>
      </c>
      <c r="Q685" s="65">
        <f>SUM(N685:P685)</f>
        <v>10</v>
      </c>
      <c r="R685" s="65">
        <f>+E685+I685+M685+Q685</f>
        <v>63</v>
      </c>
    </row>
    <row r="686" spans="1:18" ht="15.75" customHeight="1" x14ac:dyDescent="0.3">
      <c r="A686" s="17" t="s">
        <v>39</v>
      </c>
      <c r="B686" s="1">
        <f>(B685/B10)/1.983</f>
        <v>3.2534608689993978E-2</v>
      </c>
      <c r="C686" s="1">
        <f>(C685/C10)/1.983</f>
        <v>5.2167562209817935E-2</v>
      </c>
      <c r="D686" s="1">
        <f>(D685/D10)/1.983</f>
        <v>8.1336521724984942E-2</v>
      </c>
      <c r="E686" s="59" t="s">
        <v>7</v>
      </c>
      <c r="F686" s="1">
        <f>(F685/F10)/1.983</f>
        <v>0.1176668347621449</v>
      </c>
      <c r="G686" s="1">
        <f>(G685/G10)/1.983</f>
        <v>0.13013843475997591</v>
      </c>
      <c r="H686" s="1">
        <f>(H685/H10)/1.983</f>
        <v>0.15128593040847199</v>
      </c>
      <c r="I686" s="59" t="s">
        <v>7</v>
      </c>
      <c r="J686" s="1">
        <f>(J685/J10)/1.983</f>
        <v>0.11387113041497893</v>
      </c>
      <c r="K686" s="1">
        <f>(K685/K10)/1.983</f>
        <v>9.7603826069981942E-2</v>
      </c>
      <c r="L686" s="1">
        <f>(L685/L10)/1.983</f>
        <v>0.10085728693898134</v>
      </c>
      <c r="M686" s="59" t="s">
        <v>7</v>
      </c>
      <c r="N686" s="1">
        <f>(N685/N10)/1.983</f>
        <v>8.1336521724984942E-2</v>
      </c>
      <c r="O686" s="1">
        <f>(O685/O10)/1.983</f>
        <v>5.0428643469490671E-2</v>
      </c>
      <c r="P686" s="1">
        <f>(P685/P10)/1.983</f>
        <v>3.2534608689993978E-2</v>
      </c>
      <c r="Q686" s="59" t="s">
        <v>7</v>
      </c>
      <c r="R686" s="59" t="s">
        <v>7</v>
      </c>
    </row>
    <row r="687" spans="1:18" ht="15.75" customHeight="1" x14ac:dyDescent="0.3">
      <c r="A687" s="17" t="s">
        <v>584</v>
      </c>
      <c r="B687" s="1">
        <f>B685+B721+B769-B716</f>
        <v>3916</v>
      </c>
      <c r="C687" s="1">
        <f>C685+C721+C769-C716</f>
        <v>4101</v>
      </c>
      <c r="D687" s="1">
        <f>D685+D721+D769-D716</f>
        <v>4233</v>
      </c>
      <c r="E687" s="59">
        <f>SUM(B687:D687)</f>
        <v>12250</v>
      </c>
      <c r="F687" s="1">
        <f>F685+F721+F769-F716</f>
        <v>4233</v>
      </c>
      <c r="G687" s="1">
        <f>G685+G721+G769-G716</f>
        <v>1833</v>
      </c>
      <c r="H687" s="1">
        <f>H685+H721+H769-H716</f>
        <v>4284</v>
      </c>
      <c r="I687" s="59">
        <f>SUM(F687:H687)</f>
        <v>10350</v>
      </c>
      <c r="J687" s="1">
        <f>J685+J721+J769-J716</f>
        <v>4353</v>
      </c>
      <c r="K687" s="1">
        <f>K685+K721+K769-K716</f>
        <v>4292</v>
      </c>
      <c r="L687" s="1">
        <f>L685+L721+L769-L716</f>
        <v>4741</v>
      </c>
      <c r="M687" s="59">
        <f>SUM(J687:L687)</f>
        <v>13386</v>
      </c>
      <c r="N687" s="1">
        <f>N685+N721+N769-N716</f>
        <v>2910</v>
      </c>
      <c r="O687" s="1">
        <f>O685+O721+O769-O716</f>
        <v>2037</v>
      </c>
      <c r="P687" s="1">
        <f>P685+P721+P769-P716</f>
        <v>3196</v>
      </c>
      <c r="Q687" s="59">
        <f>SUM(N687:P687)</f>
        <v>8143</v>
      </c>
      <c r="R687" s="59">
        <f>+E687+I687+M687+Q687</f>
        <v>44129</v>
      </c>
    </row>
    <row r="688" spans="1:18" ht="16.5" customHeight="1" thickBot="1" x14ac:dyDescent="0.35">
      <c r="A688" s="24" t="s">
        <v>585</v>
      </c>
      <c r="B688" s="25">
        <f>(B687/B10)/1.983</f>
        <v>63.702763815008211</v>
      </c>
      <c r="C688" s="25">
        <f>(C687/C10)/1.983</f>
        <v>71.31305754082112</v>
      </c>
      <c r="D688" s="25">
        <f>(D687/D10)/1.983</f>
        <v>68.859499292372263</v>
      </c>
      <c r="E688" s="88" t="s">
        <v>7</v>
      </c>
      <c r="F688" s="25">
        <f>(F687/F10)/1.983</f>
        <v>71.154815935451325</v>
      </c>
      <c r="G688" s="25">
        <f>(G687/G10)/1.983</f>
        <v>29.817968864379484</v>
      </c>
      <c r="H688" s="25">
        <f>(H687/H10)/1.983</f>
        <v>72.012102874432685</v>
      </c>
      <c r="I688" s="88" t="s">
        <v>7</v>
      </c>
      <c r="J688" s="25">
        <f>(J687/J10)/1.983</f>
        <v>70.811575813771896</v>
      </c>
      <c r="K688" s="25">
        <f>(K687/K10)/1.983</f>
        <v>69.819270248727079</v>
      </c>
      <c r="L688" s="25">
        <f>(L687/L10)/1.983</f>
        <v>79.694066229618414</v>
      </c>
      <c r="M688" s="88" t="s">
        <v>7</v>
      </c>
      <c r="N688" s="25">
        <f>(N687/N10)/1.983</f>
        <v>47.337855643941239</v>
      </c>
      <c r="O688" s="25">
        <f>(O687/O10)/1.983</f>
        <v>34.24104891578417</v>
      </c>
      <c r="P688" s="25">
        <f>(P687/P10)/1.983</f>
        <v>51.990304686610379</v>
      </c>
      <c r="Q688" s="88" t="s">
        <v>7</v>
      </c>
      <c r="R688" s="88" t="s">
        <v>7</v>
      </c>
    </row>
    <row r="689" spans="1:18" ht="15.75" customHeight="1" x14ac:dyDescent="0.3">
      <c r="A689" s="28"/>
      <c r="B689" s="1"/>
      <c r="C689" s="1"/>
      <c r="D689" s="1"/>
      <c r="E689" s="1"/>
      <c r="F689" s="1"/>
      <c r="G689" s="1"/>
      <c r="H689" s="1"/>
      <c r="I689" s="1"/>
      <c r="J689" s="1"/>
      <c r="K689" s="1"/>
      <c r="L689" s="1"/>
      <c r="M689" s="1"/>
      <c r="N689" s="1"/>
      <c r="O689" s="1"/>
      <c r="P689" s="1"/>
      <c r="Q689" s="1"/>
      <c r="R689" s="28"/>
    </row>
    <row r="690" spans="1:18" ht="15.75" customHeight="1" thickBot="1" x14ac:dyDescent="0.35">
      <c r="A690" s="28"/>
      <c r="B690" s="1"/>
      <c r="C690" s="1"/>
      <c r="D690" s="1"/>
      <c r="E690" s="1"/>
      <c r="F690" s="1"/>
      <c r="G690" s="1"/>
      <c r="H690" s="1"/>
      <c r="I690" s="1"/>
      <c r="J690" s="1"/>
      <c r="K690" s="1"/>
      <c r="L690" s="1"/>
      <c r="M690" s="1"/>
      <c r="N690" s="1"/>
      <c r="O690" s="1"/>
      <c r="P690" s="1"/>
      <c r="Q690" s="1"/>
      <c r="R690" s="28"/>
    </row>
    <row r="691" spans="1:18" ht="16.5" customHeight="1" thickBot="1" x14ac:dyDescent="0.35">
      <c r="A691" s="145" t="s">
        <v>586</v>
      </c>
      <c r="B691" s="32" t="s">
        <v>36</v>
      </c>
      <c r="C691" s="33" t="s">
        <v>9</v>
      </c>
      <c r="D691" s="33" t="s">
        <v>10</v>
      </c>
      <c r="E691" s="34" t="s">
        <v>11</v>
      </c>
      <c r="F691" s="33" t="s">
        <v>12</v>
      </c>
      <c r="G691" s="33" t="s">
        <v>13</v>
      </c>
      <c r="H691" s="33" t="s">
        <v>14</v>
      </c>
      <c r="I691" s="34" t="s">
        <v>15</v>
      </c>
      <c r="J691" s="33" t="s">
        <v>16</v>
      </c>
      <c r="K691" s="33" t="s">
        <v>17</v>
      </c>
      <c r="L691" s="33" t="s">
        <v>18</v>
      </c>
      <c r="M691" s="34" t="s">
        <v>19</v>
      </c>
      <c r="N691" s="33" t="s">
        <v>20</v>
      </c>
      <c r="O691" s="33" t="s">
        <v>21</v>
      </c>
      <c r="P691" s="33" t="s">
        <v>22</v>
      </c>
      <c r="Q691" s="34" t="s">
        <v>23</v>
      </c>
      <c r="R691" s="155" t="s">
        <v>24</v>
      </c>
    </row>
    <row r="692" spans="1:18" ht="16.5" customHeight="1" thickBot="1" x14ac:dyDescent="0.35">
      <c r="A692" s="42"/>
      <c r="B692" s="37"/>
      <c r="C692" s="37"/>
      <c r="D692" s="37"/>
      <c r="E692" s="156"/>
      <c r="F692" s="37"/>
      <c r="G692" s="37"/>
      <c r="H692" s="37"/>
      <c r="I692" s="156"/>
      <c r="J692" s="37"/>
      <c r="K692" s="37"/>
      <c r="L692" s="37"/>
      <c r="M692" s="156"/>
      <c r="N692" s="37"/>
      <c r="O692" s="37"/>
      <c r="P692" s="37"/>
      <c r="Q692" s="156"/>
      <c r="R692" s="39"/>
    </row>
    <row r="693" spans="1:18" ht="15.75" customHeight="1" x14ac:dyDescent="0.3">
      <c r="A693" s="17" t="s">
        <v>45</v>
      </c>
      <c r="B693" s="1" t="s">
        <v>7</v>
      </c>
      <c r="C693" s="1" t="s">
        <v>7</v>
      </c>
      <c r="D693" s="1" t="s">
        <v>7</v>
      </c>
      <c r="E693" s="59" t="s">
        <v>7</v>
      </c>
      <c r="F693" s="1" t="s">
        <v>7</v>
      </c>
      <c r="G693" s="1" t="s">
        <v>7</v>
      </c>
      <c r="H693" s="1" t="s">
        <v>7</v>
      </c>
      <c r="I693" s="59" t="s">
        <v>7</v>
      </c>
      <c r="J693" s="1" t="s">
        <v>7</v>
      </c>
      <c r="K693" s="1" t="s">
        <v>7</v>
      </c>
      <c r="L693" s="1" t="s">
        <v>7</v>
      </c>
      <c r="M693" s="59" t="s">
        <v>7</v>
      </c>
      <c r="N693" s="1" t="s">
        <v>7</v>
      </c>
      <c r="O693" s="1" t="s">
        <v>7</v>
      </c>
      <c r="P693" s="1" t="s">
        <v>7</v>
      </c>
      <c r="Q693" s="59" t="s">
        <v>7</v>
      </c>
      <c r="R693" s="59" t="s">
        <v>7</v>
      </c>
    </row>
    <row r="694" spans="1:18" ht="15.75" customHeight="1" x14ac:dyDescent="0.3">
      <c r="A694" s="17" t="s">
        <v>46</v>
      </c>
      <c r="B694" s="1"/>
      <c r="C694" s="1"/>
      <c r="D694" s="1"/>
      <c r="E694" s="59" t="s">
        <v>7</v>
      </c>
      <c r="F694" s="1"/>
      <c r="G694" s="1"/>
      <c r="H694" s="1"/>
      <c r="I694" s="59" t="s">
        <v>7</v>
      </c>
      <c r="J694" s="1"/>
      <c r="K694" s="1"/>
      <c r="L694" s="1"/>
      <c r="M694" s="59" t="s">
        <v>7</v>
      </c>
      <c r="N694" s="1"/>
      <c r="O694" s="1"/>
      <c r="P694" s="1"/>
      <c r="Q694" s="59" t="s">
        <v>7</v>
      </c>
      <c r="R694" s="59" t="s">
        <v>7</v>
      </c>
    </row>
    <row r="695" spans="1:18" ht="15.75" customHeight="1" x14ac:dyDescent="0.3">
      <c r="A695" s="74" t="s">
        <v>587</v>
      </c>
      <c r="B695" s="1"/>
      <c r="C695" s="1"/>
      <c r="D695" s="1"/>
      <c r="E695" s="59">
        <f>SUM(B695:D695)</f>
        <v>0</v>
      </c>
      <c r="F695" s="1"/>
      <c r="G695" s="1"/>
      <c r="H695" s="1"/>
      <c r="I695" s="59">
        <f>SUM(F695:H695)</f>
        <v>0</v>
      </c>
      <c r="J695" s="1"/>
      <c r="K695" s="1"/>
      <c r="L695" s="1"/>
      <c r="M695" s="59">
        <f>SUM(J695:L695)</f>
        <v>0</v>
      </c>
      <c r="N695" s="1"/>
      <c r="O695" s="1"/>
      <c r="P695" s="1"/>
      <c r="Q695" s="59">
        <f>SUM(N695:P695)</f>
        <v>0</v>
      </c>
      <c r="R695" s="59">
        <f>+E695+I695+M695+Q695</f>
        <v>0</v>
      </c>
    </row>
    <row r="696" spans="1:18" ht="15.75" customHeight="1" x14ac:dyDescent="0.3">
      <c r="A696" s="17" t="s">
        <v>47</v>
      </c>
      <c r="B696" s="1"/>
      <c r="C696" s="1"/>
      <c r="D696" s="1"/>
      <c r="E696" s="59" t="s">
        <v>7</v>
      </c>
      <c r="F696" s="1"/>
      <c r="G696" s="1"/>
      <c r="H696" s="1"/>
      <c r="I696" s="59" t="s">
        <v>7</v>
      </c>
      <c r="J696" s="1"/>
      <c r="K696" s="1"/>
      <c r="L696" s="1"/>
      <c r="M696" s="59" t="s">
        <v>7</v>
      </c>
      <c r="N696" s="1"/>
      <c r="O696" s="1"/>
      <c r="P696" s="1"/>
      <c r="Q696" s="59" t="s">
        <v>7</v>
      </c>
      <c r="R696" s="59" t="s">
        <v>7</v>
      </c>
    </row>
    <row r="697" spans="1:18" ht="15.75" customHeight="1" x14ac:dyDescent="0.3">
      <c r="A697" s="17" t="s">
        <v>898</v>
      </c>
      <c r="B697" s="1"/>
      <c r="C697" s="1"/>
      <c r="D697" s="1"/>
      <c r="E697" s="59" t="s">
        <v>7</v>
      </c>
      <c r="F697" s="1"/>
      <c r="G697" s="1"/>
      <c r="H697" s="1"/>
      <c r="I697" s="59" t="s">
        <v>7</v>
      </c>
      <c r="J697" s="1"/>
      <c r="K697" s="1"/>
      <c r="L697" s="1"/>
      <c r="M697" s="59" t="s">
        <v>7</v>
      </c>
      <c r="N697" s="1"/>
      <c r="O697" s="1"/>
      <c r="P697" s="1"/>
      <c r="Q697" s="59" t="s">
        <v>7</v>
      </c>
      <c r="R697" s="59" t="s">
        <v>7</v>
      </c>
    </row>
    <row r="698" spans="1:18" ht="15.75" customHeight="1" thickBot="1" x14ac:dyDescent="0.35">
      <c r="A698" s="17" t="s">
        <v>51</v>
      </c>
      <c r="B698" s="1"/>
      <c r="C698" s="1"/>
      <c r="D698" s="1"/>
      <c r="E698" s="59" t="s">
        <v>7</v>
      </c>
      <c r="F698" s="1"/>
      <c r="G698" s="1"/>
      <c r="H698" s="1"/>
      <c r="I698" s="59" t="s">
        <v>7</v>
      </c>
      <c r="J698" s="1"/>
      <c r="K698" s="1"/>
      <c r="L698" s="1"/>
      <c r="M698" s="59" t="s">
        <v>7</v>
      </c>
      <c r="N698" s="1"/>
      <c r="O698" s="1"/>
      <c r="P698" s="1"/>
      <c r="Q698" s="59" t="s">
        <v>7</v>
      </c>
      <c r="R698" s="59" t="s">
        <v>7</v>
      </c>
    </row>
    <row r="699" spans="1:18" ht="16.5" customHeight="1" thickBot="1" x14ac:dyDescent="0.35">
      <c r="A699" s="62" t="s">
        <v>52</v>
      </c>
      <c r="B699" s="100">
        <f>SUM(B693:B698)</f>
        <v>0</v>
      </c>
      <c r="C699" s="101">
        <f>SUM(C693:C698)</f>
        <v>0</v>
      </c>
      <c r="D699" s="101">
        <f>SUM(D693:D698)</f>
        <v>0</v>
      </c>
      <c r="E699" s="64">
        <f>SUM(B699:D699)</f>
        <v>0</v>
      </c>
      <c r="F699" s="101">
        <f>SUM(F693:F698)</f>
        <v>0</v>
      </c>
      <c r="G699" s="101">
        <f>SUM(G693:G698)</f>
        <v>0</v>
      </c>
      <c r="H699" s="101">
        <f>SUM(H693:H698)</f>
        <v>0</v>
      </c>
      <c r="I699" s="64">
        <f>SUM(F699:H699)</f>
        <v>0</v>
      </c>
      <c r="J699" s="101">
        <f>SUM(J693:J698)</f>
        <v>0</v>
      </c>
      <c r="K699" s="101">
        <f>SUM(K693:K698)</f>
        <v>0</v>
      </c>
      <c r="L699" s="101">
        <f>SUM(L693:L698)</f>
        <v>0</v>
      </c>
      <c r="M699" s="64">
        <f>SUM(J699:L699)</f>
        <v>0</v>
      </c>
      <c r="N699" s="101">
        <f>SUM(N693:N698)</f>
        <v>0</v>
      </c>
      <c r="O699" s="101">
        <f>SUM(O693:O698)</f>
        <v>0</v>
      </c>
      <c r="P699" s="101">
        <f>SUM(P693:P698)</f>
        <v>0</v>
      </c>
      <c r="Q699" s="64">
        <f>SUM(N699:P699)</f>
        <v>0</v>
      </c>
      <c r="R699" s="64">
        <f>+E699+I699+M699+Q699</f>
        <v>0</v>
      </c>
    </row>
    <row r="700" spans="1:18" ht="15.75" customHeight="1" x14ac:dyDescent="0.3">
      <c r="A700" s="17" t="s">
        <v>53</v>
      </c>
      <c r="B700" s="1"/>
      <c r="C700" s="1"/>
      <c r="D700" s="1"/>
      <c r="E700" s="59" t="s">
        <v>7</v>
      </c>
      <c r="F700" s="1"/>
      <c r="G700" s="1"/>
      <c r="H700" s="1"/>
      <c r="I700" s="59" t="s">
        <v>7</v>
      </c>
      <c r="J700" s="1"/>
      <c r="K700" s="1"/>
      <c r="L700" s="1"/>
      <c r="M700" s="59" t="s">
        <v>7</v>
      </c>
      <c r="N700" s="1"/>
      <c r="O700" s="1"/>
      <c r="P700" s="1"/>
      <c r="Q700" s="59" t="s">
        <v>7</v>
      </c>
      <c r="R700" s="59" t="s">
        <v>7</v>
      </c>
    </row>
    <row r="701" spans="1:18" ht="15.75" customHeight="1" x14ac:dyDescent="0.3">
      <c r="A701" s="17" t="s">
        <v>55</v>
      </c>
      <c r="B701" s="1"/>
      <c r="C701" s="1"/>
      <c r="D701" s="1"/>
      <c r="E701" s="59" t="s">
        <v>7</v>
      </c>
      <c r="F701" s="1"/>
      <c r="G701" s="1"/>
      <c r="H701" s="1"/>
      <c r="I701" s="59" t="s">
        <v>7</v>
      </c>
      <c r="J701" s="1"/>
      <c r="K701" s="1"/>
      <c r="L701" s="1"/>
      <c r="M701" s="59" t="s">
        <v>7</v>
      </c>
      <c r="N701" s="1"/>
      <c r="O701" s="1"/>
      <c r="P701" s="1"/>
      <c r="Q701" s="59" t="s">
        <v>7</v>
      </c>
      <c r="R701" s="59" t="s">
        <v>7</v>
      </c>
    </row>
    <row r="702" spans="1:18" ht="15.75" customHeight="1" thickBot="1" x14ac:dyDescent="0.35">
      <c r="A702" s="17" t="s">
        <v>56</v>
      </c>
      <c r="B702" s="1"/>
      <c r="C702" s="1"/>
      <c r="D702" s="1"/>
      <c r="E702" s="59" t="s">
        <v>7</v>
      </c>
      <c r="F702" s="1"/>
      <c r="G702" s="1"/>
      <c r="H702" s="1"/>
      <c r="I702" s="59" t="s">
        <v>7</v>
      </c>
      <c r="J702" s="1"/>
      <c r="K702" s="1"/>
      <c r="L702" s="1"/>
      <c r="M702" s="59" t="s">
        <v>7</v>
      </c>
      <c r="N702" s="1"/>
      <c r="O702" s="1"/>
      <c r="P702" s="1"/>
      <c r="Q702" s="59" t="s">
        <v>7</v>
      </c>
      <c r="R702" s="59" t="s">
        <v>7</v>
      </c>
    </row>
    <row r="703" spans="1:18" ht="16.5" customHeight="1" thickBot="1" x14ac:dyDescent="0.35">
      <c r="A703" s="62" t="s">
        <v>57</v>
      </c>
      <c r="B703" s="100">
        <f>SUM(B700:B702)</f>
        <v>0</v>
      </c>
      <c r="C703" s="101">
        <f>SUM(C700:C702)</f>
        <v>0</v>
      </c>
      <c r="D703" s="101">
        <f>SUM(D700:D702)</f>
        <v>0</v>
      </c>
      <c r="E703" s="64">
        <f>SUM(B703:D703)</f>
        <v>0</v>
      </c>
      <c r="F703" s="101">
        <f>SUM(F700:F702)</f>
        <v>0</v>
      </c>
      <c r="G703" s="101">
        <f>SUM(G700:G702)</f>
        <v>0</v>
      </c>
      <c r="H703" s="101">
        <f>SUM(H700:H702)</f>
        <v>0</v>
      </c>
      <c r="I703" s="64">
        <f>SUM(F703:H703)</f>
        <v>0</v>
      </c>
      <c r="J703" s="101">
        <f>SUM(J700:J702)</f>
        <v>0</v>
      </c>
      <c r="K703" s="101">
        <f>SUM(K700:K702)</f>
        <v>0</v>
      </c>
      <c r="L703" s="101">
        <f>SUM(L700:L702)</f>
        <v>0</v>
      </c>
      <c r="M703" s="64">
        <f>SUM(J703:L703)</f>
        <v>0</v>
      </c>
      <c r="N703" s="101">
        <f>SUM(N700:N702)</f>
        <v>0</v>
      </c>
      <c r="O703" s="101">
        <f>SUM(O700:O702)</f>
        <v>0</v>
      </c>
      <c r="P703" s="101">
        <f>SUM(P700:P702)</f>
        <v>0</v>
      </c>
      <c r="Q703" s="64">
        <f>SUM(N703:P703)</f>
        <v>0</v>
      </c>
      <c r="R703" s="64">
        <f>+E703+I703+M703+Q703</f>
        <v>0</v>
      </c>
    </row>
    <row r="704" spans="1:18" ht="15.75" customHeight="1" x14ac:dyDescent="0.3">
      <c r="A704" s="17" t="s">
        <v>58</v>
      </c>
      <c r="B704" s="1"/>
      <c r="C704" s="1"/>
      <c r="D704" s="1"/>
      <c r="E704" s="59" t="s">
        <v>7</v>
      </c>
      <c r="F704" s="1"/>
      <c r="G704" s="1"/>
      <c r="H704" s="1"/>
      <c r="I704" s="59" t="s">
        <v>7</v>
      </c>
      <c r="J704" s="1"/>
      <c r="K704" s="1"/>
      <c r="L704" s="1"/>
      <c r="M704" s="59" t="s">
        <v>7</v>
      </c>
      <c r="N704" s="1"/>
      <c r="O704" s="1"/>
      <c r="P704" s="1"/>
      <c r="Q704" s="59" t="s">
        <v>7</v>
      </c>
      <c r="R704" s="59" t="s">
        <v>7</v>
      </c>
    </row>
    <row r="705" spans="1:18" ht="15.75" customHeight="1" x14ac:dyDescent="0.3">
      <c r="A705" s="17" t="s">
        <v>59</v>
      </c>
      <c r="B705" s="1"/>
      <c r="C705" s="1"/>
      <c r="D705" s="1"/>
      <c r="E705" s="59" t="s">
        <v>7</v>
      </c>
      <c r="F705" s="1"/>
      <c r="G705" s="1"/>
      <c r="H705" s="1"/>
      <c r="I705" s="59" t="s">
        <v>7</v>
      </c>
      <c r="J705" s="1"/>
      <c r="K705" s="1"/>
      <c r="L705" s="1"/>
      <c r="M705" s="59" t="s">
        <v>7</v>
      </c>
      <c r="N705" s="1"/>
      <c r="O705" s="1"/>
      <c r="P705" s="1"/>
      <c r="Q705" s="59" t="s">
        <v>7</v>
      </c>
      <c r="R705" s="59" t="s">
        <v>7</v>
      </c>
    </row>
    <row r="706" spans="1:18" ht="15.75" customHeight="1" thickBot="1" x14ac:dyDescent="0.35">
      <c r="A706" s="17" t="s">
        <v>60</v>
      </c>
      <c r="B706" s="1"/>
      <c r="C706" s="1"/>
      <c r="D706" s="1"/>
      <c r="E706" s="59" t="s">
        <v>7</v>
      </c>
      <c r="F706" s="1"/>
      <c r="G706" s="1"/>
      <c r="H706" s="1"/>
      <c r="I706" s="59" t="s">
        <v>7</v>
      </c>
      <c r="J706" s="1"/>
      <c r="K706" s="1"/>
      <c r="L706" s="1"/>
      <c r="M706" s="59" t="s">
        <v>7</v>
      </c>
      <c r="N706" s="1"/>
      <c r="O706" s="1"/>
      <c r="P706" s="1"/>
      <c r="Q706" s="59" t="s">
        <v>7</v>
      </c>
      <c r="R706" s="59" t="s">
        <v>7</v>
      </c>
    </row>
    <row r="707" spans="1:18" ht="16.5" customHeight="1" thickBot="1" x14ac:dyDescent="0.35">
      <c r="A707" s="62" t="s">
        <v>61</v>
      </c>
      <c r="B707" s="100">
        <f>SUM(B704:B706)</f>
        <v>0</v>
      </c>
      <c r="C707" s="101">
        <f>SUM(C704:C706)</f>
        <v>0</v>
      </c>
      <c r="D707" s="101">
        <f>SUM(D704:D706)</f>
        <v>0</v>
      </c>
      <c r="E707" s="64">
        <f>SUM(B707:D707)</f>
        <v>0</v>
      </c>
      <c r="F707" s="101">
        <f>SUM(F704:F706)</f>
        <v>0</v>
      </c>
      <c r="G707" s="101">
        <f>SUM(G704:G706)</f>
        <v>0</v>
      </c>
      <c r="H707" s="101">
        <f>SUM(H704:H706)</f>
        <v>0</v>
      </c>
      <c r="I707" s="64">
        <f>SUM(F707:H707)</f>
        <v>0</v>
      </c>
      <c r="J707" s="101">
        <f>SUM(J704:J706)</f>
        <v>0</v>
      </c>
      <c r="K707" s="101">
        <f>SUM(K704:K706)</f>
        <v>0</v>
      </c>
      <c r="L707" s="101">
        <f>SUM(L704:L706)</f>
        <v>0</v>
      </c>
      <c r="M707" s="64">
        <f>SUM(J707:L707)</f>
        <v>0</v>
      </c>
      <c r="N707" s="101">
        <f>SUM(N704:N706)</f>
        <v>0</v>
      </c>
      <c r="O707" s="101">
        <f>SUM(O704:O706)</f>
        <v>0</v>
      </c>
      <c r="P707" s="101">
        <f>SUM(P704:P706)</f>
        <v>0</v>
      </c>
      <c r="Q707" s="64">
        <f>SUM(N707:P707)</f>
        <v>0</v>
      </c>
      <c r="R707" s="64">
        <f>+E707+I707+M707+Q707</f>
        <v>0</v>
      </c>
    </row>
    <row r="708" spans="1:18" ht="15.75" customHeight="1" x14ac:dyDescent="0.3">
      <c r="A708" s="17" t="s">
        <v>62</v>
      </c>
      <c r="B708" s="1"/>
      <c r="C708" s="1"/>
      <c r="D708" s="1"/>
      <c r="E708" s="59" t="s">
        <v>7</v>
      </c>
      <c r="F708" s="1"/>
      <c r="G708" s="1"/>
      <c r="H708" s="1"/>
      <c r="I708" s="59" t="s">
        <v>7</v>
      </c>
      <c r="J708" s="1"/>
      <c r="K708" s="1"/>
      <c r="L708" s="1"/>
      <c r="M708" s="59" t="s">
        <v>7</v>
      </c>
      <c r="N708" s="1"/>
      <c r="O708" s="1"/>
      <c r="P708" s="1"/>
      <c r="Q708" s="59" t="s">
        <v>7</v>
      </c>
      <c r="R708" s="59" t="s">
        <v>7</v>
      </c>
    </row>
    <row r="709" spans="1:18" ht="15.75" customHeight="1" x14ac:dyDescent="0.3">
      <c r="A709" s="17" t="s">
        <v>63</v>
      </c>
      <c r="B709" s="1"/>
      <c r="C709" s="1"/>
      <c r="D709" s="1"/>
      <c r="E709" s="59" t="s">
        <v>7</v>
      </c>
      <c r="F709" s="1"/>
      <c r="G709" s="1"/>
      <c r="H709" s="1"/>
      <c r="I709" s="59" t="s">
        <v>7</v>
      </c>
      <c r="J709" s="1"/>
      <c r="K709" s="1"/>
      <c r="L709" s="1"/>
      <c r="M709" s="59" t="s">
        <v>7</v>
      </c>
      <c r="N709" s="1"/>
      <c r="O709" s="1"/>
      <c r="P709" s="1"/>
      <c r="Q709" s="59" t="s">
        <v>7</v>
      </c>
      <c r="R709" s="59" t="s">
        <v>7</v>
      </c>
    </row>
    <row r="710" spans="1:18" ht="15.75" customHeight="1" x14ac:dyDescent="0.3">
      <c r="A710" s="17" t="s">
        <v>64</v>
      </c>
      <c r="B710" s="1"/>
      <c r="C710" s="1"/>
      <c r="D710" s="1"/>
      <c r="E710" s="59" t="s">
        <v>7</v>
      </c>
      <c r="F710" s="1"/>
      <c r="G710" s="1"/>
      <c r="H710" s="1"/>
      <c r="I710" s="59" t="s">
        <v>7</v>
      </c>
      <c r="J710" s="1"/>
      <c r="K710" s="1"/>
      <c r="L710" s="1"/>
      <c r="M710" s="59" t="s">
        <v>7</v>
      </c>
      <c r="N710" s="1"/>
      <c r="O710" s="1"/>
      <c r="P710" s="1"/>
      <c r="Q710" s="59" t="s">
        <v>7</v>
      </c>
      <c r="R710" s="59" t="s">
        <v>7</v>
      </c>
    </row>
    <row r="711" spans="1:18" ht="15.75" customHeight="1" x14ac:dyDescent="0.3">
      <c r="A711" s="17" t="s">
        <v>66</v>
      </c>
      <c r="B711" s="1"/>
      <c r="C711" s="1"/>
      <c r="D711" s="1"/>
      <c r="E711" s="59" t="s">
        <v>7</v>
      </c>
      <c r="F711" s="1"/>
      <c r="G711" s="1"/>
      <c r="H711" s="1"/>
      <c r="I711" s="59" t="s">
        <v>7</v>
      </c>
      <c r="J711" s="1"/>
      <c r="K711" s="1"/>
      <c r="L711" s="1"/>
      <c r="M711" s="59" t="s">
        <v>7</v>
      </c>
      <c r="N711" s="1"/>
      <c r="O711" s="1"/>
      <c r="P711" s="1"/>
      <c r="Q711" s="59" t="s">
        <v>7</v>
      </c>
      <c r="R711" s="59" t="s">
        <v>7</v>
      </c>
    </row>
    <row r="712" spans="1:18" ht="15.75" customHeight="1" thickBot="1" x14ac:dyDescent="0.35">
      <c r="A712" s="17" t="s">
        <v>67</v>
      </c>
      <c r="B712" s="1"/>
      <c r="C712" s="1"/>
      <c r="D712" s="1"/>
      <c r="E712" s="59" t="s">
        <v>7</v>
      </c>
      <c r="F712" s="1"/>
      <c r="G712" s="1"/>
      <c r="H712" s="1"/>
      <c r="I712" s="59" t="s">
        <v>7</v>
      </c>
      <c r="J712" s="1"/>
      <c r="K712" s="1"/>
      <c r="L712" s="1"/>
      <c r="M712" s="59" t="s">
        <v>7</v>
      </c>
      <c r="N712" s="1"/>
      <c r="O712" s="1"/>
      <c r="P712" s="1"/>
      <c r="Q712" s="59" t="s">
        <v>7</v>
      </c>
      <c r="R712" s="59" t="s">
        <v>7</v>
      </c>
    </row>
    <row r="713" spans="1:18" ht="16.5" customHeight="1" thickBot="1" x14ac:dyDescent="0.35">
      <c r="A713" s="62" t="s">
        <v>68</v>
      </c>
      <c r="B713" s="63">
        <f>SUM(B711:B712)</f>
        <v>0</v>
      </c>
      <c r="C713" s="63">
        <f>SUM(C711:C712)</f>
        <v>0</v>
      </c>
      <c r="D713" s="63">
        <f>SUM(D711:D712)</f>
        <v>0</v>
      </c>
      <c r="E713" s="65">
        <f>SUM(B713:D713)</f>
        <v>0</v>
      </c>
      <c r="F713" s="63">
        <f>SUM(F711:F712)</f>
        <v>0</v>
      </c>
      <c r="G713" s="63">
        <f>SUM(G711:G712)</f>
        <v>0</v>
      </c>
      <c r="H713" s="63">
        <f>SUM(H711:H712)</f>
        <v>0</v>
      </c>
      <c r="I713" s="65">
        <f>SUM(F713:H713)</f>
        <v>0</v>
      </c>
      <c r="J713" s="63">
        <f>SUM(J711:J712)</f>
        <v>0</v>
      </c>
      <c r="K713" s="63">
        <f>SUM(K711:K712)</f>
        <v>0</v>
      </c>
      <c r="L713" s="63">
        <f>SUM(L711:L712)</f>
        <v>0</v>
      </c>
      <c r="M713" s="65">
        <f>SUM(J713:L713)</f>
        <v>0</v>
      </c>
      <c r="N713" s="63">
        <f>SUM(N711:N712)</f>
        <v>0</v>
      </c>
      <c r="O713" s="63">
        <f>SUM(O711:O712)</f>
        <v>0</v>
      </c>
      <c r="P713" s="63">
        <f>SUM(P711:P712)</f>
        <v>0</v>
      </c>
      <c r="Q713" s="65">
        <f>SUM(N713:P713)</f>
        <v>0</v>
      </c>
      <c r="R713" s="64">
        <f>+E713+I713+M713+Q713</f>
        <v>0</v>
      </c>
    </row>
    <row r="714" spans="1:18" ht="16.5" customHeight="1" thickBot="1" x14ac:dyDescent="0.35">
      <c r="A714" s="62" t="s">
        <v>69</v>
      </c>
      <c r="B714" s="100">
        <f>SUM(B708:B712)</f>
        <v>0</v>
      </c>
      <c r="C714" s="101">
        <f>SUM(C708:C712)</f>
        <v>0</v>
      </c>
      <c r="D714" s="138">
        <f>SUM(D708:D712)</f>
        <v>0</v>
      </c>
      <c r="E714" s="65">
        <f>SUM(B714:D714)</f>
        <v>0</v>
      </c>
      <c r="F714" s="101">
        <f>SUM(F708:F712)</f>
        <v>0</v>
      </c>
      <c r="G714" s="101">
        <f>SUM(G708:G712)</f>
        <v>0</v>
      </c>
      <c r="H714" s="101">
        <f>SUM(H708:H712)</f>
        <v>0</v>
      </c>
      <c r="I714" s="65">
        <f>SUM(F714:H714)</f>
        <v>0</v>
      </c>
      <c r="J714" s="101">
        <f>SUM(J708:J712)</f>
        <v>0</v>
      </c>
      <c r="K714" s="101">
        <f>SUM(K708:K712)</f>
        <v>0</v>
      </c>
      <c r="L714" s="101">
        <f>SUM(L708:L712)</f>
        <v>0</v>
      </c>
      <c r="M714" s="65">
        <f>SUM(J714:L714)</f>
        <v>0</v>
      </c>
      <c r="N714" s="101">
        <f>SUM(N708:N712)</f>
        <v>0</v>
      </c>
      <c r="O714" s="101">
        <f>SUM(O708:O712)</f>
        <v>0</v>
      </c>
      <c r="P714" s="101">
        <f>SUM(P708:P712)</f>
        <v>0</v>
      </c>
      <c r="Q714" s="65">
        <f>SUM(N714:P714)</f>
        <v>0</v>
      </c>
      <c r="R714" s="64">
        <f>+E714+I714+M714+Q714</f>
        <v>0</v>
      </c>
    </row>
    <row r="715" spans="1:18" ht="16.5" customHeight="1" thickBot="1" x14ac:dyDescent="0.35">
      <c r="A715" s="62" t="s">
        <v>70</v>
      </c>
      <c r="B715" s="107">
        <f>+B699+B703+B707+B714</f>
        <v>0</v>
      </c>
      <c r="C715" s="63">
        <f>+C699+C703+C707+C714</f>
        <v>0</v>
      </c>
      <c r="D715" s="63">
        <f>+D699+D703+D707+D714</f>
        <v>0</v>
      </c>
      <c r="E715" s="64">
        <f>SUM(B715:D715)</f>
        <v>0</v>
      </c>
      <c r="F715" s="63">
        <f>+F699+F703+F707+F714</f>
        <v>0</v>
      </c>
      <c r="G715" s="63">
        <f>+G699+G703+G707+G714</f>
        <v>0</v>
      </c>
      <c r="H715" s="63">
        <f>+H699+H703+H707+H714</f>
        <v>0</v>
      </c>
      <c r="I715" s="64">
        <f>SUM(F715:H715)</f>
        <v>0</v>
      </c>
      <c r="J715" s="63">
        <f>+J699+J703+J707+J714</f>
        <v>0</v>
      </c>
      <c r="K715" s="63">
        <f>+K699+K703+K707+K714</f>
        <v>0</v>
      </c>
      <c r="L715" s="63">
        <f>+L699+L703+L707+L714</f>
        <v>0</v>
      </c>
      <c r="M715" s="64">
        <f>SUM(J715:L715)</f>
        <v>0</v>
      </c>
      <c r="N715" s="63">
        <f>+N699+N703+N707+N714</f>
        <v>0</v>
      </c>
      <c r="O715" s="63">
        <f>+O699+O703+O707+O714</f>
        <v>0</v>
      </c>
      <c r="P715" s="63">
        <f>+P699+P703+P707+P714</f>
        <v>0</v>
      </c>
      <c r="Q715" s="64">
        <f>SUM(N715:P715)</f>
        <v>0</v>
      </c>
      <c r="R715" s="88">
        <f>+E715+I715+M715+Q715</f>
        <v>0</v>
      </c>
    </row>
    <row r="716" spans="1:18" ht="15.75" customHeight="1" x14ac:dyDescent="0.3">
      <c r="A716" s="74" t="s">
        <v>588</v>
      </c>
      <c r="B716" s="1">
        <v>2600</v>
      </c>
      <c r="C716" s="1">
        <v>2700</v>
      </c>
      <c r="D716" s="1">
        <v>4600</v>
      </c>
      <c r="E716" s="59">
        <f>SUM(B716:D716)</f>
        <v>9900</v>
      </c>
      <c r="F716" s="1">
        <v>5500</v>
      </c>
      <c r="G716" s="1">
        <v>6100</v>
      </c>
      <c r="H716" s="1">
        <v>6100</v>
      </c>
      <c r="I716" s="59">
        <f>SUM(F716:H716)</f>
        <v>17700</v>
      </c>
      <c r="J716" s="1">
        <v>6000</v>
      </c>
      <c r="K716" s="1">
        <v>5100</v>
      </c>
      <c r="L716" s="1">
        <v>5200</v>
      </c>
      <c r="M716" s="59">
        <f>SUM(J716:L716)</f>
        <v>16300</v>
      </c>
      <c r="N716" s="1">
        <v>5200</v>
      </c>
      <c r="O716" s="1">
        <v>4700</v>
      </c>
      <c r="P716" s="1">
        <v>4100</v>
      </c>
      <c r="Q716" s="59">
        <f>SUM(N716:P716)</f>
        <v>14000</v>
      </c>
      <c r="R716" s="59">
        <f>+E716+I716+M716+Q716</f>
        <v>57900</v>
      </c>
    </row>
    <row r="717" spans="1:18" ht="15.75" customHeight="1" thickBot="1" x14ac:dyDescent="0.35">
      <c r="A717" s="74" t="s">
        <v>37</v>
      </c>
      <c r="B717" s="1">
        <v>0</v>
      </c>
      <c r="C717" s="1">
        <v>0</v>
      </c>
      <c r="D717" s="1">
        <v>0</v>
      </c>
      <c r="E717" s="59">
        <f>SUM(B717:D717)</f>
        <v>0</v>
      </c>
      <c r="F717" s="1">
        <v>0</v>
      </c>
      <c r="G717" s="1">
        <v>0</v>
      </c>
      <c r="H717" s="1">
        <v>0</v>
      </c>
      <c r="I717" s="59">
        <f>SUM(F717:H717)</f>
        <v>0</v>
      </c>
      <c r="J717" s="1">
        <v>0</v>
      </c>
      <c r="K717" s="1">
        <v>0</v>
      </c>
      <c r="L717" s="1">
        <v>0</v>
      </c>
      <c r="M717" s="59">
        <f>SUM(J717:L717)</f>
        <v>0</v>
      </c>
      <c r="N717" s="1">
        <v>0</v>
      </c>
      <c r="O717" s="1">
        <v>0</v>
      </c>
      <c r="P717" s="1">
        <v>0</v>
      </c>
      <c r="Q717" s="59">
        <f>SUM(N717:P717)</f>
        <v>0</v>
      </c>
      <c r="R717" s="59">
        <f>+E717+I717+M717+Q717</f>
        <v>0</v>
      </c>
    </row>
    <row r="718" spans="1:18" ht="16.5" customHeight="1" thickBot="1" x14ac:dyDescent="0.35">
      <c r="A718" s="154"/>
      <c r="B718" s="56"/>
      <c r="C718" s="56"/>
      <c r="D718" s="56"/>
      <c r="E718" s="64" t="s">
        <v>7</v>
      </c>
      <c r="F718" s="56"/>
      <c r="G718" s="56"/>
      <c r="H718" s="56"/>
      <c r="I718" s="64" t="s">
        <v>7</v>
      </c>
      <c r="J718" s="56"/>
      <c r="K718" s="56"/>
      <c r="L718" s="56"/>
      <c r="M718" s="64" t="s">
        <v>7</v>
      </c>
      <c r="N718" s="56"/>
      <c r="O718" s="56"/>
      <c r="P718" s="56"/>
      <c r="Q718" s="64"/>
      <c r="R718" s="64"/>
    </row>
    <row r="719" spans="1:18" ht="15.75" customHeight="1" x14ac:dyDescent="0.3">
      <c r="A719" s="17" t="s">
        <v>38</v>
      </c>
      <c r="B719" s="1">
        <f>SUM(B715:B717)</f>
        <v>2600</v>
      </c>
      <c r="C719" s="1">
        <f>SUM(C715:C717)</f>
        <v>2700</v>
      </c>
      <c r="D719" s="1">
        <f>SUM(D715:D717)</f>
        <v>4600</v>
      </c>
      <c r="E719" s="65">
        <f>SUM(B719:D719)</f>
        <v>9900</v>
      </c>
      <c r="F719" s="1">
        <f>SUM(F715:F717)</f>
        <v>5500</v>
      </c>
      <c r="G719" s="1">
        <f>SUM(G715:G717)</f>
        <v>6100</v>
      </c>
      <c r="H719" s="1">
        <f>SUM(H715:H717)</f>
        <v>6100</v>
      </c>
      <c r="I719" s="65">
        <f>SUM(F719:H719)</f>
        <v>17700</v>
      </c>
      <c r="J719" s="1">
        <f>SUM(J715:J717)</f>
        <v>6000</v>
      </c>
      <c r="K719" s="1">
        <f>SUM(K715:K717)</f>
        <v>5100</v>
      </c>
      <c r="L719" s="1">
        <f>SUM(L715:L717)</f>
        <v>5200</v>
      </c>
      <c r="M719" s="65">
        <f>SUM(J719:L719)</f>
        <v>16300</v>
      </c>
      <c r="N719" s="1">
        <f>SUM(N715:N717)</f>
        <v>5200</v>
      </c>
      <c r="O719" s="1">
        <f>SUM(O715:O717)</f>
        <v>4700</v>
      </c>
      <c r="P719" s="1">
        <f>SUM(P715:P717)</f>
        <v>4100</v>
      </c>
      <c r="Q719" s="65">
        <f>SUM(N719:P719)</f>
        <v>14000</v>
      </c>
      <c r="R719" s="65">
        <f>+E719+I719+M719+Q719</f>
        <v>57900</v>
      </c>
    </row>
    <row r="720" spans="1:18" ht="15.75" customHeight="1" x14ac:dyDescent="0.3">
      <c r="A720" s="17" t="s">
        <v>39</v>
      </c>
      <c r="B720" s="1">
        <f>(B719/B10)/1.983</f>
        <v>42.294991296992173</v>
      </c>
      <c r="C720" s="1">
        <f>(C719/C10)/1.983</f>
        <v>46.950805988836137</v>
      </c>
      <c r="D720" s="1">
        <f>(D719/D10)/1.983</f>
        <v>74.829599986986153</v>
      </c>
      <c r="E720" s="59" t="s">
        <v>7</v>
      </c>
      <c r="F720" s="1">
        <f>(F719/F10)/1.983</f>
        <v>92.452513027399561</v>
      </c>
      <c r="G720" s="1">
        <f>(G719/G10)/1.983</f>
        <v>99.23055650448164</v>
      </c>
      <c r="H720" s="1">
        <f>(H719/H10)/1.983</f>
        <v>102.53824172129769</v>
      </c>
      <c r="I720" s="59" t="s">
        <v>7</v>
      </c>
      <c r="J720" s="1">
        <f>(J719/J10)/1.983</f>
        <v>97.603826069981949</v>
      </c>
      <c r="K720" s="1">
        <f>(K719/K10)/1.983</f>
        <v>82.963252159484654</v>
      </c>
      <c r="L720" s="1">
        <f>(L719/L10)/1.983</f>
        <v>87.409648680450502</v>
      </c>
      <c r="M720" s="59" t="s">
        <v>7</v>
      </c>
      <c r="N720" s="1">
        <f>(N719/N10)/1.983</f>
        <v>84.589982593984345</v>
      </c>
      <c r="O720" s="1">
        <f>(O719/O10)/1.983</f>
        <v>79.004874768868703</v>
      </c>
      <c r="P720" s="1">
        <f>(P719/P10)/1.983</f>
        <v>66.695947814487653</v>
      </c>
      <c r="Q720" s="59" t="s">
        <v>7</v>
      </c>
      <c r="R720" s="59" t="s">
        <v>7</v>
      </c>
    </row>
    <row r="721" spans="1:20" ht="15.75" customHeight="1" x14ac:dyDescent="0.3">
      <c r="A721" s="17" t="s">
        <v>589</v>
      </c>
      <c r="B721" s="1">
        <f>B719</f>
        <v>2600</v>
      </c>
      <c r="C721" s="1">
        <f>C719</f>
        <v>2700</v>
      </c>
      <c r="D721" s="1">
        <f>D719</f>
        <v>4600</v>
      </c>
      <c r="E721" s="59">
        <f>SUM(B721:D721)</f>
        <v>9900</v>
      </c>
      <c r="F721" s="1">
        <f>F719</f>
        <v>5500</v>
      </c>
      <c r="G721" s="1">
        <f>G719</f>
        <v>6100</v>
      </c>
      <c r="H721" s="1">
        <f>H719</f>
        <v>6100</v>
      </c>
      <c r="I721" s="59">
        <f>SUM(F721:H721)</f>
        <v>17700</v>
      </c>
      <c r="J721" s="1">
        <f>J719</f>
        <v>6000</v>
      </c>
      <c r="K721" s="1">
        <f>K719</f>
        <v>5100</v>
      </c>
      <c r="L721" s="1">
        <f>L719</f>
        <v>5200</v>
      </c>
      <c r="M721" s="59">
        <f>SUM(J721:L721)</f>
        <v>16300</v>
      </c>
      <c r="N721" s="1">
        <f>N719</f>
        <v>5200</v>
      </c>
      <c r="O721" s="1">
        <f>O719</f>
        <v>4700</v>
      </c>
      <c r="P721" s="1">
        <f>P719</f>
        <v>4100</v>
      </c>
      <c r="Q721" s="59">
        <f>SUM(N721:P721)</f>
        <v>14000</v>
      </c>
      <c r="R721" s="59">
        <f>+E721+I721+M721+Q721</f>
        <v>57900</v>
      </c>
    </row>
    <row r="722" spans="1:20" ht="16.5" customHeight="1" thickBot="1" x14ac:dyDescent="0.35">
      <c r="A722" s="24" t="s">
        <v>590</v>
      </c>
      <c r="B722" s="25">
        <f>(B721/B10)/1.983</f>
        <v>42.294991296992173</v>
      </c>
      <c r="C722" s="25">
        <f>(C721/C10)/1.983</f>
        <v>46.950805988836137</v>
      </c>
      <c r="D722" s="25">
        <f>(D721/D10)/1.983</f>
        <v>74.829599986986153</v>
      </c>
      <c r="E722" s="88" t="s">
        <v>7</v>
      </c>
      <c r="F722" s="25">
        <f>(F721/F10)/1.983</f>
        <v>92.452513027399561</v>
      </c>
      <c r="G722" s="25">
        <f>(G721/G10)/1.983</f>
        <v>99.23055650448164</v>
      </c>
      <c r="H722" s="25">
        <f>(H721/H10)/1.983</f>
        <v>102.53824172129769</v>
      </c>
      <c r="I722" s="88" t="s">
        <v>7</v>
      </c>
      <c r="J722" s="25">
        <f>(J721/J10)/1.983</f>
        <v>97.603826069981949</v>
      </c>
      <c r="K722" s="25">
        <f>(K721/K10)/1.983</f>
        <v>82.963252159484654</v>
      </c>
      <c r="L722" s="25">
        <f>(L721/L10)/1.983</f>
        <v>87.409648680450502</v>
      </c>
      <c r="M722" s="88" t="s">
        <v>7</v>
      </c>
      <c r="N722" s="25">
        <f>(N721/N10)/1.983</f>
        <v>84.589982593984345</v>
      </c>
      <c r="O722" s="25">
        <f>(O721/O10)/1.983</f>
        <v>79.004874768868703</v>
      </c>
      <c r="P722" s="25">
        <f>(P721/P10)/1.983</f>
        <v>66.695947814487653</v>
      </c>
      <c r="Q722" s="88" t="s">
        <v>7</v>
      </c>
      <c r="R722" s="88" t="s">
        <v>7</v>
      </c>
    </row>
    <row r="723" spans="1:20" ht="15.75" customHeight="1" x14ac:dyDescent="0.3">
      <c r="A723" s="28"/>
      <c r="B723" s="1"/>
      <c r="C723" s="1"/>
      <c r="D723" s="1"/>
      <c r="E723" s="1"/>
      <c r="F723" s="1"/>
      <c r="G723" s="1"/>
      <c r="H723" s="1"/>
      <c r="I723" s="1"/>
      <c r="J723" s="1"/>
      <c r="K723" s="1"/>
      <c r="L723" s="1"/>
      <c r="M723" s="1"/>
      <c r="N723" s="1"/>
      <c r="O723" s="1"/>
      <c r="P723" s="1"/>
      <c r="Q723" s="1"/>
      <c r="R723" s="28"/>
    </row>
    <row r="724" spans="1:20" ht="15.75" customHeight="1" thickBot="1" x14ac:dyDescent="0.35">
      <c r="A724" s="28"/>
      <c r="B724" s="1"/>
      <c r="C724" s="1"/>
      <c r="D724" s="1"/>
      <c r="E724" s="1"/>
      <c r="F724" s="1"/>
      <c r="G724" s="1"/>
      <c r="H724" s="1"/>
      <c r="I724" s="1"/>
      <c r="J724" s="1"/>
      <c r="K724" s="1"/>
      <c r="L724" s="1"/>
      <c r="M724" s="1"/>
      <c r="N724" s="1"/>
      <c r="O724" s="1"/>
      <c r="P724" s="1"/>
      <c r="Q724" s="1"/>
      <c r="R724" s="28"/>
    </row>
    <row r="725" spans="1:20" ht="16.5" customHeight="1" thickBot="1" x14ac:dyDescent="0.35">
      <c r="A725" s="145" t="s">
        <v>591</v>
      </c>
      <c r="B725" s="32" t="s">
        <v>36</v>
      </c>
      <c r="C725" s="33" t="s">
        <v>9</v>
      </c>
      <c r="D725" s="33" t="s">
        <v>10</v>
      </c>
      <c r="E725" s="12" t="s">
        <v>11</v>
      </c>
      <c r="F725" s="33" t="s">
        <v>12</v>
      </c>
      <c r="G725" s="33" t="s">
        <v>13</v>
      </c>
      <c r="H725" s="33" t="s">
        <v>14</v>
      </c>
      <c r="I725" s="34" t="s">
        <v>15</v>
      </c>
      <c r="J725" s="33" t="s">
        <v>16</v>
      </c>
      <c r="K725" s="33" t="s">
        <v>17</v>
      </c>
      <c r="L725" s="33" t="s">
        <v>18</v>
      </c>
      <c r="M725" s="34" t="s">
        <v>19</v>
      </c>
      <c r="N725" s="33" t="s">
        <v>20</v>
      </c>
      <c r="O725" s="33" t="s">
        <v>21</v>
      </c>
      <c r="P725" s="33" t="s">
        <v>22</v>
      </c>
      <c r="Q725" s="34" t="s">
        <v>23</v>
      </c>
      <c r="R725" s="157" t="s">
        <v>24</v>
      </c>
    </row>
    <row r="726" spans="1:20" ht="16.5" customHeight="1" thickBot="1" x14ac:dyDescent="0.35">
      <c r="A726" s="42"/>
      <c r="B726" s="37"/>
      <c r="C726" s="37"/>
      <c r="D726" s="37"/>
      <c r="E726" s="16"/>
      <c r="F726" s="37"/>
      <c r="G726" s="37"/>
      <c r="H726" s="37"/>
      <c r="I726" s="156"/>
      <c r="J726" s="37"/>
      <c r="K726" s="37"/>
      <c r="L726" s="37"/>
      <c r="M726" s="156"/>
      <c r="N726" s="37"/>
      <c r="O726" s="37"/>
      <c r="P726" s="37"/>
      <c r="Q726" s="158"/>
      <c r="R726" s="159"/>
    </row>
    <row r="727" spans="1:20" ht="15.75" customHeight="1" x14ac:dyDescent="0.3">
      <c r="A727" s="17" t="s">
        <v>45</v>
      </c>
      <c r="B727" s="1" t="s">
        <v>7</v>
      </c>
      <c r="C727" s="1" t="s">
        <v>7</v>
      </c>
      <c r="D727" s="1" t="s">
        <v>7</v>
      </c>
      <c r="E727" s="160"/>
      <c r="F727" s="1" t="s">
        <v>7</v>
      </c>
      <c r="G727" s="1" t="s">
        <v>7</v>
      </c>
      <c r="H727" s="1" t="s">
        <v>7</v>
      </c>
      <c r="I727" s="160"/>
      <c r="J727" s="1" t="s">
        <v>7</v>
      </c>
      <c r="K727" s="1" t="s">
        <v>7</v>
      </c>
      <c r="L727" s="1" t="s">
        <v>7</v>
      </c>
      <c r="M727" s="160"/>
      <c r="N727" s="1" t="s">
        <v>7</v>
      </c>
      <c r="O727" s="1" t="s">
        <v>7</v>
      </c>
      <c r="P727" s="1" t="s">
        <v>7</v>
      </c>
      <c r="Q727" s="161"/>
      <c r="R727" s="162" t="s">
        <v>7</v>
      </c>
    </row>
    <row r="728" spans="1:20" ht="15.75" customHeight="1" x14ac:dyDescent="0.3">
      <c r="A728" s="17" t="s">
        <v>46</v>
      </c>
      <c r="B728" s="1"/>
      <c r="C728" s="1"/>
      <c r="D728" s="1"/>
      <c r="E728" s="59" t="s">
        <v>7</v>
      </c>
      <c r="F728" s="1"/>
      <c r="G728" s="1"/>
      <c r="H728" s="1"/>
      <c r="I728" s="59" t="s">
        <v>7</v>
      </c>
      <c r="J728" s="1"/>
      <c r="K728" s="1"/>
      <c r="L728" s="1"/>
      <c r="M728" s="59" t="s">
        <v>7</v>
      </c>
      <c r="N728" s="1"/>
      <c r="O728" s="1"/>
      <c r="P728" s="1"/>
      <c r="Q728" s="59" t="s">
        <v>7</v>
      </c>
      <c r="R728" s="59" t="s">
        <v>7</v>
      </c>
    </row>
    <row r="729" spans="1:20" ht="15.75" customHeight="1" x14ac:dyDescent="0.3">
      <c r="A729" s="74" t="s">
        <v>594</v>
      </c>
      <c r="B729" s="1"/>
      <c r="C729" s="1"/>
      <c r="D729" s="1"/>
      <c r="E729" s="59">
        <f>SUM(B729:D729)</f>
        <v>0</v>
      </c>
      <c r="F729" s="1"/>
      <c r="G729" s="1"/>
      <c r="H729" s="1"/>
      <c r="I729" s="59">
        <f>SUM(F729:H729)</f>
        <v>0</v>
      </c>
      <c r="J729" s="1"/>
      <c r="K729" s="1"/>
      <c r="L729" s="1"/>
      <c r="M729" s="59">
        <f>SUM(J729:L729)</f>
        <v>0</v>
      </c>
      <c r="N729" s="1"/>
      <c r="O729" s="1"/>
      <c r="P729" s="1"/>
      <c r="Q729" s="59">
        <f>SUM(N729:P729)</f>
        <v>0</v>
      </c>
      <c r="R729" s="59">
        <f>+E729+I729+M729+Q729</f>
        <v>0</v>
      </c>
      <c r="T729" s="4" t="s">
        <v>593</v>
      </c>
    </row>
    <row r="730" spans="1:20" ht="15.75" customHeight="1" x14ac:dyDescent="0.3">
      <c r="A730" s="74" t="s">
        <v>595</v>
      </c>
      <c r="B730" s="1"/>
      <c r="C730" s="1"/>
      <c r="D730" s="1"/>
      <c r="E730" s="59">
        <f>SUM(B730:D730)</f>
        <v>0</v>
      </c>
      <c r="F730" s="1"/>
      <c r="G730" s="1"/>
      <c r="H730" s="1"/>
      <c r="I730" s="59">
        <f>SUM(F730:H730)</f>
        <v>0</v>
      </c>
      <c r="J730" s="1">
        <v>1000</v>
      </c>
      <c r="K730" s="1"/>
      <c r="L730" s="1"/>
      <c r="M730" s="59">
        <f>SUM(J730:L730)</f>
        <v>1000</v>
      </c>
      <c r="N730" s="1"/>
      <c r="O730" s="1"/>
      <c r="P730" s="1"/>
      <c r="Q730" s="59">
        <f>SUM(N730:P730)</f>
        <v>0</v>
      </c>
      <c r="R730" s="59">
        <f>+E730+I730+M730+Q730</f>
        <v>1000</v>
      </c>
    </row>
    <row r="731" spans="1:20" ht="15.75" customHeight="1" x14ac:dyDescent="0.3">
      <c r="A731" s="74" t="s">
        <v>596</v>
      </c>
      <c r="B731" s="1">
        <v>50</v>
      </c>
      <c r="C731" s="1"/>
      <c r="D731" s="1"/>
      <c r="E731" s="59">
        <f>SUM(B731:D731)</f>
        <v>50</v>
      </c>
      <c r="F731" s="1"/>
      <c r="G731" s="1"/>
      <c r="H731" s="1"/>
      <c r="I731" s="59">
        <f>SUM(F731:H731)</f>
        <v>0</v>
      </c>
      <c r="J731" s="1"/>
      <c r="K731" s="1"/>
      <c r="L731" s="1"/>
      <c r="M731" s="59">
        <f>SUM(J731:L731)</f>
        <v>0</v>
      </c>
      <c r="N731" s="1"/>
      <c r="O731" s="1"/>
      <c r="P731" s="1"/>
      <c r="Q731" s="59">
        <f>SUM(N731:P731)</f>
        <v>0</v>
      </c>
      <c r="R731" s="59">
        <f>+E731+I731+M731+Q731</f>
        <v>50</v>
      </c>
    </row>
    <row r="732" spans="1:20" ht="15.75" customHeight="1" x14ac:dyDescent="0.3">
      <c r="A732" s="74" t="s">
        <v>598</v>
      </c>
      <c r="B732" s="1">
        <v>2500</v>
      </c>
      <c r="C732" s="1">
        <v>2500</v>
      </c>
      <c r="D732" s="1">
        <v>2500</v>
      </c>
      <c r="E732" s="59">
        <f>SUM(B732:D732)</f>
        <v>7500</v>
      </c>
      <c r="F732" s="1">
        <v>2500</v>
      </c>
      <c r="G732" s="1"/>
      <c r="H732" s="1">
        <v>2500</v>
      </c>
      <c r="I732" s="59">
        <f>SUM(F732:H732)</f>
        <v>5000</v>
      </c>
      <c r="J732" s="1">
        <v>1500</v>
      </c>
      <c r="K732" s="1">
        <v>2500</v>
      </c>
      <c r="L732" s="1">
        <v>2000</v>
      </c>
      <c r="M732" s="59">
        <f>SUM(J732:L732)</f>
        <v>6000</v>
      </c>
      <c r="N732" s="1"/>
      <c r="O732" s="1">
        <v>600</v>
      </c>
      <c r="P732" s="1">
        <v>1900</v>
      </c>
      <c r="Q732" s="59">
        <f>SUM(N732:P732)</f>
        <v>2500</v>
      </c>
      <c r="R732" s="59">
        <f>+E732+I732+M732+Q732</f>
        <v>21000</v>
      </c>
    </row>
    <row r="733" spans="1:20" ht="15.75" customHeight="1" x14ac:dyDescent="0.3">
      <c r="A733" s="17" t="s">
        <v>47</v>
      </c>
      <c r="B733" s="1"/>
      <c r="C733" s="1"/>
      <c r="D733" s="1"/>
      <c r="E733" s="59" t="s">
        <v>7</v>
      </c>
      <c r="F733" s="1"/>
      <c r="G733" s="1"/>
      <c r="H733" s="1"/>
      <c r="I733" s="59" t="s">
        <v>7</v>
      </c>
      <c r="J733" s="1"/>
      <c r="K733" s="1"/>
      <c r="L733" s="1"/>
      <c r="M733" s="59" t="s">
        <v>7</v>
      </c>
      <c r="N733" s="1"/>
      <c r="O733" s="1"/>
      <c r="P733" s="1"/>
      <c r="Q733" s="59" t="s">
        <v>7</v>
      </c>
      <c r="R733" s="59" t="s">
        <v>7</v>
      </c>
    </row>
    <row r="734" spans="1:20" ht="15.75" customHeight="1" x14ac:dyDescent="0.3">
      <c r="A734" s="17" t="s">
        <v>898</v>
      </c>
      <c r="B734" s="1"/>
      <c r="C734" s="1"/>
      <c r="D734" s="1"/>
      <c r="E734" s="59" t="s">
        <v>7</v>
      </c>
      <c r="F734" s="1"/>
      <c r="G734" s="1"/>
      <c r="H734" s="1"/>
      <c r="I734" s="59" t="s">
        <v>7</v>
      </c>
      <c r="J734" s="1"/>
      <c r="K734" s="1"/>
      <c r="L734" s="1"/>
      <c r="M734" s="59" t="s">
        <v>7</v>
      </c>
      <c r="N734" s="1"/>
      <c r="O734" s="1"/>
      <c r="P734" s="1"/>
      <c r="Q734" s="59" t="s">
        <v>7</v>
      </c>
      <c r="R734" s="59" t="s">
        <v>7</v>
      </c>
    </row>
    <row r="735" spans="1:20" ht="15.75" customHeight="1" x14ac:dyDescent="0.3">
      <c r="A735" s="74" t="s">
        <v>926</v>
      </c>
      <c r="B735" s="1"/>
      <c r="C735" s="1"/>
      <c r="D735" s="1"/>
      <c r="E735" s="59">
        <f>SUM(B735:D735)</f>
        <v>0</v>
      </c>
      <c r="F735" s="1"/>
      <c r="G735" s="1"/>
      <c r="H735" s="1"/>
      <c r="I735" s="59">
        <f>SUM(F735:H735)</f>
        <v>0</v>
      </c>
      <c r="J735" s="1"/>
      <c r="K735" s="1"/>
      <c r="L735" s="1">
        <v>500</v>
      </c>
      <c r="M735" s="59">
        <f>SUM(J735:L735)</f>
        <v>500</v>
      </c>
      <c r="N735" s="1">
        <v>1500</v>
      </c>
      <c r="O735" s="1">
        <v>200</v>
      </c>
      <c r="P735" s="1"/>
      <c r="Q735" s="59">
        <f>SUM(N735:P735)</f>
        <v>1700</v>
      </c>
      <c r="R735" s="59">
        <f>+E735+I735+M735+Q735</f>
        <v>2200</v>
      </c>
    </row>
    <row r="736" spans="1:20" ht="15.75" customHeight="1" thickBot="1" x14ac:dyDescent="0.35">
      <c r="A736" s="17" t="s">
        <v>51</v>
      </c>
      <c r="B736" s="1"/>
      <c r="C736" s="1"/>
      <c r="D736" s="1"/>
      <c r="E736" s="59" t="s">
        <v>7</v>
      </c>
      <c r="F736" s="1"/>
      <c r="G736" s="1"/>
      <c r="H736" s="1"/>
      <c r="I736" s="59" t="s">
        <v>7</v>
      </c>
      <c r="J736" s="1"/>
      <c r="K736" s="1"/>
      <c r="L736" s="1"/>
      <c r="M736" s="59" t="s">
        <v>7</v>
      </c>
      <c r="N736" s="1"/>
      <c r="O736" s="1"/>
      <c r="P736" s="1"/>
      <c r="Q736" s="59" t="s">
        <v>7</v>
      </c>
      <c r="R736" s="59" t="s">
        <v>7</v>
      </c>
    </row>
    <row r="737" spans="1:20" ht="16.5" customHeight="1" thickBot="1" x14ac:dyDescent="0.35">
      <c r="A737" s="62" t="s">
        <v>52</v>
      </c>
      <c r="B737" s="100">
        <f>SUM(B727:B736)</f>
        <v>2550</v>
      </c>
      <c r="C737" s="101">
        <f>SUM(C727:C736)</f>
        <v>2500</v>
      </c>
      <c r="D737" s="101">
        <f>SUM(D727:D736)</f>
        <v>2500</v>
      </c>
      <c r="E737" s="64">
        <f>SUM(B737:D737)</f>
        <v>7550</v>
      </c>
      <c r="F737" s="101">
        <f>SUM(F727:F736)</f>
        <v>2500</v>
      </c>
      <c r="G737" s="101">
        <f>SUM(G727:G736)</f>
        <v>0</v>
      </c>
      <c r="H737" s="101">
        <f>SUM(H727:H736)</f>
        <v>2500</v>
      </c>
      <c r="I737" s="64">
        <f>SUM(F737:H737)</f>
        <v>5000</v>
      </c>
      <c r="J737" s="101">
        <f>SUM(J727:J736)</f>
        <v>2500</v>
      </c>
      <c r="K737" s="101">
        <f>SUM(K727:K736)</f>
        <v>2500</v>
      </c>
      <c r="L737" s="101">
        <f>SUM(L727:L736)</f>
        <v>2500</v>
      </c>
      <c r="M737" s="64">
        <f>SUM(J737:L737)</f>
        <v>7500</v>
      </c>
      <c r="N737" s="101">
        <f>SUM(N727:N736)</f>
        <v>1500</v>
      </c>
      <c r="O737" s="101">
        <f>SUM(O727:O736)</f>
        <v>800</v>
      </c>
      <c r="P737" s="101">
        <f>SUM(P727:P736)</f>
        <v>1900</v>
      </c>
      <c r="Q737" s="64">
        <f>SUM(N737:P737)</f>
        <v>4200</v>
      </c>
      <c r="R737" s="64">
        <f>+E737+I737+M737+Q737</f>
        <v>24250</v>
      </c>
    </row>
    <row r="738" spans="1:20" ht="15.75" customHeight="1" x14ac:dyDescent="0.3">
      <c r="A738" s="17" t="s">
        <v>53</v>
      </c>
      <c r="B738" s="1"/>
      <c r="C738" s="1"/>
      <c r="D738" s="1"/>
      <c r="E738" s="59" t="s">
        <v>7</v>
      </c>
      <c r="F738" s="1"/>
      <c r="G738" s="1"/>
      <c r="H738" s="1"/>
      <c r="I738" s="59" t="s">
        <v>7</v>
      </c>
      <c r="J738" s="1"/>
      <c r="K738" s="1"/>
      <c r="L738" s="1"/>
      <c r="M738" s="59" t="s">
        <v>7</v>
      </c>
      <c r="N738" s="1"/>
      <c r="O738" s="1"/>
      <c r="P738" s="1"/>
      <c r="Q738" s="59" t="s">
        <v>7</v>
      </c>
      <c r="R738" s="59" t="s">
        <v>7</v>
      </c>
    </row>
    <row r="739" spans="1:20" ht="15.75" customHeight="1" x14ac:dyDescent="0.3">
      <c r="A739" s="17" t="s">
        <v>55</v>
      </c>
      <c r="B739" s="1"/>
      <c r="C739" s="1"/>
      <c r="D739" s="1"/>
      <c r="E739" s="59" t="s">
        <v>7</v>
      </c>
      <c r="F739" s="1"/>
      <c r="G739" s="1"/>
      <c r="H739" s="1"/>
      <c r="I739" s="59" t="s">
        <v>7</v>
      </c>
      <c r="J739" s="1"/>
      <c r="K739" s="1"/>
      <c r="L739" s="1"/>
      <c r="M739" s="59" t="s">
        <v>7</v>
      </c>
      <c r="N739" s="1"/>
      <c r="O739" s="1"/>
      <c r="P739" s="1"/>
      <c r="Q739" s="59" t="s">
        <v>7</v>
      </c>
      <c r="R739" s="59" t="s">
        <v>7</v>
      </c>
    </row>
    <row r="740" spans="1:20" ht="15.75" customHeight="1" x14ac:dyDescent="0.3">
      <c r="A740" s="74" t="s">
        <v>600</v>
      </c>
      <c r="B740" s="1"/>
      <c r="C740" s="1"/>
      <c r="D740" s="1"/>
      <c r="E740" s="59">
        <f>SUM(B740:D740)</f>
        <v>0</v>
      </c>
      <c r="F740" s="1"/>
      <c r="G740" s="1"/>
      <c r="H740" s="1"/>
      <c r="I740" s="59">
        <f>SUM(F740:H740)</f>
        <v>0</v>
      </c>
      <c r="J740" s="1"/>
      <c r="K740" s="1"/>
      <c r="L740" s="1">
        <v>500</v>
      </c>
      <c r="M740" s="59">
        <f>SUM(J740:L740)</f>
        <v>500</v>
      </c>
      <c r="N740" s="1"/>
      <c r="O740" s="1"/>
      <c r="P740" s="1"/>
      <c r="Q740" s="59">
        <f>SUM(N740:P740)</f>
        <v>0</v>
      </c>
      <c r="R740" s="59">
        <f>+E740+I740+M740+Q740</f>
        <v>500</v>
      </c>
    </row>
    <row r="741" spans="1:20" ht="15.75" customHeight="1" thickBot="1" x14ac:dyDescent="0.35">
      <c r="A741" s="17" t="s">
        <v>56</v>
      </c>
      <c r="B741" s="1"/>
      <c r="C741" s="1"/>
      <c r="D741" s="1"/>
      <c r="E741" s="59" t="s">
        <v>7</v>
      </c>
      <c r="F741" s="1"/>
      <c r="G741" s="1"/>
      <c r="H741" s="1"/>
      <c r="I741" s="59" t="s">
        <v>7</v>
      </c>
      <c r="J741" s="1"/>
      <c r="K741" s="1"/>
      <c r="L741" s="1"/>
      <c r="M741" s="59" t="s">
        <v>7</v>
      </c>
      <c r="N741" s="1"/>
      <c r="O741" s="1"/>
      <c r="P741" s="1"/>
      <c r="Q741" s="59" t="s">
        <v>7</v>
      </c>
      <c r="R741" s="59" t="s">
        <v>7</v>
      </c>
    </row>
    <row r="742" spans="1:20" ht="16.5" customHeight="1" thickBot="1" x14ac:dyDescent="0.35">
      <c r="A742" s="62" t="s">
        <v>57</v>
      </c>
      <c r="B742" s="100">
        <f>SUM(B738:B741)</f>
        <v>0</v>
      </c>
      <c r="C742" s="101">
        <f>SUM(C738:C741)</f>
        <v>0</v>
      </c>
      <c r="D742" s="101">
        <f>SUM(D738:D741)</f>
        <v>0</v>
      </c>
      <c r="E742" s="64">
        <f>SUM(B742:D742)</f>
        <v>0</v>
      </c>
      <c r="F742" s="101">
        <f>SUM(F738:F741)</f>
        <v>0</v>
      </c>
      <c r="G742" s="101">
        <f>SUM(G738:G741)</f>
        <v>0</v>
      </c>
      <c r="H742" s="101">
        <f>SUM(H738:H741)</f>
        <v>0</v>
      </c>
      <c r="I742" s="64">
        <f>SUM(F742:H742)</f>
        <v>0</v>
      </c>
      <c r="J742" s="101">
        <f>SUM(J738:J741)</f>
        <v>0</v>
      </c>
      <c r="K742" s="101">
        <f>SUM(K738:K741)</f>
        <v>0</v>
      </c>
      <c r="L742" s="101">
        <f>SUM(L738:L741)</f>
        <v>500</v>
      </c>
      <c r="M742" s="64">
        <f>SUM(J742:L742)</f>
        <v>500</v>
      </c>
      <c r="N742" s="101">
        <f>SUM(N738:N741)</f>
        <v>0</v>
      </c>
      <c r="O742" s="101">
        <f>SUM(O738:O741)</f>
        <v>0</v>
      </c>
      <c r="P742" s="101">
        <f>SUM(P738:P741)</f>
        <v>0</v>
      </c>
      <c r="Q742" s="64">
        <f>SUM(N742:P742)</f>
        <v>0</v>
      </c>
      <c r="R742" s="64">
        <f>+E742+I742+M742+Q742</f>
        <v>500</v>
      </c>
    </row>
    <row r="743" spans="1:20" ht="15.75" customHeight="1" x14ac:dyDescent="0.3">
      <c r="A743" s="17" t="s">
        <v>58</v>
      </c>
      <c r="B743" s="1"/>
      <c r="C743" s="1"/>
      <c r="D743" s="1"/>
      <c r="E743" s="59" t="s">
        <v>7</v>
      </c>
      <c r="F743" s="1"/>
      <c r="G743" s="1"/>
      <c r="H743" s="1"/>
      <c r="I743" s="59" t="s">
        <v>7</v>
      </c>
      <c r="J743" s="1" t="s">
        <v>7</v>
      </c>
      <c r="K743" s="1"/>
      <c r="L743" s="1"/>
      <c r="M743" s="59" t="s">
        <v>7</v>
      </c>
      <c r="N743" s="1"/>
      <c r="O743" s="1"/>
      <c r="P743" s="1"/>
      <c r="Q743" s="59" t="s">
        <v>7</v>
      </c>
      <c r="R743" s="59" t="s">
        <v>7</v>
      </c>
    </row>
    <row r="744" spans="1:20" ht="18" customHeight="1" x14ac:dyDescent="0.3">
      <c r="A744" s="17" t="s">
        <v>59</v>
      </c>
      <c r="B744" s="1"/>
      <c r="C744" s="1"/>
      <c r="D744" s="1"/>
      <c r="E744" s="59" t="s">
        <v>7</v>
      </c>
      <c r="F744" s="1"/>
      <c r="G744" s="1"/>
      <c r="H744" s="1"/>
      <c r="I744" s="59" t="s">
        <v>7</v>
      </c>
      <c r="J744" s="1"/>
      <c r="K744" s="1"/>
      <c r="L744" s="1"/>
      <c r="M744" s="59" t="s">
        <v>7</v>
      </c>
      <c r="N744" s="1"/>
      <c r="O744" s="1"/>
      <c r="P744" s="1"/>
      <c r="Q744" s="59" t="s">
        <v>7</v>
      </c>
      <c r="R744" s="59" t="s">
        <v>7</v>
      </c>
    </row>
    <row r="745" spans="1:20" ht="15.75" customHeight="1" x14ac:dyDescent="0.3">
      <c r="A745" s="74" t="s">
        <v>601</v>
      </c>
      <c r="B745" s="1">
        <v>481</v>
      </c>
      <c r="C745" s="1">
        <v>764</v>
      </c>
      <c r="D745" s="1">
        <v>804</v>
      </c>
      <c r="E745" s="59">
        <f>SUM(B745:D745)</f>
        <v>2049</v>
      </c>
      <c r="F745" s="1">
        <v>805</v>
      </c>
      <c r="G745" s="1">
        <v>870</v>
      </c>
      <c r="H745" s="1">
        <v>840</v>
      </c>
      <c r="I745" s="59">
        <f>SUM(F745:H745)</f>
        <v>2515</v>
      </c>
      <c r="J745" s="1">
        <v>899</v>
      </c>
      <c r="K745" s="1">
        <v>848</v>
      </c>
      <c r="L745" s="1">
        <v>836</v>
      </c>
      <c r="M745" s="59">
        <f>SUM(J745:L745)</f>
        <v>2583</v>
      </c>
      <c r="N745" s="1">
        <v>471</v>
      </c>
      <c r="O745" s="1">
        <v>351</v>
      </c>
      <c r="P745" s="1">
        <v>401</v>
      </c>
      <c r="Q745" s="59">
        <f>SUM(N745:P745)</f>
        <v>1223</v>
      </c>
      <c r="R745" s="59">
        <f>+E745+I745+M745+Q745</f>
        <v>8370</v>
      </c>
      <c r="T745" s="4" t="s">
        <v>602</v>
      </c>
    </row>
    <row r="746" spans="1:20" ht="15.75" customHeight="1" x14ac:dyDescent="0.3">
      <c r="A746" s="74" t="s">
        <v>603</v>
      </c>
      <c r="B746" s="1">
        <v>25</v>
      </c>
      <c r="C746" s="1">
        <v>30</v>
      </c>
      <c r="D746" s="1">
        <v>60</v>
      </c>
      <c r="E746" s="59">
        <f>SUM(B746:D746)</f>
        <v>115</v>
      </c>
      <c r="F746" s="1">
        <v>80</v>
      </c>
      <c r="G746" s="1">
        <v>85</v>
      </c>
      <c r="H746" s="1">
        <v>90</v>
      </c>
      <c r="I746" s="59">
        <f>SUM(F746:H746)</f>
        <v>255</v>
      </c>
      <c r="J746" s="1">
        <v>75</v>
      </c>
      <c r="K746" s="1">
        <v>55</v>
      </c>
      <c r="L746" s="1"/>
      <c r="M746" s="59">
        <f>SUM(J746:L746)</f>
        <v>130</v>
      </c>
      <c r="N746" s="1"/>
      <c r="O746" s="1"/>
      <c r="P746" s="1"/>
      <c r="Q746" s="59">
        <f>SUM(N746:P746)</f>
        <v>0</v>
      </c>
      <c r="R746" s="59">
        <f>+E746+I746+M746+Q746</f>
        <v>500</v>
      </c>
      <c r="T746" s="4" t="s">
        <v>604</v>
      </c>
    </row>
    <row r="747" spans="1:20" ht="15.75" customHeight="1" x14ac:dyDescent="0.3">
      <c r="A747" s="17" t="s">
        <v>60</v>
      </c>
      <c r="B747" s="1"/>
      <c r="C747" s="1"/>
      <c r="D747" s="1"/>
      <c r="E747" s="59" t="s">
        <v>7</v>
      </c>
      <c r="F747" s="1"/>
      <c r="G747" s="1"/>
      <c r="H747" s="1"/>
      <c r="I747" s="59" t="s">
        <v>7</v>
      </c>
      <c r="J747" s="1"/>
      <c r="K747" s="1"/>
      <c r="L747" s="1"/>
      <c r="M747" s="59" t="s">
        <v>7</v>
      </c>
      <c r="N747" s="1"/>
      <c r="O747" s="1"/>
      <c r="P747" s="1"/>
      <c r="Q747" s="59" t="s">
        <v>7</v>
      </c>
      <c r="R747" s="59" t="s">
        <v>7</v>
      </c>
    </row>
    <row r="748" spans="1:20" ht="15.75" customHeight="1" x14ac:dyDescent="0.3">
      <c r="A748" s="74" t="s">
        <v>606</v>
      </c>
      <c r="B748" s="1"/>
      <c r="C748" s="1"/>
      <c r="D748" s="1"/>
      <c r="E748" s="59">
        <f>SUM(B748:D748)</f>
        <v>0</v>
      </c>
      <c r="F748" s="1"/>
      <c r="G748" s="1"/>
      <c r="H748" s="1"/>
      <c r="I748" s="59">
        <f>SUM(F748:H748)</f>
        <v>0</v>
      </c>
      <c r="J748" s="1"/>
      <c r="K748" s="1">
        <v>15</v>
      </c>
      <c r="L748" s="1">
        <v>60</v>
      </c>
      <c r="M748" s="59">
        <f>SUM(J748:L748)</f>
        <v>75</v>
      </c>
      <c r="N748" s="1">
        <v>70</v>
      </c>
      <c r="O748" s="1">
        <v>50</v>
      </c>
      <c r="P748" s="1">
        <v>35</v>
      </c>
      <c r="Q748" s="59">
        <f>SUM(N748:P748)</f>
        <v>155</v>
      </c>
      <c r="R748" s="59">
        <f>+E748+I748+M748+Q748</f>
        <v>230</v>
      </c>
      <c r="T748" s="4" t="s">
        <v>604</v>
      </c>
    </row>
    <row r="749" spans="1:20" ht="15.75" customHeight="1" x14ac:dyDescent="0.3">
      <c r="A749" s="74" t="s">
        <v>607</v>
      </c>
      <c r="B749" s="1"/>
      <c r="C749" s="1"/>
      <c r="D749" s="1"/>
      <c r="E749" s="59">
        <f>SUM(B749:D749)</f>
        <v>0</v>
      </c>
      <c r="F749" s="1"/>
      <c r="G749" s="1"/>
      <c r="H749" s="1"/>
      <c r="I749" s="59">
        <f>SUM(F749:H749)</f>
        <v>0</v>
      </c>
      <c r="J749" s="1"/>
      <c r="K749" s="1"/>
      <c r="L749" s="1"/>
      <c r="M749" s="59">
        <f>SUM(J749:L749)</f>
        <v>0</v>
      </c>
      <c r="N749" s="1"/>
      <c r="O749" s="1"/>
      <c r="P749" s="1"/>
      <c r="Q749" s="59">
        <f>SUM(N749:P749)</f>
        <v>0</v>
      </c>
      <c r="R749" s="59">
        <f>+E749+I749+M749+Q749</f>
        <v>0</v>
      </c>
    </row>
    <row r="750" spans="1:20" ht="15.75" customHeight="1" x14ac:dyDescent="0.3">
      <c r="A750" s="74" t="s">
        <v>609</v>
      </c>
      <c r="B750" s="1"/>
      <c r="C750" s="1"/>
      <c r="D750" s="1"/>
      <c r="E750" s="59">
        <f>SUM(B750:D750)</f>
        <v>0</v>
      </c>
      <c r="F750" s="1"/>
      <c r="G750" s="1"/>
      <c r="H750" s="1"/>
      <c r="I750" s="59">
        <f>SUM(F750:H750)</f>
        <v>0</v>
      </c>
      <c r="J750" s="1"/>
      <c r="K750" s="1"/>
      <c r="L750" s="1"/>
      <c r="M750" s="59">
        <f>SUM(J750:L750)</f>
        <v>0</v>
      </c>
      <c r="N750" s="1"/>
      <c r="O750" s="1"/>
      <c r="P750" s="1"/>
      <c r="Q750" s="59">
        <f>SUM(N750:P750)</f>
        <v>0</v>
      </c>
      <c r="R750" s="59">
        <f>+E750+I750+M750+Q750</f>
        <v>0</v>
      </c>
      <c r="T750" s="4" t="s">
        <v>593</v>
      </c>
    </row>
    <row r="751" spans="1:20" ht="15.75" customHeight="1" thickBot="1" x14ac:dyDescent="0.35">
      <c r="A751" s="74" t="s">
        <v>610</v>
      </c>
      <c r="B751" s="1">
        <v>847</v>
      </c>
      <c r="C751" s="1">
        <v>791</v>
      </c>
      <c r="D751" s="1">
        <v>847</v>
      </c>
      <c r="E751" s="59">
        <f>SUM(B751:D751)</f>
        <v>2485</v>
      </c>
      <c r="F751" s="1">
        <v>820</v>
      </c>
      <c r="G751" s="1">
        <v>847</v>
      </c>
      <c r="H751" s="1">
        <v>820</v>
      </c>
      <c r="I751" s="59">
        <f>SUM(F751:H751)</f>
        <v>2487</v>
      </c>
      <c r="J751" s="1">
        <v>847</v>
      </c>
      <c r="K751" s="1">
        <v>847</v>
      </c>
      <c r="L751" s="1">
        <v>820</v>
      </c>
      <c r="M751" s="59">
        <f>SUM(J751:L751)</f>
        <v>2514</v>
      </c>
      <c r="N751" s="1">
        <v>847</v>
      </c>
      <c r="O751" s="1">
        <v>820</v>
      </c>
      <c r="P751" s="1">
        <v>847</v>
      </c>
      <c r="Q751" s="59">
        <f>SUM(N751:P751)</f>
        <v>2514</v>
      </c>
      <c r="R751" s="59">
        <f>+E751+I751+M751+Q751</f>
        <v>10000</v>
      </c>
      <c r="T751" s="4" t="s">
        <v>611</v>
      </c>
    </row>
    <row r="752" spans="1:20" ht="16.5" customHeight="1" thickBot="1" x14ac:dyDescent="0.35">
      <c r="A752" s="62" t="s">
        <v>61</v>
      </c>
      <c r="B752" s="100">
        <f>SUM(B743:B751)</f>
        <v>1353</v>
      </c>
      <c r="C752" s="101">
        <f>SUM(C743:C751)</f>
        <v>1585</v>
      </c>
      <c r="D752" s="101">
        <f>SUM(D743:D751)</f>
        <v>1711</v>
      </c>
      <c r="E752" s="64">
        <f>SUM(B752:D752)</f>
        <v>4649</v>
      </c>
      <c r="F752" s="101">
        <f>SUM(F743:F751)</f>
        <v>1705</v>
      </c>
      <c r="G752" s="101">
        <f>SUM(G743:G751)</f>
        <v>1802</v>
      </c>
      <c r="H752" s="101">
        <f>SUM(H743:H751)</f>
        <v>1750</v>
      </c>
      <c r="I752" s="64">
        <f>SUM(F752:H752)</f>
        <v>5257</v>
      </c>
      <c r="J752" s="101">
        <f>SUM(J743:J751)</f>
        <v>1821</v>
      </c>
      <c r="K752" s="101">
        <f>SUM(K743:K751)</f>
        <v>1765</v>
      </c>
      <c r="L752" s="101">
        <f>SUM(L743:L751)</f>
        <v>1716</v>
      </c>
      <c r="M752" s="64">
        <f>SUM(J752:L752)</f>
        <v>5302</v>
      </c>
      <c r="N752" s="101">
        <f>SUM(N743:N751)</f>
        <v>1388</v>
      </c>
      <c r="O752" s="101">
        <f>SUM(O743:O751)</f>
        <v>1221</v>
      </c>
      <c r="P752" s="101">
        <f>SUM(P743:P751)</f>
        <v>1283</v>
      </c>
      <c r="Q752" s="64">
        <f>SUM(N752:P752)</f>
        <v>3892</v>
      </c>
      <c r="R752" s="64">
        <f>+E752+I752+M752+Q752</f>
        <v>19100</v>
      </c>
    </row>
    <row r="753" spans="1:18" ht="15.75" customHeight="1" x14ac:dyDescent="0.3">
      <c r="A753" s="17" t="s">
        <v>62</v>
      </c>
      <c r="B753" s="1"/>
      <c r="C753" s="1"/>
      <c r="D753" s="1"/>
      <c r="E753" s="59" t="s">
        <v>7</v>
      </c>
      <c r="F753" s="1"/>
      <c r="G753" s="1"/>
      <c r="H753" s="1"/>
      <c r="I753" s="59" t="s">
        <v>7</v>
      </c>
      <c r="J753" s="1"/>
      <c r="K753" s="1"/>
      <c r="L753" s="1"/>
      <c r="M753" s="59" t="s">
        <v>7</v>
      </c>
      <c r="N753" s="1"/>
      <c r="O753" s="1"/>
      <c r="P753" s="1"/>
      <c r="Q753" s="59" t="s">
        <v>7</v>
      </c>
      <c r="R753" s="59" t="s">
        <v>7</v>
      </c>
    </row>
    <row r="754" spans="1:18" ht="15.75" customHeight="1" x14ac:dyDescent="0.3">
      <c r="A754" s="17" t="s">
        <v>63</v>
      </c>
      <c r="B754" s="1"/>
      <c r="C754" s="1"/>
      <c r="D754" s="1"/>
      <c r="E754" s="59" t="s">
        <v>7</v>
      </c>
      <c r="F754" s="1"/>
      <c r="G754" s="1"/>
      <c r="H754" s="1"/>
      <c r="I754" s="59" t="s">
        <v>7</v>
      </c>
      <c r="J754" s="1"/>
      <c r="K754" s="1"/>
      <c r="L754" s="1"/>
      <c r="M754" s="59" t="s">
        <v>7</v>
      </c>
      <c r="N754" s="1"/>
      <c r="O754" s="1"/>
      <c r="P754" s="1"/>
      <c r="Q754" s="59" t="s">
        <v>7</v>
      </c>
      <c r="R754" s="59" t="s">
        <v>7</v>
      </c>
    </row>
    <row r="755" spans="1:18" ht="15.75" customHeight="1" x14ac:dyDescent="0.3">
      <c r="A755" s="74" t="s">
        <v>926</v>
      </c>
      <c r="B755" s="1"/>
      <c r="C755" s="1"/>
      <c r="D755" s="1"/>
      <c r="E755" s="59">
        <f>SUM(B755:D755)</f>
        <v>0</v>
      </c>
      <c r="F755" s="1"/>
      <c r="G755" s="1"/>
      <c r="H755" s="1"/>
      <c r="I755" s="59">
        <f>SUM(F755:H755)</f>
        <v>0</v>
      </c>
      <c r="J755" s="1"/>
      <c r="K755" s="1"/>
      <c r="L755" s="1"/>
      <c r="M755" s="59">
        <f>SUM(J755:L755)</f>
        <v>0</v>
      </c>
      <c r="N755" s="1"/>
      <c r="O755" s="1"/>
      <c r="P755" s="1"/>
      <c r="Q755" s="59">
        <f>SUM(N755:P755)</f>
        <v>0</v>
      </c>
      <c r="R755" s="59">
        <f>+E755+I755+M755+Q755</f>
        <v>0</v>
      </c>
    </row>
    <row r="756" spans="1:18" ht="15.75" customHeight="1" x14ac:dyDescent="0.3">
      <c r="A756" s="74" t="s">
        <v>613</v>
      </c>
      <c r="B756" s="1"/>
      <c r="C756" s="1"/>
      <c r="D756" s="1"/>
      <c r="E756" s="59">
        <f>SUM(B756:D756)</f>
        <v>0</v>
      </c>
      <c r="F756" s="1"/>
      <c r="G756" s="1"/>
      <c r="H756" s="1"/>
      <c r="I756" s="59">
        <f>SUM(F756:H756)</f>
        <v>0</v>
      </c>
      <c r="J756" s="1"/>
      <c r="K756" s="1"/>
      <c r="L756" s="1"/>
      <c r="M756" s="59">
        <f>SUM(J756:L756)</f>
        <v>0</v>
      </c>
      <c r="N756" s="1"/>
      <c r="O756" s="1"/>
      <c r="P756" s="1"/>
      <c r="Q756" s="59">
        <f>SUM(N756:P756)</f>
        <v>0</v>
      </c>
      <c r="R756" s="59">
        <f>+E756+I756+M756+Q756</f>
        <v>0</v>
      </c>
    </row>
    <row r="757" spans="1:18" ht="15.75" customHeight="1" x14ac:dyDescent="0.3">
      <c r="A757" s="17" t="s">
        <v>64</v>
      </c>
      <c r="B757" s="1"/>
      <c r="C757" s="1"/>
      <c r="D757" s="1"/>
      <c r="E757" s="59" t="s">
        <v>7</v>
      </c>
      <c r="F757" s="1"/>
      <c r="G757" s="1"/>
      <c r="H757" s="1"/>
      <c r="I757" s="59" t="s">
        <v>7</v>
      </c>
      <c r="J757" s="1"/>
      <c r="K757" s="1"/>
      <c r="L757" s="1"/>
      <c r="M757" s="59" t="s">
        <v>7</v>
      </c>
      <c r="N757" s="1"/>
      <c r="O757" s="1"/>
      <c r="P757" s="1"/>
      <c r="Q757" s="59" t="s">
        <v>7</v>
      </c>
      <c r="R757" s="59" t="s">
        <v>7</v>
      </c>
    </row>
    <row r="758" spans="1:18" ht="15.75" customHeight="1" x14ac:dyDescent="0.3">
      <c r="A758" s="74" t="s">
        <v>614</v>
      </c>
      <c r="B758" s="1"/>
      <c r="C758" s="1"/>
      <c r="D758" s="1"/>
      <c r="E758" s="59">
        <f>SUM(B758:D758)</f>
        <v>0</v>
      </c>
      <c r="F758" s="1"/>
      <c r="G758" s="1"/>
      <c r="H758" s="1"/>
      <c r="I758" s="59">
        <f>SUM(F758:H758)</f>
        <v>0</v>
      </c>
      <c r="J758" s="1"/>
      <c r="K758" s="1"/>
      <c r="L758" s="1"/>
      <c r="M758" s="59">
        <f>SUM(J758:L758)</f>
        <v>0</v>
      </c>
      <c r="N758" s="1"/>
      <c r="O758" s="1"/>
      <c r="P758" s="1"/>
      <c r="Q758" s="59">
        <f>SUM(N758:P758)</f>
        <v>0</v>
      </c>
      <c r="R758" s="59">
        <f>+E758+I758+M758+Q758</f>
        <v>0</v>
      </c>
    </row>
    <row r="759" spans="1:18" ht="15.75" customHeight="1" x14ac:dyDescent="0.3">
      <c r="A759" s="74" t="s">
        <v>615</v>
      </c>
      <c r="B759" s="1"/>
      <c r="C759" s="1"/>
      <c r="D759" s="1"/>
      <c r="E759" s="59">
        <f>SUM(B759:D759)</f>
        <v>0</v>
      </c>
      <c r="F759" s="1"/>
      <c r="G759" s="1"/>
      <c r="H759" s="1"/>
      <c r="I759" s="59">
        <f>SUM(F759:H759)</f>
        <v>0</v>
      </c>
      <c r="J759" s="1"/>
      <c r="K759" s="1"/>
      <c r="L759" s="1"/>
      <c r="M759" s="59">
        <f>SUM(J759:L759)</f>
        <v>0</v>
      </c>
      <c r="N759" s="1"/>
      <c r="O759" s="1"/>
      <c r="P759" s="1"/>
      <c r="Q759" s="59">
        <f>SUM(N759:P759)</f>
        <v>0</v>
      </c>
      <c r="R759" s="59">
        <f>+E759+I759+M759+Q759</f>
        <v>0</v>
      </c>
    </row>
    <row r="760" spans="1:18" ht="15.75" customHeight="1" x14ac:dyDescent="0.3">
      <c r="A760" s="17" t="s">
        <v>66</v>
      </c>
      <c r="B760" s="1"/>
      <c r="C760" s="1"/>
      <c r="D760" s="1"/>
      <c r="E760" s="59" t="s">
        <v>7</v>
      </c>
      <c r="F760" s="1"/>
      <c r="G760" s="1"/>
      <c r="H760" s="1"/>
      <c r="I760" s="59" t="s">
        <v>7</v>
      </c>
      <c r="J760" s="1"/>
      <c r="K760" s="1"/>
      <c r="L760" s="1"/>
      <c r="M760" s="59" t="s">
        <v>7</v>
      </c>
      <c r="N760" s="1"/>
      <c r="O760" s="1"/>
      <c r="P760" s="1"/>
      <c r="Q760" s="59" t="s">
        <v>7</v>
      </c>
      <c r="R760" s="59" t="s">
        <v>7</v>
      </c>
    </row>
    <row r="761" spans="1:18" ht="15.75" customHeight="1" thickBot="1" x14ac:dyDescent="0.35">
      <c r="A761" s="17" t="s">
        <v>67</v>
      </c>
      <c r="B761" s="1"/>
      <c r="C761" s="1"/>
      <c r="D761" s="1"/>
      <c r="E761" s="59" t="s">
        <v>7</v>
      </c>
      <c r="F761" s="1"/>
      <c r="G761" s="1"/>
      <c r="H761" s="1"/>
      <c r="I761" s="59" t="s">
        <v>7</v>
      </c>
      <c r="J761" s="1"/>
      <c r="K761" s="1"/>
      <c r="L761" s="1"/>
      <c r="M761" s="59" t="s">
        <v>7</v>
      </c>
      <c r="N761" s="1"/>
      <c r="O761" s="1"/>
      <c r="P761" s="1"/>
      <c r="Q761" s="59" t="s">
        <v>7</v>
      </c>
      <c r="R761" s="59" t="s">
        <v>7</v>
      </c>
    </row>
    <row r="762" spans="1:18" ht="16.5" customHeight="1" thickBot="1" x14ac:dyDescent="0.35">
      <c r="A762" s="62" t="s">
        <v>68</v>
      </c>
      <c r="B762" s="63">
        <f>SUM(B760:B761)</f>
        <v>0</v>
      </c>
      <c r="C762" s="63">
        <f>SUM(C760:C761)</f>
        <v>0</v>
      </c>
      <c r="D762" s="63">
        <f>SUM(D760:D761)</f>
        <v>0</v>
      </c>
      <c r="E762" s="65">
        <f>SUM(B762:D762)</f>
        <v>0</v>
      </c>
      <c r="F762" s="63">
        <f>SUM(F760:F761)</f>
        <v>0</v>
      </c>
      <c r="G762" s="63">
        <f>SUM(G760:G761)</f>
        <v>0</v>
      </c>
      <c r="H762" s="63">
        <f>SUM(H760:H761)</f>
        <v>0</v>
      </c>
      <c r="I762" s="65">
        <f>SUM(F762:H762)</f>
        <v>0</v>
      </c>
      <c r="J762" s="63">
        <f>SUM(J760:J761)</f>
        <v>0</v>
      </c>
      <c r="K762" s="63">
        <f>SUM(K760:K761)</f>
        <v>0</v>
      </c>
      <c r="L762" s="63">
        <f>SUM(L760:L761)</f>
        <v>0</v>
      </c>
      <c r="M762" s="65">
        <f>SUM(J762:L762)</f>
        <v>0</v>
      </c>
      <c r="N762" s="63">
        <f>SUM(N760:N761)</f>
        <v>0</v>
      </c>
      <c r="O762" s="63">
        <f>SUM(O760:O761)</f>
        <v>0</v>
      </c>
      <c r="P762" s="63">
        <f>SUM(P760:P761)</f>
        <v>0</v>
      </c>
      <c r="Q762" s="65">
        <f>SUM(N762:P762)</f>
        <v>0</v>
      </c>
      <c r="R762" s="64">
        <f>+E762+I762+M762+Q762</f>
        <v>0</v>
      </c>
    </row>
    <row r="763" spans="1:18" ht="16.5" customHeight="1" thickBot="1" x14ac:dyDescent="0.35">
      <c r="A763" s="62" t="s">
        <v>69</v>
      </c>
      <c r="B763" s="100">
        <f>SUM(B753:B761)</f>
        <v>0</v>
      </c>
      <c r="C763" s="101">
        <f>SUM(C753:C761)</f>
        <v>0</v>
      </c>
      <c r="D763" s="138">
        <f>SUM(D753:D761)</f>
        <v>0</v>
      </c>
      <c r="E763" s="65">
        <f>SUM(B763:D763)</f>
        <v>0</v>
      </c>
      <c r="F763" s="101">
        <f>SUM(F753:F761)</f>
        <v>0</v>
      </c>
      <c r="G763" s="101">
        <f>SUM(G753:G761)</f>
        <v>0</v>
      </c>
      <c r="H763" s="101">
        <f>SUM(H753:H761)</f>
        <v>0</v>
      </c>
      <c r="I763" s="65">
        <f>SUM(F763:H763)</f>
        <v>0</v>
      </c>
      <c r="J763" s="101">
        <f>SUM(J753:J761)</f>
        <v>0</v>
      </c>
      <c r="K763" s="101">
        <f>SUM(K753:K761)</f>
        <v>0</v>
      </c>
      <c r="L763" s="101">
        <f>SUM(L753:L761)</f>
        <v>0</v>
      </c>
      <c r="M763" s="65">
        <f>SUM(J763:L763)</f>
        <v>0</v>
      </c>
      <c r="N763" s="101">
        <f>SUM(N753:N761)</f>
        <v>0</v>
      </c>
      <c r="O763" s="101">
        <f>SUM(O753:O761)</f>
        <v>0</v>
      </c>
      <c r="P763" s="101">
        <f>SUM(P753:P761)</f>
        <v>0</v>
      </c>
      <c r="Q763" s="65">
        <f>SUM(N763:P763)</f>
        <v>0</v>
      </c>
      <c r="R763" s="64">
        <f>+E763+I763+M763+Q763</f>
        <v>0</v>
      </c>
    </row>
    <row r="764" spans="1:18" ht="16.5" customHeight="1" thickBot="1" x14ac:dyDescent="0.35">
      <c r="A764" s="62" t="s">
        <v>70</v>
      </c>
      <c r="B764" s="107">
        <f>+B737+B742+B752+B763</f>
        <v>3903</v>
      </c>
      <c r="C764" s="63">
        <f>+C737+C742+C752+C763</f>
        <v>4085</v>
      </c>
      <c r="D764" s="63">
        <f>+D737+D742+D752+D763</f>
        <v>4211</v>
      </c>
      <c r="E764" s="64">
        <f>SUM(B764:D764)</f>
        <v>12199</v>
      </c>
      <c r="F764" s="63">
        <f>+F737+F742+F752+F763</f>
        <v>4205</v>
      </c>
      <c r="G764" s="63">
        <f>+G737+G742+G752+G763</f>
        <v>1802</v>
      </c>
      <c r="H764" s="63">
        <f>+H737+H742+H752+H763</f>
        <v>4250</v>
      </c>
      <c r="I764" s="64">
        <f>SUM(F764:H764)</f>
        <v>10257</v>
      </c>
      <c r="J764" s="63">
        <f>+J737+J742+J752+J763</f>
        <v>4321</v>
      </c>
      <c r="K764" s="63">
        <f>+K737+K742+K752+K763</f>
        <v>4265</v>
      </c>
      <c r="L764" s="63">
        <f>+L737+L742+L752+L763</f>
        <v>4716</v>
      </c>
      <c r="M764" s="64">
        <f>SUM(J764:L764)</f>
        <v>13302</v>
      </c>
      <c r="N764" s="63">
        <f>+N737+N742+N752+N763</f>
        <v>2888</v>
      </c>
      <c r="O764" s="63">
        <f>+O737+O742+O752+O763</f>
        <v>2021</v>
      </c>
      <c r="P764" s="63">
        <f>+P737+P742+P752+P763</f>
        <v>3183</v>
      </c>
      <c r="Q764" s="64">
        <f>SUM(N764:P764)</f>
        <v>8092</v>
      </c>
      <c r="R764" s="88">
        <f>+E764+I764+M764+Q764</f>
        <v>43850</v>
      </c>
    </row>
    <row r="765" spans="1:18" ht="16.5" customHeight="1" thickBot="1" x14ac:dyDescent="0.35">
      <c r="A765" s="40" t="s">
        <v>37</v>
      </c>
      <c r="B765" s="25">
        <v>11</v>
      </c>
      <c r="C765" s="25">
        <v>13</v>
      </c>
      <c r="D765" s="25">
        <v>17</v>
      </c>
      <c r="E765" s="59">
        <f>SUM(B765:D765)</f>
        <v>41</v>
      </c>
      <c r="F765" s="25">
        <v>21</v>
      </c>
      <c r="G765" s="25">
        <v>23</v>
      </c>
      <c r="H765" s="25">
        <v>25</v>
      </c>
      <c r="I765" s="59">
        <f>SUM(F765:H765)</f>
        <v>69</v>
      </c>
      <c r="J765" s="25">
        <v>25</v>
      </c>
      <c r="K765" s="25">
        <v>21</v>
      </c>
      <c r="L765" s="25">
        <v>19</v>
      </c>
      <c r="M765" s="59">
        <f>SUM(J765:L765)</f>
        <v>65</v>
      </c>
      <c r="N765" s="25">
        <v>17</v>
      </c>
      <c r="O765" s="25">
        <v>13</v>
      </c>
      <c r="P765" s="25">
        <v>11</v>
      </c>
      <c r="Q765" s="59">
        <f>SUM(N765:P765)</f>
        <v>41</v>
      </c>
      <c r="R765" s="59">
        <f>+E765+I765+M765+Q765</f>
        <v>216</v>
      </c>
    </row>
    <row r="766" spans="1:18" ht="16.5" customHeight="1" thickBot="1" x14ac:dyDescent="0.35">
      <c r="A766" s="42"/>
      <c r="B766" s="37"/>
      <c r="C766" s="37"/>
      <c r="D766" s="37"/>
      <c r="E766" s="64" t="s">
        <v>7</v>
      </c>
      <c r="F766" s="37"/>
      <c r="G766" s="37"/>
      <c r="H766" s="37"/>
      <c r="I766" s="64" t="s">
        <v>7</v>
      </c>
      <c r="J766" s="37"/>
      <c r="K766" s="37"/>
      <c r="L766" s="37"/>
      <c r="M766" s="64" t="s">
        <v>7</v>
      </c>
      <c r="N766" s="37"/>
      <c r="O766" s="37"/>
      <c r="P766" s="37"/>
      <c r="Q766" s="64" t="s">
        <v>7</v>
      </c>
      <c r="R766" s="64" t="s">
        <v>7</v>
      </c>
    </row>
    <row r="767" spans="1:18" ht="15.75" customHeight="1" x14ac:dyDescent="0.3">
      <c r="A767" s="17" t="s">
        <v>38</v>
      </c>
      <c r="B767" s="1">
        <f>SUM(B764:B765)</f>
        <v>3914</v>
      </c>
      <c r="C767" s="1">
        <f>SUM(C764:C765)</f>
        <v>4098</v>
      </c>
      <c r="D767" s="1">
        <f>SUM(D764:D765)</f>
        <v>4228</v>
      </c>
      <c r="E767" s="65">
        <f>SUM(B767:D767)</f>
        <v>12240</v>
      </c>
      <c r="F767" s="1">
        <f>SUM(F764:F765)</f>
        <v>4226</v>
      </c>
      <c r="G767" s="1">
        <f>SUM(G764:G765)</f>
        <v>1825</v>
      </c>
      <c r="H767" s="1">
        <f>SUM(H764:H765)</f>
        <v>4275</v>
      </c>
      <c r="I767" s="65">
        <f>SUM(F767:H767)</f>
        <v>10326</v>
      </c>
      <c r="J767" s="1">
        <f>SUM(J764:J765)</f>
        <v>4346</v>
      </c>
      <c r="K767" s="1">
        <f>SUM(K764:K765)</f>
        <v>4286</v>
      </c>
      <c r="L767" s="1">
        <f>SUM(L764:L765)</f>
        <v>4735</v>
      </c>
      <c r="M767" s="65">
        <f>SUM(J767:L767)</f>
        <v>13367</v>
      </c>
      <c r="N767" s="1">
        <f>SUM(N764:N765)</f>
        <v>2905</v>
      </c>
      <c r="O767" s="1">
        <f>SUM(O764:O765)</f>
        <v>2034</v>
      </c>
      <c r="P767" s="1">
        <f>SUM(P764:P765)</f>
        <v>3194</v>
      </c>
      <c r="Q767" s="65">
        <f>SUM(N767:P767)</f>
        <v>8133</v>
      </c>
      <c r="R767" s="65">
        <f>+E767+I767+M767+Q767</f>
        <v>44066</v>
      </c>
    </row>
    <row r="768" spans="1:18" ht="15.75" customHeight="1" x14ac:dyDescent="0.3">
      <c r="A768" s="17" t="s">
        <v>39</v>
      </c>
      <c r="B768" s="1">
        <f>(B767/B10)/1.983</f>
        <v>63.670229206318218</v>
      </c>
      <c r="C768" s="1">
        <f>(C767/C10)/1.983</f>
        <v>71.260889978611303</v>
      </c>
      <c r="D768" s="1">
        <f>(D767/D10)/1.983</f>
        <v>68.77816277064727</v>
      </c>
      <c r="E768" s="59" t="s">
        <v>7</v>
      </c>
      <c r="F768" s="1">
        <f>(F767/F10)/1.983</f>
        <v>71.037149100689192</v>
      </c>
      <c r="G768" s="1">
        <f>(G767/G10)/1.983</f>
        <v>29.687830429619506</v>
      </c>
      <c r="H768" s="1">
        <f>(H767/H10)/1.983</f>
        <v>71.860816944024208</v>
      </c>
      <c r="I768" s="59" t="s">
        <v>7</v>
      </c>
      <c r="J768" s="1">
        <f>(J767/J10)/1.983</f>
        <v>70.697704683356918</v>
      </c>
      <c r="K768" s="1">
        <f>(K767/K10)/1.983</f>
        <v>69.721666422657094</v>
      </c>
      <c r="L768" s="1">
        <f>(L767/L10)/1.983</f>
        <v>79.593208942679439</v>
      </c>
      <c r="M768" s="59" t="s">
        <v>7</v>
      </c>
      <c r="N768" s="1">
        <f>(N767/N10)/1.983</f>
        <v>47.256519122216254</v>
      </c>
      <c r="O768" s="1">
        <f>(O767/O10)/1.983</f>
        <v>34.190620272314675</v>
      </c>
      <c r="P768" s="1">
        <f>(P767/P10)/1.983</f>
        <v>51.957770077920387</v>
      </c>
      <c r="Q768" s="59" t="s">
        <v>7</v>
      </c>
      <c r="R768" s="59" t="s">
        <v>7</v>
      </c>
    </row>
    <row r="769" spans="1:18" ht="15.75" customHeight="1" x14ac:dyDescent="0.3">
      <c r="A769" s="17" t="s">
        <v>616</v>
      </c>
      <c r="B769" s="1">
        <f>B767</f>
        <v>3914</v>
      </c>
      <c r="C769" s="1">
        <f>C767</f>
        <v>4098</v>
      </c>
      <c r="D769" s="1">
        <f>D767</f>
        <v>4228</v>
      </c>
      <c r="E769" s="59">
        <f>SUM(B769:D769)</f>
        <v>12240</v>
      </c>
      <c r="F769" s="1">
        <f>F767</f>
        <v>4226</v>
      </c>
      <c r="G769" s="1">
        <f>G767</f>
        <v>1825</v>
      </c>
      <c r="H769" s="1">
        <f>H767</f>
        <v>4275</v>
      </c>
      <c r="I769" s="59">
        <f>SUM(F769:H769)</f>
        <v>10326</v>
      </c>
      <c r="J769" s="1">
        <f>J767</f>
        <v>4346</v>
      </c>
      <c r="K769" s="1">
        <f>K767</f>
        <v>4286</v>
      </c>
      <c r="L769" s="1">
        <f>L767</f>
        <v>4735</v>
      </c>
      <c r="M769" s="59">
        <f>SUM(J769:L769)</f>
        <v>13367</v>
      </c>
      <c r="N769" s="1">
        <f>N767</f>
        <v>2905</v>
      </c>
      <c r="O769" s="1">
        <f>O767</f>
        <v>2034</v>
      </c>
      <c r="P769" s="1">
        <f>P767</f>
        <v>3194</v>
      </c>
      <c r="Q769" s="59">
        <f>SUM(N769:P769)</f>
        <v>8133</v>
      </c>
      <c r="R769" s="59">
        <f>+E769+I769+M769+Q769</f>
        <v>44066</v>
      </c>
    </row>
    <row r="770" spans="1:18" ht="16.5" customHeight="1" thickBot="1" x14ac:dyDescent="0.35">
      <c r="A770" s="24" t="s">
        <v>617</v>
      </c>
      <c r="B770" s="25">
        <f>(B769/B10)/1.983</f>
        <v>63.670229206318218</v>
      </c>
      <c r="C770" s="25">
        <f>(C769/C10)/1.983</f>
        <v>71.260889978611303</v>
      </c>
      <c r="D770" s="25">
        <f>(D769/D10)/1.983</f>
        <v>68.77816277064727</v>
      </c>
      <c r="E770" s="88" t="s">
        <v>7</v>
      </c>
      <c r="F770" s="25">
        <f>(F769/F10)/1.983</f>
        <v>71.037149100689192</v>
      </c>
      <c r="G770" s="25">
        <f>(G769/G10)/1.983</f>
        <v>29.687830429619506</v>
      </c>
      <c r="H770" s="25">
        <f>(H769/H10)/1.983</f>
        <v>71.860816944024208</v>
      </c>
      <c r="I770" s="88" t="s">
        <v>7</v>
      </c>
      <c r="J770" s="25">
        <f>(J769/J10)/1.983</f>
        <v>70.697704683356918</v>
      </c>
      <c r="K770" s="25">
        <f>(K769/K10)/1.983</f>
        <v>69.721666422657094</v>
      </c>
      <c r="L770" s="25">
        <f>(L769/L10)/1.983</f>
        <v>79.593208942679439</v>
      </c>
      <c r="M770" s="88" t="s">
        <v>7</v>
      </c>
      <c r="N770" s="25">
        <f>(N769/N10)/1.983</f>
        <v>47.256519122216254</v>
      </c>
      <c r="O770" s="25">
        <f>(O769/O10)/1.983</f>
        <v>34.190620272314675</v>
      </c>
      <c r="P770" s="25">
        <f>(P769/P10)/1.983</f>
        <v>51.957770077920387</v>
      </c>
      <c r="Q770" s="88" t="s">
        <v>7</v>
      </c>
      <c r="R770" s="88" t="s">
        <v>7</v>
      </c>
    </row>
    <row r="771" spans="1:18" ht="15.75" customHeight="1" x14ac:dyDescent="0.3">
      <c r="A771" s="30"/>
      <c r="B771" s="1"/>
      <c r="C771" s="1"/>
      <c r="D771" s="1"/>
      <c r="E771" s="28"/>
      <c r="F771" s="1"/>
      <c r="G771" s="1"/>
      <c r="H771" s="1"/>
      <c r="I771" s="28"/>
      <c r="J771" s="1"/>
      <c r="K771" s="1"/>
      <c r="L771" s="1"/>
      <c r="M771" s="28"/>
      <c r="N771" s="1"/>
      <c r="O771" s="1"/>
      <c r="P771" s="1"/>
      <c r="Q771" s="28"/>
      <c r="R771" s="28"/>
    </row>
    <row r="772" spans="1:18" ht="15.75" customHeight="1" x14ac:dyDescent="0.3">
      <c r="A772" s="30"/>
      <c r="B772" s="1"/>
      <c r="C772" s="1"/>
      <c r="D772" s="1"/>
      <c r="E772" s="1"/>
      <c r="F772" s="1"/>
      <c r="G772" s="1"/>
      <c r="H772" s="1"/>
      <c r="I772" s="1"/>
      <c r="J772" s="1"/>
      <c r="K772" s="1"/>
      <c r="L772" s="1"/>
      <c r="M772" s="1"/>
      <c r="N772" s="1"/>
      <c r="O772" s="1"/>
      <c r="P772" s="1"/>
      <c r="Q772" s="2" t="str">
        <f>+Q1</f>
        <v xml:space="preserve">PRINTED:  </v>
      </c>
      <c r="R772" s="163">
        <f ca="1">+R1</f>
        <v>44894.658168518516</v>
      </c>
    </row>
    <row r="773" spans="1:18" ht="15.75" customHeight="1" x14ac:dyDescent="0.3">
      <c r="A773" s="383" t="s">
        <v>1</v>
      </c>
      <c r="B773" s="383"/>
      <c r="C773" s="383"/>
      <c r="D773" s="383"/>
      <c r="E773" s="383"/>
      <c r="F773" s="383"/>
      <c r="G773" s="383"/>
      <c r="H773" s="383"/>
      <c r="I773" s="383"/>
      <c r="J773" s="383"/>
      <c r="K773" s="383"/>
      <c r="L773" s="383"/>
      <c r="M773" s="383"/>
      <c r="N773" s="383"/>
      <c r="O773" s="383"/>
      <c r="P773" s="383"/>
      <c r="Q773" s="383"/>
      <c r="R773" s="383"/>
    </row>
    <row r="774" spans="1:18" ht="15.75" customHeight="1" x14ac:dyDescent="0.3">
      <c r="A774" s="383" t="s">
        <v>2</v>
      </c>
      <c r="B774" s="383"/>
      <c r="C774" s="383"/>
      <c r="D774" s="383"/>
      <c r="E774" s="383"/>
      <c r="F774" s="383"/>
      <c r="G774" s="383"/>
      <c r="H774" s="383"/>
      <c r="I774" s="383"/>
      <c r="J774" s="383"/>
      <c r="K774" s="383"/>
      <c r="L774" s="383"/>
      <c r="M774" s="383"/>
      <c r="N774" s="383"/>
      <c r="O774" s="383"/>
      <c r="P774" s="383"/>
      <c r="Q774" s="383"/>
      <c r="R774" s="383"/>
    </row>
    <row r="775" spans="1:18" ht="15.75" customHeight="1" x14ac:dyDescent="0.3">
      <c r="A775" s="383" t="s">
        <v>3</v>
      </c>
      <c r="B775" s="383"/>
      <c r="C775" s="383"/>
      <c r="D775" s="383"/>
      <c r="E775" s="383"/>
      <c r="F775" s="383"/>
      <c r="G775" s="383"/>
      <c r="H775" s="383"/>
      <c r="I775" s="383"/>
      <c r="J775" s="383"/>
      <c r="K775" s="383"/>
      <c r="L775" s="383"/>
      <c r="M775" s="383"/>
      <c r="N775" s="383"/>
      <c r="O775" s="383"/>
      <c r="P775" s="383"/>
      <c r="Q775" s="383"/>
      <c r="R775" s="383"/>
    </row>
    <row r="776" spans="1:18" ht="15.75" customHeight="1" x14ac:dyDescent="0.3">
      <c r="A776" s="391">
        <f>+A5</f>
        <v>2016</v>
      </c>
      <c r="B776" s="391"/>
      <c r="C776" s="391"/>
      <c r="D776" s="391"/>
      <c r="E776" s="391"/>
      <c r="F776" s="391"/>
      <c r="G776" s="391"/>
      <c r="H776" s="391"/>
      <c r="I776" s="391"/>
      <c r="J776" s="391"/>
      <c r="K776" s="391"/>
      <c r="L776" s="391"/>
      <c r="M776" s="391"/>
      <c r="N776" s="391"/>
      <c r="O776" s="391"/>
      <c r="P776" s="391"/>
      <c r="Q776" s="391"/>
      <c r="R776" s="391"/>
    </row>
    <row r="777" spans="1:18" ht="15.75" customHeight="1" x14ac:dyDescent="0.3">
      <c r="A777" s="1"/>
      <c r="B777" s="1"/>
      <c r="C777" s="1"/>
      <c r="D777" s="7"/>
      <c r="E777" s="7"/>
      <c r="F777" s="7"/>
      <c r="G777" s="8"/>
      <c r="H777" s="7"/>
      <c r="I777" s="7"/>
      <c r="J777" s="8"/>
      <c r="K777" s="8"/>
      <c r="L777" s="8"/>
      <c r="M777" s="8"/>
      <c r="N777" s="1"/>
      <c r="O777" s="8"/>
      <c r="P777" s="8"/>
      <c r="Q777" s="8"/>
      <c r="R777" s="8"/>
    </row>
    <row r="778" spans="1:18" ht="15.75" customHeight="1" x14ac:dyDescent="0.3">
      <c r="A778" s="383" t="str">
        <f>+A8</f>
        <v>Revised:  12/8/2015</v>
      </c>
      <c r="B778" s="383"/>
      <c r="C778" s="383"/>
      <c r="D778" s="383"/>
      <c r="E778" s="383"/>
      <c r="F778" s="383"/>
      <c r="G778" s="383"/>
      <c r="H778" s="383"/>
      <c r="I778" s="383"/>
      <c r="J778" s="383"/>
      <c r="K778" s="383"/>
      <c r="L778" s="383"/>
      <c r="M778" s="383"/>
      <c r="N778" s="383"/>
      <c r="O778" s="383"/>
      <c r="P778" s="383"/>
      <c r="Q778" s="383"/>
      <c r="R778" s="383"/>
    </row>
    <row r="779" spans="1:18" ht="15.75" customHeight="1" x14ac:dyDescent="0.3">
      <c r="A779" s="6"/>
      <c r="B779" s="6"/>
      <c r="C779" s="6"/>
      <c r="D779" s="6"/>
      <c r="E779" s="6"/>
      <c r="F779" s="6"/>
      <c r="G779" s="6"/>
      <c r="H779" s="6"/>
      <c r="I779" s="6"/>
      <c r="J779" s="6"/>
      <c r="K779" s="6"/>
      <c r="L779" s="6"/>
      <c r="M779" s="6"/>
      <c r="N779" s="6"/>
      <c r="O779" s="6"/>
      <c r="P779" s="6"/>
      <c r="Q779" s="6"/>
      <c r="R779" s="6"/>
    </row>
    <row r="780" spans="1:18" ht="15.75" customHeight="1" x14ac:dyDescent="0.3">
      <c r="A780" s="6"/>
      <c r="B780" s="6"/>
      <c r="C780" s="6"/>
      <c r="D780" s="6"/>
      <c r="E780" s="6"/>
      <c r="F780" s="6"/>
      <c r="G780" s="6"/>
      <c r="H780" s="6"/>
      <c r="I780" s="6"/>
      <c r="J780" s="6"/>
      <c r="K780" s="6"/>
      <c r="L780" s="6"/>
      <c r="M780" s="6"/>
      <c r="N780" s="6"/>
      <c r="O780" s="6"/>
      <c r="P780" s="6"/>
      <c r="Q780" s="6"/>
      <c r="R780" s="6"/>
    </row>
    <row r="781" spans="1:18" ht="15.75" customHeight="1" thickBot="1" x14ac:dyDescent="0.35">
      <c r="A781" s="30"/>
      <c r="B781" s="1"/>
      <c r="C781" s="1"/>
      <c r="D781" s="1"/>
      <c r="E781" s="1"/>
      <c r="F781" s="1"/>
      <c r="G781" s="1"/>
      <c r="H781" s="1"/>
      <c r="I781" s="1"/>
      <c r="J781" s="1"/>
      <c r="K781" s="1"/>
      <c r="L781" s="1"/>
      <c r="M781" s="1"/>
      <c r="N781" s="1"/>
      <c r="O781" s="1"/>
      <c r="P781" s="1"/>
      <c r="Q781" s="1"/>
      <c r="R781" s="28"/>
    </row>
    <row r="782" spans="1:18" ht="16.5" customHeight="1" thickBot="1" x14ac:dyDescent="0.35">
      <c r="A782" s="145" t="s">
        <v>618</v>
      </c>
      <c r="B782" s="32" t="s">
        <v>36</v>
      </c>
      <c r="C782" s="33" t="s">
        <v>9</v>
      </c>
      <c r="D782" s="33" t="s">
        <v>10</v>
      </c>
      <c r="E782" s="12" t="s">
        <v>11</v>
      </c>
      <c r="F782" s="33" t="s">
        <v>12</v>
      </c>
      <c r="G782" s="33" t="s">
        <v>13</v>
      </c>
      <c r="H782" s="33" t="s">
        <v>14</v>
      </c>
      <c r="I782" s="34" t="s">
        <v>15</v>
      </c>
      <c r="J782" s="33" t="s">
        <v>16</v>
      </c>
      <c r="K782" s="33" t="s">
        <v>17</v>
      </c>
      <c r="L782" s="33" t="s">
        <v>18</v>
      </c>
      <c r="M782" s="34" t="s">
        <v>19</v>
      </c>
      <c r="N782" s="33" t="s">
        <v>20</v>
      </c>
      <c r="O782" s="33" t="s">
        <v>21</v>
      </c>
      <c r="P782" s="33" t="s">
        <v>22</v>
      </c>
      <c r="Q782" s="34" t="s">
        <v>23</v>
      </c>
      <c r="R782" s="157" t="s">
        <v>24</v>
      </c>
    </row>
    <row r="783" spans="1:18" ht="16.5" customHeight="1" thickBot="1" x14ac:dyDescent="0.35">
      <c r="A783" s="42"/>
      <c r="B783" s="37"/>
      <c r="C783" s="37"/>
      <c r="D783" s="37"/>
      <c r="E783" s="16"/>
      <c r="F783" s="37"/>
      <c r="G783" s="37"/>
      <c r="H783" s="37"/>
      <c r="I783" s="156"/>
      <c r="J783" s="37"/>
      <c r="K783" s="37"/>
      <c r="L783" s="37"/>
      <c r="M783" s="156"/>
      <c r="N783" s="37"/>
      <c r="O783" s="37"/>
      <c r="P783" s="37"/>
      <c r="Q783" s="158"/>
      <c r="R783" s="159"/>
    </row>
    <row r="784" spans="1:18" ht="15.75" customHeight="1" x14ac:dyDescent="0.3">
      <c r="A784" s="17" t="s">
        <v>45</v>
      </c>
      <c r="B784" s="1" t="s">
        <v>7</v>
      </c>
      <c r="C784" s="1" t="s">
        <v>7</v>
      </c>
      <c r="D784" s="1" t="s">
        <v>7</v>
      </c>
      <c r="E784" s="160"/>
      <c r="F784" s="1" t="s">
        <v>7</v>
      </c>
      <c r="G784" s="1" t="s">
        <v>7</v>
      </c>
      <c r="H784" s="1" t="s">
        <v>7</v>
      </c>
      <c r="I784" s="160"/>
      <c r="J784" s="1" t="s">
        <v>7</v>
      </c>
      <c r="K784" s="1" t="s">
        <v>7</v>
      </c>
      <c r="L784" s="1" t="s">
        <v>7</v>
      </c>
      <c r="M784" s="160"/>
      <c r="N784" s="1" t="s">
        <v>7</v>
      </c>
      <c r="O784" s="1" t="s">
        <v>7</v>
      </c>
      <c r="P784" s="1" t="s">
        <v>7</v>
      </c>
      <c r="Q784" s="161"/>
      <c r="R784" s="162" t="s">
        <v>7</v>
      </c>
    </row>
    <row r="785" spans="1:20" ht="15.75" customHeight="1" x14ac:dyDescent="0.3">
      <c r="A785" s="164" t="s">
        <v>46</v>
      </c>
      <c r="B785" s="1">
        <f>+SUM(B71:B81)+SUM(B137:B183)+SUM(B308:B333)+SUM(B452:B455)+SUM(B493:B497)+SUM(B536:B546)+SUM(B601:B604)+SUM(B637:B643)+SUM(B694:B695)+SUM(B728:B732)</f>
        <v>28668</v>
      </c>
      <c r="C785" s="1">
        <f>+SUM(C71:C81)+SUM(C137:C183)+SUM(C308:C333)+SUM(C452:C455)+SUM(C493:C497)+SUM(C536:C546)+SUM(C601:C604)+SUM(C637:C643)+SUM(C694:C695)+SUM(C728:C732)</f>
        <v>30212</v>
      </c>
      <c r="D785" s="1">
        <f>+SUM(D71:D81)+SUM(D137:D183)+SUM(D308:D333)+SUM(D452:D455)+SUM(D493:D497)+SUM(D536:D546)+SUM(D601:D604)+SUM(D637:D643)+SUM(D694:D695)+SUM(D728:D732)</f>
        <v>31425</v>
      </c>
      <c r="E785" s="59">
        <f t="shared" ref="E785:E791" si="115">SUM(B785:D785)</f>
        <v>90305</v>
      </c>
      <c r="F785" s="1">
        <f>+SUM(F71:F81)+SUM(F137:F183)+SUM(F308:F333)+SUM(F452:F455)+SUM(F493:F497)+SUM(F536:F546)+SUM(F601:F604)+SUM(F637:F643)+SUM(F694:F695)+SUM(F728:F732)</f>
        <v>44833</v>
      </c>
      <c r="G785" s="1">
        <f>+SUM(G71:G81)+SUM(G137:G183)+SUM(G308:G333)+SUM(G452:G455)+SUM(G493:G497)+SUM(G536:G546)+SUM(G601:G604)+SUM(G637:G643)+SUM(G694:G695)+SUM(G728:G732)</f>
        <v>46389</v>
      </c>
      <c r="H785" s="1">
        <f>+SUM(H71:H81)+SUM(H137:H183)+SUM(H308:H333)+SUM(H452:H455)+SUM(H493:H497)+SUM(H536:H546)+SUM(H601:H604)+SUM(H637:H643)+SUM(H694:H695)+SUM(H728:H732)</f>
        <v>47757</v>
      </c>
      <c r="I785" s="59">
        <f t="shared" ref="I785:I791" si="116">SUM(F785:H785)</f>
        <v>138979</v>
      </c>
      <c r="J785" s="1">
        <f>+SUM(J71:J81)+SUM(J137:J183)+SUM(J308:J333)+SUM(J452:J455)+SUM(J493:J497)+SUM(J536:J546)+SUM(J601:J604)+SUM(J637:J643)+SUM(J694:J695)+SUM(J728:J732)</f>
        <v>55272</v>
      </c>
      <c r="K785" s="1">
        <f>+SUM(K71:K81)+SUM(K137:K183)+SUM(K308:K333)+SUM(K452:K455)+SUM(K493:K497)+SUM(K536:K546)+SUM(K601:K604)+SUM(K637:K643)+SUM(K694:K695)+SUM(K728:K732)</f>
        <v>63291</v>
      </c>
      <c r="L785" s="1">
        <f>+SUM(L71:L81)+SUM(L137:L183)+SUM(L308:L333)+SUM(L452:L455)+SUM(L493:L497)+SUM(L536:L546)+SUM(L601:L604)+SUM(L637:L643)+SUM(L694:L695)+SUM(L728:L732)</f>
        <v>53825</v>
      </c>
      <c r="M785" s="59">
        <f t="shared" ref="M785:M791" si="117">SUM(J785:L785)</f>
        <v>172388</v>
      </c>
      <c r="N785" s="1">
        <f>+SUM(N71:N81)+SUM(N137:N183)+SUM(N308:N333)+SUM(N452:N455)+SUM(N493:N497)+SUM(N536:N546)+SUM(N601:N604)+SUM(N637:N643)+SUM(N694:N695)+SUM(N728:N732)</f>
        <v>40094</v>
      </c>
      <c r="O785" s="1">
        <f>+SUM(O71:O81)+SUM(O137:O183)+SUM(O308:O333)+SUM(O452:O455)+SUM(O493:O497)+SUM(O536:O546)+SUM(O601:O604)+SUM(O637:O643)+SUM(O694:O695)+SUM(O728:O732)</f>
        <v>33589</v>
      </c>
      <c r="P785" s="1">
        <f>+SUM(P71:P81)+SUM(P137:P183)+SUM(P308:P333)+SUM(P452:P455)+SUM(P493:P497)+SUM(P536:P546)+SUM(P601:P604)+SUM(P637:P643)+SUM(P694:P695)+SUM(P728:P732)</f>
        <v>35885</v>
      </c>
      <c r="Q785" s="59">
        <f t="shared" ref="Q785:Q791" si="118">SUM(N785:P785)</f>
        <v>109568</v>
      </c>
      <c r="R785" s="59">
        <f t="shared" ref="R785:R791" si="119">+E785+I785+M785+Q785</f>
        <v>511240</v>
      </c>
    </row>
    <row r="786" spans="1:20" ht="15.75" customHeight="1" x14ac:dyDescent="0.3">
      <c r="A786" s="17" t="s">
        <v>619</v>
      </c>
      <c r="B786" s="1">
        <f>+B38+SUM(B82:B83)+SUM(B185:B194)+SUM(B335:B345)+SUM(B457:B458)+B498+SUM(B547:B548)+B605+B644+B696+SUM(B733:B733)</f>
        <v>0</v>
      </c>
      <c r="C786" s="1">
        <f>+C38+SUM(C82:C83)+SUM(C185:C194)+SUM(C335:C345)+SUM(C457:C458)+C498+SUM(C547:C548)+C605+C644+C696+SUM(C733:C733)</f>
        <v>0</v>
      </c>
      <c r="D786" s="1">
        <f>+D38+SUM(D82:D83)+SUM(D185:D194)+SUM(D335:D345)+SUM(D457:D458)+D498+SUM(D547:D548)+D605+D644+D696+SUM(D733:D733)</f>
        <v>0</v>
      </c>
      <c r="E786" s="59">
        <f t="shared" si="115"/>
        <v>0</v>
      </c>
      <c r="F786" s="1">
        <f>+F38+SUM(F82:F83)+SUM(F185:F194)+SUM(F335:F345)+SUM(F457:F458)+F498+SUM(F547:F548)+F605+F644+F696+SUM(F733:F733)</f>
        <v>0</v>
      </c>
      <c r="G786" s="1">
        <f>+G38+SUM(G82:G83)+SUM(G185:G194)+SUM(G335:G345)+SUM(G457:G458)+G498+SUM(G547:G548)+G605+G644+G696+SUM(G733:G733)</f>
        <v>0</v>
      </c>
      <c r="H786" s="1">
        <f>+H38+SUM(H82:H83)+SUM(H185:H194)+SUM(H335:H345)+SUM(H457:H458)+H498+SUM(H547:H548)+H605+H644+H696+SUM(H733:H733)</f>
        <v>0</v>
      </c>
      <c r="I786" s="59">
        <f t="shared" si="116"/>
        <v>0</v>
      </c>
      <c r="J786" s="1">
        <f>+J38+SUM(J82:J83)+SUM(J185:J194)+SUM(J335:J345)+SUM(J457:J458)+J498+SUM(J547:J548)+J605+J644+J696+SUM(J733:J733)</f>
        <v>0</v>
      </c>
      <c r="K786" s="1">
        <f>+K38+SUM(K82:K83)+SUM(K185:K194)+SUM(K335:K345)+SUM(K457:K458)+K498+SUM(K547:K548)+K605+K644+K696+SUM(K733:K733)</f>
        <v>0</v>
      </c>
      <c r="L786" s="1">
        <f>+L38+SUM(L82:L83)+SUM(L185:L194)+SUM(L335:L345)+SUM(L457:L458)+L498+SUM(L547:L548)+L605+L644+L696+SUM(L733:L733)</f>
        <v>0</v>
      </c>
      <c r="M786" s="59">
        <f t="shared" si="117"/>
        <v>0</v>
      </c>
      <c r="N786" s="1">
        <f>+N38+SUM(N82:N83)+SUM(N185:N194)+SUM(N335:N345)+SUM(N457:N458)+N498+SUM(N547:N548)+N605+N644+N696+SUM(N733:N733)</f>
        <v>0</v>
      </c>
      <c r="O786" s="1">
        <f>+O38+SUM(O82:O83)+SUM(O185:O194)+SUM(O335:O345)+SUM(O457:O458)+O498+SUM(O547:O548)+O605+O644+O696+SUM(O733:O733)</f>
        <v>0</v>
      </c>
      <c r="P786" s="1">
        <f>+P38+SUM(P82:P83)+SUM(P185:P194)+SUM(P335:P345)+SUM(P457:P458)+P498+SUM(P547:P548)+P605+P644+P696+SUM(P733:P733)</f>
        <v>0</v>
      </c>
      <c r="Q786" s="59">
        <f t="shared" si="118"/>
        <v>0</v>
      </c>
      <c r="R786" s="59">
        <f t="shared" si="119"/>
        <v>0</v>
      </c>
    </row>
    <row r="787" spans="1:20" ht="15.75" customHeight="1" x14ac:dyDescent="0.3">
      <c r="A787" s="164" t="s">
        <v>620</v>
      </c>
      <c r="B787" s="1">
        <f>+SUM(B84:B86)+SUM(B195:B198)+SUM(B346:B350)+B459+B499+SUM(B549:B550)+B606+B645+B697+SUM(B734:B735)</f>
        <v>1470</v>
      </c>
      <c r="C787" s="1">
        <f>+SUM(C84:C86)+SUM(C195:C198)+SUM(C346:C350)+C459+C499+SUM(C549:C550)+C606+C645+C697+SUM(C734:C735)</f>
        <v>1570</v>
      </c>
      <c r="D787" s="1">
        <f>+SUM(D84:D86)+SUM(D195:D198)+SUM(D346:D350)+D459+D499+SUM(D549:D550)+D606+D645+D697+SUM(D734:D735)</f>
        <v>3170</v>
      </c>
      <c r="E787" s="59">
        <f t="shared" si="115"/>
        <v>6210</v>
      </c>
      <c r="F787" s="1">
        <f>+SUM(F84:F86)+SUM(F195:F198)+SUM(F346:F350)+F459+F499+SUM(F549:F550)+F606+F645+F697+SUM(F734:F735)</f>
        <v>3670</v>
      </c>
      <c r="G787" s="1">
        <f>+SUM(G84:G86)+SUM(G195:G198)+SUM(G346:G350)+G459+G499+SUM(G549:G550)+G606+G645+G697+SUM(G734:G735)</f>
        <v>8415</v>
      </c>
      <c r="H787" s="1">
        <f>+SUM(H84:H86)+SUM(H195:H198)+SUM(H346:H350)+H459+H499+SUM(H549:H550)+H606+H645+H697+SUM(H734:H735)</f>
        <v>4925</v>
      </c>
      <c r="I787" s="59">
        <f t="shared" si="116"/>
        <v>17010</v>
      </c>
      <c r="J787" s="1">
        <f>+SUM(J84:J86)+SUM(J195:J198)+SUM(J346:J350)+J459+J499+SUM(J549:J550)+J606+J645+J697+SUM(J734:J735)</f>
        <v>3670</v>
      </c>
      <c r="K787" s="1">
        <f>+SUM(K84:K86)+SUM(K195:K198)+SUM(K346:K350)+K459+K499+SUM(K549:K550)+K606+K645+K697+SUM(K734:K735)</f>
        <v>1670</v>
      </c>
      <c r="L787" s="1">
        <f>+SUM(L84:L86)+SUM(L195:L198)+SUM(L346:L350)+L459+L499+SUM(L549:L550)+L606+L645+L697+SUM(L734:L735)</f>
        <v>2030</v>
      </c>
      <c r="M787" s="59">
        <f t="shared" si="117"/>
        <v>7370</v>
      </c>
      <c r="N787" s="1">
        <f>+SUM(N84:N86)+SUM(N195:N198)+SUM(N346:N350)+N459+N499+SUM(N549:N550)+N606+N645+N697+SUM(N734:N735)</f>
        <v>3470</v>
      </c>
      <c r="O787" s="1">
        <f>+SUM(O84:O86)+SUM(O195:O198)+SUM(O346:O350)+O459+O499+SUM(O549:O550)+O606+O645+O697+SUM(O734:O735)</f>
        <v>570</v>
      </c>
      <c r="P787" s="1">
        <f>+SUM(P84:P86)+SUM(P195:P198)+SUM(P346:P350)+P459+P499+SUM(P549:P550)+P606+P645+P697+SUM(P734:P735)</f>
        <v>370</v>
      </c>
      <c r="Q787" s="59">
        <f t="shared" si="118"/>
        <v>4410</v>
      </c>
      <c r="R787" s="59">
        <f t="shared" si="119"/>
        <v>35000</v>
      </c>
    </row>
    <row r="788" spans="1:20" ht="15.75" customHeight="1" x14ac:dyDescent="0.3">
      <c r="A788" s="17" t="s">
        <v>621</v>
      </c>
      <c r="B788" s="1">
        <f>+B285+B433+B434</f>
        <v>0</v>
      </c>
      <c r="C788" s="1">
        <f>+C285+C433+C434</f>
        <v>0</v>
      </c>
      <c r="D788" s="1">
        <f>+D285+D433+D434</f>
        <v>0</v>
      </c>
      <c r="E788" s="59">
        <f t="shared" si="115"/>
        <v>0</v>
      </c>
      <c r="F788" s="1">
        <f>+F285+F433+F434</f>
        <v>0</v>
      </c>
      <c r="G788" s="1">
        <f>+G285+G433+G434</f>
        <v>0</v>
      </c>
      <c r="H788" s="1">
        <f>+H285+H433+H434</f>
        <v>0</v>
      </c>
      <c r="I788" s="59">
        <f t="shared" si="116"/>
        <v>0</v>
      </c>
      <c r="J788" s="1">
        <f>+J285+J433+J434</f>
        <v>0</v>
      </c>
      <c r="K788" s="1">
        <f>+K285+K433+K434</f>
        <v>0</v>
      </c>
      <c r="L788" s="1">
        <f>+L285+L433+L434</f>
        <v>0</v>
      </c>
      <c r="M788" s="59">
        <f t="shared" si="117"/>
        <v>0</v>
      </c>
      <c r="N788" s="1">
        <f>+N285+N433+N434</f>
        <v>0</v>
      </c>
      <c r="O788" s="1">
        <f>+O285+O433+O434</f>
        <v>0</v>
      </c>
      <c r="P788" s="1">
        <f>+P285+P433+P434</f>
        <v>0</v>
      </c>
      <c r="Q788" s="59">
        <f t="shared" si="118"/>
        <v>0</v>
      </c>
      <c r="R788" s="59">
        <f t="shared" si="119"/>
        <v>0</v>
      </c>
    </row>
    <row r="789" spans="1:20" ht="15.75" customHeight="1" x14ac:dyDescent="0.3">
      <c r="A789" s="164" t="s">
        <v>622</v>
      </c>
      <c r="B789" s="1">
        <f>+B286</f>
        <v>25</v>
      </c>
      <c r="C789" s="1">
        <f>+C286</f>
        <v>25</v>
      </c>
      <c r="D789" s="1">
        <f>+D286</f>
        <v>30</v>
      </c>
      <c r="E789" s="59">
        <f>SUM(B789:D789)</f>
        <v>80</v>
      </c>
      <c r="F789" s="1">
        <f>+F286</f>
        <v>30</v>
      </c>
      <c r="G789" s="1">
        <f>+G286</f>
        <v>40</v>
      </c>
      <c r="H789" s="1">
        <f>+H286</f>
        <v>50</v>
      </c>
      <c r="I789" s="59">
        <f>SUM(F789:H789)</f>
        <v>120</v>
      </c>
      <c r="J789" s="1">
        <f>+J286</f>
        <v>50</v>
      </c>
      <c r="K789" s="1">
        <f>+K286</f>
        <v>50</v>
      </c>
      <c r="L789" s="1">
        <f>+L286</f>
        <v>30</v>
      </c>
      <c r="M789" s="59">
        <f>SUM(J789:L789)</f>
        <v>130</v>
      </c>
      <c r="N789" s="1">
        <f>+N286</f>
        <v>30</v>
      </c>
      <c r="O789" s="1">
        <f>+O286</f>
        <v>25</v>
      </c>
      <c r="P789" s="1">
        <f>+P286</f>
        <v>25</v>
      </c>
      <c r="Q789" s="59">
        <f t="shared" si="118"/>
        <v>80</v>
      </c>
      <c r="R789" s="59">
        <f>+E789+I789+M789+Q789</f>
        <v>410</v>
      </c>
    </row>
    <row r="790" spans="1:20" ht="15.75" customHeight="1" thickBot="1" x14ac:dyDescent="0.35">
      <c r="A790" s="17" t="s">
        <v>51</v>
      </c>
      <c r="B790" s="1">
        <f>+B87+B460+B500+B551+B607+B646+B698+B736</f>
        <v>0</v>
      </c>
      <c r="C790" s="1">
        <f>+C87+C460+C500+C551+C607+C646+C698+C736</f>
        <v>0</v>
      </c>
      <c r="D790" s="1">
        <f>+D87+D460+D500+D551+D607+D646+D698+D736</f>
        <v>0</v>
      </c>
      <c r="E790" s="59">
        <f t="shared" si="115"/>
        <v>0</v>
      </c>
      <c r="F790" s="1">
        <f>+F87+F460+F500+F551+F607+F646+F698+F736</f>
        <v>0</v>
      </c>
      <c r="G790" s="1">
        <f>+G87+G460+G500+G551+G607+G646+G698+G736</f>
        <v>0</v>
      </c>
      <c r="H790" s="1">
        <f>+H87+H460+H500+H551+H607+H646+H698+H736</f>
        <v>0</v>
      </c>
      <c r="I790" s="59">
        <f t="shared" si="116"/>
        <v>0</v>
      </c>
      <c r="J790" s="1">
        <f>+J87+J460+J500+J551+J607+J646+J698+J736</f>
        <v>0</v>
      </c>
      <c r="K790" s="1">
        <f>+K87+K460+K500+K551+K607+K646+K698+K736</f>
        <v>0</v>
      </c>
      <c r="L790" s="1">
        <f>+L87+L460+L500+L551+L607+L646+L698+L736</f>
        <v>0</v>
      </c>
      <c r="M790" s="59">
        <f t="shared" si="117"/>
        <v>0</v>
      </c>
      <c r="N790" s="1">
        <f>+N87+N460+N500+N551+N607+N646+N698+N736</f>
        <v>0</v>
      </c>
      <c r="O790" s="1">
        <f>+O87+O460+O500+O551+O607+O646+O698+O736</f>
        <v>0</v>
      </c>
      <c r="P790" s="1">
        <f>+P87+P460+P500+P551+P607+P646+P698+P736</f>
        <v>0</v>
      </c>
      <c r="Q790" s="59">
        <f t="shared" si="118"/>
        <v>0</v>
      </c>
      <c r="R790" s="59">
        <f t="shared" si="119"/>
        <v>0</v>
      </c>
    </row>
    <row r="791" spans="1:20" ht="16.5" customHeight="1" thickBot="1" x14ac:dyDescent="0.35">
      <c r="A791" s="62" t="s">
        <v>52</v>
      </c>
      <c r="B791" s="100">
        <f>SUM(B784:B790)</f>
        <v>30163</v>
      </c>
      <c r="C791" s="101">
        <f>SUM(C784:C790)</f>
        <v>31807</v>
      </c>
      <c r="D791" s="101">
        <f>SUM(D784:D790)</f>
        <v>34625</v>
      </c>
      <c r="E791" s="64">
        <f t="shared" si="115"/>
        <v>96595</v>
      </c>
      <c r="F791" s="101">
        <f>SUM(F784:F790)</f>
        <v>48533</v>
      </c>
      <c r="G791" s="101">
        <f>SUM(G784:G790)</f>
        <v>54844</v>
      </c>
      <c r="H791" s="101">
        <f>SUM(H784:H790)</f>
        <v>52732</v>
      </c>
      <c r="I791" s="64">
        <f t="shared" si="116"/>
        <v>156109</v>
      </c>
      <c r="J791" s="101">
        <f>SUM(J784:J790)</f>
        <v>58992</v>
      </c>
      <c r="K791" s="101">
        <f>SUM(K784:K790)</f>
        <v>65011</v>
      </c>
      <c r="L791" s="101">
        <f>SUM(L784:L790)</f>
        <v>55885</v>
      </c>
      <c r="M791" s="64">
        <f t="shared" si="117"/>
        <v>179888</v>
      </c>
      <c r="N791" s="101">
        <f>SUM(N784:N790)</f>
        <v>43594</v>
      </c>
      <c r="O791" s="101">
        <f>SUM(O784:O790)</f>
        <v>34184</v>
      </c>
      <c r="P791" s="101">
        <f>SUM(P784:P790)</f>
        <v>36280</v>
      </c>
      <c r="Q791" s="64">
        <f t="shared" si="118"/>
        <v>114058</v>
      </c>
      <c r="R791" s="64">
        <f t="shared" si="119"/>
        <v>546650</v>
      </c>
      <c r="T791" s="4">
        <f>+R791-R788-R787</f>
        <v>511650</v>
      </c>
    </row>
    <row r="792" spans="1:20" ht="15.75" customHeight="1" x14ac:dyDescent="0.3">
      <c r="A792" s="17" t="s">
        <v>53</v>
      </c>
      <c r="B792" s="1"/>
      <c r="C792" s="1"/>
      <c r="D792" s="1"/>
      <c r="E792" s="59" t="s">
        <v>7</v>
      </c>
      <c r="F792" s="1"/>
      <c r="G792" s="1"/>
      <c r="H792" s="1"/>
      <c r="I792" s="59" t="s">
        <v>7</v>
      </c>
      <c r="J792" s="1"/>
      <c r="K792" s="1"/>
      <c r="L792" s="1"/>
      <c r="M792" s="59" t="s">
        <v>7</v>
      </c>
      <c r="N792" s="1"/>
      <c r="O792" s="1"/>
      <c r="P792" s="1"/>
      <c r="Q792" s="59" t="s">
        <v>7</v>
      </c>
      <c r="R792" s="59" t="s">
        <v>7</v>
      </c>
    </row>
    <row r="793" spans="1:20" ht="15.75" customHeight="1" x14ac:dyDescent="0.3">
      <c r="A793" s="17" t="s">
        <v>54</v>
      </c>
      <c r="B793" s="1">
        <f>SUM(B43:B43)+SUM(B202:B202)+SUM(B90:B90)+SUM(B354:B354)</f>
        <v>0</v>
      </c>
      <c r="C793" s="1">
        <f>SUM(C43:C43)+SUM(C202:C202)+SUM(C90:C90)+SUM(C354:C354)</f>
        <v>0</v>
      </c>
      <c r="D793" s="1">
        <f>SUM(D43:D43)+SUM(D202:D202)+SUM(D90:D90)+SUM(D354:D354)</f>
        <v>0</v>
      </c>
      <c r="E793" s="59">
        <f>SUM(B793:D793)</f>
        <v>0</v>
      </c>
      <c r="F793" s="1">
        <f>SUM(F43:F43)+SUM(F202:F202)+SUM(F90:F90)+SUM(F354:F354)</f>
        <v>0</v>
      </c>
      <c r="G793" s="1">
        <f>SUM(G43:G43)+SUM(G202:G202)+SUM(G90:G90)+SUM(G354:G354)</f>
        <v>0</v>
      </c>
      <c r="H793" s="1">
        <f>SUM(H43:H43)+SUM(H202:H202)+SUM(H90:H90)+SUM(H354:H354)</f>
        <v>0</v>
      </c>
      <c r="I793" s="59">
        <f>SUM(F793:H793)</f>
        <v>0</v>
      </c>
      <c r="J793" s="1">
        <f>SUM(J43:J43)+SUM(J202:J202)+SUM(J90:J90)+SUM(J354:J354)</f>
        <v>0</v>
      </c>
      <c r="K793" s="1">
        <f>SUM(K43:K43)+SUM(K202:K202)+SUM(K90:K90)+SUM(K354:K354)</f>
        <v>0</v>
      </c>
      <c r="L793" s="1">
        <f>SUM(L43:L43)+SUM(L202:L202)+SUM(L90:L90)+SUM(L354:L354)</f>
        <v>0</v>
      </c>
      <c r="M793" s="59">
        <f>SUM(J793:L793)</f>
        <v>0</v>
      </c>
      <c r="N793" s="1">
        <f>SUM(N43:N43)+SUM(N202:N202)+SUM(N90:N90)+SUM(N354:N354)</f>
        <v>0</v>
      </c>
      <c r="O793" s="1">
        <f>SUM(O43:O43)+SUM(O202:O202)+SUM(O90:O90)+SUM(O354:O354)</f>
        <v>0</v>
      </c>
      <c r="P793" s="1">
        <f>SUM(P43:P43)+SUM(P202:P202)+SUM(P90:P90)+SUM(P354:P354)</f>
        <v>0</v>
      </c>
      <c r="Q793" s="59">
        <f>SUM(N793:P793)</f>
        <v>0</v>
      </c>
      <c r="R793" s="59">
        <f>+E793+I793+M793+Q793</f>
        <v>0</v>
      </c>
    </row>
    <row r="794" spans="1:20" ht="15.75" customHeight="1" x14ac:dyDescent="0.3">
      <c r="A794" s="164" t="s">
        <v>55</v>
      </c>
      <c r="B794" s="1">
        <f>+SUM(B92:B93)+SUM(B203:B205)+SUM(B355:B364)+B464+SUM(B503:B505)+SUM(B554:B556)+SUM(B610:B610)+B649+B701+SUM(B739:B740)</f>
        <v>6540</v>
      </c>
      <c r="C794" s="1">
        <f>+SUM(C92:C93)+SUM(C203:C205)+SUM(C355:C364)+C464+SUM(C503:C505)+SUM(C554:C556)+SUM(C610:C610)+C649+C701+SUM(C739:C740)</f>
        <v>6426</v>
      </c>
      <c r="D794" s="1">
        <f>+SUM(D92:D93)+SUM(D203:D205)+SUM(D355:D364)+D464+SUM(D503:D505)+SUM(D554:D556)+SUM(D610:D610)+D649+D701+SUM(D739:D740)</f>
        <v>30200</v>
      </c>
      <c r="E794" s="59">
        <f>SUM(B794:D794)</f>
        <v>43166</v>
      </c>
      <c r="F794" s="1">
        <f>+SUM(F92:F93)+SUM(F203:F205)+SUM(F355:F364)+F464+SUM(F503:F505)+SUM(F554:F556)+SUM(F610:F610)+F649+F701+SUM(F739:F740)</f>
        <v>36490</v>
      </c>
      <c r="G794" s="1">
        <f>+SUM(G92:G93)+SUM(G203:G205)+SUM(G355:G364)+G464+SUM(G503:G505)+SUM(G554:G556)+SUM(G610:G610)+G649+G701+SUM(G739:G740)</f>
        <v>40700</v>
      </c>
      <c r="H794" s="1">
        <f>+SUM(H92:H93)+SUM(H203:H205)+SUM(H355:H364)+H464+SUM(H503:H505)+SUM(H554:H556)+SUM(H610:H610)+H649+H701+SUM(H739:H740)</f>
        <v>40589</v>
      </c>
      <c r="I794" s="59">
        <f>SUM(F794:H794)</f>
        <v>117779</v>
      </c>
      <c r="J794" s="1">
        <f>+SUM(J92:J93)+SUM(J203:J205)+SUM(J355:J364)+J464+SUM(J503:J505)+SUM(J554:J556)+SUM(J610:J610)+J649+J701+SUM(J739:J740)</f>
        <v>42647</v>
      </c>
      <c r="K794" s="1">
        <f>+SUM(K92:K93)+SUM(K203:K205)+SUM(K355:K364)+K464+SUM(K503:K505)+SUM(K554:K556)+SUM(K610:K610)+K649+K701+SUM(K739:K740)</f>
        <v>35370</v>
      </c>
      <c r="L794" s="1">
        <f>+SUM(L92:L93)+SUM(L203:L205)+SUM(L355:L364)+L464+SUM(L503:L505)+SUM(L554:L556)+SUM(L610:L610)+L649+L701+SUM(L739:L740)</f>
        <v>20460</v>
      </c>
      <c r="M794" s="59">
        <f>SUM(J794:L794)</f>
        <v>98477</v>
      </c>
      <c r="N794" s="1">
        <f>+SUM(N92:N93)+SUM(N203:N205)+SUM(N355:N364)+N464+SUM(N503:N505)+SUM(N554:N556)+SUM(N610:N610)+N649+N701+SUM(N739:N740)</f>
        <v>8760</v>
      </c>
      <c r="O794" s="1">
        <f>+SUM(O92:O93)+SUM(O203:O205)+SUM(O355:O364)+O464+SUM(O503:O505)+SUM(O554:O556)+SUM(O610:O610)+O649+O701+SUM(O739:O740)</f>
        <v>7570</v>
      </c>
      <c r="P794" s="1">
        <f>+SUM(P92:P93)+SUM(P203:P205)+SUM(P355:P364)+P464+SUM(P503:P505)+SUM(P554:P556)+SUM(P610:P610)+P649+P701+SUM(P739:P740)</f>
        <v>3677</v>
      </c>
      <c r="Q794" s="59">
        <f>SUM(N794:P794)</f>
        <v>20007</v>
      </c>
      <c r="R794" s="59">
        <f>+E794+I794+M794+Q794</f>
        <v>279429</v>
      </c>
    </row>
    <row r="795" spans="1:20" ht="15.75" customHeight="1" thickBot="1" x14ac:dyDescent="0.35">
      <c r="A795" s="17" t="s">
        <v>56</v>
      </c>
      <c r="B795" s="1">
        <f>+B94+B465+B506+B557+B611+B650+B702+B741</f>
        <v>0</v>
      </c>
      <c r="C795" s="1">
        <f>+C94+C465+C506+C557+C611+C650+C702+C741</f>
        <v>0</v>
      </c>
      <c r="D795" s="1">
        <f>+D94+D465+D506+D557+D611+D650+D702+D741</f>
        <v>0</v>
      </c>
      <c r="E795" s="59">
        <f>SUM(B795:D795)</f>
        <v>0</v>
      </c>
      <c r="F795" s="1">
        <f>+F94+F465+F506+F557+F611+F650+F702+F741</f>
        <v>0</v>
      </c>
      <c r="G795" s="1">
        <f>+G94+G465+G506+G557+G611+G650+G702+G741</f>
        <v>0</v>
      </c>
      <c r="H795" s="1">
        <f>+H94+H465+H506+H557+H611+H650+H702+H741</f>
        <v>0</v>
      </c>
      <c r="I795" s="59">
        <f>SUM(F795:H795)</f>
        <v>0</v>
      </c>
      <c r="J795" s="1">
        <f>+J94+J465+J506+J557+J611+J650+J702+J741</f>
        <v>0</v>
      </c>
      <c r="K795" s="1">
        <f>+K94+K465+K506+K557+K611+K650+K702+K741</f>
        <v>0</v>
      </c>
      <c r="L795" s="1">
        <f>+L94+L465+L506+L557+L611+L650+L702+L741</f>
        <v>0</v>
      </c>
      <c r="M795" s="59">
        <f>SUM(J795:L795)</f>
        <v>0</v>
      </c>
      <c r="N795" s="1">
        <f>+N94+N465+N506+N557+N611+N650+N702+N741</f>
        <v>0</v>
      </c>
      <c r="O795" s="1">
        <f>+O94+O465+O506+O557+O611+O650+O702+O741</f>
        <v>0</v>
      </c>
      <c r="P795" s="1">
        <f>+P94+P465+P506+P557+P611+P650+P702+P741</f>
        <v>0</v>
      </c>
      <c r="Q795" s="59">
        <f>SUM(N795:P795)</f>
        <v>0</v>
      </c>
      <c r="R795" s="59">
        <f>+E795+I795+M795+Q795</f>
        <v>0</v>
      </c>
    </row>
    <row r="796" spans="1:20" ht="16.5" customHeight="1" thickBot="1" x14ac:dyDescent="0.35">
      <c r="A796" s="62" t="s">
        <v>57</v>
      </c>
      <c r="B796" s="100">
        <f>SUM(B792:B795)</f>
        <v>6540</v>
      </c>
      <c r="C796" s="101">
        <f>SUM(C792:C795)</f>
        <v>6426</v>
      </c>
      <c r="D796" s="101">
        <f>SUM(D792:D795)</f>
        <v>30200</v>
      </c>
      <c r="E796" s="64">
        <f>SUM(B796:D796)</f>
        <v>43166</v>
      </c>
      <c r="F796" s="101">
        <f>SUM(F792:F795)</f>
        <v>36490</v>
      </c>
      <c r="G796" s="101">
        <f>SUM(G792:G795)</f>
        <v>40700</v>
      </c>
      <c r="H796" s="101">
        <f>SUM(H792:H795)</f>
        <v>40589</v>
      </c>
      <c r="I796" s="64">
        <f>SUM(F796:H796)</f>
        <v>117779</v>
      </c>
      <c r="J796" s="101">
        <f>SUM(J792:J795)</f>
        <v>42647</v>
      </c>
      <c r="K796" s="101">
        <f>SUM(K792:K795)</f>
        <v>35370</v>
      </c>
      <c r="L796" s="101">
        <f>SUM(L792:L795)</f>
        <v>20460</v>
      </c>
      <c r="M796" s="64">
        <f>SUM(J796:L796)</f>
        <v>98477</v>
      </c>
      <c r="N796" s="101">
        <f>SUM(N792:N795)</f>
        <v>8760</v>
      </c>
      <c r="O796" s="101">
        <f>SUM(O792:O795)</f>
        <v>7570</v>
      </c>
      <c r="P796" s="101">
        <f>SUM(P792:P795)</f>
        <v>3677</v>
      </c>
      <c r="Q796" s="64">
        <f>SUM(N796:P796)</f>
        <v>20007</v>
      </c>
      <c r="R796" s="64">
        <f>+E796+I796+M796+Q796</f>
        <v>279429</v>
      </c>
    </row>
    <row r="797" spans="1:20" ht="15.75" customHeight="1" x14ac:dyDescent="0.3">
      <c r="A797" s="17" t="s">
        <v>58</v>
      </c>
      <c r="B797" s="1"/>
      <c r="C797" s="1"/>
      <c r="D797" s="1"/>
      <c r="E797" s="59" t="s">
        <v>7</v>
      </c>
      <c r="F797" s="1"/>
      <c r="G797" s="1"/>
      <c r="H797" s="1"/>
      <c r="I797" s="59" t="s">
        <v>7</v>
      </c>
      <c r="J797" s="1"/>
      <c r="K797" s="1"/>
      <c r="L797" s="1"/>
      <c r="M797" s="59" t="s">
        <v>7</v>
      </c>
      <c r="N797" s="1"/>
      <c r="O797" s="1"/>
      <c r="P797" s="1"/>
      <c r="Q797" s="59" t="s">
        <v>7</v>
      </c>
      <c r="R797" s="59" t="s">
        <v>7</v>
      </c>
    </row>
    <row r="798" spans="1:20" ht="15.75" customHeight="1" x14ac:dyDescent="0.3">
      <c r="A798" s="164" t="s">
        <v>59</v>
      </c>
      <c r="B798" s="1">
        <f>+B48+B97+B209+SUM(B368:B370)+B468+B509+B560+B614+SUM(B653:B654)+B705+SUM(B744:B746)</f>
        <v>6191</v>
      </c>
      <c r="C798" s="1">
        <f>+C48+C97+C209+SUM(C368:C370)+C468+C509+C560+C614+SUM(C653:C654)+C705+SUM(C744:C746)</f>
        <v>12291</v>
      </c>
      <c r="D798" s="1">
        <f>+D48+D97+D209+SUM(D368:D370)+D468+D509+D560+D614+SUM(D653:D654)+D705+SUM(D744:D746)</f>
        <v>18073</v>
      </c>
      <c r="E798" s="59">
        <f>SUM(B798:D798)</f>
        <v>36555</v>
      </c>
      <c r="F798" s="1">
        <f>+F48+F97+F209+SUM(F368:F370)+F468+F509+F560+F614+SUM(F653:F654)+F705+SUM(F744:F746)</f>
        <v>24163</v>
      </c>
      <c r="G798" s="1">
        <f>+G48+G97+G209+SUM(G368:G370)+G468+G509+G560+G614+SUM(G653:G654)+G705+SUM(G744:G746)</f>
        <v>22454</v>
      </c>
      <c r="H798" s="1">
        <f>+H48+H97+H209+SUM(H368:H370)+H468+H509+H560+H614+SUM(H653:H654)+H705+SUM(H744:H746)</f>
        <v>27283</v>
      </c>
      <c r="I798" s="59">
        <f>SUM(F798:H798)</f>
        <v>73900</v>
      </c>
      <c r="J798" s="1">
        <f>+J48+J97+J209+SUM(J368:J370)+J468+J509+J560+J614+SUM(J653:J654)+J705+SUM(J744:J746)</f>
        <v>26160</v>
      </c>
      <c r="K798" s="1">
        <f>+K48+K97+K209+SUM(K368:K370)+K468+K509+K560+K614+SUM(K653:K654)+K705+SUM(K744:K746)</f>
        <v>22875</v>
      </c>
      <c r="L798" s="1">
        <f>+L48+L97+L209+SUM(L368:L370)+L468+L509+L560+L614+SUM(L653:L654)+L705+SUM(L744:L746)</f>
        <v>13374</v>
      </c>
      <c r="M798" s="59">
        <f>SUM(J798:L798)</f>
        <v>62409</v>
      </c>
      <c r="N798" s="1">
        <f>+N48+N97+N209+SUM(N368:N370)+N468+N509+N560+N614+SUM(N653:N654)+N705+SUM(N744:N746)</f>
        <v>10593</v>
      </c>
      <c r="O798" s="1">
        <f>+O48+O97+O209+SUM(O368:O370)+O468+O509+O560+O614+SUM(O653:O654)+O705+SUM(O744:O746)</f>
        <v>2621</v>
      </c>
      <c r="P798" s="1">
        <f>+P48+P97+P209+SUM(P368:P370)+P468+P509+P560+P614+SUM(P653:P654)+P705+SUM(P744:P746)</f>
        <v>7871</v>
      </c>
      <c r="Q798" s="59">
        <f>SUM(N798:P798)</f>
        <v>21085</v>
      </c>
      <c r="R798" s="59">
        <f>+E798+I798+M798+Q798</f>
        <v>193949</v>
      </c>
    </row>
    <row r="799" spans="1:20" ht="15.75" customHeight="1" thickBot="1" x14ac:dyDescent="0.35">
      <c r="A799" s="164" t="s">
        <v>60</v>
      </c>
      <c r="B799" s="1">
        <f>+B49+SUM(B98:B105)+SUM(B210:B261)+SUM(B371:B406)+SUM(B469:B470)+SUM(B510:B511)+SUM(B561:B562)+B615+SUM(B655:B659)+B706+SUM(B747:B751)</f>
        <v>23165</v>
      </c>
      <c r="C799" s="1">
        <f>+C49+SUM(C98:C105)+SUM(C210:C261)+SUM(C371:C406)+SUM(C469:C470)+SUM(C510:C511)+SUM(C561:C562)+C615+SUM(C655:C659)+C706+SUM(C747:C751)</f>
        <v>31320</v>
      </c>
      <c r="D799" s="1">
        <f>+D49+SUM(D98:D105)+SUM(D210:D261)+SUM(D371:D406)+SUM(D469:D470)+SUM(D510:D511)+SUM(D561:D562)+D615+SUM(D655:D659)+D706+SUM(D747:D751)</f>
        <v>44789</v>
      </c>
      <c r="E799" s="59">
        <f>SUM(B799:D799)</f>
        <v>99274</v>
      </c>
      <c r="F799" s="1">
        <f>+F49+SUM(F98:F105)+SUM(F210:F261)+SUM(F371:F406)+SUM(F469:F470)+SUM(F510:F511)+SUM(F561:F562)+F615+SUM(F655:F659)+F706+SUM(F747:F751)</f>
        <v>46355</v>
      </c>
      <c r="G799" s="1">
        <f>+G49+SUM(G98:G105)+SUM(G210:G261)+SUM(G371:G406)+SUM(G469:G470)+SUM(G510:G511)+SUM(G561:G562)+G615+SUM(G655:G659)+G706+SUM(G747:G751)</f>
        <v>48666</v>
      </c>
      <c r="H799" s="1">
        <f>+H49+SUM(H98:H105)+SUM(H210:H261)+SUM(H371:H406)+SUM(H469:H470)+SUM(H510:H511)+SUM(H561:H562)+H615+SUM(H655:H659)+H706+SUM(H747:H751)</f>
        <v>53832</v>
      </c>
      <c r="I799" s="59">
        <f>SUM(F799:H799)</f>
        <v>148853</v>
      </c>
      <c r="J799" s="1">
        <f>+J49+SUM(J98:J105)+SUM(J210:J261)+SUM(J371:J406)+SUM(J469:J470)+SUM(J510:J511)+SUM(J561:J562)+J615+SUM(J655:J659)+J706+SUM(J747:J751)</f>
        <v>45818</v>
      </c>
      <c r="K799" s="1">
        <f>+K49+SUM(K98:K105)+SUM(K210:K261)+SUM(K371:K406)+SUM(K469:K470)+SUM(K510:K511)+SUM(K561:K562)+K615+SUM(K655:K659)+K706+SUM(K747:K751)</f>
        <v>32678</v>
      </c>
      <c r="L799" s="1">
        <f>+L49+SUM(L98:L105)+SUM(L210:L261)+SUM(L371:L406)+SUM(L469:L470)+SUM(L510:L511)+SUM(L561:L562)+L615+SUM(L655:L659)+L706+SUM(L747:L751)</f>
        <v>14466</v>
      </c>
      <c r="M799" s="59">
        <f>SUM(J799:L799)</f>
        <v>92962</v>
      </c>
      <c r="N799" s="1">
        <f>+N49+SUM(N98:N105)+SUM(N210:N261)+SUM(N371:N406)+SUM(N469:N470)+SUM(N510:N511)+SUM(N561:N562)+N615+SUM(N655:N659)+N706+SUM(N747:N751)</f>
        <v>9090</v>
      </c>
      <c r="O799" s="1">
        <f>+O49+SUM(O98:O105)+SUM(O210:O261)+SUM(O371:O406)+SUM(O469:O470)+SUM(O510:O511)+SUM(O561:O562)+O615+SUM(O655:O659)+O706+SUM(O747:O751)</f>
        <v>8464</v>
      </c>
      <c r="P799" s="1">
        <f>+P49+SUM(P98:P105)+SUM(P210:P261)+SUM(P371:P406)+SUM(P469:P470)+SUM(P510:P511)+SUM(P561:P562)+P615+SUM(P655:P659)+P706+SUM(P747:P751)</f>
        <v>6248</v>
      </c>
      <c r="Q799" s="59">
        <f>SUM(N799:P799)</f>
        <v>23802</v>
      </c>
      <c r="R799" s="59">
        <f>+E799+I799+M799+Q799</f>
        <v>364891</v>
      </c>
    </row>
    <row r="800" spans="1:20" ht="16.5" customHeight="1" thickBot="1" x14ac:dyDescent="0.35">
      <c r="A800" s="62" t="s">
        <v>61</v>
      </c>
      <c r="B800" s="100">
        <f>SUM(B797:B799)</f>
        <v>29356</v>
      </c>
      <c r="C800" s="101">
        <f>SUM(C797:C799)</f>
        <v>43611</v>
      </c>
      <c r="D800" s="138">
        <f>SUM(D797:D799)</f>
        <v>62862</v>
      </c>
      <c r="E800" s="64">
        <f>SUM(B800:D800)</f>
        <v>135829</v>
      </c>
      <c r="F800" s="101">
        <f>SUM(F797:F799)</f>
        <v>70518</v>
      </c>
      <c r="G800" s="101">
        <f>SUM(G797:G799)</f>
        <v>71120</v>
      </c>
      <c r="H800" s="101">
        <f>SUM(H797:H799)</f>
        <v>81115</v>
      </c>
      <c r="I800" s="64">
        <f>SUM(F800:H800)</f>
        <v>222753</v>
      </c>
      <c r="J800" s="101">
        <f>SUM(J797:J799)</f>
        <v>71978</v>
      </c>
      <c r="K800" s="101">
        <f>SUM(K797:K799)</f>
        <v>55553</v>
      </c>
      <c r="L800" s="101">
        <f>SUM(L797:L799)</f>
        <v>27840</v>
      </c>
      <c r="M800" s="64">
        <f>SUM(J800:L800)</f>
        <v>155371</v>
      </c>
      <c r="N800" s="101">
        <f>SUM(N797:N799)</f>
        <v>19683</v>
      </c>
      <c r="O800" s="101">
        <f>SUM(O797:O799)</f>
        <v>11085</v>
      </c>
      <c r="P800" s="101">
        <f>SUM(P797:P799)</f>
        <v>14119</v>
      </c>
      <c r="Q800" s="64">
        <f>SUM(N800:P800)</f>
        <v>44887</v>
      </c>
      <c r="R800" s="64">
        <f>+E800+I800+M800+Q800</f>
        <v>558840</v>
      </c>
      <c r="T800" s="4">
        <v>1600000</v>
      </c>
    </row>
    <row r="801" spans="1:20" ht="20.25" customHeight="1" x14ac:dyDescent="0.3">
      <c r="A801" s="17" t="s">
        <v>623</v>
      </c>
      <c r="B801" s="1"/>
      <c r="C801" s="1"/>
      <c r="D801" s="1"/>
      <c r="E801" s="59" t="s">
        <v>7</v>
      </c>
      <c r="F801" s="1"/>
      <c r="G801" s="1"/>
      <c r="H801" s="1"/>
      <c r="I801" s="59" t="s">
        <v>7</v>
      </c>
      <c r="J801" s="1"/>
      <c r="K801" s="1"/>
      <c r="L801" s="1"/>
      <c r="M801" s="59" t="s">
        <v>7</v>
      </c>
      <c r="N801" s="1"/>
      <c r="O801" s="1"/>
      <c r="P801" s="1"/>
      <c r="Q801" s="59" t="s">
        <v>7</v>
      </c>
      <c r="R801" s="59" t="s">
        <v>7</v>
      </c>
      <c r="T801" s="4">
        <f>+T800-28000-R785-R786-400000-R798-R799+12000</f>
        <v>113920</v>
      </c>
    </row>
    <row r="802" spans="1:20" ht="15.75" customHeight="1" x14ac:dyDescent="0.3">
      <c r="A802" s="17" t="s">
        <v>624</v>
      </c>
      <c r="B802" s="1">
        <f>SUM(B52:B52)+SUM(B108:B116)+SUM(B264:B267)+SUM(B409:B410)+SUM(B473:B473)+B514+SUM(B565:B567)+B618+B662+B709+SUM(B754:B756)</f>
        <v>0</v>
      </c>
      <c r="C802" s="1">
        <f>SUM(C52:C52)+SUM(C108:C116)+SUM(C264:C267)+SUM(C409:C410)+SUM(C473:C473)+C514+SUM(C565:C567)+C618+C662+C709+SUM(C754:C756)</f>
        <v>0</v>
      </c>
      <c r="D802" s="1">
        <f>SUM(D52:D52)+SUM(D108:D116)+SUM(D264:D267)+SUM(D409:D410)+SUM(D473:D473)+D514+SUM(D565:D567)+D618+D662+D709+SUM(D754:D756)</f>
        <v>0</v>
      </c>
      <c r="E802" s="59">
        <f t="shared" ref="E802:E810" si="120">SUM(B802:D802)</f>
        <v>0</v>
      </c>
      <c r="F802" s="1">
        <f>SUM(F52:F52)+SUM(F108:F116)+SUM(F264:F267)+SUM(F409:F410)+SUM(F473:F473)+F514+SUM(F565:F567)+F618+F662+F709+SUM(F754:F756)</f>
        <v>0</v>
      </c>
      <c r="G802" s="1">
        <f>SUM(G52:G52)+SUM(G108:G116)+SUM(G264:G267)+SUM(G409:G410)+SUM(G473:G473)+G514+SUM(G565:G567)+G618+G662+G709+SUM(G754:G756)</f>
        <v>0</v>
      </c>
      <c r="H802" s="1">
        <f>SUM(H52:H52)+SUM(H108:H116)+SUM(H264:H267)+SUM(H409:H410)+SUM(H473:H473)+H514+SUM(H565:H567)+H618+H662+H709+SUM(H754:H756)</f>
        <v>843</v>
      </c>
      <c r="I802" s="59">
        <f t="shared" ref="I802:I810" si="121">SUM(F802:H802)</f>
        <v>843</v>
      </c>
      <c r="J802" s="1">
        <f>SUM(J52:J52)+SUM(J108:J116)+SUM(J264:J267)+SUM(J409:J410)+SUM(J473:J473)+J514+SUM(J565:J567)+J618+J662+J709+SUM(J754:J756)</f>
        <v>1000</v>
      </c>
      <c r="K802" s="1">
        <f>SUM(K52:K52)+SUM(K108:K116)+SUM(K264:K267)+SUM(K409:K410)+SUM(K473:K473)+K514+SUM(K565:K567)+K618+K662+K709+SUM(K754:K756)</f>
        <v>1000</v>
      </c>
      <c r="L802" s="1">
        <f>SUM(L52:L52)+SUM(L108:L116)+SUM(L264:L267)+SUM(L409:L410)+SUM(L473:L473)+L514+SUM(L565:L567)+L618+L662+L709+SUM(L754:L756)</f>
        <v>1100</v>
      </c>
      <c r="M802" s="59">
        <f t="shared" ref="M802:M810" si="122">SUM(J802:L802)</f>
        <v>3100</v>
      </c>
      <c r="N802" s="1">
        <f>SUM(N52:N52)+SUM(N108:N116)+SUM(N264:N267)+SUM(N409:N410)+SUM(N473:N473)+N514+SUM(N565:N567)+N618+N662+N709+SUM(N754:N756)</f>
        <v>797</v>
      </c>
      <c r="O802" s="1">
        <f>SUM(O52:O52)+SUM(O108:O116)+SUM(O264:O267)+SUM(O409:O410)+SUM(O473:O473)+O514+SUM(O565:O567)+O618+O662+O709+SUM(O754:O756)</f>
        <v>0</v>
      </c>
      <c r="P802" s="1">
        <f>SUM(P52:P52)+SUM(P108:P116)+SUM(P264:P267)+SUM(P409:P410)+SUM(P473:P473)+P514+SUM(P565:P567)+P618+P662+P709+SUM(P754:P756)</f>
        <v>0</v>
      </c>
      <c r="Q802" s="59">
        <f t="shared" ref="Q802:Q810" si="123">SUM(N802:P802)</f>
        <v>797</v>
      </c>
      <c r="R802" s="59">
        <f>+E802+I802+M802+Q802</f>
        <v>4740</v>
      </c>
    </row>
    <row r="803" spans="1:20" ht="15.75" customHeight="1" x14ac:dyDescent="0.3">
      <c r="A803" s="17" t="s">
        <v>64</v>
      </c>
      <c r="B803" s="1">
        <f>SUM(B53:B54)+SUM(B117:B118)+SUM(B268:B269)+B271+B273+B275+B276+SUM(B411:B413)+B474+B515+SUM(B568:B569)+B571+SUM(B619:B620)+B664+B666+B710+SUM(B757:B758)</f>
        <v>1020</v>
      </c>
      <c r="C803" s="1">
        <f>SUM(C53:C54)+SUM(C117:C118)+SUM(C268:C269)+C271+C273+C275+C276+SUM(C411:C413)+C474+C515+SUM(C568:C569)+C571+SUM(C619:C620)+C664+C666+C710+SUM(C757:C758)</f>
        <v>1520</v>
      </c>
      <c r="D803" s="1">
        <f>SUM(D53:D54)+SUM(D117:D118)+SUM(D268:D269)+D271+D273+D275+D276+SUM(D411:D413)+D474+D515+SUM(D568:D569)+D571+SUM(D619:D620)+D664+D666+D710+SUM(D757:D758)</f>
        <v>2020</v>
      </c>
      <c r="E803" s="59">
        <f t="shared" si="120"/>
        <v>4560</v>
      </c>
      <c r="F803" s="1">
        <f>SUM(F53:F54)+SUM(F117:F118)+SUM(F268:F269)+F271+F273+F275+F276+SUM(F411:F413)+F474+F515+SUM(F568:F569)+F571+SUM(F619:F620)+F664+F666+F710+SUM(F757:F758)</f>
        <v>1020</v>
      </c>
      <c r="G803" s="1">
        <f>SUM(G53:G54)+SUM(G117:G118)+SUM(G268:G269)+G271+G273+G275+G276+SUM(G411:G413)+G474+G515+SUM(G568:G569)+G571+SUM(G619:G620)+G664+G666+G710+SUM(G757:G758)</f>
        <v>3220</v>
      </c>
      <c r="H803" s="1">
        <f>SUM(H53:H54)+SUM(H117:H118)+SUM(H268:H269)+H271+H273+H275+H276+SUM(H411:H413)+H474+H515+SUM(H568:H569)+H571+SUM(H619:H620)+H664+H666+H710+SUM(H757:H758)</f>
        <v>4020</v>
      </c>
      <c r="I803" s="59">
        <f t="shared" si="121"/>
        <v>8260</v>
      </c>
      <c r="J803" s="1">
        <f>SUM(J53:J54)+SUM(J117:J118)+SUM(J268:J269)+J271+J273+J275+J276+SUM(J411:J413)+J474+J515+SUM(J568:J569)+J571+SUM(J619:J620)+J664+J666+J710+SUM(J757:J758)</f>
        <v>2865</v>
      </c>
      <c r="K803" s="1">
        <f>SUM(K53:K54)+SUM(K117:K118)+SUM(K268:K269)+K271+K273+K275+K276+SUM(K411:K413)+K474+K515+SUM(K568:K569)+K571+SUM(K619:K620)+K664+K666+K710+SUM(K757:K758)</f>
        <v>1020</v>
      </c>
      <c r="L803" s="1">
        <f>SUM(L53:L54)+SUM(L117:L118)+SUM(L268:L269)+L271+L273+L275+L276+SUM(L411:L413)+L474+L515+SUM(L568:L569)+L571+SUM(L619:L620)+L664+L666+L710+SUM(L757:L758)</f>
        <v>2677</v>
      </c>
      <c r="M803" s="59">
        <f t="shared" si="122"/>
        <v>6562</v>
      </c>
      <c r="N803" s="1">
        <f>SUM(N53:N54)+SUM(N117:N118)+SUM(N268:N269)+N271+N273+N275+N276+SUM(N411:N413)+N474+N515+SUM(N568:N569)+N571+SUM(N619:N620)+N664+N666+N710+SUM(N757:N758)</f>
        <v>8400</v>
      </c>
      <c r="O803" s="1">
        <f>SUM(O53:O54)+SUM(O117:O118)+SUM(O268:O269)+O271+O273+O275+O276+SUM(O411:O413)+O474+O515+SUM(O568:O569)+O571+SUM(O619:O620)+O664+O666+O710+SUM(O757:O758)</f>
        <v>9795</v>
      </c>
      <c r="P803" s="1">
        <f>SUM(P53:P54)+SUM(P117:P118)+SUM(P268:P269)+P271+P273+P275+P276+SUM(P411:P413)+P474+P515+SUM(P568:P569)+P571+SUM(P619:P620)+P664+P666+P710+SUM(P757:P758)</f>
        <v>9096</v>
      </c>
      <c r="Q803" s="59">
        <f t="shared" si="123"/>
        <v>27291</v>
      </c>
      <c r="R803" s="59">
        <f t="shared" ref="R803:R810" si="124">+E803+I803+M803+Q803</f>
        <v>46673</v>
      </c>
    </row>
    <row r="804" spans="1:20" ht="15.75" customHeight="1" x14ac:dyDescent="0.3">
      <c r="A804" s="74" t="s">
        <v>927</v>
      </c>
      <c r="B804" s="1">
        <f>B119+B270+B272+B274+B570+B572+B665+B667+B759</f>
        <v>0</v>
      </c>
      <c r="C804" s="1">
        <f>C119+C270+C272+C274+C570+C572+C665+C667+C759</f>
        <v>0</v>
      </c>
      <c r="D804" s="1">
        <f>D119+D270+D272+D274+D570+D572+D665+D667+D759</f>
        <v>0</v>
      </c>
      <c r="E804" s="59">
        <f t="shared" si="120"/>
        <v>0</v>
      </c>
      <c r="F804" s="1">
        <f>F119+F270+F272+F274+F570+F572+F665+F667+F759</f>
        <v>0</v>
      </c>
      <c r="G804" s="1">
        <f>G119+G270+G272+G274+G570+G572+G665+G667+G759</f>
        <v>0</v>
      </c>
      <c r="H804" s="1">
        <f>H119+H270+H272+H274+H570+H572+H665+H667+H759</f>
        <v>0</v>
      </c>
      <c r="I804" s="59">
        <f t="shared" si="121"/>
        <v>0</v>
      </c>
      <c r="J804" s="1">
        <f>J119+J270+J272+J274+J570+J572+J665+J667+J759</f>
        <v>0</v>
      </c>
      <c r="K804" s="1">
        <f>K119+K270+K272+K274+K570+K572+K665+K667+K759</f>
        <v>0</v>
      </c>
      <c r="L804" s="1">
        <f>L119+L270+L272+L274+L570+L572+L665+L667+L759</f>
        <v>0</v>
      </c>
      <c r="M804" s="59">
        <f t="shared" si="122"/>
        <v>0</v>
      </c>
      <c r="N804" s="1">
        <f>N119+N270+N272+N274+N570+N572+N665+N667+N759</f>
        <v>0</v>
      </c>
      <c r="O804" s="1">
        <f>O119+O270+O272+O274+O570+O572+O665+O667+O759</f>
        <v>0</v>
      </c>
      <c r="P804" s="1">
        <f>P119+P270+P272+P274+P570+P572+P665+P667+P759</f>
        <v>0</v>
      </c>
      <c r="Q804" s="59">
        <f t="shared" si="123"/>
        <v>0</v>
      </c>
      <c r="R804" s="59">
        <f t="shared" si="124"/>
        <v>0</v>
      </c>
    </row>
    <row r="805" spans="1:20" ht="15.75" customHeight="1" x14ac:dyDescent="0.3">
      <c r="A805" s="17" t="s">
        <v>626</v>
      </c>
      <c r="B805" s="1">
        <f>+B55+SUM(B120:B121)+SUM(B277:B277)+SUM(B414:B420)+SUM(B475:B475)+SUM(B516:B517)+B573+B621+B668+B760+B760</f>
        <v>0</v>
      </c>
      <c r="C805" s="1">
        <f>+C55+SUM(C120:C121)+SUM(C277:C277)+SUM(C414:C420)+SUM(C475:C475)+SUM(C516:C517)+C573+C621+C668+C760+C760</f>
        <v>0</v>
      </c>
      <c r="D805" s="1">
        <f>+D55+SUM(D120:D121)+SUM(D277:D277)+SUM(D414:D420)+SUM(D475:D475)+SUM(D516:D517)+D573+D621+D668+D760+D760</f>
        <v>420</v>
      </c>
      <c r="E805" s="59">
        <f t="shared" si="120"/>
        <v>420</v>
      </c>
      <c r="F805" s="1">
        <f>+F55+SUM(F120:F121)+SUM(F277:F277)+SUM(F414:F420)+SUM(F475:F475)+SUM(F516:F517)+F573+F621+F668+F760+F760</f>
        <v>500</v>
      </c>
      <c r="G805" s="1">
        <f>+G55+SUM(G120:G121)+SUM(G277:G277)+SUM(G414:G420)+SUM(G475:G475)+SUM(G516:G517)+G573+G621+G668+G760+G760</f>
        <v>500</v>
      </c>
      <c r="H805" s="1">
        <f>+H55+SUM(H120:H121)+SUM(H277:H277)+SUM(H414:H420)+SUM(H475:H475)+SUM(H516:H517)+H573+H621+H668+H760+H760</f>
        <v>6500</v>
      </c>
      <c r="I805" s="59">
        <f t="shared" si="121"/>
        <v>7500</v>
      </c>
      <c r="J805" s="1">
        <f>+J55+SUM(J120:J121)+SUM(J277:J277)+SUM(J414:J420)+SUM(J475:J475)+SUM(J516:J517)+J573+J621+J668+J760+J760</f>
        <v>440</v>
      </c>
      <c r="K805" s="1">
        <f>+K55+SUM(K120:K121)+SUM(K277:K277)+SUM(K414:K420)+SUM(K475:K475)+SUM(K516:K517)+K573+K621+K668+K760+K760</f>
        <v>0</v>
      </c>
      <c r="L805" s="1">
        <f>+L55+SUM(L120:L121)+SUM(L277:L277)+SUM(L414:L420)+SUM(L475:L475)+SUM(L516:L517)+L573+L621+L668+L760+L760</f>
        <v>500</v>
      </c>
      <c r="M805" s="59">
        <f t="shared" si="122"/>
        <v>940</v>
      </c>
      <c r="N805" s="1">
        <f>+N55+SUM(N120:N121)+SUM(N277:N277)+SUM(N414:N420)+SUM(N475:N475)+SUM(N516:N517)+N573+N621+N668+N760+N760</f>
        <v>0</v>
      </c>
      <c r="O805" s="1">
        <f>+O55+SUM(O120:O121)+SUM(O277:O277)+SUM(O414:O420)+SUM(O475:O475)+SUM(O516:O517)+O573+O621+O668+O760+O760</f>
        <v>0</v>
      </c>
      <c r="P805" s="1">
        <f>+P55+SUM(P120:P121)+SUM(P277:P277)+SUM(P414:P420)+SUM(P475:P475)+SUM(P516:P517)+P573+P621+P668+P760+P760</f>
        <v>0</v>
      </c>
      <c r="Q805" s="59">
        <f t="shared" si="123"/>
        <v>0</v>
      </c>
      <c r="R805" s="59">
        <f>+E805+I805+M805+Q805</f>
        <v>8860</v>
      </c>
    </row>
    <row r="806" spans="1:20" ht="22.5" customHeight="1" x14ac:dyDescent="0.3">
      <c r="A806" s="17" t="s">
        <v>928</v>
      </c>
      <c r="B806" s="1">
        <f>SUM(B122:B122)+SUM(B278:B279)+B422+B424+B425+B427+B429+SUM(B476:B477)+B519+B521+B574+SUM(B575:B576)+B622+B669+B712+B761</f>
        <v>450</v>
      </c>
      <c r="C806" s="1">
        <f>SUM(C122:C122)+SUM(C278:C279)+C422+C424+C425+C427+C429+SUM(C476:C477)+C519+C521+C574+SUM(C575:C576)+C622+C669+C712+C761</f>
        <v>500</v>
      </c>
      <c r="D806" s="1">
        <f>SUM(D122:D122)+SUM(D278:D279)+D422+D424+D425+D427+D429+SUM(D476:D477)+D519+D521+D574+SUM(D575:D576)+D622+D669+D712+D761</f>
        <v>3840</v>
      </c>
      <c r="E806" s="59">
        <f t="shared" si="120"/>
        <v>4790</v>
      </c>
      <c r="F806" s="1">
        <f>SUM(F122:F122)+SUM(F278:F279)+F422+F424+F425+F427+F429+SUM(F476:F477)+F519+F521+F574+SUM(F575:F576)+F622+F669+F712+F761</f>
        <v>8700</v>
      </c>
      <c r="G806" s="1">
        <f>SUM(G122:G122)+SUM(G278:G279)+G422+G424+G425+G427+G429+SUM(G476:G477)+G519+G521+G574+SUM(G575:G576)+G622+G669+G712+G761</f>
        <v>1260</v>
      </c>
      <c r="H806" s="1">
        <f>SUM(H122:H122)+SUM(H278:H279)+H422+H424+H425+H427+H429+SUM(H476:H477)+H519+H521+H574+SUM(H575:H576)+H622+H669+H712+H761</f>
        <v>3960</v>
      </c>
      <c r="I806" s="59">
        <f t="shared" si="121"/>
        <v>13920</v>
      </c>
      <c r="J806" s="1">
        <f>SUM(J122:J122)+SUM(J278:J279)+J422+J424+J425+J427+J429+SUM(J476:J477)+J519+J521+J574+SUM(J575:J576)+J622+J669+J712+J761</f>
        <v>3750</v>
      </c>
      <c r="K806" s="1">
        <f>SUM(K122:K122)+SUM(K278:K279)+K422+K424+K425+K427+K429+SUM(K476:K477)+K519+K521+K574+SUM(K575:K576)+K622+K669+K712+K761</f>
        <v>8130</v>
      </c>
      <c r="L806" s="1">
        <f>SUM(L122:L122)+SUM(L278:L279)+L422+L424+L425+L427+L429+SUM(L476:L477)+L519+L521+L574+SUM(L575:L576)+L622+L669+L712+L761</f>
        <v>2400</v>
      </c>
      <c r="M806" s="59">
        <f t="shared" si="122"/>
        <v>14280</v>
      </c>
      <c r="N806" s="1">
        <f>SUM(N122:N122)+SUM(N278:N279)+N422+N424+N425+N427+N429+SUM(N476:N477)+N519+N521+N574+SUM(N575:N576)+N622+N669+N712+N761</f>
        <v>1260</v>
      </c>
      <c r="O806" s="1">
        <f>SUM(O122:O122)+SUM(O278:O279)+O422+O424+O425+O427+O429+SUM(O476:O477)+O519+O521+O574+SUM(O575:O576)+O622+O669+O712+O761</f>
        <v>500</v>
      </c>
      <c r="P806" s="1">
        <f>SUM(P122:P122)+SUM(P278:P279)+P422+P424+P425+P427+P429+SUM(P476:P477)+P519+P521+P574+SUM(P575:P576)+P622+P669+P712+P761</f>
        <v>500</v>
      </c>
      <c r="Q806" s="59">
        <f t="shared" si="123"/>
        <v>2260</v>
      </c>
      <c r="R806" s="59">
        <f t="shared" si="124"/>
        <v>35250</v>
      </c>
    </row>
    <row r="807" spans="1:20" ht="15.75" customHeight="1" thickBot="1" x14ac:dyDescent="0.35">
      <c r="A807" s="74" t="s">
        <v>929</v>
      </c>
      <c r="B807" s="1">
        <f>+B423+B426+B428+B478</f>
        <v>0</v>
      </c>
      <c r="C807" s="1">
        <f>+C423+C426+C428+C478</f>
        <v>0</v>
      </c>
      <c r="D807" s="1">
        <f>+D423+D426+D428+D478</f>
        <v>0</v>
      </c>
      <c r="E807" s="59">
        <f>SUM(B807:D807)</f>
        <v>0</v>
      </c>
      <c r="F807" s="1">
        <f>+F423+F426+F428+F478</f>
        <v>0</v>
      </c>
      <c r="G807" s="1">
        <f>+G423+G426+G428+G478</f>
        <v>0</v>
      </c>
      <c r="H807" s="1">
        <f>+H423+H426+H428+H478</f>
        <v>0</v>
      </c>
      <c r="I807" s="59">
        <f>SUM(F807:H807)</f>
        <v>0</v>
      </c>
      <c r="J807" s="1">
        <f>+J423+J426+J428+J478</f>
        <v>0</v>
      </c>
      <c r="K807" s="1">
        <f>+K423+K426+K428+K478</f>
        <v>0</v>
      </c>
      <c r="L807" s="1">
        <f>+L423+L426+L428+L478</f>
        <v>0</v>
      </c>
      <c r="M807" s="59">
        <f>SUM(J807:L807)</f>
        <v>0</v>
      </c>
      <c r="N807" s="1">
        <f>+N423+N426+N428+N478</f>
        <v>0</v>
      </c>
      <c r="O807" s="1">
        <f>+O423+O426+O428+O478</f>
        <v>0</v>
      </c>
      <c r="P807" s="1">
        <f>+P423+P426+P428+P478</f>
        <v>0</v>
      </c>
      <c r="Q807" s="59">
        <f>SUM(N807:P807)</f>
        <v>0</v>
      </c>
      <c r="R807" s="59">
        <f>+E807+I807+M807+Q807</f>
        <v>0</v>
      </c>
    </row>
    <row r="808" spans="1:20" ht="16.5" customHeight="1" thickBot="1" x14ac:dyDescent="0.35">
      <c r="A808" s="62" t="s">
        <v>68</v>
      </c>
      <c r="B808" s="148">
        <f>SUM(B805:B807)</f>
        <v>450</v>
      </c>
      <c r="C808" s="148">
        <f>SUM(C805:C807)</f>
        <v>500</v>
      </c>
      <c r="D808" s="148">
        <f>SUM(D805:D807)</f>
        <v>4260</v>
      </c>
      <c r="E808" s="65">
        <f t="shared" si="120"/>
        <v>5210</v>
      </c>
      <c r="F808" s="148">
        <f>SUM(F805:F807)</f>
        <v>9200</v>
      </c>
      <c r="G808" s="148">
        <f>SUM(G805:G807)</f>
        <v>1760</v>
      </c>
      <c r="H808" s="148">
        <f>SUM(H805:H807)</f>
        <v>10460</v>
      </c>
      <c r="I808" s="65">
        <f t="shared" si="121"/>
        <v>21420</v>
      </c>
      <c r="J808" s="148">
        <f>SUM(J805:J807)</f>
        <v>4190</v>
      </c>
      <c r="K808" s="148">
        <f>SUM(K805:K807)</f>
        <v>8130</v>
      </c>
      <c r="L808" s="148">
        <f>SUM(L805:L807)</f>
        <v>2900</v>
      </c>
      <c r="M808" s="65">
        <f t="shared" si="122"/>
        <v>15220</v>
      </c>
      <c r="N808" s="148">
        <f>SUM(N805:N807)</f>
        <v>1260</v>
      </c>
      <c r="O808" s="148">
        <f>SUM(O805:O807)</f>
        <v>500</v>
      </c>
      <c r="P808" s="148">
        <f>SUM(P805:P807)</f>
        <v>500</v>
      </c>
      <c r="Q808" s="65">
        <f t="shared" si="123"/>
        <v>2260</v>
      </c>
      <c r="R808" s="64">
        <f t="shared" si="124"/>
        <v>44110</v>
      </c>
    </row>
    <row r="809" spans="1:20" ht="16.5" customHeight="1" thickBot="1" x14ac:dyDescent="0.35">
      <c r="A809" s="137" t="s">
        <v>69</v>
      </c>
      <c r="B809" s="100">
        <f>SUM(B801:B807)</f>
        <v>1470</v>
      </c>
      <c r="C809" s="101">
        <f>SUM(C801:C807)</f>
        <v>2020</v>
      </c>
      <c r="D809" s="138">
        <f>SUM(D801:D807)</f>
        <v>6280</v>
      </c>
      <c r="E809" s="165">
        <f t="shared" si="120"/>
        <v>9770</v>
      </c>
      <c r="F809" s="100">
        <f>SUM(F801:F807)</f>
        <v>10220</v>
      </c>
      <c r="G809" s="101">
        <f>SUM(G801:G807)</f>
        <v>4980</v>
      </c>
      <c r="H809" s="138">
        <f>SUM(H801:H807)</f>
        <v>15323</v>
      </c>
      <c r="I809" s="65">
        <f t="shared" si="121"/>
        <v>30523</v>
      </c>
      <c r="J809" s="100">
        <f>SUM(J801:J807)</f>
        <v>8055</v>
      </c>
      <c r="K809" s="101">
        <f>SUM(K801:K807)</f>
        <v>10150</v>
      </c>
      <c r="L809" s="138">
        <f>SUM(L801:L807)</f>
        <v>6677</v>
      </c>
      <c r="M809" s="65">
        <f t="shared" si="122"/>
        <v>24882</v>
      </c>
      <c r="N809" s="100">
        <f>SUM(N801:N807)</f>
        <v>10457</v>
      </c>
      <c r="O809" s="101">
        <f>SUM(O801:O807)</f>
        <v>10295</v>
      </c>
      <c r="P809" s="138">
        <f>SUM(P801:P807)</f>
        <v>9596</v>
      </c>
      <c r="Q809" s="65">
        <f t="shared" si="123"/>
        <v>30348</v>
      </c>
      <c r="R809" s="64">
        <f t="shared" si="124"/>
        <v>95523</v>
      </c>
    </row>
    <row r="810" spans="1:20" ht="16.5" customHeight="1" thickBot="1" x14ac:dyDescent="0.35">
      <c r="A810" s="62" t="s">
        <v>70</v>
      </c>
      <c r="B810" s="149">
        <f>+B791+B796+B800+B809</f>
        <v>67529</v>
      </c>
      <c r="C810" s="150">
        <f>+C791+C796+C800+C809</f>
        <v>83864</v>
      </c>
      <c r="D810" s="150">
        <f>+D791+D796+D800+D809</f>
        <v>133967</v>
      </c>
      <c r="E810" s="64">
        <f t="shared" si="120"/>
        <v>285360</v>
      </c>
      <c r="F810" s="63">
        <f>+F791+F796+F800+F809</f>
        <v>165761</v>
      </c>
      <c r="G810" s="63">
        <f>+G791+G796+G800+G809</f>
        <v>171644</v>
      </c>
      <c r="H810" s="63">
        <f>+H791+H796+H800+H809</f>
        <v>189759</v>
      </c>
      <c r="I810" s="64">
        <f t="shared" si="121"/>
        <v>527164</v>
      </c>
      <c r="J810" s="63">
        <f>+J791+J796+J800+J809</f>
        <v>181672</v>
      </c>
      <c r="K810" s="63">
        <f>+K791+K796+K800+K809</f>
        <v>166084</v>
      </c>
      <c r="L810" s="63">
        <f>+L791+L796+L800+L809</f>
        <v>110862</v>
      </c>
      <c r="M810" s="64">
        <f t="shared" si="122"/>
        <v>458618</v>
      </c>
      <c r="N810" s="63">
        <f>+N791+N796+N800+N809</f>
        <v>82494</v>
      </c>
      <c r="O810" s="63">
        <f>+O791+O796+O800+O809</f>
        <v>63134</v>
      </c>
      <c r="P810" s="63">
        <f>+P791+P796+P800+P809</f>
        <v>63672</v>
      </c>
      <c r="Q810" s="64">
        <f t="shared" si="123"/>
        <v>209300</v>
      </c>
      <c r="R810" s="88">
        <f t="shared" si="124"/>
        <v>1480442</v>
      </c>
    </row>
    <row r="811" spans="1:20" ht="15.75" customHeight="1" x14ac:dyDescent="0.3">
      <c r="A811" s="1" t="s">
        <v>930</v>
      </c>
      <c r="B811" s="1"/>
      <c r="C811" s="1"/>
      <c r="D811" s="1"/>
      <c r="E811" s="1"/>
      <c r="F811" s="1"/>
      <c r="G811" s="1"/>
      <c r="H811" s="1"/>
      <c r="I811" s="1"/>
      <c r="J811" s="1"/>
      <c r="K811" s="1"/>
      <c r="L811" s="1"/>
      <c r="M811" s="1"/>
      <c r="N811" s="1"/>
      <c r="O811" s="166"/>
      <c r="P811" s="1"/>
      <c r="Q811" s="1"/>
      <c r="R811" s="28"/>
    </row>
    <row r="812" spans="1:20" ht="15.75" customHeight="1" x14ac:dyDescent="0.3">
      <c r="A812" s="1" t="s">
        <v>931</v>
      </c>
      <c r="B812" s="1"/>
      <c r="C812" s="1"/>
      <c r="D812" s="1"/>
      <c r="E812" s="1"/>
      <c r="F812" s="1"/>
      <c r="G812" s="1"/>
      <c r="H812" s="1"/>
      <c r="I812" s="1"/>
      <c r="J812" s="1"/>
      <c r="K812" s="1"/>
      <c r="L812" s="1"/>
      <c r="M812" s="1"/>
      <c r="N812" s="1"/>
      <c r="O812" s="166"/>
      <c r="P812" s="1"/>
      <c r="Q812" s="1"/>
      <c r="R812" s="28"/>
    </row>
    <row r="813" spans="1:20" ht="15.75" customHeight="1" x14ac:dyDescent="0.3">
      <c r="A813" s="1"/>
      <c r="B813" s="1"/>
      <c r="C813" s="1"/>
      <c r="D813" s="1"/>
      <c r="E813" s="1"/>
      <c r="F813" s="1"/>
      <c r="G813" s="1"/>
      <c r="H813" s="1"/>
      <c r="I813" s="1"/>
      <c r="J813" s="1"/>
      <c r="K813" s="1"/>
      <c r="L813" s="1"/>
      <c r="M813" s="1"/>
      <c r="N813" s="1"/>
      <c r="O813" s="166"/>
      <c r="P813" s="1"/>
      <c r="Q813" s="2" t="str">
        <f>+Q1</f>
        <v xml:space="preserve">PRINTED:  </v>
      </c>
      <c r="R813" s="163">
        <f ca="1">+R1</f>
        <v>44894.658168518516</v>
      </c>
    </row>
    <row r="814" spans="1:20" ht="15.75" customHeight="1" x14ac:dyDescent="0.3">
      <c r="A814" s="383" t="s">
        <v>1</v>
      </c>
      <c r="B814" s="383"/>
      <c r="C814" s="383"/>
      <c r="D814" s="383"/>
      <c r="E814" s="383"/>
      <c r="F814" s="383"/>
      <c r="G814" s="383"/>
      <c r="H814" s="383"/>
      <c r="I814" s="383"/>
      <c r="J814" s="383"/>
      <c r="K814" s="383"/>
      <c r="L814" s="383"/>
      <c r="M814" s="383"/>
      <c r="N814" s="383"/>
      <c r="O814" s="383"/>
      <c r="P814" s="383"/>
      <c r="Q814" s="383"/>
      <c r="R814" s="383"/>
    </row>
    <row r="815" spans="1:20" ht="15.75" customHeight="1" x14ac:dyDescent="0.3">
      <c r="A815" s="383" t="s">
        <v>2</v>
      </c>
      <c r="B815" s="383"/>
      <c r="C815" s="383"/>
      <c r="D815" s="383"/>
      <c r="E815" s="383"/>
      <c r="F815" s="383"/>
      <c r="G815" s="383"/>
      <c r="H815" s="383"/>
      <c r="I815" s="383"/>
      <c r="J815" s="383"/>
      <c r="K815" s="383"/>
      <c r="L815" s="383"/>
      <c r="M815" s="383"/>
      <c r="N815" s="383"/>
      <c r="O815" s="383"/>
      <c r="P815" s="383"/>
      <c r="Q815" s="383"/>
      <c r="R815" s="383"/>
    </row>
    <row r="816" spans="1:20" ht="15.75" customHeight="1" x14ac:dyDescent="0.3">
      <c r="A816" s="383" t="s">
        <v>3</v>
      </c>
      <c r="B816" s="383"/>
      <c r="C816" s="383"/>
      <c r="D816" s="383"/>
      <c r="E816" s="383"/>
      <c r="F816" s="383"/>
      <c r="G816" s="383"/>
      <c r="H816" s="383"/>
      <c r="I816" s="383"/>
      <c r="J816" s="383"/>
      <c r="K816" s="383"/>
      <c r="L816" s="383"/>
      <c r="M816" s="383"/>
      <c r="N816" s="383"/>
      <c r="O816" s="383"/>
      <c r="P816" s="383"/>
      <c r="Q816" s="383"/>
      <c r="R816" s="383"/>
    </row>
    <row r="817" spans="1:46" ht="15.75" customHeight="1" x14ac:dyDescent="0.3">
      <c r="A817" s="392">
        <f>+A5</f>
        <v>2016</v>
      </c>
      <c r="B817" s="392"/>
      <c r="C817" s="392"/>
      <c r="D817" s="392"/>
      <c r="E817" s="392"/>
      <c r="F817" s="392"/>
      <c r="G817" s="392"/>
      <c r="H817" s="392"/>
      <c r="I817" s="392"/>
      <c r="J817" s="392"/>
      <c r="K817" s="392"/>
      <c r="L817" s="392"/>
      <c r="M817" s="392"/>
      <c r="N817" s="392"/>
      <c r="O817" s="392"/>
      <c r="P817" s="392"/>
      <c r="Q817" s="392"/>
      <c r="R817" s="392"/>
    </row>
    <row r="818" spans="1:46" ht="15.75" customHeight="1" x14ac:dyDescent="0.3">
      <c r="A818" s="1"/>
      <c r="B818" s="1"/>
      <c r="C818" s="1"/>
      <c r="D818" s="7"/>
      <c r="E818" s="7"/>
      <c r="F818" s="7"/>
      <c r="G818" s="8"/>
      <c r="H818" s="7"/>
      <c r="I818" s="7"/>
      <c r="J818" s="8"/>
      <c r="K818" s="8"/>
      <c r="L818" s="8"/>
      <c r="M818" s="8"/>
      <c r="N818" s="1"/>
      <c r="O818" s="8"/>
      <c r="P818" s="8"/>
      <c r="Q818" s="8"/>
      <c r="R818" s="8"/>
    </row>
    <row r="819" spans="1:46" ht="15.75" customHeight="1" x14ac:dyDescent="0.3">
      <c r="A819" s="383" t="str">
        <f>+A8</f>
        <v>Revised:  12/8/2015</v>
      </c>
      <c r="B819" s="383"/>
      <c r="C819" s="383"/>
      <c r="D819" s="383"/>
      <c r="E819" s="383"/>
      <c r="F819" s="383"/>
      <c r="G819" s="383"/>
      <c r="H819" s="383"/>
      <c r="I819" s="383"/>
      <c r="J819" s="383"/>
      <c r="K819" s="383"/>
      <c r="L819" s="383"/>
      <c r="M819" s="383"/>
      <c r="N819" s="383"/>
      <c r="O819" s="383"/>
      <c r="P819" s="383"/>
      <c r="Q819" s="383"/>
      <c r="R819" s="383"/>
    </row>
    <row r="820" spans="1:46" ht="15.75" customHeight="1" x14ac:dyDescent="0.3">
      <c r="A820" s="6"/>
      <c r="B820" s="6"/>
      <c r="C820" s="6"/>
      <c r="D820" s="6"/>
      <c r="E820" s="6"/>
      <c r="F820" s="6"/>
      <c r="G820" s="6"/>
      <c r="H820" s="6"/>
      <c r="I820" s="6"/>
      <c r="J820" s="6"/>
      <c r="K820" s="6"/>
      <c r="L820" s="6"/>
      <c r="M820" s="6"/>
      <c r="N820" s="6"/>
      <c r="O820" s="6"/>
      <c r="P820" s="6"/>
      <c r="Q820" s="6"/>
      <c r="R820" s="6"/>
    </row>
    <row r="821" spans="1:46" ht="15.75" customHeight="1" x14ac:dyDescent="0.3">
      <c r="A821" s="30"/>
      <c r="B821" s="1"/>
      <c r="C821" s="1"/>
      <c r="D821" s="1"/>
      <c r="E821" s="1"/>
      <c r="F821" s="1"/>
      <c r="G821" s="1"/>
      <c r="H821" s="1"/>
      <c r="I821" s="1"/>
      <c r="J821" s="1"/>
      <c r="K821" s="1"/>
      <c r="L821" s="1"/>
      <c r="M821" s="1"/>
      <c r="N821" s="1"/>
      <c r="O821" s="1"/>
      <c r="P821" s="1"/>
      <c r="Q821" s="1"/>
      <c r="R821" s="28"/>
    </row>
    <row r="822" spans="1:46" ht="15.75" customHeight="1" thickBot="1" x14ac:dyDescent="0.35">
      <c r="A822" s="1"/>
      <c r="B822" s="1"/>
      <c r="C822" s="1"/>
      <c r="D822" s="1"/>
      <c r="E822" s="1"/>
      <c r="F822" s="1"/>
      <c r="G822" s="1"/>
      <c r="H822" s="1"/>
      <c r="I822" s="1"/>
      <c r="J822" s="1"/>
      <c r="K822" s="1"/>
      <c r="L822" s="1"/>
      <c r="M822" s="1"/>
      <c r="N822" s="1"/>
      <c r="O822" s="166"/>
      <c r="P822" s="1"/>
      <c r="Q822" s="1"/>
      <c r="R822" s="28"/>
    </row>
    <row r="823" spans="1:46" ht="15.75" customHeight="1" thickBot="1" x14ac:dyDescent="0.35">
      <c r="A823" s="124" t="s">
        <v>630</v>
      </c>
      <c r="B823" s="54" t="s">
        <v>36</v>
      </c>
      <c r="C823" s="11" t="s">
        <v>9</v>
      </c>
      <c r="D823" s="11" t="s">
        <v>10</v>
      </c>
      <c r="E823" s="12" t="s">
        <v>11</v>
      </c>
      <c r="F823" s="11" t="s">
        <v>12</v>
      </c>
      <c r="G823" s="11" t="s">
        <v>13</v>
      </c>
      <c r="H823" s="11" t="s">
        <v>14</v>
      </c>
      <c r="I823" s="12" t="s">
        <v>15</v>
      </c>
      <c r="J823" s="11" t="s">
        <v>16</v>
      </c>
      <c r="K823" s="11" t="s">
        <v>17</v>
      </c>
      <c r="L823" s="11" t="s">
        <v>18</v>
      </c>
      <c r="M823" s="12" t="s">
        <v>19</v>
      </c>
      <c r="N823" s="11" t="s">
        <v>20</v>
      </c>
      <c r="O823" s="11" t="s">
        <v>21</v>
      </c>
      <c r="P823" s="11" t="s">
        <v>22</v>
      </c>
      <c r="Q823" s="12" t="s">
        <v>23</v>
      </c>
      <c r="R823" s="167" t="s">
        <v>24</v>
      </c>
    </row>
    <row r="824" spans="1:46" ht="16.5" customHeight="1" thickBot="1" x14ac:dyDescent="0.35">
      <c r="A824" s="168"/>
      <c r="B824" s="169"/>
      <c r="C824" s="169"/>
      <c r="D824" s="169"/>
      <c r="E824" s="16"/>
      <c r="F824" s="169"/>
      <c r="G824" s="169"/>
      <c r="H824" s="169"/>
      <c r="I824" s="38"/>
      <c r="J824" s="169"/>
      <c r="K824" s="169"/>
      <c r="L824" s="169"/>
      <c r="M824" s="38"/>
      <c r="N824" s="169"/>
      <c r="O824" s="169"/>
      <c r="P824" s="169"/>
      <c r="Q824" s="151"/>
      <c r="R824" s="170"/>
    </row>
    <row r="825" spans="1:46" ht="16.5" customHeight="1" thickBot="1" x14ac:dyDescent="0.35">
      <c r="A825" s="171" t="s">
        <v>26</v>
      </c>
      <c r="B825" s="172">
        <f>+B791</f>
        <v>30163</v>
      </c>
      <c r="C825" s="172">
        <f>+C791</f>
        <v>31807</v>
      </c>
      <c r="D825" s="172">
        <f>+D791</f>
        <v>34625</v>
      </c>
      <c r="E825" s="100">
        <f>+SUM(B825:D825)</f>
        <v>96595</v>
      </c>
      <c r="F825" s="172">
        <f>+F791</f>
        <v>48533</v>
      </c>
      <c r="G825" s="172">
        <f>+G791</f>
        <v>54844</v>
      </c>
      <c r="H825" s="172">
        <f>+H791</f>
        <v>52732</v>
      </c>
      <c r="I825" s="100">
        <f>+SUM(F825:H825)</f>
        <v>156109</v>
      </c>
      <c r="J825" s="172">
        <f>+J791</f>
        <v>58992</v>
      </c>
      <c r="K825" s="172">
        <f>+K791</f>
        <v>65011</v>
      </c>
      <c r="L825" s="172">
        <f>+L791</f>
        <v>55885</v>
      </c>
      <c r="M825" s="100">
        <f>+SUM(J825:L825)</f>
        <v>179888</v>
      </c>
      <c r="N825" s="172">
        <f>+N791</f>
        <v>43594</v>
      </c>
      <c r="O825" s="172">
        <f>+O791</f>
        <v>34184</v>
      </c>
      <c r="P825" s="172">
        <f>+P791</f>
        <v>36280</v>
      </c>
      <c r="Q825" s="100">
        <f>+SUM(N825:P825)</f>
        <v>114058</v>
      </c>
      <c r="R825" s="64">
        <f>+E825+I825+M825+Q825</f>
        <v>546650</v>
      </c>
    </row>
    <row r="826" spans="1:46" ht="16.5" customHeight="1" thickBot="1" x14ac:dyDescent="0.35">
      <c r="A826" s="34"/>
      <c r="B826" s="100"/>
      <c r="C826" s="100"/>
      <c r="D826" s="100"/>
      <c r="E826" s="100"/>
      <c r="F826" s="100"/>
      <c r="G826" s="100"/>
      <c r="H826" s="100"/>
      <c r="I826" s="100"/>
      <c r="J826" s="100"/>
      <c r="K826" s="100"/>
      <c r="L826" s="100"/>
      <c r="M826" s="100"/>
      <c r="N826" s="100"/>
      <c r="O826" s="100"/>
      <c r="P826" s="100"/>
      <c r="Q826" s="100"/>
      <c r="R826" s="64"/>
    </row>
    <row r="827" spans="1:46" ht="16.5" customHeight="1" thickBot="1" x14ac:dyDescent="0.35">
      <c r="A827" s="171" t="s">
        <v>631</v>
      </c>
      <c r="B827" s="172">
        <f>+B796</f>
        <v>6540</v>
      </c>
      <c r="C827" s="172">
        <f>+C796</f>
        <v>6426</v>
      </c>
      <c r="D827" s="172">
        <f>+D796</f>
        <v>30200</v>
      </c>
      <c r="E827" s="100">
        <f>+SUM(B827:D827)</f>
        <v>43166</v>
      </c>
      <c r="F827" s="172">
        <f>+F796</f>
        <v>36490</v>
      </c>
      <c r="G827" s="172">
        <f>+G796</f>
        <v>40700</v>
      </c>
      <c r="H827" s="172">
        <f>+H796</f>
        <v>40589</v>
      </c>
      <c r="I827" s="100">
        <f>+SUM(F827:H827)</f>
        <v>117779</v>
      </c>
      <c r="J827" s="172">
        <f>+J796</f>
        <v>42647</v>
      </c>
      <c r="K827" s="172">
        <f>+K796</f>
        <v>35370</v>
      </c>
      <c r="L827" s="172">
        <f>+L796</f>
        <v>20460</v>
      </c>
      <c r="M827" s="100">
        <f>+SUM(J827:L827)</f>
        <v>98477</v>
      </c>
      <c r="N827" s="172">
        <f>+N796</f>
        <v>8760</v>
      </c>
      <c r="O827" s="172">
        <f>+O796</f>
        <v>7570</v>
      </c>
      <c r="P827" s="172">
        <f>+P796</f>
        <v>3677</v>
      </c>
      <c r="Q827" s="100">
        <f>+SUM(N827:P827)</f>
        <v>20007</v>
      </c>
      <c r="R827" s="64">
        <f>+E827+I827+M827+Q827</f>
        <v>279429</v>
      </c>
    </row>
    <row r="828" spans="1:46" ht="16.5" customHeight="1" thickBot="1" x14ac:dyDescent="0.35">
      <c r="A828" s="34"/>
      <c r="B828" s="100"/>
      <c r="C828" s="100"/>
      <c r="D828" s="100"/>
      <c r="E828" s="100"/>
      <c r="F828" s="100"/>
      <c r="G828" s="100"/>
      <c r="H828" s="100"/>
      <c r="I828" s="100"/>
      <c r="J828" s="100"/>
      <c r="K828" s="100"/>
      <c r="L828" s="100"/>
      <c r="M828" s="100"/>
      <c r="N828" s="100"/>
      <c r="O828" s="100"/>
      <c r="P828" s="100"/>
      <c r="Q828" s="100"/>
      <c r="R828" s="64"/>
      <c r="AC828" s="173"/>
      <c r="AD828" s="174"/>
      <c r="AE828" s="175" t="s">
        <v>632</v>
      </c>
      <c r="AF828" s="174"/>
      <c r="AG828" s="174"/>
      <c r="AH828" s="174"/>
      <c r="AI828" s="174"/>
      <c r="AJ828" s="174"/>
      <c r="AK828" s="174" t="s">
        <v>633</v>
      </c>
      <c r="AL828" s="174"/>
      <c r="AM828" s="174" t="s">
        <v>7</v>
      </c>
      <c r="AN828" s="176" t="str">
        <f>+A8</f>
        <v>Revised:  12/8/2015</v>
      </c>
      <c r="AO828" s="174"/>
      <c r="AP828" s="174"/>
      <c r="AQ828" s="174"/>
      <c r="AR828" s="174"/>
      <c r="AS828" s="177" t="str">
        <f>+Q1</f>
        <v xml:space="preserve">PRINTED:  </v>
      </c>
      <c r="AT828" s="178">
        <f ca="1">+R1</f>
        <v>44894.658168518516</v>
      </c>
    </row>
    <row r="829" spans="1:46" ht="16.5" customHeight="1" thickBot="1" x14ac:dyDescent="0.35">
      <c r="A829" s="171" t="s">
        <v>28</v>
      </c>
      <c r="B829" s="172">
        <f>+B800</f>
        <v>29356</v>
      </c>
      <c r="C829" s="172">
        <f>+C800</f>
        <v>43611</v>
      </c>
      <c r="D829" s="172">
        <f>+D800</f>
        <v>62862</v>
      </c>
      <c r="E829" s="100">
        <f>+SUM(B829:D829)</f>
        <v>135829</v>
      </c>
      <c r="F829" s="172">
        <f>+F800</f>
        <v>70518</v>
      </c>
      <c r="G829" s="172">
        <f>+G800</f>
        <v>71120</v>
      </c>
      <c r="H829" s="172">
        <f>+H800</f>
        <v>81115</v>
      </c>
      <c r="I829" s="100">
        <f>+SUM(F829:H829)</f>
        <v>222753</v>
      </c>
      <c r="J829" s="172">
        <f>+J800</f>
        <v>71978</v>
      </c>
      <c r="K829" s="172">
        <f>+K800</f>
        <v>55553</v>
      </c>
      <c r="L829" s="172">
        <f>+L800</f>
        <v>27840</v>
      </c>
      <c r="M829" s="100">
        <f>+SUM(J829:L829)</f>
        <v>155371</v>
      </c>
      <c r="N829" s="172">
        <f>+N800</f>
        <v>19683</v>
      </c>
      <c r="O829" s="172">
        <f>+O800</f>
        <v>11085</v>
      </c>
      <c r="P829" s="172">
        <f>+P800</f>
        <v>14119</v>
      </c>
      <c r="Q829" s="100">
        <f>+SUM(N829:P829)</f>
        <v>44887</v>
      </c>
      <c r="R829" s="64">
        <f>+E829+I829+M829+Q829</f>
        <v>558840</v>
      </c>
      <c r="AC829" s="179"/>
      <c r="AD829" s="180"/>
      <c r="AE829" s="180"/>
      <c r="AF829" s="180">
        <f>++A5</f>
        <v>2016</v>
      </c>
      <c r="AG829" s="180"/>
      <c r="AH829" s="180"/>
      <c r="AI829" s="180"/>
      <c r="AJ829" s="180"/>
      <c r="AK829" s="180"/>
      <c r="AL829" s="180"/>
      <c r="AM829" s="180"/>
      <c r="AN829" s="180"/>
      <c r="AO829" s="180"/>
      <c r="AP829" s="180"/>
      <c r="AQ829" s="180"/>
      <c r="AR829" s="180"/>
      <c r="AS829" s="180"/>
      <c r="AT829" s="306"/>
    </row>
    <row r="830" spans="1:46" ht="16.5" customHeight="1" thickBot="1" x14ac:dyDescent="0.35">
      <c r="A830" s="34"/>
      <c r="B830" s="100"/>
      <c r="C830" s="100"/>
      <c r="D830" s="100"/>
      <c r="E830" s="100"/>
      <c r="F830" s="100"/>
      <c r="G830" s="100"/>
      <c r="H830" s="100"/>
      <c r="I830" s="100"/>
      <c r="J830" s="100"/>
      <c r="K830" s="100"/>
      <c r="L830" s="100"/>
      <c r="M830" s="100"/>
      <c r="N830" s="100"/>
      <c r="O830" s="100"/>
      <c r="P830" s="100"/>
      <c r="Q830" s="100"/>
      <c r="R830" s="64"/>
      <c r="AC830" s="179"/>
      <c r="AD830" s="180"/>
      <c r="AE830" s="180"/>
      <c r="AF830" s="180"/>
      <c r="AG830" s="180"/>
      <c r="AH830" s="180"/>
      <c r="AI830" s="180"/>
      <c r="AJ830" s="180"/>
      <c r="AK830" s="180"/>
      <c r="AL830" s="180"/>
      <c r="AM830" s="180"/>
      <c r="AN830" s="180"/>
      <c r="AO830" s="180"/>
      <c r="AP830" s="180"/>
      <c r="AQ830" s="180"/>
      <c r="AR830" s="180"/>
      <c r="AS830" s="180"/>
      <c r="AT830" s="306"/>
    </row>
    <row r="831" spans="1:46" ht="16.5" customHeight="1" thickBot="1" x14ac:dyDescent="0.35">
      <c r="A831" s="171" t="s">
        <v>634</v>
      </c>
      <c r="B831" s="172">
        <f>+B809</f>
        <v>1470</v>
      </c>
      <c r="C831" s="172">
        <f>+C809</f>
        <v>2020</v>
      </c>
      <c r="D831" s="172">
        <f>+D809</f>
        <v>6280</v>
      </c>
      <c r="E831" s="100">
        <f>+SUM(B831:D831)</f>
        <v>9770</v>
      </c>
      <c r="F831" s="172">
        <f>+F809</f>
        <v>10220</v>
      </c>
      <c r="G831" s="172">
        <f>+G809</f>
        <v>4980</v>
      </c>
      <c r="H831" s="172">
        <f>+H809</f>
        <v>15323</v>
      </c>
      <c r="I831" s="100">
        <f>+SUM(F831:H831)</f>
        <v>30523</v>
      </c>
      <c r="J831" s="172">
        <f>+J809</f>
        <v>8055</v>
      </c>
      <c r="K831" s="172">
        <f>+K809</f>
        <v>10150</v>
      </c>
      <c r="L831" s="172">
        <f>+L809</f>
        <v>6677</v>
      </c>
      <c r="M831" s="100">
        <f>+SUM(J831:L831)</f>
        <v>24882</v>
      </c>
      <c r="N831" s="172">
        <f>+N809</f>
        <v>10457</v>
      </c>
      <c r="O831" s="172">
        <f>+O809</f>
        <v>10295</v>
      </c>
      <c r="P831" s="172">
        <f>+P809</f>
        <v>9596</v>
      </c>
      <c r="Q831" s="100">
        <f>+SUM(N831:P831)</f>
        <v>30348</v>
      </c>
      <c r="R831" s="64">
        <f>+E831+I831+M831+Q831</f>
        <v>95523</v>
      </c>
      <c r="AC831" s="179"/>
      <c r="AD831" s="180"/>
      <c r="AE831" s="180"/>
      <c r="AF831" s="180"/>
      <c r="AG831" s="180"/>
      <c r="AH831" s="180"/>
      <c r="AI831" s="182" t="s">
        <v>635</v>
      </c>
      <c r="AJ831" s="180"/>
      <c r="AK831" s="180"/>
      <c r="AL831" s="180"/>
      <c r="AM831" s="180"/>
      <c r="AN831" s="180"/>
      <c r="AO831" s="180"/>
      <c r="AP831" s="180"/>
      <c r="AQ831" s="180"/>
      <c r="AR831" s="180"/>
      <c r="AS831" s="180"/>
      <c r="AT831" s="306"/>
    </row>
    <row r="832" spans="1:46" ht="16.5" customHeight="1" thickBot="1" x14ac:dyDescent="0.35">
      <c r="A832" s="34"/>
      <c r="B832" s="100"/>
      <c r="C832" s="100"/>
      <c r="D832" s="100"/>
      <c r="E832" s="100"/>
      <c r="F832" s="100"/>
      <c r="G832" s="100"/>
      <c r="H832" s="100"/>
      <c r="I832" s="100"/>
      <c r="J832" s="100"/>
      <c r="K832" s="100"/>
      <c r="L832" s="100"/>
      <c r="M832" s="100"/>
      <c r="N832" s="100"/>
      <c r="O832" s="100"/>
      <c r="P832" s="100"/>
      <c r="Q832" s="100"/>
      <c r="R832" s="64"/>
      <c r="AC832" s="179"/>
      <c r="AD832" s="180" t="s">
        <v>633</v>
      </c>
      <c r="AE832" s="180"/>
      <c r="AF832" s="182" t="s">
        <v>636</v>
      </c>
      <c r="AG832" s="182" t="s">
        <v>636</v>
      </c>
      <c r="AH832" s="182" t="s">
        <v>637</v>
      </c>
      <c r="AI832" s="182" t="s">
        <v>638</v>
      </c>
      <c r="AJ832" s="182" t="s">
        <v>639</v>
      </c>
      <c r="AK832" s="182" t="s">
        <v>640</v>
      </c>
      <c r="AL832" s="182" t="s">
        <v>641</v>
      </c>
      <c r="AM832" s="180" t="s">
        <v>633</v>
      </c>
      <c r="AN832" s="182" t="s">
        <v>642</v>
      </c>
      <c r="AO832" s="182" t="s">
        <v>642</v>
      </c>
      <c r="AP832" s="182" t="s">
        <v>642</v>
      </c>
      <c r="AQ832" s="180"/>
      <c r="AR832" s="180"/>
      <c r="AS832" s="180"/>
      <c r="AT832" s="306"/>
    </row>
    <row r="833" spans="1:46" ht="16.5" customHeight="1" thickBot="1" x14ac:dyDescent="0.4">
      <c r="A833" s="34" t="s">
        <v>643</v>
      </c>
      <c r="B833" s="107">
        <f t="shared" ref="B833:R833" si="125">+SUM(B825:B831)</f>
        <v>67529</v>
      </c>
      <c r="C833" s="107">
        <f t="shared" si="125"/>
        <v>83864</v>
      </c>
      <c r="D833" s="107">
        <f t="shared" si="125"/>
        <v>133967</v>
      </c>
      <c r="E833" s="107">
        <f t="shared" si="125"/>
        <v>285360</v>
      </c>
      <c r="F833" s="107">
        <f t="shared" si="125"/>
        <v>165761</v>
      </c>
      <c r="G833" s="107">
        <f t="shared" si="125"/>
        <v>171644</v>
      </c>
      <c r="H833" s="107">
        <f t="shared" si="125"/>
        <v>189759</v>
      </c>
      <c r="I833" s="107">
        <f t="shared" si="125"/>
        <v>527164</v>
      </c>
      <c r="J833" s="107">
        <f t="shared" si="125"/>
        <v>181672</v>
      </c>
      <c r="K833" s="107">
        <f t="shared" si="125"/>
        <v>166084</v>
      </c>
      <c r="L833" s="107">
        <f t="shared" si="125"/>
        <v>110862</v>
      </c>
      <c r="M833" s="107">
        <f t="shared" si="125"/>
        <v>458618</v>
      </c>
      <c r="N833" s="107">
        <f t="shared" si="125"/>
        <v>82494</v>
      </c>
      <c r="O833" s="107">
        <f t="shared" si="125"/>
        <v>63134</v>
      </c>
      <c r="P833" s="107">
        <f t="shared" si="125"/>
        <v>63672</v>
      </c>
      <c r="Q833" s="107">
        <f t="shared" si="125"/>
        <v>209300</v>
      </c>
      <c r="R833" s="183">
        <f t="shared" si="125"/>
        <v>1480442</v>
      </c>
      <c r="AC833" s="179"/>
      <c r="AD833" s="182" t="s">
        <v>644</v>
      </c>
      <c r="AE833" s="182" t="s">
        <v>645</v>
      </c>
      <c r="AF833" s="182" t="s">
        <v>646</v>
      </c>
      <c r="AG833" s="182" t="s">
        <v>646</v>
      </c>
      <c r="AH833" s="182" t="s">
        <v>647</v>
      </c>
      <c r="AI833" s="184" t="s">
        <v>648</v>
      </c>
      <c r="AJ833" s="182" t="s">
        <v>649</v>
      </c>
      <c r="AK833" s="182" t="s">
        <v>650</v>
      </c>
      <c r="AL833" s="182" t="s">
        <v>651</v>
      </c>
      <c r="AM833" s="180" t="s">
        <v>633</v>
      </c>
      <c r="AN833" s="182" t="s">
        <v>652</v>
      </c>
      <c r="AO833" s="182" t="s">
        <v>648</v>
      </c>
      <c r="AP833" s="182" t="s">
        <v>653</v>
      </c>
      <c r="AQ833" s="180"/>
      <c r="AR833" s="180"/>
      <c r="AS833" s="180"/>
      <c r="AT833" s="306"/>
    </row>
    <row r="834" spans="1:46" ht="15.75" customHeight="1" x14ac:dyDescent="0.35">
      <c r="A834" s="185"/>
      <c r="B834" s="186"/>
      <c r="C834" s="186"/>
      <c r="D834" s="186"/>
      <c r="E834" s="186"/>
      <c r="F834" s="186"/>
      <c r="G834" s="186"/>
      <c r="H834" s="187" t="s">
        <v>654</v>
      </c>
      <c r="I834" s="186"/>
      <c r="J834" s="186"/>
      <c r="K834" s="186"/>
      <c r="L834" s="186"/>
      <c r="M834" s="186"/>
      <c r="N834" s="186"/>
      <c r="O834" s="186"/>
      <c r="P834" s="186"/>
      <c r="Q834" s="186"/>
      <c r="R834" s="186"/>
      <c r="AC834" s="179"/>
      <c r="AD834" s="182" t="s">
        <v>127</v>
      </c>
      <c r="AE834" s="182" t="s">
        <v>655</v>
      </c>
      <c r="AF834" s="182" t="s">
        <v>656</v>
      </c>
      <c r="AG834" s="182" t="s">
        <v>657</v>
      </c>
      <c r="AH834" s="182" t="s">
        <v>658</v>
      </c>
      <c r="AI834" s="182" t="s">
        <v>658</v>
      </c>
      <c r="AJ834" s="182" t="s">
        <v>658</v>
      </c>
      <c r="AK834" s="182" t="s">
        <v>658</v>
      </c>
      <c r="AL834" s="182" t="s">
        <v>659</v>
      </c>
      <c r="AM834" s="180" t="s">
        <v>633</v>
      </c>
      <c r="AN834" s="182" t="s">
        <v>660</v>
      </c>
      <c r="AO834" s="182" t="s">
        <v>661</v>
      </c>
      <c r="AP834" s="182" t="s">
        <v>661</v>
      </c>
      <c r="AQ834" s="180"/>
      <c r="AR834" s="180"/>
      <c r="AS834" s="180"/>
      <c r="AT834" s="306"/>
    </row>
    <row r="835" spans="1:46" ht="15.75" customHeight="1" x14ac:dyDescent="0.35">
      <c r="A835" s="185"/>
      <c r="B835" s="186"/>
      <c r="C835" s="186"/>
      <c r="D835" s="186"/>
      <c r="E835" s="186"/>
      <c r="F835" s="186"/>
      <c r="G835" s="186"/>
      <c r="H835" s="187"/>
      <c r="I835" s="186"/>
      <c r="J835" s="186"/>
      <c r="K835" s="186"/>
      <c r="L835" s="186"/>
      <c r="M835" s="186"/>
      <c r="N835" s="186"/>
      <c r="O835" s="186"/>
      <c r="P835" s="186"/>
      <c r="Q835" s="186"/>
      <c r="R835" s="186"/>
      <c r="AC835" s="179"/>
      <c r="AD835" s="182" t="s">
        <v>662</v>
      </c>
      <c r="AE835" s="182" t="s">
        <v>663</v>
      </c>
      <c r="AF835" s="182" t="s">
        <v>664</v>
      </c>
      <c r="AG835" s="182" t="s">
        <v>664</v>
      </c>
      <c r="AH835" s="182" t="s">
        <v>664</v>
      </c>
      <c r="AI835" s="182" t="s">
        <v>664</v>
      </c>
      <c r="AJ835" s="182" t="s">
        <v>664</v>
      </c>
      <c r="AK835" s="182" t="s">
        <v>664</v>
      </c>
      <c r="AL835" s="182" t="s">
        <v>664</v>
      </c>
      <c r="AM835" s="180" t="s">
        <v>633</v>
      </c>
      <c r="AN835" s="182" t="s">
        <v>665</v>
      </c>
      <c r="AO835" s="182" t="s">
        <v>665</v>
      </c>
      <c r="AP835" s="182" t="s">
        <v>665</v>
      </c>
      <c r="AQ835" s="180"/>
      <c r="AR835" s="180"/>
      <c r="AS835" s="180"/>
      <c r="AT835" s="306"/>
    </row>
    <row r="836" spans="1:46" ht="15.75" customHeight="1" thickBot="1" x14ac:dyDescent="0.4">
      <c r="A836" s="185"/>
      <c r="B836" s="186"/>
      <c r="C836" s="186"/>
      <c r="D836" s="186"/>
      <c r="E836" s="186"/>
      <c r="F836" s="186"/>
      <c r="G836" s="186"/>
      <c r="H836" s="187"/>
      <c r="I836" s="186"/>
      <c r="J836" s="186"/>
      <c r="K836" s="186"/>
      <c r="L836" s="186"/>
      <c r="M836" s="186"/>
      <c r="N836" s="186"/>
      <c r="O836" s="186"/>
      <c r="P836" s="186"/>
      <c r="Q836" s="186"/>
      <c r="R836" s="186"/>
      <c r="AC836" s="179"/>
      <c r="AD836" s="180" t="s">
        <v>666</v>
      </c>
      <c r="AE836" s="180" t="s">
        <v>666</v>
      </c>
      <c r="AF836" s="180" t="s">
        <v>666</v>
      </c>
      <c r="AG836" s="180" t="s">
        <v>666</v>
      </c>
      <c r="AH836" s="180" t="s">
        <v>666</v>
      </c>
      <c r="AI836" s="180" t="s">
        <v>666</v>
      </c>
      <c r="AJ836" s="180" t="s">
        <v>666</v>
      </c>
      <c r="AK836" s="180" t="s">
        <v>666</v>
      </c>
      <c r="AL836" s="180" t="s">
        <v>666</v>
      </c>
      <c r="AM836" s="180" t="s">
        <v>633</v>
      </c>
      <c r="AN836" s="180" t="s">
        <v>666</v>
      </c>
      <c r="AO836" s="180" t="s">
        <v>666</v>
      </c>
      <c r="AP836" s="180" t="s">
        <v>666</v>
      </c>
      <c r="AQ836" s="180"/>
      <c r="AR836" s="180"/>
      <c r="AS836" s="180"/>
      <c r="AT836" s="306"/>
    </row>
    <row r="837" spans="1:46" ht="15.75" customHeight="1" x14ac:dyDescent="0.3">
      <c r="A837" s="188"/>
      <c r="B837" s="387" t="s">
        <v>667</v>
      </c>
      <c r="C837" s="387"/>
      <c r="D837" s="387"/>
      <c r="E837" s="387"/>
      <c r="F837" s="387"/>
      <c r="G837" s="387"/>
      <c r="H837" s="387"/>
      <c r="I837" s="387"/>
      <c r="J837" s="387"/>
      <c r="K837" s="387"/>
      <c r="L837" s="387"/>
      <c r="M837" s="387"/>
      <c r="N837" s="387"/>
      <c r="O837" s="387"/>
      <c r="P837" s="387"/>
      <c r="Q837" s="177" t="str">
        <f>+Q1</f>
        <v xml:space="preserve">PRINTED:  </v>
      </c>
      <c r="R837" s="178">
        <f ca="1">+R1</f>
        <v>44894.658168518516</v>
      </c>
      <c r="AC837" s="189" t="s">
        <v>668</v>
      </c>
      <c r="AD837" s="180">
        <f t="shared" ref="AD837:AD848" si="126">(F846)</f>
        <v>75000</v>
      </c>
      <c r="AE837" s="180">
        <f t="shared" ref="AE837:AE848" si="127">SUM($B$901:$E$901)+(T846-1526.8)/0.7702</f>
        <v>1634.1964548414007</v>
      </c>
      <c r="AF837" s="180">
        <f>(AD837*AE837/1000)</f>
        <v>122564.73411310506</v>
      </c>
      <c r="AG837" s="180">
        <f t="shared" ref="AG837:AG848" si="128">(((B846-F846)*B$901)+((C846-F846)*C$901)+((D846-F846)*D$901)+((E846-F846)*E$901))/1000</f>
        <v>96911.546000000002</v>
      </c>
      <c r="AH837" s="180">
        <f>(AF837+AG837)</f>
        <v>219476.28011310508</v>
      </c>
      <c r="AI837" s="180">
        <f t="shared" ref="AI837:AI848" si="129">SUM(H903:Q903)</f>
        <v>28728</v>
      </c>
      <c r="AJ837" s="180">
        <f>+AH837+AI837</f>
        <v>248204.28011310508</v>
      </c>
      <c r="AK837" s="180">
        <f t="shared" ref="AK837:AK844" si="130">(G931)</f>
        <v>0</v>
      </c>
      <c r="AL837" s="180">
        <f t="shared" ref="AL837:AL848" si="131">(AJ837-AK837)</f>
        <v>248204.28011310508</v>
      </c>
      <c r="AM837" s="180" t="s">
        <v>633</v>
      </c>
      <c r="AN837" s="180">
        <f>+B846/31/1.98</f>
        <v>2334.1153470185732</v>
      </c>
      <c r="AO837" s="180">
        <f>(AD837*43560/31/24/3600)</f>
        <v>1219.758064516129</v>
      </c>
      <c r="AP837" s="180">
        <f>+B302</f>
        <v>0</v>
      </c>
      <c r="AQ837" s="180"/>
      <c r="AR837" s="180"/>
      <c r="AS837" s="180"/>
      <c r="AT837" s="306"/>
    </row>
    <row r="838" spans="1:46" ht="15.75" customHeight="1" x14ac:dyDescent="0.3">
      <c r="A838" s="189"/>
      <c r="B838" s="394" t="str">
        <f>+A8</f>
        <v>Revised:  12/8/2015</v>
      </c>
      <c r="C838" s="394"/>
      <c r="D838" s="394"/>
      <c r="E838" s="394"/>
      <c r="F838" s="394"/>
      <c r="G838" s="394"/>
      <c r="H838" s="394"/>
      <c r="I838" s="394"/>
      <c r="J838" s="394"/>
      <c r="K838" s="394"/>
      <c r="L838" s="394"/>
      <c r="M838" s="394"/>
      <c r="N838" s="394"/>
      <c r="O838" s="394"/>
      <c r="P838" s="394"/>
      <c r="Q838" s="180"/>
      <c r="R838" s="306"/>
      <c r="AC838" s="189" t="s">
        <v>669</v>
      </c>
      <c r="AD838" s="180">
        <f t="shared" si="126"/>
        <v>11000</v>
      </c>
      <c r="AE838" s="180">
        <f t="shared" si="127"/>
        <v>1636.1395384239643</v>
      </c>
      <c r="AF838" s="180">
        <f>(AD838*AE838/1000)</f>
        <v>17997.534922663606</v>
      </c>
      <c r="AG838" s="180">
        <f t="shared" si="128"/>
        <v>123145.693</v>
      </c>
      <c r="AH838" s="180">
        <f t="shared" ref="AH838:AH848" si="132">(AF838+AG838)</f>
        <v>141143.22792266362</v>
      </c>
      <c r="AI838" s="180">
        <f t="shared" si="129"/>
        <v>31616</v>
      </c>
      <c r="AJ838" s="180">
        <f t="shared" ref="AJ838:AJ848" si="133">+AH838+AI838</f>
        <v>172759.22792266362</v>
      </c>
      <c r="AK838" s="180">
        <f t="shared" si="130"/>
        <v>0</v>
      </c>
      <c r="AL838" s="180">
        <f t="shared" si="131"/>
        <v>172759.22792266362</v>
      </c>
      <c r="AM838" s="180" t="s">
        <v>633</v>
      </c>
      <c r="AN838" s="180">
        <f>+B847/28/1.98</f>
        <v>1763.9610389610391</v>
      </c>
      <c r="AO838" s="180">
        <f>(AD838*43560/29/24/3600)</f>
        <v>191.23563218390805</v>
      </c>
      <c r="AP838" s="180">
        <f>+C302</f>
        <v>0</v>
      </c>
      <c r="AQ838" s="180"/>
      <c r="AR838" s="180"/>
      <c r="AS838" s="180"/>
      <c r="AT838" s="306"/>
    </row>
    <row r="839" spans="1:46" ht="15.75" customHeight="1" x14ac:dyDescent="0.3">
      <c r="A839" s="189"/>
      <c r="B839" s="394" t="s">
        <v>670</v>
      </c>
      <c r="C839" s="394"/>
      <c r="D839" s="394"/>
      <c r="E839" s="394"/>
      <c r="F839" s="394"/>
      <c r="G839" s="394"/>
      <c r="H839" s="394"/>
      <c r="I839" s="394"/>
      <c r="J839" s="394"/>
      <c r="K839" s="394"/>
      <c r="L839" s="394"/>
      <c r="M839" s="394"/>
      <c r="N839" s="394"/>
      <c r="O839" s="394"/>
      <c r="P839" s="394"/>
      <c r="Q839" s="180"/>
      <c r="R839" s="306"/>
      <c r="AC839" s="189" t="s">
        <v>671</v>
      </c>
      <c r="AD839" s="180">
        <f t="shared" si="126"/>
        <v>2000</v>
      </c>
      <c r="AE839" s="180">
        <f t="shared" si="127"/>
        <v>1636.3077826180397</v>
      </c>
      <c r="AF839" s="180">
        <f t="shared" ref="AF839:AF848" si="134">(AD839*AE839/1000)</f>
        <v>3272.6155652360794</v>
      </c>
      <c r="AG839" s="180">
        <f t="shared" si="128"/>
        <v>196284.484</v>
      </c>
      <c r="AH839" s="180">
        <f t="shared" si="132"/>
        <v>199557.09956523607</v>
      </c>
      <c r="AI839" s="180">
        <f t="shared" si="129"/>
        <v>41597</v>
      </c>
      <c r="AJ839" s="180">
        <f t="shared" si="133"/>
        <v>241154.09956523607</v>
      </c>
      <c r="AK839" s="180">
        <f t="shared" si="130"/>
        <v>0</v>
      </c>
      <c r="AL839" s="180">
        <f t="shared" si="131"/>
        <v>241154.09956523607</v>
      </c>
      <c r="AM839" s="180" t="s">
        <v>633</v>
      </c>
      <c r="AN839" s="180">
        <f>+B848/31/1.98</f>
        <v>2292.538286086673</v>
      </c>
      <c r="AO839" s="180">
        <f>(AD839*43560/31/24/3600)</f>
        <v>32.526881720430104</v>
      </c>
      <c r="AP839" s="180">
        <f>+D302</f>
        <v>0</v>
      </c>
      <c r="AQ839" s="180"/>
      <c r="AR839" s="180"/>
      <c r="AS839" s="180"/>
      <c r="AT839" s="306"/>
    </row>
    <row r="840" spans="1:46" ht="15.75" customHeight="1" x14ac:dyDescent="0.3">
      <c r="A840" s="189"/>
      <c r="B840" s="394"/>
      <c r="C840" s="394"/>
      <c r="D840" s="394"/>
      <c r="E840" s="394"/>
      <c r="F840" s="394"/>
      <c r="G840" s="394"/>
      <c r="H840" s="394"/>
      <c r="I840" s="394"/>
      <c r="J840" s="394"/>
      <c r="K840" s="394"/>
      <c r="L840" s="394"/>
      <c r="M840" s="394"/>
      <c r="N840" s="394"/>
      <c r="O840" s="394"/>
      <c r="P840" s="394"/>
      <c r="Q840" s="180"/>
      <c r="R840" s="306"/>
      <c r="AC840" s="189" t="s">
        <v>672</v>
      </c>
      <c r="AD840" s="180">
        <f t="shared" si="126"/>
        <v>7000</v>
      </c>
      <c r="AE840" s="180">
        <f t="shared" si="127"/>
        <v>1636.8193114886758</v>
      </c>
      <c r="AF840" s="180">
        <f t="shared" si="134"/>
        <v>11457.73518042073</v>
      </c>
      <c r="AG840" s="180">
        <f t="shared" si="128"/>
        <v>236785.81</v>
      </c>
      <c r="AH840" s="180">
        <f t="shared" si="132"/>
        <v>248243.54518042074</v>
      </c>
      <c r="AI840" s="180">
        <f t="shared" si="129"/>
        <v>44782</v>
      </c>
      <c r="AJ840" s="180">
        <f t="shared" si="133"/>
        <v>293025.54518042074</v>
      </c>
      <c r="AK840" s="180">
        <f t="shared" si="130"/>
        <v>0</v>
      </c>
      <c r="AL840" s="180">
        <f t="shared" si="131"/>
        <v>293025.54518042074</v>
      </c>
      <c r="AM840" s="180" t="s">
        <v>633</v>
      </c>
      <c r="AN840" s="180">
        <f>+B849/30/1.98</f>
        <v>2937.9461279461279</v>
      </c>
      <c r="AO840" s="180">
        <f>(AD840*43560/30/24/3600)</f>
        <v>117.63888888888889</v>
      </c>
      <c r="AP840" s="180">
        <f>+F302</f>
        <v>0</v>
      </c>
      <c r="AQ840" s="180"/>
      <c r="AR840" s="180"/>
      <c r="AS840" s="180"/>
      <c r="AT840" s="306"/>
    </row>
    <row r="841" spans="1:46" ht="15.75" customHeight="1" x14ac:dyDescent="0.3">
      <c r="A841" s="189"/>
      <c r="B841" s="395">
        <f>+A5</f>
        <v>2016</v>
      </c>
      <c r="C841" s="395"/>
      <c r="D841" s="395"/>
      <c r="E841" s="395"/>
      <c r="F841" s="395"/>
      <c r="G841" s="395"/>
      <c r="H841" s="395"/>
      <c r="I841" s="395"/>
      <c r="J841" s="395"/>
      <c r="K841" s="395"/>
      <c r="L841" s="395"/>
      <c r="M841" s="395"/>
      <c r="N841" s="395"/>
      <c r="O841" s="395"/>
      <c r="P841" s="395"/>
      <c r="Q841" s="180"/>
      <c r="R841" s="306"/>
      <c r="AC841" s="189" t="s">
        <v>673</v>
      </c>
      <c r="AD841" s="180">
        <f t="shared" si="126"/>
        <v>8000</v>
      </c>
      <c r="AE841" s="180">
        <f t="shared" si="127"/>
        <v>1636.8980205853591</v>
      </c>
      <c r="AF841" s="180">
        <f t="shared" si="134"/>
        <v>13095.184164682873</v>
      </c>
      <c r="AG841" s="180">
        <f t="shared" si="128"/>
        <v>243283.16800000001</v>
      </c>
      <c r="AH841" s="180">
        <f t="shared" si="132"/>
        <v>256378.35216468287</v>
      </c>
      <c r="AI841" s="180">
        <f t="shared" si="129"/>
        <v>41436</v>
      </c>
      <c r="AJ841" s="180">
        <f t="shared" si="133"/>
        <v>297814.35216468287</v>
      </c>
      <c r="AK841" s="180">
        <f t="shared" si="130"/>
        <v>0</v>
      </c>
      <c r="AL841" s="180">
        <f t="shared" si="131"/>
        <v>297814.35216468287</v>
      </c>
      <c r="AM841" s="180" t="s">
        <v>633</v>
      </c>
      <c r="AN841" s="180">
        <f>+B850/31/1.98</f>
        <v>2932.8282828282827</v>
      </c>
      <c r="AO841" s="180">
        <f>(AD841*43560/31/24/3600)</f>
        <v>130.10752688172042</v>
      </c>
      <c r="AP841" s="180">
        <f>+G302</f>
        <v>0</v>
      </c>
      <c r="AQ841" s="180"/>
      <c r="AR841" s="180"/>
      <c r="AS841" s="180"/>
      <c r="AT841" s="306"/>
    </row>
    <row r="842" spans="1:46" ht="15.75" customHeight="1" x14ac:dyDescent="0.3">
      <c r="A842" s="189"/>
      <c r="B842" s="394" t="s">
        <v>674</v>
      </c>
      <c r="C842" s="394"/>
      <c r="D842" s="394"/>
      <c r="E842" s="394"/>
      <c r="F842" s="394"/>
      <c r="G842" s="394"/>
      <c r="H842" s="394"/>
      <c r="I842" s="394"/>
      <c r="J842" s="394"/>
      <c r="K842" s="394"/>
      <c r="L842" s="394"/>
      <c r="M842" s="394"/>
      <c r="N842" s="394"/>
      <c r="O842" s="394"/>
      <c r="P842" s="394"/>
      <c r="Q842" s="180"/>
      <c r="R842" s="306"/>
      <c r="AC842" s="189" t="s">
        <v>675</v>
      </c>
      <c r="AD842" s="180">
        <f t="shared" si="126"/>
        <v>0</v>
      </c>
      <c r="AE842" s="180">
        <f t="shared" si="127"/>
        <v>1618.5277240515893</v>
      </c>
      <c r="AF842" s="180">
        <f t="shared" si="134"/>
        <v>0</v>
      </c>
      <c r="AG842" s="180">
        <f t="shared" si="128"/>
        <v>109246.527</v>
      </c>
      <c r="AH842" s="180">
        <f t="shared" si="132"/>
        <v>109246.527</v>
      </c>
      <c r="AI842" s="180">
        <f t="shared" si="129"/>
        <v>46364</v>
      </c>
      <c r="AJ842" s="180">
        <f t="shared" si="133"/>
        <v>155610.527</v>
      </c>
      <c r="AK842" s="180">
        <f t="shared" si="130"/>
        <v>14378.407308751861</v>
      </c>
      <c r="AL842" s="180">
        <f t="shared" si="131"/>
        <v>141232.11969124814</v>
      </c>
      <c r="AM842" s="180" t="s">
        <v>633</v>
      </c>
      <c r="AN842" s="180">
        <f>+B851/30/1.98</f>
        <v>1312.6262626262626</v>
      </c>
      <c r="AO842" s="180">
        <f t="shared" ref="AO842:AO847" si="135">(AD842*43560/30/24/3600)</f>
        <v>0</v>
      </c>
      <c r="AP842" s="180">
        <f>+H302</f>
        <v>-1916.2884518406454</v>
      </c>
      <c r="AQ842" s="180"/>
      <c r="AR842" s="180"/>
      <c r="AS842" s="180"/>
      <c r="AT842" s="306"/>
    </row>
    <row r="843" spans="1:46" ht="15.75" customHeight="1" x14ac:dyDescent="0.3">
      <c r="A843" s="189"/>
      <c r="B843" s="180"/>
      <c r="C843" s="180"/>
      <c r="D843" s="180"/>
      <c r="E843" s="180"/>
      <c r="F843" s="180"/>
      <c r="G843" s="180"/>
      <c r="H843" s="180"/>
      <c r="I843" s="180"/>
      <c r="J843" s="180"/>
      <c r="K843" s="180"/>
      <c r="L843" s="180"/>
      <c r="M843" s="180"/>
      <c r="N843" s="180"/>
      <c r="O843" s="180"/>
      <c r="P843" s="180"/>
      <c r="Q843" s="180"/>
      <c r="R843" s="306"/>
      <c r="AC843" s="189" t="s">
        <v>676</v>
      </c>
      <c r="AD843" s="180">
        <f t="shared" si="126"/>
        <v>0</v>
      </c>
      <c r="AE843" s="180">
        <f t="shared" si="127"/>
        <v>1598.2273299776018</v>
      </c>
      <c r="AF843" s="180">
        <f t="shared" si="134"/>
        <v>0</v>
      </c>
      <c r="AG843" s="180">
        <f t="shared" si="128"/>
        <v>98562.706000000006</v>
      </c>
      <c r="AH843" s="180">
        <f t="shared" si="132"/>
        <v>98562.706000000006</v>
      </c>
      <c r="AI843" s="180">
        <f t="shared" si="129"/>
        <v>48729</v>
      </c>
      <c r="AJ843" s="180">
        <f t="shared" si="133"/>
        <v>147291.70600000001</v>
      </c>
      <c r="AK843" s="180">
        <f t="shared" si="130"/>
        <v>11794.561112443283</v>
      </c>
      <c r="AL843" s="180">
        <f t="shared" si="131"/>
        <v>135497.14488755673</v>
      </c>
      <c r="AM843" s="180" t="s">
        <v>633</v>
      </c>
      <c r="AN843" s="180">
        <f>+B852/31/1.98</f>
        <v>1147.0022808732485</v>
      </c>
      <c r="AO843" s="180">
        <f t="shared" si="135"/>
        <v>0</v>
      </c>
      <c r="AP843" s="180">
        <f>+J302</f>
        <v>-1870.7399996746537</v>
      </c>
      <c r="AQ843" s="180"/>
      <c r="AR843" s="180"/>
      <c r="AS843" s="180"/>
      <c r="AT843" s="306"/>
    </row>
    <row r="844" spans="1:46" ht="15.75" customHeight="1" thickBot="1" x14ac:dyDescent="0.35">
      <c r="A844" s="189" t="s">
        <v>647</v>
      </c>
      <c r="B844" s="191" t="s">
        <v>677</v>
      </c>
      <c r="C844" s="191" t="s">
        <v>678</v>
      </c>
      <c r="D844" s="191" t="s">
        <v>679</v>
      </c>
      <c r="E844" s="191" t="s">
        <v>680</v>
      </c>
      <c r="F844" s="191" t="s">
        <v>644</v>
      </c>
      <c r="G844" s="191" t="s">
        <v>644</v>
      </c>
      <c r="H844" s="191" t="s">
        <v>681</v>
      </c>
      <c r="I844" s="191" t="s">
        <v>682</v>
      </c>
      <c r="J844" s="191" t="s">
        <v>683</v>
      </c>
      <c r="K844" s="191" t="s">
        <v>684</v>
      </c>
      <c r="L844" s="191" t="s">
        <v>685</v>
      </c>
      <c r="M844" s="191" t="s">
        <v>686</v>
      </c>
      <c r="N844" s="191" t="s">
        <v>687</v>
      </c>
      <c r="O844" s="191" t="s">
        <v>688</v>
      </c>
      <c r="P844" s="191" t="s">
        <v>689</v>
      </c>
      <c r="Q844" s="191" t="s">
        <v>638</v>
      </c>
      <c r="R844" s="306"/>
      <c r="T844" s="52" t="s">
        <v>690</v>
      </c>
      <c r="AC844" s="189" t="s">
        <v>691</v>
      </c>
      <c r="AD844" s="180">
        <f t="shared" si="126"/>
        <v>0</v>
      </c>
      <c r="AE844" s="180">
        <f t="shared" si="127"/>
        <v>1578.4918967411525</v>
      </c>
      <c r="AF844" s="180">
        <f t="shared" si="134"/>
        <v>0</v>
      </c>
      <c r="AG844" s="180">
        <f t="shared" si="128"/>
        <v>98388.023000000001</v>
      </c>
      <c r="AH844" s="180">
        <f t="shared" si="132"/>
        <v>98388.023000000001</v>
      </c>
      <c r="AI844" s="180">
        <f t="shared" si="129"/>
        <v>43653</v>
      </c>
      <c r="AJ844" s="180">
        <f t="shared" si="133"/>
        <v>142041.02299999999</v>
      </c>
      <c r="AK844" s="180">
        <f t="shared" si="130"/>
        <v>7965.2236428086744</v>
      </c>
      <c r="AL844" s="180">
        <f t="shared" si="131"/>
        <v>134075.79935719131</v>
      </c>
      <c r="AM844" s="180" t="s">
        <v>633</v>
      </c>
      <c r="AN844" s="180">
        <f>+B853/31/1.98</f>
        <v>1144.6236559139786</v>
      </c>
      <c r="AO844" s="180">
        <f t="shared" si="135"/>
        <v>0</v>
      </c>
      <c r="AP844" s="180">
        <f>+K302</f>
        <v>-1626.730434499699</v>
      </c>
      <c r="AQ844" s="180"/>
      <c r="AR844" s="180"/>
      <c r="AS844" s="180"/>
      <c r="AT844" s="306"/>
    </row>
    <row r="845" spans="1:46" ht="15.75" customHeight="1" x14ac:dyDescent="0.3">
      <c r="A845" s="189"/>
      <c r="B845" s="180"/>
      <c r="C845" s="180"/>
      <c r="D845" s="180"/>
      <c r="E845" s="180"/>
      <c r="F845" s="182" t="s">
        <v>127</v>
      </c>
      <c r="G845" s="182" t="s">
        <v>653</v>
      </c>
      <c r="H845" s="180"/>
      <c r="I845" s="180"/>
      <c r="J845" s="180"/>
      <c r="K845" s="180"/>
      <c r="L845" s="180"/>
      <c r="M845" s="180"/>
      <c r="N845" s="180"/>
      <c r="O845" s="180"/>
      <c r="P845" s="180"/>
      <c r="Q845" s="180"/>
      <c r="R845" s="306"/>
      <c r="AC845" s="189" t="s">
        <v>692</v>
      </c>
      <c r="AD845" s="180">
        <f t="shared" si="126"/>
        <v>28000</v>
      </c>
      <c r="AE845" s="180">
        <f t="shared" si="127"/>
        <v>1584.1522652430926</v>
      </c>
      <c r="AF845" s="180">
        <f t="shared" si="134"/>
        <v>44356.263426806589</v>
      </c>
      <c r="AG845" s="180">
        <f t="shared" si="128"/>
        <v>162930.27100000001</v>
      </c>
      <c r="AH845" s="180">
        <f t="shared" si="132"/>
        <v>207286.53442680661</v>
      </c>
      <c r="AI845" s="180">
        <f t="shared" si="129"/>
        <v>35251</v>
      </c>
      <c r="AJ845" s="180">
        <f t="shared" si="133"/>
        <v>242537.53442680661</v>
      </c>
      <c r="AK845" s="180">
        <v>0</v>
      </c>
      <c r="AL845" s="180">
        <f t="shared" si="131"/>
        <v>242537.53442680661</v>
      </c>
      <c r="AM845" s="180" t="s">
        <v>633</v>
      </c>
      <c r="AN845" s="180">
        <f>+B854/30/1.98</f>
        <v>2409.93265993266</v>
      </c>
      <c r="AO845" s="180">
        <f t="shared" si="135"/>
        <v>470.55555555555554</v>
      </c>
      <c r="AP845" s="180">
        <f>+L302</f>
        <v>0</v>
      </c>
      <c r="AQ845" s="180"/>
      <c r="AR845" s="180"/>
      <c r="AS845" s="180"/>
      <c r="AT845" s="306"/>
    </row>
    <row r="846" spans="1:46" ht="15.75" customHeight="1" x14ac:dyDescent="0.3">
      <c r="A846" s="192" t="s">
        <v>8</v>
      </c>
      <c r="B846" s="180">
        <f>+B29</f>
        <v>143268</v>
      </c>
      <c r="C846" s="180">
        <f>+B64</f>
        <v>143171</v>
      </c>
      <c r="D846" s="180">
        <f>+B130</f>
        <v>143075</v>
      </c>
      <c r="E846" s="180">
        <f>+B292</f>
        <v>141432</v>
      </c>
      <c r="F846" s="180">
        <f>+B287</f>
        <v>75000</v>
      </c>
      <c r="G846" s="180">
        <f>+B299</f>
        <v>0</v>
      </c>
      <c r="H846" s="180">
        <f>+B439</f>
        <v>45924</v>
      </c>
      <c r="I846" s="180">
        <f>+B486</f>
        <v>20295</v>
      </c>
      <c r="J846" s="180">
        <f>+B529</f>
        <v>19461</v>
      </c>
      <c r="K846" s="180">
        <f>+B584</f>
        <v>18823</v>
      </c>
      <c r="L846" s="180">
        <f>+B594</f>
        <v>16906</v>
      </c>
      <c r="M846" s="180">
        <f>+B630</f>
        <v>16886</v>
      </c>
      <c r="N846" s="180">
        <f>+B677</f>
        <v>16776</v>
      </c>
      <c r="O846" s="180">
        <f>+B687</f>
        <v>3916</v>
      </c>
      <c r="P846" s="180">
        <f>+B721</f>
        <v>2600</v>
      </c>
      <c r="Q846" s="180">
        <f>+B769</f>
        <v>3914</v>
      </c>
      <c r="R846" s="306"/>
      <c r="T846" s="193">
        <f>'[1]Lake Pleasant Forecast'!B83</f>
        <v>1687.1529095188469</v>
      </c>
      <c r="AC846" s="189" t="s">
        <v>693</v>
      </c>
      <c r="AD846" s="180">
        <f t="shared" si="126"/>
        <v>48000</v>
      </c>
      <c r="AE846" s="180">
        <f t="shared" si="127"/>
        <v>1593.4986453287627</v>
      </c>
      <c r="AF846" s="180">
        <f t="shared" si="134"/>
        <v>76487.934975780605</v>
      </c>
      <c r="AG846" s="180">
        <f t="shared" si="128"/>
        <v>122445.52499999999</v>
      </c>
      <c r="AH846" s="180">
        <f t="shared" si="132"/>
        <v>198933.4599757806</v>
      </c>
      <c r="AI846" s="180">
        <f t="shared" si="129"/>
        <v>18365</v>
      </c>
      <c r="AJ846" s="180">
        <f t="shared" si="133"/>
        <v>217298.4599757806</v>
      </c>
      <c r="AK846" s="180">
        <v>0</v>
      </c>
      <c r="AL846" s="180">
        <f t="shared" si="131"/>
        <v>217298.4599757806</v>
      </c>
      <c r="AM846" s="180" t="s">
        <v>633</v>
      </c>
      <c r="AN846" s="180">
        <f>+B855/31/1.98</f>
        <v>2205.3437601824699</v>
      </c>
      <c r="AO846" s="180">
        <f t="shared" si="135"/>
        <v>806.66666666666663</v>
      </c>
      <c r="AP846" s="180">
        <f>+N302</f>
        <v>0</v>
      </c>
      <c r="AQ846" s="180"/>
      <c r="AR846" s="180"/>
      <c r="AS846" s="180"/>
      <c r="AT846" s="306"/>
    </row>
    <row r="847" spans="1:46" ht="15.75" customHeight="1" x14ac:dyDescent="0.3">
      <c r="A847" s="192" t="s">
        <v>9</v>
      </c>
      <c r="B847" s="180">
        <f>+C29</f>
        <v>97794</v>
      </c>
      <c r="C847" s="180">
        <f>+C64</f>
        <v>97646</v>
      </c>
      <c r="D847" s="180">
        <f>+C130</f>
        <v>97501</v>
      </c>
      <c r="E847" s="180">
        <f>+C292</f>
        <v>95205</v>
      </c>
      <c r="F847" s="180">
        <f>+C287</f>
        <v>11000</v>
      </c>
      <c r="G847" s="180">
        <f>+C299</f>
        <v>0</v>
      </c>
      <c r="H847" s="180">
        <f>+C439</f>
        <v>61199</v>
      </c>
      <c r="I847" s="180">
        <f>+C486</f>
        <v>21602</v>
      </c>
      <c r="J847" s="180">
        <f>+C529</f>
        <v>21041</v>
      </c>
      <c r="K847" s="180">
        <f>+C584</f>
        <v>20623</v>
      </c>
      <c r="L847" s="180">
        <f>+C594</f>
        <v>17326</v>
      </c>
      <c r="M847" s="180">
        <f>+C630</f>
        <v>17304</v>
      </c>
      <c r="N847" s="180">
        <f>+C677</f>
        <v>17143</v>
      </c>
      <c r="O847" s="180">
        <f>+C687</f>
        <v>4101</v>
      </c>
      <c r="P847" s="180">
        <f>+C721</f>
        <v>2700</v>
      </c>
      <c r="Q847" s="180">
        <f>+C769</f>
        <v>4098</v>
      </c>
      <c r="R847" s="306"/>
      <c r="T847" s="193">
        <f>'[1]Lake Pleasant Forecast'!B85</f>
        <v>1688.6494724941372</v>
      </c>
      <c r="AC847" s="189" t="s">
        <v>694</v>
      </c>
      <c r="AD847" s="180">
        <f t="shared" si="126"/>
        <v>63000</v>
      </c>
      <c r="AE847" s="180">
        <f t="shared" si="127"/>
        <v>1604.9371787909204</v>
      </c>
      <c r="AF847" s="180">
        <f t="shared" si="134"/>
        <v>101111.04226382799</v>
      </c>
      <c r="AG847" s="180">
        <f t="shared" si="128"/>
        <v>95389.618000000002</v>
      </c>
      <c r="AH847" s="180">
        <f t="shared" si="132"/>
        <v>196500.660263828</v>
      </c>
      <c r="AI847" s="180">
        <f t="shared" si="129"/>
        <v>14479</v>
      </c>
      <c r="AJ847" s="180">
        <f t="shared" si="133"/>
        <v>210979.660263828</v>
      </c>
      <c r="AK847" s="180">
        <f>(G941)</f>
        <v>0</v>
      </c>
      <c r="AL847" s="180">
        <f t="shared" si="131"/>
        <v>210979.660263828</v>
      </c>
      <c r="AM847" s="180" t="s">
        <v>633</v>
      </c>
      <c r="AN847" s="180">
        <f>+B856/30/1.98</f>
        <v>2207.7946127946129</v>
      </c>
      <c r="AO847" s="180">
        <f t="shared" si="135"/>
        <v>1058.75</v>
      </c>
      <c r="AP847" s="180">
        <f>+O302</f>
        <v>0</v>
      </c>
      <c r="AQ847" s="180"/>
      <c r="AR847" s="180"/>
      <c r="AS847" s="180"/>
      <c r="AT847" s="306"/>
    </row>
    <row r="848" spans="1:46" ht="15.75" customHeight="1" x14ac:dyDescent="0.3">
      <c r="A848" s="192" t="s">
        <v>10</v>
      </c>
      <c r="B848" s="180">
        <f>+D29</f>
        <v>140716</v>
      </c>
      <c r="C848" s="180">
        <f>+D64</f>
        <v>140442</v>
      </c>
      <c r="D848" s="180">
        <f>+D130</f>
        <v>140181</v>
      </c>
      <c r="E848" s="180">
        <f>+D292</f>
        <v>134220</v>
      </c>
      <c r="F848" s="180">
        <f>+D287</f>
        <v>2000</v>
      </c>
      <c r="G848" s="180">
        <f>+D299</f>
        <v>0</v>
      </c>
      <c r="H848" s="180">
        <f>+D439</f>
        <v>100070</v>
      </c>
      <c r="I848" s="180">
        <f>+D486</f>
        <v>35674</v>
      </c>
      <c r="J848" s="180">
        <f>+D529</f>
        <v>27544</v>
      </c>
      <c r="K848" s="180">
        <f>+D584</f>
        <v>23128</v>
      </c>
      <c r="L848" s="180">
        <f>+D594</f>
        <v>19394</v>
      </c>
      <c r="M848" s="180">
        <f>+D630</f>
        <v>19366</v>
      </c>
      <c r="N848" s="180">
        <f>+D677</f>
        <v>19152</v>
      </c>
      <c r="O848" s="180">
        <f>+D687</f>
        <v>4233</v>
      </c>
      <c r="P848" s="180">
        <f>+D721</f>
        <v>4600</v>
      </c>
      <c r="Q848" s="180">
        <f>+D769</f>
        <v>4228</v>
      </c>
      <c r="R848" s="306"/>
      <c r="T848" s="193">
        <f>'[1]Lake Pleasant Forecast'!B87</f>
        <v>1688.7790541724141</v>
      </c>
      <c r="AC848" s="189" t="s">
        <v>695</v>
      </c>
      <c r="AD848" s="180">
        <f t="shared" si="126"/>
        <v>69000</v>
      </c>
      <c r="AE848" s="180">
        <f t="shared" si="127"/>
        <v>1616.8032473385088</v>
      </c>
      <c r="AF848" s="180">
        <f t="shared" si="134"/>
        <v>111559.42406635711</v>
      </c>
      <c r="AG848" s="180">
        <f t="shared" si="128"/>
        <v>92631.9</v>
      </c>
      <c r="AH848" s="180">
        <f t="shared" si="132"/>
        <v>204191.32406635711</v>
      </c>
      <c r="AI848" s="180">
        <f t="shared" si="129"/>
        <v>24387</v>
      </c>
      <c r="AJ848" s="180">
        <f t="shared" si="133"/>
        <v>228578.32406635711</v>
      </c>
      <c r="AK848" s="180">
        <f>(G942)</f>
        <v>0</v>
      </c>
      <c r="AL848" s="180">
        <f t="shared" si="131"/>
        <v>228578.32406635711</v>
      </c>
      <c r="AM848" s="180" t="s">
        <v>633</v>
      </c>
      <c r="AN848" s="180">
        <f>+B857/31/1.98</f>
        <v>2199.0387748452263</v>
      </c>
      <c r="AO848" s="180">
        <f>(AD848*43560/31/24/3600)</f>
        <v>1122.1774193548385</v>
      </c>
      <c r="AP848" s="180">
        <f>+P302</f>
        <v>0</v>
      </c>
      <c r="AQ848" s="180"/>
      <c r="AR848" s="180"/>
      <c r="AS848" s="180"/>
      <c r="AT848" s="306"/>
    </row>
    <row r="849" spans="1:50" ht="15.75" customHeight="1" x14ac:dyDescent="0.3">
      <c r="A849" s="192" t="s">
        <v>12</v>
      </c>
      <c r="B849" s="180">
        <f>+F29</f>
        <v>174514</v>
      </c>
      <c r="C849" s="180">
        <f>+F64</f>
        <v>174147</v>
      </c>
      <c r="D849" s="180">
        <f>+F130</f>
        <v>173797</v>
      </c>
      <c r="E849" s="180">
        <f>+F292</f>
        <v>165598</v>
      </c>
      <c r="F849" s="180">
        <f>+F287</f>
        <v>7000</v>
      </c>
      <c r="G849" s="180">
        <f>+F299</f>
        <v>0</v>
      </c>
      <c r="H849" s="180">
        <f>+F439</f>
        <v>119338</v>
      </c>
      <c r="I849" s="180">
        <f>+F486</f>
        <v>38323</v>
      </c>
      <c r="J849" s="180">
        <f>+F529</f>
        <v>28123</v>
      </c>
      <c r="K849" s="180">
        <f>+F584</f>
        <v>24532</v>
      </c>
      <c r="L849" s="180">
        <f>+F594</f>
        <v>19566</v>
      </c>
      <c r="M849" s="180">
        <f>+F630</f>
        <v>19529</v>
      </c>
      <c r="N849" s="180">
        <f>+F677</f>
        <v>19311</v>
      </c>
      <c r="O849" s="180">
        <f>+F687</f>
        <v>4233</v>
      </c>
      <c r="P849" s="180">
        <f>+F721</f>
        <v>5500</v>
      </c>
      <c r="Q849" s="180">
        <f>+F769</f>
        <v>4226</v>
      </c>
      <c r="R849" s="306"/>
      <c r="T849" s="193">
        <f>'[1]Lake Pleasant Forecast'!B89</f>
        <v>1689.173033708578</v>
      </c>
      <c r="AC849" s="179"/>
      <c r="AD849" s="180"/>
      <c r="AE849" s="180"/>
      <c r="AF849" s="180"/>
      <c r="AG849" s="180"/>
      <c r="AH849" s="180"/>
      <c r="AI849" s="180"/>
      <c r="AJ849" s="180"/>
      <c r="AK849" s="180"/>
      <c r="AL849" s="180"/>
      <c r="AM849" s="180" t="s">
        <v>633</v>
      </c>
      <c r="AN849" s="180"/>
      <c r="AO849" s="180"/>
      <c r="AP849" s="180"/>
      <c r="AQ849" s="180"/>
      <c r="AR849" s="180"/>
      <c r="AS849" s="180"/>
      <c r="AT849" s="306"/>
    </row>
    <row r="850" spans="1:50" ht="15.75" customHeight="1" x14ac:dyDescent="0.3">
      <c r="A850" s="192" t="s">
        <v>13</v>
      </c>
      <c r="B850" s="180">
        <f>+G29</f>
        <v>180017</v>
      </c>
      <c r="C850" s="180">
        <f>+G64</f>
        <v>179592</v>
      </c>
      <c r="D850" s="180">
        <f>+G130</f>
        <v>179190</v>
      </c>
      <c r="E850" s="180">
        <f>+G292</f>
        <v>171545</v>
      </c>
      <c r="F850" s="180">
        <f>+G287</f>
        <v>8000</v>
      </c>
      <c r="G850" s="180">
        <f>+G299</f>
        <v>0</v>
      </c>
      <c r="H850" s="180">
        <f>+G439</f>
        <v>125012</v>
      </c>
      <c r="I850" s="180">
        <f>+G486</f>
        <v>38970</v>
      </c>
      <c r="J850" s="180">
        <f>+G529</f>
        <v>24510</v>
      </c>
      <c r="K850" s="180">
        <f>+G584</f>
        <v>20701</v>
      </c>
      <c r="L850" s="180">
        <f>+G594</f>
        <v>18279</v>
      </c>
      <c r="M850" s="180">
        <f>+G630</f>
        <v>18237</v>
      </c>
      <c r="N850" s="180">
        <f>+G677</f>
        <v>17366</v>
      </c>
      <c r="O850" s="180">
        <f>+G687</f>
        <v>1833</v>
      </c>
      <c r="P850" s="180">
        <f>+G721</f>
        <v>6100</v>
      </c>
      <c r="Q850" s="180">
        <f>+G769</f>
        <v>1825</v>
      </c>
      <c r="R850" s="306"/>
      <c r="T850" s="193">
        <f>'[1]Lake Pleasant Forecast'!B91</f>
        <v>1689.2336554548435</v>
      </c>
      <c r="AC850" s="179" t="s">
        <v>641</v>
      </c>
      <c r="AD850" s="180">
        <f>SUM(AD837:AD848)</f>
        <v>311000</v>
      </c>
      <c r="AE850" s="180"/>
      <c r="AF850" s="180">
        <f t="shared" ref="AF850:AL850" si="136">SUM(AF837:AF848)</f>
        <v>501902.4686788806</v>
      </c>
      <c r="AG850" s="180">
        <f t="shared" si="136"/>
        <v>1676005.2709999999</v>
      </c>
      <c r="AH850" s="180">
        <f t="shared" si="136"/>
        <v>2177907.7396788807</v>
      </c>
      <c r="AI850" s="180">
        <f t="shared" si="136"/>
        <v>419387</v>
      </c>
      <c r="AJ850" s="180">
        <f t="shared" si="136"/>
        <v>2597294.7396788807</v>
      </c>
      <c r="AK850" s="180">
        <f t="shared" si="136"/>
        <v>34138.192064003822</v>
      </c>
      <c r="AL850" s="180">
        <f t="shared" si="136"/>
        <v>2563156.5476148766</v>
      </c>
      <c r="AM850" s="180"/>
      <c r="AN850" s="180"/>
      <c r="AO850" s="180"/>
      <c r="AP850" s="180"/>
      <c r="AQ850" s="180"/>
      <c r="AR850" s="180"/>
      <c r="AS850" s="180"/>
      <c r="AT850" s="306"/>
    </row>
    <row r="851" spans="1:50" ht="15.75" customHeight="1" x14ac:dyDescent="0.3">
      <c r="A851" s="192" t="s">
        <v>14</v>
      </c>
      <c r="B851" s="180">
        <f>+H29</f>
        <v>77970</v>
      </c>
      <c r="C851" s="180">
        <f>+H64</f>
        <v>77553</v>
      </c>
      <c r="D851" s="180">
        <f>+H130</f>
        <v>77157</v>
      </c>
      <c r="E851" s="180">
        <f>+H292</f>
        <v>69825</v>
      </c>
      <c r="F851" s="180">
        <f>+H287</f>
        <v>0</v>
      </c>
      <c r="G851" s="180">
        <f>+H299</f>
        <v>-114000</v>
      </c>
      <c r="H851" s="180">
        <f>+H439</f>
        <v>135339</v>
      </c>
      <c r="I851" s="180">
        <f>+H486</f>
        <v>39038</v>
      </c>
      <c r="J851" s="180">
        <f>+H529</f>
        <v>28358</v>
      </c>
      <c r="K851" s="180">
        <f>+H584</f>
        <v>22571</v>
      </c>
      <c r="L851" s="180">
        <f>+H594</f>
        <v>19986</v>
      </c>
      <c r="M851" s="180">
        <f>+H630</f>
        <v>19942</v>
      </c>
      <c r="N851" s="180">
        <f>+H677</f>
        <v>19470</v>
      </c>
      <c r="O851" s="180">
        <f>+H687</f>
        <v>4284</v>
      </c>
      <c r="P851" s="180">
        <f>+H721</f>
        <v>6100</v>
      </c>
      <c r="Q851" s="180">
        <f>+H769</f>
        <v>4275</v>
      </c>
      <c r="R851" s="306"/>
      <c r="T851" s="193">
        <f>'[1]Lake Pleasant Forecast'!B93</f>
        <v>1675.0848530645339</v>
      </c>
      <c r="AC851" s="179"/>
      <c r="AD851" s="180"/>
      <c r="AE851" s="180"/>
      <c r="AF851" s="180"/>
      <c r="AG851" s="180"/>
      <c r="AH851" s="180"/>
      <c r="AI851" s="180"/>
      <c r="AJ851" s="180"/>
      <c r="AK851" s="180"/>
      <c r="AL851" s="180"/>
      <c r="AM851" s="180"/>
      <c r="AN851" s="180"/>
      <c r="AO851" s="180"/>
      <c r="AP851" s="180"/>
      <c r="AQ851" s="180"/>
      <c r="AR851" s="180"/>
      <c r="AS851" s="180"/>
      <c r="AT851" s="306"/>
    </row>
    <row r="852" spans="1:50" ht="15.75" customHeight="1" x14ac:dyDescent="0.3">
      <c r="A852" s="192" t="s">
        <v>16</v>
      </c>
      <c r="B852" s="180">
        <f>+J29</f>
        <v>70403</v>
      </c>
      <c r="C852" s="180">
        <f>+J64</f>
        <v>69987</v>
      </c>
      <c r="D852" s="180">
        <f>+J130</f>
        <v>69593</v>
      </c>
      <c r="E852" s="180">
        <f>+J292</f>
        <v>62743</v>
      </c>
      <c r="F852" s="180">
        <f>+J287</f>
        <v>0</v>
      </c>
      <c r="G852" s="180">
        <f>+J299</f>
        <v>-115000</v>
      </c>
      <c r="H852" s="180">
        <f>+J439</f>
        <v>127712</v>
      </c>
      <c r="I852" s="180">
        <f>+J486</f>
        <v>46659</v>
      </c>
      <c r="J852" s="180">
        <f>+J529</f>
        <v>31768</v>
      </c>
      <c r="K852" s="180">
        <f>+J584</f>
        <v>26807</v>
      </c>
      <c r="L852" s="180">
        <f>+J594</f>
        <v>20241</v>
      </c>
      <c r="M852" s="180">
        <f>+J630</f>
        <v>20202</v>
      </c>
      <c r="N852" s="180">
        <f>+J677</f>
        <v>18933</v>
      </c>
      <c r="O852" s="180">
        <f>+J687</f>
        <v>4353</v>
      </c>
      <c r="P852" s="180">
        <f>+J721</f>
        <v>6000</v>
      </c>
      <c r="Q852" s="180">
        <f>+J769</f>
        <v>4346</v>
      </c>
      <c r="R852" s="306"/>
      <c r="T852" s="193">
        <f>'[1]Lake Pleasant Forecast'!B95</f>
        <v>1659.4494895487489</v>
      </c>
      <c r="AC852" s="179" t="s">
        <v>696</v>
      </c>
      <c r="AD852" s="180"/>
      <c r="AE852" s="180"/>
      <c r="AF852" s="180"/>
      <c r="AG852" s="180"/>
      <c r="AH852" s="180"/>
      <c r="AI852" s="180"/>
      <c r="AJ852" s="180"/>
      <c r="AK852" s="180"/>
      <c r="AL852" s="180"/>
      <c r="AM852" s="180"/>
      <c r="AN852" s="180"/>
      <c r="AO852" s="180"/>
      <c r="AP852" s="180"/>
      <c r="AQ852" s="180"/>
      <c r="AR852" s="180"/>
      <c r="AS852" s="180"/>
      <c r="AT852" s="306"/>
    </row>
    <row r="853" spans="1:50" ht="15.75" customHeight="1" x14ac:dyDescent="0.3">
      <c r="A853" s="192" t="s">
        <v>17</v>
      </c>
      <c r="B853" s="180">
        <f>+K29</f>
        <v>70257</v>
      </c>
      <c r="C853" s="180">
        <f>+K64</f>
        <v>69923</v>
      </c>
      <c r="D853" s="180">
        <f>+K130</f>
        <v>69605</v>
      </c>
      <c r="E853" s="180">
        <f>+K292</f>
        <v>62612</v>
      </c>
      <c r="F853" s="180">
        <f>+K287</f>
        <v>0</v>
      </c>
      <c r="G853" s="180">
        <f>+K299</f>
        <v>-100000</v>
      </c>
      <c r="H853" s="180">
        <f>+K439</f>
        <v>109863</v>
      </c>
      <c r="I853" s="180">
        <f>+K486</f>
        <v>40923</v>
      </c>
      <c r="J853" s="180">
        <f>+K529</f>
        <v>27875</v>
      </c>
      <c r="K853" s="180">
        <f>+K584</f>
        <v>23472</v>
      </c>
      <c r="L853" s="180">
        <f>+K594</f>
        <v>19772</v>
      </c>
      <c r="M853" s="180">
        <f>+K630</f>
        <v>19736</v>
      </c>
      <c r="N853" s="180">
        <f>+K677</f>
        <v>18369</v>
      </c>
      <c r="O853" s="180">
        <f>+K687</f>
        <v>4292</v>
      </c>
      <c r="P853" s="180">
        <f>+K721</f>
        <v>5100</v>
      </c>
      <c r="Q853" s="180">
        <f>+K769</f>
        <v>4286</v>
      </c>
      <c r="R853" s="306"/>
      <c r="T853" s="193">
        <f>'[1]Lake Pleasant Forecast'!B97</f>
        <v>1644.2492588700356</v>
      </c>
      <c r="AC853" s="179" t="s">
        <v>697</v>
      </c>
      <c r="AD853" s="180"/>
      <c r="AE853" s="180"/>
      <c r="AF853" s="180"/>
      <c r="AG853" s="180"/>
      <c r="AH853" s="180"/>
      <c r="AI853" s="180"/>
      <c r="AJ853" s="180"/>
      <c r="AK853" s="180"/>
      <c r="AL853" s="180"/>
      <c r="AM853" s="180"/>
      <c r="AN853" s="180"/>
      <c r="AO853" s="180"/>
      <c r="AP853" s="180"/>
      <c r="AQ853" s="180"/>
      <c r="AR853" s="180"/>
      <c r="AS853" s="180"/>
      <c r="AT853" s="306"/>
    </row>
    <row r="854" spans="1:50" ht="15.75" customHeight="1" x14ac:dyDescent="0.3">
      <c r="A854" s="192" t="s">
        <v>18</v>
      </c>
      <c r="B854" s="180">
        <f>+L29</f>
        <v>143150</v>
      </c>
      <c r="C854" s="180">
        <f>+L64</f>
        <v>142834</v>
      </c>
      <c r="D854" s="180">
        <f>+L130</f>
        <v>142533</v>
      </c>
      <c r="E854" s="180">
        <f>+L292</f>
        <v>137871</v>
      </c>
      <c r="F854" s="180">
        <f>+L287</f>
        <v>28000</v>
      </c>
      <c r="G854" s="180">
        <f>+L299</f>
        <v>0</v>
      </c>
      <c r="H854" s="180">
        <f>+L439</f>
        <v>67900</v>
      </c>
      <c r="I854" s="180">
        <f>+L486</f>
        <v>26882</v>
      </c>
      <c r="J854" s="180">
        <f>+L529</f>
        <v>22766</v>
      </c>
      <c r="K854" s="180">
        <f>+L584</f>
        <v>19586</v>
      </c>
      <c r="L854" s="180">
        <f>+L594</f>
        <v>19037</v>
      </c>
      <c r="M854" s="180">
        <f>+L630</f>
        <v>19003</v>
      </c>
      <c r="N854" s="180">
        <f>+L677</f>
        <v>18536</v>
      </c>
      <c r="O854" s="180">
        <f>+L687</f>
        <v>4741</v>
      </c>
      <c r="P854" s="180">
        <f>+L721</f>
        <v>5200</v>
      </c>
      <c r="Q854" s="180">
        <f>+L769</f>
        <v>4735</v>
      </c>
      <c r="R854" s="306"/>
      <c r="T854" s="193">
        <f>'[1]Lake Pleasant Forecast'!B99</f>
        <v>1648.6088746902299</v>
      </c>
      <c r="AC854" s="179"/>
      <c r="AD854" s="180"/>
      <c r="AE854" s="180"/>
      <c r="AF854" s="180"/>
      <c r="AG854" s="180"/>
      <c r="AH854" s="180"/>
      <c r="AI854" s="180"/>
      <c r="AJ854" s="180"/>
      <c r="AK854" s="180"/>
      <c r="AL854" s="180"/>
      <c r="AM854" s="180"/>
      <c r="AN854" s="180"/>
      <c r="AO854" s="180"/>
      <c r="AP854" s="180"/>
      <c r="AQ854" s="180"/>
      <c r="AR854" s="180"/>
      <c r="AS854" s="180"/>
      <c r="AT854" s="306"/>
    </row>
    <row r="855" spans="1:50" ht="15.75" customHeight="1" x14ac:dyDescent="0.3">
      <c r="A855" s="192" t="s">
        <v>20</v>
      </c>
      <c r="B855" s="180">
        <f>+N29</f>
        <v>135364</v>
      </c>
      <c r="C855" s="180">
        <f>+N64</f>
        <v>135079</v>
      </c>
      <c r="D855" s="180">
        <f>+N130</f>
        <v>134807</v>
      </c>
      <c r="E855" s="180">
        <f>+N292</f>
        <v>126097</v>
      </c>
      <c r="F855" s="180">
        <f>+N287</f>
        <v>48000</v>
      </c>
      <c r="G855" s="180">
        <f>+N299</f>
        <v>0</v>
      </c>
      <c r="H855" s="180">
        <f>+N439</f>
        <v>43121</v>
      </c>
      <c r="I855" s="180">
        <f>+N486</f>
        <v>10878</v>
      </c>
      <c r="J855" s="180">
        <f>+N529</f>
        <v>10312</v>
      </c>
      <c r="K855" s="180">
        <f>+N584</f>
        <v>9643</v>
      </c>
      <c r="L855" s="180">
        <f>+N594</f>
        <v>8052</v>
      </c>
      <c r="M855" s="180">
        <f>+N630</f>
        <v>8023</v>
      </c>
      <c r="N855" s="180">
        <f>+N677</f>
        <v>7909</v>
      </c>
      <c r="O855" s="180">
        <f>+N687</f>
        <v>2910</v>
      </c>
      <c r="P855" s="180">
        <f>+N721</f>
        <v>5200</v>
      </c>
      <c r="Q855" s="180">
        <f>+N769</f>
        <v>2905</v>
      </c>
      <c r="R855" s="306"/>
      <c r="T855" s="193">
        <f>'[1]Lake Pleasant Forecast'!B101</f>
        <v>1655.807456632213</v>
      </c>
      <c r="AC855" s="179" t="s">
        <v>698</v>
      </c>
      <c r="AD855" s="180"/>
      <c r="AE855" s="180"/>
      <c r="AF855" s="180"/>
      <c r="AG855" s="180"/>
      <c r="AH855" s="180"/>
      <c r="AI855" s="180"/>
      <c r="AJ855" s="180"/>
      <c r="AK855" s="180"/>
      <c r="AL855" s="180"/>
      <c r="AM855" s="180"/>
      <c r="AN855" s="180"/>
      <c r="AO855" s="180"/>
      <c r="AP855" s="180"/>
      <c r="AQ855" s="180"/>
      <c r="AR855" s="180"/>
      <c r="AS855" s="180"/>
      <c r="AT855" s="306"/>
    </row>
    <row r="856" spans="1:50" ht="15.75" customHeight="1" x14ac:dyDescent="0.3">
      <c r="A856" s="192" t="s">
        <v>21</v>
      </c>
      <c r="B856" s="180">
        <f>+O29</f>
        <v>131143</v>
      </c>
      <c r="C856" s="180">
        <f>+O64</f>
        <v>130908</v>
      </c>
      <c r="D856" s="180">
        <f>+O130</f>
        <v>130682</v>
      </c>
      <c r="E856" s="180">
        <f>+O292</f>
        <v>123405</v>
      </c>
      <c r="F856" s="180">
        <f>+O287</f>
        <v>63000</v>
      </c>
      <c r="G856" s="180">
        <f>+O299</f>
        <v>0</v>
      </c>
      <c r="H856" s="180">
        <f>+O439</f>
        <v>30482</v>
      </c>
      <c r="I856" s="180">
        <f>+O486</f>
        <v>8741</v>
      </c>
      <c r="J856" s="180">
        <f>+O529</f>
        <v>7868</v>
      </c>
      <c r="K856" s="180">
        <f>+O584</f>
        <v>7730</v>
      </c>
      <c r="L856" s="180">
        <f>+O594</f>
        <v>7013</v>
      </c>
      <c r="M856" s="180">
        <f>+O630</f>
        <v>6990</v>
      </c>
      <c r="N856" s="180">
        <f>+O677</f>
        <v>6879</v>
      </c>
      <c r="O856" s="180">
        <f>+O687</f>
        <v>2037</v>
      </c>
      <c r="P856" s="180">
        <f>+O721</f>
        <v>4700</v>
      </c>
      <c r="Q856" s="180">
        <f>+O769</f>
        <v>2034</v>
      </c>
      <c r="R856" s="306"/>
      <c r="T856" s="193">
        <f>'[1]Lake Pleasant Forecast'!B103</f>
        <v>1664.6174151047669</v>
      </c>
      <c r="AC856" s="179"/>
      <c r="AD856" s="180"/>
      <c r="AE856" s="180"/>
      <c r="AF856" s="180"/>
      <c r="AG856" s="180"/>
      <c r="AH856" s="180"/>
      <c r="AI856" s="180"/>
      <c r="AJ856" s="180"/>
      <c r="AK856" s="180"/>
      <c r="AL856" s="180"/>
      <c r="AM856" s="180"/>
      <c r="AN856" s="180"/>
      <c r="AO856" s="180"/>
      <c r="AP856" s="180"/>
      <c r="AQ856" s="180"/>
      <c r="AR856" s="180"/>
      <c r="AS856" s="180"/>
      <c r="AT856" s="306"/>
    </row>
    <row r="857" spans="1:50" ht="15.75" customHeight="1" thickBot="1" x14ac:dyDescent="0.35">
      <c r="A857" s="192" t="s">
        <v>22</v>
      </c>
      <c r="B857" s="180">
        <f>+P29</f>
        <v>134977</v>
      </c>
      <c r="C857" s="180">
        <f>+P64</f>
        <v>134791</v>
      </c>
      <c r="D857" s="180">
        <f>+P130</f>
        <v>134612</v>
      </c>
      <c r="E857" s="180">
        <f>+P292</f>
        <v>128667</v>
      </c>
      <c r="F857" s="180">
        <f>+P287</f>
        <v>69000</v>
      </c>
      <c r="G857" s="180">
        <f>+P299</f>
        <v>0</v>
      </c>
      <c r="H857" s="180">
        <f>+P439</f>
        <v>36805</v>
      </c>
      <c r="I857" s="180">
        <f>+P486</f>
        <v>16462</v>
      </c>
      <c r="J857" s="180">
        <f>+P529</f>
        <v>15536</v>
      </c>
      <c r="K857" s="180">
        <f>+P584</f>
        <v>15409</v>
      </c>
      <c r="L857" s="180">
        <f>+P594</f>
        <v>14721</v>
      </c>
      <c r="M857" s="180">
        <f>+P630</f>
        <v>14702</v>
      </c>
      <c r="N857" s="180">
        <f>+P677</f>
        <v>14593</v>
      </c>
      <c r="O857" s="180">
        <f>+P687</f>
        <v>3196</v>
      </c>
      <c r="P857" s="180">
        <f>+P721</f>
        <v>4100</v>
      </c>
      <c r="Q857" s="180">
        <f>+P769</f>
        <v>3194</v>
      </c>
      <c r="R857" s="306"/>
      <c r="T857" s="193">
        <f>'[1]Lake Pleasant Forecast'!B105</f>
        <v>1673.7566611001193</v>
      </c>
      <c r="AC857" s="194" t="s">
        <v>699</v>
      </c>
      <c r="AD857" s="195"/>
      <c r="AE857" s="195"/>
      <c r="AF857" s="195"/>
      <c r="AG857" s="195"/>
      <c r="AH857" s="195"/>
      <c r="AI857" s="195"/>
      <c r="AJ857" s="195"/>
      <c r="AK857" s="195"/>
      <c r="AL857" s="195"/>
      <c r="AM857" s="195"/>
      <c r="AN857" s="195"/>
      <c r="AO857" s="195"/>
      <c r="AP857" s="195"/>
      <c r="AQ857" s="195"/>
      <c r="AR857" s="195"/>
      <c r="AS857" s="195"/>
      <c r="AT857" s="196"/>
    </row>
    <row r="858" spans="1:50" ht="15.75" customHeight="1" x14ac:dyDescent="0.3">
      <c r="A858" s="189"/>
      <c r="B858" s="180"/>
      <c r="C858" s="180"/>
      <c r="D858" s="180"/>
      <c r="E858" s="180"/>
      <c r="F858" s="180"/>
      <c r="G858" s="180"/>
      <c r="H858" s="180"/>
      <c r="I858" s="180"/>
      <c r="J858" s="180"/>
      <c r="K858" s="180"/>
      <c r="L858" s="180"/>
      <c r="M858" s="180"/>
      <c r="N858" s="180"/>
      <c r="O858" s="180"/>
      <c r="P858" s="180"/>
      <c r="Q858" s="180"/>
      <c r="R858" s="306"/>
    </row>
    <row r="859" spans="1:50" ht="15.75" customHeight="1" thickBot="1" x14ac:dyDescent="0.35">
      <c r="A859" s="189" t="s">
        <v>641</v>
      </c>
      <c r="B859" s="180">
        <f t="shared" ref="B859:Q859" si="137">SUM(B846:B857)</f>
        <v>1499573</v>
      </c>
      <c r="C859" s="180">
        <f t="shared" si="137"/>
        <v>1496073</v>
      </c>
      <c r="D859" s="180">
        <f t="shared" si="137"/>
        <v>1492733</v>
      </c>
      <c r="E859" s="180">
        <f t="shared" si="137"/>
        <v>1419220</v>
      </c>
      <c r="F859" s="180">
        <f t="shared" si="137"/>
        <v>311000</v>
      </c>
      <c r="G859" s="180">
        <f t="shared" si="137"/>
        <v>-329000</v>
      </c>
      <c r="H859" s="180">
        <f t="shared" si="137"/>
        <v>1002765</v>
      </c>
      <c r="I859" s="180">
        <f t="shared" si="137"/>
        <v>344447</v>
      </c>
      <c r="J859" s="180">
        <f t="shared" si="137"/>
        <v>265162</v>
      </c>
      <c r="K859" s="180">
        <f t="shared" si="137"/>
        <v>233025</v>
      </c>
      <c r="L859" s="180">
        <f t="shared" si="137"/>
        <v>200293</v>
      </c>
      <c r="M859" s="180">
        <f t="shared" si="137"/>
        <v>199920</v>
      </c>
      <c r="N859" s="180">
        <f t="shared" si="137"/>
        <v>194437</v>
      </c>
      <c r="O859" s="180">
        <f t="shared" si="137"/>
        <v>44129</v>
      </c>
      <c r="P859" s="180">
        <f t="shared" si="137"/>
        <v>57900</v>
      </c>
      <c r="Q859" s="180">
        <f t="shared" si="137"/>
        <v>44066</v>
      </c>
      <c r="R859" s="306"/>
    </row>
    <row r="860" spans="1:50" ht="15.75" customHeight="1" thickBot="1" x14ac:dyDescent="0.35">
      <c r="A860" s="135"/>
      <c r="B860" s="135"/>
      <c r="C860" s="135"/>
      <c r="D860" s="135"/>
      <c r="E860" s="135"/>
      <c r="F860" s="135"/>
      <c r="G860" s="135"/>
      <c r="H860" s="135"/>
      <c r="I860" s="135"/>
      <c r="J860" s="135"/>
      <c r="K860" s="135"/>
      <c r="L860" s="135"/>
      <c r="M860" s="135"/>
      <c r="N860" s="135"/>
      <c r="O860" s="135"/>
      <c r="P860" s="135"/>
      <c r="Q860" s="135"/>
      <c r="R860" s="196"/>
      <c r="AC860" s="173"/>
      <c r="AD860" s="174"/>
      <c r="AE860" s="174"/>
      <c r="AF860" s="174"/>
      <c r="AG860" s="174"/>
      <c r="AH860" s="174"/>
      <c r="AI860" s="174"/>
      <c r="AJ860" s="174"/>
      <c r="AK860" s="174"/>
      <c r="AL860" s="174"/>
      <c r="AM860" s="174"/>
      <c r="AN860" s="174"/>
      <c r="AO860" s="174"/>
      <c r="AP860" s="174"/>
      <c r="AQ860" s="174"/>
      <c r="AR860" s="174"/>
      <c r="AS860" s="177" t="str">
        <f>+Q1</f>
        <v xml:space="preserve">PRINTED:  </v>
      </c>
      <c r="AT860" s="197">
        <f ca="1">+R1</f>
        <v>44894.658168518516</v>
      </c>
      <c r="AU860" s="198"/>
      <c r="AW860" s="199" t="s">
        <v>700</v>
      </c>
      <c r="AX860" s="180"/>
    </row>
    <row r="861" spans="1:50" ht="15.75" customHeight="1" x14ac:dyDescent="0.35">
      <c r="A861" s="200"/>
      <c r="B861" s="200"/>
      <c r="C861" s="200"/>
      <c r="D861" s="200"/>
      <c r="E861" s="200"/>
      <c r="F861" s="200"/>
      <c r="G861" s="200"/>
      <c r="H861" s="200"/>
      <c r="I861" s="200"/>
      <c r="J861" s="200"/>
      <c r="K861" s="200"/>
      <c r="L861" s="200"/>
      <c r="M861" s="200"/>
      <c r="N861" s="200"/>
      <c r="O861" s="200"/>
      <c r="P861" s="200"/>
      <c r="Q861" s="200"/>
      <c r="R861" s="174"/>
      <c r="AC861" s="179"/>
      <c r="AD861" s="180"/>
      <c r="AE861" s="199" t="s">
        <v>701</v>
      </c>
      <c r="AF861" s="180"/>
      <c r="AG861" s="180"/>
      <c r="AH861" s="180"/>
      <c r="AI861" s="180"/>
      <c r="AJ861" s="180"/>
      <c r="AK861" s="180"/>
      <c r="AL861" s="180"/>
      <c r="AM861" s="180"/>
      <c r="AN861" s="201"/>
      <c r="AO861" s="199" t="s">
        <v>702</v>
      </c>
      <c r="AP861" s="180"/>
      <c r="AQ861" s="180"/>
      <c r="AR861" s="180"/>
      <c r="AS861" s="180"/>
      <c r="AT861" s="180"/>
      <c r="AU861" s="304"/>
      <c r="AW861" s="180" t="s">
        <v>703</v>
      </c>
      <c r="AX861" s="180"/>
    </row>
    <row r="862" spans="1:50" ht="16.5" customHeight="1" x14ac:dyDescent="0.3">
      <c r="A862" s="189" t="s">
        <v>7</v>
      </c>
      <c r="B862" s="180"/>
      <c r="C862" s="180"/>
      <c r="D862" s="180"/>
      <c r="E862" s="180"/>
      <c r="F862" s="180"/>
      <c r="G862" s="180"/>
      <c r="H862" s="180"/>
      <c r="I862" s="180"/>
      <c r="J862" s="180"/>
      <c r="K862" s="180"/>
      <c r="L862" s="180"/>
      <c r="M862" s="180"/>
      <c r="N862" s="180"/>
      <c r="O862" s="180"/>
      <c r="P862" s="180"/>
      <c r="Q862" s="180"/>
      <c r="R862" s="180"/>
      <c r="AC862" s="179"/>
      <c r="AD862" s="180"/>
      <c r="AE862" s="180"/>
      <c r="AF862" s="180"/>
      <c r="AG862" s="180" t="s">
        <v>7</v>
      </c>
      <c r="AH862" s="202" t="str">
        <f>+A8</f>
        <v>Revised:  12/8/2015</v>
      </c>
      <c r="AI862" s="180"/>
      <c r="AJ862" s="180"/>
      <c r="AK862" s="180"/>
      <c r="AL862" s="180"/>
      <c r="AM862" s="180"/>
      <c r="AN862" s="180"/>
      <c r="AO862" s="180"/>
      <c r="AP862" s="180"/>
      <c r="AQ862" s="180"/>
      <c r="AR862" s="180" t="s">
        <v>7</v>
      </c>
      <c r="AS862" s="202" t="str">
        <f>+A8</f>
        <v>Revised:  12/8/2015</v>
      </c>
      <c r="AT862" s="180"/>
      <c r="AU862" s="304"/>
      <c r="AW862" s="180"/>
      <c r="AX862" s="180"/>
    </row>
    <row r="863" spans="1:50" ht="15.75" customHeight="1" x14ac:dyDescent="0.3">
      <c r="A863" s="182"/>
      <c r="B863" s="180"/>
      <c r="C863" s="180"/>
      <c r="D863" s="180"/>
      <c r="E863" s="180"/>
      <c r="F863" s="180"/>
      <c r="G863" s="180"/>
      <c r="H863" s="180"/>
      <c r="I863" s="180"/>
      <c r="J863" s="180"/>
      <c r="K863" s="180"/>
      <c r="L863" s="180"/>
      <c r="M863" s="180"/>
      <c r="N863" s="180"/>
      <c r="O863" s="180"/>
      <c r="P863" s="180"/>
      <c r="Q863" s="180"/>
      <c r="R863" s="180"/>
      <c r="AC863" s="179"/>
      <c r="AD863" s="180"/>
      <c r="AE863" s="180"/>
      <c r="AF863" s="180" t="s">
        <v>704</v>
      </c>
      <c r="AG863" s="180"/>
      <c r="AH863" s="180"/>
      <c r="AI863" s="180"/>
      <c r="AJ863" s="180"/>
      <c r="AK863" s="180"/>
      <c r="AL863" s="180"/>
      <c r="AM863" s="180"/>
      <c r="AN863" s="180"/>
      <c r="AO863" s="180"/>
      <c r="AP863" s="180" t="s">
        <v>704</v>
      </c>
      <c r="AQ863" s="180"/>
      <c r="AR863" s="180"/>
      <c r="AS863" s="180"/>
      <c r="AT863" s="180"/>
      <c r="AU863" s="304"/>
      <c r="AW863" s="180" t="s">
        <v>633</v>
      </c>
      <c r="AX863" s="182" t="s">
        <v>658</v>
      </c>
    </row>
    <row r="864" spans="1:50" ht="15.75" customHeight="1" x14ac:dyDescent="0.3">
      <c r="A864" s="192"/>
      <c r="AC864" s="179"/>
      <c r="AD864" s="180"/>
      <c r="AE864" s="180"/>
      <c r="AF864" s="180"/>
      <c r="AG864" s="180"/>
      <c r="AH864" s="180"/>
      <c r="AI864" s="180"/>
      <c r="AJ864" s="180"/>
      <c r="AK864" s="180"/>
      <c r="AL864" s="180"/>
      <c r="AM864" s="180"/>
      <c r="AN864" s="180"/>
      <c r="AO864" s="180"/>
      <c r="AP864" s="180"/>
      <c r="AQ864" s="180"/>
      <c r="AR864" s="180"/>
      <c r="AS864" s="180"/>
      <c r="AT864" s="180"/>
      <c r="AU864" s="304"/>
      <c r="AW864" s="182" t="s">
        <v>658</v>
      </c>
      <c r="AX864" s="182" t="s">
        <v>655</v>
      </c>
    </row>
    <row r="865" spans="1:50" ht="15.75" customHeight="1" thickBot="1" x14ac:dyDescent="0.35">
      <c r="A865" s="192"/>
      <c r="AC865" s="179"/>
      <c r="AD865" s="180"/>
      <c r="AE865" s="180"/>
      <c r="AF865" s="180"/>
      <c r="AG865" s="180">
        <f>+A5</f>
        <v>2016</v>
      </c>
      <c r="AH865" s="180"/>
      <c r="AI865" s="180"/>
      <c r="AJ865" s="180"/>
      <c r="AK865" s="180"/>
      <c r="AL865" s="180"/>
      <c r="AM865" s="180"/>
      <c r="AN865" s="180"/>
      <c r="AO865" s="180"/>
      <c r="AP865" s="180"/>
      <c r="AQ865" s="180"/>
      <c r="AR865" s="180">
        <f>+A5</f>
        <v>2016</v>
      </c>
      <c r="AS865" s="180"/>
      <c r="AT865" s="180"/>
      <c r="AU865" s="304"/>
      <c r="AW865" s="182" t="s">
        <v>705</v>
      </c>
      <c r="AX865" s="182" t="s">
        <v>706</v>
      </c>
    </row>
    <row r="866" spans="1:50" ht="15.75" customHeight="1" x14ac:dyDescent="0.3">
      <c r="A866" s="188"/>
      <c r="B866" s="387" t="s">
        <v>707</v>
      </c>
      <c r="C866" s="387"/>
      <c r="D866" s="387"/>
      <c r="E866" s="387"/>
      <c r="F866" s="387"/>
      <c r="G866" s="387"/>
      <c r="H866" s="387"/>
      <c r="I866" s="387"/>
      <c r="J866" s="387"/>
      <c r="K866" s="387"/>
      <c r="L866" s="387"/>
      <c r="M866" s="387"/>
      <c r="N866" s="387"/>
      <c r="O866" s="387"/>
      <c r="P866" s="387"/>
      <c r="Q866" s="177" t="str">
        <f>+Q1</f>
        <v xml:space="preserve">PRINTED:  </v>
      </c>
      <c r="R866" s="178">
        <f ca="1">+R1</f>
        <v>44894.658168518516</v>
      </c>
      <c r="AC866" s="179"/>
      <c r="AD866" s="180"/>
      <c r="AE866" s="180"/>
      <c r="AF866" s="180"/>
      <c r="AG866" s="180" t="s">
        <v>708</v>
      </c>
      <c r="AH866" s="180"/>
      <c r="AI866" s="180"/>
      <c r="AJ866" s="180"/>
      <c r="AK866" s="180"/>
      <c r="AL866" s="180"/>
      <c r="AM866" s="180"/>
      <c r="AN866" s="180"/>
      <c r="AO866" s="180"/>
      <c r="AP866" s="180"/>
      <c r="AQ866" s="180"/>
      <c r="AR866" s="180" t="s">
        <v>708</v>
      </c>
      <c r="AS866" s="180"/>
      <c r="AT866" s="180"/>
      <c r="AU866" s="304"/>
      <c r="AW866" s="182" t="s">
        <v>666</v>
      </c>
      <c r="AX866" s="182" t="s">
        <v>666</v>
      </c>
    </row>
    <row r="867" spans="1:50" ht="15.75" customHeight="1" x14ac:dyDescent="0.3">
      <c r="A867" s="189"/>
      <c r="B867" s="394" t="str">
        <f>+A8</f>
        <v>Revised:  12/8/2015</v>
      </c>
      <c r="C867" s="394"/>
      <c r="D867" s="394"/>
      <c r="E867" s="394"/>
      <c r="F867" s="394"/>
      <c r="G867" s="394"/>
      <c r="H867" s="394"/>
      <c r="I867" s="394"/>
      <c r="J867" s="394"/>
      <c r="K867" s="394"/>
      <c r="L867" s="394"/>
      <c r="M867" s="394"/>
      <c r="N867" s="394"/>
      <c r="O867" s="394"/>
      <c r="P867" s="394"/>
      <c r="Q867" s="180"/>
      <c r="R867" s="306"/>
      <c r="AC867" s="179"/>
      <c r="AD867" s="180"/>
      <c r="AE867" s="180"/>
      <c r="AF867" s="180"/>
      <c r="AG867" s="180"/>
      <c r="AH867" s="180"/>
      <c r="AI867" s="180"/>
      <c r="AJ867" s="180"/>
      <c r="AK867" s="180"/>
      <c r="AL867" s="180"/>
      <c r="AM867" s="180"/>
      <c r="AN867" s="180"/>
      <c r="AO867" s="180"/>
      <c r="AP867" s="180"/>
      <c r="AQ867" s="180"/>
      <c r="AR867" s="180"/>
      <c r="AS867" s="180"/>
      <c r="AT867" s="180"/>
      <c r="AU867" s="304"/>
      <c r="AW867" s="180">
        <f t="shared" ref="AW867:AW878" si="138">SUM(L903:Q903)</f>
        <v>11267</v>
      </c>
      <c r="AX867" s="203">
        <v>2.4700000000000002</v>
      </c>
    </row>
    <row r="868" spans="1:50" ht="15.75" customHeight="1" x14ac:dyDescent="0.3">
      <c r="A868" s="189"/>
      <c r="B868" s="394" t="s">
        <v>670</v>
      </c>
      <c r="C868" s="394"/>
      <c r="D868" s="394"/>
      <c r="E868" s="394"/>
      <c r="F868" s="394"/>
      <c r="G868" s="394"/>
      <c r="H868" s="394"/>
      <c r="I868" s="394"/>
      <c r="J868" s="394"/>
      <c r="K868" s="394"/>
      <c r="L868" s="394"/>
      <c r="M868" s="394"/>
      <c r="N868" s="394"/>
      <c r="O868" s="394"/>
      <c r="P868" s="394"/>
      <c r="Q868" s="180"/>
      <c r="R868" s="306"/>
      <c r="AC868" s="179" t="s">
        <v>709</v>
      </c>
      <c r="AD868" s="182" t="s">
        <v>677</v>
      </c>
      <c r="AE868" s="182" t="s">
        <v>678</v>
      </c>
      <c r="AF868" s="182" t="s">
        <v>679</v>
      </c>
      <c r="AG868" s="182" t="s">
        <v>680</v>
      </c>
      <c r="AH868" s="182" t="s">
        <v>644</v>
      </c>
      <c r="AI868" s="180"/>
      <c r="AJ868" s="182" t="s">
        <v>641</v>
      </c>
      <c r="AK868" s="180"/>
      <c r="AL868" s="180"/>
      <c r="AM868" s="180"/>
      <c r="AN868" s="180" t="s">
        <v>709</v>
      </c>
      <c r="AO868" s="182" t="s">
        <v>677</v>
      </c>
      <c r="AP868" s="182" t="s">
        <v>678</v>
      </c>
      <c r="AQ868" s="182" t="s">
        <v>679</v>
      </c>
      <c r="AR868" s="182" t="s">
        <v>680</v>
      </c>
      <c r="AS868" s="182" t="s">
        <v>644</v>
      </c>
      <c r="AT868" s="182" t="s">
        <v>641</v>
      </c>
      <c r="AU868" s="304"/>
      <c r="AW868" s="180">
        <f t="shared" si="138"/>
        <v>11602</v>
      </c>
      <c r="AX868" s="203">
        <v>2.4700000000000002</v>
      </c>
    </row>
    <row r="869" spans="1:50" ht="15.75" customHeight="1" x14ac:dyDescent="0.3">
      <c r="A869" s="189"/>
      <c r="B869" s="394"/>
      <c r="C869" s="394"/>
      <c r="D869" s="394"/>
      <c r="E869" s="394"/>
      <c r="F869" s="394"/>
      <c r="G869" s="394"/>
      <c r="H869" s="394"/>
      <c r="I869" s="394"/>
      <c r="J869" s="394"/>
      <c r="K869" s="394"/>
      <c r="L869" s="394"/>
      <c r="M869" s="394"/>
      <c r="N869" s="394"/>
      <c r="O869" s="394"/>
      <c r="P869" s="394"/>
      <c r="Q869" s="180"/>
      <c r="R869" s="306"/>
      <c r="AC869" s="179" t="s">
        <v>710</v>
      </c>
      <c r="AD869" s="180"/>
      <c r="AE869" s="180"/>
      <c r="AF869" s="180"/>
      <c r="AG869" s="180"/>
      <c r="AH869" s="182" t="s">
        <v>127</v>
      </c>
      <c r="AI869" s="180"/>
      <c r="AJ869" s="182" t="s">
        <v>711</v>
      </c>
      <c r="AK869" s="180"/>
      <c r="AL869" s="180"/>
      <c r="AM869" s="180"/>
      <c r="AN869" s="180" t="s">
        <v>710</v>
      </c>
      <c r="AO869" s="180"/>
      <c r="AP869" s="180"/>
      <c r="AQ869" s="180"/>
      <c r="AR869" s="180"/>
      <c r="AS869" s="182" t="s">
        <v>127</v>
      </c>
      <c r="AT869" s="182" t="s">
        <v>711</v>
      </c>
      <c r="AU869" s="304"/>
      <c r="AW869" s="180">
        <f t="shared" si="138"/>
        <v>13283</v>
      </c>
      <c r="AX869" s="203">
        <v>2.4700000000000002</v>
      </c>
    </row>
    <row r="870" spans="1:50" ht="15.75" customHeight="1" x14ac:dyDescent="0.3">
      <c r="A870" s="189"/>
      <c r="B870" s="395">
        <f>+A5</f>
        <v>2016</v>
      </c>
      <c r="C870" s="395"/>
      <c r="D870" s="395"/>
      <c r="E870" s="395"/>
      <c r="F870" s="395"/>
      <c r="G870" s="395"/>
      <c r="H870" s="395"/>
      <c r="I870" s="395"/>
      <c r="J870" s="395"/>
      <c r="K870" s="395"/>
      <c r="L870" s="395"/>
      <c r="M870" s="395"/>
      <c r="N870" s="395"/>
      <c r="O870" s="395"/>
      <c r="P870" s="395"/>
      <c r="Q870" s="180"/>
      <c r="R870" s="306"/>
      <c r="AC870" s="179" t="s">
        <v>712</v>
      </c>
      <c r="AD870" s="180">
        <f>+$B$901</f>
        <v>957</v>
      </c>
      <c r="AE870" s="180">
        <f>+C$901</f>
        <v>122</v>
      </c>
      <c r="AF870" s="180">
        <f>+D$901</f>
        <v>128</v>
      </c>
      <c r="AG870" s="180">
        <f>+E$901</f>
        <v>219</v>
      </c>
      <c r="AH870" s="180"/>
      <c r="AI870" s="180"/>
      <c r="AJ870" s="182" t="s">
        <v>658</v>
      </c>
      <c r="AK870" s="180"/>
      <c r="AL870" s="180"/>
      <c r="AM870" s="180"/>
      <c r="AN870" s="180" t="s">
        <v>712</v>
      </c>
      <c r="AO870" s="180">
        <f>+$B$901</f>
        <v>957</v>
      </c>
      <c r="AP870" s="180">
        <f>+C$901</f>
        <v>122</v>
      </c>
      <c r="AQ870" s="180">
        <f>+D$901</f>
        <v>128</v>
      </c>
      <c r="AR870" s="180">
        <f>+E$901</f>
        <v>219</v>
      </c>
      <c r="AS870" s="180"/>
      <c r="AT870" s="182" t="s">
        <v>658</v>
      </c>
      <c r="AU870" s="304"/>
      <c r="AW870" s="180">
        <f t="shared" si="138"/>
        <v>13665</v>
      </c>
      <c r="AX870" s="203">
        <v>2.4700000000000002</v>
      </c>
    </row>
    <row r="871" spans="1:50" ht="15.75" customHeight="1" x14ac:dyDescent="0.3">
      <c r="A871" s="189"/>
      <c r="B871" s="394" t="s">
        <v>713</v>
      </c>
      <c r="C871" s="394"/>
      <c r="D871" s="394"/>
      <c r="E871" s="394"/>
      <c r="F871" s="394"/>
      <c r="G871" s="394"/>
      <c r="H871" s="394"/>
      <c r="I871" s="394"/>
      <c r="J871" s="394"/>
      <c r="K871" s="394"/>
      <c r="L871" s="394"/>
      <c r="M871" s="394"/>
      <c r="N871" s="394"/>
      <c r="O871" s="394"/>
      <c r="P871" s="394"/>
      <c r="Q871" s="180"/>
      <c r="R871" s="306"/>
      <c r="AC871" s="179"/>
      <c r="AD871" s="180" t="s">
        <v>666</v>
      </c>
      <c r="AE871" s="180" t="s">
        <v>666</v>
      </c>
      <c r="AF871" s="180" t="s">
        <v>666</v>
      </c>
      <c r="AG871" s="180" t="s">
        <v>666</v>
      </c>
      <c r="AH871" s="180" t="s">
        <v>666</v>
      </c>
      <c r="AI871" s="180"/>
      <c r="AJ871" s="180" t="s">
        <v>714</v>
      </c>
      <c r="AK871" s="180"/>
      <c r="AL871" s="180"/>
      <c r="AM871" s="180"/>
      <c r="AN871" s="180"/>
      <c r="AO871" s="180" t="s">
        <v>666</v>
      </c>
      <c r="AP871" s="180" t="s">
        <v>666</v>
      </c>
      <c r="AQ871" s="180" t="s">
        <v>666</v>
      </c>
      <c r="AR871" s="180" t="s">
        <v>666</v>
      </c>
      <c r="AS871" s="180" t="s">
        <v>666</v>
      </c>
      <c r="AT871" s="180" t="s">
        <v>714</v>
      </c>
      <c r="AU871" s="304"/>
      <c r="AW871" s="180">
        <f t="shared" si="138"/>
        <v>11565</v>
      </c>
      <c r="AX871" s="203">
        <v>2.4700000000000002</v>
      </c>
    </row>
    <row r="872" spans="1:50" ht="15.75" customHeight="1" x14ac:dyDescent="0.3">
      <c r="A872" s="189"/>
      <c r="B872" s="180"/>
      <c r="C872" s="180"/>
      <c r="D872" s="180"/>
      <c r="E872" s="180"/>
      <c r="F872" s="180"/>
      <c r="G872" s="180"/>
      <c r="H872" s="180"/>
      <c r="I872" s="180"/>
      <c r="J872" s="180"/>
      <c r="K872" s="180"/>
      <c r="L872" s="180"/>
      <c r="M872" s="180"/>
      <c r="N872" s="180"/>
      <c r="O872" s="180"/>
      <c r="P872" s="180"/>
      <c r="Q872" s="180"/>
      <c r="R872" s="306"/>
      <c r="AC872" s="189" t="s">
        <v>668</v>
      </c>
      <c r="AD872" s="180">
        <f t="shared" ref="AD872:AD883" si="139">ROUND($F846*$AD$870/1000,0)</f>
        <v>71775</v>
      </c>
      <c r="AE872" s="180">
        <f t="shared" ref="AE872:AE883" si="140">ROUND($F846*$AE$870/1000,0)</f>
        <v>9150</v>
      </c>
      <c r="AF872" s="180">
        <f t="shared" ref="AF872:AF883" si="141">ROUND($F846*$AF$870/1000,0)</f>
        <v>9600</v>
      </c>
      <c r="AG872" s="180">
        <f t="shared" ref="AG872:AG883" si="142">ROUND($F846*$AG$870/1000,0)</f>
        <v>16425</v>
      </c>
      <c r="AH872" s="180">
        <f t="shared" ref="AH872:AH883" si="143">(F846*((T846-1526.8)/0.7702))/1000</f>
        <v>15614.734113105058</v>
      </c>
      <c r="AI872" s="180"/>
      <c r="AJ872" s="180">
        <f t="shared" ref="AJ872:AJ883" si="144">SUM(AD872:AH872)</f>
        <v>122564.73411310506</v>
      </c>
      <c r="AK872" s="180"/>
      <c r="AL872" s="180"/>
      <c r="AM872" s="180"/>
      <c r="AN872" s="182" t="s">
        <v>668</v>
      </c>
      <c r="AO872" s="180">
        <f t="shared" ref="AO872:AO883" si="145">ROUND((B846-$F846)*$AO$870/1000,0)</f>
        <v>65332</v>
      </c>
      <c r="AP872" s="180">
        <f t="shared" ref="AP872:AP883" si="146">ROUND((C846-$F846)*$AP$870/1000,0)</f>
        <v>8317</v>
      </c>
      <c r="AQ872" s="180">
        <f t="shared" ref="AQ872:AQ883" si="147">ROUND((D846-$F846)*$AQ$870/1000,0)</f>
        <v>8714</v>
      </c>
      <c r="AR872" s="180">
        <f t="shared" ref="AR872:AR883" si="148">ROUND((E846-$F846)*$AR$870/1000,0)</f>
        <v>14549</v>
      </c>
      <c r="AS872" s="180">
        <f>((F846-$F846)*(('[1]Lake Pleasant Forecast'!B35-1526.8)/0.7702))/1000</f>
        <v>0</v>
      </c>
      <c r="AT872" s="180">
        <f t="shared" ref="AT872:AT883" si="149">SUM(AN872:AR872)</f>
        <v>96912</v>
      </c>
      <c r="AU872" s="304"/>
      <c r="AW872" s="180">
        <f t="shared" si="138"/>
        <v>14032</v>
      </c>
      <c r="AX872" s="203">
        <v>2.4700000000000002</v>
      </c>
    </row>
    <row r="873" spans="1:50" ht="15.75" customHeight="1" thickBot="1" x14ac:dyDescent="0.35">
      <c r="A873" s="189" t="s">
        <v>647</v>
      </c>
      <c r="B873" s="191" t="s">
        <v>677</v>
      </c>
      <c r="C873" s="191" t="s">
        <v>678</v>
      </c>
      <c r="D873" s="191" t="s">
        <v>679</v>
      </c>
      <c r="E873" s="191" t="s">
        <v>680</v>
      </c>
      <c r="F873" s="191" t="s">
        <v>644</v>
      </c>
      <c r="G873" s="191" t="s">
        <v>644</v>
      </c>
      <c r="H873" s="191" t="s">
        <v>681</v>
      </c>
      <c r="I873" s="191" t="s">
        <v>682</v>
      </c>
      <c r="J873" s="191" t="s">
        <v>683</v>
      </c>
      <c r="K873" s="191" t="s">
        <v>684</v>
      </c>
      <c r="L873" s="191" t="s">
        <v>685</v>
      </c>
      <c r="M873" s="191" t="s">
        <v>686</v>
      </c>
      <c r="N873" s="191" t="s">
        <v>687</v>
      </c>
      <c r="O873" s="191" t="s">
        <v>688</v>
      </c>
      <c r="P873" s="191" t="s">
        <v>689</v>
      </c>
      <c r="Q873" s="191" t="s">
        <v>638</v>
      </c>
      <c r="R873" s="306"/>
      <c r="AC873" s="189" t="s">
        <v>669</v>
      </c>
      <c r="AD873" s="180">
        <f t="shared" si="139"/>
        <v>10527</v>
      </c>
      <c r="AE873" s="180">
        <f t="shared" si="140"/>
        <v>1342</v>
      </c>
      <c r="AF873" s="180">
        <f t="shared" si="141"/>
        <v>1408</v>
      </c>
      <c r="AG873" s="180">
        <f t="shared" si="142"/>
        <v>2409</v>
      </c>
      <c r="AH873" s="180">
        <f t="shared" si="143"/>
        <v>2311.5349226636063</v>
      </c>
      <c r="AI873" s="180"/>
      <c r="AJ873" s="180">
        <f t="shared" si="144"/>
        <v>17997.534922663606</v>
      </c>
      <c r="AK873" s="180"/>
      <c r="AL873" s="180"/>
      <c r="AM873" s="180"/>
      <c r="AN873" s="182" t="s">
        <v>669</v>
      </c>
      <c r="AO873" s="180">
        <f t="shared" si="145"/>
        <v>83062</v>
      </c>
      <c r="AP873" s="180">
        <f t="shared" si="146"/>
        <v>10571</v>
      </c>
      <c r="AQ873" s="180">
        <f t="shared" si="147"/>
        <v>11072</v>
      </c>
      <c r="AR873" s="180">
        <f t="shared" si="148"/>
        <v>18441</v>
      </c>
      <c r="AS873" s="180">
        <f>((F847-$F847)*(('[1]Lake Pleasant Forecast'!B37-1526.8)/0.7702))/1000</f>
        <v>0</v>
      </c>
      <c r="AT873" s="180">
        <f t="shared" si="149"/>
        <v>123146</v>
      </c>
      <c r="AU873" s="304"/>
      <c r="AW873" s="180">
        <f t="shared" si="138"/>
        <v>13964</v>
      </c>
      <c r="AX873" s="203">
        <v>2.4700000000000002</v>
      </c>
    </row>
    <row r="874" spans="1:50" ht="15.75" customHeight="1" x14ac:dyDescent="0.3">
      <c r="A874" s="189"/>
      <c r="B874" s="180"/>
      <c r="C874" s="180"/>
      <c r="D874" s="180"/>
      <c r="E874" s="180"/>
      <c r="F874" s="182" t="s">
        <v>127</v>
      </c>
      <c r="G874" s="182" t="s">
        <v>653</v>
      </c>
      <c r="H874" s="180"/>
      <c r="I874" s="180"/>
      <c r="J874" s="180"/>
      <c r="K874" s="180"/>
      <c r="L874" s="180"/>
      <c r="M874" s="180"/>
      <c r="N874" s="180"/>
      <c r="O874" s="180"/>
      <c r="P874" s="180"/>
      <c r="Q874" s="180"/>
      <c r="R874" s="306"/>
      <c r="AC874" s="189" t="s">
        <v>671</v>
      </c>
      <c r="AD874" s="180">
        <f t="shared" si="139"/>
        <v>1914</v>
      </c>
      <c r="AE874" s="180">
        <f t="shared" si="140"/>
        <v>244</v>
      </c>
      <c r="AF874" s="180">
        <f t="shared" si="141"/>
        <v>256</v>
      </c>
      <c r="AG874" s="180">
        <f t="shared" si="142"/>
        <v>438</v>
      </c>
      <c r="AH874" s="180">
        <f t="shared" si="143"/>
        <v>420.61556523607936</v>
      </c>
      <c r="AI874" s="180"/>
      <c r="AJ874" s="180">
        <f t="shared" si="144"/>
        <v>3272.6155652360794</v>
      </c>
      <c r="AK874" s="180"/>
      <c r="AL874" s="180"/>
      <c r="AM874" s="180"/>
      <c r="AN874" s="182" t="s">
        <v>671</v>
      </c>
      <c r="AO874" s="180">
        <f t="shared" si="145"/>
        <v>132751</v>
      </c>
      <c r="AP874" s="180">
        <f t="shared" si="146"/>
        <v>16890</v>
      </c>
      <c r="AQ874" s="180">
        <f t="shared" si="147"/>
        <v>17687</v>
      </c>
      <c r="AR874" s="180">
        <f t="shared" si="148"/>
        <v>28956</v>
      </c>
      <c r="AS874" s="180">
        <f>((F848-$F848)*(('[1]Lake Pleasant Forecast'!B39-1526.8)/0.7702))/1000</f>
        <v>0</v>
      </c>
      <c r="AT874" s="180">
        <f t="shared" si="149"/>
        <v>196284</v>
      </c>
      <c r="AU874" s="304"/>
      <c r="AW874" s="180">
        <f t="shared" si="138"/>
        <v>13376</v>
      </c>
      <c r="AX874" s="203">
        <v>2.4700000000000002</v>
      </c>
    </row>
    <row r="875" spans="1:50" ht="15.75" customHeight="1" x14ac:dyDescent="0.3">
      <c r="A875" s="192" t="s">
        <v>8</v>
      </c>
      <c r="B875" s="180">
        <f t="shared" ref="B875:Q875" si="150">(B846/$B$10/1.983)</f>
        <v>2330.5841588990288</v>
      </c>
      <c r="C875" s="180">
        <f t="shared" si="150"/>
        <v>2329.006230377564</v>
      </c>
      <c r="D875" s="180">
        <f t="shared" si="150"/>
        <v>2327.4445691604442</v>
      </c>
      <c r="E875" s="180">
        <f t="shared" si="150"/>
        <v>2300.717388121614</v>
      </c>
      <c r="F875" s="180">
        <f t="shared" si="150"/>
        <v>1220.0478258747744</v>
      </c>
      <c r="G875" s="180">
        <f t="shared" si="150"/>
        <v>0</v>
      </c>
      <c r="H875" s="180">
        <f t="shared" si="150"/>
        <v>747.05968473964174</v>
      </c>
      <c r="I875" s="180">
        <f t="shared" si="150"/>
        <v>330.14494168171387</v>
      </c>
      <c r="J875" s="180">
        <f t="shared" si="150"/>
        <v>316.57800985798639</v>
      </c>
      <c r="K875" s="180">
        <f t="shared" si="150"/>
        <v>306.19946968587834</v>
      </c>
      <c r="L875" s="180">
        <f t="shared" si="150"/>
        <v>275.0150472565191</v>
      </c>
      <c r="M875" s="180">
        <f t="shared" si="150"/>
        <v>274.68970116961918</v>
      </c>
      <c r="N875" s="180">
        <f t="shared" si="150"/>
        <v>272.90029769166949</v>
      </c>
      <c r="O875" s="180">
        <f t="shared" si="150"/>
        <v>63.702763815008211</v>
      </c>
      <c r="P875" s="180">
        <f t="shared" si="150"/>
        <v>42.294991296992173</v>
      </c>
      <c r="Q875" s="180">
        <f t="shared" si="150"/>
        <v>63.670229206318218</v>
      </c>
      <c r="R875" s="306"/>
      <c r="AC875" s="189" t="s">
        <v>672</v>
      </c>
      <c r="AD875" s="180">
        <f t="shared" si="139"/>
        <v>6699</v>
      </c>
      <c r="AE875" s="180">
        <f t="shared" si="140"/>
        <v>854</v>
      </c>
      <c r="AF875" s="180">
        <f t="shared" si="141"/>
        <v>896</v>
      </c>
      <c r="AG875" s="180">
        <f t="shared" si="142"/>
        <v>1533</v>
      </c>
      <c r="AH875" s="180">
        <f t="shared" si="143"/>
        <v>1475.7351804207303</v>
      </c>
      <c r="AI875" s="180"/>
      <c r="AJ875" s="180">
        <f t="shared" si="144"/>
        <v>11457.73518042073</v>
      </c>
      <c r="AK875" s="180"/>
      <c r="AL875" s="180"/>
      <c r="AM875" s="180"/>
      <c r="AN875" s="182" t="s">
        <v>672</v>
      </c>
      <c r="AO875" s="180">
        <f t="shared" si="145"/>
        <v>160311</v>
      </c>
      <c r="AP875" s="180">
        <f t="shared" si="146"/>
        <v>20392</v>
      </c>
      <c r="AQ875" s="180">
        <f t="shared" si="147"/>
        <v>21350</v>
      </c>
      <c r="AR875" s="180">
        <f t="shared" si="148"/>
        <v>34733</v>
      </c>
      <c r="AS875" s="180">
        <f>((F849-$F849)*(('[1]Lake Pleasant Forecast'!B41-1526.8)/0.7702))/1000</f>
        <v>0</v>
      </c>
      <c r="AT875" s="180">
        <f t="shared" si="149"/>
        <v>236786</v>
      </c>
      <c r="AU875" s="304"/>
      <c r="AW875" s="180">
        <f t="shared" si="138"/>
        <v>13580</v>
      </c>
      <c r="AX875" s="203">
        <v>2.4700000000000002</v>
      </c>
    </row>
    <row r="876" spans="1:50" ht="15.75" customHeight="1" x14ac:dyDescent="0.3">
      <c r="A876" s="192" t="s">
        <v>9</v>
      </c>
      <c r="B876" s="180">
        <f t="shared" ref="B876:Q876" si="151">(B847/$C$10/1.983)</f>
        <v>1700.5581929156449</v>
      </c>
      <c r="C876" s="180">
        <f t="shared" si="151"/>
        <v>1697.9845931799605</v>
      </c>
      <c r="D876" s="180">
        <f t="shared" si="151"/>
        <v>1695.463161006486</v>
      </c>
      <c r="E876" s="180">
        <f t="shared" si="151"/>
        <v>1655.537586728572</v>
      </c>
      <c r="F876" s="180">
        <f t="shared" si="151"/>
        <v>191.28106143599911</v>
      </c>
      <c r="G876" s="180">
        <f t="shared" si="151"/>
        <v>0</v>
      </c>
      <c r="H876" s="180">
        <f t="shared" si="151"/>
        <v>1064.2008798928825</v>
      </c>
      <c r="I876" s="180">
        <f t="shared" si="151"/>
        <v>375.64122628549563</v>
      </c>
      <c r="J876" s="180">
        <f t="shared" si="151"/>
        <v>365.88589215225971</v>
      </c>
      <c r="K876" s="180">
        <f t="shared" si="151"/>
        <v>358.61721181769178</v>
      </c>
      <c r="L876" s="180">
        <f t="shared" si="151"/>
        <v>301.28506094910182</v>
      </c>
      <c r="M876" s="180">
        <f t="shared" si="151"/>
        <v>300.90249882622987</v>
      </c>
      <c r="N876" s="180">
        <f t="shared" si="151"/>
        <v>298.10283965430295</v>
      </c>
      <c r="O876" s="180">
        <f t="shared" si="151"/>
        <v>71.31305754082112</v>
      </c>
      <c r="P876" s="180">
        <f t="shared" si="151"/>
        <v>46.950805988836137</v>
      </c>
      <c r="Q876" s="180">
        <f t="shared" si="151"/>
        <v>71.260889978611303</v>
      </c>
      <c r="R876" s="306"/>
      <c r="AC876" s="189" t="s">
        <v>673</v>
      </c>
      <c r="AD876" s="180">
        <f t="shared" si="139"/>
        <v>7656</v>
      </c>
      <c r="AE876" s="180">
        <f t="shared" si="140"/>
        <v>976</v>
      </c>
      <c r="AF876" s="180">
        <f t="shared" si="141"/>
        <v>1024</v>
      </c>
      <c r="AG876" s="180">
        <f t="shared" si="142"/>
        <v>1752</v>
      </c>
      <c r="AH876" s="180">
        <f t="shared" si="143"/>
        <v>1687.1841646828727</v>
      </c>
      <c r="AI876" s="180"/>
      <c r="AJ876" s="180">
        <f t="shared" si="144"/>
        <v>13095.184164682873</v>
      </c>
      <c r="AK876" s="180"/>
      <c r="AL876" s="180"/>
      <c r="AM876" s="180"/>
      <c r="AN876" s="182" t="s">
        <v>673</v>
      </c>
      <c r="AO876" s="180">
        <f t="shared" si="145"/>
        <v>164620</v>
      </c>
      <c r="AP876" s="180">
        <f t="shared" si="146"/>
        <v>20934</v>
      </c>
      <c r="AQ876" s="180">
        <f t="shared" si="147"/>
        <v>21912</v>
      </c>
      <c r="AR876" s="180">
        <f t="shared" si="148"/>
        <v>35816</v>
      </c>
      <c r="AS876" s="180">
        <f>((F850-$F850)*(('[1]Lake Pleasant Forecast'!B43-1526.8)/0.7702))/1000</f>
        <v>0</v>
      </c>
      <c r="AT876" s="180">
        <f t="shared" si="149"/>
        <v>243282</v>
      </c>
      <c r="AU876" s="304"/>
      <c r="AW876" s="180">
        <f t="shared" si="138"/>
        <v>7357</v>
      </c>
      <c r="AX876" s="203">
        <v>2.4700000000000002</v>
      </c>
    </row>
    <row r="877" spans="1:50" ht="15.75" customHeight="1" x14ac:dyDescent="0.3">
      <c r="A877" s="192" t="s">
        <v>10</v>
      </c>
      <c r="B877" s="180">
        <f t="shared" ref="B877:Q877" si="152">(B848/$D$10/1.983)</f>
        <v>2289.0699982105962</v>
      </c>
      <c r="C877" s="180">
        <f t="shared" si="152"/>
        <v>2284.6127568200673</v>
      </c>
      <c r="D877" s="180">
        <f t="shared" si="152"/>
        <v>2280.3669903860232</v>
      </c>
      <c r="E877" s="180">
        <f t="shared" si="152"/>
        <v>2183.3975891854961</v>
      </c>
      <c r="F877" s="180">
        <f t="shared" si="152"/>
        <v>32.534608689993981</v>
      </c>
      <c r="G877" s="180">
        <f t="shared" si="152"/>
        <v>0</v>
      </c>
      <c r="H877" s="180">
        <f t="shared" si="152"/>
        <v>1627.8691458038488</v>
      </c>
      <c r="I877" s="180">
        <f t="shared" si="152"/>
        <v>580.31981520342265</v>
      </c>
      <c r="J877" s="180">
        <f t="shared" si="152"/>
        <v>448.0666308785971</v>
      </c>
      <c r="K877" s="180">
        <f t="shared" si="152"/>
        <v>376.23021489109038</v>
      </c>
      <c r="L877" s="180">
        <f t="shared" si="152"/>
        <v>315.48810046687163</v>
      </c>
      <c r="M877" s="180">
        <f t="shared" si="152"/>
        <v>315.03261594521172</v>
      </c>
      <c r="N877" s="180">
        <f t="shared" si="152"/>
        <v>311.55141281538232</v>
      </c>
      <c r="O877" s="180">
        <f t="shared" si="152"/>
        <v>68.859499292372263</v>
      </c>
      <c r="P877" s="180">
        <f t="shared" si="152"/>
        <v>74.829599986986153</v>
      </c>
      <c r="Q877" s="180">
        <f t="shared" si="152"/>
        <v>68.77816277064727</v>
      </c>
      <c r="R877" s="306"/>
      <c r="AC877" s="189" t="s">
        <v>675</v>
      </c>
      <c r="AD877" s="180">
        <f t="shared" si="139"/>
        <v>0</v>
      </c>
      <c r="AE877" s="180">
        <f t="shared" si="140"/>
        <v>0</v>
      </c>
      <c r="AF877" s="180">
        <f t="shared" si="141"/>
        <v>0</v>
      </c>
      <c r="AG877" s="180">
        <f t="shared" si="142"/>
        <v>0</v>
      </c>
      <c r="AH877" s="180">
        <f t="shared" si="143"/>
        <v>0</v>
      </c>
      <c r="AI877" s="180"/>
      <c r="AJ877" s="180">
        <f t="shared" si="144"/>
        <v>0</v>
      </c>
      <c r="AK877" s="180"/>
      <c r="AL877" s="180"/>
      <c r="AM877" s="180"/>
      <c r="AN877" s="182" t="s">
        <v>675</v>
      </c>
      <c r="AO877" s="180">
        <f t="shared" si="145"/>
        <v>74617</v>
      </c>
      <c r="AP877" s="180">
        <f t="shared" si="146"/>
        <v>9461</v>
      </c>
      <c r="AQ877" s="180">
        <f t="shared" si="147"/>
        <v>9876</v>
      </c>
      <c r="AR877" s="180">
        <f t="shared" si="148"/>
        <v>15292</v>
      </c>
      <c r="AS877" s="180">
        <f>((F851-$F851)*(('[1]Lake Pleasant Forecast'!B45-1526.8)/0.7702))/1000</f>
        <v>0</v>
      </c>
      <c r="AT877" s="180">
        <f t="shared" si="149"/>
        <v>109246</v>
      </c>
      <c r="AU877" s="304"/>
      <c r="AW877" s="180">
        <f t="shared" si="138"/>
        <v>6146</v>
      </c>
      <c r="AX877" s="203">
        <v>2.4700000000000002</v>
      </c>
    </row>
    <row r="878" spans="1:50" ht="15.75" customHeight="1" x14ac:dyDescent="0.3">
      <c r="A878" s="192" t="s">
        <v>12</v>
      </c>
      <c r="B878" s="180">
        <f t="shared" ref="B878:Q878" si="153">(B849/$F$10/1.983)</f>
        <v>2933.5014288115649</v>
      </c>
      <c r="C878" s="180">
        <f t="shared" si="153"/>
        <v>2927.3323247604635</v>
      </c>
      <c r="D878" s="180">
        <f t="shared" si="153"/>
        <v>2921.4489830223565</v>
      </c>
      <c r="E878" s="180">
        <f t="shared" si="153"/>
        <v>2783.6275004202384</v>
      </c>
      <c r="F878" s="180">
        <f t="shared" si="153"/>
        <v>117.6668347621449</v>
      </c>
      <c r="G878" s="180">
        <f t="shared" si="153"/>
        <v>0</v>
      </c>
      <c r="H878" s="180">
        <f t="shared" si="153"/>
        <v>2006.0178181206925</v>
      </c>
      <c r="I878" s="180">
        <f t="shared" si="153"/>
        <v>644.192301227097</v>
      </c>
      <c r="J878" s="180">
        <f t="shared" si="153"/>
        <v>472.73491343082867</v>
      </c>
      <c r="K878" s="180">
        <f t="shared" si="153"/>
        <v>412.37182719784835</v>
      </c>
      <c r="L878" s="180">
        <f t="shared" si="153"/>
        <v>328.89561270801818</v>
      </c>
      <c r="M878" s="180">
        <f t="shared" si="153"/>
        <v>328.27365943856108</v>
      </c>
      <c r="N878" s="180">
        <f t="shared" si="153"/>
        <v>324.60917801311143</v>
      </c>
      <c r="O878" s="180">
        <f t="shared" si="153"/>
        <v>71.154815935451325</v>
      </c>
      <c r="P878" s="180">
        <f t="shared" si="153"/>
        <v>92.452513027399561</v>
      </c>
      <c r="Q878" s="180">
        <f t="shared" si="153"/>
        <v>71.037149100689192</v>
      </c>
      <c r="R878" s="306"/>
      <c r="AC878" s="189" t="s">
        <v>676</v>
      </c>
      <c r="AD878" s="180">
        <f t="shared" si="139"/>
        <v>0</v>
      </c>
      <c r="AE878" s="180">
        <f t="shared" si="140"/>
        <v>0</v>
      </c>
      <c r="AF878" s="180">
        <f t="shared" si="141"/>
        <v>0</v>
      </c>
      <c r="AG878" s="180">
        <f t="shared" si="142"/>
        <v>0</v>
      </c>
      <c r="AH878" s="180">
        <f t="shared" si="143"/>
        <v>0</v>
      </c>
      <c r="AI878" s="180"/>
      <c r="AJ878" s="180">
        <f t="shared" si="144"/>
        <v>0</v>
      </c>
      <c r="AK878" s="180"/>
      <c r="AL878" s="180"/>
      <c r="AM878" s="180"/>
      <c r="AN878" s="182" t="s">
        <v>676</v>
      </c>
      <c r="AO878" s="180">
        <f t="shared" si="145"/>
        <v>67376</v>
      </c>
      <c r="AP878" s="180">
        <f t="shared" si="146"/>
        <v>8538</v>
      </c>
      <c r="AQ878" s="180">
        <f t="shared" si="147"/>
        <v>8908</v>
      </c>
      <c r="AR878" s="180">
        <f t="shared" si="148"/>
        <v>13741</v>
      </c>
      <c r="AS878" s="180">
        <f>((F852-$F852)*(('[1]Lake Pleasant Forecast'!B47-1526.8)/0.7702))/1000</f>
        <v>0</v>
      </c>
      <c r="AT878" s="180">
        <f t="shared" si="149"/>
        <v>98563</v>
      </c>
      <c r="AU878" s="304"/>
      <c r="AW878" s="180">
        <f t="shared" si="138"/>
        <v>10293</v>
      </c>
      <c r="AX878" s="203">
        <v>2.4700000000000002</v>
      </c>
    </row>
    <row r="879" spans="1:50" ht="15.75" customHeight="1" x14ac:dyDescent="0.3">
      <c r="A879" s="192" t="s">
        <v>13</v>
      </c>
      <c r="B879" s="180">
        <f t="shared" ref="B879:Q879" si="154">(B850/$G$10/1.983)</f>
        <v>2928.3913262733231</v>
      </c>
      <c r="C879" s="180">
        <f t="shared" si="154"/>
        <v>2921.4777219266994</v>
      </c>
      <c r="D879" s="180">
        <f t="shared" si="154"/>
        <v>2914.9382655800105</v>
      </c>
      <c r="E879" s="180">
        <f t="shared" si="154"/>
        <v>2790.5747238625086</v>
      </c>
      <c r="F879" s="180">
        <f t="shared" si="154"/>
        <v>130.13843475997592</v>
      </c>
      <c r="G879" s="180">
        <f>(G850/$G$10/1.983)</f>
        <v>0</v>
      </c>
      <c r="H879" s="180">
        <f t="shared" si="154"/>
        <v>2033.6082507767637</v>
      </c>
      <c r="I879" s="180">
        <f t="shared" si="154"/>
        <v>633.93685032453266</v>
      </c>
      <c r="J879" s="180">
        <f t="shared" si="154"/>
        <v>398.7116294958762</v>
      </c>
      <c r="K879" s="180">
        <f t="shared" si="154"/>
        <v>336.74946724578268</v>
      </c>
      <c r="L879" s="180">
        <f t="shared" si="154"/>
        <v>297.35005612219999</v>
      </c>
      <c r="M879" s="180">
        <f t="shared" si="154"/>
        <v>296.66682933971009</v>
      </c>
      <c r="N879" s="180">
        <f t="shared" si="154"/>
        <v>282.49800725521777</v>
      </c>
      <c r="O879" s="180">
        <f t="shared" si="154"/>
        <v>29.817968864379484</v>
      </c>
      <c r="P879" s="180">
        <f t="shared" si="154"/>
        <v>99.23055650448164</v>
      </c>
      <c r="Q879" s="180">
        <f t="shared" si="154"/>
        <v>29.687830429619506</v>
      </c>
      <c r="R879" s="306"/>
      <c r="AC879" s="189" t="s">
        <v>691</v>
      </c>
      <c r="AD879" s="180">
        <f t="shared" si="139"/>
        <v>0</v>
      </c>
      <c r="AE879" s="180">
        <f t="shared" si="140"/>
        <v>0</v>
      </c>
      <c r="AF879" s="180">
        <f t="shared" si="141"/>
        <v>0</v>
      </c>
      <c r="AG879" s="180">
        <f t="shared" si="142"/>
        <v>0</v>
      </c>
      <c r="AH879" s="180">
        <f t="shared" si="143"/>
        <v>0</v>
      </c>
      <c r="AI879" s="180"/>
      <c r="AJ879" s="180">
        <f t="shared" si="144"/>
        <v>0</v>
      </c>
      <c r="AK879" s="180"/>
      <c r="AL879" s="180"/>
      <c r="AM879" s="180"/>
      <c r="AN879" s="182" t="s">
        <v>691</v>
      </c>
      <c r="AO879" s="180">
        <f t="shared" si="145"/>
        <v>67236</v>
      </c>
      <c r="AP879" s="180">
        <f t="shared" si="146"/>
        <v>8531</v>
      </c>
      <c r="AQ879" s="180">
        <f t="shared" si="147"/>
        <v>8909</v>
      </c>
      <c r="AR879" s="180">
        <f t="shared" si="148"/>
        <v>13712</v>
      </c>
      <c r="AS879" s="180">
        <f>((F853-$F853)*(('[1]Lake Pleasant Forecast'!B49-1526.8)/0.7702))/1000</f>
        <v>0</v>
      </c>
      <c r="AT879" s="180">
        <f t="shared" si="149"/>
        <v>98388</v>
      </c>
      <c r="AU879" s="304"/>
      <c r="AW879" s="180"/>
      <c r="AX879" s="203"/>
    </row>
    <row r="880" spans="1:50" ht="15.75" customHeight="1" x14ac:dyDescent="0.3">
      <c r="A880" s="192" t="s">
        <v>14</v>
      </c>
      <c r="B880" s="180">
        <f t="shared" ref="B880:Q880" si="155">(B851/$H$10/1.983)</f>
        <v>1310.6404437720626</v>
      </c>
      <c r="C880" s="180">
        <f t="shared" si="155"/>
        <v>1303.6308623298032</v>
      </c>
      <c r="D880" s="180">
        <f t="shared" si="155"/>
        <v>1296.9742813918306</v>
      </c>
      <c r="E880" s="180">
        <f t="shared" si="155"/>
        <v>1173.7266767523954</v>
      </c>
      <c r="F880" s="180">
        <f t="shared" si="155"/>
        <v>0</v>
      </c>
      <c r="G880" s="180">
        <f t="shared" si="155"/>
        <v>-1916.2884518406454</v>
      </c>
      <c r="H880" s="180">
        <f t="shared" si="155"/>
        <v>2274.9873928391326</v>
      </c>
      <c r="I880" s="180">
        <f t="shared" si="155"/>
        <v>656.2111279206589</v>
      </c>
      <c r="J880" s="180">
        <f t="shared" si="155"/>
        <v>476.68515716927209</v>
      </c>
      <c r="K880" s="180">
        <f t="shared" si="155"/>
        <v>379.40830391662462</v>
      </c>
      <c r="L880" s="180">
        <f t="shared" si="155"/>
        <v>335.95562279374684</v>
      </c>
      <c r="M880" s="180">
        <f t="shared" si="155"/>
        <v>335.21600268952767</v>
      </c>
      <c r="N880" s="180">
        <f t="shared" si="155"/>
        <v>327.28189611699446</v>
      </c>
      <c r="O880" s="180">
        <f t="shared" si="155"/>
        <v>72.012102874432685</v>
      </c>
      <c r="P880" s="180">
        <f t="shared" si="155"/>
        <v>102.53824172129769</v>
      </c>
      <c r="Q880" s="180">
        <f t="shared" si="155"/>
        <v>71.860816944024208</v>
      </c>
      <c r="R880" s="306"/>
      <c r="AC880" s="189" t="s">
        <v>692</v>
      </c>
      <c r="AD880" s="180">
        <f t="shared" si="139"/>
        <v>26796</v>
      </c>
      <c r="AE880" s="180">
        <f t="shared" si="140"/>
        <v>3416</v>
      </c>
      <c r="AF880" s="180">
        <f t="shared" si="141"/>
        <v>3584</v>
      </c>
      <c r="AG880" s="180">
        <f t="shared" si="142"/>
        <v>6132</v>
      </c>
      <c r="AH880" s="180">
        <f t="shared" si="143"/>
        <v>4428.2634268065922</v>
      </c>
      <c r="AI880" s="180"/>
      <c r="AJ880" s="180">
        <f t="shared" si="144"/>
        <v>44356.263426806589</v>
      </c>
      <c r="AK880" s="180"/>
      <c r="AL880" s="180"/>
      <c r="AM880" s="180"/>
      <c r="AN880" s="182" t="s">
        <v>692</v>
      </c>
      <c r="AO880" s="180">
        <f t="shared" si="145"/>
        <v>110199</v>
      </c>
      <c r="AP880" s="180">
        <f t="shared" si="146"/>
        <v>14010</v>
      </c>
      <c r="AQ880" s="180">
        <f t="shared" si="147"/>
        <v>14660</v>
      </c>
      <c r="AR880" s="180">
        <f t="shared" si="148"/>
        <v>24062</v>
      </c>
      <c r="AS880" s="180">
        <f>((F854-$F854)*(('[1]Lake Pleasant Forecast'!B51-1526.8)/0.7702))/1000</f>
        <v>0</v>
      </c>
      <c r="AT880" s="180">
        <f t="shared" si="149"/>
        <v>162931</v>
      </c>
      <c r="AU880" s="304"/>
      <c r="AW880" s="180">
        <f>(SUM(AW867:AW878))</f>
        <v>140130</v>
      </c>
      <c r="AX880" s="203"/>
    </row>
    <row r="881" spans="1:47" ht="15.75" customHeight="1" x14ac:dyDescent="0.3">
      <c r="A881" s="192" t="s">
        <v>16</v>
      </c>
      <c r="B881" s="180">
        <f t="shared" ref="B881:Q881" si="156">(B852/$J$10/1.983)</f>
        <v>1145.2670278008231</v>
      </c>
      <c r="C881" s="180">
        <f t="shared" si="156"/>
        <v>1138.4998291933043</v>
      </c>
      <c r="D881" s="180">
        <f t="shared" si="156"/>
        <v>1132.0905112813755</v>
      </c>
      <c r="E881" s="180">
        <f t="shared" si="156"/>
        <v>1020.6594765181461</v>
      </c>
      <c r="F881" s="180">
        <f t="shared" si="156"/>
        <v>0</v>
      </c>
      <c r="G881" s="180">
        <f t="shared" si="156"/>
        <v>-1870.7399996746537</v>
      </c>
      <c r="H881" s="180">
        <f t="shared" si="156"/>
        <v>2077.5299725082555</v>
      </c>
      <c r="I881" s="180">
        <f t="shared" si="156"/>
        <v>759.01615343321464</v>
      </c>
      <c r="J881" s="180">
        <f t="shared" si="156"/>
        <v>516.77972443186434</v>
      </c>
      <c r="K881" s="180">
        <f t="shared" si="156"/>
        <v>436.07762757633429</v>
      </c>
      <c r="L881" s="180">
        <f t="shared" si="156"/>
        <v>329.26650724708406</v>
      </c>
      <c r="M881" s="180">
        <f t="shared" si="156"/>
        <v>328.63208237762916</v>
      </c>
      <c r="N881" s="180">
        <f t="shared" si="156"/>
        <v>307.98887316382803</v>
      </c>
      <c r="O881" s="180">
        <f t="shared" si="156"/>
        <v>70.811575813771896</v>
      </c>
      <c r="P881" s="180">
        <f t="shared" si="156"/>
        <v>97.603826069981949</v>
      </c>
      <c r="Q881" s="180">
        <f t="shared" si="156"/>
        <v>70.697704683356918</v>
      </c>
      <c r="R881" s="306"/>
      <c r="AC881" s="189" t="s">
        <v>693</v>
      </c>
      <c r="AD881" s="180">
        <f t="shared" si="139"/>
        <v>45936</v>
      </c>
      <c r="AE881" s="180">
        <f t="shared" si="140"/>
        <v>5856</v>
      </c>
      <c r="AF881" s="180">
        <f t="shared" si="141"/>
        <v>6144</v>
      </c>
      <c r="AG881" s="180">
        <f t="shared" si="142"/>
        <v>10512</v>
      </c>
      <c r="AH881" s="180">
        <f t="shared" si="143"/>
        <v>8039.9349757806085</v>
      </c>
      <c r="AI881" s="180"/>
      <c r="AJ881" s="180">
        <f t="shared" si="144"/>
        <v>76487.934975780605</v>
      </c>
      <c r="AK881" s="180"/>
      <c r="AL881" s="180"/>
      <c r="AM881" s="180"/>
      <c r="AN881" s="182" t="s">
        <v>693</v>
      </c>
      <c r="AO881" s="180">
        <f t="shared" si="145"/>
        <v>83607</v>
      </c>
      <c r="AP881" s="180">
        <f t="shared" si="146"/>
        <v>10624</v>
      </c>
      <c r="AQ881" s="180">
        <f t="shared" si="147"/>
        <v>11111</v>
      </c>
      <c r="AR881" s="180">
        <f t="shared" si="148"/>
        <v>17103</v>
      </c>
      <c r="AS881" s="180">
        <f>((F855-$F855)*(('[1]Lake Pleasant Forecast'!B53-1526.8)/0.7702))/1000</f>
        <v>0</v>
      </c>
      <c r="AT881" s="180">
        <f t="shared" si="149"/>
        <v>122445</v>
      </c>
      <c r="AU881" s="304"/>
    </row>
    <row r="882" spans="1:47" ht="15.75" customHeight="1" x14ac:dyDescent="0.3">
      <c r="A882" s="192" t="s">
        <v>17</v>
      </c>
      <c r="B882" s="180">
        <f t="shared" ref="B882:Q882" si="157">(B853/$K$10/1.983)</f>
        <v>1142.8920013664535</v>
      </c>
      <c r="C882" s="180">
        <f t="shared" si="157"/>
        <v>1137.4587217152246</v>
      </c>
      <c r="D882" s="180">
        <f t="shared" si="157"/>
        <v>1132.2857189335155</v>
      </c>
      <c r="E882" s="180">
        <f t="shared" si="157"/>
        <v>1018.5284596489515</v>
      </c>
      <c r="F882" s="180">
        <f t="shared" si="157"/>
        <v>0</v>
      </c>
      <c r="G882" s="180">
        <f t="shared" si="157"/>
        <v>-1626.730434499699</v>
      </c>
      <c r="H882" s="180">
        <f t="shared" si="157"/>
        <v>1787.1748572544043</v>
      </c>
      <c r="I882" s="180">
        <f t="shared" si="157"/>
        <v>665.70689571031176</v>
      </c>
      <c r="J882" s="180">
        <f t="shared" si="157"/>
        <v>453.45110861679109</v>
      </c>
      <c r="K882" s="180">
        <f t="shared" si="157"/>
        <v>381.82616758576933</v>
      </c>
      <c r="L882" s="180">
        <f t="shared" si="157"/>
        <v>321.63714150928047</v>
      </c>
      <c r="M882" s="180">
        <f t="shared" si="157"/>
        <v>321.05151855286056</v>
      </c>
      <c r="N882" s="180">
        <f t="shared" si="157"/>
        <v>298.81411351324971</v>
      </c>
      <c r="O882" s="180">
        <f t="shared" si="157"/>
        <v>69.819270248727079</v>
      </c>
      <c r="P882" s="180">
        <f t="shared" si="157"/>
        <v>82.963252159484654</v>
      </c>
      <c r="Q882" s="180">
        <f t="shared" si="157"/>
        <v>69.721666422657094</v>
      </c>
      <c r="R882" s="306"/>
      <c r="AC882" s="189" t="s">
        <v>694</v>
      </c>
      <c r="AD882" s="180">
        <f t="shared" si="139"/>
        <v>60291</v>
      </c>
      <c r="AE882" s="180">
        <f t="shared" si="140"/>
        <v>7686</v>
      </c>
      <c r="AF882" s="180">
        <f t="shared" si="141"/>
        <v>8064</v>
      </c>
      <c r="AG882" s="180">
        <f t="shared" si="142"/>
        <v>13797</v>
      </c>
      <c r="AH882" s="180">
        <f t="shared" si="143"/>
        <v>11273.042263827991</v>
      </c>
      <c r="AI882" s="180"/>
      <c r="AJ882" s="180">
        <f t="shared" si="144"/>
        <v>101111.04226382799</v>
      </c>
      <c r="AK882" s="180"/>
      <c r="AL882" s="180"/>
      <c r="AM882" s="180"/>
      <c r="AN882" s="182" t="s">
        <v>694</v>
      </c>
      <c r="AO882" s="180">
        <f t="shared" si="145"/>
        <v>65213</v>
      </c>
      <c r="AP882" s="180">
        <f t="shared" si="146"/>
        <v>8285</v>
      </c>
      <c r="AQ882" s="180">
        <f t="shared" si="147"/>
        <v>8663</v>
      </c>
      <c r="AR882" s="180">
        <f t="shared" si="148"/>
        <v>13229</v>
      </c>
      <c r="AS882" s="180">
        <f>((F856-$F856)*(('[1]Lake Pleasant Forecast'!B55-1526.8)/0.7702))/1000</f>
        <v>0</v>
      </c>
      <c r="AT882" s="180">
        <f t="shared" si="149"/>
        <v>95390</v>
      </c>
      <c r="AU882" s="304"/>
    </row>
    <row r="883" spans="1:47" ht="15.75" customHeight="1" x14ac:dyDescent="0.3">
      <c r="A883" s="192" t="s">
        <v>18</v>
      </c>
      <c r="B883" s="180">
        <f t="shared" ref="B883:Q883" si="158">(B854/$L$10/1.983)</f>
        <v>2406.286770885863</v>
      </c>
      <c r="C883" s="180">
        <f t="shared" si="158"/>
        <v>2400.9749537737434</v>
      </c>
      <c r="D883" s="180">
        <f t="shared" si="158"/>
        <v>2395.9152798789714</v>
      </c>
      <c r="E883" s="180">
        <f t="shared" si="158"/>
        <v>2317.5491679273828</v>
      </c>
      <c r="F883" s="180">
        <f t="shared" si="158"/>
        <v>470.66733904857961</v>
      </c>
      <c r="G883" s="180">
        <f t="shared" si="158"/>
        <v>0</v>
      </c>
      <c r="H883" s="180">
        <f t="shared" si="158"/>
        <v>1141.3682971928056</v>
      </c>
      <c r="I883" s="180">
        <f t="shared" si="158"/>
        <v>451.87426458228276</v>
      </c>
      <c r="J883" s="180">
        <f t="shared" si="158"/>
        <v>382.6861657421415</v>
      </c>
      <c r="K883" s="180">
        <f t="shared" si="158"/>
        <v>329.23180366448139</v>
      </c>
      <c r="L883" s="180">
        <f t="shared" si="158"/>
        <v>320.00336190956466</v>
      </c>
      <c r="M883" s="180">
        <f t="shared" si="158"/>
        <v>319.43183728357701</v>
      </c>
      <c r="N883" s="180">
        <f t="shared" si="158"/>
        <v>311.58177845015967</v>
      </c>
      <c r="O883" s="180">
        <f t="shared" si="158"/>
        <v>79.694066229618414</v>
      </c>
      <c r="P883" s="180">
        <f t="shared" si="158"/>
        <v>87.409648680450502</v>
      </c>
      <c r="Q883" s="180">
        <f t="shared" si="158"/>
        <v>79.593208942679439</v>
      </c>
      <c r="R883" s="306"/>
      <c r="AC883" s="189" t="s">
        <v>695</v>
      </c>
      <c r="AD883" s="180">
        <f t="shared" si="139"/>
        <v>66033</v>
      </c>
      <c r="AE883" s="180">
        <f t="shared" si="140"/>
        <v>8418</v>
      </c>
      <c r="AF883" s="180">
        <f t="shared" si="141"/>
        <v>8832</v>
      </c>
      <c r="AG883" s="180">
        <f t="shared" si="142"/>
        <v>15111</v>
      </c>
      <c r="AH883" s="180">
        <f t="shared" si="143"/>
        <v>13165.4240663571</v>
      </c>
      <c r="AI883" s="180"/>
      <c r="AJ883" s="180">
        <f t="shared" si="144"/>
        <v>111559.4240663571</v>
      </c>
      <c r="AK883" s="180"/>
      <c r="AL883" s="180"/>
      <c r="AM883" s="180"/>
      <c r="AN883" s="182" t="s">
        <v>695</v>
      </c>
      <c r="AO883" s="180">
        <f t="shared" si="145"/>
        <v>63140</v>
      </c>
      <c r="AP883" s="180">
        <f t="shared" si="146"/>
        <v>8027</v>
      </c>
      <c r="AQ883" s="180">
        <f t="shared" si="147"/>
        <v>8398</v>
      </c>
      <c r="AR883" s="180">
        <f t="shared" si="148"/>
        <v>13067</v>
      </c>
      <c r="AS883" s="180">
        <f>((F857-$F857)*(('[1]Lake Pleasant Forecast'!B57-1526.8)/0.7702))/1000</f>
        <v>0</v>
      </c>
      <c r="AT883" s="180">
        <f t="shared" si="149"/>
        <v>92632</v>
      </c>
      <c r="AU883" s="304"/>
    </row>
    <row r="884" spans="1:47" ht="15.75" customHeight="1" x14ac:dyDescent="0.3">
      <c r="A884" s="192" t="s">
        <v>20</v>
      </c>
      <c r="B884" s="180">
        <f t="shared" ref="B884:Q884" si="159">(B855/$N$10/1.983)</f>
        <v>2202.0073853561726</v>
      </c>
      <c r="C884" s="180">
        <f t="shared" si="159"/>
        <v>2197.3712036178481</v>
      </c>
      <c r="D884" s="180">
        <f t="shared" si="159"/>
        <v>2192.9464968360094</v>
      </c>
      <c r="E884" s="180">
        <f t="shared" si="159"/>
        <v>2051.2582759910852</v>
      </c>
      <c r="F884" s="180">
        <f t="shared" si="159"/>
        <v>780.83060855985559</v>
      </c>
      <c r="G884" s="180">
        <f t="shared" si="159"/>
        <v>0</v>
      </c>
      <c r="H884" s="180">
        <f t="shared" si="159"/>
        <v>701.46243066061515</v>
      </c>
      <c r="I884" s="180">
        <f t="shared" si="159"/>
        <v>176.95573666487724</v>
      </c>
      <c r="J884" s="180">
        <f t="shared" si="159"/>
        <v>167.74844240560896</v>
      </c>
      <c r="K884" s="180">
        <f t="shared" si="159"/>
        <v>156.86561579880598</v>
      </c>
      <c r="L884" s="180">
        <f t="shared" si="159"/>
        <v>130.98433458591578</v>
      </c>
      <c r="M884" s="180">
        <f t="shared" si="159"/>
        <v>130.51258275991086</v>
      </c>
      <c r="N884" s="180">
        <f t="shared" si="159"/>
        <v>128.65811006458119</v>
      </c>
      <c r="O884" s="180">
        <f t="shared" si="159"/>
        <v>47.337855643941239</v>
      </c>
      <c r="P884" s="180">
        <f t="shared" si="159"/>
        <v>84.589982593984345</v>
      </c>
      <c r="Q884" s="180">
        <f t="shared" si="159"/>
        <v>47.256519122216254</v>
      </c>
      <c r="R884" s="306"/>
      <c r="AC884" s="179"/>
      <c r="AD884" s="180"/>
      <c r="AE884" s="180"/>
      <c r="AF884" s="180"/>
      <c r="AG884" s="180"/>
      <c r="AH884" s="180"/>
      <c r="AI884" s="180"/>
      <c r="AJ884" s="180"/>
      <c r="AK884" s="180"/>
      <c r="AL884" s="180"/>
      <c r="AM884" s="180"/>
      <c r="AN884" s="180"/>
      <c r="AO884" s="180"/>
      <c r="AP884" s="180"/>
      <c r="AQ884" s="180"/>
      <c r="AR884" s="180"/>
      <c r="AS884" s="180"/>
      <c r="AT884" s="180"/>
      <c r="AU884" s="304"/>
    </row>
    <row r="885" spans="1:47" ht="15.75" customHeight="1" thickBot="1" x14ac:dyDescent="0.35">
      <c r="A885" s="192" t="s">
        <v>21</v>
      </c>
      <c r="B885" s="180">
        <f t="shared" ref="B885:Q885" si="160">(B856/$O$10/1.983)</f>
        <v>2204.4545301731382</v>
      </c>
      <c r="C885" s="180">
        <f t="shared" si="160"/>
        <v>2200.5042864346951</v>
      </c>
      <c r="D885" s="180">
        <f t="shared" si="160"/>
        <v>2196.7053286266596</v>
      </c>
      <c r="E885" s="180">
        <f t="shared" si="160"/>
        <v>2074.3822491174988</v>
      </c>
      <c r="F885" s="180">
        <f t="shared" si="160"/>
        <v>1059.0015128593041</v>
      </c>
      <c r="G885" s="180">
        <f t="shared" si="160"/>
        <v>0</v>
      </c>
      <c r="H885" s="180">
        <f t="shared" si="160"/>
        <v>512.38863674567153</v>
      </c>
      <c r="I885" s="180">
        <f t="shared" si="160"/>
        <v>146.93225752227264</v>
      </c>
      <c r="J885" s="180">
        <f t="shared" si="160"/>
        <v>132.25752227265085</v>
      </c>
      <c r="K885" s="180">
        <f t="shared" si="160"/>
        <v>129.9378046730543</v>
      </c>
      <c r="L885" s="180">
        <f t="shared" si="160"/>
        <v>117.88535888384602</v>
      </c>
      <c r="M885" s="180">
        <f t="shared" si="160"/>
        <v>117.49873928391325</v>
      </c>
      <c r="N885" s="180">
        <f t="shared" si="160"/>
        <v>115.63287947554211</v>
      </c>
      <c r="O885" s="180">
        <f t="shared" si="160"/>
        <v>34.24104891578417</v>
      </c>
      <c r="P885" s="180">
        <f t="shared" si="160"/>
        <v>79.004874768868703</v>
      </c>
      <c r="Q885" s="180">
        <f t="shared" si="160"/>
        <v>34.190620272314675</v>
      </c>
      <c r="R885" s="306"/>
      <c r="AC885" s="204" t="s">
        <v>641</v>
      </c>
      <c r="AD885" s="195">
        <f>SUM(AD872:AD883)</f>
        <v>297627</v>
      </c>
      <c r="AE885" s="195">
        <f>SUM(AE872:AE883)</f>
        <v>37942</v>
      </c>
      <c r="AF885" s="195">
        <f>SUM(AF872:AF883)</f>
        <v>39808</v>
      </c>
      <c r="AG885" s="195">
        <f>SUM(AG872:AG883)</f>
        <v>68109</v>
      </c>
      <c r="AH885" s="195">
        <f>SUM(AH872:AH883)</f>
        <v>58416.468678880643</v>
      </c>
      <c r="AI885" s="195"/>
      <c r="AJ885" s="195">
        <f>SUM(AJ872:AJ883)</f>
        <v>501902.4686788806</v>
      </c>
      <c r="AK885" s="195"/>
      <c r="AL885" s="195"/>
      <c r="AM885" s="195"/>
      <c r="AN885" s="205" t="s">
        <v>641</v>
      </c>
      <c r="AO885" s="195">
        <f t="shared" ref="AO885:AT885" si="161">SUM(AO872:AO883)</f>
        <v>1137464</v>
      </c>
      <c r="AP885" s="195">
        <f t="shared" si="161"/>
        <v>144580</v>
      </c>
      <c r="AQ885" s="195">
        <f t="shared" si="161"/>
        <v>151260</v>
      </c>
      <c r="AR885" s="195">
        <f t="shared" si="161"/>
        <v>242701</v>
      </c>
      <c r="AS885" s="195">
        <f t="shared" si="161"/>
        <v>0</v>
      </c>
      <c r="AT885" s="195">
        <f t="shared" si="161"/>
        <v>1676005</v>
      </c>
      <c r="AU885" s="136"/>
    </row>
    <row r="886" spans="1:47" ht="15.75" customHeight="1" thickBot="1" x14ac:dyDescent="0.35">
      <c r="A886" s="206" t="s">
        <v>22</v>
      </c>
      <c r="B886" s="195">
        <f t="shared" ref="B886:Q886" si="162">(B857/$P$10/1.983)</f>
        <v>2195.7119385746587</v>
      </c>
      <c r="C886" s="195">
        <f t="shared" si="162"/>
        <v>2192.6862199664893</v>
      </c>
      <c r="D886" s="195">
        <f t="shared" si="162"/>
        <v>2189.7743724887346</v>
      </c>
      <c r="E886" s="195">
        <f t="shared" si="162"/>
        <v>2093.0652481577281</v>
      </c>
      <c r="F886" s="195">
        <f t="shared" si="162"/>
        <v>1122.4439998047924</v>
      </c>
      <c r="G886" s="195">
        <f t="shared" si="162"/>
        <v>0</v>
      </c>
      <c r="H886" s="195">
        <f t="shared" si="162"/>
        <v>598.71813641761423</v>
      </c>
      <c r="I886" s="195">
        <f t="shared" si="162"/>
        <v>267.79236412734042</v>
      </c>
      <c r="J886" s="195">
        <f t="shared" si="162"/>
        <v>252.72884030387326</v>
      </c>
      <c r="K886" s="195">
        <f t="shared" si="162"/>
        <v>250.66289265205862</v>
      </c>
      <c r="L886" s="195">
        <f t="shared" si="162"/>
        <v>239.47098726270067</v>
      </c>
      <c r="M886" s="195">
        <f t="shared" si="162"/>
        <v>239.16190848014574</v>
      </c>
      <c r="N886" s="195">
        <f t="shared" si="162"/>
        <v>237.38877230654109</v>
      </c>
      <c r="O886" s="195">
        <f t="shared" si="162"/>
        <v>51.990304686610379</v>
      </c>
      <c r="P886" s="195">
        <f t="shared" si="162"/>
        <v>66.695947814487653</v>
      </c>
      <c r="Q886" s="195">
        <f t="shared" si="162"/>
        <v>51.957770077920387</v>
      </c>
      <c r="R886" s="196"/>
    </row>
    <row r="887" spans="1:47" ht="15.75" customHeight="1" x14ac:dyDescent="0.3">
      <c r="R887" s="174"/>
      <c r="AC887" s="207"/>
      <c r="AD887" s="387" t="s">
        <v>715</v>
      </c>
      <c r="AE887" s="393"/>
      <c r="AF887" s="393"/>
      <c r="AG887" s="393"/>
      <c r="AH887" s="393"/>
      <c r="AI887" s="393"/>
      <c r="AJ887" s="393"/>
      <c r="AK887" s="393"/>
      <c r="AL887" s="393"/>
      <c r="AM887" s="393"/>
      <c r="AN887" s="393"/>
      <c r="AO887" s="393"/>
      <c r="AP887" s="393"/>
      <c r="AQ887" s="393"/>
      <c r="AR887" s="177" t="str">
        <f>$Q$1</f>
        <v xml:space="preserve">PRINTED:  </v>
      </c>
      <c r="AS887" s="208">
        <f ca="1">$R$1</f>
        <v>44894.658168518516</v>
      </c>
    </row>
    <row r="888" spans="1:47" ht="15.75" customHeight="1" x14ac:dyDescent="0.3">
      <c r="R888" s="180"/>
      <c r="AC888" s="95"/>
      <c r="AD888" s="394" t="str">
        <f>+$A$8</f>
        <v>Revised:  12/8/2015</v>
      </c>
      <c r="AE888" s="396"/>
      <c r="AF888" s="396"/>
      <c r="AG888" s="396"/>
      <c r="AH888" s="396"/>
      <c r="AI888" s="396"/>
      <c r="AJ888" s="396"/>
      <c r="AK888" s="396"/>
      <c r="AL888" s="396"/>
      <c r="AM888" s="396"/>
      <c r="AN888" s="396"/>
      <c r="AO888" s="396"/>
      <c r="AP888" s="396"/>
      <c r="AQ888" s="396"/>
      <c r="AR888" s="192"/>
      <c r="AS888" s="304"/>
    </row>
    <row r="889" spans="1:47" ht="15.75" customHeight="1" x14ac:dyDescent="0.3">
      <c r="A889" s="192"/>
      <c r="AC889" s="95"/>
      <c r="AD889" s="394" t="s">
        <v>670</v>
      </c>
      <c r="AE889" s="397"/>
      <c r="AF889" s="397"/>
      <c r="AG889" s="397"/>
      <c r="AH889" s="397"/>
      <c r="AI889" s="397"/>
      <c r="AJ889" s="397"/>
      <c r="AK889" s="397"/>
      <c r="AL889" s="397"/>
      <c r="AM889" s="397"/>
      <c r="AN889" s="397"/>
      <c r="AO889" s="397"/>
      <c r="AP889" s="397"/>
      <c r="AQ889" s="397"/>
      <c r="AS889" s="304"/>
    </row>
    <row r="890" spans="1:47" ht="15.75" customHeight="1" x14ac:dyDescent="0.3">
      <c r="A890" s="192"/>
      <c r="AC890" s="95"/>
      <c r="AS890" s="304"/>
    </row>
    <row r="891" spans="1:47" ht="15.75" customHeight="1" thickBot="1" x14ac:dyDescent="0.35">
      <c r="A891" s="192"/>
      <c r="AC891" s="95"/>
      <c r="AD891" s="395">
        <f>$A$5</f>
        <v>2016</v>
      </c>
      <c r="AE891" s="397"/>
      <c r="AF891" s="397"/>
      <c r="AG891" s="397"/>
      <c r="AH891" s="397"/>
      <c r="AI891" s="397"/>
      <c r="AJ891" s="397"/>
      <c r="AK891" s="397"/>
      <c r="AL891" s="397"/>
      <c r="AM891" s="397"/>
      <c r="AN891" s="397"/>
      <c r="AO891" s="397"/>
      <c r="AP891" s="397"/>
      <c r="AQ891" s="397"/>
      <c r="AS891" s="304"/>
    </row>
    <row r="892" spans="1:47" ht="15.75" customHeight="1" x14ac:dyDescent="0.3">
      <c r="A892" s="188"/>
      <c r="B892" s="387" t="s">
        <v>716</v>
      </c>
      <c r="C892" s="387"/>
      <c r="D892" s="387"/>
      <c r="E892" s="387"/>
      <c r="F892" s="387"/>
      <c r="G892" s="387"/>
      <c r="H892" s="387"/>
      <c r="I892" s="387"/>
      <c r="J892" s="387"/>
      <c r="K892" s="387"/>
      <c r="L892" s="387"/>
      <c r="M892" s="387"/>
      <c r="N892" s="387"/>
      <c r="O892" s="387"/>
      <c r="P892" s="387"/>
      <c r="Q892" s="177" t="str">
        <f>+Q1</f>
        <v xml:space="preserve">PRINTED:  </v>
      </c>
      <c r="R892" s="178">
        <f ca="1">+R1</f>
        <v>44894.658168518516</v>
      </c>
      <c r="AC892" s="95"/>
      <c r="AD892" s="394" t="s">
        <v>717</v>
      </c>
      <c r="AE892" s="396"/>
      <c r="AF892" s="396"/>
      <c r="AG892" s="396"/>
      <c r="AH892" s="396"/>
      <c r="AI892" s="396"/>
      <c r="AJ892" s="396"/>
      <c r="AK892" s="396"/>
      <c r="AL892" s="396"/>
      <c r="AM892" s="396"/>
      <c r="AN892" s="396"/>
      <c r="AO892" s="396"/>
      <c r="AP892" s="396"/>
      <c r="AQ892" s="396"/>
      <c r="AR892" s="182"/>
      <c r="AS892" s="304"/>
    </row>
    <row r="893" spans="1:47" ht="16.5" customHeight="1" x14ac:dyDescent="0.3">
      <c r="A893" s="189"/>
      <c r="B893" s="394" t="str">
        <f>+A8</f>
        <v>Revised:  12/8/2015</v>
      </c>
      <c r="C893" s="394"/>
      <c r="D893" s="394"/>
      <c r="E893" s="394"/>
      <c r="F893" s="394"/>
      <c r="G893" s="394"/>
      <c r="H893" s="394"/>
      <c r="I893" s="394"/>
      <c r="J893" s="394"/>
      <c r="K893" s="394"/>
      <c r="L893" s="394"/>
      <c r="M893" s="394"/>
      <c r="N893" s="394"/>
      <c r="O893" s="394"/>
      <c r="P893" s="394"/>
      <c r="Q893" s="180"/>
      <c r="R893" s="306"/>
      <c r="AC893" s="95"/>
      <c r="AK893" s="190"/>
      <c r="AS893" s="304"/>
    </row>
    <row r="894" spans="1:47" ht="15.75" customHeight="1" thickBot="1" x14ac:dyDescent="0.35">
      <c r="A894" s="189"/>
      <c r="B894" s="394" t="s">
        <v>670</v>
      </c>
      <c r="C894" s="394"/>
      <c r="D894" s="394"/>
      <c r="E894" s="394"/>
      <c r="F894" s="394"/>
      <c r="G894" s="394"/>
      <c r="H894" s="394"/>
      <c r="I894" s="394"/>
      <c r="J894" s="394"/>
      <c r="K894" s="394"/>
      <c r="L894" s="394"/>
      <c r="M894" s="394"/>
      <c r="N894" s="394"/>
      <c r="O894" s="394"/>
      <c r="P894" s="394"/>
      <c r="Q894" s="180"/>
      <c r="R894" s="306"/>
      <c r="AC894" s="95"/>
      <c r="AD894" s="191" t="s">
        <v>677</v>
      </c>
      <c r="AE894" s="191" t="s">
        <v>678</v>
      </c>
      <c r="AF894" s="191" t="s">
        <v>679</v>
      </c>
      <c r="AG894" s="191" t="s">
        <v>680</v>
      </c>
      <c r="AH894" s="191" t="s">
        <v>644</v>
      </c>
      <c r="AI894" s="191" t="s">
        <v>681</v>
      </c>
      <c r="AJ894" s="191" t="s">
        <v>682</v>
      </c>
      <c r="AK894" s="191" t="s">
        <v>683</v>
      </c>
      <c r="AL894" s="191" t="s">
        <v>684</v>
      </c>
      <c r="AM894" s="191" t="s">
        <v>685</v>
      </c>
      <c r="AN894" s="191" t="s">
        <v>686</v>
      </c>
      <c r="AO894" s="191" t="s">
        <v>687</v>
      </c>
      <c r="AP894" s="191" t="s">
        <v>688</v>
      </c>
      <c r="AQ894" s="191" t="s">
        <v>689</v>
      </c>
      <c r="AR894" s="191" t="s">
        <v>638</v>
      </c>
      <c r="AS894" s="209" t="s">
        <v>641</v>
      </c>
    </row>
    <row r="895" spans="1:47" ht="15.75" customHeight="1" x14ac:dyDescent="0.3">
      <c r="A895" s="189"/>
      <c r="B895" s="180"/>
      <c r="C895" s="180"/>
      <c r="D895" s="180"/>
      <c r="E895" s="180"/>
      <c r="F895" s="180"/>
      <c r="G895" s="180"/>
      <c r="H895" s="180"/>
      <c r="I895" s="180"/>
      <c r="J895" s="180"/>
      <c r="K895" s="180"/>
      <c r="L895" s="180"/>
      <c r="M895" s="180"/>
      <c r="N895" s="180"/>
      <c r="O895" s="180"/>
      <c r="P895" s="180"/>
      <c r="Q895" s="180"/>
      <c r="R895" s="306"/>
      <c r="AC895" s="95"/>
      <c r="AD895" s="180"/>
      <c r="AE895" s="180"/>
      <c r="AF895" s="180"/>
      <c r="AG895" s="180"/>
      <c r="AH895" s="182" t="s">
        <v>718</v>
      </c>
      <c r="AI895" s="180"/>
      <c r="AJ895" s="180"/>
      <c r="AK895" s="180"/>
      <c r="AL895" s="180"/>
      <c r="AM895" s="180"/>
      <c r="AN895" s="180"/>
      <c r="AO895" s="180"/>
      <c r="AP895" s="180"/>
      <c r="AQ895" s="180"/>
      <c r="AR895" s="180"/>
      <c r="AS895" s="210"/>
    </row>
    <row r="896" spans="1:47" ht="15.75" customHeight="1" x14ac:dyDescent="0.3">
      <c r="A896" s="189"/>
      <c r="B896" s="395">
        <f>A5</f>
        <v>2016</v>
      </c>
      <c r="C896" s="395"/>
      <c r="D896" s="395"/>
      <c r="E896" s="395"/>
      <c r="F896" s="395"/>
      <c r="G896" s="395"/>
      <c r="H896" s="395"/>
      <c r="I896" s="395"/>
      <c r="J896" s="395"/>
      <c r="K896" s="395"/>
      <c r="L896" s="395"/>
      <c r="M896" s="395"/>
      <c r="N896" s="395"/>
      <c r="O896" s="395"/>
      <c r="P896" s="395"/>
      <c r="Q896" s="180"/>
      <c r="R896" s="306"/>
      <c r="S896" s="180"/>
      <c r="AC896" s="211" t="s">
        <v>719</v>
      </c>
      <c r="AD896" s="212">
        <v>1.7000000000000001E-2</v>
      </c>
      <c r="AE896" s="212">
        <v>1.7000000000000001E-2</v>
      </c>
      <c r="AF896" s="212">
        <v>1.7000000000000001E-2</v>
      </c>
      <c r="AG896" s="212">
        <v>1.7000000000000001E-2</v>
      </c>
      <c r="AH896" s="212"/>
      <c r="AI896" s="212"/>
      <c r="AJ896" s="212"/>
      <c r="AK896" s="212"/>
      <c r="AL896" s="212"/>
      <c r="AM896" s="212"/>
      <c r="AN896" s="212"/>
      <c r="AO896" s="212"/>
      <c r="AP896" s="212"/>
      <c r="AQ896" s="212"/>
      <c r="AR896" s="212"/>
      <c r="AS896" s="213"/>
    </row>
    <row r="897" spans="1:48" ht="15.75" customHeight="1" x14ac:dyDescent="0.3">
      <c r="A897" s="189"/>
      <c r="B897" s="394" t="s">
        <v>717</v>
      </c>
      <c r="C897" s="394"/>
      <c r="D897" s="394"/>
      <c r="E897" s="394"/>
      <c r="F897" s="394"/>
      <c r="G897" s="394"/>
      <c r="H897" s="394"/>
      <c r="I897" s="394"/>
      <c r="J897" s="394"/>
      <c r="K897" s="394"/>
      <c r="L897" s="394"/>
      <c r="M897" s="394"/>
      <c r="N897" s="394"/>
      <c r="O897" s="394"/>
      <c r="P897" s="394"/>
      <c r="Q897" s="180"/>
      <c r="R897" s="306"/>
      <c r="S897" s="180"/>
      <c r="AC897" s="211" t="s">
        <v>720</v>
      </c>
      <c r="AD897" s="212"/>
      <c r="AE897" s="212">
        <v>0.03</v>
      </c>
      <c r="AF897" s="212"/>
      <c r="AG897" s="212"/>
      <c r="AH897" s="212"/>
      <c r="AI897" s="212"/>
      <c r="AJ897" s="212"/>
      <c r="AK897" s="212"/>
      <c r="AL897" s="212"/>
      <c r="AM897" s="212">
        <v>0.03</v>
      </c>
      <c r="AN897" s="212">
        <v>0.03</v>
      </c>
      <c r="AO897" s="212">
        <v>0.03</v>
      </c>
      <c r="AP897" s="212">
        <v>0.03</v>
      </c>
      <c r="AQ897" s="212">
        <v>0.03</v>
      </c>
      <c r="AR897" s="212">
        <v>0.03</v>
      </c>
      <c r="AS897" s="213"/>
    </row>
    <row r="898" spans="1:48" ht="15.75" customHeight="1" x14ac:dyDescent="0.3">
      <c r="A898" s="189"/>
      <c r="B898" s="180"/>
      <c r="C898" s="180"/>
      <c r="D898" s="180"/>
      <c r="E898" s="180"/>
      <c r="F898" s="180"/>
      <c r="G898" s="180"/>
      <c r="H898" s="180"/>
      <c r="I898" s="180"/>
      <c r="J898" s="180"/>
      <c r="K898" s="180"/>
      <c r="L898" s="180"/>
      <c r="M898" s="180"/>
      <c r="N898" s="180"/>
      <c r="O898" s="180"/>
      <c r="P898" s="180"/>
      <c r="Q898" s="180"/>
      <c r="R898" s="306"/>
      <c r="S898" s="180"/>
      <c r="AC898" s="211" t="s">
        <v>721</v>
      </c>
      <c r="AD898" s="212"/>
      <c r="AE898" s="212"/>
      <c r="AF898" s="212">
        <v>0.03</v>
      </c>
      <c r="AG898" s="212">
        <v>0.03</v>
      </c>
      <c r="AH898" s="212"/>
      <c r="AI898" s="212"/>
      <c r="AJ898" s="212"/>
      <c r="AK898" s="212"/>
      <c r="AL898" s="212"/>
      <c r="AM898" s="212"/>
      <c r="AN898" s="212"/>
      <c r="AO898" s="212"/>
      <c r="AP898" s="212"/>
      <c r="AQ898" s="212"/>
      <c r="AR898" s="212"/>
      <c r="AS898" s="213"/>
    </row>
    <row r="899" spans="1:48" ht="15.75" customHeight="1" thickBot="1" x14ac:dyDescent="0.35">
      <c r="A899" s="189" t="s">
        <v>647</v>
      </c>
      <c r="B899" s="191" t="s">
        <v>677</v>
      </c>
      <c r="C899" s="191" t="s">
        <v>678</v>
      </c>
      <c r="D899" s="191" t="s">
        <v>679</v>
      </c>
      <c r="E899" s="191" t="s">
        <v>680</v>
      </c>
      <c r="F899" s="191" t="s">
        <v>644</v>
      </c>
      <c r="G899" s="191" t="s">
        <v>644</v>
      </c>
      <c r="H899" s="191" t="s">
        <v>681</v>
      </c>
      <c r="I899" s="191" t="s">
        <v>682</v>
      </c>
      <c r="J899" s="191" t="s">
        <v>683</v>
      </c>
      <c r="K899" s="191" t="s">
        <v>684</v>
      </c>
      <c r="L899" s="191" t="s">
        <v>685</v>
      </c>
      <c r="M899" s="191" t="s">
        <v>686</v>
      </c>
      <c r="N899" s="191" t="s">
        <v>687</v>
      </c>
      <c r="O899" s="191" t="s">
        <v>688</v>
      </c>
      <c r="P899" s="191" t="s">
        <v>689</v>
      </c>
      <c r="Q899" s="191" t="s">
        <v>638</v>
      </c>
      <c r="R899" s="209" t="s">
        <v>641</v>
      </c>
      <c r="S899" s="182"/>
      <c r="AC899" s="211" t="s">
        <v>137</v>
      </c>
      <c r="AD899" s="212"/>
      <c r="AE899" s="212"/>
      <c r="AF899" s="212"/>
      <c r="AG899" s="212"/>
      <c r="AH899" s="212"/>
      <c r="AI899" s="212">
        <v>0.03</v>
      </c>
      <c r="AJ899" s="212"/>
      <c r="AK899" s="212"/>
      <c r="AL899" s="212"/>
      <c r="AM899" s="212"/>
      <c r="AN899" s="212"/>
      <c r="AO899" s="212"/>
      <c r="AP899" s="212"/>
      <c r="AQ899" s="212"/>
      <c r="AR899" s="212"/>
      <c r="AS899" s="213"/>
    </row>
    <row r="900" spans="1:48" ht="15.75" customHeight="1" x14ac:dyDescent="0.3">
      <c r="A900" s="189"/>
      <c r="B900" s="180"/>
      <c r="C900" s="180"/>
      <c r="D900" s="180"/>
      <c r="E900" s="180"/>
      <c r="F900" s="182" t="s">
        <v>127</v>
      </c>
      <c r="G900" s="182" t="s">
        <v>653</v>
      </c>
      <c r="H900" s="180"/>
      <c r="I900" s="180"/>
      <c r="J900" s="180"/>
      <c r="K900" s="180"/>
      <c r="L900" s="180"/>
      <c r="M900" s="180"/>
      <c r="N900" s="180"/>
      <c r="O900" s="180"/>
      <c r="P900" s="180"/>
      <c r="Q900" s="180"/>
      <c r="R900" s="213" t="s">
        <v>722</v>
      </c>
      <c r="S900" s="182"/>
      <c r="AC900" s="211" t="s">
        <v>723</v>
      </c>
      <c r="AD900" s="212">
        <v>0.03</v>
      </c>
      <c r="AE900" s="212"/>
      <c r="AF900" s="212"/>
      <c r="AG900" s="212"/>
      <c r="AH900" s="212"/>
      <c r="AI900" s="212"/>
      <c r="AJ900" s="212">
        <v>0.03</v>
      </c>
      <c r="AK900" s="212">
        <v>0.03</v>
      </c>
      <c r="AL900" s="212">
        <v>0.03</v>
      </c>
      <c r="AM900" s="212"/>
      <c r="AN900" s="212"/>
      <c r="AO900" s="212"/>
      <c r="AP900" s="212"/>
      <c r="AQ900" s="212"/>
      <c r="AR900" s="212"/>
      <c r="AS900" s="213"/>
    </row>
    <row r="901" spans="1:48" ht="15.75" customHeight="1" x14ac:dyDescent="0.3">
      <c r="A901" s="189" t="s">
        <v>724</v>
      </c>
      <c r="B901" s="214">
        <v>957</v>
      </c>
      <c r="C901" s="214">
        <v>122</v>
      </c>
      <c r="D901" s="214">
        <v>128</v>
      </c>
      <c r="E901" s="214">
        <v>219</v>
      </c>
      <c r="F901" s="214"/>
      <c r="G901" s="214"/>
      <c r="H901" s="214">
        <v>97</v>
      </c>
      <c r="I901" s="214">
        <v>160</v>
      </c>
      <c r="J901" s="214">
        <v>250</v>
      </c>
      <c r="K901" s="214">
        <v>260</v>
      </c>
      <c r="L901" s="214">
        <v>100</v>
      </c>
      <c r="M901" s="214">
        <v>118</v>
      </c>
      <c r="N901" s="214">
        <v>250</v>
      </c>
      <c r="O901" s="214">
        <v>190</v>
      </c>
      <c r="P901" s="214">
        <v>340</v>
      </c>
      <c r="Q901" s="214">
        <v>450</v>
      </c>
      <c r="R901" s="213" t="s">
        <v>658</v>
      </c>
      <c r="S901" s="182"/>
      <c r="AC901" s="211" t="s">
        <v>641</v>
      </c>
      <c r="AD901" s="215">
        <f>SUM(AD896:AD900)</f>
        <v>4.7E-2</v>
      </c>
      <c r="AE901" s="215">
        <f t="shared" ref="AE901:AR901" si="163">SUM(AE896:AE900)</f>
        <v>4.7E-2</v>
      </c>
      <c r="AF901" s="215">
        <f t="shared" si="163"/>
        <v>4.7E-2</v>
      </c>
      <c r="AG901" s="215">
        <f t="shared" si="163"/>
        <v>4.7E-2</v>
      </c>
      <c r="AH901" s="215">
        <f t="shared" si="163"/>
        <v>0</v>
      </c>
      <c r="AI901" s="215">
        <f t="shared" si="163"/>
        <v>0.03</v>
      </c>
      <c r="AJ901" s="215">
        <f t="shared" si="163"/>
        <v>0.03</v>
      </c>
      <c r="AK901" s="215">
        <f t="shared" si="163"/>
        <v>0.03</v>
      </c>
      <c r="AL901" s="215">
        <f t="shared" si="163"/>
        <v>0.03</v>
      </c>
      <c r="AM901" s="215">
        <f t="shared" si="163"/>
        <v>0.03</v>
      </c>
      <c r="AN901" s="215">
        <f t="shared" si="163"/>
        <v>0.03</v>
      </c>
      <c r="AO901" s="215">
        <f t="shared" si="163"/>
        <v>0.03</v>
      </c>
      <c r="AP901" s="215">
        <f t="shared" si="163"/>
        <v>0.03</v>
      </c>
      <c r="AQ901" s="215">
        <f t="shared" si="163"/>
        <v>0.03</v>
      </c>
      <c r="AR901" s="215">
        <f t="shared" si="163"/>
        <v>0.03</v>
      </c>
      <c r="AS901" s="213"/>
      <c r="AU901" s="192" t="s">
        <v>725</v>
      </c>
      <c r="AV901" s="4" t="s">
        <v>726</v>
      </c>
    </row>
    <row r="902" spans="1:48" ht="15.75" customHeight="1" x14ac:dyDescent="0.3">
      <c r="A902" s="189"/>
      <c r="B902" s="182" t="s">
        <v>666</v>
      </c>
      <c r="C902" s="182" t="s">
        <v>666</v>
      </c>
      <c r="D902" s="182" t="s">
        <v>666</v>
      </c>
      <c r="E902" s="182" t="s">
        <v>666</v>
      </c>
      <c r="F902" s="182" t="s">
        <v>666</v>
      </c>
      <c r="G902" s="182" t="s">
        <v>666</v>
      </c>
      <c r="H902" s="182" t="s">
        <v>666</v>
      </c>
      <c r="I902" s="182" t="s">
        <v>666</v>
      </c>
      <c r="J902" s="182" t="s">
        <v>666</v>
      </c>
      <c r="K902" s="182" t="s">
        <v>666</v>
      </c>
      <c r="L902" s="182" t="s">
        <v>666</v>
      </c>
      <c r="M902" s="182" t="s">
        <v>666</v>
      </c>
      <c r="N902" s="182" t="s">
        <v>666</v>
      </c>
      <c r="O902" s="182" t="s">
        <v>666</v>
      </c>
      <c r="P902" s="182" t="s">
        <v>666</v>
      </c>
      <c r="Q902" s="182" t="s">
        <v>666</v>
      </c>
      <c r="R902" s="213" t="s">
        <v>714</v>
      </c>
      <c r="S902" s="182"/>
      <c r="T902" s="182"/>
      <c r="AC902" s="189" t="s">
        <v>666</v>
      </c>
      <c r="AD902" s="182" t="s">
        <v>666</v>
      </c>
      <c r="AE902" s="182" t="s">
        <v>666</v>
      </c>
      <c r="AF902" s="182" t="s">
        <v>666</v>
      </c>
      <c r="AG902" s="182" t="s">
        <v>666</v>
      </c>
      <c r="AH902" s="182" t="s">
        <v>666</v>
      </c>
      <c r="AI902" s="182" t="s">
        <v>666</v>
      </c>
      <c r="AJ902" s="182" t="s">
        <v>666</v>
      </c>
      <c r="AK902" s="182" t="s">
        <v>666</v>
      </c>
      <c r="AL902" s="182" t="s">
        <v>666</v>
      </c>
      <c r="AM902" s="182" t="s">
        <v>666</v>
      </c>
      <c r="AN902" s="182" t="s">
        <v>666</v>
      </c>
      <c r="AO902" s="182" t="s">
        <v>666</v>
      </c>
      <c r="AP902" s="182" t="s">
        <v>666</v>
      </c>
      <c r="AQ902" s="182" t="s">
        <v>666</v>
      </c>
      <c r="AR902" s="182" t="s">
        <v>666</v>
      </c>
      <c r="AS902" s="213" t="s">
        <v>666</v>
      </c>
    </row>
    <row r="903" spans="1:48" ht="15.75" customHeight="1" x14ac:dyDescent="0.3">
      <c r="A903" s="192" t="s">
        <v>8</v>
      </c>
      <c r="B903" s="180">
        <f>ROUND((B846*$B$901)/1000,0)</f>
        <v>137107</v>
      </c>
      <c r="C903" s="180">
        <f t="shared" ref="C903:C914" si="164">ROUND((C846*$C$901)/1000,0)</f>
        <v>17467</v>
      </c>
      <c r="D903" s="180">
        <f t="shared" ref="D903:D914" si="165">ROUND((D846*$D$901)/1000,0)</f>
        <v>18314</v>
      </c>
      <c r="E903" s="180">
        <f t="shared" ref="E903:E914" si="166">ROUND((E846*$E$901)/1000,0)</f>
        <v>30974</v>
      </c>
      <c r="F903" s="180">
        <f>(F846*((T846-1526.8)/0.7702))/1000</f>
        <v>15614.734113105058</v>
      </c>
      <c r="G903" s="180">
        <f t="shared" ref="G903:G914" si="167">(G846*((T846-1591.4)/0.6635))/1000</f>
        <v>0</v>
      </c>
      <c r="H903" s="180">
        <f t="shared" ref="H903:H914" si="168">ROUND((H846*$H$901)/1000,0)</f>
        <v>4455</v>
      </c>
      <c r="I903" s="180">
        <f t="shared" ref="I903:I914" si="169">ROUND((I846*$I$901)/1000,0)</f>
        <v>3247</v>
      </c>
      <c r="J903" s="180">
        <f t="shared" ref="J903:J914" si="170">ROUND((J846*$J$901)/1000,0)</f>
        <v>4865</v>
      </c>
      <c r="K903" s="180">
        <f t="shared" ref="K903:K914" si="171">ROUND((K846*$K$901)/1000,0)</f>
        <v>4894</v>
      </c>
      <c r="L903" s="180">
        <f t="shared" ref="L903:L914" si="172">ROUND((L846*$L$901)/1000,0)</f>
        <v>1691</v>
      </c>
      <c r="M903" s="180">
        <f t="shared" ref="M903:M914" si="173">ROUND((M846*$M$901)/1000,0)</f>
        <v>1993</v>
      </c>
      <c r="N903" s="180">
        <f t="shared" ref="N903:N914" si="174">ROUND((N846*$N$901)/1000,0)</f>
        <v>4194</v>
      </c>
      <c r="O903" s="180">
        <f t="shared" ref="O903:O914" si="175">ROUND((O846*$O$901)/1000,0)</f>
        <v>744</v>
      </c>
      <c r="P903" s="180">
        <f t="shared" ref="P903:P914" si="176">ROUND((P846*$P$901)/1000,0)</f>
        <v>884</v>
      </c>
      <c r="Q903" s="180">
        <f t="shared" ref="Q903:Q914" si="177">ROUND((Q846*$Q$901)/1000,0)</f>
        <v>1761</v>
      </c>
      <c r="R903" s="216">
        <f>(SUM(B903:Q903))</f>
        <v>248204.73411310505</v>
      </c>
      <c r="S903" s="217"/>
      <c r="AC903" s="211" t="s">
        <v>8</v>
      </c>
      <c r="AD903" s="180">
        <f>ROUND(B903*$AD$901, 0)</f>
        <v>6444</v>
      </c>
      <c r="AE903" s="180">
        <f>ROUND(C903*$AE$901,0)</f>
        <v>821</v>
      </c>
      <c r="AF903" s="180">
        <f>ROUND(D903*$AF$901,0)</f>
        <v>861</v>
      </c>
      <c r="AG903" s="180">
        <f>ROUND(E903*$AG$901,0)</f>
        <v>1456</v>
      </c>
      <c r="AH903" s="180">
        <f>ROUND(F903*$AH$901,0)</f>
        <v>0</v>
      </c>
      <c r="AI903" s="180">
        <f>ROUND(H903*$AI$901,0)</f>
        <v>134</v>
      </c>
      <c r="AJ903" s="180">
        <f>ROUND(I903*$AJ$901,0)</f>
        <v>97</v>
      </c>
      <c r="AK903" s="180">
        <f>ROUND(J903*$AK$901,0)</f>
        <v>146</v>
      </c>
      <c r="AL903" s="180">
        <f>ROUND(K903*$AL$901,0)</f>
        <v>147</v>
      </c>
      <c r="AM903" s="180">
        <f>ROUND(L903*$AM$901,0)</f>
        <v>51</v>
      </c>
      <c r="AN903" s="180">
        <f>ROUND(M903*$AN$901,0)</f>
        <v>60</v>
      </c>
      <c r="AO903" s="180">
        <f>ROUND(N903*$AO$901,0)</f>
        <v>126</v>
      </c>
      <c r="AP903" s="180">
        <f>ROUND(O903*$AP$901,0)</f>
        <v>22</v>
      </c>
      <c r="AQ903" s="180">
        <f>ROUND(P903*$AQ$901,0)</f>
        <v>27</v>
      </c>
      <c r="AR903" s="180">
        <f>ROUND(Q903*$AR$901,0)</f>
        <v>53</v>
      </c>
      <c r="AS903" s="210">
        <f>SUM(AD903:AR903)</f>
        <v>10445</v>
      </c>
      <c r="AU903" s="218">
        <f>AS903/R903</f>
        <v>4.2082194915912807E-2</v>
      </c>
    </row>
    <row r="904" spans="1:48" ht="15.75" customHeight="1" x14ac:dyDescent="0.3">
      <c r="A904" s="192" t="s">
        <v>9</v>
      </c>
      <c r="B904" s="180">
        <f t="shared" ref="B904:B914" si="178">ROUND((B847*$B$901)/1000,0)</f>
        <v>93589</v>
      </c>
      <c r="C904" s="180">
        <f t="shared" si="164"/>
        <v>11913</v>
      </c>
      <c r="D904" s="180">
        <f t="shared" si="165"/>
        <v>12480</v>
      </c>
      <c r="E904" s="180">
        <f t="shared" si="166"/>
        <v>20850</v>
      </c>
      <c r="F904" s="180">
        <f t="shared" ref="F904:F914" si="179">(F847*((T847-1526.8)/0.7702))/1000</f>
        <v>2311.5349226636063</v>
      </c>
      <c r="G904" s="180">
        <f t="shared" si="167"/>
        <v>0</v>
      </c>
      <c r="H904" s="180">
        <f t="shared" si="168"/>
        <v>5936</v>
      </c>
      <c r="I904" s="180">
        <f t="shared" si="169"/>
        <v>3456</v>
      </c>
      <c r="J904" s="180">
        <f t="shared" si="170"/>
        <v>5260</v>
      </c>
      <c r="K904" s="180">
        <f t="shared" si="171"/>
        <v>5362</v>
      </c>
      <c r="L904" s="180">
        <f t="shared" si="172"/>
        <v>1733</v>
      </c>
      <c r="M904" s="180">
        <f t="shared" si="173"/>
        <v>2042</v>
      </c>
      <c r="N904" s="180">
        <f t="shared" si="174"/>
        <v>4286</v>
      </c>
      <c r="O904" s="180">
        <f t="shared" si="175"/>
        <v>779</v>
      </c>
      <c r="P904" s="180">
        <f t="shared" si="176"/>
        <v>918</v>
      </c>
      <c r="Q904" s="180">
        <f t="shared" si="177"/>
        <v>1844</v>
      </c>
      <c r="R904" s="216">
        <f t="shared" ref="R904:R914" si="180">(SUM(B904:Q904))</f>
        <v>172759.53492266362</v>
      </c>
      <c r="S904" s="217"/>
      <c r="AC904" s="211" t="s">
        <v>9</v>
      </c>
      <c r="AD904" s="180">
        <f t="shared" ref="AD904:AD914" si="181">ROUND(B904*$AD$901, 0)</f>
        <v>4399</v>
      </c>
      <c r="AE904" s="180">
        <f t="shared" ref="AE904:AE914" si="182">ROUND(C904*$AE$901,0)</f>
        <v>560</v>
      </c>
      <c r="AF904" s="180">
        <f t="shared" ref="AF904:AF914" si="183">ROUND(D904*$AF$901,0)</f>
        <v>587</v>
      </c>
      <c r="AG904" s="180">
        <f t="shared" ref="AG904:AG914" si="184">ROUND(E904*$AG$901,0)</f>
        <v>980</v>
      </c>
      <c r="AH904" s="180">
        <f t="shared" ref="AH904:AH914" si="185">ROUND(F904*$AH$901,0)</f>
        <v>0</v>
      </c>
      <c r="AI904" s="180">
        <f t="shared" ref="AI904:AI914" si="186">ROUND(H904*$AI$901,0)</f>
        <v>178</v>
      </c>
      <c r="AJ904" s="180">
        <f t="shared" ref="AJ904:AJ914" si="187">ROUND(I904*$AJ$901,0)</f>
        <v>104</v>
      </c>
      <c r="AK904" s="180">
        <f t="shared" ref="AK904:AK914" si="188">ROUND(J904*$AK$901,0)</f>
        <v>158</v>
      </c>
      <c r="AL904" s="180">
        <f t="shared" ref="AL904:AL914" si="189">ROUND(K904*$AL$901,0)</f>
        <v>161</v>
      </c>
      <c r="AM904" s="180">
        <f t="shared" ref="AM904:AM914" si="190">ROUND(L904*$AM$901,0)</f>
        <v>52</v>
      </c>
      <c r="AN904" s="180">
        <f t="shared" ref="AN904:AN914" si="191">ROUND(M904*$AN$901,0)</f>
        <v>61</v>
      </c>
      <c r="AO904" s="180">
        <f t="shared" ref="AO904:AO914" si="192">ROUND(N904*$AO$901,0)</f>
        <v>129</v>
      </c>
      <c r="AP904" s="180">
        <f t="shared" ref="AP904:AP914" si="193">ROUND(O904*$AP$901,0)</f>
        <v>23</v>
      </c>
      <c r="AQ904" s="180">
        <f t="shared" ref="AQ904:AQ914" si="194">ROUND(P904*$AQ$901,0)</f>
        <v>28</v>
      </c>
      <c r="AR904" s="180">
        <f t="shared" ref="AR904:AR914" si="195">ROUND(Q904*$AR$901,0)</f>
        <v>55</v>
      </c>
      <c r="AS904" s="210">
        <f t="shared" ref="AS904:AS914" si="196">SUM(AD904:AR904)</f>
        <v>7475</v>
      </c>
      <c r="AU904" s="218">
        <f t="shared" ref="AU904:AU916" si="197">AS904/R904</f>
        <v>4.3268234099763055E-2</v>
      </c>
    </row>
    <row r="905" spans="1:48" ht="15.75" customHeight="1" x14ac:dyDescent="0.3">
      <c r="A905" s="192" t="s">
        <v>10</v>
      </c>
      <c r="B905" s="180">
        <f t="shared" si="178"/>
        <v>134665</v>
      </c>
      <c r="C905" s="180">
        <f t="shared" si="164"/>
        <v>17134</v>
      </c>
      <c r="D905" s="180">
        <f t="shared" si="165"/>
        <v>17943</v>
      </c>
      <c r="E905" s="180">
        <f t="shared" si="166"/>
        <v>29394</v>
      </c>
      <c r="F905" s="180">
        <f t="shared" si="179"/>
        <v>420.61556523607936</v>
      </c>
      <c r="G905" s="180">
        <f t="shared" si="167"/>
        <v>0</v>
      </c>
      <c r="H905" s="180">
        <f t="shared" si="168"/>
        <v>9707</v>
      </c>
      <c r="I905" s="180">
        <f t="shared" si="169"/>
        <v>5708</v>
      </c>
      <c r="J905" s="180">
        <f t="shared" si="170"/>
        <v>6886</v>
      </c>
      <c r="K905" s="180">
        <f t="shared" si="171"/>
        <v>6013</v>
      </c>
      <c r="L905" s="180">
        <f t="shared" si="172"/>
        <v>1939</v>
      </c>
      <c r="M905" s="180">
        <f t="shared" si="173"/>
        <v>2285</v>
      </c>
      <c r="N905" s="180">
        <f t="shared" si="174"/>
        <v>4788</v>
      </c>
      <c r="O905" s="180">
        <f t="shared" si="175"/>
        <v>804</v>
      </c>
      <c r="P905" s="180">
        <f t="shared" si="176"/>
        <v>1564</v>
      </c>
      <c r="Q905" s="180">
        <f t="shared" si="177"/>
        <v>1903</v>
      </c>
      <c r="R905" s="216">
        <f t="shared" si="180"/>
        <v>241153.61556523608</v>
      </c>
      <c r="S905" s="217"/>
      <c r="AC905" s="211" t="s">
        <v>10</v>
      </c>
      <c r="AD905" s="180">
        <f t="shared" si="181"/>
        <v>6329</v>
      </c>
      <c r="AE905" s="180">
        <f t="shared" si="182"/>
        <v>805</v>
      </c>
      <c r="AF905" s="180">
        <f t="shared" si="183"/>
        <v>843</v>
      </c>
      <c r="AG905" s="180">
        <f t="shared" si="184"/>
        <v>1382</v>
      </c>
      <c r="AH905" s="180">
        <f t="shared" si="185"/>
        <v>0</v>
      </c>
      <c r="AI905" s="180">
        <f t="shared" si="186"/>
        <v>291</v>
      </c>
      <c r="AJ905" s="180">
        <f t="shared" si="187"/>
        <v>171</v>
      </c>
      <c r="AK905" s="180">
        <f t="shared" si="188"/>
        <v>207</v>
      </c>
      <c r="AL905" s="180">
        <f t="shared" si="189"/>
        <v>180</v>
      </c>
      <c r="AM905" s="180">
        <f t="shared" si="190"/>
        <v>58</v>
      </c>
      <c r="AN905" s="180">
        <f t="shared" si="191"/>
        <v>69</v>
      </c>
      <c r="AO905" s="180">
        <f t="shared" si="192"/>
        <v>144</v>
      </c>
      <c r="AP905" s="180">
        <f t="shared" si="193"/>
        <v>24</v>
      </c>
      <c r="AQ905" s="180">
        <f t="shared" si="194"/>
        <v>47</v>
      </c>
      <c r="AR905" s="180">
        <f t="shared" si="195"/>
        <v>57</v>
      </c>
      <c r="AS905" s="210">
        <f t="shared" si="196"/>
        <v>10607</v>
      </c>
      <c r="AU905" s="218">
        <f t="shared" si="197"/>
        <v>4.3984412073351763E-2</v>
      </c>
    </row>
    <row r="906" spans="1:48" ht="15.75" customHeight="1" x14ac:dyDescent="0.3">
      <c r="A906" s="192" t="s">
        <v>12</v>
      </c>
      <c r="B906" s="180">
        <f t="shared" si="178"/>
        <v>167010</v>
      </c>
      <c r="C906" s="180">
        <f t="shared" si="164"/>
        <v>21246</v>
      </c>
      <c r="D906" s="180">
        <f t="shared" si="165"/>
        <v>22246</v>
      </c>
      <c r="E906" s="180">
        <f t="shared" si="166"/>
        <v>36266</v>
      </c>
      <c r="F906" s="180">
        <f t="shared" si="179"/>
        <v>1475.7351804207303</v>
      </c>
      <c r="G906" s="180">
        <f t="shared" si="167"/>
        <v>0</v>
      </c>
      <c r="H906" s="180">
        <f t="shared" si="168"/>
        <v>11576</v>
      </c>
      <c r="I906" s="180">
        <f t="shared" si="169"/>
        <v>6132</v>
      </c>
      <c r="J906" s="180">
        <f t="shared" si="170"/>
        <v>7031</v>
      </c>
      <c r="K906" s="180">
        <f t="shared" si="171"/>
        <v>6378</v>
      </c>
      <c r="L906" s="180">
        <f t="shared" si="172"/>
        <v>1957</v>
      </c>
      <c r="M906" s="180">
        <f t="shared" si="173"/>
        <v>2304</v>
      </c>
      <c r="N906" s="180">
        <f t="shared" si="174"/>
        <v>4828</v>
      </c>
      <c r="O906" s="180">
        <f t="shared" si="175"/>
        <v>804</v>
      </c>
      <c r="P906" s="180">
        <f t="shared" si="176"/>
        <v>1870</v>
      </c>
      <c r="Q906" s="180">
        <f t="shared" si="177"/>
        <v>1902</v>
      </c>
      <c r="R906" s="216">
        <f t="shared" si="180"/>
        <v>293025.73518042074</v>
      </c>
      <c r="S906" s="217"/>
      <c r="AC906" s="211" t="s">
        <v>12</v>
      </c>
      <c r="AD906" s="180">
        <f t="shared" si="181"/>
        <v>7849</v>
      </c>
      <c r="AE906" s="180">
        <f t="shared" si="182"/>
        <v>999</v>
      </c>
      <c r="AF906" s="180">
        <f t="shared" si="183"/>
        <v>1046</v>
      </c>
      <c r="AG906" s="180">
        <f t="shared" si="184"/>
        <v>1705</v>
      </c>
      <c r="AH906" s="180">
        <f t="shared" si="185"/>
        <v>0</v>
      </c>
      <c r="AI906" s="180">
        <f t="shared" si="186"/>
        <v>347</v>
      </c>
      <c r="AJ906" s="180">
        <f t="shared" si="187"/>
        <v>184</v>
      </c>
      <c r="AK906" s="180">
        <f t="shared" si="188"/>
        <v>211</v>
      </c>
      <c r="AL906" s="180">
        <f t="shared" si="189"/>
        <v>191</v>
      </c>
      <c r="AM906" s="180">
        <f t="shared" si="190"/>
        <v>59</v>
      </c>
      <c r="AN906" s="180">
        <f t="shared" si="191"/>
        <v>69</v>
      </c>
      <c r="AO906" s="180">
        <f t="shared" si="192"/>
        <v>145</v>
      </c>
      <c r="AP906" s="180">
        <f t="shared" si="193"/>
        <v>24</v>
      </c>
      <c r="AQ906" s="180">
        <f t="shared" si="194"/>
        <v>56</v>
      </c>
      <c r="AR906" s="180">
        <f t="shared" si="195"/>
        <v>57</v>
      </c>
      <c r="AS906" s="210">
        <f t="shared" si="196"/>
        <v>12942</v>
      </c>
      <c r="AU906" s="218">
        <f t="shared" si="197"/>
        <v>4.4166769147533744E-2</v>
      </c>
    </row>
    <row r="907" spans="1:48" ht="15.75" customHeight="1" x14ac:dyDescent="0.3">
      <c r="A907" s="192" t="s">
        <v>13</v>
      </c>
      <c r="B907" s="180">
        <f t="shared" si="178"/>
        <v>172276</v>
      </c>
      <c r="C907" s="180">
        <f t="shared" si="164"/>
        <v>21910</v>
      </c>
      <c r="D907" s="180">
        <f t="shared" si="165"/>
        <v>22936</v>
      </c>
      <c r="E907" s="180">
        <f t="shared" si="166"/>
        <v>37568</v>
      </c>
      <c r="F907" s="180">
        <f t="shared" si="179"/>
        <v>1687.1841646828727</v>
      </c>
      <c r="G907" s="180">
        <f t="shared" si="167"/>
        <v>0</v>
      </c>
      <c r="H907" s="180">
        <f t="shared" si="168"/>
        <v>12126</v>
      </c>
      <c r="I907" s="180">
        <f t="shared" si="169"/>
        <v>6235</v>
      </c>
      <c r="J907" s="180">
        <f t="shared" si="170"/>
        <v>6128</v>
      </c>
      <c r="K907" s="180">
        <f t="shared" si="171"/>
        <v>5382</v>
      </c>
      <c r="L907" s="180">
        <f t="shared" si="172"/>
        <v>1828</v>
      </c>
      <c r="M907" s="180">
        <f t="shared" si="173"/>
        <v>2152</v>
      </c>
      <c r="N907" s="180">
        <f t="shared" si="174"/>
        <v>4342</v>
      </c>
      <c r="O907" s="180">
        <f t="shared" si="175"/>
        <v>348</v>
      </c>
      <c r="P907" s="180">
        <f t="shared" si="176"/>
        <v>2074</v>
      </c>
      <c r="Q907" s="180">
        <f t="shared" si="177"/>
        <v>821</v>
      </c>
      <c r="R907" s="216">
        <f t="shared" si="180"/>
        <v>297813.18416468287</v>
      </c>
      <c r="S907" s="217"/>
      <c r="AC907" s="211" t="s">
        <v>13</v>
      </c>
      <c r="AD907" s="180">
        <f t="shared" si="181"/>
        <v>8097</v>
      </c>
      <c r="AE907" s="180">
        <f t="shared" si="182"/>
        <v>1030</v>
      </c>
      <c r="AF907" s="180">
        <f t="shared" si="183"/>
        <v>1078</v>
      </c>
      <c r="AG907" s="180">
        <f t="shared" si="184"/>
        <v>1766</v>
      </c>
      <c r="AH907" s="180">
        <f t="shared" si="185"/>
        <v>0</v>
      </c>
      <c r="AI907" s="180">
        <f t="shared" si="186"/>
        <v>364</v>
      </c>
      <c r="AJ907" s="180">
        <f t="shared" si="187"/>
        <v>187</v>
      </c>
      <c r="AK907" s="180">
        <f t="shared" si="188"/>
        <v>184</v>
      </c>
      <c r="AL907" s="180">
        <f t="shared" si="189"/>
        <v>161</v>
      </c>
      <c r="AM907" s="180">
        <f t="shared" si="190"/>
        <v>55</v>
      </c>
      <c r="AN907" s="180">
        <f t="shared" si="191"/>
        <v>65</v>
      </c>
      <c r="AO907" s="180">
        <f t="shared" si="192"/>
        <v>130</v>
      </c>
      <c r="AP907" s="180">
        <f t="shared" si="193"/>
        <v>10</v>
      </c>
      <c r="AQ907" s="180">
        <f t="shared" si="194"/>
        <v>62</v>
      </c>
      <c r="AR907" s="180">
        <f t="shared" si="195"/>
        <v>25</v>
      </c>
      <c r="AS907" s="210">
        <f t="shared" si="196"/>
        <v>13214</v>
      </c>
      <c r="AU907" s="218">
        <f t="shared" si="197"/>
        <v>4.4370097438980419E-2</v>
      </c>
    </row>
    <row r="908" spans="1:48" ht="15.75" customHeight="1" x14ac:dyDescent="0.3">
      <c r="A908" s="192" t="s">
        <v>14</v>
      </c>
      <c r="B908" s="180">
        <f t="shared" si="178"/>
        <v>74617</v>
      </c>
      <c r="C908" s="180">
        <f t="shared" si="164"/>
        <v>9461</v>
      </c>
      <c r="D908" s="180">
        <f t="shared" si="165"/>
        <v>9876</v>
      </c>
      <c r="E908" s="180">
        <f t="shared" si="166"/>
        <v>15292</v>
      </c>
      <c r="F908" s="180">
        <f t="shared" si="179"/>
        <v>0</v>
      </c>
      <c r="G908" s="180">
        <f t="shared" si="167"/>
        <v>-14378.407308751861</v>
      </c>
      <c r="H908" s="180">
        <f t="shared" si="168"/>
        <v>13128</v>
      </c>
      <c r="I908" s="180">
        <f t="shared" si="169"/>
        <v>6246</v>
      </c>
      <c r="J908" s="180">
        <f t="shared" si="170"/>
        <v>7090</v>
      </c>
      <c r="K908" s="180">
        <f t="shared" si="171"/>
        <v>5868</v>
      </c>
      <c r="L908" s="180">
        <f t="shared" si="172"/>
        <v>1999</v>
      </c>
      <c r="M908" s="180">
        <f t="shared" si="173"/>
        <v>2353</v>
      </c>
      <c r="N908" s="180">
        <f t="shared" si="174"/>
        <v>4868</v>
      </c>
      <c r="O908" s="180">
        <f t="shared" si="175"/>
        <v>814</v>
      </c>
      <c r="P908" s="180">
        <f t="shared" si="176"/>
        <v>2074</v>
      </c>
      <c r="Q908" s="180">
        <f t="shared" si="177"/>
        <v>1924</v>
      </c>
      <c r="R908" s="216">
        <f>(SUM(B908:Q908))</f>
        <v>141231.59269124814</v>
      </c>
      <c r="S908" s="217"/>
      <c r="AC908" s="211" t="s">
        <v>14</v>
      </c>
      <c r="AD908" s="180">
        <f t="shared" si="181"/>
        <v>3507</v>
      </c>
      <c r="AE908" s="180">
        <f t="shared" si="182"/>
        <v>445</v>
      </c>
      <c r="AF908" s="180">
        <f t="shared" si="183"/>
        <v>464</v>
      </c>
      <c r="AG908" s="180">
        <f t="shared" si="184"/>
        <v>719</v>
      </c>
      <c r="AH908" s="180">
        <f t="shared" si="185"/>
        <v>0</v>
      </c>
      <c r="AI908" s="180">
        <f t="shared" si="186"/>
        <v>394</v>
      </c>
      <c r="AJ908" s="180">
        <f t="shared" si="187"/>
        <v>187</v>
      </c>
      <c r="AK908" s="180">
        <f t="shared" si="188"/>
        <v>213</v>
      </c>
      <c r="AL908" s="180">
        <f t="shared" si="189"/>
        <v>176</v>
      </c>
      <c r="AM908" s="180">
        <f t="shared" si="190"/>
        <v>60</v>
      </c>
      <c r="AN908" s="180">
        <f t="shared" si="191"/>
        <v>71</v>
      </c>
      <c r="AO908" s="180">
        <f t="shared" si="192"/>
        <v>146</v>
      </c>
      <c r="AP908" s="180">
        <f t="shared" si="193"/>
        <v>24</v>
      </c>
      <c r="AQ908" s="180">
        <f t="shared" si="194"/>
        <v>62</v>
      </c>
      <c r="AR908" s="180">
        <f t="shared" si="195"/>
        <v>58</v>
      </c>
      <c r="AS908" s="210">
        <f t="shared" si="196"/>
        <v>6526</v>
      </c>
      <c r="AU908" s="218">
        <f t="shared" si="197"/>
        <v>4.6207791582912626E-2</v>
      </c>
    </row>
    <row r="909" spans="1:48" ht="15.75" customHeight="1" x14ac:dyDescent="0.3">
      <c r="A909" s="192" t="s">
        <v>16</v>
      </c>
      <c r="B909" s="180">
        <f t="shared" si="178"/>
        <v>67376</v>
      </c>
      <c r="C909" s="180">
        <f t="shared" si="164"/>
        <v>8538</v>
      </c>
      <c r="D909" s="180">
        <f t="shared" si="165"/>
        <v>8908</v>
      </c>
      <c r="E909" s="180">
        <f t="shared" si="166"/>
        <v>13741</v>
      </c>
      <c r="F909" s="180">
        <f t="shared" si="179"/>
        <v>0</v>
      </c>
      <c r="G909" s="180">
        <f t="shared" si="167"/>
        <v>-11794.561112443283</v>
      </c>
      <c r="H909" s="180">
        <f t="shared" si="168"/>
        <v>12388</v>
      </c>
      <c r="I909" s="180">
        <f t="shared" si="169"/>
        <v>7465</v>
      </c>
      <c r="J909" s="180">
        <f t="shared" si="170"/>
        <v>7942</v>
      </c>
      <c r="K909" s="180">
        <f t="shared" si="171"/>
        <v>6970</v>
      </c>
      <c r="L909" s="180">
        <f t="shared" si="172"/>
        <v>2024</v>
      </c>
      <c r="M909" s="180">
        <f t="shared" si="173"/>
        <v>2384</v>
      </c>
      <c r="N909" s="180">
        <f t="shared" si="174"/>
        <v>4733</v>
      </c>
      <c r="O909" s="180">
        <f t="shared" si="175"/>
        <v>827</v>
      </c>
      <c r="P909" s="180">
        <f t="shared" si="176"/>
        <v>2040</v>
      </c>
      <c r="Q909" s="180">
        <f t="shared" si="177"/>
        <v>1956</v>
      </c>
      <c r="R909" s="216">
        <f t="shared" si="180"/>
        <v>135497.43888755672</v>
      </c>
      <c r="S909" s="217"/>
      <c r="AC909" s="211" t="s">
        <v>16</v>
      </c>
      <c r="AD909" s="180">
        <f t="shared" si="181"/>
        <v>3167</v>
      </c>
      <c r="AE909" s="180">
        <f t="shared" si="182"/>
        <v>401</v>
      </c>
      <c r="AF909" s="180">
        <f t="shared" si="183"/>
        <v>419</v>
      </c>
      <c r="AG909" s="180">
        <f t="shared" si="184"/>
        <v>646</v>
      </c>
      <c r="AH909" s="180">
        <f t="shared" si="185"/>
        <v>0</v>
      </c>
      <c r="AI909" s="180">
        <f t="shared" si="186"/>
        <v>372</v>
      </c>
      <c r="AJ909" s="180">
        <f t="shared" si="187"/>
        <v>224</v>
      </c>
      <c r="AK909" s="180">
        <f t="shared" si="188"/>
        <v>238</v>
      </c>
      <c r="AL909" s="180">
        <f t="shared" si="189"/>
        <v>209</v>
      </c>
      <c r="AM909" s="180">
        <f t="shared" si="190"/>
        <v>61</v>
      </c>
      <c r="AN909" s="180">
        <f t="shared" si="191"/>
        <v>72</v>
      </c>
      <c r="AO909" s="180">
        <f t="shared" si="192"/>
        <v>142</v>
      </c>
      <c r="AP909" s="180">
        <f t="shared" si="193"/>
        <v>25</v>
      </c>
      <c r="AQ909" s="180">
        <f t="shared" si="194"/>
        <v>61</v>
      </c>
      <c r="AR909" s="180">
        <f t="shared" si="195"/>
        <v>59</v>
      </c>
      <c r="AS909" s="210">
        <f t="shared" si="196"/>
        <v>6096</v>
      </c>
      <c r="AU909" s="218">
        <f t="shared" si="197"/>
        <v>4.4989780250081317E-2</v>
      </c>
    </row>
    <row r="910" spans="1:48" ht="15.75" customHeight="1" x14ac:dyDescent="0.3">
      <c r="A910" s="192" t="s">
        <v>17</v>
      </c>
      <c r="B910" s="180">
        <f t="shared" si="178"/>
        <v>67236</v>
      </c>
      <c r="C910" s="180">
        <f t="shared" si="164"/>
        <v>8531</v>
      </c>
      <c r="D910" s="180">
        <f t="shared" si="165"/>
        <v>8909</v>
      </c>
      <c r="E910" s="180">
        <f t="shared" si="166"/>
        <v>13712</v>
      </c>
      <c r="F910" s="180">
        <f t="shared" si="179"/>
        <v>0</v>
      </c>
      <c r="G910" s="180">
        <f t="shared" si="167"/>
        <v>-7965.2236428086744</v>
      </c>
      <c r="H910" s="180">
        <f t="shared" si="168"/>
        <v>10657</v>
      </c>
      <c r="I910" s="180">
        <f t="shared" si="169"/>
        <v>6548</v>
      </c>
      <c r="J910" s="180">
        <f t="shared" si="170"/>
        <v>6969</v>
      </c>
      <c r="K910" s="180">
        <f t="shared" si="171"/>
        <v>6103</v>
      </c>
      <c r="L910" s="180">
        <f t="shared" si="172"/>
        <v>1977</v>
      </c>
      <c r="M910" s="180">
        <f t="shared" si="173"/>
        <v>2329</v>
      </c>
      <c r="N910" s="180">
        <f t="shared" si="174"/>
        <v>4592</v>
      </c>
      <c r="O910" s="180">
        <f t="shared" si="175"/>
        <v>815</v>
      </c>
      <c r="P910" s="180">
        <f t="shared" si="176"/>
        <v>1734</v>
      </c>
      <c r="Q910" s="180">
        <f t="shared" si="177"/>
        <v>1929</v>
      </c>
      <c r="R910" s="216">
        <f t="shared" si="180"/>
        <v>134075.77635719132</v>
      </c>
      <c r="S910" s="217"/>
      <c r="AC910" s="211" t="s">
        <v>17</v>
      </c>
      <c r="AD910" s="180">
        <f t="shared" si="181"/>
        <v>3160</v>
      </c>
      <c r="AE910" s="180">
        <f t="shared" si="182"/>
        <v>401</v>
      </c>
      <c r="AF910" s="180">
        <f t="shared" si="183"/>
        <v>419</v>
      </c>
      <c r="AG910" s="180">
        <f t="shared" si="184"/>
        <v>644</v>
      </c>
      <c r="AH910" s="180">
        <f t="shared" si="185"/>
        <v>0</v>
      </c>
      <c r="AI910" s="180">
        <f t="shared" si="186"/>
        <v>320</v>
      </c>
      <c r="AJ910" s="180">
        <f t="shared" si="187"/>
        <v>196</v>
      </c>
      <c r="AK910" s="180">
        <f t="shared" si="188"/>
        <v>209</v>
      </c>
      <c r="AL910" s="180">
        <f t="shared" si="189"/>
        <v>183</v>
      </c>
      <c r="AM910" s="180">
        <f t="shared" si="190"/>
        <v>59</v>
      </c>
      <c r="AN910" s="180">
        <f t="shared" si="191"/>
        <v>70</v>
      </c>
      <c r="AO910" s="180">
        <f t="shared" si="192"/>
        <v>138</v>
      </c>
      <c r="AP910" s="180">
        <f t="shared" si="193"/>
        <v>24</v>
      </c>
      <c r="AQ910" s="180">
        <f t="shared" si="194"/>
        <v>52</v>
      </c>
      <c r="AR910" s="180">
        <f t="shared" si="195"/>
        <v>58</v>
      </c>
      <c r="AS910" s="210">
        <f t="shared" si="196"/>
        <v>5933</v>
      </c>
      <c r="AU910" s="218">
        <f t="shared" si="197"/>
        <v>4.425109562068761E-2</v>
      </c>
    </row>
    <row r="911" spans="1:48" ht="15.75" customHeight="1" x14ac:dyDescent="0.3">
      <c r="A911" s="192" t="s">
        <v>18</v>
      </c>
      <c r="B911" s="180">
        <f t="shared" si="178"/>
        <v>136995</v>
      </c>
      <c r="C911" s="180">
        <f t="shared" si="164"/>
        <v>17426</v>
      </c>
      <c r="D911" s="180">
        <f t="shared" si="165"/>
        <v>18244</v>
      </c>
      <c r="E911" s="180">
        <f t="shared" si="166"/>
        <v>30194</v>
      </c>
      <c r="F911" s="180">
        <f t="shared" si="179"/>
        <v>4428.2634268065922</v>
      </c>
      <c r="G911" s="180">
        <f t="shared" si="167"/>
        <v>0</v>
      </c>
      <c r="H911" s="180">
        <f t="shared" si="168"/>
        <v>6586</v>
      </c>
      <c r="I911" s="180">
        <f t="shared" si="169"/>
        <v>4301</v>
      </c>
      <c r="J911" s="180">
        <f t="shared" si="170"/>
        <v>5692</v>
      </c>
      <c r="K911" s="180">
        <f t="shared" si="171"/>
        <v>5092</v>
      </c>
      <c r="L911" s="180">
        <f t="shared" si="172"/>
        <v>1904</v>
      </c>
      <c r="M911" s="180">
        <f t="shared" si="173"/>
        <v>2242</v>
      </c>
      <c r="N911" s="180">
        <f t="shared" si="174"/>
        <v>4634</v>
      </c>
      <c r="O911" s="180">
        <f t="shared" si="175"/>
        <v>901</v>
      </c>
      <c r="P911" s="180">
        <f t="shared" si="176"/>
        <v>1768</v>
      </c>
      <c r="Q911" s="180">
        <f t="shared" si="177"/>
        <v>2131</v>
      </c>
      <c r="R911" s="216">
        <f t="shared" si="180"/>
        <v>242538.2634268066</v>
      </c>
      <c r="S911" s="217"/>
      <c r="AC911" s="211" t="s">
        <v>18</v>
      </c>
      <c r="AD911" s="180">
        <f t="shared" si="181"/>
        <v>6439</v>
      </c>
      <c r="AE911" s="180">
        <f t="shared" si="182"/>
        <v>819</v>
      </c>
      <c r="AF911" s="180">
        <f t="shared" si="183"/>
        <v>857</v>
      </c>
      <c r="AG911" s="180">
        <f t="shared" si="184"/>
        <v>1419</v>
      </c>
      <c r="AH911" s="180">
        <f t="shared" si="185"/>
        <v>0</v>
      </c>
      <c r="AI911" s="180">
        <f t="shared" si="186"/>
        <v>198</v>
      </c>
      <c r="AJ911" s="180">
        <f t="shared" si="187"/>
        <v>129</v>
      </c>
      <c r="AK911" s="180">
        <f t="shared" si="188"/>
        <v>171</v>
      </c>
      <c r="AL911" s="180">
        <f t="shared" si="189"/>
        <v>153</v>
      </c>
      <c r="AM911" s="180">
        <f t="shared" si="190"/>
        <v>57</v>
      </c>
      <c r="AN911" s="180">
        <f t="shared" si="191"/>
        <v>67</v>
      </c>
      <c r="AO911" s="180">
        <f t="shared" si="192"/>
        <v>139</v>
      </c>
      <c r="AP911" s="180">
        <f t="shared" si="193"/>
        <v>27</v>
      </c>
      <c r="AQ911" s="180">
        <f t="shared" si="194"/>
        <v>53</v>
      </c>
      <c r="AR911" s="180">
        <f t="shared" si="195"/>
        <v>64</v>
      </c>
      <c r="AS911" s="210">
        <f t="shared" si="196"/>
        <v>10592</v>
      </c>
      <c r="AU911" s="218">
        <f t="shared" si="197"/>
        <v>4.3671459712568042E-2</v>
      </c>
    </row>
    <row r="912" spans="1:48" ht="15.75" customHeight="1" x14ac:dyDescent="0.3">
      <c r="A912" s="192" t="s">
        <v>20</v>
      </c>
      <c r="B912" s="180">
        <f t="shared" si="178"/>
        <v>129543</v>
      </c>
      <c r="C912" s="180">
        <f t="shared" si="164"/>
        <v>16480</v>
      </c>
      <c r="D912" s="180">
        <f t="shared" si="165"/>
        <v>17255</v>
      </c>
      <c r="E912" s="180">
        <f t="shared" si="166"/>
        <v>27615</v>
      </c>
      <c r="F912" s="180">
        <f t="shared" si="179"/>
        <v>8039.9349757806085</v>
      </c>
      <c r="G912" s="180">
        <f t="shared" si="167"/>
        <v>0</v>
      </c>
      <c r="H912" s="180">
        <f t="shared" si="168"/>
        <v>4183</v>
      </c>
      <c r="I912" s="180">
        <f t="shared" si="169"/>
        <v>1740</v>
      </c>
      <c r="J912" s="180">
        <f t="shared" si="170"/>
        <v>2578</v>
      </c>
      <c r="K912" s="180">
        <f t="shared" si="171"/>
        <v>2507</v>
      </c>
      <c r="L912" s="180">
        <f t="shared" si="172"/>
        <v>805</v>
      </c>
      <c r="M912" s="180">
        <f t="shared" si="173"/>
        <v>947</v>
      </c>
      <c r="N912" s="180">
        <f t="shared" si="174"/>
        <v>1977</v>
      </c>
      <c r="O912" s="180">
        <f t="shared" si="175"/>
        <v>553</v>
      </c>
      <c r="P912" s="180">
        <f t="shared" si="176"/>
        <v>1768</v>
      </c>
      <c r="Q912" s="180">
        <f t="shared" si="177"/>
        <v>1307</v>
      </c>
      <c r="R912" s="216">
        <f t="shared" si="180"/>
        <v>217297.9349757806</v>
      </c>
      <c r="S912" s="217"/>
      <c r="AC912" s="211" t="s">
        <v>20</v>
      </c>
      <c r="AD912" s="180">
        <f t="shared" si="181"/>
        <v>6089</v>
      </c>
      <c r="AE912" s="180">
        <f t="shared" si="182"/>
        <v>775</v>
      </c>
      <c r="AF912" s="180">
        <f t="shared" si="183"/>
        <v>811</v>
      </c>
      <c r="AG912" s="180">
        <f t="shared" si="184"/>
        <v>1298</v>
      </c>
      <c r="AH912" s="180">
        <f t="shared" si="185"/>
        <v>0</v>
      </c>
      <c r="AI912" s="180">
        <f t="shared" si="186"/>
        <v>125</v>
      </c>
      <c r="AJ912" s="180">
        <f t="shared" si="187"/>
        <v>52</v>
      </c>
      <c r="AK912" s="180">
        <f t="shared" si="188"/>
        <v>77</v>
      </c>
      <c r="AL912" s="180">
        <f t="shared" si="189"/>
        <v>75</v>
      </c>
      <c r="AM912" s="180">
        <f t="shared" si="190"/>
        <v>24</v>
      </c>
      <c r="AN912" s="180">
        <f t="shared" si="191"/>
        <v>28</v>
      </c>
      <c r="AO912" s="180">
        <f t="shared" si="192"/>
        <v>59</v>
      </c>
      <c r="AP912" s="180">
        <f t="shared" si="193"/>
        <v>17</v>
      </c>
      <c r="AQ912" s="180">
        <f t="shared" si="194"/>
        <v>53</v>
      </c>
      <c r="AR912" s="180">
        <f t="shared" si="195"/>
        <v>39</v>
      </c>
      <c r="AS912" s="210">
        <f t="shared" si="196"/>
        <v>9522</v>
      </c>
      <c r="AU912" s="218">
        <f t="shared" si="197"/>
        <v>4.3820020659935378E-2</v>
      </c>
    </row>
    <row r="913" spans="1:47" ht="15.75" customHeight="1" x14ac:dyDescent="0.3">
      <c r="A913" s="192" t="s">
        <v>21</v>
      </c>
      <c r="B913" s="180">
        <f t="shared" si="178"/>
        <v>125504</v>
      </c>
      <c r="C913" s="180">
        <f t="shared" si="164"/>
        <v>15971</v>
      </c>
      <c r="D913" s="180">
        <f t="shared" si="165"/>
        <v>16727</v>
      </c>
      <c r="E913" s="180">
        <f t="shared" si="166"/>
        <v>27026</v>
      </c>
      <c r="F913" s="180">
        <f t="shared" si="179"/>
        <v>11273.042263827991</v>
      </c>
      <c r="G913" s="180">
        <f t="shared" si="167"/>
        <v>0</v>
      </c>
      <c r="H913" s="180">
        <f t="shared" si="168"/>
        <v>2957</v>
      </c>
      <c r="I913" s="180">
        <f t="shared" si="169"/>
        <v>1399</v>
      </c>
      <c r="J913" s="180">
        <f t="shared" si="170"/>
        <v>1967</v>
      </c>
      <c r="K913" s="180">
        <f t="shared" si="171"/>
        <v>2010</v>
      </c>
      <c r="L913" s="180">
        <f t="shared" si="172"/>
        <v>701</v>
      </c>
      <c r="M913" s="180">
        <f t="shared" si="173"/>
        <v>825</v>
      </c>
      <c r="N913" s="180">
        <f t="shared" si="174"/>
        <v>1720</v>
      </c>
      <c r="O913" s="180">
        <f t="shared" si="175"/>
        <v>387</v>
      </c>
      <c r="P913" s="180">
        <f t="shared" si="176"/>
        <v>1598</v>
      </c>
      <c r="Q913" s="180">
        <f t="shared" si="177"/>
        <v>915</v>
      </c>
      <c r="R913" s="216">
        <f t="shared" si="180"/>
        <v>210980.04226382799</v>
      </c>
      <c r="S913" s="217"/>
      <c r="AC913" s="211" t="s">
        <v>21</v>
      </c>
      <c r="AD913" s="180">
        <f t="shared" si="181"/>
        <v>5899</v>
      </c>
      <c r="AE913" s="180">
        <f t="shared" si="182"/>
        <v>751</v>
      </c>
      <c r="AF913" s="180">
        <f t="shared" si="183"/>
        <v>786</v>
      </c>
      <c r="AG913" s="180">
        <f t="shared" si="184"/>
        <v>1270</v>
      </c>
      <c r="AH913" s="180">
        <f t="shared" si="185"/>
        <v>0</v>
      </c>
      <c r="AI913" s="180">
        <f t="shared" si="186"/>
        <v>89</v>
      </c>
      <c r="AJ913" s="180">
        <f t="shared" si="187"/>
        <v>42</v>
      </c>
      <c r="AK913" s="180">
        <f t="shared" si="188"/>
        <v>59</v>
      </c>
      <c r="AL913" s="180">
        <f t="shared" si="189"/>
        <v>60</v>
      </c>
      <c r="AM913" s="180">
        <f t="shared" si="190"/>
        <v>21</v>
      </c>
      <c r="AN913" s="180">
        <f t="shared" si="191"/>
        <v>25</v>
      </c>
      <c r="AO913" s="180">
        <f t="shared" si="192"/>
        <v>52</v>
      </c>
      <c r="AP913" s="180">
        <f t="shared" si="193"/>
        <v>12</v>
      </c>
      <c r="AQ913" s="180">
        <f t="shared" si="194"/>
        <v>48</v>
      </c>
      <c r="AR913" s="180">
        <f t="shared" si="195"/>
        <v>27</v>
      </c>
      <c r="AS913" s="210">
        <f t="shared" si="196"/>
        <v>9141</v>
      </c>
      <c r="AU913" s="218">
        <f t="shared" si="197"/>
        <v>4.3326372968345933E-2</v>
      </c>
    </row>
    <row r="914" spans="1:47" ht="15.75" customHeight="1" x14ac:dyDescent="0.3">
      <c r="A914" s="192" t="s">
        <v>22</v>
      </c>
      <c r="B914" s="180">
        <f t="shared" si="178"/>
        <v>129173</v>
      </c>
      <c r="C914" s="180">
        <f t="shared" si="164"/>
        <v>16445</v>
      </c>
      <c r="D914" s="180">
        <f t="shared" si="165"/>
        <v>17230</v>
      </c>
      <c r="E914" s="180">
        <f t="shared" si="166"/>
        <v>28178</v>
      </c>
      <c r="F914" s="180">
        <f t="shared" si="179"/>
        <v>13165.4240663571</v>
      </c>
      <c r="G914" s="180">
        <f t="shared" si="167"/>
        <v>0</v>
      </c>
      <c r="H914" s="180">
        <f t="shared" si="168"/>
        <v>3570</v>
      </c>
      <c r="I914" s="180">
        <f t="shared" si="169"/>
        <v>2634</v>
      </c>
      <c r="J914" s="180">
        <f t="shared" si="170"/>
        <v>3884</v>
      </c>
      <c r="K914" s="180">
        <f t="shared" si="171"/>
        <v>4006</v>
      </c>
      <c r="L914" s="180">
        <f t="shared" si="172"/>
        <v>1472</v>
      </c>
      <c r="M914" s="180">
        <f t="shared" si="173"/>
        <v>1735</v>
      </c>
      <c r="N914" s="180">
        <f t="shared" si="174"/>
        <v>3648</v>
      </c>
      <c r="O914" s="180">
        <f t="shared" si="175"/>
        <v>607</v>
      </c>
      <c r="P914" s="180">
        <f t="shared" si="176"/>
        <v>1394</v>
      </c>
      <c r="Q914" s="180">
        <f t="shared" si="177"/>
        <v>1437</v>
      </c>
      <c r="R914" s="216">
        <f t="shared" si="180"/>
        <v>228578.42406635711</v>
      </c>
      <c r="S914" s="217"/>
      <c r="AC914" s="211" t="s">
        <v>22</v>
      </c>
      <c r="AD914" s="180">
        <f t="shared" si="181"/>
        <v>6071</v>
      </c>
      <c r="AE914" s="180">
        <f t="shared" si="182"/>
        <v>773</v>
      </c>
      <c r="AF914" s="180">
        <f t="shared" si="183"/>
        <v>810</v>
      </c>
      <c r="AG914" s="180">
        <f t="shared" si="184"/>
        <v>1324</v>
      </c>
      <c r="AH914" s="180">
        <f t="shared" si="185"/>
        <v>0</v>
      </c>
      <c r="AI914" s="180">
        <f t="shared" si="186"/>
        <v>107</v>
      </c>
      <c r="AJ914" s="180">
        <f t="shared" si="187"/>
        <v>79</v>
      </c>
      <c r="AK914" s="180">
        <f t="shared" si="188"/>
        <v>117</v>
      </c>
      <c r="AL914" s="180">
        <f t="shared" si="189"/>
        <v>120</v>
      </c>
      <c r="AM914" s="180">
        <f t="shared" si="190"/>
        <v>44</v>
      </c>
      <c r="AN914" s="180">
        <f t="shared" si="191"/>
        <v>52</v>
      </c>
      <c r="AO914" s="180">
        <f t="shared" si="192"/>
        <v>109</v>
      </c>
      <c r="AP914" s="180">
        <f t="shared" si="193"/>
        <v>18</v>
      </c>
      <c r="AQ914" s="180">
        <f t="shared" si="194"/>
        <v>42</v>
      </c>
      <c r="AR914" s="180">
        <f t="shared" si="195"/>
        <v>43</v>
      </c>
      <c r="AS914" s="210">
        <f t="shared" si="196"/>
        <v>9709</v>
      </c>
      <c r="AU914" s="218">
        <f t="shared" si="197"/>
        <v>4.2475575022695243E-2</v>
      </c>
    </row>
    <row r="915" spans="1:47" ht="15.75" customHeight="1" x14ac:dyDescent="0.3">
      <c r="A915" s="189"/>
      <c r="B915" s="180"/>
      <c r="C915" s="180"/>
      <c r="D915" s="180"/>
      <c r="E915" s="180"/>
      <c r="F915" s="180"/>
      <c r="G915" s="180"/>
      <c r="H915" s="180"/>
      <c r="I915" s="180"/>
      <c r="J915" s="180"/>
      <c r="K915" s="180"/>
      <c r="L915" s="180"/>
      <c r="M915" s="180"/>
      <c r="N915" s="180"/>
      <c r="O915" s="180"/>
      <c r="P915" s="180"/>
      <c r="Q915" s="180"/>
      <c r="R915" s="210"/>
      <c r="S915" s="217"/>
      <c r="AC915" s="95"/>
      <c r="AD915" s="180"/>
      <c r="AE915" s="180"/>
      <c r="AF915" s="180"/>
      <c r="AG915" s="180"/>
      <c r="AH915" s="180"/>
      <c r="AI915" s="180"/>
      <c r="AJ915" s="180"/>
      <c r="AK915" s="180"/>
      <c r="AL915" s="180"/>
      <c r="AM915" s="180"/>
      <c r="AN915" s="180"/>
      <c r="AO915" s="180"/>
      <c r="AP915" s="180"/>
      <c r="AQ915" s="180"/>
      <c r="AR915" s="180"/>
      <c r="AS915" s="210"/>
    </row>
    <row r="916" spans="1:47" ht="15.75" customHeight="1" thickBot="1" x14ac:dyDescent="0.35">
      <c r="A916" s="189" t="s">
        <v>641</v>
      </c>
      <c r="B916" s="180">
        <f>SUM(B903:B914)</f>
        <v>1435091</v>
      </c>
      <c r="C916" s="180">
        <f t="shared" ref="C916:R916" si="198">SUM(C903:C914)</f>
        <v>182522</v>
      </c>
      <c r="D916" s="180">
        <f t="shared" si="198"/>
        <v>191068</v>
      </c>
      <c r="E916" s="180">
        <f t="shared" si="198"/>
        <v>310810</v>
      </c>
      <c r="F916" s="180">
        <f t="shared" si="198"/>
        <v>58416.468678880643</v>
      </c>
      <c r="G916" s="180">
        <f t="shared" si="198"/>
        <v>-34138.192064003822</v>
      </c>
      <c r="H916" s="180">
        <f t="shared" si="198"/>
        <v>97269</v>
      </c>
      <c r="I916" s="180">
        <f t="shared" si="198"/>
        <v>55111</v>
      </c>
      <c r="J916" s="180">
        <f t="shared" si="198"/>
        <v>66292</v>
      </c>
      <c r="K916" s="180">
        <f t="shared" si="198"/>
        <v>60585</v>
      </c>
      <c r="L916" s="180">
        <f t="shared" si="198"/>
        <v>20030</v>
      </c>
      <c r="M916" s="180">
        <f t="shared" si="198"/>
        <v>23591</v>
      </c>
      <c r="N916" s="180">
        <f t="shared" si="198"/>
        <v>48610</v>
      </c>
      <c r="O916" s="180">
        <f t="shared" si="198"/>
        <v>8383</v>
      </c>
      <c r="P916" s="180">
        <f t="shared" si="198"/>
        <v>19686</v>
      </c>
      <c r="Q916" s="180">
        <f t="shared" si="198"/>
        <v>19830</v>
      </c>
      <c r="R916" s="219">
        <f t="shared" si="198"/>
        <v>2563156.2766148774</v>
      </c>
      <c r="S916" s="217"/>
      <c r="AC916" s="220" t="s">
        <v>641</v>
      </c>
      <c r="AD916" s="195">
        <f>SUM(AD903:AD914)</f>
        <v>67450</v>
      </c>
      <c r="AE916" s="195">
        <f t="shared" ref="AE916:AS916" si="199">SUM(AE903:AE914)</f>
        <v>8580</v>
      </c>
      <c r="AF916" s="195">
        <f t="shared" si="199"/>
        <v>8981</v>
      </c>
      <c r="AG916" s="195">
        <f t="shared" si="199"/>
        <v>14609</v>
      </c>
      <c r="AH916" s="195">
        <f t="shared" si="199"/>
        <v>0</v>
      </c>
      <c r="AI916" s="195">
        <f t="shared" si="199"/>
        <v>2919</v>
      </c>
      <c r="AJ916" s="195">
        <f t="shared" si="199"/>
        <v>1652</v>
      </c>
      <c r="AK916" s="195">
        <f t="shared" si="199"/>
        <v>1990</v>
      </c>
      <c r="AL916" s="195">
        <f t="shared" si="199"/>
        <v>1816</v>
      </c>
      <c r="AM916" s="195">
        <f t="shared" si="199"/>
        <v>601</v>
      </c>
      <c r="AN916" s="195">
        <f t="shared" si="199"/>
        <v>709</v>
      </c>
      <c r="AO916" s="195">
        <f t="shared" si="199"/>
        <v>1459</v>
      </c>
      <c r="AP916" s="195">
        <f t="shared" si="199"/>
        <v>250</v>
      </c>
      <c r="AQ916" s="195">
        <f t="shared" si="199"/>
        <v>591</v>
      </c>
      <c r="AR916" s="195">
        <f t="shared" si="199"/>
        <v>595</v>
      </c>
      <c r="AS916" s="221">
        <f t="shared" si="199"/>
        <v>112202</v>
      </c>
      <c r="AU916" s="218">
        <f t="shared" si="197"/>
        <v>4.3774935232659136E-2</v>
      </c>
    </row>
    <row r="917" spans="1:47" ht="16.5" customHeight="1" thickBot="1" x14ac:dyDescent="0.35">
      <c r="A917" s="204" t="s">
        <v>7</v>
      </c>
      <c r="B917" s="195"/>
      <c r="C917" s="195"/>
      <c r="D917" s="195"/>
      <c r="E917" s="195"/>
      <c r="F917" s="195"/>
      <c r="G917" s="195"/>
      <c r="H917" s="195"/>
      <c r="I917" s="195"/>
      <c r="J917" s="195"/>
      <c r="K917" s="195"/>
      <c r="L917" s="195"/>
      <c r="M917" s="195"/>
      <c r="N917" s="195"/>
      <c r="O917" s="195"/>
      <c r="P917" s="195"/>
      <c r="Q917" s="195"/>
      <c r="R917" s="221"/>
      <c r="S917" s="180"/>
    </row>
    <row r="918" spans="1:47" ht="15.75" customHeight="1" x14ac:dyDescent="0.3">
      <c r="A918" s="180"/>
      <c r="B918" s="180"/>
      <c r="C918" s="180"/>
      <c r="D918" s="180"/>
      <c r="E918" s="180"/>
      <c r="F918" s="180"/>
      <c r="G918" s="180"/>
      <c r="H918" s="180"/>
      <c r="I918" s="180"/>
      <c r="J918" s="180"/>
      <c r="K918" s="180"/>
      <c r="L918" s="180"/>
      <c r="M918" s="180"/>
      <c r="N918" s="180"/>
      <c r="O918" s="180"/>
      <c r="P918" s="180"/>
      <c r="Q918" s="180"/>
      <c r="R918" s="180"/>
    </row>
    <row r="919" spans="1:47" ht="15.75" customHeight="1" x14ac:dyDescent="0.3"/>
    <row r="920" spans="1:47" ht="15.75" customHeight="1" thickBot="1" x14ac:dyDescent="0.35"/>
    <row r="921" spans="1:47" ht="15.75" customHeight="1" thickBot="1" x14ac:dyDescent="0.35">
      <c r="B921" s="398" t="s">
        <v>727</v>
      </c>
      <c r="C921" s="387"/>
      <c r="D921" s="387"/>
      <c r="E921" s="387"/>
      <c r="F921" s="387"/>
      <c r="G921" s="387"/>
      <c r="H921" s="387"/>
      <c r="I921" s="387"/>
      <c r="J921" s="387"/>
      <c r="K921" s="387"/>
      <c r="L921" s="387"/>
      <c r="M921" s="387"/>
      <c r="N921" s="387"/>
      <c r="O921" s="387"/>
      <c r="P921" s="387"/>
      <c r="Q921" s="177" t="str">
        <f>+Q1</f>
        <v xml:space="preserve">PRINTED:  </v>
      </c>
      <c r="R921" s="197">
        <f ca="1">+R1</f>
        <v>44894.658168518516</v>
      </c>
      <c r="S921" s="318"/>
    </row>
    <row r="922" spans="1:47" ht="15.75" customHeight="1" x14ac:dyDescent="0.3">
      <c r="B922" s="399">
        <f>+A5</f>
        <v>2016</v>
      </c>
      <c r="C922" s="395"/>
      <c r="D922" s="395"/>
      <c r="E922" s="395"/>
      <c r="F922" s="395"/>
      <c r="G922" s="395"/>
      <c r="H922" s="395"/>
      <c r="I922" s="395"/>
      <c r="J922" s="395"/>
      <c r="K922" s="395"/>
      <c r="L922" s="395"/>
      <c r="M922" s="395"/>
      <c r="N922" s="395"/>
      <c r="O922" s="395"/>
      <c r="P922" s="395"/>
      <c r="Q922" s="180"/>
      <c r="R922" s="180"/>
      <c r="S922" s="306"/>
      <c r="AC922" s="207"/>
      <c r="AD922" s="387" t="s">
        <v>728</v>
      </c>
      <c r="AE922" s="393"/>
      <c r="AF922" s="393"/>
      <c r="AG922" s="393"/>
      <c r="AH922" s="393"/>
      <c r="AI922" s="393"/>
      <c r="AJ922" s="393"/>
      <c r="AK922" s="393"/>
      <c r="AL922" s="393"/>
      <c r="AM922" s="393"/>
      <c r="AN922" s="393"/>
      <c r="AO922" s="393"/>
      <c r="AP922" s="393"/>
      <c r="AQ922" s="393"/>
      <c r="AR922" s="177" t="str">
        <f>$Q$1</f>
        <v xml:space="preserve">PRINTED:  </v>
      </c>
      <c r="AS922" s="208">
        <f ca="1">$R$1</f>
        <v>44894.658168518516</v>
      </c>
    </row>
    <row r="923" spans="1:47" ht="15.75" customHeight="1" x14ac:dyDescent="0.3">
      <c r="B923" s="400" t="str">
        <f>+A8</f>
        <v>Revised:  12/8/2015</v>
      </c>
      <c r="C923" s="394"/>
      <c r="D923" s="394"/>
      <c r="E923" s="394"/>
      <c r="F923" s="394"/>
      <c r="G923" s="394"/>
      <c r="H923" s="394"/>
      <c r="I923" s="394"/>
      <c r="J923" s="394"/>
      <c r="K923" s="394"/>
      <c r="L923" s="394"/>
      <c r="M923" s="394"/>
      <c r="N923" s="394"/>
      <c r="O923" s="394"/>
      <c r="P923" s="394"/>
      <c r="Q923" s="180"/>
      <c r="R923" s="180"/>
      <c r="S923" s="306"/>
      <c r="AC923" s="95"/>
      <c r="AD923" s="394" t="str">
        <f>+$A$8</f>
        <v>Revised:  12/8/2015</v>
      </c>
      <c r="AE923" s="396"/>
      <c r="AF923" s="396"/>
      <c r="AG923" s="396"/>
      <c r="AH923" s="396"/>
      <c r="AI923" s="396"/>
      <c r="AJ923" s="396"/>
      <c r="AK923" s="396"/>
      <c r="AL923" s="396"/>
      <c r="AM923" s="396"/>
      <c r="AN923" s="396"/>
      <c r="AO923" s="396"/>
      <c r="AP923" s="396"/>
      <c r="AQ923" s="396"/>
      <c r="AR923" s="192"/>
      <c r="AS923" s="304"/>
    </row>
    <row r="924" spans="1:47" ht="15.75" customHeight="1" thickBot="1" x14ac:dyDescent="0.35">
      <c r="B924" s="401" t="s">
        <v>729</v>
      </c>
      <c r="C924" s="402"/>
      <c r="D924" s="402"/>
      <c r="E924" s="402"/>
      <c r="F924" s="402"/>
      <c r="G924" s="402"/>
      <c r="H924" s="402"/>
      <c r="I924" s="402"/>
      <c r="J924" s="402"/>
      <c r="K924" s="402"/>
      <c r="L924" s="402"/>
      <c r="M924" s="402"/>
      <c r="N924" s="402"/>
      <c r="O924" s="402"/>
      <c r="P924" s="402"/>
      <c r="Q924" s="180"/>
      <c r="R924" s="180"/>
      <c r="S924" s="306"/>
      <c r="AC924" s="95"/>
      <c r="AD924" s="394" t="s">
        <v>670</v>
      </c>
      <c r="AE924" s="397"/>
      <c r="AF924" s="397"/>
      <c r="AG924" s="397"/>
      <c r="AH924" s="397"/>
      <c r="AI924" s="397"/>
      <c r="AJ924" s="397"/>
      <c r="AK924" s="397"/>
      <c r="AL924" s="397"/>
      <c r="AM924" s="397"/>
      <c r="AN924" s="397"/>
      <c r="AO924" s="397"/>
      <c r="AP924" s="397"/>
      <c r="AQ924" s="397"/>
      <c r="AS924" s="304"/>
    </row>
    <row r="925" spans="1:47" ht="15.75" customHeight="1" thickBot="1" x14ac:dyDescent="0.35">
      <c r="A925" s="222"/>
      <c r="B925" s="403" t="s">
        <v>730</v>
      </c>
      <c r="C925" s="404"/>
      <c r="D925" s="404"/>
      <c r="E925" s="404"/>
      <c r="F925" s="405"/>
      <c r="G925" s="403" t="s">
        <v>731</v>
      </c>
      <c r="H925" s="404"/>
      <c r="I925" s="404"/>
      <c r="J925" s="404"/>
      <c r="K925" s="404"/>
      <c r="L925" s="404"/>
      <c r="M925" s="406" t="s">
        <v>732</v>
      </c>
      <c r="N925" s="407"/>
      <c r="O925" s="408"/>
      <c r="P925" s="404" t="s">
        <v>733</v>
      </c>
      <c r="Q925" s="404"/>
      <c r="R925" s="405"/>
      <c r="S925" s="306"/>
      <c r="AC925" s="95"/>
      <c r="AS925" s="304"/>
    </row>
    <row r="926" spans="1:47" ht="15.75" customHeight="1" x14ac:dyDescent="0.3">
      <c r="A926" s="222"/>
      <c r="B926" s="189" t="s">
        <v>639</v>
      </c>
      <c r="C926" s="182"/>
      <c r="D926" s="182" t="s">
        <v>734</v>
      </c>
      <c r="E926" s="182" t="s">
        <v>735</v>
      </c>
      <c r="F926" s="307" t="s">
        <v>736</v>
      </c>
      <c r="G926" s="189" t="s">
        <v>737</v>
      </c>
      <c r="H926" s="182"/>
      <c r="I926" s="182"/>
      <c r="J926" s="182" t="s">
        <v>738</v>
      </c>
      <c r="K926" s="182" t="s">
        <v>739</v>
      </c>
      <c r="L926" s="182" t="s">
        <v>740</v>
      </c>
      <c r="M926" s="409" t="s">
        <v>932</v>
      </c>
      <c r="N926" s="410"/>
      <c r="O926" s="411"/>
      <c r="P926" s="182" t="s">
        <v>742</v>
      </c>
      <c r="Q926" s="228" t="s">
        <v>743</v>
      </c>
      <c r="R926" s="308" t="s">
        <v>744</v>
      </c>
      <c r="S926" s="306"/>
      <c r="AC926" s="95"/>
      <c r="AD926" s="395">
        <f>$A$5</f>
        <v>2016</v>
      </c>
      <c r="AE926" s="397"/>
      <c r="AF926" s="397"/>
      <c r="AG926" s="397"/>
      <c r="AH926" s="397"/>
      <c r="AI926" s="397"/>
      <c r="AJ926" s="397"/>
      <c r="AK926" s="397"/>
      <c r="AL926" s="397"/>
      <c r="AM926" s="397"/>
      <c r="AN926" s="397"/>
      <c r="AO926" s="397"/>
      <c r="AP926" s="397"/>
      <c r="AQ926" s="397"/>
      <c r="AS926" s="304"/>
    </row>
    <row r="927" spans="1:47" ht="15.75" customHeight="1" x14ac:dyDescent="0.3">
      <c r="A927" s="222"/>
      <c r="B927" s="230" t="s">
        <v>745</v>
      </c>
      <c r="C927" s="231" t="s">
        <v>746</v>
      </c>
      <c r="D927" s="231" t="s">
        <v>747</v>
      </c>
      <c r="E927" s="182" t="s">
        <v>658</v>
      </c>
      <c r="F927" s="309" t="s">
        <v>748</v>
      </c>
      <c r="G927" s="189" t="s">
        <v>640</v>
      </c>
      <c r="H927" s="182" t="s">
        <v>749</v>
      </c>
      <c r="I927" s="182" t="s">
        <v>750</v>
      </c>
      <c r="J927" s="231" t="s">
        <v>751</v>
      </c>
      <c r="K927" s="182" t="s">
        <v>723</v>
      </c>
      <c r="L927" s="231" t="s">
        <v>752</v>
      </c>
      <c r="M927" s="233" t="s">
        <v>753</v>
      </c>
      <c r="N927" s="226" t="s">
        <v>754</v>
      </c>
      <c r="O927" s="310" t="s">
        <v>641</v>
      </c>
      <c r="P927" s="182" t="s">
        <v>757</v>
      </c>
      <c r="Q927" s="182" t="s">
        <v>758</v>
      </c>
      <c r="R927" s="307" t="s">
        <v>759</v>
      </c>
      <c r="S927" s="306"/>
      <c r="AC927" s="95"/>
      <c r="AD927" s="394" t="s">
        <v>717</v>
      </c>
      <c r="AE927" s="396"/>
      <c r="AF927" s="396"/>
      <c r="AG927" s="396"/>
      <c r="AH927" s="396"/>
      <c r="AI927" s="396"/>
      <c r="AJ927" s="396"/>
      <c r="AK927" s="396"/>
      <c r="AL927" s="396"/>
      <c r="AM927" s="396"/>
      <c r="AN927" s="396"/>
      <c r="AO927" s="396"/>
      <c r="AP927" s="396"/>
      <c r="AQ927" s="396"/>
      <c r="AR927" s="182"/>
      <c r="AS927" s="304"/>
    </row>
    <row r="928" spans="1:47" ht="15.75" customHeight="1" x14ac:dyDescent="0.3">
      <c r="A928" s="222"/>
      <c r="B928" s="235" t="s">
        <v>760</v>
      </c>
      <c r="C928" s="215">
        <v>0</v>
      </c>
      <c r="D928" s="215"/>
      <c r="E928" s="182" t="s">
        <v>761</v>
      </c>
      <c r="F928" s="311" t="s">
        <v>762</v>
      </c>
      <c r="G928" s="189" t="s">
        <v>763</v>
      </c>
      <c r="H928" s="182" t="s">
        <v>658</v>
      </c>
      <c r="I928" s="182" t="s">
        <v>658</v>
      </c>
      <c r="J928" s="182" t="s">
        <v>658</v>
      </c>
      <c r="K928" s="182" t="s">
        <v>743</v>
      </c>
      <c r="L928" s="182" t="s">
        <v>764</v>
      </c>
      <c r="M928" s="237" t="s">
        <v>648</v>
      </c>
      <c r="N928" s="227" t="s">
        <v>765</v>
      </c>
      <c r="O928" s="310" t="s">
        <v>766</v>
      </c>
      <c r="P928" s="182" t="s">
        <v>658</v>
      </c>
      <c r="Q928" s="182" t="s">
        <v>658</v>
      </c>
      <c r="R928" s="307" t="s">
        <v>658</v>
      </c>
      <c r="S928" s="306"/>
      <c r="AC928" s="95"/>
      <c r="AK928" s="190"/>
      <c r="AS928" s="304"/>
    </row>
    <row r="929" spans="1:45" ht="15.75" customHeight="1" thickBot="1" x14ac:dyDescent="0.35">
      <c r="A929" s="213" t="s">
        <v>768</v>
      </c>
      <c r="B929" s="189" t="s">
        <v>705</v>
      </c>
      <c r="C929" s="182" t="s">
        <v>705</v>
      </c>
      <c r="D929" s="182" t="s">
        <v>705</v>
      </c>
      <c r="E929" s="182" t="s">
        <v>705</v>
      </c>
      <c r="F929" s="307" t="s">
        <v>705</v>
      </c>
      <c r="G929" s="189" t="s">
        <v>705</v>
      </c>
      <c r="H929" s="182" t="s">
        <v>705</v>
      </c>
      <c r="I929" s="182" t="s">
        <v>705</v>
      </c>
      <c r="J929" s="182" t="s">
        <v>705</v>
      </c>
      <c r="K929" s="182" t="s">
        <v>705</v>
      </c>
      <c r="L929" s="182" t="s">
        <v>705</v>
      </c>
      <c r="M929" s="237" t="s">
        <v>705</v>
      </c>
      <c r="N929" s="227" t="s">
        <v>705</v>
      </c>
      <c r="O929" s="310" t="s">
        <v>705</v>
      </c>
      <c r="P929" s="182" t="s">
        <v>705</v>
      </c>
      <c r="Q929" s="182" t="s">
        <v>705</v>
      </c>
      <c r="R929" s="307" t="s">
        <v>705</v>
      </c>
      <c r="S929" s="306"/>
      <c r="AC929" s="95"/>
      <c r="AD929" s="191" t="s">
        <v>677</v>
      </c>
      <c r="AE929" s="191" t="s">
        <v>678</v>
      </c>
      <c r="AF929" s="191" t="s">
        <v>679</v>
      </c>
      <c r="AG929" s="191" t="s">
        <v>680</v>
      </c>
      <c r="AH929" s="191" t="s">
        <v>644</v>
      </c>
      <c r="AI929" s="191" t="s">
        <v>681</v>
      </c>
      <c r="AJ929" s="191" t="s">
        <v>682</v>
      </c>
      <c r="AK929" s="191" t="s">
        <v>683</v>
      </c>
      <c r="AL929" s="191" t="s">
        <v>684</v>
      </c>
      <c r="AM929" s="191" t="s">
        <v>685</v>
      </c>
      <c r="AN929" s="191" t="s">
        <v>686</v>
      </c>
      <c r="AO929" s="191" t="s">
        <v>687</v>
      </c>
      <c r="AP929" s="191" t="s">
        <v>688</v>
      </c>
      <c r="AQ929" s="191" t="s">
        <v>689</v>
      </c>
      <c r="AR929" s="191" t="s">
        <v>638</v>
      </c>
      <c r="AS929" s="209" t="s">
        <v>641</v>
      </c>
    </row>
    <row r="930" spans="1:45" ht="15.75" customHeight="1" x14ac:dyDescent="0.3">
      <c r="A930" s="213" t="s">
        <v>666</v>
      </c>
      <c r="B930" s="189" t="s">
        <v>666</v>
      </c>
      <c r="C930" s="182" t="s">
        <v>666</v>
      </c>
      <c r="D930" s="182" t="s">
        <v>666</v>
      </c>
      <c r="E930" s="182" t="s">
        <v>769</v>
      </c>
      <c r="F930" s="307" t="s">
        <v>666</v>
      </c>
      <c r="G930" s="189" t="s">
        <v>666</v>
      </c>
      <c r="H930" s="182" t="s">
        <v>770</v>
      </c>
      <c r="I930" s="182" t="s">
        <v>770</v>
      </c>
      <c r="J930" s="182" t="s">
        <v>666</v>
      </c>
      <c r="K930" s="182" t="s">
        <v>666</v>
      </c>
      <c r="L930" s="182" t="s">
        <v>666</v>
      </c>
      <c r="M930" s="237" t="s">
        <v>666</v>
      </c>
      <c r="N930" s="227" t="s">
        <v>666</v>
      </c>
      <c r="O930" s="310" t="s">
        <v>666</v>
      </c>
      <c r="P930" s="182" t="s">
        <v>666</v>
      </c>
      <c r="Q930" s="182" t="s">
        <v>666</v>
      </c>
      <c r="R930" s="307" t="s">
        <v>666</v>
      </c>
      <c r="S930" s="306"/>
      <c r="AC930" s="95"/>
      <c r="AD930" s="180"/>
      <c r="AE930" s="180"/>
      <c r="AF930" s="180"/>
      <c r="AG930" s="180"/>
      <c r="AH930" s="182" t="s">
        <v>718</v>
      </c>
      <c r="AI930" s="180"/>
      <c r="AJ930" s="180"/>
      <c r="AK930" s="180"/>
      <c r="AL930" s="180"/>
      <c r="AM930" s="180"/>
      <c r="AN930" s="180"/>
      <c r="AO930" s="180"/>
      <c r="AP930" s="180"/>
      <c r="AQ930" s="180"/>
      <c r="AR930" s="180"/>
      <c r="AS930" s="210"/>
    </row>
    <row r="931" spans="1:45" ht="15.75" customHeight="1" x14ac:dyDescent="0.3">
      <c r="A931" s="192" t="s">
        <v>8</v>
      </c>
      <c r="B931" s="189">
        <f>ROUND(R903-G903,0)</f>
        <v>248205</v>
      </c>
      <c r="C931" s="182">
        <f>+ROUND(B931*$C$928,0)</f>
        <v>0</v>
      </c>
      <c r="D931" s="182">
        <f>AS903</f>
        <v>10445</v>
      </c>
      <c r="E931" s="182">
        <f>+B931+C931</f>
        <v>248205</v>
      </c>
      <c r="F931" s="307">
        <f>(D931+E931)</f>
        <v>258650</v>
      </c>
      <c r="G931" s="189">
        <f>ABS(G903)</f>
        <v>0</v>
      </c>
      <c r="H931" s="238">
        <v>11019</v>
      </c>
      <c r="I931" s="238">
        <v>0</v>
      </c>
      <c r="J931" s="182">
        <f>(H931+I931)</f>
        <v>11019</v>
      </c>
      <c r="K931" s="238">
        <v>0</v>
      </c>
      <c r="L931" s="238">
        <v>0</v>
      </c>
      <c r="M931" s="239">
        <f>310496+6592</f>
        <v>317088</v>
      </c>
      <c r="N931" s="240"/>
      <c r="O931" s="310">
        <f>+M931+N931</f>
        <v>317088</v>
      </c>
      <c r="P931" s="242">
        <f>(F931-G931-J931-K931-L931-O931)</f>
        <v>-69457</v>
      </c>
      <c r="Q931" s="182" t="str">
        <f>+IF(P931&gt;=0,ABS(P931),"")</f>
        <v/>
      </c>
      <c r="R931" s="307">
        <f>+IF(P931&lt;=0,ABS(P931),"")</f>
        <v>69457</v>
      </c>
      <c r="S931" s="306"/>
      <c r="AC931" s="211" t="s">
        <v>771</v>
      </c>
      <c r="AD931" s="212"/>
      <c r="AE931" s="212"/>
      <c r="AF931" s="212"/>
      <c r="AG931" s="212"/>
      <c r="AH931" s="212">
        <v>1.6E-2</v>
      </c>
      <c r="AI931" s="212">
        <v>1.6E-2</v>
      </c>
      <c r="AJ931" s="212">
        <v>1.6E-2</v>
      </c>
      <c r="AK931" s="212">
        <v>1.6E-2</v>
      </c>
      <c r="AL931" s="212">
        <v>1.6E-2</v>
      </c>
      <c r="AM931" s="212">
        <v>1.6E-2</v>
      </c>
      <c r="AN931" s="212">
        <v>1.6E-2</v>
      </c>
      <c r="AO931" s="212">
        <v>1.6E-2</v>
      </c>
      <c r="AP931" s="212">
        <v>1.6E-2</v>
      </c>
      <c r="AQ931" s="212">
        <v>1.6E-2</v>
      </c>
      <c r="AR931" s="212">
        <v>1.6E-2</v>
      </c>
      <c r="AS931" s="213"/>
    </row>
    <row r="932" spans="1:45" ht="15.75" customHeight="1" x14ac:dyDescent="0.3">
      <c r="A932" s="192" t="s">
        <v>9</v>
      </c>
      <c r="B932" s="189">
        <f t="shared" ref="B932:B942" si="200">ROUND(R904-G904,0)</f>
        <v>172760</v>
      </c>
      <c r="C932" s="182">
        <f t="shared" ref="C932:C942" si="201">+ROUND(B932*$C$928,0)</f>
        <v>0</v>
      </c>
      <c r="D932" s="182">
        <f t="shared" ref="D932:D942" si="202">AS904</f>
        <v>7475</v>
      </c>
      <c r="E932" s="182">
        <f t="shared" ref="E932:E944" si="203">+B932+C932</f>
        <v>172760</v>
      </c>
      <c r="F932" s="307">
        <f t="shared" ref="F932:F942" si="204">(D932+E932)</f>
        <v>180235</v>
      </c>
      <c r="G932" s="189">
        <f t="shared" ref="G932:G942" si="205">ABS(G904)</f>
        <v>0</v>
      </c>
      <c r="H932" s="238">
        <v>10270</v>
      </c>
      <c r="I932" s="238">
        <v>0</v>
      </c>
      <c r="J932" s="182">
        <f t="shared" ref="J932:J941" si="206">(H932+I932)</f>
        <v>10270</v>
      </c>
      <c r="K932" s="238">
        <v>0</v>
      </c>
      <c r="L932" s="238">
        <v>0</v>
      </c>
      <c r="M932" s="239">
        <v>200000</v>
      </c>
      <c r="N932" s="240"/>
      <c r="O932" s="310">
        <f t="shared" ref="O932:O944" si="207">+M932+N932</f>
        <v>200000</v>
      </c>
      <c r="P932" s="242">
        <f t="shared" ref="P932:P942" si="208">(F932-G932-J932-K932-L932-O932)</f>
        <v>-30035</v>
      </c>
      <c r="Q932" s="182" t="str">
        <f t="shared" ref="Q932:Q942" si="209">+IF(P932&gt;=0,ABS(P932),"")</f>
        <v/>
      </c>
      <c r="R932" s="307">
        <f t="shared" ref="R932:R942" si="210">+IF(P932&lt;=0,ABS(P932),"")</f>
        <v>30035</v>
      </c>
      <c r="S932" s="306"/>
      <c r="AC932" s="211" t="s">
        <v>720</v>
      </c>
      <c r="AD932" s="212"/>
      <c r="AE932" s="212"/>
      <c r="AF932" s="212"/>
      <c r="AG932" s="212"/>
      <c r="AH932" s="212"/>
      <c r="AI932" s="212"/>
      <c r="AJ932" s="212"/>
      <c r="AK932" s="212"/>
      <c r="AL932" s="212"/>
      <c r="AM932" s="212"/>
      <c r="AN932" s="212"/>
      <c r="AO932" s="212"/>
      <c r="AP932" s="212"/>
      <c r="AQ932" s="212"/>
      <c r="AR932" s="212"/>
      <c r="AS932" s="213"/>
    </row>
    <row r="933" spans="1:45" ht="15.75" customHeight="1" x14ac:dyDescent="0.3">
      <c r="A933" s="192" t="s">
        <v>10</v>
      </c>
      <c r="B933" s="189">
        <f t="shared" si="200"/>
        <v>241154</v>
      </c>
      <c r="C933" s="182">
        <f t="shared" si="201"/>
        <v>0</v>
      </c>
      <c r="D933" s="182">
        <f t="shared" si="202"/>
        <v>10607</v>
      </c>
      <c r="E933" s="182">
        <f t="shared" si="203"/>
        <v>241154</v>
      </c>
      <c r="F933" s="307">
        <f t="shared" si="204"/>
        <v>251761</v>
      </c>
      <c r="G933" s="189">
        <f t="shared" si="205"/>
        <v>0</v>
      </c>
      <c r="H933" s="238">
        <v>16064</v>
      </c>
      <c r="I933" s="238">
        <v>0</v>
      </c>
      <c r="J933" s="182">
        <f t="shared" si="206"/>
        <v>16064</v>
      </c>
      <c r="K933" s="238">
        <v>0</v>
      </c>
      <c r="L933" s="238">
        <v>0</v>
      </c>
      <c r="M933" s="239">
        <v>252960</v>
      </c>
      <c r="N933" s="240"/>
      <c r="O933" s="310">
        <f t="shared" si="207"/>
        <v>252960</v>
      </c>
      <c r="P933" s="242">
        <f t="shared" si="208"/>
        <v>-17263</v>
      </c>
      <c r="Q933" s="182" t="str">
        <f t="shared" si="209"/>
        <v/>
      </c>
      <c r="R933" s="307">
        <f t="shared" si="210"/>
        <v>17263</v>
      </c>
      <c r="S933" s="306"/>
      <c r="AC933" s="211" t="s">
        <v>721</v>
      </c>
      <c r="AD933" s="212"/>
      <c r="AE933" s="212"/>
      <c r="AF933" s="212"/>
      <c r="AG933" s="212"/>
      <c r="AH933" s="212"/>
      <c r="AI933" s="212"/>
      <c r="AJ933" s="212"/>
      <c r="AK933" s="212"/>
      <c r="AL933" s="212"/>
      <c r="AM933" s="212"/>
      <c r="AN933" s="212"/>
      <c r="AO933" s="212"/>
      <c r="AP933" s="212"/>
      <c r="AQ933" s="212"/>
      <c r="AR933" s="212"/>
      <c r="AS933" s="213"/>
    </row>
    <row r="934" spans="1:45" ht="15.75" customHeight="1" x14ac:dyDescent="0.3">
      <c r="A934" s="192" t="s">
        <v>12</v>
      </c>
      <c r="B934" s="189">
        <f t="shared" si="200"/>
        <v>293026</v>
      </c>
      <c r="C934" s="182">
        <f t="shared" si="201"/>
        <v>0</v>
      </c>
      <c r="D934" s="182">
        <f t="shared" si="202"/>
        <v>12942</v>
      </c>
      <c r="E934" s="182">
        <f t="shared" si="203"/>
        <v>293026</v>
      </c>
      <c r="F934" s="307">
        <f t="shared" si="204"/>
        <v>305968</v>
      </c>
      <c r="G934" s="189">
        <f t="shared" si="205"/>
        <v>0</v>
      </c>
      <c r="H934" s="238">
        <v>17472</v>
      </c>
      <c r="I934" s="238">
        <v>0</v>
      </c>
      <c r="J934" s="182">
        <f t="shared" si="206"/>
        <v>17472</v>
      </c>
      <c r="K934" s="238">
        <v>0</v>
      </c>
      <c r="L934" s="238">
        <v>0</v>
      </c>
      <c r="M934" s="239">
        <f>286080+6592</f>
        <v>292672</v>
      </c>
      <c r="N934" s="240"/>
      <c r="O934" s="310">
        <f t="shared" si="207"/>
        <v>292672</v>
      </c>
      <c r="P934" s="242">
        <f t="shared" si="208"/>
        <v>-4176</v>
      </c>
      <c r="Q934" s="182" t="str">
        <f t="shared" si="209"/>
        <v/>
      </c>
      <c r="R934" s="307">
        <f t="shared" si="210"/>
        <v>4176</v>
      </c>
      <c r="S934" s="306"/>
      <c r="AC934" s="211" t="s">
        <v>137</v>
      </c>
      <c r="AD934" s="212"/>
      <c r="AE934" s="212"/>
      <c r="AF934" s="212"/>
      <c r="AG934" s="212"/>
      <c r="AH934" s="212"/>
      <c r="AI934" s="212"/>
      <c r="AJ934" s="212"/>
      <c r="AK934" s="212"/>
      <c r="AL934" s="212"/>
      <c r="AM934" s="212"/>
      <c r="AN934" s="212"/>
      <c r="AO934" s="212"/>
      <c r="AP934" s="212"/>
      <c r="AQ934" s="212"/>
      <c r="AR934" s="212"/>
      <c r="AS934" s="213"/>
    </row>
    <row r="935" spans="1:45" ht="15.75" customHeight="1" x14ac:dyDescent="0.3">
      <c r="A935" s="192" t="s">
        <v>13</v>
      </c>
      <c r="B935" s="189">
        <f t="shared" si="200"/>
        <v>297813</v>
      </c>
      <c r="C935" s="182">
        <f t="shared" si="201"/>
        <v>0</v>
      </c>
      <c r="D935" s="182">
        <f t="shared" si="202"/>
        <v>13214</v>
      </c>
      <c r="E935" s="182">
        <f t="shared" si="203"/>
        <v>297813</v>
      </c>
      <c r="F935" s="307">
        <f t="shared" si="204"/>
        <v>311027</v>
      </c>
      <c r="G935" s="189">
        <f t="shared" si="205"/>
        <v>0</v>
      </c>
      <c r="H935" s="238">
        <v>14852</v>
      </c>
      <c r="I935" s="238">
        <v>0</v>
      </c>
      <c r="J935" s="182">
        <f t="shared" si="206"/>
        <v>14852</v>
      </c>
      <c r="K935" s="238">
        <v>0</v>
      </c>
      <c r="L935" s="238">
        <v>0</v>
      </c>
      <c r="M935" s="239">
        <f>298344+8160</f>
        <v>306504</v>
      </c>
      <c r="N935" s="240">
        <v>11904</v>
      </c>
      <c r="O935" s="310">
        <f t="shared" si="207"/>
        <v>318408</v>
      </c>
      <c r="P935" s="242">
        <f t="shared" si="208"/>
        <v>-22233</v>
      </c>
      <c r="Q935" s="182" t="str">
        <f t="shared" si="209"/>
        <v/>
      </c>
      <c r="R935" s="307">
        <f t="shared" si="210"/>
        <v>22233</v>
      </c>
      <c r="S935" s="306"/>
      <c r="AC935" s="211" t="s">
        <v>772</v>
      </c>
      <c r="AD935" s="212"/>
      <c r="AE935" s="212"/>
      <c r="AF935" s="212"/>
      <c r="AG935" s="212"/>
      <c r="AH935" s="212"/>
      <c r="AI935" s="212"/>
      <c r="AJ935" s="212">
        <v>2.5000000000000001E-2</v>
      </c>
      <c r="AK935" s="212">
        <v>2.5000000000000001E-2</v>
      </c>
      <c r="AL935" s="212">
        <v>2.5000000000000001E-2</v>
      </c>
      <c r="AM935" s="212">
        <v>2.5000000000000001E-2</v>
      </c>
      <c r="AN935" s="212">
        <v>2.5000000000000001E-2</v>
      </c>
      <c r="AO935" s="212">
        <v>2.5000000000000001E-2</v>
      </c>
      <c r="AP935" s="212">
        <v>2.5000000000000001E-2</v>
      </c>
      <c r="AQ935" s="212">
        <v>2.5000000000000001E-2</v>
      </c>
      <c r="AR935" s="212">
        <v>2.5000000000000001E-2</v>
      </c>
      <c r="AS935" s="213"/>
    </row>
    <row r="936" spans="1:45" ht="15.75" customHeight="1" x14ac:dyDescent="0.3">
      <c r="A936" s="192" t="s">
        <v>14</v>
      </c>
      <c r="B936" s="189">
        <f t="shared" si="200"/>
        <v>155610</v>
      </c>
      <c r="C936" s="182">
        <f t="shared" si="201"/>
        <v>0</v>
      </c>
      <c r="D936" s="182">
        <f t="shared" si="202"/>
        <v>6526</v>
      </c>
      <c r="E936" s="182">
        <f t="shared" si="203"/>
        <v>155610</v>
      </c>
      <c r="F936" s="307">
        <f t="shared" si="204"/>
        <v>162136</v>
      </c>
      <c r="G936" s="189">
        <f t="shared" si="205"/>
        <v>14378.407308751861</v>
      </c>
      <c r="H936" s="238">
        <v>13723</v>
      </c>
      <c r="I936" s="238">
        <v>0</v>
      </c>
      <c r="J936" s="182">
        <f t="shared" si="206"/>
        <v>13723</v>
      </c>
      <c r="K936" s="238">
        <v>0</v>
      </c>
      <c r="L936" s="238">
        <v>0</v>
      </c>
      <c r="M936" s="239">
        <v>143280</v>
      </c>
      <c r="N936" s="240"/>
      <c r="O936" s="310">
        <f t="shared" si="207"/>
        <v>143280</v>
      </c>
      <c r="P936" s="242">
        <f t="shared" si="208"/>
        <v>-9245.4073087518627</v>
      </c>
      <c r="Q936" s="182" t="str">
        <f t="shared" si="209"/>
        <v/>
      </c>
      <c r="R936" s="307">
        <f t="shared" si="210"/>
        <v>9245.4073087518627</v>
      </c>
      <c r="S936" s="306"/>
      <c r="AC936" s="211" t="s">
        <v>641</v>
      </c>
      <c r="AD936" s="215">
        <f>SUM(AD931:AD935)</f>
        <v>0</v>
      </c>
      <c r="AE936" s="215">
        <f t="shared" ref="AE936:AR936" si="211">SUM(AE931:AE935)</f>
        <v>0</v>
      </c>
      <c r="AF936" s="215">
        <f t="shared" si="211"/>
        <v>0</v>
      </c>
      <c r="AG936" s="215">
        <f t="shared" si="211"/>
        <v>0</v>
      </c>
      <c r="AH936" s="215">
        <f t="shared" si="211"/>
        <v>1.6E-2</v>
      </c>
      <c r="AI936" s="215">
        <f t="shared" si="211"/>
        <v>1.6E-2</v>
      </c>
      <c r="AJ936" s="215">
        <f t="shared" si="211"/>
        <v>4.1000000000000002E-2</v>
      </c>
      <c r="AK936" s="215">
        <f t="shared" si="211"/>
        <v>4.1000000000000002E-2</v>
      </c>
      <c r="AL936" s="215">
        <f t="shared" si="211"/>
        <v>4.1000000000000002E-2</v>
      </c>
      <c r="AM936" s="215">
        <f t="shared" si="211"/>
        <v>4.1000000000000002E-2</v>
      </c>
      <c r="AN936" s="215">
        <f t="shared" si="211"/>
        <v>4.1000000000000002E-2</v>
      </c>
      <c r="AO936" s="215">
        <f t="shared" si="211"/>
        <v>4.1000000000000002E-2</v>
      </c>
      <c r="AP936" s="215">
        <f t="shared" si="211"/>
        <v>4.1000000000000002E-2</v>
      </c>
      <c r="AQ936" s="215">
        <f t="shared" si="211"/>
        <v>4.1000000000000002E-2</v>
      </c>
      <c r="AR936" s="215">
        <f t="shared" si="211"/>
        <v>4.1000000000000002E-2</v>
      </c>
      <c r="AS936" s="213"/>
    </row>
    <row r="937" spans="1:45" ht="15.75" customHeight="1" x14ac:dyDescent="0.3">
      <c r="A937" s="192" t="s">
        <v>16</v>
      </c>
      <c r="B937" s="189">
        <f t="shared" si="200"/>
        <v>147292</v>
      </c>
      <c r="C937" s="182">
        <f t="shared" si="201"/>
        <v>0</v>
      </c>
      <c r="D937" s="182">
        <f t="shared" si="202"/>
        <v>6096</v>
      </c>
      <c r="E937" s="182">
        <f t="shared" si="203"/>
        <v>147292</v>
      </c>
      <c r="F937" s="307">
        <f t="shared" si="204"/>
        <v>153388</v>
      </c>
      <c r="G937" s="189">
        <f t="shared" si="205"/>
        <v>11794.561112443283</v>
      </c>
      <c r="H937" s="238">
        <v>12923</v>
      </c>
      <c r="I937" s="238">
        <v>0</v>
      </c>
      <c r="J937" s="182">
        <f t="shared" si="206"/>
        <v>12923</v>
      </c>
      <c r="K937" s="238">
        <v>0</v>
      </c>
      <c r="L937" s="238">
        <v>0</v>
      </c>
      <c r="M937" s="239">
        <v>150288</v>
      </c>
      <c r="N937" s="240"/>
      <c r="O937" s="310">
        <f t="shared" si="207"/>
        <v>150288</v>
      </c>
      <c r="P937" s="242">
        <f t="shared" si="208"/>
        <v>-21617.561112443276</v>
      </c>
      <c r="Q937" s="182" t="str">
        <f t="shared" si="209"/>
        <v/>
      </c>
      <c r="R937" s="307">
        <f t="shared" si="210"/>
        <v>21617.561112443276</v>
      </c>
      <c r="S937" s="306"/>
      <c r="AC937" s="189" t="s">
        <v>666</v>
      </c>
      <c r="AD937" s="182" t="s">
        <v>666</v>
      </c>
      <c r="AE937" s="182" t="s">
        <v>666</v>
      </c>
      <c r="AF937" s="182" t="s">
        <v>666</v>
      </c>
      <c r="AG937" s="182" t="s">
        <v>666</v>
      </c>
      <c r="AH937" s="182" t="s">
        <v>666</v>
      </c>
      <c r="AI937" s="182" t="s">
        <v>666</v>
      </c>
      <c r="AJ937" s="182" t="s">
        <v>666</v>
      </c>
      <c r="AK937" s="182" t="s">
        <v>666</v>
      </c>
      <c r="AL937" s="182" t="s">
        <v>666</v>
      </c>
      <c r="AM937" s="182" t="s">
        <v>666</v>
      </c>
      <c r="AN937" s="182" t="s">
        <v>666</v>
      </c>
      <c r="AO937" s="182" t="s">
        <v>666</v>
      </c>
      <c r="AP937" s="182" t="s">
        <v>666</v>
      </c>
      <c r="AQ937" s="182" t="s">
        <v>666</v>
      </c>
      <c r="AR937" s="182" t="s">
        <v>666</v>
      </c>
      <c r="AS937" s="213" t="s">
        <v>666</v>
      </c>
    </row>
    <row r="938" spans="1:45" ht="15.75" customHeight="1" x14ac:dyDescent="0.3">
      <c r="A938" s="192" t="s">
        <v>17</v>
      </c>
      <c r="B938" s="189">
        <f t="shared" si="200"/>
        <v>142041</v>
      </c>
      <c r="C938" s="182">
        <f t="shared" si="201"/>
        <v>0</v>
      </c>
      <c r="D938" s="182">
        <f t="shared" si="202"/>
        <v>5933</v>
      </c>
      <c r="E938" s="182">
        <f t="shared" si="203"/>
        <v>142041</v>
      </c>
      <c r="F938" s="307">
        <f t="shared" si="204"/>
        <v>147974</v>
      </c>
      <c r="G938" s="189">
        <f t="shared" si="205"/>
        <v>7965.2236428086744</v>
      </c>
      <c r="H938" s="238">
        <v>11197</v>
      </c>
      <c r="I938" s="238">
        <v>0</v>
      </c>
      <c r="J938" s="182">
        <f t="shared" si="206"/>
        <v>11197</v>
      </c>
      <c r="K938" s="238">
        <v>0</v>
      </c>
      <c r="L938" s="238">
        <v>0</v>
      </c>
      <c r="M938" s="239">
        <v>157728</v>
      </c>
      <c r="N938" s="240"/>
      <c r="O938" s="310">
        <f t="shared" si="207"/>
        <v>157728</v>
      </c>
      <c r="P938" s="242">
        <f t="shared" si="208"/>
        <v>-28916.223642808676</v>
      </c>
      <c r="Q938" s="182" t="str">
        <f t="shared" si="209"/>
        <v/>
      </c>
      <c r="R938" s="307">
        <f t="shared" si="210"/>
        <v>28916.223642808676</v>
      </c>
      <c r="S938" s="306"/>
      <c r="AC938" s="211" t="s">
        <v>8</v>
      </c>
      <c r="AD938" s="180">
        <f>ROUND(B903*$AD$936, 0)</f>
        <v>0</v>
      </c>
      <c r="AE938" s="180">
        <f>ROUND(C903*$AE$936,0)</f>
        <v>0</v>
      </c>
      <c r="AF938" s="180">
        <f>ROUND(D903*$AF$936,0)</f>
        <v>0</v>
      </c>
      <c r="AG938" s="180">
        <f>ROUND(E903*$AG$936,0)</f>
        <v>0</v>
      </c>
      <c r="AH938" s="180">
        <f>ROUND(F903*$AH$936,0)</f>
        <v>250</v>
      </c>
      <c r="AI938" s="180">
        <f>ROUND(H903*$AI$936,0)</f>
        <v>71</v>
      </c>
      <c r="AJ938" s="180">
        <f>ROUND(I903*$AJ$936,0)</f>
        <v>133</v>
      </c>
      <c r="AK938" s="180">
        <f>ROUND(J903*$AK$936,0)</f>
        <v>199</v>
      </c>
      <c r="AL938" s="180">
        <f>ROUND(K903*$AL$936,0)</f>
        <v>201</v>
      </c>
      <c r="AM938" s="180">
        <f>ROUND(L903*$AM$936,0)</f>
        <v>69</v>
      </c>
      <c r="AN938" s="180">
        <f>ROUND(M903*$AN$936,0)</f>
        <v>82</v>
      </c>
      <c r="AO938" s="180">
        <f>ROUND(N903*$AO$936,0)</f>
        <v>172</v>
      </c>
      <c r="AP938" s="180">
        <f>ROUND(O903*$AP$936,0)</f>
        <v>31</v>
      </c>
      <c r="AQ938" s="180">
        <f>ROUND(P903*$AQ$936,0)</f>
        <v>36</v>
      </c>
      <c r="AR938" s="180">
        <f>ROUND(Q903*$AR$936,0)</f>
        <v>72</v>
      </c>
      <c r="AS938" s="210">
        <f>SUM(AD938:AR938)</f>
        <v>1316</v>
      </c>
    </row>
    <row r="939" spans="1:45" ht="15.75" customHeight="1" x14ac:dyDescent="0.3">
      <c r="A939" s="192" t="s">
        <v>18</v>
      </c>
      <c r="B939" s="189">
        <f t="shared" si="200"/>
        <v>242538</v>
      </c>
      <c r="C939" s="182">
        <f t="shared" si="201"/>
        <v>0</v>
      </c>
      <c r="D939" s="182">
        <f t="shared" si="202"/>
        <v>10592</v>
      </c>
      <c r="E939" s="182">
        <f t="shared" si="203"/>
        <v>242538</v>
      </c>
      <c r="F939" s="307">
        <f t="shared" si="204"/>
        <v>253130</v>
      </c>
      <c r="G939" s="189">
        <f t="shared" si="205"/>
        <v>0</v>
      </c>
      <c r="H939" s="238">
        <v>10337</v>
      </c>
      <c r="I939" s="238">
        <v>0</v>
      </c>
      <c r="J939" s="182">
        <f t="shared" si="206"/>
        <v>10337</v>
      </c>
      <c r="K939" s="238">
        <v>0</v>
      </c>
      <c r="L939" s="238">
        <v>0</v>
      </c>
      <c r="M939" s="239">
        <v>226560</v>
      </c>
      <c r="N939" s="240">
        <v>71520</v>
      </c>
      <c r="O939" s="310">
        <f t="shared" si="207"/>
        <v>298080</v>
      </c>
      <c r="P939" s="242">
        <f t="shared" si="208"/>
        <v>-55287</v>
      </c>
      <c r="Q939" s="182" t="str">
        <f t="shared" si="209"/>
        <v/>
      </c>
      <c r="R939" s="307">
        <f t="shared" si="210"/>
        <v>55287</v>
      </c>
      <c r="S939" s="306"/>
      <c r="AC939" s="211" t="s">
        <v>9</v>
      </c>
      <c r="AD939" s="180">
        <f t="shared" ref="AD939:AD949" si="212">ROUND(B904*$AD$936, 0)</f>
        <v>0</v>
      </c>
      <c r="AE939" s="180">
        <f t="shared" ref="AE939:AE949" si="213">ROUND(C904*$AE$936,0)</f>
        <v>0</v>
      </c>
      <c r="AF939" s="180">
        <f t="shared" ref="AF939:AF949" si="214">ROUND(D904*$AF$936,0)</f>
        <v>0</v>
      </c>
      <c r="AG939" s="180">
        <f t="shared" ref="AG939:AG949" si="215">ROUND(E904*$AG$936,0)</f>
        <v>0</v>
      </c>
      <c r="AH939" s="180">
        <f t="shared" ref="AH939:AH949" si="216">ROUND(F904*$AH$936,0)</f>
        <v>37</v>
      </c>
      <c r="AI939" s="180">
        <f t="shared" ref="AI939:AI949" si="217">ROUND(H904*$AI$936,0)</f>
        <v>95</v>
      </c>
      <c r="AJ939" s="180">
        <f t="shared" ref="AJ939:AJ949" si="218">ROUND(I904*$AJ$936,0)</f>
        <v>142</v>
      </c>
      <c r="AK939" s="180">
        <f t="shared" ref="AK939:AK949" si="219">ROUND(J904*$AK$936,0)</f>
        <v>216</v>
      </c>
      <c r="AL939" s="180">
        <f t="shared" ref="AL939:AL949" si="220">ROUND(K904*$AL$936,0)</f>
        <v>220</v>
      </c>
      <c r="AM939" s="180">
        <f t="shared" ref="AM939:AM949" si="221">ROUND(L904*$AM$936,0)</f>
        <v>71</v>
      </c>
      <c r="AN939" s="180">
        <f t="shared" ref="AN939:AN949" si="222">ROUND(M904*$AN$936,0)</f>
        <v>84</v>
      </c>
      <c r="AO939" s="180">
        <f t="shared" ref="AO939:AO949" si="223">ROUND(N904*$AO$936,0)</f>
        <v>176</v>
      </c>
      <c r="AP939" s="180">
        <f t="shared" ref="AP939:AP949" si="224">ROUND(O904*$AP$936,0)</f>
        <v>32</v>
      </c>
      <c r="AQ939" s="180">
        <f t="shared" ref="AQ939:AQ949" si="225">ROUND(P904*$AQ$936,0)</f>
        <v>38</v>
      </c>
      <c r="AR939" s="180">
        <f t="shared" ref="AR939:AR949" si="226">ROUND(Q904*$AR$936,0)</f>
        <v>76</v>
      </c>
      <c r="AS939" s="210">
        <f t="shared" ref="AS939:AS949" si="227">SUM(AD939:AR939)</f>
        <v>1187</v>
      </c>
    </row>
    <row r="940" spans="1:45" ht="15.75" customHeight="1" x14ac:dyDescent="0.3">
      <c r="A940" s="192" t="s">
        <v>20</v>
      </c>
      <c r="B940" s="189">
        <f t="shared" si="200"/>
        <v>217298</v>
      </c>
      <c r="C940" s="182">
        <f t="shared" si="201"/>
        <v>0</v>
      </c>
      <c r="D940" s="182">
        <f t="shared" si="202"/>
        <v>9522</v>
      </c>
      <c r="E940" s="182">
        <f t="shared" si="203"/>
        <v>217298</v>
      </c>
      <c r="F940" s="307">
        <f t="shared" si="204"/>
        <v>226820</v>
      </c>
      <c r="G940" s="189">
        <f t="shared" si="205"/>
        <v>0</v>
      </c>
      <c r="H940" s="238">
        <v>9830</v>
      </c>
      <c r="I940" s="238">
        <v>0</v>
      </c>
      <c r="J940" s="182">
        <f t="shared" si="206"/>
        <v>9830</v>
      </c>
      <c r="K940" s="238">
        <v>0</v>
      </c>
      <c r="L940" s="238">
        <v>0</v>
      </c>
      <c r="M940" s="239">
        <f>187488+6464</f>
        <v>193952</v>
      </c>
      <c r="N940" s="240"/>
      <c r="O940" s="310">
        <f t="shared" si="207"/>
        <v>193952</v>
      </c>
      <c r="P940" s="242">
        <f t="shared" si="208"/>
        <v>23038</v>
      </c>
      <c r="Q940" s="182">
        <f t="shared" si="209"/>
        <v>23038</v>
      </c>
      <c r="R940" s="307" t="str">
        <f t="shared" si="210"/>
        <v/>
      </c>
      <c r="S940" s="306"/>
      <c r="AC940" s="211" t="s">
        <v>10</v>
      </c>
      <c r="AD940" s="180">
        <f t="shared" si="212"/>
        <v>0</v>
      </c>
      <c r="AE940" s="180">
        <f t="shared" si="213"/>
        <v>0</v>
      </c>
      <c r="AF940" s="180">
        <f t="shared" si="214"/>
        <v>0</v>
      </c>
      <c r="AG940" s="180">
        <f t="shared" si="215"/>
        <v>0</v>
      </c>
      <c r="AH940" s="180">
        <f t="shared" si="216"/>
        <v>7</v>
      </c>
      <c r="AI940" s="180">
        <f t="shared" si="217"/>
        <v>155</v>
      </c>
      <c r="AJ940" s="180">
        <f t="shared" si="218"/>
        <v>234</v>
      </c>
      <c r="AK940" s="180">
        <f t="shared" si="219"/>
        <v>282</v>
      </c>
      <c r="AL940" s="180">
        <f t="shared" si="220"/>
        <v>247</v>
      </c>
      <c r="AM940" s="180">
        <f t="shared" si="221"/>
        <v>79</v>
      </c>
      <c r="AN940" s="180">
        <f t="shared" si="222"/>
        <v>94</v>
      </c>
      <c r="AO940" s="180">
        <f t="shared" si="223"/>
        <v>196</v>
      </c>
      <c r="AP940" s="180">
        <f t="shared" si="224"/>
        <v>33</v>
      </c>
      <c r="AQ940" s="180">
        <f t="shared" si="225"/>
        <v>64</v>
      </c>
      <c r="AR940" s="180">
        <f t="shared" si="226"/>
        <v>78</v>
      </c>
      <c r="AS940" s="210">
        <f t="shared" si="227"/>
        <v>1469</v>
      </c>
    </row>
    <row r="941" spans="1:45" ht="15.75" customHeight="1" x14ac:dyDescent="0.3">
      <c r="A941" s="192" t="s">
        <v>21</v>
      </c>
      <c r="B941" s="189">
        <f t="shared" si="200"/>
        <v>210980</v>
      </c>
      <c r="C941" s="182">
        <f t="shared" si="201"/>
        <v>0</v>
      </c>
      <c r="D941" s="182">
        <f t="shared" si="202"/>
        <v>9141</v>
      </c>
      <c r="E941" s="182">
        <f t="shared" si="203"/>
        <v>210980</v>
      </c>
      <c r="F941" s="307">
        <f t="shared" si="204"/>
        <v>220121</v>
      </c>
      <c r="G941" s="189">
        <f t="shared" si="205"/>
        <v>0</v>
      </c>
      <c r="H941" s="238">
        <v>8917</v>
      </c>
      <c r="I941" s="238">
        <v>0</v>
      </c>
      <c r="J941" s="182">
        <f t="shared" si="206"/>
        <v>8917</v>
      </c>
      <c r="K941" s="238">
        <v>0</v>
      </c>
      <c r="L941" s="238">
        <v>0</v>
      </c>
      <c r="M941" s="239">
        <f>185040+8160</f>
        <v>193200</v>
      </c>
      <c r="N941" s="240"/>
      <c r="O941" s="310">
        <f t="shared" si="207"/>
        <v>193200</v>
      </c>
      <c r="P941" s="242">
        <f t="shared" si="208"/>
        <v>18004</v>
      </c>
      <c r="Q941" s="182">
        <f t="shared" si="209"/>
        <v>18004</v>
      </c>
      <c r="R941" s="307" t="str">
        <f t="shared" si="210"/>
        <v/>
      </c>
      <c r="S941" s="306"/>
      <c r="AC941" s="211" t="s">
        <v>12</v>
      </c>
      <c r="AD941" s="180">
        <f t="shared" si="212"/>
        <v>0</v>
      </c>
      <c r="AE941" s="180">
        <f t="shared" si="213"/>
        <v>0</v>
      </c>
      <c r="AF941" s="180">
        <f t="shared" si="214"/>
        <v>0</v>
      </c>
      <c r="AG941" s="180">
        <f t="shared" si="215"/>
        <v>0</v>
      </c>
      <c r="AH941" s="180">
        <f t="shared" si="216"/>
        <v>24</v>
      </c>
      <c r="AI941" s="180">
        <f t="shared" si="217"/>
        <v>185</v>
      </c>
      <c r="AJ941" s="180">
        <f t="shared" si="218"/>
        <v>251</v>
      </c>
      <c r="AK941" s="180">
        <f t="shared" si="219"/>
        <v>288</v>
      </c>
      <c r="AL941" s="180">
        <f t="shared" si="220"/>
        <v>261</v>
      </c>
      <c r="AM941" s="180">
        <f t="shared" si="221"/>
        <v>80</v>
      </c>
      <c r="AN941" s="180">
        <f t="shared" si="222"/>
        <v>94</v>
      </c>
      <c r="AO941" s="180">
        <f t="shared" si="223"/>
        <v>198</v>
      </c>
      <c r="AP941" s="180">
        <f t="shared" si="224"/>
        <v>33</v>
      </c>
      <c r="AQ941" s="180">
        <f t="shared" si="225"/>
        <v>77</v>
      </c>
      <c r="AR941" s="180">
        <f t="shared" si="226"/>
        <v>78</v>
      </c>
      <c r="AS941" s="210">
        <f t="shared" si="227"/>
        <v>1569</v>
      </c>
    </row>
    <row r="942" spans="1:45" ht="15.75" customHeight="1" x14ac:dyDescent="0.3">
      <c r="A942" s="192" t="s">
        <v>22</v>
      </c>
      <c r="B942" s="189">
        <f t="shared" si="200"/>
        <v>228578</v>
      </c>
      <c r="C942" s="182">
        <f t="shared" si="201"/>
        <v>0</v>
      </c>
      <c r="D942" s="182">
        <f t="shared" si="202"/>
        <v>9709</v>
      </c>
      <c r="E942" s="182">
        <f t="shared" si="203"/>
        <v>228578</v>
      </c>
      <c r="F942" s="307">
        <f t="shared" si="204"/>
        <v>238287</v>
      </c>
      <c r="G942" s="189">
        <f t="shared" si="205"/>
        <v>0</v>
      </c>
      <c r="H942" s="238">
        <v>8551</v>
      </c>
      <c r="I942" s="238">
        <v>0</v>
      </c>
      <c r="J942" s="182">
        <f>(H942+I942)</f>
        <v>8551</v>
      </c>
      <c r="K942" s="238">
        <v>0</v>
      </c>
      <c r="L942" s="238">
        <v>0</v>
      </c>
      <c r="M942" s="239">
        <f>189720+6528</f>
        <v>196248</v>
      </c>
      <c r="N942" s="240">
        <v>28296</v>
      </c>
      <c r="O942" s="310">
        <f t="shared" si="207"/>
        <v>224544</v>
      </c>
      <c r="P942" s="242">
        <f t="shared" si="208"/>
        <v>5192</v>
      </c>
      <c r="Q942" s="182">
        <f t="shared" si="209"/>
        <v>5192</v>
      </c>
      <c r="R942" s="307" t="str">
        <f t="shared" si="210"/>
        <v/>
      </c>
      <c r="S942" s="306"/>
      <c r="AC942" s="211" t="s">
        <v>13</v>
      </c>
      <c r="AD942" s="180">
        <f t="shared" si="212"/>
        <v>0</v>
      </c>
      <c r="AE942" s="180">
        <f t="shared" si="213"/>
        <v>0</v>
      </c>
      <c r="AF942" s="180">
        <f t="shared" si="214"/>
        <v>0</v>
      </c>
      <c r="AG942" s="180">
        <f t="shared" si="215"/>
        <v>0</v>
      </c>
      <c r="AH942" s="180">
        <f t="shared" si="216"/>
        <v>27</v>
      </c>
      <c r="AI942" s="180">
        <f t="shared" si="217"/>
        <v>194</v>
      </c>
      <c r="AJ942" s="180">
        <f t="shared" si="218"/>
        <v>256</v>
      </c>
      <c r="AK942" s="180">
        <f t="shared" si="219"/>
        <v>251</v>
      </c>
      <c r="AL942" s="180">
        <f t="shared" si="220"/>
        <v>221</v>
      </c>
      <c r="AM942" s="180">
        <f t="shared" si="221"/>
        <v>75</v>
      </c>
      <c r="AN942" s="180">
        <f t="shared" si="222"/>
        <v>88</v>
      </c>
      <c r="AO942" s="180">
        <f t="shared" si="223"/>
        <v>178</v>
      </c>
      <c r="AP942" s="180">
        <f t="shared" si="224"/>
        <v>14</v>
      </c>
      <c r="AQ942" s="180">
        <f t="shared" si="225"/>
        <v>85</v>
      </c>
      <c r="AR942" s="180">
        <f t="shared" si="226"/>
        <v>34</v>
      </c>
      <c r="AS942" s="210">
        <f t="shared" si="227"/>
        <v>1423</v>
      </c>
    </row>
    <row r="943" spans="1:45" ht="15.75" customHeight="1" x14ac:dyDescent="0.3">
      <c r="A943" s="213" t="s">
        <v>633</v>
      </c>
      <c r="B943" s="189" t="s">
        <v>633</v>
      </c>
      <c r="C943" s="182"/>
      <c r="D943" s="182"/>
      <c r="E943" s="182" t="s">
        <v>7</v>
      </c>
      <c r="F943" s="307"/>
      <c r="G943" s="189"/>
      <c r="H943" s="182"/>
      <c r="I943" s="182" t="s">
        <v>7</v>
      </c>
      <c r="J943" s="182" t="s">
        <v>7</v>
      </c>
      <c r="K943" s="243"/>
      <c r="L943" s="182"/>
      <c r="M943" s="239"/>
      <c r="N943" s="240"/>
      <c r="O943" s="310">
        <f t="shared" si="207"/>
        <v>0</v>
      </c>
      <c r="P943" s="242"/>
      <c r="Q943" s="182"/>
      <c r="R943" s="307"/>
      <c r="S943" s="306"/>
      <c r="AC943" s="211" t="s">
        <v>14</v>
      </c>
      <c r="AD943" s="180">
        <f t="shared" si="212"/>
        <v>0</v>
      </c>
      <c r="AE943" s="180">
        <f t="shared" si="213"/>
        <v>0</v>
      </c>
      <c r="AF943" s="180">
        <f t="shared" si="214"/>
        <v>0</v>
      </c>
      <c r="AG943" s="180">
        <f t="shared" si="215"/>
        <v>0</v>
      </c>
      <c r="AH943" s="180">
        <f t="shared" si="216"/>
        <v>0</v>
      </c>
      <c r="AI943" s="180">
        <f t="shared" si="217"/>
        <v>210</v>
      </c>
      <c r="AJ943" s="180">
        <f t="shared" si="218"/>
        <v>256</v>
      </c>
      <c r="AK943" s="180">
        <f t="shared" si="219"/>
        <v>291</v>
      </c>
      <c r="AL943" s="180">
        <f t="shared" si="220"/>
        <v>241</v>
      </c>
      <c r="AM943" s="180">
        <f t="shared" si="221"/>
        <v>82</v>
      </c>
      <c r="AN943" s="180">
        <f t="shared" si="222"/>
        <v>96</v>
      </c>
      <c r="AO943" s="180">
        <f t="shared" si="223"/>
        <v>200</v>
      </c>
      <c r="AP943" s="180">
        <f t="shared" si="224"/>
        <v>33</v>
      </c>
      <c r="AQ943" s="180">
        <f t="shared" si="225"/>
        <v>85</v>
      </c>
      <c r="AR943" s="180">
        <f t="shared" si="226"/>
        <v>79</v>
      </c>
      <c r="AS943" s="210">
        <f t="shared" si="227"/>
        <v>1573</v>
      </c>
    </row>
    <row r="944" spans="1:45" ht="16.5" customHeight="1" thickBot="1" x14ac:dyDescent="0.35">
      <c r="A944" s="244" t="s">
        <v>641</v>
      </c>
      <c r="B944" s="204">
        <f>SUM(B931:B942)</f>
        <v>2597295</v>
      </c>
      <c r="C944" s="205">
        <f>+SUM(C931:C942)</f>
        <v>0</v>
      </c>
      <c r="D944" s="205">
        <f>SUM(D931:D942)</f>
        <v>112202</v>
      </c>
      <c r="E944" s="205">
        <f t="shared" si="203"/>
        <v>2597295</v>
      </c>
      <c r="F944" s="245">
        <f>SUM(F931:F942)</f>
        <v>2709497</v>
      </c>
      <c r="G944" s="204">
        <f>SUM(G931:G942)</f>
        <v>34138.192064003822</v>
      </c>
      <c r="H944" s="205">
        <f>SUM(H931:H942)</f>
        <v>145155</v>
      </c>
      <c r="I944" s="205">
        <f>SUM(I931:I942)</f>
        <v>0</v>
      </c>
      <c r="J944" s="205">
        <f>(H944+I944)</f>
        <v>145155</v>
      </c>
      <c r="K944" s="205">
        <f>SUM(K931:K942)</f>
        <v>0</v>
      </c>
      <c r="L944" s="205">
        <f>SUM(L931:L942)</f>
        <v>0</v>
      </c>
      <c r="M944" s="246">
        <f>SUM(M931:M942)</f>
        <v>2630480</v>
      </c>
      <c r="N944" s="247">
        <f>SUM(N931:N942)</f>
        <v>111720</v>
      </c>
      <c r="O944" s="248">
        <f t="shared" si="207"/>
        <v>2742200</v>
      </c>
      <c r="P944" s="251">
        <f>(F944-G944-J944-K944-L944-O944)</f>
        <v>-211996.19206400402</v>
      </c>
      <c r="Q944" s="205">
        <f>+SUM(Q931:Q942)</f>
        <v>46234</v>
      </c>
      <c r="R944" s="245">
        <f>+SUM(R931:R942)</f>
        <v>258230.19206400382</v>
      </c>
      <c r="S944" s="306"/>
      <c r="AC944" s="211" t="s">
        <v>16</v>
      </c>
      <c r="AD944" s="180">
        <f t="shared" si="212"/>
        <v>0</v>
      </c>
      <c r="AE944" s="180">
        <f t="shared" si="213"/>
        <v>0</v>
      </c>
      <c r="AF944" s="180">
        <f t="shared" si="214"/>
        <v>0</v>
      </c>
      <c r="AG944" s="180">
        <f t="shared" si="215"/>
        <v>0</v>
      </c>
      <c r="AH944" s="180">
        <f t="shared" si="216"/>
        <v>0</v>
      </c>
      <c r="AI944" s="180">
        <f t="shared" si="217"/>
        <v>198</v>
      </c>
      <c r="AJ944" s="180">
        <f t="shared" si="218"/>
        <v>306</v>
      </c>
      <c r="AK944" s="180">
        <f t="shared" si="219"/>
        <v>326</v>
      </c>
      <c r="AL944" s="180">
        <f t="shared" si="220"/>
        <v>286</v>
      </c>
      <c r="AM944" s="180">
        <f t="shared" si="221"/>
        <v>83</v>
      </c>
      <c r="AN944" s="180">
        <f t="shared" si="222"/>
        <v>98</v>
      </c>
      <c r="AO944" s="180">
        <f t="shared" si="223"/>
        <v>194</v>
      </c>
      <c r="AP944" s="180">
        <f t="shared" si="224"/>
        <v>34</v>
      </c>
      <c r="AQ944" s="180">
        <f t="shared" si="225"/>
        <v>84</v>
      </c>
      <c r="AR944" s="180">
        <f t="shared" si="226"/>
        <v>80</v>
      </c>
      <c r="AS944" s="210">
        <f t="shared" si="227"/>
        <v>1689</v>
      </c>
    </row>
    <row r="945" spans="1:45" ht="15.75" customHeight="1" x14ac:dyDescent="0.3">
      <c r="A945" s="95"/>
      <c r="B945" s="180"/>
      <c r="C945" s="180"/>
      <c r="D945" s="180"/>
      <c r="E945" s="180"/>
      <c r="F945" s="180" t="s">
        <v>633</v>
      </c>
      <c r="G945" s="180"/>
      <c r="H945" s="180"/>
      <c r="I945" s="180"/>
      <c r="K945" s="180"/>
      <c r="L945" s="180"/>
      <c r="M945" s="252"/>
      <c r="O945" s="304"/>
      <c r="P945" s="180"/>
      <c r="S945" s="304"/>
      <c r="AC945" s="211" t="s">
        <v>17</v>
      </c>
      <c r="AD945" s="180">
        <f t="shared" si="212"/>
        <v>0</v>
      </c>
      <c r="AE945" s="180">
        <f t="shared" si="213"/>
        <v>0</v>
      </c>
      <c r="AF945" s="180">
        <f t="shared" si="214"/>
        <v>0</v>
      </c>
      <c r="AG945" s="180">
        <f t="shared" si="215"/>
        <v>0</v>
      </c>
      <c r="AH945" s="180">
        <f t="shared" si="216"/>
        <v>0</v>
      </c>
      <c r="AI945" s="180">
        <f t="shared" si="217"/>
        <v>171</v>
      </c>
      <c r="AJ945" s="180">
        <f t="shared" si="218"/>
        <v>268</v>
      </c>
      <c r="AK945" s="180">
        <f t="shared" si="219"/>
        <v>286</v>
      </c>
      <c r="AL945" s="180">
        <f t="shared" si="220"/>
        <v>250</v>
      </c>
      <c r="AM945" s="180">
        <f t="shared" si="221"/>
        <v>81</v>
      </c>
      <c r="AN945" s="180">
        <f t="shared" si="222"/>
        <v>95</v>
      </c>
      <c r="AO945" s="180">
        <f t="shared" si="223"/>
        <v>188</v>
      </c>
      <c r="AP945" s="180">
        <f t="shared" si="224"/>
        <v>33</v>
      </c>
      <c r="AQ945" s="180">
        <f t="shared" si="225"/>
        <v>71</v>
      </c>
      <c r="AR945" s="180">
        <f t="shared" si="226"/>
        <v>79</v>
      </c>
      <c r="AS945" s="210">
        <f t="shared" si="227"/>
        <v>1522</v>
      </c>
    </row>
    <row r="946" spans="1:45" ht="15.75" customHeight="1" x14ac:dyDescent="0.3">
      <c r="A946" s="179" t="s">
        <v>773</v>
      </c>
      <c r="O946" s="304"/>
      <c r="P946" s="180"/>
      <c r="Q946" s="180"/>
      <c r="R946" s="180"/>
      <c r="S946" s="304"/>
      <c r="AC946" s="211" t="s">
        <v>18</v>
      </c>
      <c r="AD946" s="180">
        <f t="shared" si="212"/>
        <v>0</v>
      </c>
      <c r="AE946" s="180">
        <f t="shared" si="213"/>
        <v>0</v>
      </c>
      <c r="AF946" s="180">
        <f t="shared" si="214"/>
        <v>0</v>
      </c>
      <c r="AG946" s="180">
        <f t="shared" si="215"/>
        <v>0</v>
      </c>
      <c r="AH946" s="180">
        <f t="shared" si="216"/>
        <v>71</v>
      </c>
      <c r="AI946" s="180">
        <f t="shared" si="217"/>
        <v>105</v>
      </c>
      <c r="AJ946" s="180">
        <f t="shared" si="218"/>
        <v>176</v>
      </c>
      <c r="AK946" s="180">
        <f t="shared" si="219"/>
        <v>233</v>
      </c>
      <c r="AL946" s="180">
        <f t="shared" si="220"/>
        <v>209</v>
      </c>
      <c r="AM946" s="180">
        <f t="shared" si="221"/>
        <v>78</v>
      </c>
      <c r="AN946" s="180">
        <f t="shared" si="222"/>
        <v>92</v>
      </c>
      <c r="AO946" s="180">
        <f t="shared" si="223"/>
        <v>190</v>
      </c>
      <c r="AP946" s="180">
        <f t="shared" si="224"/>
        <v>37</v>
      </c>
      <c r="AQ946" s="180">
        <f t="shared" si="225"/>
        <v>72</v>
      </c>
      <c r="AR946" s="180">
        <f t="shared" si="226"/>
        <v>87</v>
      </c>
      <c r="AS946" s="210">
        <f t="shared" si="227"/>
        <v>1350</v>
      </c>
    </row>
    <row r="947" spans="1:45" ht="15.75" customHeight="1" x14ac:dyDescent="0.3">
      <c r="A947" s="179" t="s">
        <v>774</v>
      </c>
      <c r="D947" s="180"/>
      <c r="E947" s="180"/>
      <c r="F947" s="180"/>
      <c r="G947" s="180"/>
      <c r="H947" s="180"/>
      <c r="I947" s="180"/>
      <c r="J947" s="180"/>
      <c r="K947" s="180"/>
      <c r="L947" s="180"/>
      <c r="M947" s="180"/>
      <c r="N947" s="180"/>
      <c r="O947" s="306"/>
      <c r="P947" s="180"/>
      <c r="Q947" s="180"/>
      <c r="R947" s="180"/>
      <c r="S947" s="304"/>
      <c r="AC947" s="211" t="s">
        <v>20</v>
      </c>
      <c r="AD947" s="180">
        <f t="shared" si="212"/>
        <v>0</v>
      </c>
      <c r="AE947" s="180">
        <f t="shared" si="213"/>
        <v>0</v>
      </c>
      <c r="AF947" s="180">
        <f t="shared" si="214"/>
        <v>0</v>
      </c>
      <c r="AG947" s="180">
        <f t="shared" si="215"/>
        <v>0</v>
      </c>
      <c r="AH947" s="180">
        <f t="shared" si="216"/>
        <v>129</v>
      </c>
      <c r="AI947" s="180">
        <f t="shared" si="217"/>
        <v>67</v>
      </c>
      <c r="AJ947" s="180">
        <f t="shared" si="218"/>
        <v>71</v>
      </c>
      <c r="AK947" s="180">
        <f t="shared" si="219"/>
        <v>106</v>
      </c>
      <c r="AL947" s="180">
        <f t="shared" si="220"/>
        <v>103</v>
      </c>
      <c r="AM947" s="180">
        <f t="shared" si="221"/>
        <v>33</v>
      </c>
      <c r="AN947" s="180">
        <f t="shared" si="222"/>
        <v>39</v>
      </c>
      <c r="AO947" s="180">
        <f t="shared" si="223"/>
        <v>81</v>
      </c>
      <c r="AP947" s="180">
        <f t="shared" si="224"/>
        <v>23</v>
      </c>
      <c r="AQ947" s="180">
        <f t="shared" si="225"/>
        <v>72</v>
      </c>
      <c r="AR947" s="180">
        <f t="shared" si="226"/>
        <v>54</v>
      </c>
      <c r="AS947" s="210">
        <f t="shared" si="227"/>
        <v>778</v>
      </c>
    </row>
    <row r="948" spans="1:45" ht="15.75" customHeight="1" x14ac:dyDescent="0.3">
      <c r="A948" s="179" t="s">
        <v>775</v>
      </c>
      <c r="D948" s="180"/>
      <c r="E948" s="180"/>
      <c r="F948" s="180"/>
      <c r="G948" s="180"/>
      <c r="H948" s="180"/>
      <c r="I948" s="180"/>
      <c r="J948" s="180"/>
      <c r="K948" s="180"/>
      <c r="L948" s="180"/>
      <c r="M948" s="180"/>
      <c r="N948" s="180"/>
      <c r="O948" s="306"/>
      <c r="P948" s="180"/>
      <c r="Q948" s="180"/>
      <c r="R948" s="180"/>
      <c r="S948" s="304"/>
      <c r="AC948" s="211" t="s">
        <v>21</v>
      </c>
      <c r="AD948" s="180">
        <f t="shared" si="212"/>
        <v>0</v>
      </c>
      <c r="AE948" s="180">
        <f t="shared" si="213"/>
        <v>0</v>
      </c>
      <c r="AF948" s="180">
        <f t="shared" si="214"/>
        <v>0</v>
      </c>
      <c r="AG948" s="180">
        <f t="shared" si="215"/>
        <v>0</v>
      </c>
      <c r="AH948" s="180">
        <f t="shared" si="216"/>
        <v>180</v>
      </c>
      <c r="AI948" s="180">
        <f t="shared" si="217"/>
        <v>47</v>
      </c>
      <c r="AJ948" s="180">
        <f t="shared" si="218"/>
        <v>57</v>
      </c>
      <c r="AK948" s="180">
        <f t="shared" si="219"/>
        <v>81</v>
      </c>
      <c r="AL948" s="180">
        <f t="shared" si="220"/>
        <v>82</v>
      </c>
      <c r="AM948" s="180">
        <f t="shared" si="221"/>
        <v>29</v>
      </c>
      <c r="AN948" s="180">
        <f t="shared" si="222"/>
        <v>34</v>
      </c>
      <c r="AO948" s="180">
        <f t="shared" si="223"/>
        <v>71</v>
      </c>
      <c r="AP948" s="180">
        <f t="shared" si="224"/>
        <v>16</v>
      </c>
      <c r="AQ948" s="180">
        <f t="shared" si="225"/>
        <v>66</v>
      </c>
      <c r="AR948" s="180">
        <f t="shared" si="226"/>
        <v>38</v>
      </c>
      <c r="AS948" s="210">
        <f t="shared" si="227"/>
        <v>701</v>
      </c>
    </row>
    <row r="949" spans="1:45" ht="15.75" customHeight="1" thickBot="1" x14ac:dyDescent="0.35">
      <c r="A949" s="194" t="s">
        <v>776</v>
      </c>
      <c r="B949" s="135"/>
      <c r="C949" s="135"/>
      <c r="D949" s="195"/>
      <c r="E949" s="195"/>
      <c r="F949" s="195"/>
      <c r="G949" s="195"/>
      <c r="H949" s="195"/>
      <c r="I949" s="195"/>
      <c r="J949" s="195"/>
      <c r="K949" s="195"/>
      <c r="L949" s="195"/>
      <c r="M949" s="195"/>
      <c r="N949" s="195"/>
      <c r="O949" s="196"/>
      <c r="P949" s="180"/>
      <c r="Q949" s="180"/>
      <c r="R949" s="180"/>
      <c r="S949" s="304"/>
      <c r="AC949" s="211" t="s">
        <v>22</v>
      </c>
      <c r="AD949" s="180">
        <f t="shared" si="212"/>
        <v>0</v>
      </c>
      <c r="AE949" s="180">
        <f t="shared" si="213"/>
        <v>0</v>
      </c>
      <c r="AF949" s="180">
        <f t="shared" si="214"/>
        <v>0</v>
      </c>
      <c r="AG949" s="180">
        <f t="shared" si="215"/>
        <v>0</v>
      </c>
      <c r="AH949" s="180">
        <f t="shared" si="216"/>
        <v>211</v>
      </c>
      <c r="AI949" s="180">
        <f t="shared" si="217"/>
        <v>57</v>
      </c>
      <c r="AJ949" s="180">
        <f t="shared" si="218"/>
        <v>108</v>
      </c>
      <c r="AK949" s="180">
        <f t="shared" si="219"/>
        <v>159</v>
      </c>
      <c r="AL949" s="180">
        <f t="shared" si="220"/>
        <v>164</v>
      </c>
      <c r="AM949" s="180">
        <f t="shared" si="221"/>
        <v>60</v>
      </c>
      <c r="AN949" s="180">
        <f t="shared" si="222"/>
        <v>71</v>
      </c>
      <c r="AO949" s="180">
        <f t="shared" si="223"/>
        <v>150</v>
      </c>
      <c r="AP949" s="180">
        <f t="shared" si="224"/>
        <v>25</v>
      </c>
      <c r="AQ949" s="180">
        <f t="shared" si="225"/>
        <v>57</v>
      </c>
      <c r="AR949" s="180">
        <f t="shared" si="226"/>
        <v>59</v>
      </c>
      <c r="AS949" s="210">
        <f t="shared" si="227"/>
        <v>1121</v>
      </c>
    </row>
    <row r="950" spans="1:45" ht="15.75" customHeight="1" thickBot="1" x14ac:dyDescent="0.35">
      <c r="A950" s="179"/>
      <c r="D950" s="180"/>
      <c r="E950" s="180"/>
      <c r="F950" s="180"/>
      <c r="G950" s="180"/>
      <c r="H950" s="180"/>
      <c r="I950" s="180"/>
      <c r="J950" s="180"/>
      <c r="K950" s="180"/>
      <c r="L950" s="180"/>
      <c r="M950" s="180"/>
      <c r="N950" s="180"/>
      <c r="O950" s="180"/>
      <c r="P950" s="180"/>
      <c r="Q950" s="180"/>
      <c r="R950" s="180"/>
      <c r="S950" s="304"/>
      <c r="AC950" s="95"/>
      <c r="AD950" s="180"/>
      <c r="AE950" s="180"/>
      <c r="AF950" s="180"/>
      <c r="AG950" s="180"/>
      <c r="AH950" s="180"/>
      <c r="AI950" s="180"/>
      <c r="AJ950" s="180"/>
      <c r="AK950" s="180"/>
      <c r="AL950" s="180"/>
      <c r="AM950" s="180"/>
      <c r="AN950" s="180"/>
      <c r="AO950" s="180"/>
      <c r="AP950" s="180"/>
      <c r="AQ950" s="180"/>
      <c r="AR950" s="180"/>
      <c r="AS950" s="210"/>
    </row>
    <row r="951" spans="1:45" ht="15.75" customHeight="1" thickBot="1" x14ac:dyDescent="0.35">
      <c r="A951" s="192"/>
      <c r="B951" s="412" t="s">
        <v>777</v>
      </c>
      <c r="C951" s="413"/>
      <c r="D951" s="413"/>
      <c r="E951" s="413"/>
      <c r="F951" s="413"/>
      <c r="G951" s="413"/>
      <c r="H951" s="413"/>
      <c r="I951" s="413"/>
      <c r="J951" s="413"/>
      <c r="K951" s="413"/>
      <c r="L951" s="413"/>
      <c r="M951" s="413"/>
      <c r="N951" s="413"/>
      <c r="O951" s="413"/>
      <c r="P951" s="414"/>
      <c r="Q951" s="180"/>
      <c r="R951" s="180"/>
      <c r="S951" s="304"/>
      <c r="AC951" s="220" t="s">
        <v>641</v>
      </c>
      <c r="AD951" s="195">
        <f>SUM(AD938:AD949)</f>
        <v>0</v>
      </c>
      <c r="AE951" s="195">
        <f t="shared" ref="AE951:AS951" si="228">SUM(AE938:AE949)</f>
        <v>0</v>
      </c>
      <c r="AF951" s="195">
        <f t="shared" si="228"/>
        <v>0</v>
      </c>
      <c r="AG951" s="195">
        <f t="shared" si="228"/>
        <v>0</v>
      </c>
      <c r="AH951" s="195">
        <f t="shared" si="228"/>
        <v>936</v>
      </c>
      <c r="AI951" s="195">
        <f t="shared" si="228"/>
        <v>1555</v>
      </c>
      <c r="AJ951" s="195">
        <f t="shared" si="228"/>
        <v>2258</v>
      </c>
      <c r="AK951" s="195">
        <f t="shared" si="228"/>
        <v>2718</v>
      </c>
      <c r="AL951" s="195">
        <f t="shared" si="228"/>
        <v>2485</v>
      </c>
      <c r="AM951" s="195">
        <f t="shared" si="228"/>
        <v>820</v>
      </c>
      <c r="AN951" s="195">
        <f t="shared" si="228"/>
        <v>967</v>
      </c>
      <c r="AO951" s="195">
        <f t="shared" si="228"/>
        <v>1994</v>
      </c>
      <c r="AP951" s="195">
        <f t="shared" si="228"/>
        <v>344</v>
      </c>
      <c r="AQ951" s="195">
        <f t="shared" si="228"/>
        <v>807</v>
      </c>
      <c r="AR951" s="195">
        <f t="shared" si="228"/>
        <v>814</v>
      </c>
      <c r="AS951" s="221">
        <f t="shared" si="228"/>
        <v>15698</v>
      </c>
    </row>
    <row r="952" spans="1:45" ht="15.75" customHeight="1" thickBot="1" x14ac:dyDescent="0.35">
      <c r="A952" s="192"/>
      <c r="B952" s="403" t="s">
        <v>730</v>
      </c>
      <c r="C952" s="404"/>
      <c r="D952" s="404"/>
      <c r="E952" s="404"/>
      <c r="F952" s="405"/>
      <c r="G952" s="403" t="s">
        <v>731</v>
      </c>
      <c r="H952" s="404"/>
      <c r="I952" s="404"/>
      <c r="J952" s="404"/>
      <c r="K952" s="404"/>
      <c r="L952" s="404"/>
      <c r="M952" s="406" t="s">
        <v>732</v>
      </c>
      <c r="N952" s="407"/>
      <c r="O952" s="407"/>
      <c r="P952" s="403" t="s">
        <v>733</v>
      </c>
      <c r="Q952" s="404"/>
      <c r="R952" s="405"/>
      <c r="S952" s="304"/>
    </row>
    <row r="953" spans="1:45" ht="15.75" customHeight="1" x14ac:dyDescent="0.3">
      <c r="A953" s="213"/>
      <c r="B953" s="189" t="s">
        <v>639</v>
      </c>
      <c r="C953" s="182"/>
      <c r="D953" s="182" t="s">
        <v>734</v>
      </c>
      <c r="E953" s="182" t="s">
        <v>735</v>
      </c>
      <c r="F953" s="307" t="s">
        <v>736</v>
      </c>
      <c r="G953" s="189" t="s">
        <v>737</v>
      </c>
      <c r="H953" s="182"/>
      <c r="I953" s="182"/>
      <c r="J953" s="182" t="s">
        <v>738</v>
      </c>
      <c r="K953" s="182" t="s">
        <v>739</v>
      </c>
      <c r="L953" s="182" t="s">
        <v>740</v>
      </c>
      <c r="M953" s="409" t="str">
        <f>+M926</f>
        <v>(NE)* per WAPA 12/10/2014</v>
      </c>
      <c r="N953" s="410"/>
      <c r="O953" s="410"/>
      <c r="P953" s="189" t="s">
        <v>742</v>
      </c>
      <c r="Q953" s="228" t="s">
        <v>743</v>
      </c>
      <c r="R953" s="308" t="s">
        <v>744</v>
      </c>
      <c r="S953" s="304"/>
    </row>
    <row r="954" spans="1:45" ht="15.75" customHeight="1" x14ac:dyDescent="0.3">
      <c r="A954" s="213"/>
      <c r="B954" s="230" t="s">
        <v>745</v>
      </c>
      <c r="C954" s="231" t="s">
        <v>746</v>
      </c>
      <c r="D954" s="231" t="s">
        <v>747</v>
      </c>
      <c r="E954" s="182" t="s">
        <v>658</v>
      </c>
      <c r="F954" s="309" t="s">
        <v>748</v>
      </c>
      <c r="G954" s="189" t="s">
        <v>640</v>
      </c>
      <c r="H954" s="182" t="s">
        <v>749</v>
      </c>
      <c r="I954" s="182" t="s">
        <v>750</v>
      </c>
      <c r="J954" s="231" t="s">
        <v>751</v>
      </c>
      <c r="K954" s="182" t="s">
        <v>723</v>
      </c>
      <c r="L954" s="231" t="s">
        <v>752</v>
      </c>
      <c r="M954" s="233" t="s">
        <v>753</v>
      </c>
      <c r="N954" s="226" t="s">
        <v>754</v>
      </c>
      <c r="O954" s="227" t="s">
        <v>641</v>
      </c>
      <c r="P954" s="189" t="s">
        <v>757</v>
      </c>
      <c r="Q954" s="182" t="s">
        <v>758</v>
      </c>
      <c r="R954" s="307" t="s">
        <v>759</v>
      </c>
      <c r="S954" s="304"/>
    </row>
    <row r="955" spans="1:45" ht="15.75" customHeight="1" x14ac:dyDescent="0.3">
      <c r="A955" s="213"/>
      <c r="B955" s="235" t="s">
        <v>760</v>
      </c>
      <c r="C955" s="215">
        <v>5.0000000000000001E-3</v>
      </c>
      <c r="D955" s="215">
        <v>4.2999999999999997E-2</v>
      </c>
      <c r="E955" s="182" t="s">
        <v>761</v>
      </c>
      <c r="F955" s="311" t="s">
        <v>762</v>
      </c>
      <c r="G955" s="189" t="s">
        <v>763</v>
      </c>
      <c r="H955" s="182" t="s">
        <v>658</v>
      </c>
      <c r="I955" s="182" t="s">
        <v>658</v>
      </c>
      <c r="J955" s="182" t="s">
        <v>658</v>
      </c>
      <c r="K955" s="182" t="s">
        <v>743</v>
      </c>
      <c r="L955" s="182" t="s">
        <v>764</v>
      </c>
      <c r="M955" s="237" t="s">
        <v>648</v>
      </c>
      <c r="N955" s="227" t="s">
        <v>765</v>
      </c>
      <c r="O955" s="227" t="s">
        <v>766</v>
      </c>
      <c r="P955" s="189" t="s">
        <v>658</v>
      </c>
      <c r="Q955" s="182" t="s">
        <v>658</v>
      </c>
      <c r="R955" s="307" t="s">
        <v>658</v>
      </c>
      <c r="S955" s="304"/>
    </row>
    <row r="956" spans="1:45" ht="15.75" customHeight="1" x14ac:dyDescent="0.3">
      <c r="A956" s="213" t="s">
        <v>768</v>
      </c>
      <c r="B956" s="189" t="s">
        <v>778</v>
      </c>
      <c r="C956" s="182" t="s">
        <v>778</v>
      </c>
      <c r="D956" s="182" t="s">
        <v>778</v>
      </c>
      <c r="E956" s="182" t="s">
        <v>778</v>
      </c>
      <c r="F956" s="182" t="s">
        <v>778</v>
      </c>
      <c r="G956" s="189" t="s">
        <v>778</v>
      </c>
      <c r="H956" s="182" t="s">
        <v>778</v>
      </c>
      <c r="I956" s="182" t="s">
        <v>778</v>
      </c>
      <c r="J956" s="182" t="s">
        <v>778</v>
      </c>
      <c r="K956" s="182" t="s">
        <v>778</v>
      </c>
      <c r="L956" s="182" t="s">
        <v>778</v>
      </c>
      <c r="M956" s="237" t="s">
        <v>778</v>
      </c>
      <c r="N956" s="227" t="s">
        <v>779</v>
      </c>
      <c r="O956" s="227" t="s">
        <v>778</v>
      </c>
      <c r="P956" s="189" t="s">
        <v>778</v>
      </c>
      <c r="Q956" s="182" t="s">
        <v>778</v>
      </c>
      <c r="R956" s="307" t="s">
        <v>778</v>
      </c>
      <c r="S956" s="304"/>
    </row>
    <row r="957" spans="1:45" ht="15.75" customHeight="1" x14ac:dyDescent="0.3">
      <c r="A957" s="213" t="s">
        <v>666</v>
      </c>
      <c r="B957" s="189" t="s">
        <v>666</v>
      </c>
      <c r="C957" s="182" t="s">
        <v>666</v>
      </c>
      <c r="D957" s="182" t="s">
        <v>666</v>
      </c>
      <c r="E957" s="182" t="s">
        <v>769</v>
      </c>
      <c r="F957" s="307" t="s">
        <v>666</v>
      </c>
      <c r="G957" s="189" t="s">
        <v>666</v>
      </c>
      <c r="H957" s="182" t="s">
        <v>770</v>
      </c>
      <c r="I957" s="182" t="s">
        <v>770</v>
      </c>
      <c r="J957" s="182" t="s">
        <v>666</v>
      </c>
      <c r="K957" s="182" t="s">
        <v>666</v>
      </c>
      <c r="L957" s="182" t="s">
        <v>666</v>
      </c>
      <c r="M957" s="237" t="s">
        <v>666</v>
      </c>
      <c r="N957" s="227" t="s">
        <v>666</v>
      </c>
      <c r="O957" s="227" t="s">
        <v>666</v>
      </c>
      <c r="P957" s="189" t="s">
        <v>666</v>
      </c>
      <c r="Q957" s="182" t="s">
        <v>666</v>
      </c>
      <c r="R957" s="307" t="s">
        <v>666</v>
      </c>
      <c r="S957" s="304"/>
    </row>
    <row r="958" spans="1:45" ht="15.75" customHeight="1" x14ac:dyDescent="0.3">
      <c r="A958" s="192" t="s">
        <v>8</v>
      </c>
      <c r="B958" s="189">
        <f>+B931/($B$10*24)</f>
        <v>333.60887096774195</v>
      </c>
      <c r="C958" s="182">
        <f t="shared" ref="C958:P958" si="229">+C931/($B$10*24)</f>
        <v>0</v>
      </c>
      <c r="D958" s="182">
        <f t="shared" si="229"/>
        <v>14.038978494623656</v>
      </c>
      <c r="E958" s="182">
        <f t="shared" si="229"/>
        <v>333.60887096774195</v>
      </c>
      <c r="F958" s="307">
        <f t="shared" si="229"/>
        <v>347.64784946236557</v>
      </c>
      <c r="G958" s="182">
        <f t="shared" si="229"/>
        <v>0</v>
      </c>
      <c r="H958" s="182">
        <f t="shared" si="229"/>
        <v>14.810483870967742</v>
      </c>
      <c r="I958" s="182">
        <f t="shared" si="229"/>
        <v>0</v>
      </c>
      <c r="J958" s="182">
        <f t="shared" si="229"/>
        <v>14.810483870967742</v>
      </c>
      <c r="K958" s="182">
        <f t="shared" si="229"/>
        <v>0</v>
      </c>
      <c r="L958" s="182">
        <f t="shared" si="229"/>
        <v>0</v>
      </c>
      <c r="M958" s="239">
        <f>+M931/($B$10*24)</f>
        <v>426.19354838709677</v>
      </c>
      <c r="N958" s="240">
        <f t="shared" si="229"/>
        <v>0</v>
      </c>
      <c r="O958" s="227">
        <f t="shared" si="229"/>
        <v>426.19354838709677</v>
      </c>
      <c r="P958" s="255">
        <f t="shared" si="229"/>
        <v>-93.356182795698928</v>
      </c>
      <c r="Q958" s="182" t="str">
        <f>+IF(P958&gt;=0,ABS(P958),"")</f>
        <v/>
      </c>
      <c r="R958" s="307">
        <f>+IF(P958&lt;=0,ABS(P958),"")</f>
        <v>93.356182795698928</v>
      </c>
      <c r="S958" s="304"/>
    </row>
    <row r="959" spans="1:45" ht="15.75" customHeight="1" x14ac:dyDescent="0.3">
      <c r="A959" s="192" t="s">
        <v>9</v>
      </c>
      <c r="B959" s="189">
        <f>+B932/($C$10*24)</f>
        <v>248.2183908045977</v>
      </c>
      <c r="C959" s="182">
        <f t="shared" ref="C959:P959" si="230">+C932/($C$10*24)</f>
        <v>0</v>
      </c>
      <c r="D959" s="182">
        <f t="shared" si="230"/>
        <v>10.739942528735632</v>
      </c>
      <c r="E959" s="182">
        <f t="shared" si="230"/>
        <v>248.2183908045977</v>
      </c>
      <c r="F959" s="307">
        <f t="shared" si="230"/>
        <v>258.95833333333331</v>
      </c>
      <c r="G959" s="182">
        <f t="shared" si="230"/>
        <v>0</v>
      </c>
      <c r="H959" s="182">
        <f t="shared" si="230"/>
        <v>14.755747126436782</v>
      </c>
      <c r="I959" s="182">
        <f t="shared" si="230"/>
        <v>0</v>
      </c>
      <c r="J959" s="182">
        <f t="shared" si="230"/>
        <v>14.755747126436782</v>
      </c>
      <c r="K959" s="182">
        <f t="shared" si="230"/>
        <v>0</v>
      </c>
      <c r="L959" s="182">
        <f t="shared" si="230"/>
        <v>0</v>
      </c>
      <c r="M959" s="239">
        <f t="shared" si="230"/>
        <v>287.35632183908046</v>
      </c>
      <c r="N959" s="240">
        <f t="shared" si="230"/>
        <v>0</v>
      </c>
      <c r="O959" s="227">
        <f t="shared" si="230"/>
        <v>287.35632183908046</v>
      </c>
      <c r="P959" s="255">
        <f t="shared" si="230"/>
        <v>-43.15373563218391</v>
      </c>
      <c r="Q959" s="182" t="str">
        <f t="shared" ref="Q959:Q969" si="231">+IF(P959&gt;=0,ABS(P959),"")</f>
        <v/>
      </c>
      <c r="R959" s="307">
        <f t="shared" ref="R959:R969" si="232">+IF(P959&lt;=0,ABS(P959),"")</f>
        <v>43.15373563218391</v>
      </c>
      <c r="S959" s="304"/>
    </row>
    <row r="960" spans="1:45" ht="15.75" customHeight="1" x14ac:dyDescent="0.3">
      <c r="A960" s="192" t="s">
        <v>10</v>
      </c>
      <c r="B960" s="189">
        <f>+B933/($D$10*24)</f>
        <v>324.13172043010752</v>
      </c>
      <c r="C960" s="182">
        <f t="shared" ref="C960:P960" si="233">+C933/($D$10*24)</f>
        <v>0</v>
      </c>
      <c r="D960" s="182">
        <f t="shared" si="233"/>
        <v>14.256720430107526</v>
      </c>
      <c r="E960" s="182">
        <f t="shared" si="233"/>
        <v>324.13172043010752</v>
      </c>
      <c r="F960" s="307">
        <f t="shared" si="233"/>
        <v>338.38844086021504</v>
      </c>
      <c r="G960" s="182">
        <f t="shared" si="233"/>
        <v>0</v>
      </c>
      <c r="H960" s="182">
        <f t="shared" si="233"/>
        <v>21.591397849462364</v>
      </c>
      <c r="I960" s="182">
        <f t="shared" si="233"/>
        <v>0</v>
      </c>
      <c r="J960" s="182">
        <f t="shared" si="233"/>
        <v>21.591397849462364</v>
      </c>
      <c r="K960" s="182">
        <f t="shared" si="233"/>
        <v>0</v>
      </c>
      <c r="L960" s="182">
        <f t="shared" si="233"/>
        <v>0</v>
      </c>
      <c r="M960" s="239">
        <f t="shared" si="233"/>
        <v>340</v>
      </c>
      <c r="N960" s="240">
        <f t="shared" si="233"/>
        <v>0</v>
      </c>
      <c r="O960" s="227">
        <f t="shared" si="233"/>
        <v>340</v>
      </c>
      <c r="P960" s="255">
        <f t="shared" si="233"/>
        <v>-23.202956989247312</v>
      </c>
      <c r="Q960" s="182" t="str">
        <f t="shared" si="231"/>
        <v/>
      </c>
      <c r="R960" s="307">
        <f t="shared" si="232"/>
        <v>23.202956989247312</v>
      </c>
      <c r="S960" s="304"/>
    </row>
    <row r="961" spans="1:19" ht="15.75" customHeight="1" x14ac:dyDescent="0.3">
      <c r="A961" s="192" t="s">
        <v>12</v>
      </c>
      <c r="B961" s="189">
        <f>+B934/($F$10*24)</f>
        <v>406.98055555555555</v>
      </c>
      <c r="C961" s="182">
        <f t="shared" ref="C961:P961" si="234">+C934/($F$10*24)</f>
        <v>0</v>
      </c>
      <c r="D961" s="182">
        <f t="shared" si="234"/>
        <v>17.975000000000001</v>
      </c>
      <c r="E961" s="182">
        <f t="shared" si="234"/>
        <v>406.98055555555555</v>
      </c>
      <c r="F961" s="307">
        <f t="shared" si="234"/>
        <v>424.95555555555558</v>
      </c>
      <c r="G961" s="182">
        <f t="shared" si="234"/>
        <v>0</v>
      </c>
      <c r="H961" s="182">
        <f t="shared" si="234"/>
        <v>24.266666666666666</v>
      </c>
      <c r="I961" s="182">
        <f t="shared" si="234"/>
        <v>0</v>
      </c>
      <c r="J961" s="182">
        <f t="shared" si="234"/>
        <v>24.266666666666666</v>
      </c>
      <c r="K961" s="182">
        <f t="shared" si="234"/>
        <v>0</v>
      </c>
      <c r="L961" s="182">
        <f t="shared" si="234"/>
        <v>0</v>
      </c>
      <c r="M961" s="239">
        <f t="shared" si="234"/>
        <v>406.48888888888888</v>
      </c>
      <c r="N961" s="240">
        <f t="shared" si="234"/>
        <v>0</v>
      </c>
      <c r="O961" s="227">
        <f t="shared" si="234"/>
        <v>406.48888888888888</v>
      </c>
      <c r="P961" s="255">
        <f t="shared" si="234"/>
        <v>-5.8</v>
      </c>
      <c r="Q961" s="182" t="str">
        <f t="shared" si="231"/>
        <v/>
      </c>
      <c r="R961" s="307">
        <f t="shared" si="232"/>
        <v>5.8</v>
      </c>
      <c r="S961" s="304"/>
    </row>
    <row r="962" spans="1:19" ht="15.75" customHeight="1" x14ac:dyDescent="0.3">
      <c r="A962" s="192" t="s">
        <v>13</v>
      </c>
      <c r="B962" s="189">
        <f>+B935/($G$10*24)</f>
        <v>400.28629032258067</v>
      </c>
      <c r="C962" s="182">
        <f t="shared" ref="C962:P962" si="235">+C935/($G$10*24)</f>
        <v>0</v>
      </c>
      <c r="D962" s="182">
        <f t="shared" si="235"/>
        <v>17.760752688172044</v>
      </c>
      <c r="E962" s="182">
        <f t="shared" si="235"/>
        <v>400.28629032258067</v>
      </c>
      <c r="F962" s="307">
        <f t="shared" si="235"/>
        <v>418.0470430107527</v>
      </c>
      <c r="G962" s="182">
        <f t="shared" si="235"/>
        <v>0</v>
      </c>
      <c r="H962" s="182">
        <f t="shared" si="235"/>
        <v>19.962365591397848</v>
      </c>
      <c r="I962" s="182">
        <f t="shared" si="235"/>
        <v>0</v>
      </c>
      <c r="J962" s="182">
        <f t="shared" si="235"/>
        <v>19.962365591397848</v>
      </c>
      <c r="K962" s="182">
        <f t="shared" si="235"/>
        <v>0</v>
      </c>
      <c r="L962" s="182">
        <f t="shared" si="235"/>
        <v>0</v>
      </c>
      <c r="M962" s="239">
        <f t="shared" si="235"/>
        <v>411.96774193548384</v>
      </c>
      <c r="N962" s="240">
        <f t="shared" si="235"/>
        <v>16</v>
      </c>
      <c r="O962" s="227">
        <f t="shared" si="235"/>
        <v>427.96774193548384</v>
      </c>
      <c r="P962" s="255">
        <f t="shared" si="235"/>
        <v>-29.883064516129032</v>
      </c>
      <c r="Q962" s="182" t="str">
        <f t="shared" si="231"/>
        <v/>
      </c>
      <c r="R962" s="307">
        <f t="shared" si="232"/>
        <v>29.883064516129032</v>
      </c>
      <c r="S962" s="304"/>
    </row>
    <row r="963" spans="1:19" ht="15.75" customHeight="1" x14ac:dyDescent="0.3">
      <c r="A963" s="192" t="s">
        <v>14</v>
      </c>
      <c r="B963" s="189">
        <f>+B936/($H$10*24)</f>
        <v>216.125</v>
      </c>
      <c r="C963" s="182">
        <f t="shared" ref="C963:P963" si="236">+C936/($H$10*24)</f>
        <v>0</v>
      </c>
      <c r="D963" s="182">
        <f t="shared" si="236"/>
        <v>9.0638888888888882</v>
      </c>
      <c r="E963" s="182">
        <f t="shared" si="236"/>
        <v>216.125</v>
      </c>
      <c r="F963" s="307">
        <f t="shared" si="236"/>
        <v>225.1888888888889</v>
      </c>
      <c r="G963" s="182">
        <f t="shared" si="236"/>
        <v>19.970010151044253</v>
      </c>
      <c r="H963" s="182">
        <f t="shared" si="236"/>
        <v>19.059722222222224</v>
      </c>
      <c r="I963" s="182">
        <f t="shared" si="236"/>
        <v>0</v>
      </c>
      <c r="J963" s="182">
        <f t="shared" si="236"/>
        <v>19.059722222222224</v>
      </c>
      <c r="K963" s="182">
        <f t="shared" si="236"/>
        <v>0</v>
      </c>
      <c r="L963" s="182">
        <f t="shared" si="236"/>
        <v>0</v>
      </c>
      <c r="M963" s="239">
        <f t="shared" si="236"/>
        <v>199</v>
      </c>
      <c r="N963" s="240">
        <f t="shared" si="236"/>
        <v>0</v>
      </c>
      <c r="O963" s="227">
        <f t="shared" si="236"/>
        <v>199</v>
      </c>
      <c r="P963" s="255">
        <f t="shared" si="236"/>
        <v>-12.840843484377586</v>
      </c>
      <c r="Q963" s="182" t="str">
        <f t="shared" si="231"/>
        <v/>
      </c>
      <c r="R963" s="307">
        <f t="shared" si="232"/>
        <v>12.840843484377586</v>
      </c>
      <c r="S963" s="304"/>
    </row>
    <row r="964" spans="1:19" ht="15.75" customHeight="1" x14ac:dyDescent="0.3">
      <c r="A964" s="192" t="s">
        <v>16</v>
      </c>
      <c r="B964" s="189">
        <f>+B937/($J$10*24)</f>
        <v>197.97311827956989</v>
      </c>
      <c r="C964" s="182">
        <f t="shared" ref="C964:P964" si="237">+C937/($J$10*24)</f>
        <v>0</v>
      </c>
      <c r="D964" s="182">
        <f t="shared" si="237"/>
        <v>8.193548387096774</v>
      </c>
      <c r="E964" s="182">
        <f t="shared" si="237"/>
        <v>197.97311827956989</v>
      </c>
      <c r="F964" s="307">
        <f t="shared" si="237"/>
        <v>206.16666666666666</v>
      </c>
      <c r="G964" s="182">
        <f t="shared" si="237"/>
        <v>15.852904721025919</v>
      </c>
      <c r="H964" s="182">
        <f t="shared" si="237"/>
        <v>17.36962365591398</v>
      </c>
      <c r="I964" s="182">
        <f t="shared" si="237"/>
        <v>0</v>
      </c>
      <c r="J964" s="182">
        <f t="shared" si="237"/>
        <v>17.36962365591398</v>
      </c>
      <c r="K964" s="182">
        <f t="shared" si="237"/>
        <v>0</v>
      </c>
      <c r="L964" s="182">
        <f t="shared" si="237"/>
        <v>0</v>
      </c>
      <c r="M964" s="239">
        <f t="shared" si="237"/>
        <v>202</v>
      </c>
      <c r="N964" s="240">
        <f t="shared" si="237"/>
        <v>0</v>
      </c>
      <c r="O964" s="227">
        <f t="shared" si="237"/>
        <v>202</v>
      </c>
      <c r="P964" s="255">
        <f t="shared" si="237"/>
        <v>-29.05586171027322</v>
      </c>
      <c r="Q964" s="182" t="str">
        <f t="shared" si="231"/>
        <v/>
      </c>
      <c r="R964" s="307">
        <f t="shared" si="232"/>
        <v>29.05586171027322</v>
      </c>
      <c r="S964" s="304"/>
    </row>
    <row r="965" spans="1:19" ht="15.75" customHeight="1" x14ac:dyDescent="0.3">
      <c r="A965" s="192" t="s">
        <v>17</v>
      </c>
      <c r="B965" s="189">
        <f>+B938/($K$10*24)</f>
        <v>190.91532258064515</v>
      </c>
      <c r="C965" s="182">
        <f t="shared" ref="C965:P965" si="238">+C938/($K$10*24)</f>
        <v>0</v>
      </c>
      <c r="D965" s="182">
        <f t="shared" si="238"/>
        <v>7.974462365591398</v>
      </c>
      <c r="E965" s="182">
        <f t="shared" si="238"/>
        <v>190.91532258064515</v>
      </c>
      <c r="F965" s="307">
        <f t="shared" si="238"/>
        <v>198.88978494623655</v>
      </c>
      <c r="G965" s="182">
        <f t="shared" si="238"/>
        <v>10.705945756463272</v>
      </c>
      <c r="H965" s="182">
        <f t="shared" si="238"/>
        <v>15.049731182795698</v>
      </c>
      <c r="I965" s="182">
        <f t="shared" si="238"/>
        <v>0</v>
      </c>
      <c r="J965" s="182">
        <f t="shared" si="238"/>
        <v>15.049731182795698</v>
      </c>
      <c r="K965" s="182">
        <f t="shared" si="238"/>
        <v>0</v>
      </c>
      <c r="L965" s="182">
        <f t="shared" si="238"/>
        <v>0</v>
      </c>
      <c r="M965" s="239">
        <f t="shared" si="238"/>
        <v>212</v>
      </c>
      <c r="N965" s="240">
        <f t="shared" si="238"/>
        <v>0</v>
      </c>
      <c r="O965" s="227">
        <f t="shared" si="238"/>
        <v>212</v>
      </c>
      <c r="P965" s="255">
        <f t="shared" si="238"/>
        <v>-38.865891993022416</v>
      </c>
      <c r="Q965" s="182" t="str">
        <f t="shared" si="231"/>
        <v/>
      </c>
      <c r="R965" s="307">
        <f t="shared" si="232"/>
        <v>38.865891993022416</v>
      </c>
      <c r="S965" s="304"/>
    </row>
    <row r="966" spans="1:19" ht="15.75" customHeight="1" x14ac:dyDescent="0.3">
      <c r="A966" s="192" t="s">
        <v>18</v>
      </c>
      <c r="B966" s="189">
        <f>+B939/($L$10*24)</f>
        <v>336.85833333333335</v>
      </c>
      <c r="C966" s="182">
        <f t="shared" ref="C966:P966" si="239">+C939/($L$10*24)</f>
        <v>0</v>
      </c>
      <c r="D966" s="182">
        <f t="shared" si="239"/>
        <v>14.71111111111111</v>
      </c>
      <c r="E966" s="182">
        <f t="shared" si="239"/>
        <v>336.85833333333335</v>
      </c>
      <c r="F966" s="307">
        <f t="shared" si="239"/>
        <v>351.56944444444446</v>
      </c>
      <c r="G966" s="182">
        <f t="shared" si="239"/>
        <v>0</v>
      </c>
      <c r="H966" s="182">
        <f t="shared" si="239"/>
        <v>14.356944444444444</v>
      </c>
      <c r="I966" s="182">
        <f t="shared" si="239"/>
        <v>0</v>
      </c>
      <c r="J966" s="182">
        <f t="shared" si="239"/>
        <v>14.356944444444444</v>
      </c>
      <c r="K966" s="182">
        <f t="shared" si="239"/>
        <v>0</v>
      </c>
      <c r="L966" s="182">
        <f t="shared" si="239"/>
        <v>0</v>
      </c>
      <c r="M966" s="239">
        <f t="shared" si="239"/>
        <v>314.66666666666669</v>
      </c>
      <c r="N966" s="240">
        <f t="shared" si="239"/>
        <v>99.333333333333329</v>
      </c>
      <c r="O966" s="227">
        <f t="shared" si="239"/>
        <v>414</v>
      </c>
      <c r="P966" s="255">
        <f t="shared" si="239"/>
        <v>-76.787499999999994</v>
      </c>
      <c r="Q966" s="182" t="str">
        <f t="shared" si="231"/>
        <v/>
      </c>
      <c r="R966" s="307">
        <f t="shared" si="232"/>
        <v>76.787499999999994</v>
      </c>
      <c r="S966" s="304"/>
    </row>
    <row r="967" spans="1:19" ht="15.75" customHeight="1" x14ac:dyDescent="0.3">
      <c r="A967" s="192" t="s">
        <v>20</v>
      </c>
      <c r="B967" s="189">
        <f>+B940/($N$10*24)</f>
        <v>292.06720430107526</v>
      </c>
      <c r="C967" s="182">
        <f t="shared" ref="C967:P967" si="240">+C940/($N$10*24)</f>
        <v>0</v>
      </c>
      <c r="D967" s="182">
        <f t="shared" si="240"/>
        <v>12.798387096774194</v>
      </c>
      <c r="E967" s="182">
        <f t="shared" si="240"/>
        <v>292.06720430107526</v>
      </c>
      <c r="F967" s="307">
        <f t="shared" si="240"/>
        <v>304.86559139784947</v>
      </c>
      <c r="G967" s="182">
        <f t="shared" si="240"/>
        <v>0</v>
      </c>
      <c r="H967" s="182">
        <f t="shared" si="240"/>
        <v>13.21236559139785</v>
      </c>
      <c r="I967" s="182">
        <f t="shared" si="240"/>
        <v>0</v>
      </c>
      <c r="J967" s="182">
        <f t="shared" si="240"/>
        <v>13.21236559139785</v>
      </c>
      <c r="K967" s="182">
        <f t="shared" si="240"/>
        <v>0</v>
      </c>
      <c r="L967" s="182">
        <f t="shared" si="240"/>
        <v>0</v>
      </c>
      <c r="M967" s="239">
        <f t="shared" si="240"/>
        <v>260.68817204301075</v>
      </c>
      <c r="N967" s="240">
        <f t="shared" si="240"/>
        <v>0</v>
      </c>
      <c r="O967" s="227">
        <f t="shared" si="240"/>
        <v>260.68817204301075</v>
      </c>
      <c r="P967" s="255">
        <f t="shared" si="240"/>
        <v>30.96505376344086</v>
      </c>
      <c r="Q967" s="182">
        <f t="shared" si="231"/>
        <v>30.96505376344086</v>
      </c>
      <c r="R967" s="307" t="str">
        <f t="shared" si="232"/>
        <v/>
      </c>
      <c r="S967" s="304"/>
    </row>
    <row r="968" spans="1:19" ht="15.75" customHeight="1" x14ac:dyDescent="0.3">
      <c r="A968" s="192" t="s">
        <v>21</v>
      </c>
      <c r="B968" s="189">
        <f>+B941/($O$10*24)</f>
        <v>293.02777777777777</v>
      </c>
      <c r="C968" s="182">
        <f t="shared" ref="C968:P968" si="241">+C941/($O$10*24)</f>
        <v>0</v>
      </c>
      <c r="D968" s="182">
        <f t="shared" si="241"/>
        <v>12.695833333333333</v>
      </c>
      <c r="E968" s="182">
        <f t="shared" si="241"/>
        <v>293.02777777777777</v>
      </c>
      <c r="F968" s="307">
        <f t="shared" si="241"/>
        <v>305.7236111111111</v>
      </c>
      <c r="G968" s="182">
        <f t="shared" si="241"/>
        <v>0</v>
      </c>
      <c r="H968" s="182">
        <f t="shared" si="241"/>
        <v>12.384722222222223</v>
      </c>
      <c r="I968" s="182">
        <f t="shared" si="241"/>
        <v>0</v>
      </c>
      <c r="J968" s="182">
        <f t="shared" si="241"/>
        <v>12.384722222222223</v>
      </c>
      <c r="K968" s="182">
        <f t="shared" si="241"/>
        <v>0</v>
      </c>
      <c r="L968" s="182">
        <f t="shared" si="241"/>
        <v>0</v>
      </c>
      <c r="M968" s="239">
        <f t="shared" si="241"/>
        <v>268.33333333333331</v>
      </c>
      <c r="N968" s="240">
        <f t="shared" si="241"/>
        <v>0</v>
      </c>
      <c r="O968" s="227">
        <f t="shared" si="241"/>
        <v>268.33333333333331</v>
      </c>
      <c r="P968" s="255">
        <f t="shared" si="241"/>
        <v>25.005555555555556</v>
      </c>
      <c r="Q968" s="182">
        <f t="shared" si="231"/>
        <v>25.005555555555556</v>
      </c>
      <c r="R968" s="307" t="str">
        <f t="shared" si="232"/>
        <v/>
      </c>
      <c r="S968" s="304"/>
    </row>
    <row r="969" spans="1:19" ht="15.75" customHeight="1" thickBot="1" x14ac:dyDescent="0.35">
      <c r="A969" s="192" t="s">
        <v>22</v>
      </c>
      <c r="B969" s="204">
        <f>+B942/($P$10*24)</f>
        <v>307.22849462365593</v>
      </c>
      <c r="C969" s="205">
        <f t="shared" ref="C969:P969" si="242">+C942/($P$10*24)</f>
        <v>0</v>
      </c>
      <c r="D969" s="205">
        <f t="shared" si="242"/>
        <v>13.049731182795698</v>
      </c>
      <c r="E969" s="205">
        <f t="shared" si="242"/>
        <v>307.22849462365593</v>
      </c>
      <c r="F969" s="245">
        <f t="shared" si="242"/>
        <v>320.27822580645159</v>
      </c>
      <c r="G969" s="205">
        <f t="shared" si="242"/>
        <v>0</v>
      </c>
      <c r="H969" s="205">
        <f t="shared" si="242"/>
        <v>11.493279569892474</v>
      </c>
      <c r="I969" s="205">
        <f t="shared" si="242"/>
        <v>0</v>
      </c>
      <c r="J969" s="205">
        <f t="shared" si="242"/>
        <v>11.493279569892474</v>
      </c>
      <c r="K969" s="205">
        <f t="shared" si="242"/>
        <v>0</v>
      </c>
      <c r="L969" s="205">
        <f t="shared" si="242"/>
        <v>0</v>
      </c>
      <c r="M969" s="319">
        <f t="shared" si="242"/>
        <v>263.77419354838707</v>
      </c>
      <c r="N969" s="250">
        <f t="shared" si="242"/>
        <v>38.032258064516128</v>
      </c>
      <c r="O969" s="247">
        <f t="shared" si="242"/>
        <v>301.80645161290323</v>
      </c>
      <c r="P969" s="256">
        <f t="shared" si="242"/>
        <v>6.978494623655914</v>
      </c>
      <c r="Q969" s="205">
        <f t="shared" si="231"/>
        <v>6.978494623655914</v>
      </c>
      <c r="R969" s="245" t="str">
        <f t="shared" si="232"/>
        <v/>
      </c>
      <c r="S969" s="304"/>
    </row>
    <row r="970" spans="1:19" ht="15.75" customHeight="1" x14ac:dyDescent="0.3">
      <c r="A970" s="257"/>
      <c r="S970" s="304"/>
    </row>
    <row r="971" spans="1:19" ht="16.5" customHeight="1" thickBot="1" x14ac:dyDescent="0.35">
      <c r="A971" s="258"/>
      <c r="B971" s="135"/>
      <c r="C971" s="135"/>
      <c r="D971" s="135"/>
      <c r="E971" s="135"/>
      <c r="F971" s="135"/>
      <c r="G971" s="135"/>
      <c r="H971" s="135"/>
      <c r="I971" s="135"/>
      <c r="J971" s="135"/>
      <c r="K971" s="135"/>
      <c r="L971" s="135"/>
      <c r="M971" s="135"/>
      <c r="N971" s="135"/>
      <c r="O971" s="135"/>
      <c r="P971" s="135"/>
      <c r="Q971" s="135"/>
      <c r="R971" s="135"/>
      <c r="S971" s="136"/>
    </row>
    <row r="972" spans="1:19" ht="15.75" customHeight="1" x14ac:dyDescent="0.3">
      <c r="A972" s="259"/>
      <c r="B972" s="180"/>
      <c r="C972" s="180"/>
      <c r="D972" s="180"/>
      <c r="E972" s="180"/>
      <c r="F972" s="180"/>
      <c r="G972" s="180"/>
      <c r="H972" s="180"/>
      <c r="I972" s="180"/>
      <c r="J972" s="180"/>
      <c r="K972" s="180"/>
      <c r="L972" s="180"/>
      <c r="M972" s="180"/>
      <c r="N972" s="180"/>
      <c r="O972" s="180"/>
      <c r="P972" s="180"/>
      <c r="Q972" s="180"/>
      <c r="R972" s="180"/>
    </row>
    <row r="973" spans="1:19" ht="15.75" customHeight="1" x14ac:dyDescent="0.3">
      <c r="A973" s="260"/>
    </row>
    <row r="974" spans="1:19" ht="15.75" customHeight="1" thickBot="1" x14ac:dyDescent="0.35">
      <c r="A974" s="260"/>
    </row>
    <row r="975" spans="1:19" ht="15.75" customHeight="1" x14ac:dyDescent="0.3">
      <c r="A975" s="261"/>
      <c r="B975" s="387" t="s">
        <v>780</v>
      </c>
      <c r="C975" s="387"/>
      <c r="D975" s="387"/>
      <c r="E975" s="387"/>
      <c r="F975" s="387"/>
      <c r="G975" s="387"/>
      <c r="H975" s="387"/>
      <c r="I975" s="387"/>
      <c r="J975" s="387"/>
      <c r="K975" s="387"/>
      <c r="L975" s="387"/>
      <c r="M975" s="387"/>
      <c r="N975" s="387"/>
      <c r="O975" s="387"/>
      <c r="P975" s="387"/>
      <c r="Q975" s="177" t="str">
        <f>+Q1</f>
        <v xml:space="preserve">PRINTED:  </v>
      </c>
      <c r="R975" s="197">
        <f ca="1">+R1</f>
        <v>44894.658168518516</v>
      </c>
      <c r="S975" s="198"/>
    </row>
    <row r="976" spans="1:19" ht="15.75" customHeight="1" x14ac:dyDescent="0.3">
      <c r="A976" s="262"/>
      <c r="B976" s="394" t="str">
        <f>+A8</f>
        <v>Revised:  12/8/2015</v>
      </c>
      <c r="C976" s="394"/>
      <c r="D976" s="394"/>
      <c r="E976" s="394"/>
      <c r="F976" s="394"/>
      <c r="G976" s="394"/>
      <c r="H976" s="394"/>
      <c r="I976" s="394"/>
      <c r="J976" s="394"/>
      <c r="K976" s="394"/>
      <c r="L976" s="394"/>
      <c r="M976" s="394"/>
      <c r="N976" s="394"/>
      <c r="O976" s="394"/>
      <c r="P976" s="394"/>
      <c r="Q976" s="180"/>
      <c r="R976" s="180"/>
      <c r="S976" s="304"/>
    </row>
    <row r="977" spans="1:50" ht="16.5" customHeight="1" x14ac:dyDescent="0.3">
      <c r="A977" s="262"/>
      <c r="B977" s="394" t="s">
        <v>670</v>
      </c>
      <c r="C977" s="394"/>
      <c r="D977" s="394"/>
      <c r="E977" s="394"/>
      <c r="F977" s="394"/>
      <c r="G977" s="394"/>
      <c r="H977" s="394"/>
      <c r="I977" s="394"/>
      <c r="J977" s="394"/>
      <c r="K977" s="394"/>
      <c r="L977" s="394"/>
      <c r="M977" s="394"/>
      <c r="N977" s="394"/>
      <c r="O977" s="394"/>
      <c r="P977" s="394"/>
      <c r="Q977" s="180"/>
      <c r="R977" s="180"/>
      <c r="S977" s="304"/>
    </row>
    <row r="978" spans="1:50" ht="15.75" customHeight="1" x14ac:dyDescent="0.3">
      <c r="A978" s="262"/>
      <c r="B978" s="180"/>
      <c r="C978" s="180"/>
      <c r="D978" s="180"/>
      <c r="E978" s="180"/>
      <c r="F978" s="180"/>
      <c r="G978" s="180"/>
      <c r="H978" s="180"/>
      <c r="I978" s="180"/>
      <c r="J978" s="180"/>
      <c r="K978" s="180"/>
      <c r="L978" s="180"/>
      <c r="M978" s="180"/>
      <c r="N978" s="180"/>
      <c r="O978" s="180"/>
      <c r="P978" s="180"/>
      <c r="Q978" s="180"/>
      <c r="R978" s="180"/>
      <c r="S978" s="304"/>
      <c r="AG978" s="192"/>
    </row>
    <row r="979" spans="1:50" ht="15.75" customHeight="1" x14ac:dyDescent="0.3">
      <c r="A979" s="262"/>
      <c r="B979" s="415">
        <f>+A5</f>
        <v>2016</v>
      </c>
      <c r="C979" s="395"/>
      <c r="D979" s="395"/>
      <c r="E979" s="395"/>
      <c r="F979" s="395"/>
      <c r="G979" s="395"/>
      <c r="H979" s="395"/>
      <c r="I979" s="395"/>
      <c r="J979" s="395"/>
      <c r="K979" s="395"/>
      <c r="L979" s="395"/>
      <c r="M979" s="395"/>
      <c r="N979" s="395"/>
      <c r="O979" s="395"/>
      <c r="P979" s="395"/>
      <c r="Q979" s="180"/>
      <c r="R979" s="180"/>
      <c r="S979" s="304"/>
      <c r="AE979" s="4" t="s">
        <v>781</v>
      </c>
      <c r="AF979" s="4" t="s">
        <v>782</v>
      </c>
    </row>
    <row r="980" spans="1:50" ht="15.75" customHeight="1" thickBot="1" x14ac:dyDescent="0.35">
      <c r="A980" s="262"/>
      <c r="B980" s="394" t="s">
        <v>708</v>
      </c>
      <c r="C980" s="394"/>
      <c r="D980" s="394"/>
      <c r="E980" s="394"/>
      <c r="F980" s="394"/>
      <c r="G980" s="394"/>
      <c r="H980" s="394"/>
      <c r="I980" s="394"/>
      <c r="J980" s="394"/>
      <c r="K980" s="394"/>
      <c r="L980" s="394"/>
      <c r="M980" s="394"/>
      <c r="N980" s="394"/>
      <c r="O980" s="394"/>
      <c r="P980" s="394"/>
      <c r="Q980" s="180"/>
      <c r="R980" s="180"/>
      <c r="S980" s="304"/>
      <c r="AC980" s="4" t="s">
        <v>784</v>
      </c>
      <c r="AD980" s="263" t="s">
        <v>10</v>
      </c>
      <c r="AE980" s="4" t="e">
        <f ca="1">DAY(DATE($A$5,MonthFromText(AD980)+1,1)-1)</f>
        <v>#NAME?</v>
      </c>
    </row>
    <row r="981" spans="1:50" ht="15.75" customHeight="1" x14ac:dyDescent="0.3">
      <c r="A981" s="262"/>
      <c r="B981" s="420" t="s">
        <v>786</v>
      </c>
      <c r="C981" s="421"/>
      <c r="D981" s="422"/>
      <c r="E981" s="182"/>
      <c r="F981" s="182"/>
      <c r="G981" s="182"/>
      <c r="H981" s="182"/>
      <c r="I981" s="182"/>
      <c r="J981" s="182"/>
      <c r="K981" s="182"/>
      <c r="L981" s="182"/>
      <c r="M981" s="182"/>
      <c r="N981" s="182"/>
      <c r="O981" s="182"/>
      <c r="P981" s="182"/>
      <c r="Q981" s="180"/>
      <c r="R981" s="180"/>
      <c r="S981" s="265"/>
    </row>
    <row r="982" spans="1:50" ht="15.75" customHeight="1" thickBot="1" x14ac:dyDescent="0.35">
      <c r="A982" s="191" t="s">
        <v>768</v>
      </c>
      <c r="B982" s="267" t="s">
        <v>791</v>
      </c>
      <c r="C982" s="268" t="s">
        <v>792</v>
      </c>
      <c r="D982" s="269" t="s">
        <v>793</v>
      </c>
      <c r="E982" s="268" t="s">
        <v>678</v>
      </c>
      <c r="F982" s="268" t="s">
        <v>679</v>
      </c>
      <c r="G982" s="268" t="s">
        <v>680</v>
      </c>
      <c r="H982" s="268" t="s">
        <v>794</v>
      </c>
      <c r="I982" s="268" t="s">
        <v>795</v>
      </c>
      <c r="J982" s="268" t="s">
        <v>681</v>
      </c>
      <c r="K982" s="268" t="s">
        <v>682</v>
      </c>
      <c r="L982" s="268" t="s">
        <v>683</v>
      </c>
      <c r="M982" s="268" t="s">
        <v>684</v>
      </c>
      <c r="N982" s="268" t="s">
        <v>685</v>
      </c>
      <c r="O982" s="268" t="s">
        <v>686</v>
      </c>
      <c r="P982" s="268" t="s">
        <v>687</v>
      </c>
      <c r="Q982" s="268" t="s">
        <v>688</v>
      </c>
      <c r="R982" s="268" t="s">
        <v>689</v>
      </c>
      <c r="S982" s="269" t="s">
        <v>638</v>
      </c>
      <c r="T982" s="270" t="s">
        <v>933</v>
      </c>
      <c r="U982" s="270" t="s">
        <v>934</v>
      </c>
      <c r="V982" s="270" t="s">
        <v>935</v>
      </c>
      <c r="AD982" s="191" t="s">
        <v>677</v>
      </c>
      <c r="AE982" s="191" t="s">
        <v>678</v>
      </c>
      <c r="AF982" s="191" t="s">
        <v>679</v>
      </c>
      <c r="AG982" s="191" t="s">
        <v>680</v>
      </c>
      <c r="AH982" s="191" t="s">
        <v>644</v>
      </c>
      <c r="AI982" s="191" t="s">
        <v>681</v>
      </c>
      <c r="AJ982" s="191" t="s">
        <v>682</v>
      </c>
      <c r="AK982" s="191" t="s">
        <v>683</v>
      </c>
      <c r="AL982" s="191" t="s">
        <v>684</v>
      </c>
      <c r="AM982" s="191" t="s">
        <v>685</v>
      </c>
      <c r="AN982" s="191" t="s">
        <v>686</v>
      </c>
      <c r="AO982" s="191" t="s">
        <v>687</v>
      </c>
      <c r="AP982" s="191" t="s">
        <v>688</v>
      </c>
      <c r="AQ982" s="191" t="s">
        <v>689</v>
      </c>
      <c r="AR982" s="191" t="s">
        <v>638</v>
      </c>
      <c r="AS982" s="191" t="s">
        <v>641</v>
      </c>
      <c r="AT982" s="191" t="s">
        <v>800</v>
      </c>
      <c r="AU982" s="191" t="s">
        <v>641</v>
      </c>
      <c r="AW982" s="270" t="s">
        <v>801</v>
      </c>
      <c r="AX982" s="270" t="s">
        <v>802</v>
      </c>
    </row>
    <row r="983" spans="1:50" ht="15.75" customHeight="1" x14ac:dyDescent="0.3">
      <c r="A983" s="211" t="s">
        <v>8</v>
      </c>
      <c r="B983" s="211">
        <f t="shared" ref="B983:C994" si="243">+F1010</f>
        <v>245</v>
      </c>
      <c r="C983" s="192">
        <f t="shared" si="243"/>
        <v>0</v>
      </c>
      <c r="D983" s="312" t="s">
        <v>803</v>
      </c>
      <c r="E983" s="192">
        <f t="shared" ref="E983:S983" si="244">+C903/$B$10/24</f>
        <v>23.477150537634412</v>
      </c>
      <c r="F983" s="192">
        <f t="shared" si="244"/>
        <v>24.61559139784946</v>
      </c>
      <c r="G983" s="192">
        <f t="shared" si="244"/>
        <v>41.631720430107528</v>
      </c>
      <c r="H983" s="192">
        <f t="shared" si="244"/>
        <v>20.987545850947658</v>
      </c>
      <c r="I983" s="192">
        <f t="shared" si="244"/>
        <v>0</v>
      </c>
      <c r="J983" s="192">
        <f t="shared" si="244"/>
        <v>5.987903225806452</v>
      </c>
      <c r="K983" s="192">
        <f t="shared" si="244"/>
        <v>4.364247311827957</v>
      </c>
      <c r="L983" s="192">
        <f t="shared" si="244"/>
        <v>6.538978494623656</v>
      </c>
      <c r="M983" s="192">
        <f t="shared" si="244"/>
        <v>6.577956989247312</v>
      </c>
      <c r="N983" s="192">
        <f t="shared" si="244"/>
        <v>2.2728494623655915</v>
      </c>
      <c r="O983" s="192">
        <f t="shared" si="244"/>
        <v>2.6787634408602155</v>
      </c>
      <c r="P983" s="192">
        <f t="shared" si="244"/>
        <v>5.637096774193548</v>
      </c>
      <c r="Q983" s="192">
        <f t="shared" si="244"/>
        <v>1</v>
      </c>
      <c r="R983" s="192">
        <f t="shared" si="244"/>
        <v>1.1881720430107527</v>
      </c>
      <c r="S983" s="312">
        <f t="shared" si="244"/>
        <v>2.3669354838709675</v>
      </c>
      <c r="T983" s="192">
        <f t="shared" ref="T983:T994" si="245">+B983+SUM(E983:S983)</f>
        <v>394.32491144234552</v>
      </c>
      <c r="U983" s="192">
        <f t="shared" ref="U983:U994" si="246">+C983+SUM(E983:S983)</f>
        <v>149.3249114423455</v>
      </c>
      <c r="V983" s="192" t="s">
        <v>803</v>
      </c>
      <c r="AC983" s="4">
        <v>1</v>
      </c>
      <c r="AD983" s="192">
        <f t="shared" ref="AD983:AD988" si="247">IF($AF$980=1,VLOOKUP($AD$980,$A$1010:$P$1021,12,FALSE),VLOOKUP($AD$980,$A$983:$S$994,2,FALSE))</f>
        <v>294</v>
      </c>
      <c r="AE983" s="192">
        <f>VLOOKUP($AD$980,$A$983:$S$994,5,FALSE)</f>
        <v>23.02956989247312</v>
      </c>
      <c r="AF983" s="192">
        <f>VLOOKUP($AD$980,$A$983:$S$994,6,FALSE)</f>
        <v>24.116935483870964</v>
      </c>
      <c r="AG983" s="192">
        <f>VLOOKUP($AD$980,$A$983:$S$994,7,FALSE)</f>
        <v>39.508064516129032</v>
      </c>
      <c r="AH983" s="192">
        <f>VLOOKUP($AD$980,$A$983:$S$994,8,FALSE)</f>
        <v>0.56534350166139702</v>
      </c>
      <c r="AI983" s="192">
        <f>VLOOKUP($AD$980,$A$983:$S$994,10,FALSE)</f>
        <v>13.047043010752688</v>
      </c>
      <c r="AJ983" s="192">
        <f>VLOOKUP($AD$980,$A$983:$S$994,11,FALSE)</f>
        <v>7.672043010752688</v>
      </c>
      <c r="AK983" s="192">
        <f>VLOOKUP($AD$980,$A$983:$S$994,12,FALSE)</f>
        <v>9.2553763440860219</v>
      </c>
      <c r="AL983" s="192">
        <f>VLOOKUP($AD$980,$A$983:$S$994,13,FALSE)</f>
        <v>8.081989247311828</v>
      </c>
      <c r="AM983" s="192">
        <f>VLOOKUP($AD$980,$A$983:$S$994,14,FALSE)</f>
        <v>2.6061827956989245</v>
      </c>
      <c r="AN983" s="192">
        <f>VLOOKUP($AD$980,$A$983:$S$994,15,FALSE)</f>
        <v>3.0712365591397845</v>
      </c>
      <c r="AO983" s="192">
        <f>VLOOKUP($AD$980,$A$983:$S$994,16,FALSE)</f>
        <v>6.4354838709677411</v>
      </c>
      <c r="AP983" s="192">
        <f>VLOOKUP($AD$980,$A$983:$S$994,17,FALSE)</f>
        <v>1.0806451612903225</v>
      </c>
      <c r="AQ983" s="192">
        <f>VLOOKUP($AD$980,$A$983:$S$994,18,FALSE)</f>
        <v>2.1021505376344085</v>
      </c>
      <c r="AR983" s="192">
        <f>VLOOKUP($AD$980,$A$983:$S$994,19,FALSE)</f>
        <v>2.5577956989247315</v>
      </c>
      <c r="AS983" s="192">
        <f>SUM(AD983:AR983)</f>
        <v>437.12985963069366</v>
      </c>
      <c r="AT983" s="192" t="e">
        <f ca="1">VLOOKUP($AD$980,$AC$903:$AS$914,17,FALSE)/$AE$980*(AS983/$AS$1007)</f>
        <v>#NAME?</v>
      </c>
      <c r="AU983" s="192" t="e">
        <f ca="1">AS983+AT983</f>
        <v>#NAME?</v>
      </c>
      <c r="AW983" s="192" t="e">
        <f ca="1">VLOOKUP($AD$980,$A$931:$O$944,15,FALSE)/$AE$980/24</f>
        <v>#NAME?</v>
      </c>
      <c r="AX983" s="192" t="e">
        <f ca="1">AU983-AW983</f>
        <v>#NAME?</v>
      </c>
    </row>
    <row r="984" spans="1:50" ht="15.75" customHeight="1" x14ac:dyDescent="0.3">
      <c r="A984" s="211" t="s">
        <v>9</v>
      </c>
      <c r="B984" s="211">
        <f t="shared" si="243"/>
        <v>294</v>
      </c>
      <c r="C984" s="192">
        <f t="shared" si="243"/>
        <v>147</v>
      </c>
      <c r="D984" s="312" t="s">
        <v>803</v>
      </c>
      <c r="E984" s="192">
        <f t="shared" ref="E984:S984" si="248">+C904/$C$10/24</f>
        <v>17.116379310344829</v>
      </c>
      <c r="F984" s="192">
        <f t="shared" si="248"/>
        <v>17.931034482758623</v>
      </c>
      <c r="G984" s="192">
        <f t="shared" si="248"/>
        <v>29.956896551724139</v>
      </c>
      <c r="H984" s="192">
        <f t="shared" si="248"/>
        <v>3.321170865895986</v>
      </c>
      <c r="I984" s="192">
        <f t="shared" si="248"/>
        <v>0</v>
      </c>
      <c r="J984" s="192">
        <f t="shared" si="248"/>
        <v>8.5287356321839081</v>
      </c>
      <c r="K984" s="192">
        <f t="shared" si="248"/>
        <v>4.9655172413793105</v>
      </c>
      <c r="L984" s="192">
        <f t="shared" si="248"/>
        <v>7.5574712643678161</v>
      </c>
      <c r="M984" s="192">
        <f t="shared" si="248"/>
        <v>7.7040229885057476</v>
      </c>
      <c r="N984" s="192">
        <f t="shared" si="248"/>
        <v>2.4899425287356323</v>
      </c>
      <c r="O984" s="192">
        <f t="shared" si="248"/>
        <v>2.9339080459770113</v>
      </c>
      <c r="P984" s="192">
        <f t="shared" si="248"/>
        <v>6.1580459770114944</v>
      </c>
      <c r="Q984" s="192">
        <f t="shared" si="248"/>
        <v>1.1192528735632183</v>
      </c>
      <c r="R984" s="192">
        <f t="shared" si="248"/>
        <v>1.3189655172413792</v>
      </c>
      <c r="S984" s="312">
        <f t="shared" si="248"/>
        <v>2.6494252873563218</v>
      </c>
      <c r="T984" s="192">
        <f t="shared" si="245"/>
        <v>407.75076856704538</v>
      </c>
      <c r="U984" s="192">
        <f t="shared" si="246"/>
        <v>260.75076856704538</v>
      </c>
      <c r="V984" s="192" t="s">
        <v>803</v>
      </c>
      <c r="AC984" s="4">
        <v>2</v>
      </c>
      <c r="AD984" s="192">
        <f t="shared" si="247"/>
        <v>294</v>
      </c>
      <c r="AE984" s="192">
        <f t="shared" ref="AE984:AE1006" si="249">VLOOKUP($AD$980,$A$983:$S$994,5,FALSE)</f>
        <v>23.02956989247312</v>
      </c>
      <c r="AF984" s="192">
        <f t="shared" ref="AF984:AF1006" si="250">VLOOKUP($AD$980,$A$983:$S$994,6,FALSE)</f>
        <v>24.116935483870964</v>
      </c>
      <c r="AG984" s="192">
        <f t="shared" ref="AG984:AG1006" si="251">VLOOKUP($AD$980,$A$983:$S$994,7,FALSE)</f>
        <v>39.508064516129032</v>
      </c>
      <c r="AH984" s="192">
        <f t="shared" ref="AH984:AH1006" si="252">VLOOKUP($AD$980,$A$983:$S$994,8,FALSE)</f>
        <v>0.56534350166139702</v>
      </c>
      <c r="AI984" s="192">
        <f t="shared" ref="AI984:AI1006" si="253">VLOOKUP($AD$980,$A$983:$S$994,10,FALSE)</f>
        <v>13.047043010752688</v>
      </c>
      <c r="AJ984" s="192">
        <f t="shared" ref="AJ984:AJ1006" si="254">VLOOKUP($AD$980,$A$983:$S$994,11,FALSE)</f>
        <v>7.672043010752688</v>
      </c>
      <c r="AK984" s="192">
        <f t="shared" ref="AK984:AK1006" si="255">VLOOKUP($AD$980,$A$983:$S$994,12,FALSE)</f>
        <v>9.2553763440860219</v>
      </c>
      <c r="AL984" s="192">
        <f t="shared" ref="AL984:AL1006" si="256">VLOOKUP($AD$980,$A$983:$S$994,13,FALSE)</f>
        <v>8.081989247311828</v>
      </c>
      <c r="AM984" s="192">
        <f t="shared" ref="AM984:AM1006" si="257">VLOOKUP($AD$980,$A$983:$S$994,14,FALSE)</f>
        <v>2.6061827956989245</v>
      </c>
      <c r="AN984" s="192">
        <f t="shared" ref="AN984:AN1006" si="258">VLOOKUP($AD$980,$A$983:$S$994,15,FALSE)</f>
        <v>3.0712365591397845</v>
      </c>
      <c r="AO984" s="192">
        <f t="shared" ref="AO984:AO1006" si="259">VLOOKUP($AD$980,$A$983:$S$994,16,FALSE)</f>
        <v>6.4354838709677411</v>
      </c>
      <c r="AP984" s="192">
        <f t="shared" ref="AP984:AP1006" si="260">VLOOKUP($AD$980,$A$983:$S$994,17,FALSE)</f>
        <v>1.0806451612903225</v>
      </c>
      <c r="AQ984" s="192">
        <f t="shared" ref="AQ984:AQ1006" si="261">VLOOKUP($AD$980,$A$983:$S$994,18,FALSE)</f>
        <v>2.1021505376344085</v>
      </c>
      <c r="AR984" s="192">
        <f t="shared" ref="AR984:AR1006" si="262">VLOOKUP($AD$980,$A$983:$S$994,19,FALSE)</f>
        <v>2.5577956989247315</v>
      </c>
      <c r="AS984" s="192">
        <f t="shared" ref="AS984:AS1006" si="263">SUM(AD984:AR984)</f>
        <v>437.12985963069366</v>
      </c>
      <c r="AT984" s="192" t="e">
        <f t="shared" ref="AT984:AT1006" ca="1" si="264">VLOOKUP($AD$980,$AC$903:$AS$914,17,FALSE)/$AE$980*(AS984/$AS$1007)</f>
        <v>#NAME?</v>
      </c>
      <c r="AU984" s="192" t="e">
        <f t="shared" ref="AU984:AU1006" ca="1" si="265">AS984+AT984</f>
        <v>#NAME?</v>
      </c>
      <c r="AW984" s="192" t="e">
        <f t="shared" ref="AW984:AW1006" ca="1" si="266">VLOOKUP($AD$980,$A$931:$O$944,15,FALSE)/$AE$980/24</f>
        <v>#NAME?</v>
      </c>
      <c r="AX984" s="192" t="e">
        <f t="shared" ref="AX984:AX1006" ca="1" si="267">AU984-AW984</f>
        <v>#NAME?</v>
      </c>
    </row>
    <row r="985" spans="1:50" ht="15.75" customHeight="1" x14ac:dyDescent="0.3">
      <c r="A985" s="211" t="s">
        <v>10</v>
      </c>
      <c r="B985" s="211">
        <f t="shared" si="243"/>
        <v>294</v>
      </c>
      <c r="C985" s="192">
        <f t="shared" si="243"/>
        <v>196</v>
      </c>
      <c r="D985" s="312" t="s">
        <v>803</v>
      </c>
      <c r="E985" s="192">
        <f t="shared" ref="E985:S985" si="268">+C905/$D$10/24</f>
        <v>23.02956989247312</v>
      </c>
      <c r="F985" s="192">
        <f t="shared" si="268"/>
        <v>24.116935483870964</v>
      </c>
      <c r="G985" s="192">
        <f t="shared" si="268"/>
        <v>39.508064516129032</v>
      </c>
      <c r="H985" s="192">
        <f t="shared" si="268"/>
        <v>0.56534350166139702</v>
      </c>
      <c r="I985" s="192">
        <f t="shared" si="268"/>
        <v>0</v>
      </c>
      <c r="J985" s="192">
        <f t="shared" si="268"/>
        <v>13.047043010752688</v>
      </c>
      <c r="K985" s="192">
        <f t="shared" si="268"/>
        <v>7.672043010752688</v>
      </c>
      <c r="L985" s="192">
        <f t="shared" si="268"/>
        <v>9.2553763440860219</v>
      </c>
      <c r="M985" s="192">
        <f t="shared" si="268"/>
        <v>8.081989247311828</v>
      </c>
      <c r="N985" s="192">
        <f t="shared" si="268"/>
        <v>2.6061827956989245</v>
      </c>
      <c r="O985" s="192">
        <f t="shared" si="268"/>
        <v>3.0712365591397845</v>
      </c>
      <c r="P985" s="192">
        <f t="shared" si="268"/>
        <v>6.4354838709677411</v>
      </c>
      <c r="Q985" s="192">
        <f t="shared" si="268"/>
        <v>1.0806451612903225</v>
      </c>
      <c r="R985" s="192">
        <f t="shared" si="268"/>
        <v>2.1021505376344085</v>
      </c>
      <c r="S985" s="312">
        <f t="shared" si="268"/>
        <v>2.5577956989247315</v>
      </c>
      <c r="T985" s="192">
        <f t="shared" si="245"/>
        <v>437.12985963069366</v>
      </c>
      <c r="U985" s="192">
        <f t="shared" si="246"/>
        <v>339.12985963069366</v>
      </c>
      <c r="V985" s="192" t="s">
        <v>803</v>
      </c>
      <c r="AC985" s="4">
        <v>3</v>
      </c>
      <c r="AD985" s="192">
        <f t="shared" si="247"/>
        <v>294</v>
      </c>
      <c r="AE985" s="192">
        <f t="shared" si="249"/>
        <v>23.02956989247312</v>
      </c>
      <c r="AF985" s="192">
        <f t="shared" si="250"/>
        <v>24.116935483870964</v>
      </c>
      <c r="AG985" s="192">
        <f t="shared" si="251"/>
        <v>39.508064516129032</v>
      </c>
      <c r="AH985" s="192">
        <f t="shared" si="252"/>
        <v>0.56534350166139702</v>
      </c>
      <c r="AI985" s="192">
        <f t="shared" si="253"/>
        <v>13.047043010752688</v>
      </c>
      <c r="AJ985" s="192">
        <f t="shared" si="254"/>
        <v>7.672043010752688</v>
      </c>
      <c r="AK985" s="192">
        <f t="shared" si="255"/>
        <v>9.2553763440860219</v>
      </c>
      <c r="AL985" s="192">
        <f t="shared" si="256"/>
        <v>8.081989247311828</v>
      </c>
      <c r="AM985" s="192">
        <f t="shared" si="257"/>
        <v>2.6061827956989245</v>
      </c>
      <c r="AN985" s="192">
        <f t="shared" si="258"/>
        <v>3.0712365591397845</v>
      </c>
      <c r="AO985" s="192">
        <f t="shared" si="259"/>
        <v>6.4354838709677411</v>
      </c>
      <c r="AP985" s="192">
        <f t="shared" si="260"/>
        <v>1.0806451612903225</v>
      </c>
      <c r="AQ985" s="192">
        <f t="shared" si="261"/>
        <v>2.1021505376344085</v>
      </c>
      <c r="AR985" s="192">
        <f t="shared" si="262"/>
        <v>2.5577956989247315</v>
      </c>
      <c r="AS985" s="192">
        <f t="shared" si="263"/>
        <v>437.12985963069366</v>
      </c>
      <c r="AT985" s="192" t="e">
        <f t="shared" ca="1" si="264"/>
        <v>#NAME?</v>
      </c>
      <c r="AU985" s="192" t="e">
        <f t="shared" ca="1" si="265"/>
        <v>#NAME?</v>
      </c>
      <c r="AW985" s="192" t="e">
        <f t="shared" ca="1" si="266"/>
        <v>#NAME?</v>
      </c>
      <c r="AX985" s="192" t="e">
        <f t="shared" ca="1" si="267"/>
        <v>#NAME?</v>
      </c>
    </row>
    <row r="986" spans="1:50" ht="15.75" customHeight="1" x14ac:dyDescent="0.3">
      <c r="A986" s="211" t="s">
        <v>12</v>
      </c>
      <c r="B986" s="211">
        <f t="shared" si="243"/>
        <v>294</v>
      </c>
      <c r="C986" s="192">
        <f t="shared" si="243"/>
        <v>196</v>
      </c>
      <c r="D986" s="312" t="s">
        <v>803</v>
      </c>
      <c r="E986" s="192">
        <f t="shared" ref="E986:S986" si="269">+C906/$F$10/24</f>
        <v>29.508333333333336</v>
      </c>
      <c r="F986" s="192">
        <f t="shared" si="269"/>
        <v>30.897222222222222</v>
      </c>
      <c r="G986" s="192">
        <f t="shared" si="269"/>
        <v>50.36944444444444</v>
      </c>
      <c r="H986" s="192">
        <f t="shared" si="269"/>
        <v>2.0496321950287921</v>
      </c>
      <c r="I986" s="192">
        <f t="shared" si="269"/>
        <v>0</v>
      </c>
      <c r="J986" s="192">
        <f t="shared" si="269"/>
        <v>16.077777777777779</v>
      </c>
      <c r="K986" s="192">
        <f t="shared" si="269"/>
        <v>8.5166666666666675</v>
      </c>
      <c r="L986" s="192">
        <f t="shared" si="269"/>
        <v>9.7652777777777775</v>
      </c>
      <c r="M986" s="192">
        <f t="shared" si="269"/>
        <v>8.8583333333333325</v>
      </c>
      <c r="N986" s="192">
        <f t="shared" si="269"/>
        <v>2.7180555555555554</v>
      </c>
      <c r="O986" s="192">
        <f t="shared" si="269"/>
        <v>3.1999999999999997</v>
      </c>
      <c r="P986" s="192">
        <f t="shared" si="269"/>
        <v>6.7055555555555557</v>
      </c>
      <c r="Q986" s="192">
        <f t="shared" si="269"/>
        <v>1.1166666666666667</v>
      </c>
      <c r="R986" s="192">
        <f t="shared" si="269"/>
        <v>2.5972222222222223</v>
      </c>
      <c r="S986" s="312">
        <f t="shared" si="269"/>
        <v>2.6416666666666666</v>
      </c>
      <c r="T986" s="192">
        <f t="shared" si="245"/>
        <v>469.02185441725101</v>
      </c>
      <c r="U986" s="192">
        <f t="shared" si="246"/>
        <v>371.02185441725101</v>
      </c>
      <c r="V986" s="192" t="s">
        <v>803</v>
      </c>
      <c r="AC986" s="4">
        <v>4</v>
      </c>
      <c r="AD986" s="192">
        <f t="shared" si="247"/>
        <v>294</v>
      </c>
      <c r="AE986" s="192">
        <f t="shared" si="249"/>
        <v>23.02956989247312</v>
      </c>
      <c r="AF986" s="192">
        <f t="shared" si="250"/>
        <v>24.116935483870964</v>
      </c>
      <c r="AG986" s="192">
        <f t="shared" si="251"/>
        <v>39.508064516129032</v>
      </c>
      <c r="AH986" s="192">
        <f t="shared" si="252"/>
        <v>0.56534350166139702</v>
      </c>
      <c r="AI986" s="192">
        <f t="shared" si="253"/>
        <v>13.047043010752688</v>
      </c>
      <c r="AJ986" s="192">
        <f t="shared" si="254"/>
        <v>7.672043010752688</v>
      </c>
      <c r="AK986" s="192">
        <f t="shared" si="255"/>
        <v>9.2553763440860219</v>
      </c>
      <c r="AL986" s="192">
        <f t="shared" si="256"/>
        <v>8.081989247311828</v>
      </c>
      <c r="AM986" s="192">
        <f t="shared" si="257"/>
        <v>2.6061827956989245</v>
      </c>
      <c r="AN986" s="192">
        <f t="shared" si="258"/>
        <v>3.0712365591397845</v>
      </c>
      <c r="AO986" s="192">
        <f t="shared" si="259"/>
        <v>6.4354838709677411</v>
      </c>
      <c r="AP986" s="192">
        <f t="shared" si="260"/>
        <v>1.0806451612903225</v>
      </c>
      <c r="AQ986" s="192">
        <f t="shared" si="261"/>
        <v>2.1021505376344085</v>
      </c>
      <c r="AR986" s="192">
        <f t="shared" si="262"/>
        <v>2.5577956989247315</v>
      </c>
      <c r="AS986" s="192">
        <f t="shared" si="263"/>
        <v>437.12985963069366</v>
      </c>
      <c r="AT986" s="192" t="e">
        <f t="shared" ca="1" si="264"/>
        <v>#NAME?</v>
      </c>
      <c r="AU986" s="192" t="e">
        <f t="shared" ca="1" si="265"/>
        <v>#NAME?</v>
      </c>
      <c r="AW986" s="192" t="e">
        <f t="shared" ca="1" si="266"/>
        <v>#NAME?</v>
      </c>
      <c r="AX986" s="192" t="e">
        <f t="shared" ca="1" si="267"/>
        <v>#NAME?</v>
      </c>
    </row>
    <row r="987" spans="1:50" ht="15.75" customHeight="1" x14ac:dyDescent="0.3">
      <c r="A987" s="211" t="s">
        <v>13</v>
      </c>
      <c r="B987" s="211">
        <f t="shared" si="243"/>
        <v>294</v>
      </c>
      <c r="C987" s="192">
        <f t="shared" si="243"/>
        <v>196</v>
      </c>
      <c r="D987" s="312" t="s">
        <v>803</v>
      </c>
      <c r="E987" s="192">
        <f t="shared" ref="E987:S987" si="270">+C907/$G$10/24</f>
        <v>29.448924731182796</v>
      </c>
      <c r="F987" s="192">
        <f t="shared" si="270"/>
        <v>30.827956989247312</v>
      </c>
      <c r="G987" s="192">
        <f t="shared" si="270"/>
        <v>50.494623655913976</v>
      </c>
      <c r="H987" s="192">
        <f t="shared" si="270"/>
        <v>2.2677206514554742</v>
      </c>
      <c r="I987" s="192">
        <f t="shared" si="270"/>
        <v>0</v>
      </c>
      <c r="J987" s="192">
        <f t="shared" si="270"/>
        <v>16.298387096774196</v>
      </c>
      <c r="K987" s="192">
        <f t="shared" si="270"/>
        <v>8.3803763440860219</v>
      </c>
      <c r="L987" s="192">
        <f t="shared" si="270"/>
        <v>8.236559139784946</v>
      </c>
      <c r="M987" s="192">
        <f t="shared" si="270"/>
        <v>7.2338709677419359</v>
      </c>
      <c r="N987" s="192">
        <f t="shared" si="270"/>
        <v>2.456989247311828</v>
      </c>
      <c r="O987" s="192">
        <f t="shared" si="270"/>
        <v>2.89247311827957</v>
      </c>
      <c r="P987" s="192">
        <f t="shared" si="270"/>
        <v>5.836021505376344</v>
      </c>
      <c r="Q987" s="192">
        <f t="shared" si="270"/>
        <v>0.467741935483871</v>
      </c>
      <c r="R987" s="192">
        <f t="shared" si="270"/>
        <v>2.7876344086021505</v>
      </c>
      <c r="S987" s="312">
        <f t="shared" si="270"/>
        <v>1.103494623655914</v>
      </c>
      <c r="T987" s="192">
        <f t="shared" si="245"/>
        <v>462.73277441489637</v>
      </c>
      <c r="U987" s="192">
        <f t="shared" si="246"/>
        <v>364.73277441489637</v>
      </c>
      <c r="V987" s="192" t="s">
        <v>803</v>
      </c>
      <c r="AC987" s="4">
        <v>5</v>
      </c>
      <c r="AD987" s="192">
        <f t="shared" si="247"/>
        <v>294</v>
      </c>
      <c r="AE987" s="192">
        <f t="shared" si="249"/>
        <v>23.02956989247312</v>
      </c>
      <c r="AF987" s="192">
        <f t="shared" si="250"/>
        <v>24.116935483870964</v>
      </c>
      <c r="AG987" s="192">
        <f t="shared" si="251"/>
        <v>39.508064516129032</v>
      </c>
      <c r="AH987" s="192">
        <f t="shared" si="252"/>
        <v>0.56534350166139702</v>
      </c>
      <c r="AI987" s="192">
        <f t="shared" si="253"/>
        <v>13.047043010752688</v>
      </c>
      <c r="AJ987" s="192">
        <f t="shared" si="254"/>
        <v>7.672043010752688</v>
      </c>
      <c r="AK987" s="192">
        <f t="shared" si="255"/>
        <v>9.2553763440860219</v>
      </c>
      <c r="AL987" s="192">
        <f t="shared" si="256"/>
        <v>8.081989247311828</v>
      </c>
      <c r="AM987" s="192">
        <f t="shared" si="257"/>
        <v>2.6061827956989245</v>
      </c>
      <c r="AN987" s="192">
        <f t="shared" si="258"/>
        <v>3.0712365591397845</v>
      </c>
      <c r="AO987" s="192">
        <f t="shared" si="259"/>
        <v>6.4354838709677411</v>
      </c>
      <c r="AP987" s="192">
        <f t="shared" si="260"/>
        <v>1.0806451612903225</v>
      </c>
      <c r="AQ987" s="192">
        <f t="shared" si="261"/>
        <v>2.1021505376344085</v>
      </c>
      <c r="AR987" s="192">
        <f t="shared" si="262"/>
        <v>2.5577956989247315</v>
      </c>
      <c r="AS987" s="192">
        <f t="shared" si="263"/>
        <v>437.12985963069366</v>
      </c>
      <c r="AT987" s="192" t="e">
        <f t="shared" ca="1" si="264"/>
        <v>#NAME?</v>
      </c>
      <c r="AU987" s="192" t="e">
        <f t="shared" ca="1" si="265"/>
        <v>#NAME?</v>
      </c>
      <c r="AW987" s="192" t="e">
        <f t="shared" ca="1" si="266"/>
        <v>#NAME?</v>
      </c>
      <c r="AX987" s="192" t="e">
        <f t="shared" ca="1" si="267"/>
        <v>#NAME?</v>
      </c>
    </row>
    <row r="988" spans="1:50" ht="15.75" customHeight="1" x14ac:dyDescent="0.3">
      <c r="A988" s="211" t="s">
        <v>14</v>
      </c>
      <c r="B988" s="211">
        <f t="shared" si="243"/>
        <v>294</v>
      </c>
      <c r="C988" s="192">
        <f t="shared" si="243"/>
        <v>98</v>
      </c>
      <c r="D988" s="312">
        <f>H1015</f>
        <v>0</v>
      </c>
      <c r="E988" s="192">
        <f t="shared" ref="E988:S988" si="271">+C908/$H$10/24</f>
        <v>13.140277777777778</v>
      </c>
      <c r="F988" s="192">
        <f t="shared" si="271"/>
        <v>13.716666666666667</v>
      </c>
      <c r="G988" s="192">
        <f t="shared" si="271"/>
        <v>21.238888888888891</v>
      </c>
      <c r="H988" s="192">
        <f t="shared" si="271"/>
        <v>0</v>
      </c>
      <c r="I988" s="192">
        <f t="shared" si="271"/>
        <v>-19.970010151044253</v>
      </c>
      <c r="J988" s="192">
        <f t="shared" si="271"/>
        <v>18.233333333333334</v>
      </c>
      <c r="K988" s="192">
        <f t="shared" si="271"/>
        <v>8.6749999999999989</v>
      </c>
      <c r="L988" s="192">
        <f t="shared" si="271"/>
        <v>9.8472222222222232</v>
      </c>
      <c r="M988" s="192">
        <f t="shared" si="271"/>
        <v>8.15</v>
      </c>
      <c r="N988" s="192">
        <f t="shared" si="271"/>
        <v>2.776388888888889</v>
      </c>
      <c r="O988" s="192">
        <f t="shared" si="271"/>
        <v>3.2680555555555557</v>
      </c>
      <c r="P988" s="192">
        <f t="shared" si="271"/>
        <v>6.761111111111112</v>
      </c>
      <c r="Q988" s="192">
        <f t="shared" si="271"/>
        <v>1.1305555555555555</v>
      </c>
      <c r="R988" s="192">
        <f t="shared" si="271"/>
        <v>2.880555555555556</v>
      </c>
      <c r="S988" s="312">
        <f t="shared" si="271"/>
        <v>2.6722222222222225</v>
      </c>
      <c r="T988" s="192">
        <f t="shared" si="245"/>
        <v>386.52026762673353</v>
      </c>
      <c r="U988" s="192">
        <f t="shared" si="246"/>
        <v>190.52026762673353</v>
      </c>
      <c r="V988" s="320">
        <f>D988+SUM(E988:S988)</f>
        <v>92.520267626733542</v>
      </c>
      <c r="AC988" s="4">
        <v>6</v>
      </c>
      <c r="AD988" s="192">
        <f t="shared" si="247"/>
        <v>294</v>
      </c>
      <c r="AE988" s="192">
        <f t="shared" si="249"/>
        <v>23.02956989247312</v>
      </c>
      <c r="AF988" s="192">
        <f t="shared" si="250"/>
        <v>24.116935483870964</v>
      </c>
      <c r="AG988" s="192">
        <f t="shared" si="251"/>
        <v>39.508064516129032</v>
      </c>
      <c r="AH988" s="192">
        <f t="shared" si="252"/>
        <v>0.56534350166139702</v>
      </c>
      <c r="AI988" s="192">
        <f t="shared" si="253"/>
        <v>13.047043010752688</v>
      </c>
      <c r="AJ988" s="192">
        <f t="shared" si="254"/>
        <v>7.672043010752688</v>
      </c>
      <c r="AK988" s="192">
        <f t="shared" si="255"/>
        <v>9.2553763440860219</v>
      </c>
      <c r="AL988" s="192">
        <f t="shared" si="256"/>
        <v>8.081989247311828</v>
      </c>
      <c r="AM988" s="192">
        <f t="shared" si="257"/>
        <v>2.6061827956989245</v>
      </c>
      <c r="AN988" s="192">
        <f t="shared" si="258"/>
        <v>3.0712365591397845</v>
      </c>
      <c r="AO988" s="192">
        <f t="shared" si="259"/>
        <v>6.4354838709677411</v>
      </c>
      <c r="AP988" s="192">
        <f t="shared" si="260"/>
        <v>1.0806451612903225</v>
      </c>
      <c r="AQ988" s="192">
        <f t="shared" si="261"/>
        <v>2.1021505376344085</v>
      </c>
      <c r="AR988" s="192">
        <f t="shared" si="262"/>
        <v>2.5577956989247315</v>
      </c>
      <c r="AS988" s="192">
        <f t="shared" si="263"/>
        <v>437.12985963069366</v>
      </c>
      <c r="AT988" s="192" t="e">
        <f t="shared" ca="1" si="264"/>
        <v>#NAME?</v>
      </c>
      <c r="AU988" s="192" t="e">
        <f t="shared" ca="1" si="265"/>
        <v>#NAME?</v>
      </c>
      <c r="AW988" s="192" t="e">
        <f t="shared" ca="1" si="266"/>
        <v>#NAME?</v>
      </c>
      <c r="AX988" s="192" t="e">
        <f t="shared" ca="1" si="267"/>
        <v>#NAME?</v>
      </c>
    </row>
    <row r="989" spans="1:50" ht="15.75" customHeight="1" x14ac:dyDescent="0.3">
      <c r="A989" s="211" t="s">
        <v>16</v>
      </c>
      <c r="B989" s="211">
        <f t="shared" si="243"/>
        <v>147</v>
      </c>
      <c r="C989" s="192">
        <f t="shared" si="243"/>
        <v>98</v>
      </c>
      <c r="D989" s="312">
        <f>H1016</f>
        <v>0</v>
      </c>
      <c r="E989" s="192">
        <f t="shared" ref="E989:S989" si="272">+C909/$J$10/24</f>
        <v>11.475806451612904</v>
      </c>
      <c r="F989" s="192">
        <f t="shared" si="272"/>
        <v>11.973118279569894</v>
      </c>
      <c r="G989" s="192">
        <f t="shared" si="272"/>
        <v>18.469086021505376</v>
      </c>
      <c r="H989" s="192">
        <f t="shared" si="272"/>
        <v>0</v>
      </c>
      <c r="I989" s="192">
        <f t="shared" si="272"/>
        <v>-15.85290472102592</v>
      </c>
      <c r="J989" s="192">
        <f t="shared" si="272"/>
        <v>16.650537634408604</v>
      </c>
      <c r="K989" s="192">
        <f t="shared" si="272"/>
        <v>10.033602150537634</v>
      </c>
      <c r="L989" s="192">
        <f t="shared" si="272"/>
        <v>10.674731182795698</v>
      </c>
      <c r="M989" s="192">
        <f t="shared" si="272"/>
        <v>9.3682795698924739</v>
      </c>
      <c r="N989" s="192">
        <f t="shared" si="272"/>
        <v>2.720430107526882</v>
      </c>
      <c r="O989" s="192">
        <f t="shared" si="272"/>
        <v>3.2043010752688175</v>
      </c>
      <c r="P989" s="192">
        <f t="shared" si="272"/>
        <v>6.3615591397849469</v>
      </c>
      <c r="Q989" s="192">
        <f t="shared" si="272"/>
        <v>1.1115591397849462</v>
      </c>
      <c r="R989" s="192">
        <f t="shared" si="272"/>
        <v>2.741935483870968</v>
      </c>
      <c r="S989" s="312">
        <f t="shared" si="272"/>
        <v>2.629032258064516</v>
      </c>
      <c r="T989" s="192">
        <f t="shared" si="245"/>
        <v>238.56107377359774</v>
      </c>
      <c r="U989" s="192">
        <f t="shared" si="246"/>
        <v>189.56107377359774</v>
      </c>
      <c r="V989" s="320">
        <f>D989+SUM(E989:S989)</f>
        <v>91.561073773597741</v>
      </c>
      <c r="AC989" s="4">
        <v>7</v>
      </c>
      <c r="AD989" s="192">
        <f>IF($AF$980=1,VLOOKUP($AD$980,$A$1010:$P$1021,12,FALSE),IF(OR($AD$980="JAN",$AD$980="FEB",$AD$980="NOV",$AD$980="DEC"),VLOOKUP($AD$980,$A$983:$S$994,2,FALSE),VLOOKUP($AD$980,$A$983:$S$994,3,FALSE)))</f>
        <v>196</v>
      </c>
      <c r="AE989" s="192">
        <f t="shared" si="249"/>
        <v>23.02956989247312</v>
      </c>
      <c r="AF989" s="192">
        <f t="shared" si="250"/>
        <v>24.116935483870964</v>
      </c>
      <c r="AG989" s="192">
        <f t="shared" si="251"/>
        <v>39.508064516129032</v>
      </c>
      <c r="AH989" s="192">
        <f t="shared" si="252"/>
        <v>0.56534350166139702</v>
      </c>
      <c r="AI989" s="192">
        <f t="shared" si="253"/>
        <v>13.047043010752688</v>
      </c>
      <c r="AJ989" s="192">
        <f t="shared" si="254"/>
        <v>7.672043010752688</v>
      </c>
      <c r="AK989" s="192">
        <f t="shared" si="255"/>
        <v>9.2553763440860219</v>
      </c>
      <c r="AL989" s="192">
        <f t="shared" si="256"/>
        <v>8.081989247311828</v>
      </c>
      <c r="AM989" s="192">
        <f t="shared" si="257"/>
        <v>2.6061827956989245</v>
      </c>
      <c r="AN989" s="192">
        <f t="shared" si="258"/>
        <v>3.0712365591397845</v>
      </c>
      <c r="AO989" s="192">
        <f t="shared" si="259"/>
        <v>6.4354838709677411</v>
      </c>
      <c r="AP989" s="192">
        <f t="shared" si="260"/>
        <v>1.0806451612903225</v>
      </c>
      <c r="AQ989" s="192">
        <f t="shared" si="261"/>
        <v>2.1021505376344085</v>
      </c>
      <c r="AR989" s="192">
        <f t="shared" si="262"/>
        <v>2.5577956989247315</v>
      </c>
      <c r="AS989" s="192">
        <f t="shared" si="263"/>
        <v>339.12985963069372</v>
      </c>
      <c r="AT989" s="192" t="e">
        <f t="shared" ca="1" si="264"/>
        <v>#NAME?</v>
      </c>
      <c r="AU989" s="192" t="e">
        <f t="shared" ca="1" si="265"/>
        <v>#NAME?</v>
      </c>
      <c r="AW989" s="192" t="e">
        <f t="shared" ca="1" si="266"/>
        <v>#NAME?</v>
      </c>
      <c r="AX989" s="192" t="e">
        <f t="shared" ca="1" si="267"/>
        <v>#NAME?</v>
      </c>
    </row>
    <row r="990" spans="1:50" ht="15.75" customHeight="1" x14ac:dyDescent="0.3">
      <c r="A990" s="211" t="s">
        <v>17</v>
      </c>
      <c r="B990" s="211">
        <f t="shared" si="243"/>
        <v>147</v>
      </c>
      <c r="C990" s="192">
        <f t="shared" si="243"/>
        <v>98</v>
      </c>
      <c r="D990" s="312">
        <f>H1017</f>
        <v>0</v>
      </c>
      <c r="E990" s="192">
        <f t="shared" ref="E990:S990" si="273">+C910/$K$10/24</f>
        <v>11.466397849462366</v>
      </c>
      <c r="F990" s="192">
        <f t="shared" si="273"/>
        <v>11.974462365591398</v>
      </c>
      <c r="G990" s="192">
        <f t="shared" si="273"/>
        <v>18.43010752688172</v>
      </c>
      <c r="H990" s="192">
        <f t="shared" si="273"/>
        <v>0</v>
      </c>
      <c r="I990" s="192">
        <f t="shared" si="273"/>
        <v>-10.705945756463272</v>
      </c>
      <c r="J990" s="192">
        <f t="shared" si="273"/>
        <v>14.323924731182794</v>
      </c>
      <c r="K990" s="192">
        <f t="shared" si="273"/>
        <v>8.801075268817204</v>
      </c>
      <c r="L990" s="192">
        <f t="shared" si="273"/>
        <v>9.366935483870968</v>
      </c>
      <c r="M990" s="192">
        <f t="shared" si="273"/>
        <v>8.202956989247312</v>
      </c>
      <c r="N990" s="192">
        <f t="shared" si="273"/>
        <v>2.657258064516129</v>
      </c>
      <c r="O990" s="192">
        <f t="shared" si="273"/>
        <v>3.1303763440860215</v>
      </c>
      <c r="P990" s="192">
        <f t="shared" si="273"/>
        <v>6.172043010752688</v>
      </c>
      <c r="Q990" s="192">
        <f t="shared" si="273"/>
        <v>1.0954301075268817</v>
      </c>
      <c r="R990" s="192">
        <f t="shared" si="273"/>
        <v>2.3306451612903225</v>
      </c>
      <c r="S990" s="312">
        <f t="shared" si="273"/>
        <v>2.592741935483871</v>
      </c>
      <c r="T990" s="192">
        <f t="shared" si="245"/>
        <v>236.83840908224639</v>
      </c>
      <c r="U990" s="192">
        <f t="shared" si="246"/>
        <v>187.83840908224639</v>
      </c>
      <c r="V990" s="320">
        <f>D990+SUM(E990:S990)</f>
        <v>89.838409082246386</v>
      </c>
      <c r="AC990" s="4">
        <v>8</v>
      </c>
      <c r="AD990" s="192">
        <f>IF($AF$980=1,VLOOKUP($AD$980,$A$1010:$P$1021,12,FALSE),VLOOKUP($AD$980,$A$983:$S$994,3,FALSE))</f>
        <v>196</v>
      </c>
      <c r="AE990" s="192">
        <f t="shared" si="249"/>
        <v>23.02956989247312</v>
      </c>
      <c r="AF990" s="192">
        <f t="shared" si="250"/>
        <v>24.116935483870964</v>
      </c>
      <c r="AG990" s="192">
        <f t="shared" si="251"/>
        <v>39.508064516129032</v>
      </c>
      <c r="AH990" s="192">
        <f t="shared" si="252"/>
        <v>0.56534350166139702</v>
      </c>
      <c r="AI990" s="192">
        <f t="shared" si="253"/>
        <v>13.047043010752688</v>
      </c>
      <c r="AJ990" s="192">
        <f t="shared" si="254"/>
        <v>7.672043010752688</v>
      </c>
      <c r="AK990" s="192">
        <f t="shared" si="255"/>
        <v>9.2553763440860219</v>
      </c>
      <c r="AL990" s="192">
        <f t="shared" si="256"/>
        <v>8.081989247311828</v>
      </c>
      <c r="AM990" s="192">
        <f t="shared" si="257"/>
        <v>2.6061827956989245</v>
      </c>
      <c r="AN990" s="192">
        <f t="shared" si="258"/>
        <v>3.0712365591397845</v>
      </c>
      <c r="AO990" s="192">
        <f t="shared" si="259"/>
        <v>6.4354838709677411</v>
      </c>
      <c r="AP990" s="192">
        <f t="shared" si="260"/>
        <v>1.0806451612903225</v>
      </c>
      <c r="AQ990" s="192">
        <f t="shared" si="261"/>
        <v>2.1021505376344085</v>
      </c>
      <c r="AR990" s="192">
        <f t="shared" si="262"/>
        <v>2.5577956989247315</v>
      </c>
      <c r="AS990" s="192">
        <f t="shared" si="263"/>
        <v>339.12985963069372</v>
      </c>
      <c r="AT990" s="192" t="e">
        <f t="shared" ca="1" si="264"/>
        <v>#NAME?</v>
      </c>
      <c r="AU990" s="192" t="e">
        <f t="shared" ca="1" si="265"/>
        <v>#NAME?</v>
      </c>
      <c r="AW990" s="192" t="e">
        <f t="shared" ca="1" si="266"/>
        <v>#NAME?</v>
      </c>
      <c r="AX990" s="192" t="e">
        <f t="shared" ca="1" si="267"/>
        <v>#NAME?</v>
      </c>
    </row>
    <row r="991" spans="1:50" ht="15.75" customHeight="1" x14ac:dyDescent="0.3">
      <c r="A991" s="211" t="s">
        <v>18</v>
      </c>
      <c r="B991" s="211">
        <f t="shared" si="243"/>
        <v>245</v>
      </c>
      <c r="C991" s="192">
        <f t="shared" si="243"/>
        <v>147</v>
      </c>
      <c r="D991" s="312" t="s">
        <v>803</v>
      </c>
      <c r="E991" s="192">
        <f t="shared" ref="E991:S991" si="274">+C911/$L$10/24</f>
        <v>24.202777777777779</v>
      </c>
      <c r="F991" s="192">
        <f t="shared" si="274"/>
        <v>25.338888888888889</v>
      </c>
      <c r="G991" s="192">
        <f t="shared" si="274"/>
        <v>41.93611111111111</v>
      </c>
      <c r="H991" s="192">
        <f t="shared" si="274"/>
        <v>6.1503658705647117</v>
      </c>
      <c r="I991" s="192">
        <f t="shared" si="274"/>
        <v>0</v>
      </c>
      <c r="J991" s="192">
        <f t="shared" si="274"/>
        <v>9.1472222222222221</v>
      </c>
      <c r="K991" s="192">
        <f t="shared" si="274"/>
        <v>5.9736111111111114</v>
      </c>
      <c r="L991" s="192">
        <f t="shared" si="274"/>
        <v>7.905555555555555</v>
      </c>
      <c r="M991" s="192">
        <f t="shared" si="274"/>
        <v>7.072222222222222</v>
      </c>
      <c r="N991" s="192">
        <f t="shared" si="274"/>
        <v>2.6444444444444444</v>
      </c>
      <c r="O991" s="192">
        <f t="shared" si="274"/>
        <v>3.1138888888888889</v>
      </c>
      <c r="P991" s="192">
        <f t="shared" si="274"/>
        <v>6.4361111111111109</v>
      </c>
      <c r="Q991" s="192">
        <f t="shared" si="274"/>
        <v>1.2513888888888889</v>
      </c>
      <c r="R991" s="192">
        <f t="shared" si="274"/>
        <v>2.4555555555555553</v>
      </c>
      <c r="S991" s="312">
        <f t="shared" si="274"/>
        <v>2.9597222222222221</v>
      </c>
      <c r="T991" s="192">
        <f t="shared" si="245"/>
        <v>391.58786587056466</v>
      </c>
      <c r="U991" s="192">
        <f t="shared" si="246"/>
        <v>293.58786587056466</v>
      </c>
      <c r="V991" s="192" t="s">
        <v>803</v>
      </c>
      <c r="AC991" s="4">
        <v>9</v>
      </c>
      <c r="AD991" s="192">
        <f>IF($AF$980=1,VLOOKUP($AD$980,$A$1010:$P$1021,12,FALSE),VLOOKUP($AD$980,$A$983:$S$994,3,FALSE))</f>
        <v>196</v>
      </c>
      <c r="AE991" s="192">
        <f t="shared" si="249"/>
        <v>23.02956989247312</v>
      </c>
      <c r="AF991" s="192">
        <f t="shared" si="250"/>
        <v>24.116935483870964</v>
      </c>
      <c r="AG991" s="192">
        <f t="shared" si="251"/>
        <v>39.508064516129032</v>
      </c>
      <c r="AH991" s="192">
        <f t="shared" si="252"/>
        <v>0.56534350166139702</v>
      </c>
      <c r="AI991" s="192">
        <f t="shared" si="253"/>
        <v>13.047043010752688</v>
      </c>
      <c r="AJ991" s="192">
        <f t="shared" si="254"/>
        <v>7.672043010752688</v>
      </c>
      <c r="AK991" s="192">
        <f t="shared" si="255"/>
        <v>9.2553763440860219</v>
      </c>
      <c r="AL991" s="192">
        <f t="shared" si="256"/>
        <v>8.081989247311828</v>
      </c>
      <c r="AM991" s="192">
        <f t="shared" si="257"/>
        <v>2.6061827956989245</v>
      </c>
      <c r="AN991" s="192">
        <f t="shared" si="258"/>
        <v>3.0712365591397845</v>
      </c>
      <c r="AO991" s="192">
        <f t="shared" si="259"/>
        <v>6.4354838709677411</v>
      </c>
      <c r="AP991" s="192">
        <f t="shared" si="260"/>
        <v>1.0806451612903225</v>
      </c>
      <c r="AQ991" s="192">
        <f t="shared" si="261"/>
        <v>2.1021505376344085</v>
      </c>
      <c r="AR991" s="192">
        <f t="shared" si="262"/>
        <v>2.5577956989247315</v>
      </c>
      <c r="AS991" s="192">
        <f t="shared" si="263"/>
        <v>339.12985963069372</v>
      </c>
      <c r="AT991" s="192" t="e">
        <f t="shared" ca="1" si="264"/>
        <v>#NAME?</v>
      </c>
      <c r="AU991" s="192" t="e">
        <f t="shared" ca="1" si="265"/>
        <v>#NAME?</v>
      </c>
      <c r="AW991" s="192" t="e">
        <f t="shared" ca="1" si="266"/>
        <v>#NAME?</v>
      </c>
      <c r="AX991" s="192" t="e">
        <f t="shared" ca="1" si="267"/>
        <v>#NAME?</v>
      </c>
    </row>
    <row r="992" spans="1:50" ht="15.75" customHeight="1" x14ac:dyDescent="0.3">
      <c r="A992" s="211" t="s">
        <v>20</v>
      </c>
      <c r="B992" s="211">
        <f t="shared" si="243"/>
        <v>245</v>
      </c>
      <c r="C992" s="192">
        <f t="shared" si="243"/>
        <v>147</v>
      </c>
      <c r="D992" s="312" t="s">
        <v>803</v>
      </c>
      <c r="E992" s="192">
        <f t="shared" ref="E992:S992" si="275">+C912/$N$10/24</f>
        <v>22.150537634408604</v>
      </c>
      <c r="F992" s="192">
        <f t="shared" si="275"/>
        <v>23.192204301075268</v>
      </c>
      <c r="G992" s="192">
        <f t="shared" si="275"/>
        <v>37.116935483870968</v>
      </c>
      <c r="H992" s="192">
        <f t="shared" si="275"/>
        <v>10.806364214758881</v>
      </c>
      <c r="I992" s="192">
        <f t="shared" si="275"/>
        <v>0</v>
      </c>
      <c r="J992" s="192">
        <f t="shared" si="275"/>
        <v>5.622311827956989</v>
      </c>
      <c r="K992" s="192">
        <f t="shared" si="275"/>
        <v>2.338709677419355</v>
      </c>
      <c r="L992" s="192">
        <f t="shared" si="275"/>
        <v>3.46505376344086</v>
      </c>
      <c r="M992" s="192">
        <f t="shared" si="275"/>
        <v>3.3696236559139785</v>
      </c>
      <c r="N992" s="192">
        <f t="shared" si="275"/>
        <v>1.081989247311828</v>
      </c>
      <c r="O992" s="192">
        <f t="shared" si="275"/>
        <v>1.2728494623655913</v>
      </c>
      <c r="P992" s="192">
        <f t="shared" si="275"/>
        <v>2.657258064516129</v>
      </c>
      <c r="Q992" s="192">
        <f t="shared" si="275"/>
        <v>0.74327956989247312</v>
      </c>
      <c r="R992" s="192">
        <f t="shared" si="275"/>
        <v>2.3763440860215055</v>
      </c>
      <c r="S992" s="312">
        <f t="shared" si="275"/>
        <v>1.756720430107527</v>
      </c>
      <c r="T992" s="192">
        <f t="shared" si="245"/>
        <v>362.95018141905996</v>
      </c>
      <c r="U992" s="192">
        <f t="shared" si="246"/>
        <v>264.95018141905996</v>
      </c>
      <c r="V992" s="192" t="s">
        <v>803</v>
      </c>
      <c r="AC992" s="4">
        <v>10</v>
      </c>
      <c r="AD992" s="192">
        <f>IF($AF$980=1,VLOOKUP($AD$980,$A$1010:$P$1021,12,FALSE),VLOOKUP($AD$980,$A$983:$S$994,3,FALSE))</f>
        <v>196</v>
      </c>
      <c r="AE992" s="192">
        <f t="shared" si="249"/>
        <v>23.02956989247312</v>
      </c>
      <c r="AF992" s="192">
        <f t="shared" si="250"/>
        <v>24.116935483870964</v>
      </c>
      <c r="AG992" s="192">
        <f t="shared" si="251"/>
        <v>39.508064516129032</v>
      </c>
      <c r="AH992" s="192">
        <f t="shared" si="252"/>
        <v>0.56534350166139702</v>
      </c>
      <c r="AI992" s="192">
        <f t="shared" si="253"/>
        <v>13.047043010752688</v>
      </c>
      <c r="AJ992" s="192">
        <f t="shared" si="254"/>
        <v>7.672043010752688</v>
      </c>
      <c r="AK992" s="192">
        <f t="shared" si="255"/>
        <v>9.2553763440860219</v>
      </c>
      <c r="AL992" s="192">
        <f t="shared" si="256"/>
        <v>8.081989247311828</v>
      </c>
      <c r="AM992" s="192">
        <f t="shared" si="257"/>
        <v>2.6061827956989245</v>
      </c>
      <c r="AN992" s="192">
        <f t="shared" si="258"/>
        <v>3.0712365591397845</v>
      </c>
      <c r="AO992" s="192">
        <f t="shared" si="259"/>
        <v>6.4354838709677411</v>
      </c>
      <c r="AP992" s="192">
        <f t="shared" si="260"/>
        <v>1.0806451612903225</v>
      </c>
      <c r="AQ992" s="192">
        <f t="shared" si="261"/>
        <v>2.1021505376344085</v>
      </c>
      <c r="AR992" s="192">
        <f t="shared" si="262"/>
        <v>2.5577956989247315</v>
      </c>
      <c r="AS992" s="192">
        <f t="shared" si="263"/>
        <v>339.12985963069372</v>
      </c>
      <c r="AT992" s="192" t="e">
        <f t="shared" ca="1" si="264"/>
        <v>#NAME?</v>
      </c>
      <c r="AU992" s="192" t="e">
        <f t="shared" ca="1" si="265"/>
        <v>#NAME?</v>
      </c>
      <c r="AW992" s="192" t="e">
        <f t="shared" ca="1" si="266"/>
        <v>#NAME?</v>
      </c>
      <c r="AX992" s="192" t="e">
        <f t="shared" ca="1" si="267"/>
        <v>#NAME?</v>
      </c>
    </row>
    <row r="993" spans="1:50" ht="15.75" customHeight="1" x14ac:dyDescent="0.3">
      <c r="A993" s="211" t="s">
        <v>21</v>
      </c>
      <c r="B993" s="211">
        <f t="shared" si="243"/>
        <v>245</v>
      </c>
      <c r="C993" s="192">
        <f t="shared" si="243"/>
        <v>147</v>
      </c>
      <c r="D993" s="312" t="s">
        <v>803</v>
      </c>
      <c r="E993" s="192">
        <f t="shared" ref="E993:S993" si="276">+C913/$O$10/24</f>
        <v>22.181944444444444</v>
      </c>
      <c r="F993" s="192">
        <f t="shared" si="276"/>
        <v>23.231944444444448</v>
      </c>
      <c r="G993" s="192">
        <f t="shared" si="276"/>
        <v>37.536111111111111</v>
      </c>
      <c r="H993" s="192">
        <f t="shared" si="276"/>
        <v>15.657003144205541</v>
      </c>
      <c r="I993" s="192">
        <f t="shared" si="276"/>
        <v>0</v>
      </c>
      <c r="J993" s="192">
        <f t="shared" si="276"/>
        <v>4.1069444444444443</v>
      </c>
      <c r="K993" s="192">
        <f t="shared" si="276"/>
        <v>1.9430555555555555</v>
      </c>
      <c r="L993" s="192">
        <f t="shared" si="276"/>
        <v>2.7319444444444443</v>
      </c>
      <c r="M993" s="192">
        <f t="shared" si="276"/>
        <v>2.7916666666666665</v>
      </c>
      <c r="N993" s="192">
        <f t="shared" si="276"/>
        <v>0.97361111111111109</v>
      </c>
      <c r="O993" s="192">
        <f t="shared" si="276"/>
        <v>1.1458333333333333</v>
      </c>
      <c r="P993" s="192">
        <f t="shared" si="276"/>
        <v>2.3888888888888888</v>
      </c>
      <c r="Q993" s="192">
        <f t="shared" si="276"/>
        <v>0.53749999999999998</v>
      </c>
      <c r="R993" s="192">
        <f t="shared" si="276"/>
        <v>2.2194444444444446</v>
      </c>
      <c r="S993" s="312">
        <f t="shared" si="276"/>
        <v>1.2708333333333333</v>
      </c>
      <c r="T993" s="192">
        <f t="shared" si="245"/>
        <v>363.7167253664278</v>
      </c>
      <c r="U993" s="192">
        <f t="shared" si="246"/>
        <v>265.7167253664278</v>
      </c>
      <c r="V993" s="192" t="s">
        <v>803</v>
      </c>
      <c r="AC993" s="4">
        <v>11</v>
      </c>
      <c r="AD993" s="192">
        <f>IF($AF$980=1,VLOOKUP($AD$980,$A$1010:$P$1021,12,FALSE),VLOOKUP($AD$980,$A$983:$S$994,3,FALSE))</f>
        <v>196</v>
      </c>
      <c r="AE993" s="192">
        <f t="shared" si="249"/>
        <v>23.02956989247312</v>
      </c>
      <c r="AF993" s="192">
        <f t="shared" si="250"/>
        <v>24.116935483870964</v>
      </c>
      <c r="AG993" s="192">
        <f t="shared" si="251"/>
        <v>39.508064516129032</v>
      </c>
      <c r="AH993" s="192">
        <f t="shared" si="252"/>
        <v>0.56534350166139702</v>
      </c>
      <c r="AI993" s="192">
        <f t="shared" si="253"/>
        <v>13.047043010752688</v>
      </c>
      <c r="AJ993" s="192">
        <f t="shared" si="254"/>
        <v>7.672043010752688</v>
      </c>
      <c r="AK993" s="192">
        <f t="shared" si="255"/>
        <v>9.2553763440860219</v>
      </c>
      <c r="AL993" s="192">
        <f t="shared" si="256"/>
        <v>8.081989247311828</v>
      </c>
      <c r="AM993" s="192">
        <f t="shared" si="257"/>
        <v>2.6061827956989245</v>
      </c>
      <c r="AN993" s="192">
        <f t="shared" si="258"/>
        <v>3.0712365591397845</v>
      </c>
      <c r="AO993" s="192">
        <f t="shared" si="259"/>
        <v>6.4354838709677411</v>
      </c>
      <c r="AP993" s="192">
        <f t="shared" si="260"/>
        <v>1.0806451612903225</v>
      </c>
      <c r="AQ993" s="192">
        <f t="shared" si="261"/>
        <v>2.1021505376344085</v>
      </c>
      <c r="AR993" s="192">
        <f t="shared" si="262"/>
        <v>2.5577956989247315</v>
      </c>
      <c r="AS993" s="192">
        <f t="shared" si="263"/>
        <v>339.12985963069372</v>
      </c>
      <c r="AT993" s="192" t="e">
        <f t="shared" ca="1" si="264"/>
        <v>#NAME?</v>
      </c>
      <c r="AU993" s="192" t="e">
        <f t="shared" ca="1" si="265"/>
        <v>#NAME?</v>
      </c>
      <c r="AW993" s="192" t="e">
        <f t="shared" ca="1" si="266"/>
        <v>#NAME?</v>
      </c>
      <c r="AX993" s="192" t="e">
        <f t="shared" ca="1" si="267"/>
        <v>#NAME?</v>
      </c>
    </row>
    <row r="994" spans="1:50" ht="15.75" customHeight="1" thickBot="1" x14ac:dyDescent="0.35">
      <c r="A994" s="220" t="s">
        <v>22</v>
      </c>
      <c r="B994" s="220">
        <f t="shared" si="243"/>
        <v>294</v>
      </c>
      <c r="C994" s="206">
        <f t="shared" si="243"/>
        <v>98</v>
      </c>
      <c r="D994" s="272" t="s">
        <v>803</v>
      </c>
      <c r="E994" s="206">
        <f t="shared" ref="E994:S994" si="277">+C914/$P$10/24</f>
        <v>22.103494623655916</v>
      </c>
      <c r="F994" s="206">
        <f t="shared" si="277"/>
        <v>23.158602150537632</v>
      </c>
      <c r="G994" s="206">
        <f t="shared" si="277"/>
        <v>37.873655913978496</v>
      </c>
      <c r="H994" s="206">
        <f t="shared" si="277"/>
        <v>17.695462454781048</v>
      </c>
      <c r="I994" s="206">
        <f t="shared" si="277"/>
        <v>0</v>
      </c>
      <c r="J994" s="206">
        <f t="shared" si="277"/>
        <v>4.7983870967741931</v>
      </c>
      <c r="K994" s="206">
        <f t="shared" si="277"/>
        <v>3.5403225806451615</v>
      </c>
      <c r="L994" s="206">
        <f t="shared" si="277"/>
        <v>5.220430107526882</v>
      </c>
      <c r="M994" s="206">
        <f t="shared" si="277"/>
        <v>5.3844086021505371</v>
      </c>
      <c r="N994" s="206">
        <f t="shared" si="277"/>
        <v>1.978494623655914</v>
      </c>
      <c r="O994" s="206">
        <f t="shared" si="277"/>
        <v>2.331989247311828</v>
      </c>
      <c r="P994" s="206">
        <f t="shared" si="277"/>
        <v>4.903225806451613</v>
      </c>
      <c r="Q994" s="206">
        <f t="shared" si="277"/>
        <v>0.81586021505376349</v>
      </c>
      <c r="R994" s="206">
        <f t="shared" si="277"/>
        <v>1.8736559139784947</v>
      </c>
      <c r="S994" s="272">
        <f t="shared" si="277"/>
        <v>1.9314516129032258</v>
      </c>
      <c r="T994" s="192">
        <f t="shared" si="245"/>
        <v>427.60944094940476</v>
      </c>
      <c r="U994" s="192">
        <f t="shared" si="246"/>
        <v>231.60944094940473</v>
      </c>
      <c r="V994" s="192" t="s">
        <v>803</v>
      </c>
      <c r="AC994" s="4">
        <v>12</v>
      </c>
      <c r="AD994" s="192">
        <f>IF($AF$980=1,VLOOKUP($AD$980,$A$1010:$P$1021,12,FALSE),VLOOKUP($AD$980,$A$983:$S$994,3,FALSE))</f>
        <v>196</v>
      </c>
      <c r="AE994" s="192">
        <f t="shared" si="249"/>
        <v>23.02956989247312</v>
      </c>
      <c r="AF994" s="192">
        <f t="shared" si="250"/>
        <v>24.116935483870964</v>
      </c>
      <c r="AG994" s="192">
        <f t="shared" si="251"/>
        <v>39.508064516129032</v>
      </c>
      <c r="AH994" s="192">
        <f t="shared" si="252"/>
        <v>0.56534350166139702</v>
      </c>
      <c r="AI994" s="192">
        <f t="shared" si="253"/>
        <v>13.047043010752688</v>
      </c>
      <c r="AJ994" s="192">
        <f t="shared" si="254"/>
        <v>7.672043010752688</v>
      </c>
      <c r="AK994" s="192">
        <f t="shared" si="255"/>
        <v>9.2553763440860219</v>
      </c>
      <c r="AL994" s="192">
        <f t="shared" si="256"/>
        <v>8.081989247311828</v>
      </c>
      <c r="AM994" s="192">
        <f t="shared" si="257"/>
        <v>2.6061827956989245</v>
      </c>
      <c r="AN994" s="192">
        <f t="shared" si="258"/>
        <v>3.0712365591397845</v>
      </c>
      <c r="AO994" s="192">
        <f t="shared" si="259"/>
        <v>6.4354838709677411</v>
      </c>
      <c r="AP994" s="192">
        <f t="shared" si="260"/>
        <v>1.0806451612903225</v>
      </c>
      <c r="AQ994" s="192">
        <f t="shared" si="261"/>
        <v>2.1021505376344085</v>
      </c>
      <c r="AR994" s="192">
        <f t="shared" si="262"/>
        <v>2.5577956989247315</v>
      </c>
      <c r="AS994" s="192">
        <f t="shared" si="263"/>
        <v>339.12985963069372</v>
      </c>
      <c r="AT994" s="192" t="e">
        <f t="shared" ca="1" si="264"/>
        <v>#NAME?</v>
      </c>
      <c r="AU994" s="192" t="e">
        <f t="shared" ca="1" si="265"/>
        <v>#NAME?</v>
      </c>
      <c r="AW994" s="192" t="e">
        <f t="shared" ca="1" si="266"/>
        <v>#NAME?</v>
      </c>
      <c r="AX994" s="192" t="e">
        <f t="shared" ca="1" si="267"/>
        <v>#NAME?</v>
      </c>
    </row>
    <row r="995" spans="1:50" ht="15.75" customHeight="1" x14ac:dyDescent="0.3">
      <c r="A995" s="260"/>
      <c r="AC995" s="4">
        <v>13</v>
      </c>
      <c r="AD995" s="192">
        <f>IF($AF$980=1,VLOOKUP($AD$980,$A$1010:$P$1021,12,FALSE),IF(OR($AD$980="JUN",$AD$980="JUL",$AD$980="AUG"),VLOOKUP($AD$980,$A$983:$S$994,4,FALSE),VLOOKUP($AD$980,$A$983:$S$994,3,FALSE)))</f>
        <v>196</v>
      </c>
      <c r="AE995" s="192">
        <f t="shared" si="249"/>
        <v>23.02956989247312</v>
      </c>
      <c r="AF995" s="192">
        <f t="shared" si="250"/>
        <v>24.116935483870964</v>
      </c>
      <c r="AG995" s="192">
        <f t="shared" si="251"/>
        <v>39.508064516129032</v>
      </c>
      <c r="AH995" s="192">
        <f t="shared" si="252"/>
        <v>0.56534350166139702</v>
      </c>
      <c r="AI995" s="192">
        <f t="shared" si="253"/>
        <v>13.047043010752688</v>
      </c>
      <c r="AJ995" s="192">
        <f t="shared" si="254"/>
        <v>7.672043010752688</v>
      </c>
      <c r="AK995" s="192">
        <f t="shared" si="255"/>
        <v>9.2553763440860219</v>
      </c>
      <c r="AL995" s="192">
        <f t="shared" si="256"/>
        <v>8.081989247311828</v>
      </c>
      <c r="AM995" s="192">
        <f t="shared" si="257"/>
        <v>2.6061827956989245</v>
      </c>
      <c r="AN995" s="192">
        <f t="shared" si="258"/>
        <v>3.0712365591397845</v>
      </c>
      <c r="AO995" s="192">
        <f t="shared" si="259"/>
        <v>6.4354838709677411</v>
      </c>
      <c r="AP995" s="192">
        <f t="shared" si="260"/>
        <v>1.0806451612903225</v>
      </c>
      <c r="AQ995" s="192">
        <f t="shared" si="261"/>
        <v>2.1021505376344085</v>
      </c>
      <c r="AR995" s="192">
        <f t="shared" si="262"/>
        <v>2.5577956989247315</v>
      </c>
      <c r="AS995" s="192">
        <f t="shared" si="263"/>
        <v>339.12985963069372</v>
      </c>
      <c r="AT995" s="192" t="e">
        <f t="shared" ca="1" si="264"/>
        <v>#NAME?</v>
      </c>
      <c r="AU995" s="192" t="e">
        <f t="shared" ca="1" si="265"/>
        <v>#NAME?</v>
      </c>
      <c r="AW995" s="192" t="e">
        <f t="shared" ca="1" si="266"/>
        <v>#NAME?</v>
      </c>
      <c r="AX995" s="192" t="e">
        <f t="shared" ca="1" si="267"/>
        <v>#NAME?</v>
      </c>
    </row>
    <row r="996" spans="1:50" ht="15.75" customHeight="1" x14ac:dyDescent="0.3">
      <c r="A996" s="260" t="s">
        <v>804</v>
      </c>
      <c r="AC996" s="4">
        <v>14</v>
      </c>
      <c r="AD996" s="192">
        <f t="shared" ref="AD996:AD1002" si="278">IF($AF$980=1,VLOOKUP($AD$980,$A$1010:$P$1021,12,FALSE),IF(OR($AD$980="JUN",$AD$980="JUL",$AD$980="AUG"),VLOOKUP($AD$980,$A$983:$S$994,4,FALSE),VLOOKUP($AD$980,$A$983:$S$994,3,FALSE)))</f>
        <v>196</v>
      </c>
      <c r="AE996" s="192">
        <f t="shared" si="249"/>
        <v>23.02956989247312</v>
      </c>
      <c r="AF996" s="192">
        <f t="shared" si="250"/>
        <v>24.116935483870964</v>
      </c>
      <c r="AG996" s="192">
        <f t="shared" si="251"/>
        <v>39.508064516129032</v>
      </c>
      <c r="AH996" s="192">
        <f t="shared" si="252"/>
        <v>0.56534350166139702</v>
      </c>
      <c r="AI996" s="192">
        <f t="shared" si="253"/>
        <v>13.047043010752688</v>
      </c>
      <c r="AJ996" s="192">
        <f t="shared" si="254"/>
        <v>7.672043010752688</v>
      </c>
      <c r="AK996" s="192">
        <f t="shared" si="255"/>
        <v>9.2553763440860219</v>
      </c>
      <c r="AL996" s="192">
        <f t="shared" si="256"/>
        <v>8.081989247311828</v>
      </c>
      <c r="AM996" s="192">
        <f t="shared" si="257"/>
        <v>2.6061827956989245</v>
      </c>
      <c r="AN996" s="192">
        <f t="shared" si="258"/>
        <v>3.0712365591397845</v>
      </c>
      <c r="AO996" s="192">
        <f t="shared" si="259"/>
        <v>6.4354838709677411</v>
      </c>
      <c r="AP996" s="192">
        <f t="shared" si="260"/>
        <v>1.0806451612903225</v>
      </c>
      <c r="AQ996" s="192">
        <f t="shared" si="261"/>
        <v>2.1021505376344085</v>
      </c>
      <c r="AR996" s="192">
        <f t="shared" si="262"/>
        <v>2.5577956989247315</v>
      </c>
      <c r="AS996" s="192">
        <f t="shared" si="263"/>
        <v>339.12985963069372</v>
      </c>
      <c r="AT996" s="192" t="e">
        <f t="shared" ca="1" si="264"/>
        <v>#NAME?</v>
      </c>
      <c r="AU996" s="192" t="e">
        <f t="shared" ca="1" si="265"/>
        <v>#NAME?</v>
      </c>
      <c r="AW996" s="192" t="e">
        <f t="shared" ca="1" si="266"/>
        <v>#NAME?</v>
      </c>
      <c r="AX996" s="192" t="e">
        <f t="shared" ca="1" si="267"/>
        <v>#NAME?</v>
      </c>
    </row>
    <row r="997" spans="1:50" ht="15.75" customHeight="1" x14ac:dyDescent="0.3">
      <c r="A997" s="260"/>
      <c r="AC997" s="4">
        <v>15</v>
      </c>
      <c r="AD997" s="192">
        <f t="shared" si="278"/>
        <v>196</v>
      </c>
      <c r="AE997" s="192">
        <f t="shared" si="249"/>
        <v>23.02956989247312</v>
      </c>
      <c r="AF997" s="192">
        <f t="shared" si="250"/>
        <v>24.116935483870964</v>
      </c>
      <c r="AG997" s="192">
        <f t="shared" si="251"/>
        <v>39.508064516129032</v>
      </c>
      <c r="AH997" s="192">
        <f t="shared" si="252"/>
        <v>0.56534350166139702</v>
      </c>
      <c r="AI997" s="192">
        <f t="shared" si="253"/>
        <v>13.047043010752688</v>
      </c>
      <c r="AJ997" s="192">
        <f t="shared" si="254"/>
        <v>7.672043010752688</v>
      </c>
      <c r="AK997" s="192">
        <f t="shared" si="255"/>
        <v>9.2553763440860219</v>
      </c>
      <c r="AL997" s="192">
        <f t="shared" si="256"/>
        <v>8.081989247311828</v>
      </c>
      <c r="AM997" s="192">
        <f t="shared" si="257"/>
        <v>2.6061827956989245</v>
      </c>
      <c r="AN997" s="192">
        <f t="shared" si="258"/>
        <v>3.0712365591397845</v>
      </c>
      <c r="AO997" s="192">
        <f t="shared" si="259"/>
        <v>6.4354838709677411</v>
      </c>
      <c r="AP997" s="192">
        <f t="shared" si="260"/>
        <v>1.0806451612903225</v>
      </c>
      <c r="AQ997" s="192">
        <f t="shared" si="261"/>
        <v>2.1021505376344085</v>
      </c>
      <c r="AR997" s="192">
        <f t="shared" si="262"/>
        <v>2.5577956989247315</v>
      </c>
      <c r="AS997" s="192">
        <f t="shared" si="263"/>
        <v>339.12985963069372</v>
      </c>
      <c r="AT997" s="192" t="e">
        <f t="shared" ca="1" si="264"/>
        <v>#NAME?</v>
      </c>
      <c r="AU997" s="192" t="e">
        <f t="shared" ca="1" si="265"/>
        <v>#NAME?</v>
      </c>
      <c r="AW997" s="192" t="e">
        <f t="shared" ca="1" si="266"/>
        <v>#NAME?</v>
      </c>
      <c r="AX997" s="192" t="e">
        <f t="shared" ca="1" si="267"/>
        <v>#NAME?</v>
      </c>
    </row>
    <row r="998" spans="1:50" ht="15.75" customHeight="1" x14ac:dyDescent="0.3">
      <c r="A998" s="260"/>
      <c r="AC998" s="4">
        <v>16</v>
      </c>
      <c r="AD998" s="192">
        <f t="shared" si="278"/>
        <v>196</v>
      </c>
      <c r="AE998" s="192">
        <f t="shared" si="249"/>
        <v>23.02956989247312</v>
      </c>
      <c r="AF998" s="192">
        <f t="shared" si="250"/>
        <v>24.116935483870964</v>
      </c>
      <c r="AG998" s="192">
        <f t="shared" si="251"/>
        <v>39.508064516129032</v>
      </c>
      <c r="AH998" s="192">
        <f t="shared" si="252"/>
        <v>0.56534350166139702</v>
      </c>
      <c r="AI998" s="192">
        <f t="shared" si="253"/>
        <v>13.047043010752688</v>
      </c>
      <c r="AJ998" s="192">
        <f t="shared" si="254"/>
        <v>7.672043010752688</v>
      </c>
      <c r="AK998" s="192">
        <f t="shared" si="255"/>
        <v>9.2553763440860219</v>
      </c>
      <c r="AL998" s="192">
        <f t="shared" si="256"/>
        <v>8.081989247311828</v>
      </c>
      <c r="AM998" s="192">
        <f t="shared" si="257"/>
        <v>2.6061827956989245</v>
      </c>
      <c r="AN998" s="192">
        <f t="shared" si="258"/>
        <v>3.0712365591397845</v>
      </c>
      <c r="AO998" s="192">
        <f t="shared" si="259"/>
        <v>6.4354838709677411</v>
      </c>
      <c r="AP998" s="192">
        <f t="shared" si="260"/>
        <v>1.0806451612903225</v>
      </c>
      <c r="AQ998" s="192">
        <f t="shared" si="261"/>
        <v>2.1021505376344085</v>
      </c>
      <c r="AR998" s="192">
        <f t="shared" si="262"/>
        <v>2.5577956989247315</v>
      </c>
      <c r="AS998" s="192">
        <f t="shared" si="263"/>
        <v>339.12985963069372</v>
      </c>
      <c r="AT998" s="192" t="e">
        <f t="shared" ca="1" si="264"/>
        <v>#NAME?</v>
      </c>
      <c r="AU998" s="192" t="e">
        <f t="shared" ca="1" si="265"/>
        <v>#NAME?</v>
      </c>
      <c r="AW998" s="192" t="e">
        <f t="shared" ca="1" si="266"/>
        <v>#NAME?</v>
      </c>
      <c r="AX998" s="192" t="e">
        <f t="shared" ca="1" si="267"/>
        <v>#NAME?</v>
      </c>
    </row>
    <row r="999" spans="1:50" ht="15.75" customHeight="1" thickBot="1" x14ac:dyDescent="0.35">
      <c r="A999" s="260"/>
      <c r="AC999" s="4">
        <v>17</v>
      </c>
      <c r="AD999" s="192">
        <f t="shared" si="278"/>
        <v>196</v>
      </c>
      <c r="AE999" s="192">
        <f t="shared" si="249"/>
        <v>23.02956989247312</v>
      </c>
      <c r="AF999" s="192">
        <f t="shared" si="250"/>
        <v>24.116935483870964</v>
      </c>
      <c r="AG999" s="192">
        <f t="shared" si="251"/>
        <v>39.508064516129032</v>
      </c>
      <c r="AH999" s="192">
        <f t="shared" si="252"/>
        <v>0.56534350166139702</v>
      </c>
      <c r="AI999" s="192">
        <f t="shared" si="253"/>
        <v>13.047043010752688</v>
      </c>
      <c r="AJ999" s="192">
        <f t="shared" si="254"/>
        <v>7.672043010752688</v>
      </c>
      <c r="AK999" s="192">
        <f t="shared" si="255"/>
        <v>9.2553763440860219</v>
      </c>
      <c r="AL999" s="192">
        <f t="shared" si="256"/>
        <v>8.081989247311828</v>
      </c>
      <c r="AM999" s="192">
        <f t="shared" si="257"/>
        <v>2.6061827956989245</v>
      </c>
      <c r="AN999" s="192">
        <f t="shared" si="258"/>
        <v>3.0712365591397845</v>
      </c>
      <c r="AO999" s="192">
        <f t="shared" si="259"/>
        <v>6.4354838709677411</v>
      </c>
      <c r="AP999" s="192">
        <f t="shared" si="260"/>
        <v>1.0806451612903225</v>
      </c>
      <c r="AQ999" s="192">
        <f t="shared" si="261"/>
        <v>2.1021505376344085</v>
      </c>
      <c r="AR999" s="192">
        <f t="shared" si="262"/>
        <v>2.5577956989247315</v>
      </c>
      <c r="AS999" s="192">
        <f t="shared" si="263"/>
        <v>339.12985963069372</v>
      </c>
      <c r="AT999" s="192" t="e">
        <f t="shared" ca="1" si="264"/>
        <v>#NAME?</v>
      </c>
      <c r="AU999" s="192" t="e">
        <f t="shared" ca="1" si="265"/>
        <v>#NAME?</v>
      </c>
      <c r="AW999" s="192" t="e">
        <f t="shared" ca="1" si="266"/>
        <v>#NAME?</v>
      </c>
      <c r="AX999" s="192" t="e">
        <f t="shared" ca="1" si="267"/>
        <v>#NAME?</v>
      </c>
    </row>
    <row r="1000" spans="1:50" ht="15.75" customHeight="1" x14ac:dyDescent="0.3">
      <c r="A1000" s="273"/>
      <c r="B1000" s="387" t="s">
        <v>805</v>
      </c>
      <c r="C1000" s="387"/>
      <c r="D1000" s="387"/>
      <c r="E1000" s="387"/>
      <c r="F1000" s="387"/>
      <c r="G1000" s="387"/>
      <c r="H1000" s="387"/>
      <c r="I1000" s="387"/>
      <c r="J1000" s="387"/>
      <c r="K1000" s="387"/>
      <c r="L1000" s="387"/>
      <c r="M1000" s="387"/>
      <c r="N1000" s="387"/>
      <c r="O1000" s="387"/>
      <c r="P1000" s="387"/>
      <c r="Q1000" s="177" t="str">
        <f>+Q1</f>
        <v xml:space="preserve">PRINTED:  </v>
      </c>
      <c r="R1000" s="178">
        <f ca="1">+R1</f>
        <v>44894.658168518516</v>
      </c>
      <c r="AC1000" s="4">
        <v>18</v>
      </c>
      <c r="AD1000" s="192">
        <f t="shared" si="278"/>
        <v>196</v>
      </c>
      <c r="AE1000" s="192">
        <f t="shared" si="249"/>
        <v>23.02956989247312</v>
      </c>
      <c r="AF1000" s="192">
        <f t="shared" si="250"/>
        <v>24.116935483870964</v>
      </c>
      <c r="AG1000" s="192">
        <f t="shared" si="251"/>
        <v>39.508064516129032</v>
      </c>
      <c r="AH1000" s="192">
        <f t="shared" si="252"/>
        <v>0.56534350166139702</v>
      </c>
      <c r="AI1000" s="192">
        <f t="shared" si="253"/>
        <v>13.047043010752688</v>
      </c>
      <c r="AJ1000" s="192">
        <f t="shared" si="254"/>
        <v>7.672043010752688</v>
      </c>
      <c r="AK1000" s="192">
        <f t="shared" si="255"/>
        <v>9.2553763440860219</v>
      </c>
      <c r="AL1000" s="192">
        <f t="shared" si="256"/>
        <v>8.081989247311828</v>
      </c>
      <c r="AM1000" s="192">
        <f t="shared" si="257"/>
        <v>2.6061827956989245</v>
      </c>
      <c r="AN1000" s="192">
        <f t="shared" si="258"/>
        <v>3.0712365591397845</v>
      </c>
      <c r="AO1000" s="192">
        <f t="shared" si="259"/>
        <v>6.4354838709677411</v>
      </c>
      <c r="AP1000" s="192">
        <f t="shared" si="260"/>
        <v>1.0806451612903225</v>
      </c>
      <c r="AQ1000" s="192">
        <f t="shared" si="261"/>
        <v>2.1021505376344085</v>
      </c>
      <c r="AR1000" s="192">
        <f t="shared" si="262"/>
        <v>2.5577956989247315</v>
      </c>
      <c r="AS1000" s="192">
        <f t="shared" si="263"/>
        <v>339.12985963069372</v>
      </c>
      <c r="AT1000" s="192" t="e">
        <f t="shared" ca="1" si="264"/>
        <v>#NAME?</v>
      </c>
      <c r="AU1000" s="192" t="e">
        <f t="shared" ca="1" si="265"/>
        <v>#NAME?</v>
      </c>
      <c r="AW1000" s="192" t="e">
        <f t="shared" ca="1" si="266"/>
        <v>#NAME?</v>
      </c>
      <c r="AX1000" s="192" t="e">
        <f t="shared" ca="1" si="267"/>
        <v>#NAME?</v>
      </c>
    </row>
    <row r="1001" spans="1:50" ht="16.5" customHeight="1" x14ac:dyDescent="0.3">
      <c r="A1001" s="257"/>
      <c r="B1001" s="394" t="str">
        <f>+A8</f>
        <v>Revised:  12/8/2015</v>
      </c>
      <c r="C1001" s="394"/>
      <c r="D1001" s="394"/>
      <c r="E1001" s="394"/>
      <c r="F1001" s="394"/>
      <c r="G1001" s="394"/>
      <c r="H1001" s="394"/>
      <c r="I1001" s="394"/>
      <c r="J1001" s="394"/>
      <c r="K1001" s="394"/>
      <c r="L1001" s="394"/>
      <c r="M1001" s="394"/>
      <c r="N1001" s="394"/>
      <c r="O1001" s="394"/>
      <c r="P1001" s="394"/>
      <c r="R1001" s="304"/>
      <c r="AC1001" s="4">
        <v>19</v>
      </c>
      <c r="AD1001" s="192">
        <f t="shared" si="278"/>
        <v>196</v>
      </c>
      <c r="AE1001" s="192">
        <f t="shared" si="249"/>
        <v>23.02956989247312</v>
      </c>
      <c r="AF1001" s="192">
        <f t="shared" si="250"/>
        <v>24.116935483870964</v>
      </c>
      <c r="AG1001" s="192">
        <f t="shared" si="251"/>
        <v>39.508064516129032</v>
      </c>
      <c r="AH1001" s="192">
        <f t="shared" si="252"/>
        <v>0.56534350166139702</v>
      </c>
      <c r="AI1001" s="192">
        <f t="shared" si="253"/>
        <v>13.047043010752688</v>
      </c>
      <c r="AJ1001" s="192">
        <f t="shared" si="254"/>
        <v>7.672043010752688</v>
      </c>
      <c r="AK1001" s="192">
        <f t="shared" si="255"/>
        <v>9.2553763440860219</v>
      </c>
      <c r="AL1001" s="192">
        <f t="shared" si="256"/>
        <v>8.081989247311828</v>
      </c>
      <c r="AM1001" s="192">
        <f t="shared" si="257"/>
        <v>2.6061827956989245</v>
      </c>
      <c r="AN1001" s="192">
        <f t="shared" si="258"/>
        <v>3.0712365591397845</v>
      </c>
      <c r="AO1001" s="192">
        <f t="shared" si="259"/>
        <v>6.4354838709677411</v>
      </c>
      <c r="AP1001" s="192">
        <f t="shared" si="260"/>
        <v>1.0806451612903225</v>
      </c>
      <c r="AQ1001" s="192">
        <f t="shared" si="261"/>
        <v>2.1021505376344085</v>
      </c>
      <c r="AR1001" s="192">
        <f t="shared" si="262"/>
        <v>2.5577956989247315</v>
      </c>
      <c r="AS1001" s="192">
        <f t="shared" si="263"/>
        <v>339.12985963069372</v>
      </c>
      <c r="AT1001" s="192" t="e">
        <f t="shared" ca="1" si="264"/>
        <v>#NAME?</v>
      </c>
      <c r="AU1001" s="192" t="e">
        <f t="shared" ca="1" si="265"/>
        <v>#NAME?</v>
      </c>
      <c r="AW1001" s="192" t="e">
        <f t="shared" ca="1" si="266"/>
        <v>#NAME?</v>
      </c>
      <c r="AX1001" s="192" t="e">
        <f t="shared" ca="1" si="267"/>
        <v>#NAME?</v>
      </c>
    </row>
    <row r="1002" spans="1:50" ht="16.5" customHeight="1" x14ac:dyDescent="0.3">
      <c r="A1002" s="257"/>
      <c r="B1002" s="394" t="s">
        <v>670</v>
      </c>
      <c r="C1002" s="394"/>
      <c r="D1002" s="394"/>
      <c r="E1002" s="394"/>
      <c r="F1002" s="394"/>
      <c r="G1002" s="394"/>
      <c r="H1002" s="394"/>
      <c r="I1002" s="394"/>
      <c r="J1002" s="394"/>
      <c r="K1002" s="394"/>
      <c r="L1002" s="394"/>
      <c r="M1002" s="394"/>
      <c r="N1002" s="394"/>
      <c r="O1002" s="394"/>
      <c r="P1002" s="394"/>
      <c r="R1002" s="304"/>
      <c r="AC1002" s="4">
        <v>20</v>
      </c>
      <c r="AD1002" s="192">
        <f t="shared" si="278"/>
        <v>196</v>
      </c>
      <c r="AE1002" s="192">
        <f t="shared" si="249"/>
        <v>23.02956989247312</v>
      </c>
      <c r="AF1002" s="192">
        <f t="shared" si="250"/>
        <v>24.116935483870964</v>
      </c>
      <c r="AG1002" s="192">
        <f t="shared" si="251"/>
        <v>39.508064516129032</v>
      </c>
      <c r="AH1002" s="192">
        <f t="shared" si="252"/>
        <v>0.56534350166139702</v>
      </c>
      <c r="AI1002" s="192">
        <f t="shared" si="253"/>
        <v>13.047043010752688</v>
      </c>
      <c r="AJ1002" s="192">
        <f t="shared" si="254"/>
        <v>7.672043010752688</v>
      </c>
      <c r="AK1002" s="192">
        <f t="shared" si="255"/>
        <v>9.2553763440860219</v>
      </c>
      <c r="AL1002" s="192">
        <f t="shared" si="256"/>
        <v>8.081989247311828</v>
      </c>
      <c r="AM1002" s="192">
        <f t="shared" si="257"/>
        <v>2.6061827956989245</v>
      </c>
      <c r="AN1002" s="192">
        <f t="shared" si="258"/>
        <v>3.0712365591397845</v>
      </c>
      <c r="AO1002" s="192">
        <f t="shared" si="259"/>
        <v>6.4354838709677411</v>
      </c>
      <c r="AP1002" s="192">
        <f t="shared" si="260"/>
        <v>1.0806451612903225</v>
      </c>
      <c r="AQ1002" s="192">
        <f t="shared" si="261"/>
        <v>2.1021505376344085</v>
      </c>
      <c r="AR1002" s="192">
        <f t="shared" si="262"/>
        <v>2.5577956989247315</v>
      </c>
      <c r="AS1002" s="192">
        <f t="shared" si="263"/>
        <v>339.12985963069372</v>
      </c>
      <c r="AT1002" s="192" t="e">
        <f t="shared" ca="1" si="264"/>
        <v>#NAME?</v>
      </c>
      <c r="AU1002" s="192" t="e">
        <f t="shared" ca="1" si="265"/>
        <v>#NAME?</v>
      </c>
      <c r="AW1002" s="192" t="e">
        <f t="shared" ca="1" si="266"/>
        <v>#NAME?</v>
      </c>
      <c r="AX1002" s="192" t="e">
        <f t="shared" ca="1" si="267"/>
        <v>#NAME?</v>
      </c>
    </row>
    <row r="1003" spans="1:50" ht="16.5" customHeight="1" x14ac:dyDescent="0.3">
      <c r="A1003" s="257"/>
      <c r="B1003" s="180"/>
      <c r="C1003" s="180"/>
      <c r="D1003" s="180"/>
      <c r="E1003" s="180"/>
      <c r="F1003" s="180"/>
      <c r="G1003" s="180"/>
      <c r="H1003" s="180"/>
      <c r="I1003" s="180"/>
      <c r="J1003" s="180"/>
      <c r="K1003" s="180"/>
      <c r="L1003" s="180"/>
      <c r="M1003" s="180"/>
      <c r="N1003" s="180"/>
      <c r="O1003" s="180"/>
      <c r="P1003" s="180"/>
      <c r="R1003" s="304"/>
      <c r="AC1003" s="4">
        <v>21</v>
      </c>
      <c r="AD1003" s="192">
        <f>IF($AF$980=1,VLOOKUP($AD$980,$A$1010:$P$1021,12,FALSE),VLOOKUP($AD$980,$A$983:$S$994,3,FALSE))</f>
        <v>196</v>
      </c>
      <c r="AE1003" s="192">
        <f t="shared" si="249"/>
        <v>23.02956989247312</v>
      </c>
      <c r="AF1003" s="192">
        <f t="shared" si="250"/>
        <v>24.116935483870964</v>
      </c>
      <c r="AG1003" s="192">
        <f t="shared" si="251"/>
        <v>39.508064516129032</v>
      </c>
      <c r="AH1003" s="192">
        <f t="shared" si="252"/>
        <v>0.56534350166139702</v>
      </c>
      <c r="AI1003" s="192">
        <f t="shared" si="253"/>
        <v>13.047043010752688</v>
      </c>
      <c r="AJ1003" s="192">
        <f t="shared" si="254"/>
        <v>7.672043010752688</v>
      </c>
      <c r="AK1003" s="192">
        <f t="shared" si="255"/>
        <v>9.2553763440860219</v>
      </c>
      <c r="AL1003" s="192">
        <f t="shared" si="256"/>
        <v>8.081989247311828</v>
      </c>
      <c r="AM1003" s="192">
        <f t="shared" si="257"/>
        <v>2.6061827956989245</v>
      </c>
      <c r="AN1003" s="192">
        <f t="shared" si="258"/>
        <v>3.0712365591397845</v>
      </c>
      <c r="AO1003" s="192">
        <f t="shared" si="259"/>
        <v>6.4354838709677411</v>
      </c>
      <c r="AP1003" s="192">
        <f t="shared" si="260"/>
        <v>1.0806451612903225</v>
      </c>
      <c r="AQ1003" s="192">
        <f t="shared" si="261"/>
        <v>2.1021505376344085</v>
      </c>
      <c r="AR1003" s="192">
        <f t="shared" si="262"/>
        <v>2.5577956989247315</v>
      </c>
      <c r="AS1003" s="192">
        <f t="shared" si="263"/>
        <v>339.12985963069372</v>
      </c>
      <c r="AT1003" s="192" t="e">
        <f t="shared" ca="1" si="264"/>
        <v>#NAME?</v>
      </c>
      <c r="AU1003" s="192" t="e">
        <f t="shared" ca="1" si="265"/>
        <v>#NAME?</v>
      </c>
      <c r="AW1003" s="192" t="e">
        <f t="shared" ca="1" si="266"/>
        <v>#NAME?</v>
      </c>
      <c r="AX1003" s="192" t="e">
        <f t="shared" ca="1" si="267"/>
        <v>#NAME?</v>
      </c>
    </row>
    <row r="1004" spans="1:50" ht="16.5" customHeight="1" x14ac:dyDescent="0.3">
      <c r="A1004" s="257"/>
      <c r="B1004" s="415">
        <f>+A5</f>
        <v>2016</v>
      </c>
      <c r="C1004" s="395"/>
      <c r="D1004" s="395"/>
      <c r="E1004" s="395"/>
      <c r="F1004" s="395"/>
      <c r="G1004" s="395"/>
      <c r="H1004" s="395"/>
      <c r="I1004" s="395"/>
      <c r="J1004" s="395"/>
      <c r="K1004" s="395"/>
      <c r="L1004" s="395"/>
      <c r="M1004" s="395"/>
      <c r="N1004" s="395"/>
      <c r="O1004" s="395"/>
      <c r="P1004" s="395"/>
      <c r="R1004" s="304"/>
      <c r="AC1004" s="4">
        <v>22</v>
      </c>
      <c r="AD1004" s="192">
        <f>IF($AF$980=1,VLOOKUP($AD$980,$A$1010:$P$1021,12,FALSE),VLOOKUP($AD$980,$A$983:$S$994,3,FALSE))</f>
        <v>196</v>
      </c>
      <c r="AE1004" s="192">
        <f t="shared" si="249"/>
        <v>23.02956989247312</v>
      </c>
      <c r="AF1004" s="192">
        <f t="shared" si="250"/>
        <v>24.116935483870964</v>
      </c>
      <c r="AG1004" s="192">
        <f t="shared" si="251"/>
        <v>39.508064516129032</v>
      </c>
      <c r="AH1004" s="192">
        <f t="shared" si="252"/>
        <v>0.56534350166139702</v>
      </c>
      <c r="AI1004" s="192">
        <f t="shared" si="253"/>
        <v>13.047043010752688</v>
      </c>
      <c r="AJ1004" s="192">
        <f t="shared" si="254"/>
        <v>7.672043010752688</v>
      </c>
      <c r="AK1004" s="192">
        <f t="shared" si="255"/>
        <v>9.2553763440860219</v>
      </c>
      <c r="AL1004" s="192">
        <f t="shared" si="256"/>
        <v>8.081989247311828</v>
      </c>
      <c r="AM1004" s="192">
        <f t="shared" si="257"/>
        <v>2.6061827956989245</v>
      </c>
      <c r="AN1004" s="192">
        <f t="shared" si="258"/>
        <v>3.0712365591397845</v>
      </c>
      <c r="AO1004" s="192">
        <f t="shared" si="259"/>
        <v>6.4354838709677411</v>
      </c>
      <c r="AP1004" s="192">
        <f t="shared" si="260"/>
        <v>1.0806451612903225</v>
      </c>
      <c r="AQ1004" s="192">
        <f t="shared" si="261"/>
        <v>2.1021505376344085</v>
      </c>
      <c r="AR1004" s="192">
        <f t="shared" si="262"/>
        <v>2.5577956989247315</v>
      </c>
      <c r="AS1004" s="192">
        <f t="shared" si="263"/>
        <v>339.12985963069372</v>
      </c>
      <c r="AT1004" s="192" t="e">
        <f t="shared" ca="1" si="264"/>
        <v>#NAME?</v>
      </c>
      <c r="AU1004" s="192" t="e">
        <f t="shared" ca="1" si="265"/>
        <v>#NAME?</v>
      </c>
      <c r="AW1004" s="192" t="e">
        <f t="shared" ca="1" si="266"/>
        <v>#NAME?</v>
      </c>
      <c r="AX1004" s="192" t="e">
        <f t="shared" ca="1" si="267"/>
        <v>#NAME?</v>
      </c>
    </row>
    <row r="1005" spans="1:50" ht="15.75" customHeight="1" x14ac:dyDescent="0.3">
      <c r="A1005" s="257"/>
      <c r="B1005" s="394" t="s">
        <v>708</v>
      </c>
      <c r="C1005" s="394"/>
      <c r="D1005" s="394"/>
      <c r="E1005" s="394"/>
      <c r="F1005" s="394"/>
      <c r="G1005" s="394"/>
      <c r="H1005" s="394"/>
      <c r="I1005" s="394"/>
      <c r="J1005" s="394"/>
      <c r="K1005" s="394"/>
      <c r="L1005" s="394"/>
      <c r="M1005" s="394"/>
      <c r="N1005" s="394"/>
      <c r="O1005" s="394"/>
      <c r="P1005" s="394"/>
      <c r="R1005" s="304"/>
      <c r="AC1005" s="4">
        <v>23</v>
      </c>
      <c r="AD1005" s="192">
        <f>IF($AF$980=1,VLOOKUP($AD$980,$A$1010:$P$1021,12,FALSE),IF(OR($AD$980="JAN",$AD$980="FEB",$AD$980="NOV",$AD$980="DEC"),VLOOKUP($AD$980,$A$983:$S$994,3,FALSE),VLOOKUP($AD$980,$A$983:$S$994,2,FALSE)))</f>
        <v>294</v>
      </c>
      <c r="AE1005" s="192">
        <f t="shared" si="249"/>
        <v>23.02956989247312</v>
      </c>
      <c r="AF1005" s="192">
        <f t="shared" si="250"/>
        <v>24.116935483870964</v>
      </c>
      <c r="AG1005" s="192">
        <f t="shared" si="251"/>
        <v>39.508064516129032</v>
      </c>
      <c r="AH1005" s="192">
        <f t="shared" si="252"/>
        <v>0.56534350166139702</v>
      </c>
      <c r="AI1005" s="192">
        <f t="shared" si="253"/>
        <v>13.047043010752688</v>
      </c>
      <c r="AJ1005" s="192">
        <f t="shared" si="254"/>
        <v>7.672043010752688</v>
      </c>
      <c r="AK1005" s="192">
        <f t="shared" si="255"/>
        <v>9.2553763440860219</v>
      </c>
      <c r="AL1005" s="192">
        <f t="shared" si="256"/>
        <v>8.081989247311828</v>
      </c>
      <c r="AM1005" s="192">
        <f t="shared" si="257"/>
        <v>2.6061827956989245</v>
      </c>
      <c r="AN1005" s="192">
        <f t="shared" si="258"/>
        <v>3.0712365591397845</v>
      </c>
      <c r="AO1005" s="192">
        <f t="shared" si="259"/>
        <v>6.4354838709677411</v>
      </c>
      <c r="AP1005" s="192">
        <f t="shared" si="260"/>
        <v>1.0806451612903225</v>
      </c>
      <c r="AQ1005" s="192">
        <f t="shared" si="261"/>
        <v>2.1021505376344085</v>
      </c>
      <c r="AR1005" s="192">
        <f t="shared" si="262"/>
        <v>2.5577956989247315</v>
      </c>
      <c r="AS1005" s="192">
        <f t="shared" si="263"/>
        <v>437.12985963069366</v>
      </c>
      <c r="AT1005" s="192" t="e">
        <f t="shared" ca="1" si="264"/>
        <v>#NAME?</v>
      </c>
      <c r="AU1005" s="192" t="e">
        <f t="shared" ca="1" si="265"/>
        <v>#NAME?</v>
      </c>
      <c r="AW1005" s="192" t="e">
        <f t="shared" ca="1" si="266"/>
        <v>#NAME?</v>
      </c>
      <c r="AX1005" s="192" t="e">
        <f t="shared" ca="1" si="267"/>
        <v>#NAME?</v>
      </c>
    </row>
    <row r="1006" spans="1:50" ht="15.75" customHeight="1" thickBot="1" x14ac:dyDescent="0.35">
      <c r="A1006" s="257"/>
      <c r="R1006" s="304"/>
      <c r="AC1006" s="4">
        <v>24</v>
      </c>
      <c r="AD1006" s="192">
        <f>IF($AF$980=1,VLOOKUP($AD$980,$A$1010:$P$1021,12,FALSE),VLOOKUP($AD$980,$A$983:$S$994,2,FALSE))</f>
        <v>294</v>
      </c>
      <c r="AE1006" s="192">
        <f t="shared" si="249"/>
        <v>23.02956989247312</v>
      </c>
      <c r="AF1006" s="192">
        <f t="shared" si="250"/>
        <v>24.116935483870964</v>
      </c>
      <c r="AG1006" s="192">
        <f t="shared" si="251"/>
        <v>39.508064516129032</v>
      </c>
      <c r="AH1006" s="192">
        <f t="shared" si="252"/>
        <v>0.56534350166139702</v>
      </c>
      <c r="AI1006" s="192">
        <f t="shared" si="253"/>
        <v>13.047043010752688</v>
      </c>
      <c r="AJ1006" s="192">
        <f t="shared" si="254"/>
        <v>7.672043010752688</v>
      </c>
      <c r="AK1006" s="192">
        <f t="shared" si="255"/>
        <v>9.2553763440860219</v>
      </c>
      <c r="AL1006" s="192">
        <f t="shared" si="256"/>
        <v>8.081989247311828</v>
      </c>
      <c r="AM1006" s="192">
        <f t="shared" si="257"/>
        <v>2.6061827956989245</v>
      </c>
      <c r="AN1006" s="192">
        <f t="shared" si="258"/>
        <v>3.0712365591397845</v>
      </c>
      <c r="AO1006" s="192">
        <f t="shared" si="259"/>
        <v>6.4354838709677411</v>
      </c>
      <c r="AP1006" s="192">
        <f t="shared" si="260"/>
        <v>1.0806451612903225</v>
      </c>
      <c r="AQ1006" s="192">
        <f t="shared" si="261"/>
        <v>2.1021505376344085</v>
      </c>
      <c r="AR1006" s="192">
        <f t="shared" si="262"/>
        <v>2.5577956989247315</v>
      </c>
      <c r="AS1006" s="192">
        <f t="shared" si="263"/>
        <v>437.12985963069366</v>
      </c>
      <c r="AT1006" s="192" t="e">
        <f t="shared" ca="1" si="264"/>
        <v>#NAME?</v>
      </c>
      <c r="AU1006" s="192" t="e">
        <f t="shared" ca="1" si="265"/>
        <v>#NAME?</v>
      </c>
      <c r="AW1006" s="192" t="e">
        <f t="shared" ca="1" si="266"/>
        <v>#NAME?</v>
      </c>
      <c r="AX1006" s="192" t="e">
        <f t="shared" ca="1" si="267"/>
        <v>#NAME?</v>
      </c>
    </row>
    <row r="1007" spans="1:50" ht="15.75" customHeight="1" x14ac:dyDescent="0.3">
      <c r="A1007" s="257"/>
      <c r="B1007" s="416" t="s">
        <v>806</v>
      </c>
      <c r="C1007" s="417"/>
      <c r="D1007" s="417"/>
      <c r="E1007" s="417"/>
      <c r="F1007" s="417"/>
      <c r="G1007" s="417"/>
      <c r="H1007" s="417"/>
      <c r="I1007" s="417"/>
      <c r="J1007" s="417"/>
      <c r="K1007" s="417"/>
      <c r="L1007" s="418"/>
      <c r="M1007" s="419" t="s">
        <v>807</v>
      </c>
      <c r="N1007" s="417"/>
      <c r="O1007" s="417"/>
      <c r="P1007" s="417"/>
      <c r="Q1007" s="192" t="s">
        <v>808</v>
      </c>
      <c r="R1007" s="312" t="s">
        <v>809</v>
      </c>
      <c r="AC1007" s="4" t="s">
        <v>641</v>
      </c>
      <c r="AD1007" s="192">
        <f>SUM(AD983:AD1006)</f>
        <v>5488</v>
      </c>
      <c r="AE1007" s="192">
        <f>SUM(AE983:AE1006)</f>
        <v>552.70967741935453</v>
      </c>
      <c r="AF1007" s="192">
        <f t="shared" ref="AF1007:AW1007" si="279">SUM(AF983:AF1006)</f>
        <v>578.80645161290329</v>
      </c>
      <c r="AG1007" s="192">
        <f t="shared" si="279"/>
        <v>948.19354838709671</v>
      </c>
      <c r="AH1007" s="192">
        <f t="shared" si="279"/>
        <v>13.568244039873532</v>
      </c>
      <c r="AI1007" s="192">
        <f t="shared" si="279"/>
        <v>313.12903225806468</v>
      </c>
      <c r="AJ1007" s="192">
        <f t="shared" si="279"/>
        <v>184.12903225806463</v>
      </c>
      <c r="AK1007" s="192">
        <f t="shared" si="279"/>
        <v>222.12903225806446</v>
      </c>
      <c r="AL1007" s="192">
        <f t="shared" si="279"/>
        <v>193.96774193548393</v>
      </c>
      <c r="AM1007" s="192">
        <f t="shared" si="279"/>
        <v>62.548387096774221</v>
      </c>
      <c r="AN1007" s="192">
        <f t="shared" si="279"/>
        <v>73.709677419354847</v>
      </c>
      <c r="AO1007" s="192">
        <f t="shared" si="279"/>
        <v>154.45161290322582</v>
      </c>
      <c r="AP1007" s="192">
        <f t="shared" si="279"/>
        <v>25.935483870967747</v>
      </c>
      <c r="AQ1007" s="192">
        <f t="shared" si="279"/>
        <v>50.451612903225801</v>
      </c>
      <c r="AR1007" s="192">
        <f t="shared" si="279"/>
        <v>61.387096774193523</v>
      </c>
      <c r="AS1007" s="192">
        <f t="shared" si="279"/>
        <v>8923.1166311366451</v>
      </c>
      <c r="AT1007" s="192" t="e">
        <f t="shared" ca="1" si="279"/>
        <v>#NAME?</v>
      </c>
      <c r="AU1007" s="192" t="e">
        <f t="shared" ca="1" si="279"/>
        <v>#NAME?</v>
      </c>
      <c r="AW1007" s="192" t="e">
        <f t="shared" ca="1" si="279"/>
        <v>#NAME?</v>
      </c>
      <c r="AX1007" s="192">
        <f ca="1">SUMIF(AX983:AX1006,"&gt;0")</f>
        <v>0</v>
      </c>
    </row>
    <row r="1008" spans="1:50" ht="15.75" customHeight="1" thickBot="1" x14ac:dyDescent="0.35">
      <c r="A1008" s="257" t="s">
        <v>768</v>
      </c>
      <c r="B1008" s="274" t="s">
        <v>811</v>
      </c>
      <c r="C1008" s="275" t="s">
        <v>791</v>
      </c>
      <c r="D1008" s="275" t="s">
        <v>792</v>
      </c>
      <c r="E1008" s="275" t="s">
        <v>812</v>
      </c>
      <c r="F1008" s="275" t="s">
        <v>791</v>
      </c>
      <c r="G1008" s="275" t="s">
        <v>792</v>
      </c>
      <c r="H1008" s="275" t="s">
        <v>793</v>
      </c>
      <c r="I1008" s="275" t="s">
        <v>791</v>
      </c>
      <c r="J1008" s="275" t="s">
        <v>792</v>
      </c>
      <c r="K1008" s="275" t="s">
        <v>793</v>
      </c>
      <c r="L1008" s="276" t="s">
        <v>813</v>
      </c>
      <c r="M1008" s="274" t="s">
        <v>814</v>
      </c>
      <c r="N1008" s="275" t="s">
        <v>791</v>
      </c>
      <c r="O1008" s="275" t="s">
        <v>791</v>
      </c>
      <c r="P1008" s="276" t="s">
        <v>813</v>
      </c>
      <c r="Q1008" s="277" t="s">
        <v>641</v>
      </c>
      <c r="R1008" s="313" t="s">
        <v>815</v>
      </c>
      <c r="S1008" s="192"/>
      <c r="AU1008" s="192"/>
      <c r="AW1008" s="192"/>
      <c r="AX1008" s="192"/>
    </row>
    <row r="1009" spans="1:19" ht="15.75" customHeight="1" thickTop="1" x14ac:dyDescent="0.3">
      <c r="A1009" s="257"/>
      <c r="B1009" s="279"/>
      <c r="C1009" s="280" t="s">
        <v>817</v>
      </c>
      <c r="D1009" s="280" t="s">
        <v>817</v>
      </c>
      <c r="E1009" s="280" t="s">
        <v>817</v>
      </c>
      <c r="F1009" s="281" t="s">
        <v>779</v>
      </c>
      <c r="G1009" s="281" t="s">
        <v>779</v>
      </c>
      <c r="H1009" s="281" t="s">
        <v>779</v>
      </c>
      <c r="I1009" s="281" t="s">
        <v>818</v>
      </c>
      <c r="J1009" s="281" t="s">
        <v>818</v>
      </c>
      <c r="K1009" s="281" t="s">
        <v>818</v>
      </c>
      <c r="L1009" s="314" t="s">
        <v>819</v>
      </c>
      <c r="M1009" s="283"/>
      <c r="N1009" s="280" t="s">
        <v>817</v>
      </c>
      <c r="O1009" s="281" t="s">
        <v>779</v>
      </c>
      <c r="P1009" s="314" t="s">
        <v>818</v>
      </c>
      <c r="Q1009" s="277" t="s">
        <v>818</v>
      </c>
      <c r="R1009" s="313" t="s">
        <v>818</v>
      </c>
      <c r="S1009" s="192"/>
    </row>
    <row r="1010" spans="1:19" ht="15.75" customHeight="1" x14ac:dyDescent="0.3">
      <c r="A1010" s="257" t="s">
        <v>8</v>
      </c>
      <c r="B1010" s="211" t="e">
        <f ca="1">+$B$10-M1010</f>
        <v>#NAME?</v>
      </c>
      <c r="C1010" s="284">
        <v>5</v>
      </c>
      <c r="D1010" s="284">
        <v>0</v>
      </c>
      <c r="E1010" s="284" t="s">
        <v>803</v>
      </c>
      <c r="F1010" s="192">
        <f t="shared" ref="F1010:H1021" si="280">+I1010/8</f>
        <v>245</v>
      </c>
      <c r="G1010" s="192">
        <f>+J1010/16</f>
        <v>0</v>
      </c>
      <c r="H1010" s="192" t="s">
        <v>803</v>
      </c>
      <c r="I1010" s="192">
        <f t="shared" ref="I1010:K1021" si="281">+C1010*49*8</f>
        <v>1960</v>
      </c>
      <c r="J1010" s="192">
        <f>+D1010*49*16</f>
        <v>0</v>
      </c>
      <c r="K1010" s="192" t="s">
        <v>803</v>
      </c>
      <c r="L1010" s="312">
        <f t="shared" ref="L1010:L1021" si="282">+J1010+I1010</f>
        <v>1960</v>
      </c>
      <c r="M1010" s="211" t="e">
        <f ca="1">SUMPRODUCT(--(WEEKDAY(ROW(INDIRECT(DATE($B$1004,MonthFromText(A1010),1)&amp;":"&amp;DATE($B$1004,MonthFromText(A1010),$B$10))),1)=1))</f>
        <v>#NAME?</v>
      </c>
      <c r="N1010" s="284">
        <v>5</v>
      </c>
      <c r="O1010" s="4">
        <f t="shared" ref="O1010:O1021" si="283">+P1010/24</f>
        <v>245</v>
      </c>
      <c r="P1010" s="312">
        <f t="shared" ref="P1010:P1021" si="284">+N1010*49*24</f>
        <v>5880</v>
      </c>
      <c r="Q1010" s="192" t="e">
        <f t="shared" ref="Q1010:Q1021" ca="1" si="285">+(L1010*B1010)+(M1010*P1010)</f>
        <v>#NAME?</v>
      </c>
      <c r="R1010" s="312" t="e">
        <f t="shared" ref="R1010:R1021" ca="1" si="286">+Q1010-B903</f>
        <v>#NAME?</v>
      </c>
      <c r="S1010" s="192"/>
    </row>
    <row r="1011" spans="1:19" ht="15.75" customHeight="1" x14ac:dyDescent="0.3">
      <c r="A1011" s="257" t="s">
        <v>9</v>
      </c>
      <c r="B1011" s="211" t="e">
        <f ca="1">+$C$10-M1011</f>
        <v>#NAME?</v>
      </c>
      <c r="C1011" s="284">
        <v>6</v>
      </c>
      <c r="D1011" s="284">
        <v>3</v>
      </c>
      <c r="E1011" s="284" t="s">
        <v>803</v>
      </c>
      <c r="F1011" s="192">
        <f t="shared" si="280"/>
        <v>294</v>
      </c>
      <c r="G1011" s="192">
        <f>+J1011/16</f>
        <v>147</v>
      </c>
      <c r="H1011" s="192" t="s">
        <v>803</v>
      </c>
      <c r="I1011" s="192">
        <f t="shared" si="281"/>
        <v>2352</v>
      </c>
      <c r="J1011" s="192">
        <f>+D1011*49*16</f>
        <v>2352</v>
      </c>
      <c r="K1011" s="192" t="s">
        <v>803</v>
      </c>
      <c r="L1011" s="312">
        <f t="shared" si="282"/>
        <v>4704</v>
      </c>
      <c r="M1011" s="211" t="e">
        <f ca="1">SUMPRODUCT(--(WEEKDAY(ROW(INDIRECT(DATE($B$1004,MonthFromText(A1011),1)&amp;":"&amp;DATE($B$1004,MonthFromText(A1011),$C$10))),1)=1))</f>
        <v>#NAME?</v>
      </c>
      <c r="N1011" s="284">
        <v>6</v>
      </c>
      <c r="O1011" s="4">
        <f t="shared" si="283"/>
        <v>294</v>
      </c>
      <c r="P1011" s="312">
        <f t="shared" si="284"/>
        <v>7056</v>
      </c>
      <c r="Q1011" s="192" t="e">
        <f t="shared" ca="1" si="285"/>
        <v>#NAME?</v>
      </c>
      <c r="R1011" s="312" t="e">
        <f t="shared" ca="1" si="286"/>
        <v>#NAME?</v>
      </c>
      <c r="S1011" s="192"/>
    </row>
    <row r="1012" spans="1:19" ht="16.5" customHeight="1" x14ac:dyDescent="0.3">
      <c r="A1012" s="257" t="s">
        <v>10</v>
      </c>
      <c r="B1012" s="211" t="e">
        <f ca="1">+$D$10-M1012</f>
        <v>#NAME?</v>
      </c>
      <c r="C1012" s="284">
        <v>6</v>
      </c>
      <c r="D1012" s="284">
        <v>4</v>
      </c>
      <c r="E1012" s="284" t="s">
        <v>803</v>
      </c>
      <c r="F1012" s="192">
        <f t="shared" si="280"/>
        <v>294</v>
      </c>
      <c r="G1012" s="192">
        <f>+J1012/16</f>
        <v>196</v>
      </c>
      <c r="H1012" s="192" t="s">
        <v>803</v>
      </c>
      <c r="I1012" s="192">
        <f t="shared" si="281"/>
        <v>2352</v>
      </c>
      <c r="J1012" s="192">
        <f>+D1012*49*16</f>
        <v>3136</v>
      </c>
      <c r="K1012" s="192" t="s">
        <v>803</v>
      </c>
      <c r="L1012" s="312">
        <f t="shared" si="282"/>
        <v>5488</v>
      </c>
      <c r="M1012" s="211" t="e">
        <f ca="1">SUMPRODUCT(--(WEEKDAY(ROW(INDIRECT(DATE($B$1004,MonthFromText(A1012),1)&amp;":"&amp;DATE($B$1004,MonthFromText(A1012),$D$10))),1)=1))</f>
        <v>#NAME?</v>
      </c>
      <c r="N1012" s="284">
        <v>6</v>
      </c>
      <c r="O1012" s="4">
        <f t="shared" si="283"/>
        <v>294</v>
      </c>
      <c r="P1012" s="312">
        <f t="shared" si="284"/>
        <v>7056</v>
      </c>
      <c r="Q1012" s="192" t="e">
        <f t="shared" ca="1" si="285"/>
        <v>#NAME?</v>
      </c>
      <c r="R1012" s="312" t="e">
        <f t="shared" ca="1" si="286"/>
        <v>#NAME?</v>
      </c>
      <c r="S1012" s="192"/>
    </row>
    <row r="1013" spans="1:19" ht="16.5" customHeight="1" x14ac:dyDescent="0.3">
      <c r="A1013" s="257" t="s">
        <v>12</v>
      </c>
      <c r="B1013" s="211" t="e">
        <f ca="1">+$F$10-M1013</f>
        <v>#NAME?</v>
      </c>
      <c r="C1013" s="284">
        <v>6</v>
      </c>
      <c r="D1013" s="284">
        <v>4</v>
      </c>
      <c r="E1013" s="284" t="s">
        <v>803</v>
      </c>
      <c r="F1013" s="192">
        <f t="shared" si="280"/>
        <v>294</v>
      </c>
      <c r="G1013" s="192">
        <f>+J1013/16</f>
        <v>196</v>
      </c>
      <c r="H1013" s="192" t="s">
        <v>803</v>
      </c>
      <c r="I1013" s="192">
        <f t="shared" si="281"/>
        <v>2352</v>
      </c>
      <c r="J1013" s="192">
        <f>+D1013*49*16</f>
        <v>3136</v>
      </c>
      <c r="K1013" s="192" t="s">
        <v>803</v>
      </c>
      <c r="L1013" s="312">
        <f t="shared" si="282"/>
        <v>5488</v>
      </c>
      <c r="M1013" s="211" t="e">
        <f ca="1">SUMPRODUCT(--(WEEKDAY(ROW(INDIRECT(DATE($B$1004,MonthFromText(A1013),1)&amp;":"&amp;DATE($B$1004,MonthFromText(A1013),$F$10))),1)=1))</f>
        <v>#NAME?</v>
      </c>
      <c r="N1013" s="284">
        <v>6</v>
      </c>
      <c r="O1013" s="4">
        <f t="shared" si="283"/>
        <v>294</v>
      </c>
      <c r="P1013" s="312">
        <f t="shared" si="284"/>
        <v>7056</v>
      </c>
      <c r="Q1013" s="192" t="e">
        <f t="shared" ca="1" si="285"/>
        <v>#NAME?</v>
      </c>
      <c r="R1013" s="312" t="e">
        <f t="shared" ca="1" si="286"/>
        <v>#NAME?</v>
      </c>
      <c r="S1013" s="192"/>
    </row>
    <row r="1014" spans="1:19" ht="15.75" customHeight="1" x14ac:dyDescent="0.3">
      <c r="A1014" s="257" t="s">
        <v>13</v>
      </c>
      <c r="B1014" s="211" t="e">
        <f ca="1">+$G$10-M1014</f>
        <v>#NAME?</v>
      </c>
      <c r="C1014" s="284">
        <v>6</v>
      </c>
      <c r="D1014" s="284">
        <v>4</v>
      </c>
      <c r="E1014" s="284" t="s">
        <v>803</v>
      </c>
      <c r="F1014" s="192">
        <f t="shared" si="280"/>
        <v>294</v>
      </c>
      <c r="G1014" s="192">
        <f>+J1014/16</f>
        <v>196</v>
      </c>
      <c r="H1014" s="192" t="s">
        <v>803</v>
      </c>
      <c r="I1014" s="192">
        <f t="shared" si="281"/>
        <v>2352</v>
      </c>
      <c r="J1014" s="192">
        <f>+D1014*49*16</f>
        <v>3136</v>
      </c>
      <c r="K1014" s="192" t="s">
        <v>803</v>
      </c>
      <c r="L1014" s="312">
        <f t="shared" si="282"/>
        <v>5488</v>
      </c>
      <c r="M1014" s="211" t="e">
        <f ca="1">SUMPRODUCT(--(WEEKDAY(ROW(INDIRECT(DATE($B$1004,MonthFromText(A1014),1)&amp;":"&amp;DATE($B$1004,MonthFromText(A1014),$G$10))),1)=1))</f>
        <v>#NAME?</v>
      </c>
      <c r="N1014" s="284">
        <v>6</v>
      </c>
      <c r="O1014" s="4">
        <f t="shared" si="283"/>
        <v>294</v>
      </c>
      <c r="P1014" s="312">
        <f t="shared" si="284"/>
        <v>7056</v>
      </c>
      <c r="Q1014" s="192" t="e">
        <f t="shared" ca="1" si="285"/>
        <v>#NAME?</v>
      </c>
      <c r="R1014" s="312" t="e">
        <f t="shared" ca="1" si="286"/>
        <v>#NAME?</v>
      </c>
      <c r="S1014" s="192"/>
    </row>
    <row r="1015" spans="1:19" ht="15.75" customHeight="1" x14ac:dyDescent="0.3">
      <c r="A1015" s="257" t="s">
        <v>14</v>
      </c>
      <c r="B1015" s="211" t="e">
        <f ca="1">+$H$10-M1015</f>
        <v>#NAME?</v>
      </c>
      <c r="C1015" s="284">
        <v>6</v>
      </c>
      <c r="D1015" s="284">
        <v>2</v>
      </c>
      <c r="E1015" s="284">
        <v>0</v>
      </c>
      <c r="F1015" s="192">
        <f t="shared" si="280"/>
        <v>294</v>
      </c>
      <c r="G1015" s="192">
        <f t="shared" si="280"/>
        <v>98</v>
      </c>
      <c r="H1015" s="192">
        <f t="shared" si="280"/>
        <v>0</v>
      </c>
      <c r="I1015" s="192">
        <f t="shared" si="281"/>
        <v>2352</v>
      </c>
      <c r="J1015" s="192">
        <f t="shared" si="281"/>
        <v>784</v>
      </c>
      <c r="K1015" s="192">
        <f t="shared" si="281"/>
        <v>0</v>
      </c>
      <c r="L1015" s="312">
        <f t="shared" si="282"/>
        <v>3136</v>
      </c>
      <c r="M1015" s="211" t="e">
        <f ca="1">SUMPRODUCT(--(WEEKDAY(ROW(INDIRECT(DATE($B$1004,MonthFromText(A1015),1)&amp;":"&amp;DATE($B$1004,MonthFromText(A1015),$H$10))),1)=1))</f>
        <v>#NAME?</v>
      </c>
      <c r="N1015" s="284">
        <v>5</v>
      </c>
      <c r="O1015" s="4">
        <f t="shared" si="283"/>
        <v>245</v>
      </c>
      <c r="P1015" s="312">
        <f t="shared" si="284"/>
        <v>5880</v>
      </c>
      <c r="Q1015" s="192" t="e">
        <f t="shared" ca="1" si="285"/>
        <v>#NAME?</v>
      </c>
      <c r="R1015" s="312" t="e">
        <f t="shared" ca="1" si="286"/>
        <v>#NAME?</v>
      </c>
      <c r="S1015" s="192"/>
    </row>
    <row r="1016" spans="1:19" ht="15.75" customHeight="1" x14ac:dyDescent="0.3">
      <c r="A1016" s="257" t="s">
        <v>16</v>
      </c>
      <c r="B1016" s="211" t="e">
        <f ca="1">+$J$10-M1016</f>
        <v>#NAME?</v>
      </c>
      <c r="C1016" s="284">
        <v>3</v>
      </c>
      <c r="D1016" s="284">
        <v>2</v>
      </c>
      <c r="E1016" s="284">
        <v>0</v>
      </c>
      <c r="F1016" s="192">
        <f t="shared" si="280"/>
        <v>147</v>
      </c>
      <c r="G1016" s="192">
        <f t="shared" si="280"/>
        <v>98</v>
      </c>
      <c r="H1016" s="192">
        <f t="shared" si="280"/>
        <v>0</v>
      </c>
      <c r="I1016" s="192">
        <f t="shared" si="281"/>
        <v>1176</v>
      </c>
      <c r="J1016" s="192">
        <f t="shared" si="281"/>
        <v>784</v>
      </c>
      <c r="K1016" s="192">
        <f t="shared" si="281"/>
        <v>0</v>
      </c>
      <c r="L1016" s="312">
        <f t="shared" si="282"/>
        <v>1960</v>
      </c>
      <c r="M1016" s="211" t="e">
        <f ca="1">SUMPRODUCT(--(WEEKDAY(ROW(INDIRECT(DATE($B$1004,MonthFromText(A1016),1)&amp;":"&amp;DATE($B$1004,MonthFromText(A1016),$J$10))),1)=1))</f>
        <v>#NAME?</v>
      </c>
      <c r="N1016" s="284">
        <v>3</v>
      </c>
      <c r="O1016" s="4">
        <f t="shared" si="283"/>
        <v>147</v>
      </c>
      <c r="P1016" s="312">
        <f t="shared" si="284"/>
        <v>3528</v>
      </c>
      <c r="Q1016" s="192" t="e">
        <f t="shared" ca="1" si="285"/>
        <v>#NAME?</v>
      </c>
      <c r="R1016" s="312" t="e">
        <f t="shared" ca="1" si="286"/>
        <v>#NAME?</v>
      </c>
      <c r="S1016" s="192"/>
    </row>
    <row r="1017" spans="1:19" ht="15.75" customHeight="1" x14ac:dyDescent="0.3">
      <c r="A1017" s="257" t="s">
        <v>17</v>
      </c>
      <c r="B1017" s="211" t="e">
        <f ca="1">+$K$10-M1017</f>
        <v>#NAME?</v>
      </c>
      <c r="C1017" s="284">
        <v>3</v>
      </c>
      <c r="D1017" s="284">
        <v>2</v>
      </c>
      <c r="E1017" s="284">
        <v>0</v>
      </c>
      <c r="F1017" s="192">
        <f t="shared" si="280"/>
        <v>147</v>
      </c>
      <c r="G1017" s="192">
        <f t="shared" si="280"/>
        <v>98</v>
      </c>
      <c r="H1017" s="192">
        <f t="shared" si="280"/>
        <v>0</v>
      </c>
      <c r="I1017" s="192">
        <f t="shared" si="281"/>
        <v>1176</v>
      </c>
      <c r="J1017" s="192">
        <f t="shared" si="281"/>
        <v>784</v>
      </c>
      <c r="K1017" s="192">
        <f t="shared" si="281"/>
        <v>0</v>
      </c>
      <c r="L1017" s="312">
        <f t="shared" si="282"/>
        <v>1960</v>
      </c>
      <c r="M1017" s="211" t="e">
        <f ca="1">SUMPRODUCT(--(WEEKDAY(ROW(INDIRECT(DATE($B$1004,MonthFromText(A1017),1)&amp;":"&amp;DATE($B$1004,MonthFromText(A1017),$K$10))),1)=1))</f>
        <v>#NAME?</v>
      </c>
      <c r="N1017" s="284">
        <v>3</v>
      </c>
      <c r="O1017" s="4">
        <f t="shared" si="283"/>
        <v>147</v>
      </c>
      <c r="P1017" s="312">
        <f t="shared" si="284"/>
        <v>3528</v>
      </c>
      <c r="Q1017" s="192" t="e">
        <f t="shared" ca="1" si="285"/>
        <v>#NAME?</v>
      </c>
      <c r="R1017" s="312" t="e">
        <f t="shared" ca="1" si="286"/>
        <v>#NAME?</v>
      </c>
      <c r="S1017" s="192"/>
    </row>
    <row r="1018" spans="1:19" ht="15.75" customHeight="1" x14ac:dyDescent="0.3">
      <c r="A1018" s="257" t="s">
        <v>18</v>
      </c>
      <c r="B1018" s="211" t="e">
        <f ca="1">+$L$10-M1018</f>
        <v>#NAME?</v>
      </c>
      <c r="C1018" s="284">
        <v>5</v>
      </c>
      <c r="D1018" s="284">
        <v>3</v>
      </c>
      <c r="E1018" s="284" t="s">
        <v>803</v>
      </c>
      <c r="F1018" s="192">
        <f t="shared" si="280"/>
        <v>245</v>
      </c>
      <c r="G1018" s="192">
        <f>+J1018/16</f>
        <v>147</v>
      </c>
      <c r="H1018" s="192" t="s">
        <v>803</v>
      </c>
      <c r="I1018" s="192">
        <f t="shared" si="281"/>
        <v>1960</v>
      </c>
      <c r="J1018" s="192">
        <f>+D1018*49*16</f>
        <v>2352</v>
      </c>
      <c r="K1018" s="192" t="s">
        <v>803</v>
      </c>
      <c r="L1018" s="312">
        <f t="shared" si="282"/>
        <v>4312</v>
      </c>
      <c r="M1018" s="211" t="e">
        <f ca="1">SUMPRODUCT(--(WEEKDAY(ROW(INDIRECT(DATE($B$1004,MonthFromText(A1018),1)&amp;":"&amp;DATE($B$1004,MonthFromText(A1018),$L$10))),1)=1))</f>
        <v>#NAME?</v>
      </c>
      <c r="N1018" s="284">
        <v>5</v>
      </c>
      <c r="O1018" s="4">
        <f t="shared" si="283"/>
        <v>245</v>
      </c>
      <c r="P1018" s="312">
        <f t="shared" si="284"/>
        <v>5880</v>
      </c>
      <c r="Q1018" s="192" t="e">
        <f t="shared" ca="1" si="285"/>
        <v>#NAME?</v>
      </c>
      <c r="R1018" s="312" t="e">
        <f t="shared" ca="1" si="286"/>
        <v>#NAME?</v>
      </c>
      <c r="S1018" s="192"/>
    </row>
    <row r="1019" spans="1:19" ht="15.75" customHeight="1" x14ac:dyDescent="0.3">
      <c r="A1019" s="257" t="s">
        <v>20</v>
      </c>
      <c r="B1019" s="211" t="e">
        <f ca="1">+$N$10-M1019</f>
        <v>#NAME?</v>
      </c>
      <c r="C1019" s="284">
        <v>5</v>
      </c>
      <c r="D1019" s="284">
        <v>3</v>
      </c>
      <c r="E1019" s="284" t="s">
        <v>803</v>
      </c>
      <c r="F1019" s="192">
        <f t="shared" si="280"/>
        <v>245</v>
      </c>
      <c r="G1019" s="192">
        <f>+J1019/16</f>
        <v>147</v>
      </c>
      <c r="H1019" s="192" t="s">
        <v>803</v>
      </c>
      <c r="I1019" s="192">
        <f t="shared" si="281"/>
        <v>1960</v>
      </c>
      <c r="J1019" s="192">
        <f>+D1019*49*16</f>
        <v>2352</v>
      </c>
      <c r="K1019" s="192" t="s">
        <v>803</v>
      </c>
      <c r="L1019" s="312">
        <f t="shared" si="282"/>
        <v>4312</v>
      </c>
      <c r="M1019" s="211" t="e">
        <f ca="1">SUMPRODUCT(--(WEEKDAY(ROW(INDIRECT(DATE($B$1004,MonthFromText(A1019),1)&amp;":"&amp;DATE($B$1004,MonthFromText(A1019),$N$10))),1)=1))</f>
        <v>#NAME?</v>
      </c>
      <c r="N1019" s="284">
        <v>5</v>
      </c>
      <c r="O1019" s="4">
        <f t="shared" si="283"/>
        <v>245</v>
      </c>
      <c r="P1019" s="312">
        <f t="shared" si="284"/>
        <v>5880</v>
      </c>
      <c r="Q1019" s="192" t="e">
        <f t="shared" ca="1" si="285"/>
        <v>#NAME?</v>
      </c>
      <c r="R1019" s="312" t="e">
        <f t="shared" ca="1" si="286"/>
        <v>#NAME?</v>
      </c>
      <c r="S1019" s="192"/>
    </row>
    <row r="1020" spans="1:19" ht="15.75" customHeight="1" x14ac:dyDescent="0.3">
      <c r="A1020" s="257" t="s">
        <v>21</v>
      </c>
      <c r="B1020" s="211" t="e">
        <f ca="1">+$O$10-M1020</f>
        <v>#NAME?</v>
      </c>
      <c r="C1020" s="284">
        <v>5</v>
      </c>
      <c r="D1020" s="284">
        <v>3</v>
      </c>
      <c r="E1020" s="284" t="s">
        <v>803</v>
      </c>
      <c r="F1020" s="192">
        <f t="shared" si="280"/>
        <v>245</v>
      </c>
      <c r="G1020" s="192">
        <f>+J1020/16</f>
        <v>147</v>
      </c>
      <c r="H1020" s="192" t="s">
        <v>803</v>
      </c>
      <c r="I1020" s="192">
        <f t="shared" si="281"/>
        <v>1960</v>
      </c>
      <c r="J1020" s="192">
        <f>+D1020*49*16</f>
        <v>2352</v>
      </c>
      <c r="K1020" s="192" t="s">
        <v>803</v>
      </c>
      <c r="L1020" s="312">
        <f t="shared" si="282"/>
        <v>4312</v>
      </c>
      <c r="M1020" s="211" t="e">
        <f ca="1">SUMPRODUCT(--(WEEKDAY(ROW(INDIRECT(DATE($B$1004,MonthFromText(A1020),1)&amp;":"&amp;DATE($B$1004,MonthFromText(A1020),$O$10))),1)=1))</f>
        <v>#NAME?</v>
      </c>
      <c r="N1020" s="284">
        <v>6</v>
      </c>
      <c r="O1020" s="4">
        <f t="shared" si="283"/>
        <v>294</v>
      </c>
      <c r="P1020" s="312">
        <f t="shared" si="284"/>
        <v>7056</v>
      </c>
      <c r="Q1020" s="192" t="e">
        <f t="shared" ca="1" si="285"/>
        <v>#NAME?</v>
      </c>
      <c r="R1020" s="312" t="e">
        <f t="shared" ca="1" si="286"/>
        <v>#NAME?</v>
      </c>
      <c r="S1020" s="192"/>
    </row>
    <row r="1021" spans="1:19" ht="15.75" customHeight="1" thickBot="1" x14ac:dyDescent="0.35">
      <c r="A1021" s="257" t="s">
        <v>22</v>
      </c>
      <c r="B1021" s="220" t="e">
        <f ca="1">+$P$10-M1021</f>
        <v>#NAME?</v>
      </c>
      <c r="C1021" s="290">
        <v>6</v>
      </c>
      <c r="D1021" s="290">
        <v>2</v>
      </c>
      <c r="E1021" s="284" t="s">
        <v>803</v>
      </c>
      <c r="F1021" s="192">
        <f t="shared" si="280"/>
        <v>294</v>
      </c>
      <c r="G1021" s="192">
        <f>+J1021/16</f>
        <v>98</v>
      </c>
      <c r="H1021" s="192" t="s">
        <v>803</v>
      </c>
      <c r="I1021" s="192">
        <f t="shared" si="281"/>
        <v>2352</v>
      </c>
      <c r="J1021" s="192">
        <f>+D1021*49*16</f>
        <v>1568</v>
      </c>
      <c r="K1021" s="192" t="s">
        <v>803</v>
      </c>
      <c r="L1021" s="312">
        <f t="shared" si="282"/>
        <v>3920</v>
      </c>
      <c r="M1021" s="220" t="e">
        <f ca="1">SUMPRODUCT(--(WEEKDAY(ROW(INDIRECT(DATE($B$1004,MonthFromText(A1021),1)&amp;":"&amp;DATE($B$1004,MonthFromText(A1021),$P$10))),1)=1))</f>
        <v>#NAME?</v>
      </c>
      <c r="N1021" s="290">
        <v>6</v>
      </c>
      <c r="O1021" s="135">
        <f t="shared" si="283"/>
        <v>294</v>
      </c>
      <c r="P1021" s="272">
        <f t="shared" si="284"/>
        <v>7056</v>
      </c>
      <c r="Q1021" s="291" t="e">
        <f t="shared" ca="1" si="285"/>
        <v>#NAME?</v>
      </c>
      <c r="R1021" s="292" t="e">
        <f t="shared" ca="1" si="286"/>
        <v>#NAME?</v>
      </c>
      <c r="S1021" s="192"/>
    </row>
    <row r="1022" spans="1:19" ht="15.75" customHeight="1" thickBot="1" x14ac:dyDescent="0.35">
      <c r="A1022" s="134"/>
      <c r="B1022" s="135"/>
      <c r="C1022" s="135"/>
      <c r="D1022" s="135"/>
      <c r="E1022" s="293"/>
      <c r="F1022" s="293"/>
      <c r="G1022" s="293"/>
      <c r="H1022" s="293"/>
      <c r="I1022" s="293"/>
      <c r="J1022" s="293"/>
      <c r="K1022" s="293"/>
      <c r="L1022" s="293"/>
      <c r="M1022" s="135"/>
      <c r="N1022" s="135"/>
      <c r="O1022" s="135"/>
      <c r="P1022" s="135"/>
      <c r="Q1022" s="206" t="e">
        <f ca="1">+SUM(Q1010:Q1021)</f>
        <v>#NAME?</v>
      </c>
      <c r="R1022" s="272" t="e">
        <f ca="1">+Q1022-B916</f>
        <v>#NAME?</v>
      </c>
    </row>
    <row r="1023" spans="1:19" ht="15.75" customHeight="1" x14ac:dyDescent="0.3">
      <c r="A1023" s="260" t="s">
        <v>827</v>
      </c>
      <c r="J1023" s="192"/>
    </row>
    <row r="1024" spans="1:19" ht="15.75" customHeight="1" x14ac:dyDescent="0.3">
      <c r="A1024" s="260" t="s">
        <v>828</v>
      </c>
    </row>
    <row r="1025" spans="1:10" ht="15.75" customHeight="1" x14ac:dyDescent="0.3">
      <c r="A1025" s="260" t="s">
        <v>829</v>
      </c>
    </row>
    <row r="1026" spans="1:10" ht="15.75" customHeight="1" x14ac:dyDescent="0.3"/>
    <row r="1027" spans="1:10" ht="15.75" customHeight="1" x14ac:dyDescent="0.3"/>
    <row r="1028" spans="1:10" ht="15.75" customHeight="1" x14ac:dyDescent="0.3"/>
    <row r="1029" spans="1:10" ht="15.75" customHeight="1" x14ac:dyDescent="0.3"/>
    <row r="1030" spans="1:10" ht="16.5" customHeight="1" x14ac:dyDescent="0.3"/>
    <row r="1031" spans="1:10" ht="15.75" customHeight="1" x14ac:dyDescent="0.3"/>
    <row r="1032" spans="1:10" ht="16.5" customHeight="1" x14ac:dyDescent="0.3"/>
    <row r="1033" spans="1:10" ht="15.75" customHeight="1" x14ac:dyDescent="0.3"/>
    <row r="1034" spans="1:10" ht="15.75" customHeight="1" x14ac:dyDescent="0.3"/>
    <row r="1035" spans="1:10" ht="15.75" customHeight="1" x14ac:dyDescent="0.3"/>
    <row r="1036" spans="1:10" ht="15.75" customHeight="1" x14ac:dyDescent="0.3"/>
    <row r="1037" spans="1:10" ht="15.75" customHeight="1" x14ac:dyDescent="0.3">
      <c r="I1037" s="192"/>
      <c r="J1037" s="192"/>
    </row>
    <row r="1038" spans="1:10" ht="15.75" customHeight="1" x14ac:dyDescent="0.3"/>
    <row r="1039" spans="1:10" ht="15.75" customHeight="1" x14ac:dyDescent="0.3"/>
    <row r="1040" spans="1:10" ht="15.75" customHeight="1" x14ac:dyDescent="0.3"/>
    <row r="1041" spans="1:19" ht="15.75" customHeight="1" x14ac:dyDescent="0.3"/>
    <row r="1042" spans="1:19" ht="15.75" customHeight="1" x14ac:dyDescent="0.3"/>
    <row r="1043" spans="1:19" ht="15.75" customHeight="1" x14ac:dyDescent="0.3"/>
    <row r="1044" spans="1:19" ht="15.75" customHeight="1" thickBot="1" x14ac:dyDescent="0.35"/>
    <row r="1045" spans="1:19" ht="15.75" customHeight="1" x14ac:dyDescent="0.35">
      <c r="A1045" s="173"/>
      <c r="B1045" s="174"/>
      <c r="C1045" s="294"/>
      <c r="D1045" s="294"/>
      <c r="E1045" s="294"/>
      <c r="F1045" s="294"/>
      <c r="G1045" s="294"/>
      <c r="H1045" s="175" t="s">
        <v>832</v>
      </c>
      <c r="I1045" s="174"/>
      <c r="J1045" s="174"/>
      <c r="K1045" s="174"/>
      <c r="L1045" s="174"/>
      <c r="M1045" s="174"/>
      <c r="N1045" s="174"/>
      <c r="O1045" s="174"/>
      <c r="P1045" s="174"/>
      <c r="Q1045" s="177" t="str">
        <f>+Q1</f>
        <v xml:space="preserve">PRINTED:  </v>
      </c>
      <c r="R1045" s="197">
        <f ca="1">+R1</f>
        <v>44894.658168518516</v>
      </c>
      <c r="S1045" s="198"/>
    </row>
    <row r="1046" spans="1:19" ht="15.75" customHeight="1" x14ac:dyDescent="0.35">
      <c r="A1046" s="179"/>
      <c r="B1046" s="180"/>
      <c r="C1046" s="201"/>
      <c r="D1046" s="201"/>
      <c r="E1046" s="201"/>
      <c r="F1046" s="201"/>
      <c r="G1046" s="201"/>
      <c r="H1046" s="180" t="s">
        <v>633</v>
      </c>
      <c r="I1046" s="180" t="s">
        <v>7</v>
      </c>
      <c r="J1046" s="202" t="str">
        <f>+A8</f>
        <v>Revised:  12/8/2015</v>
      </c>
      <c r="K1046" s="180"/>
      <c r="L1046" s="180"/>
      <c r="M1046" s="180"/>
      <c r="N1046" s="180"/>
      <c r="O1046" s="180"/>
      <c r="P1046" s="180"/>
      <c r="Q1046" s="180"/>
      <c r="R1046" s="180"/>
      <c r="S1046" s="304"/>
    </row>
    <row r="1047" spans="1:19" ht="15.75" customHeight="1" x14ac:dyDescent="0.35">
      <c r="A1047" s="179"/>
      <c r="B1047" s="180"/>
      <c r="C1047" s="201"/>
      <c r="D1047" s="201"/>
      <c r="E1047" s="201"/>
      <c r="F1047" s="201"/>
      <c r="G1047" s="201"/>
      <c r="H1047" s="180" t="s">
        <v>833</v>
      </c>
      <c r="I1047" s="180"/>
      <c r="J1047" s="180"/>
      <c r="K1047" s="180"/>
      <c r="L1047" s="180"/>
      <c r="M1047" s="180"/>
      <c r="N1047" s="180"/>
      <c r="O1047" s="180"/>
      <c r="P1047" s="180"/>
      <c r="Q1047" s="180"/>
      <c r="R1047" s="180"/>
      <c r="S1047" s="304"/>
    </row>
    <row r="1048" spans="1:19" ht="15.75" customHeight="1" x14ac:dyDescent="0.35">
      <c r="A1048" s="179"/>
      <c r="B1048" s="180"/>
      <c r="C1048" s="201"/>
      <c r="D1048" s="201"/>
      <c r="E1048" s="201"/>
      <c r="F1048" s="201"/>
      <c r="G1048" s="201"/>
      <c r="H1048" s="180"/>
      <c r="I1048" s="180"/>
      <c r="J1048" s="180"/>
      <c r="K1048" s="180"/>
      <c r="L1048" s="180"/>
      <c r="M1048" s="180"/>
      <c r="N1048" s="180"/>
      <c r="O1048" s="180"/>
      <c r="P1048" s="180"/>
      <c r="Q1048" s="180"/>
      <c r="R1048" s="180"/>
      <c r="S1048" s="304"/>
    </row>
    <row r="1049" spans="1:19" ht="15.75" customHeight="1" x14ac:dyDescent="0.35">
      <c r="A1049" s="179"/>
      <c r="B1049" s="180"/>
      <c r="C1049" s="201"/>
      <c r="D1049" s="201"/>
      <c r="E1049" s="201"/>
      <c r="F1049" s="201"/>
      <c r="G1049" s="201"/>
      <c r="H1049" s="180" t="s">
        <v>633</v>
      </c>
      <c r="I1049" s="297">
        <f>+A5</f>
        <v>2016</v>
      </c>
      <c r="J1049" s="180"/>
      <c r="K1049" s="180"/>
      <c r="L1049" s="180"/>
      <c r="M1049" s="180"/>
      <c r="N1049" s="180"/>
      <c r="O1049" s="180"/>
      <c r="P1049" s="180"/>
      <c r="Q1049" s="180"/>
      <c r="R1049" s="180"/>
      <c r="S1049" s="304"/>
    </row>
    <row r="1050" spans="1:19" ht="15.75" customHeight="1" x14ac:dyDescent="0.3">
      <c r="A1050" s="179"/>
      <c r="B1050" s="180"/>
      <c r="C1050" s="180"/>
      <c r="D1050" s="180"/>
      <c r="E1050" s="180"/>
      <c r="F1050" s="180"/>
      <c r="G1050" s="180"/>
      <c r="H1050" s="180"/>
      <c r="I1050" s="180"/>
      <c r="J1050" s="180"/>
      <c r="K1050" s="180"/>
      <c r="L1050" s="180"/>
      <c r="M1050" s="180"/>
      <c r="N1050" s="180"/>
      <c r="O1050" s="180"/>
      <c r="P1050" s="180"/>
      <c r="Q1050" s="180"/>
      <c r="R1050" s="180"/>
      <c r="S1050" s="304"/>
    </row>
    <row r="1051" spans="1:19" ht="15.75" customHeight="1" x14ac:dyDescent="0.3">
      <c r="A1051" s="179"/>
      <c r="B1051" s="180"/>
      <c r="C1051" s="199" t="s">
        <v>834</v>
      </c>
      <c r="D1051" s="180"/>
      <c r="E1051" s="180"/>
      <c r="F1051" s="180"/>
      <c r="G1051" s="199" t="s">
        <v>835</v>
      </c>
      <c r="H1051" s="180"/>
      <c r="I1051" s="180"/>
      <c r="J1051" s="180"/>
      <c r="K1051" s="298" t="s">
        <v>836</v>
      </c>
      <c r="L1051" s="180"/>
      <c r="M1051" s="180"/>
      <c r="N1051" s="180"/>
      <c r="O1051" s="298" t="s">
        <v>837</v>
      </c>
      <c r="P1051" s="180"/>
      <c r="Q1051" s="180"/>
      <c r="R1051" s="180"/>
      <c r="S1051" s="304"/>
    </row>
    <row r="1052" spans="1:19" ht="15.75" customHeight="1" x14ac:dyDescent="0.3">
      <c r="A1052" s="179"/>
      <c r="B1052" s="180"/>
      <c r="C1052" s="180">
        <f>+A5</f>
        <v>2016</v>
      </c>
      <c r="D1052" s="180"/>
      <c r="E1052" s="180"/>
      <c r="F1052" s="180" t="s">
        <v>838</v>
      </c>
      <c r="G1052" s="180"/>
      <c r="H1052" s="180"/>
      <c r="I1052" s="180"/>
      <c r="J1052" s="180"/>
      <c r="K1052" s="180">
        <f>+A5</f>
        <v>2016</v>
      </c>
      <c r="L1052" s="180"/>
      <c r="M1052" s="180"/>
      <c r="N1052" s="180"/>
      <c r="O1052" s="180">
        <f>+A5</f>
        <v>2016</v>
      </c>
      <c r="P1052" s="180"/>
      <c r="Q1052" s="180"/>
      <c r="R1052" s="180"/>
      <c r="S1052" s="304"/>
    </row>
    <row r="1053" spans="1:19" ht="15.75" customHeight="1" x14ac:dyDescent="0.3">
      <c r="A1053" s="179"/>
      <c r="B1053" s="180"/>
      <c r="C1053" s="180"/>
      <c r="D1053" s="180"/>
      <c r="E1053" s="180"/>
      <c r="F1053" s="180"/>
      <c r="G1053" s="180">
        <f>+A5</f>
        <v>2016</v>
      </c>
      <c r="H1053" s="180"/>
      <c r="I1053" s="180"/>
      <c r="J1053" s="180"/>
      <c r="K1053" s="180"/>
      <c r="L1053" s="180"/>
      <c r="M1053" s="180"/>
      <c r="N1053" s="180"/>
      <c r="O1053" s="180"/>
      <c r="P1053" s="180"/>
      <c r="Q1053" s="180"/>
      <c r="R1053" s="180"/>
      <c r="S1053" s="304"/>
    </row>
    <row r="1054" spans="1:19" ht="15.75" customHeight="1" x14ac:dyDescent="0.3">
      <c r="A1054" s="179"/>
      <c r="B1054" s="180"/>
      <c r="C1054" s="182" t="s">
        <v>839</v>
      </c>
      <c r="D1054" s="182" t="s">
        <v>840</v>
      </c>
      <c r="E1054" s="182" t="s">
        <v>841</v>
      </c>
      <c r="F1054" s="180"/>
      <c r="G1054" s="182" t="s">
        <v>842</v>
      </c>
      <c r="H1054" s="182" t="s">
        <v>840</v>
      </c>
      <c r="I1054" s="182" t="s">
        <v>843</v>
      </c>
      <c r="J1054" s="180"/>
      <c r="K1054" s="182" t="s">
        <v>738</v>
      </c>
      <c r="L1054" s="182" t="s">
        <v>840</v>
      </c>
      <c r="M1054" s="182" t="s">
        <v>844</v>
      </c>
      <c r="N1054" s="180"/>
      <c r="O1054" s="182" t="s">
        <v>738</v>
      </c>
      <c r="P1054" s="182" t="s">
        <v>840</v>
      </c>
      <c r="Q1054" s="182" t="s">
        <v>844</v>
      </c>
      <c r="R1054" s="180"/>
      <c r="S1054" s="304"/>
    </row>
    <row r="1055" spans="1:19" ht="15.75" customHeight="1" x14ac:dyDescent="0.3">
      <c r="A1055" s="179"/>
      <c r="B1055" s="180"/>
      <c r="C1055" s="182" t="s">
        <v>845</v>
      </c>
      <c r="D1055" s="182" t="s">
        <v>658</v>
      </c>
      <c r="E1055" s="182" t="s">
        <v>846</v>
      </c>
      <c r="F1055" s="180"/>
      <c r="G1055" s="182" t="s">
        <v>847</v>
      </c>
      <c r="H1055" s="182" t="s">
        <v>658</v>
      </c>
      <c r="I1055" s="182" t="s">
        <v>846</v>
      </c>
      <c r="J1055" s="180"/>
      <c r="K1055" s="182" t="s">
        <v>848</v>
      </c>
      <c r="L1055" s="182" t="s">
        <v>658</v>
      </c>
      <c r="M1055" s="182" t="s">
        <v>846</v>
      </c>
      <c r="N1055" s="180"/>
      <c r="O1055" s="182" t="s">
        <v>848</v>
      </c>
      <c r="P1055" s="182" t="s">
        <v>658</v>
      </c>
      <c r="Q1055" s="182" t="s">
        <v>846</v>
      </c>
      <c r="R1055" s="180"/>
      <c r="S1055" s="304"/>
    </row>
    <row r="1056" spans="1:19" ht="15.75" customHeight="1" x14ac:dyDescent="0.3">
      <c r="A1056" s="179"/>
      <c r="B1056" s="180"/>
      <c r="C1056" s="182" t="s">
        <v>658</v>
      </c>
      <c r="D1056" s="182" t="s">
        <v>655</v>
      </c>
      <c r="E1056" s="182" t="s">
        <v>849</v>
      </c>
      <c r="F1056" s="180"/>
      <c r="G1056" s="182" t="s">
        <v>743</v>
      </c>
      <c r="H1056" s="182" t="s">
        <v>655</v>
      </c>
      <c r="I1056" s="182" t="s">
        <v>849</v>
      </c>
      <c r="J1056" s="180"/>
      <c r="K1056" s="182" t="s">
        <v>658</v>
      </c>
      <c r="L1056" s="182" t="s">
        <v>655</v>
      </c>
      <c r="M1056" s="182" t="s">
        <v>849</v>
      </c>
      <c r="N1056" s="180"/>
      <c r="O1056" s="182" t="s">
        <v>658</v>
      </c>
      <c r="P1056" s="182" t="s">
        <v>655</v>
      </c>
      <c r="Q1056" s="182" t="s">
        <v>849</v>
      </c>
      <c r="R1056" s="180"/>
      <c r="S1056" s="304"/>
    </row>
    <row r="1057" spans="1:19" ht="15.75" customHeight="1" x14ac:dyDescent="0.3">
      <c r="A1057" s="179"/>
      <c r="B1057" s="180"/>
      <c r="C1057" s="182" t="s">
        <v>664</v>
      </c>
      <c r="D1057" s="182" t="s">
        <v>850</v>
      </c>
      <c r="E1057" s="182" t="s">
        <v>851</v>
      </c>
      <c r="F1057" s="180"/>
      <c r="G1057" s="182" t="s">
        <v>664</v>
      </c>
      <c r="H1057" s="182" t="s">
        <v>850</v>
      </c>
      <c r="I1057" s="182" t="s">
        <v>851</v>
      </c>
      <c r="J1057" s="180"/>
      <c r="K1057" s="182" t="s">
        <v>664</v>
      </c>
      <c r="L1057" s="182" t="s">
        <v>850</v>
      </c>
      <c r="M1057" s="182" t="s">
        <v>851</v>
      </c>
      <c r="N1057" s="180"/>
      <c r="O1057" s="182" t="s">
        <v>664</v>
      </c>
      <c r="P1057" s="182" t="s">
        <v>850</v>
      </c>
      <c r="Q1057" s="182" t="s">
        <v>851</v>
      </c>
      <c r="R1057" s="180"/>
      <c r="S1057" s="304"/>
    </row>
    <row r="1058" spans="1:19" ht="15.75" customHeight="1" x14ac:dyDescent="0.3">
      <c r="A1058" s="179"/>
      <c r="B1058" s="180"/>
      <c r="C1058" s="180" t="s">
        <v>666</v>
      </c>
      <c r="D1058" s="180" t="s">
        <v>666</v>
      </c>
      <c r="E1058" s="180" t="s">
        <v>666</v>
      </c>
      <c r="F1058" s="180"/>
      <c r="G1058" s="182" t="s">
        <v>666</v>
      </c>
      <c r="H1058" s="182" t="s">
        <v>666</v>
      </c>
      <c r="I1058" s="182" t="s">
        <v>666</v>
      </c>
      <c r="J1058" s="180"/>
      <c r="K1058" s="180" t="s">
        <v>666</v>
      </c>
      <c r="L1058" s="180" t="s">
        <v>666</v>
      </c>
      <c r="M1058" s="180" t="s">
        <v>666</v>
      </c>
      <c r="N1058" s="180"/>
      <c r="O1058" s="180" t="s">
        <v>666</v>
      </c>
      <c r="P1058" s="180" t="s">
        <v>666</v>
      </c>
      <c r="Q1058" s="180" t="s">
        <v>666</v>
      </c>
      <c r="R1058" s="180"/>
      <c r="S1058" s="304"/>
    </row>
    <row r="1059" spans="1:19" ht="15.75" customHeight="1" x14ac:dyDescent="0.3">
      <c r="A1059" s="189" t="s">
        <v>668</v>
      </c>
      <c r="B1059" s="180"/>
      <c r="C1059" s="180">
        <f t="shared" ref="C1059:C1070" si="287">(P931)</f>
        <v>-69457</v>
      </c>
      <c r="D1059" s="203">
        <v>0</v>
      </c>
      <c r="E1059" s="217">
        <f t="shared" ref="E1059:E1070" si="288">(P931*D1059/1000)</f>
        <v>0</v>
      </c>
      <c r="F1059" s="180"/>
      <c r="G1059" s="180">
        <v>0</v>
      </c>
      <c r="H1059" s="203">
        <v>0</v>
      </c>
      <c r="I1059" s="217">
        <f t="shared" ref="I1059:I1070" si="289">(G1059*H1059/1000)</f>
        <v>0</v>
      </c>
      <c r="J1059" s="180"/>
      <c r="K1059" s="299">
        <v>11848</v>
      </c>
      <c r="L1059" s="300">
        <v>0</v>
      </c>
      <c r="M1059" s="217">
        <f t="shared" ref="M1059:M1070" si="290">(K1059*L1059/1000)</f>
        <v>0</v>
      </c>
      <c r="N1059" s="180"/>
      <c r="O1059" s="299">
        <v>0</v>
      </c>
      <c r="P1059" s="203">
        <v>0</v>
      </c>
      <c r="Q1059" s="217">
        <f t="shared" ref="Q1059:Q1070" si="291">(O1059*P1059/1000)</f>
        <v>0</v>
      </c>
      <c r="R1059" s="180"/>
      <c r="S1059" s="304"/>
    </row>
    <row r="1060" spans="1:19" ht="15.75" customHeight="1" x14ac:dyDescent="0.3">
      <c r="A1060" s="189" t="s">
        <v>669</v>
      </c>
      <c r="B1060" s="180"/>
      <c r="C1060" s="180">
        <f t="shared" si="287"/>
        <v>-30035</v>
      </c>
      <c r="D1060" s="203">
        <v>0</v>
      </c>
      <c r="E1060" s="217">
        <f t="shared" si="288"/>
        <v>0</v>
      </c>
      <c r="F1060" s="180"/>
      <c r="G1060" s="180" t="e">
        <f>#REF!</f>
        <v>#REF!</v>
      </c>
      <c r="H1060" s="203">
        <v>0</v>
      </c>
      <c r="I1060" s="217" t="e">
        <f t="shared" si="289"/>
        <v>#REF!</v>
      </c>
      <c r="J1060" s="180"/>
      <c r="K1060" s="299">
        <v>11489</v>
      </c>
      <c r="L1060" s="300">
        <v>0</v>
      </c>
      <c r="M1060" s="217">
        <f t="shared" si="290"/>
        <v>0</v>
      </c>
      <c r="N1060" s="180"/>
      <c r="O1060" s="299">
        <v>0</v>
      </c>
      <c r="P1060" s="203">
        <v>0</v>
      </c>
      <c r="Q1060" s="217">
        <f t="shared" si="291"/>
        <v>0</v>
      </c>
      <c r="R1060" s="180"/>
      <c r="S1060" s="304"/>
    </row>
    <row r="1061" spans="1:19" ht="15.75" customHeight="1" x14ac:dyDescent="0.3">
      <c r="A1061" s="189" t="s">
        <v>671</v>
      </c>
      <c r="B1061" s="180"/>
      <c r="C1061" s="180">
        <f t="shared" si="287"/>
        <v>-17263</v>
      </c>
      <c r="D1061" s="203">
        <v>0</v>
      </c>
      <c r="E1061" s="217">
        <f t="shared" si="288"/>
        <v>0</v>
      </c>
      <c r="F1061" s="180">
        <f>SUM(E1059:E1061)</f>
        <v>0</v>
      </c>
      <c r="G1061" s="180" t="e">
        <f>#REF!</f>
        <v>#REF!</v>
      </c>
      <c r="H1061" s="203">
        <v>0</v>
      </c>
      <c r="I1061" s="217" t="e">
        <f t="shared" si="289"/>
        <v>#REF!</v>
      </c>
      <c r="J1061" s="180" t="e">
        <f>SUM(I1059:I1061)</f>
        <v>#REF!</v>
      </c>
      <c r="K1061" s="299">
        <v>16247</v>
      </c>
      <c r="L1061" s="300">
        <v>0</v>
      </c>
      <c r="M1061" s="217">
        <f t="shared" si="290"/>
        <v>0</v>
      </c>
      <c r="N1061" s="180">
        <f>SUM(M1059:M1061)</f>
        <v>0</v>
      </c>
      <c r="O1061" s="299">
        <v>0</v>
      </c>
      <c r="P1061" s="203">
        <v>0</v>
      </c>
      <c r="Q1061" s="217">
        <f t="shared" si="291"/>
        <v>0</v>
      </c>
      <c r="R1061" s="180">
        <f>SUM(Q1059:Q1061)</f>
        <v>0</v>
      </c>
      <c r="S1061" s="304"/>
    </row>
    <row r="1062" spans="1:19" ht="15.75" customHeight="1" x14ac:dyDescent="0.3">
      <c r="A1062" s="189" t="s">
        <v>672</v>
      </c>
      <c r="B1062" s="180"/>
      <c r="C1062" s="180">
        <f t="shared" si="287"/>
        <v>-4176</v>
      </c>
      <c r="D1062" s="203">
        <v>0</v>
      </c>
      <c r="E1062" s="217">
        <f t="shared" si="288"/>
        <v>0</v>
      </c>
      <c r="F1062" s="180"/>
      <c r="G1062" s="180" t="e">
        <f>#REF!</f>
        <v>#REF!</v>
      </c>
      <c r="H1062" s="203">
        <v>0</v>
      </c>
      <c r="I1062" s="217" t="e">
        <f t="shared" si="289"/>
        <v>#REF!</v>
      </c>
      <c r="J1062" s="180"/>
      <c r="K1062" s="299">
        <v>17740</v>
      </c>
      <c r="L1062" s="300">
        <v>0</v>
      </c>
      <c r="M1062" s="217">
        <f t="shared" si="290"/>
        <v>0</v>
      </c>
      <c r="N1062" s="180"/>
      <c r="O1062" s="299">
        <v>0</v>
      </c>
      <c r="P1062" s="203">
        <v>0</v>
      </c>
      <c r="Q1062" s="217">
        <f t="shared" si="291"/>
        <v>0</v>
      </c>
      <c r="R1062" s="180"/>
      <c r="S1062" s="304"/>
    </row>
    <row r="1063" spans="1:19" ht="15.75" customHeight="1" x14ac:dyDescent="0.3">
      <c r="A1063" s="189" t="s">
        <v>673</v>
      </c>
      <c r="B1063" s="180"/>
      <c r="C1063" s="180">
        <f t="shared" si="287"/>
        <v>-22233</v>
      </c>
      <c r="D1063" s="203">
        <v>0</v>
      </c>
      <c r="E1063" s="217">
        <f t="shared" si="288"/>
        <v>0</v>
      </c>
      <c r="F1063" s="180"/>
      <c r="G1063" s="180" t="e">
        <f>#REF!</f>
        <v>#REF!</v>
      </c>
      <c r="H1063" s="203">
        <v>0</v>
      </c>
      <c r="I1063" s="217" t="e">
        <f t="shared" si="289"/>
        <v>#REF!</v>
      </c>
      <c r="J1063" s="180"/>
      <c r="K1063" s="299">
        <v>15434</v>
      </c>
      <c r="L1063" s="300">
        <v>0</v>
      </c>
      <c r="M1063" s="217">
        <f t="shared" si="290"/>
        <v>0</v>
      </c>
      <c r="N1063" s="180"/>
      <c r="O1063" s="299">
        <v>0</v>
      </c>
      <c r="P1063" s="203">
        <v>0</v>
      </c>
      <c r="Q1063" s="217">
        <f t="shared" si="291"/>
        <v>0</v>
      </c>
      <c r="R1063" s="180"/>
      <c r="S1063" s="304"/>
    </row>
    <row r="1064" spans="1:19" ht="15.75" customHeight="1" x14ac:dyDescent="0.3">
      <c r="A1064" s="189" t="s">
        <v>675</v>
      </c>
      <c r="B1064" s="180"/>
      <c r="C1064" s="180">
        <f t="shared" si="287"/>
        <v>-9245.4073087518627</v>
      </c>
      <c r="D1064" s="203">
        <v>0</v>
      </c>
      <c r="E1064" s="217">
        <f t="shared" si="288"/>
        <v>0</v>
      </c>
      <c r="F1064" s="180">
        <f>SUM(E1062:E1064)</f>
        <v>0</v>
      </c>
      <c r="G1064" s="180" t="e">
        <f>#REF!</f>
        <v>#REF!</v>
      </c>
      <c r="H1064" s="203">
        <v>0</v>
      </c>
      <c r="I1064" s="217" t="e">
        <f t="shared" si="289"/>
        <v>#REF!</v>
      </c>
      <c r="J1064" s="180" t="e">
        <f>SUM(I1062:I1064)</f>
        <v>#REF!</v>
      </c>
      <c r="K1064" s="299">
        <v>14355</v>
      </c>
      <c r="L1064" s="300">
        <v>0</v>
      </c>
      <c r="M1064" s="217">
        <f t="shared" si="290"/>
        <v>0</v>
      </c>
      <c r="N1064" s="180">
        <f>SUM(M1062:M1064)</f>
        <v>0</v>
      </c>
      <c r="O1064" s="299">
        <v>0</v>
      </c>
      <c r="P1064" s="203">
        <v>0</v>
      </c>
      <c r="Q1064" s="217">
        <f t="shared" si="291"/>
        <v>0</v>
      </c>
      <c r="R1064" s="180">
        <f>SUM(Q1062:Q1064)</f>
        <v>0</v>
      </c>
      <c r="S1064" s="304"/>
    </row>
    <row r="1065" spans="1:19" ht="15.75" customHeight="1" x14ac:dyDescent="0.3">
      <c r="A1065" s="189" t="s">
        <v>676</v>
      </c>
      <c r="B1065" s="180"/>
      <c r="C1065" s="180">
        <f t="shared" si="287"/>
        <v>-21617.561112443276</v>
      </c>
      <c r="D1065" s="203">
        <v>0</v>
      </c>
      <c r="E1065" s="217">
        <f t="shared" si="288"/>
        <v>0</v>
      </c>
      <c r="F1065" s="180"/>
      <c r="G1065" s="180" t="e">
        <f>#REF!</f>
        <v>#REF!</v>
      </c>
      <c r="H1065" s="203">
        <v>0</v>
      </c>
      <c r="I1065" s="217" t="e">
        <f t="shared" si="289"/>
        <v>#REF!</v>
      </c>
      <c r="J1065" s="180"/>
      <c r="K1065" s="299">
        <v>13129</v>
      </c>
      <c r="L1065" s="300">
        <v>0</v>
      </c>
      <c r="M1065" s="217">
        <f t="shared" si="290"/>
        <v>0</v>
      </c>
      <c r="N1065" s="180"/>
      <c r="O1065" s="299">
        <v>0</v>
      </c>
      <c r="P1065" s="203">
        <v>0</v>
      </c>
      <c r="Q1065" s="217">
        <f t="shared" si="291"/>
        <v>0</v>
      </c>
      <c r="R1065" s="180"/>
      <c r="S1065" s="304"/>
    </row>
    <row r="1066" spans="1:19" ht="15.75" customHeight="1" x14ac:dyDescent="0.3">
      <c r="A1066" s="189" t="s">
        <v>691</v>
      </c>
      <c r="B1066" s="180"/>
      <c r="C1066" s="180">
        <f t="shared" si="287"/>
        <v>-28916.223642808676</v>
      </c>
      <c r="D1066" s="203">
        <v>0</v>
      </c>
      <c r="E1066" s="217">
        <f t="shared" si="288"/>
        <v>0</v>
      </c>
      <c r="F1066" s="180"/>
      <c r="G1066" s="180" t="e">
        <f>#REF!</f>
        <v>#REF!</v>
      </c>
      <c r="H1066" s="203">
        <v>0</v>
      </c>
      <c r="I1066" s="217" t="e">
        <f t="shared" si="289"/>
        <v>#REF!</v>
      </c>
      <c r="J1066" s="180"/>
      <c r="K1066" s="299">
        <v>12545</v>
      </c>
      <c r="L1066" s="300">
        <v>0</v>
      </c>
      <c r="M1066" s="217">
        <f t="shared" si="290"/>
        <v>0</v>
      </c>
      <c r="N1066" s="180"/>
      <c r="O1066" s="299">
        <v>0</v>
      </c>
      <c r="P1066" s="203">
        <v>0</v>
      </c>
      <c r="Q1066" s="217">
        <f t="shared" si="291"/>
        <v>0</v>
      </c>
      <c r="R1066" s="180"/>
      <c r="S1066" s="304"/>
    </row>
    <row r="1067" spans="1:19" ht="15.75" customHeight="1" x14ac:dyDescent="0.3">
      <c r="A1067" s="189" t="s">
        <v>692</v>
      </c>
      <c r="B1067" s="180"/>
      <c r="C1067" s="180">
        <f t="shared" si="287"/>
        <v>-55287</v>
      </c>
      <c r="D1067" s="203">
        <v>0</v>
      </c>
      <c r="E1067" s="217">
        <f t="shared" si="288"/>
        <v>0</v>
      </c>
      <c r="F1067" s="180">
        <f>SUM(E1065:E1067)</f>
        <v>0</v>
      </c>
      <c r="G1067" s="180" t="e">
        <f>#REF!</f>
        <v>#REF!</v>
      </c>
      <c r="H1067" s="203">
        <v>0</v>
      </c>
      <c r="I1067" s="217" t="e">
        <f t="shared" si="289"/>
        <v>#REF!</v>
      </c>
      <c r="J1067" s="180" t="e">
        <f>SUM(I1065:I1067)</f>
        <v>#REF!</v>
      </c>
      <c r="K1067" s="299">
        <v>9350</v>
      </c>
      <c r="L1067" s="300">
        <v>0</v>
      </c>
      <c r="M1067" s="217">
        <f t="shared" si="290"/>
        <v>0</v>
      </c>
      <c r="N1067" s="180">
        <f>SUM(M1065:M1067)</f>
        <v>0</v>
      </c>
      <c r="O1067" s="299">
        <v>0</v>
      </c>
      <c r="P1067" s="203">
        <v>0</v>
      </c>
      <c r="Q1067" s="217">
        <f t="shared" si="291"/>
        <v>0</v>
      </c>
      <c r="R1067" s="180">
        <f>SUM(Q1065:Q1067)</f>
        <v>0</v>
      </c>
      <c r="S1067" s="304"/>
    </row>
    <row r="1068" spans="1:19" ht="15.75" customHeight="1" x14ac:dyDescent="0.3">
      <c r="A1068" s="189" t="s">
        <v>693</v>
      </c>
      <c r="B1068" s="180"/>
      <c r="C1068" s="180">
        <f t="shared" si="287"/>
        <v>23038</v>
      </c>
      <c r="D1068" s="203">
        <v>0</v>
      </c>
      <c r="E1068" s="217">
        <f t="shared" si="288"/>
        <v>0</v>
      </c>
      <c r="F1068" s="180"/>
      <c r="G1068" s="180" t="e">
        <f>#REF!</f>
        <v>#REF!</v>
      </c>
      <c r="H1068" s="203">
        <v>0</v>
      </c>
      <c r="I1068" s="217" t="e">
        <f t="shared" si="289"/>
        <v>#REF!</v>
      </c>
      <c r="J1068" s="180"/>
      <c r="K1068" s="299">
        <v>11649</v>
      </c>
      <c r="L1068" s="300">
        <v>0</v>
      </c>
      <c r="M1068" s="217">
        <f t="shared" si="290"/>
        <v>0</v>
      </c>
      <c r="N1068" s="180"/>
      <c r="O1068" s="299">
        <v>0</v>
      </c>
      <c r="P1068" s="203">
        <v>0</v>
      </c>
      <c r="Q1068" s="217">
        <f t="shared" si="291"/>
        <v>0</v>
      </c>
      <c r="R1068" s="180"/>
      <c r="S1068" s="304"/>
    </row>
    <row r="1069" spans="1:19" ht="15.75" customHeight="1" x14ac:dyDescent="0.3">
      <c r="A1069" s="189" t="s">
        <v>694</v>
      </c>
      <c r="B1069" s="180"/>
      <c r="C1069" s="180">
        <f t="shared" si="287"/>
        <v>18004</v>
      </c>
      <c r="D1069" s="203">
        <v>0</v>
      </c>
      <c r="E1069" s="217">
        <f t="shared" si="288"/>
        <v>0</v>
      </c>
      <c r="F1069" s="180"/>
      <c r="G1069" s="180" t="e">
        <f>#REF!</f>
        <v>#REF!</v>
      </c>
      <c r="H1069" s="203">
        <v>0</v>
      </c>
      <c r="I1069" s="217" t="e">
        <f t="shared" si="289"/>
        <v>#REF!</v>
      </c>
      <c r="J1069" s="180"/>
      <c r="K1069" s="299">
        <v>8035</v>
      </c>
      <c r="L1069" s="300">
        <v>0</v>
      </c>
      <c r="M1069" s="217">
        <f t="shared" si="290"/>
        <v>0</v>
      </c>
      <c r="N1069" s="180"/>
      <c r="O1069" s="299">
        <v>0</v>
      </c>
      <c r="P1069" s="203">
        <v>0</v>
      </c>
      <c r="Q1069" s="217">
        <f t="shared" si="291"/>
        <v>0</v>
      </c>
      <c r="R1069" s="180"/>
      <c r="S1069" s="304"/>
    </row>
    <row r="1070" spans="1:19" ht="15.75" customHeight="1" x14ac:dyDescent="0.3">
      <c r="A1070" s="189" t="s">
        <v>695</v>
      </c>
      <c r="B1070" s="180"/>
      <c r="C1070" s="180">
        <f t="shared" si="287"/>
        <v>5192</v>
      </c>
      <c r="D1070" s="203">
        <v>0</v>
      </c>
      <c r="E1070" s="217">
        <f t="shared" si="288"/>
        <v>0</v>
      </c>
      <c r="F1070" s="180">
        <f>SUM(E1068:E1070)</f>
        <v>0</v>
      </c>
      <c r="G1070" s="180" t="e">
        <f>#REF!</f>
        <v>#REF!</v>
      </c>
      <c r="H1070" s="203">
        <v>0</v>
      </c>
      <c r="I1070" s="217" t="e">
        <f t="shared" si="289"/>
        <v>#REF!</v>
      </c>
      <c r="J1070" s="180" t="e">
        <f>SUM(I1068:I1070)</f>
        <v>#REF!</v>
      </c>
      <c r="K1070" s="299">
        <v>8092</v>
      </c>
      <c r="L1070" s="300">
        <v>0</v>
      </c>
      <c r="M1070" s="217">
        <f t="shared" si="290"/>
        <v>0</v>
      </c>
      <c r="N1070" s="180">
        <f>SUM(M1068:M1070)</f>
        <v>0</v>
      </c>
      <c r="O1070" s="299">
        <v>0</v>
      </c>
      <c r="P1070" s="203">
        <v>0</v>
      </c>
      <c r="Q1070" s="217">
        <f t="shared" si="291"/>
        <v>0</v>
      </c>
      <c r="R1070" s="180">
        <f>SUM(Q1068:Q1070)</f>
        <v>0</v>
      </c>
      <c r="S1070" s="304"/>
    </row>
    <row r="1071" spans="1:19" ht="15.75" customHeight="1" x14ac:dyDescent="0.3">
      <c r="A1071" s="179"/>
      <c r="B1071" s="180"/>
      <c r="C1071" s="180"/>
      <c r="D1071" s="180"/>
      <c r="E1071" s="180"/>
      <c r="F1071" s="180"/>
      <c r="G1071" s="180"/>
      <c r="H1071" s="180"/>
      <c r="I1071" s="180"/>
      <c r="J1071" s="180"/>
      <c r="K1071" s="180"/>
      <c r="L1071" s="180"/>
      <c r="M1071" s="180"/>
      <c r="N1071" s="180"/>
      <c r="O1071" s="180"/>
      <c r="P1071" s="180"/>
      <c r="Q1071" s="180"/>
      <c r="R1071" s="180"/>
      <c r="S1071" s="304"/>
    </row>
    <row r="1072" spans="1:19" ht="15.75" customHeight="1" x14ac:dyDescent="0.3">
      <c r="A1072" s="179"/>
      <c r="B1072" s="180"/>
      <c r="C1072" s="180"/>
      <c r="D1072" s="180"/>
      <c r="E1072" s="180"/>
      <c r="F1072" s="180"/>
      <c r="G1072" s="180"/>
      <c r="H1072" s="180"/>
      <c r="I1072" s="180"/>
      <c r="J1072" s="180"/>
      <c r="K1072" s="180"/>
      <c r="L1072" s="180"/>
      <c r="M1072" s="180"/>
      <c r="N1072" s="180"/>
      <c r="O1072" s="180"/>
      <c r="P1072" s="180"/>
      <c r="Q1072" s="180"/>
      <c r="R1072" s="180"/>
      <c r="S1072" s="304"/>
    </row>
    <row r="1073" spans="1:19" ht="16.5" customHeight="1" thickBot="1" x14ac:dyDescent="0.35">
      <c r="A1073" s="194" t="s">
        <v>641</v>
      </c>
      <c r="B1073" s="195"/>
      <c r="C1073" s="195">
        <f>SUM(C1059:C1070)</f>
        <v>-211996.19206400382</v>
      </c>
      <c r="D1073" s="195"/>
      <c r="E1073" s="301">
        <f>SUM(E1059:E1070)</f>
        <v>0</v>
      </c>
      <c r="F1073" s="195"/>
      <c r="G1073" s="195" t="e">
        <f>SUM(G1059:G1070)</f>
        <v>#REF!</v>
      </c>
      <c r="H1073" s="195" t="s">
        <v>633</v>
      </c>
      <c r="I1073" s="301" t="e">
        <f>SUM(I1059:I1070)</f>
        <v>#REF!</v>
      </c>
      <c r="J1073" s="195"/>
      <c r="K1073" s="195">
        <f>SUM(K1059:K1070)</f>
        <v>149913</v>
      </c>
      <c r="L1073" s="195" t="s">
        <v>633</v>
      </c>
      <c r="M1073" s="301">
        <f>SUM(M1059:M1070)</f>
        <v>0</v>
      </c>
      <c r="N1073" s="195"/>
      <c r="O1073" s="195">
        <f>(SUM(O1059:O1070))</f>
        <v>0</v>
      </c>
      <c r="P1073" s="195" t="s">
        <v>633</v>
      </c>
      <c r="Q1073" s="301">
        <f>SUM(Q1059:Q1070)</f>
        <v>0</v>
      </c>
      <c r="R1073" s="195"/>
      <c r="S1073" s="136"/>
    </row>
  </sheetData>
  <scenarios current="0">
    <scenario name="Jan" count="1" user="Windows User" comment="Created by Windows User on 4/11/2013">
      <inputCells r="B287" val="57771.3688407242" numFmtId="37"/>
    </scenario>
  </scenarios>
  <autoFilter ref="A31:R834" xr:uid="{00000000-0009-0000-0000-000001000000}"/>
  <mergeCells count="72">
    <mergeCell ref="B1007:L1007"/>
    <mergeCell ref="M1007:P1007"/>
    <mergeCell ref="B981:D981"/>
    <mergeCell ref="B1000:P1000"/>
    <mergeCell ref="B1001:P1001"/>
    <mergeCell ref="B1002:P1002"/>
    <mergeCell ref="B1004:P1004"/>
    <mergeCell ref="B1005:P1005"/>
    <mergeCell ref="B980:P980"/>
    <mergeCell ref="M926:O926"/>
    <mergeCell ref="AD926:AQ926"/>
    <mergeCell ref="AD927:AQ927"/>
    <mergeCell ref="B951:P951"/>
    <mergeCell ref="B952:F952"/>
    <mergeCell ref="G952:L952"/>
    <mergeCell ref="M952:O952"/>
    <mergeCell ref="P952:R952"/>
    <mergeCell ref="M953:O953"/>
    <mergeCell ref="B975:P975"/>
    <mergeCell ref="B976:P976"/>
    <mergeCell ref="B977:P977"/>
    <mergeCell ref="B979:P979"/>
    <mergeCell ref="B923:P923"/>
    <mergeCell ref="AD923:AQ923"/>
    <mergeCell ref="B924:P924"/>
    <mergeCell ref="AD924:AQ924"/>
    <mergeCell ref="B925:F925"/>
    <mergeCell ref="G925:L925"/>
    <mergeCell ref="M925:O925"/>
    <mergeCell ref="P925:R925"/>
    <mergeCell ref="AD922:AQ922"/>
    <mergeCell ref="AD888:AQ888"/>
    <mergeCell ref="AD889:AQ889"/>
    <mergeCell ref="AD891:AQ891"/>
    <mergeCell ref="B892:P892"/>
    <mergeCell ref="AD892:AQ892"/>
    <mergeCell ref="B893:P893"/>
    <mergeCell ref="B894:P894"/>
    <mergeCell ref="B896:P896"/>
    <mergeCell ref="B897:P897"/>
    <mergeCell ref="B921:P921"/>
    <mergeCell ref="B922:P922"/>
    <mergeCell ref="AD887:AQ887"/>
    <mergeCell ref="B838:P838"/>
    <mergeCell ref="B839:P839"/>
    <mergeCell ref="B840:P840"/>
    <mergeCell ref="B841:P841"/>
    <mergeCell ref="B842:P842"/>
    <mergeCell ref="B866:P866"/>
    <mergeCell ref="B867:P867"/>
    <mergeCell ref="B868:P868"/>
    <mergeCell ref="B869:P869"/>
    <mergeCell ref="B870:P870"/>
    <mergeCell ref="B871:P871"/>
    <mergeCell ref="B837:P837"/>
    <mergeCell ref="V356:AM356"/>
    <mergeCell ref="A773:R773"/>
    <mergeCell ref="A774:R774"/>
    <mergeCell ref="A775:R775"/>
    <mergeCell ref="A776:R776"/>
    <mergeCell ref="A778:R778"/>
    <mergeCell ref="A814:R814"/>
    <mergeCell ref="A815:R815"/>
    <mergeCell ref="A816:R816"/>
    <mergeCell ref="A817:R817"/>
    <mergeCell ref="A819:R819"/>
    <mergeCell ref="A8:R8"/>
    <mergeCell ref="A2:R2"/>
    <mergeCell ref="A3:R3"/>
    <mergeCell ref="A4:R4"/>
    <mergeCell ref="A5:R5"/>
    <mergeCell ref="A6:R6"/>
  </mergeCells>
  <conditionalFormatting sqref="P931:P944">
    <cfRule type="cellIs" dxfId="43" priority="3" operator="lessThan">
      <formula>0</formula>
    </cfRule>
    <cfRule type="cellIs" dxfId="42" priority="4" operator="greaterThan">
      <formula>0</formula>
    </cfRule>
  </conditionalFormatting>
  <conditionalFormatting sqref="P958:P969">
    <cfRule type="cellIs" dxfId="41" priority="1" operator="lessThan">
      <formula>0</formula>
    </cfRule>
    <cfRule type="cellIs" dxfId="40" priority="2" operator="greaterThan">
      <formula>0</formula>
    </cfRule>
  </conditionalFormatting>
  <printOptions horizontalCentered="1"/>
  <pageMargins left="0.25" right="0.25" top="0.25" bottom="0.25" header="0" footer="0"/>
  <pageSetup paperSize="17" scale="10" orientation="landscape" r:id="rId1"/>
  <headerFooter alignWithMargins="0"/>
  <rowBreaks count="5" manualBreakCount="5">
    <brk id="770" max="17" man="1"/>
    <brk id="810" max="17" man="1"/>
    <brk id="863" max="18" man="1"/>
    <brk id="891" max="18" man="1"/>
    <brk id="859" min="28" max="46"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274B0-38A4-4CC5-821C-40487EDC55AF}">
  <sheetPr codeName="Sheet23">
    <pageSetUpPr fitToPage="1"/>
  </sheetPr>
  <dimension ref="A1:AX1078"/>
  <sheetViews>
    <sheetView topLeftCell="A7" zoomScale="80" zoomScaleNormal="80" workbookViewId="0">
      <selection activeCell="C7" sqref="C7"/>
    </sheetView>
  </sheetViews>
  <sheetFormatPr defaultColWidth="8.77734375" defaultRowHeight="15.6" x14ac:dyDescent="0.3"/>
  <cols>
    <col min="1" max="1" width="48.21875" style="4" customWidth="1"/>
    <col min="2" max="3" width="11.21875" style="4" customWidth="1"/>
    <col min="4" max="4" width="12.44140625" style="4" customWidth="1"/>
    <col min="5" max="5" width="14" style="4" customWidth="1"/>
    <col min="6" max="7" width="11.21875" style="4" customWidth="1"/>
    <col min="8" max="8" width="11.77734375" style="4" bestFit="1" customWidth="1"/>
    <col min="9" max="9" width="13.109375" style="4" customWidth="1"/>
    <col min="10" max="12" width="11.21875" style="4" bestFit="1" customWidth="1"/>
    <col min="13" max="13" width="15" style="4" customWidth="1"/>
    <col min="14" max="14" width="11.21875" style="4" bestFit="1" customWidth="1"/>
    <col min="15" max="15" width="11.77734375" style="4" bestFit="1" customWidth="1"/>
    <col min="16" max="16" width="11.21875" style="4" bestFit="1" customWidth="1"/>
    <col min="17" max="17" width="13" style="4" customWidth="1"/>
    <col min="18" max="18" width="14.21875" style="4" customWidth="1"/>
    <col min="19" max="19" width="12.33203125" style="4" bestFit="1" customWidth="1"/>
    <col min="20" max="20" width="11.21875" style="4" bestFit="1" customWidth="1"/>
    <col min="21" max="21" width="8.77734375" style="4"/>
    <col min="22" max="22" width="10.44140625" style="4" customWidth="1"/>
    <col min="23" max="28" width="8.77734375" style="4"/>
    <col min="29" max="29" width="13.6640625" style="4" customWidth="1"/>
    <col min="30" max="48" width="8.77734375" style="4"/>
    <col min="49" max="49" width="21.33203125" style="4" customWidth="1"/>
    <col min="50" max="50" width="20.88671875" style="4" bestFit="1" customWidth="1"/>
    <col min="51" max="16384" width="8.77734375" style="4"/>
  </cols>
  <sheetData>
    <row r="1" spans="1:36" x14ac:dyDescent="0.3">
      <c r="A1" s="1"/>
      <c r="B1" s="1"/>
      <c r="C1" s="1"/>
      <c r="D1" s="1"/>
      <c r="E1" s="1"/>
      <c r="F1" s="1"/>
      <c r="G1" s="1"/>
      <c r="H1" s="1"/>
      <c r="I1" s="1"/>
      <c r="J1" s="1"/>
      <c r="K1" s="1"/>
      <c r="L1" s="1"/>
      <c r="M1" s="1"/>
      <c r="N1" s="1"/>
      <c r="O1" s="1"/>
      <c r="P1" s="1"/>
      <c r="Q1" s="2" t="s">
        <v>0</v>
      </c>
      <c r="R1" s="3">
        <f ca="1">NOW()</f>
        <v>44894.658168402777</v>
      </c>
    </row>
    <row r="2" spans="1:36" ht="19.5" customHeight="1" x14ac:dyDescent="0.35">
      <c r="A2" s="384" t="s">
        <v>1</v>
      </c>
      <c r="B2" s="384"/>
      <c r="C2" s="384"/>
      <c r="D2" s="384"/>
      <c r="E2" s="384"/>
      <c r="F2" s="384"/>
      <c r="G2" s="384"/>
      <c r="H2" s="384"/>
      <c r="I2" s="384"/>
      <c r="J2" s="384"/>
      <c r="K2" s="384"/>
      <c r="L2" s="384"/>
      <c r="M2" s="384"/>
      <c r="N2" s="384"/>
      <c r="O2" s="384"/>
      <c r="P2" s="384"/>
      <c r="Q2" s="384"/>
      <c r="R2" s="384"/>
    </row>
    <row r="3" spans="1:36" ht="19.5" customHeight="1" x14ac:dyDescent="0.35">
      <c r="A3" s="384" t="s">
        <v>2</v>
      </c>
      <c r="B3" s="384"/>
      <c r="C3" s="384"/>
      <c r="D3" s="384"/>
      <c r="E3" s="384"/>
      <c r="F3" s="384"/>
      <c r="G3" s="384"/>
      <c r="H3" s="384"/>
      <c r="I3" s="384"/>
      <c r="J3" s="384"/>
      <c r="K3" s="384"/>
      <c r="L3" s="384"/>
      <c r="M3" s="384"/>
      <c r="N3" s="384"/>
      <c r="O3" s="384"/>
      <c r="P3" s="384"/>
      <c r="Q3" s="384"/>
      <c r="R3" s="384"/>
    </row>
    <row r="4" spans="1:36" ht="19.5" customHeight="1" x14ac:dyDescent="0.35">
      <c r="A4" s="385" t="s">
        <v>3</v>
      </c>
      <c r="B4" s="385"/>
      <c r="C4" s="385"/>
      <c r="D4" s="385"/>
      <c r="E4" s="385"/>
      <c r="F4" s="385"/>
      <c r="G4" s="385"/>
      <c r="H4" s="385"/>
      <c r="I4" s="385"/>
      <c r="J4" s="385"/>
      <c r="K4" s="385"/>
      <c r="L4" s="385"/>
      <c r="M4" s="385"/>
      <c r="N4" s="385"/>
      <c r="O4" s="385"/>
      <c r="P4" s="385"/>
      <c r="Q4" s="385"/>
      <c r="R4" s="385"/>
    </row>
    <row r="5" spans="1:36" ht="19.5" customHeight="1" x14ac:dyDescent="0.35">
      <c r="A5" s="386">
        <v>2016</v>
      </c>
      <c r="B5" s="386"/>
      <c r="C5" s="386"/>
      <c r="D5" s="386"/>
      <c r="E5" s="386"/>
      <c r="F5" s="386"/>
      <c r="G5" s="386"/>
      <c r="H5" s="386"/>
      <c r="I5" s="386"/>
      <c r="J5" s="386"/>
      <c r="K5" s="386"/>
      <c r="L5" s="386"/>
      <c r="M5" s="386"/>
      <c r="N5" s="386"/>
      <c r="O5" s="386"/>
      <c r="P5" s="386"/>
      <c r="Q5" s="386"/>
      <c r="R5" s="386"/>
    </row>
    <row r="6" spans="1:36" ht="19.5" customHeight="1" x14ac:dyDescent="0.35">
      <c r="A6" s="385" t="s">
        <v>948</v>
      </c>
      <c r="B6" s="385"/>
      <c r="C6" s="385"/>
      <c r="D6" s="385"/>
      <c r="E6" s="385"/>
      <c r="F6" s="385"/>
      <c r="G6" s="385"/>
      <c r="H6" s="385"/>
      <c r="I6" s="385"/>
      <c r="J6" s="385"/>
      <c r="K6" s="385"/>
      <c r="L6" s="385"/>
      <c r="M6" s="385"/>
      <c r="N6" s="385"/>
      <c r="O6" s="385"/>
      <c r="P6" s="385"/>
      <c r="Q6" s="385"/>
      <c r="R6" s="385"/>
    </row>
    <row r="7" spans="1:36" ht="19.5" customHeight="1" x14ac:dyDescent="0.35">
      <c r="A7" s="5"/>
      <c r="B7" s="5"/>
      <c r="C7" s="5"/>
      <c r="D7" s="5"/>
      <c r="E7" s="5"/>
      <c r="F7" s="5"/>
      <c r="G7" s="5"/>
      <c r="H7" s="5"/>
      <c r="I7" s="5"/>
      <c r="J7" s="5"/>
      <c r="K7" s="5"/>
      <c r="L7" s="5"/>
      <c r="M7" s="5"/>
      <c r="N7" s="5"/>
      <c r="O7" s="5"/>
      <c r="P7" s="5"/>
      <c r="Q7" s="5"/>
      <c r="R7" s="5"/>
    </row>
    <row r="8" spans="1:36" ht="15.75" customHeight="1" x14ac:dyDescent="0.3">
      <c r="A8" s="383" t="s">
        <v>1015</v>
      </c>
      <c r="B8" s="383"/>
      <c r="C8" s="383"/>
      <c r="D8" s="383"/>
      <c r="E8" s="383"/>
      <c r="F8" s="383"/>
      <c r="G8" s="383"/>
      <c r="H8" s="383"/>
      <c r="I8" s="383"/>
      <c r="J8" s="383"/>
      <c r="K8" s="383"/>
      <c r="L8" s="383"/>
      <c r="M8" s="383"/>
      <c r="N8" s="383"/>
      <c r="O8" s="383"/>
      <c r="P8" s="383"/>
      <c r="Q8" s="383"/>
      <c r="R8" s="383"/>
    </row>
    <row r="9" spans="1:36" ht="15.75" customHeight="1" x14ac:dyDescent="0.3">
      <c r="A9" s="7"/>
      <c r="B9" s="8"/>
      <c r="C9" s="8"/>
      <c r="D9" s="8"/>
      <c r="E9" s="8"/>
      <c r="F9" s="8"/>
      <c r="G9" s="8"/>
      <c r="H9" s="8"/>
      <c r="I9" s="8"/>
      <c r="J9" s="8"/>
      <c r="K9" s="8"/>
      <c r="L9" s="8"/>
      <c r="M9" s="8"/>
      <c r="N9" s="8"/>
      <c r="O9" s="8"/>
      <c r="P9" s="8"/>
      <c r="Q9" s="8"/>
      <c r="R9" s="8"/>
    </row>
    <row r="10" spans="1:36" ht="16.2" thickBot="1" x14ac:dyDescent="0.35">
      <c r="A10" s="1" t="s">
        <v>6</v>
      </c>
      <c r="B10" s="1">
        <v>31</v>
      </c>
      <c r="C10" s="1">
        <v>29</v>
      </c>
      <c r="D10" s="1">
        <v>31</v>
      </c>
      <c r="E10" s="1"/>
      <c r="F10" s="1">
        <v>30</v>
      </c>
      <c r="G10" s="1">
        <v>31</v>
      </c>
      <c r="H10" s="1">
        <v>30</v>
      </c>
      <c r="I10" s="1"/>
      <c r="J10" s="1">
        <v>31</v>
      </c>
      <c r="K10" s="1">
        <v>31</v>
      </c>
      <c r="L10" s="1">
        <v>30</v>
      </c>
      <c r="M10" s="1"/>
      <c r="N10" s="1">
        <v>31</v>
      </c>
      <c r="O10" s="1">
        <v>30</v>
      </c>
      <c r="P10" s="1">
        <v>31</v>
      </c>
      <c r="Q10" s="1"/>
      <c r="R10" s="1"/>
    </row>
    <row r="11" spans="1:36" ht="15.75" customHeight="1" thickBot="1" x14ac:dyDescent="0.35">
      <c r="A11" s="370" t="s">
        <v>7</v>
      </c>
      <c r="B11" s="371" t="s">
        <v>8</v>
      </c>
      <c r="C11" s="331" t="s">
        <v>9</v>
      </c>
      <c r="D11" s="331" t="s">
        <v>10</v>
      </c>
      <c r="E11" s="325" t="s">
        <v>11</v>
      </c>
      <c r="F11" s="331" t="s">
        <v>12</v>
      </c>
      <c r="G11" s="331" t="s">
        <v>13</v>
      </c>
      <c r="H11" s="331" t="s">
        <v>14</v>
      </c>
      <c r="I11" s="325" t="s">
        <v>15</v>
      </c>
      <c r="J11" s="331" t="s">
        <v>16</v>
      </c>
      <c r="K11" s="331" t="s">
        <v>17</v>
      </c>
      <c r="L11" s="331" t="s">
        <v>18</v>
      </c>
      <c r="M11" s="325" t="s">
        <v>19</v>
      </c>
      <c r="N11" s="331" t="s">
        <v>20</v>
      </c>
      <c r="O11" s="331" t="s">
        <v>21</v>
      </c>
      <c r="P11" s="331" t="s">
        <v>22</v>
      </c>
      <c r="Q11" s="325" t="s">
        <v>23</v>
      </c>
      <c r="R11" s="332" t="s">
        <v>24</v>
      </c>
    </row>
    <row r="12" spans="1:36" ht="16.5" customHeight="1" thickBot="1" x14ac:dyDescent="0.35">
      <c r="A12" s="14"/>
      <c r="B12" s="56"/>
      <c r="C12" s="56"/>
      <c r="D12" s="56"/>
      <c r="E12" s="16"/>
      <c r="F12" s="56"/>
      <c r="G12" s="56"/>
      <c r="H12" s="56"/>
      <c r="I12" s="16"/>
      <c r="J12" s="56"/>
      <c r="K12" s="56"/>
      <c r="L12" s="56"/>
      <c r="M12" s="16"/>
      <c r="N12" s="56"/>
      <c r="O12" s="56"/>
      <c r="P12" s="56"/>
      <c r="Q12" s="16"/>
      <c r="R12" s="16"/>
    </row>
    <row r="13" spans="1:36" ht="15.75" customHeight="1" x14ac:dyDescent="0.3">
      <c r="A13" s="17" t="s">
        <v>25</v>
      </c>
      <c r="B13" s="1">
        <f>+B838</f>
        <v>43148</v>
      </c>
      <c r="C13" s="1">
        <f>+C838</f>
        <v>77253</v>
      </c>
      <c r="D13" s="1">
        <f>+D838</f>
        <v>122146</v>
      </c>
      <c r="E13" s="18">
        <f>SUM(B13:D13)</f>
        <v>242547</v>
      </c>
      <c r="F13" s="1">
        <f>+F838</f>
        <v>138443</v>
      </c>
      <c r="G13" s="1">
        <f>+G838</f>
        <v>166029</v>
      </c>
      <c r="H13" s="1">
        <f>+H838</f>
        <v>201550</v>
      </c>
      <c r="I13" s="18">
        <f t="shared" ref="I13:I19" si="0">SUM(F13:H13)</f>
        <v>506022</v>
      </c>
      <c r="J13" s="1">
        <f>+J838</f>
        <v>193428</v>
      </c>
      <c r="K13" s="1">
        <f>+K838</f>
        <v>151816</v>
      </c>
      <c r="L13" s="1">
        <f>+L838</f>
        <v>129194</v>
      </c>
      <c r="M13" s="18">
        <f t="shared" ref="M13:M20" si="1">SUM(J13:L13)</f>
        <v>474438</v>
      </c>
      <c r="N13" s="1">
        <f>+N838</f>
        <v>88804</v>
      </c>
      <c r="O13" s="1">
        <f>+O838</f>
        <v>57369</v>
      </c>
      <c r="P13" s="1">
        <f>+P838</f>
        <v>61730</v>
      </c>
      <c r="Q13" s="19">
        <f t="shared" ref="Q13:Q19" si="2">SUM(N13:P13)</f>
        <v>207903</v>
      </c>
      <c r="R13" s="18">
        <f t="shared" ref="R13:R20" si="3">+E13+I13+M13+Q13</f>
        <v>1430910</v>
      </c>
      <c r="S13" s="4">
        <f>1495413+25265</f>
        <v>1520678</v>
      </c>
      <c r="T13" s="4">
        <f>+R13-S13</f>
        <v>-89768</v>
      </c>
      <c r="U13" s="4">
        <f>+R13-1478209</f>
        <v>-47299</v>
      </c>
      <c r="V13" s="21"/>
      <c r="W13" s="21"/>
      <c r="X13" s="21"/>
      <c r="Z13" s="21"/>
      <c r="AA13" s="21"/>
      <c r="AB13" s="21"/>
      <c r="AD13" s="21"/>
      <c r="AE13" s="21"/>
      <c r="AF13" s="21"/>
      <c r="AH13" s="21"/>
      <c r="AI13" s="21"/>
      <c r="AJ13" s="21"/>
    </row>
    <row r="14" spans="1:36" ht="15.75" customHeight="1" x14ac:dyDescent="0.3">
      <c r="A14" s="17" t="s">
        <v>27</v>
      </c>
      <c r="B14" s="1">
        <f>B25+B60+B126+B289+B439+B486+B530+B585+B595+B631+B678+B688+B722+B770</f>
        <v>739</v>
      </c>
      <c r="C14" s="1">
        <f>C25+C60+C126+C289+C439+C486+C530+C585+C595+C631+C678+C688+C722+C770</f>
        <v>1283</v>
      </c>
      <c r="D14" s="1">
        <f>D25+D60+D126+D289+D439+D486+D530+D585+D595+D631+D678+D688+D722+D770</f>
        <v>2185</v>
      </c>
      <c r="E14" s="18">
        <f t="shared" ref="E14:E19" si="4">SUM(B14:D14)</f>
        <v>4207</v>
      </c>
      <c r="F14" s="1">
        <f>F25+F60+F126+F289+F439+F486+F530+F585+F595+F631+F678+F688+F722+F770</f>
        <v>2959</v>
      </c>
      <c r="G14" s="1">
        <f>G25+G60+G126+G289+G439+G486+G530+G585+G595+G631+G678+G688+G722+G770</f>
        <v>3425</v>
      </c>
      <c r="H14" s="1">
        <f>H25+H60+H126+H289+H439+H486+H530+H585+H595+H631+H678+H688+H722+H770</f>
        <v>3464</v>
      </c>
      <c r="I14" s="18">
        <f t="shared" si="0"/>
        <v>9848</v>
      </c>
      <c r="J14" s="1">
        <f>J25+J60+J126+J289+J439+J486+J530+J585+J595+J631+J678+J688+J722+J770</f>
        <v>3382</v>
      </c>
      <c r="K14" s="1">
        <f>K25+K60+K126+K289+K439+K486+K530+K585+K595+K631+K678+K688+K722+K770</f>
        <v>2663</v>
      </c>
      <c r="L14" s="1">
        <f>L25+L60+L126+L289+L439+L486+L530+L585+L595+L631+L678+L688+L722+L770</f>
        <v>2559</v>
      </c>
      <c r="M14" s="18">
        <f t="shared" si="1"/>
        <v>8604</v>
      </c>
      <c r="N14" s="1">
        <f>N25+N60+N126+N289+N439+N486+N530+N585+N595+N631+N678+N688+N722+N770</f>
        <v>2343</v>
      </c>
      <c r="O14" s="1">
        <f>O25+O60+O126+O289+O439+O486+O530+O585+O595+O631+O678+O688+O722+O770</f>
        <v>1892</v>
      </c>
      <c r="P14" s="1">
        <f>P25+P60+P126+P289+P439+P486+P530+P585+P595+P631+P678+P688+P722+P770</f>
        <v>1423</v>
      </c>
      <c r="Q14" s="19">
        <f t="shared" si="2"/>
        <v>5658</v>
      </c>
      <c r="R14" s="18">
        <f t="shared" si="3"/>
        <v>28317</v>
      </c>
    </row>
    <row r="15" spans="1:36" ht="15.75" customHeight="1" x14ac:dyDescent="0.3">
      <c r="A15" s="17" t="s">
        <v>29</v>
      </c>
      <c r="B15" s="1">
        <f>B284</f>
        <v>0</v>
      </c>
      <c r="C15" s="1">
        <f>C284</f>
        <v>2526</v>
      </c>
      <c r="D15" s="1">
        <f>D284</f>
        <v>4089</v>
      </c>
      <c r="E15" s="18">
        <f t="shared" si="4"/>
        <v>6615</v>
      </c>
      <c r="F15" s="1">
        <f>F284</f>
        <v>1608</v>
      </c>
      <c r="G15" s="1">
        <f>G284</f>
        <v>2278</v>
      </c>
      <c r="H15" s="1">
        <f>H284</f>
        <v>3295</v>
      </c>
      <c r="I15" s="18">
        <f t="shared" si="0"/>
        <v>7181</v>
      </c>
      <c r="J15" s="1">
        <f>J284</f>
        <v>2560</v>
      </c>
      <c r="K15" s="1">
        <f>K284</f>
        <v>948</v>
      </c>
      <c r="L15" s="1">
        <f>L284</f>
        <v>2584</v>
      </c>
      <c r="M15" s="18">
        <f t="shared" si="1"/>
        <v>6092</v>
      </c>
      <c r="N15" s="1">
        <f>N284</f>
        <v>3444</v>
      </c>
      <c r="O15" s="1">
        <f>O284</f>
        <v>4424</v>
      </c>
      <c r="P15" s="1">
        <f>P284</f>
        <v>1662</v>
      </c>
      <c r="Q15" s="19">
        <f t="shared" si="2"/>
        <v>9530</v>
      </c>
      <c r="R15" s="18">
        <f t="shared" si="3"/>
        <v>29418</v>
      </c>
    </row>
    <row r="16" spans="1:36" ht="15.75" customHeight="1" x14ac:dyDescent="0.3">
      <c r="A16" s="22" t="s">
        <v>30</v>
      </c>
      <c r="B16" s="1">
        <f>+B285</f>
        <v>0</v>
      </c>
      <c r="C16" s="1">
        <f>+C285</f>
        <v>0</v>
      </c>
      <c r="D16" s="1">
        <f>+D285</f>
        <v>0</v>
      </c>
      <c r="E16" s="18">
        <f t="shared" si="4"/>
        <v>0</v>
      </c>
      <c r="F16" s="1">
        <f>+F285</f>
        <v>-4000</v>
      </c>
      <c r="G16" s="1">
        <f>+G285</f>
        <v>-6000</v>
      </c>
      <c r="H16" s="1">
        <f>+H285</f>
        <v>-4000</v>
      </c>
      <c r="I16" s="18">
        <f t="shared" si="0"/>
        <v>-14000</v>
      </c>
      <c r="J16" s="1">
        <f>+J285</f>
        <v>-2000</v>
      </c>
      <c r="K16" s="1">
        <f>+K285</f>
        <v>0</v>
      </c>
      <c r="L16" s="1">
        <f>+L285</f>
        <v>0</v>
      </c>
      <c r="M16" s="18">
        <f t="shared" si="1"/>
        <v>-2000</v>
      </c>
      <c r="N16" s="1">
        <f>+N285</f>
        <v>0</v>
      </c>
      <c r="O16" s="1">
        <f>+O285</f>
        <v>0</v>
      </c>
      <c r="P16" s="1">
        <f>+P285</f>
        <v>-11</v>
      </c>
      <c r="Q16" s="19">
        <f t="shared" si="2"/>
        <v>-11</v>
      </c>
      <c r="R16" s="18">
        <f t="shared" si="3"/>
        <v>-16011</v>
      </c>
    </row>
    <row r="17" spans="1:20" ht="15.75" customHeight="1" x14ac:dyDescent="0.3">
      <c r="A17" s="23" t="s">
        <v>31</v>
      </c>
      <c r="B17" s="1">
        <f>B288</f>
        <v>108452</v>
      </c>
      <c r="C17" s="1">
        <f>C288</f>
        <v>32889</v>
      </c>
      <c r="D17" s="1">
        <f>D288</f>
        <v>4539</v>
      </c>
      <c r="E17" s="18">
        <f t="shared" si="4"/>
        <v>145880</v>
      </c>
      <c r="F17" s="1">
        <f>F288</f>
        <v>28044</v>
      </c>
      <c r="G17" s="1">
        <f>G288</f>
        <v>12390</v>
      </c>
      <c r="H17" s="1">
        <f>H288</f>
        <v>0</v>
      </c>
      <c r="I17" s="18">
        <f t="shared" si="0"/>
        <v>40434</v>
      </c>
      <c r="J17" s="1">
        <f>J288</f>
        <v>0</v>
      </c>
      <c r="K17" s="1">
        <f>K288</f>
        <v>0</v>
      </c>
      <c r="L17" s="1">
        <f>L288</f>
        <v>19406</v>
      </c>
      <c r="M17" s="18">
        <f t="shared" si="1"/>
        <v>19406</v>
      </c>
      <c r="N17" s="1">
        <f>N288</f>
        <v>40011</v>
      </c>
      <c r="O17" s="1">
        <f>O288</f>
        <v>74729</v>
      </c>
      <c r="P17" s="1">
        <f>P288</f>
        <v>52389</v>
      </c>
      <c r="Q17" s="19">
        <f t="shared" si="2"/>
        <v>167129</v>
      </c>
      <c r="R17" s="18">
        <f t="shared" si="3"/>
        <v>372849</v>
      </c>
    </row>
    <row r="18" spans="1:20" ht="15.75" customHeight="1" x14ac:dyDescent="0.3">
      <c r="A18" s="23" t="s">
        <v>32</v>
      </c>
      <c r="B18" s="1">
        <f>B300</f>
        <v>0</v>
      </c>
      <c r="C18" s="1">
        <f>C300</f>
        <v>0</v>
      </c>
      <c r="D18" s="1">
        <f>D300</f>
        <v>-10501</v>
      </c>
      <c r="E18" s="18">
        <f t="shared" si="4"/>
        <v>-10501</v>
      </c>
      <c r="F18" s="1">
        <f>F300</f>
        <v>0</v>
      </c>
      <c r="G18" s="1">
        <f>G300</f>
        <v>0</v>
      </c>
      <c r="H18" s="1">
        <f>H300</f>
        <v>-112673</v>
      </c>
      <c r="I18" s="18">
        <f t="shared" si="0"/>
        <v>-112673</v>
      </c>
      <c r="J18" s="1">
        <f>J300</f>
        <v>-119947</v>
      </c>
      <c r="K18" s="1">
        <f>K300</f>
        <v>-87736</v>
      </c>
      <c r="L18" s="1">
        <f>L300</f>
        <v>-22496</v>
      </c>
      <c r="M18" s="18">
        <f t="shared" si="1"/>
        <v>-230179</v>
      </c>
      <c r="N18" s="1">
        <f>N300</f>
        <v>-1165</v>
      </c>
      <c r="O18" s="1">
        <f>O300</f>
        <v>0</v>
      </c>
      <c r="P18" s="1">
        <f>P300</f>
        <v>0</v>
      </c>
      <c r="Q18" s="19">
        <f t="shared" si="2"/>
        <v>-1165</v>
      </c>
      <c r="R18" s="18">
        <f t="shared" si="3"/>
        <v>-354518</v>
      </c>
    </row>
    <row r="19" spans="1:20" ht="16.5" customHeight="1" thickBot="1" x14ac:dyDescent="0.35">
      <c r="A19" s="24" t="s">
        <v>33</v>
      </c>
      <c r="B19" s="25">
        <f>(B29)</f>
        <v>152339</v>
      </c>
      <c r="C19" s="25">
        <f>(C29)</f>
        <v>113951</v>
      </c>
      <c r="D19" s="25">
        <f>(D29)</f>
        <v>122458</v>
      </c>
      <c r="E19" s="26">
        <f t="shared" si="4"/>
        <v>388748</v>
      </c>
      <c r="F19" s="25">
        <f>(F29)</f>
        <v>167054</v>
      </c>
      <c r="G19" s="25">
        <f>(G29)</f>
        <v>178122</v>
      </c>
      <c r="H19" s="25">
        <f>(H29)</f>
        <v>91636</v>
      </c>
      <c r="I19" s="26">
        <f t="shared" si="0"/>
        <v>436812</v>
      </c>
      <c r="J19" s="25">
        <f>(J29)</f>
        <v>77423</v>
      </c>
      <c r="K19" s="25">
        <f>(K29)</f>
        <v>67691</v>
      </c>
      <c r="L19" s="25">
        <f>(L29)</f>
        <v>131247</v>
      </c>
      <c r="M19" s="26">
        <f t="shared" si="1"/>
        <v>276361</v>
      </c>
      <c r="N19" s="25">
        <f>(N29)</f>
        <v>133437</v>
      </c>
      <c r="O19" s="25">
        <f>(O29)</f>
        <v>138414</v>
      </c>
      <c r="P19" s="25">
        <f>(P29)</f>
        <v>117193</v>
      </c>
      <c r="Q19" s="27">
        <f t="shared" si="2"/>
        <v>389044</v>
      </c>
      <c r="R19" s="26">
        <f>+E19+I19+M19+Q19</f>
        <v>1490965</v>
      </c>
      <c r="S19" s="4">
        <v>1491000</v>
      </c>
      <c r="T19" s="4" t="s">
        <v>937</v>
      </c>
    </row>
    <row r="20" spans="1:20" ht="16.5" customHeight="1" thickBot="1" x14ac:dyDescent="0.35">
      <c r="A20" s="24" t="s">
        <v>34</v>
      </c>
      <c r="B20" s="25">
        <v>155980</v>
      </c>
      <c r="C20" s="25">
        <v>116971</v>
      </c>
      <c r="D20" s="25">
        <v>122518</v>
      </c>
      <c r="E20" s="26">
        <f>SUM(B20:D20)</f>
        <v>395469</v>
      </c>
      <c r="F20" s="25">
        <v>168623</v>
      </c>
      <c r="G20" s="25">
        <v>176141</v>
      </c>
      <c r="H20" s="25">
        <v>88596</v>
      </c>
      <c r="I20" s="26">
        <f>SUM(F20:H20)</f>
        <v>433360</v>
      </c>
      <c r="J20" s="25">
        <v>74494</v>
      </c>
      <c r="K20" s="25">
        <v>64682</v>
      </c>
      <c r="L20" s="25">
        <v>133630</v>
      </c>
      <c r="M20" s="26">
        <f t="shared" si="1"/>
        <v>272806</v>
      </c>
      <c r="N20" s="25">
        <v>133167</v>
      </c>
      <c r="O20" s="25">
        <v>140485</v>
      </c>
      <c r="P20" s="25">
        <v>117864</v>
      </c>
      <c r="Q20" s="27">
        <f>SUM(N20:P20)</f>
        <v>391516</v>
      </c>
      <c r="R20" s="26">
        <f t="shared" si="3"/>
        <v>1493151</v>
      </c>
    </row>
    <row r="21" spans="1:20" ht="15.75" customHeight="1" x14ac:dyDescent="0.3">
      <c r="A21" s="1"/>
      <c r="B21" s="1"/>
      <c r="C21" s="1"/>
      <c r="D21" s="1"/>
      <c r="E21" s="1"/>
      <c r="F21" s="1"/>
      <c r="G21" s="1"/>
      <c r="H21" s="1"/>
      <c r="I21" s="1"/>
      <c r="J21" s="1"/>
      <c r="K21" s="1"/>
      <c r="L21" s="1"/>
      <c r="M21" s="1"/>
      <c r="N21" s="1"/>
      <c r="O21" s="1"/>
      <c r="P21" s="1"/>
      <c r="Q21" s="1"/>
      <c r="R21" s="28"/>
    </row>
    <row r="22" spans="1:20" ht="15.75" customHeight="1" thickBot="1" x14ac:dyDescent="0.35">
      <c r="A22" s="1"/>
      <c r="B22" s="1"/>
      <c r="C22" s="1"/>
      <c r="D22" s="1"/>
      <c r="E22" s="1"/>
      <c r="F22" s="29" t="s">
        <v>7</v>
      </c>
      <c r="G22" s="29" t="s">
        <v>7</v>
      </c>
      <c r="H22" s="1"/>
      <c r="I22" s="1"/>
      <c r="J22" s="1"/>
      <c r="K22" s="1"/>
      <c r="L22" s="1"/>
      <c r="M22" s="1"/>
      <c r="N22" s="29" t="s">
        <v>7</v>
      </c>
      <c r="O22" s="29" t="s">
        <v>7</v>
      </c>
      <c r="P22" s="29" t="s">
        <v>7</v>
      </c>
      <c r="Q22" s="29"/>
      <c r="R22" s="30" t="s">
        <v>7</v>
      </c>
    </row>
    <row r="23" spans="1:20" ht="16.5" customHeight="1" thickBot="1" x14ac:dyDescent="0.35">
      <c r="A23" s="31" t="s">
        <v>35</v>
      </c>
      <c r="B23" s="323" t="s">
        <v>36</v>
      </c>
      <c r="C23" s="324" t="s">
        <v>9</v>
      </c>
      <c r="D23" s="324" t="s">
        <v>10</v>
      </c>
      <c r="E23" s="325" t="s">
        <v>11</v>
      </c>
      <c r="F23" s="324" t="s">
        <v>12</v>
      </c>
      <c r="G23" s="324" t="s">
        <v>13</v>
      </c>
      <c r="H23" s="324" t="s">
        <v>14</v>
      </c>
      <c r="I23" s="34" t="s">
        <v>15</v>
      </c>
      <c r="J23" s="324" t="s">
        <v>16</v>
      </c>
      <c r="K23" s="324" t="s">
        <v>17</v>
      </c>
      <c r="L23" s="324" t="s">
        <v>18</v>
      </c>
      <c r="M23" s="34" t="s">
        <v>19</v>
      </c>
      <c r="N23" s="324" t="s">
        <v>20</v>
      </c>
      <c r="O23" s="324" t="s">
        <v>21</v>
      </c>
      <c r="P23" s="324" t="s">
        <v>22</v>
      </c>
      <c r="Q23" s="34" t="s">
        <v>23</v>
      </c>
      <c r="R23" s="326" t="s">
        <v>24</v>
      </c>
    </row>
    <row r="24" spans="1:20" ht="16.5" customHeight="1" thickBot="1" x14ac:dyDescent="0.35">
      <c r="A24" s="36"/>
      <c r="B24" s="37"/>
      <c r="C24" s="37"/>
      <c r="D24" s="37"/>
      <c r="E24" s="38"/>
      <c r="F24" s="37"/>
      <c r="G24" s="37"/>
      <c r="H24" s="37"/>
      <c r="I24" s="38"/>
      <c r="J24" s="37"/>
      <c r="K24" s="37"/>
      <c r="L24" s="37"/>
      <c r="M24" s="38"/>
      <c r="N24" s="37"/>
      <c r="O24" s="37"/>
      <c r="P24" s="37"/>
      <c r="Q24" s="38"/>
      <c r="R24" s="39"/>
    </row>
    <row r="25" spans="1:20" ht="16.5" customHeight="1" thickBot="1" x14ac:dyDescent="0.35">
      <c r="A25" s="40" t="s">
        <v>37</v>
      </c>
      <c r="B25" s="25">
        <v>97</v>
      </c>
      <c r="C25" s="25">
        <v>148</v>
      </c>
      <c r="D25" s="25">
        <v>274</v>
      </c>
      <c r="E25" s="327">
        <f>SUM(B25:D25)</f>
        <v>519</v>
      </c>
      <c r="F25" s="25">
        <v>367</v>
      </c>
      <c r="G25" s="25">
        <v>425</v>
      </c>
      <c r="H25" s="25">
        <v>417</v>
      </c>
      <c r="I25" s="327">
        <f>SUM(F25:H25)</f>
        <v>1209</v>
      </c>
      <c r="J25" s="25">
        <v>416</v>
      </c>
      <c r="K25" s="25">
        <v>334</v>
      </c>
      <c r="L25" s="25">
        <v>316</v>
      </c>
      <c r="M25" s="327">
        <f>SUM(J25:L25)</f>
        <v>1066</v>
      </c>
      <c r="N25" s="25">
        <v>285</v>
      </c>
      <c r="O25" s="25">
        <v>235</v>
      </c>
      <c r="P25" s="25">
        <v>186</v>
      </c>
      <c r="Q25" s="327">
        <f>SUM(N25:P25)</f>
        <v>706</v>
      </c>
      <c r="R25" s="26">
        <f>+E25+I25+M25+Q25</f>
        <v>3500</v>
      </c>
    </row>
    <row r="26" spans="1:20" ht="16.5" customHeight="1" thickBot="1" x14ac:dyDescent="0.35">
      <c r="A26" s="42"/>
      <c r="B26" s="37"/>
      <c r="C26" s="37"/>
      <c r="D26" s="37"/>
      <c r="E26" s="43"/>
      <c r="F26" s="37"/>
      <c r="G26" s="37"/>
      <c r="H26" s="37"/>
      <c r="I26" s="43"/>
      <c r="J26" s="37"/>
      <c r="K26" s="37"/>
      <c r="L26" s="37"/>
      <c r="M26" s="43"/>
      <c r="N26" s="37"/>
      <c r="O26" s="37"/>
      <c r="P26" s="37"/>
      <c r="Q26" s="43"/>
      <c r="R26" s="44"/>
    </row>
    <row r="27" spans="1:20" ht="15.75" customHeight="1" x14ac:dyDescent="0.3">
      <c r="A27" s="17" t="s">
        <v>38</v>
      </c>
      <c r="B27" s="1">
        <f>B25</f>
        <v>97</v>
      </c>
      <c r="C27" s="1">
        <f>C25</f>
        <v>148</v>
      </c>
      <c r="D27" s="1">
        <f>D25</f>
        <v>274</v>
      </c>
      <c r="E27" s="327">
        <f>SUM(B27:D27)</f>
        <v>519</v>
      </c>
      <c r="F27" s="1">
        <f>F25</f>
        <v>367</v>
      </c>
      <c r="G27" s="1">
        <f>G25</f>
        <v>425</v>
      </c>
      <c r="H27" s="1">
        <f>H25</f>
        <v>417</v>
      </c>
      <c r="I27" s="327">
        <f>SUM(F27:H27)</f>
        <v>1209</v>
      </c>
      <c r="J27" s="1">
        <f>J25</f>
        <v>416</v>
      </c>
      <c r="K27" s="1">
        <f>K25</f>
        <v>334</v>
      </c>
      <c r="L27" s="1">
        <f>L25</f>
        <v>316</v>
      </c>
      <c r="M27" s="327">
        <f>SUM(J27:L27)</f>
        <v>1066</v>
      </c>
      <c r="N27" s="1">
        <f>N25</f>
        <v>285</v>
      </c>
      <c r="O27" s="1">
        <f>O25</f>
        <v>235</v>
      </c>
      <c r="P27" s="1">
        <f>P25</f>
        <v>186</v>
      </c>
      <c r="Q27" s="328">
        <f>SUM(N27:P27)</f>
        <v>706</v>
      </c>
      <c r="R27" s="327">
        <f>+E27+I27+M27+Q27</f>
        <v>3500</v>
      </c>
    </row>
    <row r="28" spans="1:20" ht="15.75" customHeight="1" x14ac:dyDescent="0.3">
      <c r="A28" s="17" t="s">
        <v>39</v>
      </c>
      <c r="B28" s="1">
        <f>(B27/B10)/1.983</f>
        <v>1.5779285214647079</v>
      </c>
      <c r="C28" s="1">
        <f>(C27/C10)/1.983</f>
        <v>2.5735997356843514</v>
      </c>
      <c r="D28" s="1">
        <f>(D27/D10)/1.983</f>
        <v>4.457241390529175</v>
      </c>
      <c r="E28" s="18"/>
      <c r="F28" s="1">
        <f>(F27/F10)/1.983</f>
        <v>6.1691040511010247</v>
      </c>
      <c r="G28" s="1">
        <f>(G27/G10)/1.983</f>
        <v>6.9136043466237203</v>
      </c>
      <c r="H28" s="1">
        <f>(H27/H10)/1.983</f>
        <v>7.0095814422592033</v>
      </c>
      <c r="I28" s="18"/>
      <c r="J28" s="1">
        <f>(J27/J10)/1.983</f>
        <v>6.7671986075187478</v>
      </c>
      <c r="K28" s="1">
        <f>(K27/K10)/1.983</f>
        <v>5.433279651228994</v>
      </c>
      <c r="L28" s="1">
        <f>(L27/L10)/1.983</f>
        <v>5.3118171121196838</v>
      </c>
      <c r="M28" s="18"/>
      <c r="N28" s="1">
        <f>(N27/N10)/1.983</f>
        <v>4.6361817383241419</v>
      </c>
      <c r="O28" s="1">
        <f>(O27/O10)/1.983</f>
        <v>3.9502437384434357</v>
      </c>
      <c r="P28" s="1">
        <f>(P27/P10)/1.983</f>
        <v>3.02571860816944</v>
      </c>
      <c r="Q28" s="19"/>
      <c r="R28" s="18"/>
    </row>
    <row r="29" spans="1:20" ht="15.75" customHeight="1" x14ac:dyDescent="0.3">
      <c r="A29" s="17" t="s">
        <v>40</v>
      </c>
      <c r="B29" s="1">
        <f>B27+B64</f>
        <v>152339</v>
      </c>
      <c r="C29" s="1">
        <f>C27+C64</f>
        <v>113951</v>
      </c>
      <c r="D29" s="1">
        <f>D27+D64</f>
        <v>122458</v>
      </c>
      <c r="E29" s="18">
        <f>SUM(B29:D29)</f>
        <v>388748</v>
      </c>
      <c r="F29" s="1">
        <f>F27+F64</f>
        <v>167054</v>
      </c>
      <c r="G29" s="1">
        <f>G27+G64</f>
        <v>178122</v>
      </c>
      <c r="H29" s="1">
        <f>H27+H64</f>
        <v>91636</v>
      </c>
      <c r="I29" s="18">
        <f>SUM(F29:H29)</f>
        <v>436812</v>
      </c>
      <c r="J29" s="1">
        <f>J27+J64</f>
        <v>77423</v>
      </c>
      <c r="K29" s="1">
        <f>K27+K64</f>
        <v>67691</v>
      </c>
      <c r="L29" s="1">
        <f>L27+L64</f>
        <v>131247</v>
      </c>
      <c r="M29" s="18">
        <f>SUM(J29:L29)</f>
        <v>276361</v>
      </c>
      <c r="N29" s="1">
        <f>N27+N64</f>
        <v>133437</v>
      </c>
      <c r="O29" s="1">
        <f>O27+O64</f>
        <v>138414</v>
      </c>
      <c r="P29" s="1">
        <f>P27+P64</f>
        <v>117193</v>
      </c>
      <c r="Q29" s="19">
        <f>SUM(N29:P29)</f>
        <v>389044</v>
      </c>
      <c r="R29" s="18">
        <f>+E29+I29+M29+Q29</f>
        <v>1490965</v>
      </c>
    </row>
    <row r="30" spans="1:20" s="50" customFormat="1" ht="16.5" customHeight="1" thickBot="1" x14ac:dyDescent="0.35">
      <c r="A30" s="46" t="s">
        <v>41</v>
      </c>
      <c r="B30" s="47">
        <f>(B29/B10)/1.983</f>
        <v>2478.1448766124963</v>
      </c>
      <c r="C30" s="47">
        <f>(C29/C10)/1.983</f>
        <v>1981.515293790321</v>
      </c>
      <c r="D30" s="47">
        <f>(D29/D10)/1.983</f>
        <v>1992.0615554796416</v>
      </c>
      <c r="E30" s="48"/>
      <c r="F30" s="47">
        <f>(F29/F10)/1.983</f>
        <v>2808.1022020507644</v>
      </c>
      <c r="G30" s="47">
        <f>(G29/G10)/1.983</f>
        <v>2897.5647845395538</v>
      </c>
      <c r="H30" s="47">
        <f>(H29/H10)/1.983</f>
        <v>1540.3597243234155</v>
      </c>
      <c r="I30" s="48"/>
      <c r="J30" s="47">
        <f>(J29/J10)/1.983</f>
        <v>1259.4635043027019</v>
      </c>
      <c r="K30" s="47">
        <f>(K29/K10)/1.983</f>
        <v>1101.1500984171912</v>
      </c>
      <c r="L30" s="47">
        <f>(L29/L10)/1.983</f>
        <v>2206.2027231467468</v>
      </c>
      <c r="M30" s="48"/>
      <c r="N30" s="47">
        <f>(N29/N10)/1.983</f>
        <v>2170.660289883363</v>
      </c>
      <c r="O30" s="47">
        <f>(O29/O10)/1.983</f>
        <v>2326.6767523953604</v>
      </c>
      <c r="P30" s="47">
        <f>(P29/P10)/1.983</f>
        <v>1906.4141981032324</v>
      </c>
      <c r="Q30" s="49"/>
      <c r="R30" s="48"/>
      <c r="T30" s="51" t="s">
        <v>42</v>
      </c>
    </row>
    <row r="31" spans="1:20" ht="15.75" customHeight="1" x14ac:dyDescent="0.3">
      <c r="A31" s="28"/>
      <c r="B31" s="1"/>
      <c r="C31" s="1"/>
      <c r="D31" s="1"/>
      <c r="E31" s="1"/>
      <c r="F31" s="1"/>
      <c r="G31" s="1"/>
      <c r="H31" s="1"/>
      <c r="I31" s="1"/>
      <c r="J31" s="1"/>
      <c r="K31" s="1"/>
      <c r="L31" s="1"/>
      <c r="M31" s="1"/>
      <c r="N31" s="1"/>
      <c r="O31" s="1"/>
      <c r="P31" s="1"/>
      <c r="Q31" s="1"/>
      <c r="R31" s="28"/>
      <c r="T31" s="52" t="s">
        <v>43</v>
      </c>
    </row>
    <row r="32" spans="1:20" ht="15.75" customHeight="1" thickBot="1" x14ac:dyDescent="0.35">
      <c r="A32" s="28"/>
      <c r="B32" s="1"/>
      <c r="C32" s="1"/>
      <c r="D32" s="1"/>
      <c r="E32" s="1"/>
      <c r="F32" s="1"/>
      <c r="G32" s="1"/>
      <c r="H32" s="1"/>
      <c r="I32" s="1"/>
      <c r="J32" s="1"/>
      <c r="K32" s="1"/>
      <c r="L32" s="1"/>
      <c r="M32" s="1"/>
      <c r="N32" s="1"/>
      <c r="O32" s="1"/>
      <c r="P32" s="1"/>
      <c r="Q32" s="1"/>
      <c r="R32" s="28"/>
    </row>
    <row r="33" spans="1:18" ht="15.75" customHeight="1" thickBot="1" x14ac:dyDescent="0.35">
      <c r="A33" s="329" t="s">
        <v>44</v>
      </c>
      <c r="B33" s="330" t="s">
        <v>36</v>
      </c>
      <c r="C33" s="331" t="s">
        <v>9</v>
      </c>
      <c r="D33" s="331" t="s">
        <v>10</v>
      </c>
      <c r="E33" s="325" t="s">
        <v>11</v>
      </c>
      <c r="F33" s="331" t="s">
        <v>12</v>
      </c>
      <c r="G33" s="331" t="s">
        <v>13</v>
      </c>
      <c r="H33" s="331" t="s">
        <v>14</v>
      </c>
      <c r="I33" s="325" t="s">
        <v>15</v>
      </c>
      <c r="J33" s="331" t="s">
        <v>16</v>
      </c>
      <c r="K33" s="331" t="s">
        <v>17</v>
      </c>
      <c r="L33" s="331" t="s">
        <v>18</v>
      </c>
      <c r="M33" s="325" t="s">
        <v>19</v>
      </c>
      <c r="N33" s="331" t="s">
        <v>20</v>
      </c>
      <c r="O33" s="331" t="s">
        <v>21</v>
      </c>
      <c r="P33" s="331" t="s">
        <v>22</v>
      </c>
      <c r="Q33" s="325" t="s">
        <v>23</v>
      </c>
      <c r="R33" s="332" t="s">
        <v>24</v>
      </c>
    </row>
    <row r="34" spans="1:18" ht="16.5" customHeight="1" thickBot="1" x14ac:dyDescent="0.35">
      <c r="A34" s="43"/>
      <c r="B34" s="55"/>
      <c r="C34" s="56"/>
      <c r="D34" s="56"/>
      <c r="E34" s="16"/>
      <c r="F34" s="56"/>
      <c r="G34" s="56"/>
      <c r="H34" s="56"/>
      <c r="I34" s="16"/>
      <c r="J34" s="56"/>
      <c r="K34" s="56"/>
      <c r="L34" s="56"/>
      <c r="M34" s="16"/>
      <c r="N34" s="56"/>
      <c r="O34" s="56"/>
      <c r="P34" s="56"/>
      <c r="Q34" s="16"/>
      <c r="R34" s="57"/>
    </row>
    <row r="35" spans="1:18" ht="15.75" customHeight="1" x14ac:dyDescent="0.3">
      <c r="A35" s="333" t="s">
        <v>45</v>
      </c>
      <c r="B35" s="30"/>
      <c r="C35" s="30"/>
      <c r="D35" s="30"/>
      <c r="E35" s="59" t="s">
        <v>7</v>
      </c>
      <c r="F35" s="30"/>
      <c r="G35" s="30"/>
      <c r="H35" s="30"/>
      <c r="I35" s="59" t="s">
        <v>7</v>
      </c>
      <c r="J35" s="30"/>
      <c r="K35" s="30"/>
      <c r="L35" s="30"/>
      <c r="M35" s="59" t="s">
        <v>7</v>
      </c>
      <c r="N35" s="30"/>
      <c r="O35" s="30"/>
      <c r="P35" s="30"/>
      <c r="Q35" s="59" t="s">
        <v>7</v>
      </c>
      <c r="R35" s="59" t="s">
        <v>7</v>
      </c>
    </row>
    <row r="36" spans="1:18" ht="15.75" customHeight="1" x14ac:dyDescent="0.3">
      <c r="A36" s="22" t="s">
        <v>46</v>
      </c>
      <c r="B36" s="30" t="s">
        <v>7</v>
      </c>
      <c r="C36" s="60"/>
      <c r="D36" s="60"/>
      <c r="E36" s="59" t="s">
        <v>7</v>
      </c>
      <c r="F36" s="60"/>
      <c r="G36" s="60"/>
      <c r="H36" s="60"/>
      <c r="I36" s="59" t="s">
        <v>7</v>
      </c>
      <c r="J36" s="60"/>
      <c r="K36" s="60"/>
      <c r="L36" s="60"/>
      <c r="M36" s="59" t="s">
        <v>7</v>
      </c>
      <c r="N36" s="60"/>
      <c r="O36" s="60"/>
      <c r="P36" s="60"/>
      <c r="Q36" s="59" t="s">
        <v>7</v>
      </c>
      <c r="R36" s="59" t="s">
        <v>7</v>
      </c>
    </row>
    <row r="37" spans="1:18" ht="15.75" customHeight="1" x14ac:dyDescent="0.3">
      <c r="A37" s="22" t="s">
        <v>47</v>
      </c>
      <c r="B37" s="30"/>
      <c r="C37" s="30"/>
      <c r="D37" s="30"/>
      <c r="E37" s="59" t="s">
        <v>7</v>
      </c>
      <c r="F37" s="30"/>
      <c r="G37" s="30"/>
      <c r="H37" s="30"/>
      <c r="I37" s="59" t="s">
        <v>7</v>
      </c>
      <c r="J37" s="30"/>
      <c r="K37" s="30"/>
      <c r="L37" s="30"/>
      <c r="M37" s="59" t="s">
        <v>7</v>
      </c>
      <c r="N37" s="30"/>
      <c r="O37" s="30"/>
      <c r="P37" s="30"/>
      <c r="Q37" s="59" t="s">
        <v>7</v>
      </c>
      <c r="R37" s="59" t="s">
        <v>7</v>
      </c>
    </row>
    <row r="38" spans="1:18" ht="15.75" customHeight="1" x14ac:dyDescent="0.3">
      <c r="A38" s="61" t="s">
        <v>48</v>
      </c>
      <c r="B38" s="1"/>
      <c r="C38" s="1"/>
      <c r="D38" s="1"/>
      <c r="E38" s="59">
        <f>SUM(B38:D38)</f>
        <v>0</v>
      </c>
      <c r="F38" s="1"/>
      <c r="G38" s="1"/>
      <c r="H38" s="1"/>
      <c r="I38" s="59">
        <f>SUM(F38:H38)</f>
        <v>0</v>
      </c>
      <c r="J38" s="1"/>
      <c r="K38" s="1"/>
      <c r="L38" s="1"/>
      <c r="M38" s="59">
        <f>SUM(J38:L38)</f>
        <v>0</v>
      </c>
      <c r="N38" s="1"/>
      <c r="O38" s="1"/>
      <c r="P38" s="1"/>
      <c r="Q38" s="59">
        <f>SUM(N38:P38)</f>
        <v>0</v>
      </c>
      <c r="R38" s="59">
        <f>+E38+I38+M38+Q38</f>
        <v>0</v>
      </c>
    </row>
    <row r="39" spans="1:18" ht="15.75" customHeight="1" x14ac:dyDescent="0.3">
      <c r="A39" s="22" t="s">
        <v>898</v>
      </c>
      <c r="B39" s="30"/>
      <c r="C39" s="30"/>
      <c r="D39" s="30"/>
      <c r="E39" s="59" t="s">
        <v>50</v>
      </c>
      <c r="F39" s="30"/>
      <c r="G39" s="30"/>
      <c r="H39" s="30"/>
      <c r="I39" s="59" t="s">
        <v>50</v>
      </c>
      <c r="J39" s="30"/>
      <c r="K39" s="30"/>
      <c r="L39" s="30"/>
      <c r="M39" s="59" t="s">
        <v>50</v>
      </c>
      <c r="N39" s="30"/>
      <c r="O39" s="30"/>
      <c r="P39" s="30"/>
      <c r="Q39" s="59" t="s">
        <v>50</v>
      </c>
      <c r="R39" s="59" t="s">
        <v>50</v>
      </c>
    </row>
    <row r="40" spans="1:18" ht="15.75" customHeight="1" thickBot="1" x14ac:dyDescent="0.35">
      <c r="A40" s="22" t="s">
        <v>51</v>
      </c>
      <c r="B40" s="60"/>
      <c r="C40" s="60"/>
      <c r="D40" s="60"/>
      <c r="E40" s="59" t="s">
        <v>7</v>
      </c>
      <c r="F40" s="60"/>
      <c r="G40" s="60"/>
      <c r="H40" s="60"/>
      <c r="I40" s="59" t="s">
        <v>7</v>
      </c>
      <c r="J40" s="60"/>
      <c r="K40" s="60"/>
      <c r="L40" s="60"/>
      <c r="M40" s="59" t="s">
        <v>7</v>
      </c>
      <c r="N40" s="60"/>
      <c r="O40" s="60"/>
      <c r="P40" s="60"/>
      <c r="Q40" s="59" t="s">
        <v>7</v>
      </c>
      <c r="R40" s="59" t="s">
        <v>7</v>
      </c>
    </row>
    <row r="41" spans="1:18" ht="16.5" customHeight="1" thickBot="1" x14ac:dyDescent="0.35">
      <c r="A41" s="62" t="s">
        <v>52</v>
      </c>
      <c r="B41" s="63">
        <f>SUM(B35:B40)</f>
        <v>0</v>
      </c>
      <c r="C41" s="63">
        <f>SUM(C35:C40)</f>
        <v>0</v>
      </c>
      <c r="D41" s="63">
        <f>SUM(D35:D40)</f>
        <v>0</v>
      </c>
      <c r="E41" s="64">
        <f>SUM(B41:D41)</f>
        <v>0</v>
      </c>
      <c r="F41" s="63">
        <f>SUM(F35:F40)</f>
        <v>0</v>
      </c>
      <c r="G41" s="63">
        <f>SUM(G35:G40)</f>
        <v>0</v>
      </c>
      <c r="H41" s="63">
        <f>SUM(H35:H40)</f>
        <v>0</v>
      </c>
      <c r="I41" s="64">
        <f>SUM(F41:H41)</f>
        <v>0</v>
      </c>
      <c r="J41" s="63">
        <f>SUM(J35:J40)</f>
        <v>0</v>
      </c>
      <c r="K41" s="63">
        <f>SUM(K35:K40)</f>
        <v>0</v>
      </c>
      <c r="L41" s="63">
        <f>SUM(L35:L40)</f>
        <v>0</v>
      </c>
      <c r="M41" s="64">
        <f>SUM(J41:L41)</f>
        <v>0</v>
      </c>
      <c r="N41" s="63">
        <f>SUM(N35:N40)</f>
        <v>0</v>
      </c>
      <c r="O41" s="63">
        <f>SUM(O35:O40)</f>
        <v>0</v>
      </c>
      <c r="P41" s="63">
        <f>SUM(P35:P40)</f>
        <v>0</v>
      </c>
      <c r="Q41" s="64">
        <f>SUM(N41:P41)</f>
        <v>0</v>
      </c>
      <c r="R41" s="64">
        <f>+E41+I41+M41+Q41</f>
        <v>0</v>
      </c>
    </row>
    <row r="42" spans="1:18" ht="15.75" customHeight="1" x14ac:dyDescent="0.3">
      <c r="A42" s="22" t="s">
        <v>53</v>
      </c>
      <c r="B42" s="60"/>
      <c r="C42" s="60"/>
      <c r="D42" s="60"/>
      <c r="E42" s="59" t="s">
        <v>7</v>
      </c>
      <c r="F42" s="60"/>
      <c r="G42" s="60"/>
      <c r="H42" s="60"/>
      <c r="I42" s="59" t="s">
        <v>7</v>
      </c>
      <c r="J42" s="60"/>
      <c r="K42" s="60"/>
      <c r="L42" s="60"/>
      <c r="M42" s="59" t="s">
        <v>7</v>
      </c>
      <c r="N42" s="60"/>
      <c r="O42" s="60"/>
      <c r="P42" s="60"/>
      <c r="Q42" s="59" t="s">
        <v>7</v>
      </c>
      <c r="R42" s="334" t="s">
        <v>7</v>
      </c>
    </row>
    <row r="43" spans="1:18" ht="15.75" customHeight="1" x14ac:dyDescent="0.3">
      <c r="A43" s="22" t="s">
        <v>54</v>
      </c>
      <c r="B43" s="60"/>
      <c r="C43" s="60"/>
      <c r="D43" s="60"/>
      <c r="E43" s="59"/>
      <c r="F43" s="60"/>
      <c r="G43" s="60"/>
      <c r="H43" s="60"/>
      <c r="I43" s="59"/>
      <c r="J43" s="60"/>
      <c r="K43" s="60"/>
      <c r="L43" s="60"/>
      <c r="M43" s="59"/>
      <c r="N43" s="60"/>
      <c r="O43" s="60"/>
      <c r="P43" s="60"/>
      <c r="Q43" s="59"/>
      <c r="R43" s="59"/>
    </row>
    <row r="44" spans="1:18" ht="15.75" customHeight="1" x14ac:dyDescent="0.3">
      <c r="A44" s="22" t="s">
        <v>55</v>
      </c>
      <c r="B44" s="60"/>
      <c r="C44" s="60"/>
      <c r="D44" s="60"/>
      <c r="E44" s="59" t="s">
        <v>7</v>
      </c>
      <c r="F44" s="60"/>
      <c r="G44" s="60"/>
      <c r="H44" s="60"/>
      <c r="I44" s="59" t="s">
        <v>7</v>
      </c>
      <c r="J44" s="60"/>
      <c r="K44" s="60"/>
      <c r="L44" s="60"/>
      <c r="M44" s="59" t="s">
        <v>7</v>
      </c>
      <c r="N44" s="60"/>
      <c r="O44" s="60"/>
      <c r="P44" s="60"/>
      <c r="Q44" s="59" t="s">
        <v>7</v>
      </c>
      <c r="R44" s="59" t="s">
        <v>7</v>
      </c>
    </row>
    <row r="45" spans="1:18" ht="15.75" customHeight="1" thickBot="1" x14ac:dyDescent="0.35">
      <c r="A45" s="22" t="s">
        <v>56</v>
      </c>
      <c r="B45" s="60"/>
      <c r="C45" s="60"/>
      <c r="D45" s="60"/>
      <c r="E45" s="59" t="s">
        <v>7</v>
      </c>
      <c r="F45" s="60"/>
      <c r="G45" s="60"/>
      <c r="H45" s="60"/>
      <c r="I45" s="59" t="s">
        <v>7</v>
      </c>
      <c r="J45" s="60"/>
      <c r="K45" s="60"/>
      <c r="L45" s="60"/>
      <c r="M45" s="59" t="s">
        <v>7</v>
      </c>
      <c r="N45" s="60"/>
      <c r="O45" s="60"/>
      <c r="P45" s="60"/>
      <c r="Q45" s="59" t="s">
        <v>7</v>
      </c>
      <c r="R45" s="59" t="s">
        <v>7</v>
      </c>
    </row>
    <row r="46" spans="1:18" ht="16.5" customHeight="1" thickBot="1" x14ac:dyDescent="0.35">
      <c r="A46" s="62" t="s">
        <v>57</v>
      </c>
      <c r="B46" s="63">
        <f>SUM(B42:B45)</f>
        <v>0</v>
      </c>
      <c r="C46" s="63">
        <f>SUM(C42:C45)</f>
        <v>0</v>
      </c>
      <c r="D46" s="63">
        <f>SUM(D42:D45)</f>
        <v>0</v>
      </c>
      <c r="E46" s="64">
        <f>SUM(B46:D46)</f>
        <v>0</v>
      </c>
      <c r="F46" s="63">
        <f>SUM(F42:F45)</f>
        <v>0</v>
      </c>
      <c r="G46" s="63">
        <f>SUM(G42:G45)</f>
        <v>0</v>
      </c>
      <c r="H46" s="63">
        <f>SUM(H42:H45)</f>
        <v>0</v>
      </c>
      <c r="I46" s="64">
        <f>SUM(F46:H46)</f>
        <v>0</v>
      </c>
      <c r="J46" s="63">
        <f>SUM(J42:J45)</f>
        <v>0</v>
      </c>
      <c r="K46" s="63">
        <f>SUM(K42:K45)</f>
        <v>0</v>
      </c>
      <c r="L46" s="63">
        <f>SUM(L42:L45)</f>
        <v>0</v>
      </c>
      <c r="M46" s="64">
        <f>SUM(J46:L46)</f>
        <v>0</v>
      </c>
      <c r="N46" s="63">
        <f>SUM(N42:N45)</f>
        <v>0</v>
      </c>
      <c r="O46" s="63">
        <f>SUM(O42:O45)</f>
        <v>0</v>
      </c>
      <c r="P46" s="63">
        <f>SUM(P42:P45)</f>
        <v>0</v>
      </c>
      <c r="Q46" s="64">
        <f>SUM(N46:P46)</f>
        <v>0</v>
      </c>
      <c r="R46" s="64">
        <f>+E46+I46+M46+Q46</f>
        <v>0</v>
      </c>
    </row>
    <row r="47" spans="1:18" ht="15.75" customHeight="1" x14ac:dyDescent="0.3">
      <c r="A47" s="22" t="s">
        <v>58</v>
      </c>
      <c r="B47" s="60"/>
      <c r="C47" s="60"/>
      <c r="D47" s="60"/>
      <c r="E47" s="59" t="s">
        <v>7</v>
      </c>
      <c r="F47" s="60"/>
      <c r="G47" s="60"/>
      <c r="H47" s="60"/>
      <c r="I47" s="59" t="s">
        <v>7</v>
      </c>
      <c r="J47" s="60"/>
      <c r="K47" s="60"/>
      <c r="L47" s="60"/>
      <c r="M47" s="59" t="s">
        <v>7</v>
      </c>
      <c r="N47" s="60"/>
      <c r="O47" s="60"/>
      <c r="P47" s="60"/>
      <c r="Q47" s="59" t="s">
        <v>7</v>
      </c>
      <c r="R47" s="59" t="s">
        <v>7</v>
      </c>
    </row>
    <row r="48" spans="1:18" ht="15.75" customHeight="1" x14ac:dyDescent="0.3">
      <c r="A48" s="22" t="s">
        <v>59</v>
      </c>
      <c r="B48" s="60"/>
      <c r="C48" s="60"/>
      <c r="D48" s="60"/>
      <c r="E48" s="59" t="s">
        <v>7</v>
      </c>
      <c r="F48" s="60"/>
      <c r="G48" s="60"/>
      <c r="H48" s="60"/>
      <c r="I48" s="59" t="s">
        <v>7</v>
      </c>
      <c r="J48" s="60"/>
      <c r="K48" s="60"/>
      <c r="L48" s="60"/>
      <c r="M48" s="59" t="s">
        <v>7</v>
      </c>
      <c r="N48" s="60"/>
      <c r="O48" s="60"/>
      <c r="P48" s="60"/>
      <c r="Q48" s="59" t="s">
        <v>7</v>
      </c>
      <c r="R48" s="59" t="s">
        <v>7</v>
      </c>
    </row>
    <row r="49" spans="1:18" ht="15.75" customHeight="1" thickBot="1" x14ac:dyDescent="0.35">
      <c r="A49" s="22" t="s">
        <v>60</v>
      </c>
      <c r="B49" s="60"/>
      <c r="C49" s="60"/>
      <c r="D49" s="60"/>
      <c r="E49" s="59"/>
      <c r="F49" s="60"/>
      <c r="G49" s="60"/>
      <c r="H49" s="60"/>
      <c r="I49" s="59"/>
      <c r="J49" s="60"/>
      <c r="K49" s="60"/>
      <c r="L49" s="60"/>
      <c r="M49" s="59"/>
      <c r="N49" s="60"/>
      <c r="O49" s="60"/>
      <c r="P49" s="60"/>
      <c r="Q49" s="59"/>
      <c r="R49" s="59"/>
    </row>
    <row r="50" spans="1:18" ht="16.5" customHeight="1" thickBot="1" x14ac:dyDescent="0.35">
      <c r="A50" s="62" t="s">
        <v>61</v>
      </c>
      <c r="B50" s="63">
        <f>SUM(B47:B49)</f>
        <v>0</v>
      </c>
      <c r="C50" s="63">
        <f>SUM(C47:C49)</f>
        <v>0</v>
      </c>
      <c r="D50" s="63">
        <f>SUM(D47:D49)</f>
        <v>0</v>
      </c>
      <c r="E50" s="64">
        <f>SUM(B50:D50)</f>
        <v>0</v>
      </c>
      <c r="F50" s="63">
        <f>SUM(F47:F49)</f>
        <v>0</v>
      </c>
      <c r="G50" s="63">
        <f>SUM(G47:G49)</f>
        <v>0</v>
      </c>
      <c r="H50" s="63">
        <f>SUM(H47:H49)</f>
        <v>0</v>
      </c>
      <c r="I50" s="64">
        <f>SUM(F50:H50)</f>
        <v>0</v>
      </c>
      <c r="J50" s="63">
        <f>SUM(J47:J49)</f>
        <v>0</v>
      </c>
      <c r="K50" s="63">
        <f>SUM(K47:K49)</f>
        <v>0</v>
      </c>
      <c r="L50" s="63">
        <f>SUM(L47:L49)</f>
        <v>0</v>
      </c>
      <c r="M50" s="64">
        <f>SUM(J50:L50)</f>
        <v>0</v>
      </c>
      <c r="N50" s="63">
        <f>SUM(N47:N49)</f>
        <v>0</v>
      </c>
      <c r="O50" s="63">
        <f>SUM(O47:O49)</f>
        <v>0</v>
      </c>
      <c r="P50" s="63">
        <f>SUM(P47:P49)</f>
        <v>0</v>
      </c>
      <c r="Q50" s="64">
        <f>SUM(N50:P50)</f>
        <v>0</v>
      </c>
      <c r="R50" s="64">
        <f>+E50+I50+M50+Q50</f>
        <v>0</v>
      </c>
    </row>
    <row r="51" spans="1:18" ht="15.75" customHeight="1" x14ac:dyDescent="0.3">
      <c r="A51" s="22" t="s">
        <v>62</v>
      </c>
      <c r="B51" s="60"/>
      <c r="C51" s="60"/>
      <c r="D51" s="60"/>
      <c r="E51" s="59" t="s">
        <v>7</v>
      </c>
      <c r="F51" s="60"/>
      <c r="G51" s="60"/>
      <c r="H51" s="60"/>
      <c r="I51" s="59" t="s">
        <v>7</v>
      </c>
      <c r="J51" s="60"/>
      <c r="K51" s="60"/>
      <c r="L51" s="60"/>
      <c r="M51" s="59" t="s">
        <v>7</v>
      </c>
      <c r="N51" s="60"/>
      <c r="O51" s="60"/>
      <c r="P51" s="60"/>
      <c r="Q51" s="59" t="s">
        <v>7</v>
      </c>
      <c r="R51" s="59" t="s">
        <v>7</v>
      </c>
    </row>
    <row r="52" spans="1:18" ht="15.75" customHeight="1" x14ac:dyDescent="0.3">
      <c r="A52" s="22" t="s">
        <v>63</v>
      </c>
      <c r="B52" s="60"/>
      <c r="C52" s="60"/>
      <c r="D52" s="60"/>
      <c r="E52" s="59" t="s">
        <v>7</v>
      </c>
      <c r="F52" s="60"/>
      <c r="G52" s="60"/>
      <c r="H52" s="60"/>
      <c r="I52" s="59" t="s">
        <v>7</v>
      </c>
      <c r="J52" s="60"/>
      <c r="K52" s="60"/>
      <c r="L52" s="60"/>
      <c r="M52" s="59" t="s">
        <v>7</v>
      </c>
      <c r="N52" s="60"/>
      <c r="O52" s="60"/>
      <c r="P52" s="60"/>
      <c r="Q52" s="59" t="s">
        <v>7</v>
      </c>
      <c r="R52" s="59" t="s">
        <v>7</v>
      </c>
    </row>
    <row r="53" spans="1:18" ht="15.75" customHeight="1" x14ac:dyDescent="0.3">
      <c r="A53" s="22" t="s">
        <v>64</v>
      </c>
      <c r="B53" s="60"/>
      <c r="C53" s="60"/>
      <c r="D53" s="60"/>
      <c r="E53" s="59" t="s">
        <v>7</v>
      </c>
      <c r="F53" s="60"/>
      <c r="G53" s="60"/>
      <c r="H53" s="60"/>
      <c r="I53" s="59" t="s">
        <v>7</v>
      </c>
      <c r="J53" s="60"/>
      <c r="K53" s="60"/>
      <c r="L53" s="60"/>
      <c r="M53" s="59" t="s">
        <v>7</v>
      </c>
      <c r="N53" s="60"/>
      <c r="O53" s="60"/>
      <c r="P53" s="60"/>
      <c r="Q53" s="59" t="s">
        <v>7</v>
      </c>
      <c r="R53" s="59" t="s">
        <v>7</v>
      </c>
    </row>
    <row r="54" spans="1:18" ht="15.75" customHeight="1" x14ac:dyDescent="0.3">
      <c r="A54" s="61" t="s">
        <v>65</v>
      </c>
      <c r="B54" s="1"/>
      <c r="C54" s="1"/>
      <c r="D54" s="1"/>
      <c r="E54" s="59">
        <f>SUM(B54:D54)</f>
        <v>0</v>
      </c>
      <c r="F54" s="1"/>
      <c r="G54" s="1"/>
      <c r="H54" s="1"/>
      <c r="I54" s="59">
        <f>SUM(F54:H54)</f>
        <v>0</v>
      </c>
      <c r="J54" s="1"/>
      <c r="K54" s="1"/>
      <c r="L54" s="1"/>
      <c r="M54" s="59">
        <f>SUM(J54:L54)</f>
        <v>0</v>
      </c>
      <c r="N54" s="1"/>
      <c r="O54" s="1"/>
      <c r="P54" s="1"/>
      <c r="Q54" s="59">
        <f>SUM(N54:P54)</f>
        <v>0</v>
      </c>
      <c r="R54" s="59">
        <f>+E54+I54+M54+Q54</f>
        <v>0</v>
      </c>
    </row>
    <row r="55" spans="1:18" ht="15.75" customHeight="1" x14ac:dyDescent="0.3">
      <c r="A55" s="22" t="s">
        <v>66</v>
      </c>
      <c r="B55" s="60"/>
      <c r="C55" s="60"/>
      <c r="D55" s="60"/>
      <c r="E55" s="59" t="s">
        <v>7</v>
      </c>
      <c r="F55" s="60"/>
      <c r="G55" s="60"/>
      <c r="H55" s="60"/>
      <c r="I55" s="59" t="s">
        <v>7</v>
      </c>
      <c r="J55" s="60"/>
      <c r="K55" s="60"/>
      <c r="L55" s="60"/>
      <c r="M55" s="59" t="s">
        <v>7</v>
      </c>
      <c r="N55" s="60"/>
      <c r="O55" s="60"/>
      <c r="P55" s="60"/>
      <c r="Q55" s="59" t="s">
        <v>7</v>
      </c>
      <c r="R55" s="59" t="s">
        <v>7</v>
      </c>
    </row>
    <row r="56" spans="1:18" ht="15.75" customHeight="1" thickBot="1" x14ac:dyDescent="0.35">
      <c r="A56" s="22" t="s">
        <v>67</v>
      </c>
      <c r="B56" s="60"/>
      <c r="C56" s="60"/>
      <c r="D56" s="60"/>
      <c r="E56" s="59" t="s">
        <v>7</v>
      </c>
      <c r="F56" s="60"/>
      <c r="G56" s="60"/>
      <c r="H56" s="60"/>
      <c r="I56" s="59" t="s">
        <v>7</v>
      </c>
      <c r="J56" s="60"/>
      <c r="K56" s="60"/>
      <c r="L56" s="60"/>
      <c r="M56" s="59" t="s">
        <v>7</v>
      </c>
      <c r="N56" s="60"/>
      <c r="O56" s="60"/>
      <c r="P56" s="60"/>
      <c r="Q56" s="59" t="s">
        <v>7</v>
      </c>
      <c r="R56" s="59" t="s">
        <v>7</v>
      </c>
    </row>
    <row r="57" spans="1:18" ht="16.5" customHeight="1" thickBot="1" x14ac:dyDescent="0.35">
      <c r="A57" s="62" t="s">
        <v>68</v>
      </c>
      <c r="B57" s="63">
        <f>SUM(B55:B56)</f>
        <v>0</v>
      </c>
      <c r="C57" s="63">
        <f>SUM(C55:C56)</f>
        <v>0</v>
      </c>
      <c r="D57" s="63">
        <f>SUM(D55:D56)</f>
        <v>0</v>
      </c>
      <c r="E57" s="334">
        <f>SUM(B57:D57)</f>
        <v>0</v>
      </c>
      <c r="F57" s="63">
        <f>SUM(F55:F56)</f>
        <v>0</v>
      </c>
      <c r="G57" s="63">
        <f>SUM(G55:G56)</f>
        <v>0</v>
      </c>
      <c r="H57" s="63">
        <f>SUM(H55:H56)</f>
        <v>0</v>
      </c>
      <c r="I57" s="334">
        <f>SUM(F57:H57)</f>
        <v>0</v>
      </c>
      <c r="J57" s="63">
        <f>SUM(J55:J56)</f>
        <v>0</v>
      </c>
      <c r="K57" s="63">
        <f>SUM(K55:K56)</f>
        <v>0</v>
      </c>
      <c r="L57" s="63">
        <f>SUM(L55:L56)</f>
        <v>0</v>
      </c>
      <c r="M57" s="334">
        <f>SUM(J57:L57)</f>
        <v>0</v>
      </c>
      <c r="N57" s="63">
        <f>SUM(N55:N56)</f>
        <v>0</v>
      </c>
      <c r="O57" s="63">
        <f>SUM(O55:O56)</f>
        <v>0</v>
      </c>
      <c r="P57" s="63">
        <f>SUM(P55:P56)</f>
        <v>0</v>
      </c>
      <c r="Q57" s="334">
        <f>SUM(N57:P57)</f>
        <v>0</v>
      </c>
      <c r="R57" s="64">
        <f>+E57+I57+M57+Q57</f>
        <v>0</v>
      </c>
    </row>
    <row r="58" spans="1:18" ht="16.5" customHeight="1" thickBot="1" x14ac:dyDescent="0.35">
      <c r="A58" s="62" t="s">
        <v>69</v>
      </c>
      <c r="B58" s="63">
        <f>SUM(B51:B56)</f>
        <v>0</v>
      </c>
      <c r="C58" s="63">
        <f>SUM(C51:C56)</f>
        <v>0</v>
      </c>
      <c r="D58" s="63">
        <f>SUM(D51:D56)</f>
        <v>0</v>
      </c>
      <c r="E58" s="334">
        <f>SUM(B58:D58)</f>
        <v>0</v>
      </c>
      <c r="F58" s="63">
        <f>SUM(F51:F56)</f>
        <v>0</v>
      </c>
      <c r="G58" s="63">
        <f>SUM(G51:G56)</f>
        <v>0</v>
      </c>
      <c r="H58" s="63">
        <f>SUM(H51:H56)</f>
        <v>0</v>
      </c>
      <c r="I58" s="334">
        <f>SUM(F58:H58)</f>
        <v>0</v>
      </c>
      <c r="J58" s="63">
        <f>SUM(J51:J56)</f>
        <v>0</v>
      </c>
      <c r="K58" s="63">
        <f>SUM(K51:K56)</f>
        <v>0</v>
      </c>
      <c r="L58" s="63">
        <f>SUM(L51:L56)</f>
        <v>0</v>
      </c>
      <c r="M58" s="334">
        <f>SUM(J58:L58)</f>
        <v>0</v>
      </c>
      <c r="N58" s="63">
        <f>SUM(N51:N56)</f>
        <v>0</v>
      </c>
      <c r="O58" s="63">
        <f>SUM(O51:O56)</f>
        <v>0</v>
      </c>
      <c r="P58" s="63">
        <f>SUM(P51:P56)</f>
        <v>0</v>
      </c>
      <c r="Q58" s="334">
        <f>SUM(N58:P58)</f>
        <v>0</v>
      </c>
      <c r="R58" s="64">
        <f>+E58+I58+M58+Q58</f>
        <v>0</v>
      </c>
    </row>
    <row r="59" spans="1:18" ht="16.5" customHeight="1" thickBot="1" x14ac:dyDescent="0.35">
      <c r="A59" s="62" t="s">
        <v>70</v>
      </c>
      <c r="B59" s="63">
        <f>+B41+B46+B50+B58</f>
        <v>0</v>
      </c>
      <c r="C59" s="63">
        <f>+C41+C46+C50+C58</f>
        <v>0</v>
      </c>
      <c r="D59" s="63">
        <f>+D41+D46+D50+D58</f>
        <v>0</v>
      </c>
      <c r="E59" s="64">
        <f>SUM(B59:D59)</f>
        <v>0</v>
      </c>
      <c r="F59" s="63">
        <f>+F41+F46+F50+F58</f>
        <v>0</v>
      </c>
      <c r="G59" s="63">
        <f>+G41+G46+G50+G58</f>
        <v>0</v>
      </c>
      <c r="H59" s="63">
        <f>+H41+H46+H50+H58</f>
        <v>0</v>
      </c>
      <c r="I59" s="64">
        <f>SUM(F59:H59)</f>
        <v>0</v>
      </c>
      <c r="J59" s="63">
        <f>+J41+J46+J50+J58</f>
        <v>0</v>
      </c>
      <c r="K59" s="63">
        <f>+K41+K46+K50+K58</f>
        <v>0</v>
      </c>
      <c r="L59" s="63">
        <f>+L41+L46+L50+L58</f>
        <v>0</v>
      </c>
      <c r="M59" s="64">
        <f>SUM(J59:L59)</f>
        <v>0</v>
      </c>
      <c r="N59" s="63">
        <f>+N41+N46+N50+N58</f>
        <v>0</v>
      </c>
      <c r="O59" s="63">
        <f>+O41+O46+O50+O58</f>
        <v>0</v>
      </c>
      <c r="P59" s="63">
        <f>+P41+P46+P50+P58</f>
        <v>0</v>
      </c>
      <c r="Q59" s="64">
        <f>SUM(N59:P59)</f>
        <v>0</v>
      </c>
      <c r="R59" s="64">
        <f>+E59+I59+M59+Q59</f>
        <v>0</v>
      </c>
    </row>
    <row r="60" spans="1:18" ht="16.5" customHeight="1" thickBot="1" x14ac:dyDescent="0.35">
      <c r="A60" s="66" t="s">
        <v>37</v>
      </c>
      <c r="B60" s="67">
        <v>96</v>
      </c>
      <c r="C60" s="67">
        <v>145</v>
      </c>
      <c r="D60" s="67">
        <v>261</v>
      </c>
      <c r="E60" s="43">
        <f>SUM(B60:D60)</f>
        <v>502</v>
      </c>
      <c r="F60" s="67">
        <v>350</v>
      </c>
      <c r="G60" s="67">
        <v>402</v>
      </c>
      <c r="H60" s="67">
        <v>396</v>
      </c>
      <c r="I60" s="43">
        <f>SUM(F60:H60)</f>
        <v>1148</v>
      </c>
      <c r="J60" s="67">
        <v>394</v>
      </c>
      <c r="K60" s="67">
        <v>318</v>
      </c>
      <c r="L60" s="67">
        <v>301</v>
      </c>
      <c r="M60" s="43">
        <f>SUM(J60:L60)</f>
        <v>1013</v>
      </c>
      <c r="N60" s="67">
        <v>272</v>
      </c>
      <c r="O60" s="67">
        <v>226</v>
      </c>
      <c r="P60" s="67">
        <v>179</v>
      </c>
      <c r="Q60" s="43">
        <f>SUM(N60:P60)</f>
        <v>677</v>
      </c>
      <c r="R60" s="43">
        <f>+E60+I60+M60+Q60</f>
        <v>3340</v>
      </c>
    </row>
    <row r="61" spans="1:18" ht="16.5" customHeight="1" thickBot="1" x14ac:dyDescent="0.35">
      <c r="A61" s="42"/>
      <c r="B61" s="37"/>
      <c r="C61" s="37"/>
      <c r="D61" s="37"/>
      <c r="E61" s="26"/>
      <c r="F61" s="37"/>
      <c r="G61" s="37"/>
      <c r="H61" s="37"/>
      <c r="I61" s="26"/>
      <c r="J61" s="37"/>
      <c r="K61" s="37"/>
      <c r="L61" s="37"/>
      <c r="M61" s="26"/>
      <c r="N61" s="37"/>
      <c r="O61" s="37"/>
      <c r="P61" s="37"/>
      <c r="Q61" s="26"/>
      <c r="R61" s="42"/>
    </row>
    <row r="62" spans="1:18" ht="15.75" customHeight="1" x14ac:dyDescent="0.3">
      <c r="A62" s="17" t="s">
        <v>38</v>
      </c>
      <c r="B62" s="1">
        <f>+B59+B60</f>
        <v>96</v>
      </c>
      <c r="C62" s="1">
        <f>+C59+C60</f>
        <v>145</v>
      </c>
      <c r="D62" s="1">
        <f>+D59+D60</f>
        <v>261</v>
      </c>
      <c r="E62" s="327">
        <f>SUM(B62:D62)</f>
        <v>502</v>
      </c>
      <c r="F62" s="1">
        <f>+F59+F60</f>
        <v>350</v>
      </c>
      <c r="G62" s="1">
        <f>+G59+G60</f>
        <v>402</v>
      </c>
      <c r="H62" s="1">
        <f>+H59+H60</f>
        <v>396</v>
      </c>
      <c r="I62" s="327">
        <f>SUM(F62:H62)</f>
        <v>1148</v>
      </c>
      <c r="J62" s="1">
        <f>+J59+J60</f>
        <v>394</v>
      </c>
      <c r="K62" s="1">
        <f>+K59+K60</f>
        <v>318</v>
      </c>
      <c r="L62" s="1">
        <f>+L59+L60</f>
        <v>301</v>
      </c>
      <c r="M62" s="327">
        <f>SUM(J62:L62)</f>
        <v>1013</v>
      </c>
      <c r="N62" s="1">
        <f>+N59+N60</f>
        <v>272</v>
      </c>
      <c r="O62" s="1">
        <f>+O59+O60</f>
        <v>226</v>
      </c>
      <c r="P62" s="1">
        <f>+P59+P60</f>
        <v>179</v>
      </c>
      <c r="Q62" s="328">
        <f>SUM(N62:P62)</f>
        <v>677</v>
      </c>
      <c r="R62" s="18">
        <f>+E62+I62+M62+Q62</f>
        <v>3340</v>
      </c>
    </row>
    <row r="63" spans="1:18" ht="15.75" customHeight="1" x14ac:dyDescent="0.3">
      <c r="A63" s="17" t="s">
        <v>39</v>
      </c>
      <c r="B63" s="1">
        <f>(B62/B10)/1.983</f>
        <v>1.5616612171197111</v>
      </c>
      <c r="C63" s="1">
        <f>(C62/C10)/1.983</f>
        <v>2.5214321734745333</v>
      </c>
      <c r="D63" s="1">
        <f>(D62/D10)/1.983</f>
        <v>4.2457664340442145</v>
      </c>
      <c r="E63" s="18"/>
      <c r="F63" s="1">
        <f>(F62/F10)/1.983</f>
        <v>5.8833417381072444</v>
      </c>
      <c r="G63" s="1">
        <f>(G62/G10)/1.983</f>
        <v>6.5394563466887892</v>
      </c>
      <c r="H63" s="1">
        <f>(H62/H10)/1.983</f>
        <v>6.6565809379727678</v>
      </c>
      <c r="I63" s="18"/>
      <c r="J63" s="1">
        <f>(J62/J10)/1.983</f>
        <v>6.4093179119288139</v>
      </c>
      <c r="K63" s="1">
        <f>(K62/K10)/1.983</f>
        <v>5.1730027817090427</v>
      </c>
      <c r="L63" s="1">
        <f>(L62/L10)/1.983</f>
        <v>5.0596738947722306</v>
      </c>
      <c r="M63" s="18"/>
      <c r="N63" s="1">
        <f>(N62/N10)/1.983</f>
        <v>4.4247067818391805</v>
      </c>
      <c r="O63" s="1">
        <f>(O62/O10)/1.983</f>
        <v>3.7989578080349635</v>
      </c>
      <c r="P63" s="1">
        <f>(P62/P10)/1.983</f>
        <v>2.9118474777544612</v>
      </c>
      <c r="Q63" s="19"/>
      <c r="R63" s="68"/>
    </row>
    <row r="64" spans="1:18" ht="15.75" customHeight="1" x14ac:dyDescent="0.3">
      <c r="A64" s="17" t="s">
        <v>71</v>
      </c>
      <c r="B64" s="1">
        <f>B62+B130</f>
        <v>152242</v>
      </c>
      <c r="C64" s="1">
        <f>C62+C130</f>
        <v>113803</v>
      </c>
      <c r="D64" s="1">
        <f>D62+D130</f>
        <v>122184</v>
      </c>
      <c r="E64" s="18">
        <f>SUM(B64:D64)</f>
        <v>388229</v>
      </c>
      <c r="F64" s="1">
        <f>F62+F130</f>
        <v>166687</v>
      </c>
      <c r="G64" s="1">
        <f>G62+G130</f>
        <v>177697</v>
      </c>
      <c r="H64" s="1">
        <f>H62+H130</f>
        <v>91219</v>
      </c>
      <c r="I64" s="18">
        <f>SUM(F64:H64)</f>
        <v>435603</v>
      </c>
      <c r="J64" s="1">
        <f>J62+J130</f>
        <v>77007</v>
      </c>
      <c r="K64" s="1">
        <f>K62+K130</f>
        <v>67357</v>
      </c>
      <c r="L64" s="1">
        <f>L62+L130</f>
        <v>130931</v>
      </c>
      <c r="M64" s="18">
        <f>SUM(J64:L64)</f>
        <v>275295</v>
      </c>
      <c r="N64" s="1">
        <f>N62+N130</f>
        <v>133152</v>
      </c>
      <c r="O64" s="1">
        <f>O62+O130</f>
        <v>138179</v>
      </c>
      <c r="P64" s="1">
        <f>P62+P130</f>
        <v>117007</v>
      </c>
      <c r="Q64" s="19">
        <f>SUM(N64:P64)</f>
        <v>388338</v>
      </c>
      <c r="R64" s="18">
        <f>+E64+I64+M64+Q64</f>
        <v>1487465</v>
      </c>
    </row>
    <row r="65" spans="1:20" ht="16.5" customHeight="1" thickBot="1" x14ac:dyDescent="0.35">
      <c r="A65" s="24" t="s">
        <v>72</v>
      </c>
      <c r="B65" s="25">
        <f>(B64/B10)/1.983</f>
        <v>2476.5669480910319</v>
      </c>
      <c r="C65" s="25">
        <f>(C64/C10)/1.983</f>
        <v>1978.9416940546366</v>
      </c>
      <c r="D65" s="25">
        <f>(D64/D10)/1.983</f>
        <v>1987.6043140891122</v>
      </c>
      <c r="E65" s="26"/>
      <c r="F65" s="25">
        <f>(F64/F10)/1.983</f>
        <v>2801.9330979996639</v>
      </c>
      <c r="G65" s="25">
        <f>(G64/G10)/1.983</f>
        <v>2890.65118019293</v>
      </c>
      <c r="H65" s="25">
        <f>(H64/H10)/1.983</f>
        <v>1533.3501428811564</v>
      </c>
      <c r="I65" s="26"/>
      <c r="J65" s="25">
        <f>(J64/J10)/1.983</f>
        <v>1252.6963056951831</v>
      </c>
      <c r="K65" s="25">
        <f>(K64/K10)/1.983</f>
        <v>1095.7168187659622</v>
      </c>
      <c r="L65" s="25">
        <f>(L64/L10)/1.983</f>
        <v>2200.8909060346277</v>
      </c>
      <c r="M65" s="26"/>
      <c r="N65" s="25">
        <f>(N64/N10)/1.983</f>
        <v>2166.024108145039</v>
      </c>
      <c r="O65" s="25">
        <f>(O64/O10)/1.983</f>
        <v>2322.7265086569168</v>
      </c>
      <c r="P65" s="25">
        <f>(P64/P10)/1.983</f>
        <v>1903.3884794950627</v>
      </c>
      <c r="Q65" s="27"/>
      <c r="R65" s="69" t="s">
        <v>7</v>
      </c>
    </row>
    <row r="66" spans="1:20" ht="15.75" customHeight="1" x14ac:dyDescent="0.3">
      <c r="A66" s="28"/>
      <c r="B66" s="1"/>
      <c r="C66" s="1"/>
      <c r="D66" s="1"/>
      <c r="E66" s="1"/>
      <c r="F66" s="1"/>
      <c r="G66" s="1"/>
      <c r="H66" s="1"/>
      <c r="I66" s="1"/>
      <c r="J66" s="1"/>
      <c r="K66" s="1"/>
      <c r="L66" s="1"/>
      <c r="M66" s="1"/>
      <c r="N66" s="1"/>
      <c r="O66" s="1"/>
      <c r="P66" s="1"/>
      <c r="Q66" s="1"/>
      <c r="R66" s="28"/>
    </row>
    <row r="67" spans="1:20" ht="15.75" customHeight="1" thickBot="1" x14ac:dyDescent="0.35">
      <c r="A67" s="28"/>
      <c r="B67" s="1"/>
      <c r="C67" s="1"/>
      <c r="D67" s="1"/>
      <c r="E67" s="1"/>
      <c r="F67" s="1"/>
      <c r="G67" s="1"/>
      <c r="H67" s="1"/>
      <c r="I67" s="1"/>
      <c r="J67" s="1"/>
      <c r="K67" s="1"/>
      <c r="L67" s="1"/>
      <c r="M67" s="1"/>
      <c r="N67" s="1"/>
      <c r="O67" s="1"/>
      <c r="P67" s="1"/>
      <c r="Q67" s="1"/>
      <c r="R67" s="28"/>
    </row>
    <row r="68" spans="1:20" ht="16.5" customHeight="1" thickBot="1" x14ac:dyDescent="0.35">
      <c r="A68" s="31" t="s">
        <v>73</v>
      </c>
      <c r="B68" s="323" t="s">
        <v>36</v>
      </c>
      <c r="C68" s="324" t="s">
        <v>9</v>
      </c>
      <c r="D68" s="324" t="s">
        <v>10</v>
      </c>
      <c r="E68" s="325" t="s">
        <v>11</v>
      </c>
      <c r="F68" s="324" t="s">
        <v>12</v>
      </c>
      <c r="G68" s="324" t="s">
        <v>13</v>
      </c>
      <c r="H68" s="324" t="s">
        <v>14</v>
      </c>
      <c r="I68" s="34" t="s">
        <v>15</v>
      </c>
      <c r="J68" s="324" t="s">
        <v>16</v>
      </c>
      <c r="K68" s="324" t="s">
        <v>17</v>
      </c>
      <c r="L68" s="324" t="s">
        <v>18</v>
      </c>
      <c r="M68" s="34" t="s">
        <v>19</v>
      </c>
      <c r="N68" s="324" t="s">
        <v>20</v>
      </c>
      <c r="O68" s="324" t="s">
        <v>21</v>
      </c>
      <c r="P68" s="324" t="s">
        <v>22</v>
      </c>
      <c r="Q68" s="34" t="s">
        <v>23</v>
      </c>
      <c r="R68" s="326" t="s">
        <v>24</v>
      </c>
    </row>
    <row r="69" spans="1:20" ht="16.5" customHeight="1" thickBot="1" x14ac:dyDescent="0.35">
      <c r="A69" s="70"/>
      <c r="B69" s="14"/>
      <c r="C69" s="71"/>
      <c r="D69" s="71"/>
      <c r="E69" s="72"/>
      <c r="F69" s="71"/>
      <c r="G69" s="71"/>
      <c r="H69" s="71"/>
      <c r="I69" s="72"/>
      <c r="J69" s="71"/>
      <c r="K69" s="71"/>
      <c r="L69" s="71"/>
      <c r="M69" s="72"/>
      <c r="N69" s="71"/>
      <c r="O69" s="71"/>
      <c r="P69" s="73"/>
      <c r="Q69" s="72"/>
      <c r="R69" s="64"/>
    </row>
    <row r="70" spans="1:20" ht="15.75" customHeight="1" x14ac:dyDescent="0.3">
      <c r="A70" s="333" t="s">
        <v>45</v>
      </c>
      <c r="B70" s="30"/>
      <c r="C70" s="30"/>
      <c r="D70" s="30"/>
      <c r="E70" s="59" t="s">
        <v>7</v>
      </c>
      <c r="F70" s="30"/>
      <c r="G70" s="30"/>
      <c r="H70" s="30"/>
      <c r="I70" s="59" t="s">
        <v>7</v>
      </c>
      <c r="J70" s="30"/>
      <c r="K70" s="30"/>
      <c r="L70" s="30"/>
      <c r="M70" s="59" t="s">
        <v>7</v>
      </c>
      <c r="N70" s="30"/>
      <c r="O70" s="30"/>
      <c r="P70" s="30"/>
      <c r="Q70" s="59" t="s">
        <v>7</v>
      </c>
      <c r="R70" s="59" t="s">
        <v>7</v>
      </c>
    </row>
    <row r="71" spans="1:20" ht="15.75" customHeight="1" x14ac:dyDescent="0.3">
      <c r="A71" s="22" t="s">
        <v>46</v>
      </c>
      <c r="B71" s="30"/>
      <c r="C71" s="60"/>
      <c r="D71" s="60"/>
      <c r="E71" s="59" t="s">
        <v>7</v>
      </c>
      <c r="F71" s="60"/>
      <c r="G71" s="60"/>
      <c r="H71" s="60"/>
      <c r="I71" s="59" t="s">
        <v>7</v>
      </c>
      <c r="J71" s="60"/>
      <c r="K71" s="60"/>
      <c r="L71" s="60"/>
      <c r="M71" s="59" t="s">
        <v>7</v>
      </c>
      <c r="N71" s="60"/>
      <c r="O71" s="60"/>
      <c r="P71" s="60"/>
      <c r="Q71" s="59" t="s">
        <v>7</v>
      </c>
      <c r="R71" s="59" t="s">
        <v>7</v>
      </c>
    </row>
    <row r="72" spans="1:20" ht="15.75" customHeight="1" x14ac:dyDescent="0.3">
      <c r="A72" s="74" t="s">
        <v>74</v>
      </c>
      <c r="B72" s="1"/>
      <c r="C72" s="1"/>
      <c r="D72" s="1"/>
      <c r="E72" s="59">
        <f t="shared" ref="E72:E81" si="5">SUM(B72:D72)</f>
        <v>0</v>
      </c>
      <c r="F72" s="1"/>
      <c r="G72" s="1"/>
      <c r="H72" s="1"/>
      <c r="I72" s="59">
        <f t="shared" ref="I72:I81" si="6">SUM(F72:H72)</f>
        <v>0</v>
      </c>
      <c r="J72" s="1"/>
      <c r="K72" s="1"/>
      <c r="L72" s="1"/>
      <c r="M72" s="59">
        <f t="shared" ref="M72:M81" si="7">SUM(J72:L72)</f>
        <v>0</v>
      </c>
      <c r="N72" s="1"/>
      <c r="O72" s="1"/>
      <c r="P72" s="1"/>
      <c r="Q72" s="59">
        <f t="shared" ref="Q72:Q81" si="8">SUM(N72:P72)</f>
        <v>0</v>
      </c>
      <c r="R72" s="59">
        <f t="shared" ref="R72:R81" si="9">+E72+I72+M72+Q72</f>
        <v>0</v>
      </c>
    </row>
    <row r="73" spans="1:20" ht="15.75" customHeight="1" x14ac:dyDescent="0.3">
      <c r="A73" s="74" t="s">
        <v>75</v>
      </c>
      <c r="B73" s="1"/>
      <c r="C73" s="1"/>
      <c r="D73" s="1"/>
      <c r="E73" s="59">
        <f>SUM(B73:D73)</f>
        <v>0</v>
      </c>
      <c r="F73" s="1"/>
      <c r="G73" s="1"/>
      <c r="H73" s="1"/>
      <c r="I73" s="59">
        <f>SUM(F73:H73)</f>
        <v>0</v>
      </c>
      <c r="J73" s="1"/>
      <c r="K73" s="1"/>
      <c r="L73" s="1"/>
      <c r="M73" s="59">
        <f>SUM(J73:L73)</f>
        <v>0</v>
      </c>
      <c r="N73" s="1"/>
      <c r="O73" s="1"/>
      <c r="P73" s="1"/>
      <c r="Q73" s="59">
        <f>SUM(N73:P73)</f>
        <v>0</v>
      </c>
      <c r="R73" s="59">
        <f>+E73+I73+M73+Q73</f>
        <v>0</v>
      </c>
    </row>
    <row r="74" spans="1:20" ht="15.75" customHeight="1" x14ac:dyDescent="0.3">
      <c r="A74" s="74" t="s">
        <v>76</v>
      </c>
      <c r="B74" s="1"/>
      <c r="C74" s="1"/>
      <c r="D74" s="1"/>
      <c r="E74" s="59">
        <f t="shared" si="5"/>
        <v>0</v>
      </c>
      <c r="F74" s="1"/>
      <c r="G74" s="1"/>
      <c r="H74" s="1"/>
      <c r="I74" s="59">
        <f t="shared" si="6"/>
        <v>0</v>
      </c>
      <c r="J74" s="1"/>
      <c r="K74" s="1"/>
      <c r="L74" s="1"/>
      <c r="M74" s="59">
        <f t="shared" si="7"/>
        <v>0</v>
      </c>
      <c r="N74" s="1"/>
      <c r="O74" s="1"/>
      <c r="P74" s="1"/>
      <c r="Q74" s="59">
        <f t="shared" si="8"/>
        <v>0</v>
      </c>
      <c r="R74" s="59">
        <f t="shared" si="9"/>
        <v>0</v>
      </c>
    </row>
    <row r="75" spans="1:20" ht="15.75" customHeight="1" x14ac:dyDescent="0.3">
      <c r="A75" s="74" t="s">
        <v>77</v>
      </c>
      <c r="B75" s="1"/>
      <c r="C75" s="1"/>
      <c r="D75" s="1"/>
      <c r="E75" s="59">
        <f t="shared" si="5"/>
        <v>0</v>
      </c>
      <c r="F75" s="1"/>
      <c r="G75" s="1"/>
      <c r="H75" s="1"/>
      <c r="I75" s="59">
        <f t="shared" si="6"/>
        <v>0</v>
      </c>
      <c r="J75" s="1"/>
      <c r="K75" s="1"/>
      <c r="L75" s="1"/>
      <c r="M75" s="59">
        <f t="shared" si="7"/>
        <v>0</v>
      </c>
      <c r="N75" s="1"/>
      <c r="O75" s="1"/>
      <c r="P75" s="1"/>
      <c r="Q75" s="59">
        <f t="shared" si="8"/>
        <v>0</v>
      </c>
      <c r="R75" s="59">
        <f t="shared" si="9"/>
        <v>0</v>
      </c>
      <c r="T75" s="4" t="s">
        <v>78</v>
      </c>
    </row>
    <row r="76" spans="1:20" ht="15.75" customHeight="1" x14ac:dyDescent="0.3">
      <c r="A76" s="74" t="s">
        <v>899</v>
      </c>
      <c r="B76" s="1"/>
      <c r="C76" s="1"/>
      <c r="D76" s="1"/>
      <c r="E76" s="59">
        <f t="shared" si="5"/>
        <v>0</v>
      </c>
      <c r="F76" s="1"/>
      <c r="G76" s="1"/>
      <c r="H76" s="1"/>
      <c r="I76" s="59">
        <f t="shared" si="6"/>
        <v>0</v>
      </c>
      <c r="J76" s="1"/>
      <c r="K76" s="1"/>
      <c r="L76" s="1"/>
      <c r="M76" s="59">
        <f t="shared" si="7"/>
        <v>0</v>
      </c>
      <c r="N76" s="1"/>
      <c r="O76" s="1"/>
      <c r="P76" s="1"/>
      <c r="Q76" s="59">
        <f t="shared" si="8"/>
        <v>0</v>
      </c>
      <c r="R76" s="59">
        <f t="shared" si="9"/>
        <v>0</v>
      </c>
      <c r="T76" s="4" t="s">
        <v>78</v>
      </c>
    </row>
    <row r="77" spans="1:20" ht="15.75" customHeight="1" x14ac:dyDescent="0.3">
      <c r="A77" s="74" t="s">
        <v>81</v>
      </c>
      <c r="B77" s="1"/>
      <c r="C77" s="1"/>
      <c r="D77" s="1"/>
      <c r="E77" s="59">
        <f t="shared" si="5"/>
        <v>0</v>
      </c>
      <c r="F77" s="1"/>
      <c r="G77" s="1"/>
      <c r="H77" s="1"/>
      <c r="I77" s="59">
        <f t="shared" si="6"/>
        <v>0</v>
      </c>
      <c r="J77" s="1"/>
      <c r="K77" s="1"/>
      <c r="L77" s="1"/>
      <c r="M77" s="59">
        <f t="shared" si="7"/>
        <v>0</v>
      </c>
      <c r="N77" s="1"/>
      <c r="O77" s="1"/>
      <c r="P77" s="1"/>
      <c r="Q77" s="59">
        <f t="shared" si="8"/>
        <v>0</v>
      </c>
      <c r="R77" s="59">
        <f t="shared" si="9"/>
        <v>0</v>
      </c>
    </row>
    <row r="78" spans="1:20" ht="15.75" customHeight="1" x14ac:dyDescent="0.3">
      <c r="A78" s="74" t="s">
        <v>82</v>
      </c>
      <c r="B78" s="1"/>
      <c r="C78" s="1"/>
      <c r="D78" s="1"/>
      <c r="E78" s="59">
        <f t="shared" si="5"/>
        <v>0</v>
      </c>
      <c r="F78" s="1"/>
      <c r="G78" s="1"/>
      <c r="H78" s="1"/>
      <c r="I78" s="59">
        <f t="shared" si="6"/>
        <v>0</v>
      </c>
      <c r="J78" s="1"/>
      <c r="K78" s="1"/>
      <c r="L78" s="1"/>
      <c r="M78" s="59">
        <f t="shared" si="7"/>
        <v>0</v>
      </c>
      <c r="N78" s="1"/>
      <c r="O78" s="1"/>
      <c r="P78" s="1"/>
      <c r="Q78" s="59">
        <f t="shared" si="8"/>
        <v>0</v>
      </c>
      <c r="R78" s="59">
        <f t="shared" si="9"/>
        <v>0</v>
      </c>
      <c r="T78" s="4" t="s">
        <v>83</v>
      </c>
    </row>
    <row r="79" spans="1:20" ht="15.75" customHeight="1" x14ac:dyDescent="0.3">
      <c r="A79" s="76" t="s">
        <v>85</v>
      </c>
      <c r="B79" s="1"/>
      <c r="C79" s="1"/>
      <c r="D79" s="1"/>
      <c r="E79" s="59">
        <f t="shared" si="5"/>
        <v>0</v>
      </c>
      <c r="F79" s="1"/>
      <c r="G79" s="1"/>
      <c r="H79" s="1"/>
      <c r="I79" s="59">
        <f t="shared" si="6"/>
        <v>0</v>
      </c>
      <c r="J79" s="1"/>
      <c r="K79" s="1"/>
      <c r="L79" s="1"/>
      <c r="M79" s="59">
        <f t="shared" si="7"/>
        <v>0</v>
      </c>
      <c r="N79" s="1"/>
      <c r="O79" s="1"/>
      <c r="P79" s="1"/>
      <c r="Q79" s="59">
        <f t="shared" si="8"/>
        <v>0</v>
      </c>
      <c r="R79" s="59">
        <f t="shared" si="9"/>
        <v>0</v>
      </c>
    </row>
    <row r="80" spans="1:20" ht="15.75" customHeight="1" x14ac:dyDescent="0.3">
      <c r="A80" s="76" t="s">
        <v>86</v>
      </c>
      <c r="B80" s="1"/>
      <c r="C80" s="1"/>
      <c r="D80" s="1"/>
      <c r="E80" s="59">
        <f>SUM(B80:D80)</f>
        <v>0</v>
      </c>
      <c r="F80" s="1"/>
      <c r="G80" s="1"/>
      <c r="H80" s="1"/>
      <c r="I80" s="59">
        <f>SUM(F80:H80)</f>
        <v>0</v>
      </c>
      <c r="J80" s="1"/>
      <c r="K80" s="1"/>
      <c r="L80" s="1"/>
      <c r="M80" s="59">
        <f>SUM(J80:L80)</f>
        <v>0</v>
      </c>
      <c r="N80" s="1"/>
      <c r="O80" s="1"/>
      <c r="P80" s="1"/>
      <c r="Q80" s="59">
        <f>SUM(N80:P80)</f>
        <v>0</v>
      </c>
      <c r="R80" s="59">
        <f t="shared" si="9"/>
        <v>0</v>
      </c>
    </row>
    <row r="81" spans="1:20" ht="15.75" customHeight="1" x14ac:dyDescent="0.3">
      <c r="A81" s="76" t="s">
        <v>87</v>
      </c>
      <c r="B81" s="1"/>
      <c r="C81" s="1"/>
      <c r="D81" s="1"/>
      <c r="E81" s="59">
        <f t="shared" si="5"/>
        <v>0</v>
      </c>
      <c r="F81" s="1"/>
      <c r="G81" s="1"/>
      <c r="H81" s="1"/>
      <c r="I81" s="59">
        <f t="shared" si="6"/>
        <v>0</v>
      </c>
      <c r="J81" s="1"/>
      <c r="K81" s="1"/>
      <c r="L81" s="1"/>
      <c r="M81" s="59">
        <f t="shared" si="7"/>
        <v>0</v>
      </c>
      <c r="N81" s="1"/>
      <c r="O81" s="1"/>
      <c r="P81" s="1"/>
      <c r="Q81" s="59">
        <f t="shared" si="8"/>
        <v>0</v>
      </c>
      <c r="R81" s="59">
        <f t="shared" si="9"/>
        <v>0</v>
      </c>
      <c r="S81" s="4">
        <f>SUM(R72:R81)</f>
        <v>0</v>
      </c>
    </row>
    <row r="82" spans="1:20" ht="15.75" customHeight="1" x14ac:dyDescent="0.3">
      <c r="A82" s="22" t="s">
        <v>47</v>
      </c>
      <c r="B82" s="30"/>
      <c r="C82" s="30"/>
      <c r="D82" s="30"/>
      <c r="E82" s="59" t="s">
        <v>7</v>
      </c>
      <c r="F82" s="30"/>
      <c r="G82" s="30"/>
      <c r="H82" s="30"/>
      <c r="I82" s="59" t="s">
        <v>7</v>
      </c>
      <c r="J82" s="30"/>
      <c r="K82" s="30"/>
      <c r="L82" s="30"/>
      <c r="M82" s="59" t="s">
        <v>7</v>
      </c>
      <c r="N82" s="30"/>
      <c r="O82" s="30"/>
      <c r="P82" s="30"/>
      <c r="Q82" s="59" t="s">
        <v>7</v>
      </c>
      <c r="R82" s="59" t="s">
        <v>7</v>
      </c>
    </row>
    <row r="83" spans="1:20" ht="15.75" customHeight="1" x14ac:dyDescent="0.3">
      <c r="A83" s="76" t="s">
        <v>88</v>
      </c>
      <c r="B83" s="1"/>
      <c r="C83" s="1"/>
      <c r="D83" s="1"/>
      <c r="E83" s="59">
        <f>SUM(B83:D83)</f>
        <v>0</v>
      </c>
      <c r="F83" s="1"/>
      <c r="G83" s="1"/>
      <c r="H83" s="1"/>
      <c r="I83" s="59">
        <f>SUM(F83:H83)</f>
        <v>0</v>
      </c>
      <c r="J83" s="1"/>
      <c r="K83" s="1"/>
      <c r="L83" s="1"/>
      <c r="M83" s="59">
        <f>SUM(J83:L83)</f>
        <v>0</v>
      </c>
      <c r="N83" s="1"/>
      <c r="O83" s="1"/>
      <c r="P83" s="1"/>
      <c r="Q83" s="59">
        <f>SUM(N83:P83)</f>
        <v>0</v>
      </c>
      <c r="R83" s="59">
        <f>+E83+I83+M83+Q83</f>
        <v>0</v>
      </c>
    </row>
    <row r="84" spans="1:20" ht="15.75" customHeight="1" x14ac:dyDescent="0.3">
      <c r="A84" s="22" t="s">
        <v>898</v>
      </c>
      <c r="B84" s="30"/>
      <c r="C84" s="30"/>
      <c r="D84" s="30"/>
      <c r="E84" s="59" t="s">
        <v>50</v>
      </c>
      <c r="F84" s="30"/>
      <c r="G84" s="30"/>
      <c r="H84" s="30"/>
      <c r="I84" s="59" t="s">
        <v>50</v>
      </c>
      <c r="J84" s="30"/>
      <c r="K84" s="30"/>
      <c r="L84" s="30"/>
      <c r="M84" s="59" t="s">
        <v>50</v>
      </c>
      <c r="N84" s="30"/>
      <c r="O84" s="30"/>
      <c r="P84" s="30"/>
      <c r="Q84" s="59" t="s">
        <v>50</v>
      </c>
      <c r="R84" s="59" t="s">
        <v>50</v>
      </c>
    </row>
    <row r="85" spans="1:20" ht="15.75" customHeight="1" x14ac:dyDescent="0.3">
      <c r="A85" s="61" t="s">
        <v>900</v>
      </c>
      <c r="B85" s="1"/>
      <c r="C85" s="1"/>
      <c r="D85" s="1"/>
      <c r="E85" s="59">
        <f>SUM(B85:D85)</f>
        <v>0</v>
      </c>
      <c r="F85" s="1"/>
      <c r="G85" s="1"/>
      <c r="H85" s="1"/>
      <c r="I85" s="59">
        <f>SUM(F85:H85)</f>
        <v>0</v>
      </c>
      <c r="J85" s="1"/>
      <c r="K85" s="1"/>
      <c r="L85" s="1"/>
      <c r="M85" s="59">
        <f>SUM(J85:L85)</f>
        <v>0</v>
      </c>
      <c r="N85" s="1"/>
      <c r="O85" s="1"/>
      <c r="P85" s="1"/>
      <c r="Q85" s="59">
        <f>SUM(N85:P85)</f>
        <v>0</v>
      </c>
      <c r="R85" s="59">
        <f>+E85+I85+M85+Q85</f>
        <v>0</v>
      </c>
    </row>
    <row r="86" spans="1:20" ht="15.75" customHeight="1" x14ac:dyDescent="0.3">
      <c r="A86" s="61" t="s">
        <v>901</v>
      </c>
      <c r="B86" s="1">
        <v>188</v>
      </c>
      <c r="C86" s="1">
        <v>931</v>
      </c>
      <c r="D86" s="1">
        <v>1504</v>
      </c>
      <c r="E86" s="59">
        <f>SUM(B86:D86)</f>
        <v>2623</v>
      </c>
      <c r="F86" s="1">
        <v>1810</v>
      </c>
      <c r="G86" s="1">
        <v>1984</v>
      </c>
      <c r="H86" s="1">
        <v>2025</v>
      </c>
      <c r="I86" s="59">
        <f>SUM(F86:H86)</f>
        <v>5819</v>
      </c>
      <c r="J86" s="1">
        <v>2034</v>
      </c>
      <c r="K86" s="1">
        <v>2073</v>
      </c>
      <c r="L86" s="1">
        <v>91</v>
      </c>
      <c r="M86" s="59">
        <f>SUM(J86:L86)</f>
        <v>4198</v>
      </c>
      <c r="N86" s="1"/>
      <c r="O86" s="1"/>
      <c r="P86" s="1"/>
      <c r="Q86" s="59">
        <f>SUM(N86:P86)</f>
        <v>0</v>
      </c>
      <c r="R86" s="59">
        <f>+E86+I86+M86+Q86</f>
        <v>12640</v>
      </c>
      <c r="T86" s="4" t="s">
        <v>78</v>
      </c>
    </row>
    <row r="87" spans="1:20" ht="15.75" customHeight="1" thickBot="1" x14ac:dyDescent="0.35">
      <c r="A87" s="22" t="s">
        <v>51</v>
      </c>
      <c r="B87" s="60"/>
      <c r="C87" s="60"/>
      <c r="D87" s="60"/>
      <c r="E87" s="59" t="s">
        <v>7</v>
      </c>
      <c r="F87" s="60"/>
      <c r="G87" s="60"/>
      <c r="H87" s="60"/>
      <c r="I87" s="59" t="s">
        <v>7</v>
      </c>
      <c r="J87" s="60"/>
      <c r="K87" s="60"/>
      <c r="L87" s="60"/>
      <c r="M87" s="59" t="s">
        <v>7</v>
      </c>
      <c r="N87" s="60"/>
      <c r="O87" s="60"/>
      <c r="P87" s="60"/>
      <c r="Q87" s="59" t="s">
        <v>7</v>
      </c>
      <c r="R87" s="59" t="s">
        <v>7</v>
      </c>
    </row>
    <row r="88" spans="1:20" ht="16.5" customHeight="1" thickBot="1" x14ac:dyDescent="0.35">
      <c r="A88" s="62" t="s">
        <v>52</v>
      </c>
      <c r="B88" s="63">
        <f>SUM(B70:B87)</f>
        <v>188</v>
      </c>
      <c r="C88" s="63">
        <f>SUM(C70:C87)</f>
        <v>931</v>
      </c>
      <c r="D88" s="63">
        <f>SUM(D70:D87)</f>
        <v>1504</v>
      </c>
      <c r="E88" s="64">
        <f>SUM(B88:D88)</f>
        <v>2623</v>
      </c>
      <c r="F88" s="63">
        <f>SUM(F70:F87)</f>
        <v>1810</v>
      </c>
      <c r="G88" s="63">
        <f>SUM(G70:G87)</f>
        <v>1984</v>
      </c>
      <c r="H88" s="63">
        <f>SUM(H70:H87)</f>
        <v>2025</v>
      </c>
      <c r="I88" s="64">
        <f>SUM(F88:H88)</f>
        <v>5819</v>
      </c>
      <c r="J88" s="63">
        <f>SUM(J70:J87)</f>
        <v>2034</v>
      </c>
      <c r="K88" s="63">
        <f>SUM(K70:K87)</f>
        <v>2073</v>
      </c>
      <c r="L88" s="63">
        <f>SUM(L70:L87)</f>
        <v>91</v>
      </c>
      <c r="M88" s="64">
        <f>SUM(J88:L88)</f>
        <v>4198</v>
      </c>
      <c r="N88" s="63">
        <f>SUM(N70:N87)</f>
        <v>0</v>
      </c>
      <c r="O88" s="63">
        <f>SUM(O70:O87)</f>
        <v>0</v>
      </c>
      <c r="P88" s="63">
        <f>SUM(P70:P87)</f>
        <v>0</v>
      </c>
      <c r="Q88" s="64">
        <f>SUM(N88:P88)</f>
        <v>0</v>
      </c>
      <c r="R88" s="64">
        <f>+E88+I88+M88+Q88</f>
        <v>12640</v>
      </c>
    </row>
    <row r="89" spans="1:20" ht="15.75" customHeight="1" x14ac:dyDescent="0.3">
      <c r="A89" s="22" t="s">
        <v>53</v>
      </c>
      <c r="B89" s="60"/>
      <c r="C89" s="60"/>
      <c r="D89" s="60"/>
      <c r="E89" s="59" t="s">
        <v>7</v>
      </c>
      <c r="F89" s="60"/>
      <c r="G89" s="60"/>
      <c r="H89" s="60"/>
      <c r="I89" s="59" t="s">
        <v>7</v>
      </c>
      <c r="J89" s="60"/>
      <c r="K89" s="60"/>
      <c r="L89" s="60"/>
      <c r="M89" s="59" t="s">
        <v>7</v>
      </c>
      <c r="N89" s="60"/>
      <c r="O89" s="60"/>
      <c r="P89" s="60"/>
      <c r="Q89" s="59" t="s">
        <v>7</v>
      </c>
      <c r="R89" s="334" t="s">
        <v>7</v>
      </c>
    </row>
    <row r="90" spans="1:20" ht="15.75" customHeight="1" x14ac:dyDescent="0.3">
      <c r="A90" s="22" t="s">
        <v>54</v>
      </c>
      <c r="B90" s="60"/>
      <c r="C90" s="60"/>
      <c r="D90" s="60"/>
      <c r="E90" s="59" t="s">
        <v>7</v>
      </c>
      <c r="F90" s="60"/>
      <c r="G90" s="60"/>
      <c r="H90" s="60"/>
      <c r="I90" s="59" t="s">
        <v>7</v>
      </c>
      <c r="J90" s="60"/>
      <c r="K90" s="60"/>
      <c r="L90" s="60"/>
      <c r="M90" s="59" t="s">
        <v>7</v>
      </c>
      <c r="N90" s="60"/>
      <c r="O90" s="60"/>
      <c r="P90" s="60"/>
      <c r="Q90" s="59" t="s">
        <v>7</v>
      </c>
      <c r="R90" s="59" t="s">
        <v>7</v>
      </c>
    </row>
    <row r="91" spans="1:20" ht="15.75" customHeight="1" x14ac:dyDescent="0.3">
      <c r="A91" s="22" t="s">
        <v>55</v>
      </c>
      <c r="B91" s="60"/>
      <c r="C91" s="60"/>
      <c r="D91" s="60"/>
      <c r="E91" s="59" t="s">
        <v>7</v>
      </c>
      <c r="F91" s="60"/>
      <c r="G91" s="60"/>
      <c r="H91" s="60"/>
      <c r="I91" s="59" t="s">
        <v>7</v>
      </c>
      <c r="J91" s="60"/>
      <c r="K91" s="60"/>
      <c r="L91" s="60"/>
      <c r="M91" s="59" t="s">
        <v>7</v>
      </c>
      <c r="N91" s="60"/>
      <c r="O91" s="60"/>
      <c r="P91" s="60"/>
      <c r="Q91" s="59" t="s">
        <v>7</v>
      </c>
      <c r="R91" s="59" t="s">
        <v>7</v>
      </c>
    </row>
    <row r="92" spans="1:20" ht="15.75" customHeight="1" x14ac:dyDescent="0.3">
      <c r="A92" s="76" t="s">
        <v>92</v>
      </c>
      <c r="B92" s="1">
        <v>874</v>
      </c>
      <c r="C92" s="1">
        <v>1985</v>
      </c>
      <c r="D92" s="1">
        <v>3543</v>
      </c>
      <c r="E92" s="59">
        <f>SUM(B92:D92)</f>
        <v>6402</v>
      </c>
      <c r="F92" s="1">
        <v>4224</v>
      </c>
      <c r="G92" s="1">
        <v>4415</v>
      </c>
      <c r="H92" s="1">
        <v>5133</v>
      </c>
      <c r="I92" s="59">
        <f>SUM(F92:H92)</f>
        <v>13772</v>
      </c>
      <c r="J92" s="1">
        <v>5647</v>
      </c>
      <c r="K92" s="1">
        <v>4691</v>
      </c>
      <c r="L92" s="1">
        <v>1653</v>
      </c>
      <c r="M92" s="59">
        <f>SUM(J92:L92)</f>
        <v>11991</v>
      </c>
      <c r="N92" s="1">
        <v>943</v>
      </c>
      <c r="O92" s="1">
        <v>451</v>
      </c>
      <c r="P92" s="1">
        <v>723</v>
      </c>
      <c r="Q92" s="59">
        <f>SUM(N92:P92)</f>
        <v>2117</v>
      </c>
      <c r="R92" s="59">
        <f>+E92+I92+M92+Q92</f>
        <v>34282</v>
      </c>
      <c r="T92" s="4" t="s">
        <v>93</v>
      </c>
    </row>
    <row r="93" spans="1:20" ht="15.75" customHeight="1" x14ac:dyDescent="0.3">
      <c r="A93" s="76" t="s">
        <v>94</v>
      </c>
      <c r="B93" s="1"/>
      <c r="C93" s="1"/>
      <c r="D93" s="1"/>
      <c r="E93" s="59">
        <f>SUM(B93:D93)</f>
        <v>0</v>
      </c>
      <c r="F93" s="1"/>
      <c r="G93" s="1">
        <v>220</v>
      </c>
      <c r="H93" s="1">
        <v>319</v>
      </c>
      <c r="I93" s="59">
        <f>SUM(F93:H93)</f>
        <v>539</v>
      </c>
      <c r="J93" s="1">
        <v>220</v>
      </c>
      <c r="K93" s="1">
        <v>101</v>
      </c>
      <c r="L93" s="1">
        <v>580</v>
      </c>
      <c r="M93" s="59">
        <f>SUM(J93:L93)</f>
        <v>901</v>
      </c>
      <c r="N93" s="1">
        <v>565</v>
      </c>
      <c r="O93" s="1">
        <v>163</v>
      </c>
      <c r="P93" s="1">
        <v>93</v>
      </c>
      <c r="Q93" s="59">
        <f>SUM(N93:P93)</f>
        <v>821</v>
      </c>
      <c r="R93" s="59">
        <f>+E93+I93+M93+Q93</f>
        <v>2261</v>
      </c>
      <c r="T93" s="4" t="s">
        <v>78</v>
      </c>
    </row>
    <row r="94" spans="1:20" ht="15.75" customHeight="1" thickBot="1" x14ac:dyDescent="0.35">
      <c r="A94" s="22" t="s">
        <v>56</v>
      </c>
      <c r="B94" s="60"/>
      <c r="C94" s="60"/>
      <c r="D94" s="60"/>
      <c r="E94" s="59" t="s">
        <v>7</v>
      </c>
      <c r="F94" s="60"/>
      <c r="G94" s="60"/>
      <c r="H94" s="60"/>
      <c r="I94" s="59" t="s">
        <v>7</v>
      </c>
      <c r="J94" s="60"/>
      <c r="K94" s="60"/>
      <c r="L94" s="60"/>
      <c r="M94" s="59" t="s">
        <v>7</v>
      </c>
      <c r="N94" s="60"/>
      <c r="O94" s="60"/>
      <c r="P94" s="60"/>
      <c r="Q94" s="59" t="s">
        <v>7</v>
      </c>
      <c r="R94" s="59" t="s">
        <v>7</v>
      </c>
    </row>
    <row r="95" spans="1:20" ht="16.5" customHeight="1" thickBot="1" x14ac:dyDescent="0.35">
      <c r="A95" s="62" t="s">
        <v>57</v>
      </c>
      <c r="B95" s="63">
        <f>SUM(B89:B94)</f>
        <v>874</v>
      </c>
      <c r="C95" s="63">
        <f>SUM(C89:C94)</f>
        <v>1985</v>
      </c>
      <c r="D95" s="63">
        <f>SUM(D89:D94)</f>
        <v>3543</v>
      </c>
      <c r="E95" s="64">
        <f>SUM(B95:D95)</f>
        <v>6402</v>
      </c>
      <c r="F95" s="63">
        <f>SUM(F89:F94)</f>
        <v>4224</v>
      </c>
      <c r="G95" s="63">
        <f>SUM(G89:G94)</f>
        <v>4635</v>
      </c>
      <c r="H95" s="63">
        <f>SUM(H89:H94)</f>
        <v>5452</v>
      </c>
      <c r="I95" s="64">
        <f>SUM(F95:H95)</f>
        <v>14311</v>
      </c>
      <c r="J95" s="63">
        <f>SUM(J89:J94)</f>
        <v>5867</v>
      </c>
      <c r="K95" s="63">
        <f>SUM(K89:K94)</f>
        <v>4792</v>
      </c>
      <c r="L95" s="63">
        <f>SUM(L89:L94)</f>
        <v>2233</v>
      </c>
      <c r="M95" s="64">
        <f>SUM(J95:L95)</f>
        <v>12892</v>
      </c>
      <c r="N95" s="63">
        <f>SUM(N89:N94)</f>
        <v>1508</v>
      </c>
      <c r="O95" s="63">
        <f>SUM(O89:O94)</f>
        <v>614</v>
      </c>
      <c r="P95" s="63">
        <f>SUM(P89:P94)</f>
        <v>816</v>
      </c>
      <c r="Q95" s="64">
        <f>SUM(N95:P95)</f>
        <v>2938</v>
      </c>
      <c r="R95" s="64">
        <f>+E95+I95+M95+Q95</f>
        <v>36543</v>
      </c>
    </row>
    <row r="96" spans="1:20" ht="15.75" customHeight="1" x14ac:dyDescent="0.3">
      <c r="A96" s="22" t="s">
        <v>58</v>
      </c>
      <c r="B96" s="60"/>
      <c r="C96" s="60"/>
      <c r="D96" s="60"/>
      <c r="E96" s="59" t="s">
        <v>7</v>
      </c>
      <c r="F96" s="60"/>
      <c r="G96" s="60"/>
      <c r="H96" s="60"/>
      <c r="I96" s="59" t="s">
        <v>7</v>
      </c>
      <c r="J96" s="60"/>
      <c r="K96" s="60"/>
      <c r="L96" s="60"/>
      <c r="M96" s="59" t="s">
        <v>7</v>
      </c>
      <c r="N96" s="60"/>
      <c r="O96" s="60"/>
      <c r="P96" s="60"/>
      <c r="Q96" s="59" t="s">
        <v>7</v>
      </c>
      <c r="R96" s="59" t="s">
        <v>7</v>
      </c>
    </row>
    <row r="97" spans="1:20" ht="15.75" customHeight="1" x14ac:dyDescent="0.3">
      <c r="A97" s="22" t="s">
        <v>59</v>
      </c>
      <c r="B97" s="60"/>
      <c r="C97" s="60"/>
      <c r="D97" s="60"/>
      <c r="E97" s="59" t="s">
        <v>7</v>
      </c>
      <c r="F97" s="60"/>
      <c r="G97" s="60"/>
      <c r="H97" s="60"/>
      <c r="I97" s="59" t="s">
        <v>7</v>
      </c>
      <c r="J97" s="60"/>
      <c r="K97" s="60"/>
      <c r="L97" s="60"/>
      <c r="M97" s="59" t="s">
        <v>7</v>
      </c>
      <c r="N97" s="60"/>
      <c r="O97" s="60"/>
      <c r="P97" s="60"/>
      <c r="Q97" s="59" t="s">
        <v>7</v>
      </c>
      <c r="R97" s="59" t="s">
        <v>7</v>
      </c>
    </row>
    <row r="98" spans="1:20" ht="15.75" customHeight="1" x14ac:dyDescent="0.3">
      <c r="A98" s="22" t="s">
        <v>60</v>
      </c>
      <c r="B98" s="60"/>
      <c r="C98" s="60"/>
      <c r="D98" s="60"/>
      <c r="E98" s="59"/>
      <c r="F98" s="60"/>
      <c r="G98" s="60"/>
      <c r="H98" s="60"/>
      <c r="I98" s="59"/>
      <c r="J98" s="60"/>
      <c r="K98" s="60"/>
      <c r="L98" s="60"/>
      <c r="M98" s="59"/>
      <c r="N98" s="60"/>
      <c r="O98" s="60"/>
      <c r="P98" s="60"/>
      <c r="Q98" s="59"/>
      <c r="R98" s="59"/>
    </row>
    <row r="99" spans="1:20" ht="15.75" customHeight="1" x14ac:dyDescent="0.3">
      <c r="A99" s="76" t="s">
        <v>95</v>
      </c>
      <c r="B99" s="1"/>
      <c r="C99" s="1"/>
      <c r="D99" s="1"/>
      <c r="E99" s="59">
        <f t="shared" ref="E99:E106" si="10">SUM(B99:D99)</f>
        <v>0</v>
      </c>
      <c r="F99" s="1"/>
      <c r="G99" s="1"/>
      <c r="H99" s="1"/>
      <c r="I99" s="59">
        <f t="shared" ref="I99:I106" si="11">SUM(F99:H99)</f>
        <v>0</v>
      </c>
      <c r="J99" s="1"/>
      <c r="K99" s="1"/>
      <c r="L99" s="1"/>
      <c r="M99" s="59">
        <f t="shared" ref="M99:M106" si="12">SUM(J99:L99)</f>
        <v>0</v>
      </c>
      <c r="N99" s="1"/>
      <c r="O99" s="1"/>
      <c r="P99" s="1"/>
      <c r="Q99" s="59">
        <f t="shared" ref="Q99:Q106" si="13">SUM(N99:P99)</f>
        <v>0</v>
      </c>
      <c r="R99" s="59">
        <f t="shared" ref="R99:R106" si="14">+E99+I99+M99+Q99</f>
        <v>0</v>
      </c>
    </row>
    <row r="100" spans="1:20" ht="15.75" customHeight="1" x14ac:dyDescent="0.3">
      <c r="A100" s="76" t="s">
        <v>96</v>
      </c>
      <c r="B100" s="1"/>
      <c r="C100" s="1"/>
      <c r="D100" s="1"/>
      <c r="E100" s="59">
        <f t="shared" si="10"/>
        <v>0</v>
      </c>
      <c r="F100" s="1"/>
      <c r="G100" s="1"/>
      <c r="H100" s="1"/>
      <c r="I100" s="59">
        <f t="shared" si="11"/>
        <v>0</v>
      </c>
      <c r="J100" s="1"/>
      <c r="K100" s="1"/>
      <c r="L100" s="1"/>
      <c r="M100" s="59">
        <f t="shared" si="12"/>
        <v>0</v>
      </c>
      <c r="N100" s="1"/>
      <c r="O100" s="1"/>
      <c r="P100" s="1"/>
      <c r="Q100" s="59">
        <f t="shared" si="13"/>
        <v>0</v>
      </c>
      <c r="R100" s="59">
        <f t="shared" si="14"/>
        <v>0</v>
      </c>
    </row>
    <row r="101" spans="1:20" ht="15.75" customHeight="1" x14ac:dyDescent="0.3">
      <c r="A101" s="76" t="s">
        <v>875</v>
      </c>
      <c r="B101" s="1"/>
      <c r="C101" s="1"/>
      <c r="D101" s="1"/>
      <c r="E101" s="59">
        <f>SUM(B101:D101)</f>
        <v>0</v>
      </c>
      <c r="F101" s="1"/>
      <c r="G101" s="1"/>
      <c r="H101" s="1"/>
      <c r="I101" s="59">
        <f>SUM(F101:H101)</f>
        <v>0</v>
      </c>
      <c r="J101" s="1"/>
      <c r="K101" s="1"/>
      <c r="L101" s="1"/>
      <c r="M101" s="59">
        <f>SUM(J101:L101)</f>
        <v>0</v>
      </c>
      <c r="N101" s="1"/>
      <c r="O101" s="1"/>
      <c r="P101" s="1"/>
      <c r="Q101" s="59">
        <f>SUM(N101:P101)</f>
        <v>0</v>
      </c>
      <c r="R101" s="59">
        <f>+E101+I101+M101+Q101</f>
        <v>0</v>
      </c>
    </row>
    <row r="102" spans="1:20" ht="15.75" customHeight="1" x14ac:dyDescent="0.3">
      <c r="A102" s="76" t="s">
        <v>938</v>
      </c>
      <c r="B102" s="1"/>
      <c r="C102" s="1"/>
      <c r="D102" s="1"/>
      <c r="E102" s="59">
        <f>SUM(B102:D102)</f>
        <v>0</v>
      </c>
      <c r="F102" s="1"/>
      <c r="G102" s="1"/>
      <c r="H102" s="1"/>
      <c r="I102" s="59">
        <f>SUM(F102:H102)</f>
        <v>0</v>
      </c>
      <c r="J102" s="1"/>
      <c r="K102" s="1"/>
      <c r="L102" s="1"/>
      <c r="M102" s="59">
        <f>SUM(J102:L102)</f>
        <v>0</v>
      </c>
      <c r="N102" s="1"/>
      <c r="O102" s="1"/>
      <c r="P102" s="1"/>
      <c r="Q102" s="59">
        <f>SUM(N102:P102)</f>
        <v>0</v>
      </c>
      <c r="R102" s="59">
        <f>+E102+I102+M102+Q102</f>
        <v>0</v>
      </c>
      <c r="T102" s="4" t="s">
        <v>83</v>
      </c>
    </row>
    <row r="103" spans="1:20" ht="15.75" customHeight="1" x14ac:dyDescent="0.3">
      <c r="A103" s="76" t="s">
        <v>99</v>
      </c>
      <c r="B103" s="1"/>
      <c r="C103" s="1"/>
      <c r="D103" s="1"/>
      <c r="E103" s="59">
        <f>SUM(B103:D103)</f>
        <v>0</v>
      </c>
      <c r="F103" s="1"/>
      <c r="G103" s="1"/>
      <c r="H103" s="1"/>
      <c r="I103" s="59">
        <f>SUM(F103:H103)</f>
        <v>0</v>
      </c>
      <c r="J103" s="1"/>
      <c r="K103" s="1"/>
      <c r="L103" s="1"/>
      <c r="M103" s="59">
        <f>SUM(J103:L103)</f>
        <v>0</v>
      </c>
      <c r="N103" s="1"/>
      <c r="O103" s="1"/>
      <c r="P103" s="1"/>
      <c r="Q103" s="59">
        <f>SUM(N103:P103)</f>
        <v>0</v>
      </c>
      <c r="R103" s="59">
        <f>+E103+I103+M103+Q103</f>
        <v>0</v>
      </c>
    </row>
    <row r="104" spans="1:20" ht="15.75" customHeight="1" x14ac:dyDescent="0.3">
      <c r="A104" s="76" t="s">
        <v>876</v>
      </c>
      <c r="B104" s="1"/>
      <c r="C104" s="1"/>
      <c r="D104" s="1"/>
      <c r="E104" s="59">
        <f t="shared" si="10"/>
        <v>0</v>
      </c>
      <c r="F104" s="1"/>
      <c r="G104" s="1"/>
      <c r="H104" s="1"/>
      <c r="I104" s="59">
        <f t="shared" si="11"/>
        <v>0</v>
      </c>
      <c r="J104" s="1"/>
      <c r="K104" s="1"/>
      <c r="L104" s="1"/>
      <c r="M104" s="59">
        <f t="shared" si="12"/>
        <v>0</v>
      </c>
      <c r="N104" s="1"/>
      <c r="O104" s="1"/>
      <c r="P104" s="1"/>
      <c r="Q104" s="59">
        <f t="shared" si="13"/>
        <v>0</v>
      </c>
      <c r="R104" s="59">
        <f t="shared" si="14"/>
        <v>0</v>
      </c>
    </row>
    <row r="105" spans="1:20" ht="15.75" customHeight="1" thickBot="1" x14ac:dyDescent="0.35">
      <c r="A105" s="76" t="s">
        <v>101</v>
      </c>
      <c r="B105" s="1"/>
      <c r="C105" s="1"/>
      <c r="D105" s="1"/>
      <c r="E105" s="59">
        <f t="shared" si="10"/>
        <v>0</v>
      </c>
      <c r="F105" s="1"/>
      <c r="G105" s="1"/>
      <c r="H105" s="1"/>
      <c r="I105" s="59">
        <f t="shared" si="11"/>
        <v>0</v>
      </c>
      <c r="J105" s="1"/>
      <c r="K105" s="1"/>
      <c r="L105" s="1"/>
      <c r="M105" s="59">
        <f t="shared" si="12"/>
        <v>0</v>
      </c>
      <c r="N105" s="1"/>
      <c r="O105" s="1"/>
      <c r="P105" s="1"/>
      <c r="Q105" s="59">
        <f t="shared" si="13"/>
        <v>0</v>
      </c>
      <c r="R105" s="59">
        <f t="shared" si="14"/>
        <v>0</v>
      </c>
    </row>
    <row r="106" spans="1:20" ht="16.5" customHeight="1" thickBot="1" x14ac:dyDescent="0.35">
      <c r="A106" s="62" t="s">
        <v>61</v>
      </c>
      <c r="B106" s="63">
        <f>SUM(B96:B105)</f>
        <v>0</v>
      </c>
      <c r="C106" s="63">
        <f>SUM(C96:C105)</f>
        <v>0</v>
      </c>
      <c r="D106" s="63">
        <f>SUM(D96:D105)</f>
        <v>0</v>
      </c>
      <c r="E106" s="64">
        <f t="shared" si="10"/>
        <v>0</v>
      </c>
      <c r="F106" s="63">
        <f>SUM(F96:F105)</f>
        <v>0</v>
      </c>
      <c r="G106" s="63">
        <f>SUM(G96:G105)</f>
        <v>0</v>
      </c>
      <c r="H106" s="63">
        <f>SUM(H96:H105)</f>
        <v>0</v>
      </c>
      <c r="I106" s="64">
        <f t="shared" si="11"/>
        <v>0</v>
      </c>
      <c r="J106" s="63">
        <f>SUM(J96:J105)</f>
        <v>0</v>
      </c>
      <c r="K106" s="63">
        <f>SUM(K96:K105)</f>
        <v>0</v>
      </c>
      <c r="L106" s="63">
        <f>SUM(L96:L105)</f>
        <v>0</v>
      </c>
      <c r="M106" s="64">
        <f t="shared" si="12"/>
        <v>0</v>
      </c>
      <c r="N106" s="63">
        <f>SUM(N96:N105)</f>
        <v>0</v>
      </c>
      <c r="O106" s="63">
        <f>SUM(O96:O105)</f>
        <v>0</v>
      </c>
      <c r="P106" s="63">
        <f>SUM(P96:P105)</f>
        <v>0</v>
      </c>
      <c r="Q106" s="64">
        <f t="shared" si="13"/>
        <v>0</v>
      </c>
      <c r="R106" s="64">
        <f t="shared" si="14"/>
        <v>0</v>
      </c>
    </row>
    <row r="107" spans="1:20" ht="15.75" customHeight="1" x14ac:dyDescent="0.3">
      <c r="A107" s="22" t="s">
        <v>62</v>
      </c>
      <c r="B107" s="60"/>
      <c r="C107" s="60"/>
      <c r="D107" s="60"/>
      <c r="E107" s="59" t="s">
        <v>7</v>
      </c>
      <c r="F107" s="60"/>
      <c r="G107" s="60"/>
      <c r="H107" s="60"/>
      <c r="I107" s="59" t="s">
        <v>7</v>
      </c>
      <c r="J107" s="60"/>
      <c r="K107" s="60"/>
      <c r="L107" s="60"/>
      <c r="M107" s="59" t="s">
        <v>7</v>
      </c>
      <c r="N107" s="60"/>
      <c r="O107" s="60"/>
      <c r="P107" s="60"/>
      <c r="Q107" s="59" t="s">
        <v>7</v>
      </c>
      <c r="R107" s="59" t="s">
        <v>7</v>
      </c>
    </row>
    <row r="108" spans="1:20" ht="15.75" customHeight="1" x14ac:dyDescent="0.3">
      <c r="A108" s="22" t="s">
        <v>63</v>
      </c>
      <c r="B108" s="60"/>
      <c r="C108" s="60"/>
      <c r="D108" s="60"/>
      <c r="E108" s="59" t="s">
        <v>7</v>
      </c>
      <c r="F108" s="60"/>
      <c r="G108" s="60"/>
      <c r="H108" s="60"/>
      <c r="I108" s="59" t="s">
        <v>7</v>
      </c>
      <c r="J108" s="60"/>
      <c r="K108" s="60"/>
      <c r="L108" s="60"/>
      <c r="M108" s="59" t="s">
        <v>7</v>
      </c>
      <c r="N108" s="60"/>
      <c r="O108" s="60"/>
      <c r="P108" s="60"/>
      <c r="Q108" s="59" t="s">
        <v>7</v>
      </c>
      <c r="R108" s="59" t="s">
        <v>7</v>
      </c>
    </row>
    <row r="109" spans="1:20" ht="15.75" customHeight="1" x14ac:dyDescent="0.3">
      <c r="A109" s="61" t="s">
        <v>103</v>
      </c>
      <c r="B109" s="1"/>
      <c r="C109" s="1"/>
      <c r="D109" s="1"/>
      <c r="E109" s="59">
        <f t="shared" ref="E109:E114" si="15">SUM(B109:D109)</f>
        <v>0</v>
      </c>
      <c r="F109" s="1"/>
      <c r="G109" s="1"/>
      <c r="H109" s="1"/>
      <c r="I109" s="59">
        <f t="shared" ref="I109:I114" si="16">SUM(F109:H109)</f>
        <v>0</v>
      </c>
      <c r="J109" s="1"/>
      <c r="K109" s="1"/>
      <c r="L109" s="1"/>
      <c r="M109" s="59">
        <f t="shared" ref="M109:M114" si="17">SUM(J109:L109)</f>
        <v>0</v>
      </c>
      <c r="N109" s="1"/>
      <c r="O109" s="1"/>
      <c r="P109" s="1"/>
      <c r="Q109" s="59">
        <f t="shared" ref="Q109:Q114" si="18">SUM(N109:P109)</f>
        <v>0</v>
      </c>
      <c r="R109" s="59">
        <f t="shared" ref="R109:R114" si="19">+E109+I109+M109+Q109</f>
        <v>0</v>
      </c>
    </row>
    <row r="110" spans="1:20" ht="15.75" customHeight="1" x14ac:dyDescent="0.3">
      <c r="A110" s="61" t="s">
        <v>902</v>
      </c>
      <c r="B110" s="1"/>
      <c r="C110" s="1"/>
      <c r="D110" s="1"/>
      <c r="E110" s="59">
        <f t="shared" si="15"/>
        <v>0</v>
      </c>
      <c r="F110" s="1"/>
      <c r="G110" s="1"/>
      <c r="H110" s="1"/>
      <c r="I110" s="59">
        <f t="shared" si="16"/>
        <v>0</v>
      </c>
      <c r="J110" s="1"/>
      <c r="K110" s="1"/>
      <c r="L110" s="1"/>
      <c r="M110" s="59">
        <f t="shared" si="17"/>
        <v>0</v>
      </c>
      <c r="N110" s="1"/>
      <c r="O110" s="1"/>
      <c r="P110" s="1"/>
      <c r="Q110" s="59">
        <f t="shared" si="18"/>
        <v>0</v>
      </c>
      <c r="R110" s="59">
        <f t="shared" si="19"/>
        <v>0</v>
      </c>
    </row>
    <row r="111" spans="1:20" ht="15.75" customHeight="1" x14ac:dyDescent="0.3">
      <c r="A111" s="61" t="s">
        <v>105</v>
      </c>
      <c r="B111" s="1"/>
      <c r="C111" s="1"/>
      <c r="D111" s="1"/>
      <c r="E111" s="59">
        <f t="shared" si="15"/>
        <v>0</v>
      </c>
      <c r="F111" s="1"/>
      <c r="G111" s="1"/>
      <c r="H111" s="1"/>
      <c r="I111" s="59">
        <f t="shared" si="16"/>
        <v>0</v>
      </c>
      <c r="J111" s="1"/>
      <c r="K111" s="1"/>
      <c r="L111" s="1"/>
      <c r="M111" s="59">
        <f t="shared" si="17"/>
        <v>0</v>
      </c>
      <c r="N111" s="1"/>
      <c r="O111" s="1"/>
      <c r="P111" s="1"/>
      <c r="Q111" s="59">
        <f t="shared" si="18"/>
        <v>0</v>
      </c>
      <c r="R111" s="59">
        <f t="shared" si="19"/>
        <v>0</v>
      </c>
    </row>
    <row r="112" spans="1:20" ht="15.75" customHeight="1" x14ac:dyDescent="0.3">
      <c r="A112" s="61" t="s">
        <v>106</v>
      </c>
      <c r="B112" s="1"/>
      <c r="C112" s="1"/>
      <c r="D112" s="1"/>
      <c r="E112" s="59">
        <f t="shared" si="15"/>
        <v>0</v>
      </c>
      <c r="F112" s="1"/>
      <c r="G112" s="1"/>
      <c r="H112" s="1"/>
      <c r="I112" s="59">
        <f t="shared" si="16"/>
        <v>0</v>
      </c>
      <c r="J112" s="1"/>
      <c r="K112" s="1"/>
      <c r="L112" s="1"/>
      <c r="M112" s="59">
        <f t="shared" si="17"/>
        <v>0</v>
      </c>
      <c r="N112" s="1"/>
      <c r="O112" s="1"/>
      <c r="P112" s="1"/>
      <c r="Q112" s="59">
        <f t="shared" si="18"/>
        <v>0</v>
      </c>
      <c r="R112" s="59">
        <f t="shared" si="19"/>
        <v>0</v>
      </c>
    </row>
    <row r="113" spans="1:20" ht="15.75" customHeight="1" x14ac:dyDescent="0.3">
      <c r="A113" s="61" t="s">
        <v>107</v>
      </c>
      <c r="B113" s="1"/>
      <c r="C113" s="1"/>
      <c r="D113" s="1"/>
      <c r="E113" s="59">
        <f t="shared" si="15"/>
        <v>0</v>
      </c>
      <c r="F113" s="1"/>
      <c r="G113" s="1"/>
      <c r="H113" s="1"/>
      <c r="I113" s="59">
        <f t="shared" si="16"/>
        <v>0</v>
      </c>
      <c r="J113" s="1"/>
      <c r="K113" s="1"/>
      <c r="L113" s="1"/>
      <c r="M113" s="59">
        <f t="shared" si="17"/>
        <v>0</v>
      </c>
      <c r="N113" s="1"/>
      <c r="O113" s="1"/>
      <c r="P113" s="1"/>
      <c r="Q113" s="59">
        <f t="shared" si="18"/>
        <v>0</v>
      </c>
      <c r="R113" s="59">
        <f t="shared" si="19"/>
        <v>0</v>
      </c>
    </row>
    <row r="114" spans="1:20" ht="15.75" customHeight="1" x14ac:dyDescent="0.3">
      <c r="A114" s="61" t="s">
        <v>108</v>
      </c>
      <c r="B114" s="1"/>
      <c r="C114" s="1"/>
      <c r="D114" s="1"/>
      <c r="E114" s="59">
        <f t="shared" si="15"/>
        <v>0</v>
      </c>
      <c r="F114" s="1"/>
      <c r="G114" s="1"/>
      <c r="H114" s="1"/>
      <c r="I114" s="59">
        <f t="shared" si="16"/>
        <v>0</v>
      </c>
      <c r="J114" s="1"/>
      <c r="K114" s="1"/>
      <c r="L114" s="1"/>
      <c r="M114" s="59">
        <f t="shared" si="17"/>
        <v>0</v>
      </c>
      <c r="N114" s="1"/>
      <c r="O114" s="1"/>
      <c r="P114" s="1"/>
      <c r="Q114" s="59">
        <f t="shared" si="18"/>
        <v>0</v>
      </c>
      <c r="R114" s="59">
        <f t="shared" si="19"/>
        <v>0</v>
      </c>
    </row>
    <row r="115" spans="1:20" ht="15.75" customHeight="1" x14ac:dyDescent="0.3">
      <c r="A115" s="61" t="s">
        <v>109</v>
      </c>
      <c r="B115" s="1"/>
      <c r="C115" s="1"/>
      <c r="D115" s="1"/>
      <c r="E115" s="59">
        <f>SUM(B115:D115)</f>
        <v>0</v>
      </c>
      <c r="F115" s="1"/>
      <c r="G115" s="1"/>
      <c r="H115" s="1"/>
      <c r="I115" s="59">
        <f>SUM(F115:H115)</f>
        <v>0</v>
      </c>
      <c r="J115" s="1"/>
      <c r="K115" s="1"/>
      <c r="L115" s="1"/>
      <c r="M115" s="59">
        <f>SUM(J115:L115)</f>
        <v>0</v>
      </c>
      <c r="N115" s="1"/>
      <c r="O115" s="1"/>
      <c r="P115" s="1"/>
      <c r="Q115" s="59">
        <f>SUM(N115:P115)</f>
        <v>0</v>
      </c>
      <c r="R115" s="59">
        <f>+E115+I115+M115+Q115</f>
        <v>0</v>
      </c>
    </row>
    <row r="116" spans="1:20" ht="15.75" customHeight="1" x14ac:dyDescent="0.3">
      <c r="A116" s="78" t="s">
        <v>110</v>
      </c>
      <c r="B116" s="1"/>
      <c r="C116" s="1"/>
      <c r="D116" s="1"/>
      <c r="E116" s="59">
        <f>SUM(B116:D116)</f>
        <v>0</v>
      </c>
      <c r="F116" s="1"/>
      <c r="G116" s="1"/>
      <c r="H116" s="1"/>
      <c r="I116" s="59">
        <f>SUM(F116:H116)</f>
        <v>0</v>
      </c>
      <c r="J116" s="1"/>
      <c r="K116" s="1"/>
      <c r="L116" s="1"/>
      <c r="M116" s="59">
        <f>SUM(J116:L116)</f>
        <v>0</v>
      </c>
      <c r="N116" s="1"/>
      <c r="O116" s="1"/>
      <c r="P116" s="1"/>
      <c r="Q116" s="59">
        <f>SUM(N116:P116)</f>
        <v>0</v>
      </c>
      <c r="R116" s="59">
        <f>+E116+I116+M116+Q116</f>
        <v>0</v>
      </c>
      <c r="T116" s="4" t="s">
        <v>111</v>
      </c>
    </row>
    <row r="117" spans="1:20" ht="15.75" customHeight="1" x14ac:dyDescent="0.3">
      <c r="A117" s="22" t="s">
        <v>64</v>
      </c>
      <c r="B117" s="60"/>
      <c r="C117" s="60"/>
      <c r="D117" s="60"/>
      <c r="E117" s="59" t="s">
        <v>7</v>
      </c>
      <c r="F117" s="60"/>
      <c r="G117" s="60"/>
      <c r="H117" s="60"/>
      <c r="I117" s="59" t="s">
        <v>7</v>
      </c>
      <c r="J117" s="60"/>
      <c r="K117" s="60"/>
      <c r="L117" s="60"/>
      <c r="M117" s="59" t="s">
        <v>7</v>
      </c>
      <c r="N117" s="60"/>
      <c r="O117" s="60"/>
      <c r="P117" s="60"/>
      <c r="Q117" s="59" t="s">
        <v>7</v>
      </c>
      <c r="R117" s="59" t="s">
        <v>7</v>
      </c>
    </row>
    <row r="118" spans="1:20" ht="15.75" customHeight="1" x14ac:dyDescent="0.3">
      <c r="A118" s="61" t="s">
        <v>112</v>
      </c>
      <c r="B118" s="1"/>
      <c r="C118" s="1"/>
      <c r="D118" s="1"/>
      <c r="E118" s="59">
        <f>SUM(B118:D118)</f>
        <v>0</v>
      </c>
      <c r="F118" s="1"/>
      <c r="G118" s="1"/>
      <c r="H118" s="1"/>
      <c r="I118" s="59">
        <f>SUM(F118:H118)</f>
        <v>0</v>
      </c>
      <c r="J118" s="1"/>
      <c r="K118" s="1"/>
      <c r="L118" s="1"/>
      <c r="M118" s="59">
        <f>SUM(J118:L118)</f>
        <v>0</v>
      </c>
      <c r="N118" s="1"/>
      <c r="O118" s="1"/>
      <c r="P118" s="1"/>
      <c r="Q118" s="59">
        <f>SUM(N118:P118)</f>
        <v>0</v>
      </c>
      <c r="R118" s="59">
        <f>+E118+I118+M118+Q118</f>
        <v>0</v>
      </c>
    </row>
    <row r="119" spans="1:20" ht="15.75" customHeight="1" x14ac:dyDescent="0.3">
      <c r="A119" s="61" t="s">
        <v>113</v>
      </c>
      <c r="B119" s="1"/>
      <c r="C119" s="1"/>
      <c r="D119" s="1"/>
      <c r="E119" s="59">
        <f>SUM(B119:D119)</f>
        <v>0</v>
      </c>
      <c r="F119" s="1"/>
      <c r="G119" s="1"/>
      <c r="H119" s="1"/>
      <c r="I119" s="59">
        <f>SUM(F119:H119)</f>
        <v>0</v>
      </c>
      <c r="J119" s="1"/>
      <c r="K119" s="1"/>
      <c r="L119" s="1"/>
      <c r="M119" s="59">
        <f>SUM(J119:L119)</f>
        <v>0</v>
      </c>
      <c r="N119" s="1"/>
      <c r="O119" s="1"/>
      <c r="P119" s="1"/>
      <c r="Q119" s="59">
        <f>SUM(N119:P119)</f>
        <v>0</v>
      </c>
      <c r="R119" s="59">
        <f>+E119+I119+M119+Q119</f>
        <v>0</v>
      </c>
    </row>
    <row r="120" spans="1:20" ht="15.75" customHeight="1" x14ac:dyDescent="0.3">
      <c r="A120" s="22" t="s">
        <v>66</v>
      </c>
      <c r="B120" s="60"/>
      <c r="C120" s="60"/>
      <c r="D120" s="60"/>
      <c r="E120" s="59" t="s">
        <v>7</v>
      </c>
      <c r="F120" s="60"/>
      <c r="G120" s="60"/>
      <c r="H120" s="60"/>
      <c r="I120" s="59" t="s">
        <v>7</v>
      </c>
      <c r="J120" s="60"/>
      <c r="K120" s="60"/>
      <c r="L120" s="60"/>
      <c r="M120" s="59" t="s">
        <v>7</v>
      </c>
      <c r="N120" s="60"/>
      <c r="O120" s="60"/>
      <c r="P120" s="60"/>
      <c r="Q120" s="59" t="s">
        <v>7</v>
      </c>
      <c r="R120" s="59" t="s">
        <v>7</v>
      </c>
    </row>
    <row r="121" spans="1:20" ht="15.75" customHeight="1" x14ac:dyDescent="0.3">
      <c r="A121" s="61" t="s">
        <v>903</v>
      </c>
      <c r="B121" s="1"/>
      <c r="C121" s="1"/>
      <c r="D121" s="1"/>
      <c r="E121" s="59">
        <f>SUM(B121:D121)</f>
        <v>0</v>
      </c>
      <c r="F121" s="1"/>
      <c r="G121" s="1"/>
      <c r="H121" s="1"/>
      <c r="I121" s="59">
        <f>SUM(F121:H121)</f>
        <v>0</v>
      </c>
      <c r="J121" s="1"/>
      <c r="K121" s="1"/>
      <c r="L121" s="1">
        <v>1168</v>
      </c>
      <c r="M121" s="59">
        <f>SUM(J121:L121)</f>
        <v>1168</v>
      </c>
      <c r="N121" s="1">
        <v>629</v>
      </c>
      <c r="O121" s="1"/>
      <c r="P121" s="1">
        <v>202</v>
      </c>
      <c r="Q121" s="59">
        <f>SUM(N121:P121)</f>
        <v>831</v>
      </c>
      <c r="R121" s="59">
        <f>+E121+I121+M121+Q121</f>
        <v>1999</v>
      </c>
      <c r="T121" s="4" t="s">
        <v>78</v>
      </c>
    </row>
    <row r="122" spans="1:20" ht="15.75" customHeight="1" thickBot="1" x14ac:dyDescent="0.35">
      <c r="A122" s="22" t="s">
        <v>67</v>
      </c>
      <c r="B122" s="60"/>
      <c r="C122" s="60"/>
      <c r="D122" s="60"/>
      <c r="E122" s="59" t="s">
        <v>7</v>
      </c>
      <c r="F122" s="60"/>
      <c r="G122" s="60"/>
      <c r="H122" s="60"/>
      <c r="I122" s="59" t="s">
        <v>7</v>
      </c>
      <c r="J122" s="60"/>
      <c r="K122" s="60"/>
      <c r="L122" s="60"/>
      <c r="M122" s="59" t="s">
        <v>7</v>
      </c>
      <c r="N122" s="60"/>
      <c r="O122" s="60"/>
      <c r="P122" s="60"/>
      <c r="Q122" s="59" t="s">
        <v>7</v>
      </c>
      <c r="R122" s="59" t="s">
        <v>7</v>
      </c>
    </row>
    <row r="123" spans="1:20" ht="16.5" customHeight="1" thickBot="1" x14ac:dyDescent="0.35">
      <c r="A123" s="62" t="s">
        <v>68</v>
      </c>
      <c r="B123" s="63">
        <f>SUM(B120:B122)</f>
        <v>0</v>
      </c>
      <c r="C123" s="63">
        <f>SUM(C120:C122)</f>
        <v>0</v>
      </c>
      <c r="D123" s="63">
        <f>SUM(D120:D122)</f>
        <v>0</v>
      </c>
      <c r="E123" s="334">
        <f>SUM(B123:D123)</f>
        <v>0</v>
      </c>
      <c r="F123" s="63">
        <f>SUM(F120:F122)</f>
        <v>0</v>
      </c>
      <c r="G123" s="63">
        <f>SUM(G120:G122)</f>
        <v>0</v>
      </c>
      <c r="H123" s="63">
        <f>SUM(H120:H122)</f>
        <v>0</v>
      </c>
      <c r="I123" s="334">
        <f>SUM(F123:H123)</f>
        <v>0</v>
      </c>
      <c r="J123" s="63">
        <f>SUM(J120:J122)</f>
        <v>0</v>
      </c>
      <c r="K123" s="63">
        <f>SUM(K120:K122)</f>
        <v>0</v>
      </c>
      <c r="L123" s="63">
        <f>SUM(L120:L122)</f>
        <v>1168</v>
      </c>
      <c r="M123" s="334">
        <f>SUM(J123:L123)</f>
        <v>1168</v>
      </c>
      <c r="N123" s="63">
        <f>SUM(N120:N122)</f>
        <v>629</v>
      </c>
      <c r="O123" s="63">
        <f>SUM(O120:O122)</f>
        <v>0</v>
      </c>
      <c r="P123" s="63">
        <f>SUM(P120:P122)</f>
        <v>202</v>
      </c>
      <c r="Q123" s="334">
        <f>SUM(N123:P123)</f>
        <v>831</v>
      </c>
      <c r="R123" s="64">
        <f>+E123+I123+M123+Q123</f>
        <v>1999</v>
      </c>
    </row>
    <row r="124" spans="1:20" ht="16.5" customHeight="1" thickBot="1" x14ac:dyDescent="0.35">
      <c r="A124" s="62" t="s">
        <v>69</v>
      </c>
      <c r="B124" s="63">
        <f>SUM(B107:B122)</f>
        <v>0</v>
      </c>
      <c r="C124" s="63">
        <f>SUM(C107:C122)</f>
        <v>0</v>
      </c>
      <c r="D124" s="63">
        <f>SUM(D107:D122)</f>
        <v>0</v>
      </c>
      <c r="E124" s="334">
        <f>SUM(B124:D124)</f>
        <v>0</v>
      </c>
      <c r="F124" s="63">
        <f>SUM(F107:F122)</f>
        <v>0</v>
      </c>
      <c r="G124" s="63">
        <f>SUM(G107:G122)</f>
        <v>0</v>
      </c>
      <c r="H124" s="63">
        <f>SUM(H107:H122)</f>
        <v>0</v>
      </c>
      <c r="I124" s="334">
        <f>SUM(F124:H124)</f>
        <v>0</v>
      </c>
      <c r="J124" s="63">
        <f>SUM(J107:J122)</f>
        <v>0</v>
      </c>
      <c r="K124" s="63">
        <f>SUM(K107:K122)</f>
        <v>0</v>
      </c>
      <c r="L124" s="63">
        <f>SUM(L107:L122)</f>
        <v>1168</v>
      </c>
      <c r="M124" s="334">
        <f>SUM(J124:L124)</f>
        <v>1168</v>
      </c>
      <c r="N124" s="63">
        <f>SUM(N107:N122)</f>
        <v>629</v>
      </c>
      <c r="O124" s="63">
        <f>SUM(O107:O122)</f>
        <v>0</v>
      </c>
      <c r="P124" s="63">
        <f>SUM(P107:P122)</f>
        <v>202</v>
      </c>
      <c r="Q124" s="334">
        <f>SUM(N124:P124)</f>
        <v>831</v>
      </c>
      <c r="R124" s="64">
        <f>+E124+I124+M124+Q124</f>
        <v>1999</v>
      </c>
    </row>
    <row r="125" spans="1:20" ht="16.5" customHeight="1" thickBot="1" x14ac:dyDescent="0.35">
      <c r="A125" s="62" t="s">
        <v>70</v>
      </c>
      <c r="B125" s="63">
        <f>+B88+B95+B106+B124</f>
        <v>1062</v>
      </c>
      <c r="C125" s="63">
        <f>+C88+C95+C106+C124</f>
        <v>2916</v>
      </c>
      <c r="D125" s="63">
        <f>+D88+D95+D106+D124</f>
        <v>5047</v>
      </c>
      <c r="E125" s="64">
        <f>SUM(B125:D125)</f>
        <v>9025</v>
      </c>
      <c r="F125" s="63">
        <f>+F88+F95+F106+F124</f>
        <v>6034</v>
      </c>
      <c r="G125" s="63">
        <f>+G88+G95+G106+G124</f>
        <v>6619</v>
      </c>
      <c r="H125" s="63">
        <f>+H88+H95+H106+H124</f>
        <v>7477</v>
      </c>
      <c r="I125" s="64">
        <f>SUM(F125:H125)</f>
        <v>20130</v>
      </c>
      <c r="J125" s="63">
        <f>+J88+J95+J106+J124</f>
        <v>7901</v>
      </c>
      <c r="K125" s="63">
        <f>+K88+K95+K106+K124</f>
        <v>6865</v>
      </c>
      <c r="L125" s="63">
        <f>+L88+L95+L106+L124</f>
        <v>3492</v>
      </c>
      <c r="M125" s="64">
        <f>SUM(J125:L125)</f>
        <v>18258</v>
      </c>
      <c r="N125" s="63">
        <f>+N88+N95+N106+N124</f>
        <v>2137</v>
      </c>
      <c r="O125" s="63">
        <f>+O88+O95+O106+O124</f>
        <v>614</v>
      </c>
      <c r="P125" s="63">
        <f>+P88+P95+P106+P124</f>
        <v>1018</v>
      </c>
      <c r="Q125" s="64">
        <f>SUM(N125:P125)</f>
        <v>3769</v>
      </c>
      <c r="R125" s="64">
        <f>+E125+I125+M125+Q125</f>
        <v>51182</v>
      </c>
    </row>
    <row r="126" spans="1:20" ht="16.5" customHeight="1" thickBot="1" x14ac:dyDescent="0.35">
      <c r="A126" s="79" t="s">
        <v>37</v>
      </c>
      <c r="B126" s="25">
        <v>173</v>
      </c>
      <c r="C126" s="25">
        <v>260</v>
      </c>
      <c r="D126" s="25">
        <v>471</v>
      </c>
      <c r="E126" s="59">
        <f>SUM(B126:D126)</f>
        <v>904</v>
      </c>
      <c r="F126" s="25">
        <v>629</v>
      </c>
      <c r="G126" s="25">
        <v>725</v>
      </c>
      <c r="H126" s="25">
        <v>712</v>
      </c>
      <c r="I126" s="59">
        <f>SUM(F126:H126)</f>
        <v>2066</v>
      </c>
      <c r="J126" s="25">
        <v>711</v>
      </c>
      <c r="K126" s="25">
        <v>573</v>
      </c>
      <c r="L126" s="25">
        <v>542</v>
      </c>
      <c r="M126" s="59">
        <f>SUM(J126:L126)</f>
        <v>1826</v>
      </c>
      <c r="N126" s="25">
        <v>490</v>
      </c>
      <c r="O126" s="25">
        <v>407</v>
      </c>
      <c r="P126" s="25">
        <v>323</v>
      </c>
      <c r="Q126" s="59">
        <f>SUM(N126:P126)</f>
        <v>1220</v>
      </c>
      <c r="R126" s="59">
        <f>+E126+I126+M126+Q126</f>
        <v>6016</v>
      </c>
    </row>
    <row r="127" spans="1:20" ht="16.5" customHeight="1" thickBot="1" x14ac:dyDescent="0.35">
      <c r="A127" s="80"/>
      <c r="B127" s="81"/>
      <c r="C127" s="81"/>
      <c r="D127" s="81"/>
      <c r="E127" s="64" t="s">
        <v>7</v>
      </c>
      <c r="F127" s="81"/>
      <c r="G127" s="81"/>
      <c r="H127" s="81"/>
      <c r="I127" s="64" t="s">
        <v>7</v>
      </c>
      <c r="J127" s="81"/>
      <c r="K127" s="81"/>
      <c r="L127" s="81"/>
      <c r="M127" s="64" t="s">
        <v>7</v>
      </c>
      <c r="N127" s="81"/>
      <c r="O127" s="81"/>
      <c r="P127" s="81"/>
      <c r="Q127" s="64" t="s">
        <v>7</v>
      </c>
      <c r="R127" s="64" t="s">
        <v>7</v>
      </c>
    </row>
    <row r="128" spans="1:20" ht="15.75" customHeight="1" x14ac:dyDescent="0.3">
      <c r="A128" s="335" t="s">
        <v>38</v>
      </c>
      <c r="B128" s="336">
        <f>+B125+B126</f>
        <v>1235</v>
      </c>
      <c r="C128" s="336">
        <f>+C125+C126</f>
        <v>3176</v>
      </c>
      <c r="D128" s="336">
        <f>+D125+D126</f>
        <v>5518</v>
      </c>
      <c r="E128" s="59">
        <f>SUM(B128:D128)</f>
        <v>9929</v>
      </c>
      <c r="F128" s="336">
        <f>+F125+F126</f>
        <v>6663</v>
      </c>
      <c r="G128" s="336">
        <f>+G125+G126</f>
        <v>7344</v>
      </c>
      <c r="H128" s="336">
        <f>+H125+H126</f>
        <v>8189</v>
      </c>
      <c r="I128" s="59">
        <f>SUM(F128:H128)</f>
        <v>22196</v>
      </c>
      <c r="J128" s="336">
        <f>+J125+J126</f>
        <v>8612</v>
      </c>
      <c r="K128" s="336">
        <f>+K125+K126</f>
        <v>7438</v>
      </c>
      <c r="L128" s="336">
        <f>+L125+L126</f>
        <v>4034</v>
      </c>
      <c r="M128" s="59">
        <f>SUM(J128:L128)</f>
        <v>20084</v>
      </c>
      <c r="N128" s="336">
        <f>+N125+N126</f>
        <v>2627</v>
      </c>
      <c r="O128" s="336">
        <f>+O125+O126</f>
        <v>1021</v>
      </c>
      <c r="P128" s="336">
        <f>+P125+P126</f>
        <v>1341</v>
      </c>
      <c r="Q128" s="59">
        <f>SUM(N128:P128)</f>
        <v>4989</v>
      </c>
      <c r="R128" s="59">
        <f>+E128+I128+M128+Q128</f>
        <v>57198</v>
      </c>
    </row>
    <row r="129" spans="1:20" ht="15.75" customHeight="1" x14ac:dyDescent="0.3">
      <c r="A129" s="84" t="s">
        <v>39</v>
      </c>
      <c r="B129" s="1">
        <f>(B128/B10)/1.983</f>
        <v>20.090120866071281</v>
      </c>
      <c r="C129" s="1">
        <f>(C128/C10)/1.983</f>
        <v>55.228059192793921</v>
      </c>
      <c r="D129" s="1">
        <f>(D128/D10)/1.983</f>
        <v>89.76298537569339</v>
      </c>
      <c r="E129" s="59" t="s">
        <v>7</v>
      </c>
      <c r="F129" s="1">
        <f>(F128/F10)/1.983</f>
        <v>112.00201714573878</v>
      </c>
      <c r="G129" s="1">
        <f>(G128/G10)/1.983</f>
        <v>119.46708310965789</v>
      </c>
      <c r="H129" s="1">
        <f>(H128/H10)/1.983</f>
        <v>137.65338712388635</v>
      </c>
      <c r="I129" s="59" t="s">
        <v>7</v>
      </c>
      <c r="J129" s="1">
        <f>(J128/J10)/1.983</f>
        <v>140.09402501911407</v>
      </c>
      <c r="K129" s="1">
        <f>(K128/K10)/1.983</f>
        <v>120.99620971808761</v>
      </c>
      <c r="L129" s="1">
        <f>(L128/L10)/1.983</f>
        <v>67.809715918641785</v>
      </c>
      <c r="M129" s="59" t="s">
        <v>7</v>
      </c>
      <c r="N129" s="1">
        <f>(N128/N10)/1.983</f>
        <v>42.734208514307092</v>
      </c>
      <c r="O129" s="1">
        <f>(O128/O10)/1.983</f>
        <v>17.16254832744999</v>
      </c>
      <c r="P129" s="1">
        <f>(P128/P10)/1.983</f>
        <v>21.814455126640961</v>
      </c>
      <c r="Q129" s="59" t="s">
        <v>7</v>
      </c>
      <c r="R129" s="59" t="s">
        <v>7</v>
      </c>
    </row>
    <row r="130" spans="1:20" ht="15.75" customHeight="1" x14ac:dyDescent="0.3">
      <c r="A130" s="85" t="s">
        <v>117</v>
      </c>
      <c r="B130" s="1">
        <f>B128+B293</f>
        <v>152146</v>
      </c>
      <c r="C130" s="1">
        <f>C128+C293</f>
        <v>113658</v>
      </c>
      <c r="D130" s="1">
        <f>D128+D293</f>
        <v>121923</v>
      </c>
      <c r="E130" s="59">
        <f>SUM(B130:D130)</f>
        <v>387727</v>
      </c>
      <c r="F130" s="1">
        <f>F128+F293</f>
        <v>166337</v>
      </c>
      <c r="G130" s="1">
        <f>G128+G293</f>
        <v>177295</v>
      </c>
      <c r="H130" s="1">
        <f>H128+H293</f>
        <v>90823</v>
      </c>
      <c r="I130" s="59">
        <f>SUM(F130:H130)</f>
        <v>434455</v>
      </c>
      <c r="J130" s="1">
        <f>J128+J293</f>
        <v>76613</v>
      </c>
      <c r="K130" s="1">
        <f>K128+K293</f>
        <v>67039</v>
      </c>
      <c r="L130" s="1">
        <f>L128+L293</f>
        <v>130630</v>
      </c>
      <c r="M130" s="59">
        <f>SUM(J130:L130)</f>
        <v>274282</v>
      </c>
      <c r="N130" s="1">
        <f>N128+N293</f>
        <v>132880</v>
      </c>
      <c r="O130" s="1">
        <f>O128+O293</f>
        <v>137953</v>
      </c>
      <c r="P130" s="1">
        <f>P128+P293</f>
        <v>116828</v>
      </c>
      <c r="Q130" s="59">
        <f>SUM(N130:P130)</f>
        <v>387661</v>
      </c>
      <c r="R130" s="59">
        <f>+E130+I130+M130+Q130</f>
        <v>1484125</v>
      </c>
    </row>
    <row r="131" spans="1:20" ht="16.5" customHeight="1" thickBot="1" x14ac:dyDescent="0.35">
      <c r="A131" s="86" t="s">
        <v>118</v>
      </c>
      <c r="B131" s="87">
        <f>(B130/B10)/1.983</f>
        <v>2475.0052868739122</v>
      </c>
      <c r="C131" s="87">
        <f>(C130/C10)/1.983</f>
        <v>1976.4202618811621</v>
      </c>
      <c r="D131" s="87">
        <f>(D130/D10)/1.983</f>
        <v>1983.3585476550679</v>
      </c>
      <c r="E131" s="88" t="s">
        <v>7</v>
      </c>
      <c r="F131" s="87">
        <f>(F130/F10)/1.983</f>
        <v>2796.0497562615565</v>
      </c>
      <c r="G131" s="87">
        <f>(G130/G10)/1.983</f>
        <v>2884.1117238462411</v>
      </c>
      <c r="H131" s="87">
        <f>(H130/H10)/1.983</f>
        <v>1526.6935619431838</v>
      </c>
      <c r="I131" s="88" t="s">
        <v>7</v>
      </c>
      <c r="J131" s="87">
        <f>(J130/J10)/1.983</f>
        <v>1246.2869877832545</v>
      </c>
      <c r="K131" s="87">
        <f>(K130/K10)/1.983</f>
        <v>1090.5438159842531</v>
      </c>
      <c r="L131" s="87">
        <f>(L130/L10)/1.983</f>
        <v>2195.8312321398553</v>
      </c>
      <c r="M131" s="88" t="s">
        <v>7</v>
      </c>
      <c r="N131" s="87">
        <f>(N130/N10)/1.983</f>
        <v>2161.5994013631998</v>
      </c>
      <c r="O131" s="87">
        <f>(O130/O10)/1.983</f>
        <v>2318.9275508488822</v>
      </c>
      <c r="P131" s="87">
        <f>(P130/P10)/1.983</f>
        <v>1900.4766320173082</v>
      </c>
      <c r="Q131" s="88" t="s">
        <v>7</v>
      </c>
      <c r="R131" s="88" t="s">
        <v>7</v>
      </c>
    </row>
    <row r="132" spans="1:20" ht="15.75" customHeight="1" x14ac:dyDescent="0.3">
      <c r="A132" s="30"/>
      <c r="B132" s="1"/>
      <c r="C132" s="1"/>
      <c r="D132" s="1"/>
      <c r="E132" s="1"/>
      <c r="F132" s="1"/>
      <c r="G132" s="1"/>
      <c r="H132" s="1"/>
      <c r="I132" s="1"/>
      <c r="J132" s="1"/>
      <c r="K132" s="1"/>
      <c r="L132" s="1"/>
      <c r="M132" s="1"/>
      <c r="N132" s="1"/>
      <c r="O132" s="1"/>
      <c r="P132" s="1"/>
      <c r="Q132" s="1"/>
      <c r="R132" s="28"/>
    </row>
    <row r="133" spans="1:20" ht="15.75" customHeight="1" thickBot="1" x14ac:dyDescent="0.35">
      <c r="A133" s="30" t="s">
        <v>7</v>
      </c>
      <c r="B133" s="1"/>
      <c r="C133" s="1"/>
      <c r="D133" s="1"/>
      <c r="E133" s="1"/>
      <c r="F133" s="1"/>
      <c r="G133" s="1"/>
      <c r="H133" s="1"/>
      <c r="I133" s="1"/>
      <c r="J133" s="1"/>
      <c r="K133" s="1"/>
      <c r="L133" s="1"/>
      <c r="M133" s="1"/>
      <c r="N133" s="1"/>
      <c r="O133" s="1"/>
      <c r="P133" s="1"/>
      <c r="Q133" s="1"/>
      <c r="R133" s="28"/>
    </row>
    <row r="134" spans="1:20" ht="16.5" customHeight="1" thickBot="1" x14ac:dyDescent="0.35">
      <c r="A134" s="31" t="s">
        <v>119</v>
      </c>
      <c r="B134" s="323" t="s">
        <v>36</v>
      </c>
      <c r="C134" s="324" t="s">
        <v>9</v>
      </c>
      <c r="D134" s="324" t="s">
        <v>10</v>
      </c>
      <c r="E134" s="325" t="s">
        <v>11</v>
      </c>
      <c r="F134" s="324" t="s">
        <v>12</v>
      </c>
      <c r="G134" s="324" t="s">
        <v>13</v>
      </c>
      <c r="H134" s="324" t="s">
        <v>14</v>
      </c>
      <c r="I134" s="34" t="s">
        <v>15</v>
      </c>
      <c r="J134" s="324" t="s">
        <v>16</v>
      </c>
      <c r="K134" s="324" t="s">
        <v>17</v>
      </c>
      <c r="L134" s="324" t="s">
        <v>18</v>
      </c>
      <c r="M134" s="34" t="s">
        <v>19</v>
      </c>
      <c r="N134" s="324" t="s">
        <v>20</v>
      </c>
      <c r="O134" s="324" t="s">
        <v>21</v>
      </c>
      <c r="P134" s="324" t="s">
        <v>22</v>
      </c>
      <c r="Q134" s="34" t="s">
        <v>23</v>
      </c>
      <c r="R134" s="326" t="s">
        <v>24</v>
      </c>
    </row>
    <row r="135" spans="1:20" ht="16.5" customHeight="1" thickBot="1" x14ac:dyDescent="0.35">
      <c r="A135" s="80"/>
      <c r="B135" s="81"/>
      <c r="C135" s="81"/>
      <c r="D135" s="81"/>
      <c r="E135" s="89"/>
      <c r="F135" s="81"/>
      <c r="G135" s="81"/>
      <c r="H135" s="81"/>
      <c r="I135" s="89"/>
      <c r="J135" s="81"/>
      <c r="K135" s="81"/>
      <c r="L135" s="81"/>
      <c r="M135" s="89"/>
      <c r="N135" s="81"/>
      <c r="O135" s="81"/>
      <c r="P135" s="81"/>
      <c r="Q135" s="89"/>
      <c r="R135" s="80"/>
    </row>
    <row r="136" spans="1:20" ht="15.75" customHeight="1" x14ac:dyDescent="0.3">
      <c r="A136" s="17" t="s">
        <v>45</v>
      </c>
      <c r="B136" s="1" t="s">
        <v>7</v>
      </c>
      <c r="C136" s="1" t="s">
        <v>7</v>
      </c>
      <c r="D136" s="1" t="s">
        <v>7</v>
      </c>
      <c r="E136" s="59" t="s">
        <v>7</v>
      </c>
      <c r="F136" s="1" t="s">
        <v>7</v>
      </c>
      <c r="G136" s="1" t="s">
        <v>7</v>
      </c>
      <c r="H136" s="1" t="s">
        <v>7</v>
      </c>
      <c r="I136" s="59" t="s">
        <v>7</v>
      </c>
      <c r="J136" s="1" t="s">
        <v>7</v>
      </c>
      <c r="K136" s="1" t="s">
        <v>7</v>
      </c>
      <c r="L136" s="1" t="s">
        <v>7</v>
      </c>
      <c r="M136" s="59" t="s">
        <v>7</v>
      </c>
      <c r="N136" s="1" t="s">
        <v>7</v>
      </c>
      <c r="O136" s="1" t="s">
        <v>7</v>
      </c>
      <c r="P136" s="1" t="s">
        <v>7</v>
      </c>
      <c r="Q136" s="59" t="s">
        <v>7</v>
      </c>
      <c r="R136" s="90" t="s">
        <v>7</v>
      </c>
    </row>
    <row r="137" spans="1:20" ht="15.75" customHeight="1" x14ac:dyDescent="0.3">
      <c r="A137" s="17" t="s">
        <v>46</v>
      </c>
      <c r="B137" s="1"/>
      <c r="C137" s="1"/>
      <c r="D137" s="1"/>
      <c r="E137" s="59" t="s">
        <v>7</v>
      </c>
      <c r="F137" s="1"/>
      <c r="G137" s="1"/>
      <c r="H137" s="1"/>
      <c r="I137" s="59" t="s">
        <v>7</v>
      </c>
      <c r="J137" s="1"/>
      <c r="K137" s="1"/>
      <c r="L137" s="1"/>
      <c r="M137" s="59" t="s">
        <v>7</v>
      </c>
      <c r="N137" s="1"/>
      <c r="O137" s="1"/>
      <c r="P137" s="1"/>
      <c r="Q137" s="59" t="s">
        <v>7</v>
      </c>
      <c r="R137" s="90"/>
    </row>
    <row r="138" spans="1:20" ht="15.75" customHeight="1" x14ac:dyDescent="0.3">
      <c r="A138" s="91" t="s">
        <v>120</v>
      </c>
      <c r="B138" s="1"/>
      <c r="C138" s="1"/>
      <c r="D138" s="1">
        <v>328</v>
      </c>
      <c r="E138" s="59">
        <f t="shared" ref="E138:E143" si="20">SUM(B138:D138)</f>
        <v>328</v>
      </c>
      <c r="F138" s="1">
        <v>335</v>
      </c>
      <c r="G138" s="1">
        <v>611</v>
      </c>
      <c r="H138" s="1">
        <v>585</v>
      </c>
      <c r="I138" s="59">
        <f t="shared" ref="I138:I143" si="21">SUM(F138:H138)</f>
        <v>1531</v>
      </c>
      <c r="J138" s="1">
        <v>656</v>
      </c>
      <c r="K138" s="1">
        <v>443</v>
      </c>
      <c r="L138" s="1">
        <v>703</v>
      </c>
      <c r="M138" s="59">
        <f t="shared" ref="M138:M143" si="22">SUM(J138:L138)</f>
        <v>1802</v>
      </c>
      <c r="N138" s="1">
        <v>528</v>
      </c>
      <c r="O138" s="1"/>
      <c r="P138" s="1"/>
      <c r="Q138" s="59">
        <f t="shared" ref="Q138:Q143" si="23">SUM(N138:P138)</f>
        <v>528</v>
      </c>
      <c r="R138" s="59">
        <f t="shared" ref="R138:R180" si="24">+E138+I138+M138+Q138</f>
        <v>4189</v>
      </c>
      <c r="T138" s="4" t="s">
        <v>121</v>
      </c>
    </row>
    <row r="139" spans="1:20" ht="15.75" customHeight="1" x14ac:dyDescent="0.3">
      <c r="A139" s="91" t="s">
        <v>122</v>
      </c>
      <c r="B139" s="1"/>
      <c r="C139" s="1">
        <v>81</v>
      </c>
      <c r="D139" s="1">
        <v>869</v>
      </c>
      <c r="E139" s="59">
        <f t="shared" si="20"/>
        <v>950</v>
      </c>
      <c r="F139" s="1">
        <f>524+1085</f>
        <v>1609</v>
      </c>
      <c r="G139" s="1">
        <f>156+1183</f>
        <v>1339</v>
      </c>
      <c r="H139" s="1">
        <f>146+1549</f>
        <v>1695</v>
      </c>
      <c r="I139" s="59">
        <f t="shared" si="21"/>
        <v>4643</v>
      </c>
      <c r="J139" s="1">
        <f>173+1615</f>
        <v>1788</v>
      </c>
      <c r="K139" s="1">
        <v>1502</v>
      </c>
      <c r="L139" s="1">
        <v>1297</v>
      </c>
      <c r="M139" s="59">
        <f t="shared" si="22"/>
        <v>4587</v>
      </c>
      <c r="N139" s="1">
        <v>913</v>
      </c>
      <c r="O139" s="1"/>
      <c r="P139" s="1"/>
      <c r="Q139" s="59">
        <f t="shared" si="23"/>
        <v>913</v>
      </c>
      <c r="R139" s="59">
        <f t="shared" si="24"/>
        <v>11093</v>
      </c>
      <c r="T139" s="4" t="s">
        <v>121</v>
      </c>
    </row>
    <row r="140" spans="1:20" ht="15.75" customHeight="1" x14ac:dyDescent="0.3">
      <c r="A140" s="91" t="s">
        <v>123</v>
      </c>
      <c r="B140" s="1"/>
      <c r="C140" s="1"/>
      <c r="D140" s="1"/>
      <c r="E140" s="59">
        <f t="shared" si="20"/>
        <v>0</v>
      </c>
      <c r="F140" s="1">
        <v>358</v>
      </c>
      <c r="G140" s="1">
        <v>346</v>
      </c>
      <c r="H140" s="1">
        <v>331</v>
      </c>
      <c r="I140" s="59">
        <f t="shared" si="21"/>
        <v>1035</v>
      </c>
      <c r="J140" s="1">
        <v>371</v>
      </c>
      <c r="K140" s="1">
        <v>251</v>
      </c>
      <c r="L140" s="1">
        <v>248</v>
      </c>
      <c r="M140" s="59">
        <f t="shared" si="22"/>
        <v>870</v>
      </c>
      <c r="N140" s="1">
        <v>467</v>
      </c>
      <c r="O140" s="1"/>
      <c r="P140" s="1"/>
      <c r="Q140" s="59">
        <f t="shared" si="23"/>
        <v>467</v>
      </c>
      <c r="R140" s="59">
        <f t="shared" si="24"/>
        <v>2372</v>
      </c>
      <c r="T140" s="4" t="s">
        <v>121</v>
      </c>
    </row>
    <row r="141" spans="1:20" ht="15.75" customHeight="1" x14ac:dyDescent="0.3">
      <c r="A141" s="91" t="s">
        <v>124</v>
      </c>
      <c r="B141" s="1"/>
      <c r="C141" s="1"/>
      <c r="D141" s="1"/>
      <c r="E141" s="59">
        <f t="shared" si="20"/>
        <v>0</v>
      </c>
      <c r="F141" s="1">
        <v>488</v>
      </c>
      <c r="G141" s="1">
        <v>471</v>
      </c>
      <c r="H141" s="1">
        <v>451</v>
      </c>
      <c r="I141" s="59">
        <f t="shared" si="21"/>
        <v>1410</v>
      </c>
      <c r="J141" s="1">
        <v>506</v>
      </c>
      <c r="K141" s="1">
        <v>342</v>
      </c>
      <c r="L141" s="1">
        <v>790</v>
      </c>
      <c r="M141" s="59">
        <f t="shared" si="22"/>
        <v>1638</v>
      </c>
      <c r="N141" s="1">
        <v>183</v>
      </c>
      <c r="O141" s="1"/>
      <c r="P141" s="1"/>
      <c r="Q141" s="59">
        <f t="shared" si="23"/>
        <v>183</v>
      </c>
      <c r="R141" s="59">
        <f t="shared" si="24"/>
        <v>3231</v>
      </c>
      <c r="T141" s="4" t="s">
        <v>121</v>
      </c>
    </row>
    <row r="142" spans="1:20" ht="15.75" customHeight="1" x14ac:dyDescent="0.3">
      <c r="A142" s="74" t="s">
        <v>126</v>
      </c>
      <c r="B142" s="1"/>
      <c r="C142" s="1"/>
      <c r="D142" s="1"/>
      <c r="E142" s="59">
        <f t="shared" si="20"/>
        <v>0</v>
      </c>
      <c r="F142" s="1"/>
      <c r="G142" s="1"/>
      <c r="H142" s="1">
        <v>6</v>
      </c>
      <c r="I142" s="59">
        <f t="shared" si="21"/>
        <v>6</v>
      </c>
      <c r="J142" s="1">
        <v>7</v>
      </c>
      <c r="K142" s="1">
        <v>4</v>
      </c>
      <c r="L142" s="1">
        <v>4</v>
      </c>
      <c r="M142" s="59">
        <f t="shared" si="22"/>
        <v>15</v>
      </c>
      <c r="N142" s="1">
        <v>3</v>
      </c>
      <c r="O142" s="1">
        <v>1</v>
      </c>
      <c r="P142" s="1">
        <v>3</v>
      </c>
      <c r="Q142" s="59">
        <f t="shared" si="23"/>
        <v>7</v>
      </c>
      <c r="R142" s="59">
        <f t="shared" si="24"/>
        <v>28</v>
      </c>
      <c r="T142" s="4" t="s">
        <v>127</v>
      </c>
    </row>
    <row r="143" spans="1:20" ht="15.75" customHeight="1" x14ac:dyDescent="0.3">
      <c r="A143" s="91" t="s">
        <v>129</v>
      </c>
      <c r="B143" s="1"/>
      <c r="C143" s="1"/>
      <c r="D143" s="1">
        <v>375</v>
      </c>
      <c r="E143" s="59">
        <f t="shared" si="20"/>
        <v>375</v>
      </c>
      <c r="F143" s="1"/>
      <c r="G143" s="1"/>
      <c r="H143" s="1"/>
      <c r="I143" s="59">
        <f t="shared" si="21"/>
        <v>0</v>
      </c>
      <c r="J143" s="1"/>
      <c r="K143" s="1"/>
      <c r="L143" s="1"/>
      <c r="M143" s="59">
        <f t="shared" si="22"/>
        <v>0</v>
      </c>
      <c r="N143" s="1"/>
      <c r="O143" s="1"/>
      <c r="P143" s="1"/>
      <c r="Q143" s="59">
        <f t="shared" si="23"/>
        <v>0</v>
      </c>
      <c r="R143" s="59">
        <f t="shared" si="24"/>
        <v>375</v>
      </c>
      <c r="T143" s="4" t="s">
        <v>121</v>
      </c>
    </row>
    <row r="144" spans="1:20" ht="15.75" customHeight="1" x14ac:dyDescent="0.3">
      <c r="A144" s="91" t="s">
        <v>131</v>
      </c>
      <c r="B144" s="1"/>
      <c r="C144" s="1"/>
      <c r="D144" s="1"/>
      <c r="E144" s="59">
        <f t="shared" ref="E144:E155" si="25">SUM(B144:D144)</f>
        <v>0</v>
      </c>
      <c r="F144" s="1"/>
      <c r="G144" s="1"/>
      <c r="H144" s="1"/>
      <c r="I144" s="59">
        <f t="shared" ref="I144:I177" si="26">SUM(F144:H144)</f>
        <v>0</v>
      </c>
      <c r="J144" s="1"/>
      <c r="K144" s="1"/>
      <c r="L144" s="1"/>
      <c r="M144" s="59">
        <f t="shared" ref="M144:M177" si="27">SUM(J144:L144)</f>
        <v>0</v>
      </c>
      <c r="N144" s="1"/>
      <c r="O144" s="1"/>
      <c r="P144" s="1"/>
      <c r="Q144" s="59">
        <f t="shared" ref="Q144:Q173" si="28">SUM(N144:P144)</f>
        <v>0</v>
      </c>
      <c r="R144" s="59">
        <f t="shared" si="24"/>
        <v>0</v>
      </c>
      <c r="T144" s="4" t="s">
        <v>132</v>
      </c>
    </row>
    <row r="145" spans="1:20" ht="15.75" customHeight="1" x14ac:dyDescent="0.3">
      <c r="A145" s="91" t="s">
        <v>133</v>
      </c>
      <c r="B145" s="1"/>
      <c r="C145" s="1">
        <v>1000</v>
      </c>
      <c r="D145" s="1">
        <v>1000</v>
      </c>
      <c r="E145" s="59">
        <f t="shared" si="25"/>
        <v>2000</v>
      </c>
      <c r="F145" s="1">
        <v>1512</v>
      </c>
      <c r="G145" s="1">
        <v>1904</v>
      </c>
      <c r="H145" s="1"/>
      <c r="I145" s="59">
        <f t="shared" si="26"/>
        <v>3416</v>
      </c>
      <c r="J145" s="1"/>
      <c r="K145" s="1"/>
      <c r="L145" s="1"/>
      <c r="M145" s="59">
        <f t="shared" si="27"/>
        <v>0</v>
      </c>
      <c r="N145" s="1"/>
      <c r="O145" s="1"/>
      <c r="P145" s="1"/>
      <c r="Q145" s="59">
        <f t="shared" si="28"/>
        <v>0</v>
      </c>
      <c r="R145" s="59">
        <f t="shared" si="24"/>
        <v>5416</v>
      </c>
      <c r="T145" s="4" t="s">
        <v>134</v>
      </c>
    </row>
    <row r="146" spans="1:20" ht="15.75" customHeight="1" x14ac:dyDescent="0.3">
      <c r="A146" s="74" t="s">
        <v>135</v>
      </c>
      <c r="B146" s="1"/>
      <c r="C146" s="1"/>
      <c r="D146" s="1"/>
      <c r="E146" s="59">
        <f t="shared" si="25"/>
        <v>0</v>
      </c>
      <c r="F146" s="1"/>
      <c r="G146" s="1"/>
      <c r="H146" s="1"/>
      <c r="I146" s="59">
        <f t="shared" si="26"/>
        <v>0</v>
      </c>
      <c r="J146" s="1"/>
      <c r="K146" s="1"/>
      <c r="L146" s="1"/>
      <c r="M146" s="59">
        <f t="shared" si="27"/>
        <v>0</v>
      </c>
      <c r="N146" s="1"/>
      <c r="O146" s="1"/>
      <c r="P146" s="1"/>
      <c r="Q146" s="59">
        <f t="shared" si="28"/>
        <v>0</v>
      </c>
      <c r="R146" s="59">
        <f t="shared" si="24"/>
        <v>0</v>
      </c>
      <c r="S146" s="4" t="s">
        <v>136</v>
      </c>
      <c r="T146" s="4" t="s">
        <v>137</v>
      </c>
    </row>
    <row r="147" spans="1:20" ht="15.75" customHeight="1" x14ac:dyDescent="0.3">
      <c r="A147" s="91" t="s">
        <v>904</v>
      </c>
      <c r="B147" s="1"/>
      <c r="C147" s="1"/>
      <c r="D147" s="1">
        <v>1000</v>
      </c>
      <c r="E147" s="59">
        <f>SUM(B147:D147)</f>
        <v>1000</v>
      </c>
      <c r="F147" s="1">
        <v>318</v>
      </c>
      <c r="G147" s="1">
        <v>1055</v>
      </c>
      <c r="H147" s="1">
        <v>1247</v>
      </c>
      <c r="I147" s="59">
        <f t="shared" si="26"/>
        <v>2620</v>
      </c>
      <c r="J147" s="1"/>
      <c r="K147" s="1">
        <v>453</v>
      </c>
      <c r="L147" s="1">
        <v>279</v>
      </c>
      <c r="M147" s="59">
        <f t="shared" si="27"/>
        <v>732</v>
      </c>
      <c r="N147" s="1"/>
      <c r="O147" s="1">
        <v>487</v>
      </c>
      <c r="P147" s="1"/>
      <c r="Q147" s="59">
        <f t="shared" si="28"/>
        <v>487</v>
      </c>
      <c r="R147" s="59">
        <f t="shared" si="24"/>
        <v>4839</v>
      </c>
      <c r="T147" s="4" t="s">
        <v>132</v>
      </c>
    </row>
    <row r="148" spans="1:20" ht="15.75" customHeight="1" x14ac:dyDescent="0.3">
      <c r="A148" s="91" t="s">
        <v>905</v>
      </c>
      <c r="B148" s="1"/>
      <c r="C148" s="1"/>
      <c r="D148" s="1"/>
      <c r="E148" s="59">
        <f t="shared" si="25"/>
        <v>0</v>
      </c>
      <c r="F148" s="1"/>
      <c r="G148" s="1"/>
      <c r="H148" s="1"/>
      <c r="I148" s="59">
        <f t="shared" si="26"/>
        <v>0</v>
      </c>
      <c r="J148" s="1"/>
      <c r="K148" s="1"/>
      <c r="L148" s="1">
        <v>157</v>
      </c>
      <c r="M148" s="59">
        <f t="shared" si="27"/>
        <v>157</v>
      </c>
      <c r="N148" s="1"/>
      <c r="O148" s="1"/>
      <c r="P148" s="1"/>
      <c r="Q148" s="59">
        <f t="shared" si="28"/>
        <v>0</v>
      </c>
      <c r="R148" s="59">
        <f t="shared" si="24"/>
        <v>157</v>
      </c>
      <c r="T148" s="4" t="s">
        <v>134</v>
      </c>
    </row>
    <row r="149" spans="1:20" ht="15.75" customHeight="1" x14ac:dyDescent="0.3">
      <c r="A149" s="91" t="s">
        <v>906</v>
      </c>
      <c r="B149" s="1"/>
      <c r="C149" s="1"/>
      <c r="D149" s="1"/>
      <c r="E149" s="59">
        <f t="shared" si="25"/>
        <v>0</v>
      </c>
      <c r="F149" s="1">
        <v>1000</v>
      </c>
      <c r="G149" s="1">
        <v>1000</v>
      </c>
      <c r="H149" s="1">
        <v>1000</v>
      </c>
      <c r="I149" s="59">
        <f t="shared" si="26"/>
        <v>3000</v>
      </c>
      <c r="J149" s="1"/>
      <c r="K149" s="1"/>
      <c r="L149" s="1"/>
      <c r="M149" s="59">
        <f t="shared" si="27"/>
        <v>0</v>
      </c>
      <c r="N149" s="1"/>
      <c r="O149" s="1"/>
      <c r="P149" s="1"/>
      <c r="Q149" s="59">
        <f t="shared" si="28"/>
        <v>0</v>
      </c>
      <c r="R149" s="59">
        <f t="shared" si="24"/>
        <v>3000</v>
      </c>
      <c r="T149" s="4" t="s">
        <v>121</v>
      </c>
    </row>
    <row r="150" spans="1:20" ht="15.75" customHeight="1" x14ac:dyDescent="0.3">
      <c r="A150" s="74" t="s">
        <v>142</v>
      </c>
      <c r="B150" s="1">
        <v>36</v>
      </c>
      <c r="C150" s="1">
        <v>33</v>
      </c>
      <c r="D150" s="1">
        <v>36</v>
      </c>
      <c r="E150" s="59">
        <f t="shared" si="25"/>
        <v>105</v>
      </c>
      <c r="F150" s="1">
        <v>40</v>
      </c>
      <c r="G150" s="1">
        <v>43</v>
      </c>
      <c r="H150" s="1">
        <v>50</v>
      </c>
      <c r="I150" s="59">
        <f t="shared" si="26"/>
        <v>133</v>
      </c>
      <c r="J150" s="1">
        <v>51</v>
      </c>
      <c r="K150" s="1">
        <v>55</v>
      </c>
      <c r="L150" s="1">
        <v>52</v>
      </c>
      <c r="M150" s="59">
        <f t="shared" si="27"/>
        <v>158</v>
      </c>
      <c r="N150" s="1">
        <v>63</v>
      </c>
      <c r="O150" s="1">
        <v>32</v>
      </c>
      <c r="P150" s="1">
        <v>27</v>
      </c>
      <c r="Q150" s="59">
        <f t="shared" si="28"/>
        <v>122</v>
      </c>
      <c r="R150" s="59">
        <f t="shared" si="24"/>
        <v>518</v>
      </c>
      <c r="T150" s="4" t="s">
        <v>143</v>
      </c>
    </row>
    <row r="151" spans="1:20" ht="15.75" customHeight="1" x14ac:dyDescent="0.3">
      <c r="A151" s="74" t="s">
        <v>144</v>
      </c>
      <c r="B151" s="1">
        <v>115</v>
      </c>
      <c r="C151" s="1">
        <v>136</v>
      </c>
      <c r="D151" s="1">
        <v>141</v>
      </c>
      <c r="E151" s="59">
        <f t="shared" si="25"/>
        <v>392</v>
      </c>
      <c r="F151" s="1">
        <v>145</v>
      </c>
      <c r="G151" s="1">
        <v>162</v>
      </c>
      <c r="H151" s="1">
        <v>189</v>
      </c>
      <c r="I151" s="59">
        <f t="shared" si="26"/>
        <v>496</v>
      </c>
      <c r="J151" s="1">
        <v>205</v>
      </c>
      <c r="K151" s="1">
        <v>165</v>
      </c>
      <c r="L151" s="1">
        <v>168</v>
      </c>
      <c r="M151" s="59">
        <f t="shared" si="27"/>
        <v>538</v>
      </c>
      <c r="N151" s="1">
        <v>223</v>
      </c>
      <c r="O151" s="1">
        <v>148</v>
      </c>
      <c r="P151" s="1">
        <v>134</v>
      </c>
      <c r="Q151" s="59">
        <f t="shared" si="28"/>
        <v>505</v>
      </c>
      <c r="R151" s="59">
        <f t="shared" si="24"/>
        <v>1931</v>
      </c>
      <c r="T151" s="4" t="s">
        <v>145</v>
      </c>
    </row>
    <row r="152" spans="1:20" ht="15.75" customHeight="1" x14ac:dyDescent="0.3">
      <c r="A152" s="74" t="s">
        <v>147</v>
      </c>
      <c r="B152" s="1"/>
      <c r="C152" s="1"/>
      <c r="D152" s="1"/>
      <c r="E152" s="59">
        <f t="shared" si="25"/>
        <v>0</v>
      </c>
      <c r="F152" s="1"/>
      <c r="G152" s="1"/>
      <c r="H152" s="1"/>
      <c r="I152" s="59">
        <f t="shared" si="26"/>
        <v>0</v>
      </c>
      <c r="J152" s="1"/>
      <c r="K152" s="1"/>
      <c r="L152" s="1">
        <f>24+300</f>
        <v>324</v>
      </c>
      <c r="M152" s="59">
        <f t="shared" si="27"/>
        <v>324</v>
      </c>
      <c r="N152" s="1">
        <f>637+126</f>
        <v>763</v>
      </c>
      <c r="O152" s="1">
        <f>500+148</f>
        <v>648</v>
      </c>
      <c r="P152" s="1"/>
      <c r="Q152" s="59">
        <f t="shared" si="28"/>
        <v>1411</v>
      </c>
      <c r="R152" s="59">
        <f t="shared" si="24"/>
        <v>1735</v>
      </c>
      <c r="S152" s="4" t="s">
        <v>136</v>
      </c>
    </row>
    <row r="153" spans="1:20" ht="15.75" customHeight="1" x14ac:dyDescent="0.3">
      <c r="A153" s="91" t="s">
        <v>877</v>
      </c>
      <c r="B153" s="1"/>
      <c r="C153" s="1"/>
      <c r="D153" s="1"/>
      <c r="E153" s="59">
        <f t="shared" si="25"/>
        <v>0</v>
      </c>
      <c r="F153" s="1"/>
      <c r="G153" s="1">
        <v>63</v>
      </c>
      <c r="H153" s="1">
        <v>63</v>
      </c>
      <c r="I153" s="59">
        <f t="shared" si="26"/>
        <v>126</v>
      </c>
      <c r="J153" s="1">
        <v>62</v>
      </c>
      <c r="K153" s="1">
        <v>158</v>
      </c>
      <c r="L153" s="1">
        <v>154</v>
      </c>
      <c r="M153" s="59">
        <f t="shared" si="27"/>
        <v>374</v>
      </c>
      <c r="N153" s="1"/>
      <c r="O153" s="1"/>
      <c r="P153" s="1"/>
      <c r="Q153" s="59">
        <f t="shared" si="28"/>
        <v>0</v>
      </c>
      <c r="R153" s="59">
        <f t="shared" si="24"/>
        <v>500</v>
      </c>
      <c r="T153" s="4" t="s">
        <v>121</v>
      </c>
    </row>
    <row r="154" spans="1:20" ht="15.75" customHeight="1" x14ac:dyDescent="0.3">
      <c r="A154" s="74" t="s">
        <v>878</v>
      </c>
      <c r="B154" s="1">
        <v>370</v>
      </c>
      <c r="C154" s="1">
        <v>391</v>
      </c>
      <c r="D154" s="1">
        <v>454</v>
      </c>
      <c r="E154" s="59">
        <f t="shared" si="25"/>
        <v>1215</v>
      </c>
      <c r="F154" s="1">
        <v>458</v>
      </c>
      <c r="G154" s="1">
        <v>492</v>
      </c>
      <c r="H154" s="1">
        <v>527</v>
      </c>
      <c r="I154" s="59">
        <f t="shared" si="26"/>
        <v>1477</v>
      </c>
      <c r="J154" s="1">
        <v>490</v>
      </c>
      <c r="K154" s="1">
        <v>394</v>
      </c>
      <c r="L154" s="1">
        <v>420</v>
      </c>
      <c r="M154" s="59">
        <f t="shared" si="27"/>
        <v>1304</v>
      </c>
      <c r="N154" s="1">
        <v>354</v>
      </c>
      <c r="O154" s="1">
        <v>142</v>
      </c>
      <c r="P154" s="1">
        <v>132</v>
      </c>
      <c r="Q154" s="59">
        <f t="shared" si="28"/>
        <v>628</v>
      </c>
      <c r="R154" s="59">
        <f t="shared" si="24"/>
        <v>4624</v>
      </c>
      <c r="T154" s="4" t="s">
        <v>150</v>
      </c>
    </row>
    <row r="155" spans="1:20" ht="15.75" customHeight="1" x14ac:dyDescent="0.3">
      <c r="A155" s="91" t="s">
        <v>152</v>
      </c>
      <c r="B155" s="1"/>
      <c r="C155" s="1"/>
      <c r="D155" s="1"/>
      <c r="E155" s="59">
        <f t="shared" si="25"/>
        <v>0</v>
      </c>
      <c r="F155" s="1"/>
      <c r="G155" s="1"/>
      <c r="H155" s="1"/>
      <c r="I155" s="59">
        <f t="shared" si="26"/>
        <v>0</v>
      </c>
      <c r="J155" s="1"/>
      <c r="K155" s="1">
        <v>17</v>
      </c>
      <c r="L155" s="1">
        <v>491</v>
      </c>
      <c r="M155" s="59">
        <f t="shared" si="27"/>
        <v>508</v>
      </c>
      <c r="N155" s="1"/>
      <c r="O155" s="1"/>
      <c r="P155" s="1"/>
      <c r="Q155" s="59">
        <f t="shared" si="28"/>
        <v>0</v>
      </c>
      <c r="R155" s="59">
        <f t="shared" si="24"/>
        <v>508</v>
      </c>
      <c r="T155" s="4" t="s">
        <v>134</v>
      </c>
    </row>
    <row r="156" spans="1:20" ht="15.75" customHeight="1" x14ac:dyDescent="0.3">
      <c r="A156" s="74" t="s">
        <v>155</v>
      </c>
      <c r="B156" s="1"/>
      <c r="C156" s="1"/>
      <c r="D156" s="1"/>
      <c r="E156" s="59">
        <f t="shared" ref="E156:E176" si="29">SUM(B156:D156)</f>
        <v>0</v>
      </c>
      <c r="F156" s="1">
        <v>140</v>
      </c>
      <c r="G156" s="1">
        <v>140</v>
      </c>
      <c r="H156" s="1">
        <v>140</v>
      </c>
      <c r="I156" s="59">
        <f t="shared" si="26"/>
        <v>420</v>
      </c>
      <c r="J156" s="1">
        <f>140+719</f>
        <v>859</v>
      </c>
      <c r="K156" s="1">
        <v>140</v>
      </c>
      <c r="L156" s="1">
        <f>140+800</f>
        <v>940</v>
      </c>
      <c r="M156" s="59">
        <f t="shared" si="27"/>
        <v>1939</v>
      </c>
      <c r="N156" s="1">
        <v>140</v>
      </c>
      <c r="O156" s="1">
        <v>219</v>
      </c>
      <c r="P156" s="1"/>
      <c r="Q156" s="59">
        <f t="shared" si="28"/>
        <v>359</v>
      </c>
      <c r="R156" s="59">
        <f t="shared" si="24"/>
        <v>2718</v>
      </c>
      <c r="S156" s="4" t="s">
        <v>136</v>
      </c>
      <c r="T156" s="4" t="s">
        <v>137</v>
      </c>
    </row>
    <row r="157" spans="1:20" s="98" customFormat="1" ht="15.75" customHeight="1" x14ac:dyDescent="0.3">
      <c r="A157" s="96" t="s">
        <v>156</v>
      </c>
      <c r="B157" s="143"/>
      <c r="C157" s="143"/>
      <c r="D157" s="143"/>
      <c r="E157" s="97">
        <f t="shared" si="29"/>
        <v>0</v>
      </c>
      <c r="F157" s="143"/>
      <c r="G157" s="143"/>
      <c r="H157" s="143"/>
      <c r="I157" s="97">
        <f t="shared" si="26"/>
        <v>0</v>
      </c>
      <c r="J157" s="143"/>
      <c r="K157" s="143"/>
      <c r="L157" s="143"/>
      <c r="M157" s="97">
        <f t="shared" si="27"/>
        <v>0</v>
      </c>
      <c r="N157" s="143"/>
      <c r="O157" s="143"/>
      <c r="P157" s="143"/>
      <c r="Q157" s="97">
        <f t="shared" si="28"/>
        <v>0</v>
      </c>
      <c r="R157" s="97">
        <f t="shared" si="24"/>
        <v>0</v>
      </c>
      <c r="S157" s="4"/>
    </row>
    <row r="158" spans="1:20" ht="15.75" customHeight="1" x14ac:dyDescent="0.3">
      <c r="A158" s="74" t="s">
        <v>157</v>
      </c>
      <c r="B158" s="1"/>
      <c r="C158" s="1"/>
      <c r="D158" s="1"/>
      <c r="E158" s="59">
        <f t="shared" si="29"/>
        <v>0</v>
      </c>
      <c r="F158" s="1"/>
      <c r="G158" s="1"/>
      <c r="H158" s="1">
        <v>1473</v>
      </c>
      <c r="I158" s="59">
        <f t="shared" si="26"/>
        <v>1473</v>
      </c>
      <c r="J158" s="1">
        <v>1695</v>
      </c>
      <c r="K158" s="1">
        <v>1276</v>
      </c>
      <c r="L158" s="1">
        <v>1039</v>
      </c>
      <c r="M158" s="59">
        <f t="shared" si="27"/>
        <v>4010</v>
      </c>
      <c r="N158" s="1">
        <v>1815</v>
      </c>
      <c r="O158" s="1">
        <v>1453</v>
      </c>
      <c r="P158" s="1">
        <v>1670</v>
      </c>
      <c r="Q158" s="59">
        <f t="shared" si="28"/>
        <v>4938</v>
      </c>
      <c r="R158" s="59">
        <f>+E158+I158+M158+Q158</f>
        <v>10421</v>
      </c>
      <c r="T158" s="4" t="s">
        <v>158</v>
      </c>
    </row>
    <row r="159" spans="1:20" ht="15.75" customHeight="1" x14ac:dyDescent="0.3">
      <c r="A159" s="91" t="s">
        <v>159</v>
      </c>
      <c r="B159" s="1"/>
      <c r="C159" s="1"/>
      <c r="D159" s="1"/>
      <c r="E159" s="59">
        <f t="shared" si="29"/>
        <v>0</v>
      </c>
      <c r="F159" s="1"/>
      <c r="G159" s="1"/>
      <c r="H159" s="1"/>
      <c r="I159" s="59">
        <f t="shared" si="26"/>
        <v>0</v>
      </c>
      <c r="J159" s="1">
        <v>500</v>
      </c>
      <c r="K159" s="1">
        <v>500</v>
      </c>
      <c r="L159" s="1"/>
      <c r="M159" s="59">
        <f t="shared" si="27"/>
        <v>1000</v>
      </c>
      <c r="N159" s="1"/>
      <c r="O159" s="1"/>
      <c r="P159" s="1"/>
      <c r="Q159" s="59">
        <f t="shared" si="28"/>
        <v>0</v>
      </c>
      <c r="R159" s="59">
        <f t="shared" ref="R159:R164" si="30">+E159+I159+M159+Q159</f>
        <v>1000</v>
      </c>
      <c r="T159" s="4" t="s">
        <v>121</v>
      </c>
    </row>
    <row r="160" spans="1:20" ht="15.75" customHeight="1" x14ac:dyDescent="0.3">
      <c r="A160" s="91" t="s">
        <v>160</v>
      </c>
      <c r="B160" s="1"/>
      <c r="C160" s="1"/>
      <c r="D160" s="1">
        <v>500</v>
      </c>
      <c r="E160" s="59">
        <f t="shared" si="29"/>
        <v>500</v>
      </c>
      <c r="F160" s="1"/>
      <c r="G160" s="1"/>
      <c r="H160" s="1">
        <v>500</v>
      </c>
      <c r="I160" s="59">
        <f t="shared" si="26"/>
        <v>500</v>
      </c>
      <c r="J160" s="1"/>
      <c r="K160" s="1"/>
      <c r="L160" s="1"/>
      <c r="M160" s="59">
        <f t="shared" si="27"/>
        <v>0</v>
      </c>
      <c r="N160" s="1"/>
      <c r="O160" s="1"/>
      <c r="P160" s="1"/>
      <c r="Q160" s="59">
        <f t="shared" si="28"/>
        <v>0</v>
      </c>
      <c r="R160" s="59">
        <f t="shared" si="30"/>
        <v>1000</v>
      </c>
      <c r="T160" s="4" t="s">
        <v>134</v>
      </c>
    </row>
    <row r="161" spans="1:20" ht="15.75" customHeight="1" x14ac:dyDescent="0.3">
      <c r="A161" s="74" t="s">
        <v>161</v>
      </c>
      <c r="B161" s="1"/>
      <c r="C161" s="1"/>
      <c r="D161" s="1"/>
      <c r="E161" s="59">
        <f t="shared" si="29"/>
        <v>0</v>
      </c>
      <c r="F161" s="1"/>
      <c r="G161" s="1"/>
      <c r="H161" s="1"/>
      <c r="I161" s="59">
        <f t="shared" si="26"/>
        <v>0</v>
      </c>
      <c r="J161" s="1">
        <v>1000</v>
      </c>
      <c r="K161" s="1"/>
      <c r="L161" s="1"/>
      <c r="M161" s="59">
        <f t="shared" si="27"/>
        <v>1000</v>
      </c>
      <c r="N161" s="1"/>
      <c r="O161" s="1"/>
      <c r="P161" s="1"/>
      <c r="Q161" s="59">
        <f t="shared" si="28"/>
        <v>0</v>
      </c>
      <c r="R161" s="59">
        <f t="shared" si="30"/>
        <v>1000</v>
      </c>
      <c r="S161" s="4" t="s">
        <v>136</v>
      </c>
      <c r="T161" s="4" t="s">
        <v>162</v>
      </c>
    </row>
    <row r="162" spans="1:20" ht="15.75" customHeight="1" x14ac:dyDescent="0.3">
      <c r="A162" s="91" t="s">
        <v>164</v>
      </c>
      <c r="B162" s="1"/>
      <c r="C162" s="1"/>
      <c r="D162" s="1">
        <v>310</v>
      </c>
      <c r="E162" s="59">
        <f t="shared" si="29"/>
        <v>310</v>
      </c>
      <c r="F162" s="1">
        <v>1690</v>
      </c>
      <c r="G162" s="1"/>
      <c r="H162" s="1"/>
      <c r="I162" s="59">
        <f t="shared" si="26"/>
        <v>1690</v>
      </c>
      <c r="J162" s="1"/>
      <c r="K162" s="1"/>
      <c r="L162" s="1"/>
      <c r="M162" s="59">
        <f t="shared" si="27"/>
        <v>0</v>
      </c>
      <c r="N162" s="1"/>
      <c r="O162" s="1"/>
      <c r="P162" s="1"/>
      <c r="Q162" s="59">
        <f t="shared" si="28"/>
        <v>0</v>
      </c>
      <c r="R162" s="59">
        <f t="shared" si="30"/>
        <v>2000</v>
      </c>
      <c r="T162" s="4" t="s">
        <v>132</v>
      </c>
    </row>
    <row r="163" spans="1:20" ht="15.75" customHeight="1" x14ac:dyDescent="0.3">
      <c r="A163" s="91" t="s">
        <v>165</v>
      </c>
      <c r="B163" s="1"/>
      <c r="C163" s="1"/>
      <c r="D163" s="1"/>
      <c r="E163" s="59">
        <f t="shared" si="29"/>
        <v>0</v>
      </c>
      <c r="F163" s="1"/>
      <c r="G163" s="1"/>
      <c r="H163" s="1"/>
      <c r="I163" s="59">
        <f t="shared" si="26"/>
        <v>0</v>
      </c>
      <c r="J163" s="1"/>
      <c r="K163" s="1"/>
      <c r="L163" s="1"/>
      <c r="M163" s="59">
        <f t="shared" si="27"/>
        <v>0</v>
      </c>
      <c r="N163" s="1"/>
      <c r="O163" s="1"/>
      <c r="P163" s="1"/>
      <c r="Q163" s="59">
        <f t="shared" si="28"/>
        <v>0</v>
      </c>
      <c r="R163" s="59">
        <f t="shared" si="30"/>
        <v>0</v>
      </c>
      <c r="T163" s="4" t="s">
        <v>134</v>
      </c>
    </row>
    <row r="164" spans="1:20" ht="15.75" customHeight="1" x14ac:dyDescent="0.3">
      <c r="A164" s="74" t="s">
        <v>166</v>
      </c>
      <c r="B164" s="1">
        <v>18</v>
      </c>
      <c r="C164" s="1">
        <v>30</v>
      </c>
      <c r="D164" s="1">
        <v>35</v>
      </c>
      <c r="E164" s="59">
        <f t="shared" si="29"/>
        <v>83</v>
      </c>
      <c r="F164" s="1">
        <v>47</v>
      </c>
      <c r="G164" s="1">
        <v>79</v>
      </c>
      <c r="H164" s="1">
        <v>76</v>
      </c>
      <c r="I164" s="59">
        <f t="shared" si="26"/>
        <v>202</v>
      </c>
      <c r="J164" s="1">
        <v>80</v>
      </c>
      <c r="K164" s="1">
        <v>68</v>
      </c>
      <c r="L164" s="1">
        <v>50</v>
      </c>
      <c r="M164" s="59">
        <f t="shared" si="27"/>
        <v>198</v>
      </c>
      <c r="N164" s="1">
        <v>73</v>
      </c>
      <c r="O164" s="1">
        <v>26</v>
      </c>
      <c r="P164" s="1">
        <v>15</v>
      </c>
      <c r="Q164" s="59">
        <f t="shared" si="28"/>
        <v>114</v>
      </c>
      <c r="R164" s="59">
        <f t="shared" si="30"/>
        <v>597</v>
      </c>
      <c r="T164" s="4" t="s">
        <v>127</v>
      </c>
    </row>
    <row r="165" spans="1:20" ht="15.75" customHeight="1" x14ac:dyDescent="0.3">
      <c r="A165" s="91" t="s">
        <v>167</v>
      </c>
      <c r="B165" s="1">
        <v>300</v>
      </c>
      <c r="C165" s="1"/>
      <c r="D165" s="1">
        <v>533</v>
      </c>
      <c r="E165" s="59">
        <f t="shared" si="29"/>
        <v>833</v>
      </c>
      <c r="F165" s="1"/>
      <c r="G165" s="1">
        <v>67</v>
      </c>
      <c r="H165" s="1"/>
      <c r="I165" s="59">
        <f t="shared" si="26"/>
        <v>67</v>
      </c>
      <c r="J165" s="1"/>
      <c r="K165" s="1"/>
      <c r="L165" s="1">
        <v>750</v>
      </c>
      <c r="M165" s="59">
        <f t="shared" si="27"/>
        <v>750</v>
      </c>
      <c r="N165" s="1"/>
      <c r="O165" s="1"/>
      <c r="P165" s="1"/>
      <c r="Q165" s="59">
        <f t="shared" si="28"/>
        <v>0</v>
      </c>
      <c r="R165" s="59">
        <f t="shared" si="24"/>
        <v>1650</v>
      </c>
      <c r="T165" s="4" t="s">
        <v>132</v>
      </c>
    </row>
    <row r="166" spans="1:20" ht="15.75" customHeight="1" x14ac:dyDescent="0.3">
      <c r="A166" s="91" t="s">
        <v>168</v>
      </c>
      <c r="B166" s="1"/>
      <c r="C166" s="1"/>
      <c r="D166" s="1"/>
      <c r="E166" s="59">
        <f t="shared" si="29"/>
        <v>0</v>
      </c>
      <c r="F166" s="1"/>
      <c r="G166" s="1"/>
      <c r="H166" s="1"/>
      <c r="I166" s="59">
        <f t="shared" si="26"/>
        <v>0</v>
      </c>
      <c r="J166" s="1"/>
      <c r="K166" s="1"/>
      <c r="L166" s="1"/>
      <c r="M166" s="59">
        <f t="shared" si="27"/>
        <v>0</v>
      </c>
      <c r="N166" s="1"/>
      <c r="O166" s="1"/>
      <c r="P166" s="1">
        <v>430</v>
      </c>
      <c r="Q166" s="59">
        <f t="shared" si="28"/>
        <v>430</v>
      </c>
      <c r="R166" s="59">
        <f t="shared" si="24"/>
        <v>430</v>
      </c>
      <c r="T166" s="4" t="s">
        <v>134</v>
      </c>
    </row>
    <row r="167" spans="1:20" ht="15.75" customHeight="1" x14ac:dyDescent="0.3">
      <c r="A167" s="91" t="s">
        <v>169</v>
      </c>
      <c r="B167" s="1"/>
      <c r="C167" s="1"/>
      <c r="D167" s="1"/>
      <c r="E167" s="59">
        <f t="shared" si="29"/>
        <v>0</v>
      </c>
      <c r="F167" s="1"/>
      <c r="G167" s="1">
        <v>11</v>
      </c>
      <c r="H167" s="1">
        <v>84</v>
      </c>
      <c r="I167" s="59">
        <f t="shared" si="26"/>
        <v>95</v>
      </c>
      <c r="J167" s="1">
        <v>35</v>
      </c>
      <c r="K167" s="1">
        <v>64</v>
      </c>
      <c r="L167" s="1">
        <v>52</v>
      </c>
      <c r="M167" s="59">
        <f t="shared" si="27"/>
        <v>151</v>
      </c>
      <c r="N167" s="1">
        <v>87</v>
      </c>
      <c r="O167" s="1">
        <v>33</v>
      </c>
      <c r="P167" s="1">
        <v>19</v>
      </c>
      <c r="Q167" s="59">
        <f t="shared" si="28"/>
        <v>139</v>
      </c>
      <c r="R167" s="59">
        <f t="shared" si="24"/>
        <v>385</v>
      </c>
      <c r="T167" s="4" t="s">
        <v>170</v>
      </c>
    </row>
    <row r="168" spans="1:20" ht="15.75" customHeight="1" x14ac:dyDescent="0.3">
      <c r="A168" s="91" t="s">
        <v>171</v>
      </c>
      <c r="B168" s="1"/>
      <c r="C168" s="1"/>
      <c r="D168" s="1"/>
      <c r="E168" s="59">
        <f t="shared" si="29"/>
        <v>0</v>
      </c>
      <c r="F168" s="1"/>
      <c r="G168" s="1"/>
      <c r="H168" s="1">
        <v>38</v>
      </c>
      <c r="I168" s="59">
        <f t="shared" si="26"/>
        <v>38</v>
      </c>
      <c r="J168" s="1">
        <v>135</v>
      </c>
      <c r="K168" s="1">
        <v>86</v>
      </c>
      <c r="L168" s="1">
        <v>74</v>
      </c>
      <c r="M168" s="59">
        <f t="shared" si="27"/>
        <v>295</v>
      </c>
      <c r="N168" s="1">
        <v>76</v>
      </c>
      <c r="O168" s="1">
        <v>20</v>
      </c>
      <c r="P168" s="1">
        <v>4</v>
      </c>
      <c r="Q168" s="59">
        <f t="shared" si="28"/>
        <v>100</v>
      </c>
      <c r="R168" s="59">
        <f t="shared" si="24"/>
        <v>433</v>
      </c>
      <c r="T168" s="4" t="s">
        <v>127</v>
      </c>
    </row>
    <row r="169" spans="1:20" ht="15.75" customHeight="1" x14ac:dyDescent="0.3">
      <c r="A169" s="91" t="s">
        <v>172</v>
      </c>
      <c r="B169" s="1"/>
      <c r="C169" s="1"/>
      <c r="D169" s="1"/>
      <c r="E169" s="59">
        <f t="shared" si="29"/>
        <v>0</v>
      </c>
      <c r="F169" s="1"/>
      <c r="G169" s="1"/>
      <c r="H169" s="1"/>
      <c r="I169" s="59">
        <f t="shared" si="26"/>
        <v>0</v>
      </c>
      <c r="J169" s="1">
        <v>20</v>
      </c>
      <c r="K169" s="1">
        <v>14</v>
      </c>
      <c r="L169" s="1">
        <v>10</v>
      </c>
      <c r="M169" s="59">
        <f t="shared" si="27"/>
        <v>44</v>
      </c>
      <c r="N169" s="1"/>
      <c r="O169" s="1"/>
      <c r="P169" s="1"/>
      <c r="Q169" s="59">
        <f t="shared" si="28"/>
        <v>0</v>
      </c>
      <c r="R169" s="59">
        <f t="shared" si="24"/>
        <v>44</v>
      </c>
      <c r="T169" s="4" t="s">
        <v>121</v>
      </c>
    </row>
    <row r="170" spans="1:20" ht="15.75" customHeight="1" x14ac:dyDescent="0.3">
      <c r="A170" s="74" t="s">
        <v>173</v>
      </c>
      <c r="B170" s="1"/>
      <c r="C170" s="1"/>
      <c r="D170" s="1"/>
      <c r="E170" s="59">
        <f t="shared" si="29"/>
        <v>0</v>
      </c>
      <c r="F170" s="1"/>
      <c r="G170" s="1"/>
      <c r="H170" s="1"/>
      <c r="I170" s="59">
        <f t="shared" si="26"/>
        <v>0</v>
      </c>
      <c r="J170" s="1">
        <v>960</v>
      </c>
      <c r="K170" s="1">
        <v>958</v>
      </c>
      <c r="L170" s="1">
        <v>848</v>
      </c>
      <c r="M170" s="59">
        <f t="shared" si="27"/>
        <v>2766</v>
      </c>
      <c r="N170" s="1">
        <v>757</v>
      </c>
      <c r="O170" s="1">
        <v>707</v>
      </c>
      <c r="P170" s="1">
        <v>691</v>
      </c>
      <c r="Q170" s="59">
        <f t="shared" si="28"/>
        <v>2155</v>
      </c>
      <c r="R170" s="59">
        <f t="shared" si="24"/>
        <v>4921</v>
      </c>
      <c r="T170" s="4" t="s">
        <v>158</v>
      </c>
    </row>
    <row r="171" spans="1:20" ht="15.75" customHeight="1" x14ac:dyDescent="0.3">
      <c r="A171" s="74" t="s">
        <v>174</v>
      </c>
      <c r="B171" s="1"/>
      <c r="C171" s="1"/>
      <c r="D171" s="1"/>
      <c r="E171" s="59">
        <f t="shared" si="29"/>
        <v>0</v>
      </c>
      <c r="F171" s="1"/>
      <c r="G171" s="1"/>
      <c r="H171" s="1"/>
      <c r="I171" s="59">
        <f t="shared" si="26"/>
        <v>0</v>
      </c>
      <c r="J171" s="1">
        <v>2500</v>
      </c>
      <c r="K171" s="1">
        <v>2850</v>
      </c>
      <c r="L171" s="1">
        <v>2150</v>
      </c>
      <c r="M171" s="59">
        <f t="shared" si="27"/>
        <v>7500</v>
      </c>
      <c r="N171" s="1"/>
      <c r="O171" s="1"/>
      <c r="P171" s="1"/>
      <c r="Q171" s="59">
        <f t="shared" si="28"/>
        <v>0</v>
      </c>
      <c r="R171" s="59">
        <f t="shared" si="24"/>
        <v>7500</v>
      </c>
      <c r="S171" s="4" t="s">
        <v>136</v>
      </c>
      <c r="T171" s="4" t="s">
        <v>137</v>
      </c>
    </row>
    <row r="172" spans="1:20" ht="15.75" customHeight="1" x14ac:dyDescent="0.3">
      <c r="A172" s="74" t="s">
        <v>175</v>
      </c>
      <c r="B172" s="1"/>
      <c r="C172" s="1"/>
      <c r="D172" s="1"/>
      <c r="E172" s="59">
        <f t="shared" si="29"/>
        <v>0</v>
      </c>
      <c r="F172" s="1"/>
      <c r="G172" s="1"/>
      <c r="H172" s="1"/>
      <c r="I172" s="59">
        <f t="shared" si="26"/>
        <v>0</v>
      </c>
      <c r="J172" s="1"/>
      <c r="K172" s="1"/>
      <c r="L172" s="1"/>
      <c r="M172" s="59">
        <f t="shared" si="27"/>
        <v>0</v>
      </c>
      <c r="N172" s="1"/>
      <c r="O172" s="1"/>
      <c r="P172" s="1"/>
      <c r="Q172" s="59">
        <f t="shared" si="28"/>
        <v>0</v>
      </c>
      <c r="R172" s="59">
        <f t="shared" si="24"/>
        <v>0</v>
      </c>
      <c r="T172" s="4" t="s">
        <v>137</v>
      </c>
    </row>
    <row r="173" spans="1:20" ht="15.75" customHeight="1" x14ac:dyDescent="0.3">
      <c r="A173" s="74" t="s">
        <v>176</v>
      </c>
      <c r="B173" s="1">
        <f>5056+19</f>
        <v>5075</v>
      </c>
      <c r="C173" s="1">
        <f>2961+30</f>
        <v>2991</v>
      </c>
      <c r="D173" s="1">
        <v>60</v>
      </c>
      <c r="E173" s="59">
        <f t="shared" si="29"/>
        <v>8126</v>
      </c>
      <c r="F173" s="1">
        <f>3269+1+3+64</f>
        <v>3337</v>
      </c>
      <c r="G173" s="1">
        <f>9194+1+2+100</f>
        <v>9297</v>
      </c>
      <c r="H173" s="1">
        <f>11325+1+2+103</f>
        <v>11431</v>
      </c>
      <c r="I173" s="59">
        <f t="shared" si="26"/>
        <v>24065</v>
      </c>
      <c r="J173" s="1">
        <f>4339+7550+1+2+101</f>
        <v>11993</v>
      </c>
      <c r="K173" s="1">
        <f>10059+1+2+58</f>
        <v>10120</v>
      </c>
      <c r="L173" s="1">
        <f>9507+1+2+65</f>
        <v>9575</v>
      </c>
      <c r="M173" s="59">
        <f t="shared" si="27"/>
        <v>31688</v>
      </c>
      <c r="N173" s="1">
        <f>9930+1+2+76</f>
        <v>10009</v>
      </c>
      <c r="O173" s="1">
        <f>8123+1+2+34</f>
        <v>8160</v>
      </c>
      <c r="P173" s="1">
        <f>4082+1+1106+2+18</f>
        <v>5209</v>
      </c>
      <c r="Q173" s="59">
        <f t="shared" si="28"/>
        <v>23378</v>
      </c>
      <c r="R173" s="59">
        <f t="shared" si="24"/>
        <v>87257</v>
      </c>
      <c r="S173" s="4" t="s">
        <v>136</v>
      </c>
    </row>
    <row r="174" spans="1:20" ht="15.75" customHeight="1" x14ac:dyDescent="0.3">
      <c r="A174" s="74" t="s">
        <v>177</v>
      </c>
      <c r="B174" s="1"/>
      <c r="C174" s="1"/>
      <c r="D174" s="1"/>
      <c r="E174" s="59">
        <f t="shared" si="29"/>
        <v>0</v>
      </c>
      <c r="F174" s="1"/>
      <c r="G174" s="1"/>
      <c r="H174" s="1"/>
      <c r="I174" s="59">
        <f t="shared" si="26"/>
        <v>0</v>
      </c>
      <c r="J174" s="1">
        <f>4600+350</f>
        <v>4950</v>
      </c>
      <c r="K174" s="1">
        <f>5400+1030</f>
        <v>6430</v>
      </c>
      <c r="L174" s="1">
        <v>1030</v>
      </c>
      <c r="M174" s="59">
        <f t="shared" si="27"/>
        <v>12410</v>
      </c>
      <c r="N174" s="1">
        <v>1030</v>
      </c>
      <c r="O174" s="1">
        <v>1030</v>
      </c>
      <c r="P174" s="1">
        <v>1030</v>
      </c>
      <c r="Q174" s="59">
        <f t="shared" ref="Q174:Q183" si="31">SUM(N174:P174)</f>
        <v>3090</v>
      </c>
      <c r="R174" s="59">
        <f>+E174+I174+M174+Q174</f>
        <v>15500</v>
      </c>
      <c r="T174" s="4" t="s">
        <v>137</v>
      </c>
    </row>
    <row r="175" spans="1:20" ht="15.75" customHeight="1" x14ac:dyDescent="0.3">
      <c r="A175" s="74" t="s">
        <v>859</v>
      </c>
      <c r="B175" s="1">
        <v>30</v>
      </c>
      <c r="C175" s="1">
        <v>30</v>
      </c>
      <c r="D175" s="1">
        <v>30</v>
      </c>
      <c r="E175" s="59">
        <f t="shared" si="29"/>
        <v>90</v>
      </c>
      <c r="F175" s="1">
        <v>30</v>
      </c>
      <c r="G175" s="1">
        <v>35</v>
      </c>
      <c r="H175" s="1">
        <v>35</v>
      </c>
      <c r="I175" s="59">
        <f t="shared" si="26"/>
        <v>100</v>
      </c>
      <c r="J175" s="1">
        <v>35</v>
      </c>
      <c r="K175" s="1">
        <v>35</v>
      </c>
      <c r="L175" s="1">
        <v>35</v>
      </c>
      <c r="M175" s="59">
        <f t="shared" si="27"/>
        <v>105</v>
      </c>
      <c r="N175" s="1">
        <v>30</v>
      </c>
      <c r="O175" s="1">
        <v>30</v>
      </c>
      <c r="P175" s="1">
        <v>30</v>
      </c>
      <c r="Q175" s="59">
        <f t="shared" si="31"/>
        <v>90</v>
      </c>
      <c r="R175" s="59">
        <f t="shared" si="24"/>
        <v>385</v>
      </c>
      <c r="S175" s="4" t="s">
        <v>136</v>
      </c>
      <c r="T175" s="4" t="s">
        <v>137</v>
      </c>
    </row>
    <row r="176" spans="1:20" ht="15.75" customHeight="1" x14ac:dyDescent="0.3">
      <c r="A176" s="74" t="s">
        <v>180</v>
      </c>
      <c r="B176" s="1">
        <f>3165+88+65+10</f>
        <v>3328</v>
      </c>
      <c r="C176" s="1">
        <f>118+85+234+23</f>
        <v>460</v>
      </c>
      <c r="D176" s="1">
        <f>95+470+50</f>
        <v>615</v>
      </c>
      <c r="E176" s="59">
        <f t="shared" si="29"/>
        <v>4403</v>
      </c>
      <c r="F176" s="1">
        <f>111+583+50</f>
        <v>744</v>
      </c>
      <c r="G176" s="1">
        <f>139+471+59</f>
        <v>669</v>
      </c>
      <c r="H176" s="1">
        <f>143+734+57</f>
        <v>934</v>
      </c>
      <c r="I176" s="59">
        <f t="shared" si="26"/>
        <v>2347</v>
      </c>
      <c r="J176" s="1">
        <f>5625+743+143+54</f>
        <v>6565</v>
      </c>
      <c r="K176" s="1">
        <f>5427+455+123+36</f>
        <v>6041</v>
      </c>
      <c r="L176" s="1">
        <f>5508+459+118+30</f>
        <v>6115</v>
      </c>
      <c r="M176" s="59">
        <f t="shared" si="27"/>
        <v>18721</v>
      </c>
      <c r="N176" s="1">
        <f>6001+535+125+55</f>
        <v>6716</v>
      </c>
      <c r="O176" s="1">
        <f>4932+178+100+25</f>
        <v>5235</v>
      </c>
      <c r="P176" s="1">
        <f>3300+236+26+14</f>
        <v>3576</v>
      </c>
      <c r="Q176" s="59">
        <f t="shared" si="31"/>
        <v>15527</v>
      </c>
      <c r="R176" s="59">
        <f>+E176+I176+M176+Q176</f>
        <v>40998</v>
      </c>
    </row>
    <row r="177" spans="1:20" ht="15.75" customHeight="1" x14ac:dyDescent="0.3">
      <c r="A177" s="74" t="s">
        <v>181</v>
      </c>
      <c r="C177" s="1"/>
      <c r="D177" s="1">
        <v>2500</v>
      </c>
      <c r="E177" s="59">
        <f t="shared" ref="E177:E183" si="32">SUM(B177:D177)</f>
        <v>2500</v>
      </c>
      <c r="F177" s="1"/>
      <c r="G177" s="1"/>
      <c r="H177" s="4">
        <v>500</v>
      </c>
      <c r="I177" s="59">
        <f t="shared" si="26"/>
        <v>500</v>
      </c>
      <c r="J177" s="1">
        <v>500</v>
      </c>
      <c r="K177" s="1">
        <v>250</v>
      </c>
      <c r="L177" s="1">
        <v>250</v>
      </c>
      <c r="M177" s="59">
        <f t="shared" si="27"/>
        <v>1000</v>
      </c>
      <c r="N177" s="1">
        <f>2200+250</f>
        <v>2450</v>
      </c>
      <c r="O177" s="1"/>
      <c r="P177" s="1"/>
      <c r="Q177" s="59">
        <f t="shared" si="31"/>
        <v>2450</v>
      </c>
      <c r="R177" s="59">
        <f t="shared" si="24"/>
        <v>6450</v>
      </c>
      <c r="S177" s="4" t="s">
        <v>136</v>
      </c>
    </row>
    <row r="178" spans="1:20" ht="15.75" customHeight="1" x14ac:dyDescent="0.3">
      <c r="A178" s="91" t="s">
        <v>182</v>
      </c>
      <c r="B178" s="1"/>
      <c r="C178" s="1"/>
      <c r="D178" s="1"/>
      <c r="E178" s="59">
        <f t="shared" si="32"/>
        <v>0</v>
      </c>
      <c r="F178" s="1"/>
      <c r="G178" s="1"/>
      <c r="H178" s="1"/>
      <c r="I178" s="59">
        <f t="shared" ref="I178:I183" si="33">SUM(F178:H178)</f>
        <v>0</v>
      </c>
      <c r="J178" s="1"/>
      <c r="K178" s="1"/>
      <c r="L178" s="1">
        <v>125</v>
      </c>
      <c r="M178" s="59">
        <f t="shared" ref="M178:M183" si="34">SUM(J178:L178)</f>
        <v>125</v>
      </c>
      <c r="N178" s="1"/>
      <c r="O178" s="1"/>
      <c r="P178" s="1"/>
      <c r="Q178" s="59">
        <f t="shared" si="31"/>
        <v>0</v>
      </c>
      <c r="R178" s="59">
        <f t="shared" si="24"/>
        <v>125</v>
      </c>
      <c r="T178" s="4" t="s">
        <v>132</v>
      </c>
    </row>
    <row r="179" spans="1:20" ht="15.75" customHeight="1" x14ac:dyDescent="0.3">
      <c r="A179" s="91" t="s">
        <v>183</v>
      </c>
      <c r="B179" s="1"/>
      <c r="C179" s="1"/>
      <c r="D179" s="1">
        <v>1378</v>
      </c>
      <c r="E179" s="59">
        <f t="shared" si="32"/>
        <v>1378</v>
      </c>
      <c r="F179" s="1">
        <v>1746</v>
      </c>
      <c r="G179" s="1"/>
      <c r="H179" s="1"/>
      <c r="I179" s="59">
        <f t="shared" si="33"/>
        <v>1746</v>
      </c>
      <c r="J179" s="1"/>
      <c r="K179" s="1"/>
      <c r="L179" s="1"/>
      <c r="M179" s="59">
        <f t="shared" si="34"/>
        <v>0</v>
      </c>
      <c r="N179" s="1"/>
      <c r="O179" s="1"/>
      <c r="P179" s="1"/>
      <c r="Q179" s="59">
        <f t="shared" si="31"/>
        <v>0</v>
      </c>
      <c r="R179" s="59">
        <f>+E179+I179+M179+Q179</f>
        <v>3124</v>
      </c>
    </row>
    <row r="180" spans="1:20" ht="15.75" customHeight="1" x14ac:dyDescent="0.3">
      <c r="A180" s="91" t="s">
        <v>184</v>
      </c>
      <c r="B180" s="1"/>
      <c r="C180" s="1"/>
      <c r="D180" s="1">
        <v>500</v>
      </c>
      <c r="E180" s="59">
        <f t="shared" si="32"/>
        <v>500</v>
      </c>
      <c r="F180" s="1">
        <v>500</v>
      </c>
      <c r="G180" s="1">
        <v>500</v>
      </c>
      <c r="H180" s="1">
        <v>500</v>
      </c>
      <c r="I180" s="59">
        <f t="shared" si="33"/>
        <v>1500</v>
      </c>
      <c r="J180" s="1"/>
      <c r="K180" s="1"/>
      <c r="L180" s="1"/>
      <c r="M180" s="59">
        <f t="shared" si="34"/>
        <v>0</v>
      </c>
      <c r="N180" s="1"/>
      <c r="O180" s="1"/>
      <c r="P180" s="1"/>
      <c r="Q180" s="59">
        <f t="shared" si="31"/>
        <v>0</v>
      </c>
      <c r="R180" s="59">
        <f t="shared" si="24"/>
        <v>2000</v>
      </c>
    </row>
    <row r="181" spans="1:20" ht="15.75" customHeight="1" x14ac:dyDescent="0.3">
      <c r="A181" s="74" t="s">
        <v>185</v>
      </c>
      <c r="B181" s="1">
        <f>94+28</f>
        <v>122</v>
      </c>
      <c r="C181" s="1">
        <f>94+206</f>
        <v>300</v>
      </c>
      <c r="D181" s="1">
        <f>94+256</f>
        <v>350</v>
      </c>
      <c r="E181" s="59">
        <f t="shared" si="32"/>
        <v>772</v>
      </c>
      <c r="F181" s="1">
        <f>94+256</f>
        <v>350</v>
      </c>
      <c r="G181" s="1">
        <f>94+306</f>
        <v>400</v>
      </c>
      <c r="H181" s="1">
        <f>94+356</f>
        <v>450</v>
      </c>
      <c r="I181" s="59">
        <f t="shared" si="33"/>
        <v>1200</v>
      </c>
      <c r="J181" s="1">
        <v>493</v>
      </c>
      <c r="K181" s="1">
        <f>94+406</f>
        <v>500</v>
      </c>
      <c r="L181" s="1">
        <v>306</v>
      </c>
      <c r="M181" s="59">
        <f t="shared" si="34"/>
        <v>1299</v>
      </c>
      <c r="N181" s="1">
        <f>306+94</f>
        <v>400</v>
      </c>
      <c r="O181" s="1">
        <f>206+94</f>
        <v>300</v>
      </c>
      <c r="P181" s="1">
        <f>156+94</f>
        <v>250</v>
      </c>
      <c r="Q181" s="59">
        <f t="shared" si="31"/>
        <v>950</v>
      </c>
      <c r="R181" s="59">
        <f>+E181+I181+M181+Q181</f>
        <v>4221</v>
      </c>
      <c r="S181" s="4" t="s">
        <v>136</v>
      </c>
      <c r="T181" s="4" t="s">
        <v>137</v>
      </c>
    </row>
    <row r="182" spans="1:20" ht="15.75" customHeight="1" x14ac:dyDescent="0.3">
      <c r="A182" s="74" t="s">
        <v>186</v>
      </c>
      <c r="B182" s="1">
        <v>3</v>
      </c>
      <c r="C182" s="1">
        <v>2</v>
      </c>
      <c r="D182" s="1">
        <v>2</v>
      </c>
      <c r="E182" s="59">
        <f t="shared" si="32"/>
        <v>7</v>
      </c>
      <c r="F182" s="1">
        <v>3</v>
      </c>
      <c r="G182" s="1">
        <v>3</v>
      </c>
      <c r="H182" s="1">
        <v>3</v>
      </c>
      <c r="I182" s="59">
        <f t="shared" si="33"/>
        <v>9</v>
      </c>
      <c r="J182" s="1">
        <v>3</v>
      </c>
      <c r="K182" s="1">
        <v>3</v>
      </c>
      <c r="L182" s="1">
        <v>3</v>
      </c>
      <c r="M182" s="59">
        <f t="shared" si="34"/>
        <v>9</v>
      </c>
      <c r="N182" s="1">
        <v>3</v>
      </c>
      <c r="O182" s="1">
        <v>3</v>
      </c>
      <c r="P182" s="1">
        <v>2</v>
      </c>
      <c r="Q182" s="59">
        <f t="shared" si="31"/>
        <v>8</v>
      </c>
      <c r="R182" s="59">
        <f>+E182+I182+M182+Q182</f>
        <v>33</v>
      </c>
      <c r="S182" s="4">
        <f>SUM(R138:R182)</f>
        <v>238708</v>
      </c>
    </row>
    <row r="183" spans="1:20" ht="15.75" customHeight="1" x14ac:dyDescent="0.3">
      <c r="A183" s="74" t="s">
        <v>187</v>
      </c>
      <c r="B183" s="1"/>
      <c r="C183" s="1"/>
      <c r="D183" s="1"/>
      <c r="E183" s="59">
        <f t="shared" si="32"/>
        <v>0</v>
      </c>
      <c r="F183" s="1"/>
      <c r="G183" s="1"/>
      <c r="H183" s="1"/>
      <c r="I183" s="59">
        <f t="shared" si="33"/>
        <v>0</v>
      </c>
      <c r="J183" s="1"/>
      <c r="K183" s="1"/>
      <c r="L183" s="1"/>
      <c r="M183" s="59">
        <f t="shared" si="34"/>
        <v>0</v>
      </c>
      <c r="N183" s="1"/>
      <c r="O183" s="1"/>
      <c r="P183" s="1"/>
      <c r="Q183" s="59">
        <f t="shared" si="31"/>
        <v>0</v>
      </c>
      <c r="R183" s="59">
        <f>+E183+I183+M183+Q183</f>
        <v>0</v>
      </c>
      <c r="S183" s="4" t="s">
        <v>136</v>
      </c>
      <c r="T183" s="4" t="s">
        <v>137</v>
      </c>
    </row>
    <row r="184" spans="1:20" ht="15.75" customHeight="1" x14ac:dyDescent="0.3">
      <c r="A184" s="17" t="s">
        <v>47</v>
      </c>
      <c r="B184" s="1"/>
      <c r="C184" s="1"/>
      <c r="D184" s="1"/>
      <c r="E184" s="59" t="s">
        <v>7</v>
      </c>
      <c r="F184" s="1"/>
      <c r="G184" s="1"/>
      <c r="H184" s="1"/>
      <c r="I184" s="59" t="s">
        <v>7</v>
      </c>
      <c r="J184" s="1"/>
      <c r="K184" s="1"/>
      <c r="L184" s="1"/>
      <c r="M184" s="59" t="s">
        <v>7</v>
      </c>
      <c r="N184" s="1"/>
      <c r="O184" s="1"/>
      <c r="P184" s="1"/>
      <c r="Q184" s="59" t="s">
        <v>7</v>
      </c>
      <c r="R184" s="59" t="s">
        <v>7</v>
      </c>
    </row>
    <row r="185" spans="1:20" ht="15.75" customHeight="1" x14ac:dyDescent="0.3">
      <c r="A185" s="74" t="s">
        <v>188</v>
      </c>
      <c r="B185" s="1"/>
      <c r="C185" s="1"/>
      <c r="D185" s="1"/>
      <c r="E185" s="59">
        <f t="shared" ref="E185:E194" si="35">SUM(B185:D185)</f>
        <v>0</v>
      </c>
      <c r="F185" s="1"/>
      <c r="G185" s="1"/>
      <c r="H185" s="1"/>
      <c r="I185" s="59">
        <f t="shared" ref="I185:I194" si="36">SUM(F185:H185)</f>
        <v>0</v>
      </c>
      <c r="J185" s="1"/>
      <c r="K185" s="1"/>
      <c r="L185" s="1"/>
      <c r="M185" s="59">
        <f t="shared" ref="M185:M194" si="37">SUM(J185:L185)</f>
        <v>0</v>
      </c>
      <c r="N185" s="1"/>
      <c r="O185" s="1"/>
      <c r="P185" s="1"/>
      <c r="Q185" s="59">
        <f t="shared" ref="Q185:Q194" si="38">SUM(N185:P185)</f>
        <v>0</v>
      </c>
      <c r="R185" s="59">
        <f t="shared" ref="R185:R194" si="39">+E185+I185+M185+Q185</f>
        <v>0</v>
      </c>
    </row>
    <row r="186" spans="1:20" ht="15.75" customHeight="1" x14ac:dyDescent="0.3">
      <c r="A186" s="74" t="s">
        <v>189</v>
      </c>
      <c r="B186" s="1"/>
      <c r="C186" s="1"/>
      <c r="D186" s="1"/>
      <c r="E186" s="59">
        <f>SUM(B186:D186)</f>
        <v>0</v>
      </c>
      <c r="F186" s="1"/>
      <c r="G186" s="1"/>
      <c r="H186" s="1"/>
      <c r="I186" s="59">
        <f>SUM(F186:H186)</f>
        <v>0</v>
      </c>
      <c r="J186" s="1"/>
      <c r="K186" s="1"/>
      <c r="L186" s="1"/>
      <c r="M186" s="59">
        <f>SUM(J186:L186)</f>
        <v>0</v>
      </c>
      <c r="N186" s="1"/>
      <c r="O186" s="1"/>
      <c r="P186" s="1"/>
      <c r="Q186" s="59">
        <f>SUM(N186:P186)</f>
        <v>0</v>
      </c>
      <c r="R186" s="59">
        <f>+E186+I186+M186+Q186</f>
        <v>0</v>
      </c>
      <c r="T186" s="4" t="s">
        <v>127</v>
      </c>
    </row>
    <row r="187" spans="1:20" ht="15.75" customHeight="1" x14ac:dyDescent="0.3">
      <c r="A187" s="74" t="s">
        <v>190</v>
      </c>
      <c r="B187" s="1"/>
      <c r="C187" s="1"/>
      <c r="D187" s="1"/>
      <c r="E187" s="59">
        <f t="shared" si="35"/>
        <v>0</v>
      </c>
      <c r="F187" s="1"/>
      <c r="G187" s="1"/>
      <c r="H187" s="1"/>
      <c r="I187" s="59">
        <f t="shared" si="36"/>
        <v>0</v>
      </c>
      <c r="J187" s="1"/>
      <c r="K187" s="1"/>
      <c r="L187" s="1"/>
      <c r="M187" s="59">
        <f t="shared" si="37"/>
        <v>0</v>
      </c>
      <c r="N187" s="1"/>
      <c r="O187" s="1"/>
      <c r="P187" s="1"/>
      <c r="Q187" s="59">
        <f t="shared" si="38"/>
        <v>0</v>
      </c>
      <c r="R187" s="59">
        <f t="shared" si="39"/>
        <v>0</v>
      </c>
    </row>
    <row r="188" spans="1:20" ht="15.75" customHeight="1" x14ac:dyDescent="0.3">
      <c r="A188" s="74" t="s">
        <v>191</v>
      </c>
      <c r="B188" s="1"/>
      <c r="C188" s="1"/>
      <c r="D188" s="1"/>
      <c r="E188" s="59">
        <f t="shared" si="35"/>
        <v>0</v>
      </c>
      <c r="F188" s="1"/>
      <c r="G188" s="1"/>
      <c r="H188" s="1"/>
      <c r="I188" s="59">
        <f t="shared" si="36"/>
        <v>0</v>
      </c>
      <c r="J188" s="1"/>
      <c r="K188" s="1"/>
      <c r="L188" s="1"/>
      <c r="M188" s="59">
        <f t="shared" si="37"/>
        <v>0</v>
      </c>
      <c r="N188" s="1"/>
      <c r="O188" s="1"/>
      <c r="P188" s="1"/>
      <c r="Q188" s="59">
        <f t="shared" si="38"/>
        <v>0</v>
      </c>
      <c r="R188" s="59">
        <f t="shared" si="39"/>
        <v>0</v>
      </c>
      <c r="T188" s="4" t="s">
        <v>137</v>
      </c>
    </row>
    <row r="189" spans="1:20" ht="15.75" customHeight="1" x14ac:dyDescent="0.3">
      <c r="A189" s="74" t="s">
        <v>192</v>
      </c>
      <c r="B189" s="1"/>
      <c r="C189" s="1"/>
      <c r="D189" s="1"/>
      <c r="E189" s="59">
        <f t="shared" si="35"/>
        <v>0</v>
      </c>
      <c r="F189" s="1"/>
      <c r="G189" s="1"/>
      <c r="H189" s="1"/>
      <c r="I189" s="59">
        <f t="shared" si="36"/>
        <v>0</v>
      </c>
      <c r="J189" s="1"/>
      <c r="K189" s="1"/>
      <c r="L189" s="1"/>
      <c r="M189" s="59">
        <f t="shared" si="37"/>
        <v>0</v>
      </c>
      <c r="N189" s="1"/>
      <c r="O189" s="1"/>
      <c r="P189" s="1"/>
      <c r="Q189" s="59">
        <f t="shared" si="38"/>
        <v>0</v>
      </c>
      <c r="R189" s="59">
        <f t="shared" si="39"/>
        <v>0</v>
      </c>
    </row>
    <row r="190" spans="1:20" ht="15.75" customHeight="1" x14ac:dyDescent="0.3">
      <c r="A190" s="74" t="s">
        <v>193</v>
      </c>
      <c r="B190" s="1"/>
      <c r="C190" s="1"/>
      <c r="D190" s="1"/>
      <c r="E190" s="59">
        <f t="shared" si="35"/>
        <v>0</v>
      </c>
      <c r="F190" s="1"/>
      <c r="G190" s="1"/>
      <c r="H190" s="1"/>
      <c r="I190" s="59">
        <f t="shared" si="36"/>
        <v>0</v>
      </c>
      <c r="J190" s="1"/>
      <c r="K190" s="1"/>
      <c r="L190" s="1"/>
      <c r="M190" s="59">
        <f t="shared" si="37"/>
        <v>0</v>
      </c>
      <c r="N190" s="1"/>
      <c r="O190" s="1"/>
      <c r="P190" s="1"/>
      <c r="Q190" s="59">
        <f t="shared" si="38"/>
        <v>0</v>
      </c>
      <c r="R190" s="59">
        <f t="shared" si="39"/>
        <v>0</v>
      </c>
    </row>
    <row r="191" spans="1:20" ht="15.75" customHeight="1" x14ac:dyDescent="0.3">
      <c r="A191" s="91" t="s">
        <v>194</v>
      </c>
      <c r="B191" s="1"/>
      <c r="C191" s="1"/>
      <c r="D191" s="1"/>
      <c r="E191" s="59">
        <f t="shared" si="35"/>
        <v>0</v>
      </c>
      <c r="F191" s="1"/>
      <c r="G191" s="1"/>
      <c r="H191" s="1"/>
      <c r="I191" s="59">
        <f t="shared" si="36"/>
        <v>0</v>
      </c>
      <c r="J191" s="1"/>
      <c r="K191" s="1"/>
      <c r="L191" s="1"/>
      <c r="M191" s="59">
        <f t="shared" si="37"/>
        <v>0</v>
      </c>
      <c r="N191" s="1"/>
      <c r="O191" s="1"/>
      <c r="P191" s="1"/>
      <c r="Q191" s="59">
        <f t="shared" si="38"/>
        <v>0</v>
      </c>
      <c r="R191" s="59">
        <f t="shared" si="39"/>
        <v>0</v>
      </c>
      <c r="T191" s="4" t="s">
        <v>121</v>
      </c>
    </row>
    <row r="192" spans="1:20" ht="15.75" customHeight="1" x14ac:dyDescent="0.3">
      <c r="A192" s="74" t="s">
        <v>195</v>
      </c>
      <c r="B192" s="1"/>
      <c r="C192" s="1"/>
      <c r="D192" s="1"/>
      <c r="E192" s="59">
        <f t="shared" si="35"/>
        <v>0</v>
      </c>
      <c r="F192" s="1"/>
      <c r="G192" s="1"/>
      <c r="H192" s="1"/>
      <c r="I192" s="59">
        <f t="shared" si="36"/>
        <v>0</v>
      </c>
      <c r="J192" s="1"/>
      <c r="K192" s="1"/>
      <c r="L192" s="1"/>
      <c r="M192" s="59">
        <f t="shared" si="37"/>
        <v>0</v>
      </c>
      <c r="N192" s="1"/>
      <c r="O192" s="1"/>
      <c r="P192" s="1"/>
      <c r="Q192" s="59">
        <f t="shared" si="38"/>
        <v>0</v>
      </c>
      <c r="R192" s="59">
        <f t="shared" si="39"/>
        <v>0</v>
      </c>
      <c r="T192" s="4" t="s">
        <v>137</v>
      </c>
    </row>
    <row r="193" spans="1:20" ht="15.75" customHeight="1" x14ac:dyDescent="0.3">
      <c r="A193" s="74" t="s">
        <v>196</v>
      </c>
      <c r="B193" s="1"/>
      <c r="C193" s="1"/>
      <c r="D193" s="1"/>
      <c r="E193" s="59">
        <f t="shared" si="35"/>
        <v>0</v>
      </c>
      <c r="F193" s="1"/>
      <c r="G193" s="1"/>
      <c r="H193" s="1"/>
      <c r="I193" s="59">
        <f t="shared" si="36"/>
        <v>0</v>
      </c>
      <c r="J193" s="1"/>
      <c r="K193" s="1"/>
      <c r="L193" s="1"/>
      <c r="M193" s="59">
        <f t="shared" si="37"/>
        <v>0</v>
      </c>
      <c r="N193" s="1"/>
      <c r="O193" s="1"/>
      <c r="P193" s="1"/>
      <c r="Q193" s="59">
        <f t="shared" si="38"/>
        <v>0</v>
      </c>
      <c r="R193" s="59">
        <f t="shared" si="39"/>
        <v>0</v>
      </c>
      <c r="T193" s="4" t="s">
        <v>197</v>
      </c>
    </row>
    <row r="194" spans="1:20" ht="15.75" customHeight="1" x14ac:dyDescent="0.3">
      <c r="A194" s="91" t="s">
        <v>198</v>
      </c>
      <c r="B194" s="1"/>
      <c r="C194" s="1"/>
      <c r="D194" s="1"/>
      <c r="E194" s="59">
        <f t="shared" si="35"/>
        <v>0</v>
      </c>
      <c r="F194" s="1"/>
      <c r="G194" s="1"/>
      <c r="H194" s="1"/>
      <c r="I194" s="59">
        <f t="shared" si="36"/>
        <v>0</v>
      </c>
      <c r="J194" s="1"/>
      <c r="K194" s="1"/>
      <c r="L194" s="1"/>
      <c r="M194" s="59">
        <f t="shared" si="37"/>
        <v>0</v>
      </c>
      <c r="N194" s="1"/>
      <c r="O194" s="1"/>
      <c r="P194" s="1"/>
      <c r="Q194" s="59">
        <f t="shared" si="38"/>
        <v>0</v>
      </c>
      <c r="R194" s="59">
        <f t="shared" si="39"/>
        <v>0</v>
      </c>
    </row>
    <row r="195" spans="1:20" ht="15.75" customHeight="1" x14ac:dyDescent="0.3">
      <c r="A195" s="17" t="s">
        <v>898</v>
      </c>
      <c r="B195" s="1"/>
      <c r="C195" s="1"/>
      <c r="D195" s="1"/>
      <c r="E195" s="59" t="s">
        <v>7</v>
      </c>
      <c r="F195" s="1"/>
      <c r="G195" s="1"/>
      <c r="H195" s="1"/>
      <c r="I195" s="59" t="s">
        <v>7</v>
      </c>
      <c r="J195" s="1"/>
      <c r="K195" s="1"/>
      <c r="L195" s="1"/>
      <c r="M195" s="59" t="s">
        <v>7</v>
      </c>
      <c r="N195" s="1"/>
      <c r="O195" s="1"/>
      <c r="P195" s="1"/>
      <c r="Q195" s="59" t="s">
        <v>7</v>
      </c>
      <c r="R195" s="59" t="s">
        <v>7</v>
      </c>
    </row>
    <row r="196" spans="1:20" ht="15.75" customHeight="1" x14ac:dyDescent="0.3">
      <c r="A196" s="99" t="s">
        <v>907</v>
      </c>
      <c r="B196" s="1"/>
      <c r="C196" s="1"/>
      <c r="D196" s="1"/>
      <c r="E196" s="59">
        <f>SUM(B196:D196)</f>
        <v>0</v>
      </c>
      <c r="F196" s="1"/>
      <c r="G196" s="1"/>
      <c r="H196" s="1"/>
      <c r="I196" s="59">
        <f>SUM(F196:H196)</f>
        <v>0</v>
      </c>
      <c r="J196" s="1"/>
      <c r="K196" s="1"/>
      <c r="L196" s="1"/>
      <c r="M196" s="59">
        <f>SUM(J196:L196)</f>
        <v>0</v>
      </c>
      <c r="N196" s="1"/>
      <c r="O196" s="1"/>
      <c r="P196" s="1"/>
      <c r="Q196" s="59">
        <f>SUM(N196:P196)</f>
        <v>0</v>
      </c>
      <c r="R196" s="59">
        <f>+E196+I196+M196+Q196</f>
        <v>0</v>
      </c>
      <c r="T196" s="4" t="s">
        <v>132</v>
      </c>
    </row>
    <row r="197" spans="1:20" ht="15.75" customHeight="1" x14ac:dyDescent="0.3">
      <c r="A197" s="99" t="s">
        <v>908</v>
      </c>
      <c r="B197" s="1"/>
      <c r="C197" s="1"/>
      <c r="D197" s="1"/>
      <c r="E197" s="59">
        <f>SUM(B197:D197)</f>
        <v>0</v>
      </c>
      <c r="F197" s="1"/>
      <c r="G197" s="1"/>
      <c r="H197" s="1"/>
      <c r="I197" s="59">
        <f>SUM(F197:H197)</f>
        <v>0</v>
      </c>
      <c r="J197" s="1"/>
      <c r="K197" s="1"/>
      <c r="L197" s="1"/>
      <c r="M197" s="59">
        <f>SUM(J197:L197)</f>
        <v>0</v>
      </c>
      <c r="N197" s="1"/>
      <c r="O197" s="1"/>
      <c r="P197" s="1"/>
      <c r="Q197" s="59">
        <f>SUM(N197:P197)</f>
        <v>0</v>
      </c>
      <c r="R197" s="59">
        <f>+E197+I197+M197+Q197</f>
        <v>0</v>
      </c>
      <c r="T197" s="4" t="s">
        <v>134</v>
      </c>
    </row>
    <row r="198" spans="1:20" ht="15.75" customHeight="1" x14ac:dyDescent="0.3">
      <c r="A198" s="61" t="s">
        <v>909</v>
      </c>
      <c r="B198" s="1">
        <v>8</v>
      </c>
      <c r="C198" s="1">
        <v>25</v>
      </c>
      <c r="D198" s="1">
        <v>102</v>
      </c>
      <c r="E198" s="59">
        <f>SUM(B198:D198)</f>
        <v>135</v>
      </c>
      <c r="F198" s="1">
        <v>66</v>
      </c>
      <c r="G198" s="1">
        <v>100</v>
      </c>
      <c r="H198" s="1">
        <v>275</v>
      </c>
      <c r="I198" s="59">
        <f>SUM(F198:H198)</f>
        <v>441</v>
      </c>
      <c r="J198" s="1">
        <v>255</v>
      </c>
      <c r="K198" s="1">
        <v>162</v>
      </c>
      <c r="L198" s="1">
        <v>126</v>
      </c>
      <c r="M198" s="59">
        <f>SUM(J198:L198)</f>
        <v>543</v>
      </c>
      <c r="N198" s="1">
        <v>109</v>
      </c>
      <c r="O198" s="1">
        <v>38</v>
      </c>
      <c r="P198" s="1">
        <v>15</v>
      </c>
      <c r="Q198" s="59">
        <f>SUM(N198:P198)</f>
        <v>162</v>
      </c>
      <c r="R198" s="59">
        <f>+E198+I198+M198+Q198</f>
        <v>1281</v>
      </c>
      <c r="T198" s="4" t="s">
        <v>202</v>
      </c>
    </row>
    <row r="199" spans="1:20" ht="15.75" customHeight="1" thickBot="1" x14ac:dyDescent="0.35">
      <c r="A199" s="17" t="s">
        <v>51</v>
      </c>
      <c r="B199" s="1"/>
      <c r="C199" s="1"/>
      <c r="D199" s="1"/>
      <c r="E199" s="59" t="s">
        <v>7</v>
      </c>
      <c r="F199" s="1"/>
      <c r="G199" s="1"/>
      <c r="H199" s="1"/>
      <c r="I199" s="59" t="s">
        <v>7</v>
      </c>
      <c r="J199" s="1"/>
      <c r="K199" s="1"/>
      <c r="L199" s="1"/>
      <c r="M199" s="59" t="s">
        <v>7</v>
      </c>
      <c r="N199" s="1"/>
      <c r="O199" s="1"/>
      <c r="P199" s="1"/>
      <c r="Q199" s="59" t="s">
        <v>7</v>
      </c>
      <c r="R199" s="59" t="s">
        <v>7</v>
      </c>
    </row>
    <row r="200" spans="1:20" ht="16.5" customHeight="1" thickBot="1" x14ac:dyDescent="0.35">
      <c r="A200" s="62" t="s">
        <v>52</v>
      </c>
      <c r="B200" s="100">
        <f>SUM(B136:B199)</f>
        <v>9405</v>
      </c>
      <c r="C200" s="101">
        <f>SUM(C136:C199)</f>
        <v>5479</v>
      </c>
      <c r="D200" s="101">
        <f>SUM(D136:D199)</f>
        <v>11118</v>
      </c>
      <c r="E200" s="64">
        <f>SUM(B200:D200)</f>
        <v>26002</v>
      </c>
      <c r="F200" s="101">
        <f>SUM(F136:F199)</f>
        <v>14916</v>
      </c>
      <c r="G200" s="101">
        <f>SUM(G136:G199)</f>
        <v>18787</v>
      </c>
      <c r="H200" s="101">
        <f>SUM(H136:H199)</f>
        <v>22583</v>
      </c>
      <c r="I200" s="64">
        <f>SUM(F200:H200)</f>
        <v>56286</v>
      </c>
      <c r="J200" s="101">
        <f>SUM(J136:J199)</f>
        <v>36714</v>
      </c>
      <c r="K200" s="101">
        <f>SUM(K136:K199)</f>
        <v>33281</v>
      </c>
      <c r="L200" s="101">
        <f>SUM(L136:L199)</f>
        <v>28565</v>
      </c>
      <c r="M200" s="64">
        <f>SUM(J200:L200)</f>
        <v>98560</v>
      </c>
      <c r="N200" s="101">
        <f>SUM(N136:N199)</f>
        <v>27192</v>
      </c>
      <c r="O200" s="101">
        <f>SUM(O136:O199)</f>
        <v>18712</v>
      </c>
      <c r="P200" s="101">
        <f>SUM(P136:P199)</f>
        <v>13237</v>
      </c>
      <c r="Q200" s="64">
        <f>SUM(N200:P200)</f>
        <v>59141</v>
      </c>
      <c r="R200" s="64">
        <f>+E200+I200+M200+Q200</f>
        <v>239989</v>
      </c>
    </row>
    <row r="201" spans="1:20" ht="15.75" customHeight="1" x14ac:dyDescent="0.3">
      <c r="A201" s="17" t="s">
        <v>53</v>
      </c>
      <c r="B201" s="1"/>
      <c r="C201" s="1"/>
      <c r="D201" s="1"/>
      <c r="E201" s="59" t="s">
        <v>7</v>
      </c>
      <c r="F201" s="1"/>
      <c r="G201" s="1"/>
      <c r="H201" s="1"/>
      <c r="I201" s="59" t="s">
        <v>7</v>
      </c>
      <c r="J201" s="1"/>
      <c r="K201" s="1"/>
      <c r="L201" s="1"/>
      <c r="M201" s="59" t="s">
        <v>7</v>
      </c>
      <c r="N201" s="1"/>
      <c r="O201" s="1"/>
      <c r="P201" s="1"/>
      <c r="Q201" s="59" t="s">
        <v>7</v>
      </c>
      <c r="R201" s="59" t="s">
        <v>7</v>
      </c>
    </row>
    <row r="202" spans="1:20" ht="15.75" customHeight="1" x14ac:dyDescent="0.3">
      <c r="A202" s="17" t="s">
        <v>54</v>
      </c>
      <c r="B202" s="1"/>
      <c r="C202" s="1"/>
      <c r="D202" s="1"/>
      <c r="E202" s="59" t="s">
        <v>7</v>
      </c>
      <c r="F202" s="1"/>
      <c r="G202" s="1"/>
      <c r="H202" s="1"/>
      <c r="I202" s="59" t="s">
        <v>7</v>
      </c>
      <c r="J202" s="1"/>
      <c r="K202" s="1"/>
      <c r="L202" s="1"/>
      <c r="M202" s="59" t="s">
        <v>7</v>
      </c>
      <c r="N202" s="1"/>
      <c r="O202" s="1"/>
      <c r="P202" s="1"/>
      <c r="Q202" s="59" t="s">
        <v>7</v>
      </c>
      <c r="R202" s="59" t="s">
        <v>7</v>
      </c>
    </row>
    <row r="203" spans="1:20" ht="15.75" customHeight="1" x14ac:dyDescent="0.3">
      <c r="A203" s="17" t="s">
        <v>55</v>
      </c>
      <c r="B203" s="1"/>
      <c r="C203" s="1"/>
      <c r="D203" s="1"/>
      <c r="E203" s="59" t="s">
        <v>7</v>
      </c>
      <c r="F203" s="1"/>
      <c r="G203" s="1"/>
      <c r="H203" s="1"/>
      <c r="I203" s="59" t="s">
        <v>7</v>
      </c>
      <c r="J203" s="1"/>
      <c r="K203" s="1"/>
      <c r="L203" s="1"/>
      <c r="M203" s="59" t="s">
        <v>7</v>
      </c>
      <c r="N203" s="1"/>
      <c r="O203" s="1"/>
      <c r="P203" s="1"/>
      <c r="Q203" s="59" t="s">
        <v>7</v>
      </c>
      <c r="R203" s="59" t="s">
        <v>7</v>
      </c>
    </row>
    <row r="204" spans="1:20" ht="15.75" customHeight="1" x14ac:dyDescent="0.3">
      <c r="A204" s="99" t="s">
        <v>203</v>
      </c>
      <c r="B204" s="1"/>
      <c r="C204" s="1"/>
      <c r="D204" s="1"/>
      <c r="E204" s="59">
        <f>SUM(B204:D204)</f>
        <v>0</v>
      </c>
      <c r="F204" s="1"/>
      <c r="G204" s="1"/>
      <c r="H204" s="1"/>
      <c r="I204" s="59">
        <f>SUM(F204:H204)</f>
        <v>0</v>
      </c>
      <c r="J204" s="1"/>
      <c r="K204" s="1"/>
      <c r="L204" s="1"/>
      <c r="M204" s="59">
        <f>SUM(J204:L204)</f>
        <v>0</v>
      </c>
      <c r="N204" s="1"/>
      <c r="O204" s="1"/>
      <c r="P204" s="1"/>
      <c r="Q204" s="59">
        <f>SUM(N204:P204)</f>
        <v>0</v>
      </c>
      <c r="R204" s="59">
        <f>+E204+I204+M204+Q204</f>
        <v>0</v>
      </c>
      <c r="T204" s="4" t="s">
        <v>121</v>
      </c>
    </row>
    <row r="205" spans="1:20" ht="15.75" customHeight="1" x14ac:dyDescent="0.3">
      <c r="A205" s="76" t="s">
        <v>204</v>
      </c>
      <c r="B205" s="1"/>
      <c r="C205" s="1"/>
      <c r="D205" s="1"/>
      <c r="E205" s="59">
        <f>SUM(B205:D205)</f>
        <v>0</v>
      </c>
      <c r="F205" s="1"/>
      <c r="G205" s="1"/>
      <c r="H205" s="1"/>
      <c r="I205" s="59">
        <f>SUM(F205:H205)</f>
        <v>0</v>
      </c>
      <c r="J205" s="1"/>
      <c r="K205" s="1"/>
      <c r="L205" s="1"/>
      <c r="M205" s="59">
        <f>SUM(J205:L205)</f>
        <v>0</v>
      </c>
      <c r="N205" s="1"/>
      <c r="O205" s="1"/>
      <c r="P205" s="1"/>
      <c r="Q205" s="59">
        <f>SUM(N205:P205)</f>
        <v>0</v>
      </c>
      <c r="R205" s="59">
        <f>+E205+I205+M205+Q205</f>
        <v>0</v>
      </c>
      <c r="S205" s="4" t="s">
        <v>136</v>
      </c>
      <c r="T205" s="4" t="s">
        <v>137</v>
      </c>
    </row>
    <row r="206" spans="1:20" ht="15.75" customHeight="1" thickBot="1" x14ac:dyDescent="0.35">
      <c r="A206" s="17" t="s">
        <v>56</v>
      </c>
      <c r="B206" s="1"/>
      <c r="C206" s="1"/>
      <c r="D206" s="1"/>
      <c r="E206" s="59" t="s">
        <v>7</v>
      </c>
      <c r="F206" s="1"/>
      <c r="G206" s="1"/>
      <c r="H206" s="1"/>
      <c r="I206" s="59" t="s">
        <v>7</v>
      </c>
      <c r="J206" s="1"/>
      <c r="K206" s="1"/>
      <c r="L206" s="1"/>
      <c r="M206" s="59" t="s">
        <v>7</v>
      </c>
      <c r="N206" s="1"/>
      <c r="O206" s="1"/>
      <c r="P206" s="1"/>
      <c r="Q206" s="59" t="s">
        <v>7</v>
      </c>
      <c r="R206" s="59" t="s">
        <v>7</v>
      </c>
    </row>
    <row r="207" spans="1:20" ht="16.5" customHeight="1" thickBot="1" x14ac:dyDescent="0.35">
      <c r="A207" s="62" t="s">
        <v>57</v>
      </c>
      <c r="B207" s="100">
        <f>SUM(B201:B206)</f>
        <v>0</v>
      </c>
      <c r="C207" s="101">
        <f>SUM(C201:C206)</f>
        <v>0</v>
      </c>
      <c r="D207" s="101">
        <f>SUM(D201:D206)</f>
        <v>0</v>
      </c>
      <c r="E207" s="64">
        <f>SUM(B207:D207)</f>
        <v>0</v>
      </c>
      <c r="F207" s="101">
        <f>SUM(F201:F206)</f>
        <v>0</v>
      </c>
      <c r="G207" s="101">
        <f>SUM(G201:G206)</f>
        <v>0</v>
      </c>
      <c r="H207" s="101">
        <f>SUM(H201:H206)</f>
        <v>0</v>
      </c>
      <c r="I207" s="64">
        <f>SUM(F207:H207)</f>
        <v>0</v>
      </c>
      <c r="J207" s="101">
        <f>SUM(J201:J206)</f>
        <v>0</v>
      </c>
      <c r="K207" s="101">
        <f>SUM(K201:K206)</f>
        <v>0</v>
      </c>
      <c r="L207" s="101">
        <f>SUM(L201:L206)</f>
        <v>0</v>
      </c>
      <c r="M207" s="64">
        <f>SUM(J207:L207)</f>
        <v>0</v>
      </c>
      <c r="N207" s="101">
        <f>SUM(N201:N206)</f>
        <v>0</v>
      </c>
      <c r="O207" s="101">
        <f>SUM(O201:O206)</f>
        <v>0</v>
      </c>
      <c r="P207" s="101">
        <f>SUM(P201:P206)</f>
        <v>0</v>
      </c>
      <c r="Q207" s="64">
        <f>SUM(N207:P207)</f>
        <v>0</v>
      </c>
      <c r="R207" s="64">
        <f>+E207+I207+M207+Q207</f>
        <v>0</v>
      </c>
    </row>
    <row r="208" spans="1:20" ht="15.75" customHeight="1" x14ac:dyDescent="0.3">
      <c r="A208" s="17" t="s">
        <v>58</v>
      </c>
      <c r="B208" s="1"/>
      <c r="C208" s="1"/>
      <c r="D208" s="1"/>
      <c r="E208" s="59" t="s">
        <v>7</v>
      </c>
      <c r="F208" s="1"/>
      <c r="G208" s="1"/>
      <c r="H208" s="1"/>
      <c r="I208" s="59" t="s">
        <v>7</v>
      </c>
      <c r="J208" s="1"/>
      <c r="K208" s="1"/>
      <c r="L208" s="1"/>
      <c r="M208" s="59" t="s">
        <v>7</v>
      </c>
      <c r="N208" s="1"/>
      <c r="O208" s="1"/>
      <c r="P208" s="1"/>
      <c r="Q208" s="59" t="s">
        <v>7</v>
      </c>
      <c r="R208" s="59" t="s">
        <v>7</v>
      </c>
    </row>
    <row r="209" spans="1:20" ht="15.75" customHeight="1" x14ac:dyDescent="0.3">
      <c r="A209" s="17" t="s">
        <v>59</v>
      </c>
      <c r="B209" s="1"/>
      <c r="C209" s="1"/>
      <c r="D209" s="1"/>
      <c r="E209" s="59" t="s">
        <v>7</v>
      </c>
      <c r="F209" s="1"/>
      <c r="G209" s="1"/>
      <c r="H209" s="1"/>
      <c r="I209" s="59" t="s">
        <v>7</v>
      </c>
      <c r="J209" s="1"/>
      <c r="K209" s="1"/>
      <c r="L209" s="1"/>
      <c r="M209" s="59" t="s">
        <v>7</v>
      </c>
      <c r="N209" s="1"/>
      <c r="O209" s="1"/>
      <c r="P209" s="1"/>
      <c r="Q209" s="59" t="s">
        <v>7</v>
      </c>
      <c r="R209" s="59" t="s">
        <v>7</v>
      </c>
    </row>
    <row r="210" spans="1:20" ht="15.75" customHeight="1" x14ac:dyDescent="0.3">
      <c r="A210" s="17" t="s">
        <v>60</v>
      </c>
      <c r="B210" s="1"/>
      <c r="C210" s="1"/>
      <c r="D210" s="1"/>
      <c r="E210" s="59" t="s">
        <v>7</v>
      </c>
      <c r="F210" s="1"/>
      <c r="G210" s="1"/>
      <c r="H210" s="1"/>
      <c r="I210" s="59" t="s">
        <v>7</v>
      </c>
      <c r="J210" s="1"/>
      <c r="K210" s="1"/>
      <c r="L210" s="1"/>
      <c r="M210" s="59" t="s">
        <v>7</v>
      </c>
      <c r="N210" s="1"/>
      <c r="O210" s="1"/>
      <c r="P210" s="1"/>
      <c r="Q210" s="59" t="s">
        <v>7</v>
      </c>
      <c r="R210" s="59" t="s">
        <v>7</v>
      </c>
    </row>
    <row r="211" spans="1:20" ht="15.75" customHeight="1" x14ac:dyDescent="0.3">
      <c r="A211" s="102" t="s">
        <v>211</v>
      </c>
      <c r="B211" s="1"/>
      <c r="C211" s="1"/>
      <c r="D211" s="1"/>
      <c r="E211" s="59">
        <f t="shared" ref="E211:E216" si="40">SUM(B211:D211)</f>
        <v>0</v>
      </c>
      <c r="F211" s="1"/>
      <c r="G211" s="1"/>
      <c r="H211" s="1"/>
      <c r="I211" s="59">
        <f t="shared" ref="I211:I216" si="41">SUM(F211:H211)</f>
        <v>0</v>
      </c>
      <c r="J211" s="1"/>
      <c r="K211" s="1"/>
      <c r="L211" s="1"/>
      <c r="M211" s="59">
        <f t="shared" ref="M211:M216" si="42">SUM(J211:L211)</f>
        <v>0</v>
      </c>
      <c r="N211" s="1"/>
      <c r="O211" s="1"/>
      <c r="P211" s="1">
        <v>1000</v>
      </c>
      <c r="Q211" s="59">
        <f t="shared" ref="Q211:Q216" si="43">SUM(N211:P211)</f>
        <v>1000</v>
      </c>
      <c r="R211" s="59">
        <f t="shared" ref="R211:R263" si="44">+E211+I211+M211+Q211</f>
        <v>1000</v>
      </c>
      <c r="T211" s="4" t="s">
        <v>206</v>
      </c>
    </row>
    <row r="212" spans="1:20" ht="15.75" customHeight="1" x14ac:dyDescent="0.3">
      <c r="A212" s="102" t="s">
        <v>205</v>
      </c>
      <c r="B212" s="1">
        <v>282</v>
      </c>
      <c r="C212" s="1">
        <v>281</v>
      </c>
      <c r="D212" s="1">
        <v>348</v>
      </c>
      <c r="E212" s="59">
        <f t="shared" si="40"/>
        <v>911</v>
      </c>
      <c r="F212" s="1">
        <v>369</v>
      </c>
      <c r="G212" s="1">
        <v>452</v>
      </c>
      <c r="H212" s="1">
        <v>507</v>
      </c>
      <c r="I212" s="59">
        <f t="shared" si="41"/>
        <v>1328</v>
      </c>
      <c r="J212" s="1">
        <v>585</v>
      </c>
      <c r="K212" s="1">
        <v>452</v>
      </c>
      <c r="L212" s="1">
        <v>436</v>
      </c>
      <c r="M212" s="59">
        <f t="shared" si="42"/>
        <v>1473</v>
      </c>
      <c r="N212" s="1">
        <v>452</v>
      </c>
      <c r="O212" s="1">
        <v>334</v>
      </c>
      <c r="P212" s="1">
        <v>315</v>
      </c>
      <c r="Q212" s="59">
        <f t="shared" si="43"/>
        <v>1101</v>
      </c>
      <c r="R212" s="59">
        <f t="shared" si="44"/>
        <v>4813</v>
      </c>
    </row>
    <row r="213" spans="1:20" ht="15.75" customHeight="1" x14ac:dyDescent="0.3">
      <c r="A213" s="102" t="s">
        <v>207</v>
      </c>
      <c r="B213" s="1"/>
      <c r="C213" s="1"/>
      <c r="D213" s="1">
        <v>357</v>
      </c>
      <c r="E213" s="59">
        <f t="shared" si="40"/>
        <v>357</v>
      </c>
      <c r="F213" s="1"/>
      <c r="G213" s="1"/>
      <c r="H213" s="1"/>
      <c r="I213" s="59">
        <f t="shared" si="41"/>
        <v>0</v>
      </c>
      <c r="J213" s="1">
        <v>500</v>
      </c>
      <c r="K213" s="1">
        <v>300</v>
      </c>
      <c r="L213" s="1"/>
      <c r="M213" s="59">
        <f t="shared" si="42"/>
        <v>800</v>
      </c>
      <c r="N213" s="1"/>
      <c r="O213" s="1"/>
      <c r="P213" s="1"/>
      <c r="Q213" s="59">
        <f t="shared" si="43"/>
        <v>0</v>
      </c>
      <c r="R213" s="59">
        <f t="shared" si="44"/>
        <v>1157</v>
      </c>
      <c r="T213" s="4" t="s">
        <v>121</v>
      </c>
    </row>
    <row r="214" spans="1:20" ht="15.75" customHeight="1" x14ac:dyDescent="0.3">
      <c r="A214" s="102" t="s">
        <v>879</v>
      </c>
      <c r="B214" s="1">
        <v>2</v>
      </c>
      <c r="C214" s="1">
        <v>16</v>
      </c>
      <c r="D214" s="1">
        <v>56</v>
      </c>
      <c r="E214" s="59">
        <f t="shared" si="40"/>
        <v>74</v>
      </c>
      <c r="F214" s="1">
        <v>31</v>
      </c>
      <c r="G214" s="1">
        <v>62</v>
      </c>
      <c r="H214" s="1">
        <v>83</v>
      </c>
      <c r="I214" s="59">
        <f t="shared" si="41"/>
        <v>176</v>
      </c>
      <c r="J214" s="1">
        <v>97</v>
      </c>
      <c r="K214" s="1">
        <v>63</v>
      </c>
      <c r="L214" s="1">
        <v>55</v>
      </c>
      <c r="M214" s="59">
        <f t="shared" si="42"/>
        <v>215</v>
      </c>
      <c r="N214" s="1">
        <v>50</v>
      </c>
      <c r="O214" s="1">
        <v>14</v>
      </c>
      <c r="P214" s="1">
        <v>14</v>
      </c>
      <c r="Q214" s="59">
        <f t="shared" si="43"/>
        <v>78</v>
      </c>
      <c r="R214" s="59">
        <f t="shared" si="44"/>
        <v>543</v>
      </c>
      <c r="T214" s="4" t="s">
        <v>127</v>
      </c>
    </row>
    <row r="215" spans="1:20" ht="15.75" customHeight="1" x14ac:dyDescent="0.3">
      <c r="A215" s="102" t="s">
        <v>210</v>
      </c>
      <c r="B215" s="1"/>
      <c r="C215" s="1"/>
      <c r="D215" s="1"/>
      <c r="E215" s="59">
        <f t="shared" si="40"/>
        <v>0</v>
      </c>
      <c r="F215" s="1"/>
      <c r="G215" s="1"/>
      <c r="H215" s="1">
        <v>100</v>
      </c>
      <c r="I215" s="59">
        <f t="shared" si="41"/>
        <v>100</v>
      </c>
      <c r="J215" s="1"/>
      <c r="K215" s="1"/>
      <c r="L215" s="1"/>
      <c r="M215" s="59">
        <f t="shared" si="42"/>
        <v>0</v>
      </c>
      <c r="N215" s="1"/>
      <c r="O215" s="1"/>
      <c r="P215" s="1"/>
      <c r="Q215" s="59">
        <f t="shared" si="43"/>
        <v>0</v>
      </c>
      <c r="R215" s="59">
        <f>+E215+I215+M215+Q215</f>
        <v>100</v>
      </c>
      <c r="T215" s="4" t="s">
        <v>134</v>
      </c>
    </row>
    <row r="216" spans="1:20" ht="15.75" customHeight="1" x14ac:dyDescent="0.3">
      <c r="A216" s="76" t="s">
        <v>212</v>
      </c>
      <c r="B216" s="1"/>
      <c r="C216" s="1"/>
      <c r="D216" s="1"/>
      <c r="E216" s="59">
        <f t="shared" si="40"/>
        <v>0</v>
      </c>
      <c r="F216" s="1"/>
      <c r="G216" s="1">
        <v>500</v>
      </c>
      <c r="H216" s="1">
        <v>2182</v>
      </c>
      <c r="I216" s="59">
        <f t="shared" si="41"/>
        <v>2682</v>
      </c>
      <c r="J216" s="1">
        <v>3218</v>
      </c>
      <c r="K216" s="1"/>
      <c r="L216" s="1">
        <v>239</v>
      </c>
      <c r="M216" s="59">
        <f t="shared" si="42"/>
        <v>3457</v>
      </c>
      <c r="N216" s="1"/>
      <c r="O216" s="1"/>
      <c r="P216" s="1"/>
      <c r="Q216" s="59">
        <f t="shared" si="43"/>
        <v>0</v>
      </c>
      <c r="R216" s="59">
        <f>+E216+I216+M216+Q216</f>
        <v>6139</v>
      </c>
      <c r="T216" s="4" t="s">
        <v>137</v>
      </c>
    </row>
    <row r="217" spans="1:20" ht="15.75" customHeight="1" x14ac:dyDescent="0.3">
      <c r="A217" s="76" t="s">
        <v>215</v>
      </c>
      <c r="B217" s="1"/>
      <c r="C217" s="1"/>
      <c r="D217" s="1"/>
      <c r="E217" s="59">
        <f t="shared" ref="E217:E263" si="45">SUM(B217:D217)</f>
        <v>0</v>
      </c>
      <c r="F217" s="1"/>
      <c r="G217" s="1"/>
      <c r="H217" s="1"/>
      <c r="I217" s="59">
        <f t="shared" ref="I217:I263" si="46">SUM(F217:H217)</f>
        <v>0</v>
      </c>
      <c r="J217" s="1"/>
      <c r="K217" s="1"/>
      <c r="L217" s="1"/>
      <c r="M217" s="59">
        <f t="shared" ref="M217:M263" si="47">SUM(J217:L217)</f>
        <v>0</v>
      </c>
      <c r="N217" s="1"/>
      <c r="O217" s="1"/>
      <c r="P217" s="1"/>
      <c r="Q217" s="59">
        <f t="shared" ref="Q217:Q263" si="48">SUM(N217:P217)</f>
        <v>0</v>
      </c>
      <c r="R217" s="59">
        <f t="shared" si="44"/>
        <v>0</v>
      </c>
      <c r="S217" s="4" t="s">
        <v>136</v>
      </c>
    </row>
    <row r="218" spans="1:20" ht="15.75" customHeight="1" x14ac:dyDescent="0.3">
      <c r="A218" s="76" t="s">
        <v>218</v>
      </c>
      <c r="B218" s="1">
        <v>321</v>
      </c>
      <c r="C218" s="1">
        <v>361</v>
      </c>
      <c r="D218" s="1"/>
      <c r="E218" s="59">
        <f>SUM(B218:D218)</f>
        <v>682</v>
      </c>
      <c r="F218" s="1"/>
      <c r="G218" s="1"/>
      <c r="H218" s="1"/>
      <c r="I218" s="59">
        <f>SUM(F218:H218)</f>
        <v>0</v>
      </c>
      <c r="J218" s="1"/>
      <c r="K218" s="1"/>
      <c r="L218" s="1"/>
      <c r="M218" s="59">
        <f>SUM(J218:L218)</f>
        <v>0</v>
      </c>
      <c r="N218" s="1"/>
      <c r="O218" s="1"/>
      <c r="P218" s="1"/>
      <c r="Q218" s="59">
        <f>SUM(N218:P218)</f>
        <v>0</v>
      </c>
      <c r="R218" s="59">
        <f t="shared" si="44"/>
        <v>682</v>
      </c>
      <c r="T218" s="4" t="s">
        <v>158</v>
      </c>
    </row>
    <row r="219" spans="1:20" ht="15.75" customHeight="1" x14ac:dyDescent="0.3">
      <c r="A219" s="76" t="s">
        <v>393</v>
      </c>
      <c r="B219" s="1"/>
      <c r="C219" s="1"/>
      <c r="D219" s="1"/>
      <c r="E219" s="59">
        <f t="shared" si="45"/>
        <v>0</v>
      </c>
      <c r="F219" s="1"/>
      <c r="G219" s="1"/>
      <c r="H219" s="1"/>
      <c r="I219" s="59">
        <f t="shared" si="46"/>
        <v>0</v>
      </c>
      <c r="J219" s="1"/>
      <c r="K219" s="1"/>
      <c r="L219" s="1"/>
      <c r="M219" s="59">
        <f t="shared" si="47"/>
        <v>0</v>
      </c>
      <c r="N219" s="1"/>
      <c r="O219" s="1"/>
      <c r="P219" s="1"/>
      <c r="Q219" s="59">
        <f t="shared" si="48"/>
        <v>0</v>
      </c>
      <c r="R219" s="59">
        <f t="shared" si="44"/>
        <v>0</v>
      </c>
    </row>
    <row r="220" spans="1:20" ht="15.75" customHeight="1" x14ac:dyDescent="0.3">
      <c r="A220" s="76" t="s">
        <v>939</v>
      </c>
      <c r="B220" s="1">
        <v>1136</v>
      </c>
      <c r="C220" s="1"/>
      <c r="D220" s="1"/>
      <c r="E220" s="59">
        <f t="shared" si="45"/>
        <v>1136</v>
      </c>
      <c r="F220" s="1"/>
      <c r="G220" s="1"/>
      <c r="H220" s="1"/>
      <c r="I220" s="59">
        <f t="shared" si="46"/>
        <v>0</v>
      </c>
      <c r="J220" s="1"/>
      <c r="K220" s="1"/>
      <c r="L220" s="1"/>
      <c r="M220" s="59">
        <f t="shared" si="47"/>
        <v>0</v>
      </c>
      <c r="N220" s="1"/>
      <c r="O220" s="1"/>
      <c r="P220" s="1"/>
      <c r="Q220" s="59">
        <f t="shared" si="48"/>
        <v>0</v>
      </c>
      <c r="R220" s="59">
        <f t="shared" si="44"/>
        <v>1136</v>
      </c>
    </row>
    <row r="221" spans="1:20" ht="15.75" customHeight="1" x14ac:dyDescent="0.3">
      <c r="A221" s="76" t="s">
        <v>221</v>
      </c>
      <c r="B221" s="1">
        <v>23</v>
      </c>
      <c r="C221" s="1"/>
      <c r="D221" s="1"/>
      <c r="E221" s="59">
        <f t="shared" si="45"/>
        <v>23</v>
      </c>
      <c r="F221" s="1"/>
      <c r="G221" s="1"/>
      <c r="H221" s="1"/>
      <c r="I221" s="59">
        <f t="shared" si="46"/>
        <v>0</v>
      </c>
      <c r="J221" s="1"/>
      <c r="K221" s="1"/>
      <c r="L221" s="1"/>
      <c r="M221" s="59">
        <f t="shared" si="47"/>
        <v>0</v>
      </c>
      <c r="N221" s="1"/>
      <c r="O221" s="1"/>
      <c r="P221" s="1"/>
      <c r="Q221" s="59">
        <f t="shared" si="48"/>
        <v>0</v>
      </c>
      <c r="R221" s="59">
        <f t="shared" si="44"/>
        <v>23</v>
      </c>
    </row>
    <row r="222" spans="1:20" ht="15.75" customHeight="1" x14ac:dyDescent="0.3">
      <c r="A222" s="76" t="s">
        <v>222</v>
      </c>
      <c r="B222" s="1">
        <v>23</v>
      </c>
      <c r="C222" s="1"/>
      <c r="D222" s="1"/>
      <c r="E222" s="59">
        <f t="shared" si="45"/>
        <v>23</v>
      </c>
      <c r="F222" s="1"/>
      <c r="G222" s="1"/>
      <c r="H222" s="1"/>
      <c r="I222" s="59">
        <f t="shared" si="46"/>
        <v>0</v>
      </c>
      <c r="J222" s="1"/>
      <c r="K222" s="1"/>
      <c r="L222" s="1"/>
      <c r="M222" s="59">
        <f t="shared" si="47"/>
        <v>0</v>
      </c>
      <c r="N222" s="1"/>
      <c r="O222" s="1"/>
      <c r="P222" s="1"/>
      <c r="Q222" s="59">
        <f t="shared" si="48"/>
        <v>0</v>
      </c>
      <c r="R222" s="59">
        <f t="shared" si="44"/>
        <v>23</v>
      </c>
      <c r="S222" s="4" t="s">
        <v>136</v>
      </c>
      <c r="T222" s="4" t="s">
        <v>137</v>
      </c>
    </row>
    <row r="223" spans="1:20" ht="15.75" customHeight="1" x14ac:dyDescent="0.3">
      <c r="A223" s="76" t="s">
        <v>940</v>
      </c>
      <c r="B223" s="1"/>
      <c r="C223" s="1"/>
      <c r="D223" s="1"/>
      <c r="E223" s="59">
        <f t="shared" si="45"/>
        <v>0</v>
      </c>
      <c r="F223" s="1"/>
      <c r="G223" s="1"/>
      <c r="H223" s="1"/>
      <c r="I223" s="59">
        <f t="shared" si="46"/>
        <v>0</v>
      </c>
      <c r="J223" s="1"/>
      <c r="K223" s="1"/>
      <c r="L223" s="1"/>
      <c r="M223" s="59">
        <f t="shared" si="47"/>
        <v>0</v>
      </c>
      <c r="N223" s="1"/>
      <c r="O223" s="1"/>
      <c r="P223" s="1"/>
      <c r="Q223" s="59">
        <f t="shared" si="48"/>
        <v>0</v>
      </c>
      <c r="R223" s="59">
        <f t="shared" si="44"/>
        <v>0</v>
      </c>
      <c r="S223" s="4" t="s">
        <v>136</v>
      </c>
      <c r="T223" s="4" t="s">
        <v>137</v>
      </c>
    </row>
    <row r="224" spans="1:20" ht="15.75" customHeight="1" x14ac:dyDescent="0.3">
      <c r="A224" s="76" t="s">
        <v>941</v>
      </c>
      <c r="B224" s="1"/>
      <c r="C224" s="1"/>
      <c r="D224" s="1">
        <v>2138</v>
      </c>
      <c r="E224" s="59">
        <f t="shared" si="45"/>
        <v>2138</v>
      </c>
      <c r="F224" s="1">
        <v>2162</v>
      </c>
      <c r="G224" s="1"/>
      <c r="H224" s="1"/>
      <c r="I224" s="59">
        <f t="shared" si="46"/>
        <v>2162</v>
      </c>
      <c r="J224" s="1"/>
      <c r="K224" s="1"/>
      <c r="L224" s="1"/>
      <c r="M224" s="59">
        <f t="shared" si="47"/>
        <v>0</v>
      </c>
      <c r="N224" s="1"/>
      <c r="O224" s="1"/>
      <c r="P224" s="1"/>
      <c r="Q224" s="59">
        <f t="shared" si="48"/>
        <v>0</v>
      </c>
      <c r="R224" s="59">
        <f t="shared" si="44"/>
        <v>4300</v>
      </c>
    </row>
    <row r="225" spans="1:23" ht="15.75" customHeight="1" x14ac:dyDescent="0.3">
      <c r="A225" s="102" t="s">
        <v>226</v>
      </c>
      <c r="B225" s="1"/>
      <c r="C225" s="1"/>
      <c r="D225" s="1"/>
      <c r="E225" s="59">
        <f t="shared" si="45"/>
        <v>0</v>
      </c>
      <c r="F225" s="1"/>
      <c r="G225" s="1"/>
      <c r="H225" s="1"/>
      <c r="I225" s="59">
        <f t="shared" si="46"/>
        <v>0</v>
      </c>
      <c r="J225" s="1"/>
      <c r="K225" s="1"/>
      <c r="L225" s="1"/>
      <c r="M225" s="59">
        <f t="shared" si="47"/>
        <v>0</v>
      </c>
      <c r="N225" s="1"/>
      <c r="O225" s="1"/>
      <c r="P225" s="1"/>
      <c r="Q225" s="59">
        <f t="shared" si="48"/>
        <v>0</v>
      </c>
      <c r="R225" s="59">
        <f t="shared" si="44"/>
        <v>0</v>
      </c>
      <c r="T225" s="4" t="s">
        <v>121</v>
      </c>
    </row>
    <row r="226" spans="1:23" ht="15.75" customHeight="1" x14ac:dyDescent="0.3">
      <c r="A226" s="76" t="s">
        <v>227</v>
      </c>
      <c r="B226" s="1"/>
      <c r="C226" s="1"/>
      <c r="D226" s="1"/>
      <c r="E226" s="59">
        <f t="shared" si="45"/>
        <v>0</v>
      </c>
      <c r="F226" s="1"/>
      <c r="G226" s="1"/>
      <c r="H226" s="1">
        <v>1634</v>
      </c>
      <c r="I226" s="59">
        <f t="shared" si="46"/>
        <v>1634</v>
      </c>
      <c r="J226" s="1">
        <v>816</v>
      </c>
      <c r="K226" s="1">
        <v>1634</v>
      </c>
      <c r="L226" s="1">
        <v>1416</v>
      </c>
      <c r="M226" s="59">
        <f t="shared" si="47"/>
        <v>3866</v>
      </c>
      <c r="N226" s="1"/>
      <c r="O226" s="1"/>
      <c r="P226" s="1"/>
      <c r="Q226" s="59">
        <f>SUM(N226:P226)</f>
        <v>0</v>
      </c>
      <c r="R226" s="59">
        <f>+E226+I226+M226+Q226</f>
        <v>5500</v>
      </c>
      <c r="T226" s="4" t="s">
        <v>137</v>
      </c>
    </row>
    <row r="227" spans="1:23" ht="15.75" customHeight="1" x14ac:dyDescent="0.3">
      <c r="A227" s="102" t="s">
        <v>228</v>
      </c>
      <c r="B227" s="1"/>
      <c r="C227" s="1">
        <v>946</v>
      </c>
      <c r="D227" s="1">
        <v>1000</v>
      </c>
      <c r="E227" s="59">
        <f t="shared" si="45"/>
        <v>1946</v>
      </c>
      <c r="F227" s="1">
        <v>1512</v>
      </c>
      <c r="G227" s="1">
        <v>1542</v>
      </c>
      <c r="H227" s="1"/>
      <c r="I227" s="59">
        <f t="shared" si="46"/>
        <v>3054</v>
      </c>
      <c r="J227" s="1"/>
      <c r="K227" s="1"/>
      <c r="L227" s="1"/>
      <c r="M227" s="59">
        <f t="shared" si="47"/>
        <v>0</v>
      </c>
      <c r="N227" s="1"/>
      <c r="O227" s="1"/>
      <c r="P227" s="1"/>
      <c r="Q227" s="59">
        <f t="shared" si="48"/>
        <v>0</v>
      </c>
      <c r="R227" s="59">
        <f t="shared" si="44"/>
        <v>5000</v>
      </c>
    </row>
    <row r="228" spans="1:23" ht="15.75" customHeight="1" x14ac:dyDescent="0.3">
      <c r="A228" s="102" t="s">
        <v>229</v>
      </c>
      <c r="B228" s="1">
        <v>703</v>
      </c>
      <c r="C228" s="1">
        <v>607</v>
      </c>
      <c r="D228" s="1">
        <v>690</v>
      </c>
      <c r="E228" s="59">
        <f t="shared" si="45"/>
        <v>2000</v>
      </c>
      <c r="F228" s="1"/>
      <c r="G228" s="1"/>
      <c r="H228" s="1"/>
      <c r="I228" s="59">
        <f t="shared" si="46"/>
        <v>0</v>
      </c>
      <c r="J228" s="1"/>
      <c r="K228" s="1"/>
      <c r="L228" s="1"/>
      <c r="M228" s="59">
        <f t="shared" si="47"/>
        <v>0</v>
      </c>
      <c r="N228" s="1"/>
      <c r="O228" s="1"/>
      <c r="P228" s="1"/>
      <c r="Q228" s="59">
        <f t="shared" si="48"/>
        <v>0</v>
      </c>
      <c r="R228" s="59">
        <f t="shared" si="44"/>
        <v>2000</v>
      </c>
    </row>
    <row r="229" spans="1:23" ht="15.75" customHeight="1" x14ac:dyDescent="0.3">
      <c r="A229" s="102" t="s">
        <v>231</v>
      </c>
      <c r="B229" s="1">
        <v>229</v>
      </c>
      <c r="C229" s="1">
        <v>607</v>
      </c>
      <c r="D229" s="1">
        <v>293</v>
      </c>
      <c r="E229" s="59">
        <f t="shared" si="45"/>
        <v>1129</v>
      </c>
      <c r="F229" s="1"/>
      <c r="G229" s="1"/>
      <c r="H229" s="1"/>
      <c r="I229" s="59">
        <f t="shared" si="46"/>
        <v>0</v>
      </c>
      <c r="J229" s="1"/>
      <c r="K229" s="1"/>
      <c r="L229" s="1"/>
      <c r="M229" s="59">
        <f t="shared" si="47"/>
        <v>0</v>
      </c>
      <c r="N229" s="1"/>
      <c r="O229" s="1"/>
      <c r="P229" s="1"/>
      <c r="Q229" s="59">
        <f t="shared" si="48"/>
        <v>0</v>
      </c>
      <c r="R229" s="59">
        <f t="shared" si="44"/>
        <v>1129</v>
      </c>
      <c r="W229" s="4">
        <v>1129</v>
      </c>
    </row>
    <row r="230" spans="1:23" ht="15.75" customHeight="1" x14ac:dyDescent="0.3">
      <c r="A230" s="102" t="s">
        <v>232</v>
      </c>
      <c r="B230" s="1"/>
      <c r="C230" s="1">
        <v>280</v>
      </c>
      <c r="D230" s="1"/>
      <c r="E230" s="59">
        <f t="shared" si="45"/>
        <v>280</v>
      </c>
      <c r="F230" s="1"/>
      <c r="G230" s="1"/>
      <c r="H230" s="1"/>
      <c r="I230" s="59">
        <f t="shared" si="46"/>
        <v>0</v>
      </c>
      <c r="J230" s="1"/>
      <c r="K230" s="1"/>
      <c r="L230" s="1"/>
      <c r="M230" s="59">
        <f t="shared" si="47"/>
        <v>0</v>
      </c>
      <c r="N230" s="1"/>
      <c r="O230" s="1"/>
      <c r="P230" s="1"/>
      <c r="Q230" s="59">
        <f t="shared" si="48"/>
        <v>0</v>
      </c>
      <c r="R230" s="59">
        <f t="shared" si="44"/>
        <v>280</v>
      </c>
      <c r="W230" s="4">
        <v>280</v>
      </c>
    </row>
    <row r="231" spans="1:23" ht="15.75" customHeight="1" x14ac:dyDescent="0.3">
      <c r="A231" s="76" t="s">
        <v>233</v>
      </c>
      <c r="B231" s="1">
        <v>709</v>
      </c>
      <c r="C231" s="1">
        <v>799</v>
      </c>
      <c r="D231" s="1">
        <v>759</v>
      </c>
      <c r="E231" s="59">
        <f t="shared" si="45"/>
        <v>2267</v>
      </c>
      <c r="F231" s="1">
        <v>833</v>
      </c>
      <c r="G231" s="1">
        <v>961</v>
      </c>
      <c r="H231" s="1">
        <v>987</v>
      </c>
      <c r="I231" s="59">
        <f t="shared" si="46"/>
        <v>2781</v>
      </c>
      <c r="J231" s="1"/>
      <c r="K231" s="1"/>
      <c r="L231" s="1"/>
      <c r="M231" s="59">
        <f t="shared" si="47"/>
        <v>0</v>
      </c>
      <c r="N231" s="1"/>
      <c r="O231" s="1"/>
      <c r="P231" s="1"/>
      <c r="Q231" s="59">
        <f t="shared" si="48"/>
        <v>0</v>
      </c>
      <c r="R231" s="59">
        <f t="shared" si="44"/>
        <v>5048</v>
      </c>
      <c r="W231" s="4">
        <v>5079</v>
      </c>
    </row>
    <row r="232" spans="1:23" ht="15.75" customHeight="1" x14ac:dyDescent="0.3">
      <c r="A232" s="91" t="s">
        <v>234</v>
      </c>
      <c r="B232" s="1">
        <v>22</v>
      </c>
      <c r="C232" s="1">
        <v>33</v>
      </c>
      <c r="D232" s="1">
        <v>52</v>
      </c>
      <c r="E232" s="59">
        <f>SUM(B232:D232)</f>
        <v>107</v>
      </c>
      <c r="F232" s="1">
        <v>52</v>
      </c>
      <c r="G232" s="1">
        <v>55</v>
      </c>
      <c r="H232" s="1"/>
      <c r="I232" s="59">
        <f t="shared" si="46"/>
        <v>107</v>
      </c>
      <c r="J232" s="1">
        <v>45</v>
      </c>
      <c r="K232" s="1"/>
      <c r="L232" s="1"/>
      <c r="M232" s="59">
        <f t="shared" si="47"/>
        <v>45</v>
      </c>
      <c r="N232" s="1"/>
      <c r="O232" s="1"/>
      <c r="P232" s="1"/>
      <c r="Q232" s="59">
        <f t="shared" si="48"/>
        <v>0</v>
      </c>
      <c r="R232" s="59">
        <f t="shared" si="44"/>
        <v>259</v>
      </c>
      <c r="W232" s="4">
        <v>214</v>
      </c>
    </row>
    <row r="233" spans="1:23" ht="15.75" customHeight="1" x14ac:dyDescent="0.3">
      <c r="A233" s="91" t="s">
        <v>235</v>
      </c>
      <c r="B233" s="1"/>
      <c r="C233" s="1">
        <v>15</v>
      </c>
      <c r="D233" s="1">
        <v>26</v>
      </c>
      <c r="E233" s="59">
        <f>SUM(B233:D233)</f>
        <v>41</v>
      </c>
      <c r="F233" s="1">
        <v>43</v>
      </c>
      <c r="G233" s="1">
        <v>86</v>
      </c>
      <c r="H233" s="1">
        <v>88</v>
      </c>
      <c r="I233" s="59">
        <f t="shared" si="46"/>
        <v>217</v>
      </c>
      <c r="J233" s="1"/>
      <c r="K233" s="1"/>
      <c r="L233" s="1"/>
      <c r="M233" s="59">
        <f t="shared" si="47"/>
        <v>0</v>
      </c>
      <c r="N233" s="1"/>
      <c r="O233" s="1"/>
      <c r="P233" s="1"/>
      <c r="Q233" s="59">
        <f t="shared" si="48"/>
        <v>0</v>
      </c>
      <c r="R233" s="59">
        <f t="shared" si="44"/>
        <v>258</v>
      </c>
      <c r="W233" s="4">
        <v>258</v>
      </c>
    </row>
    <row r="234" spans="1:23" ht="15.75" customHeight="1" x14ac:dyDescent="0.3">
      <c r="A234" s="91" t="s">
        <v>236</v>
      </c>
      <c r="B234" s="1"/>
      <c r="C234" s="1"/>
      <c r="D234" s="1"/>
      <c r="E234" s="59">
        <f>SUM(B234:D234)</f>
        <v>0</v>
      </c>
      <c r="F234" s="1">
        <v>2</v>
      </c>
      <c r="G234" s="1">
        <v>7</v>
      </c>
      <c r="H234" s="1">
        <v>17</v>
      </c>
      <c r="I234" s="59">
        <f t="shared" si="46"/>
        <v>26</v>
      </c>
      <c r="J234" s="1"/>
      <c r="K234" s="1"/>
      <c r="L234" s="1"/>
      <c r="M234" s="59">
        <f t="shared" si="47"/>
        <v>0</v>
      </c>
      <c r="N234" s="1"/>
      <c r="O234" s="1"/>
      <c r="P234" s="1"/>
      <c r="Q234" s="59">
        <f t="shared" si="48"/>
        <v>0</v>
      </c>
      <c r="R234" s="59">
        <f t="shared" si="44"/>
        <v>26</v>
      </c>
      <c r="T234" s="4" t="s">
        <v>121</v>
      </c>
      <c r="W234" s="4">
        <v>40</v>
      </c>
    </row>
    <row r="235" spans="1:23" ht="15.75" customHeight="1" x14ac:dyDescent="0.3">
      <c r="A235" s="76" t="s">
        <v>238</v>
      </c>
      <c r="B235" s="1"/>
      <c r="C235" s="1"/>
      <c r="D235" s="1"/>
      <c r="E235" s="59">
        <f t="shared" si="45"/>
        <v>0</v>
      </c>
      <c r="F235" s="1"/>
      <c r="G235" s="1"/>
      <c r="H235" s="1">
        <v>1778</v>
      </c>
      <c r="I235" s="59">
        <f t="shared" si="46"/>
        <v>1778</v>
      </c>
      <c r="J235" s="1">
        <v>2347</v>
      </c>
      <c r="K235" s="1">
        <v>2473</v>
      </c>
      <c r="L235" s="1">
        <v>2359</v>
      </c>
      <c r="M235" s="59">
        <f t="shared" si="47"/>
        <v>7179</v>
      </c>
      <c r="N235" s="1">
        <v>2430</v>
      </c>
      <c r="O235" s="1">
        <v>2334</v>
      </c>
      <c r="P235" s="1">
        <v>1279</v>
      </c>
      <c r="Q235" s="59">
        <f t="shared" si="48"/>
        <v>6043</v>
      </c>
      <c r="R235" s="59">
        <f t="shared" si="44"/>
        <v>15000</v>
      </c>
      <c r="S235" s="4" t="s">
        <v>136</v>
      </c>
    </row>
    <row r="236" spans="1:23" ht="15.75" customHeight="1" x14ac:dyDescent="0.3">
      <c r="A236" s="76" t="s">
        <v>239</v>
      </c>
      <c r="B236" s="1"/>
      <c r="C236" s="1"/>
      <c r="D236" s="1"/>
      <c r="E236" s="59">
        <f t="shared" si="45"/>
        <v>0</v>
      </c>
      <c r="F236" s="1"/>
      <c r="G236" s="1">
        <v>5798</v>
      </c>
      <c r="H236" s="1">
        <v>5754</v>
      </c>
      <c r="I236" s="59">
        <f t="shared" si="46"/>
        <v>11552</v>
      </c>
      <c r="J236" s="1">
        <v>448</v>
      </c>
      <c r="K236" s="1"/>
      <c r="L236" s="1"/>
      <c r="M236" s="59">
        <f t="shared" si="47"/>
        <v>448</v>
      </c>
      <c r="N236" s="1"/>
      <c r="O236" s="1"/>
      <c r="P236" s="1"/>
      <c r="Q236" s="59">
        <f t="shared" si="48"/>
        <v>0</v>
      </c>
      <c r="R236" s="59">
        <f t="shared" si="44"/>
        <v>12000</v>
      </c>
      <c r="S236" s="4" t="s">
        <v>136</v>
      </c>
    </row>
    <row r="237" spans="1:23" ht="15.75" customHeight="1" x14ac:dyDescent="0.3">
      <c r="A237" s="76" t="s">
        <v>240</v>
      </c>
      <c r="B237" s="1"/>
      <c r="C237" s="1"/>
      <c r="D237" s="1"/>
      <c r="E237" s="59">
        <f t="shared" si="45"/>
        <v>0</v>
      </c>
      <c r="F237" s="1"/>
      <c r="G237" s="1"/>
      <c r="H237" s="1"/>
      <c r="I237" s="59">
        <f t="shared" si="46"/>
        <v>0</v>
      </c>
      <c r="J237" s="1"/>
      <c r="K237" s="1"/>
      <c r="L237" s="1"/>
      <c r="M237" s="59">
        <f t="shared" si="47"/>
        <v>0</v>
      </c>
      <c r="N237" s="1"/>
      <c r="O237" s="1"/>
      <c r="P237" s="1"/>
      <c r="Q237" s="59">
        <f>SUM(N237:P237)</f>
        <v>0</v>
      </c>
      <c r="R237" s="59">
        <f>+E237+I237+M237+Q237</f>
        <v>0</v>
      </c>
    </row>
    <row r="238" spans="1:23" ht="15.75" customHeight="1" x14ac:dyDescent="0.3">
      <c r="A238" s="76" t="s">
        <v>241</v>
      </c>
      <c r="B238" s="1">
        <v>500</v>
      </c>
      <c r="C238" s="1"/>
      <c r="D238" s="1">
        <v>400</v>
      </c>
      <c r="E238" s="59">
        <f t="shared" si="45"/>
        <v>900</v>
      </c>
      <c r="F238" s="1">
        <v>500</v>
      </c>
      <c r="G238" s="1">
        <v>610</v>
      </c>
      <c r="H238" s="1"/>
      <c r="I238" s="59">
        <f t="shared" si="46"/>
        <v>1110</v>
      </c>
      <c r="J238" s="1"/>
      <c r="K238" s="1"/>
      <c r="L238" s="1">
        <v>176</v>
      </c>
      <c r="M238" s="59">
        <f t="shared" si="47"/>
        <v>176</v>
      </c>
      <c r="N238" s="1"/>
      <c r="O238" s="1"/>
      <c r="P238" s="1"/>
      <c r="Q238" s="59">
        <f t="shared" si="48"/>
        <v>0</v>
      </c>
      <c r="R238" s="59">
        <f t="shared" si="44"/>
        <v>2186</v>
      </c>
      <c r="S238" s="4" t="s">
        <v>136</v>
      </c>
      <c r="T238" s="4" t="s">
        <v>137</v>
      </c>
    </row>
    <row r="239" spans="1:23" ht="15.75" customHeight="1" x14ac:dyDescent="0.3">
      <c r="A239" s="76" t="s">
        <v>242</v>
      </c>
      <c r="B239" s="1"/>
      <c r="C239" s="1"/>
      <c r="D239" s="1"/>
      <c r="E239" s="59">
        <f t="shared" si="45"/>
        <v>0</v>
      </c>
      <c r="F239" s="1"/>
      <c r="G239" s="1"/>
      <c r="H239" s="1"/>
      <c r="I239" s="59">
        <f t="shared" si="46"/>
        <v>0</v>
      </c>
      <c r="J239" s="1"/>
      <c r="K239" s="1">
        <v>723</v>
      </c>
      <c r="L239" s="1"/>
      <c r="M239" s="59">
        <f t="shared" si="47"/>
        <v>723</v>
      </c>
      <c r="N239" s="1">
        <v>600</v>
      </c>
      <c r="O239" s="1">
        <v>300</v>
      </c>
      <c r="P239" s="1"/>
      <c r="Q239" s="59">
        <f t="shared" si="48"/>
        <v>900</v>
      </c>
      <c r="R239" s="59">
        <f t="shared" si="44"/>
        <v>1623</v>
      </c>
      <c r="S239" s="4" t="s">
        <v>136</v>
      </c>
      <c r="T239" s="106" t="s">
        <v>137</v>
      </c>
      <c r="U239" s="106"/>
    </row>
    <row r="240" spans="1:23" ht="15.75" customHeight="1" x14ac:dyDescent="0.3">
      <c r="A240" s="76" t="s">
        <v>243</v>
      </c>
      <c r="B240" s="1"/>
      <c r="C240" s="1"/>
      <c r="D240" s="1"/>
      <c r="E240" s="59">
        <f>SUM(B240:D240)</f>
        <v>0</v>
      </c>
      <c r="F240" s="1">
        <v>544</v>
      </c>
      <c r="G240" s="1">
        <v>1225</v>
      </c>
      <c r="H240" s="1">
        <v>45</v>
      </c>
      <c r="I240" s="59">
        <f>SUM(F240:H240)</f>
        <v>1814</v>
      </c>
      <c r="J240" s="1"/>
      <c r="K240" s="1"/>
      <c r="L240" s="1"/>
      <c r="M240" s="59">
        <f t="shared" si="47"/>
        <v>0</v>
      </c>
      <c r="N240" s="1"/>
      <c r="O240" s="1"/>
      <c r="P240" s="1"/>
      <c r="Q240" s="59">
        <f t="shared" si="48"/>
        <v>0</v>
      </c>
      <c r="R240" s="59">
        <f t="shared" si="44"/>
        <v>1814</v>
      </c>
      <c r="T240" s="4" t="s">
        <v>244</v>
      </c>
    </row>
    <row r="241" spans="1:20" ht="15.75" customHeight="1" x14ac:dyDescent="0.3">
      <c r="A241" s="91" t="s">
        <v>245</v>
      </c>
      <c r="B241" s="1"/>
      <c r="C241" s="1"/>
      <c r="D241" s="1"/>
      <c r="E241" s="59">
        <f>SUM(B241:D241)</f>
        <v>0</v>
      </c>
      <c r="F241" s="1"/>
      <c r="G241" s="1"/>
      <c r="H241" s="1"/>
      <c r="I241" s="59">
        <f>SUM(F241:H241)</f>
        <v>0</v>
      </c>
      <c r="J241" s="1"/>
      <c r="K241" s="1"/>
      <c r="L241" s="1"/>
      <c r="M241" s="59">
        <f t="shared" si="47"/>
        <v>0</v>
      </c>
      <c r="N241" s="1"/>
      <c r="O241" s="1"/>
      <c r="P241" s="1"/>
      <c r="Q241" s="59">
        <f>SUM(N241:P241)</f>
        <v>0</v>
      </c>
      <c r="R241" s="59">
        <f>+E241+I241+M241+Q241</f>
        <v>0</v>
      </c>
      <c r="T241" s="4" t="s">
        <v>134</v>
      </c>
    </row>
    <row r="242" spans="1:20" ht="15.75" customHeight="1" x14ac:dyDescent="0.3">
      <c r="A242" s="76" t="s">
        <v>436</v>
      </c>
      <c r="B242" s="1"/>
      <c r="C242" s="1"/>
      <c r="E242" s="59">
        <f t="shared" si="45"/>
        <v>0</v>
      </c>
      <c r="F242" s="1"/>
      <c r="H242" s="1"/>
      <c r="I242" s="59">
        <f t="shared" si="46"/>
        <v>0</v>
      </c>
      <c r="J242" s="1"/>
      <c r="K242" s="1"/>
      <c r="L242" s="1"/>
      <c r="M242" s="59">
        <f t="shared" si="47"/>
        <v>0</v>
      </c>
      <c r="N242" s="1"/>
      <c r="O242" s="1"/>
      <c r="P242" s="1"/>
      <c r="Q242" s="59">
        <f t="shared" si="48"/>
        <v>0</v>
      </c>
      <c r="R242" s="59">
        <f t="shared" si="44"/>
        <v>0</v>
      </c>
    </row>
    <row r="243" spans="1:20" ht="15.75" customHeight="1" x14ac:dyDescent="0.3">
      <c r="A243" s="76" t="s">
        <v>246</v>
      </c>
      <c r="B243" s="1"/>
      <c r="C243" s="1"/>
      <c r="D243" s="1"/>
      <c r="E243" s="59">
        <f t="shared" si="45"/>
        <v>0</v>
      </c>
      <c r="F243" s="1">
        <v>176</v>
      </c>
      <c r="G243" s="1">
        <v>2341</v>
      </c>
      <c r="H243" s="1">
        <v>506</v>
      </c>
      <c r="I243" s="59">
        <f t="shared" si="46"/>
        <v>3023</v>
      </c>
      <c r="J243" s="1"/>
      <c r="K243" s="1"/>
      <c r="L243" s="1"/>
      <c r="M243" s="59">
        <f t="shared" si="47"/>
        <v>0</v>
      </c>
      <c r="N243" s="1"/>
      <c r="O243" s="1"/>
      <c r="P243" s="1"/>
      <c r="Q243" s="59">
        <f t="shared" si="48"/>
        <v>0</v>
      </c>
      <c r="R243" s="59">
        <f t="shared" si="44"/>
        <v>3023</v>
      </c>
    </row>
    <row r="244" spans="1:20" ht="15.75" customHeight="1" x14ac:dyDescent="0.3">
      <c r="A244" s="76" t="s">
        <v>248</v>
      </c>
      <c r="B244" s="1">
        <v>60</v>
      </c>
      <c r="C244" s="1"/>
      <c r="D244" s="1"/>
      <c r="E244" s="59">
        <f t="shared" si="45"/>
        <v>60</v>
      </c>
      <c r="F244" s="1"/>
      <c r="G244" s="1"/>
      <c r="H244" s="1"/>
      <c r="I244" s="59">
        <f t="shared" si="46"/>
        <v>0</v>
      </c>
      <c r="J244" s="1"/>
      <c r="K244" s="1"/>
      <c r="L244" s="1"/>
      <c r="M244" s="59">
        <f t="shared" si="47"/>
        <v>0</v>
      </c>
      <c r="N244" s="1"/>
      <c r="O244" s="1"/>
      <c r="P244" s="1"/>
      <c r="Q244" s="59">
        <f t="shared" si="48"/>
        <v>0</v>
      </c>
      <c r="R244" s="59">
        <f t="shared" si="44"/>
        <v>60</v>
      </c>
    </row>
    <row r="245" spans="1:20" ht="15.75" customHeight="1" x14ac:dyDescent="0.3">
      <c r="A245" s="76" t="s">
        <v>249</v>
      </c>
      <c r="B245" s="1">
        <v>60</v>
      </c>
      <c r="C245" s="1"/>
      <c r="D245" s="1"/>
      <c r="E245" s="59">
        <f t="shared" si="45"/>
        <v>60</v>
      </c>
      <c r="F245" s="1"/>
      <c r="G245" s="1"/>
      <c r="H245" s="1"/>
      <c r="I245" s="59">
        <f t="shared" si="46"/>
        <v>0</v>
      </c>
      <c r="J245" s="1"/>
      <c r="K245" s="1"/>
      <c r="L245" s="1"/>
      <c r="M245" s="59">
        <f t="shared" si="47"/>
        <v>0</v>
      </c>
      <c r="N245" s="1"/>
      <c r="O245" s="1"/>
      <c r="P245" s="1"/>
      <c r="Q245" s="59">
        <f t="shared" si="48"/>
        <v>0</v>
      </c>
      <c r="R245" s="59">
        <f t="shared" si="44"/>
        <v>60</v>
      </c>
      <c r="S245" s="4" t="s">
        <v>136</v>
      </c>
      <c r="T245" s="4" t="s">
        <v>137</v>
      </c>
    </row>
    <row r="246" spans="1:20" ht="15.75" customHeight="1" x14ac:dyDescent="0.3">
      <c r="A246" s="76" t="s">
        <v>942</v>
      </c>
      <c r="B246" s="1"/>
      <c r="C246" s="1"/>
      <c r="D246" s="1"/>
      <c r="E246" s="59">
        <f t="shared" si="45"/>
        <v>0</v>
      </c>
      <c r="F246" s="1"/>
      <c r="G246" s="1"/>
      <c r="H246" s="1"/>
      <c r="I246" s="59">
        <f t="shared" si="46"/>
        <v>0</v>
      </c>
      <c r="J246" s="1"/>
      <c r="K246" s="1"/>
      <c r="L246" s="1"/>
      <c r="M246" s="59">
        <f t="shared" si="47"/>
        <v>0</v>
      </c>
      <c r="N246" s="1"/>
      <c r="O246" s="1"/>
      <c r="P246" s="1"/>
      <c r="Q246" s="59">
        <f t="shared" si="48"/>
        <v>0</v>
      </c>
      <c r="R246" s="59">
        <f t="shared" si="44"/>
        <v>0</v>
      </c>
      <c r="T246" s="4" t="s">
        <v>137</v>
      </c>
    </row>
    <row r="247" spans="1:20" ht="15.75" customHeight="1" x14ac:dyDescent="0.3">
      <c r="A247" s="76" t="s">
        <v>263</v>
      </c>
      <c r="B247" s="1">
        <v>998</v>
      </c>
      <c r="C247" s="1">
        <v>992</v>
      </c>
      <c r="D247" s="1">
        <v>1089</v>
      </c>
      <c r="E247" s="59">
        <f t="shared" si="45"/>
        <v>3079</v>
      </c>
      <c r="F247" s="1">
        <v>1094</v>
      </c>
      <c r="G247" s="1">
        <v>1308</v>
      </c>
      <c r="H247" s="1">
        <f>319+1366</f>
        <v>1685</v>
      </c>
      <c r="I247" s="59">
        <f t="shared" si="46"/>
        <v>4087</v>
      </c>
      <c r="J247" s="1">
        <f>188+684</f>
        <v>872</v>
      </c>
      <c r="K247" s="1">
        <f>939+1366</f>
        <v>2305</v>
      </c>
      <c r="L247" s="1">
        <f>742+1184</f>
        <v>1926</v>
      </c>
      <c r="M247" s="59">
        <f t="shared" si="47"/>
        <v>5103</v>
      </c>
      <c r="N247" s="1">
        <v>773</v>
      </c>
      <c r="O247" s="1">
        <v>555</v>
      </c>
      <c r="P247" s="1">
        <v>403</v>
      </c>
      <c r="Q247" s="59">
        <f t="shared" si="48"/>
        <v>1731</v>
      </c>
      <c r="R247" s="59">
        <f t="shared" si="44"/>
        <v>14000</v>
      </c>
      <c r="S247" s="4" t="s">
        <v>136</v>
      </c>
      <c r="T247" s="4" t="s">
        <v>137</v>
      </c>
    </row>
    <row r="248" spans="1:20" ht="15.75" customHeight="1" x14ac:dyDescent="0.3">
      <c r="A248" s="317" t="s">
        <v>252</v>
      </c>
      <c r="B248" s="1"/>
      <c r="C248" s="1"/>
      <c r="D248" s="1">
        <v>2500</v>
      </c>
      <c r="E248" s="59">
        <f t="shared" si="45"/>
        <v>2500</v>
      </c>
      <c r="F248" s="1">
        <v>2000</v>
      </c>
      <c r="G248" s="1">
        <v>4500</v>
      </c>
      <c r="H248" s="1">
        <v>3000</v>
      </c>
      <c r="I248" s="59">
        <f t="shared" si="46"/>
        <v>9500</v>
      </c>
      <c r="J248" s="1">
        <v>4500</v>
      </c>
      <c r="K248" s="1">
        <v>4000</v>
      </c>
      <c r="L248" s="1">
        <v>8689</v>
      </c>
      <c r="M248" s="59">
        <f t="shared" si="47"/>
        <v>17189</v>
      </c>
      <c r="N248" s="1">
        <v>2000</v>
      </c>
      <c r="O248" s="1">
        <v>1500</v>
      </c>
      <c r="P248" s="1">
        <v>2200</v>
      </c>
      <c r="Q248" s="59">
        <f t="shared" si="48"/>
        <v>5700</v>
      </c>
      <c r="R248" s="59">
        <f t="shared" si="44"/>
        <v>34889</v>
      </c>
      <c r="S248" s="4" t="s">
        <v>136</v>
      </c>
      <c r="T248" s="4" t="s">
        <v>137</v>
      </c>
    </row>
    <row r="249" spans="1:20" ht="15.75" customHeight="1" x14ac:dyDescent="0.3">
      <c r="A249" s="102" t="s">
        <v>253</v>
      </c>
      <c r="B249" s="1"/>
      <c r="C249" s="1"/>
      <c r="D249" s="1"/>
      <c r="E249" s="59">
        <f t="shared" si="45"/>
        <v>0</v>
      </c>
      <c r="F249" s="1"/>
      <c r="G249" s="1"/>
      <c r="H249" s="1"/>
      <c r="I249" s="59">
        <f t="shared" si="46"/>
        <v>0</v>
      </c>
      <c r="J249" s="1"/>
      <c r="K249" s="1"/>
      <c r="L249" s="1"/>
      <c r="M249" s="59">
        <f t="shared" si="47"/>
        <v>0</v>
      </c>
      <c r="N249" s="1"/>
      <c r="O249" s="1"/>
      <c r="P249" s="1"/>
      <c r="Q249" s="59">
        <f t="shared" si="48"/>
        <v>0</v>
      </c>
      <c r="R249" s="59">
        <f t="shared" si="44"/>
        <v>0</v>
      </c>
      <c r="T249" s="4" t="s">
        <v>132</v>
      </c>
    </row>
    <row r="250" spans="1:20" ht="15.75" customHeight="1" x14ac:dyDescent="0.3">
      <c r="A250" s="102" t="s">
        <v>254</v>
      </c>
      <c r="B250" s="1"/>
      <c r="C250" s="1"/>
      <c r="D250" s="1"/>
      <c r="E250" s="59">
        <f t="shared" si="45"/>
        <v>0</v>
      </c>
      <c r="F250" s="1"/>
      <c r="G250" s="1"/>
      <c r="H250" s="1"/>
      <c r="I250" s="59">
        <f>SUM(F250:H250)</f>
        <v>0</v>
      </c>
      <c r="J250" s="1"/>
      <c r="K250" s="1"/>
      <c r="L250" s="1"/>
      <c r="M250" s="59">
        <f>SUM(J250:L250)</f>
        <v>0</v>
      </c>
      <c r="N250" s="1"/>
      <c r="O250" s="1"/>
      <c r="P250" s="1"/>
      <c r="Q250" s="59">
        <f t="shared" si="48"/>
        <v>0</v>
      </c>
      <c r="R250" s="59">
        <f t="shared" si="44"/>
        <v>0</v>
      </c>
      <c r="T250" s="4" t="s">
        <v>134</v>
      </c>
    </row>
    <row r="251" spans="1:20" ht="15.75" customHeight="1" x14ac:dyDescent="0.3">
      <c r="A251" s="76" t="s">
        <v>880</v>
      </c>
      <c r="B251" s="1"/>
      <c r="C251" s="1"/>
      <c r="D251" s="1"/>
      <c r="E251" s="59">
        <f t="shared" si="45"/>
        <v>0</v>
      </c>
      <c r="F251" s="1"/>
      <c r="G251" s="1">
        <v>390</v>
      </c>
      <c r="H251" s="1">
        <v>1400</v>
      </c>
      <c r="I251" s="59">
        <f t="shared" si="46"/>
        <v>1790</v>
      </c>
      <c r="J251" s="1">
        <v>500</v>
      </c>
      <c r="K251" s="1">
        <v>1000</v>
      </c>
      <c r="L251" s="1">
        <v>500</v>
      </c>
      <c r="M251" s="59">
        <f>SUM(J251:L251)</f>
        <v>2000</v>
      </c>
      <c r="N251" s="1"/>
      <c r="O251" s="1"/>
      <c r="P251" s="1"/>
      <c r="Q251" s="59">
        <f t="shared" si="48"/>
        <v>0</v>
      </c>
      <c r="R251" s="59">
        <f t="shared" si="44"/>
        <v>3790</v>
      </c>
      <c r="S251" s="4" t="s">
        <v>136</v>
      </c>
      <c r="T251" s="4" t="s">
        <v>137</v>
      </c>
    </row>
    <row r="252" spans="1:20" ht="15.75" customHeight="1" x14ac:dyDescent="0.3">
      <c r="A252" s="76" t="s">
        <v>881</v>
      </c>
      <c r="B252" s="1"/>
      <c r="C252" s="1"/>
      <c r="D252" s="1"/>
      <c r="E252" s="59">
        <f t="shared" si="45"/>
        <v>0</v>
      </c>
      <c r="F252" s="1"/>
      <c r="G252" s="1"/>
      <c r="H252" s="1"/>
      <c r="I252" s="59">
        <f t="shared" si="46"/>
        <v>0</v>
      </c>
      <c r="J252" s="1"/>
      <c r="K252" s="1"/>
      <c r="L252" s="1"/>
      <c r="M252" s="59">
        <f t="shared" si="47"/>
        <v>0</v>
      </c>
      <c r="N252" s="1"/>
      <c r="O252" s="1"/>
      <c r="P252" s="1"/>
      <c r="Q252" s="59">
        <f t="shared" si="48"/>
        <v>0</v>
      </c>
      <c r="R252" s="59">
        <f t="shared" si="44"/>
        <v>0</v>
      </c>
      <c r="T252" s="4" t="s">
        <v>137</v>
      </c>
    </row>
    <row r="253" spans="1:20" ht="15.75" customHeight="1" x14ac:dyDescent="0.3">
      <c r="A253" s="76" t="s">
        <v>882</v>
      </c>
      <c r="B253" s="1"/>
      <c r="C253" s="1">
        <v>220</v>
      </c>
      <c r="D253" s="1">
        <v>1778</v>
      </c>
      <c r="E253" s="59">
        <f t="shared" si="45"/>
        <v>1998</v>
      </c>
      <c r="F253" s="1">
        <v>852</v>
      </c>
      <c r="G253" s="1"/>
      <c r="H253" s="1"/>
      <c r="I253" s="59">
        <f t="shared" si="46"/>
        <v>852</v>
      </c>
      <c r="J253" s="1"/>
      <c r="K253" s="1"/>
      <c r="L253" s="1"/>
      <c r="M253" s="59">
        <f t="shared" si="47"/>
        <v>0</v>
      </c>
      <c r="N253" s="1"/>
      <c r="O253" s="1"/>
      <c r="P253" s="1"/>
      <c r="Q253" s="59">
        <f t="shared" si="48"/>
        <v>0</v>
      </c>
      <c r="R253" s="59">
        <f t="shared" si="44"/>
        <v>2850</v>
      </c>
      <c r="T253" s="4" t="s">
        <v>158</v>
      </c>
    </row>
    <row r="254" spans="1:20" ht="15.75" customHeight="1" x14ac:dyDescent="0.3">
      <c r="A254" s="76" t="s">
        <v>883</v>
      </c>
      <c r="B254" s="1"/>
      <c r="C254" s="1"/>
      <c r="D254" s="1"/>
      <c r="E254" s="59">
        <f t="shared" si="45"/>
        <v>0</v>
      </c>
      <c r="F254" s="1"/>
      <c r="G254" s="1"/>
      <c r="H254" s="1"/>
      <c r="I254" s="59">
        <f t="shared" si="46"/>
        <v>0</v>
      </c>
      <c r="J254" s="1"/>
      <c r="K254" s="1"/>
      <c r="L254" s="1"/>
      <c r="M254" s="59">
        <f t="shared" si="47"/>
        <v>0</v>
      </c>
      <c r="N254" s="1"/>
      <c r="O254" s="1"/>
      <c r="P254" s="1"/>
      <c r="Q254" s="59">
        <f t="shared" si="48"/>
        <v>0</v>
      </c>
      <c r="R254" s="59">
        <f t="shared" si="44"/>
        <v>0</v>
      </c>
    </row>
    <row r="255" spans="1:20" ht="15.75" customHeight="1" x14ac:dyDescent="0.3">
      <c r="A255" s="76" t="s">
        <v>884</v>
      </c>
      <c r="B255" s="1">
        <v>2313</v>
      </c>
      <c r="C255" s="1">
        <v>2188</v>
      </c>
      <c r="D255" s="1">
        <v>249</v>
      </c>
      <c r="E255" s="59">
        <f t="shared" si="45"/>
        <v>4750</v>
      </c>
      <c r="F255" s="1"/>
      <c r="G255" s="1"/>
      <c r="H255" s="1"/>
      <c r="I255" s="59">
        <f t="shared" si="46"/>
        <v>0</v>
      </c>
      <c r="J255" s="1"/>
      <c r="K255" s="1"/>
      <c r="L255" s="1"/>
      <c r="M255" s="59">
        <f t="shared" si="47"/>
        <v>0</v>
      </c>
      <c r="N255" s="1"/>
      <c r="O255" s="1"/>
      <c r="P255" s="1"/>
      <c r="Q255" s="59">
        <f t="shared" si="48"/>
        <v>0</v>
      </c>
      <c r="R255" s="59">
        <f t="shared" si="44"/>
        <v>4750</v>
      </c>
      <c r="S255" s="4" t="s">
        <v>136</v>
      </c>
    </row>
    <row r="256" spans="1:20" ht="15.75" customHeight="1" x14ac:dyDescent="0.3">
      <c r="A256" s="76" t="s">
        <v>885</v>
      </c>
      <c r="B256" s="1">
        <v>95</v>
      </c>
      <c r="C256" s="1"/>
      <c r="D256" s="1"/>
      <c r="E256" s="59">
        <f t="shared" si="45"/>
        <v>95</v>
      </c>
      <c r="F256" s="1"/>
      <c r="G256" s="1"/>
      <c r="H256" s="1"/>
      <c r="I256" s="59">
        <f t="shared" si="46"/>
        <v>0</v>
      </c>
      <c r="J256" s="1"/>
      <c r="K256" s="1"/>
      <c r="L256" s="1"/>
      <c r="M256" s="59">
        <f t="shared" si="47"/>
        <v>0</v>
      </c>
      <c r="N256" s="1"/>
      <c r="O256" s="1"/>
      <c r="P256" s="1"/>
      <c r="Q256" s="59">
        <f t="shared" si="48"/>
        <v>0</v>
      </c>
      <c r="R256" s="59">
        <f t="shared" si="44"/>
        <v>95</v>
      </c>
    </row>
    <row r="257" spans="1:20" ht="15.75" customHeight="1" x14ac:dyDescent="0.3">
      <c r="A257" s="76" t="s">
        <v>886</v>
      </c>
      <c r="B257" s="1">
        <v>95</v>
      </c>
      <c r="C257" s="1"/>
      <c r="D257" s="1"/>
      <c r="E257" s="59">
        <f t="shared" si="45"/>
        <v>95</v>
      </c>
      <c r="F257" s="1"/>
      <c r="G257" s="1"/>
      <c r="H257" s="1"/>
      <c r="I257" s="59">
        <f t="shared" si="46"/>
        <v>0</v>
      </c>
      <c r="J257" s="1"/>
      <c r="K257" s="1"/>
      <c r="L257" s="1"/>
      <c r="M257" s="59">
        <f t="shared" si="47"/>
        <v>0</v>
      </c>
      <c r="N257" s="1"/>
      <c r="O257" s="1"/>
      <c r="P257" s="1"/>
      <c r="Q257" s="59">
        <f t="shared" si="48"/>
        <v>0</v>
      </c>
      <c r="R257" s="59">
        <f t="shared" si="44"/>
        <v>95</v>
      </c>
      <c r="S257" s="4" t="s">
        <v>136</v>
      </c>
      <c r="T257" s="4" t="s">
        <v>137</v>
      </c>
    </row>
    <row r="258" spans="1:20" ht="15.75" customHeight="1" x14ac:dyDescent="0.3">
      <c r="A258" s="76" t="s">
        <v>860</v>
      </c>
      <c r="B258" s="1">
        <v>619</v>
      </c>
      <c r="C258" s="1">
        <v>178</v>
      </c>
      <c r="D258" s="1">
        <v>276</v>
      </c>
      <c r="E258" s="59">
        <f t="shared" si="45"/>
        <v>1073</v>
      </c>
      <c r="F258" s="1">
        <v>368</v>
      </c>
      <c r="G258" s="1">
        <v>737</v>
      </c>
      <c r="H258" s="1">
        <v>822</v>
      </c>
      <c r="I258" s="59">
        <f t="shared" si="46"/>
        <v>1927</v>
      </c>
      <c r="J258" s="1"/>
      <c r="K258" s="1"/>
      <c r="L258" s="1"/>
      <c r="M258" s="59">
        <f t="shared" si="47"/>
        <v>0</v>
      </c>
      <c r="N258" s="1"/>
      <c r="O258" s="1"/>
      <c r="P258" s="1"/>
      <c r="Q258" s="59">
        <f t="shared" si="48"/>
        <v>0</v>
      </c>
      <c r="R258" s="59">
        <f t="shared" si="44"/>
        <v>3000</v>
      </c>
      <c r="S258" s="4" t="s">
        <v>136</v>
      </c>
    </row>
    <row r="259" spans="1:20" ht="15.75" customHeight="1" x14ac:dyDescent="0.3">
      <c r="A259" s="76" t="s">
        <v>270</v>
      </c>
      <c r="B259" s="1">
        <v>441</v>
      </c>
      <c r="C259" s="1">
        <v>3289</v>
      </c>
      <c r="D259" s="1">
        <v>4215</v>
      </c>
      <c r="E259" s="59">
        <f>SUM(B259:D259)</f>
        <v>7945</v>
      </c>
      <c r="F259" s="1">
        <v>4375</v>
      </c>
      <c r="G259" s="1">
        <v>180</v>
      </c>
      <c r="H259" s="1"/>
      <c r="I259" s="59">
        <f>SUM(F259:H259)</f>
        <v>4555</v>
      </c>
      <c r="J259" s="1"/>
      <c r="K259" s="1"/>
      <c r="L259" s="1"/>
      <c r="M259" s="59">
        <f>SUM(J259:L259)</f>
        <v>0</v>
      </c>
      <c r="N259" s="1"/>
      <c r="O259" s="1"/>
      <c r="P259" s="1"/>
      <c r="Q259" s="59">
        <f>SUM(N259:P259)</f>
        <v>0</v>
      </c>
      <c r="R259" s="59">
        <f>+E259+I259+M259+Q259</f>
        <v>12500</v>
      </c>
      <c r="S259" s="4" t="s">
        <v>136</v>
      </c>
    </row>
    <row r="260" spans="1:20" ht="15.75" customHeight="1" x14ac:dyDescent="0.3">
      <c r="A260" s="76" t="s">
        <v>271</v>
      </c>
      <c r="B260" s="1"/>
      <c r="C260" s="1"/>
      <c r="D260" s="1"/>
      <c r="E260" s="59">
        <f>SUM(B260:D260)</f>
        <v>0</v>
      </c>
      <c r="F260" s="1"/>
      <c r="G260" s="1"/>
      <c r="H260" s="1"/>
      <c r="I260" s="59">
        <f>SUM(F260:H260)</f>
        <v>0</v>
      </c>
      <c r="J260" s="1"/>
      <c r="K260" s="1"/>
      <c r="L260" s="1"/>
      <c r="M260" s="59">
        <f>SUM(J260:L260)</f>
        <v>0</v>
      </c>
      <c r="N260" s="1"/>
      <c r="O260" s="1"/>
      <c r="P260" s="1"/>
      <c r="Q260" s="59">
        <f>SUM(N260:P260)</f>
        <v>0</v>
      </c>
      <c r="R260" s="59">
        <f>+E260+I260+M260+Q260</f>
        <v>0</v>
      </c>
    </row>
    <row r="261" spans="1:20" ht="15.75" customHeight="1" x14ac:dyDescent="0.3">
      <c r="A261" s="76" t="s">
        <v>273</v>
      </c>
      <c r="B261" s="1">
        <v>500</v>
      </c>
      <c r="C261" s="1"/>
      <c r="D261" s="1"/>
      <c r="E261" s="59">
        <f t="shared" si="45"/>
        <v>500</v>
      </c>
      <c r="F261" s="1"/>
      <c r="G261" s="1"/>
      <c r="H261" s="1"/>
      <c r="I261" s="59">
        <f t="shared" si="46"/>
        <v>0</v>
      </c>
      <c r="J261" s="1"/>
      <c r="K261" s="1"/>
      <c r="L261" s="1"/>
      <c r="M261" s="59">
        <f t="shared" si="47"/>
        <v>0</v>
      </c>
      <c r="N261" s="1"/>
      <c r="O261" s="1"/>
      <c r="P261" s="1"/>
      <c r="Q261" s="59">
        <f t="shared" si="48"/>
        <v>0</v>
      </c>
      <c r="R261" s="59">
        <f t="shared" si="44"/>
        <v>500</v>
      </c>
    </row>
    <row r="262" spans="1:20" ht="15.75" customHeight="1" thickBot="1" x14ac:dyDescent="0.35">
      <c r="A262" s="76" t="s">
        <v>275</v>
      </c>
      <c r="B262" s="1"/>
      <c r="C262" s="1"/>
      <c r="D262" s="1"/>
      <c r="E262" s="59">
        <f>SUM(B262:D262)</f>
        <v>0</v>
      </c>
      <c r="F262" s="1"/>
      <c r="G262" s="1"/>
      <c r="H262" s="1"/>
      <c r="I262" s="59">
        <f>SUM(F262:H262)</f>
        <v>0</v>
      </c>
      <c r="J262" s="1"/>
      <c r="K262" s="1"/>
      <c r="L262" s="1"/>
      <c r="M262" s="59">
        <f>SUM(J262:L262)</f>
        <v>0</v>
      </c>
      <c r="N262" s="1"/>
      <c r="O262" s="1"/>
      <c r="P262" s="1"/>
      <c r="Q262" s="59">
        <f>SUM(N262:P262)</f>
        <v>0</v>
      </c>
      <c r="R262" s="59">
        <f t="shared" si="44"/>
        <v>0</v>
      </c>
      <c r="S262" s="4" t="s">
        <v>136</v>
      </c>
    </row>
    <row r="263" spans="1:20" ht="16.5" customHeight="1" thickBot="1" x14ac:dyDescent="0.35">
      <c r="A263" s="62" t="s">
        <v>61</v>
      </c>
      <c r="B263" s="100">
        <f>SUM(B208:B262)</f>
        <v>9131</v>
      </c>
      <c r="C263" s="101">
        <f>SUM(C208:C262)</f>
        <v>10812</v>
      </c>
      <c r="D263" s="101">
        <f>SUM(D208:D262)</f>
        <v>16226</v>
      </c>
      <c r="E263" s="64">
        <f t="shared" si="45"/>
        <v>36169</v>
      </c>
      <c r="F263" s="101">
        <f>SUM(F208:F262)</f>
        <v>14913</v>
      </c>
      <c r="G263" s="101">
        <f>SUM(G208:G262)</f>
        <v>20754</v>
      </c>
      <c r="H263" s="101">
        <f>SUM(H208:H262)</f>
        <v>20588</v>
      </c>
      <c r="I263" s="64">
        <f t="shared" si="46"/>
        <v>56255</v>
      </c>
      <c r="J263" s="101">
        <f>SUM(J208:J262)</f>
        <v>13928</v>
      </c>
      <c r="K263" s="101">
        <f>SUM(K208:K262)</f>
        <v>12950</v>
      </c>
      <c r="L263" s="101">
        <f>SUM(L208:L262)</f>
        <v>15796</v>
      </c>
      <c r="M263" s="64">
        <f t="shared" si="47"/>
        <v>42674</v>
      </c>
      <c r="N263" s="101">
        <f>SUM(N208:N262)</f>
        <v>6305</v>
      </c>
      <c r="O263" s="101">
        <f>SUM(O208:O262)</f>
        <v>5037</v>
      </c>
      <c r="P263" s="101">
        <f>SUM(P208:P262)</f>
        <v>5211</v>
      </c>
      <c r="Q263" s="64">
        <f t="shared" si="48"/>
        <v>16553</v>
      </c>
      <c r="R263" s="64">
        <f t="shared" si="44"/>
        <v>151651</v>
      </c>
    </row>
    <row r="264" spans="1:20" ht="15.75" customHeight="1" x14ac:dyDescent="0.3">
      <c r="A264" s="17" t="s">
        <v>62</v>
      </c>
      <c r="B264" s="1"/>
      <c r="C264" s="1"/>
      <c r="D264" s="1"/>
      <c r="E264" s="59" t="s">
        <v>7</v>
      </c>
      <c r="F264" s="1"/>
      <c r="G264" s="1"/>
      <c r="H264" s="1"/>
      <c r="I264" s="59" t="s">
        <v>7</v>
      </c>
      <c r="J264" s="1"/>
      <c r="K264" s="1"/>
      <c r="L264" s="1"/>
      <c r="M264" s="59" t="s">
        <v>7</v>
      </c>
      <c r="N264" s="1"/>
      <c r="O264" s="1"/>
      <c r="P264" s="1"/>
      <c r="Q264" s="59" t="s">
        <v>7</v>
      </c>
      <c r="R264" s="59" t="s">
        <v>7</v>
      </c>
    </row>
    <row r="265" spans="1:20" ht="15.75" customHeight="1" x14ac:dyDescent="0.3">
      <c r="A265" s="17" t="s">
        <v>63</v>
      </c>
      <c r="B265" s="1"/>
      <c r="C265" s="1"/>
      <c r="D265" s="1"/>
      <c r="E265" s="59" t="s">
        <v>7</v>
      </c>
      <c r="F265" s="1"/>
      <c r="G265" s="1"/>
      <c r="H265" s="1"/>
      <c r="I265" s="59" t="s">
        <v>7</v>
      </c>
      <c r="J265" s="1"/>
      <c r="K265" s="1"/>
      <c r="L265" s="1"/>
      <c r="M265" s="59" t="s">
        <v>7</v>
      </c>
      <c r="N265" s="1"/>
      <c r="O265" s="1"/>
      <c r="P265" s="1"/>
      <c r="Q265" s="59" t="s">
        <v>7</v>
      </c>
      <c r="R265" s="59" t="s">
        <v>7</v>
      </c>
    </row>
    <row r="266" spans="1:20" ht="15.75" customHeight="1" x14ac:dyDescent="0.3">
      <c r="A266" s="78" t="s">
        <v>854</v>
      </c>
      <c r="B266" s="1"/>
      <c r="C266" s="1"/>
      <c r="D266" s="1"/>
      <c r="E266" s="59">
        <f>SUM(B266:D266)</f>
        <v>0</v>
      </c>
      <c r="F266" s="1"/>
      <c r="G266" s="1"/>
      <c r="H266" s="1"/>
      <c r="I266" s="59">
        <f>SUM(F266:H266)</f>
        <v>0</v>
      </c>
      <c r="J266" s="1"/>
      <c r="K266" s="1"/>
      <c r="L266" s="1"/>
      <c r="M266" s="59">
        <f>SUM(J266:L266)</f>
        <v>0</v>
      </c>
      <c r="N266" s="1"/>
      <c r="O266" s="1"/>
      <c r="P266" s="1"/>
      <c r="Q266" s="59">
        <f>SUM(N266:P266)</f>
        <v>0</v>
      </c>
      <c r="R266" s="59">
        <f>+E266+I266+M266+Q266</f>
        <v>0</v>
      </c>
      <c r="T266" s="4" t="s">
        <v>137</v>
      </c>
    </row>
    <row r="267" spans="1:20" ht="15.75" customHeight="1" x14ac:dyDescent="0.3">
      <c r="A267" s="99" t="s">
        <v>904</v>
      </c>
      <c r="B267" s="1"/>
      <c r="C267" s="1"/>
      <c r="D267" s="1"/>
      <c r="E267" s="59">
        <f>SUM(B267:D267)</f>
        <v>0</v>
      </c>
      <c r="F267" s="1"/>
      <c r="G267" s="1"/>
      <c r="H267" s="1"/>
      <c r="I267" s="59">
        <f>SUM(F267:H267)</f>
        <v>0</v>
      </c>
      <c r="J267" s="1"/>
      <c r="K267" s="1">
        <v>279</v>
      </c>
      <c r="L267" s="1"/>
      <c r="M267" s="59">
        <f>SUM(J267:L267)</f>
        <v>279</v>
      </c>
      <c r="N267" s="1"/>
      <c r="O267" s="1">
        <v>11</v>
      </c>
      <c r="P267" s="1">
        <v>475</v>
      </c>
      <c r="Q267" s="59">
        <f>SUM(N267:P267)</f>
        <v>486</v>
      </c>
      <c r="R267" s="59">
        <f>+E267+I267+M267+Q267</f>
        <v>765</v>
      </c>
      <c r="T267" s="4" t="s">
        <v>132</v>
      </c>
    </row>
    <row r="268" spans="1:20" ht="15.75" customHeight="1" x14ac:dyDescent="0.3">
      <c r="A268" s="99" t="s">
        <v>905</v>
      </c>
      <c r="B268" s="1"/>
      <c r="C268" s="1"/>
      <c r="D268" s="1"/>
      <c r="E268" s="59">
        <f>SUM(B268:D268)</f>
        <v>0</v>
      </c>
      <c r="F268" s="1"/>
      <c r="G268" s="1">
        <v>659</v>
      </c>
      <c r="H268" s="1">
        <v>1870</v>
      </c>
      <c r="I268" s="59">
        <f>SUM(F268:H268)</f>
        <v>2529</v>
      </c>
      <c r="J268" s="1">
        <v>1978</v>
      </c>
      <c r="K268" s="1"/>
      <c r="L268" s="1">
        <v>114</v>
      </c>
      <c r="M268" s="59">
        <f>SUM(J268:L268)</f>
        <v>2092</v>
      </c>
      <c r="N268" s="1">
        <v>18</v>
      </c>
      <c r="O268" s="1"/>
      <c r="P268" s="1">
        <v>360</v>
      </c>
      <c r="Q268" s="59">
        <f>SUM(N268:P268)</f>
        <v>378</v>
      </c>
      <c r="R268" s="59">
        <f>+E268+I268+M268+Q268</f>
        <v>4999</v>
      </c>
      <c r="T268" s="4" t="s">
        <v>134</v>
      </c>
    </row>
    <row r="269" spans="1:20" ht="15.75" customHeight="1" x14ac:dyDescent="0.3">
      <c r="A269" s="17" t="s">
        <v>64</v>
      </c>
      <c r="B269" s="1"/>
      <c r="C269" s="1"/>
      <c r="D269" s="1"/>
      <c r="E269" s="59" t="s">
        <v>7</v>
      </c>
      <c r="F269" s="1"/>
      <c r="G269" s="1"/>
      <c r="H269" s="1"/>
      <c r="I269" s="59" t="s">
        <v>7</v>
      </c>
      <c r="J269" s="1"/>
      <c r="K269" s="1"/>
      <c r="L269" s="1"/>
      <c r="M269" s="59" t="s">
        <v>7</v>
      </c>
      <c r="N269" s="1"/>
      <c r="O269" s="1"/>
      <c r="P269" s="1"/>
      <c r="Q269" s="59" t="s">
        <v>7</v>
      </c>
      <c r="R269" s="59" t="s">
        <v>7</v>
      </c>
    </row>
    <row r="270" spans="1:20" ht="15.75" customHeight="1" x14ac:dyDescent="0.3">
      <c r="A270" s="99" t="s">
        <v>278</v>
      </c>
      <c r="B270" s="1"/>
      <c r="C270" s="1"/>
      <c r="D270" s="1"/>
      <c r="E270" s="59">
        <f>SUM(B270:D270)</f>
        <v>0</v>
      </c>
      <c r="F270" s="1">
        <v>318</v>
      </c>
      <c r="G270" s="1">
        <v>1056</v>
      </c>
      <c r="H270" s="1">
        <v>1247</v>
      </c>
      <c r="I270" s="59">
        <f>SUM(F270:H270)</f>
        <v>2621</v>
      </c>
      <c r="J270" s="1">
        <v>2176</v>
      </c>
      <c r="K270" s="1">
        <v>731</v>
      </c>
      <c r="L270" s="1">
        <v>226</v>
      </c>
      <c r="M270" s="59">
        <f>SUM(J270:L270)</f>
        <v>3133</v>
      </c>
      <c r="N270" s="1"/>
      <c r="O270" s="1"/>
      <c r="P270" s="1"/>
      <c r="Q270" s="59">
        <f>SUM(N270:P270)</f>
        <v>0</v>
      </c>
      <c r="R270" s="59">
        <f>+E270+I270+M270+Q270</f>
        <v>5754</v>
      </c>
    </row>
    <row r="271" spans="1:20" ht="15.75" customHeight="1" x14ac:dyDescent="0.3">
      <c r="A271" s="99" t="s">
        <v>279</v>
      </c>
      <c r="B271" s="1"/>
      <c r="C271" s="1"/>
      <c r="D271" s="1"/>
      <c r="E271" s="59">
        <f>SUM(B271:D271)</f>
        <v>0</v>
      </c>
      <c r="F271" s="1"/>
      <c r="G271" s="1"/>
      <c r="H271" s="1"/>
      <c r="I271" s="59">
        <f>SUM(F271:H271)</f>
        <v>0</v>
      </c>
      <c r="J271" s="1"/>
      <c r="K271" s="1"/>
      <c r="L271" s="1"/>
      <c r="M271" s="59">
        <f>SUM(J271:L271)</f>
        <v>0</v>
      </c>
      <c r="N271" s="1"/>
      <c r="O271" s="1"/>
      <c r="P271" s="1"/>
      <c r="Q271" s="59">
        <f>SUM(N271:P271)</f>
        <v>0</v>
      </c>
      <c r="R271" s="59">
        <f>+E271+I271+M271+Q271</f>
        <v>0</v>
      </c>
      <c r="T271" s="4">
        <f>24000-SUM(R144,R147,R162,R165,R178,R196,R228,R229,R249,R267,R270,R271)</f>
        <v>5738</v>
      </c>
    </row>
    <row r="272" spans="1:20" ht="15.75" customHeight="1" x14ac:dyDescent="0.3">
      <c r="A272" s="74" t="s">
        <v>280</v>
      </c>
      <c r="B272" s="1"/>
      <c r="C272" s="1">
        <v>500</v>
      </c>
      <c r="D272" s="1"/>
      <c r="E272" s="59">
        <f t="shared" ref="E272:E277" si="49">SUM(B272:D272)</f>
        <v>500</v>
      </c>
      <c r="F272" s="1"/>
      <c r="G272" s="1"/>
      <c r="H272" s="1">
        <v>2000</v>
      </c>
      <c r="I272" s="59">
        <f t="shared" ref="I272:I277" si="50">SUM(F272:H272)</f>
        <v>2000</v>
      </c>
      <c r="J272" s="1">
        <v>1600</v>
      </c>
      <c r="K272" s="1">
        <v>1600</v>
      </c>
      <c r="L272" s="1">
        <v>1600</v>
      </c>
      <c r="M272" s="59">
        <f t="shared" ref="M272:M277" si="51">SUM(J272:L272)</f>
        <v>4800</v>
      </c>
      <c r="N272" s="1">
        <v>1600</v>
      </c>
      <c r="O272" s="1">
        <v>1220</v>
      </c>
      <c r="P272" s="1"/>
      <c r="Q272" s="59">
        <f t="shared" ref="Q272:Q277" si="52">SUM(N272:P272)</f>
        <v>2820</v>
      </c>
      <c r="R272" s="59">
        <f t="shared" ref="R272:R277" si="53">+E272+I272+M272+Q272</f>
        <v>10120</v>
      </c>
      <c r="S272" s="4" t="s">
        <v>136</v>
      </c>
    </row>
    <row r="273" spans="1:20" ht="15.75" customHeight="1" x14ac:dyDescent="0.3">
      <c r="A273" s="74" t="s">
        <v>281</v>
      </c>
      <c r="B273" s="1"/>
      <c r="C273" s="1"/>
      <c r="D273" s="1"/>
      <c r="E273" s="59">
        <f t="shared" si="49"/>
        <v>0</v>
      </c>
      <c r="F273" s="1"/>
      <c r="G273" s="1"/>
      <c r="H273" s="1"/>
      <c r="I273" s="59">
        <f t="shared" si="50"/>
        <v>0</v>
      </c>
      <c r="J273" s="1"/>
      <c r="K273" s="1"/>
      <c r="L273" s="1"/>
      <c r="M273" s="59">
        <f t="shared" si="51"/>
        <v>0</v>
      </c>
      <c r="N273" s="1"/>
      <c r="O273" s="1"/>
      <c r="P273" s="1"/>
      <c r="Q273" s="59">
        <f t="shared" si="52"/>
        <v>0</v>
      </c>
      <c r="R273" s="59">
        <f t="shared" si="53"/>
        <v>0</v>
      </c>
    </row>
    <row r="274" spans="1:20" ht="15.75" customHeight="1" x14ac:dyDescent="0.3">
      <c r="A274" s="91" t="s">
        <v>282</v>
      </c>
      <c r="B274" s="1"/>
      <c r="C274" s="1"/>
      <c r="D274" s="1">
        <v>1000</v>
      </c>
      <c r="E274" s="59">
        <f t="shared" si="49"/>
        <v>1000</v>
      </c>
      <c r="F274" s="1"/>
      <c r="G274" s="1"/>
      <c r="H274" s="1">
        <v>1870</v>
      </c>
      <c r="I274" s="59">
        <f t="shared" si="50"/>
        <v>1870</v>
      </c>
      <c r="J274" s="1">
        <v>1977</v>
      </c>
      <c r="K274" s="1"/>
      <c r="L274" s="1">
        <v>60</v>
      </c>
      <c r="M274" s="59">
        <f t="shared" si="51"/>
        <v>2037</v>
      </c>
      <c r="N274" s="1"/>
      <c r="O274" s="1"/>
      <c r="P274" s="1"/>
      <c r="Q274" s="59">
        <f t="shared" si="52"/>
        <v>0</v>
      </c>
      <c r="R274" s="59">
        <f t="shared" si="53"/>
        <v>4907</v>
      </c>
    </row>
    <row r="275" spans="1:20" ht="15.75" customHeight="1" x14ac:dyDescent="0.3">
      <c r="A275" s="91" t="s">
        <v>283</v>
      </c>
      <c r="B275" s="1"/>
      <c r="C275" s="1"/>
      <c r="D275" s="1"/>
      <c r="E275" s="59">
        <f t="shared" si="49"/>
        <v>0</v>
      </c>
      <c r="F275" s="1"/>
      <c r="G275" s="1"/>
      <c r="H275" s="1"/>
      <c r="I275" s="59">
        <f t="shared" si="50"/>
        <v>0</v>
      </c>
      <c r="J275" s="1"/>
      <c r="K275" s="1"/>
      <c r="L275" s="1"/>
      <c r="M275" s="59">
        <f t="shared" si="51"/>
        <v>0</v>
      </c>
      <c r="N275" s="1"/>
      <c r="O275" s="1"/>
      <c r="P275" s="1"/>
      <c r="Q275" s="59">
        <f t="shared" si="52"/>
        <v>0</v>
      </c>
      <c r="R275" s="59">
        <f t="shared" si="53"/>
        <v>0</v>
      </c>
    </row>
    <row r="276" spans="1:20" ht="15.75" customHeight="1" x14ac:dyDescent="0.3">
      <c r="A276" s="61" t="s">
        <v>284</v>
      </c>
      <c r="B276" s="1"/>
      <c r="C276" s="1"/>
      <c r="D276" s="1"/>
      <c r="E276" s="59">
        <f t="shared" si="49"/>
        <v>0</v>
      </c>
      <c r="F276" s="1"/>
      <c r="G276" s="1"/>
      <c r="H276" s="1"/>
      <c r="I276" s="59">
        <f t="shared" si="50"/>
        <v>0</v>
      </c>
      <c r="J276" s="1"/>
      <c r="K276" s="1"/>
      <c r="L276" s="1"/>
      <c r="M276" s="59">
        <f t="shared" si="51"/>
        <v>0</v>
      </c>
      <c r="N276" s="1"/>
      <c r="O276" s="1"/>
      <c r="P276" s="1"/>
      <c r="Q276" s="59">
        <f t="shared" si="52"/>
        <v>0</v>
      </c>
      <c r="R276" s="59">
        <f t="shared" si="53"/>
        <v>0</v>
      </c>
    </row>
    <row r="277" spans="1:20" ht="15.75" customHeight="1" x14ac:dyDescent="0.3">
      <c r="A277" s="61" t="s">
        <v>285</v>
      </c>
      <c r="B277" s="1"/>
      <c r="C277" s="1"/>
      <c r="D277" s="1"/>
      <c r="E277" s="59">
        <f t="shared" si="49"/>
        <v>0</v>
      </c>
      <c r="F277" s="1"/>
      <c r="G277" s="1"/>
      <c r="H277" s="1"/>
      <c r="I277" s="59">
        <f t="shared" si="50"/>
        <v>0</v>
      </c>
      <c r="J277" s="1"/>
      <c r="K277" s="1"/>
      <c r="L277" s="1"/>
      <c r="M277" s="59">
        <f t="shared" si="51"/>
        <v>0</v>
      </c>
      <c r="N277" s="1"/>
      <c r="O277" s="1"/>
      <c r="P277" s="1"/>
      <c r="Q277" s="59">
        <f t="shared" si="52"/>
        <v>0</v>
      </c>
      <c r="R277" s="59">
        <f t="shared" si="53"/>
        <v>0</v>
      </c>
    </row>
    <row r="278" spans="1:20" ht="15.75" customHeight="1" x14ac:dyDescent="0.3">
      <c r="A278" s="17" t="s">
        <v>66</v>
      </c>
      <c r="B278" s="1"/>
      <c r="C278" s="1"/>
      <c r="D278" s="1"/>
      <c r="E278" s="59" t="s">
        <v>7</v>
      </c>
      <c r="F278" s="1"/>
      <c r="G278" s="1"/>
      <c r="H278" s="1"/>
      <c r="I278" s="59" t="s">
        <v>7</v>
      </c>
      <c r="J278" s="1"/>
      <c r="K278" s="1"/>
      <c r="L278" s="1"/>
      <c r="M278" s="59" t="s">
        <v>7</v>
      </c>
      <c r="N278" s="1"/>
      <c r="O278" s="1"/>
      <c r="P278" s="1"/>
      <c r="Q278" s="59" t="s">
        <v>7</v>
      </c>
      <c r="R278" s="59" t="s">
        <v>7</v>
      </c>
    </row>
    <row r="279" spans="1:20" ht="15.75" customHeight="1" x14ac:dyDescent="0.3">
      <c r="A279" s="17" t="s">
        <v>67</v>
      </c>
      <c r="B279" s="1"/>
      <c r="C279" s="1"/>
      <c r="D279" s="1"/>
      <c r="E279" s="59" t="s">
        <v>7</v>
      </c>
      <c r="F279" s="1"/>
      <c r="G279" s="1"/>
      <c r="H279" s="1"/>
      <c r="I279" s="59" t="s">
        <v>7</v>
      </c>
      <c r="J279" s="1"/>
      <c r="K279" s="1"/>
      <c r="L279" s="1"/>
      <c r="M279" s="59" t="s">
        <v>7</v>
      </c>
      <c r="N279" s="1"/>
      <c r="O279" s="1"/>
      <c r="P279" s="1"/>
      <c r="Q279" s="59" t="s">
        <v>7</v>
      </c>
      <c r="R279" s="59" t="s">
        <v>7</v>
      </c>
    </row>
    <row r="280" spans="1:20" ht="15.75" customHeight="1" thickBot="1" x14ac:dyDescent="0.35">
      <c r="A280" s="74" t="s">
        <v>287</v>
      </c>
      <c r="B280" s="1"/>
      <c r="C280" s="1"/>
      <c r="D280" s="1"/>
      <c r="E280" s="59">
        <f>SUM(B280:D280)</f>
        <v>0</v>
      </c>
      <c r="F280" s="1"/>
      <c r="G280" s="1"/>
      <c r="H280" s="1"/>
      <c r="I280" s="59">
        <f>SUM(F280:H280)</f>
        <v>0</v>
      </c>
      <c r="J280" s="1"/>
      <c r="K280" s="1"/>
      <c r="L280" s="1"/>
      <c r="M280" s="59">
        <f>SUM(J280:L280)</f>
        <v>0</v>
      </c>
      <c r="N280" s="1"/>
      <c r="O280" s="1"/>
      <c r="P280" s="1"/>
      <c r="Q280" s="59">
        <f>SUM(N280:P280)</f>
        <v>0</v>
      </c>
      <c r="R280" s="59">
        <f>+E280+I280+M280+Q280</f>
        <v>0</v>
      </c>
      <c r="S280" s="4" t="s">
        <v>136</v>
      </c>
    </row>
    <row r="281" spans="1:20" ht="16.5" customHeight="1" thickBot="1" x14ac:dyDescent="0.35">
      <c r="A281" s="62" t="s">
        <v>68</v>
      </c>
      <c r="B281" s="63">
        <f>SUM(B278:B280)</f>
        <v>0</v>
      </c>
      <c r="C281" s="63">
        <f>SUM(C278:C280)</f>
        <v>0</v>
      </c>
      <c r="D281" s="63">
        <f>SUM(D278:D280)</f>
        <v>0</v>
      </c>
      <c r="E281" s="334">
        <f t="shared" ref="E281:E289" si="54">SUM(B281:D281)</f>
        <v>0</v>
      </c>
      <c r="F281" s="63">
        <f>SUM(F278:F280)</f>
        <v>0</v>
      </c>
      <c r="G281" s="63">
        <f>SUM(G278:G280)</f>
        <v>0</v>
      </c>
      <c r="H281" s="63">
        <f>SUM(H278:H280)</f>
        <v>0</v>
      </c>
      <c r="I281" s="334">
        <f t="shared" ref="I281:I289" si="55">SUM(F281:H281)</f>
        <v>0</v>
      </c>
      <c r="J281" s="63">
        <f>SUM(J278:J280)</f>
        <v>0</v>
      </c>
      <c r="K281" s="63">
        <f>SUM(K278:K280)</f>
        <v>0</v>
      </c>
      <c r="L281" s="63">
        <f>SUM(L278:L280)</f>
        <v>0</v>
      </c>
      <c r="M281" s="334">
        <f t="shared" ref="M281:M289" si="56">SUM(J281:L281)</f>
        <v>0</v>
      </c>
      <c r="N281" s="63">
        <f>SUM(N278:N280)</f>
        <v>0</v>
      </c>
      <c r="O281" s="63">
        <f>SUM(O278:O280)</f>
        <v>0</v>
      </c>
      <c r="P281" s="63">
        <f>SUM(P278:P280)</f>
        <v>0</v>
      </c>
      <c r="Q281" s="334">
        <f t="shared" ref="Q281:Q289" si="57">SUM(N281:P281)</f>
        <v>0</v>
      </c>
      <c r="R281" s="64">
        <f t="shared" ref="R281:R289" si="58">+E281+I281+M281+Q281</f>
        <v>0</v>
      </c>
    </row>
    <row r="282" spans="1:20" ht="16.5" customHeight="1" thickBot="1" x14ac:dyDescent="0.35">
      <c r="A282" s="62" t="s">
        <v>69</v>
      </c>
      <c r="B282" s="100">
        <f>SUM(B264:B280)</f>
        <v>0</v>
      </c>
      <c r="C282" s="101">
        <f>SUM(C264:C280)</f>
        <v>500</v>
      </c>
      <c r="D282" s="101">
        <f>SUM(D264:D280)</f>
        <v>1000</v>
      </c>
      <c r="E282" s="64">
        <f t="shared" si="54"/>
        <v>1500</v>
      </c>
      <c r="F282" s="101">
        <f>SUM(F264:F280)</f>
        <v>318</v>
      </c>
      <c r="G282" s="101">
        <f>SUM(G264:G280)</f>
        <v>1715</v>
      </c>
      <c r="H282" s="101">
        <f>SUM(H264:H280)</f>
        <v>6987</v>
      </c>
      <c r="I282" s="64">
        <f t="shared" si="55"/>
        <v>9020</v>
      </c>
      <c r="J282" s="101">
        <f>SUM(J264:J280)</f>
        <v>7731</v>
      </c>
      <c r="K282" s="101">
        <f>SUM(K264:K280)</f>
        <v>2610</v>
      </c>
      <c r="L282" s="101">
        <f>SUM(L264:L280)</f>
        <v>2000</v>
      </c>
      <c r="M282" s="64">
        <f t="shared" si="56"/>
        <v>12341</v>
      </c>
      <c r="N282" s="101">
        <f>SUM(N264:N280)</f>
        <v>1618</v>
      </c>
      <c r="O282" s="101">
        <f>SUM(O264:O280)</f>
        <v>1231</v>
      </c>
      <c r="P282" s="101">
        <f>SUM(P264:P280)</f>
        <v>835</v>
      </c>
      <c r="Q282" s="64">
        <f t="shared" si="57"/>
        <v>3684</v>
      </c>
      <c r="R282" s="64">
        <f t="shared" si="58"/>
        <v>26545</v>
      </c>
    </row>
    <row r="283" spans="1:20" ht="16.5" customHeight="1" thickBot="1" x14ac:dyDescent="0.35">
      <c r="A283" s="62" t="s">
        <v>70</v>
      </c>
      <c r="B283" s="107">
        <f>+B200+B207+B263+B282</f>
        <v>18536</v>
      </c>
      <c r="C283" s="63">
        <f>+C200+C207+C263+C282</f>
        <v>16791</v>
      </c>
      <c r="D283" s="63">
        <f>+D200+D207+D263+D282</f>
        <v>28344</v>
      </c>
      <c r="E283" s="88">
        <f t="shared" si="54"/>
        <v>63671</v>
      </c>
      <c r="F283" s="63">
        <f>+F200+F207+F263+F282</f>
        <v>30147</v>
      </c>
      <c r="G283" s="63">
        <f>+G200+G207+G263+G282</f>
        <v>41256</v>
      </c>
      <c r="H283" s="63">
        <f>+H200+H207+H263+H282</f>
        <v>50158</v>
      </c>
      <c r="I283" s="88">
        <f t="shared" si="55"/>
        <v>121561</v>
      </c>
      <c r="J283" s="63">
        <f>+J200+J207+J263+J282</f>
        <v>58373</v>
      </c>
      <c r="K283" s="63">
        <f>+K200+K207+K263+K282</f>
        <v>48841</v>
      </c>
      <c r="L283" s="63">
        <f>+L200+L207+L263+L282</f>
        <v>46361</v>
      </c>
      <c r="M283" s="88">
        <f t="shared" si="56"/>
        <v>153575</v>
      </c>
      <c r="N283" s="63">
        <f>+N200+N207+N263+N282</f>
        <v>35115</v>
      </c>
      <c r="O283" s="63">
        <f>+O200+O207+O263+O282</f>
        <v>24980</v>
      </c>
      <c r="P283" s="63">
        <f>+P200+P207+P263+P282</f>
        <v>19283</v>
      </c>
      <c r="Q283" s="88">
        <f t="shared" si="57"/>
        <v>79378</v>
      </c>
      <c r="R283" s="88">
        <f t="shared" si="58"/>
        <v>418185</v>
      </c>
    </row>
    <row r="284" spans="1:20" ht="15.75" customHeight="1" x14ac:dyDescent="0.3">
      <c r="A284" s="102" t="s">
        <v>288</v>
      </c>
      <c r="B284" s="1"/>
      <c r="C284" s="1">
        <v>2526</v>
      </c>
      <c r="D284" s="1">
        <v>4089</v>
      </c>
      <c r="E284" s="59">
        <f t="shared" si="54"/>
        <v>6615</v>
      </c>
      <c r="F284" s="1">
        <v>1608</v>
      </c>
      <c r="G284" s="1">
        <v>2278</v>
      </c>
      <c r="H284" s="1">
        <v>3295</v>
      </c>
      <c r="I284" s="59">
        <f t="shared" si="55"/>
        <v>7181</v>
      </c>
      <c r="J284" s="1">
        <v>2560</v>
      </c>
      <c r="K284" s="1">
        <v>948</v>
      </c>
      <c r="L284" s="1">
        <v>2584</v>
      </c>
      <c r="M284" s="59">
        <f t="shared" si="56"/>
        <v>6092</v>
      </c>
      <c r="N284" s="1">
        <v>3444</v>
      </c>
      <c r="O284" s="1">
        <v>4424</v>
      </c>
      <c r="P284" s="1">
        <v>1662</v>
      </c>
      <c r="Q284" s="59">
        <f t="shared" si="57"/>
        <v>9530</v>
      </c>
      <c r="R284" s="59">
        <f t="shared" si="58"/>
        <v>29418</v>
      </c>
      <c r="T284" s="4" t="s">
        <v>121</v>
      </c>
    </row>
    <row r="285" spans="1:20" ht="15.75" customHeight="1" x14ac:dyDescent="0.3">
      <c r="A285" s="108" t="s">
        <v>289</v>
      </c>
      <c r="B285" s="1"/>
      <c r="C285" s="1"/>
      <c r="D285" s="1"/>
      <c r="E285" s="59">
        <f t="shared" si="54"/>
        <v>0</v>
      </c>
      <c r="F285" s="1">
        <v>-4000</v>
      </c>
      <c r="G285" s="1">
        <v>-6000</v>
      </c>
      <c r="H285" s="1">
        <v>-4000</v>
      </c>
      <c r="I285" s="59">
        <f t="shared" si="55"/>
        <v>-14000</v>
      </c>
      <c r="J285" s="1">
        <v>-2000</v>
      </c>
      <c r="K285" s="1"/>
      <c r="L285" s="1"/>
      <c r="M285" s="59">
        <f t="shared" si="56"/>
        <v>-2000</v>
      </c>
      <c r="N285" s="1"/>
      <c r="O285" s="1"/>
      <c r="P285" s="1">
        <v>-11</v>
      </c>
      <c r="Q285" s="59">
        <f t="shared" si="57"/>
        <v>-11</v>
      </c>
      <c r="R285" s="59">
        <f t="shared" si="58"/>
        <v>-16011</v>
      </c>
    </row>
    <row r="286" spans="1:20" ht="15.75" customHeight="1" x14ac:dyDescent="0.3">
      <c r="A286" s="74" t="s">
        <v>290</v>
      </c>
      <c r="B286" s="1"/>
      <c r="C286" s="1"/>
      <c r="D286" s="1"/>
      <c r="E286" s="59">
        <f t="shared" si="54"/>
        <v>0</v>
      </c>
      <c r="F286" s="1"/>
      <c r="G286" s="1"/>
      <c r="H286" s="1"/>
      <c r="I286" s="59">
        <f t="shared" si="55"/>
        <v>0</v>
      </c>
      <c r="J286" s="1"/>
      <c r="K286" s="1"/>
      <c r="L286" s="1"/>
      <c r="M286" s="59">
        <f t="shared" si="56"/>
        <v>0</v>
      </c>
      <c r="N286" s="1"/>
      <c r="O286" s="1"/>
      <c r="P286" s="1"/>
      <c r="Q286" s="59">
        <f t="shared" si="57"/>
        <v>0</v>
      </c>
      <c r="R286" s="59">
        <f t="shared" si="58"/>
        <v>0</v>
      </c>
    </row>
    <row r="287" spans="1:20" ht="15.75" customHeight="1" x14ac:dyDescent="0.3">
      <c r="A287" s="108" t="s">
        <v>291</v>
      </c>
      <c r="B287" s="1">
        <v>9</v>
      </c>
      <c r="C287" s="1">
        <v>39</v>
      </c>
      <c r="D287" s="1">
        <v>42</v>
      </c>
      <c r="E287" s="59">
        <f>SUM(B287:D287)</f>
        <v>90</v>
      </c>
      <c r="F287" s="1">
        <v>42</v>
      </c>
      <c r="G287" s="1">
        <v>61</v>
      </c>
      <c r="H287" s="1">
        <v>52</v>
      </c>
      <c r="I287" s="59">
        <f>SUM(F287:H287)</f>
        <v>155</v>
      </c>
      <c r="J287" s="1">
        <v>42</v>
      </c>
      <c r="K287" s="1">
        <v>55</v>
      </c>
      <c r="L287" s="1">
        <v>86</v>
      </c>
      <c r="M287" s="59">
        <f>SUM(J287:L287)</f>
        <v>183</v>
      </c>
      <c r="N287" s="1">
        <v>74</v>
      </c>
      <c r="O287" s="1">
        <v>41</v>
      </c>
      <c r="P287" s="1">
        <v>34</v>
      </c>
      <c r="Q287" s="59">
        <f>SUM(N287:P287)</f>
        <v>149</v>
      </c>
      <c r="R287" s="59">
        <f t="shared" si="58"/>
        <v>577</v>
      </c>
    </row>
    <row r="288" spans="1:20" ht="15.75" customHeight="1" x14ac:dyDescent="0.3">
      <c r="A288" s="91" t="s">
        <v>292</v>
      </c>
      <c r="B288" s="1">
        <v>108452</v>
      </c>
      <c r="C288" s="1">
        <v>32889</v>
      </c>
      <c r="D288" s="1">
        <v>4539</v>
      </c>
      <c r="E288" s="59">
        <f t="shared" si="54"/>
        <v>145880</v>
      </c>
      <c r="F288" s="1">
        <v>28044</v>
      </c>
      <c r="G288" s="1">
        <v>12390</v>
      </c>
      <c r="H288" s="1"/>
      <c r="I288" s="59">
        <f t="shared" si="55"/>
        <v>40434</v>
      </c>
      <c r="J288" s="1"/>
      <c r="K288" s="1"/>
      <c r="L288" s="1">
        <v>19406</v>
      </c>
      <c r="M288" s="59">
        <f t="shared" si="56"/>
        <v>19406</v>
      </c>
      <c r="N288" s="1">
        <v>40011</v>
      </c>
      <c r="O288" s="1">
        <v>74729</v>
      </c>
      <c r="P288" s="1">
        <v>52389</v>
      </c>
      <c r="Q288" s="59">
        <f t="shared" si="57"/>
        <v>167129</v>
      </c>
      <c r="R288" s="59">
        <f t="shared" si="58"/>
        <v>372849</v>
      </c>
    </row>
    <row r="289" spans="1:18" ht="16.5" customHeight="1" thickBot="1" x14ac:dyDescent="0.35">
      <c r="A289" s="40" t="s">
        <v>37</v>
      </c>
      <c r="B289" s="25">
        <v>104</v>
      </c>
      <c r="C289" s="25">
        <v>268</v>
      </c>
      <c r="D289" s="25">
        <v>474</v>
      </c>
      <c r="E289" s="59">
        <f t="shared" si="54"/>
        <v>846</v>
      </c>
      <c r="F289" s="25">
        <v>647</v>
      </c>
      <c r="G289" s="25">
        <v>742</v>
      </c>
      <c r="H289" s="25">
        <v>781</v>
      </c>
      <c r="I289" s="59">
        <f t="shared" si="55"/>
        <v>2170</v>
      </c>
      <c r="J289" s="25">
        <v>774</v>
      </c>
      <c r="K289" s="25">
        <v>596</v>
      </c>
      <c r="L289" s="25">
        <v>546</v>
      </c>
      <c r="M289" s="59">
        <f t="shared" si="56"/>
        <v>1916</v>
      </c>
      <c r="N289" s="25">
        <v>517</v>
      </c>
      <c r="O289" s="25">
        <v>413</v>
      </c>
      <c r="P289" s="25">
        <v>302</v>
      </c>
      <c r="Q289" s="59">
        <f t="shared" si="57"/>
        <v>1232</v>
      </c>
      <c r="R289" s="59">
        <f t="shared" si="58"/>
        <v>6164</v>
      </c>
    </row>
    <row r="290" spans="1:18" ht="16.5" customHeight="1" thickBot="1" x14ac:dyDescent="0.35">
      <c r="A290" s="80"/>
      <c r="B290" s="81"/>
      <c r="C290" s="81"/>
      <c r="D290" s="81"/>
      <c r="E290" s="334"/>
      <c r="F290" s="81"/>
      <c r="G290" s="81"/>
      <c r="H290" s="81"/>
      <c r="I290" s="64"/>
      <c r="J290" s="81"/>
      <c r="K290" s="81"/>
      <c r="L290" s="81"/>
      <c r="M290" s="64"/>
      <c r="N290" s="81"/>
      <c r="O290" s="81"/>
      <c r="P290" s="81"/>
      <c r="Q290" s="64"/>
      <c r="R290" s="64" t="s">
        <v>7</v>
      </c>
    </row>
    <row r="291" spans="1:18" ht="15.75" customHeight="1" x14ac:dyDescent="0.3">
      <c r="A291" s="335" t="s">
        <v>38</v>
      </c>
      <c r="B291" s="336">
        <f>SUM(B283:B289)</f>
        <v>127101</v>
      </c>
      <c r="C291" s="336">
        <f>SUM(C283:C289)</f>
        <v>52513</v>
      </c>
      <c r="D291" s="336">
        <f>SUM(D283:D289)</f>
        <v>37488</v>
      </c>
      <c r="E291" s="334">
        <f>SUM(B291:D291)</f>
        <v>217102</v>
      </c>
      <c r="F291" s="336">
        <f>SUM(F283:F289)</f>
        <v>56488</v>
      </c>
      <c r="G291" s="336">
        <f>SUM(G283:G289)</f>
        <v>50727</v>
      </c>
      <c r="H291" s="336">
        <f>SUM(H283:H289)</f>
        <v>50286</v>
      </c>
      <c r="I291" s="334">
        <f>SUM(F291:H291)</f>
        <v>157501</v>
      </c>
      <c r="J291" s="336">
        <f>SUM(J283:J289)</f>
        <v>59749</v>
      </c>
      <c r="K291" s="336">
        <f>SUM(K283:K289)</f>
        <v>50440</v>
      </c>
      <c r="L291" s="336">
        <f>SUM(L283:L289)</f>
        <v>68983</v>
      </c>
      <c r="M291" s="334">
        <f>SUM(J291:L291)</f>
        <v>179172</v>
      </c>
      <c r="N291" s="336">
        <f>SUM(N283:N289)</f>
        <v>79161</v>
      </c>
      <c r="O291" s="336">
        <f>SUM(O283:O289)</f>
        <v>104587</v>
      </c>
      <c r="P291" s="336">
        <f>SUM(P283:P289)</f>
        <v>73659</v>
      </c>
      <c r="Q291" s="337">
        <f>SUM(N291:P291)</f>
        <v>257407</v>
      </c>
      <c r="R291" s="334">
        <f>+E291+I291+M291+Q291</f>
        <v>811182</v>
      </c>
    </row>
    <row r="292" spans="1:18" ht="15.75" customHeight="1" x14ac:dyDescent="0.3">
      <c r="A292" s="85" t="s">
        <v>39</v>
      </c>
      <c r="B292" s="1">
        <f>(B291/B10)/1.983</f>
        <v>2067.5906495534623</v>
      </c>
      <c r="C292" s="1">
        <f>(C291/C10)/1.983</f>
        <v>913.1583981080563</v>
      </c>
      <c r="D292" s="1">
        <f>(D291/D10)/1.983</f>
        <v>609.82870528524711</v>
      </c>
      <c r="E292" s="59" t="s">
        <v>7</v>
      </c>
      <c r="F292" s="1">
        <f>(F291/F10)/1.983</f>
        <v>949.53773743486295</v>
      </c>
      <c r="G292" s="1">
        <f>(G291/G10)/1.983</f>
        <v>825.19154750866221</v>
      </c>
      <c r="H292" s="1">
        <f>(H291/H10)/1.983</f>
        <v>845.28492183560263</v>
      </c>
      <c r="I292" s="59" t="s">
        <v>7</v>
      </c>
      <c r="J292" s="1">
        <f>(J291/J10)/1.983</f>
        <v>971.9551673092252</v>
      </c>
      <c r="K292" s="1">
        <f>(K291/K10)/1.983</f>
        <v>820.52283116164813</v>
      </c>
      <c r="L292" s="1">
        <f>(L291/L10)/1.983</f>
        <v>1159.5730374852917</v>
      </c>
      <c r="M292" s="59" t="s">
        <v>7</v>
      </c>
      <c r="N292" s="1">
        <f>(N291/N10)/1.983</f>
        <v>1287.7360792543066</v>
      </c>
      <c r="O292" s="1">
        <f>(O291/O10)/1.983</f>
        <v>1758.0601781812068</v>
      </c>
      <c r="P292" s="1">
        <f>(P291/P10)/1.983</f>
        <v>1198.2333707481332</v>
      </c>
      <c r="Q292" s="110" t="s">
        <v>7</v>
      </c>
      <c r="R292" s="59" t="s">
        <v>7</v>
      </c>
    </row>
    <row r="293" spans="1:18" ht="15.75" customHeight="1" x14ac:dyDescent="0.3">
      <c r="A293" s="85" t="s">
        <v>293</v>
      </c>
      <c r="B293" s="1">
        <f>(+B291+B443)+B300</f>
        <v>150911</v>
      </c>
      <c r="C293" s="1">
        <f>(+C291+C443)+C300</f>
        <v>110482</v>
      </c>
      <c r="D293" s="1">
        <f>(+D291+D443)+D300</f>
        <v>116405</v>
      </c>
      <c r="E293" s="59">
        <f>SUM(B293:D293)</f>
        <v>377798</v>
      </c>
      <c r="F293" s="1">
        <f>(+F291+F443)+F300</f>
        <v>159674</v>
      </c>
      <c r="G293" s="1">
        <f>(+G291+G443)+G300</f>
        <v>169951</v>
      </c>
      <c r="H293" s="1">
        <f>(+H291+H443)+H300</f>
        <v>82634</v>
      </c>
      <c r="I293" s="59">
        <f>SUM(F293:H293)</f>
        <v>412259</v>
      </c>
      <c r="J293" s="1">
        <f>(+J291+J443)+J300</f>
        <v>68001</v>
      </c>
      <c r="K293" s="1">
        <f>(+K291+K443)+K300</f>
        <v>59601</v>
      </c>
      <c r="L293" s="1">
        <f>(+L291+L443)+L300</f>
        <v>126596</v>
      </c>
      <c r="M293" s="59">
        <f>SUM(J293:L293)</f>
        <v>254198</v>
      </c>
      <c r="N293" s="1">
        <f>(+N291+N443)+N300</f>
        <v>130253</v>
      </c>
      <c r="O293" s="1">
        <f>(+O291+O443)+O300</f>
        <v>136932</v>
      </c>
      <c r="P293" s="1">
        <f>(+P291+P443)+P300</f>
        <v>115487</v>
      </c>
      <c r="Q293" s="110">
        <f>SUM(N293:P293)</f>
        <v>382672</v>
      </c>
      <c r="R293" s="59">
        <f>+E293+I293+M293+Q293</f>
        <v>1426927</v>
      </c>
    </row>
    <row r="294" spans="1:18" ht="16.5" customHeight="1" thickBot="1" x14ac:dyDescent="0.35">
      <c r="A294" s="86" t="s">
        <v>294</v>
      </c>
      <c r="B294" s="87">
        <f>(B293/B10)/1.983</f>
        <v>2454.9151660078405</v>
      </c>
      <c r="C294" s="87">
        <f>(C293/C10)/1.983</f>
        <v>1921.1922026883683</v>
      </c>
      <c r="D294" s="87">
        <f>(D293/D10)/1.983</f>
        <v>1893.5955622793747</v>
      </c>
      <c r="E294" s="88" t="s">
        <v>7</v>
      </c>
      <c r="F294" s="87">
        <f>(F293/F10)/1.983</f>
        <v>2684.0477391158174</v>
      </c>
      <c r="G294" s="87">
        <f>(G293/G10)/1.983</f>
        <v>2764.6446407365834</v>
      </c>
      <c r="H294" s="87">
        <f>(H293/H10)/1.983</f>
        <v>1389.0401748192974</v>
      </c>
      <c r="I294" s="88" t="s">
        <v>7</v>
      </c>
      <c r="J294" s="87">
        <f>(J293/J10)/1.983</f>
        <v>1106.1929627641402</v>
      </c>
      <c r="K294" s="87">
        <f>(K293/K10)/1.983</f>
        <v>969.54760626616553</v>
      </c>
      <c r="L294" s="87">
        <f>(L293/L10)/1.983</f>
        <v>2128.0215162212135</v>
      </c>
      <c r="M294" s="88" t="s">
        <v>7</v>
      </c>
      <c r="N294" s="87">
        <f>(N293/N10)/1.983</f>
        <v>2118.865192848893</v>
      </c>
      <c r="O294" s="87">
        <f>(O293/O10)/1.983</f>
        <v>2301.7650025214321</v>
      </c>
      <c r="P294" s="87">
        <f>(P293/P10)/1.983</f>
        <v>1878.6621768906673</v>
      </c>
      <c r="Q294" s="111" t="s">
        <v>7</v>
      </c>
      <c r="R294" s="88" t="s">
        <v>7</v>
      </c>
    </row>
    <row r="295" spans="1:18" ht="16.5" customHeight="1" thickBot="1" x14ac:dyDescent="0.35">
      <c r="A295" s="112" t="s">
        <v>295</v>
      </c>
      <c r="B295" s="113">
        <f>+(B293-(B138+B139+B140+B141+B143+B144+B145+B147+B148+B149+B153+B155++B159+B160+B162+B163+B165+B166+B167+B168+B169+B178+B179+B180+B191+B194+B196+B197+B204+B211+B212+B213+B214+B215+B225+B227+B228+B229+B230+B232+B233+B234+B241+B249+B250+B267+B268+B270+B271+B274+B275+B284+B288+B296)-B300)/(B10*1.983)</f>
        <v>636.42574788931722</v>
      </c>
      <c r="C295" s="113">
        <f t="shared" ref="C295:D295" si="59">+(C293-(C138+C139+C140+C141+C143+C144+C145+C147+C148+C149+C153+C155++C159+C160+C162+C163+C165+C166+C167+C168+C169+C178+C179+C180+C191+C194+C196+C197+C204+C211+C212+C213+C214+C215+C225+C227+C228+C229+C230+C232+C233+C234+C241+C249+C250+C267+C268+C270+C271+C274+C275+C284+C288+C296)-C300)/(C10*1.983)</f>
        <v>1179.0216843166918</v>
      </c>
      <c r="D295" s="113">
        <f t="shared" si="59"/>
        <v>1680.6728157077089</v>
      </c>
      <c r="E295" s="114"/>
      <c r="F295" s="113">
        <f>+(F293-(F138+F139+F140+F141+F143+F144+F145+F147+F148+F149+F153+F155++F159+F160+F162+F163+F165+F166+F167+F168+F169+F178+F179+F180+F191+F194+F196+F197+F204+F211+F212+F213+F214+F215+F225+F227+F228+F229+F230+F232+F233+F234+F241+F249+F250+F267+F268+F270+F271+F274+F275+F284+F288+F296)-F300)/(F10*1.983)</f>
        <v>1947.2348293830896</v>
      </c>
      <c r="G295" s="113">
        <f t="shared" ref="G295:H295" si="60">+(G293-(G138+G139+G140+G141+G143+G144+G145+G147+G148+G149+G153+G155++G159+G160+G162+G163+G165+G166+G167+G168+G169+G178+G179+G180+G191+G194+G196+G197+G204+G211+G212+G213+G214+G215+G225+G227+G228+G229+G230+G232+G233+G234+G241+G249+G250+G267+G268+G270+G271+G274+G275+G284+G288+G296)-G300)/(G10*1.983)</f>
        <v>2296.9271062092298</v>
      </c>
      <c r="H295" s="113">
        <f t="shared" si="60"/>
        <v>2974.2477727349133</v>
      </c>
      <c r="I295" s="114"/>
      <c r="J295" s="113">
        <f>+(J293-(J138+J139+J140+J141+J143+J144+J145+J147+J148+J149+J153+J155++J159+J160+J162+J163+J165+J166+J167+J168+J169+J178+J179+J180+J191+J194+J196+J197+J204+J211+J212+J213+J214+J215+J225+J227+J228+J229+J230+J232+J233+J234+J241+J249+J250+J267+J268+J270+J271+J274+J275+J284+J288+J296)-J300)/(J10*1.983)</f>
        <v>2785.9222748198395</v>
      </c>
      <c r="K295" s="113">
        <f t="shared" ref="K295:L295" si="61">+(K293-(K138+K139+K140+K141+K143+K144+K145+K147+K148+K149+K153+K155++K159+K160+K162+K163+K165+K166+K167+K168+K169+K178+K179+K180+K191+K194+K196+K197+K204+K211+K212+K213+K214+K215+K225+K227+K228+K229+K230+K232+K233+K234+K241+K249+K250+K267+K268+K270+K271+K274+K275+K284+K288+K296)-K300)/(K10*1.983)</f>
        <v>2243.8468921315048</v>
      </c>
      <c r="L295" s="113">
        <f t="shared" si="61"/>
        <v>1991.6456547318876</v>
      </c>
      <c r="M295" s="114"/>
      <c r="N295" s="113">
        <f>+(N293-(N138+N139+N140+N141+N143+N144+N145+N147+N148+N149+N153+N155++N159+N160+N162+N163+N165+N166+N167+N168+N169+N178+N179+N180+N191+N194+N196+N197+N204+N211+N212+N213+N214+N215+N225+N227+N228+N229+N230+N232+N233+N234+N241+N249+N250+N267+N268+N270+N271+N274+N275+N284+N288+N296)-N300)/(N10*1.983)</f>
        <v>1341.9224700274915</v>
      </c>
      <c r="O295" s="113">
        <f t="shared" ref="O295:P295" si="62">+(O293-(O138+O139+O140+O141+O143+O144+O145+O147+O148+O149+O153+O155++O159+O160+O162+O163+O165+O166+O167+O168+O169+O178+O179+O180+O191+O194+O196+O197+O204+O211+O212+O213+O214+O215+O225+O227+O228+O229+O230+O232+O233+O234+O241+O249+O250+O267+O268+O270+O271+O274+O275+O284+O288+O296)-O300)/(O10*1.983)</f>
        <v>915.81778450159686</v>
      </c>
      <c r="P295" s="113">
        <f t="shared" si="62"/>
        <v>922.69776975257423</v>
      </c>
      <c r="Q295" s="115"/>
      <c r="R295" s="114"/>
    </row>
    <row r="296" spans="1:18" ht="15.75" customHeight="1" x14ac:dyDescent="0.3">
      <c r="A296" s="116" t="s">
        <v>296</v>
      </c>
      <c r="B296" s="1">
        <v>1798</v>
      </c>
      <c r="C296" s="1">
        <v>3399</v>
      </c>
      <c r="D296" s="1">
        <v>4347</v>
      </c>
      <c r="E296" s="1"/>
      <c r="F296" s="1">
        <v>2298</v>
      </c>
      <c r="G296" s="1">
        <v>2798</v>
      </c>
      <c r="H296" s="1">
        <v>2798</v>
      </c>
      <c r="I296" s="1"/>
      <c r="J296" s="1">
        <v>2698</v>
      </c>
      <c r="K296" s="1">
        <v>2798</v>
      </c>
      <c r="L296" s="1">
        <v>2598</v>
      </c>
      <c r="M296" s="1"/>
      <c r="N296" s="1">
        <v>2697</v>
      </c>
      <c r="O296" s="1">
        <v>2398</v>
      </c>
      <c r="P296" s="1">
        <v>2098</v>
      </c>
      <c r="Q296" s="1"/>
      <c r="R296" s="28"/>
    </row>
    <row r="297" spans="1:18" ht="15.75" customHeight="1" thickBot="1" x14ac:dyDescent="0.35">
      <c r="A297" s="30"/>
      <c r="B297" s="1"/>
      <c r="C297" s="1"/>
      <c r="D297" s="1"/>
      <c r="E297" s="1"/>
      <c r="F297" s="1"/>
      <c r="G297" s="1"/>
      <c r="H297" s="1"/>
      <c r="I297" s="1"/>
      <c r="J297" s="1"/>
      <c r="K297" s="1"/>
      <c r="L297" s="1"/>
      <c r="M297" s="1"/>
      <c r="N297" s="1"/>
      <c r="O297" s="1"/>
      <c r="P297" s="1"/>
      <c r="Q297" s="1"/>
      <c r="R297" s="28"/>
    </row>
    <row r="298" spans="1:18" ht="16.5" customHeight="1" thickBot="1" x14ac:dyDescent="0.35">
      <c r="A298" s="31" t="s">
        <v>297</v>
      </c>
      <c r="B298" s="323" t="s">
        <v>36</v>
      </c>
      <c r="C298" s="324" t="s">
        <v>9</v>
      </c>
      <c r="D298" s="324" t="s">
        <v>10</v>
      </c>
      <c r="E298" s="325" t="s">
        <v>11</v>
      </c>
      <c r="F298" s="324" t="s">
        <v>12</v>
      </c>
      <c r="G298" s="324" t="s">
        <v>13</v>
      </c>
      <c r="H298" s="324" t="s">
        <v>14</v>
      </c>
      <c r="I298" s="34" t="s">
        <v>15</v>
      </c>
      <c r="J298" s="324" t="s">
        <v>16</v>
      </c>
      <c r="K298" s="324" t="s">
        <v>17</v>
      </c>
      <c r="L298" s="324" t="s">
        <v>18</v>
      </c>
      <c r="M298" s="34" t="s">
        <v>19</v>
      </c>
      <c r="N298" s="324" t="s">
        <v>20</v>
      </c>
      <c r="O298" s="324" t="s">
        <v>21</v>
      </c>
      <c r="P298" s="324" t="s">
        <v>22</v>
      </c>
      <c r="Q298" s="34" t="s">
        <v>23</v>
      </c>
      <c r="R298" s="326" t="s">
        <v>24</v>
      </c>
    </row>
    <row r="299" spans="1:18" ht="16.5" customHeight="1" thickBot="1" x14ac:dyDescent="0.35">
      <c r="A299" s="80"/>
      <c r="B299" s="81"/>
      <c r="C299" s="81"/>
      <c r="D299" s="81"/>
      <c r="E299" s="89"/>
      <c r="F299" s="81"/>
      <c r="G299" s="81"/>
      <c r="H299" s="81"/>
      <c r="I299" s="89"/>
      <c r="J299" s="81"/>
      <c r="K299" s="81"/>
      <c r="L299" s="81"/>
      <c r="M299" s="89"/>
      <c r="N299" s="81"/>
      <c r="O299" s="81"/>
      <c r="P299" s="81"/>
      <c r="Q299" s="89"/>
      <c r="R299" s="117"/>
    </row>
    <row r="300" spans="1:18" ht="15.75" customHeight="1" thickBot="1" x14ac:dyDescent="0.35">
      <c r="A300" s="74" t="s">
        <v>298</v>
      </c>
      <c r="B300" s="1"/>
      <c r="C300" s="1"/>
      <c r="D300" s="1">
        <v>-10501</v>
      </c>
      <c r="E300" s="59">
        <f>SUM(B300:D300)</f>
        <v>-10501</v>
      </c>
      <c r="F300" s="1"/>
      <c r="G300" s="1"/>
      <c r="H300" s="1">
        <v>-112673</v>
      </c>
      <c r="I300" s="59">
        <f>SUM(F300:H300)</f>
        <v>-112673</v>
      </c>
      <c r="J300" s="1">
        <v>-119947</v>
      </c>
      <c r="K300" s="1">
        <v>-87736</v>
      </c>
      <c r="L300" s="1">
        <v>-22496</v>
      </c>
      <c r="M300" s="59">
        <f>SUM(J300:L300)</f>
        <v>-230179</v>
      </c>
      <c r="N300" s="1">
        <v>-1165</v>
      </c>
      <c r="O300" s="1"/>
      <c r="P300" s="1"/>
      <c r="Q300" s="59">
        <f>SUM(N300:P300)</f>
        <v>-1165</v>
      </c>
      <c r="R300" s="59">
        <f>+E300+I300+M300+Q300</f>
        <v>-354518</v>
      </c>
    </row>
    <row r="301" spans="1:18" ht="16.5" customHeight="1" thickBot="1" x14ac:dyDescent="0.35">
      <c r="A301" s="338"/>
      <c r="B301" s="339"/>
      <c r="C301" s="339"/>
      <c r="D301" s="339"/>
      <c r="E301" s="340"/>
      <c r="F301" s="339"/>
      <c r="G301" s="339"/>
      <c r="H301" s="339"/>
      <c r="I301" s="340"/>
      <c r="J301" s="339"/>
      <c r="K301" s="339"/>
      <c r="L301" s="339"/>
      <c r="M301" s="340"/>
      <c r="N301" s="339"/>
      <c r="O301" s="339"/>
      <c r="P301" s="339"/>
      <c r="Q301" s="340"/>
      <c r="R301" s="341"/>
    </row>
    <row r="302" spans="1:18" ht="15.75" customHeight="1" x14ac:dyDescent="0.3">
      <c r="A302" s="17" t="s">
        <v>32</v>
      </c>
      <c r="B302" s="1">
        <f>B300</f>
        <v>0</v>
      </c>
      <c r="C302" s="1">
        <f>C300</f>
        <v>0</v>
      </c>
      <c r="D302" s="1">
        <f>D300</f>
        <v>-10501</v>
      </c>
      <c r="E302" s="59">
        <f>SUM(B302:D302)</f>
        <v>-10501</v>
      </c>
      <c r="F302" s="1">
        <f>F300</f>
        <v>0</v>
      </c>
      <c r="G302" s="1">
        <f>G300</f>
        <v>0</v>
      </c>
      <c r="H302" s="1">
        <f>H300</f>
        <v>-112673</v>
      </c>
      <c r="I302" s="59">
        <f>SUM(F302:H302)</f>
        <v>-112673</v>
      </c>
      <c r="J302" s="1">
        <f>J300</f>
        <v>-119947</v>
      </c>
      <c r="K302" s="1">
        <f>K300</f>
        <v>-87736</v>
      </c>
      <c r="L302" s="1">
        <f>L300</f>
        <v>-22496</v>
      </c>
      <c r="M302" s="59">
        <f>SUM(J302:L302)</f>
        <v>-230179</v>
      </c>
      <c r="N302" s="1">
        <f>N300</f>
        <v>-1165</v>
      </c>
      <c r="O302" s="1">
        <f>O300</f>
        <v>0</v>
      </c>
      <c r="P302" s="1">
        <f>P300</f>
        <v>0</v>
      </c>
      <c r="Q302" s="59">
        <f>SUM(N302:P302)</f>
        <v>-1165</v>
      </c>
      <c r="R302" s="122">
        <f>R300</f>
        <v>-354518</v>
      </c>
    </row>
    <row r="303" spans="1:18" ht="16.5" customHeight="1" thickBot="1" x14ac:dyDescent="0.35">
      <c r="A303" s="24" t="s">
        <v>39</v>
      </c>
      <c r="B303" s="25">
        <f>(B302/B10)/1.983</f>
        <v>0</v>
      </c>
      <c r="C303" s="25">
        <f>(C302/C10)/1.983</f>
        <v>0</v>
      </c>
      <c r="D303" s="25">
        <f>(D302/D10)/1.983</f>
        <v>-170.8229629268134</v>
      </c>
      <c r="E303" s="88"/>
      <c r="F303" s="25">
        <f>(F302/F10)/1.983</f>
        <v>0</v>
      </c>
      <c r="G303" s="25">
        <f>(G302/G10)/1.983</f>
        <v>0</v>
      </c>
      <c r="H303" s="25">
        <f>(H302/H10)/1.983</f>
        <v>-1893.9821818793075</v>
      </c>
      <c r="I303" s="88"/>
      <c r="J303" s="25">
        <f>(J302/J10)/1.983</f>
        <v>-1951.2143542693541</v>
      </c>
      <c r="K303" s="25">
        <f>(K302/K10)/1.983</f>
        <v>-1427.2282140126558</v>
      </c>
      <c r="L303" s="25">
        <f>(L302/L10)/1.983</f>
        <v>-378.14758782988736</v>
      </c>
      <c r="M303" s="88"/>
      <c r="N303" s="25">
        <f>(N302/N10)/1.983</f>
        <v>-18.951409561921491</v>
      </c>
      <c r="O303" s="25">
        <f>(O302/O10)/1.983</f>
        <v>0</v>
      </c>
      <c r="P303" s="25">
        <f>(P302/P10)/1.983</f>
        <v>0</v>
      </c>
      <c r="Q303" s="88"/>
      <c r="R303" s="117" t="s">
        <v>7</v>
      </c>
    </row>
    <row r="304" spans="1:18" ht="15.75" customHeight="1" x14ac:dyDescent="0.3">
      <c r="A304" s="28"/>
      <c r="B304" s="1"/>
      <c r="C304" s="1"/>
      <c r="D304" s="1"/>
      <c r="E304" s="1"/>
      <c r="F304" s="1"/>
      <c r="G304" s="1"/>
      <c r="H304" s="1"/>
      <c r="I304" s="1"/>
      <c r="J304" s="1"/>
      <c r="K304" s="1"/>
      <c r="L304" s="1"/>
      <c r="M304" s="1"/>
      <c r="N304" s="1"/>
      <c r="O304" s="1"/>
      <c r="P304" s="1"/>
      <c r="Q304" s="1"/>
      <c r="R304" s="28"/>
    </row>
    <row r="305" spans="1:20" ht="16.5" customHeight="1" thickBot="1" x14ac:dyDescent="0.35">
      <c r="A305" s="123"/>
      <c r="B305" s="25"/>
      <c r="C305" s="25"/>
      <c r="D305" s="25"/>
      <c r="E305" s="25"/>
      <c r="F305" s="25"/>
      <c r="G305" s="25"/>
      <c r="H305" s="25"/>
      <c r="I305" s="25"/>
      <c r="J305" s="25"/>
      <c r="K305" s="25"/>
      <c r="L305" s="25"/>
      <c r="M305" s="25"/>
      <c r="N305" s="25"/>
      <c r="O305" s="25"/>
      <c r="P305" s="25"/>
      <c r="Q305" s="25"/>
      <c r="R305" s="123"/>
    </row>
    <row r="306" spans="1:20" ht="16.5" customHeight="1" thickBot="1" x14ac:dyDescent="0.35">
      <c r="A306" s="342" t="s">
        <v>299</v>
      </c>
      <c r="B306" s="323" t="s">
        <v>36</v>
      </c>
      <c r="C306" s="324" t="s">
        <v>9</v>
      </c>
      <c r="D306" s="324" t="s">
        <v>10</v>
      </c>
      <c r="E306" s="325" t="s">
        <v>11</v>
      </c>
      <c r="F306" s="324" t="s">
        <v>12</v>
      </c>
      <c r="G306" s="324" t="s">
        <v>13</v>
      </c>
      <c r="H306" s="324" t="s">
        <v>14</v>
      </c>
      <c r="I306" s="34" t="s">
        <v>15</v>
      </c>
      <c r="J306" s="324" t="s">
        <v>16</v>
      </c>
      <c r="K306" s="324" t="s">
        <v>17</v>
      </c>
      <c r="L306" s="324" t="s">
        <v>18</v>
      </c>
      <c r="M306" s="34" t="s">
        <v>19</v>
      </c>
      <c r="N306" s="324" t="s">
        <v>20</v>
      </c>
      <c r="O306" s="324" t="s">
        <v>21</v>
      </c>
      <c r="P306" s="324" t="s">
        <v>22</v>
      </c>
      <c r="Q306" s="34" t="s">
        <v>23</v>
      </c>
      <c r="R306" s="326" t="s">
        <v>24</v>
      </c>
    </row>
    <row r="307" spans="1:20" ht="16.5" customHeight="1" thickBot="1" x14ac:dyDescent="0.35">
      <c r="A307" s="64"/>
      <c r="B307" s="81"/>
      <c r="C307" s="81"/>
      <c r="D307" s="81"/>
      <c r="E307" s="72"/>
      <c r="F307" s="81"/>
      <c r="G307" s="81"/>
      <c r="H307" s="81"/>
      <c r="I307" s="89"/>
      <c r="J307" s="81"/>
      <c r="K307" s="81"/>
      <c r="L307" s="81"/>
      <c r="M307" s="89"/>
      <c r="N307" s="81"/>
      <c r="O307" s="81"/>
      <c r="P307" s="81"/>
      <c r="Q307" s="89"/>
      <c r="R307" s="122"/>
    </row>
    <row r="308" spans="1:20" ht="15.75" customHeight="1" x14ac:dyDescent="0.3">
      <c r="A308" s="17" t="s">
        <v>45</v>
      </c>
      <c r="B308" s="1" t="s">
        <v>7</v>
      </c>
      <c r="C308" s="1" t="s">
        <v>7</v>
      </c>
      <c r="D308" s="1" t="s">
        <v>7</v>
      </c>
      <c r="E308" s="59" t="s">
        <v>7</v>
      </c>
      <c r="F308" s="1" t="s">
        <v>7</v>
      </c>
      <c r="G308" s="1" t="s">
        <v>7</v>
      </c>
      <c r="H308" s="1" t="s">
        <v>7</v>
      </c>
      <c r="I308" s="59" t="s">
        <v>7</v>
      </c>
      <c r="J308" s="1" t="s">
        <v>7</v>
      </c>
      <c r="K308" s="1" t="s">
        <v>7</v>
      </c>
      <c r="L308" s="1" t="s">
        <v>7</v>
      </c>
      <c r="M308" s="59" t="s">
        <v>7</v>
      </c>
      <c r="N308" s="1" t="s">
        <v>7</v>
      </c>
      <c r="O308" s="1" t="s">
        <v>7</v>
      </c>
      <c r="P308" s="1" t="s">
        <v>7</v>
      </c>
      <c r="Q308" s="59" t="s">
        <v>7</v>
      </c>
      <c r="R308" s="334" t="s">
        <v>7</v>
      </c>
    </row>
    <row r="309" spans="1:20" ht="15.75" customHeight="1" x14ac:dyDescent="0.3">
      <c r="A309" s="17" t="s">
        <v>46</v>
      </c>
      <c r="B309" s="1"/>
      <c r="C309" s="1"/>
      <c r="D309" s="1"/>
      <c r="E309" s="59" t="s">
        <v>7</v>
      </c>
      <c r="F309" s="1"/>
      <c r="G309" s="1"/>
      <c r="H309" s="1"/>
      <c r="I309" s="59" t="s">
        <v>7</v>
      </c>
      <c r="J309" s="1"/>
      <c r="K309" s="1"/>
      <c r="L309" s="1"/>
      <c r="M309" s="59" t="s">
        <v>7</v>
      </c>
      <c r="N309" s="1"/>
      <c r="O309" s="1"/>
      <c r="P309" s="1"/>
      <c r="Q309" s="59" t="s">
        <v>7</v>
      </c>
      <c r="R309" s="59" t="s">
        <v>7</v>
      </c>
    </row>
    <row r="310" spans="1:20" ht="15.75" customHeight="1" x14ac:dyDescent="0.3">
      <c r="A310" s="76" t="s">
        <v>300</v>
      </c>
      <c r="B310" s="1">
        <v>1</v>
      </c>
      <c r="C310" s="321">
        <v>1</v>
      </c>
      <c r="D310" s="1">
        <v>1</v>
      </c>
      <c r="E310" s="59">
        <f t="shared" ref="E310:E334" si="63">SUM(B310:D310)</f>
        <v>3</v>
      </c>
      <c r="F310" s="1">
        <v>1</v>
      </c>
      <c r="G310" s="1">
        <v>1</v>
      </c>
      <c r="H310" s="1">
        <v>1</v>
      </c>
      <c r="I310" s="59">
        <f t="shared" ref="I310:I334" si="64">SUM(F310:H310)</f>
        <v>3</v>
      </c>
      <c r="J310" s="1">
        <v>51</v>
      </c>
      <c r="K310" s="1">
        <v>1</v>
      </c>
      <c r="L310" s="1">
        <v>91</v>
      </c>
      <c r="M310" s="59">
        <f t="shared" ref="M310:M334" si="65">SUM(J310:L310)</f>
        <v>143</v>
      </c>
      <c r="N310" s="1">
        <v>109</v>
      </c>
      <c r="O310" s="1">
        <v>95</v>
      </c>
      <c r="P310" s="1">
        <v>101</v>
      </c>
      <c r="Q310" s="59">
        <f t="shared" ref="Q310:Q334" si="66">SUM(N310:P310)</f>
        <v>305</v>
      </c>
      <c r="R310" s="59">
        <f t="shared" ref="R310:R334" si="67">+E310+I310+M310+Q310</f>
        <v>454</v>
      </c>
      <c r="T310" s="4" t="s">
        <v>301</v>
      </c>
    </row>
    <row r="311" spans="1:20" ht="15.75" customHeight="1" x14ac:dyDescent="0.3">
      <c r="A311" s="76" t="s">
        <v>303</v>
      </c>
      <c r="B311" s="1"/>
      <c r="C311" s="321"/>
      <c r="D311" s="1"/>
      <c r="E311" s="59">
        <f t="shared" si="63"/>
        <v>0</v>
      </c>
      <c r="F311" s="1"/>
      <c r="G311" s="1"/>
      <c r="H311" s="1"/>
      <c r="I311" s="59">
        <f t="shared" si="64"/>
        <v>0</v>
      </c>
      <c r="J311" s="1"/>
      <c r="K311" s="1"/>
      <c r="L311" s="1">
        <v>250</v>
      </c>
      <c r="M311" s="59">
        <f t="shared" si="65"/>
        <v>250</v>
      </c>
      <c r="N311" s="1"/>
      <c r="O311" s="1"/>
      <c r="P311" s="1"/>
      <c r="Q311" s="59">
        <f t="shared" si="66"/>
        <v>0</v>
      </c>
      <c r="R311" s="59">
        <f t="shared" si="67"/>
        <v>250</v>
      </c>
    </row>
    <row r="312" spans="1:20" ht="15.75" customHeight="1" x14ac:dyDescent="0.3">
      <c r="A312" s="76" t="s">
        <v>304</v>
      </c>
      <c r="B312" s="1">
        <v>31</v>
      </c>
      <c r="C312" s="1">
        <v>54</v>
      </c>
      <c r="D312" s="1">
        <v>188</v>
      </c>
      <c r="E312" s="59">
        <f t="shared" si="63"/>
        <v>273</v>
      </c>
      <c r="F312" s="1">
        <v>157</v>
      </c>
      <c r="G312" s="1">
        <v>271</v>
      </c>
      <c r="H312" s="1">
        <v>273</v>
      </c>
      <c r="I312" s="59">
        <f t="shared" si="64"/>
        <v>701</v>
      </c>
      <c r="J312" s="1">
        <v>318</v>
      </c>
      <c r="K312" s="1">
        <v>193</v>
      </c>
      <c r="L312" s="1">
        <v>152</v>
      </c>
      <c r="M312" s="59">
        <f t="shared" si="65"/>
        <v>663</v>
      </c>
      <c r="N312" s="1">
        <v>137</v>
      </c>
      <c r="O312" s="1">
        <v>85</v>
      </c>
      <c r="P312" s="1">
        <v>57</v>
      </c>
      <c r="Q312" s="59">
        <f t="shared" si="66"/>
        <v>279</v>
      </c>
      <c r="R312" s="59">
        <f t="shared" si="67"/>
        <v>1916</v>
      </c>
      <c r="T312" s="4" t="s">
        <v>305</v>
      </c>
    </row>
    <row r="313" spans="1:20" ht="15.75" customHeight="1" x14ac:dyDescent="0.3">
      <c r="A313" s="76" t="s">
        <v>308</v>
      </c>
      <c r="B313" s="1"/>
      <c r="C313" s="1"/>
      <c r="D313" s="1"/>
      <c r="E313" s="59">
        <f t="shared" si="63"/>
        <v>0</v>
      </c>
      <c r="F313" s="1"/>
      <c r="G313" s="1"/>
      <c r="H313" s="1"/>
      <c r="I313" s="59">
        <f t="shared" si="64"/>
        <v>0</v>
      </c>
      <c r="J313" s="1"/>
      <c r="K313" s="1"/>
      <c r="L313" s="1"/>
      <c r="M313" s="59">
        <f t="shared" si="65"/>
        <v>0</v>
      </c>
      <c r="N313" s="1"/>
      <c r="O313" s="1">
        <v>400</v>
      </c>
      <c r="P313" s="1"/>
      <c r="Q313" s="59">
        <f t="shared" si="66"/>
        <v>400</v>
      </c>
      <c r="R313" s="59">
        <f t="shared" si="67"/>
        <v>400</v>
      </c>
      <c r="T313" s="4" t="s">
        <v>307</v>
      </c>
    </row>
    <row r="314" spans="1:20" ht="15.75" customHeight="1" x14ac:dyDescent="0.3">
      <c r="A314" s="76" t="s">
        <v>309</v>
      </c>
      <c r="B314" s="1"/>
      <c r="C314" s="1"/>
      <c r="D314" s="1"/>
      <c r="E314" s="59">
        <f>SUM(B314:D314)</f>
        <v>0</v>
      </c>
      <c r="F314" s="1">
        <v>2500</v>
      </c>
      <c r="G314" s="1"/>
      <c r="H314" s="1"/>
      <c r="I314" s="59">
        <f>SUM(F314:H314)</f>
        <v>2500</v>
      </c>
      <c r="J314" s="1"/>
      <c r="K314" s="1"/>
      <c r="L314" s="1"/>
      <c r="M314" s="59">
        <f>SUM(J314:L314)</f>
        <v>0</v>
      </c>
      <c r="N314" s="1"/>
      <c r="O314" s="1"/>
      <c r="P314" s="1"/>
      <c r="Q314" s="59">
        <f>SUM(N314:P314)</f>
        <v>0</v>
      </c>
      <c r="R314" s="59">
        <f t="shared" si="67"/>
        <v>2500</v>
      </c>
      <c r="T314" s="4" t="s">
        <v>305</v>
      </c>
    </row>
    <row r="315" spans="1:20" ht="15.75" customHeight="1" x14ac:dyDescent="0.3">
      <c r="A315" s="76" t="s">
        <v>310</v>
      </c>
      <c r="B315" s="1"/>
      <c r="C315" s="1"/>
      <c r="D315" s="1"/>
      <c r="E315" s="59">
        <f>SUM(B315:D315)</f>
        <v>0</v>
      </c>
      <c r="F315" s="1"/>
      <c r="G315" s="1"/>
      <c r="H315" s="1"/>
      <c r="I315" s="59">
        <f>SUM(F315:H315)</f>
        <v>0</v>
      </c>
      <c r="J315" s="1"/>
      <c r="K315" s="1"/>
      <c r="L315" s="1"/>
      <c r="M315" s="59">
        <f>SUM(J315:L315)</f>
        <v>0</v>
      </c>
      <c r="N315" s="1"/>
      <c r="O315" s="1">
        <v>600</v>
      </c>
      <c r="P315" s="1"/>
      <c r="Q315" s="59">
        <f>SUM(N315:P315)</f>
        <v>600</v>
      </c>
      <c r="R315" s="59">
        <f t="shared" si="67"/>
        <v>600</v>
      </c>
      <c r="T315" s="4" t="s">
        <v>307</v>
      </c>
    </row>
    <row r="316" spans="1:20" ht="15.75" customHeight="1" x14ac:dyDescent="0.3">
      <c r="A316" s="76" t="s">
        <v>312</v>
      </c>
      <c r="B316" s="1">
        <v>103</v>
      </c>
      <c r="C316" s="1">
        <v>193</v>
      </c>
      <c r="D316" s="1">
        <v>208</v>
      </c>
      <c r="E316" s="59">
        <f>SUM(B316:D316)</f>
        <v>504</v>
      </c>
      <c r="F316" s="1">
        <v>241</v>
      </c>
      <c r="G316" s="1">
        <v>390</v>
      </c>
      <c r="H316" s="1">
        <v>429</v>
      </c>
      <c r="I316" s="59">
        <f>SUM(F316:H316)</f>
        <v>1060</v>
      </c>
      <c r="J316" s="1">
        <v>395</v>
      </c>
      <c r="K316" s="1">
        <v>320</v>
      </c>
      <c r="L316" s="1">
        <v>295</v>
      </c>
      <c r="M316" s="59">
        <f>SUM(J316:L316)</f>
        <v>1010</v>
      </c>
      <c r="N316" s="1">
        <v>458</v>
      </c>
      <c r="O316" s="1">
        <v>156</v>
      </c>
      <c r="P316" s="1">
        <v>106</v>
      </c>
      <c r="Q316" s="59">
        <f>SUM(N316:P316)</f>
        <v>720</v>
      </c>
      <c r="R316" s="59">
        <f>+E316+I316+M316+Q316</f>
        <v>3294</v>
      </c>
      <c r="T316" s="4" t="s">
        <v>313</v>
      </c>
    </row>
    <row r="317" spans="1:20" ht="15.75" customHeight="1" x14ac:dyDescent="0.3">
      <c r="A317" s="76" t="s">
        <v>316</v>
      </c>
      <c r="B317" s="1"/>
      <c r="C317" s="1"/>
      <c r="D317" s="1"/>
      <c r="E317" s="59">
        <f>SUM(B317:D317)</f>
        <v>0</v>
      </c>
      <c r="F317" s="1"/>
      <c r="G317" s="1"/>
      <c r="H317" s="1"/>
      <c r="I317" s="59">
        <f>SUM(F317:H317)</f>
        <v>0</v>
      </c>
      <c r="J317" s="1"/>
      <c r="K317" s="1"/>
      <c r="L317" s="1">
        <v>529</v>
      </c>
      <c r="M317" s="59">
        <f>SUM(J317:L317)</f>
        <v>529</v>
      </c>
      <c r="N317" s="1">
        <v>1071</v>
      </c>
      <c r="O317" s="1"/>
      <c r="P317" s="1"/>
      <c r="Q317" s="59">
        <f>SUM(N317:P317)</f>
        <v>1071</v>
      </c>
      <c r="R317" s="59">
        <f>+E317+I317+M317+Q317</f>
        <v>1600</v>
      </c>
      <c r="T317" s="4" t="s">
        <v>317</v>
      </c>
    </row>
    <row r="318" spans="1:20" ht="15.75" customHeight="1" x14ac:dyDescent="0.3">
      <c r="A318" s="76" t="s">
        <v>912</v>
      </c>
      <c r="B318" s="1"/>
      <c r="C318" s="1"/>
      <c r="D318" s="1"/>
      <c r="E318" s="59">
        <f>SUM(B318:D318)</f>
        <v>0</v>
      </c>
      <c r="F318" s="1"/>
      <c r="G318" s="1">
        <v>315</v>
      </c>
      <c r="H318" s="1"/>
      <c r="I318" s="59">
        <f>SUM(F318:H318)</f>
        <v>315</v>
      </c>
      <c r="J318" s="1"/>
      <c r="K318" s="1"/>
      <c r="L318" s="1"/>
      <c r="M318" s="59">
        <f>SUM(J318:L318)</f>
        <v>0</v>
      </c>
      <c r="N318" s="1"/>
      <c r="O318" s="1"/>
      <c r="P318" s="1"/>
      <c r="Q318" s="59">
        <f>SUM(N318:P318)</f>
        <v>0</v>
      </c>
      <c r="R318" s="59">
        <f>+E318+I318+M318+Q318</f>
        <v>315</v>
      </c>
    </row>
    <row r="319" spans="1:20" ht="15.75" customHeight="1" x14ac:dyDescent="0.3">
      <c r="A319" s="76" t="s">
        <v>321</v>
      </c>
      <c r="B319" s="1">
        <v>28</v>
      </c>
      <c r="C319" s="1">
        <v>1000</v>
      </c>
      <c r="D319" s="1">
        <v>1900</v>
      </c>
      <c r="E319" s="59">
        <f t="shared" si="63"/>
        <v>2928</v>
      </c>
      <c r="F319" s="1"/>
      <c r="G319" s="1"/>
      <c r="H319" s="1"/>
      <c r="I319" s="59">
        <f t="shared" si="64"/>
        <v>0</v>
      </c>
      <c r="J319" s="1"/>
      <c r="K319" s="1"/>
      <c r="L319" s="1"/>
      <c r="M319" s="59">
        <f t="shared" si="65"/>
        <v>0</v>
      </c>
      <c r="N319" s="1"/>
      <c r="O319" s="1"/>
      <c r="P319" s="1"/>
      <c r="Q319" s="59">
        <f t="shared" si="66"/>
        <v>0</v>
      </c>
      <c r="R319" s="59">
        <f t="shared" si="67"/>
        <v>2928</v>
      </c>
      <c r="T319" s="4" t="s">
        <v>315</v>
      </c>
    </row>
    <row r="320" spans="1:20" ht="15.75" customHeight="1" x14ac:dyDescent="0.3">
      <c r="A320" s="76" t="s">
        <v>322</v>
      </c>
      <c r="B320" s="1"/>
      <c r="C320" s="1"/>
      <c r="D320" s="1"/>
      <c r="E320" s="59">
        <f t="shared" si="63"/>
        <v>0</v>
      </c>
      <c r="F320" s="1"/>
      <c r="G320" s="1"/>
      <c r="H320" s="1">
        <v>1118</v>
      </c>
      <c r="I320" s="59">
        <f t="shared" si="64"/>
        <v>1118</v>
      </c>
      <c r="J320" s="1">
        <v>1153</v>
      </c>
      <c r="K320" s="1">
        <v>1154</v>
      </c>
      <c r="L320" s="1">
        <v>1125</v>
      </c>
      <c r="M320" s="59">
        <f t="shared" si="65"/>
        <v>3432</v>
      </c>
      <c r="N320" s="1">
        <v>390</v>
      </c>
      <c r="O320" s="1">
        <v>610</v>
      </c>
      <c r="P320" s="1">
        <v>1143</v>
      </c>
      <c r="Q320" s="59">
        <f t="shared" si="66"/>
        <v>2143</v>
      </c>
      <c r="R320" s="59">
        <f t="shared" si="67"/>
        <v>6693</v>
      </c>
      <c r="T320" s="4" t="s">
        <v>217</v>
      </c>
    </row>
    <row r="321" spans="1:20" ht="15.75" customHeight="1" x14ac:dyDescent="0.3">
      <c r="A321" s="76" t="s">
        <v>887</v>
      </c>
      <c r="B321" s="1">
        <v>16</v>
      </c>
      <c r="C321" s="1">
        <v>28</v>
      </c>
      <c r="D321" s="1">
        <v>46</v>
      </c>
      <c r="E321" s="59">
        <f t="shared" si="63"/>
        <v>90</v>
      </c>
      <c r="F321" s="1">
        <v>27</v>
      </c>
      <c r="G321" s="1">
        <v>8</v>
      </c>
      <c r="H321" s="1">
        <f>1600+21</f>
        <v>1621</v>
      </c>
      <c r="I321" s="59">
        <f t="shared" si="64"/>
        <v>1656</v>
      </c>
      <c r="J321" s="1">
        <v>11</v>
      </c>
      <c r="K321" s="1">
        <v>14</v>
      </c>
      <c r="L321" s="1">
        <v>11</v>
      </c>
      <c r="M321" s="59">
        <f t="shared" si="65"/>
        <v>36</v>
      </c>
      <c r="N321" s="1"/>
      <c r="O321" s="1"/>
      <c r="P321" s="1">
        <v>10</v>
      </c>
      <c r="Q321" s="59">
        <f t="shared" si="66"/>
        <v>10</v>
      </c>
      <c r="R321" s="59">
        <f t="shared" si="67"/>
        <v>1792</v>
      </c>
      <c r="T321" s="4" t="s">
        <v>305</v>
      </c>
    </row>
    <row r="322" spans="1:20" ht="15.75" customHeight="1" x14ac:dyDescent="0.3">
      <c r="A322" s="76" t="s">
        <v>325</v>
      </c>
      <c r="B322" s="1"/>
      <c r="C322" s="1"/>
      <c r="D322" s="1"/>
      <c r="E322" s="59">
        <f t="shared" si="63"/>
        <v>0</v>
      </c>
      <c r="F322" s="1"/>
      <c r="G322" s="1"/>
      <c r="H322" s="1">
        <v>2048</v>
      </c>
      <c r="I322" s="59">
        <f t="shared" si="64"/>
        <v>2048</v>
      </c>
      <c r="J322" s="1"/>
      <c r="K322" s="1"/>
      <c r="L322" s="1"/>
      <c r="M322" s="59">
        <f t="shared" si="65"/>
        <v>0</v>
      </c>
      <c r="N322" s="1"/>
      <c r="O322" s="1"/>
      <c r="P322" s="1"/>
      <c r="Q322" s="59">
        <f t="shared" si="66"/>
        <v>0</v>
      </c>
      <c r="R322" s="59">
        <f t="shared" si="67"/>
        <v>2048</v>
      </c>
      <c r="T322" s="4" t="s">
        <v>305</v>
      </c>
    </row>
    <row r="323" spans="1:20" ht="15.75" customHeight="1" x14ac:dyDescent="0.3">
      <c r="A323" s="76" t="s">
        <v>327</v>
      </c>
      <c r="B323" s="1">
        <v>1000</v>
      </c>
      <c r="C323" s="1"/>
      <c r="D323" s="1"/>
      <c r="E323" s="59">
        <f>SUM(B323:D323)</f>
        <v>1000</v>
      </c>
      <c r="F323" s="1"/>
      <c r="G323" s="1"/>
      <c r="H323" s="1"/>
      <c r="I323" s="59">
        <f>SUM(F323:H323)</f>
        <v>0</v>
      </c>
      <c r="J323" s="1"/>
      <c r="K323" s="1"/>
      <c r="L323" s="1"/>
      <c r="M323" s="59">
        <f>SUM(J323:L323)</f>
        <v>0</v>
      </c>
      <c r="N323" s="1"/>
      <c r="O323" s="1"/>
      <c r="P323" s="1"/>
      <c r="Q323" s="59">
        <f>SUM(N323:P323)</f>
        <v>0</v>
      </c>
      <c r="R323" s="59">
        <f t="shared" si="67"/>
        <v>1000</v>
      </c>
      <c r="T323" s="4" t="s">
        <v>315</v>
      </c>
    </row>
    <row r="324" spans="1:20" ht="15.75" customHeight="1" x14ac:dyDescent="0.3">
      <c r="A324" s="76" t="s">
        <v>328</v>
      </c>
      <c r="B324" s="1"/>
      <c r="C324" s="1"/>
      <c r="D324" s="1"/>
      <c r="E324" s="59">
        <f t="shared" si="63"/>
        <v>0</v>
      </c>
      <c r="F324" s="1">
        <v>1000</v>
      </c>
      <c r="G324" s="1">
        <v>1000</v>
      </c>
      <c r="H324" s="1"/>
      <c r="I324" s="59">
        <f t="shared" si="64"/>
        <v>2000</v>
      </c>
      <c r="J324" s="1"/>
      <c r="K324" s="1"/>
      <c r="L324" s="1"/>
      <c r="M324" s="59">
        <f t="shared" si="65"/>
        <v>0</v>
      </c>
      <c r="N324" s="1"/>
      <c r="O324" s="1">
        <v>140</v>
      </c>
      <c r="P324" s="1">
        <v>1134</v>
      </c>
      <c r="Q324" s="59">
        <f t="shared" si="66"/>
        <v>1274</v>
      </c>
      <c r="R324" s="59">
        <f t="shared" si="67"/>
        <v>3274</v>
      </c>
      <c r="T324" s="4" t="s">
        <v>217</v>
      </c>
    </row>
    <row r="325" spans="1:20" ht="15.75" customHeight="1" x14ac:dyDescent="0.3">
      <c r="A325" s="76" t="s">
        <v>329</v>
      </c>
      <c r="B325" s="1"/>
      <c r="C325" s="1"/>
      <c r="D325" s="1"/>
      <c r="E325" s="59">
        <f>SUM(B325:D325)</f>
        <v>0</v>
      </c>
      <c r="F325" s="1"/>
      <c r="G325" s="1"/>
      <c r="H325" s="1"/>
      <c r="I325" s="59">
        <f>SUM(F325:H325)</f>
        <v>0</v>
      </c>
      <c r="J325" s="1"/>
      <c r="K325" s="1"/>
      <c r="L325" s="1"/>
      <c r="M325" s="59">
        <f>SUM(J325:L325)</f>
        <v>0</v>
      </c>
      <c r="N325" s="1"/>
      <c r="O325" s="1"/>
      <c r="P325" s="1"/>
      <c r="Q325" s="59">
        <f>SUM(N325:P325)</f>
        <v>0</v>
      </c>
      <c r="R325" s="59">
        <f t="shared" si="67"/>
        <v>0</v>
      </c>
      <c r="T325" s="4" t="s">
        <v>315</v>
      </c>
    </row>
    <row r="326" spans="1:20" ht="15.75" customHeight="1" x14ac:dyDescent="0.3">
      <c r="A326" s="76" t="s">
        <v>330</v>
      </c>
      <c r="B326" s="1"/>
      <c r="C326" s="1"/>
      <c r="D326" s="1"/>
      <c r="E326" s="59">
        <f t="shared" si="63"/>
        <v>0</v>
      </c>
      <c r="F326" s="1"/>
      <c r="G326" s="1"/>
      <c r="H326" s="1"/>
      <c r="I326" s="59">
        <f t="shared" si="64"/>
        <v>0</v>
      </c>
      <c r="J326" s="1"/>
      <c r="K326" s="1"/>
      <c r="L326" s="1"/>
      <c r="M326" s="59">
        <f t="shared" si="65"/>
        <v>0</v>
      </c>
      <c r="N326" s="1"/>
      <c r="O326" s="1"/>
      <c r="P326" s="1"/>
      <c r="Q326" s="59">
        <f t="shared" si="66"/>
        <v>0</v>
      </c>
      <c r="R326" s="59">
        <f t="shared" si="67"/>
        <v>0</v>
      </c>
      <c r="T326" s="4" t="s">
        <v>331</v>
      </c>
    </row>
    <row r="327" spans="1:20" ht="15.75" customHeight="1" x14ac:dyDescent="0.3">
      <c r="A327" s="76" t="s">
        <v>332</v>
      </c>
      <c r="B327" s="1">
        <v>15</v>
      </c>
      <c r="C327" s="1">
        <v>35</v>
      </c>
      <c r="D327" s="1">
        <v>42</v>
      </c>
      <c r="E327" s="59">
        <f>SUM(B327:D327)</f>
        <v>92</v>
      </c>
      <c r="F327" s="1">
        <v>47</v>
      </c>
      <c r="G327" s="1">
        <v>74</v>
      </c>
      <c r="H327" s="1">
        <v>76</v>
      </c>
      <c r="I327" s="59">
        <f>SUM(F327:H327)</f>
        <v>197</v>
      </c>
      <c r="J327" s="1">
        <v>69</v>
      </c>
      <c r="K327" s="1">
        <v>59</v>
      </c>
      <c r="L327" s="1">
        <v>30</v>
      </c>
      <c r="M327" s="59">
        <f>SUM(J327:L327)</f>
        <v>158</v>
      </c>
      <c r="N327" s="1">
        <v>51</v>
      </c>
      <c r="O327" s="1">
        <v>29</v>
      </c>
      <c r="P327" s="1">
        <v>19</v>
      </c>
      <c r="Q327" s="59">
        <f>SUM(N327:P327)</f>
        <v>99</v>
      </c>
      <c r="R327" s="59">
        <f>+E327+I327+M327+Q327</f>
        <v>546</v>
      </c>
      <c r="T327" s="4" t="s">
        <v>127</v>
      </c>
    </row>
    <row r="328" spans="1:20" ht="15.75" customHeight="1" x14ac:dyDescent="0.3">
      <c r="A328" s="76" t="s">
        <v>333</v>
      </c>
      <c r="B328" s="1">
        <v>1298</v>
      </c>
      <c r="C328" s="1">
        <v>1070</v>
      </c>
      <c r="D328" s="1">
        <v>1936</v>
      </c>
      <c r="E328" s="59">
        <f t="shared" si="63"/>
        <v>4304</v>
      </c>
      <c r="F328" s="1">
        <v>620</v>
      </c>
      <c r="G328" s="1">
        <v>1846</v>
      </c>
      <c r="H328" s="1">
        <v>5165</v>
      </c>
      <c r="I328" s="59">
        <f t="shared" si="64"/>
        <v>7631</v>
      </c>
      <c r="J328" s="1">
        <v>5277</v>
      </c>
      <c r="K328" s="1">
        <v>4806</v>
      </c>
      <c r="L328" s="1">
        <v>4340</v>
      </c>
      <c r="M328" s="59">
        <f t="shared" si="65"/>
        <v>14423</v>
      </c>
      <c r="N328" s="1">
        <v>4493</v>
      </c>
      <c r="O328" s="1">
        <v>3836</v>
      </c>
      <c r="P328" s="1">
        <v>3434</v>
      </c>
      <c r="Q328" s="59">
        <f t="shared" si="66"/>
        <v>11763</v>
      </c>
      <c r="R328" s="59">
        <f t="shared" si="67"/>
        <v>38121</v>
      </c>
      <c r="T328" s="4" t="s">
        <v>334</v>
      </c>
    </row>
    <row r="329" spans="1:20" ht="15.75" customHeight="1" x14ac:dyDescent="0.3">
      <c r="A329" s="76" t="s">
        <v>913</v>
      </c>
      <c r="B329" s="1"/>
      <c r="C329" s="1"/>
      <c r="D329" s="1"/>
      <c r="E329" s="59">
        <f t="shared" si="63"/>
        <v>0</v>
      </c>
      <c r="F329" s="1"/>
      <c r="G329" s="1"/>
      <c r="H329" s="1"/>
      <c r="I329" s="59">
        <f t="shared" si="64"/>
        <v>0</v>
      </c>
      <c r="J329" s="1"/>
      <c r="K329" s="1"/>
      <c r="L329" s="1"/>
      <c r="M329" s="59">
        <f t="shared" si="65"/>
        <v>0</v>
      </c>
      <c r="N329" s="1"/>
      <c r="O329" s="1"/>
      <c r="P329" s="1"/>
      <c r="Q329" s="59">
        <f t="shared" si="66"/>
        <v>0</v>
      </c>
      <c r="R329" s="59">
        <f t="shared" si="67"/>
        <v>0</v>
      </c>
    </row>
    <row r="330" spans="1:20" ht="15.75" customHeight="1" x14ac:dyDescent="0.3">
      <c r="A330" s="76" t="s">
        <v>341</v>
      </c>
      <c r="B330" s="1">
        <v>1000</v>
      </c>
      <c r="C330" s="1">
        <v>2344</v>
      </c>
      <c r="D330" s="1">
        <v>4028</v>
      </c>
      <c r="E330" s="59">
        <f t="shared" si="63"/>
        <v>7372</v>
      </c>
      <c r="F330" s="1"/>
      <c r="G330" s="1"/>
      <c r="H330" s="1"/>
      <c r="I330" s="59">
        <f t="shared" si="64"/>
        <v>0</v>
      </c>
      <c r="J330" s="1"/>
      <c r="K330" s="1"/>
      <c r="L330" s="1"/>
      <c r="M330" s="59">
        <f t="shared" si="65"/>
        <v>0</v>
      </c>
      <c r="N330" s="1"/>
      <c r="O330" s="1"/>
      <c r="P330" s="1"/>
      <c r="Q330" s="59">
        <f>SUM(N330:P330)</f>
        <v>0</v>
      </c>
      <c r="R330" s="59">
        <f>+E330+I330+M330+Q330</f>
        <v>7372</v>
      </c>
      <c r="T330" s="4" t="s">
        <v>315</v>
      </c>
    </row>
    <row r="331" spans="1:20" ht="15.75" customHeight="1" x14ac:dyDescent="0.3">
      <c r="A331" s="76" t="s">
        <v>342</v>
      </c>
      <c r="B331" s="1">
        <v>44</v>
      </c>
      <c r="C331" s="1">
        <v>40</v>
      </c>
      <c r="D331" s="1">
        <v>55</v>
      </c>
      <c r="E331" s="59">
        <f>SUM(B331:D331)</f>
        <v>139</v>
      </c>
      <c r="F331" s="1">
        <v>46</v>
      </c>
      <c r="G331" s="1">
        <v>83</v>
      </c>
      <c r="H331" s="1">
        <v>74</v>
      </c>
      <c r="I331" s="59">
        <f>SUM(F331:H331)</f>
        <v>203</v>
      </c>
      <c r="J331" s="1">
        <v>57</v>
      </c>
      <c r="K331" s="1">
        <v>59</v>
      </c>
      <c r="L331" s="1">
        <v>45</v>
      </c>
      <c r="M331" s="59">
        <f>SUM(J331:L331)</f>
        <v>161</v>
      </c>
      <c r="N331" s="1">
        <v>76</v>
      </c>
      <c r="O331" s="1">
        <v>40</v>
      </c>
      <c r="P331" s="1">
        <v>23</v>
      </c>
      <c r="Q331" s="59">
        <f>SUM(N331:P331)</f>
        <v>139</v>
      </c>
      <c r="R331" s="59">
        <f>+E331+I331+M331+Q331</f>
        <v>642</v>
      </c>
      <c r="T331" s="4" t="s">
        <v>127</v>
      </c>
    </row>
    <row r="332" spans="1:20" ht="15.75" customHeight="1" x14ac:dyDescent="0.3">
      <c r="A332" s="76" t="s">
        <v>1016</v>
      </c>
      <c r="B332" s="1"/>
      <c r="C332" s="1"/>
      <c r="D332" s="1"/>
      <c r="E332" s="59">
        <f>SUM(B332:D332)</f>
        <v>0</v>
      </c>
      <c r="F332" s="1"/>
      <c r="G332" s="1"/>
      <c r="H332" s="1"/>
      <c r="I332" s="59">
        <f>SUM(F332:H332)</f>
        <v>0</v>
      </c>
      <c r="J332" s="1"/>
      <c r="K332" s="1"/>
      <c r="L332" s="1"/>
      <c r="M332" s="59">
        <f>SUM(J332:L332)</f>
        <v>0</v>
      </c>
      <c r="N332" s="1"/>
      <c r="O332" s="1">
        <v>4817</v>
      </c>
      <c r="P332" s="1">
        <v>183</v>
      </c>
      <c r="Q332" s="59">
        <f>SUM(N332:P332)</f>
        <v>5000</v>
      </c>
      <c r="R332" s="59">
        <f>+E332+I332+M332+Q332</f>
        <v>5000</v>
      </c>
      <c r="T332" s="4" t="s">
        <v>127</v>
      </c>
    </row>
    <row r="333" spans="1:20" ht="15.75" customHeight="1" x14ac:dyDescent="0.3">
      <c r="A333" s="74" t="s">
        <v>343</v>
      </c>
      <c r="B333" s="1"/>
      <c r="C333" s="1"/>
      <c r="D333" s="1"/>
      <c r="E333" s="59">
        <f>SUM(B333:D333)</f>
        <v>0</v>
      </c>
      <c r="F333" s="1"/>
      <c r="G333" s="1"/>
      <c r="H333" s="1"/>
      <c r="I333" s="59">
        <f>SUM(F333:H333)</f>
        <v>0</v>
      </c>
      <c r="J333" s="1"/>
      <c r="K333" s="1"/>
      <c r="L333" s="1">
        <v>37</v>
      </c>
      <c r="M333" s="59">
        <f>SUM(J333:L333)</f>
        <v>37</v>
      </c>
      <c r="N333" s="1"/>
      <c r="O333" s="1"/>
      <c r="P333" s="1">
        <v>1</v>
      </c>
      <c r="Q333" s="59">
        <f>SUM(N333:P333)</f>
        <v>1</v>
      </c>
      <c r="R333" s="59">
        <f t="shared" si="67"/>
        <v>38</v>
      </c>
    </row>
    <row r="334" spans="1:20" ht="15.75" customHeight="1" x14ac:dyDescent="0.3">
      <c r="A334" s="76" t="s">
        <v>344</v>
      </c>
      <c r="B334" s="1"/>
      <c r="C334" s="1"/>
      <c r="D334" s="1">
        <v>25</v>
      </c>
      <c r="E334" s="59">
        <f t="shared" si="63"/>
        <v>25</v>
      </c>
      <c r="F334" s="1">
        <v>29</v>
      </c>
      <c r="G334" s="1">
        <v>121</v>
      </c>
      <c r="H334" s="1">
        <v>112</v>
      </c>
      <c r="I334" s="59">
        <f t="shared" si="64"/>
        <v>262</v>
      </c>
      <c r="J334" s="1">
        <v>172</v>
      </c>
      <c r="K334" s="1">
        <v>36</v>
      </c>
      <c r="L334" s="1"/>
      <c r="M334" s="59">
        <f t="shared" si="65"/>
        <v>208</v>
      </c>
      <c r="N334" s="1"/>
      <c r="O334" s="1"/>
      <c r="P334" s="1"/>
      <c r="Q334" s="59">
        <f t="shared" si="66"/>
        <v>0</v>
      </c>
      <c r="R334" s="59">
        <f t="shared" si="67"/>
        <v>495</v>
      </c>
      <c r="S334" s="4">
        <f>SUM(R310:R334)</f>
        <v>81278</v>
      </c>
      <c r="T334" s="4" t="s">
        <v>331</v>
      </c>
    </row>
    <row r="335" spans="1:20" ht="15.75" customHeight="1" x14ac:dyDescent="0.3">
      <c r="A335" s="76" t="s">
        <v>345</v>
      </c>
      <c r="B335" s="1">
        <v>11</v>
      </c>
      <c r="C335" s="1">
        <v>25</v>
      </c>
      <c r="D335" s="1">
        <v>37</v>
      </c>
      <c r="E335" s="59">
        <f>SUM(B335:D335)</f>
        <v>73</v>
      </c>
      <c r="F335" s="1">
        <v>38</v>
      </c>
      <c r="G335" s="1">
        <v>70</v>
      </c>
      <c r="H335" s="1">
        <v>73</v>
      </c>
      <c r="I335" s="59">
        <f>SUM(F335:H335)</f>
        <v>181</v>
      </c>
      <c r="J335" s="1">
        <v>73</v>
      </c>
      <c r="K335" s="1">
        <v>48</v>
      </c>
      <c r="L335" s="1">
        <v>41</v>
      </c>
      <c r="M335" s="59">
        <f>SUM(J335:L335)</f>
        <v>162</v>
      </c>
      <c r="N335" s="1">
        <v>65</v>
      </c>
      <c r="O335" s="1">
        <v>32</v>
      </c>
      <c r="P335" s="1">
        <v>12</v>
      </c>
      <c r="Q335" s="59">
        <f>SUM(N335:P335)</f>
        <v>109</v>
      </c>
      <c r="R335" s="59">
        <f>+E335+I335+M335+Q335</f>
        <v>525</v>
      </c>
      <c r="T335" s="4" t="s">
        <v>127</v>
      </c>
    </row>
    <row r="336" spans="1:20" ht="15.75" customHeight="1" x14ac:dyDescent="0.3">
      <c r="A336" s="17" t="s">
        <v>47</v>
      </c>
      <c r="B336" s="1"/>
      <c r="C336" s="1"/>
      <c r="D336" s="1"/>
      <c r="E336" s="59" t="s">
        <v>7</v>
      </c>
      <c r="F336" s="1"/>
      <c r="G336" s="1"/>
      <c r="H336" s="1"/>
      <c r="I336" s="59" t="s">
        <v>7</v>
      </c>
      <c r="J336" s="1"/>
      <c r="K336" s="1"/>
      <c r="L336" s="1"/>
      <c r="M336" s="59" t="s">
        <v>7</v>
      </c>
      <c r="N336" s="1"/>
      <c r="O336" s="1"/>
      <c r="P336" s="1"/>
      <c r="Q336" s="59" t="s">
        <v>7</v>
      </c>
      <c r="R336" s="59" t="s">
        <v>7</v>
      </c>
    </row>
    <row r="337" spans="1:20" ht="15.75" customHeight="1" x14ac:dyDescent="0.3">
      <c r="A337" s="76" t="s">
        <v>346</v>
      </c>
      <c r="B337" s="1"/>
      <c r="C337" s="1"/>
      <c r="D337" s="1"/>
      <c r="E337" s="59">
        <f t="shared" ref="E337:E347" si="68">SUM(B337:D337)</f>
        <v>0</v>
      </c>
      <c r="F337" s="1"/>
      <c r="G337" s="1"/>
      <c r="H337" s="1"/>
      <c r="I337" s="59">
        <f t="shared" ref="I337:I347" si="69">SUM(F337:H337)</f>
        <v>0</v>
      </c>
      <c r="J337" s="1"/>
      <c r="K337" s="1"/>
      <c r="L337" s="1"/>
      <c r="M337" s="59">
        <f t="shared" ref="M337:M347" si="70">SUM(J337:L337)</f>
        <v>0</v>
      </c>
      <c r="N337" s="1"/>
      <c r="O337" s="1"/>
      <c r="P337" s="1"/>
      <c r="Q337" s="59">
        <f t="shared" ref="Q337:Q347" si="71">SUM(N337:P337)</f>
        <v>0</v>
      </c>
      <c r="R337" s="59">
        <f t="shared" ref="R337:R347" si="72">+E337+I337+M337+Q337</f>
        <v>0</v>
      </c>
    </row>
    <row r="338" spans="1:20" ht="15.75" customHeight="1" x14ac:dyDescent="0.3">
      <c r="A338" s="76" t="s">
        <v>347</v>
      </c>
      <c r="B338" s="1"/>
      <c r="C338" s="1"/>
      <c r="D338" s="1"/>
      <c r="E338" s="59">
        <f>SUM(B338:D338)</f>
        <v>0</v>
      </c>
      <c r="F338" s="1"/>
      <c r="G338" s="1"/>
      <c r="H338" s="1"/>
      <c r="I338" s="59">
        <f>SUM(F338:H338)</f>
        <v>0</v>
      </c>
      <c r="J338" s="1"/>
      <c r="K338" s="1"/>
      <c r="L338" s="1"/>
      <c r="M338" s="59">
        <f>SUM(J338:L338)</f>
        <v>0</v>
      </c>
      <c r="N338" s="1"/>
      <c r="O338" s="1"/>
      <c r="P338" s="1"/>
      <c r="Q338" s="59">
        <f>SUM(N338:P338)</f>
        <v>0</v>
      </c>
      <c r="R338" s="59">
        <f>+E338+I338+M338+Q338</f>
        <v>0</v>
      </c>
      <c r="T338" s="4" t="s">
        <v>348</v>
      </c>
    </row>
    <row r="339" spans="1:20" ht="15.75" customHeight="1" x14ac:dyDescent="0.3">
      <c r="A339" s="76" t="s">
        <v>349</v>
      </c>
      <c r="B339" s="1"/>
      <c r="C339" s="1"/>
      <c r="D339" s="1"/>
      <c r="E339" s="59">
        <f>SUM(B339:D339)</f>
        <v>0</v>
      </c>
      <c r="F339" s="1"/>
      <c r="G339" s="1"/>
      <c r="H339" s="1"/>
      <c r="I339" s="59">
        <f>SUM(F339:H339)</f>
        <v>0</v>
      </c>
      <c r="J339" s="1"/>
      <c r="K339" s="1"/>
      <c r="L339" s="1"/>
      <c r="M339" s="59">
        <f>SUM(J339:L339)</f>
        <v>0</v>
      </c>
      <c r="N339" s="1"/>
      <c r="O339" s="1"/>
      <c r="P339" s="1"/>
      <c r="Q339" s="59">
        <f>SUM(N339:P339)</f>
        <v>0</v>
      </c>
      <c r="R339" s="59">
        <f>+E339+I339+M339+Q339</f>
        <v>0</v>
      </c>
      <c r="T339" s="4" t="s">
        <v>336</v>
      </c>
    </row>
    <row r="340" spans="1:20" ht="15.75" customHeight="1" x14ac:dyDescent="0.3">
      <c r="A340" s="76" t="s">
        <v>330</v>
      </c>
      <c r="B340" s="1"/>
      <c r="C340" s="1"/>
      <c r="D340" s="1"/>
      <c r="E340" s="59">
        <f t="shared" si="68"/>
        <v>0</v>
      </c>
      <c r="F340" s="1"/>
      <c r="G340" s="1"/>
      <c r="H340" s="1"/>
      <c r="I340" s="59">
        <f t="shared" si="69"/>
        <v>0</v>
      </c>
      <c r="J340" s="1"/>
      <c r="K340" s="1"/>
      <c r="L340" s="1"/>
      <c r="M340" s="59">
        <f t="shared" si="70"/>
        <v>0</v>
      </c>
      <c r="N340" s="1"/>
      <c r="O340" s="1"/>
      <c r="P340" s="1"/>
      <c r="Q340" s="59">
        <f t="shared" si="71"/>
        <v>0</v>
      </c>
      <c r="R340" s="59">
        <f>+E340+I340+M340+Q340</f>
        <v>0</v>
      </c>
      <c r="T340" s="4" t="s">
        <v>331</v>
      </c>
    </row>
    <row r="341" spans="1:20" ht="15.75" customHeight="1" x14ac:dyDescent="0.3">
      <c r="A341" s="76" t="s">
        <v>350</v>
      </c>
      <c r="B341" s="1"/>
      <c r="C341" s="1"/>
      <c r="D341" s="1"/>
      <c r="E341" s="59">
        <f>SUM(B341:D341)</f>
        <v>0</v>
      </c>
      <c r="F341" s="1"/>
      <c r="G341" s="1"/>
      <c r="H341" s="1"/>
      <c r="I341" s="59">
        <f>SUM(F341:H341)</f>
        <v>0</v>
      </c>
      <c r="J341" s="1"/>
      <c r="K341" s="1"/>
      <c r="L341" s="1"/>
      <c r="M341" s="59">
        <f>SUM(J341:L341)</f>
        <v>0</v>
      </c>
      <c r="N341" s="1"/>
      <c r="O341" s="1"/>
      <c r="P341" s="1"/>
      <c r="Q341" s="59">
        <f>SUM(N341:P341)</f>
        <v>0</v>
      </c>
      <c r="R341" s="59">
        <f>+E341+I341+M341+Q341</f>
        <v>0</v>
      </c>
      <c r="T341" s="4" t="s">
        <v>351</v>
      </c>
    </row>
    <row r="342" spans="1:20" ht="15.75" customHeight="1" x14ac:dyDescent="0.3">
      <c r="A342" s="76" t="s">
        <v>352</v>
      </c>
      <c r="B342" s="1"/>
      <c r="C342" s="1"/>
      <c r="D342" s="1"/>
      <c r="E342" s="59">
        <f t="shared" si="68"/>
        <v>0</v>
      </c>
      <c r="F342" s="1"/>
      <c r="G342" s="1"/>
      <c r="H342" s="1"/>
      <c r="I342" s="59">
        <f t="shared" si="69"/>
        <v>0</v>
      </c>
      <c r="J342" s="1"/>
      <c r="K342" s="1"/>
      <c r="L342" s="1"/>
      <c r="M342" s="59">
        <f t="shared" si="70"/>
        <v>0</v>
      </c>
      <c r="N342" s="1"/>
      <c r="O342" s="1"/>
      <c r="P342" s="1"/>
      <c r="Q342" s="59">
        <f t="shared" si="71"/>
        <v>0</v>
      </c>
      <c r="R342" s="59">
        <f t="shared" si="72"/>
        <v>0</v>
      </c>
    </row>
    <row r="343" spans="1:20" ht="15.75" customHeight="1" x14ac:dyDescent="0.3">
      <c r="A343" s="76" t="s">
        <v>353</v>
      </c>
      <c r="B343" s="1"/>
      <c r="C343" s="1"/>
      <c r="D343" s="1"/>
      <c r="E343" s="59">
        <f t="shared" si="68"/>
        <v>0</v>
      </c>
      <c r="F343" s="1"/>
      <c r="G343" s="1"/>
      <c r="H343" s="1"/>
      <c r="I343" s="59">
        <f t="shared" si="69"/>
        <v>0</v>
      </c>
      <c r="J343" s="1"/>
      <c r="K343" s="1"/>
      <c r="L343" s="1"/>
      <c r="M343" s="59">
        <f t="shared" si="70"/>
        <v>0</v>
      </c>
      <c r="N343" s="1"/>
      <c r="O343" s="1"/>
      <c r="P343" s="1"/>
      <c r="Q343" s="59">
        <f t="shared" si="71"/>
        <v>0</v>
      </c>
      <c r="R343" s="59">
        <f t="shared" si="72"/>
        <v>0</v>
      </c>
      <c r="T343" s="4" t="s">
        <v>354</v>
      </c>
    </row>
    <row r="344" spans="1:20" ht="15.75" customHeight="1" x14ac:dyDescent="0.3">
      <c r="A344" s="76" t="s">
        <v>355</v>
      </c>
      <c r="B344" s="1"/>
      <c r="C344" s="1"/>
      <c r="D344" s="1"/>
      <c r="E344" s="59">
        <f t="shared" si="68"/>
        <v>0</v>
      </c>
      <c r="F344" s="1"/>
      <c r="G344" s="1"/>
      <c r="H344" s="1"/>
      <c r="I344" s="59">
        <f t="shared" si="69"/>
        <v>0</v>
      </c>
      <c r="J344" s="1"/>
      <c r="K344" s="1"/>
      <c r="L344" s="1"/>
      <c r="M344" s="59">
        <f t="shared" si="70"/>
        <v>0</v>
      </c>
      <c r="N344" s="1"/>
      <c r="O344" s="1"/>
      <c r="P344" s="1"/>
      <c r="Q344" s="59">
        <f t="shared" si="71"/>
        <v>0</v>
      </c>
      <c r="R344" s="59">
        <f t="shared" si="72"/>
        <v>0</v>
      </c>
      <c r="T344" s="4" t="s">
        <v>354</v>
      </c>
    </row>
    <row r="345" spans="1:20" ht="15.75" customHeight="1" x14ac:dyDescent="0.3">
      <c r="A345" s="76" t="s">
        <v>356</v>
      </c>
      <c r="B345" s="1"/>
      <c r="C345" s="1"/>
      <c r="D345" s="1"/>
      <c r="E345" s="59">
        <f t="shared" si="68"/>
        <v>0</v>
      </c>
      <c r="F345" s="1"/>
      <c r="G345" s="1"/>
      <c r="H345" s="1"/>
      <c r="I345" s="59">
        <f t="shared" si="69"/>
        <v>0</v>
      </c>
      <c r="J345" s="1"/>
      <c r="K345" s="1"/>
      <c r="L345" s="1"/>
      <c r="M345" s="59">
        <f t="shared" si="70"/>
        <v>0</v>
      </c>
      <c r="N345" s="1"/>
      <c r="O345" s="1"/>
      <c r="P345" s="1"/>
      <c r="Q345" s="59">
        <f t="shared" si="71"/>
        <v>0</v>
      </c>
      <c r="R345" s="59">
        <f t="shared" si="72"/>
        <v>0</v>
      </c>
      <c r="T345" s="4" t="s">
        <v>127</v>
      </c>
    </row>
    <row r="346" spans="1:20" ht="15.75" customHeight="1" x14ac:dyDescent="0.3">
      <c r="A346" s="76" t="s">
        <v>357</v>
      </c>
      <c r="B346" s="1"/>
      <c r="C346" s="1"/>
      <c r="D346" s="1"/>
      <c r="E346" s="59">
        <f>SUM(B346:D346)</f>
        <v>0</v>
      </c>
      <c r="F346" s="1"/>
      <c r="G346" s="1"/>
      <c r="H346" s="1"/>
      <c r="I346" s="59">
        <f>SUM(F346:H346)</f>
        <v>0</v>
      </c>
      <c r="J346" s="1"/>
      <c r="K346" s="1"/>
      <c r="L346" s="1"/>
      <c r="M346" s="59">
        <f>SUM(J346:L346)</f>
        <v>0</v>
      </c>
      <c r="N346" s="1"/>
      <c r="O346" s="1"/>
      <c r="P346" s="1"/>
      <c r="Q346" s="59">
        <f>SUM(N346:P346)</f>
        <v>0</v>
      </c>
      <c r="R346" s="59">
        <f>+E346+I346+M346+Q346</f>
        <v>0</v>
      </c>
      <c r="T346" s="4" t="s">
        <v>127</v>
      </c>
    </row>
    <row r="347" spans="1:20" ht="15.75" customHeight="1" x14ac:dyDescent="0.3">
      <c r="A347" s="76" t="s">
        <v>358</v>
      </c>
      <c r="B347" s="1"/>
      <c r="C347" s="1"/>
      <c r="D347" s="1"/>
      <c r="E347" s="59">
        <f t="shared" si="68"/>
        <v>0</v>
      </c>
      <c r="F347" s="1"/>
      <c r="G347" s="1"/>
      <c r="H347" s="1"/>
      <c r="I347" s="59">
        <f t="shared" si="69"/>
        <v>0</v>
      </c>
      <c r="J347" s="1"/>
      <c r="K347" s="1"/>
      <c r="L347" s="1"/>
      <c r="M347" s="59">
        <f t="shared" si="70"/>
        <v>0</v>
      </c>
      <c r="N347" s="1"/>
      <c r="O347" s="1"/>
      <c r="P347" s="1"/>
      <c r="Q347" s="59">
        <f t="shared" si="71"/>
        <v>0</v>
      </c>
      <c r="R347" s="59">
        <f t="shared" si="72"/>
        <v>0</v>
      </c>
      <c r="T347" s="4" t="s">
        <v>359</v>
      </c>
    </row>
    <row r="348" spans="1:20" ht="15.75" customHeight="1" x14ac:dyDescent="0.3">
      <c r="A348" s="17" t="s">
        <v>898</v>
      </c>
      <c r="B348" s="1"/>
      <c r="C348" s="1"/>
      <c r="D348" s="1"/>
      <c r="E348" s="59" t="s">
        <v>7</v>
      </c>
      <c r="F348" s="1"/>
      <c r="G348" s="1"/>
      <c r="H348" s="1"/>
      <c r="I348" s="59" t="s">
        <v>7</v>
      </c>
      <c r="J348" s="1"/>
      <c r="K348" s="1"/>
      <c r="L348" s="1"/>
      <c r="M348" s="59" t="s">
        <v>7</v>
      </c>
      <c r="N348" s="1"/>
      <c r="O348" s="1"/>
      <c r="P348" s="1"/>
      <c r="Q348" s="59" t="s">
        <v>7</v>
      </c>
      <c r="R348" s="59" t="s">
        <v>7</v>
      </c>
    </row>
    <row r="349" spans="1:20" ht="15.75" customHeight="1" x14ac:dyDescent="0.3">
      <c r="A349" s="76" t="s">
        <v>914</v>
      </c>
      <c r="B349" s="1"/>
      <c r="C349" s="1"/>
      <c r="D349" s="1"/>
      <c r="E349" s="59">
        <f>SUM(B349:D349)</f>
        <v>0</v>
      </c>
      <c r="F349" s="1"/>
      <c r="G349" s="1"/>
      <c r="H349" s="1"/>
      <c r="I349" s="59">
        <f>SUM(F349:H349)</f>
        <v>0</v>
      </c>
      <c r="J349" s="1"/>
      <c r="K349" s="1"/>
      <c r="L349" s="1">
        <v>160</v>
      </c>
      <c r="M349" s="59">
        <f>SUM(J349:L349)</f>
        <v>160</v>
      </c>
      <c r="N349" s="1"/>
      <c r="O349" s="1"/>
      <c r="P349" s="1"/>
      <c r="Q349" s="59">
        <f>SUM(N349:P349)</f>
        <v>0</v>
      </c>
      <c r="R349" s="59">
        <f>+E349+I349+M349+Q349</f>
        <v>160</v>
      </c>
      <c r="T349" s="4" t="s">
        <v>305</v>
      </c>
    </row>
    <row r="350" spans="1:20" ht="15.75" customHeight="1" x14ac:dyDescent="0.3">
      <c r="A350" s="76" t="s">
        <v>915</v>
      </c>
      <c r="B350" s="1"/>
      <c r="C350" s="1"/>
      <c r="D350" s="1"/>
      <c r="E350" s="59">
        <f>SUM(B350:D350)</f>
        <v>0</v>
      </c>
      <c r="F350" s="1"/>
      <c r="G350" s="1">
        <v>3000</v>
      </c>
      <c r="H350" s="1">
        <v>3000</v>
      </c>
      <c r="I350" s="59">
        <f>SUM(F350:H350)</f>
        <v>6000</v>
      </c>
      <c r="J350" s="1"/>
      <c r="K350" s="1">
        <v>3000</v>
      </c>
      <c r="L350" s="1"/>
      <c r="M350" s="59">
        <f>SUM(J350:L350)</f>
        <v>3000</v>
      </c>
      <c r="N350" s="1"/>
      <c r="O350" s="1"/>
      <c r="P350" s="1"/>
      <c r="Q350" s="59">
        <f>SUM(N350:P350)</f>
        <v>0</v>
      </c>
      <c r="R350" s="59">
        <f>+E350+I350+M350+Q350</f>
        <v>9000</v>
      </c>
    </row>
    <row r="351" spans="1:20" ht="15.75" customHeight="1" x14ac:dyDescent="0.3">
      <c r="A351" s="76" t="s">
        <v>916</v>
      </c>
      <c r="B351" s="1"/>
      <c r="C351" s="1"/>
      <c r="D351" s="1"/>
      <c r="E351" s="59">
        <f>SUM(B351:D351)</f>
        <v>0</v>
      </c>
      <c r="F351" s="1"/>
      <c r="G351" s="1">
        <v>2685</v>
      </c>
      <c r="H351" s="1"/>
      <c r="I351" s="59">
        <f>SUM(F351:H351)</f>
        <v>2685</v>
      </c>
      <c r="J351" s="1"/>
      <c r="K351" s="1"/>
      <c r="L351" s="1"/>
      <c r="M351" s="59">
        <f>SUM(J351:L351)</f>
        <v>0</v>
      </c>
      <c r="N351" s="1"/>
      <c r="O351" s="1"/>
      <c r="P351" s="1"/>
      <c r="Q351" s="59">
        <f>SUM(N351:P351)</f>
        <v>0</v>
      </c>
      <c r="R351" s="59">
        <f>+E351+I351+M351+Q351</f>
        <v>2685</v>
      </c>
      <c r="T351" s="4" t="s">
        <v>331</v>
      </c>
    </row>
    <row r="352" spans="1:20" ht="15.75" customHeight="1" x14ac:dyDescent="0.3">
      <c r="A352" s="76" t="s">
        <v>917</v>
      </c>
      <c r="B352" s="1">
        <v>699</v>
      </c>
      <c r="C352" s="1">
        <v>1000</v>
      </c>
      <c r="D352" s="1"/>
      <c r="E352" s="59">
        <f>SUM(B352:D352)</f>
        <v>1699</v>
      </c>
      <c r="F352" s="1">
        <v>2915</v>
      </c>
      <c r="G352" s="1">
        <v>941</v>
      </c>
      <c r="H352" s="1"/>
      <c r="I352" s="59">
        <f>SUM(F352:H352)</f>
        <v>3856</v>
      </c>
      <c r="J352" s="1"/>
      <c r="K352" s="1"/>
      <c r="L352" s="1"/>
      <c r="M352" s="59">
        <f>SUM(J352:L352)</f>
        <v>0</v>
      </c>
      <c r="N352" s="1"/>
      <c r="O352" s="1"/>
      <c r="P352" s="1"/>
      <c r="Q352" s="59">
        <f>SUM(N352:P352)</f>
        <v>0</v>
      </c>
      <c r="R352" s="59">
        <f>+E352+I352+M352+Q352</f>
        <v>5555</v>
      </c>
      <c r="T352" s="4" t="s">
        <v>315</v>
      </c>
    </row>
    <row r="353" spans="1:39" ht="16.5" customHeight="1" thickBot="1" x14ac:dyDescent="0.35">
      <c r="A353" s="17" t="s">
        <v>51</v>
      </c>
      <c r="B353" s="1"/>
      <c r="C353" s="1"/>
      <c r="D353" s="1"/>
      <c r="E353" s="59" t="s">
        <v>7</v>
      </c>
      <c r="F353" s="1"/>
      <c r="G353" s="1"/>
      <c r="H353" s="1"/>
      <c r="I353" s="59" t="s">
        <v>7</v>
      </c>
      <c r="J353" s="1"/>
      <c r="K353" s="1"/>
      <c r="L353" s="1"/>
      <c r="M353" s="59" t="s">
        <v>7</v>
      </c>
      <c r="N353" s="1"/>
      <c r="O353" s="1"/>
      <c r="P353" s="1"/>
      <c r="Q353" s="59" t="s">
        <v>7</v>
      </c>
      <c r="R353" s="88" t="s">
        <v>7</v>
      </c>
      <c r="V353" s="4" t="s">
        <v>364</v>
      </c>
      <c r="W353" s="4" t="s">
        <v>365</v>
      </c>
    </row>
    <row r="354" spans="1:39" ht="16.5" customHeight="1" thickBot="1" x14ac:dyDescent="0.35">
      <c r="A354" s="126" t="s">
        <v>52</v>
      </c>
      <c r="B354" s="100">
        <f>SUM(B308:B353)</f>
        <v>4246</v>
      </c>
      <c r="C354" s="101">
        <f>SUM(C308:C353)</f>
        <v>5790</v>
      </c>
      <c r="D354" s="101">
        <f>SUM(D308:D353)</f>
        <v>8466</v>
      </c>
      <c r="E354" s="64">
        <f>SUM(B354:D354)</f>
        <v>18502</v>
      </c>
      <c r="F354" s="101">
        <f>SUM(F308:F353)</f>
        <v>7621</v>
      </c>
      <c r="G354" s="101">
        <f>SUM(G308:G353)</f>
        <v>10805</v>
      </c>
      <c r="H354" s="101">
        <f>SUM(H308:H353)</f>
        <v>13990</v>
      </c>
      <c r="I354" s="64">
        <f>SUM(F354:H354)</f>
        <v>32416</v>
      </c>
      <c r="J354" s="101">
        <f>SUM(J308:J353)</f>
        <v>7576</v>
      </c>
      <c r="K354" s="101">
        <f>SUM(K308:K353)</f>
        <v>9690</v>
      </c>
      <c r="L354" s="101">
        <f>SUM(L308:L353)</f>
        <v>7106</v>
      </c>
      <c r="M354" s="64">
        <f>SUM(J354:L354)</f>
        <v>24372</v>
      </c>
      <c r="N354" s="101">
        <f>SUM(N308:N353)</f>
        <v>6850</v>
      </c>
      <c r="O354" s="101">
        <f>SUM(O308:O353)</f>
        <v>10840</v>
      </c>
      <c r="P354" s="101">
        <f>SUM(P308:P353)</f>
        <v>6223</v>
      </c>
      <c r="Q354" s="64">
        <f>SUM(N354:P354)</f>
        <v>23913</v>
      </c>
      <c r="R354" s="64">
        <f>+E354+I354+M354+Q354</f>
        <v>99203</v>
      </c>
      <c r="T354" s="106"/>
      <c r="V354" s="4" t="s">
        <v>305</v>
      </c>
      <c r="W354" s="127">
        <v>0.18</v>
      </c>
    </row>
    <row r="355" spans="1:39" ht="15.75" customHeight="1" x14ac:dyDescent="0.3">
      <c r="A355" s="17" t="s">
        <v>53</v>
      </c>
      <c r="B355" s="1"/>
      <c r="C355" s="1"/>
      <c r="D355" s="1"/>
      <c r="E355" s="59" t="s">
        <v>7</v>
      </c>
      <c r="F355" s="1"/>
      <c r="G355" s="1"/>
      <c r="H355" s="1"/>
      <c r="I355" s="59" t="s">
        <v>7</v>
      </c>
      <c r="J355" s="1"/>
      <c r="K355" s="1"/>
      <c r="L355" s="1"/>
      <c r="M355" s="59" t="s">
        <v>7</v>
      </c>
      <c r="N355" s="1"/>
      <c r="O355" s="1"/>
      <c r="P355" s="1"/>
      <c r="Q355" s="59" t="s">
        <v>7</v>
      </c>
      <c r="R355" s="59" t="s">
        <v>7</v>
      </c>
      <c r="V355" s="4" t="s">
        <v>366</v>
      </c>
      <c r="W355" s="127">
        <v>0.52</v>
      </c>
    </row>
    <row r="356" spans="1:39" ht="15.75" customHeight="1" x14ac:dyDescent="0.3">
      <c r="A356" s="17" t="s">
        <v>367</v>
      </c>
      <c r="B356" s="1"/>
      <c r="C356" s="1"/>
      <c r="D356" s="1"/>
      <c r="E356" s="59"/>
      <c r="F356" s="1"/>
      <c r="G356" s="1"/>
      <c r="H356" s="1"/>
      <c r="I356" s="59"/>
      <c r="J356" s="1"/>
      <c r="K356" s="1"/>
      <c r="L356" s="1"/>
      <c r="M356" s="59"/>
      <c r="N356" s="1"/>
      <c r="O356" s="1"/>
      <c r="P356" s="1"/>
      <c r="Q356" s="59"/>
      <c r="R356" s="59"/>
      <c r="V356" s="4" t="s">
        <v>368</v>
      </c>
      <c r="W356" s="127">
        <v>0.3</v>
      </c>
    </row>
    <row r="357" spans="1:39" ht="15.75" customHeight="1" thickBot="1" x14ac:dyDescent="0.35">
      <c r="A357" s="17" t="s">
        <v>55</v>
      </c>
      <c r="B357" s="1"/>
      <c r="C357" s="1"/>
      <c r="D357" s="1"/>
      <c r="E357" s="59" t="s">
        <v>7</v>
      </c>
      <c r="F357" s="1"/>
      <c r="G357" s="1"/>
      <c r="H357" s="1"/>
      <c r="I357" s="59" t="s">
        <v>7</v>
      </c>
      <c r="J357" s="1"/>
      <c r="K357" s="1"/>
      <c r="L357" s="1"/>
      <c r="M357" s="59" t="s">
        <v>7</v>
      </c>
      <c r="N357" s="1"/>
      <c r="O357" s="1"/>
      <c r="P357" s="1"/>
      <c r="Q357" s="59" t="s">
        <v>7</v>
      </c>
      <c r="R357" s="59" t="s">
        <v>7</v>
      </c>
      <c r="W357" s="128">
        <f>+SUM(W354:W356)</f>
        <v>1</v>
      </c>
    </row>
    <row r="358" spans="1:39" s="98" customFormat="1" ht="15.75" customHeight="1" x14ac:dyDescent="0.3">
      <c r="A358" s="322" t="s">
        <v>943</v>
      </c>
      <c r="B358" s="143"/>
      <c r="C358" s="143"/>
      <c r="D358" s="143"/>
      <c r="E358" s="97">
        <f>SUM(B358:D358)</f>
        <v>0</v>
      </c>
      <c r="F358" s="143"/>
      <c r="G358" s="143"/>
      <c r="H358" s="143"/>
      <c r="I358" s="97">
        <f>SUM(F358:H358)</f>
        <v>0</v>
      </c>
      <c r="J358" s="143"/>
      <c r="K358" s="143"/>
      <c r="L358" s="143"/>
      <c r="M358" s="97">
        <f>SUM(J358:L358)</f>
        <v>0</v>
      </c>
      <c r="N358" s="143"/>
      <c r="O358" s="143"/>
      <c r="P358" s="143"/>
      <c r="Q358" s="97">
        <f>SUM(N358:P358)</f>
        <v>0</v>
      </c>
      <c r="R358" s="97">
        <f t="shared" ref="R358:R368" si="73">+E358+I358+M358+Q358</f>
        <v>0</v>
      </c>
      <c r="S358" s="4"/>
      <c r="V358" s="424" t="s">
        <v>944</v>
      </c>
      <c r="W358" s="425"/>
      <c r="X358" s="425"/>
      <c r="Y358" s="425"/>
      <c r="Z358" s="425"/>
      <c r="AA358" s="425"/>
      <c r="AB358" s="425"/>
      <c r="AC358" s="425"/>
      <c r="AD358" s="425"/>
      <c r="AE358" s="425"/>
      <c r="AF358" s="425"/>
      <c r="AG358" s="425"/>
      <c r="AH358" s="425"/>
      <c r="AI358" s="425"/>
      <c r="AJ358" s="425"/>
      <c r="AK358" s="425"/>
      <c r="AL358" s="425"/>
      <c r="AM358" s="426"/>
    </row>
    <row r="359" spans="1:39" ht="15.75" customHeight="1" x14ac:dyDescent="0.3">
      <c r="A359" s="76" t="s">
        <v>369</v>
      </c>
      <c r="B359" s="1">
        <v>50</v>
      </c>
      <c r="C359" s="1">
        <v>46</v>
      </c>
      <c r="D359" s="1">
        <v>1730</v>
      </c>
      <c r="E359" s="59">
        <f>SUM(B359:D359)</f>
        <v>1826</v>
      </c>
      <c r="F359" s="1">
        <v>1534</v>
      </c>
      <c r="G359" s="1">
        <v>1098</v>
      </c>
      <c r="H359" s="1">
        <v>3563</v>
      </c>
      <c r="I359" s="59">
        <f>SUM(F359:H359)</f>
        <v>6195</v>
      </c>
      <c r="J359" s="1">
        <v>2715</v>
      </c>
      <c r="K359" s="1">
        <v>2510</v>
      </c>
      <c r="L359" s="1">
        <v>579</v>
      </c>
      <c r="M359" s="59">
        <f>SUM(J359:L359)</f>
        <v>5804</v>
      </c>
      <c r="N359" s="1"/>
      <c r="O359" s="1"/>
      <c r="P359" s="1"/>
      <c r="Q359" s="59">
        <f>SUM(N359:P359)</f>
        <v>0</v>
      </c>
      <c r="R359" s="59">
        <f t="shared" si="73"/>
        <v>13825</v>
      </c>
      <c r="T359" s="4" t="s">
        <v>305</v>
      </c>
      <c r="V359" s="129" t="s">
        <v>370</v>
      </c>
      <c r="W359" s="30" t="s">
        <v>36</v>
      </c>
      <c r="X359" s="2" t="s">
        <v>9</v>
      </c>
      <c r="Y359" s="2" t="s">
        <v>10</v>
      </c>
      <c r="Z359" s="130" t="s">
        <v>11</v>
      </c>
      <c r="AA359" s="2" t="s">
        <v>12</v>
      </c>
      <c r="AB359" s="2" t="s">
        <v>13</v>
      </c>
      <c r="AC359" s="2" t="s">
        <v>14</v>
      </c>
      <c r="AD359" s="130" t="s">
        <v>15</v>
      </c>
      <c r="AE359" s="2" t="s">
        <v>16</v>
      </c>
      <c r="AF359" s="2" t="s">
        <v>17</v>
      </c>
      <c r="AG359" s="2" t="s">
        <v>18</v>
      </c>
      <c r="AH359" s="130" t="s">
        <v>19</v>
      </c>
      <c r="AI359" s="2" t="s">
        <v>20</v>
      </c>
      <c r="AJ359" s="2" t="s">
        <v>21</v>
      </c>
      <c r="AK359" s="2" t="s">
        <v>22</v>
      </c>
      <c r="AL359" s="130" t="s">
        <v>23</v>
      </c>
      <c r="AM359" s="303" t="s">
        <v>24</v>
      </c>
    </row>
    <row r="360" spans="1:39" ht="15.75" customHeight="1" x14ac:dyDescent="0.3">
      <c r="A360" s="76" t="s">
        <v>371</v>
      </c>
      <c r="B360" s="1"/>
      <c r="C360" s="1"/>
      <c r="D360" s="1"/>
      <c r="E360" s="59">
        <f>SUM(B360:D360)</f>
        <v>0</v>
      </c>
      <c r="F360" s="1"/>
      <c r="G360" s="1"/>
      <c r="H360" s="1"/>
      <c r="I360" s="59">
        <f>SUM(F360:H360)</f>
        <v>0</v>
      </c>
      <c r="J360" s="1"/>
      <c r="K360" s="1"/>
      <c r="L360" s="1"/>
      <c r="M360" s="59">
        <f>SUM(J360:L360)</f>
        <v>0</v>
      </c>
      <c r="N360" s="1"/>
      <c r="O360" s="1"/>
      <c r="P360" s="1"/>
      <c r="Q360" s="59">
        <f>SUM(N360:P360)</f>
        <v>0</v>
      </c>
      <c r="R360" s="59">
        <f t="shared" si="73"/>
        <v>0</v>
      </c>
      <c r="T360" s="4" t="s">
        <v>331</v>
      </c>
      <c r="V360" s="95" t="s">
        <v>372</v>
      </c>
      <c r="W360" s="132">
        <v>1500</v>
      </c>
      <c r="X360" s="132">
        <v>1500</v>
      </c>
      <c r="Y360" s="132">
        <v>6800</v>
      </c>
      <c r="Z360" s="4">
        <f>+SUM(W360:Y360)</f>
        <v>9800</v>
      </c>
      <c r="AA360" s="132">
        <f>8000+1500</f>
        <v>9500</v>
      </c>
      <c r="AB360" s="132">
        <f>10000+2000</f>
        <v>12000</v>
      </c>
      <c r="AC360" s="132">
        <f>12000+1500</f>
        <v>13500</v>
      </c>
      <c r="AD360" s="4">
        <f>+SUM(AA360:AC360)</f>
        <v>35000</v>
      </c>
      <c r="AE360" s="132">
        <v>25500</v>
      </c>
      <c r="AF360" s="132">
        <v>19000</v>
      </c>
      <c r="AG360" s="132">
        <v>4000</v>
      </c>
      <c r="AH360" s="4">
        <f>+SUM(AE360:AG360)</f>
        <v>48500</v>
      </c>
      <c r="AI360" s="132">
        <v>1500</v>
      </c>
      <c r="AJ360" s="132">
        <v>1000</v>
      </c>
      <c r="AK360" s="132">
        <v>1069</v>
      </c>
      <c r="AL360" s="4">
        <f>+SUM(AI360:AK360)</f>
        <v>3569</v>
      </c>
      <c r="AM360" s="304">
        <f>+Z360+AD360+AH360+AL360</f>
        <v>96869</v>
      </c>
    </row>
    <row r="361" spans="1:39" ht="15.75" customHeight="1" x14ac:dyDescent="0.3">
      <c r="A361" s="76" t="s">
        <v>373</v>
      </c>
      <c r="B361" s="1">
        <v>398</v>
      </c>
      <c r="C361" s="1">
        <v>1986</v>
      </c>
      <c r="D361" s="1">
        <v>5759</v>
      </c>
      <c r="E361" s="59">
        <f t="shared" ref="E361:E366" si="74">SUM(B361:D361)</f>
        <v>8143</v>
      </c>
      <c r="F361" s="1">
        <v>6811</v>
      </c>
      <c r="G361" s="1">
        <v>8736</v>
      </c>
      <c r="H361" s="1">
        <v>8912</v>
      </c>
      <c r="I361" s="59">
        <f t="shared" ref="I361:I366" si="75">SUM(F361:H361)</f>
        <v>24459</v>
      </c>
      <c r="J361" s="1"/>
      <c r="K361" s="1">
        <v>2949</v>
      </c>
      <c r="L361" s="1">
        <v>2000</v>
      </c>
      <c r="M361" s="59">
        <f t="shared" ref="M361:M366" si="76">SUM(J361:L361)</f>
        <v>4949</v>
      </c>
      <c r="N361" s="1"/>
      <c r="O361" s="1"/>
      <c r="P361" s="1"/>
      <c r="Q361" s="59">
        <f t="shared" ref="Q361:Q368" si="77">SUM(N361:P361)</f>
        <v>0</v>
      </c>
      <c r="R361" s="59">
        <f t="shared" si="73"/>
        <v>37551</v>
      </c>
      <c r="T361" s="4" t="s">
        <v>307</v>
      </c>
      <c r="V361" s="95" t="s">
        <v>305</v>
      </c>
      <c r="W361" s="4">
        <f>+$W$354*W360</f>
        <v>270</v>
      </c>
      <c r="X361" s="4">
        <f>+$W$354*X360</f>
        <v>270</v>
      </c>
      <c r="Y361" s="4">
        <f>+$W$354*Y360</f>
        <v>1224</v>
      </c>
      <c r="Z361" s="4">
        <f>+SUM(W361:Y361)</f>
        <v>1764</v>
      </c>
      <c r="AA361" s="4">
        <f>+$W$354*AA360</f>
        <v>1710</v>
      </c>
      <c r="AB361" s="4">
        <f>+$W$354*AB360</f>
        <v>2160</v>
      </c>
      <c r="AC361" s="4">
        <f>+$W$354*AC360</f>
        <v>2430</v>
      </c>
      <c r="AD361" s="4">
        <f>+SUM(AA361:AC361)</f>
        <v>6300</v>
      </c>
      <c r="AE361" s="4">
        <f>+$W$354*AE360</f>
        <v>4590</v>
      </c>
      <c r="AF361" s="4">
        <f>+$W$354*AF360</f>
        <v>3420</v>
      </c>
      <c r="AG361" s="4">
        <f>+$W$354*AG360</f>
        <v>720</v>
      </c>
      <c r="AH361" s="4">
        <f>+SUM(AE361:AG361)</f>
        <v>8730</v>
      </c>
      <c r="AI361" s="4">
        <f>+$W$354*AI360</f>
        <v>270</v>
      </c>
      <c r="AJ361" s="4">
        <f>+$W$354*AJ360</f>
        <v>180</v>
      </c>
      <c r="AK361" s="4">
        <f>+$W$354*AK360</f>
        <v>192.42</v>
      </c>
      <c r="AL361" s="4">
        <f>+SUM(AI361:AK361)</f>
        <v>642.41999999999996</v>
      </c>
      <c r="AM361" s="304">
        <f>+Z361+AD361+AH361+AL361</f>
        <v>17436.419999999998</v>
      </c>
    </row>
    <row r="362" spans="1:39" ht="15.75" customHeight="1" x14ac:dyDescent="0.3">
      <c r="A362" s="76" t="s">
        <v>374</v>
      </c>
      <c r="B362" s="1">
        <v>131</v>
      </c>
      <c r="C362" s="1">
        <v>7941</v>
      </c>
      <c r="D362" s="1">
        <v>7347</v>
      </c>
      <c r="E362" s="59">
        <f t="shared" si="74"/>
        <v>15419</v>
      </c>
      <c r="F362" s="1">
        <v>8951</v>
      </c>
      <c r="G362" s="1">
        <v>18383</v>
      </c>
      <c r="H362" s="1">
        <v>20410</v>
      </c>
      <c r="I362" s="59">
        <f t="shared" si="75"/>
        <v>47744</v>
      </c>
      <c r="J362" s="1">
        <v>10201</v>
      </c>
      <c r="K362" s="1">
        <v>8306</v>
      </c>
      <c r="L362" s="1">
        <v>6170</v>
      </c>
      <c r="M362" s="59">
        <f t="shared" si="76"/>
        <v>24677</v>
      </c>
      <c r="N362" s="1">
        <v>8043</v>
      </c>
      <c r="O362" s="1">
        <v>1594</v>
      </c>
      <c r="P362" s="1">
        <v>3472</v>
      </c>
      <c r="Q362" s="59">
        <f t="shared" si="77"/>
        <v>13109</v>
      </c>
      <c r="R362" s="59">
        <f t="shared" si="73"/>
        <v>100949</v>
      </c>
      <c r="T362" s="4" t="s">
        <v>305</v>
      </c>
      <c r="V362" s="95" t="s">
        <v>366</v>
      </c>
      <c r="W362" s="4">
        <f>+$W$355*W360</f>
        <v>780</v>
      </c>
      <c r="X362" s="4">
        <f>+$W$355*X360</f>
        <v>780</v>
      </c>
      <c r="Y362" s="4">
        <f>+$W$355*Y360</f>
        <v>3536</v>
      </c>
      <c r="Z362" s="4">
        <f>+SUM(W362:Y362)</f>
        <v>5096</v>
      </c>
      <c r="AA362" s="4">
        <f>+$W$355*AA360</f>
        <v>4940</v>
      </c>
      <c r="AB362" s="4">
        <f>+$W$355*AB360</f>
        <v>6240</v>
      </c>
      <c r="AC362" s="4">
        <f>+$W$355*AC360</f>
        <v>7020</v>
      </c>
      <c r="AD362" s="4">
        <f>+SUM(AA362:AC362)</f>
        <v>18200</v>
      </c>
      <c r="AE362" s="4">
        <f>+$W$355*AE360</f>
        <v>13260</v>
      </c>
      <c r="AF362" s="4">
        <f>+$W$355*AF360</f>
        <v>9880</v>
      </c>
      <c r="AG362" s="4">
        <f>+$W$355*AG360</f>
        <v>2080</v>
      </c>
      <c r="AH362" s="4">
        <f>+SUM(AE362:AG362)</f>
        <v>25220</v>
      </c>
      <c r="AI362" s="4">
        <f>+$W$355*AI360</f>
        <v>780</v>
      </c>
      <c r="AJ362" s="4">
        <f>+$W$355*AJ360</f>
        <v>520</v>
      </c>
      <c r="AK362" s="4">
        <f>+$W$355*AK360</f>
        <v>555.88</v>
      </c>
      <c r="AL362" s="4">
        <f>+SUM(AI362:AK362)</f>
        <v>1855.88</v>
      </c>
      <c r="AM362" s="304">
        <f>+Z362+AD362+AH362+AL362</f>
        <v>50371.88</v>
      </c>
    </row>
    <row r="363" spans="1:39" ht="15.75" customHeight="1" x14ac:dyDescent="0.3">
      <c r="A363" s="76" t="s">
        <v>375</v>
      </c>
      <c r="B363" s="1"/>
      <c r="C363" s="1"/>
      <c r="D363" s="1"/>
      <c r="E363" s="59">
        <f t="shared" si="74"/>
        <v>0</v>
      </c>
      <c r="F363" s="1"/>
      <c r="G363" s="1"/>
      <c r="H363" s="1"/>
      <c r="I363" s="59">
        <f t="shared" si="75"/>
        <v>0</v>
      </c>
      <c r="J363" s="1"/>
      <c r="K363" s="1"/>
      <c r="L363" s="1"/>
      <c r="M363" s="59">
        <f t="shared" si="76"/>
        <v>0</v>
      </c>
      <c r="N363" s="1"/>
      <c r="O363" s="1"/>
      <c r="P363" s="1"/>
      <c r="Q363" s="59">
        <f t="shared" si="77"/>
        <v>0</v>
      </c>
      <c r="R363" s="59">
        <f t="shared" si="73"/>
        <v>0</v>
      </c>
      <c r="T363" s="4" t="s">
        <v>376</v>
      </c>
      <c r="V363" s="95" t="s">
        <v>368</v>
      </c>
      <c r="W363" s="4">
        <f>+$W$356*W360</f>
        <v>450</v>
      </c>
      <c r="X363" s="4">
        <f>+$W$356*X360</f>
        <v>450</v>
      </c>
      <c r="Y363" s="4">
        <f>+$W$356*Y360</f>
        <v>2040</v>
      </c>
      <c r="Z363" s="4">
        <f>+SUM(W363:Y363)</f>
        <v>2940</v>
      </c>
      <c r="AA363" s="4">
        <f>+$W$356*AA360</f>
        <v>2850</v>
      </c>
      <c r="AB363" s="4">
        <f>+$W$356*AB360</f>
        <v>3600</v>
      </c>
      <c r="AC363" s="4">
        <f>+$W$356*AC360</f>
        <v>4050</v>
      </c>
      <c r="AD363" s="4">
        <f>+SUM(AA363:AC363)</f>
        <v>10500</v>
      </c>
      <c r="AE363" s="4">
        <f>+$W$356*AE360</f>
        <v>7650</v>
      </c>
      <c r="AF363" s="4">
        <f>+$W$356*AF360</f>
        <v>5700</v>
      </c>
      <c r="AG363" s="4">
        <f>+$W$356*AG360</f>
        <v>1200</v>
      </c>
      <c r="AH363" s="4">
        <f>+SUM(AE363:AG363)</f>
        <v>14550</v>
      </c>
      <c r="AI363" s="4">
        <f>+$W$356*AI360</f>
        <v>450</v>
      </c>
      <c r="AJ363" s="4">
        <f>+$W$356*AJ360</f>
        <v>300</v>
      </c>
      <c r="AK363" s="4">
        <f>+$W$356*AK360</f>
        <v>320.7</v>
      </c>
      <c r="AL363" s="4">
        <f>+$W$356*AL360</f>
        <v>1070.7</v>
      </c>
      <c r="AM363" s="304">
        <f>+Z363+AD363+AH363+AL363</f>
        <v>29060.7</v>
      </c>
    </row>
    <row r="364" spans="1:39" ht="15.75" customHeight="1" thickBot="1" x14ac:dyDescent="0.35">
      <c r="A364" s="76" t="s">
        <v>377</v>
      </c>
      <c r="B364" s="1">
        <v>372</v>
      </c>
      <c r="C364" s="1">
        <v>2044</v>
      </c>
      <c r="D364" s="1">
        <v>2126</v>
      </c>
      <c r="E364" s="59">
        <f t="shared" si="74"/>
        <v>4542</v>
      </c>
      <c r="F364" s="1"/>
      <c r="G364" s="1"/>
      <c r="H364" s="1"/>
      <c r="I364" s="59">
        <f t="shared" si="75"/>
        <v>0</v>
      </c>
      <c r="J364" s="1"/>
      <c r="K364" s="1"/>
      <c r="L364" s="1"/>
      <c r="M364" s="59">
        <f t="shared" si="76"/>
        <v>0</v>
      </c>
      <c r="N364" s="1"/>
      <c r="O364" s="1"/>
      <c r="P364" s="1">
        <v>56</v>
      </c>
      <c r="Q364" s="59">
        <f t="shared" si="77"/>
        <v>56</v>
      </c>
      <c r="R364" s="59">
        <f t="shared" si="73"/>
        <v>4598</v>
      </c>
      <c r="T364" s="4" t="s">
        <v>331</v>
      </c>
      <c r="V364" s="134"/>
      <c r="W364" s="135"/>
      <c r="X364" s="135"/>
      <c r="Y364" s="135"/>
      <c r="Z364" s="135"/>
      <c r="AA364" s="135"/>
      <c r="AB364" s="135"/>
      <c r="AC364" s="135"/>
      <c r="AD364" s="135"/>
      <c r="AE364" s="135"/>
      <c r="AF364" s="135"/>
      <c r="AG364" s="135"/>
      <c r="AH364" s="135"/>
      <c r="AI364" s="135"/>
      <c r="AJ364" s="135"/>
      <c r="AK364" s="135"/>
      <c r="AL364" s="135"/>
      <c r="AM364" s="136"/>
    </row>
    <row r="365" spans="1:39" ht="15.75" customHeight="1" x14ac:dyDescent="0.3">
      <c r="A365" s="76" t="s">
        <v>379</v>
      </c>
      <c r="B365" s="1"/>
      <c r="C365" s="1"/>
      <c r="D365" s="1"/>
      <c r="E365" s="59">
        <f t="shared" si="74"/>
        <v>0</v>
      </c>
      <c r="F365" s="1"/>
      <c r="G365" s="1"/>
      <c r="H365" s="1"/>
      <c r="I365" s="59">
        <f t="shared" si="75"/>
        <v>0</v>
      </c>
      <c r="J365" s="1"/>
      <c r="K365" s="1"/>
      <c r="L365" s="1"/>
      <c r="M365" s="59">
        <f t="shared" si="76"/>
        <v>0</v>
      </c>
      <c r="N365" s="1"/>
      <c r="O365" s="1"/>
      <c r="P365" s="1"/>
      <c r="Q365" s="59">
        <f t="shared" si="77"/>
        <v>0</v>
      </c>
      <c r="R365" s="59">
        <f t="shared" si="73"/>
        <v>0</v>
      </c>
      <c r="T365" s="4" t="s">
        <v>317</v>
      </c>
    </row>
    <row r="366" spans="1:39" ht="15.75" customHeight="1" x14ac:dyDescent="0.3">
      <c r="A366" s="76" t="s">
        <v>380</v>
      </c>
      <c r="B366" s="1"/>
      <c r="C366" s="1"/>
      <c r="D366" s="1"/>
      <c r="E366" s="59">
        <f t="shared" si="74"/>
        <v>0</v>
      </c>
      <c r="F366" s="1"/>
      <c r="G366" s="1"/>
      <c r="H366" s="1">
        <v>142</v>
      </c>
      <c r="I366" s="59">
        <f t="shared" si="75"/>
        <v>142</v>
      </c>
      <c r="J366" s="1">
        <v>1872</v>
      </c>
      <c r="K366" s="1">
        <v>2328</v>
      </c>
      <c r="L366" s="1">
        <v>1752</v>
      </c>
      <c r="M366" s="59">
        <f t="shared" si="76"/>
        <v>5952</v>
      </c>
      <c r="N366" s="1">
        <v>51</v>
      </c>
      <c r="O366" s="1">
        <v>177</v>
      </c>
      <c r="P366" s="1">
        <v>713</v>
      </c>
      <c r="Q366" s="59">
        <f t="shared" si="77"/>
        <v>941</v>
      </c>
      <c r="R366" s="59">
        <f t="shared" si="73"/>
        <v>7035</v>
      </c>
    </row>
    <row r="367" spans="1:39" ht="15.75" customHeight="1" x14ac:dyDescent="0.3">
      <c r="A367" s="17" t="s">
        <v>56</v>
      </c>
      <c r="B367" s="1"/>
      <c r="C367" s="1"/>
      <c r="D367" s="1"/>
      <c r="E367" s="59" t="s">
        <v>7</v>
      </c>
      <c r="F367" s="1"/>
      <c r="G367" s="1"/>
      <c r="H367" s="1"/>
      <c r="I367" s="59" t="s">
        <v>7</v>
      </c>
      <c r="J367" s="1"/>
      <c r="K367" s="1"/>
      <c r="L367" s="1"/>
      <c r="M367" s="59" t="s">
        <v>7</v>
      </c>
      <c r="N367" s="1"/>
      <c r="O367" s="1"/>
      <c r="P367" s="1"/>
      <c r="Q367" s="59" t="s">
        <v>7</v>
      </c>
      <c r="R367" s="59" t="s">
        <v>7</v>
      </c>
    </row>
    <row r="368" spans="1:39" ht="15.75" customHeight="1" thickBot="1" x14ac:dyDescent="0.35">
      <c r="A368" s="76" t="s">
        <v>379</v>
      </c>
      <c r="B368" s="1"/>
      <c r="C368" s="1"/>
      <c r="D368" s="1"/>
      <c r="E368" s="59"/>
      <c r="F368" s="1"/>
      <c r="G368" s="1"/>
      <c r="H368" s="1"/>
      <c r="I368" s="59"/>
      <c r="J368" s="1"/>
      <c r="K368" s="1"/>
      <c r="L368" s="1"/>
      <c r="M368" s="59"/>
      <c r="N368" s="1"/>
      <c r="O368" s="1"/>
      <c r="P368" s="1">
        <v>41</v>
      </c>
      <c r="Q368" s="59">
        <f t="shared" si="77"/>
        <v>41</v>
      </c>
      <c r="R368" s="59">
        <f t="shared" si="73"/>
        <v>41</v>
      </c>
    </row>
    <row r="369" spans="1:20" ht="16.5" customHeight="1" thickBot="1" x14ac:dyDescent="0.35">
      <c r="A369" s="62" t="s">
        <v>57</v>
      </c>
      <c r="B369" s="100">
        <f>SUM(B355:B368)</f>
        <v>951</v>
      </c>
      <c r="C369" s="101">
        <f t="shared" ref="C369:D369" si="78">SUM(C355:C368)</f>
        <v>12017</v>
      </c>
      <c r="D369" s="101">
        <f t="shared" si="78"/>
        <v>16962</v>
      </c>
      <c r="E369" s="64">
        <f>SUM(B369:D369)</f>
        <v>29930</v>
      </c>
      <c r="F369" s="101">
        <f t="shared" ref="F369:H369" si="79">SUM(F355:F368)</f>
        <v>17296</v>
      </c>
      <c r="G369" s="101">
        <f t="shared" si="79"/>
        <v>28217</v>
      </c>
      <c r="H369" s="101">
        <f t="shared" si="79"/>
        <v>33027</v>
      </c>
      <c r="I369" s="64">
        <f>SUM(F369:H369)</f>
        <v>78540</v>
      </c>
      <c r="J369" s="101">
        <f t="shared" ref="J369:L369" si="80">SUM(J355:J368)</f>
        <v>14788</v>
      </c>
      <c r="K369" s="101">
        <f t="shared" si="80"/>
        <v>16093</v>
      </c>
      <c r="L369" s="101">
        <f t="shared" si="80"/>
        <v>10501</v>
      </c>
      <c r="M369" s="64">
        <f>SUM(J369:L369)</f>
        <v>41382</v>
      </c>
      <c r="N369" s="101">
        <f t="shared" ref="N369:P369" si="81">SUM(N355:N368)</f>
        <v>8094</v>
      </c>
      <c r="O369" s="101">
        <f t="shared" si="81"/>
        <v>1771</v>
      </c>
      <c r="P369" s="101">
        <f t="shared" si="81"/>
        <v>4282</v>
      </c>
      <c r="Q369" s="64">
        <f>SUM(N369:P369)</f>
        <v>14147</v>
      </c>
      <c r="R369" s="64">
        <f>+E369+I369+M369+Q369</f>
        <v>163999</v>
      </c>
    </row>
    <row r="370" spans="1:20" ht="15.75" customHeight="1" x14ac:dyDescent="0.3">
      <c r="A370" s="17" t="s">
        <v>58</v>
      </c>
      <c r="B370" s="1"/>
      <c r="C370" s="1"/>
      <c r="D370" s="1"/>
      <c r="E370" s="59" t="s">
        <v>7</v>
      </c>
      <c r="F370" s="1"/>
      <c r="G370" s="1"/>
      <c r="H370" s="1"/>
      <c r="I370" s="59" t="s">
        <v>7</v>
      </c>
      <c r="J370" s="1"/>
      <c r="K370" s="1"/>
      <c r="L370" s="1"/>
      <c r="M370" s="59" t="s">
        <v>7</v>
      </c>
      <c r="N370" s="1"/>
      <c r="O370" s="1"/>
      <c r="P370" s="1"/>
      <c r="Q370" s="59" t="s">
        <v>7</v>
      </c>
      <c r="R370" s="59" t="s">
        <v>7</v>
      </c>
    </row>
    <row r="371" spans="1:20" ht="15.75" customHeight="1" x14ac:dyDescent="0.3">
      <c r="A371" s="17" t="s">
        <v>59</v>
      </c>
      <c r="B371" s="1"/>
      <c r="C371" s="1"/>
      <c r="D371" s="1"/>
      <c r="E371" s="59" t="s">
        <v>7</v>
      </c>
      <c r="F371" s="1"/>
      <c r="G371" s="1"/>
      <c r="H371" s="1"/>
      <c r="I371" s="59" t="s">
        <v>7</v>
      </c>
      <c r="J371" s="1"/>
      <c r="K371" s="1"/>
      <c r="L371" s="1"/>
      <c r="M371" s="59" t="s">
        <v>7</v>
      </c>
      <c r="N371" s="1"/>
      <c r="O371" s="1"/>
      <c r="P371" s="1"/>
      <c r="Q371" s="59" t="s">
        <v>7</v>
      </c>
      <c r="R371" s="59" t="s">
        <v>7</v>
      </c>
    </row>
    <row r="372" spans="1:20" ht="15.75" customHeight="1" x14ac:dyDescent="0.3">
      <c r="A372" s="76" t="s">
        <v>381</v>
      </c>
      <c r="B372" s="1">
        <v>1381</v>
      </c>
      <c r="C372" s="1">
        <v>5497</v>
      </c>
      <c r="D372" s="1">
        <v>7533</v>
      </c>
      <c r="E372" s="59">
        <f>SUM(B372:D372)</f>
        <v>14411</v>
      </c>
      <c r="F372" s="1">
        <v>9399</v>
      </c>
      <c r="G372" s="1">
        <v>12770</v>
      </c>
      <c r="H372" s="1">
        <v>12598</v>
      </c>
      <c r="I372" s="59">
        <f>SUM(F372:H372)</f>
        <v>34767</v>
      </c>
      <c r="J372" s="1">
        <v>10262</v>
      </c>
      <c r="K372" s="1">
        <v>6731</v>
      </c>
      <c r="L372" s="1">
        <v>3206</v>
      </c>
      <c r="M372" s="59">
        <f>SUM(J372:L372)</f>
        <v>20199</v>
      </c>
      <c r="N372" s="1">
        <v>2522</v>
      </c>
      <c r="O372" s="1">
        <v>737</v>
      </c>
      <c r="P372" s="1">
        <v>1272</v>
      </c>
      <c r="Q372" s="59">
        <f>SUM(N372:P372)</f>
        <v>4531</v>
      </c>
      <c r="R372" s="59">
        <f>+E372+I372+M372+Q372</f>
        <v>73908</v>
      </c>
      <c r="T372" s="4" t="s">
        <v>305</v>
      </c>
    </row>
    <row r="373" spans="1:20" ht="15.75" customHeight="1" x14ac:dyDescent="0.3">
      <c r="A373" s="76" t="s">
        <v>382</v>
      </c>
      <c r="B373" s="1">
        <f>80+1932</f>
        <v>2012</v>
      </c>
      <c r="C373" s="1">
        <f>548+1477</f>
        <v>2025</v>
      </c>
      <c r="D373" s="1">
        <f>437+192</f>
        <v>629</v>
      </c>
      <c r="E373" s="59">
        <f>SUM(B373:D373)</f>
        <v>4666</v>
      </c>
      <c r="F373" s="1">
        <v>597</v>
      </c>
      <c r="G373" s="1">
        <f>603+118</f>
        <v>721</v>
      </c>
      <c r="H373" s="1">
        <f>9151</f>
        <v>9151</v>
      </c>
      <c r="I373" s="59">
        <f>SUM(F373:H373)</f>
        <v>10469</v>
      </c>
      <c r="J373" s="1">
        <v>14635</v>
      </c>
      <c r="K373" s="1">
        <v>10711</v>
      </c>
      <c r="L373" s="1">
        <v>7874</v>
      </c>
      <c r="M373" s="59">
        <f>SUM(J373:L373)</f>
        <v>33220</v>
      </c>
      <c r="N373" s="1">
        <f>630+5461</f>
        <v>6091</v>
      </c>
      <c r="O373" s="1"/>
      <c r="P373" s="1">
        <v>3647</v>
      </c>
      <c r="Q373" s="59">
        <f>SUM(N373:P373)</f>
        <v>9738</v>
      </c>
      <c r="R373" s="59">
        <f>+E373+I373+M373+Q373</f>
        <v>58093</v>
      </c>
      <c r="T373" s="4" t="s">
        <v>336</v>
      </c>
    </row>
    <row r="374" spans="1:20" ht="15.75" customHeight="1" x14ac:dyDescent="0.3">
      <c r="A374" s="17" t="s">
        <v>60</v>
      </c>
      <c r="B374" s="1"/>
      <c r="C374" s="1"/>
      <c r="D374" s="1"/>
      <c r="E374" s="59" t="s">
        <v>7</v>
      </c>
      <c r="F374" s="1"/>
      <c r="G374" s="1"/>
      <c r="H374" s="1"/>
      <c r="I374" s="59" t="s">
        <v>7</v>
      </c>
      <c r="J374" s="1"/>
      <c r="K374" s="1"/>
      <c r="L374" s="1"/>
      <c r="M374" s="59" t="s">
        <v>7</v>
      </c>
      <c r="N374" s="1"/>
      <c r="O374" s="1"/>
      <c r="P374" s="1"/>
      <c r="Q374" s="59" t="s">
        <v>7</v>
      </c>
      <c r="R374" s="59" t="s">
        <v>7</v>
      </c>
    </row>
    <row r="375" spans="1:20" ht="15.75" customHeight="1" x14ac:dyDescent="0.3">
      <c r="A375" s="76" t="s">
        <v>389</v>
      </c>
      <c r="B375" s="1">
        <v>972</v>
      </c>
      <c r="C375" s="1"/>
      <c r="D375" s="1"/>
      <c r="E375" s="59">
        <f t="shared" ref="E375:E411" si="82">SUM(B375:D375)</f>
        <v>972</v>
      </c>
      <c r="F375" s="1"/>
      <c r="G375" s="1"/>
      <c r="H375" s="1"/>
      <c r="I375" s="59">
        <f t="shared" ref="I375:I411" si="83">SUM(F375:H375)</f>
        <v>0</v>
      </c>
      <c r="J375" s="1"/>
      <c r="K375" s="1"/>
      <c r="L375" s="1"/>
      <c r="M375" s="59">
        <f t="shared" ref="M375:M411" si="84">SUM(J375:L375)</f>
        <v>0</v>
      </c>
      <c r="N375" s="1"/>
      <c r="O375" s="1"/>
      <c r="P375" s="1"/>
      <c r="Q375" s="59">
        <f t="shared" ref="Q375:Q411" si="85">SUM(N375:P375)</f>
        <v>0</v>
      </c>
      <c r="R375" s="59">
        <f>+E375+I375+M375+Q375</f>
        <v>972</v>
      </c>
      <c r="T375" s="4" t="s">
        <v>315</v>
      </c>
    </row>
    <row r="376" spans="1:20" ht="15.75" customHeight="1" x14ac:dyDescent="0.3">
      <c r="A376" s="76" t="s">
        <v>391</v>
      </c>
      <c r="B376" s="1">
        <v>466</v>
      </c>
      <c r="C376" s="1">
        <v>985</v>
      </c>
      <c r="D376" s="1">
        <v>86</v>
      </c>
      <c r="E376" s="59">
        <f t="shared" si="82"/>
        <v>1537</v>
      </c>
      <c r="F376" s="1"/>
      <c r="G376" s="1"/>
      <c r="H376" s="1"/>
      <c r="I376" s="59">
        <f t="shared" si="83"/>
        <v>0</v>
      </c>
      <c r="J376" s="1"/>
      <c r="K376" s="1"/>
      <c r="L376" s="1"/>
      <c r="M376" s="59">
        <f t="shared" si="84"/>
        <v>0</v>
      </c>
      <c r="N376" s="1"/>
      <c r="O376" s="1"/>
      <c r="P376" s="1"/>
      <c r="Q376" s="59">
        <f t="shared" si="85"/>
        <v>0</v>
      </c>
      <c r="R376" s="59">
        <f>+E376+I376+M376+Q376</f>
        <v>1537</v>
      </c>
      <c r="T376" s="4" t="s">
        <v>217</v>
      </c>
    </row>
    <row r="377" spans="1:20" ht="15.75" customHeight="1" x14ac:dyDescent="0.3">
      <c r="A377" s="76" t="s">
        <v>392</v>
      </c>
      <c r="B377" s="1"/>
      <c r="C377" s="1"/>
      <c r="D377" s="1"/>
      <c r="E377" s="59">
        <f t="shared" si="82"/>
        <v>0</v>
      </c>
      <c r="F377" s="1"/>
      <c r="G377" s="1"/>
      <c r="H377" s="1"/>
      <c r="I377" s="59">
        <f t="shared" si="83"/>
        <v>0</v>
      </c>
      <c r="J377" s="1"/>
      <c r="K377" s="1"/>
      <c r="L377" s="1"/>
      <c r="M377" s="59">
        <f t="shared" si="84"/>
        <v>0</v>
      </c>
      <c r="N377" s="1"/>
      <c r="O377" s="1"/>
      <c r="P377" s="1"/>
      <c r="Q377" s="59">
        <f t="shared" si="85"/>
        <v>0</v>
      </c>
      <c r="R377" s="59">
        <f>+E377+I377+M377+Q377</f>
        <v>0</v>
      </c>
      <c r="T377" s="4" t="s">
        <v>315</v>
      </c>
    </row>
    <row r="378" spans="1:20" ht="15.75" customHeight="1" x14ac:dyDescent="0.3">
      <c r="A378" s="76" t="s">
        <v>393</v>
      </c>
      <c r="B378" s="1"/>
      <c r="C378" s="1"/>
      <c r="D378" s="1"/>
      <c r="E378" s="59">
        <f t="shared" si="82"/>
        <v>0</v>
      </c>
      <c r="F378" s="1">
        <v>627</v>
      </c>
      <c r="G378" s="1"/>
      <c r="H378" s="1"/>
      <c r="I378" s="59">
        <f t="shared" si="83"/>
        <v>627</v>
      </c>
      <c r="J378" s="1"/>
      <c r="K378" s="1"/>
      <c r="L378" s="1"/>
      <c r="M378" s="59">
        <f t="shared" si="84"/>
        <v>0</v>
      </c>
      <c r="N378" s="1"/>
      <c r="O378" s="1"/>
      <c r="P378" s="1"/>
      <c r="Q378" s="59">
        <f t="shared" si="85"/>
        <v>0</v>
      </c>
      <c r="R378" s="59">
        <f t="shared" ref="R378:R410" si="86">+E378+I378+M378+Q378</f>
        <v>627</v>
      </c>
    </row>
    <row r="379" spans="1:20" ht="15.75" customHeight="1" x14ac:dyDescent="0.3">
      <c r="A379" s="76" t="s">
        <v>395</v>
      </c>
      <c r="B379" s="1"/>
      <c r="C379" s="1"/>
      <c r="D379" s="1">
        <v>2230</v>
      </c>
      <c r="E379" s="59">
        <f t="shared" si="82"/>
        <v>2230</v>
      </c>
      <c r="F379" s="1">
        <v>4272</v>
      </c>
      <c r="G379" s="1">
        <v>6818</v>
      </c>
      <c r="H379" s="1">
        <v>6143</v>
      </c>
      <c r="I379" s="59">
        <f t="shared" si="83"/>
        <v>17233</v>
      </c>
      <c r="J379" s="1">
        <v>2002</v>
      </c>
      <c r="K379" s="1">
        <v>2926</v>
      </c>
      <c r="L379" s="1">
        <v>4109</v>
      </c>
      <c r="M379" s="59">
        <f t="shared" si="84"/>
        <v>9037</v>
      </c>
      <c r="N379" s="1"/>
      <c r="O379" s="1">
        <v>1905</v>
      </c>
      <c r="P379" s="1">
        <v>1095</v>
      </c>
      <c r="Q379" s="59">
        <f t="shared" si="85"/>
        <v>3000</v>
      </c>
      <c r="R379" s="59">
        <f>+E379+I379+M379+Q379</f>
        <v>31500</v>
      </c>
      <c r="T379" s="4" t="s">
        <v>317</v>
      </c>
    </row>
    <row r="380" spans="1:20" ht="15.75" customHeight="1" x14ac:dyDescent="0.3">
      <c r="A380" s="76" t="s">
        <v>396</v>
      </c>
      <c r="B380" s="1"/>
      <c r="C380" s="1"/>
      <c r="D380" s="1"/>
      <c r="E380" s="59">
        <f t="shared" si="82"/>
        <v>0</v>
      </c>
      <c r="F380" s="1"/>
      <c r="G380" s="1"/>
      <c r="H380" s="1"/>
      <c r="I380" s="59">
        <f t="shared" si="83"/>
        <v>0</v>
      </c>
      <c r="J380" s="1"/>
      <c r="K380" s="1"/>
      <c r="L380" s="1"/>
      <c r="M380" s="59">
        <f t="shared" si="84"/>
        <v>0</v>
      </c>
      <c r="N380" s="1"/>
      <c r="O380" s="1">
        <v>46</v>
      </c>
      <c r="P380" s="1">
        <v>822</v>
      </c>
      <c r="Q380" s="59">
        <f t="shared" si="85"/>
        <v>868</v>
      </c>
      <c r="R380" s="59">
        <f t="shared" si="86"/>
        <v>868</v>
      </c>
      <c r="T380" s="4" t="s">
        <v>305</v>
      </c>
    </row>
    <row r="381" spans="1:20" ht="15.75" customHeight="1" x14ac:dyDescent="0.3">
      <c r="A381" s="76" t="s">
        <v>397</v>
      </c>
      <c r="B381" s="1">
        <v>473</v>
      </c>
      <c r="C381" s="1">
        <v>3000</v>
      </c>
      <c r="D381" s="1">
        <v>4500</v>
      </c>
      <c r="E381" s="59">
        <f t="shared" si="82"/>
        <v>7973</v>
      </c>
      <c r="F381" s="1">
        <v>1166</v>
      </c>
      <c r="G381" s="1">
        <v>3820</v>
      </c>
      <c r="H381" s="1">
        <v>3046</v>
      </c>
      <c r="I381" s="59">
        <f t="shared" si="83"/>
        <v>8032</v>
      </c>
      <c r="J381" s="1">
        <v>6382</v>
      </c>
      <c r="K381" s="1">
        <v>2500</v>
      </c>
      <c r="L381" s="1">
        <v>3577</v>
      </c>
      <c r="M381" s="59">
        <f t="shared" si="84"/>
        <v>12459</v>
      </c>
      <c r="N381" s="1">
        <v>4000</v>
      </c>
      <c r="O381" s="1"/>
      <c r="P381" s="1">
        <v>2406</v>
      </c>
      <c r="Q381" s="59">
        <f t="shared" si="85"/>
        <v>6406</v>
      </c>
      <c r="R381" s="59">
        <f t="shared" si="86"/>
        <v>34870</v>
      </c>
    </row>
    <row r="382" spans="1:20" ht="15.75" customHeight="1" x14ac:dyDescent="0.3">
      <c r="A382" s="76" t="s">
        <v>398</v>
      </c>
      <c r="B382" s="1">
        <v>100</v>
      </c>
      <c r="C382" s="1">
        <v>1760</v>
      </c>
      <c r="D382" s="1">
        <v>3470</v>
      </c>
      <c r="E382" s="59">
        <f t="shared" si="82"/>
        <v>5330</v>
      </c>
      <c r="F382" s="1">
        <v>4910</v>
      </c>
      <c r="G382" s="1">
        <v>6100</v>
      </c>
      <c r="H382" s="1">
        <v>7790</v>
      </c>
      <c r="I382" s="59">
        <f t="shared" si="83"/>
        <v>18800</v>
      </c>
      <c r="J382" s="1">
        <v>2650</v>
      </c>
      <c r="K382" s="1">
        <v>1220</v>
      </c>
      <c r="L382" s="1">
        <v>2500</v>
      </c>
      <c r="M382" s="59">
        <f t="shared" si="84"/>
        <v>6370</v>
      </c>
      <c r="N382" s="1">
        <v>2500</v>
      </c>
      <c r="O382" s="1">
        <v>1500</v>
      </c>
      <c r="P382" s="1">
        <v>500</v>
      </c>
      <c r="Q382" s="59">
        <f t="shared" si="85"/>
        <v>4500</v>
      </c>
      <c r="R382" s="59">
        <f t="shared" si="86"/>
        <v>35000</v>
      </c>
      <c r="T382" s="4" t="s">
        <v>305</v>
      </c>
    </row>
    <row r="383" spans="1:20" ht="15.75" customHeight="1" x14ac:dyDescent="0.3">
      <c r="A383" s="76" t="s">
        <v>399</v>
      </c>
      <c r="B383" s="1"/>
      <c r="C383" s="1"/>
      <c r="D383" s="1"/>
      <c r="E383" s="59">
        <f t="shared" si="82"/>
        <v>0</v>
      </c>
      <c r="F383" s="1"/>
      <c r="G383" s="1"/>
      <c r="H383" s="1"/>
      <c r="I383" s="59">
        <f t="shared" si="83"/>
        <v>0</v>
      </c>
      <c r="J383" s="1">
        <v>5726</v>
      </c>
      <c r="K383" s="1">
        <v>4540</v>
      </c>
      <c r="L383" s="1">
        <v>2258</v>
      </c>
      <c r="M383" s="59">
        <f t="shared" si="84"/>
        <v>12524</v>
      </c>
      <c r="N383" s="1">
        <v>2521</v>
      </c>
      <c r="O383" s="1">
        <v>146</v>
      </c>
      <c r="P383" s="1">
        <v>2760</v>
      </c>
      <c r="Q383" s="59">
        <f t="shared" si="85"/>
        <v>5427</v>
      </c>
      <c r="R383" s="59">
        <f t="shared" si="86"/>
        <v>17951</v>
      </c>
    </row>
    <row r="384" spans="1:20" ht="15.75" customHeight="1" x14ac:dyDescent="0.3">
      <c r="A384" s="76" t="s">
        <v>404</v>
      </c>
      <c r="B384" s="1">
        <v>798</v>
      </c>
      <c r="C384" s="1">
        <v>3052</v>
      </c>
      <c r="D384" s="1">
        <v>2650</v>
      </c>
      <c r="E384" s="59">
        <f t="shared" si="82"/>
        <v>6500</v>
      </c>
      <c r="F384" s="1"/>
      <c r="G384" s="1"/>
      <c r="H384" s="1"/>
      <c r="I384" s="59">
        <f t="shared" si="83"/>
        <v>0</v>
      </c>
      <c r="J384" s="1"/>
      <c r="K384" s="1"/>
      <c r="L384" s="1"/>
      <c r="M384" s="59">
        <f t="shared" si="84"/>
        <v>0</v>
      </c>
      <c r="N384" s="1"/>
      <c r="O384" s="1"/>
      <c r="P384" s="1"/>
      <c r="Q384" s="59">
        <f t="shared" si="85"/>
        <v>0</v>
      </c>
      <c r="R384" s="59">
        <f t="shared" si="86"/>
        <v>6500</v>
      </c>
    </row>
    <row r="385" spans="1:20" ht="15.75" customHeight="1" x14ac:dyDescent="0.3">
      <c r="A385" s="76" t="s">
        <v>406</v>
      </c>
      <c r="B385" s="1">
        <v>100</v>
      </c>
      <c r="C385" s="1">
        <v>102</v>
      </c>
      <c r="D385" s="1">
        <v>120</v>
      </c>
      <c r="E385" s="59">
        <f t="shared" si="82"/>
        <v>322</v>
      </c>
      <c r="F385" s="1">
        <v>103</v>
      </c>
      <c r="G385" s="1">
        <v>110</v>
      </c>
      <c r="H385" s="1">
        <v>127</v>
      </c>
      <c r="I385" s="59">
        <f t="shared" si="83"/>
        <v>340</v>
      </c>
      <c r="J385" s="1">
        <v>124</v>
      </c>
      <c r="K385" s="1">
        <v>158</v>
      </c>
      <c r="L385" s="1">
        <v>56</v>
      </c>
      <c r="M385" s="59">
        <f t="shared" si="84"/>
        <v>338</v>
      </c>
      <c r="N385" s="1"/>
      <c r="O385" s="1"/>
      <c r="P385" s="1"/>
      <c r="Q385" s="59">
        <f t="shared" si="85"/>
        <v>0</v>
      </c>
      <c r="R385" s="59">
        <f t="shared" si="86"/>
        <v>1000</v>
      </c>
    </row>
    <row r="386" spans="1:20" ht="15.75" customHeight="1" x14ac:dyDescent="0.3">
      <c r="A386" s="76" t="s">
        <v>407</v>
      </c>
      <c r="B386" s="1"/>
      <c r="C386" s="1"/>
      <c r="D386" s="1"/>
      <c r="E386" s="59">
        <f t="shared" si="82"/>
        <v>0</v>
      </c>
      <c r="F386" s="1"/>
      <c r="G386" s="1"/>
      <c r="H386" s="1"/>
      <c r="I386" s="59">
        <f t="shared" si="83"/>
        <v>0</v>
      </c>
      <c r="J386" s="1"/>
      <c r="K386" s="1"/>
      <c r="L386" s="1"/>
      <c r="M386" s="59">
        <f t="shared" si="84"/>
        <v>0</v>
      </c>
      <c r="N386" s="1"/>
      <c r="O386" s="1"/>
      <c r="P386" s="1"/>
      <c r="Q386" s="59">
        <f t="shared" si="85"/>
        <v>0</v>
      </c>
      <c r="R386" s="59">
        <f t="shared" si="86"/>
        <v>0</v>
      </c>
      <c r="T386" s="4" t="s">
        <v>315</v>
      </c>
    </row>
    <row r="387" spans="1:20" ht="15.75" customHeight="1" x14ac:dyDescent="0.3">
      <c r="A387" s="76" t="s">
        <v>408</v>
      </c>
      <c r="B387" s="1"/>
      <c r="C387" s="1">
        <v>30</v>
      </c>
      <c r="D387" s="1"/>
      <c r="E387" s="59">
        <f t="shared" si="82"/>
        <v>30</v>
      </c>
      <c r="F387" s="1">
        <v>12</v>
      </c>
      <c r="G387" s="1">
        <v>13</v>
      </c>
      <c r="H387" s="1">
        <v>12</v>
      </c>
      <c r="I387" s="59">
        <f t="shared" si="83"/>
        <v>37</v>
      </c>
      <c r="J387" s="1">
        <v>12</v>
      </c>
      <c r="K387" s="1">
        <v>24</v>
      </c>
      <c r="L387" s="1">
        <v>12</v>
      </c>
      <c r="M387" s="59">
        <f t="shared" si="84"/>
        <v>48</v>
      </c>
      <c r="N387" s="1">
        <v>12</v>
      </c>
      <c r="O387" s="1">
        <v>24</v>
      </c>
      <c r="P387" s="1">
        <v>8</v>
      </c>
      <c r="Q387" s="59">
        <f t="shared" si="85"/>
        <v>44</v>
      </c>
      <c r="R387" s="59">
        <f t="shared" si="86"/>
        <v>159</v>
      </c>
      <c r="T387" s="4" t="s">
        <v>348</v>
      </c>
    </row>
    <row r="388" spans="1:20" ht="15.75" customHeight="1" x14ac:dyDescent="0.3">
      <c r="A388" s="76" t="s">
        <v>409</v>
      </c>
      <c r="B388" s="1">
        <v>519</v>
      </c>
      <c r="C388" s="1">
        <v>947</v>
      </c>
      <c r="D388" s="1">
        <v>1113</v>
      </c>
      <c r="E388" s="59">
        <f t="shared" si="82"/>
        <v>2579</v>
      </c>
      <c r="F388" s="1">
        <v>1117</v>
      </c>
      <c r="G388" s="1">
        <v>1156</v>
      </c>
      <c r="H388" s="1">
        <v>230</v>
      </c>
      <c r="I388" s="59">
        <f t="shared" si="83"/>
        <v>2503</v>
      </c>
      <c r="J388" s="1"/>
      <c r="K388" s="1"/>
      <c r="L388" s="1"/>
      <c r="M388" s="59">
        <f t="shared" si="84"/>
        <v>0</v>
      </c>
      <c r="N388" s="1"/>
      <c r="O388" s="1"/>
      <c r="P388" s="1"/>
      <c r="Q388" s="59">
        <f t="shared" si="85"/>
        <v>0</v>
      </c>
      <c r="R388" s="59">
        <f t="shared" si="86"/>
        <v>5082</v>
      </c>
      <c r="T388" s="4" t="s">
        <v>217</v>
      </c>
    </row>
    <row r="389" spans="1:20" ht="15.75" customHeight="1" x14ac:dyDescent="0.3">
      <c r="A389" s="76" t="s">
        <v>410</v>
      </c>
      <c r="B389" s="1">
        <v>2553</v>
      </c>
      <c r="C389" s="1">
        <v>2600</v>
      </c>
      <c r="D389" s="1">
        <v>2030</v>
      </c>
      <c r="E389" s="59">
        <f t="shared" si="82"/>
        <v>7183</v>
      </c>
      <c r="F389" s="1">
        <v>939</v>
      </c>
      <c r="G389" s="1"/>
      <c r="H389" s="1"/>
      <c r="I389" s="59">
        <f t="shared" si="83"/>
        <v>939</v>
      </c>
      <c r="J389" s="1"/>
      <c r="K389" s="1"/>
      <c r="L389" s="1"/>
      <c r="M389" s="59">
        <f t="shared" si="84"/>
        <v>0</v>
      </c>
      <c r="N389" s="1"/>
      <c r="O389" s="1"/>
      <c r="P389" s="1"/>
      <c r="Q389" s="59">
        <f t="shared" si="85"/>
        <v>0</v>
      </c>
      <c r="R389" s="59">
        <f>+E389+I389+M389+Q389</f>
        <v>8122</v>
      </c>
    </row>
    <row r="390" spans="1:20" ht="15.75" customHeight="1" x14ac:dyDescent="0.3">
      <c r="A390" s="76" t="s">
        <v>411</v>
      </c>
      <c r="B390" s="1"/>
      <c r="C390" s="1"/>
      <c r="D390" s="1"/>
      <c r="E390" s="59">
        <f t="shared" si="82"/>
        <v>0</v>
      </c>
      <c r="F390" s="1"/>
      <c r="G390" s="1"/>
      <c r="H390" s="1"/>
      <c r="I390" s="59">
        <f t="shared" si="83"/>
        <v>0</v>
      </c>
      <c r="J390" s="1"/>
      <c r="K390" s="1"/>
      <c r="L390" s="1"/>
      <c r="M390" s="59">
        <f t="shared" si="84"/>
        <v>0</v>
      </c>
      <c r="N390" s="1"/>
      <c r="O390" s="1"/>
      <c r="P390" s="1"/>
      <c r="Q390" s="59">
        <f t="shared" si="85"/>
        <v>0</v>
      </c>
      <c r="R390" s="59">
        <f>+E390+I390+M390+Q390</f>
        <v>0</v>
      </c>
    </row>
    <row r="391" spans="1:20" ht="15.75" customHeight="1" x14ac:dyDescent="0.3">
      <c r="A391" s="76" t="s">
        <v>945</v>
      </c>
      <c r="B391" s="1"/>
      <c r="C391" s="1"/>
      <c r="D391" s="1"/>
      <c r="E391" s="59">
        <f t="shared" si="82"/>
        <v>0</v>
      </c>
      <c r="F391" s="1"/>
      <c r="G391" s="1"/>
      <c r="H391" s="1"/>
      <c r="I391" s="59">
        <f t="shared" si="83"/>
        <v>0</v>
      </c>
      <c r="J391" s="1"/>
      <c r="K391" s="1"/>
      <c r="L391" s="1"/>
      <c r="M391" s="59">
        <f t="shared" si="84"/>
        <v>0</v>
      </c>
      <c r="N391" s="1"/>
      <c r="O391" s="1"/>
      <c r="P391" s="1"/>
      <c r="Q391" s="59">
        <f t="shared" si="85"/>
        <v>0</v>
      </c>
      <c r="R391" s="59">
        <f>+E391+I391+M391+Q391</f>
        <v>0</v>
      </c>
    </row>
    <row r="392" spans="1:20" ht="15.75" customHeight="1" x14ac:dyDescent="0.3">
      <c r="A392" s="76" t="s">
        <v>946</v>
      </c>
      <c r="B392" s="1"/>
      <c r="C392" s="1"/>
      <c r="D392" s="1"/>
      <c r="E392" s="59">
        <f t="shared" si="82"/>
        <v>0</v>
      </c>
      <c r="F392" s="1"/>
      <c r="G392" s="1"/>
      <c r="H392" s="1"/>
      <c r="I392" s="59">
        <f t="shared" si="83"/>
        <v>0</v>
      </c>
      <c r="J392" s="1"/>
      <c r="K392" s="1"/>
      <c r="L392" s="1"/>
      <c r="M392" s="59">
        <f t="shared" si="84"/>
        <v>0</v>
      </c>
      <c r="N392" s="1"/>
      <c r="O392" s="1"/>
      <c r="P392" s="1"/>
      <c r="Q392" s="59">
        <f t="shared" si="85"/>
        <v>0</v>
      </c>
      <c r="R392" s="59">
        <f>+E392+I392+M392+Q392</f>
        <v>0</v>
      </c>
      <c r="T392" s="4" t="s">
        <v>315</v>
      </c>
    </row>
    <row r="393" spans="1:20" ht="15.75" customHeight="1" x14ac:dyDescent="0.3">
      <c r="A393" s="76" t="s">
        <v>861</v>
      </c>
      <c r="B393" s="1"/>
      <c r="C393" s="1"/>
      <c r="D393" s="1"/>
      <c r="E393" s="59">
        <f t="shared" si="82"/>
        <v>0</v>
      </c>
      <c r="F393" s="1">
        <v>2144</v>
      </c>
      <c r="G393" s="1">
        <v>2385</v>
      </c>
      <c r="H393" s="1">
        <v>1471</v>
      </c>
      <c r="I393" s="59">
        <f t="shared" si="83"/>
        <v>6000</v>
      </c>
      <c r="J393" s="1"/>
      <c r="K393" s="1"/>
      <c r="L393" s="1"/>
      <c r="M393" s="59">
        <f t="shared" si="84"/>
        <v>0</v>
      </c>
      <c r="N393" s="1"/>
      <c r="O393" s="1"/>
      <c r="P393" s="1"/>
      <c r="Q393" s="59">
        <f t="shared" si="85"/>
        <v>0</v>
      </c>
      <c r="R393" s="59">
        <f t="shared" si="86"/>
        <v>6000</v>
      </c>
      <c r="T393" s="4" t="s">
        <v>376</v>
      </c>
    </row>
    <row r="394" spans="1:20" ht="15.75" customHeight="1" x14ac:dyDescent="0.3">
      <c r="A394" s="76" t="s">
        <v>862</v>
      </c>
      <c r="B394" s="1"/>
      <c r="C394" s="1"/>
      <c r="D394" s="1">
        <v>1275</v>
      </c>
      <c r="E394" s="59">
        <f t="shared" si="82"/>
        <v>1275</v>
      </c>
      <c r="F394" s="1">
        <f>1790+96</f>
        <v>1886</v>
      </c>
      <c r="G394" s="1">
        <f>68+121</f>
        <v>189</v>
      </c>
      <c r="H394" s="1">
        <f>3137+114</f>
        <v>3251</v>
      </c>
      <c r="I394" s="59">
        <f t="shared" si="83"/>
        <v>5326</v>
      </c>
      <c r="J394" s="1">
        <f>3154+13</f>
        <v>3167</v>
      </c>
      <c r="K394" s="1">
        <v>1232</v>
      </c>
      <c r="L394" s="1"/>
      <c r="M394" s="59">
        <f t="shared" si="84"/>
        <v>4399</v>
      </c>
      <c r="N394" s="1"/>
      <c r="O394" s="1"/>
      <c r="P394" s="1"/>
      <c r="Q394" s="59">
        <f t="shared" si="85"/>
        <v>0</v>
      </c>
      <c r="R394" s="59">
        <f t="shared" si="86"/>
        <v>11000</v>
      </c>
      <c r="T394" s="4" t="s">
        <v>331</v>
      </c>
    </row>
    <row r="395" spans="1:20" ht="15.75" customHeight="1" x14ac:dyDescent="0.3">
      <c r="A395" s="76" t="s">
        <v>863</v>
      </c>
      <c r="B395" s="1"/>
      <c r="C395" s="1"/>
      <c r="D395" s="1"/>
      <c r="E395" s="59">
        <f t="shared" si="82"/>
        <v>0</v>
      </c>
      <c r="F395" s="1"/>
      <c r="G395" s="1"/>
      <c r="H395" s="1"/>
      <c r="I395" s="59">
        <f t="shared" si="83"/>
        <v>0</v>
      </c>
      <c r="J395" s="1"/>
      <c r="K395" s="1"/>
      <c r="L395" s="1"/>
      <c r="M395" s="59">
        <f t="shared" si="84"/>
        <v>0</v>
      </c>
      <c r="N395" s="1"/>
      <c r="O395" s="1"/>
      <c r="P395" s="1"/>
      <c r="Q395" s="59">
        <f t="shared" si="85"/>
        <v>0</v>
      </c>
      <c r="R395" s="59">
        <f>+E395+I395+M395+Q395</f>
        <v>0</v>
      </c>
      <c r="T395" s="4" t="s">
        <v>217</v>
      </c>
    </row>
    <row r="396" spans="1:20" ht="15.75" customHeight="1" x14ac:dyDescent="0.3">
      <c r="A396" s="76" t="s">
        <v>865</v>
      </c>
      <c r="B396" s="1"/>
      <c r="C396" s="1"/>
      <c r="D396" s="1"/>
      <c r="E396" s="59">
        <f t="shared" si="82"/>
        <v>0</v>
      </c>
      <c r="F396" s="1"/>
      <c r="G396" s="1"/>
      <c r="H396" s="1"/>
      <c r="I396" s="59">
        <f t="shared" si="83"/>
        <v>0</v>
      </c>
      <c r="J396" s="1"/>
      <c r="K396" s="1"/>
      <c r="L396" s="1"/>
      <c r="M396" s="59">
        <f t="shared" si="84"/>
        <v>0</v>
      </c>
      <c r="N396" s="1"/>
      <c r="O396" s="1"/>
      <c r="P396" s="1"/>
      <c r="Q396" s="59">
        <f t="shared" si="85"/>
        <v>0</v>
      </c>
      <c r="R396" s="59">
        <f>+E396+I396+M396+Q396</f>
        <v>0</v>
      </c>
      <c r="T396" s="4" t="s">
        <v>315</v>
      </c>
    </row>
    <row r="397" spans="1:20" ht="15.75" customHeight="1" x14ac:dyDescent="0.3">
      <c r="A397" s="76" t="s">
        <v>428</v>
      </c>
      <c r="B397" s="1"/>
      <c r="C397" s="1"/>
      <c r="D397" s="1"/>
      <c r="E397" s="59">
        <f t="shared" si="82"/>
        <v>0</v>
      </c>
      <c r="F397" s="1"/>
      <c r="G397" s="1"/>
      <c r="H397" s="1"/>
      <c r="I397" s="59">
        <f t="shared" si="83"/>
        <v>0</v>
      </c>
      <c r="J397" s="1"/>
      <c r="K397" s="1"/>
      <c r="L397" s="1"/>
      <c r="M397" s="59">
        <f t="shared" si="84"/>
        <v>0</v>
      </c>
      <c r="N397" s="1"/>
      <c r="O397" s="1"/>
      <c r="P397" s="1"/>
      <c r="Q397" s="59">
        <f>SUM(N397:P397)</f>
        <v>0</v>
      </c>
      <c r="R397" s="59">
        <f>+E397+I397+M397+Q397</f>
        <v>0</v>
      </c>
    </row>
    <row r="398" spans="1:20" ht="15.75" customHeight="1" x14ac:dyDescent="0.3">
      <c r="A398" s="76" t="s">
        <v>429</v>
      </c>
      <c r="B398" s="1"/>
      <c r="C398" s="1"/>
      <c r="D398" s="1"/>
      <c r="E398" s="59">
        <f t="shared" si="82"/>
        <v>0</v>
      </c>
      <c r="F398" s="1"/>
      <c r="G398" s="1"/>
      <c r="H398" s="1"/>
      <c r="I398" s="59">
        <f t="shared" si="83"/>
        <v>0</v>
      </c>
      <c r="J398" s="1"/>
      <c r="K398" s="1"/>
      <c r="L398" s="1"/>
      <c r="M398" s="59">
        <f t="shared" si="84"/>
        <v>0</v>
      </c>
      <c r="N398" s="1"/>
      <c r="O398" s="1"/>
      <c r="P398" s="1"/>
      <c r="Q398" s="59">
        <f t="shared" si="85"/>
        <v>0</v>
      </c>
      <c r="R398" s="59">
        <f>+E398+I398+M398+Q398</f>
        <v>0</v>
      </c>
    </row>
    <row r="399" spans="1:20" ht="15.75" customHeight="1" x14ac:dyDescent="0.3">
      <c r="A399" s="76" t="s">
        <v>433</v>
      </c>
      <c r="B399" s="1"/>
      <c r="C399" s="1"/>
      <c r="D399" s="1"/>
      <c r="E399" s="59">
        <f t="shared" si="82"/>
        <v>0</v>
      </c>
      <c r="F399" s="1"/>
      <c r="G399" s="1"/>
      <c r="H399" s="1"/>
      <c r="I399" s="59">
        <f t="shared" si="83"/>
        <v>0</v>
      </c>
      <c r="J399" s="1"/>
      <c r="K399" s="1"/>
      <c r="L399" s="1"/>
      <c r="M399" s="59">
        <f t="shared" si="84"/>
        <v>0</v>
      </c>
      <c r="N399" s="1">
        <v>400</v>
      </c>
      <c r="O399" s="1"/>
      <c r="P399" s="1"/>
      <c r="Q399" s="59">
        <f t="shared" si="85"/>
        <v>400</v>
      </c>
      <c r="R399" s="59">
        <f>+E399+I399+M399+Q399</f>
        <v>400</v>
      </c>
      <c r="T399" s="4" t="s">
        <v>217</v>
      </c>
    </row>
    <row r="400" spans="1:20" ht="15.75" customHeight="1" x14ac:dyDescent="0.3">
      <c r="A400" s="76" t="s">
        <v>434</v>
      </c>
      <c r="B400" s="1"/>
      <c r="C400" s="1"/>
      <c r="D400" s="1"/>
      <c r="E400" s="59">
        <f t="shared" si="82"/>
        <v>0</v>
      </c>
      <c r="F400" s="1"/>
      <c r="G400" s="1"/>
      <c r="H400" s="1"/>
      <c r="I400" s="59">
        <f t="shared" si="83"/>
        <v>0</v>
      </c>
      <c r="J400" s="1"/>
      <c r="K400" s="1"/>
      <c r="L400" s="1">
        <v>1064</v>
      </c>
      <c r="M400" s="59">
        <f t="shared" si="84"/>
        <v>1064</v>
      </c>
      <c r="N400" s="1">
        <v>561</v>
      </c>
      <c r="O400" s="1">
        <v>834</v>
      </c>
      <c r="P400" s="1">
        <v>6</v>
      </c>
      <c r="Q400" s="59">
        <f t="shared" si="85"/>
        <v>1401</v>
      </c>
      <c r="R400" s="59">
        <f t="shared" si="86"/>
        <v>2465</v>
      </c>
      <c r="T400" s="4" t="s">
        <v>217</v>
      </c>
    </row>
    <row r="401" spans="1:21" ht="15.75" customHeight="1" x14ac:dyDescent="0.3">
      <c r="A401" s="76" t="s">
        <v>435</v>
      </c>
      <c r="B401" s="1"/>
      <c r="C401" s="1"/>
      <c r="D401" s="1"/>
      <c r="E401" s="59">
        <f t="shared" si="82"/>
        <v>0</v>
      </c>
      <c r="F401" s="1"/>
      <c r="G401" s="1"/>
      <c r="H401" s="1"/>
      <c r="I401" s="59">
        <f t="shared" si="83"/>
        <v>0</v>
      </c>
      <c r="J401" s="1"/>
      <c r="K401" s="1"/>
      <c r="L401" s="1"/>
      <c r="M401" s="59">
        <f t="shared" si="84"/>
        <v>0</v>
      </c>
      <c r="N401" s="1"/>
      <c r="O401" s="1"/>
      <c r="P401" s="1"/>
      <c r="Q401" s="59">
        <f t="shared" si="85"/>
        <v>0</v>
      </c>
      <c r="R401" s="59">
        <f t="shared" si="86"/>
        <v>0</v>
      </c>
      <c r="T401" s="4" t="s">
        <v>315</v>
      </c>
    </row>
    <row r="402" spans="1:21" ht="15.75" customHeight="1" x14ac:dyDescent="0.3">
      <c r="A402" s="76" t="s">
        <v>436</v>
      </c>
      <c r="B402" s="1"/>
      <c r="C402" s="1"/>
      <c r="D402" s="1"/>
      <c r="E402" s="59">
        <f t="shared" si="82"/>
        <v>0</v>
      </c>
      <c r="F402" s="4">
        <v>1669</v>
      </c>
      <c r="G402" s="1"/>
      <c r="H402" s="1"/>
      <c r="I402" s="59">
        <f t="shared" si="83"/>
        <v>1669</v>
      </c>
      <c r="J402" s="1"/>
      <c r="K402" s="1"/>
      <c r="L402" s="1"/>
      <c r="M402" s="59">
        <f t="shared" si="84"/>
        <v>0</v>
      </c>
      <c r="N402" s="1"/>
      <c r="O402" s="1"/>
      <c r="P402" s="1"/>
      <c r="Q402" s="59">
        <f t="shared" si="85"/>
        <v>0</v>
      </c>
      <c r="R402" s="59">
        <f t="shared" si="86"/>
        <v>1669</v>
      </c>
    </row>
    <row r="403" spans="1:21" ht="15.75" customHeight="1" x14ac:dyDescent="0.3">
      <c r="A403" s="76" t="s">
        <v>867</v>
      </c>
      <c r="B403" s="1"/>
      <c r="C403" s="1"/>
      <c r="D403" s="1"/>
      <c r="E403" s="59">
        <f t="shared" si="82"/>
        <v>0</v>
      </c>
      <c r="F403" s="1"/>
      <c r="G403" s="1"/>
      <c r="H403" s="1"/>
      <c r="I403" s="59">
        <f t="shared" si="83"/>
        <v>0</v>
      </c>
      <c r="J403" s="1"/>
      <c r="K403" s="1"/>
      <c r="L403" s="1"/>
      <c r="M403" s="59">
        <f t="shared" si="84"/>
        <v>0</v>
      </c>
      <c r="N403" s="1"/>
      <c r="O403" s="1"/>
      <c r="P403" s="1"/>
      <c r="Q403" s="59">
        <f t="shared" si="85"/>
        <v>0</v>
      </c>
      <c r="R403" s="59">
        <f t="shared" si="86"/>
        <v>0</v>
      </c>
      <c r="T403" s="4" t="s">
        <v>315</v>
      </c>
    </row>
    <row r="404" spans="1:21" ht="15.75" customHeight="1" x14ac:dyDescent="0.3">
      <c r="A404" s="76" t="s">
        <v>888</v>
      </c>
      <c r="B404" s="1"/>
      <c r="C404" s="1"/>
      <c r="D404" s="1"/>
      <c r="E404" s="59">
        <f t="shared" si="82"/>
        <v>0</v>
      </c>
      <c r="F404" s="1"/>
      <c r="G404" s="1"/>
      <c r="H404" s="1"/>
      <c r="I404" s="59">
        <f t="shared" si="83"/>
        <v>0</v>
      </c>
      <c r="J404" s="1"/>
      <c r="K404" s="1"/>
      <c r="L404" s="1"/>
      <c r="M404" s="59">
        <f t="shared" si="84"/>
        <v>0</v>
      </c>
      <c r="N404" s="1">
        <v>274</v>
      </c>
      <c r="O404" s="1"/>
      <c r="P404" s="1"/>
      <c r="Q404" s="59">
        <f t="shared" si="85"/>
        <v>274</v>
      </c>
      <c r="R404" s="59">
        <f t="shared" si="86"/>
        <v>274</v>
      </c>
      <c r="T404" s="4" t="s">
        <v>217</v>
      </c>
    </row>
    <row r="405" spans="1:21" ht="15.75" customHeight="1" x14ac:dyDescent="0.3">
      <c r="A405" s="76" t="s">
        <v>890</v>
      </c>
      <c r="B405" s="1"/>
      <c r="C405" s="1"/>
      <c r="D405" s="1"/>
      <c r="E405" s="59">
        <f t="shared" si="82"/>
        <v>0</v>
      </c>
      <c r="F405" s="1"/>
      <c r="G405" s="1"/>
      <c r="H405" s="1"/>
      <c r="I405" s="59">
        <f t="shared" si="83"/>
        <v>0</v>
      </c>
      <c r="J405" s="1"/>
      <c r="K405" s="1"/>
      <c r="L405" s="1"/>
      <c r="M405" s="59">
        <f t="shared" si="84"/>
        <v>0</v>
      </c>
      <c r="N405" s="1"/>
      <c r="O405" s="1"/>
      <c r="P405" s="1"/>
      <c r="Q405" s="59">
        <f t="shared" si="85"/>
        <v>0</v>
      </c>
      <c r="R405" s="59">
        <f>+E405+I405+M405+Q405</f>
        <v>0</v>
      </c>
      <c r="T405" s="4" t="s">
        <v>315</v>
      </c>
    </row>
    <row r="406" spans="1:21" ht="15.75" customHeight="1" x14ac:dyDescent="0.3">
      <c r="A406" s="76" t="s">
        <v>1017</v>
      </c>
      <c r="B406" s="1"/>
      <c r="C406" s="1"/>
      <c r="D406" s="1"/>
      <c r="E406" s="59">
        <f t="shared" si="82"/>
        <v>0</v>
      </c>
      <c r="F406" s="1"/>
      <c r="G406" s="1"/>
      <c r="H406" s="1"/>
      <c r="I406" s="59">
        <f t="shared" si="83"/>
        <v>0</v>
      </c>
      <c r="J406" s="1"/>
      <c r="K406" s="1"/>
      <c r="L406" s="1"/>
      <c r="M406" s="59">
        <f t="shared" si="84"/>
        <v>0</v>
      </c>
      <c r="N406" s="1"/>
      <c r="O406" s="1"/>
      <c r="P406" s="1"/>
      <c r="Q406" s="59">
        <f t="shared" ref="Q406" si="87">SUM(N406:P406)</f>
        <v>0</v>
      </c>
      <c r="R406" s="59">
        <f>+E406+I406+M406+Q406</f>
        <v>0</v>
      </c>
    </row>
    <row r="407" spans="1:21" ht="15.75" customHeight="1" x14ac:dyDescent="0.3">
      <c r="A407" s="76" t="s">
        <v>891</v>
      </c>
      <c r="B407" s="1"/>
      <c r="C407" s="1"/>
      <c r="D407" s="1">
        <v>1050</v>
      </c>
      <c r="E407" s="59">
        <f t="shared" si="82"/>
        <v>1050</v>
      </c>
      <c r="F407" s="1">
        <v>1098</v>
      </c>
      <c r="G407" s="1">
        <v>1135</v>
      </c>
      <c r="H407" s="1">
        <v>867</v>
      </c>
      <c r="I407" s="59">
        <f t="shared" si="83"/>
        <v>3100</v>
      </c>
      <c r="J407" s="1">
        <v>1129</v>
      </c>
      <c r="K407" s="1">
        <v>1125</v>
      </c>
      <c r="L407" s="1">
        <v>20</v>
      </c>
      <c r="M407" s="59">
        <f t="shared" si="84"/>
        <v>2274</v>
      </c>
      <c r="N407" s="1"/>
      <c r="O407" s="1"/>
      <c r="P407" s="1"/>
      <c r="Q407" s="59">
        <f t="shared" si="85"/>
        <v>0</v>
      </c>
      <c r="R407" s="59">
        <f t="shared" si="86"/>
        <v>6424</v>
      </c>
      <c r="T407" s="4" t="s">
        <v>217</v>
      </c>
    </row>
    <row r="408" spans="1:21" ht="15.75" customHeight="1" x14ac:dyDescent="0.3">
      <c r="A408" s="76" t="s">
        <v>892</v>
      </c>
      <c r="B408" s="1"/>
      <c r="C408" s="1"/>
      <c r="D408" s="1"/>
      <c r="E408" s="59">
        <f t="shared" si="82"/>
        <v>0</v>
      </c>
      <c r="F408" s="1"/>
      <c r="G408" s="1"/>
      <c r="H408" s="1"/>
      <c r="I408" s="59">
        <f t="shared" si="83"/>
        <v>0</v>
      </c>
      <c r="J408" s="1"/>
      <c r="K408" s="1"/>
      <c r="L408" s="1"/>
      <c r="M408" s="59">
        <f t="shared" si="84"/>
        <v>0</v>
      </c>
      <c r="N408" s="1"/>
      <c r="O408" s="1"/>
      <c r="P408" s="1"/>
      <c r="Q408" s="59">
        <f t="shared" si="85"/>
        <v>0</v>
      </c>
      <c r="R408" s="59">
        <f t="shared" si="86"/>
        <v>0</v>
      </c>
      <c r="T408" s="4" t="s">
        <v>315</v>
      </c>
    </row>
    <row r="409" spans="1:21" ht="15.75" customHeight="1" x14ac:dyDescent="0.3">
      <c r="A409" s="76" t="s">
        <v>883</v>
      </c>
      <c r="B409" s="1"/>
      <c r="C409" s="1"/>
      <c r="D409" s="1"/>
      <c r="E409" s="59">
        <f t="shared" si="82"/>
        <v>0</v>
      </c>
      <c r="F409" s="1">
        <v>15</v>
      </c>
      <c r="G409" s="1">
        <v>2607</v>
      </c>
      <c r="H409" s="1"/>
      <c r="I409" s="59">
        <f t="shared" si="83"/>
        <v>2622</v>
      </c>
      <c r="J409" s="1"/>
      <c r="K409" s="1"/>
      <c r="L409" s="1"/>
      <c r="M409" s="59">
        <f t="shared" si="84"/>
        <v>0</v>
      </c>
      <c r="N409" s="1"/>
      <c r="O409" s="1"/>
      <c r="P409" s="1"/>
      <c r="Q409" s="59">
        <f t="shared" si="85"/>
        <v>0</v>
      </c>
      <c r="R409" s="59">
        <f t="shared" si="86"/>
        <v>2622</v>
      </c>
    </row>
    <row r="410" spans="1:21" ht="15.75" customHeight="1" thickBot="1" x14ac:dyDescent="0.35">
      <c r="A410" s="76" t="s">
        <v>450</v>
      </c>
      <c r="B410" s="1"/>
      <c r="C410" s="1">
        <v>1129</v>
      </c>
      <c r="D410" s="1">
        <v>4138</v>
      </c>
      <c r="E410" s="59">
        <f t="shared" si="82"/>
        <v>5267</v>
      </c>
      <c r="F410" s="1">
        <v>4256</v>
      </c>
      <c r="G410" s="1">
        <v>1767</v>
      </c>
      <c r="H410" s="1">
        <v>3297</v>
      </c>
      <c r="I410" s="59">
        <f t="shared" si="83"/>
        <v>9320</v>
      </c>
      <c r="J410" s="1">
        <v>3054</v>
      </c>
      <c r="K410" s="1">
        <v>2045</v>
      </c>
      <c r="L410" s="1">
        <v>1921</v>
      </c>
      <c r="M410" s="59">
        <f t="shared" si="84"/>
        <v>7020</v>
      </c>
      <c r="N410" s="1">
        <v>1492</v>
      </c>
      <c r="O410" s="1"/>
      <c r="P410" s="1">
        <v>1901</v>
      </c>
      <c r="Q410" s="59">
        <f t="shared" si="85"/>
        <v>3393</v>
      </c>
      <c r="R410" s="59">
        <f t="shared" si="86"/>
        <v>25000</v>
      </c>
    </row>
    <row r="411" spans="1:21" ht="16.5" customHeight="1" thickBot="1" x14ac:dyDescent="0.35">
      <c r="A411" s="137" t="s">
        <v>61</v>
      </c>
      <c r="B411" s="107">
        <f>SUM(B370:B410)</f>
        <v>9374</v>
      </c>
      <c r="C411" s="63">
        <f>SUM(C370:C410)</f>
        <v>21127</v>
      </c>
      <c r="D411" s="63">
        <f>SUM(D370:D410)</f>
        <v>30824</v>
      </c>
      <c r="E411" s="64">
        <f t="shared" si="82"/>
        <v>61325</v>
      </c>
      <c r="F411" s="63">
        <f>SUM(F370:F410)</f>
        <v>34210</v>
      </c>
      <c r="G411" s="63">
        <f>SUM(G370:G410)</f>
        <v>39591</v>
      </c>
      <c r="H411" s="63">
        <f>SUM(H370:H410)</f>
        <v>47983</v>
      </c>
      <c r="I411" s="64">
        <f t="shared" si="83"/>
        <v>121784</v>
      </c>
      <c r="J411" s="63">
        <f>SUM(J370:J410)</f>
        <v>49143</v>
      </c>
      <c r="K411" s="63">
        <f>SUM(K370:K410)</f>
        <v>33212</v>
      </c>
      <c r="L411" s="63">
        <f>SUM(L370:L410)</f>
        <v>26597</v>
      </c>
      <c r="M411" s="64">
        <f t="shared" si="84"/>
        <v>108952</v>
      </c>
      <c r="N411" s="63">
        <f>SUM(N370:N410)</f>
        <v>20373</v>
      </c>
      <c r="O411" s="63">
        <f>SUM(O370:O410)</f>
        <v>5192</v>
      </c>
      <c r="P411" s="63">
        <f>SUM(P370:P410)</f>
        <v>14417</v>
      </c>
      <c r="Q411" s="64">
        <f t="shared" si="85"/>
        <v>39982</v>
      </c>
      <c r="R411" s="64">
        <f>+E411+I411+M411+Q411</f>
        <v>332043</v>
      </c>
      <c r="T411" s="106"/>
    </row>
    <row r="412" spans="1:21" ht="15.75" customHeight="1" x14ac:dyDescent="0.3">
      <c r="A412" s="17" t="s">
        <v>62</v>
      </c>
      <c r="B412" s="1"/>
      <c r="C412" s="1"/>
      <c r="D412" s="1"/>
      <c r="E412" s="59" t="s">
        <v>7</v>
      </c>
      <c r="F412" s="1"/>
      <c r="G412" s="1"/>
      <c r="H412" s="1"/>
      <c r="I412" s="59" t="s">
        <v>7</v>
      </c>
      <c r="J412" s="1"/>
      <c r="K412" s="1"/>
      <c r="L412" s="1"/>
      <c r="M412" s="59" t="s">
        <v>7</v>
      </c>
      <c r="N412" s="1"/>
      <c r="O412" s="1"/>
      <c r="P412" s="1"/>
      <c r="Q412" s="59" t="s">
        <v>7</v>
      </c>
      <c r="R412" s="59" t="s">
        <v>7</v>
      </c>
    </row>
    <row r="413" spans="1:21" ht="15.75" customHeight="1" x14ac:dyDescent="0.3">
      <c r="A413" s="17" t="s">
        <v>63</v>
      </c>
      <c r="B413" s="1"/>
      <c r="C413" s="1"/>
      <c r="D413" s="1"/>
      <c r="E413" s="59" t="s">
        <v>7</v>
      </c>
      <c r="F413" s="1"/>
      <c r="G413" s="1"/>
      <c r="H413" s="1"/>
      <c r="I413" s="59" t="s">
        <v>7</v>
      </c>
      <c r="J413" s="1"/>
      <c r="K413" s="1"/>
      <c r="L413" s="1"/>
      <c r="M413" s="59" t="s">
        <v>7</v>
      </c>
      <c r="N413" s="1"/>
      <c r="O413" s="1"/>
      <c r="P413" s="1"/>
      <c r="Q413" s="59" t="s">
        <v>7</v>
      </c>
      <c r="R413" s="59" t="s">
        <v>7</v>
      </c>
    </row>
    <row r="414" spans="1:21" ht="15.75" customHeight="1" x14ac:dyDescent="0.3">
      <c r="A414" s="76" t="s">
        <v>919</v>
      </c>
      <c r="B414" s="1"/>
      <c r="C414" s="1"/>
      <c r="D414" s="1"/>
      <c r="E414" s="59">
        <f>SUM(B414:D414)</f>
        <v>0</v>
      </c>
      <c r="F414" s="1"/>
      <c r="G414" s="1"/>
      <c r="H414" s="1"/>
      <c r="I414" s="59">
        <f>SUM(F414:H414)</f>
        <v>0</v>
      </c>
      <c r="J414" s="1"/>
      <c r="K414" s="1"/>
      <c r="L414" s="1"/>
      <c r="M414" s="59">
        <f>SUM(J414:L414)</f>
        <v>0</v>
      </c>
      <c r="N414" s="1"/>
      <c r="O414" s="1"/>
      <c r="P414" s="1"/>
      <c r="Q414" s="59">
        <f>SUM(N414:P414)</f>
        <v>0</v>
      </c>
      <c r="R414" s="59">
        <f>+E414+I414+M414+Q414</f>
        <v>0</v>
      </c>
      <c r="U414" s="20"/>
    </row>
    <row r="415" spans="1:21" ht="15.75" customHeight="1" x14ac:dyDescent="0.3">
      <c r="A415" s="17" t="s">
        <v>64</v>
      </c>
      <c r="B415" s="1"/>
      <c r="C415" s="1"/>
      <c r="D415" s="1"/>
      <c r="E415" s="59" t="s">
        <v>7</v>
      </c>
      <c r="F415" s="1"/>
      <c r="G415" s="1"/>
      <c r="H415" s="1"/>
      <c r="I415" s="59" t="s">
        <v>7</v>
      </c>
      <c r="J415" s="1"/>
      <c r="K415" s="1"/>
      <c r="L415" s="1"/>
      <c r="M415" s="59" t="s">
        <v>7</v>
      </c>
      <c r="N415" s="1"/>
      <c r="O415" s="1"/>
      <c r="P415" s="1"/>
      <c r="Q415" s="59" t="s">
        <v>7</v>
      </c>
      <c r="R415" s="59" t="s">
        <v>7</v>
      </c>
    </row>
    <row r="416" spans="1:21" ht="15.75" customHeight="1" x14ac:dyDescent="0.3">
      <c r="A416" s="76" t="s">
        <v>452</v>
      </c>
      <c r="B416" s="1"/>
      <c r="C416" s="1"/>
      <c r="D416" s="1"/>
      <c r="E416" s="59">
        <f>SUM(B416:D416)</f>
        <v>0</v>
      </c>
      <c r="F416" s="1"/>
      <c r="G416" s="1"/>
      <c r="H416" s="1"/>
      <c r="I416" s="59">
        <f>SUM(F416:H416)</f>
        <v>0</v>
      </c>
      <c r="J416" s="1"/>
      <c r="K416" s="1"/>
      <c r="L416" s="1"/>
      <c r="M416" s="59">
        <f>SUM(J416:L416)</f>
        <v>0</v>
      </c>
      <c r="N416" s="1"/>
      <c r="O416" s="1"/>
      <c r="P416" s="1"/>
      <c r="Q416" s="59">
        <f>SUM(N416:P416)</f>
        <v>0</v>
      </c>
      <c r="R416" s="59">
        <f>+E416+I416+M416+Q416</f>
        <v>0</v>
      </c>
    </row>
    <row r="417" spans="1:21" ht="15.75" customHeight="1" x14ac:dyDescent="0.3">
      <c r="A417" s="76" t="s">
        <v>453</v>
      </c>
      <c r="B417" s="1"/>
      <c r="C417" s="1"/>
      <c r="D417" s="1"/>
      <c r="E417" s="59">
        <f>SUM(B417:D417)</f>
        <v>0</v>
      </c>
      <c r="F417" s="1">
        <v>2915</v>
      </c>
      <c r="G417" s="1">
        <v>2230</v>
      </c>
      <c r="H417" s="1"/>
      <c r="I417" s="59">
        <f>SUM(F417:H417)</f>
        <v>5145</v>
      </c>
      <c r="J417" s="1">
        <v>2029</v>
      </c>
      <c r="K417" s="1"/>
      <c r="L417" s="1"/>
      <c r="M417" s="59">
        <f>SUM(J417:L417)</f>
        <v>2029</v>
      </c>
      <c r="N417" s="1"/>
      <c r="O417" s="1"/>
      <c r="P417" s="1"/>
      <c r="Q417" s="59">
        <f>SUM(N417:P417)</f>
        <v>0</v>
      </c>
      <c r="R417" s="59">
        <f>+E417+I417+M417+Q417</f>
        <v>7174</v>
      </c>
    </row>
    <row r="418" spans="1:21" ht="15.75" customHeight="1" x14ac:dyDescent="0.3">
      <c r="A418" s="17" t="s">
        <v>66</v>
      </c>
      <c r="B418" s="1"/>
      <c r="C418" s="1"/>
      <c r="D418" s="1"/>
      <c r="E418" s="59" t="s">
        <v>7</v>
      </c>
      <c r="F418" s="1"/>
      <c r="G418" s="1"/>
      <c r="H418" s="1"/>
      <c r="I418" s="59" t="s">
        <v>7</v>
      </c>
      <c r="J418" s="1"/>
      <c r="K418" s="1"/>
      <c r="L418" s="1"/>
      <c r="M418" s="59" t="s">
        <v>7</v>
      </c>
      <c r="N418" s="1"/>
      <c r="O418" s="1"/>
      <c r="P418" s="1"/>
      <c r="Q418" s="59" t="s">
        <v>7</v>
      </c>
      <c r="R418" s="59" t="s">
        <v>7</v>
      </c>
    </row>
    <row r="419" spans="1:21" ht="15.75" customHeight="1" x14ac:dyDescent="0.3">
      <c r="A419" s="76" t="s">
        <v>454</v>
      </c>
      <c r="B419" s="1"/>
      <c r="C419" s="1"/>
      <c r="D419" s="1"/>
      <c r="E419" s="59">
        <f t="shared" ref="E419:E424" si="88">SUM(B419:D419)</f>
        <v>0</v>
      </c>
      <c r="F419" s="1"/>
      <c r="G419" s="1"/>
      <c r="H419" s="1"/>
      <c r="I419" s="59">
        <f t="shared" ref="I419:I424" si="89">SUM(F419:H419)</f>
        <v>0</v>
      </c>
      <c r="J419" s="1"/>
      <c r="K419" s="1"/>
      <c r="L419" s="1"/>
      <c r="M419" s="59">
        <f t="shared" ref="M419:M424" si="90">SUM(J419:L419)</f>
        <v>0</v>
      </c>
      <c r="N419" s="1"/>
      <c r="O419" s="1"/>
      <c r="P419" s="1"/>
      <c r="Q419" s="59">
        <f t="shared" ref="Q419:Q424" si="91">SUM(N419:P419)</f>
        <v>0</v>
      </c>
      <c r="R419" s="59">
        <f t="shared" ref="R419:R424" si="92">+E419+I419+M419+Q419</f>
        <v>0</v>
      </c>
      <c r="T419" s="4" t="s">
        <v>317</v>
      </c>
    </row>
    <row r="420" spans="1:21" ht="15.75" customHeight="1" x14ac:dyDescent="0.3">
      <c r="A420" s="76" t="s">
        <v>455</v>
      </c>
      <c r="B420" s="1"/>
      <c r="C420" s="1"/>
      <c r="D420" s="1"/>
      <c r="E420" s="59">
        <f t="shared" si="88"/>
        <v>0</v>
      </c>
      <c r="F420" s="1"/>
      <c r="G420" s="1"/>
      <c r="H420" s="1"/>
      <c r="I420" s="59">
        <f t="shared" si="89"/>
        <v>0</v>
      </c>
      <c r="J420" s="1"/>
      <c r="K420" s="1"/>
      <c r="L420" s="1"/>
      <c r="M420" s="59">
        <f t="shared" si="90"/>
        <v>0</v>
      </c>
      <c r="N420" s="1">
        <v>3792</v>
      </c>
      <c r="O420" s="1">
        <v>1208</v>
      </c>
      <c r="P420" s="1"/>
      <c r="Q420" s="59">
        <f t="shared" si="91"/>
        <v>5000</v>
      </c>
      <c r="R420" s="59">
        <f t="shared" si="92"/>
        <v>5000</v>
      </c>
      <c r="T420" s="4" t="s">
        <v>317</v>
      </c>
    </row>
    <row r="421" spans="1:21" ht="15.75" customHeight="1" x14ac:dyDescent="0.3">
      <c r="A421" s="76" t="s">
        <v>920</v>
      </c>
      <c r="B421" s="1"/>
      <c r="C421" s="1"/>
      <c r="D421" s="1"/>
      <c r="E421" s="59">
        <f t="shared" si="88"/>
        <v>0</v>
      </c>
      <c r="F421" s="1"/>
      <c r="G421" s="1"/>
      <c r="H421" s="1">
        <v>1000</v>
      </c>
      <c r="I421" s="59">
        <f t="shared" si="89"/>
        <v>1000</v>
      </c>
      <c r="J421" s="1"/>
      <c r="K421" s="1"/>
      <c r="L421" s="1"/>
      <c r="M421" s="59">
        <f t="shared" si="90"/>
        <v>0</v>
      </c>
      <c r="N421" s="1"/>
      <c r="O421" s="1"/>
      <c r="P421" s="1"/>
      <c r="Q421" s="59">
        <f t="shared" si="91"/>
        <v>0</v>
      </c>
      <c r="R421" s="59">
        <f t="shared" si="92"/>
        <v>1000</v>
      </c>
      <c r="T421" s="4" t="s">
        <v>331</v>
      </c>
    </row>
    <row r="422" spans="1:21" ht="15.75" customHeight="1" x14ac:dyDescent="0.3">
      <c r="A422" s="76" t="s">
        <v>921</v>
      </c>
      <c r="B422" s="1"/>
      <c r="C422" s="1"/>
      <c r="D422" s="1"/>
      <c r="E422" s="59">
        <f t="shared" si="88"/>
        <v>0</v>
      </c>
      <c r="F422" s="1"/>
      <c r="G422" s="1"/>
      <c r="H422" s="1"/>
      <c r="I422" s="59">
        <f t="shared" si="89"/>
        <v>0</v>
      </c>
      <c r="J422" s="1"/>
      <c r="K422" s="1"/>
      <c r="L422" s="1"/>
      <c r="M422" s="59">
        <f t="shared" si="90"/>
        <v>0</v>
      </c>
      <c r="N422" s="1"/>
      <c r="O422" s="1"/>
      <c r="P422" s="1"/>
      <c r="Q422" s="59">
        <f t="shared" si="91"/>
        <v>0</v>
      </c>
      <c r="R422" s="59">
        <f t="shared" si="92"/>
        <v>0</v>
      </c>
    </row>
    <row r="423" spans="1:21" ht="15.75" customHeight="1" x14ac:dyDescent="0.3">
      <c r="A423" s="76" t="s">
        <v>458</v>
      </c>
      <c r="B423" s="1"/>
      <c r="C423" s="1"/>
      <c r="D423" s="1"/>
      <c r="E423" s="59">
        <f t="shared" si="88"/>
        <v>0</v>
      </c>
      <c r="F423" s="1"/>
      <c r="G423" s="1"/>
      <c r="H423" s="1"/>
      <c r="I423" s="59">
        <f t="shared" si="89"/>
        <v>0</v>
      </c>
      <c r="J423" s="1"/>
      <c r="K423" s="1"/>
      <c r="L423" s="1"/>
      <c r="M423" s="59">
        <f t="shared" si="90"/>
        <v>0</v>
      </c>
      <c r="N423" s="1"/>
      <c r="O423" s="1"/>
      <c r="P423" s="1"/>
      <c r="Q423" s="59">
        <f t="shared" si="91"/>
        <v>0</v>
      </c>
      <c r="R423" s="59">
        <f t="shared" si="92"/>
        <v>0</v>
      </c>
    </row>
    <row r="424" spans="1:21" ht="15.75" customHeight="1" x14ac:dyDescent="0.3">
      <c r="A424" s="76" t="s">
        <v>459</v>
      </c>
      <c r="B424" s="1"/>
      <c r="C424" s="1"/>
      <c r="D424" s="1"/>
      <c r="E424" s="59">
        <f t="shared" si="88"/>
        <v>0</v>
      </c>
      <c r="F424" s="1"/>
      <c r="G424" s="1"/>
      <c r="H424" s="1"/>
      <c r="I424" s="59">
        <f t="shared" si="89"/>
        <v>0</v>
      </c>
      <c r="J424" s="1"/>
      <c r="K424" s="1"/>
      <c r="L424" s="1"/>
      <c r="M424" s="59">
        <f t="shared" si="90"/>
        <v>0</v>
      </c>
      <c r="N424" s="1"/>
      <c r="O424" s="1"/>
      <c r="P424" s="1"/>
      <c r="Q424" s="59">
        <f t="shared" si="91"/>
        <v>0</v>
      </c>
      <c r="R424" s="59">
        <f t="shared" si="92"/>
        <v>0</v>
      </c>
      <c r="T424" s="4" t="s">
        <v>317</v>
      </c>
    </row>
    <row r="425" spans="1:21" ht="15.75" customHeight="1" x14ac:dyDescent="0.3">
      <c r="A425" s="17" t="s">
        <v>67</v>
      </c>
      <c r="B425" s="1"/>
      <c r="C425" s="1"/>
      <c r="D425" s="1"/>
      <c r="E425" s="59" t="s">
        <v>7</v>
      </c>
      <c r="F425" s="1"/>
      <c r="G425" s="1"/>
      <c r="H425" s="1"/>
      <c r="I425" s="59" t="s">
        <v>7</v>
      </c>
      <c r="J425" s="1"/>
      <c r="K425" s="1"/>
      <c r="L425" s="1"/>
      <c r="M425" s="59" t="s">
        <v>7</v>
      </c>
      <c r="N425" s="1"/>
      <c r="O425" s="1"/>
      <c r="P425" s="1"/>
      <c r="Q425" s="59" t="s">
        <v>7</v>
      </c>
      <c r="R425" s="59" t="s">
        <v>7</v>
      </c>
    </row>
    <row r="426" spans="1:21" ht="15.75" customHeight="1" x14ac:dyDescent="0.3">
      <c r="A426" s="76" t="s">
        <v>460</v>
      </c>
      <c r="B426" s="1"/>
      <c r="C426" s="1"/>
      <c r="D426" s="1"/>
      <c r="E426" s="59">
        <f>SUM(B426:D426)</f>
        <v>0</v>
      </c>
      <c r="F426" s="1"/>
      <c r="G426" s="1"/>
      <c r="H426" s="1"/>
      <c r="I426" s="59">
        <f>SUM(F426:H426)</f>
        <v>0</v>
      </c>
      <c r="J426" s="1"/>
      <c r="K426" s="1"/>
      <c r="L426" s="1"/>
      <c r="M426" s="59">
        <f>SUM(J426:L426)</f>
        <v>0</v>
      </c>
      <c r="N426" s="1"/>
      <c r="O426" s="1"/>
      <c r="P426" s="1"/>
      <c r="Q426" s="59">
        <f>SUM(N426:P426)</f>
        <v>0</v>
      </c>
      <c r="R426" s="59">
        <f>+E426+I426+M426+Q426</f>
        <v>0</v>
      </c>
      <c r="T426" s="4" t="s">
        <v>305</v>
      </c>
    </row>
    <row r="427" spans="1:21" ht="15.75" customHeight="1" x14ac:dyDescent="0.3">
      <c r="A427" s="76" t="s">
        <v>461</v>
      </c>
      <c r="B427" s="1"/>
      <c r="C427" s="1"/>
      <c r="D427" s="1"/>
      <c r="E427" s="59">
        <f>SUM(B427:D427)</f>
        <v>0</v>
      </c>
      <c r="F427" s="1"/>
      <c r="G427" s="1"/>
      <c r="H427" s="1"/>
      <c r="I427" s="59">
        <f>SUM(F427:H427)</f>
        <v>0</v>
      </c>
      <c r="J427" s="1"/>
      <c r="K427" s="1"/>
      <c r="L427" s="1"/>
      <c r="M427" s="59">
        <f>SUM(J427:L427)</f>
        <v>0</v>
      </c>
      <c r="N427" s="1"/>
      <c r="O427" s="1"/>
      <c r="P427" s="1"/>
      <c r="Q427" s="59">
        <f>SUM(N427:P427)</f>
        <v>0</v>
      </c>
      <c r="R427" s="59">
        <f>+E427+I427+M427+Q427</f>
        <v>0</v>
      </c>
      <c r="T427" s="4" t="s">
        <v>305</v>
      </c>
    </row>
    <row r="428" spans="1:21" ht="15.75" customHeight="1" x14ac:dyDescent="0.3">
      <c r="A428" s="76" t="s">
        <v>463</v>
      </c>
      <c r="B428" s="1"/>
      <c r="C428" s="1"/>
      <c r="D428" s="1"/>
      <c r="E428" s="59">
        <f>SUM(B428:D428)</f>
        <v>0</v>
      </c>
      <c r="F428" s="1"/>
      <c r="G428" s="1"/>
      <c r="H428" s="1"/>
      <c r="I428" s="59">
        <f>SUM(F428:H428)</f>
        <v>0</v>
      </c>
      <c r="J428" s="1"/>
      <c r="K428" s="1"/>
      <c r="L428" s="1"/>
      <c r="M428" s="59">
        <f>SUM(J428:L428)</f>
        <v>0</v>
      </c>
      <c r="N428" s="1"/>
      <c r="O428" s="1"/>
      <c r="P428" s="1"/>
      <c r="Q428" s="59">
        <f>SUM(N428:P428)</f>
        <v>0</v>
      </c>
      <c r="R428" s="59">
        <f>+E428+I428+M428+Q428</f>
        <v>0</v>
      </c>
    </row>
    <row r="429" spans="1:21" ht="15.75" customHeight="1" x14ac:dyDescent="0.3">
      <c r="A429" s="76" t="s">
        <v>464</v>
      </c>
      <c r="B429" s="1"/>
      <c r="C429" s="1"/>
      <c r="D429" s="1"/>
      <c r="E429" s="59">
        <f t="shared" ref="E429:E439" si="93">SUM(B429:D429)</f>
        <v>0</v>
      </c>
      <c r="F429" s="1"/>
      <c r="G429" s="1"/>
      <c r="H429" s="1">
        <v>2381</v>
      </c>
      <c r="I429" s="59">
        <f t="shared" ref="I429:I439" si="94">SUM(F429:H429)</f>
        <v>2381</v>
      </c>
      <c r="J429" s="1">
        <v>3459</v>
      </c>
      <c r="K429" s="1"/>
      <c r="L429" s="1"/>
      <c r="M429" s="59">
        <f t="shared" ref="M429:M439" si="95">SUM(J429:L429)</f>
        <v>3459</v>
      </c>
      <c r="N429" s="1"/>
      <c r="O429" s="1"/>
      <c r="P429" s="1"/>
      <c r="Q429" s="59">
        <f t="shared" ref="Q429:Q439" si="96">SUM(N429:P429)</f>
        <v>0</v>
      </c>
      <c r="R429" s="59">
        <f t="shared" ref="R429:R439" si="97">+E429+I429+M429+Q429</f>
        <v>5840</v>
      </c>
    </row>
    <row r="430" spans="1:21" ht="15.75" customHeight="1" x14ac:dyDescent="0.3">
      <c r="A430" s="76" t="s">
        <v>465</v>
      </c>
      <c r="B430" s="1"/>
      <c r="C430" s="1"/>
      <c r="D430" s="1"/>
      <c r="E430" s="59">
        <f>SUM(B430:D430)</f>
        <v>0</v>
      </c>
      <c r="F430" s="1"/>
      <c r="G430" s="1"/>
      <c r="H430" s="1"/>
      <c r="I430" s="59">
        <f>SUM(F430:H430)</f>
        <v>0</v>
      </c>
      <c r="J430" s="1"/>
      <c r="K430" s="1"/>
      <c r="L430" s="1"/>
      <c r="M430" s="59">
        <f>SUM(J430:L430)</f>
        <v>0</v>
      </c>
      <c r="N430" s="1"/>
      <c r="O430" s="1"/>
      <c r="P430" s="1"/>
      <c r="Q430" s="59">
        <f>SUM(N430:P430)</f>
        <v>0</v>
      </c>
      <c r="R430" s="59">
        <f>+E430+I430+M430+Q430</f>
        <v>0</v>
      </c>
    </row>
    <row r="431" spans="1:21" ht="15.75" customHeight="1" x14ac:dyDescent="0.3">
      <c r="A431" s="76" t="s">
        <v>466</v>
      </c>
      <c r="B431" s="1"/>
      <c r="C431" s="1">
        <v>700</v>
      </c>
      <c r="D431" s="1">
        <v>1090</v>
      </c>
      <c r="E431" s="59">
        <f>SUM(B431:D431)</f>
        <v>1790</v>
      </c>
      <c r="F431" s="1">
        <v>1200</v>
      </c>
      <c r="G431" s="1">
        <v>1260</v>
      </c>
      <c r="H431" s="1">
        <v>510</v>
      </c>
      <c r="I431" s="59">
        <f>SUM(F431:H431)</f>
        <v>2970</v>
      </c>
      <c r="J431" s="1">
        <v>510</v>
      </c>
      <c r="K431" s="1">
        <v>310</v>
      </c>
      <c r="L431" s="1">
        <v>200</v>
      </c>
      <c r="M431" s="59">
        <f>SUM(J431:L431)</f>
        <v>1020</v>
      </c>
      <c r="N431" s="1">
        <v>60</v>
      </c>
      <c r="O431" s="1"/>
      <c r="P431" s="1"/>
      <c r="Q431" s="59">
        <f>SUM(N431:P431)</f>
        <v>60</v>
      </c>
      <c r="R431" s="59">
        <f>+E431+I431+M431+Q431</f>
        <v>5840</v>
      </c>
      <c r="T431" s="4" t="s">
        <v>305</v>
      </c>
      <c r="U431" s="20"/>
    </row>
    <row r="432" spans="1:21" ht="15.75" customHeight="1" x14ac:dyDescent="0.3">
      <c r="A432" s="76" t="s">
        <v>467</v>
      </c>
      <c r="B432" s="1"/>
      <c r="C432" s="1"/>
      <c r="D432" s="1"/>
      <c r="E432" s="59">
        <f>SUM(B432:D432)</f>
        <v>0</v>
      </c>
      <c r="F432" s="1"/>
      <c r="G432" s="1"/>
      <c r="H432" s="1"/>
      <c r="I432" s="59">
        <f>SUM(F432:H432)</f>
        <v>0</v>
      </c>
      <c r="J432" s="1"/>
      <c r="K432" s="1"/>
      <c r="L432" s="1"/>
      <c r="M432" s="59">
        <f>SUM(J432:L432)</f>
        <v>0</v>
      </c>
      <c r="N432" s="1"/>
      <c r="O432" s="1"/>
      <c r="P432" s="1"/>
      <c r="Q432" s="59">
        <f>SUM(N432:P432)</f>
        <v>0</v>
      </c>
      <c r="R432" s="59">
        <f>+E432+I432+M432+Q432</f>
        <v>0</v>
      </c>
    </row>
    <row r="433" spans="1:20" ht="15.75" customHeight="1" thickBot="1" x14ac:dyDescent="0.35">
      <c r="A433" s="76" t="s">
        <v>469</v>
      </c>
      <c r="B433" s="1"/>
      <c r="C433" s="1"/>
      <c r="D433" s="1"/>
      <c r="E433" s="59">
        <f>SUM(B433:D433)</f>
        <v>0</v>
      </c>
      <c r="F433" s="1"/>
      <c r="G433" s="1"/>
      <c r="H433" s="1"/>
      <c r="I433" s="59">
        <f>SUM(F433:H433)</f>
        <v>0</v>
      </c>
      <c r="J433" s="1"/>
      <c r="K433" s="1">
        <v>1118</v>
      </c>
      <c r="L433" s="1">
        <v>1769</v>
      </c>
      <c r="M433" s="59">
        <f>SUM(J433:L433)</f>
        <v>2887</v>
      </c>
      <c r="N433" s="1">
        <v>1540</v>
      </c>
      <c r="O433" s="1">
        <v>952</v>
      </c>
      <c r="P433" s="1">
        <v>654</v>
      </c>
      <c r="Q433" s="59">
        <f>SUM(N433:P433)</f>
        <v>3146</v>
      </c>
      <c r="R433" s="59">
        <f>+E433+I433+M433+Q433</f>
        <v>6033</v>
      </c>
      <c r="T433" s="4" t="s">
        <v>331</v>
      </c>
    </row>
    <row r="434" spans="1:20" ht="16.5" customHeight="1" thickBot="1" x14ac:dyDescent="0.35">
      <c r="A434" s="62" t="s">
        <v>68</v>
      </c>
      <c r="B434" s="63">
        <f>SUM(B418:B433)</f>
        <v>0</v>
      </c>
      <c r="C434" s="63">
        <f>SUM(C418:C433)</f>
        <v>700</v>
      </c>
      <c r="D434" s="63">
        <f>SUM(D418:D433)</f>
        <v>1090</v>
      </c>
      <c r="E434" s="334">
        <f t="shared" si="93"/>
        <v>1790</v>
      </c>
      <c r="F434" s="63">
        <f>SUM(F418:F433)</f>
        <v>1200</v>
      </c>
      <c r="G434" s="63">
        <f>SUM(G418:G433)</f>
        <v>1260</v>
      </c>
      <c r="H434" s="63">
        <f>SUM(H418:H433)</f>
        <v>3891</v>
      </c>
      <c r="I434" s="334">
        <f t="shared" si="94"/>
        <v>6351</v>
      </c>
      <c r="J434" s="63">
        <f>SUM(J418:J433)</f>
        <v>3969</v>
      </c>
      <c r="K434" s="63">
        <f>SUM(K418:K433)</f>
        <v>1428</v>
      </c>
      <c r="L434" s="63">
        <f>SUM(L418:L433)</f>
        <v>1969</v>
      </c>
      <c r="M434" s="334">
        <f t="shared" si="95"/>
        <v>7366</v>
      </c>
      <c r="N434" s="63">
        <f>SUM(N418:N433)</f>
        <v>5392</v>
      </c>
      <c r="O434" s="63">
        <f>SUM(O418:O433)</f>
        <v>2160</v>
      </c>
      <c r="P434" s="63">
        <f>SUM(P418:P433)</f>
        <v>654</v>
      </c>
      <c r="Q434" s="334">
        <f t="shared" si="96"/>
        <v>8206</v>
      </c>
      <c r="R434" s="64">
        <f t="shared" si="97"/>
        <v>23713</v>
      </c>
    </row>
    <row r="435" spans="1:20" ht="16.5" customHeight="1" thickBot="1" x14ac:dyDescent="0.35">
      <c r="A435" s="137" t="s">
        <v>69</v>
      </c>
      <c r="B435" s="100">
        <f>SUM(B412:B433)</f>
        <v>0</v>
      </c>
      <c r="C435" s="101">
        <f>SUM(C412:C433)</f>
        <v>700</v>
      </c>
      <c r="D435" s="138">
        <f>SUM(D412:D433)</f>
        <v>1090</v>
      </c>
      <c r="E435" s="334">
        <f t="shared" si="93"/>
        <v>1790</v>
      </c>
      <c r="F435" s="101">
        <f>SUM(F412:F433)</f>
        <v>4115</v>
      </c>
      <c r="G435" s="101">
        <f>SUM(G412:G433)</f>
        <v>3490</v>
      </c>
      <c r="H435" s="101">
        <f>SUM(H412:H433)</f>
        <v>3891</v>
      </c>
      <c r="I435" s="334">
        <f t="shared" si="94"/>
        <v>11496</v>
      </c>
      <c r="J435" s="101">
        <f>SUM(J412:J433)</f>
        <v>5998</v>
      </c>
      <c r="K435" s="101">
        <f>SUM(K412:K433)</f>
        <v>1428</v>
      </c>
      <c r="L435" s="101">
        <f>SUM(L412:L433)</f>
        <v>1969</v>
      </c>
      <c r="M435" s="334">
        <f t="shared" si="95"/>
        <v>9395</v>
      </c>
      <c r="N435" s="101">
        <f>SUM(N412:N433)</f>
        <v>5392</v>
      </c>
      <c r="O435" s="101">
        <f>SUM(O412:O433)</f>
        <v>2160</v>
      </c>
      <c r="P435" s="101">
        <f>SUM(P412:P433)</f>
        <v>654</v>
      </c>
      <c r="Q435" s="334">
        <f t="shared" si="96"/>
        <v>8206</v>
      </c>
      <c r="R435" s="64">
        <f t="shared" si="97"/>
        <v>30887</v>
      </c>
    </row>
    <row r="436" spans="1:20" ht="16.5" customHeight="1" thickBot="1" x14ac:dyDescent="0.35">
      <c r="A436" s="62" t="s">
        <v>70</v>
      </c>
      <c r="B436" s="107">
        <f>+B354+B369+B411+B435</f>
        <v>14571</v>
      </c>
      <c r="C436" s="63">
        <f>+C354+C369+C411+C435</f>
        <v>39634</v>
      </c>
      <c r="D436" s="63">
        <f>+D354+D369+D411+D435</f>
        <v>57342</v>
      </c>
      <c r="E436" s="64">
        <f t="shared" si="93"/>
        <v>111547</v>
      </c>
      <c r="F436" s="63">
        <f>+F354+F369+F411+F435</f>
        <v>63242</v>
      </c>
      <c r="G436" s="63">
        <f>+G354+G369+G411+G435</f>
        <v>82103</v>
      </c>
      <c r="H436" s="63">
        <f>+H354+H369+H411+H435</f>
        <v>98891</v>
      </c>
      <c r="I436" s="64">
        <f t="shared" si="94"/>
        <v>244236</v>
      </c>
      <c r="J436" s="63">
        <f>+J354+J369+J411+J435</f>
        <v>77505</v>
      </c>
      <c r="K436" s="63">
        <f>+K354+K369+K411+K435</f>
        <v>60423</v>
      </c>
      <c r="L436" s="63">
        <f>+L354+L369+L411+L435</f>
        <v>46173</v>
      </c>
      <c r="M436" s="64">
        <f t="shared" si="95"/>
        <v>184101</v>
      </c>
      <c r="N436" s="63">
        <f>+N354+N369+N411+N435</f>
        <v>40709</v>
      </c>
      <c r="O436" s="63">
        <f>+O354+O369+O411+O435</f>
        <v>19963</v>
      </c>
      <c r="P436" s="63">
        <f>+P354+P369+P411+P435</f>
        <v>25576</v>
      </c>
      <c r="Q436" s="64">
        <f t="shared" si="96"/>
        <v>86248</v>
      </c>
      <c r="R436" s="88">
        <f t="shared" si="97"/>
        <v>626132</v>
      </c>
    </row>
    <row r="437" spans="1:20" ht="15.75" customHeight="1" x14ac:dyDescent="0.3">
      <c r="A437" s="74" t="s">
        <v>470</v>
      </c>
      <c r="B437" s="1"/>
      <c r="C437" s="1"/>
      <c r="D437" s="1"/>
      <c r="E437" s="59">
        <f t="shared" si="93"/>
        <v>0</v>
      </c>
      <c r="F437" s="1"/>
      <c r="G437" s="1"/>
      <c r="H437" s="1"/>
      <c r="I437" s="59">
        <f t="shared" si="94"/>
        <v>0</v>
      </c>
      <c r="J437" s="1"/>
      <c r="K437" s="1"/>
      <c r="L437" s="1"/>
      <c r="M437" s="59">
        <f t="shared" si="95"/>
        <v>0</v>
      </c>
      <c r="N437" s="1"/>
      <c r="O437" s="1"/>
      <c r="P437" s="1"/>
      <c r="Q437" s="59">
        <f t="shared" si="96"/>
        <v>0</v>
      </c>
      <c r="R437" s="59">
        <f t="shared" si="97"/>
        <v>0</v>
      </c>
    </row>
    <row r="438" spans="1:20" ht="15.75" customHeight="1" x14ac:dyDescent="0.3">
      <c r="A438" s="74" t="s">
        <v>471</v>
      </c>
      <c r="B438" s="1"/>
      <c r="C438" s="1"/>
      <c r="D438" s="1"/>
      <c r="E438" s="59">
        <f t="shared" si="93"/>
        <v>0</v>
      </c>
      <c r="F438" s="1"/>
      <c r="G438" s="1"/>
      <c r="H438" s="1"/>
      <c r="I438" s="59">
        <f t="shared" si="94"/>
        <v>0</v>
      </c>
      <c r="J438" s="1"/>
      <c r="K438" s="1"/>
      <c r="L438" s="1"/>
      <c r="M438" s="59">
        <f t="shared" si="95"/>
        <v>0</v>
      </c>
      <c r="N438" s="1"/>
      <c r="O438" s="1"/>
      <c r="P438" s="1"/>
      <c r="Q438" s="59">
        <f t="shared" si="96"/>
        <v>0</v>
      </c>
      <c r="R438" s="59">
        <f t="shared" si="97"/>
        <v>0</v>
      </c>
    </row>
    <row r="439" spans="1:20" ht="16.5" customHeight="1" thickBot="1" x14ac:dyDescent="0.35">
      <c r="A439" s="79" t="s">
        <v>37</v>
      </c>
      <c r="B439" s="25">
        <v>155</v>
      </c>
      <c r="C439" s="25">
        <v>283</v>
      </c>
      <c r="D439" s="25">
        <v>435</v>
      </c>
      <c r="E439" s="88">
        <f t="shared" si="93"/>
        <v>873</v>
      </c>
      <c r="F439" s="25">
        <v>602</v>
      </c>
      <c r="G439" s="25">
        <v>711</v>
      </c>
      <c r="H439" s="25">
        <v>722</v>
      </c>
      <c r="I439" s="88">
        <f t="shared" si="94"/>
        <v>2035</v>
      </c>
      <c r="J439" s="25">
        <v>686</v>
      </c>
      <c r="K439" s="25">
        <v>519</v>
      </c>
      <c r="L439" s="25">
        <v>531</v>
      </c>
      <c r="M439" s="88">
        <f t="shared" si="95"/>
        <v>1736</v>
      </c>
      <c r="N439" s="25">
        <v>489</v>
      </c>
      <c r="O439" s="25">
        <v>389</v>
      </c>
      <c r="P439" s="25">
        <v>275</v>
      </c>
      <c r="Q439" s="88">
        <f t="shared" si="96"/>
        <v>1153</v>
      </c>
      <c r="R439" s="59">
        <f t="shared" si="97"/>
        <v>5797</v>
      </c>
    </row>
    <row r="440" spans="1:20" ht="16.5" customHeight="1" thickBot="1" x14ac:dyDescent="0.35">
      <c r="A440" s="80"/>
      <c r="B440" s="81"/>
      <c r="C440" s="81"/>
      <c r="D440" s="81"/>
      <c r="E440" s="64"/>
      <c r="F440" s="81"/>
      <c r="G440" s="81"/>
      <c r="H440" s="81"/>
      <c r="I440" s="64"/>
      <c r="J440" s="81"/>
      <c r="K440" s="81"/>
      <c r="L440" s="81"/>
      <c r="M440" s="64"/>
      <c r="N440" s="81"/>
      <c r="O440" s="81"/>
      <c r="P440" s="81"/>
      <c r="Q440" s="64"/>
      <c r="R440" s="64" t="s">
        <v>7</v>
      </c>
    </row>
    <row r="441" spans="1:20" ht="15.75" customHeight="1" x14ac:dyDescent="0.3">
      <c r="A441" s="335" t="s">
        <v>38</v>
      </c>
      <c r="B441" s="336">
        <f>SUM(B436:B439)</f>
        <v>14726</v>
      </c>
      <c r="C441" s="336">
        <f>SUM(C436:C439)</f>
        <v>39917</v>
      </c>
      <c r="D441" s="336">
        <f>SUM(D436:D439)</f>
        <v>57777</v>
      </c>
      <c r="E441" s="334">
        <f>SUM(B441:D441)</f>
        <v>112420</v>
      </c>
      <c r="F441" s="336">
        <f>SUM(F436:F439)</f>
        <v>63844</v>
      </c>
      <c r="G441" s="336">
        <f>SUM(G436:G439)</f>
        <v>82814</v>
      </c>
      <c r="H441" s="336">
        <f>SUM(H436:H439)</f>
        <v>99613</v>
      </c>
      <c r="I441" s="334">
        <f>SUM(F441:H441)</f>
        <v>246271</v>
      </c>
      <c r="J441" s="336">
        <f>SUM(J436:J439)</f>
        <v>78191</v>
      </c>
      <c r="K441" s="336">
        <f>SUM(K436:K439)</f>
        <v>60942</v>
      </c>
      <c r="L441" s="336">
        <f>SUM(L436:L439)</f>
        <v>46704</v>
      </c>
      <c r="M441" s="334">
        <f>SUM(J441:L441)</f>
        <v>185837</v>
      </c>
      <c r="N441" s="336">
        <f>SUM(N436:N439)</f>
        <v>41198</v>
      </c>
      <c r="O441" s="336">
        <f>SUM(O436:O439)</f>
        <v>20352</v>
      </c>
      <c r="P441" s="336">
        <f>SUM(P436:P439)</f>
        <v>25851</v>
      </c>
      <c r="Q441" s="334">
        <f>SUM(N441:P441)</f>
        <v>87401</v>
      </c>
      <c r="R441" s="334">
        <f>+E441+I441+M441+Q441</f>
        <v>631929</v>
      </c>
    </row>
    <row r="442" spans="1:20" ht="15.75" customHeight="1" x14ac:dyDescent="0.3">
      <c r="A442" s="85" t="s">
        <v>39</v>
      </c>
      <c r="B442" s="1">
        <f>(B441/B10)/1.983</f>
        <v>239.55232378442568</v>
      </c>
      <c r="C442" s="1">
        <f>(C441/C10)/1.983</f>
        <v>694.12419357643421</v>
      </c>
      <c r="D442" s="1">
        <f>(D441/D10)/1.983</f>
        <v>939.87604314089106</v>
      </c>
      <c r="E442" s="59" t="s">
        <v>7</v>
      </c>
      <c r="F442" s="1">
        <f>(F441/F10)/1.983</f>
        <v>1073.1887712220539</v>
      </c>
      <c r="G442" s="1">
        <f>(G441/G10)/1.983</f>
        <v>1347.1605420265807</v>
      </c>
      <c r="H442" s="1">
        <f>(H441/H10)/1.983</f>
        <v>1674.4494873087913</v>
      </c>
      <c r="I442" s="59" t="s">
        <v>7</v>
      </c>
      <c r="J442" s="1">
        <f>(J441/J10)/1.983</f>
        <v>1271.9567940396598</v>
      </c>
      <c r="K442" s="1">
        <f>(K441/K10)/1.983</f>
        <v>991.36206139280648</v>
      </c>
      <c r="L442" s="1">
        <f>(L441/L10)/1.983</f>
        <v>785.07312153303064</v>
      </c>
      <c r="M442" s="59" t="s">
        <v>7</v>
      </c>
      <c r="N442" s="1">
        <f>(N441/N10)/1.983</f>
        <v>670.18040440518598</v>
      </c>
      <c r="O442" s="1">
        <f>(O441/O10)/1.983</f>
        <v>342.1079172970247</v>
      </c>
      <c r="P442" s="1">
        <f>(P441/P10)/1.983</f>
        <v>420.52608462251715</v>
      </c>
      <c r="Q442" s="59" t="s">
        <v>7</v>
      </c>
      <c r="R442" s="59" t="s">
        <v>7</v>
      </c>
    </row>
    <row r="443" spans="1:20" ht="15.75" customHeight="1" x14ac:dyDescent="0.3">
      <c r="A443" s="85" t="s">
        <v>472</v>
      </c>
      <c r="B443" s="1">
        <f>B441+B490</f>
        <v>23810</v>
      </c>
      <c r="C443" s="1">
        <f>C441+C490</f>
        <v>57969</v>
      </c>
      <c r="D443" s="1">
        <f>D441+D490</f>
        <v>89418</v>
      </c>
      <c r="E443" s="59">
        <f>SUM(B443:D443)</f>
        <v>171197</v>
      </c>
      <c r="F443" s="1">
        <f>F441+F490</f>
        <v>103186</v>
      </c>
      <c r="G443" s="1">
        <f>G441+G490</f>
        <v>119224</v>
      </c>
      <c r="H443" s="1">
        <f>H441+H490</f>
        <v>145021</v>
      </c>
      <c r="I443" s="59">
        <f>SUM(F443:H443)</f>
        <v>367431</v>
      </c>
      <c r="J443" s="1">
        <f>J441+J490</f>
        <v>128199</v>
      </c>
      <c r="K443" s="1">
        <f>K441+K490</f>
        <v>96897</v>
      </c>
      <c r="L443" s="1">
        <f>L441+L490</f>
        <v>80109</v>
      </c>
      <c r="M443" s="59">
        <f>SUM(J443:L443)</f>
        <v>305205</v>
      </c>
      <c r="N443" s="1">
        <f>N441+N490</f>
        <v>52257</v>
      </c>
      <c r="O443" s="1">
        <f>O441+O490</f>
        <v>32345</v>
      </c>
      <c r="P443" s="1">
        <f>P441+P490</f>
        <v>41828</v>
      </c>
      <c r="Q443" s="59">
        <f>SUM(N443:P443)</f>
        <v>126430</v>
      </c>
      <c r="R443" s="59">
        <f>+E443+I443+M443+Q443</f>
        <v>970263</v>
      </c>
    </row>
    <row r="444" spans="1:20" s="50" customFormat="1" ht="16.5" customHeight="1" thickBot="1" x14ac:dyDescent="0.35">
      <c r="A444" s="139" t="s">
        <v>473</v>
      </c>
      <c r="B444" s="140">
        <f>(B443/B10)/1.983</f>
        <v>387.32451645437834</v>
      </c>
      <c r="C444" s="140">
        <f>(C443/C10)/1.983</f>
        <v>1008.0338045803119</v>
      </c>
      <c r="D444" s="140">
        <f>(D443/D10)/1.983</f>
        <v>1454.589819920941</v>
      </c>
      <c r="E444" s="141" t="s">
        <v>7</v>
      </c>
      <c r="F444" s="140">
        <f>(F443/F10)/1.983</f>
        <v>1734.5100016809547</v>
      </c>
      <c r="G444" s="140">
        <f>(G443/G10)/1.983</f>
        <v>1939.453093227921</v>
      </c>
      <c r="H444" s="140">
        <f>(H443/H10)/1.983</f>
        <v>2437.7374348630024</v>
      </c>
      <c r="I444" s="141" t="s">
        <v>7</v>
      </c>
      <c r="J444" s="140">
        <f>(J443/J10)/1.983</f>
        <v>2085.452149724269</v>
      </c>
      <c r="K444" s="140">
        <f>(K443/K10)/1.983</f>
        <v>1576.2529891171732</v>
      </c>
      <c r="L444" s="140">
        <f>(L443/L10)/1.983</f>
        <v>1346.5960665658095</v>
      </c>
      <c r="M444" s="141" t="s">
        <v>7</v>
      </c>
      <c r="N444" s="140">
        <f>(N443/N10)/1.983</f>
        <v>850.08052315650775</v>
      </c>
      <c r="O444" s="140">
        <f>(O443/O10)/1.983</f>
        <v>543.70482434022529</v>
      </c>
      <c r="P444" s="140">
        <f>(P443/P10)/1.983</f>
        <v>680.42880614253409</v>
      </c>
      <c r="Q444" s="141" t="s">
        <v>7</v>
      </c>
      <c r="R444" s="141" t="s">
        <v>7</v>
      </c>
      <c r="S444" s="4"/>
    </row>
    <row r="445" spans="1:20" ht="15.75" customHeight="1" x14ac:dyDescent="0.3">
      <c r="A445" s="142" t="s">
        <v>474</v>
      </c>
      <c r="B445" s="143">
        <f>B$446+(SUMIF($T$301:$T$422,"FLG",B$308:B$438)/B10/1.98)+(SUMIF($T$301:$T$422,"FCA",B$308:B$438)/B10/1.98)+(SUMIF($T$301:$T$422,"NSC",B$308:B$438)/B10/1.98)</f>
        <v>226.72299097558965</v>
      </c>
      <c r="C445" s="143">
        <f>C$446+(SUMIF($T$301:$T$422,"FLG",C$308:C$438)/C10/1.98)+(SUMIF($T$301:$T$422,"FCA",C$308:C$438)/C10/1.98)+(SUMIF($T$301:$T$422,"NSC",C$308:C$438)/C10/1.98)</f>
        <v>605.53273883390216</v>
      </c>
      <c r="D445" s="143">
        <f>D$446+(SUMIF($T$301:$T$422,"FLG",D$308:D$438)/D10/1.98)+(SUMIF($T$301:$T$422,"FCA",D$308:D$438)/D10/1.98)+(SUMIF($T$301:$T$422,"NSC",D$308:D$438)/D10/1.98)</f>
        <v>944.47917267447792</v>
      </c>
      <c r="E445" s="144"/>
      <c r="F445" s="143">
        <f>F$446+(SUMIF($T$301:$T$422,"FLG",F$308:F$438)/F10/1.98)+(SUMIF($T$301:$T$422,"FCA",F$308:F$438)/F10/1.98)+(SUMIF($T$301:$T$422,"NSC",F$308:F$438)/F10/1.98)</f>
        <v>1083.0720722097424</v>
      </c>
      <c r="G445" s="143">
        <f>G$446+(SUMIF($T$301:$T$422,"FLG",G$308:G$438)/G10/1.98)+(SUMIF($T$301:$T$422,"FCA",G$308:G$438)/G10/1.98)+(SUMIF($T$301:$T$422,"NSC",G$308:G$438)/G10/1.98)</f>
        <v>1196.5773345183818</v>
      </c>
      <c r="H445" s="143">
        <f>H$446+(SUMIF($T$301:$T$422,"FLG",H$308:H$438)/H10/1.98)+(SUMIF($T$301:$T$422,"FCA",H$308:H$438)/H10/1.98)+(SUMIF($T$301:$T$422,"NSC",H$308:H$438)/H10/1.98)</f>
        <v>1594.2812135474767</v>
      </c>
      <c r="I445" s="52"/>
      <c r="J445" s="143">
        <f>J$446+(SUMIF($T$301:$T$422,"FLG",J$308:J$438)/J10/1.98)+(SUMIF($T$301:$T$422,"FCA",J$308:J$438)/J10/1.98)+(SUMIF($T$301:$T$422,"NSC",J$308:J$438)/J10/1.98)</f>
        <v>1255.4797154109049</v>
      </c>
      <c r="K445" s="143">
        <f>K$446+(SUMIF($T$301:$T$422,"FLG",K$308:K$438)/K10/1.98)+(SUMIF($T$301:$T$422,"FCA",K$308:K$438)/K10/1.98)+(SUMIF($T$301:$T$422,"NSC",K$308:K$438)/K10/1.98)</f>
        <v>1031.6651212727538</v>
      </c>
      <c r="L445" s="143">
        <f>L$446+(SUMIF($T$301:$T$422,"FLG",L$308:L$438)/L10/1.98)+(SUMIF($T$301:$T$422,"FCA",L$308:L$438)/L10/1.98)+(SUMIF($T$301:$T$422,"NSC",L$308:L$438)/L10/1.98)</f>
        <v>910.42866893850248</v>
      </c>
      <c r="M445" s="52"/>
      <c r="N445" s="143">
        <f>N$446+(SUMIF($T$301:$T$422,"FLG",N$308:N$438)/N10/1.98)+(SUMIF($T$301:$T$422,"FCA",N$308:N$438)/N10/1.98)+(SUMIF($T$301:$T$422,"NSC",N$308:N$438)/N10/1.98)</f>
        <v>385.99330871547943</v>
      </c>
      <c r="O445" s="143">
        <f>O$446+(SUMIF($T$301:$T$422,"FLG",O$308:O$438)/O10/1.98)+(SUMIF($T$301:$T$422,"FCA",O$308:O$438)/O10/1.98)+(SUMIF($T$301:$T$422,"NSC",O$308:O$438)/O10/1.98)</f>
        <v>332.2198026660962</v>
      </c>
      <c r="P445" s="143">
        <f>P$446+(SUMIF($T$301:$T$422,"FLG",P$308:P$438)/P10/1.98)+(SUMIF($T$301:$T$422,"FCA",P$308:P$438)/P10/1.98)+(SUMIF($T$301:$T$422,"NSC",P$308:P$438)/P10/1.98)</f>
        <v>428.7525097246438</v>
      </c>
      <c r="Q445" s="52"/>
      <c r="R445" s="52"/>
    </row>
    <row r="446" spans="1:20" ht="15.75" customHeight="1" x14ac:dyDescent="0.3">
      <c r="A446" s="142" t="s">
        <v>475</v>
      </c>
      <c r="B446" s="143">
        <f>B$447+(SUMIF($T$301:$T$422,"FCI",B$308:B$438)/B10/1.98)+(SUMIF($T$301:$T$422,"FCC",B$308:B$438)/B10/1.98)</f>
        <v>226.72299097558965</v>
      </c>
      <c r="C446" s="143">
        <f>C$447+(SUMIF($T$301:$T$422,"FCI",C$308:C$438)/C10/1.98)+(SUMIF($T$301:$T$422,"FCC",C$308:C$438)/C10/1.98)</f>
        <v>605.53273883390216</v>
      </c>
      <c r="D446" s="143">
        <f>D$447+(SUMIF($T$301:$T$422,"FCI",D$308:D$438)/D10/1.98)+(SUMIF($T$301:$T$422,"FCC",D$308:D$438)/D10/1.98)</f>
        <v>944.47917267447792</v>
      </c>
      <c r="E446" s="144"/>
      <c r="F446" s="143">
        <f>F$447+(SUMIF($T$301:$T$422,"FCI",F$308:F$438)/F10/1.98)+(SUMIF($T$301:$T$422,"FCC",F$308:F$438)/F10/1.98)</f>
        <v>1083.0720722097424</v>
      </c>
      <c r="G446" s="143">
        <f>G$447+(SUMIF($T$301:$T$422,"FCI",G$308:G$438)/G10/1.98)+(SUMIF($T$301:$T$422,"FCC",G$308:G$438)/G10/1.98)</f>
        <v>1196.5773345183818</v>
      </c>
      <c r="H446" s="143">
        <f>H$447+(SUMIF($T$301:$T$422,"FCI",H$308:H$438)/H10/1.98)+(SUMIF($T$301:$T$422,"FCC",H$308:H$438)/H10/1.98)</f>
        <v>1594.2812135474767</v>
      </c>
      <c r="I446" s="52"/>
      <c r="J446" s="143">
        <f>J$447+(SUMIF($T$301:$T$422,"FCI",J$308:J$438)/J10/1.98)+(SUMIF($T$301:$T$422,"FCC",J$308:J$438)/J10/1.98)</f>
        <v>1255.4797154109049</v>
      </c>
      <c r="K446" s="143">
        <f>K$447+(SUMIF($T$301:$T$422,"FCI",K$308:K$438)/K10/1.98)+(SUMIF($T$301:$T$422,"FCC",K$308:K$438)/K10/1.98)</f>
        <v>1031.6651212727538</v>
      </c>
      <c r="L446" s="143">
        <f>L$447+(SUMIF($T$301:$T$422,"FCI",L$308:L$438)/L10/1.98)+(SUMIF($T$301:$T$422,"FCC",L$308:L$438)/L10/1.98)</f>
        <v>910.42866893850248</v>
      </c>
      <c r="M446" s="52"/>
      <c r="N446" s="143">
        <f>N$447+(SUMIF($T$301:$T$422,"FCI",N$308:N$438)/N10/1.98)+(SUMIF($T$301:$T$422,"FCC",N$308:N$438)/N10/1.98)</f>
        <v>385.99330871547943</v>
      </c>
      <c r="O446" s="143">
        <f>O$447+(SUMIF($T$301:$T$422,"FCI",O$308:O$438)/O10/1.98)+(SUMIF($T$301:$T$422,"FCC",O$308:O$438)/O10/1.98)</f>
        <v>332.2198026660962</v>
      </c>
      <c r="P446" s="143">
        <f>P$447+(SUMIF($T$301:$T$422,"FCI",P$308:P$438)/P10/1.98)+(SUMIF($T$301:$T$422,"FCC",P$308:P$438)/P10/1.98)</f>
        <v>428.7525097246438</v>
      </c>
      <c r="Q446" s="52"/>
      <c r="R446" s="52"/>
    </row>
    <row r="447" spans="1:20" ht="15.75" customHeight="1" x14ac:dyDescent="0.3">
      <c r="A447" s="142" t="s">
        <v>476</v>
      </c>
      <c r="B447" s="143">
        <f>B$448+(SUMIF($T$301:$T$422,"PIL",B$308:B$438)/B10/1.98)+(SUMIF($T$301:$T$422,"KLK",B$308:B$438)/B10/1.98)</f>
        <v>226.72299097558965</v>
      </c>
      <c r="C447" s="143">
        <f>C$448+(SUMIF($T$301:$T$422,"PIL",C$308:C$438)/C10/1.98)+(SUMIF($T$301:$T$422,"KLK",C$308:C$438)/C10/1.98)</f>
        <v>605.53273883390216</v>
      </c>
      <c r="D447" s="143">
        <f>D$448+(SUMIF($T$301:$T$422,"PIL",D$308:D$438)/D10/1.98)+(SUMIF($T$301:$T$422,"KLK",D$308:D$438)/D10/1.98)</f>
        <v>944.47917267447792</v>
      </c>
      <c r="E447" s="144"/>
      <c r="F447" s="143">
        <f>F$448+(SUMIF($T$301:$T$422,"PIL",F$308:F$438)/F10/1.98)+(SUMIF($T$301:$T$422,"KLK",F$308:F$438)/F10/1.98)</f>
        <v>1083.0720722097424</v>
      </c>
      <c r="G447" s="143">
        <f>G$448+(SUMIF($T$301:$T$422,"PIL",G$308:G$438)/G10/1.98)+(SUMIF($T$301:$T$422,"KLK",G$308:G$438)/G10/1.98)</f>
        <v>1196.5773345183818</v>
      </c>
      <c r="H447" s="143">
        <f>H$448+(SUMIF($T$301:$T$422,"PIL",H$308:H$438)/H10/1.98)+(SUMIF($T$301:$T$422,"KLK",H$308:H$438)/H10/1.98)</f>
        <v>1594.2812135474767</v>
      </c>
      <c r="I447" s="52"/>
      <c r="J447" s="143">
        <f>J$448+(SUMIF($T$301:$T$422,"PIL",J$308:J$438)/J10/1.98)+(SUMIF($T$301:$T$422,"KLK",J$308:J$438)/J10/1.98)</f>
        <v>1255.4797154109049</v>
      </c>
      <c r="K447" s="143">
        <f>K$448+(SUMIF($T$301:$T$422,"PIL",K$308:K$438)/K10/1.98)+(SUMIF($T$301:$T$422,"KLK",K$308:K$438)/K10/1.98)</f>
        <v>1031.6651212727538</v>
      </c>
      <c r="L447" s="143">
        <f>L$448+(SUMIF($T$301:$T$422,"PIL",L$308:L$438)/L10/1.98)+(SUMIF($T$301:$T$422,"KLK",L$308:L$438)/L10/1.98)</f>
        <v>910.42866893850248</v>
      </c>
      <c r="M447" s="52"/>
      <c r="N447" s="143">
        <f>N$448+(SUMIF($T$301:$T$422,"PIL",N$308:N$438)/N10/1.98)+(SUMIF($T$301:$T$422,"KLK",N$308:N$438)/N10/1.98)</f>
        <v>385.99330871547943</v>
      </c>
      <c r="O447" s="143">
        <f>O$448+(SUMIF($T$301:$T$422,"PIL",O$308:O$438)/O10/1.98)+(SUMIF($T$301:$T$422,"KLK",O$308:O$438)/O10/1.98)</f>
        <v>332.2198026660962</v>
      </c>
      <c r="P447" s="143">
        <f>P$448+(SUMIF($T$301:$T$422,"PIL",P$308:P$438)/P10/1.98)+(SUMIF($T$301:$T$422,"KLK",P$308:P$438)/P10/1.98)</f>
        <v>428.7525097246438</v>
      </c>
      <c r="Q447" s="52"/>
      <c r="R447" s="52"/>
    </row>
    <row r="448" spans="1:20" ht="15.75" customHeight="1" x14ac:dyDescent="0.3">
      <c r="A448" s="142" t="s">
        <v>477</v>
      </c>
      <c r="B448" s="143">
        <f>B$449+(SUMIF($T$301:$T$422,"CGE",B$308:B$438)/B10/1.98)</f>
        <v>226.72299097558965</v>
      </c>
      <c r="C448" s="143">
        <f>C$449+(SUMIF($T$301:$T$422,"CGE",C$308:C$438)/C10/1.98)</f>
        <v>605.53273883390216</v>
      </c>
      <c r="D448" s="143">
        <f>D$449+(SUMIF($T$301:$T$422,"CGE",D$308:D$438)/D10/1.98)</f>
        <v>944.47917267447792</v>
      </c>
      <c r="E448" s="144"/>
      <c r="F448" s="143">
        <f>F$449+(SUMIF($T$301:$T$422,"CGE",F$308:F$438)/F10/1.98)</f>
        <v>1083.0720722097424</v>
      </c>
      <c r="G448" s="143">
        <f>G$449+(SUMIF($T$301:$T$422,"CGE",G$308:G$438)/G10/1.98)</f>
        <v>1196.5773345183818</v>
      </c>
      <c r="H448" s="143">
        <f>H$449+(SUMIF($T$301:$T$422,"CGE",H$308:H$438)/H10/1.98)</f>
        <v>1594.2812135474767</v>
      </c>
      <c r="I448" s="52"/>
      <c r="J448" s="143">
        <f>J$449+(SUMIF($T$301:$T$422,"CGE",J$308:J$438)/J10/1.98)</f>
        <v>1255.4797154109049</v>
      </c>
      <c r="K448" s="143">
        <f>K$449+(SUMIF($T$301:$T$422,"CGE",K$308:K$438)/K10/1.98)</f>
        <v>1031.6651212727538</v>
      </c>
      <c r="L448" s="143">
        <f>L$449+(SUMIF($T$301:$T$422,"CGE",L$308:L$438)/L10/1.98)</f>
        <v>910.42866893850248</v>
      </c>
      <c r="M448" s="52"/>
      <c r="N448" s="143">
        <f>N$449+(SUMIF($T$301:$T$422,"CGE",N$308:N$438)/N10/1.98)</f>
        <v>385.99330871547943</v>
      </c>
      <c r="O448" s="143">
        <f>O$449+(SUMIF($T$301:$T$422,"CGE",O$308:O$438)/O10/1.98)</f>
        <v>331.4453918916854</v>
      </c>
      <c r="P448" s="143">
        <f>P$449+(SUMIF($T$301:$T$422,"CGE",P$308:P$438)/P10/1.98)</f>
        <v>415.36052536491752</v>
      </c>
      <c r="Q448" s="52"/>
      <c r="R448" s="52"/>
    </row>
    <row r="449" spans="1:20" ht="15.75" customHeight="1" x14ac:dyDescent="0.3">
      <c r="A449" s="142" t="s">
        <v>478</v>
      </c>
      <c r="B449" s="143">
        <f>B$450+(SUMIF($T$301:$T$422,"SRO",B$308:B$438)/B10/1.98)</f>
        <v>226.72299097558965</v>
      </c>
      <c r="C449" s="143">
        <f>C$450+(SUMIF($T$301:$T$422,"SRO",C$308:C$438)/C10/1.98)</f>
        <v>605.53273883390216</v>
      </c>
      <c r="D449" s="143">
        <f>D$450+(SUMIF($T$301:$T$422,"SRO",D$308:D$438)/D10/1.98)</f>
        <v>923.70693416030394</v>
      </c>
      <c r="E449" s="144"/>
      <c r="F449" s="143">
        <f>F$450+(SUMIF($T$301:$T$422,"SRO",F$308:F$438)/F10/1.98)</f>
        <v>1051.3212304589006</v>
      </c>
      <c r="G449" s="143">
        <f>G$450+(SUMIF($T$301:$T$422,"SRO",G$308:G$438)/G10/1.98)</f>
        <v>1193.4981556327514</v>
      </c>
      <c r="H449" s="143">
        <f>H$450+(SUMIF($T$301:$T$422,"SRO",H$308:H$438)/H10/1.98)</f>
        <v>1539.550573816837</v>
      </c>
      <c r="I449" s="52"/>
      <c r="J449" s="143">
        <f>J$450+(SUMIF($T$301:$T$422,"SRO",J$308:J$438)/J10/1.98)</f>
        <v>1203.8831041368742</v>
      </c>
      <c r="K449" s="143">
        <f>K$450+(SUMIF($T$301:$T$422,"SRO",K$308:K$438)/K10/1.98)</f>
        <v>1011.5934366849402</v>
      </c>
      <c r="L449" s="143">
        <f>L$450+(SUMIF($T$301:$T$422,"SRO",L$308:L$438)/L10/1.98)</f>
        <v>910.42866893850248</v>
      </c>
      <c r="M449" s="52"/>
      <c r="N449" s="143">
        <f>N$450+(SUMIF($T$301:$T$422,"SRO",N$308:N$438)/N10/1.98)</f>
        <v>385.99330871547943</v>
      </c>
      <c r="O449" s="143">
        <f>O$450+(SUMIF($T$301:$T$422,"SRO",O$308:O$438)/O10/1.98)</f>
        <v>331.4453918916854</v>
      </c>
      <c r="P449" s="143">
        <f>P$450+(SUMIF($T$301:$T$422,"SRO",P$308:P$438)/P10/1.98)</f>
        <v>415.36052536491752</v>
      </c>
      <c r="Q449" s="52"/>
      <c r="R449" s="52"/>
    </row>
    <row r="450" spans="1:20" ht="15.75" customHeight="1" x14ac:dyDescent="0.3">
      <c r="A450" s="142" t="s">
        <v>479</v>
      </c>
      <c r="B450" s="143">
        <f>B$490/B10/1.983</f>
        <v>147.77219266995266</v>
      </c>
      <c r="C450" s="143">
        <f>C$490/C10/1.983</f>
        <v>313.90961100387779</v>
      </c>
      <c r="D450" s="143">
        <f>D$490/D10/1.983</f>
        <v>514.71377678004978</v>
      </c>
      <c r="E450" s="98"/>
      <c r="F450" s="143">
        <f>F$490/F10/1.983</f>
        <v>661.32123045890069</v>
      </c>
      <c r="G450" s="143">
        <f>G$490/G10/1.983</f>
        <v>592.29255120134042</v>
      </c>
      <c r="H450" s="143">
        <f>H$490/H10/1.983</f>
        <v>763.28794755421075</v>
      </c>
      <c r="I450" s="1"/>
      <c r="J450" s="143">
        <f>J$490/J10/1.983</f>
        <v>813.49535568460954</v>
      </c>
      <c r="K450" s="143">
        <f>K$490/K10/1.983</f>
        <v>584.89092772436675</v>
      </c>
      <c r="L450" s="143">
        <f>L$490/L10/1.983</f>
        <v>561.52294503277858</v>
      </c>
      <c r="N450" s="143">
        <f>N$490/N10/1.983</f>
        <v>179.90011875132171</v>
      </c>
      <c r="O450" s="143">
        <f>O$490/O10/1.983</f>
        <v>201.59690704320053</v>
      </c>
      <c r="P450" s="143">
        <f>P$490/P10/1.983</f>
        <v>259.90272152001688</v>
      </c>
      <c r="R450" s="52"/>
    </row>
    <row r="451" spans="1:20" ht="15.75" customHeight="1" x14ac:dyDescent="0.3">
      <c r="A451" s="142"/>
      <c r="B451" s="143"/>
      <c r="C451" s="143"/>
      <c r="D451" s="143"/>
      <c r="E451" s="98"/>
      <c r="F451" s="143"/>
      <c r="G451" s="143"/>
      <c r="H451" s="143"/>
      <c r="I451" s="1"/>
      <c r="J451" s="143"/>
      <c r="K451" s="143"/>
      <c r="L451" s="143"/>
      <c r="N451" s="143"/>
      <c r="O451" s="143"/>
      <c r="P451" s="143"/>
      <c r="R451" s="52"/>
    </row>
    <row r="452" spans="1:20" ht="15.75" customHeight="1" thickBot="1" x14ac:dyDescent="0.35">
      <c r="A452" s="30"/>
      <c r="B452" s="1"/>
      <c r="C452" s="1"/>
      <c r="D452" s="1"/>
      <c r="E452" s="1"/>
      <c r="F452" s="1"/>
      <c r="G452" s="1"/>
      <c r="H452" s="1"/>
      <c r="I452" s="1"/>
      <c r="J452" s="1"/>
      <c r="K452" s="1"/>
      <c r="L452" s="1"/>
      <c r="M452" s="1"/>
      <c r="N452" s="1"/>
      <c r="O452" s="1"/>
      <c r="P452" s="1"/>
      <c r="Q452" s="1"/>
      <c r="R452" s="28"/>
    </row>
    <row r="453" spans="1:20" ht="16.5" customHeight="1" thickBot="1" x14ac:dyDescent="0.35">
      <c r="A453" s="31" t="s">
        <v>480</v>
      </c>
      <c r="B453" s="323" t="s">
        <v>36</v>
      </c>
      <c r="C453" s="324" t="s">
        <v>9</v>
      </c>
      <c r="D453" s="324" t="s">
        <v>10</v>
      </c>
      <c r="E453" s="325" t="s">
        <v>11</v>
      </c>
      <c r="F453" s="324" t="s">
        <v>12</v>
      </c>
      <c r="G453" s="324" t="s">
        <v>13</v>
      </c>
      <c r="H453" s="324" t="s">
        <v>14</v>
      </c>
      <c r="I453" s="34" t="s">
        <v>15</v>
      </c>
      <c r="J453" s="324" t="s">
        <v>16</v>
      </c>
      <c r="K453" s="324" t="s">
        <v>17</v>
      </c>
      <c r="L453" s="324" t="s">
        <v>18</v>
      </c>
      <c r="M453" s="34" t="s">
        <v>19</v>
      </c>
      <c r="N453" s="324" t="s">
        <v>20</v>
      </c>
      <c r="O453" s="324" t="s">
        <v>21</v>
      </c>
      <c r="P453" s="324" t="s">
        <v>22</v>
      </c>
      <c r="Q453" s="34" t="s">
        <v>23</v>
      </c>
      <c r="R453" s="326" t="s">
        <v>24</v>
      </c>
    </row>
    <row r="454" spans="1:20" ht="16.5" customHeight="1" thickBot="1" x14ac:dyDescent="0.35">
      <c r="A454" s="64"/>
      <c r="B454" s="81"/>
      <c r="C454" s="81"/>
      <c r="D454" s="81"/>
      <c r="E454" s="72"/>
      <c r="F454" s="81"/>
      <c r="G454" s="81"/>
      <c r="H454" s="81"/>
      <c r="I454" s="89"/>
      <c r="J454" s="81"/>
      <c r="K454" s="81"/>
      <c r="L454" s="81"/>
      <c r="M454" s="89"/>
      <c r="N454" s="81"/>
      <c r="O454" s="81"/>
      <c r="P454" s="81"/>
      <c r="Q454" s="89"/>
      <c r="R454" s="117"/>
    </row>
    <row r="455" spans="1:20" ht="15.75" customHeight="1" x14ac:dyDescent="0.3">
      <c r="A455" s="17" t="s">
        <v>45</v>
      </c>
      <c r="B455" s="1" t="s">
        <v>7</v>
      </c>
      <c r="C455" s="1" t="s">
        <v>7</v>
      </c>
      <c r="D455" s="1" t="s">
        <v>7</v>
      </c>
      <c r="E455" s="59" t="s">
        <v>7</v>
      </c>
      <c r="F455" s="1" t="s">
        <v>7</v>
      </c>
      <c r="G455" s="1" t="s">
        <v>7</v>
      </c>
      <c r="H455" s="1" t="s">
        <v>7</v>
      </c>
      <c r="I455" s="59" t="s">
        <v>7</v>
      </c>
      <c r="J455" s="1" t="s">
        <v>7</v>
      </c>
      <c r="K455" s="1" t="s">
        <v>7</v>
      </c>
      <c r="L455" s="1" t="s">
        <v>7</v>
      </c>
      <c r="M455" s="59" t="s">
        <v>7</v>
      </c>
      <c r="N455" s="1" t="s">
        <v>7</v>
      </c>
      <c r="O455" s="1" t="s">
        <v>7</v>
      </c>
      <c r="P455" s="1" t="s">
        <v>7</v>
      </c>
      <c r="Q455" s="59" t="s">
        <v>7</v>
      </c>
      <c r="R455" s="59" t="s">
        <v>7</v>
      </c>
    </row>
    <row r="456" spans="1:20" ht="15.75" customHeight="1" x14ac:dyDescent="0.3">
      <c r="A456" s="17" t="s">
        <v>46</v>
      </c>
      <c r="B456" s="1"/>
      <c r="C456" s="1"/>
      <c r="D456" s="1"/>
      <c r="E456" s="59" t="s">
        <v>7</v>
      </c>
      <c r="F456" s="1"/>
      <c r="G456" s="1"/>
      <c r="H456" s="1"/>
      <c r="I456" s="59" t="s">
        <v>7</v>
      </c>
      <c r="J456" s="1"/>
      <c r="K456" s="1"/>
      <c r="L456" s="1"/>
      <c r="M456" s="59" t="s">
        <v>7</v>
      </c>
      <c r="N456" s="1"/>
      <c r="O456" s="1"/>
      <c r="P456" s="1"/>
      <c r="Q456" s="59" t="s">
        <v>7</v>
      </c>
      <c r="R456" s="59" t="s">
        <v>7</v>
      </c>
    </row>
    <row r="457" spans="1:20" ht="15.75" customHeight="1" x14ac:dyDescent="0.3">
      <c r="A457" s="74" t="s">
        <v>947</v>
      </c>
      <c r="B457" s="1"/>
      <c r="C457" s="1"/>
      <c r="D457" s="1">
        <v>2</v>
      </c>
      <c r="E457" s="59">
        <f>SUM(B457:D457)</f>
        <v>2</v>
      </c>
      <c r="F457" s="1">
        <v>5</v>
      </c>
      <c r="G457" s="1">
        <v>10</v>
      </c>
      <c r="H457" s="1">
        <v>6</v>
      </c>
      <c r="I457" s="59">
        <f>SUM(F457:H457)</f>
        <v>21</v>
      </c>
      <c r="J457" s="1">
        <v>11</v>
      </c>
      <c r="K457" s="1">
        <v>2</v>
      </c>
      <c r="L457" s="1">
        <v>0</v>
      </c>
      <c r="M457" s="59">
        <f>SUM(J457:L457)</f>
        <v>13</v>
      </c>
      <c r="N457" s="1"/>
      <c r="O457" s="1"/>
      <c r="P457" s="1"/>
      <c r="Q457" s="59">
        <f>SUM(N457:P457)</f>
        <v>0</v>
      </c>
      <c r="R457" s="59">
        <f>+E457+I457+M457+Q457</f>
        <v>36</v>
      </c>
      <c r="T457" s="4" t="s">
        <v>366</v>
      </c>
    </row>
    <row r="458" spans="1:20" ht="15.75" customHeight="1" x14ac:dyDescent="0.3">
      <c r="A458" s="74" t="s">
        <v>484</v>
      </c>
      <c r="B458" s="1"/>
      <c r="C458" s="1"/>
      <c r="D458" s="1"/>
      <c r="E458" s="59">
        <f>SUM(B458:D458)</f>
        <v>0</v>
      </c>
      <c r="F458" s="1"/>
      <c r="G458" s="1">
        <v>1100</v>
      </c>
      <c r="H458" s="1"/>
      <c r="I458" s="59">
        <f>SUM(F458:H458)</f>
        <v>1100</v>
      </c>
      <c r="J458" s="1"/>
      <c r="K458" s="1"/>
      <c r="L458" s="1"/>
      <c r="M458" s="59">
        <f>SUM(J458:L458)</f>
        <v>0</v>
      </c>
      <c r="N458" s="1"/>
      <c r="O458" s="1"/>
      <c r="P458" s="1"/>
      <c r="Q458" s="59">
        <f>SUM(N458:P458)</f>
        <v>0</v>
      </c>
      <c r="R458" s="59">
        <f>+E458+I458+M458+Q458</f>
        <v>1100</v>
      </c>
      <c r="T458" s="4" t="s">
        <v>366</v>
      </c>
    </row>
    <row r="459" spans="1:20" ht="15.75" customHeight="1" x14ac:dyDescent="0.3">
      <c r="A459" s="76" t="s">
        <v>485</v>
      </c>
      <c r="B459" s="1"/>
      <c r="C459" s="1"/>
      <c r="D459" s="1"/>
      <c r="E459" s="59">
        <f>SUM(B459:D459)</f>
        <v>0</v>
      </c>
      <c r="F459" s="1"/>
      <c r="G459" s="1"/>
      <c r="H459" s="1"/>
      <c r="I459" s="59">
        <f>SUM(F459:H459)</f>
        <v>0</v>
      </c>
      <c r="J459" s="1"/>
      <c r="K459" s="1"/>
      <c r="L459" s="1"/>
      <c r="M459" s="59">
        <f>SUM(J459:L459)</f>
        <v>0</v>
      </c>
      <c r="N459" s="1"/>
      <c r="O459" s="1"/>
      <c r="P459" s="1"/>
      <c r="Q459" s="59">
        <f>SUM(N459:P459)</f>
        <v>0</v>
      </c>
      <c r="R459" s="59">
        <f>+E459+I459+M459+Q459</f>
        <v>0</v>
      </c>
      <c r="T459" s="4" t="s">
        <v>366</v>
      </c>
    </row>
    <row r="460" spans="1:20" ht="15.75" customHeight="1" x14ac:dyDescent="0.3">
      <c r="A460" s="17" t="s">
        <v>47</v>
      </c>
      <c r="B460" s="1"/>
      <c r="C460" s="1"/>
      <c r="D460" s="1"/>
      <c r="E460" s="59" t="s">
        <v>7</v>
      </c>
      <c r="F460" s="1"/>
      <c r="G460" s="1"/>
      <c r="H460" s="1"/>
      <c r="I460" s="59" t="s">
        <v>7</v>
      </c>
      <c r="J460" s="1"/>
      <c r="K460" s="1"/>
      <c r="L460" s="1"/>
      <c r="M460" s="59" t="s">
        <v>7</v>
      </c>
      <c r="N460" s="1"/>
      <c r="O460" s="1"/>
      <c r="P460" s="1"/>
      <c r="Q460" s="59" t="s">
        <v>7</v>
      </c>
      <c r="R460" s="59" t="s">
        <v>7</v>
      </c>
    </row>
    <row r="461" spans="1:20" ht="15.75" customHeight="1" x14ac:dyDescent="0.3">
      <c r="A461" s="74" t="s">
        <v>486</v>
      </c>
      <c r="B461" s="1"/>
      <c r="C461" s="1"/>
      <c r="D461" s="1"/>
      <c r="E461" s="59">
        <f>SUM(B461:D461)</f>
        <v>0</v>
      </c>
      <c r="F461" s="1"/>
      <c r="G461" s="1"/>
      <c r="H461" s="1"/>
      <c r="I461" s="59">
        <f>SUM(F461:H461)</f>
        <v>0</v>
      </c>
      <c r="J461" s="1"/>
      <c r="K461" s="1"/>
      <c r="L461" s="1"/>
      <c r="M461" s="59">
        <f>SUM(J461:L461)</f>
        <v>0</v>
      </c>
      <c r="N461" s="1"/>
      <c r="O461" s="1"/>
      <c r="P461" s="1"/>
      <c r="Q461" s="59">
        <f>SUM(N461:P461)</f>
        <v>0</v>
      </c>
      <c r="R461" s="59">
        <f>+E461+I461+M461+Q461</f>
        <v>0</v>
      </c>
    </row>
    <row r="462" spans="1:20" ht="15.75" customHeight="1" x14ac:dyDescent="0.3">
      <c r="A462" s="74" t="s">
        <v>487</v>
      </c>
      <c r="B462" s="1"/>
      <c r="C462" s="1"/>
      <c r="D462" s="1"/>
      <c r="E462" s="59">
        <f>SUM(B462:D462)</f>
        <v>0</v>
      </c>
      <c r="F462" s="1"/>
      <c r="G462" s="1"/>
      <c r="H462" s="1"/>
      <c r="I462" s="59">
        <f>SUM(F462:H462)</f>
        <v>0</v>
      </c>
      <c r="J462" s="1"/>
      <c r="K462" s="1"/>
      <c r="L462" s="1"/>
      <c r="M462" s="59">
        <f>SUM(J462:L462)</f>
        <v>0</v>
      </c>
      <c r="N462" s="1"/>
      <c r="O462" s="1"/>
      <c r="P462" s="1"/>
      <c r="Q462" s="59">
        <f>SUM(N462:P462)</f>
        <v>0</v>
      </c>
      <c r="R462" s="59">
        <f>+E462+I462+M462+Q462</f>
        <v>0</v>
      </c>
    </row>
    <row r="463" spans="1:20" ht="15.75" customHeight="1" x14ac:dyDescent="0.3">
      <c r="A463" s="17" t="s">
        <v>898</v>
      </c>
      <c r="B463" s="1"/>
      <c r="C463" s="1"/>
      <c r="D463" s="1"/>
      <c r="E463" s="59" t="s">
        <v>7</v>
      </c>
      <c r="F463" s="1"/>
      <c r="G463" s="1"/>
      <c r="H463" s="1"/>
      <c r="I463" s="59" t="s">
        <v>7</v>
      </c>
      <c r="J463" s="1"/>
      <c r="K463" s="1"/>
      <c r="L463" s="1"/>
      <c r="M463" s="59" t="s">
        <v>7</v>
      </c>
      <c r="N463" s="1"/>
      <c r="O463" s="1"/>
      <c r="P463" s="1"/>
      <c r="Q463" s="59" t="s">
        <v>7</v>
      </c>
      <c r="R463" s="59" t="s">
        <v>7</v>
      </c>
    </row>
    <row r="464" spans="1:20" ht="15.75" customHeight="1" thickBot="1" x14ac:dyDescent="0.35">
      <c r="A464" s="17" t="s">
        <v>51</v>
      </c>
      <c r="B464" s="1"/>
      <c r="C464" s="1"/>
      <c r="D464" s="1"/>
      <c r="E464" s="59" t="s">
        <v>7</v>
      </c>
      <c r="F464" s="1"/>
      <c r="G464" s="1"/>
      <c r="H464" s="1"/>
      <c r="I464" s="59" t="s">
        <v>7</v>
      </c>
      <c r="J464" s="1"/>
      <c r="K464" s="1"/>
      <c r="L464" s="1"/>
      <c r="M464" s="59" t="s">
        <v>7</v>
      </c>
      <c r="N464" s="1"/>
      <c r="O464" s="1"/>
      <c r="P464" s="1"/>
      <c r="Q464" s="59" t="s">
        <v>7</v>
      </c>
      <c r="R464" s="59" t="s">
        <v>7</v>
      </c>
    </row>
    <row r="465" spans="1:20" ht="16.5" customHeight="1" thickBot="1" x14ac:dyDescent="0.35">
      <c r="A465" s="126" t="s">
        <v>52</v>
      </c>
      <c r="B465" s="100">
        <f>SUM(B455:B464)</f>
        <v>0</v>
      </c>
      <c r="C465" s="101">
        <f>SUM(C455:C464)</f>
        <v>0</v>
      </c>
      <c r="D465" s="101">
        <f>SUM(D455:D464)</f>
        <v>2</v>
      </c>
      <c r="E465" s="64">
        <f>SUM(B465:D465)</f>
        <v>2</v>
      </c>
      <c r="F465" s="101">
        <f>SUM(F455:F464)</f>
        <v>5</v>
      </c>
      <c r="G465" s="101">
        <f>SUM(G455:G464)</f>
        <v>1110</v>
      </c>
      <c r="H465" s="101">
        <f>SUM(H455:H464)</f>
        <v>6</v>
      </c>
      <c r="I465" s="64">
        <f>SUM(F465:H465)</f>
        <v>1121</v>
      </c>
      <c r="J465" s="101">
        <f>SUM(J455:J464)</f>
        <v>11</v>
      </c>
      <c r="K465" s="101">
        <f>SUM(K455:K464)</f>
        <v>2</v>
      </c>
      <c r="L465" s="101">
        <f>SUM(L455:L464)</f>
        <v>0</v>
      </c>
      <c r="M465" s="64">
        <f>SUM(J465:L465)</f>
        <v>13</v>
      </c>
      <c r="N465" s="101">
        <f>SUM(N455:N464)</f>
        <v>0</v>
      </c>
      <c r="O465" s="101">
        <f>SUM(O455:O464)</f>
        <v>0</v>
      </c>
      <c r="P465" s="101">
        <f>SUM(P455:P464)</f>
        <v>0</v>
      </c>
      <c r="Q465" s="64">
        <f>SUM(N465:P465)</f>
        <v>0</v>
      </c>
      <c r="R465" s="64">
        <f>+E465+I465+M465+Q465</f>
        <v>1136</v>
      </c>
    </row>
    <row r="466" spans="1:20" ht="15.75" customHeight="1" x14ac:dyDescent="0.3">
      <c r="A466" s="17" t="s">
        <v>53</v>
      </c>
      <c r="B466" s="1"/>
      <c r="C466" s="1"/>
      <c r="D466" s="1"/>
      <c r="E466" s="59" t="s">
        <v>7</v>
      </c>
      <c r="F466" s="1"/>
      <c r="G466" s="1"/>
      <c r="H466" s="1"/>
      <c r="I466" s="59" t="s">
        <v>7</v>
      </c>
      <c r="J466" s="1"/>
      <c r="K466" s="1"/>
      <c r="L466" s="1"/>
      <c r="M466" s="59" t="s">
        <v>7</v>
      </c>
      <c r="N466" s="1" t="s">
        <v>7</v>
      </c>
      <c r="O466" s="1"/>
      <c r="P466" s="1"/>
      <c r="Q466" s="59" t="s">
        <v>7</v>
      </c>
      <c r="R466" s="59" t="s">
        <v>7</v>
      </c>
    </row>
    <row r="467" spans="1:20" ht="15.75" customHeight="1" x14ac:dyDescent="0.3">
      <c r="A467" s="17" t="s">
        <v>55</v>
      </c>
      <c r="B467" s="1"/>
      <c r="C467" s="1"/>
      <c r="D467" s="1"/>
      <c r="E467" s="59" t="s">
        <v>7</v>
      </c>
      <c r="F467" s="1"/>
      <c r="G467" s="1"/>
      <c r="H467" s="1"/>
      <c r="I467" s="59" t="s">
        <v>7</v>
      </c>
      <c r="J467" s="1"/>
      <c r="K467" s="1"/>
      <c r="L467" s="1"/>
      <c r="M467" s="59" t="s">
        <v>7</v>
      </c>
      <c r="N467" s="1"/>
      <c r="O467" s="1"/>
      <c r="P467" s="1"/>
      <c r="Q467" s="59" t="s">
        <v>7</v>
      </c>
      <c r="R467" s="59" t="s">
        <v>7</v>
      </c>
    </row>
    <row r="468" spans="1:20" ht="15.75" customHeight="1" x14ac:dyDescent="0.3">
      <c r="A468" s="74" t="s">
        <v>488</v>
      </c>
      <c r="B468" s="1">
        <v>12</v>
      </c>
      <c r="C468" s="1">
        <v>373</v>
      </c>
      <c r="D468" s="1">
        <v>4009</v>
      </c>
      <c r="E468" s="59">
        <f>SUM(B468:D468)</f>
        <v>4394</v>
      </c>
      <c r="F468" s="1">
        <v>3101</v>
      </c>
      <c r="G468" s="1">
        <v>2221</v>
      </c>
      <c r="H468" s="1">
        <v>16285</v>
      </c>
      <c r="I468" s="59">
        <f>SUM(F468:H468)</f>
        <v>21607</v>
      </c>
      <c r="J468" s="1">
        <v>18529</v>
      </c>
      <c r="K468" s="1">
        <v>10662</v>
      </c>
      <c r="L468" s="1">
        <v>5951</v>
      </c>
      <c r="M468" s="59">
        <f>SUM(J468:L468)</f>
        <v>35142</v>
      </c>
      <c r="N468" s="1"/>
      <c r="O468" s="1"/>
      <c r="P468" s="1"/>
      <c r="Q468" s="59">
        <f>SUM(N468:P468)</f>
        <v>0</v>
      </c>
      <c r="R468" s="59">
        <f>+E468+I468+M468+Q468</f>
        <v>61143</v>
      </c>
    </row>
    <row r="469" spans="1:20" ht="15.75" customHeight="1" thickBot="1" x14ac:dyDescent="0.35">
      <c r="A469" s="17" t="s">
        <v>56</v>
      </c>
      <c r="B469" s="1"/>
      <c r="C469" s="1"/>
      <c r="D469" s="1"/>
      <c r="E469" s="59" t="s">
        <v>7</v>
      </c>
      <c r="F469" s="1"/>
      <c r="G469" s="1"/>
      <c r="H469" s="1"/>
      <c r="I469" s="59" t="s">
        <v>7</v>
      </c>
      <c r="J469" s="1"/>
      <c r="K469" s="1"/>
      <c r="L469" s="1"/>
      <c r="M469" s="59" t="s">
        <v>7</v>
      </c>
      <c r="N469" s="1"/>
      <c r="O469" s="1"/>
      <c r="P469" s="1"/>
      <c r="Q469" s="59" t="s">
        <v>7</v>
      </c>
      <c r="R469" s="59" t="s">
        <v>7</v>
      </c>
    </row>
    <row r="470" spans="1:20" ht="16.5" customHeight="1" thickBot="1" x14ac:dyDescent="0.35">
      <c r="A470" s="62" t="s">
        <v>57</v>
      </c>
      <c r="B470" s="100">
        <f>SUM(B466:B469)</f>
        <v>12</v>
      </c>
      <c r="C470" s="101">
        <f>SUM(C466:C469)</f>
        <v>373</v>
      </c>
      <c r="D470" s="101">
        <f>SUM(D466:D469)</f>
        <v>4009</v>
      </c>
      <c r="E470" s="64">
        <f>SUM(B470:D470)</f>
        <v>4394</v>
      </c>
      <c r="F470" s="101">
        <f>SUM(F466:F469)</f>
        <v>3101</v>
      </c>
      <c r="G470" s="101">
        <f>SUM(G466:G469)</f>
        <v>2221</v>
      </c>
      <c r="H470" s="101">
        <f>SUM(H466:H469)</f>
        <v>16285</v>
      </c>
      <c r="I470" s="64">
        <f>SUM(F470:H470)</f>
        <v>21607</v>
      </c>
      <c r="J470" s="101">
        <f>SUM(J466:J469)</f>
        <v>18529</v>
      </c>
      <c r="K470" s="101">
        <f>SUM(K466:K469)</f>
        <v>10662</v>
      </c>
      <c r="L470" s="101">
        <f>SUM(L466:L469)</f>
        <v>5951</v>
      </c>
      <c r="M470" s="64">
        <f>SUM(J470:L470)</f>
        <v>35142</v>
      </c>
      <c r="N470" s="101">
        <f>SUM(N466:N469)</f>
        <v>0</v>
      </c>
      <c r="O470" s="101">
        <f>SUM(O466:O469)</f>
        <v>0</v>
      </c>
      <c r="P470" s="101">
        <f>SUM(P466:P469)</f>
        <v>0</v>
      </c>
      <c r="Q470" s="64">
        <f>SUM(N470:P470)</f>
        <v>0</v>
      </c>
      <c r="R470" s="64">
        <f>+E470+I470+M470+Q470</f>
        <v>61143</v>
      </c>
    </row>
    <row r="471" spans="1:20" ht="15.75" customHeight="1" x14ac:dyDescent="0.3">
      <c r="A471" s="17" t="s">
        <v>58</v>
      </c>
      <c r="B471" s="1"/>
      <c r="C471" s="1"/>
      <c r="D471" s="1"/>
      <c r="E471" s="59" t="s">
        <v>7</v>
      </c>
      <c r="F471" s="1"/>
      <c r="G471" s="1"/>
      <c r="H471" s="1"/>
      <c r="I471" s="59" t="s">
        <v>7</v>
      </c>
      <c r="J471" s="1"/>
      <c r="K471" s="1"/>
      <c r="L471" s="1"/>
      <c r="M471" s="59" t="s">
        <v>7</v>
      </c>
      <c r="N471" s="1"/>
      <c r="O471" s="1"/>
      <c r="P471" s="1"/>
      <c r="Q471" s="59" t="s">
        <v>7</v>
      </c>
      <c r="R471" s="59" t="s">
        <v>7</v>
      </c>
    </row>
    <row r="472" spans="1:20" ht="15.75" customHeight="1" x14ac:dyDescent="0.3">
      <c r="A472" s="17" t="s">
        <v>59</v>
      </c>
      <c r="B472" s="1"/>
      <c r="C472" s="1"/>
      <c r="D472" s="1"/>
      <c r="E472" s="59" t="s">
        <v>7</v>
      </c>
      <c r="F472" s="1"/>
      <c r="G472" s="1"/>
      <c r="H472" s="1"/>
      <c r="I472" s="59" t="s">
        <v>7</v>
      </c>
      <c r="J472" s="1"/>
      <c r="K472" s="1"/>
      <c r="L472" s="1"/>
      <c r="M472" s="59" t="s">
        <v>7</v>
      </c>
      <c r="N472" s="1"/>
      <c r="O472" s="1"/>
      <c r="P472" s="1"/>
      <c r="Q472" s="59" t="s">
        <v>7</v>
      </c>
      <c r="R472" s="59" t="s">
        <v>7</v>
      </c>
    </row>
    <row r="473" spans="1:20" ht="15.75" customHeight="1" x14ac:dyDescent="0.3">
      <c r="A473" s="17" t="s">
        <v>60</v>
      </c>
      <c r="B473" s="1"/>
      <c r="C473" s="1"/>
      <c r="D473" s="1"/>
      <c r="E473" s="59" t="s">
        <v>7</v>
      </c>
      <c r="F473" s="1"/>
      <c r="G473" s="1"/>
      <c r="H473" s="1"/>
      <c r="I473" s="59" t="s">
        <v>7</v>
      </c>
      <c r="J473" s="1"/>
      <c r="K473" s="1"/>
      <c r="L473" s="1"/>
      <c r="M473" s="59" t="s">
        <v>7</v>
      </c>
      <c r="N473" s="1"/>
      <c r="O473" s="1"/>
      <c r="P473" s="1"/>
      <c r="Q473" s="59" t="s">
        <v>7</v>
      </c>
      <c r="R473" s="59" t="s">
        <v>7</v>
      </c>
    </row>
    <row r="474" spans="1:20" ht="15.75" customHeight="1" thickBot="1" x14ac:dyDescent="0.35">
      <c r="A474" s="103" t="s">
        <v>856</v>
      </c>
      <c r="B474" s="1"/>
      <c r="C474" s="1"/>
      <c r="D474" s="4">
        <v>3000</v>
      </c>
      <c r="E474" s="59">
        <f>SUM(B474:D474)</f>
        <v>3000</v>
      </c>
      <c r="F474" s="1">
        <v>6000</v>
      </c>
      <c r="G474" s="1">
        <v>6000</v>
      </c>
      <c r="H474" s="1"/>
      <c r="I474" s="59">
        <f>SUM(F474:H474)</f>
        <v>12000</v>
      </c>
      <c r="J474" s="1">
        <v>3000</v>
      </c>
      <c r="K474" s="1"/>
      <c r="L474" s="1"/>
      <c r="M474" s="59">
        <f>SUM(J474:L474)</f>
        <v>3000</v>
      </c>
      <c r="N474" s="1"/>
      <c r="O474" s="1"/>
      <c r="P474" s="1">
        <v>1092</v>
      </c>
      <c r="Q474" s="59">
        <f>SUM(N474:P474)</f>
        <v>1092</v>
      </c>
      <c r="R474" s="59">
        <f>+E474+I474+M474+Q474</f>
        <v>19092</v>
      </c>
      <c r="T474" s="4" t="s">
        <v>366</v>
      </c>
    </row>
    <row r="475" spans="1:20" ht="16.5" customHeight="1" thickBot="1" x14ac:dyDescent="0.35">
      <c r="A475" s="137" t="s">
        <v>61</v>
      </c>
      <c r="B475" s="100">
        <f>SUM(B471:B474)</f>
        <v>0</v>
      </c>
      <c r="C475" s="101">
        <f>SUM(C471:C474)</f>
        <v>0</v>
      </c>
      <c r="D475" s="101">
        <f>SUM(D471:D474)</f>
        <v>3000</v>
      </c>
      <c r="E475" s="64">
        <f>SUM(B475:D475)</f>
        <v>3000</v>
      </c>
      <c r="F475" s="101">
        <f>SUM(F471:F474)</f>
        <v>6000</v>
      </c>
      <c r="G475" s="101">
        <f>SUM(G471:G474)</f>
        <v>6000</v>
      </c>
      <c r="H475" s="101">
        <f>SUM(H471:H474)</f>
        <v>0</v>
      </c>
      <c r="I475" s="64">
        <f>SUM(F475:H475)</f>
        <v>12000</v>
      </c>
      <c r="J475" s="101">
        <f>SUM(J471:J474)</f>
        <v>3000</v>
      </c>
      <c r="K475" s="101">
        <f>SUM(K471:K474)</f>
        <v>0</v>
      </c>
      <c r="L475" s="101">
        <f>SUM(L471:L474)</f>
        <v>0</v>
      </c>
      <c r="M475" s="64">
        <f>SUM(J475:L475)</f>
        <v>3000</v>
      </c>
      <c r="N475" s="101">
        <f>SUM(N471:N474)</f>
        <v>0</v>
      </c>
      <c r="O475" s="101">
        <f>SUM(O471:O474)</f>
        <v>0</v>
      </c>
      <c r="P475" s="101">
        <f>SUM(P471:P474)</f>
        <v>1092</v>
      </c>
      <c r="Q475" s="64">
        <f>SUM(N475:P475)</f>
        <v>1092</v>
      </c>
      <c r="R475" s="64">
        <f>+E475+I475+M475+Q475</f>
        <v>19092</v>
      </c>
    </row>
    <row r="476" spans="1:20" ht="15.75" customHeight="1" x14ac:dyDescent="0.3">
      <c r="A476" s="17" t="s">
        <v>62</v>
      </c>
      <c r="B476" s="1"/>
      <c r="C476" s="1"/>
      <c r="D476" s="1"/>
      <c r="E476" s="59" t="s">
        <v>7</v>
      </c>
      <c r="F476" s="1"/>
      <c r="G476" s="1"/>
      <c r="H476" s="1"/>
      <c r="I476" s="59" t="s">
        <v>7</v>
      </c>
      <c r="J476" s="1"/>
      <c r="K476" s="1"/>
      <c r="L476" s="1"/>
      <c r="M476" s="59" t="s">
        <v>7</v>
      </c>
      <c r="N476" s="1"/>
      <c r="O476" s="1"/>
      <c r="P476" s="1"/>
      <c r="Q476" s="59" t="s">
        <v>7</v>
      </c>
      <c r="R476" s="59" t="s">
        <v>7</v>
      </c>
    </row>
    <row r="477" spans="1:20" ht="15.75" customHeight="1" x14ac:dyDescent="0.3">
      <c r="A477" s="17" t="s">
        <v>63</v>
      </c>
      <c r="B477" s="1"/>
      <c r="C477" s="1"/>
      <c r="D477" s="1"/>
      <c r="E477" s="59" t="s">
        <v>7</v>
      </c>
      <c r="F477" s="1"/>
      <c r="G477" s="1"/>
      <c r="H477" s="1"/>
      <c r="I477" s="59" t="s">
        <v>7</v>
      </c>
      <c r="J477" s="1"/>
      <c r="K477" s="1"/>
      <c r="L477" s="1"/>
      <c r="M477" s="59" t="s">
        <v>7</v>
      </c>
      <c r="N477" s="1"/>
      <c r="O477" s="1"/>
      <c r="P477" s="1"/>
      <c r="Q477" s="59" t="s">
        <v>7</v>
      </c>
      <c r="R477" s="59" t="s">
        <v>7</v>
      </c>
    </row>
    <row r="478" spans="1:20" ht="15.75" customHeight="1" x14ac:dyDescent="0.3">
      <c r="A478" s="17" t="s">
        <v>64</v>
      </c>
      <c r="B478" s="1"/>
      <c r="C478" s="1"/>
      <c r="D478" s="1"/>
      <c r="E478" s="59" t="s">
        <v>7</v>
      </c>
      <c r="F478" s="1"/>
      <c r="G478" s="1"/>
      <c r="H478" s="1"/>
      <c r="I478" s="59" t="s">
        <v>7</v>
      </c>
      <c r="J478" s="1"/>
      <c r="K478" s="1"/>
      <c r="L478" s="1"/>
      <c r="M478" s="59" t="s">
        <v>7</v>
      </c>
      <c r="N478" s="1"/>
      <c r="O478" s="1"/>
      <c r="P478" s="1"/>
      <c r="Q478" s="59" t="s">
        <v>7</v>
      </c>
      <c r="R478" s="59" t="s">
        <v>7</v>
      </c>
    </row>
    <row r="479" spans="1:20" ht="15.75" customHeight="1" x14ac:dyDescent="0.3">
      <c r="A479" s="17" t="s">
        <v>66</v>
      </c>
      <c r="B479" s="1"/>
      <c r="C479" s="1"/>
      <c r="D479" s="1"/>
      <c r="E479" s="59" t="s">
        <v>7</v>
      </c>
      <c r="F479" s="1"/>
      <c r="G479" s="1"/>
      <c r="H479" s="1"/>
      <c r="I479" s="59" t="s">
        <v>7</v>
      </c>
      <c r="J479" s="1"/>
      <c r="K479" s="1"/>
      <c r="L479" s="1"/>
      <c r="M479" s="59" t="s">
        <v>7</v>
      </c>
      <c r="N479" s="1"/>
      <c r="O479" s="1"/>
      <c r="P479" s="1"/>
      <c r="Q479" s="59" t="s">
        <v>7</v>
      </c>
      <c r="R479" s="59" t="s">
        <v>7</v>
      </c>
    </row>
    <row r="480" spans="1:20" ht="15.75" customHeight="1" x14ac:dyDescent="0.3">
      <c r="A480" s="17" t="s">
        <v>67</v>
      </c>
      <c r="B480" s="1"/>
      <c r="C480" s="1"/>
      <c r="D480" s="1"/>
      <c r="E480" s="59" t="s">
        <v>7</v>
      </c>
      <c r="F480" s="1"/>
      <c r="G480" s="1"/>
      <c r="H480" s="1"/>
      <c r="I480" s="59" t="s">
        <v>7</v>
      </c>
      <c r="J480" s="1"/>
      <c r="K480" s="1"/>
      <c r="L480" s="1"/>
      <c r="M480" s="59" t="s">
        <v>7</v>
      </c>
      <c r="N480" s="1"/>
      <c r="O480" s="1"/>
      <c r="P480" s="1"/>
      <c r="Q480" s="59" t="s">
        <v>7</v>
      </c>
      <c r="R480" s="59" t="s">
        <v>7</v>
      </c>
    </row>
    <row r="481" spans="1:20" ht="15.75" customHeight="1" x14ac:dyDescent="0.3">
      <c r="A481" s="74" t="s">
        <v>460</v>
      </c>
      <c r="B481" s="1"/>
      <c r="C481" s="1"/>
      <c r="D481" s="1"/>
      <c r="E481" s="59">
        <f t="shared" ref="E481:E486" si="98">SUM(B481:D481)</f>
        <v>0</v>
      </c>
      <c r="F481" s="1"/>
      <c r="G481" s="1"/>
      <c r="H481" s="1"/>
      <c r="I481" s="59">
        <f t="shared" ref="I481:I486" si="99">SUM(F481:H481)</f>
        <v>0</v>
      </c>
      <c r="J481" s="1"/>
      <c r="K481" s="1"/>
      <c r="L481" s="1">
        <v>1457</v>
      </c>
      <c r="M481" s="59">
        <f t="shared" ref="M481:M486" si="100">SUM(J481:L481)</f>
        <v>1457</v>
      </c>
      <c r="N481" s="1">
        <v>2810</v>
      </c>
      <c r="O481" s="1">
        <v>1573</v>
      </c>
      <c r="P481" s="1"/>
      <c r="Q481" s="59">
        <f t="shared" ref="Q481:Q486" si="101">SUM(N481:P481)</f>
        <v>4383</v>
      </c>
      <c r="R481" s="59">
        <f t="shared" ref="R481:R486" si="102">+E481+I481+M481+Q481</f>
        <v>5840</v>
      </c>
      <c r="T481" s="4" t="s">
        <v>366</v>
      </c>
    </row>
    <row r="482" spans="1:20" ht="15.75" customHeight="1" thickBot="1" x14ac:dyDescent="0.35">
      <c r="A482" s="74" t="s">
        <v>491</v>
      </c>
      <c r="B482" s="1"/>
      <c r="C482" s="1"/>
      <c r="D482" s="1"/>
      <c r="E482" s="59">
        <f t="shared" si="98"/>
        <v>0</v>
      </c>
      <c r="F482" s="1"/>
      <c r="G482" s="1"/>
      <c r="H482" s="1"/>
      <c r="I482" s="59">
        <f t="shared" si="99"/>
        <v>0</v>
      </c>
      <c r="J482" s="1"/>
      <c r="K482" s="1"/>
      <c r="L482" s="1"/>
      <c r="M482" s="59">
        <f t="shared" si="100"/>
        <v>0</v>
      </c>
      <c r="N482" s="1"/>
      <c r="O482" s="1"/>
      <c r="P482" s="1"/>
      <c r="Q482" s="59">
        <f t="shared" si="101"/>
        <v>0</v>
      </c>
      <c r="R482" s="59">
        <f t="shared" si="102"/>
        <v>0</v>
      </c>
      <c r="T482" s="4" t="s">
        <v>366</v>
      </c>
    </row>
    <row r="483" spans="1:20" ht="16.5" customHeight="1" thickBot="1" x14ac:dyDescent="0.35">
      <c r="A483" s="62" t="s">
        <v>68</v>
      </c>
      <c r="B483" s="63">
        <f>SUM(B479:B482)</f>
        <v>0</v>
      </c>
      <c r="C483" s="63">
        <f>SUM(C479:C482)</f>
        <v>0</v>
      </c>
      <c r="D483" s="63">
        <f>SUM(D479:D482)</f>
        <v>0</v>
      </c>
      <c r="E483" s="334">
        <f t="shared" si="98"/>
        <v>0</v>
      </c>
      <c r="F483" s="63">
        <f>SUM(F479:F482)</f>
        <v>0</v>
      </c>
      <c r="G483" s="63">
        <f>SUM(G479:G482)</f>
        <v>0</v>
      </c>
      <c r="H483" s="63">
        <f>SUM(H479:H482)</f>
        <v>0</v>
      </c>
      <c r="I483" s="334">
        <f t="shared" si="99"/>
        <v>0</v>
      </c>
      <c r="J483" s="63">
        <f>SUM(J479:J482)</f>
        <v>0</v>
      </c>
      <c r="K483" s="63">
        <f>SUM(K479:K482)</f>
        <v>0</v>
      </c>
      <c r="L483" s="63">
        <f>SUM(L479:L482)</f>
        <v>1457</v>
      </c>
      <c r="M483" s="334">
        <f t="shared" si="100"/>
        <v>1457</v>
      </c>
      <c r="N483" s="63">
        <f>SUM(N479:N482)</f>
        <v>2810</v>
      </c>
      <c r="O483" s="63">
        <f>SUM(O479:O482)</f>
        <v>1573</v>
      </c>
      <c r="P483" s="63">
        <f>SUM(P479:P482)</f>
        <v>0</v>
      </c>
      <c r="Q483" s="334">
        <f t="shared" si="101"/>
        <v>4383</v>
      </c>
      <c r="R483" s="64">
        <f t="shared" si="102"/>
        <v>5840</v>
      </c>
    </row>
    <row r="484" spans="1:20" ht="16.5" customHeight="1" thickBot="1" x14ac:dyDescent="0.35">
      <c r="A484" s="137" t="s">
        <v>69</v>
      </c>
      <c r="B484" s="100">
        <f>SUM(B476:B482)</f>
        <v>0</v>
      </c>
      <c r="C484" s="101">
        <f>SUM(C476:C482)</f>
        <v>0</v>
      </c>
      <c r="D484" s="138">
        <f>SUM(D476:D482)</f>
        <v>0</v>
      </c>
      <c r="E484" s="334">
        <f t="shared" si="98"/>
        <v>0</v>
      </c>
      <c r="F484" s="101">
        <f>SUM(F476:F482)</f>
        <v>0</v>
      </c>
      <c r="G484" s="101">
        <f>SUM(G476:G482)</f>
        <v>0</v>
      </c>
      <c r="H484" s="101">
        <f>SUM(H476:H482)</f>
        <v>0</v>
      </c>
      <c r="I484" s="334">
        <f t="shared" si="99"/>
        <v>0</v>
      </c>
      <c r="J484" s="101">
        <f>SUM(J476:J482)</f>
        <v>0</v>
      </c>
      <c r="K484" s="101">
        <f>SUM(K476:K482)</f>
        <v>0</v>
      </c>
      <c r="L484" s="101">
        <f>SUM(L476:L482)</f>
        <v>1457</v>
      </c>
      <c r="M484" s="334">
        <f t="shared" si="100"/>
        <v>1457</v>
      </c>
      <c r="N484" s="101">
        <f>SUM(N476:N482)</f>
        <v>2810</v>
      </c>
      <c r="O484" s="101">
        <f>SUM(O476:O482)</f>
        <v>1573</v>
      </c>
      <c r="P484" s="101">
        <f>SUM(P476:P482)</f>
        <v>0</v>
      </c>
      <c r="Q484" s="334">
        <f t="shared" si="101"/>
        <v>4383</v>
      </c>
      <c r="R484" s="64">
        <f t="shared" si="102"/>
        <v>5840</v>
      </c>
    </row>
    <row r="485" spans="1:20" ht="16.5" customHeight="1" thickBot="1" x14ac:dyDescent="0.35">
      <c r="A485" s="62" t="s">
        <v>70</v>
      </c>
      <c r="B485" s="107">
        <f>+B465+B470+B475+B484</f>
        <v>12</v>
      </c>
      <c r="C485" s="63">
        <f>+C465+C470+C475+C484</f>
        <v>373</v>
      </c>
      <c r="D485" s="63">
        <f>+D465+D470+D475+D484</f>
        <v>7011</v>
      </c>
      <c r="E485" s="64">
        <f t="shared" si="98"/>
        <v>7396</v>
      </c>
      <c r="F485" s="63">
        <f>+F465+F470+F475+F484</f>
        <v>9106</v>
      </c>
      <c r="G485" s="63">
        <f>+G465+G470+G475+G484</f>
        <v>9331</v>
      </c>
      <c r="H485" s="63">
        <f>+H465+H470+H475+H484</f>
        <v>16291</v>
      </c>
      <c r="I485" s="64">
        <f t="shared" si="99"/>
        <v>34728</v>
      </c>
      <c r="J485" s="63">
        <f>+J465+J470+J475+J484</f>
        <v>21540</v>
      </c>
      <c r="K485" s="63">
        <f>+K465+K470+K475+K484</f>
        <v>10664</v>
      </c>
      <c r="L485" s="63">
        <f>+L465+L470+L475+L484</f>
        <v>7408</v>
      </c>
      <c r="M485" s="64">
        <f t="shared" si="100"/>
        <v>39612</v>
      </c>
      <c r="N485" s="63">
        <f>+N465+N470+N475+N484</f>
        <v>2810</v>
      </c>
      <c r="O485" s="63">
        <f>+O465+O470+O475+O484</f>
        <v>1573</v>
      </c>
      <c r="P485" s="63">
        <f>+P465+P470+P475+P484</f>
        <v>1092</v>
      </c>
      <c r="Q485" s="64">
        <f t="shared" si="101"/>
        <v>5475</v>
      </c>
      <c r="R485" s="88">
        <f t="shared" si="102"/>
        <v>87211</v>
      </c>
    </row>
    <row r="486" spans="1:20" ht="16.5" customHeight="1" thickBot="1" x14ac:dyDescent="0.35">
      <c r="A486" s="40" t="s">
        <v>37</v>
      </c>
      <c r="B486" s="25">
        <v>9</v>
      </c>
      <c r="C486" s="25">
        <v>16</v>
      </c>
      <c r="D486" s="25">
        <v>25</v>
      </c>
      <c r="E486" s="59">
        <f t="shared" si="98"/>
        <v>50</v>
      </c>
      <c r="F486" s="25">
        <v>34</v>
      </c>
      <c r="G486" s="25">
        <v>41</v>
      </c>
      <c r="H486" s="25">
        <v>41</v>
      </c>
      <c r="I486" s="59">
        <f t="shared" si="99"/>
        <v>116</v>
      </c>
      <c r="J486" s="25">
        <v>39</v>
      </c>
      <c r="K486" s="25">
        <v>30</v>
      </c>
      <c r="L486" s="25">
        <v>30</v>
      </c>
      <c r="M486" s="59">
        <f t="shared" si="100"/>
        <v>99</v>
      </c>
      <c r="N486" s="25">
        <v>28</v>
      </c>
      <c r="O486" s="25">
        <v>22</v>
      </c>
      <c r="P486" s="25">
        <v>16</v>
      </c>
      <c r="Q486" s="59">
        <f t="shared" si="101"/>
        <v>66</v>
      </c>
      <c r="R486" s="59">
        <f t="shared" si="102"/>
        <v>331</v>
      </c>
    </row>
    <row r="487" spans="1:20" ht="16.5" customHeight="1" thickBot="1" x14ac:dyDescent="0.35">
      <c r="A487" s="80"/>
      <c r="B487" s="81"/>
      <c r="C487" s="81"/>
      <c r="D487" s="81"/>
      <c r="E487" s="64"/>
      <c r="F487" s="81"/>
      <c r="G487" s="81"/>
      <c r="H487" s="81"/>
      <c r="I487" s="64"/>
      <c r="J487" s="81"/>
      <c r="K487" s="81"/>
      <c r="L487" s="81"/>
      <c r="M487" s="64"/>
      <c r="N487" s="81"/>
      <c r="O487" s="81"/>
      <c r="P487" s="81"/>
      <c r="Q487" s="64"/>
      <c r="R487" s="64" t="s">
        <v>7</v>
      </c>
    </row>
    <row r="488" spans="1:20" ht="15.75" customHeight="1" x14ac:dyDescent="0.3">
      <c r="A488" s="335" t="s">
        <v>38</v>
      </c>
      <c r="B488" s="336">
        <f>SUM(B485:B486)</f>
        <v>21</v>
      </c>
      <c r="C488" s="336">
        <f>SUM(C485:C486)</f>
        <v>389</v>
      </c>
      <c r="D488" s="336">
        <f>SUM(D485:D486)</f>
        <v>7036</v>
      </c>
      <c r="E488" s="334">
        <f>SUM(B488:D488)</f>
        <v>7446</v>
      </c>
      <c r="F488" s="336">
        <f>SUM(F485:F486)</f>
        <v>9140</v>
      </c>
      <c r="G488" s="336">
        <f>SUM(G485:G486)</f>
        <v>9372</v>
      </c>
      <c r="H488" s="336">
        <f>SUM(H485:H486)</f>
        <v>16332</v>
      </c>
      <c r="I488" s="334">
        <f>SUM(F488:H488)</f>
        <v>34844</v>
      </c>
      <c r="J488" s="336">
        <f>SUM(J485:J486)</f>
        <v>21579</v>
      </c>
      <c r="K488" s="336">
        <f>SUM(K485:K486)</f>
        <v>10694</v>
      </c>
      <c r="L488" s="336">
        <f>SUM(L485:L486)</f>
        <v>7438</v>
      </c>
      <c r="M488" s="334">
        <f>SUM(J488:L488)</f>
        <v>39711</v>
      </c>
      <c r="N488" s="336">
        <f>SUM(N485:N486)</f>
        <v>2838</v>
      </c>
      <c r="O488" s="336">
        <f>SUM(O485:O486)</f>
        <v>1595</v>
      </c>
      <c r="P488" s="336">
        <f>SUM(P485:P486)</f>
        <v>1108</v>
      </c>
      <c r="Q488" s="334">
        <f>SUM(N488:P488)</f>
        <v>5541</v>
      </c>
      <c r="R488" s="334">
        <f>+E488+I488+M488+Q488</f>
        <v>87542</v>
      </c>
    </row>
    <row r="489" spans="1:20" ht="15.75" customHeight="1" x14ac:dyDescent="0.3">
      <c r="A489" s="85" t="s">
        <v>39</v>
      </c>
      <c r="B489" s="1">
        <f>(B488/B10)/1.983</f>
        <v>0.34161339124493678</v>
      </c>
      <c r="C489" s="1">
        <f>(C488/C10)/1.983</f>
        <v>6.7643938998730588</v>
      </c>
      <c r="D489" s="1">
        <f>(D488/D10)/1.983</f>
        <v>114.45675337139882</v>
      </c>
      <c r="E489" s="59" t="s">
        <v>7</v>
      </c>
      <c r="F489" s="1">
        <f>(F488/F10)/1.983</f>
        <v>153.6392671037149</v>
      </c>
      <c r="G489" s="1">
        <f>(G488/G10)/1.983</f>
        <v>152.45717632131178</v>
      </c>
      <c r="H489" s="1">
        <f>(H488/H10)/1.983</f>
        <v>274.53353504790721</v>
      </c>
      <c r="I489" s="59" t="s">
        <v>7</v>
      </c>
      <c r="J489" s="1">
        <f>(J488/J10)/1.983</f>
        <v>351.03216046069008</v>
      </c>
      <c r="K489" s="1">
        <f>(K488/K10)/1.983</f>
        <v>173.96255266539779</v>
      </c>
      <c r="L489" s="1">
        <f>(L488/L10)/1.983</f>
        <v>125.02941670869053</v>
      </c>
      <c r="M489" s="59" t="s">
        <v>7</v>
      </c>
      <c r="N489" s="1">
        <f>(N488/N10)/1.983</f>
        <v>46.16660973110146</v>
      </c>
      <c r="O489" s="1">
        <f>(O488/O10)/1.983</f>
        <v>26.811228777945871</v>
      </c>
      <c r="P489" s="1">
        <f>(P488/P10)/1.983</f>
        <v>18.024173214256663</v>
      </c>
      <c r="Q489" s="59" t="s">
        <v>7</v>
      </c>
      <c r="R489" s="59" t="s">
        <v>7</v>
      </c>
    </row>
    <row r="490" spans="1:20" ht="15.75" customHeight="1" x14ac:dyDescent="0.3">
      <c r="A490" s="85" t="s">
        <v>492</v>
      </c>
      <c r="B490" s="1">
        <f>B488+B534</f>
        <v>9084</v>
      </c>
      <c r="C490" s="1">
        <f>C488+C534</f>
        <v>18052</v>
      </c>
      <c r="D490" s="1">
        <f>D488+D534</f>
        <v>31641</v>
      </c>
      <c r="E490" s="59">
        <f>SUM(B490:D490)</f>
        <v>58777</v>
      </c>
      <c r="F490" s="1">
        <f>F488+F534</f>
        <v>39342</v>
      </c>
      <c r="G490" s="1">
        <f>G488+G534</f>
        <v>36410</v>
      </c>
      <c r="H490" s="1">
        <f>H488+H534</f>
        <v>45408</v>
      </c>
      <c r="I490" s="59">
        <f>SUM(F490:H490)</f>
        <v>121160</v>
      </c>
      <c r="J490" s="1">
        <f>J488+J534</f>
        <v>50008</v>
      </c>
      <c r="K490" s="1">
        <f>K488+K534</f>
        <v>35955</v>
      </c>
      <c r="L490" s="1">
        <f>L488+L534</f>
        <v>33405</v>
      </c>
      <c r="M490" s="59">
        <f>SUM(J490:L490)</f>
        <v>119368</v>
      </c>
      <c r="N490" s="1">
        <f>N488+N534</f>
        <v>11059</v>
      </c>
      <c r="O490" s="1">
        <f>O488+O534</f>
        <v>11993</v>
      </c>
      <c r="P490" s="1">
        <f>P488+P534</f>
        <v>15977</v>
      </c>
      <c r="Q490" s="59">
        <f>SUM(N490:P490)</f>
        <v>39029</v>
      </c>
      <c r="R490" s="59">
        <f>+E490+I490+M490+Q490</f>
        <v>338334</v>
      </c>
    </row>
    <row r="491" spans="1:20" ht="16.5" customHeight="1" thickBot="1" x14ac:dyDescent="0.35">
      <c r="A491" s="86" t="s">
        <v>493</v>
      </c>
      <c r="B491" s="87">
        <f>(B490/B10)/1.983</f>
        <v>147.77219266995266</v>
      </c>
      <c r="C491" s="87">
        <f>(C490/C10)/1.983</f>
        <v>313.90961100387779</v>
      </c>
      <c r="D491" s="87">
        <f>(D490/D10)/1.983</f>
        <v>514.71377678004978</v>
      </c>
      <c r="E491" s="88" t="s">
        <v>7</v>
      </c>
      <c r="F491" s="87">
        <f>(F490/F10)/1.983</f>
        <v>661.32123045890069</v>
      </c>
      <c r="G491" s="87">
        <f>(G490/G10)/1.983</f>
        <v>592.29255120134042</v>
      </c>
      <c r="H491" s="87">
        <f>(H490/H10)/1.983</f>
        <v>763.28794755421075</v>
      </c>
      <c r="I491" s="88" t="s">
        <v>7</v>
      </c>
      <c r="J491" s="87">
        <f>(J490/J10)/1.983</f>
        <v>813.49535568460954</v>
      </c>
      <c r="K491" s="87">
        <f>(K490/K10)/1.983</f>
        <v>584.89092772436675</v>
      </c>
      <c r="L491" s="87">
        <f>(L490/L10)/1.983</f>
        <v>561.52294503277858</v>
      </c>
      <c r="M491" s="88" t="s">
        <v>7</v>
      </c>
      <c r="N491" s="87">
        <f>(N490/N10)/1.983</f>
        <v>179.90011875132171</v>
      </c>
      <c r="O491" s="87">
        <f>(O490/O10)/1.983</f>
        <v>201.59690704320053</v>
      </c>
      <c r="P491" s="87">
        <f>(P490/P10)/1.983</f>
        <v>259.90272152001688</v>
      </c>
      <c r="Q491" s="88" t="s">
        <v>7</v>
      </c>
      <c r="R491" s="88" t="s">
        <v>7</v>
      </c>
    </row>
    <row r="492" spans="1:20" ht="15.75" customHeight="1" x14ac:dyDescent="0.3">
      <c r="A492" s="28"/>
      <c r="B492" s="1"/>
      <c r="C492" s="1"/>
      <c r="D492" s="1"/>
      <c r="E492" s="1"/>
      <c r="F492" s="1"/>
      <c r="G492" s="1"/>
      <c r="H492" s="1"/>
      <c r="I492" s="1"/>
      <c r="J492" s="1"/>
      <c r="K492" s="1"/>
      <c r="L492" s="1"/>
      <c r="M492" s="1"/>
      <c r="N492" s="1"/>
      <c r="O492" s="1"/>
      <c r="P492" s="1"/>
      <c r="Q492" s="1"/>
      <c r="R492" s="28"/>
    </row>
    <row r="493" spans="1:20" ht="15.75" customHeight="1" thickBot="1" x14ac:dyDescent="0.35">
      <c r="A493" s="28"/>
      <c r="B493" s="1"/>
      <c r="C493" s="1"/>
      <c r="D493" s="1"/>
      <c r="E493" s="1"/>
      <c r="F493" s="1"/>
      <c r="G493" s="1"/>
      <c r="H493" s="1"/>
      <c r="I493" s="1"/>
      <c r="J493" s="1"/>
      <c r="K493" s="1"/>
      <c r="L493" s="1"/>
      <c r="M493" s="1"/>
      <c r="N493" s="1"/>
      <c r="O493" s="1"/>
      <c r="P493" s="1"/>
      <c r="Q493" s="1"/>
      <c r="R493" s="28"/>
    </row>
    <row r="494" spans="1:20" ht="16.5" customHeight="1" thickBot="1" x14ac:dyDescent="0.35">
      <c r="A494" s="343" t="s">
        <v>494</v>
      </c>
      <c r="B494" s="323" t="s">
        <v>36</v>
      </c>
      <c r="C494" s="324" t="s">
        <v>9</v>
      </c>
      <c r="D494" s="324" t="s">
        <v>10</v>
      </c>
      <c r="E494" s="325" t="s">
        <v>11</v>
      </c>
      <c r="F494" s="324" t="s">
        <v>12</v>
      </c>
      <c r="G494" s="324" t="s">
        <v>13</v>
      </c>
      <c r="H494" s="324" t="s">
        <v>14</v>
      </c>
      <c r="I494" s="34" t="s">
        <v>15</v>
      </c>
      <c r="J494" s="324" t="s">
        <v>16</v>
      </c>
      <c r="K494" s="324" t="s">
        <v>17</v>
      </c>
      <c r="L494" s="324" t="s">
        <v>18</v>
      </c>
      <c r="M494" s="34" t="s">
        <v>19</v>
      </c>
      <c r="N494" s="324" t="s">
        <v>20</v>
      </c>
      <c r="O494" s="324" t="s">
        <v>21</v>
      </c>
      <c r="P494" s="324" t="s">
        <v>22</v>
      </c>
      <c r="Q494" s="34" t="s">
        <v>23</v>
      </c>
      <c r="R494" s="326" t="s">
        <v>24</v>
      </c>
    </row>
    <row r="495" spans="1:20" ht="16.5" customHeight="1" thickBot="1" x14ac:dyDescent="0.35">
      <c r="A495" s="64"/>
      <c r="B495" s="81"/>
      <c r="C495" s="81"/>
      <c r="D495" s="81"/>
      <c r="E495" s="72"/>
      <c r="F495" s="81"/>
      <c r="G495" s="81"/>
      <c r="H495" s="81"/>
      <c r="I495" s="89"/>
      <c r="J495" s="81"/>
      <c r="K495" s="81"/>
      <c r="L495" s="81"/>
      <c r="M495" s="89"/>
      <c r="N495" s="81"/>
      <c r="O495" s="81"/>
      <c r="P495" s="81"/>
      <c r="Q495" s="89"/>
      <c r="R495" s="117"/>
    </row>
    <row r="496" spans="1:20" ht="15.75" customHeight="1" x14ac:dyDescent="0.3">
      <c r="A496" s="17" t="s">
        <v>45</v>
      </c>
      <c r="B496" s="1" t="s">
        <v>7</v>
      </c>
      <c r="C496" s="1" t="s">
        <v>7</v>
      </c>
      <c r="D496" s="1" t="s">
        <v>7</v>
      </c>
      <c r="E496" s="59" t="s">
        <v>7</v>
      </c>
      <c r="F496" s="1" t="s">
        <v>7</v>
      </c>
      <c r="G496" s="1" t="s">
        <v>7</v>
      </c>
      <c r="H496" s="1" t="s">
        <v>7</v>
      </c>
      <c r="I496" s="59" t="s">
        <v>7</v>
      </c>
      <c r="J496" s="1" t="s">
        <v>7</v>
      </c>
      <c r="K496" s="1" t="s">
        <v>7</v>
      </c>
      <c r="L496" s="1" t="s">
        <v>7</v>
      </c>
      <c r="M496" s="59" t="s">
        <v>7</v>
      </c>
      <c r="N496" s="1" t="s">
        <v>7</v>
      </c>
      <c r="O496" s="1" t="s">
        <v>7</v>
      </c>
      <c r="P496" s="1" t="s">
        <v>7</v>
      </c>
      <c r="Q496" s="59" t="s">
        <v>7</v>
      </c>
      <c r="R496" s="59" t="s">
        <v>7</v>
      </c>
    </row>
    <row r="497" spans="1:20" ht="15.75" customHeight="1" x14ac:dyDescent="0.3">
      <c r="A497" s="17" t="s">
        <v>46</v>
      </c>
      <c r="B497" s="1"/>
      <c r="C497" s="1"/>
      <c r="D497" s="1"/>
      <c r="E497" s="59" t="s">
        <v>7</v>
      </c>
      <c r="F497" s="1"/>
      <c r="G497" s="1"/>
      <c r="H497" s="1"/>
      <c r="I497" s="59" t="s">
        <v>7</v>
      </c>
      <c r="J497" s="1"/>
      <c r="K497" s="1"/>
      <c r="L497" s="1"/>
      <c r="M497" s="59" t="s">
        <v>7</v>
      </c>
      <c r="N497" s="1"/>
      <c r="O497" s="1"/>
      <c r="P497" s="1"/>
      <c r="Q497" s="59" t="s">
        <v>7</v>
      </c>
      <c r="R497" s="59" t="s">
        <v>7</v>
      </c>
    </row>
    <row r="498" spans="1:20" ht="15.75" customHeight="1" x14ac:dyDescent="0.3">
      <c r="A498" s="17" t="s">
        <v>495</v>
      </c>
      <c r="B498" s="1"/>
      <c r="C498" s="1"/>
      <c r="D498" s="1"/>
      <c r="E498" s="59">
        <f>SUM(B498:D498)</f>
        <v>0</v>
      </c>
      <c r="F498" s="1"/>
      <c r="G498" s="1">
        <v>1400</v>
      </c>
      <c r="H498" s="1"/>
      <c r="I498" s="59">
        <f>SUM(F498:H498)</f>
        <v>1400</v>
      </c>
      <c r="J498" s="1"/>
      <c r="K498" s="1"/>
      <c r="L498" s="1"/>
      <c r="M498" s="59">
        <f>SUM(J498:L498)</f>
        <v>0</v>
      </c>
      <c r="N498" s="1"/>
      <c r="O498" s="1"/>
      <c r="P498" s="1"/>
      <c r="Q498" s="59">
        <f>SUM(N498:P498)</f>
        <v>0</v>
      </c>
      <c r="R498" s="59">
        <f>+E498+I498+M498+Q498</f>
        <v>1400</v>
      </c>
      <c r="T498" s="4" t="s">
        <v>368</v>
      </c>
    </row>
    <row r="499" spans="1:20" ht="15.75" customHeight="1" x14ac:dyDescent="0.3">
      <c r="A499" s="74" t="s">
        <v>496</v>
      </c>
      <c r="B499" s="1"/>
      <c r="C499" s="1">
        <v>312</v>
      </c>
      <c r="D499" s="1"/>
      <c r="E499" s="59">
        <f>SUM(B499:D499)</f>
        <v>312</v>
      </c>
      <c r="F499" s="1">
        <v>197</v>
      </c>
      <c r="G499" s="1">
        <v>591</v>
      </c>
      <c r="H499" s="1"/>
      <c r="I499" s="59">
        <f>SUM(F499:H499)</f>
        <v>788</v>
      </c>
      <c r="J499" s="1"/>
      <c r="K499" s="1"/>
      <c r="L499" s="1"/>
      <c r="M499" s="59">
        <f>SUM(J499:L499)</f>
        <v>0</v>
      </c>
      <c r="N499" s="1"/>
      <c r="O499" s="1"/>
      <c r="P499" s="1"/>
      <c r="Q499" s="59">
        <f>SUM(N499:P499)</f>
        <v>0</v>
      </c>
      <c r="R499" s="59">
        <f>+E499+I499+M499+Q499</f>
        <v>1100</v>
      </c>
    </row>
    <row r="500" spans="1:20" ht="15.75" customHeight="1" x14ac:dyDescent="0.3">
      <c r="A500" s="74" t="s">
        <v>497</v>
      </c>
      <c r="B500" s="1"/>
      <c r="C500" s="1"/>
      <c r="D500" s="1">
        <v>140</v>
      </c>
      <c r="E500" s="59">
        <f>SUM(B500:D500)</f>
        <v>140</v>
      </c>
      <c r="F500" s="1">
        <v>250</v>
      </c>
      <c r="G500" s="1">
        <v>703</v>
      </c>
      <c r="H500" s="1">
        <v>1105</v>
      </c>
      <c r="I500" s="59">
        <f>SUM(F500:H500)</f>
        <v>2058</v>
      </c>
      <c r="J500" s="1">
        <v>1194</v>
      </c>
      <c r="K500" s="1">
        <v>608</v>
      </c>
      <c r="L500" s="1"/>
      <c r="M500" s="59">
        <f>SUM(J500:L500)</f>
        <v>1802</v>
      </c>
      <c r="N500" s="1"/>
      <c r="O500" s="1"/>
      <c r="P500" s="1"/>
      <c r="Q500" s="59">
        <f>SUM(N500:P500)</f>
        <v>0</v>
      </c>
      <c r="R500" s="59">
        <f>+E500+I500+M500+Q500</f>
        <v>4000</v>
      </c>
    </row>
    <row r="501" spans="1:20" ht="15.75" customHeight="1" x14ac:dyDescent="0.3">
      <c r="A501" s="74" t="s">
        <v>499</v>
      </c>
      <c r="B501" s="1"/>
      <c r="C501" s="1"/>
      <c r="D501" s="1"/>
      <c r="E501" s="59">
        <f>SUM(B501:D501)</f>
        <v>0</v>
      </c>
      <c r="F501" s="1"/>
      <c r="G501" s="1"/>
      <c r="H501" s="1"/>
      <c r="I501" s="59">
        <f>SUM(F501:H501)</f>
        <v>0</v>
      </c>
      <c r="J501" s="1">
        <v>257</v>
      </c>
      <c r="K501" s="1">
        <v>500</v>
      </c>
      <c r="L501" s="1"/>
      <c r="M501" s="59">
        <f>SUM(J501:L501)</f>
        <v>757</v>
      </c>
      <c r="N501" s="1"/>
      <c r="O501" s="1"/>
      <c r="P501" s="1"/>
      <c r="Q501" s="59">
        <f>SUM(N501:P501)</f>
        <v>0</v>
      </c>
      <c r="R501" s="59">
        <f>+E501+I501+M501+Q501</f>
        <v>757</v>
      </c>
    </row>
    <row r="502" spans="1:20" ht="15.75" customHeight="1" x14ac:dyDescent="0.3">
      <c r="A502" s="17" t="s">
        <v>47</v>
      </c>
      <c r="B502" s="1"/>
      <c r="C502" s="1"/>
      <c r="D502" s="1"/>
      <c r="E502" s="59" t="s">
        <v>7</v>
      </c>
      <c r="F502" s="1"/>
      <c r="G502" s="1"/>
      <c r="H502" s="1"/>
      <c r="I502" s="59" t="s">
        <v>7</v>
      </c>
      <c r="J502" s="1"/>
      <c r="K502" s="1"/>
      <c r="L502" s="1"/>
      <c r="M502" s="59" t="s">
        <v>7</v>
      </c>
      <c r="N502" s="1"/>
      <c r="O502" s="1"/>
      <c r="P502" s="1"/>
      <c r="Q502" s="59" t="s">
        <v>7</v>
      </c>
      <c r="R502" s="59" t="s">
        <v>7</v>
      </c>
    </row>
    <row r="503" spans="1:20" ht="15.75" customHeight="1" x14ac:dyDescent="0.3">
      <c r="A503" s="17" t="s">
        <v>898</v>
      </c>
      <c r="B503" s="1"/>
      <c r="C503" s="1"/>
      <c r="D503" s="1"/>
      <c r="E503" s="59" t="s">
        <v>7</v>
      </c>
      <c r="F503" s="1"/>
      <c r="G503" s="1"/>
      <c r="H503" s="1"/>
      <c r="I503" s="59" t="s">
        <v>7</v>
      </c>
      <c r="J503" s="1"/>
      <c r="K503" s="1"/>
      <c r="L503" s="1"/>
      <c r="M503" s="59" t="s">
        <v>7</v>
      </c>
      <c r="N503" s="1"/>
      <c r="O503" s="1"/>
      <c r="P503" s="1"/>
      <c r="Q503" s="59" t="s">
        <v>7</v>
      </c>
      <c r="R503" s="59" t="s">
        <v>7</v>
      </c>
    </row>
    <row r="504" spans="1:20" ht="15.75" customHeight="1" thickBot="1" x14ac:dyDescent="0.35">
      <c r="A504" s="17" t="s">
        <v>51</v>
      </c>
      <c r="B504" s="1"/>
      <c r="C504" s="1"/>
      <c r="D504" s="1"/>
      <c r="E504" s="59" t="s">
        <v>7</v>
      </c>
      <c r="F504" s="1"/>
      <c r="G504" s="1"/>
      <c r="H504" s="1"/>
      <c r="I504" s="59" t="s">
        <v>7</v>
      </c>
      <c r="J504" s="1"/>
      <c r="K504" s="1"/>
      <c r="L504" s="1"/>
      <c r="M504" s="59" t="s">
        <v>7</v>
      </c>
      <c r="N504" s="1"/>
      <c r="O504" s="1"/>
      <c r="P504" s="1"/>
      <c r="Q504" s="59" t="s">
        <v>7</v>
      </c>
      <c r="R504" s="59" t="s">
        <v>7</v>
      </c>
    </row>
    <row r="505" spans="1:20" ht="16.5" customHeight="1" thickBot="1" x14ac:dyDescent="0.35">
      <c r="A505" s="126" t="s">
        <v>52</v>
      </c>
      <c r="B505" s="100">
        <f>SUM(B496:B504)</f>
        <v>0</v>
      </c>
      <c r="C505" s="101">
        <f>SUM(C496:C504)</f>
        <v>312</v>
      </c>
      <c r="D505" s="101">
        <f>SUM(D496:D504)</f>
        <v>140</v>
      </c>
      <c r="E505" s="64">
        <f>SUM(B505:D505)</f>
        <v>452</v>
      </c>
      <c r="F505" s="101">
        <f>SUM(F496:F504)</f>
        <v>447</v>
      </c>
      <c r="G505" s="101">
        <f>SUM(G496:G504)</f>
        <v>2694</v>
      </c>
      <c r="H505" s="101">
        <f>SUM(H496:H504)</f>
        <v>1105</v>
      </c>
      <c r="I505" s="64">
        <f>SUM(F505:H505)</f>
        <v>4246</v>
      </c>
      <c r="J505" s="101">
        <f>SUM(J496:J504)</f>
        <v>1451</v>
      </c>
      <c r="K505" s="101">
        <f>SUM(K496:K504)</f>
        <v>1108</v>
      </c>
      <c r="L505" s="101">
        <f>SUM(L496:L504)</f>
        <v>0</v>
      </c>
      <c r="M505" s="64">
        <f>SUM(J505:L505)</f>
        <v>2559</v>
      </c>
      <c r="N505" s="101">
        <f>SUM(N496:N504)</f>
        <v>0</v>
      </c>
      <c r="O505" s="101">
        <f>SUM(O496:O504)</f>
        <v>0</v>
      </c>
      <c r="P505" s="101">
        <f>SUM(P496:P504)</f>
        <v>0</v>
      </c>
      <c r="Q505" s="64">
        <f>SUM(N505:P505)</f>
        <v>0</v>
      </c>
      <c r="R505" s="64">
        <f>+E505+I505+M505+Q505</f>
        <v>7257</v>
      </c>
    </row>
    <row r="506" spans="1:20" ht="15.75" customHeight="1" x14ac:dyDescent="0.3">
      <c r="A506" s="17" t="s">
        <v>53</v>
      </c>
      <c r="B506" s="1"/>
      <c r="C506" s="1"/>
      <c r="D506" s="1"/>
      <c r="E506" s="334" t="s">
        <v>7</v>
      </c>
      <c r="F506" s="1"/>
      <c r="G506" s="1"/>
      <c r="H506" s="1"/>
      <c r="I506" s="334" t="s">
        <v>7</v>
      </c>
      <c r="J506" s="1"/>
      <c r="K506" s="1"/>
      <c r="L506" s="1"/>
      <c r="M506" s="334" t="s">
        <v>7</v>
      </c>
      <c r="N506" s="1"/>
      <c r="O506" s="1"/>
      <c r="P506" s="1"/>
      <c r="Q506" s="334" t="s">
        <v>7</v>
      </c>
      <c r="R506" s="305" t="s">
        <v>7</v>
      </c>
    </row>
    <row r="507" spans="1:20" ht="15.75" customHeight="1" x14ac:dyDescent="0.3">
      <c r="A507" s="17" t="s">
        <v>55</v>
      </c>
      <c r="B507" s="1"/>
      <c r="C507" s="1"/>
      <c r="D507" s="1"/>
      <c r="E507" s="59" t="s">
        <v>7</v>
      </c>
      <c r="F507" s="1"/>
      <c r="G507" s="1"/>
      <c r="H507" s="1"/>
      <c r="I507" s="59" t="s">
        <v>7</v>
      </c>
      <c r="J507" s="1"/>
      <c r="K507" s="1"/>
      <c r="L507" s="1"/>
      <c r="M507" s="59" t="s">
        <v>7</v>
      </c>
      <c r="N507" s="1"/>
      <c r="O507" s="1"/>
      <c r="P507" s="1"/>
      <c r="Q507" s="59" t="s">
        <v>7</v>
      </c>
      <c r="R507" s="305" t="s">
        <v>7</v>
      </c>
    </row>
    <row r="508" spans="1:20" ht="15.75" customHeight="1" x14ac:dyDescent="0.3">
      <c r="A508" s="74" t="s">
        <v>500</v>
      </c>
      <c r="B508" s="1">
        <v>76</v>
      </c>
      <c r="C508" s="1">
        <v>1241</v>
      </c>
      <c r="D508" s="1">
        <v>2397</v>
      </c>
      <c r="E508" s="59">
        <f>SUM(B508:D508)</f>
        <v>3714</v>
      </c>
      <c r="F508" s="1">
        <v>4424</v>
      </c>
      <c r="G508" s="1">
        <v>0</v>
      </c>
      <c r="H508" s="1">
        <v>4918</v>
      </c>
      <c r="I508" s="59">
        <f>SUM(F508:H508)</f>
        <v>9342</v>
      </c>
      <c r="J508" s="1">
        <v>1503</v>
      </c>
      <c r="K508" s="1">
        <v>2346</v>
      </c>
      <c r="L508" s="1">
        <v>2196</v>
      </c>
      <c r="M508" s="59">
        <f>SUM(J508:L508)</f>
        <v>6045</v>
      </c>
      <c r="N508" s="1"/>
      <c r="O508" s="1"/>
      <c r="P508" s="1"/>
      <c r="Q508" s="59">
        <f>SUM(N508:P508)</f>
        <v>0</v>
      </c>
      <c r="R508" s="59">
        <f>+E508+I508+M508+Q508</f>
        <v>19101</v>
      </c>
      <c r="S508" s="4">
        <f>+SUM(R508,R468,R359)</f>
        <v>94069</v>
      </c>
      <c r="T508" s="4" t="s">
        <v>501</v>
      </c>
    </row>
    <row r="509" spans="1:20" ht="15.75" customHeight="1" x14ac:dyDescent="0.3">
      <c r="A509" s="74" t="s">
        <v>502</v>
      </c>
      <c r="B509" s="1"/>
      <c r="C509" s="1"/>
      <c r="D509" s="1"/>
      <c r="E509" s="59">
        <f>SUM(B509:D509)</f>
        <v>0</v>
      </c>
      <c r="F509" s="1"/>
      <c r="G509" s="1"/>
      <c r="H509" s="1"/>
      <c r="I509" s="59">
        <f>SUM(F509:H509)</f>
        <v>0</v>
      </c>
      <c r="J509" s="1"/>
      <c r="K509" s="1"/>
      <c r="L509" s="1"/>
      <c r="M509" s="59">
        <f>SUM(J509:L509)</f>
        <v>0</v>
      </c>
      <c r="N509" s="1"/>
      <c r="O509" s="1"/>
      <c r="P509" s="1"/>
      <c r="Q509" s="59">
        <f>SUM(N509:P509)</f>
        <v>0</v>
      </c>
      <c r="R509" s="59">
        <f>+E509+I509+M509+Q509</f>
        <v>0</v>
      </c>
    </row>
    <row r="510" spans="1:20" ht="15.75" customHeight="1" x14ac:dyDescent="0.3">
      <c r="A510" s="17" t="s">
        <v>56</v>
      </c>
      <c r="B510" s="1"/>
      <c r="C510" s="1"/>
      <c r="D510" s="1"/>
      <c r="E510" s="59" t="s">
        <v>7</v>
      </c>
      <c r="F510" s="1"/>
      <c r="G510" s="1"/>
      <c r="H510" s="1"/>
      <c r="I510" s="59" t="s">
        <v>7</v>
      </c>
      <c r="J510" s="1"/>
      <c r="K510" s="1"/>
      <c r="L510" s="1"/>
      <c r="M510" s="59" t="s">
        <v>7</v>
      </c>
      <c r="N510" s="1"/>
      <c r="O510" s="1"/>
      <c r="P510" s="1"/>
      <c r="Q510" s="59" t="s">
        <v>7</v>
      </c>
      <c r="R510" s="59"/>
    </row>
    <row r="511" spans="1:20" ht="15.75" customHeight="1" thickBot="1" x14ac:dyDescent="0.35">
      <c r="A511" s="74" t="s">
        <v>502</v>
      </c>
      <c r="B511" s="1"/>
      <c r="C511" s="1"/>
      <c r="D511" s="1"/>
      <c r="E511" s="59"/>
      <c r="F511" s="1"/>
      <c r="G511" s="1"/>
      <c r="H511" s="1"/>
      <c r="I511" s="59"/>
      <c r="J511" s="1"/>
      <c r="K511" s="1"/>
      <c r="L511" s="1"/>
      <c r="M511" s="59"/>
      <c r="N511" s="1"/>
      <c r="O511" s="1">
        <v>11</v>
      </c>
      <c r="P511" s="1"/>
      <c r="Q511" s="59">
        <f>SUM(N511:P511)</f>
        <v>11</v>
      </c>
      <c r="R511" s="59">
        <f>+E511+I511+M511+Q511</f>
        <v>11</v>
      </c>
    </row>
    <row r="512" spans="1:20" ht="16.5" customHeight="1" thickBot="1" x14ac:dyDescent="0.35">
      <c r="A512" s="62" t="s">
        <v>57</v>
      </c>
      <c r="B512" s="100">
        <f>SUM(B506:B511)</f>
        <v>76</v>
      </c>
      <c r="C512" s="101">
        <f t="shared" ref="C512:D512" si="103">SUM(C506:C511)</f>
        <v>1241</v>
      </c>
      <c r="D512" s="101">
        <f t="shared" si="103"/>
        <v>2397</v>
      </c>
      <c r="E512" s="64">
        <f>SUM(B512:D512)</f>
        <v>3714</v>
      </c>
      <c r="F512" s="101">
        <f t="shared" ref="F512:H512" si="104">SUM(F506:F511)</f>
        <v>4424</v>
      </c>
      <c r="G512" s="101">
        <f t="shared" si="104"/>
        <v>0</v>
      </c>
      <c r="H512" s="101">
        <f t="shared" si="104"/>
        <v>4918</v>
      </c>
      <c r="I512" s="64">
        <f>SUM(F512:H512)</f>
        <v>9342</v>
      </c>
      <c r="J512" s="101">
        <f t="shared" ref="J512:L512" si="105">SUM(J506:J511)</f>
        <v>1503</v>
      </c>
      <c r="K512" s="101">
        <f t="shared" si="105"/>
        <v>2346</v>
      </c>
      <c r="L512" s="101">
        <f t="shared" si="105"/>
        <v>2196</v>
      </c>
      <c r="M512" s="64">
        <f>SUM(J512:L512)</f>
        <v>6045</v>
      </c>
      <c r="N512" s="101">
        <f t="shared" ref="N512:P512" si="106">SUM(N506:N511)</f>
        <v>0</v>
      </c>
      <c r="O512" s="101">
        <f t="shared" si="106"/>
        <v>11</v>
      </c>
      <c r="P512" s="101">
        <f t="shared" si="106"/>
        <v>0</v>
      </c>
      <c r="Q512" s="64">
        <f>SUM(N512:P512)</f>
        <v>11</v>
      </c>
      <c r="R512" s="64">
        <f>+E512+I512+M512+Q512</f>
        <v>19112</v>
      </c>
    </row>
    <row r="513" spans="1:20" ht="15.75" customHeight="1" x14ac:dyDescent="0.3">
      <c r="A513" s="17" t="s">
        <v>58</v>
      </c>
      <c r="B513" s="1"/>
      <c r="C513" s="1"/>
      <c r="D513" s="1"/>
      <c r="E513" s="59" t="s">
        <v>7</v>
      </c>
      <c r="F513" s="1"/>
      <c r="G513" s="1"/>
      <c r="H513" s="1"/>
      <c r="I513" s="59" t="s">
        <v>7</v>
      </c>
      <c r="J513" s="1"/>
      <c r="K513" s="1"/>
      <c r="L513" s="1"/>
      <c r="M513" s="59" t="s">
        <v>7</v>
      </c>
      <c r="N513" s="1"/>
      <c r="O513" s="1"/>
      <c r="P513" s="1"/>
      <c r="Q513" s="59" t="s">
        <v>7</v>
      </c>
      <c r="R513" s="59" t="s">
        <v>7</v>
      </c>
    </row>
    <row r="514" spans="1:20" ht="15.75" customHeight="1" x14ac:dyDescent="0.3">
      <c r="A514" s="17" t="s">
        <v>59</v>
      </c>
      <c r="B514" s="1"/>
      <c r="C514" s="1"/>
      <c r="D514" s="1"/>
      <c r="E514" s="59" t="s">
        <v>7</v>
      </c>
      <c r="F514" s="1"/>
      <c r="G514" s="1"/>
      <c r="H514" s="1"/>
      <c r="I514" s="59" t="s">
        <v>7</v>
      </c>
      <c r="J514" s="1"/>
      <c r="K514" s="1"/>
      <c r="L514" s="1"/>
      <c r="M514" s="59" t="s">
        <v>7</v>
      </c>
      <c r="N514" s="1"/>
      <c r="O514" s="1"/>
      <c r="P514" s="1"/>
      <c r="Q514" s="59" t="s">
        <v>7</v>
      </c>
      <c r="R514" s="59" t="s">
        <v>7</v>
      </c>
    </row>
    <row r="515" spans="1:20" ht="15.75" customHeight="1" x14ac:dyDescent="0.3">
      <c r="A515" s="17" t="s">
        <v>60</v>
      </c>
      <c r="B515" s="1"/>
      <c r="C515" s="1"/>
      <c r="D515" s="1"/>
      <c r="E515" s="59" t="s">
        <v>7</v>
      </c>
      <c r="F515" s="1"/>
      <c r="G515" s="1"/>
      <c r="H515" s="1"/>
      <c r="I515" s="59" t="s">
        <v>7</v>
      </c>
      <c r="J515" s="1"/>
      <c r="K515" s="1"/>
      <c r="L515" s="1"/>
      <c r="M515" s="59" t="s">
        <v>7</v>
      </c>
      <c r="N515" s="1"/>
      <c r="O515" s="1"/>
      <c r="P515" s="1"/>
      <c r="Q515" s="59" t="s">
        <v>7</v>
      </c>
      <c r="R515" s="59" t="s">
        <v>7</v>
      </c>
    </row>
    <row r="516" spans="1:20" ht="15.75" customHeight="1" thickBot="1" x14ac:dyDescent="0.35">
      <c r="A516" s="103" t="s">
        <v>856</v>
      </c>
      <c r="B516" s="1"/>
      <c r="C516" s="1"/>
      <c r="D516" s="1"/>
      <c r="E516" s="59">
        <f>SUM(B516:D516)</f>
        <v>0</v>
      </c>
      <c r="F516" s="1"/>
      <c r="G516" s="1"/>
      <c r="H516" s="1"/>
      <c r="I516" s="59">
        <f>SUM(F516:H516)</f>
        <v>0</v>
      </c>
      <c r="J516" s="1"/>
      <c r="K516" s="1"/>
      <c r="L516" s="1"/>
      <c r="M516" s="59">
        <f>SUM(J516:L516)</f>
        <v>0</v>
      </c>
      <c r="N516" s="1"/>
      <c r="O516" s="1"/>
      <c r="P516" s="1"/>
      <c r="Q516" s="59">
        <f>SUM(N516:P516)</f>
        <v>0</v>
      </c>
      <c r="R516" s="59">
        <f>+E516+I516+M516+Q516</f>
        <v>0</v>
      </c>
      <c r="T516" s="4" t="s">
        <v>368</v>
      </c>
    </row>
    <row r="517" spans="1:20" ht="16.5" customHeight="1" thickBot="1" x14ac:dyDescent="0.35">
      <c r="A517" s="137" t="s">
        <v>61</v>
      </c>
      <c r="B517" s="100">
        <f>SUM(B513:B516)</f>
        <v>0</v>
      </c>
      <c r="C517" s="101">
        <f>SUM(C513:C516)</f>
        <v>0</v>
      </c>
      <c r="D517" s="101">
        <f>SUM(D513:D516)</f>
        <v>0</v>
      </c>
      <c r="E517" s="64">
        <f>SUM(B517:D517)</f>
        <v>0</v>
      </c>
      <c r="F517" s="101">
        <f>SUM(F513:F516)</f>
        <v>0</v>
      </c>
      <c r="G517" s="101">
        <f>SUM(G513:G516)</f>
        <v>0</v>
      </c>
      <c r="H517" s="101">
        <f>SUM(H513:H516)</f>
        <v>0</v>
      </c>
      <c r="I517" s="64">
        <f>SUM(F517:H517)</f>
        <v>0</v>
      </c>
      <c r="J517" s="101">
        <f>SUM(J513:J516)</f>
        <v>0</v>
      </c>
      <c r="K517" s="101">
        <f>SUM(K513:K516)</f>
        <v>0</v>
      </c>
      <c r="L517" s="101">
        <f>SUM(L513:L516)</f>
        <v>0</v>
      </c>
      <c r="M517" s="64">
        <f>SUM(J517:L517)</f>
        <v>0</v>
      </c>
      <c r="N517" s="101">
        <f>SUM(N513:N516)</f>
        <v>0</v>
      </c>
      <c r="O517" s="101">
        <f>SUM(O513:O516)</f>
        <v>0</v>
      </c>
      <c r="P517" s="101">
        <f>SUM(P513:P516)</f>
        <v>0</v>
      </c>
      <c r="Q517" s="64">
        <f>SUM(N517:P517)</f>
        <v>0</v>
      </c>
      <c r="R517" s="64">
        <f>+E517+I517+M517+Q517</f>
        <v>0</v>
      </c>
    </row>
    <row r="518" spans="1:20" ht="15.75" customHeight="1" x14ac:dyDescent="0.3">
      <c r="A518" s="17" t="s">
        <v>62</v>
      </c>
      <c r="B518" s="1"/>
      <c r="C518" s="1"/>
      <c r="D518" s="1"/>
      <c r="E518" s="59" t="s">
        <v>7</v>
      </c>
      <c r="F518" s="1"/>
      <c r="G518" s="1"/>
      <c r="H518" s="1"/>
      <c r="I518" s="59" t="s">
        <v>7</v>
      </c>
      <c r="J518" s="1"/>
      <c r="K518" s="1"/>
      <c r="L518" s="1"/>
      <c r="M518" s="59" t="s">
        <v>7</v>
      </c>
      <c r="N518" s="1"/>
      <c r="O518" s="1"/>
      <c r="P518" s="1"/>
      <c r="Q518" s="59" t="s">
        <v>7</v>
      </c>
      <c r="R518" s="59" t="s">
        <v>7</v>
      </c>
    </row>
    <row r="519" spans="1:20" ht="15.75" customHeight="1" x14ac:dyDescent="0.3">
      <c r="A519" s="17" t="s">
        <v>63</v>
      </c>
      <c r="B519" s="1"/>
      <c r="C519" s="1"/>
      <c r="D519" s="1"/>
      <c r="E519" s="59" t="s">
        <v>7</v>
      </c>
      <c r="F519" s="1"/>
      <c r="G519" s="1"/>
      <c r="H519" s="1"/>
      <c r="I519" s="59" t="s">
        <v>7</v>
      </c>
      <c r="J519" s="1"/>
      <c r="K519" s="1"/>
      <c r="L519" s="1"/>
      <c r="M519" s="59" t="s">
        <v>7</v>
      </c>
      <c r="N519" s="1"/>
      <c r="O519" s="1"/>
      <c r="P519" s="1"/>
      <c r="Q519" s="59" t="s">
        <v>7</v>
      </c>
      <c r="R519" s="59" t="s">
        <v>7</v>
      </c>
    </row>
    <row r="520" spans="1:20" ht="15.75" customHeight="1" x14ac:dyDescent="0.3">
      <c r="A520" s="17" t="s">
        <v>64</v>
      </c>
      <c r="B520" s="1"/>
      <c r="C520" s="1"/>
      <c r="D520" s="1"/>
      <c r="E520" s="59" t="s">
        <v>7</v>
      </c>
      <c r="F520" s="1"/>
      <c r="G520" s="1"/>
      <c r="H520" s="1"/>
      <c r="I520" s="59" t="s">
        <v>7</v>
      </c>
      <c r="J520" s="1"/>
      <c r="K520" s="1"/>
      <c r="L520" s="1"/>
      <c r="M520" s="59" t="s">
        <v>7</v>
      </c>
      <c r="N520" s="1"/>
      <c r="O520" s="1"/>
      <c r="P520" s="1"/>
      <c r="Q520" s="59" t="s">
        <v>7</v>
      </c>
      <c r="R520" s="59" t="s">
        <v>7</v>
      </c>
    </row>
    <row r="521" spans="1:20" ht="15.75" customHeight="1" x14ac:dyDescent="0.3">
      <c r="A521" s="17" t="s">
        <v>66</v>
      </c>
      <c r="B521" s="1"/>
      <c r="C521" s="1"/>
      <c r="D521" s="1"/>
      <c r="E521" s="59" t="s">
        <v>7</v>
      </c>
      <c r="F521" s="1"/>
      <c r="G521" s="1"/>
      <c r="H521" s="1"/>
      <c r="I521" s="59" t="s">
        <v>7</v>
      </c>
      <c r="J521" s="1"/>
      <c r="K521" s="1"/>
      <c r="L521" s="1"/>
      <c r="M521" s="59" t="s">
        <v>7</v>
      </c>
      <c r="N521" s="1"/>
      <c r="O521" s="1"/>
      <c r="P521" s="1"/>
      <c r="Q521" s="59" t="s">
        <v>7</v>
      </c>
      <c r="R521" s="59" t="s">
        <v>7</v>
      </c>
    </row>
    <row r="522" spans="1:20" ht="15.75" customHeight="1" x14ac:dyDescent="0.3">
      <c r="A522" s="74" t="s">
        <v>922</v>
      </c>
      <c r="B522" s="1"/>
      <c r="C522" s="1"/>
      <c r="D522" s="1"/>
      <c r="E522" s="59">
        <f>SUM(B522:D522)</f>
        <v>0</v>
      </c>
      <c r="F522" s="1"/>
      <c r="G522" s="1"/>
      <c r="H522" s="1"/>
      <c r="I522" s="59">
        <f>SUM(F522:H522)</f>
        <v>0</v>
      </c>
      <c r="J522" s="1"/>
      <c r="K522" s="1">
        <v>43</v>
      </c>
      <c r="L522" s="1">
        <v>457</v>
      </c>
      <c r="M522" s="59">
        <f>SUM(J522:L522)</f>
        <v>500</v>
      </c>
      <c r="N522" s="1"/>
      <c r="O522" s="1"/>
      <c r="P522" s="1"/>
      <c r="Q522" s="59">
        <f>SUM(N522:P522)</f>
        <v>0</v>
      </c>
      <c r="R522" s="59">
        <f>+E522+I522+M522+Q522</f>
        <v>500</v>
      </c>
    </row>
    <row r="523" spans="1:20" ht="15.75" customHeight="1" x14ac:dyDescent="0.3">
      <c r="A523" s="17" t="s">
        <v>67</v>
      </c>
      <c r="B523" s="1"/>
      <c r="C523" s="1"/>
      <c r="D523" s="1"/>
      <c r="E523" s="59"/>
      <c r="F523" s="1"/>
      <c r="G523" s="1"/>
      <c r="H523" s="1"/>
      <c r="I523" s="59"/>
      <c r="J523" s="1"/>
      <c r="K523" s="1"/>
      <c r="L523" s="1"/>
      <c r="M523" s="59"/>
      <c r="N523" s="1"/>
      <c r="O523" s="1"/>
      <c r="P523" s="1"/>
      <c r="Q523" s="59"/>
      <c r="R523" s="59" t="s">
        <v>7</v>
      </c>
    </row>
    <row r="524" spans="1:20" ht="15.75" customHeight="1" x14ac:dyDescent="0.3">
      <c r="A524" s="74" t="s">
        <v>460</v>
      </c>
      <c r="B524" s="1"/>
      <c r="C524" s="1"/>
      <c r="D524" s="1"/>
      <c r="E524" s="59">
        <f t="shared" ref="E524:E530" si="107">SUM(B524:D524)</f>
        <v>0</v>
      </c>
      <c r="F524" s="1"/>
      <c r="G524" s="1"/>
      <c r="H524" s="1"/>
      <c r="I524" s="59">
        <f t="shared" ref="I524:I530" si="108">SUM(F524:H524)</f>
        <v>0</v>
      </c>
      <c r="J524" s="1"/>
      <c r="K524" s="1"/>
      <c r="L524" s="1"/>
      <c r="M524" s="59">
        <f t="shared" ref="M524:M530" si="109">SUM(J524:L524)</f>
        <v>0</v>
      </c>
      <c r="N524" s="1"/>
      <c r="O524" s="1"/>
      <c r="P524" s="1"/>
      <c r="Q524" s="59">
        <f t="shared" ref="Q524:Q530" si="110">SUM(N524:P524)</f>
        <v>0</v>
      </c>
      <c r="R524" s="59">
        <f t="shared" ref="R524:R530" si="111">+E524+I524+M524+Q524</f>
        <v>0</v>
      </c>
      <c r="T524" s="4" t="s">
        <v>368</v>
      </c>
    </row>
    <row r="525" spans="1:20" ht="15.75" customHeight="1" x14ac:dyDescent="0.3">
      <c r="A525" s="74" t="s">
        <v>504</v>
      </c>
      <c r="B525" s="1"/>
      <c r="C525" s="1"/>
      <c r="D525" s="1"/>
      <c r="E525" s="59">
        <f>SUM(B525:D525)</f>
        <v>0</v>
      </c>
      <c r="F525" s="1"/>
      <c r="G525" s="1"/>
      <c r="H525" s="1"/>
      <c r="I525" s="59">
        <f>SUM(F525:H525)</f>
        <v>0</v>
      </c>
      <c r="J525" s="1"/>
      <c r="K525" s="1"/>
      <c r="L525" s="1"/>
      <c r="M525" s="59">
        <f>SUM(J525:L525)</f>
        <v>0</v>
      </c>
      <c r="N525" s="1"/>
      <c r="O525" s="1"/>
      <c r="P525" s="1"/>
      <c r="Q525" s="59">
        <f>SUM(N525:P525)</f>
        <v>0</v>
      </c>
      <c r="R525" s="59">
        <f>+E525+I525+M525+Q525</f>
        <v>0</v>
      </c>
      <c r="T525" s="4" t="s">
        <v>368</v>
      </c>
    </row>
    <row r="526" spans="1:20" ht="15.75" customHeight="1" thickBot="1" x14ac:dyDescent="0.35">
      <c r="A526" s="74" t="s">
        <v>506</v>
      </c>
      <c r="B526" s="1"/>
      <c r="C526" s="1"/>
      <c r="D526" s="1"/>
      <c r="E526" s="59">
        <f t="shared" si="107"/>
        <v>0</v>
      </c>
      <c r="F526" s="1"/>
      <c r="G526" s="1"/>
      <c r="H526" s="1"/>
      <c r="I526" s="59">
        <f t="shared" si="108"/>
        <v>0</v>
      </c>
      <c r="J526" s="1"/>
      <c r="K526" s="1"/>
      <c r="L526" s="1">
        <v>298</v>
      </c>
      <c r="M526" s="59">
        <f t="shared" si="109"/>
        <v>298</v>
      </c>
      <c r="N526" s="1">
        <v>242</v>
      </c>
      <c r="O526" s="1"/>
      <c r="P526" s="1"/>
      <c r="Q526" s="59">
        <f t="shared" si="110"/>
        <v>242</v>
      </c>
      <c r="R526" s="59">
        <f t="shared" si="111"/>
        <v>540</v>
      </c>
    </row>
    <row r="527" spans="1:20" ht="16.5" customHeight="1" thickBot="1" x14ac:dyDescent="0.35">
      <c r="A527" s="62" t="s">
        <v>68</v>
      </c>
      <c r="B527" s="63">
        <f>SUM(B521:B526)</f>
        <v>0</v>
      </c>
      <c r="C527" s="63">
        <f>SUM(C521:C526)</f>
        <v>0</v>
      </c>
      <c r="D527" s="63">
        <f>SUM(D521:D526)</f>
        <v>0</v>
      </c>
      <c r="E527" s="334">
        <f t="shared" si="107"/>
        <v>0</v>
      </c>
      <c r="F527" s="63">
        <f>SUM(F521:F526)</f>
        <v>0</v>
      </c>
      <c r="G527" s="63">
        <f>SUM(G521:G526)</f>
        <v>0</v>
      </c>
      <c r="H527" s="63">
        <f>SUM(H521:H526)</f>
        <v>0</v>
      </c>
      <c r="I527" s="334">
        <f t="shared" si="108"/>
        <v>0</v>
      </c>
      <c r="J527" s="63">
        <f>SUM(J521:J526)</f>
        <v>0</v>
      </c>
      <c r="K527" s="63">
        <f>SUM(K521:K526)</f>
        <v>43</v>
      </c>
      <c r="L527" s="63">
        <f>SUM(L521:L526)</f>
        <v>755</v>
      </c>
      <c r="M527" s="334">
        <f t="shared" si="109"/>
        <v>798</v>
      </c>
      <c r="N527" s="63">
        <f>SUM(N521:N526)</f>
        <v>242</v>
      </c>
      <c r="O527" s="63">
        <f>SUM(O521:O526)</f>
        <v>0</v>
      </c>
      <c r="P527" s="63">
        <f>SUM(P521:P526)</f>
        <v>0</v>
      </c>
      <c r="Q527" s="334">
        <f t="shared" si="110"/>
        <v>242</v>
      </c>
      <c r="R527" s="64">
        <f t="shared" si="111"/>
        <v>1040</v>
      </c>
    </row>
    <row r="528" spans="1:20" ht="16.5" customHeight="1" thickBot="1" x14ac:dyDescent="0.35">
      <c r="A528" s="137" t="s">
        <v>69</v>
      </c>
      <c r="B528" s="100">
        <f>SUM(B518:B526)</f>
        <v>0</v>
      </c>
      <c r="C528" s="101">
        <f>SUM(C518:C526)</f>
        <v>0</v>
      </c>
      <c r="D528" s="138">
        <f>SUM(D518:D526)</f>
        <v>0</v>
      </c>
      <c r="E528" s="334">
        <f t="shared" si="107"/>
        <v>0</v>
      </c>
      <c r="F528" s="101">
        <f>SUM(F518:F526)</f>
        <v>0</v>
      </c>
      <c r="G528" s="101">
        <f>SUM(G518:G526)</f>
        <v>0</v>
      </c>
      <c r="H528" s="101">
        <f>SUM(H518:H526)</f>
        <v>0</v>
      </c>
      <c r="I528" s="334">
        <f t="shared" si="108"/>
        <v>0</v>
      </c>
      <c r="J528" s="101">
        <f>SUM(J518:J526)</f>
        <v>0</v>
      </c>
      <c r="K528" s="101">
        <f>SUM(K518:K526)</f>
        <v>43</v>
      </c>
      <c r="L528" s="101">
        <f>SUM(L518:L526)</f>
        <v>755</v>
      </c>
      <c r="M528" s="334">
        <f t="shared" si="109"/>
        <v>798</v>
      </c>
      <c r="N528" s="101">
        <f>SUM(N518:N526)</f>
        <v>242</v>
      </c>
      <c r="O528" s="101">
        <f>SUM(O518:O526)</f>
        <v>0</v>
      </c>
      <c r="P528" s="101">
        <f>SUM(P518:P526)</f>
        <v>0</v>
      </c>
      <c r="Q528" s="334">
        <f t="shared" si="110"/>
        <v>242</v>
      </c>
      <c r="R528" s="64">
        <f t="shared" si="111"/>
        <v>1040</v>
      </c>
    </row>
    <row r="529" spans="1:20" ht="16.5" customHeight="1" thickBot="1" x14ac:dyDescent="0.35">
      <c r="A529" s="62" t="s">
        <v>70</v>
      </c>
      <c r="B529" s="107">
        <f>+B505+B512+B517+B528</f>
        <v>76</v>
      </c>
      <c r="C529" s="63">
        <f>+C505+C512+C517+C528</f>
        <v>1553</v>
      </c>
      <c r="D529" s="63">
        <f>+D505+D512+D517+D528</f>
        <v>2537</v>
      </c>
      <c r="E529" s="64">
        <f t="shared" si="107"/>
        <v>4166</v>
      </c>
      <c r="F529" s="63">
        <f>+F505+F512+F517+F528</f>
        <v>4871</v>
      </c>
      <c r="G529" s="63">
        <f>+G505+G512+G517+G528</f>
        <v>2694</v>
      </c>
      <c r="H529" s="63">
        <f>+H505+H512+H517+H528</f>
        <v>6023</v>
      </c>
      <c r="I529" s="64">
        <f t="shared" si="108"/>
        <v>13588</v>
      </c>
      <c r="J529" s="63">
        <f>+J505+J512+J517+J528</f>
        <v>2954</v>
      </c>
      <c r="K529" s="63">
        <f>+K505+K512+K517+K528</f>
        <v>3497</v>
      </c>
      <c r="L529" s="63">
        <f>+L505+L512+L517+L528</f>
        <v>2951</v>
      </c>
      <c r="M529" s="64">
        <f t="shared" si="109"/>
        <v>9402</v>
      </c>
      <c r="N529" s="63">
        <f>+N505+N512+N517+N528</f>
        <v>242</v>
      </c>
      <c r="O529" s="63">
        <f>+O505+O512+O517+O528</f>
        <v>11</v>
      </c>
      <c r="P529" s="63">
        <f>+P505+P512+P517+P528</f>
        <v>0</v>
      </c>
      <c r="Q529" s="64">
        <f t="shared" si="110"/>
        <v>253</v>
      </c>
      <c r="R529" s="88">
        <f t="shared" si="111"/>
        <v>27409</v>
      </c>
    </row>
    <row r="530" spans="1:20" ht="16.5" customHeight="1" thickBot="1" x14ac:dyDescent="0.35">
      <c r="A530" s="40" t="s">
        <v>37</v>
      </c>
      <c r="B530" s="25">
        <v>23</v>
      </c>
      <c r="C530" s="25">
        <v>43</v>
      </c>
      <c r="D530" s="25">
        <v>66</v>
      </c>
      <c r="E530" s="88">
        <f t="shared" si="107"/>
        <v>132</v>
      </c>
      <c r="F530" s="25">
        <v>91</v>
      </c>
      <c r="G530" s="25">
        <v>108</v>
      </c>
      <c r="H530" s="25">
        <v>109</v>
      </c>
      <c r="I530" s="88">
        <f t="shared" si="108"/>
        <v>308</v>
      </c>
      <c r="J530" s="25">
        <v>104</v>
      </c>
      <c r="K530" s="25">
        <v>79</v>
      </c>
      <c r="L530" s="25">
        <v>80</v>
      </c>
      <c r="M530" s="88">
        <f t="shared" si="109"/>
        <v>263</v>
      </c>
      <c r="N530" s="25">
        <v>74</v>
      </c>
      <c r="O530" s="25">
        <v>58</v>
      </c>
      <c r="P530" s="25">
        <v>42</v>
      </c>
      <c r="Q530" s="88">
        <f t="shared" si="110"/>
        <v>174</v>
      </c>
      <c r="R530" s="59">
        <f t="shared" si="111"/>
        <v>877</v>
      </c>
    </row>
    <row r="531" spans="1:20" ht="16.5" customHeight="1" thickBot="1" x14ac:dyDescent="0.35">
      <c r="A531" s="42"/>
      <c r="B531" s="37"/>
      <c r="C531" s="37"/>
      <c r="D531" s="37"/>
      <c r="E531" s="43"/>
      <c r="F531" s="37"/>
      <c r="G531" s="37"/>
      <c r="H531" s="37"/>
      <c r="I531" s="147"/>
      <c r="J531" s="37"/>
      <c r="K531" s="37"/>
      <c r="L531" s="37"/>
      <c r="M531" s="147"/>
      <c r="N531" s="37"/>
      <c r="O531" s="37"/>
      <c r="P531" s="37"/>
      <c r="Q531" s="147"/>
      <c r="R531" s="43"/>
    </row>
    <row r="532" spans="1:20" ht="15.75" customHeight="1" x14ac:dyDescent="0.3">
      <c r="A532" s="17" t="s">
        <v>507</v>
      </c>
      <c r="B532" s="336">
        <f>SUM(B529:B530)</f>
        <v>99</v>
      </c>
      <c r="C532" s="336">
        <f>SUM(C529:C530)</f>
        <v>1596</v>
      </c>
      <c r="D532" s="336">
        <f>SUM(D529:D530)</f>
        <v>2603</v>
      </c>
      <c r="E532" s="334">
        <f>SUM(B532:D532)</f>
        <v>4298</v>
      </c>
      <c r="F532" s="336">
        <f>SUM(F529:F530)</f>
        <v>4962</v>
      </c>
      <c r="G532" s="336">
        <f>SUM(G529:G530)</f>
        <v>2802</v>
      </c>
      <c r="H532" s="336">
        <f>SUM(H529:H530)</f>
        <v>6132</v>
      </c>
      <c r="I532" s="334">
        <f>SUM(F532:H532)</f>
        <v>13896</v>
      </c>
      <c r="J532" s="336">
        <f>SUM(J529:J530)</f>
        <v>3058</v>
      </c>
      <c r="K532" s="336">
        <f>SUM(K529:K530)</f>
        <v>3576</v>
      </c>
      <c r="L532" s="336">
        <f>SUM(L529:L530)</f>
        <v>3031</v>
      </c>
      <c r="M532" s="334">
        <f>SUM(J532:L532)</f>
        <v>9665</v>
      </c>
      <c r="N532" s="336">
        <f>SUM(N529:N530)</f>
        <v>316</v>
      </c>
      <c r="O532" s="336">
        <f>SUM(O529:O530)</f>
        <v>69</v>
      </c>
      <c r="P532" s="336">
        <f>SUM(P529:P530)</f>
        <v>42</v>
      </c>
      <c r="Q532" s="334">
        <f>SUM(N532:P532)</f>
        <v>427</v>
      </c>
      <c r="R532" s="334">
        <f>+E532+I532+M532+Q532</f>
        <v>28286</v>
      </c>
    </row>
    <row r="533" spans="1:20" ht="15.75" customHeight="1" x14ac:dyDescent="0.3">
      <c r="A533" s="17" t="s">
        <v>39</v>
      </c>
      <c r="B533" s="1">
        <f>(B532/B10)/1.983</f>
        <v>1.6104631301547019</v>
      </c>
      <c r="C533" s="1">
        <f>(C532/C10)/1.983</f>
        <v>27.753143095623141</v>
      </c>
      <c r="D533" s="1">
        <f>(D532/D10)/1.983</f>
        <v>42.343793210027165</v>
      </c>
      <c r="E533" s="59" t="s">
        <v>7</v>
      </c>
      <c r="F533" s="1">
        <f>(F532/F10)/1.983</f>
        <v>83.408976298537567</v>
      </c>
      <c r="G533" s="1">
        <f>(G532/G10)/1.983</f>
        <v>45.58098677468157</v>
      </c>
      <c r="H533" s="1">
        <f>(H532/H10)/1.983</f>
        <v>103.07614725163893</v>
      </c>
      <c r="I533" s="59" t="s">
        <v>7</v>
      </c>
      <c r="J533" s="1">
        <f>(J532/J10)/1.983</f>
        <v>49.745416687000791</v>
      </c>
      <c r="K533" s="1">
        <f>(K532/K10)/1.983</f>
        <v>58.17188033770924</v>
      </c>
      <c r="L533" s="1">
        <f>(L532/L10)/1.983</f>
        <v>50.949739452008735</v>
      </c>
      <c r="M533" s="59" t="s">
        <v>7</v>
      </c>
      <c r="N533" s="1">
        <f>(N532/N10)/1.983</f>
        <v>5.1404681730190482</v>
      </c>
      <c r="O533" s="1">
        <f>(O532/O10)/1.983</f>
        <v>1.1598587997982852</v>
      </c>
      <c r="P533" s="1">
        <f>(P532/P10)/1.983</f>
        <v>0.68322678248987356</v>
      </c>
      <c r="Q533" s="59" t="s">
        <v>7</v>
      </c>
      <c r="R533" s="59" t="s">
        <v>7</v>
      </c>
    </row>
    <row r="534" spans="1:20" ht="15.75" customHeight="1" x14ac:dyDescent="0.3">
      <c r="A534" s="17" t="s">
        <v>508</v>
      </c>
      <c r="B534" s="1">
        <f>B532+B589</f>
        <v>9063</v>
      </c>
      <c r="C534" s="1">
        <f>C532+C589</f>
        <v>17663</v>
      </c>
      <c r="D534" s="1">
        <f>D532+D589</f>
        <v>24605</v>
      </c>
      <c r="E534" s="59">
        <f>SUM(B534:D534)</f>
        <v>51331</v>
      </c>
      <c r="F534" s="1">
        <f>F532+F589</f>
        <v>30202</v>
      </c>
      <c r="G534" s="1">
        <f>G532+G589</f>
        <v>27038</v>
      </c>
      <c r="H534" s="1">
        <f>H532+H589</f>
        <v>29076</v>
      </c>
      <c r="I534" s="59">
        <f>SUM(F534:H534)</f>
        <v>86316</v>
      </c>
      <c r="J534" s="1">
        <f>J532+J589</f>
        <v>28429</v>
      </c>
      <c r="K534" s="1">
        <f>K532+K589</f>
        <v>25261</v>
      </c>
      <c r="L534" s="1">
        <f>L532+L589</f>
        <v>25967</v>
      </c>
      <c r="M534" s="59">
        <f>SUM(J534:L534)</f>
        <v>79657</v>
      </c>
      <c r="N534" s="1">
        <f>N532+N589</f>
        <v>8221</v>
      </c>
      <c r="O534" s="1">
        <f>O532+O589</f>
        <v>10398</v>
      </c>
      <c r="P534" s="1">
        <f>P532+P589</f>
        <v>14869</v>
      </c>
      <c r="Q534" s="59">
        <f>SUM(N534:P534)</f>
        <v>33488</v>
      </c>
      <c r="R534" s="59">
        <f>+E534+I534+M534+Q534</f>
        <v>250792</v>
      </c>
    </row>
    <row r="535" spans="1:20" ht="16.5" customHeight="1" thickBot="1" x14ac:dyDescent="0.35">
      <c r="A535" s="24" t="s">
        <v>509</v>
      </c>
      <c r="B535" s="87">
        <f>(B534/B10)/1.983</f>
        <v>147.43057927870774</v>
      </c>
      <c r="C535" s="87">
        <f>(C534/C10)/1.983</f>
        <v>307.1452171040047</v>
      </c>
      <c r="D535" s="87">
        <f>(D534/D10)/1.983</f>
        <v>400.25702340865098</v>
      </c>
      <c r="E535" s="88" t="s">
        <v>7</v>
      </c>
      <c r="F535" s="87">
        <f>(F534/F10)/1.983</f>
        <v>507.6819633551857</v>
      </c>
      <c r="G535" s="87">
        <f>(G534/G10)/1.983</f>
        <v>439.83537488002861</v>
      </c>
      <c r="H535" s="87">
        <f>(H534/H10)/1.983</f>
        <v>488.75441250630359</v>
      </c>
      <c r="I535" s="88" t="s">
        <v>7</v>
      </c>
      <c r="J535" s="87">
        <f>(J534/J10)/1.983</f>
        <v>462.46319522391946</v>
      </c>
      <c r="K535" s="87">
        <f>(K534/K10)/1.983</f>
        <v>410.92837505896898</v>
      </c>
      <c r="L535" s="87">
        <f>(L534/L10)/1.983</f>
        <v>436.49352832408806</v>
      </c>
      <c r="M535" s="88" t="s">
        <v>7</v>
      </c>
      <c r="N535" s="87">
        <f>(N534/N10)/1.983</f>
        <v>133.73350902022025</v>
      </c>
      <c r="O535" s="87">
        <f>(O534/O10)/1.983</f>
        <v>174.78567826525466</v>
      </c>
      <c r="P535" s="87">
        <f>(P534/P10)/1.983</f>
        <v>241.87854830576023</v>
      </c>
      <c r="Q535" s="88" t="s">
        <v>7</v>
      </c>
      <c r="R535" s="88" t="s">
        <v>7</v>
      </c>
    </row>
    <row r="536" spans="1:20" ht="15.75" customHeight="1" x14ac:dyDescent="0.3">
      <c r="A536" s="28"/>
      <c r="B536" s="1"/>
      <c r="C536" s="1"/>
      <c r="D536" s="1"/>
      <c r="E536" s="1"/>
      <c r="F536" s="1"/>
      <c r="G536" s="1"/>
      <c r="H536" s="1"/>
      <c r="I536" s="1"/>
      <c r="J536" s="1"/>
      <c r="K536" s="1"/>
      <c r="L536" s="1"/>
      <c r="M536" s="1"/>
      <c r="N536" s="1"/>
      <c r="O536" s="1"/>
      <c r="P536" s="1"/>
      <c r="Q536" s="1"/>
      <c r="R536" s="28"/>
    </row>
    <row r="537" spans="1:20" ht="15.75" customHeight="1" thickBot="1" x14ac:dyDescent="0.35">
      <c r="A537" s="28"/>
      <c r="B537" s="1"/>
      <c r="C537" s="1"/>
      <c r="D537" s="1"/>
      <c r="E537" s="1"/>
      <c r="F537" s="1"/>
      <c r="G537" s="1"/>
      <c r="H537" s="1"/>
      <c r="I537" s="1"/>
      <c r="J537" s="1"/>
      <c r="K537" s="1"/>
      <c r="L537" s="1"/>
      <c r="M537" s="1"/>
      <c r="N537" s="1"/>
      <c r="O537" s="1"/>
      <c r="P537" s="1"/>
      <c r="Q537" s="1"/>
      <c r="R537" s="28"/>
    </row>
    <row r="538" spans="1:20" ht="16.5" customHeight="1" thickBot="1" x14ac:dyDescent="0.35">
      <c r="A538" s="343" t="s">
        <v>510</v>
      </c>
      <c r="B538" s="323" t="s">
        <v>36</v>
      </c>
      <c r="C538" s="324" t="s">
        <v>9</v>
      </c>
      <c r="D538" s="324" t="s">
        <v>10</v>
      </c>
      <c r="E538" s="325" t="s">
        <v>11</v>
      </c>
      <c r="F538" s="324" t="s">
        <v>12</v>
      </c>
      <c r="G538" s="324" t="s">
        <v>13</v>
      </c>
      <c r="H538" s="324" t="s">
        <v>14</v>
      </c>
      <c r="I538" s="34" t="s">
        <v>15</v>
      </c>
      <c r="J538" s="324" t="s">
        <v>16</v>
      </c>
      <c r="K538" s="324" t="s">
        <v>17</v>
      </c>
      <c r="L538" s="324" t="s">
        <v>18</v>
      </c>
      <c r="M538" s="34" t="s">
        <v>19</v>
      </c>
      <c r="N538" s="324" t="s">
        <v>20</v>
      </c>
      <c r="O538" s="324" t="s">
        <v>21</v>
      </c>
      <c r="P538" s="324" t="s">
        <v>22</v>
      </c>
      <c r="Q538" s="34" t="s">
        <v>23</v>
      </c>
      <c r="R538" s="326" t="s">
        <v>24</v>
      </c>
    </row>
    <row r="539" spans="1:20" ht="16.5" customHeight="1" thickBot="1" x14ac:dyDescent="0.35">
      <c r="A539" s="64"/>
      <c r="B539" s="81"/>
      <c r="C539" s="81"/>
      <c r="D539" s="81"/>
      <c r="E539" s="72"/>
      <c r="F539" s="81"/>
      <c r="G539" s="81"/>
      <c r="H539" s="81"/>
      <c r="I539" s="89"/>
      <c r="J539" s="81"/>
      <c r="K539" s="81"/>
      <c r="L539" s="81"/>
      <c r="M539" s="89"/>
      <c r="N539" s="81"/>
      <c r="O539" s="81"/>
      <c r="P539" s="81"/>
      <c r="Q539" s="89"/>
      <c r="R539" s="117"/>
    </row>
    <row r="540" spans="1:20" ht="15.75" customHeight="1" x14ac:dyDescent="0.3">
      <c r="A540" s="17" t="s">
        <v>45</v>
      </c>
      <c r="B540" s="1" t="s">
        <v>7</v>
      </c>
      <c r="C540" s="1" t="s">
        <v>7</v>
      </c>
      <c r="D540" s="1" t="s">
        <v>7</v>
      </c>
      <c r="E540" s="59" t="s">
        <v>7</v>
      </c>
      <c r="F540" s="1" t="s">
        <v>7</v>
      </c>
      <c r="G540" s="1" t="s">
        <v>7</v>
      </c>
      <c r="H540" s="1" t="s">
        <v>7</v>
      </c>
      <c r="I540" s="59" t="s">
        <v>7</v>
      </c>
      <c r="J540" s="1" t="s">
        <v>7</v>
      </c>
      <c r="K540" s="1" t="s">
        <v>7</v>
      </c>
      <c r="L540" s="1" t="s">
        <v>7</v>
      </c>
      <c r="M540" s="59" t="s">
        <v>7</v>
      </c>
      <c r="N540" s="1" t="s">
        <v>7</v>
      </c>
      <c r="O540" s="1" t="s">
        <v>7</v>
      </c>
      <c r="P540" s="1" t="s">
        <v>7</v>
      </c>
      <c r="Q540" s="59" t="s">
        <v>7</v>
      </c>
      <c r="R540" s="59" t="s">
        <v>7</v>
      </c>
    </row>
    <row r="541" spans="1:20" ht="15.75" customHeight="1" x14ac:dyDescent="0.3">
      <c r="A541" s="17" t="s">
        <v>46</v>
      </c>
      <c r="B541" s="1"/>
      <c r="C541" s="1"/>
      <c r="D541" s="1"/>
      <c r="E541" s="59" t="s">
        <v>7</v>
      </c>
      <c r="F541" s="1"/>
      <c r="G541" s="1"/>
      <c r="H541" s="1"/>
      <c r="I541" s="59" t="s">
        <v>7</v>
      </c>
      <c r="J541" s="1"/>
      <c r="K541" s="1"/>
      <c r="L541" s="1"/>
      <c r="M541" s="59" t="s">
        <v>7</v>
      </c>
      <c r="N541" s="1"/>
      <c r="O541" s="1"/>
      <c r="P541" s="1"/>
      <c r="Q541" s="59" t="s">
        <v>7</v>
      </c>
      <c r="R541" s="59" t="s">
        <v>7</v>
      </c>
    </row>
    <row r="542" spans="1:20" ht="15.75" customHeight="1" x14ac:dyDescent="0.3">
      <c r="A542" s="74" t="s">
        <v>511</v>
      </c>
      <c r="B542" s="1">
        <v>685</v>
      </c>
      <c r="C542" s="1">
        <v>450</v>
      </c>
      <c r="D542" s="1">
        <v>382</v>
      </c>
      <c r="E542" s="59">
        <f t="shared" ref="E542:E550" si="112">SUM(B542:D542)</f>
        <v>1517</v>
      </c>
      <c r="F542" s="1">
        <v>165</v>
      </c>
      <c r="G542" s="1">
        <v>554</v>
      </c>
      <c r="H542" s="1">
        <v>494</v>
      </c>
      <c r="I542" s="59">
        <f t="shared" ref="I542:I550" si="113">SUM(F542:H542)</f>
        <v>1213</v>
      </c>
      <c r="J542" s="1">
        <v>520</v>
      </c>
      <c r="K542" s="1">
        <v>377</v>
      </c>
      <c r="L542" s="1">
        <v>284</v>
      </c>
      <c r="M542" s="59">
        <f t="shared" ref="M542:M550" si="114">SUM(J542:L542)</f>
        <v>1181</v>
      </c>
      <c r="N542" s="1">
        <v>39</v>
      </c>
      <c r="O542" s="1"/>
      <c r="P542" s="1">
        <v>45</v>
      </c>
      <c r="Q542" s="59">
        <f t="shared" ref="Q542:Q550" si="115">SUM(N542:P542)</f>
        <v>84</v>
      </c>
      <c r="R542" s="59">
        <f t="shared" ref="R542:R550" si="116">+E542+I542+M542+Q542</f>
        <v>3995</v>
      </c>
    </row>
    <row r="543" spans="1:20" ht="15.75" customHeight="1" x14ac:dyDescent="0.3">
      <c r="A543" s="74" t="s">
        <v>512</v>
      </c>
      <c r="B543" s="1">
        <v>172</v>
      </c>
      <c r="C543" s="1">
        <v>426</v>
      </c>
      <c r="D543" s="1">
        <v>600</v>
      </c>
      <c r="E543" s="59">
        <f>SUM(B543:D543)</f>
        <v>1198</v>
      </c>
      <c r="F543" s="1">
        <v>301</v>
      </c>
      <c r="G543" s="1">
        <v>400</v>
      </c>
      <c r="H543" s="1">
        <v>501</v>
      </c>
      <c r="I543" s="59">
        <f>SUM(F543:H543)</f>
        <v>1202</v>
      </c>
      <c r="J543" s="1"/>
      <c r="K543" s="1"/>
      <c r="L543" s="1"/>
      <c r="M543" s="59">
        <f>SUM(J543:L543)</f>
        <v>0</v>
      </c>
      <c r="N543" s="1"/>
      <c r="O543" s="1"/>
      <c r="P543" s="1"/>
      <c r="Q543" s="59">
        <f>SUM(N543:P543)</f>
        <v>0</v>
      </c>
      <c r="R543" s="59">
        <f>+E543+I543+M543+Q543</f>
        <v>2400</v>
      </c>
    </row>
    <row r="544" spans="1:20" ht="15.75" customHeight="1" x14ac:dyDescent="0.3">
      <c r="A544" s="74" t="s">
        <v>513</v>
      </c>
      <c r="B544" s="1"/>
      <c r="C544" s="1">
        <v>419</v>
      </c>
      <c r="D544" s="1">
        <v>1313</v>
      </c>
      <c r="E544" s="59">
        <f t="shared" si="112"/>
        <v>1732</v>
      </c>
      <c r="F544" s="1">
        <v>1466</v>
      </c>
      <c r="G544" s="1"/>
      <c r="H544" s="1"/>
      <c r="I544" s="59">
        <f t="shared" si="113"/>
        <v>1466</v>
      </c>
      <c r="J544" s="1">
        <v>1214</v>
      </c>
      <c r="K544" s="1"/>
      <c r="L544" s="1"/>
      <c r="M544" s="59">
        <f t="shared" si="114"/>
        <v>1214</v>
      </c>
      <c r="N544" s="1"/>
      <c r="O544" s="1"/>
      <c r="P544" s="1"/>
      <c r="Q544" s="59">
        <f t="shared" si="115"/>
        <v>0</v>
      </c>
      <c r="R544" s="59">
        <f t="shared" si="116"/>
        <v>4412</v>
      </c>
      <c r="T544" s="4" t="s">
        <v>514</v>
      </c>
    </row>
    <row r="545" spans="1:20" ht="15.75" customHeight="1" x14ac:dyDescent="0.3">
      <c r="A545" s="74" t="s">
        <v>515</v>
      </c>
      <c r="B545" s="1"/>
      <c r="C545" s="1"/>
      <c r="D545" s="1"/>
      <c r="E545" s="59">
        <f>SUM(B545:D545)</f>
        <v>0</v>
      </c>
      <c r="F545" s="1"/>
      <c r="G545" s="1"/>
      <c r="H545" s="1"/>
      <c r="I545" s="59">
        <f>SUM(F545:H545)</f>
        <v>0</v>
      </c>
      <c r="J545" s="1"/>
      <c r="K545" s="1"/>
      <c r="L545" s="1"/>
      <c r="M545" s="59">
        <f>SUM(J545:L545)</f>
        <v>0</v>
      </c>
      <c r="N545" s="1"/>
      <c r="O545" s="1"/>
      <c r="P545" s="1"/>
      <c r="Q545" s="59">
        <f>SUM(N545:P545)</f>
        <v>0</v>
      </c>
      <c r="R545" s="59">
        <f>+E545+I545+M545+Q545</f>
        <v>0</v>
      </c>
      <c r="T545" s="4" t="s">
        <v>516</v>
      </c>
    </row>
    <row r="546" spans="1:20" ht="15.75" customHeight="1" x14ac:dyDescent="0.3">
      <c r="A546" s="74" t="s">
        <v>517</v>
      </c>
      <c r="B546" s="1"/>
      <c r="C546" s="1">
        <v>1500</v>
      </c>
      <c r="D546" s="1">
        <v>1486</v>
      </c>
      <c r="E546" s="59">
        <f t="shared" si="112"/>
        <v>2986</v>
      </c>
      <c r="F546" s="1"/>
      <c r="G546" s="1"/>
      <c r="H546" s="1"/>
      <c r="I546" s="59">
        <f t="shared" si="113"/>
        <v>0</v>
      </c>
      <c r="J546" s="1"/>
      <c r="K546" s="1"/>
      <c r="L546" s="1">
        <v>19</v>
      </c>
      <c r="M546" s="59">
        <f t="shared" si="114"/>
        <v>19</v>
      </c>
      <c r="N546" s="1"/>
      <c r="O546" s="1"/>
      <c r="P546" s="1"/>
      <c r="Q546" s="59">
        <f t="shared" si="115"/>
        <v>0</v>
      </c>
      <c r="R546" s="59">
        <f t="shared" si="116"/>
        <v>3005</v>
      </c>
      <c r="T546" s="4" t="s">
        <v>516</v>
      </c>
    </row>
    <row r="547" spans="1:20" ht="15.75" customHeight="1" x14ac:dyDescent="0.3">
      <c r="A547" s="74" t="s">
        <v>518</v>
      </c>
      <c r="B547" s="1"/>
      <c r="C547" s="1">
        <v>300</v>
      </c>
      <c r="D547" s="1">
        <v>150</v>
      </c>
      <c r="E547" s="59">
        <f>SUM(B547:D547)</f>
        <v>450</v>
      </c>
      <c r="F547" s="1">
        <v>150</v>
      </c>
      <c r="G547" s="1">
        <v>150</v>
      </c>
      <c r="H547" s="1">
        <v>150</v>
      </c>
      <c r="I547" s="59">
        <f>SUM(F547:H547)</f>
        <v>450</v>
      </c>
      <c r="J547" s="1">
        <v>150</v>
      </c>
      <c r="K547" s="1">
        <v>200</v>
      </c>
      <c r="L547" s="1">
        <v>250</v>
      </c>
      <c r="M547" s="59">
        <f>SUM(J547:L547)</f>
        <v>600</v>
      </c>
      <c r="N547" s="1"/>
      <c r="O547" s="1"/>
      <c r="P547" s="1"/>
      <c r="Q547" s="59">
        <f>SUM(N547:P547)</f>
        <v>0</v>
      </c>
      <c r="R547" s="59">
        <f t="shared" si="116"/>
        <v>1500</v>
      </c>
    </row>
    <row r="548" spans="1:20" ht="15.75" customHeight="1" x14ac:dyDescent="0.3">
      <c r="A548" s="74" t="s">
        <v>519</v>
      </c>
      <c r="B548" s="1"/>
      <c r="C548" s="1"/>
      <c r="D548" s="1"/>
      <c r="E548" s="59">
        <f t="shared" si="112"/>
        <v>0</v>
      </c>
      <c r="F548" s="1"/>
      <c r="G548" s="1"/>
      <c r="H548" s="1"/>
      <c r="I548" s="59">
        <f t="shared" si="113"/>
        <v>0</v>
      </c>
      <c r="J548" s="1"/>
      <c r="K548" s="1"/>
      <c r="L548" s="1">
        <v>2800</v>
      </c>
      <c r="M548" s="59">
        <f t="shared" si="114"/>
        <v>2800</v>
      </c>
      <c r="N548" s="1"/>
      <c r="O548" s="1"/>
      <c r="P548" s="1"/>
      <c r="Q548" s="59">
        <f t="shared" si="115"/>
        <v>0</v>
      </c>
      <c r="R548" s="59">
        <f t="shared" si="116"/>
        <v>2800</v>
      </c>
      <c r="T548" s="4" t="s">
        <v>516</v>
      </c>
    </row>
    <row r="549" spans="1:20" ht="15.75" customHeight="1" x14ac:dyDescent="0.3">
      <c r="A549" s="74" t="s">
        <v>520</v>
      </c>
      <c r="B549" s="1"/>
      <c r="C549" s="1"/>
      <c r="D549" s="1"/>
      <c r="E549" s="59">
        <f t="shared" si="112"/>
        <v>0</v>
      </c>
      <c r="F549" s="1">
        <v>500</v>
      </c>
      <c r="G549" s="1">
        <v>700</v>
      </c>
      <c r="H549" s="1">
        <v>328</v>
      </c>
      <c r="I549" s="59">
        <f t="shared" si="113"/>
        <v>1528</v>
      </c>
      <c r="J549" s="1"/>
      <c r="K549" s="1"/>
      <c r="L549" s="1"/>
      <c r="M549" s="59">
        <f t="shared" si="114"/>
        <v>0</v>
      </c>
      <c r="N549" s="1"/>
      <c r="O549" s="1"/>
      <c r="P549" s="1"/>
      <c r="Q549" s="59">
        <f>SUM(N549:P549)</f>
        <v>0</v>
      </c>
      <c r="R549" s="59">
        <f>+E549+I549+M549+Q549</f>
        <v>1528</v>
      </c>
    </row>
    <row r="550" spans="1:20" ht="15.75" customHeight="1" x14ac:dyDescent="0.3">
      <c r="A550" s="74" t="s">
        <v>521</v>
      </c>
      <c r="B550" s="1"/>
      <c r="C550" s="1"/>
      <c r="D550" s="1"/>
      <c r="E550" s="59">
        <f t="shared" si="112"/>
        <v>0</v>
      </c>
      <c r="F550" s="1"/>
      <c r="G550" s="1"/>
      <c r="H550" s="1"/>
      <c r="I550" s="59">
        <f t="shared" si="113"/>
        <v>0</v>
      </c>
      <c r="J550" s="1"/>
      <c r="K550" s="1"/>
      <c r="L550" s="1"/>
      <c r="M550" s="59">
        <f t="shared" si="114"/>
        <v>0</v>
      </c>
      <c r="N550" s="1"/>
      <c r="O550" s="1"/>
      <c r="P550" s="1"/>
      <c r="Q550" s="59">
        <f t="shared" si="115"/>
        <v>0</v>
      </c>
      <c r="R550" s="59">
        <f t="shared" si="116"/>
        <v>0</v>
      </c>
      <c r="T550" s="4" t="s">
        <v>516</v>
      </c>
    </row>
    <row r="551" spans="1:20" ht="15.75" customHeight="1" x14ac:dyDescent="0.3">
      <c r="A551" s="74" t="s">
        <v>895</v>
      </c>
      <c r="B551" s="1"/>
      <c r="C551" s="1">
        <v>500</v>
      </c>
      <c r="D551" s="1">
        <v>250</v>
      </c>
      <c r="E551" s="59">
        <f>SUM(B551:D551)</f>
        <v>750</v>
      </c>
      <c r="F551" s="1">
        <v>1466</v>
      </c>
      <c r="G551" s="1">
        <v>244</v>
      </c>
      <c r="H551" s="1">
        <v>224</v>
      </c>
      <c r="I551" s="59">
        <f>SUM(F551:H551)</f>
        <v>1934</v>
      </c>
      <c r="J551" s="1">
        <v>303</v>
      </c>
      <c r="K551" s="1"/>
      <c r="L551" s="1"/>
      <c r="M551" s="59">
        <f>SUM(J551:L551)</f>
        <v>303</v>
      </c>
      <c r="N551" s="1"/>
      <c r="O551" s="1"/>
      <c r="P551" s="1"/>
      <c r="Q551" s="59">
        <f>SUM(N551:P551)</f>
        <v>0</v>
      </c>
      <c r="R551" s="59">
        <f>+E551+I551+M551+Q551</f>
        <v>2987</v>
      </c>
      <c r="T551" s="4" t="s">
        <v>514</v>
      </c>
    </row>
    <row r="552" spans="1:20" ht="15.75" customHeight="1" x14ac:dyDescent="0.3">
      <c r="A552" s="17" t="s">
        <v>47</v>
      </c>
      <c r="B552" s="1"/>
      <c r="C552" s="1"/>
      <c r="D552" s="1"/>
      <c r="E552" s="59" t="s">
        <v>7</v>
      </c>
      <c r="F552" s="1"/>
      <c r="G552" s="1"/>
      <c r="H552" s="1"/>
      <c r="I552" s="59" t="s">
        <v>7</v>
      </c>
      <c r="J552" s="1"/>
      <c r="K552" s="1"/>
      <c r="L552" s="1"/>
      <c r="M552" s="59" t="s">
        <v>7</v>
      </c>
      <c r="N552" s="1"/>
      <c r="O552" s="1"/>
      <c r="P552" s="1"/>
      <c r="Q552" s="59" t="s">
        <v>7</v>
      </c>
      <c r="R552" s="59" t="s">
        <v>7</v>
      </c>
    </row>
    <row r="553" spans="1:20" ht="15.75" customHeight="1" x14ac:dyDescent="0.3">
      <c r="A553" s="74" t="s">
        <v>521</v>
      </c>
      <c r="B553" s="1"/>
      <c r="C553" s="1"/>
      <c r="D553" s="1"/>
      <c r="E553" s="59">
        <f>SUM(B553:D553)</f>
        <v>0</v>
      </c>
      <c r="F553" s="1"/>
      <c r="G553" s="1"/>
      <c r="H553" s="1"/>
      <c r="I553" s="59">
        <f>SUM(F553:H553)</f>
        <v>0</v>
      </c>
      <c r="J553" s="1"/>
      <c r="K553" s="1"/>
      <c r="L553" s="1"/>
      <c r="M553" s="59">
        <f>SUM(J553:L553)</f>
        <v>0</v>
      </c>
      <c r="N553" s="1"/>
      <c r="O553" s="1"/>
      <c r="P553" s="1"/>
      <c r="Q553" s="59">
        <f>SUM(N553:P553)</f>
        <v>0</v>
      </c>
      <c r="R553" s="59">
        <f>+E553+I553+M553+Q553</f>
        <v>0</v>
      </c>
      <c r="T553" s="4" t="s">
        <v>516</v>
      </c>
    </row>
    <row r="554" spans="1:20" ht="15.75" customHeight="1" x14ac:dyDescent="0.3">
      <c r="A554" s="17" t="s">
        <v>898</v>
      </c>
      <c r="B554" s="1"/>
      <c r="C554" s="1"/>
      <c r="D554" s="1"/>
      <c r="E554" s="59" t="s">
        <v>7</v>
      </c>
      <c r="F554" s="1"/>
      <c r="G554" s="1"/>
      <c r="H554" s="1"/>
      <c r="I554" s="59" t="s">
        <v>7</v>
      </c>
      <c r="J554" s="1"/>
      <c r="K554" s="1"/>
      <c r="L554" s="1"/>
      <c r="M554" s="59" t="s">
        <v>7</v>
      </c>
      <c r="N554" s="1"/>
      <c r="O554" s="1"/>
      <c r="P554" s="1"/>
      <c r="Q554" s="59" t="s">
        <v>7</v>
      </c>
      <c r="R554" s="59" t="s">
        <v>7</v>
      </c>
    </row>
    <row r="555" spans="1:20" ht="15.75" customHeight="1" x14ac:dyDescent="0.3">
      <c r="A555" s="74" t="s">
        <v>923</v>
      </c>
      <c r="B555" s="1"/>
      <c r="C555" s="1">
        <v>965</v>
      </c>
      <c r="D555" s="1"/>
      <c r="E555" s="59">
        <f>SUM(B555:D555)</f>
        <v>965</v>
      </c>
      <c r="F555" s="1"/>
      <c r="G555" s="1"/>
      <c r="H555" s="1"/>
      <c r="I555" s="59">
        <f>SUM(F555:H555)</f>
        <v>0</v>
      </c>
      <c r="J555" s="1"/>
      <c r="K555" s="1"/>
      <c r="L555" s="1">
        <v>35</v>
      </c>
      <c r="M555" s="59">
        <f>SUM(J555:L555)</f>
        <v>35</v>
      </c>
      <c r="N555" s="1"/>
      <c r="O555" s="1">
        <v>2190</v>
      </c>
      <c r="P555" s="1"/>
      <c r="Q555" s="59">
        <f>SUM(N555:P555)</f>
        <v>2190</v>
      </c>
      <c r="R555" s="59">
        <f>+E555+I555+M555+Q555</f>
        <v>3190</v>
      </c>
      <c r="T555" s="4" t="s">
        <v>516</v>
      </c>
    </row>
    <row r="556" spans="1:20" ht="15.75" customHeight="1" thickBot="1" x14ac:dyDescent="0.35">
      <c r="A556" s="17" t="s">
        <v>51</v>
      </c>
      <c r="B556" s="1"/>
      <c r="C556" s="1"/>
      <c r="D556" s="1"/>
      <c r="E556" s="59" t="s">
        <v>7</v>
      </c>
      <c r="F556" s="1"/>
      <c r="G556" s="1"/>
      <c r="H556" s="1"/>
      <c r="I556" s="59" t="s">
        <v>7</v>
      </c>
      <c r="J556" s="1"/>
      <c r="K556" s="1"/>
      <c r="L556" s="1"/>
      <c r="M556" s="59" t="s">
        <v>7</v>
      </c>
      <c r="N556" s="1"/>
      <c r="O556" s="1"/>
      <c r="P556" s="1"/>
      <c r="Q556" s="59" t="s">
        <v>7</v>
      </c>
      <c r="R556" s="59" t="s">
        <v>7</v>
      </c>
    </row>
    <row r="557" spans="1:20" ht="16.5" customHeight="1" thickBot="1" x14ac:dyDescent="0.35">
      <c r="A557" s="126" t="s">
        <v>52</v>
      </c>
      <c r="B557" s="100">
        <f>SUM(B540:B556)</f>
        <v>857</v>
      </c>
      <c r="C557" s="101">
        <f>SUM(C540:C556)</f>
        <v>4560</v>
      </c>
      <c r="D557" s="101">
        <f>SUM(D540:D556)</f>
        <v>4181</v>
      </c>
      <c r="E557" s="64">
        <f>SUM(B557:D557)</f>
        <v>9598</v>
      </c>
      <c r="F557" s="101">
        <f>SUM(F540:F556)</f>
        <v>4048</v>
      </c>
      <c r="G557" s="101">
        <f>SUM(G540:G556)</f>
        <v>2048</v>
      </c>
      <c r="H557" s="101">
        <f>SUM(H540:H556)</f>
        <v>1697</v>
      </c>
      <c r="I557" s="64">
        <f>SUM(F557:H557)</f>
        <v>7793</v>
      </c>
      <c r="J557" s="101">
        <f>SUM(J540:J556)</f>
        <v>2187</v>
      </c>
      <c r="K557" s="101">
        <f>SUM(K540:K556)</f>
        <v>577</v>
      </c>
      <c r="L557" s="101">
        <f>SUM(L540:L556)</f>
        <v>3388</v>
      </c>
      <c r="M557" s="64">
        <f>SUM(J557:L557)</f>
        <v>6152</v>
      </c>
      <c r="N557" s="101">
        <f>SUM(N540:N556)</f>
        <v>39</v>
      </c>
      <c r="O557" s="101">
        <f>SUM(O540:O556)</f>
        <v>2190</v>
      </c>
      <c r="P557" s="101">
        <f>SUM(P540:P556)</f>
        <v>45</v>
      </c>
      <c r="Q557" s="64">
        <f>SUM(N557:P557)</f>
        <v>2274</v>
      </c>
      <c r="R557" s="64">
        <f>+E557+I557+M557+Q557</f>
        <v>25817</v>
      </c>
    </row>
    <row r="558" spans="1:20" ht="15.75" customHeight="1" x14ac:dyDescent="0.3">
      <c r="A558" s="17" t="s">
        <v>53</v>
      </c>
      <c r="B558" s="1"/>
      <c r="C558" s="1"/>
      <c r="D558" s="1"/>
      <c r="E558" s="59" t="s">
        <v>7</v>
      </c>
      <c r="F558" s="1"/>
      <c r="G558" s="1"/>
      <c r="H558" s="1"/>
      <c r="I558" s="59" t="s">
        <v>7</v>
      </c>
      <c r="J558" s="1"/>
      <c r="K558" s="1"/>
      <c r="L558" s="1"/>
      <c r="M558" s="59" t="s">
        <v>7</v>
      </c>
      <c r="N558" s="1"/>
      <c r="O558" s="1"/>
      <c r="P558" s="1"/>
      <c r="Q558" s="59" t="s">
        <v>7</v>
      </c>
      <c r="R558" s="59" t="s">
        <v>7</v>
      </c>
    </row>
    <row r="559" spans="1:20" ht="15.75" customHeight="1" x14ac:dyDescent="0.3">
      <c r="A559" s="17" t="s">
        <v>55</v>
      </c>
      <c r="B559" s="1"/>
      <c r="C559" s="1"/>
      <c r="D559" s="1"/>
      <c r="E559" s="59" t="s">
        <v>7</v>
      </c>
      <c r="F559" s="1"/>
      <c r="G559" s="1"/>
      <c r="H559" s="1"/>
      <c r="I559" s="59" t="s">
        <v>7</v>
      </c>
      <c r="J559" s="1"/>
      <c r="K559" s="1"/>
      <c r="L559" s="1"/>
      <c r="M559" s="59" t="s">
        <v>7</v>
      </c>
      <c r="N559" s="1"/>
      <c r="O559" s="1"/>
      <c r="P559" s="1"/>
      <c r="Q559" s="59" t="s">
        <v>7</v>
      </c>
      <c r="R559" s="59" t="s">
        <v>7</v>
      </c>
    </row>
    <row r="560" spans="1:20" ht="15.75" customHeight="1" x14ac:dyDescent="0.3">
      <c r="A560" s="74" t="s">
        <v>526</v>
      </c>
      <c r="B560" s="1"/>
      <c r="C560" s="1"/>
      <c r="D560" s="1"/>
      <c r="E560" s="59">
        <f>SUM(B560:D560)</f>
        <v>0</v>
      </c>
      <c r="F560" s="1"/>
      <c r="G560" s="1"/>
      <c r="H560" s="1"/>
      <c r="I560" s="59">
        <f>SUM(F560:H560)</f>
        <v>0</v>
      </c>
      <c r="J560" s="1"/>
      <c r="K560" s="1"/>
      <c r="L560" s="1"/>
      <c r="M560" s="59">
        <f>SUM(J560:L560)</f>
        <v>0</v>
      </c>
      <c r="N560" s="1"/>
      <c r="O560" s="1"/>
      <c r="P560" s="1"/>
      <c r="Q560" s="59">
        <f>SUM(N560:P560)</f>
        <v>0</v>
      </c>
      <c r="R560" s="59">
        <f>+E560+I560+M560+Q560</f>
        <v>0</v>
      </c>
    </row>
    <row r="561" spans="1:20" ht="15.75" customHeight="1" x14ac:dyDescent="0.3">
      <c r="A561" s="74" t="s">
        <v>527</v>
      </c>
      <c r="B561" s="1"/>
      <c r="C561" s="1"/>
      <c r="D561" s="1"/>
      <c r="E561" s="59">
        <f>SUM(B561:D561)</f>
        <v>0</v>
      </c>
      <c r="F561" s="1"/>
      <c r="G561" s="1"/>
      <c r="H561" s="1"/>
      <c r="I561" s="59">
        <f>SUM(F561:H561)</f>
        <v>0</v>
      </c>
      <c r="J561" s="1"/>
      <c r="K561" s="1"/>
      <c r="L561" s="1"/>
      <c r="M561" s="59">
        <f>SUM(J561:L561)</f>
        <v>0</v>
      </c>
      <c r="N561" s="1"/>
      <c r="O561" s="1"/>
      <c r="P561" s="1"/>
      <c r="Q561" s="59">
        <f>SUM(N561:P561)</f>
        <v>0</v>
      </c>
      <c r="R561" s="59">
        <f>+E561+I561+M561+Q561</f>
        <v>0</v>
      </c>
    </row>
    <row r="562" spans="1:20" ht="15.75" customHeight="1" thickBot="1" x14ac:dyDescent="0.35">
      <c r="A562" s="17" t="s">
        <v>56</v>
      </c>
      <c r="B562" s="1"/>
      <c r="C562" s="1"/>
      <c r="D562" s="1"/>
      <c r="E562" s="59" t="s">
        <v>7</v>
      </c>
      <c r="F562" s="1"/>
      <c r="G562" s="1"/>
      <c r="H562" s="1"/>
      <c r="I562" s="59" t="s">
        <v>7</v>
      </c>
      <c r="J562" s="1"/>
      <c r="K562" s="1"/>
      <c r="L562" s="1"/>
      <c r="M562" s="59" t="s">
        <v>7</v>
      </c>
      <c r="N562" s="1"/>
      <c r="O562" s="1"/>
      <c r="P562" s="1"/>
      <c r="Q562" s="59" t="s">
        <v>7</v>
      </c>
      <c r="R562" s="59" t="s">
        <v>7</v>
      </c>
    </row>
    <row r="563" spans="1:20" ht="16.5" customHeight="1" thickBot="1" x14ac:dyDescent="0.35">
      <c r="A563" s="62" t="s">
        <v>57</v>
      </c>
      <c r="B563" s="100">
        <f>SUM(B558:B562)</f>
        <v>0</v>
      </c>
      <c r="C563" s="101">
        <f>SUM(C558:C562)</f>
        <v>0</v>
      </c>
      <c r="D563" s="101">
        <f>SUM(D558:D562)</f>
        <v>0</v>
      </c>
      <c r="E563" s="64">
        <f>SUM(B563:D563)</f>
        <v>0</v>
      </c>
      <c r="F563" s="101">
        <f>SUM(F558:F562)</f>
        <v>0</v>
      </c>
      <c r="G563" s="101">
        <f>SUM(G558:G562)</f>
        <v>0</v>
      </c>
      <c r="H563" s="101">
        <f>SUM(H558:H562)</f>
        <v>0</v>
      </c>
      <c r="I563" s="64">
        <f>SUM(F563:H563)</f>
        <v>0</v>
      </c>
      <c r="J563" s="101">
        <f>SUM(J558:J562)</f>
        <v>0</v>
      </c>
      <c r="K563" s="101">
        <f>SUM(K558:K562)</f>
        <v>0</v>
      </c>
      <c r="L563" s="101">
        <f>SUM(L558:L562)</f>
        <v>0</v>
      </c>
      <c r="M563" s="64">
        <f>SUM(J563:L563)</f>
        <v>0</v>
      </c>
      <c r="N563" s="101">
        <f>SUM(N558:N562)</f>
        <v>0</v>
      </c>
      <c r="O563" s="101">
        <f>SUM(O558:O562)</f>
        <v>0</v>
      </c>
      <c r="P563" s="101">
        <f>SUM(P558:P562)</f>
        <v>0</v>
      </c>
      <c r="Q563" s="64">
        <f>SUM(N563:P563)</f>
        <v>0</v>
      </c>
      <c r="R563" s="64">
        <f>+E563+I563+M563+Q563</f>
        <v>0</v>
      </c>
    </row>
    <row r="564" spans="1:20" ht="15.75" customHeight="1" x14ac:dyDescent="0.3">
      <c r="A564" s="17" t="s">
        <v>58</v>
      </c>
      <c r="B564" s="1"/>
      <c r="C564" s="1"/>
      <c r="D564" s="1"/>
      <c r="E564" s="59" t="s">
        <v>7</v>
      </c>
      <c r="F564" s="1"/>
      <c r="G564" s="1"/>
      <c r="H564" s="1"/>
      <c r="I564" s="59" t="s">
        <v>7</v>
      </c>
      <c r="J564" s="1"/>
      <c r="K564" s="1"/>
      <c r="L564" s="1"/>
      <c r="M564" s="59" t="s">
        <v>7</v>
      </c>
      <c r="N564" s="1"/>
      <c r="O564" s="1"/>
      <c r="P564" s="1"/>
      <c r="Q564" s="59" t="s">
        <v>7</v>
      </c>
      <c r="R564" s="59" t="s">
        <v>7</v>
      </c>
    </row>
    <row r="565" spans="1:20" ht="15.75" customHeight="1" x14ac:dyDescent="0.3">
      <c r="A565" s="17" t="s">
        <v>59</v>
      </c>
      <c r="B565" s="1"/>
      <c r="C565" s="1"/>
      <c r="D565" s="1"/>
      <c r="E565" s="59" t="s">
        <v>7</v>
      </c>
      <c r="F565" s="1"/>
      <c r="G565" s="1"/>
      <c r="H565" s="1"/>
      <c r="I565" s="59" t="s">
        <v>7</v>
      </c>
      <c r="J565" s="1"/>
      <c r="K565" s="1"/>
      <c r="L565" s="1"/>
      <c r="M565" s="59" t="s">
        <v>7</v>
      </c>
      <c r="N565" s="1"/>
      <c r="O565" s="1"/>
      <c r="P565" s="1"/>
      <c r="Q565" s="59" t="s">
        <v>7</v>
      </c>
      <c r="R565" s="59" t="s">
        <v>7</v>
      </c>
    </row>
    <row r="566" spans="1:20" ht="15.75" customHeight="1" x14ac:dyDescent="0.3">
      <c r="A566" s="17" t="s">
        <v>60</v>
      </c>
      <c r="B566" s="1"/>
      <c r="C566" s="1"/>
      <c r="D566" s="1"/>
      <c r="E566" s="59" t="s">
        <v>7</v>
      </c>
      <c r="F566" s="1"/>
      <c r="G566" s="1"/>
      <c r="H566" s="1"/>
      <c r="I566" s="59" t="s">
        <v>7</v>
      </c>
      <c r="J566" s="1"/>
      <c r="K566" s="1"/>
      <c r="L566" s="1"/>
      <c r="M566" s="59" t="s">
        <v>7</v>
      </c>
      <c r="N566" s="1"/>
      <c r="O566" s="1"/>
      <c r="P566" s="1"/>
      <c r="Q566" s="59" t="s">
        <v>7</v>
      </c>
      <c r="R566" s="59" t="s">
        <v>7</v>
      </c>
    </row>
    <row r="567" spans="1:20" ht="15.75" customHeight="1" thickBot="1" x14ac:dyDescent="0.35">
      <c r="A567" s="74" t="s">
        <v>925</v>
      </c>
      <c r="B567" s="1">
        <v>43</v>
      </c>
      <c r="C567" s="1"/>
      <c r="D567" s="1"/>
      <c r="E567" s="59">
        <f>SUM(B567:D567)</f>
        <v>43</v>
      </c>
      <c r="F567" s="1"/>
      <c r="G567" s="1"/>
      <c r="H567" s="1"/>
      <c r="I567" s="59">
        <f>SUM(F567:H567)</f>
        <v>0</v>
      </c>
      <c r="J567" s="1"/>
      <c r="K567" s="1"/>
      <c r="L567" s="1"/>
      <c r="M567" s="59">
        <f>SUM(J567:L567)</f>
        <v>0</v>
      </c>
      <c r="N567" s="1"/>
      <c r="O567" s="1"/>
      <c r="P567" s="1"/>
      <c r="Q567" s="59">
        <f>SUM(N567:P567)</f>
        <v>0</v>
      </c>
      <c r="R567" s="59">
        <f>+E567+I567+M567+Q567</f>
        <v>43</v>
      </c>
      <c r="T567" s="4" t="s">
        <v>516</v>
      </c>
    </row>
    <row r="568" spans="1:20" ht="16.5" customHeight="1" thickBot="1" x14ac:dyDescent="0.35">
      <c r="A568" s="137" t="s">
        <v>61</v>
      </c>
      <c r="B568" s="100">
        <f>SUM(B564:B567)</f>
        <v>43</v>
      </c>
      <c r="C568" s="101">
        <f>SUM(C564:C567)</f>
        <v>0</v>
      </c>
      <c r="D568" s="101">
        <f>SUM(D564:D567)</f>
        <v>0</v>
      </c>
      <c r="E568" s="64">
        <f>SUM(B568:D568)</f>
        <v>43</v>
      </c>
      <c r="F568" s="101">
        <f>SUM(F564:F567)</f>
        <v>0</v>
      </c>
      <c r="G568" s="101">
        <f>SUM(G564:G567)</f>
        <v>0</v>
      </c>
      <c r="H568" s="101">
        <f>SUM(H564:H567)</f>
        <v>0</v>
      </c>
      <c r="I568" s="64">
        <f>SUM(F568:H568)</f>
        <v>0</v>
      </c>
      <c r="J568" s="101">
        <f>SUM(J564:J567)</f>
        <v>0</v>
      </c>
      <c r="K568" s="101">
        <f>SUM(K564:K567)</f>
        <v>0</v>
      </c>
      <c r="L568" s="101">
        <f>SUM(L564:L567)</f>
        <v>0</v>
      </c>
      <c r="M568" s="64">
        <f>SUM(J568:L568)</f>
        <v>0</v>
      </c>
      <c r="N568" s="101">
        <f>SUM(N564:N567)</f>
        <v>0</v>
      </c>
      <c r="O568" s="101">
        <f>SUM(O564:O567)</f>
        <v>0</v>
      </c>
      <c r="P568" s="101">
        <f>SUM(P564:P567)</f>
        <v>0</v>
      </c>
      <c r="Q568" s="64">
        <f>SUM(N568:P568)</f>
        <v>0</v>
      </c>
      <c r="R568" s="64">
        <f>+E568+I568+M568+Q568</f>
        <v>43</v>
      </c>
    </row>
    <row r="569" spans="1:20" ht="15.75" customHeight="1" x14ac:dyDescent="0.3">
      <c r="A569" s="17" t="s">
        <v>62</v>
      </c>
      <c r="B569" s="1"/>
      <c r="C569" s="1"/>
      <c r="D569" s="1"/>
      <c r="E569" s="59" t="s">
        <v>7</v>
      </c>
      <c r="F569" s="1"/>
      <c r="G569" s="1"/>
      <c r="H569" s="1"/>
      <c r="I569" s="59" t="s">
        <v>7</v>
      </c>
      <c r="J569" s="1"/>
      <c r="K569" s="1"/>
      <c r="L569" s="1"/>
      <c r="M569" s="59" t="s">
        <v>7</v>
      </c>
      <c r="N569" s="1"/>
      <c r="O569" s="1"/>
      <c r="P569" s="1"/>
      <c r="Q569" s="59" t="s">
        <v>7</v>
      </c>
      <c r="R569" s="59" t="s">
        <v>7</v>
      </c>
    </row>
    <row r="570" spans="1:20" ht="15.75" customHeight="1" x14ac:dyDescent="0.3">
      <c r="A570" s="17" t="s">
        <v>63</v>
      </c>
      <c r="B570" s="1"/>
      <c r="C570" s="1"/>
      <c r="D570" s="1"/>
      <c r="E570" s="59" t="s">
        <v>7</v>
      </c>
      <c r="F570" s="1"/>
      <c r="G570" s="1"/>
      <c r="H570" s="1"/>
      <c r="I570" s="59" t="s">
        <v>7</v>
      </c>
      <c r="J570" s="1"/>
      <c r="K570" s="1"/>
      <c r="L570" s="1"/>
      <c r="M570" s="59" t="s">
        <v>7</v>
      </c>
      <c r="N570" s="1"/>
      <c r="O570" s="1"/>
      <c r="P570" s="1"/>
      <c r="Q570" s="59" t="s">
        <v>7</v>
      </c>
      <c r="R570" s="59" t="s">
        <v>7</v>
      </c>
    </row>
    <row r="571" spans="1:20" ht="15.75" customHeight="1" x14ac:dyDescent="0.3">
      <c r="A571" s="74" t="s">
        <v>923</v>
      </c>
      <c r="B571" s="1"/>
      <c r="C571" s="1"/>
      <c r="D571" s="1"/>
      <c r="E571" s="59">
        <f>SUM(B571:D571)</f>
        <v>0</v>
      </c>
      <c r="F571" s="1"/>
      <c r="G571" s="1"/>
      <c r="H571" s="1"/>
      <c r="I571" s="59">
        <f>SUM(F571:H571)</f>
        <v>0</v>
      </c>
      <c r="J571" s="1"/>
      <c r="K571" s="1"/>
      <c r="L571" s="1">
        <v>100</v>
      </c>
      <c r="M571" s="59">
        <f>SUM(J571:L571)</f>
        <v>100</v>
      </c>
      <c r="N571" s="1"/>
      <c r="O571" s="1">
        <v>1</v>
      </c>
      <c r="P571" s="1"/>
      <c r="Q571" s="59">
        <f>SUM(N571:P571)</f>
        <v>1</v>
      </c>
      <c r="R571" s="59">
        <f>+E571+I571+M571+Q571</f>
        <v>101</v>
      </c>
      <c r="T571" s="4" t="s">
        <v>516</v>
      </c>
    </row>
    <row r="572" spans="1:20" ht="15.75" customHeight="1" x14ac:dyDescent="0.3">
      <c r="A572" s="74" t="s">
        <v>536</v>
      </c>
      <c r="B572" s="1"/>
      <c r="C572" s="1"/>
      <c r="D572" s="1"/>
      <c r="E572" s="59">
        <f>SUM(B572:D572)</f>
        <v>0</v>
      </c>
      <c r="F572" s="1"/>
      <c r="G572" s="1"/>
      <c r="H572" s="1"/>
      <c r="I572" s="59">
        <f>SUM(F572:H572)</f>
        <v>0</v>
      </c>
      <c r="J572" s="1"/>
      <c r="K572" s="1"/>
      <c r="L572" s="1"/>
      <c r="M572" s="59">
        <f>SUM(J572:L572)</f>
        <v>0</v>
      </c>
      <c r="N572" s="1"/>
      <c r="O572" s="1"/>
      <c r="P572" s="1"/>
      <c r="Q572" s="59">
        <f>SUM(N572:P572)</f>
        <v>0</v>
      </c>
      <c r="R572" s="59">
        <f>+E572+I572+M572+Q572</f>
        <v>0</v>
      </c>
      <c r="T572" s="4" t="s">
        <v>516</v>
      </c>
    </row>
    <row r="573" spans="1:20" ht="15.75" customHeight="1" x14ac:dyDescent="0.3">
      <c r="A573" s="17" t="s">
        <v>64</v>
      </c>
      <c r="B573" s="1"/>
      <c r="C573" s="1"/>
      <c r="D573" s="1"/>
      <c r="E573" s="59" t="s">
        <v>7</v>
      </c>
      <c r="F573" s="1"/>
      <c r="G573" s="1"/>
      <c r="H573" s="1"/>
      <c r="I573" s="59" t="s">
        <v>7</v>
      </c>
      <c r="J573" s="1"/>
      <c r="K573" s="1"/>
      <c r="L573" s="1"/>
      <c r="M573" s="59" t="s">
        <v>7</v>
      </c>
      <c r="N573" s="1"/>
      <c r="O573" s="1"/>
      <c r="P573" s="1"/>
      <c r="Q573" s="59" t="s">
        <v>7</v>
      </c>
      <c r="R573" s="59" t="s">
        <v>7</v>
      </c>
    </row>
    <row r="574" spans="1:20" ht="15.75" customHeight="1" x14ac:dyDescent="0.3">
      <c r="A574" s="74" t="s">
        <v>537</v>
      </c>
      <c r="B574" s="1"/>
      <c r="C574" s="1"/>
      <c r="D574" s="1"/>
      <c r="E574" s="59">
        <f>SUM(B574:D574)</f>
        <v>0</v>
      </c>
      <c r="F574" s="1"/>
      <c r="G574" s="1"/>
      <c r="H574" s="1"/>
      <c r="I574" s="59">
        <f>SUM(F574:H574)</f>
        <v>0</v>
      </c>
      <c r="J574" s="1"/>
      <c r="K574" s="1"/>
      <c r="L574" s="1"/>
      <c r="M574" s="59">
        <f>SUM(J574:L574)</f>
        <v>0</v>
      </c>
      <c r="N574" s="1">
        <v>179</v>
      </c>
      <c r="O574" s="1">
        <v>542</v>
      </c>
      <c r="P574" s="1">
        <v>429</v>
      </c>
      <c r="Q574" s="59">
        <f>SUM(N574:P574)</f>
        <v>1150</v>
      </c>
      <c r="R574" s="59">
        <f>+E574+I574+M574+Q574</f>
        <v>1150</v>
      </c>
    </row>
    <row r="575" spans="1:20" ht="15.75" customHeight="1" x14ac:dyDescent="0.3">
      <c r="A575" s="74" t="s">
        <v>538</v>
      </c>
      <c r="B575" s="1"/>
      <c r="C575" s="1"/>
      <c r="D575" s="1"/>
      <c r="E575" s="59">
        <f>SUM(B575:D575)</f>
        <v>0</v>
      </c>
      <c r="F575" s="1"/>
      <c r="G575" s="1"/>
      <c r="H575" s="1"/>
      <c r="I575" s="59">
        <f>SUM(F575:H575)</f>
        <v>0</v>
      </c>
      <c r="J575" s="1"/>
      <c r="K575" s="1"/>
      <c r="L575" s="1"/>
      <c r="M575" s="59">
        <f>SUM(J575:L575)</f>
        <v>0</v>
      </c>
      <c r="N575" s="1"/>
      <c r="O575" s="1"/>
      <c r="P575" s="1"/>
      <c r="Q575" s="59">
        <f>SUM(N575:P575)</f>
        <v>0</v>
      </c>
      <c r="R575" s="59">
        <f>+E575+I575+M575+Q575</f>
        <v>0</v>
      </c>
    </row>
    <row r="576" spans="1:20" ht="15.75" customHeight="1" x14ac:dyDescent="0.3">
      <c r="A576" s="74" t="s">
        <v>539</v>
      </c>
      <c r="B576" s="1"/>
      <c r="C576" s="1"/>
      <c r="D576" s="1"/>
      <c r="E576" s="59">
        <f>SUM(B576:D576)</f>
        <v>0</v>
      </c>
      <c r="F576" s="1"/>
      <c r="G576" s="1"/>
      <c r="H576" s="1"/>
      <c r="I576" s="59">
        <f>SUM(F576:H576)</f>
        <v>0</v>
      </c>
      <c r="J576" s="1"/>
      <c r="K576" s="1"/>
      <c r="L576" s="1">
        <v>272</v>
      </c>
      <c r="M576" s="59">
        <f>SUM(J576:L576)</f>
        <v>272</v>
      </c>
      <c r="N576" s="1">
        <v>1228</v>
      </c>
      <c r="O576" s="1">
        <v>350</v>
      </c>
      <c r="P576" s="1"/>
      <c r="Q576" s="59">
        <f>SUM(N576:P576)</f>
        <v>1578</v>
      </c>
      <c r="R576" s="59">
        <f>+E576+I576+M576+Q576</f>
        <v>1850</v>
      </c>
      <c r="T576" s="4" t="s">
        <v>516</v>
      </c>
    </row>
    <row r="577" spans="1:20" ht="15.75" customHeight="1" x14ac:dyDescent="0.3">
      <c r="A577" s="74" t="s">
        <v>540</v>
      </c>
      <c r="B577" s="1"/>
      <c r="C577" s="1"/>
      <c r="D577" s="1"/>
      <c r="E577" s="59">
        <f>SUM(B577:D577)</f>
        <v>0</v>
      </c>
      <c r="F577" s="1"/>
      <c r="G577" s="1"/>
      <c r="H577" s="1"/>
      <c r="I577" s="59">
        <f>SUM(F577:H577)</f>
        <v>0</v>
      </c>
      <c r="J577" s="1"/>
      <c r="K577" s="1"/>
      <c r="L577" s="1"/>
      <c r="M577" s="59">
        <f>SUM(J577:L577)</f>
        <v>0</v>
      </c>
      <c r="N577" s="1"/>
      <c r="O577" s="1"/>
      <c r="P577" s="1"/>
      <c r="Q577" s="59">
        <f>SUM(N577:P577)</f>
        <v>0</v>
      </c>
      <c r="R577" s="59">
        <f>+E577+I577+M577+Q577</f>
        <v>0</v>
      </c>
      <c r="T577" s="4" t="s">
        <v>516</v>
      </c>
    </row>
    <row r="578" spans="1:20" ht="15.75" customHeight="1" x14ac:dyDescent="0.3">
      <c r="A578" s="17" t="s">
        <v>66</v>
      </c>
      <c r="B578" s="1"/>
      <c r="C578" s="1"/>
      <c r="D578" s="1"/>
      <c r="E578" s="59" t="s">
        <v>7</v>
      </c>
      <c r="F578" s="1"/>
      <c r="G578" s="1"/>
      <c r="H578" s="1"/>
      <c r="I578" s="59" t="s">
        <v>7</v>
      </c>
      <c r="J578" s="1"/>
      <c r="K578" s="1"/>
      <c r="L578" s="1"/>
      <c r="M578" s="59" t="s">
        <v>7</v>
      </c>
      <c r="N578" s="1"/>
      <c r="O578" s="1"/>
      <c r="P578" s="1"/>
      <c r="Q578" s="59" t="s">
        <v>7</v>
      </c>
      <c r="R578" s="59" t="s">
        <v>7</v>
      </c>
    </row>
    <row r="579" spans="1:20" ht="15.75" customHeight="1" x14ac:dyDescent="0.3">
      <c r="A579" s="17" t="s">
        <v>67</v>
      </c>
      <c r="B579" s="1"/>
      <c r="C579" s="1"/>
      <c r="D579" s="1"/>
      <c r="E579" s="59" t="s">
        <v>7</v>
      </c>
      <c r="F579" s="1"/>
      <c r="G579" s="1"/>
      <c r="H579" s="1"/>
      <c r="I579" s="59" t="s">
        <v>7</v>
      </c>
      <c r="J579" s="1"/>
      <c r="K579" s="1"/>
      <c r="L579" s="1"/>
      <c r="M579" s="59" t="s">
        <v>7</v>
      </c>
      <c r="N579" s="1"/>
      <c r="O579" s="1"/>
      <c r="P579" s="1"/>
      <c r="Q579" s="59" t="s">
        <v>7</v>
      </c>
      <c r="R579" s="59" t="s">
        <v>7</v>
      </c>
    </row>
    <row r="580" spans="1:20" ht="15.75" customHeight="1" x14ac:dyDescent="0.3">
      <c r="A580" s="74" t="s">
        <v>543</v>
      </c>
      <c r="B580" s="1"/>
      <c r="C580" s="1"/>
      <c r="D580" s="1"/>
      <c r="E580" s="59">
        <f t="shared" ref="E580:E585" si="117">SUM(B580:D580)</f>
        <v>0</v>
      </c>
      <c r="F580" s="1"/>
      <c r="G580" s="1"/>
      <c r="H580" s="1"/>
      <c r="I580" s="59">
        <f t="shared" ref="I580:I585" si="118">SUM(F580:H580)</f>
        <v>0</v>
      </c>
      <c r="J580" s="1">
        <v>1000</v>
      </c>
      <c r="K580" s="1"/>
      <c r="L580" s="1"/>
      <c r="M580" s="59">
        <f t="shared" ref="M580:M585" si="119">SUM(J580:L580)</f>
        <v>1000</v>
      </c>
      <c r="N580" s="1"/>
      <c r="O580" s="1"/>
      <c r="P580" s="1"/>
      <c r="Q580" s="59">
        <f t="shared" ref="Q580:Q585" si="120">SUM(N580:P580)</f>
        <v>0</v>
      </c>
      <c r="R580" s="59">
        <f t="shared" ref="R580:R585" si="121">+E580+I580+M580+Q580</f>
        <v>1000</v>
      </c>
    </row>
    <row r="581" spans="1:20" ht="15.75" customHeight="1" thickBot="1" x14ac:dyDescent="0.35">
      <c r="A581" s="74" t="s">
        <v>545</v>
      </c>
      <c r="B581" s="1">
        <v>246</v>
      </c>
      <c r="C581" s="1"/>
      <c r="D581" s="1">
        <v>250</v>
      </c>
      <c r="E581" s="59">
        <f t="shared" si="117"/>
        <v>496</v>
      </c>
      <c r="F581" s="1"/>
      <c r="G581" s="1"/>
      <c r="H581" s="1"/>
      <c r="I581" s="59">
        <f t="shared" si="118"/>
        <v>0</v>
      </c>
      <c r="J581" s="1">
        <v>77</v>
      </c>
      <c r="K581" s="1">
        <v>871</v>
      </c>
      <c r="L581" s="1">
        <v>54</v>
      </c>
      <c r="M581" s="59">
        <f t="shared" si="119"/>
        <v>1002</v>
      </c>
      <c r="N581" s="1"/>
      <c r="O581" s="1">
        <v>2</v>
      </c>
      <c r="P581" s="1"/>
      <c r="Q581" s="59">
        <f t="shared" si="120"/>
        <v>2</v>
      </c>
      <c r="R581" s="59">
        <f t="shared" si="121"/>
        <v>1500</v>
      </c>
    </row>
    <row r="582" spans="1:20" ht="16.5" customHeight="1" thickBot="1" x14ac:dyDescent="0.35">
      <c r="A582" s="62" t="s">
        <v>68</v>
      </c>
      <c r="B582" s="344">
        <f>SUM(B578:B581)</f>
        <v>246</v>
      </c>
      <c r="C582" s="344">
        <f>SUM(C578:C581)</f>
        <v>0</v>
      </c>
      <c r="D582" s="344">
        <f>SUM(D578:D581)</f>
        <v>250</v>
      </c>
      <c r="E582" s="334">
        <f t="shared" si="117"/>
        <v>496</v>
      </c>
      <c r="F582" s="344">
        <f>SUM(F578:F581)</f>
        <v>0</v>
      </c>
      <c r="G582" s="344">
        <f>SUM(G578:G581)</f>
        <v>0</v>
      </c>
      <c r="H582" s="344">
        <f>SUM(H578:H581)</f>
        <v>0</v>
      </c>
      <c r="I582" s="334">
        <f t="shared" si="118"/>
        <v>0</v>
      </c>
      <c r="J582" s="344">
        <f>SUM(J578:J581)</f>
        <v>1077</v>
      </c>
      <c r="K582" s="344">
        <f>SUM(K578:K581)</f>
        <v>871</v>
      </c>
      <c r="L582" s="344">
        <f>SUM(L578:L581)</f>
        <v>54</v>
      </c>
      <c r="M582" s="334">
        <f t="shared" si="119"/>
        <v>2002</v>
      </c>
      <c r="N582" s="344">
        <f>SUM(N578:N581)</f>
        <v>0</v>
      </c>
      <c r="O582" s="344">
        <f>SUM(O578:O581)</f>
        <v>2</v>
      </c>
      <c r="P582" s="344">
        <f>SUM(P578:P581)</f>
        <v>0</v>
      </c>
      <c r="Q582" s="334">
        <f t="shared" si="120"/>
        <v>2</v>
      </c>
      <c r="R582" s="64">
        <f t="shared" si="121"/>
        <v>2500</v>
      </c>
    </row>
    <row r="583" spans="1:20" ht="16.5" customHeight="1" thickBot="1" x14ac:dyDescent="0.35">
      <c r="A583" s="137" t="s">
        <v>69</v>
      </c>
      <c r="B583" s="100">
        <f>SUM(B569:B581)</f>
        <v>246</v>
      </c>
      <c r="C583" s="101">
        <f>SUM(C569:C581)</f>
        <v>0</v>
      </c>
      <c r="D583" s="138">
        <f>SUM(D569:D581)</f>
        <v>250</v>
      </c>
      <c r="E583" s="334">
        <f t="shared" si="117"/>
        <v>496</v>
      </c>
      <c r="F583" s="100">
        <f>SUM(F569:F581)</f>
        <v>0</v>
      </c>
      <c r="G583" s="101">
        <f>SUM(G569:G581)</f>
        <v>0</v>
      </c>
      <c r="H583" s="138">
        <f>SUM(H569:H581)</f>
        <v>0</v>
      </c>
      <c r="I583" s="334">
        <f t="shared" si="118"/>
        <v>0</v>
      </c>
      <c r="J583" s="100">
        <f>SUM(J569:J581)</f>
        <v>1077</v>
      </c>
      <c r="K583" s="101">
        <f>SUM(K569:K581)</f>
        <v>871</v>
      </c>
      <c r="L583" s="138">
        <f>SUM(L569:L581)</f>
        <v>426</v>
      </c>
      <c r="M583" s="334">
        <f t="shared" si="119"/>
        <v>2374</v>
      </c>
      <c r="N583" s="100">
        <f>SUM(N569:N581)</f>
        <v>1407</v>
      </c>
      <c r="O583" s="101">
        <f>SUM(O569:O581)</f>
        <v>895</v>
      </c>
      <c r="P583" s="138">
        <f>SUM(P569:P581)</f>
        <v>429</v>
      </c>
      <c r="Q583" s="334">
        <f t="shared" si="120"/>
        <v>2731</v>
      </c>
      <c r="R583" s="64">
        <f t="shared" si="121"/>
        <v>5601</v>
      </c>
    </row>
    <row r="584" spans="1:20" ht="16.5" customHeight="1" thickBot="1" x14ac:dyDescent="0.35">
      <c r="A584" s="62" t="s">
        <v>70</v>
      </c>
      <c r="B584" s="149">
        <f>+B557+B563+B568+B583</f>
        <v>1146</v>
      </c>
      <c r="C584" s="150">
        <f>+C557+C563+C568+C583</f>
        <v>4560</v>
      </c>
      <c r="D584" s="150">
        <f>+D557+D563+D568+D583</f>
        <v>4431</v>
      </c>
      <c r="E584" s="64">
        <f t="shared" si="117"/>
        <v>10137</v>
      </c>
      <c r="F584" s="63">
        <f>+F557+F563+F568+F583</f>
        <v>4048</v>
      </c>
      <c r="G584" s="63">
        <f>+G557+G563+G568+G583</f>
        <v>2048</v>
      </c>
      <c r="H584" s="63">
        <f>+H557+H563+H568+H583</f>
        <v>1697</v>
      </c>
      <c r="I584" s="64">
        <f t="shared" si="118"/>
        <v>7793</v>
      </c>
      <c r="J584" s="63">
        <f>+J557+J563+J568+J583</f>
        <v>3264</v>
      </c>
      <c r="K584" s="63">
        <f>+K557+K563+K568+K583</f>
        <v>1448</v>
      </c>
      <c r="L584" s="63">
        <f>+L557+L563+L568+L583</f>
        <v>3814</v>
      </c>
      <c r="M584" s="64">
        <f t="shared" si="119"/>
        <v>8526</v>
      </c>
      <c r="N584" s="63">
        <f>+N557+N563+N568+N583</f>
        <v>1446</v>
      </c>
      <c r="O584" s="63">
        <f>+O557+O563+O568+O583</f>
        <v>3085</v>
      </c>
      <c r="P584" s="63">
        <f>+P557+P563+P568+P583</f>
        <v>474</v>
      </c>
      <c r="Q584" s="64">
        <f t="shared" si="120"/>
        <v>5005</v>
      </c>
      <c r="R584" s="88">
        <f t="shared" si="121"/>
        <v>31461</v>
      </c>
    </row>
    <row r="585" spans="1:20" ht="16.5" customHeight="1" thickBot="1" x14ac:dyDescent="0.35">
      <c r="A585" s="40" t="s">
        <v>37</v>
      </c>
      <c r="B585" s="25">
        <v>17</v>
      </c>
      <c r="C585" s="25">
        <v>47</v>
      </c>
      <c r="D585" s="25">
        <v>84</v>
      </c>
      <c r="E585" s="59">
        <f t="shared" si="117"/>
        <v>148</v>
      </c>
      <c r="F585" s="25">
        <v>116</v>
      </c>
      <c r="G585" s="25">
        <v>132</v>
      </c>
      <c r="H585" s="25">
        <v>138</v>
      </c>
      <c r="I585" s="59">
        <f t="shared" si="118"/>
        <v>386</v>
      </c>
      <c r="J585" s="25">
        <v>126</v>
      </c>
      <c r="K585" s="25">
        <v>95</v>
      </c>
      <c r="L585" s="25">
        <v>99</v>
      </c>
      <c r="M585" s="59">
        <f t="shared" si="119"/>
        <v>320</v>
      </c>
      <c r="N585" s="25">
        <v>91</v>
      </c>
      <c r="O585" s="25">
        <v>67</v>
      </c>
      <c r="P585" s="25">
        <v>38</v>
      </c>
      <c r="Q585" s="59">
        <f t="shared" si="120"/>
        <v>196</v>
      </c>
      <c r="R585" s="59">
        <f t="shared" si="121"/>
        <v>1050</v>
      </c>
    </row>
    <row r="586" spans="1:20" ht="16.5" customHeight="1" thickBot="1" x14ac:dyDescent="0.35">
      <c r="A586" s="42"/>
      <c r="B586" s="37"/>
      <c r="C586" s="37"/>
      <c r="D586" s="37"/>
      <c r="E586" s="43"/>
      <c r="F586" s="37"/>
      <c r="G586" s="37"/>
      <c r="H586" s="37"/>
      <c r="I586" s="43"/>
      <c r="J586" s="37"/>
      <c r="K586" s="37"/>
      <c r="L586" s="37"/>
      <c r="M586" s="43"/>
      <c r="N586" s="37"/>
      <c r="O586" s="37"/>
      <c r="P586" s="37"/>
      <c r="Q586" s="43"/>
      <c r="R586" s="43"/>
    </row>
    <row r="587" spans="1:20" ht="15.75" customHeight="1" x14ac:dyDescent="0.3">
      <c r="A587" s="335" t="s">
        <v>507</v>
      </c>
      <c r="B587" s="336">
        <f>SUM(B584:B585)</f>
        <v>1163</v>
      </c>
      <c r="C587" s="336">
        <f>SUM(C584:C585)</f>
        <v>4607</v>
      </c>
      <c r="D587" s="336">
        <f>SUM(D584:D585)</f>
        <v>4515</v>
      </c>
      <c r="E587" s="334">
        <f>SUM(B587:D587)</f>
        <v>10285</v>
      </c>
      <c r="F587" s="336">
        <f>SUM(F584:F585)</f>
        <v>4164</v>
      </c>
      <c r="G587" s="336">
        <f>SUM(G584:G585)</f>
        <v>2180</v>
      </c>
      <c r="H587" s="336">
        <f>SUM(H584:H585)</f>
        <v>1835</v>
      </c>
      <c r="I587" s="334">
        <f>SUM(F587:H587)</f>
        <v>8179</v>
      </c>
      <c r="J587" s="336">
        <f>SUM(J584:J585)</f>
        <v>3390</v>
      </c>
      <c r="K587" s="336">
        <f>SUM(K584:K585)</f>
        <v>1543</v>
      </c>
      <c r="L587" s="336">
        <f>SUM(L584:L585)</f>
        <v>3913</v>
      </c>
      <c r="M587" s="334">
        <f>SUM(J587:L587)</f>
        <v>8846</v>
      </c>
      <c r="N587" s="336">
        <f>SUM(N584:N585)</f>
        <v>1537</v>
      </c>
      <c r="O587" s="336">
        <f>SUM(O584:O585)</f>
        <v>3152</v>
      </c>
      <c r="P587" s="336">
        <f>SUM(P584:P585)</f>
        <v>512</v>
      </c>
      <c r="Q587" s="334">
        <f>SUM(N587:P587)</f>
        <v>5201</v>
      </c>
      <c r="R587" s="334">
        <f>+E587+I587+M587+Q587</f>
        <v>32511</v>
      </c>
    </row>
    <row r="588" spans="1:20" ht="15.75" customHeight="1" x14ac:dyDescent="0.3">
      <c r="A588" s="85" t="s">
        <v>39</v>
      </c>
      <c r="B588" s="1">
        <f>(B587/B10)/1.983</f>
        <v>18.918874953231498</v>
      </c>
      <c r="C588" s="1">
        <f>(C587/C10)/1.983</f>
        <v>80.111986366877076</v>
      </c>
      <c r="D588" s="1">
        <f>(D587/D10)/1.983</f>
        <v>73.44687911766141</v>
      </c>
      <c r="E588" s="59" t="s">
        <v>7</v>
      </c>
      <c r="F588" s="1">
        <f>(F587/F10)/1.983</f>
        <v>69.994957135653053</v>
      </c>
      <c r="G588" s="1">
        <f>(G587/G10)/1.983</f>
        <v>35.462723472093437</v>
      </c>
      <c r="H588" s="1">
        <f>(H587/H10)/1.983</f>
        <v>30.845520255505125</v>
      </c>
      <c r="I588" s="59" t="s">
        <v>7</v>
      </c>
      <c r="J588" s="1">
        <f>(J587/J10)/1.983</f>
        <v>55.146161729539799</v>
      </c>
      <c r="K588" s="1">
        <f>(K587/K10)/1.983</f>
        <v>25.100450604330355</v>
      </c>
      <c r="L588" s="1">
        <f>(L587/L10)/1.983</f>
        <v>65.775760632038995</v>
      </c>
      <c r="M588" s="59" t="s">
        <v>7</v>
      </c>
      <c r="N588" s="1">
        <f>(N587/N10)/1.983</f>
        <v>25.002846778260373</v>
      </c>
      <c r="O588" s="1">
        <f>(O587/O10)/1.983</f>
        <v>52.983694738611526</v>
      </c>
      <c r="P588" s="1">
        <f>(P587/P10)/1.983</f>
        <v>8.3288598246384584</v>
      </c>
      <c r="Q588" s="59" t="s">
        <v>7</v>
      </c>
      <c r="R588" s="59" t="s">
        <v>7</v>
      </c>
    </row>
    <row r="589" spans="1:20" ht="15.75" customHeight="1" x14ac:dyDescent="0.3">
      <c r="A589" s="85" t="s">
        <v>546</v>
      </c>
      <c r="B589" s="1">
        <f>B587+B599</f>
        <v>8964</v>
      </c>
      <c r="C589" s="1">
        <f>C587+C599</f>
        <v>16067</v>
      </c>
      <c r="D589" s="1">
        <f>D587+D599</f>
        <v>22002</v>
      </c>
      <c r="E589" s="59">
        <f>SUM(B589:D589)</f>
        <v>47033</v>
      </c>
      <c r="F589" s="1">
        <f>F587+F599</f>
        <v>25240</v>
      </c>
      <c r="G589" s="1">
        <f>G587+G599</f>
        <v>24236</v>
      </c>
      <c r="H589" s="1">
        <f>H587+H599</f>
        <v>22944</v>
      </c>
      <c r="I589" s="59">
        <f>SUM(F589:H589)</f>
        <v>72420</v>
      </c>
      <c r="J589" s="1">
        <f>J587+J599</f>
        <v>25371</v>
      </c>
      <c r="K589" s="1">
        <f>K587+K599</f>
        <v>21685</v>
      </c>
      <c r="L589" s="1">
        <f>L587+L599</f>
        <v>22936</v>
      </c>
      <c r="M589" s="59">
        <f>SUM(J589:L589)</f>
        <v>69992</v>
      </c>
      <c r="N589" s="1">
        <f>N587+N599</f>
        <v>7905</v>
      </c>
      <c r="O589" s="1">
        <f>O587+O599</f>
        <v>10329</v>
      </c>
      <c r="P589" s="1">
        <f>P587+P599</f>
        <v>14827</v>
      </c>
      <c r="Q589" s="59">
        <f>SUM(N589:P589)</f>
        <v>33061</v>
      </c>
      <c r="R589" s="59">
        <f>+E589+I589+M589+Q589</f>
        <v>222506</v>
      </c>
    </row>
    <row r="590" spans="1:20" ht="16.5" customHeight="1" thickBot="1" x14ac:dyDescent="0.35">
      <c r="A590" s="86" t="s">
        <v>547</v>
      </c>
      <c r="B590" s="87">
        <f>(B589/B10)/1.983</f>
        <v>145.82011614855304</v>
      </c>
      <c r="C590" s="87">
        <f>(C589/C10)/1.983</f>
        <v>279.3920740083816</v>
      </c>
      <c r="D590" s="87">
        <f>(D589/D10)/1.983</f>
        <v>357.91323019862375</v>
      </c>
      <c r="E590" s="88" t="s">
        <v>7</v>
      </c>
      <c r="F590" s="87">
        <f>(F589/F10)/1.983</f>
        <v>424.27298705664816</v>
      </c>
      <c r="G590" s="87">
        <f>(G589/G10)/1.983</f>
        <v>394.254388105347</v>
      </c>
      <c r="H590" s="87">
        <f>(H589/H10)/1.983</f>
        <v>385.67826525466461</v>
      </c>
      <c r="I590" s="88" t="s">
        <v>7</v>
      </c>
      <c r="J590" s="87">
        <f>(J589/J10)/1.983</f>
        <v>412.71777853691862</v>
      </c>
      <c r="K590" s="87">
        <f>(K589/K10)/1.983</f>
        <v>352.75649472125974</v>
      </c>
      <c r="L590" s="87">
        <f>(L589/L10)/1.983</f>
        <v>385.54378887207929</v>
      </c>
      <c r="M590" s="88" t="s">
        <v>7</v>
      </c>
      <c r="N590" s="87">
        <f>(N589/N10)/1.983</f>
        <v>128.59304084720119</v>
      </c>
      <c r="O590" s="87">
        <f>(O589/O10)/1.983</f>
        <v>173.62581946545637</v>
      </c>
      <c r="P590" s="87">
        <f>(P589/P10)/1.983</f>
        <v>241.19532152327037</v>
      </c>
      <c r="Q590" s="88" t="s">
        <v>7</v>
      </c>
      <c r="R590" s="88" t="s">
        <v>7</v>
      </c>
    </row>
    <row r="591" spans="1:20" ht="15.75" customHeight="1" x14ac:dyDescent="0.3">
      <c r="A591" s="28"/>
      <c r="B591" s="1"/>
      <c r="C591" s="1"/>
      <c r="D591" s="1"/>
      <c r="E591" s="1"/>
      <c r="F591" s="1"/>
      <c r="G591" s="1"/>
      <c r="H591" s="1"/>
      <c r="I591" s="1"/>
      <c r="J591" s="1"/>
      <c r="K591" s="1"/>
      <c r="L591" s="1"/>
      <c r="M591" s="1"/>
      <c r="N591" s="1"/>
      <c r="O591" s="1"/>
      <c r="P591" s="1"/>
      <c r="Q591" s="1"/>
      <c r="R591" s="28"/>
    </row>
    <row r="592" spans="1:20" ht="16.5" customHeight="1" thickBot="1" x14ac:dyDescent="0.35">
      <c r="A592" s="123"/>
      <c r="B592" s="25"/>
      <c r="C592" s="25"/>
      <c r="D592" s="25"/>
      <c r="E592" s="25"/>
      <c r="F592" s="25"/>
      <c r="G592" s="25"/>
      <c r="H592" s="25"/>
      <c r="I592" s="25"/>
      <c r="J592" s="25"/>
      <c r="K592" s="25"/>
      <c r="L592" s="25"/>
      <c r="M592" s="25"/>
      <c r="N592" s="25"/>
      <c r="O592" s="25"/>
      <c r="P592" s="25"/>
      <c r="Q592" s="25"/>
      <c r="R592" s="123"/>
    </row>
    <row r="593" spans="1:18" ht="16.5" customHeight="1" thickBot="1" x14ac:dyDescent="0.35">
      <c r="A593" s="343" t="s">
        <v>548</v>
      </c>
      <c r="B593" s="323" t="s">
        <v>36</v>
      </c>
      <c r="C593" s="324" t="s">
        <v>9</v>
      </c>
      <c r="D593" s="324" t="s">
        <v>10</v>
      </c>
      <c r="E593" s="325" t="s">
        <v>11</v>
      </c>
      <c r="F593" s="324" t="s">
        <v>12</v>
      </c>
      <c r="G593" s="324" t="s">
        <v>13</v>
      </c>
      <c r="H593" s="324" t="s">
        <v>14</v>
      </c>
      <c r="I593" s="34" t="s">
        <v>15</v>
      </c>
      <c r="J593" s="324" t="s">
        <v>16</v>
      </c>
      <c r="K593" s="324" t="s">
        <v>17</v>
      </c>
      <c r="L593" s="324" t="s">
        <v>18</v>
      </c>
      <c r="M593" s="34" t="s">
        <v>19</v>
      </c>
      <c r="N593" s="324" t="s">
        <v>20</v>
      </c>
      <c r="O593" s="324" t="s">
        <v>21</v>
      </c>
      <c r="P593" s="324" t="s">
        <v>22</v>
      </c>
      <c r="Q593" s="325" t="s">
        <v>23</v>
      </c>
      <c r="R593" s="332" t="s">
        <v>24</v>
      </c>
    </row>
    <row r="594" spans="1:18" ht="16.5" customHeight="1" thickBot="1" x14ac:dyDescent="0.35">
      <c r="A594" s="42"/>
      <c r="B594" s="37"/>
      <c r="C594" s="37"/>
      <c r="D594" s="37"/>
      <c r="E594" s="38"/>
      <c r="F594" s="37"/>
      <c r="G594" s="37"/>
      <c r="H594" s="37"/>
      <c r="I594" s="38"/>
      <c r="J594" s="37"/>
      <c r="K594" s="37"/>
      <c r="L594" s="37"/>
      <c r="M594" s="38"/>
      <c r="N594" s="37"/>
      <c r="O594" s="37"/>
      <c r="P594" s="37"/>
      <c r="Q594" s="151"/>
      <c r="R594" s="152"/>
    </row>
    <row r="595" spans="1:18" ht="16.5" customHeight="1" thickBot="1" x14ac:dyDescent="0.35">
      <c r="A595" s="40" t="s">
        <v>37</v>
      </c>
      <c r="B595" s="25">
        <v>20</v>
      </c>
      <c r="C595" s="25">
        <v>22</v>
      </c>
      <c r="D595" s="25">
        <v>28</v>
      </c>
      <c r="E595" s="59">
        <f>SUM(B595:D595)</f>
        <v>70</v>
      </c>
      <c r="F595" s="25">
        <v>37</v>
      </c>
      <c r="G595" s="25">
        <v>42</v>
      </c>
      <c r="H595" s="25">
        <v>44</v>
      </c>
      <c r="I595" s="59">
        <f>SUM(F595:H595)</f>
        <v>123</v>
      </c>
      <c r="J595" s="25">
        <v>39</v>
      </c>
      <c r="K595" s="25">
        <v>36</v>
      </c>
      <c r="L595" s="25">
        <v>34</v>
      </c>
      <c r="M595" s="59">
        <f>SUM(J595:L595)</f>
        <v>109</v>
      </c>
      <c r="N595" s="25">
        <v>29</v>
      </c>
      <c r="O595" s="25">
        <v>23</v>
      </c>
      <c r="P595" s="25">
        <v>19</v>
      </c>
      <c r="Q595" s="59">
        <f>SUM(N595:P595)</f>
        <v>71</v>
      </c>
      <c r="R595" s="59">
        <f>+E595+I595+M595+Q595</f>
        <v>373</v>
      </c>
    </row>
    <row r="596" spans="1:18" ht="16.5" customHeight="1" thickBot="1" x14ac:dyDescent="0.35">
      <c r="A596" s="42"/>
      <c r="B596" s="37"/>
      <c r="C596" s="37"/>
      <c r="D596" s="37"/>
      <c r="E596" s="16"/>
      <c r="F596" s="37"/>
      <c r="G596" s="37"/>
      <c r="H596" s="37"/>
      <c r="I596" s="16"/>
      <c r="J596" s="37"/>
      <c r="K596" s="37"/>
      <c r="L596" s="37"/>
      <c r="M596" s="16"/>
      <c r="N596" s="37"/>
      <c r="O596" s="37"/>
      <c r="P596" s="37"/>
      <c r="Q596" s="16"/>
      <c r="R596" s="43"/>
    </row>
    <row r="597" spans="1:18" ht="15.75" customHeight="1" x14ac:dyDescent="0.3">
      <c r="A597" s="335" t="s">
        <v>507</v>
      </c>
      <c r="B597" s="336">
        <f>B595</f>
        <v>20</v>
      </c>
      <c r="C597" s="336">
        <f>C595</f>
        <v>22</v>
      </c>
      <c r="D597" s="336">
        <f>D595</f>
        <v>28</v>
      </c>
      <c r="E597" s="334">
        <f>SUM(B597:D597)</f>
        <v>70</v>
      </c>
      <c r="F597" s="336">
        <f>F595</f>
        <v>37</v>
      </c>
      <c r="G597" s="336">
        <f>G595</f>
        <v>42</v>
      </c>
      <c r="H597" s="336">
        <f>H595</f>
        <v>44</v>
      </c>
      <c r="I597" s="334">
        <f>SUM(F597:H597)</f>
        <v>123</v>
      </c>
      <c r="J597" s="336">
        <f>J595</f>
        <v>39</v>
      </c>
      <c r="K597" s="336">
        <f>K595</f>
        <v>36</v>
      </c>
      <c r="L597" s="336">
        <f>L595</f>
        <v>34</v>
      </c>
      <c r="M597" s="334">
        <f>SUM(J597:L597)</f>
        <v>109</v>
      </c>
      <c r="N597" s="336">
        <f>N595</f>
        <v>29</v>
      </c>
      <c r="O597" s="336">
        <f>O595</f>
        <v>23</v>
      </c>
      <c r="P597" s="336">
        <f>P595</f>
        <v>19</v>
      </c>
      <c r="Q597" s="334">
        <f>SUM(N597:P597)</f>
        <v>71</v>
      </c>
      <c r="R597" s="334">
        <f>+E597+I597+M597+Q597</f>
        <v>373</v>
      </c>
    </row>
    <row r="598" spans="1:18" ht="15.75" customHeight="1" x14ac:dyDescent="0.3">
      <c r="A598" s="85" t="s">
        <v>39</v>
      </c>
      <c r="B598" s="1">
        <f>(B597/B10)/1.983</f>
        <v>0.32534608689993977</v>
      </c>
      <c r="C598" s="1">
        <f>(C597/C10)/1.983</f>
        <v>0.38256212287199814</v>
      </c>
      <c r="D598" s="1">
        <f>(D597/D10)/1.983</f>
        <v>0.45548452165991571</v>
      </c>
      <c r="E598" s="59" t="s">
        <v>7</v>
      </c>
      <c r="F598" s="1">
        <f>(F597/F10)/1.983</f>
        <v>0.62195326945705165</v>
      </c>
      <c r="G598" s="1">
        <f>(G597/G10)/1.983</f>
        <v>0.68322678248987356</v>
      </c>
      <c r="H598" s="1">
        <f>(H597/H10)/1.983</f>
        <v>0.73962010421919644</v>
      </c>
      <c r="I598" s="59" t="s">
        <v>7</v>
      </c>
      <c r="J598" s="1">
        <f>(J597/J10)/1.983</f>
        <v>0.63442486945488263</v>
      </c>
      <c r="K598" s="1">
        <f>(K597/K10)/1.983</f>
        <v>0.5856229564198917</v>
      </c>
      <c r="L598" s="1">
        <f>(L597/L10)/1.983</f>
        <v>0.57152462598756093</v>
      </c>
      <c r="M598" s="59" t="s">
        <v>7</v>
      </c>
      <c r="N598" s="1">
        <f>(N597/N10)/1.983</f>
        <v>0.47175182600491267</v>
      </c>
      <c r="O598" s="1">
        <f>(O597/O10)/1.983</f>
        <v>0.38661959993276179</v>
      </c>
      <c r="P598" s="1">
        <f>(P597/P10)/1.983</f>
        <v>0.30907878255494281</v>
      </c>
      <c r="Q598" s="59" t="s">
        <v>7</v>
      </c>
      <c r="R598" s="59" t="s">
        <v>7</v>
      </c>
    </row>
    <row r="599" spans="1:18" ht="15.75" customHeight="1" x14ac:dyDescent="0.3">
      <c r="A599" s="85" t="s">
        <v>549</v>
      </c>
      <c r="B599" s="1">
        <f>B597+B635</f>
        <v>7801</v>
      </c>
      <c r="C599" s="1">
        <f>C597+C635</f>
        <v>11460</v>
      </c>
      <c r="D599" s="1">
        <f>D597+D635</f>
        <v>17487</v>
      </c>
      <c r="E599" s="59">
        <f>SUM(B599:D599)</f>
        <v>36748</v>
      </c>
      <c r="F599" s="1">
        <f>F597+F635</f>
        <v>21076</v>
      </c>
      <c r="G599" s="1">
        <f>G597+G635</f>
        <v>22056</v>
      </c>
      <c r="H599" s="1">
        <f>H597+H635</f>
        <v>21109</v>
      </c>
      <c r="I599" s="59">
        <f>SUM(F599:H599)</f>
        <v>64241</v>
      </c>
      <c r="J599" s="1">
        <f>J597+J635</f>
        <v>21981</v>
      </c>
      <c r="K599" s="1">
        <f>K597+K635</f>
        <v>20142</v>
      </c>
      <c r="L599" s="1">
        <f>L597+L635</f>
        <v>19023</v>
      </c>
      <c r="M599" s="59">
        <f>SUM(J599:L599)</f>
        <v>61146</v>
      </c>
      <c r="N599" s="1">
        <f>N597+N635</f>
        <v>6368</v>
      </c>
      <c r="O599" s="1">
        <f>O597+O635</f>
        <v>7177</v>
      </c>
      <c r="P599" s="1">
        <f>P597+P635</f>
        <v>14315</v>
      </c>
      <c r="Q599" s="59">
        <f>SUM(N599:P599)</f>
        <v>27860</v>
      </c>
      <c r="R599" s="59">
        <f>+E599+I599+M599+Q599</f>
        <v>189995</v>
      </c>
    </row>
    <row r="600" spans="1:18" ht="16.5" customHeight="1" thickBot="1" x14ac:dyDescent="0.35">
      <c r="A600" s="86" t="s">
        <v>550</v>
      </c>
      <c r="B600" s="87">
        <f>(B599/B10)/1.983</f>
        <v>126.90124119532152</v>
      </c>
      <c r="C600" s="87">
        <f>(C599/C10)/1.983</f>
        <v>199.28008764150451</v>
      </c>
      <c r="D600" s="87">
        <f>(D599/D10)/1.983</f>
        <v>284.4663510809624</v>
      </c>
      <c r="E600" s="88" t="s">
        <v>7</v>
      </c>
      <c r="F600" s="87">
        <f>(F599/F10)/1.983</f>
        <v>354.2780299209951</v>
      </c>
      <c r="G600" s="87">
        <f>(G599/G10)/1.983</f>
        <v>358.79166463325362</v>
      </c>
      <c r="H600" s="87">
        <f>(H599/H10)/1.983</f>
        <v>354.8327449991595</v>
      </c>
      <c r="I600" s="88" t="s">
        <v>7</v>
      </c>
      <c r="J600" s="87">
        <f>(J599/J10)/1.983</f>
        <v>357.57161680737886</v>
      </c>
      <c r="K600" s="87">
        <f>(K599/K10)/1.983</f>
        <v>327.65604411692937</v>
      </c>
      <c r="L600" s="87">
        <f>(L599/L10)/1.983</f>
        <v>319.76802824004034</v>
      </c>
      <c r="M600" s="88" t="s">
        <v>7</v>
      </c>
      <c r="N600" s="87">
        <f>(N599/N10)/1.983</f>
        <v>103.59019406894082</v>
      </c>
      <c r="O600" s="87">
        <f>(O599/O10)/1.983</f>
        <v>120.64212472684484</v>
      </c>
      <c r="P600" s="87">
        <f>(P599/P10)/1.983</f>
        <v>232.86646169863189</v>
      </c>
      <c r="Q600" s="88" t="s">
        <v>7</v>
      </c>
      <c r="R600" s="88" t="s">
        <v>7</v>
      </c>
    </row>
    <row r="601" spans="1:18" ht="15.75" customHeight="1" x14ac:dyDescent="0.3">
      <c r="A601" s="30"/>
      <c r="B601" s="1"/>
      <c r="C601" s="1"/>
      <c r="D601" s="1"/>
      <c r="E601" s="1"/>
      <c r="F601" s="1"/>
      <c r="G601" s="1"/>
      <c r="H601" s="1"/>
      <c r="I601" s="1"/>
      <c r="J601" s="1"/>
      <c r="K601" s="1"/>
      <c r="L601" s="1"/>
      <c r="M601" s="1"/>
      <c r="N601" s="1"/>
      <c r="O601" s="1"/>
      <c r="P601" s="1"/>
      <c r="Q601" s="1"/>
      <c r="R601" s="28"/>
    </row>
    <row r="602" spans="1:18" ht="15.75" customHeight="1" thickBot="1" x14ac:dyDescent="0.35">
      <c r="A602" s="30"/>
      <c r="B602" s="1"/>
      <c r="C602" s="1"/>
      <c r="D602" s="1"/>
      <c r="E602" s="1"/>
      <c r="F602" s="1"/>
      <c r="G602" s="1"/>
      <c r="H602" s="1"/>
      <c r="I602" s="1"/>
      <c r="J602" s="1"/>
      <c r="K602" s="1"/>
      <c r="L602" s="1"/>
      <c r="M602" s="1"/>
      <c r="N602" s="1"/>
      <c r="O602" s="1"/>
      <c r="P602" s="1"/>
      <c r="Q602" s="1"/>
      <c r="R602" s="28"/>
    </row>
    <row r="603" spans="1:18" ht="16.5" customHeight="1" thickBot="1" x14ac:dyDescent="0.35">
      <c r="A603" s="31" t="s">
        <v>551</v>
      </c>
      <c r="B603" s="323" t="s">
        <v>36</v>
      </c>
      <c r="C603" s="324" t="s">
        <v>9</v>
      </c>
      <c r="D603" s="324" t="s">
        <v>10</v>
      </c>
      <c r="E603" s="325" t="s">
        <v>11</v>
      </c>
      <c r="F603" s="324" t="s">
        <v>12</v>
      </c>
      <c r="G603" s="324" t="s">
        <v>13</v>
      </c>
      <c r="H603" s="324" t="s">
        <v>14</v>
      </c>
      <c r="I603" s="34" t="s">
        <v>15</v>
      </c>
      <c r="J603" s="324" t="s">
        <v>16</v>
      </c>
      <c r="K603" s="324" t="s">
        <v>17</v>
      </c>
      <c r="L603" s="324" t="s">
        <v>18</v>
      </c>
      <c r="M603" s="34" t="s">
        <v>19</v>
      </c>
      <c r="N603" s="324" t="s">
        <v>20</v>
      </c>
      <c r="O603" s="324" t="s">
        <v>21</v>
      </c>
      <c r="P603" s="324" t="s">
        <v>22</v>
      </c>
      <c r="Q603" s="34" t="s">
        <v>23</v>
      </c>
      <c r="R603" s="326" t="s">
        <v>24</v>
      </c>
    </row>
    <row r="604" spans="1:18" ht="16.5" customHeight="1" thickBot="1" x14ac:dyDescent="0.35">
      <c r="A604" s="42"/>
      <c r="B604" s="37"/>
      <c r="C604" s="37"/>
      <c r="D604" s="37"/>
      <c r="E604" s="16"/>
      <c r="F604" s="37"/>
      <c r="G604" s="37"/>
      <c r="H604" s="37"/>
      <c r="I604" s="16"/>
      <c r="J604" s="37"/>
      <c r="K604" s="37"/>
      <c r="L604" s="37"/>
      <c r="M604" s="16"/>
      <c r="N604" s="37"/>
      <c r="O604" s="37"/>
      <c r="P604" s="37"/>
      <c r="Q604" s="16"/>
      <c r="R604" s="39"/>
    </row>
    <row r="605" spans="1:18" ht="15.75" customHeight="1" x14ac:dyDescent="0.3">
      <c r="A605" s="17" t="s">
        <v>45</v>
      </c>
      <c r="B605" s="1" t="s">
        <v>7</v>
      </c>
      <c r="C605" s="1" t="s">
        <v>7</v>
      </c>
      <c r="D605" s="1" t="s">
        <v>7</v>
      </c>
      <c r="E605" s="59" t="s">
        <v>7</v>
      </c>
      <c r="F605" s="1" t="s">
        <v>7</v>
      </c>
      <c r="G605" s="1" t="s">
        <v>7</v>
      </c>
      <c r="H605" s="1" t="s">
        <v>7</v>
      </c>
      <c r="I605" s="59" t="s">
        <v>7</v>
      </c>
      <c r="J605" s="1" t="s">
        <v>7</v>
      </c>
      <c r="K605" s="1" t="s">
        <v>7</v>
      </c>
      <c r="L605" s="1" t="s">
        <v>7</v>
      </c>
      <c r="M605" s="59" t="s">
        <v>7</v>
      </c>
      <c r="N605" s="1" t="s">
        <v>7</v>
      </c>
      <c r="O605" s="1" t="s">
        <v>7</v>
      </c>
      <c r="P605" s="1" t="s">
        <v>7</v>
      </c>
      <c r="Q605" s="59" t="s">
        <v>7</v>
      </c>
      <c r="R605" s="59" t="s">
        <v>7</v>
      </c>
    </row>
    <row r="606" spans="1:18" ht="15.75" customHeight="1" x14ac:dyDescent="0.3">
      <c r="A606" s="17" t="s">
        <v>46</v>
      </c>
      <c r="B606" s="1"/>
      <c r="C606" s="1"/>
      <c r="D606" s="1"/>
      <c r="E606" s="59" t="s">
        <v>7</v>
      </c>
      <c r="F606" s="1"/>
      <c r="G606" s="1"/>
      <c r="H606" s="1"/>
      <c r="I606" s="59" t="s">
        <v>7</v>
      </c>
      <c r="J606" s="1"/>
      <c r="K606" s="1"/>
      <c r="L606" s="1"/>
      <c r="M606" s="59" t="s">
        <v>7</v>
      </c>
      <c r="N606" s="1"/>
      <c r="O606" s="1"/>
      <c r="P606" s="1"/>
      <c r="Q606" s="59" t="s">
        <v>7</v>
      </c>
      <c r="R606" s="59" t="s">
        <v>7</v>
      </c>
    </row>
    <row r="607" spans="1:18" ht="15.75" customHeight="1" x14ac:dyDescent="0.3">
      <c r="A607" s="74" t="s">
        <v>552</v>
      </c>
      <c r="B607" s="1">
        <v>100</v>
      </c>
      <c r="C607" s="1">
        <v>150</v>
      </c>
      <c r="D607" s="1">
        <v>329</v>
      </c>
      <c r="E607" s="59">
        <f>SUM(B607:D607)</f>
        <v>579</v>
      </c>
      <c r="F607" s="1">
        <v>150</v>
      </c>
      <c r="G607" s="1">
        <v>440</v>
      </c>
      <c r="H607" s="1">
        <v>870</v>
      </c>
      <c r="I607" s="59">
        <f>SUM(F607:H607)</f>
        <v>1460</v>
      </c>
      <c r="J607" s="1">
        <v>1456</v>
      </c>
      <c r="K607" s="1">
        <v>1822</v>
      </c>
      <c r="L607" s="1">
        <v>1410</v>
      </c>
      <c r="M607" s="59">
        <f>SUM(J607:L607)</f>
        <v>4688</v>
      </c>
      <c r="N607" s="1">
        <v>567</v>
      </c>
      <c r="O607" s="1">
        <v>32</v>
      </c>
      <c r="P607" s="1">
        <v>194</v>
      </c>
      <c r="Q607" s="59">
        <f>SUM(N607:P607)</f>
        <v>793</v>
      </c>
      <c r="R607" s="59">
        <f>+E607+I607+M607+Q607</f>
        <v>7520</v>
      </c>
    </row>
    <row r="608" spans="1:18" ht="15.75" customHeight="1" x14ac:dyDescent="0.3">
      <c r="A608" s="74" t="s">
        <v>553</v>
      </c>
      <c r="B608" s="1"/>
      <c r="C608" s="1">
        <v>493</v>
      </c>
      <c r="D608" s="1">
        <v>449</v>
      </c>
      <c r="E608" s="59">
        <f>SUM(B608:D608)</f>
        <v>942</v>
      </c>
      <c r="F608" s="1">
        <v>318</v>
      </c>
      <c r="G608" s="1">
        <v>677</v>
      </c>
      <c r="H608" s="1">
        <v>759</v>
      </c>
      <c r="I608" s="59">
        <f>SUM(F608:H608)</f>
        <v>1754</v>
      </c>
      <c r="J608" s="1">
        <v>661</v>
      </c>
      <c r="K608" s="1">
        <v>274</v>
      </c>
      <c r="L608" s="1">
        <v>339</v>
      </c>
      <c r="M608" s="59">
        <f>SUM(J608:L608)</f>
        <v>1274</v>
      </c>
      <c r="N608" s="1">
        <v>129</v>
      </c>
      <c r="O608" s="1"/>
      <c r="P608" s="1"/>
      <c r="Q608" s="59">
        <f>SUM(N608:P608)</f>
        <v>129</v>
      </c>
      <c r="R608" s="59">
        <f>+E608+I608+M608+Q608</f>
        <v>4099</v>
      </c>
    </row>
    <row r="609" spans="1:18" ht="15.75" customHeight="1" x14ac:dyDescent="0.3">
      <c r="A609" s="74" t="s">
        <v>554</v>
      </c>
      <c r="B609" s="1"/>
      <c r="C609" s="1"/>
      <c r="D609" s="1"/>
      <c r="E609" s="59">
        <f>SUM(B609:D609)</f>
        <v>0</v>
      </c>
      <c r="F609" s="1"/>
      <c r="G609" s="1"/>
      <c r="H609" s="1"/>
      <c r="I609" s="59">
        <f>SUM(F609:H609)</f>
        <v>0</v>
      </c>
      <c r="J609" s="1"/>
      <c r="K609" s="1"/>
      <c r="L609" s="1"/>
      <c r="M609" s="59">
        <f>SUM(J609:L609)</f>
        <v>0</v>
      </c>
      <c r="N609" s="1"/>
      <c r="O609" s="1"/>
      <c r="P609" s="1"/>
      <c r="Q609" s="59">
        <f>SUM(N609:P609)</f>
        <v>0</v>
      </c>
      <c r="R609" s="59">
        <f>+E609+I609+M609+Q609</f>
        <v>0</v>
      </c>
    </row>
    <row r="610" spans="1:18" ht="15.75" customHeight="1" x14ac:dyDescent="0.3">
      <c r="A610" s="17" t="s">
        <v>47</v>
      </c>
      <c r="B610" s="1"/>
      <c r="C610" s="1"/>
      <c r="D610" s="1"/>
      <c r="E610" s="59" t="s">
        <v>7</v>
      </c>
      <c r="F610" s="1"/>
      <c r="G610" s="1"/>
      <c r="H610" s="1"/>
      <c r="I610" s="59" t="s">
        <v>7</v>
      </c>
      <c r="J610" s="1"/>
      <c r="K610" s="1"/>
      <c r="L610" s="1"/>
      <c r="M610" s="59" t="s">
        <v>7</v>
      </c>
      <c r="N610" s="1"/>
      <c r="O610" s="1"/>
      <c r="P610" s="1"/>
      <c r="Q610" s="59" t="s">
        <v>7</v>
      </c>
      <c r="R610" s="59" t="s">
        <v>7</v>
      </c>
    </row>
    <row r="611" spans="1:18" ht="15.75" customHeight="1" x14ac:dyDescent="0.3">
      <c r="A611" s="17" t="s">
        <v>898</v>
      </c>
      <c r="B611" s="1"/>
      <c r="C611" s="1"/>
      <c r="D611" s="1"/>
      <c r="E611" s="59" t="s">
        <v>7</v>
      </c>
      <c r="F611" s="1"/>
      <c r="G611" s="1"/>
      <c r="H611" s="1"/>
      <c r="I611" s="59" t="s">
        <v>7</v>
      </c>
      <c r="J611" s="1"/>
      <c r="K611" s="1"/>
      <c r="L611" s="1"/>
      <c r="M611" s="59" t="s">
        <v>7</v>
      </c>
      <c r="N611" s="1"/>
      <c r="O611" s="1"/>
      <c r="P611" s="1"/>
      <c r="Q611" s="59" t="s">
        <v>7</v>
      </c>
      <c r="R611" s="59" t="s">
        <v>7</v>
      </c>
    </row>
    <row r="612" spans="1:18" ht="15.75" customHeight="1" thickBot="1" x14ac:dyDescent="0.35">
      <c r="A612" s="17" t="s">
        <v>51</v>
      </c>
      <c r="B612" s="1"/>
      <c r="C612" s="1"/>
      <c r="D612" s="1"/>
      <c r="E612" s="59" t="s">
        <v>7</v>
      </c>
      <c r="F612" s="1"/>
      <c r="G612" s="1"/>
      <c r="H612" s="1"/>
      <c r="I612" s="59" t="s">
        <v>7</v>
      </c>
      <c r="J612" s="1"/>
      <c r="K612" s="1"/>
      <c r="L612" s="1"/>
      <c r="M612" s="59" t="s">
        <v>7</v>
      </c>
      <c r="N612" s="1"/>
      <c r="O612" s="1"/>
      <c r="P612" s="1"/>
      <c r="Q612" s="59" t="s">
        <v>7</v>
      </c>
      <c r="R612" s="59" t="s">
        <v>7</v>
      </c>
    </row>
    <row r="613" spans="1:18" ht="16.5" customHeight="1" thickBot="1" x14ac:dyDescent="0.35">
      <c r="A613" s="126" t="s">
        <v>52</v>
      </c>
      <c r="B613" s="100">
        <f>SUM(B605:B612)</f>
        <v>100</v>
      </c>
      <c r="C613" s="101">
        <f>SUM(C605:C612)</f>
        <v>643</v>
      </c>
      <c r="D613" s="101">
        <f>SUM(D605:D612)</f>
        <v>778</v>
      </c>
      <c r="E613" s="64">
        <f>SUM(B613:D613)</f>
        <v>1521</v>
      </c>
      <c r="F613" s="101">
        <f>SUM(F605:F612)</f>
        <v>468</v>
      </c>
      <c r="G613" s="101">
        <f>SUM(G605:G612)</f>
        <v>1117</v>
      </c>
      <c r="H613" s="101">
        <f>SUM(H605:H612)</f>
        <v>1629</v>
      </c>
      <c r="I613" s="64">
        <f>SUM(F613:H613)</f>
        <v>3214</v>
      </c>
      <c r="J613" s="101">
        <f>SUM(J605:J612)</f>
        <v>2117</v>
      </c>
      <c r="K613" s="101">
        <f>SUM(K605:K612)</f>
        <v>2096</v>
      </c>
      <c r="L613" s="101">
        <f>SUM(L605:L612)</f>
        <v>1749</v>
      </c>
      <c r="M613" s="64">
        <f>SUM(J613:L613)</f>
        <v>5962</v>
      </c>
      <c r="N613" s="101">
        <f>SUM(N605:N612)</f>
        <v>696</v>
      </c>
      <c r="O613" s="101">
        <f>SUM(O605:O612)</f>
        <v>32</v>
      </c>
      <c r="P613" s="101">
        <f>SUM(P605:P612)</f>
        <v>194</v>
      </c>
      <c r="Q613" s="64">
        <f>SUM(N613:P613)</f>
        <v>922</v>
      </c>
      <c r="R613" s="64">
        <f>+E613+I613+M613+Q613</f>
        <v>11619</v>
      </c>
    </row>
    <row r="614" spans="1:18" ht="15.75" customHeight="1" x14ac:dyDescent="0.3">
      <c r="A614" s="17" t="s">
        <v>53</v>
      </c>
      <c r="B614" s="1"/>
      <c r="C614" s="1"/>
      <c r="D614" s="1"/>
      <c r="E614" s="59" t="s">
        <v>7</v>
      </c>
      <c r="F614" s="1"/>
      <c r="G614" s="1"/>
      <c r="H614" s="1"/>
      <c r="I614" s="59" t="s">
        <v>7</v>
      </c>
      <c r="J614" s="1"/>
      <c r="K614" s="1"/>
      <c r="L614" s="1"/>
      <c r="M614" s="59" t="s">
        <v>7</v>
      </c>
      <c r="N614" s="1"/>
      <c r="O614" s="1"/>
      <c r="P614" s="1"/>
      <c r="Q614" s="59" t="s">
        <v>7</v>
      </c>
      <c r="R614" s="59" t="s">
        <v>7</v>
      </c>
    </row>
    <row r="615" spans="1:18" ht="15.75" customHeight="1" x14ac:dyDescent="0.3">
      <c r="A615" s="17" t="s">
        <v>55</v>
      </c>
      <c r="B615" s="1"/>
      <c r="C615" s="1"/>
      <c r="D615" s="1"/>
      <c r="E615" s="59" t="s">
        <v>7</v>
      </c>
      <c r="F615" s="1"/>
      <c r="G615" s="1"/>
      <c r="H615" s="1"/>
      <c r="I615" s="59" t="s">
        <v>7</v>
      </c>
      <c r="J615" s="1"/>
      <c r="K615" s="1"/>
      <c r="L615" s="1"/>
      <c r="M615" s="59" t="s">
        <v>7</v>
      </c>
      <c r="N615" s="1"/>
      <c r="O615" s="1"/>
      <c r="P615" s="1"/>
      <c r="Q615" s="59" t="s">
        <v>7</v>
      </c>
      <c r="R615" s="59" t="s">
        <v>7</v>
      </c>
    </row>
    <row r="616" spans="1:18" ht="15.75" customHeight="1" thickBot="1" x14ac:dyDescent="0.35">
      <c r="A616" s="17" t="s">
        <v>56</v>
      </c>
      <c r="B616" s="1"/>
      <c r="C616" s="1"/>
      <c r="D616" s="1"/>
      <c r="E616" s="59" t="s">
        <v>7</v>
      </c>
      <c r="F616" s="1"/>
      <c r="G616" s="1"/>
      <c r="H616" s="1"/>
      <c r="I616" s="59" t="s">
        <v>7</v>
      </c>
      <c r="J616" s="1"/>
      <c r="K616" s="1"/>
      <c r="L616" s="1"/>
      <c r="M616" s="59" t="s">
        <v>7</v>
      </c>
      <c r="N616" s="1"/>
      <c r="O616" s="1"/>
      <c r="P616" s="1"/>
      <c r="Q616" s="59" t="s">
        <v>7</v>
      </c>
      <c r="R616" s="59" t="s">
        <v>7</v>
      </c>
    </row>
    <row r="617" spans="1:18" ht="16.5" customHeight="1" thickBot="1" x14ac:dyDescent="0.35">
      <c r="A617" s="62" t="s">
        <v>57</v>
      </c>
      <c r="B617" s="100">
        <f>SUM(B614:B616)</f>
        <v>0</v>
      </c>
      <c r="C617" s="101">
        <f>SUM(C614:C616)</f>
        <v>0</v>
      </c>
      <c r="D617" s="101">
        <f>SUM(D614:D616)</f>
        <v>0</v>
      </c>
      <c r="E617" s="64">
        <f>SUM(B617:D617)</f>
        <v>0</v>
      </c>
      <c r="F617" s="101">
        <f>SUM(F614:F616)</f>
        <v>0</v>
      </c>
      <c r="G617" s="101">
        <f>SUM(G614:G616)</f>
        <v>0</v>
      </c>
      <c r="H617" s="101">
        <f>SUM(H614:H616)</f>
        <v>0</v>
      </c>
      <c r="I617" s="64">
        <f>SUM(F617:H617)</f>
        <v>0</v>
      </c>
      <c r="J617" s="101">
        <f>SUM(J614:J616)</f>
        <v>0</v>
      </c>
      <c r="K617" s="101">
        <f>SUM(K614:K616)</f>
        <v>0</v>
      </c>
      <c r="L617" s="101">
        <f>SUM(L614:L616)</f>
        <v>0</v>
      </c>
      <c r="M617" s="64">
        <f>SUM(J617:L617)</f>
        <v>0</v>
      </c>
      <c r="N617" s="101">
        <f>SUM(N614:N616)</f>
        <v>0</v>
      </c>
      <c r="O617" s="101">
        <f>SUM(O614:O616)</f>
        <v>0</v>
      </c>
      <c r="P617" s="101">
        <f>SUM(P614:P616)</f>
        <v>0</v>
      </c>
      <c r="Q617" s="64">
        <f>SUM(N617:P617)</f>
        <v>0</v>
      </c>
      <c r="R617" s="64">
        <f>+E617+I617+M617+Q617</f>
        <v>0</v>
      </c>
    </row>
    <row r="618" spans="1:18" ht="15.75" customHeight="1" x14ac:dyDescent="0.3">
      <c r="A618" s="17" t="s">
        <v>58</v>
      </c>
      <c r="B618" s="1"/>
      <c r="C618" s="1"/>
      <c r="D618" s="1"/>
      <c r="E618" s="59" t="s">
        <v>7</v>
      </c>
      <c r="F618" s="1"/>
      <c r="G618" s="1"/>
      <c r="H618" s="1"/>
      <c r="I618" s="59" t="s">
        <v>7</v>
      </c>
      <c r="J618" s="1"/>
      <c r="K618" s="1"/>
      <c r="L618" s="1"/>
      <c r="M618" s="59" t="s">
        <v>7</v>
      </c>
      <c r="N618" s="1"/>
      <c r="O618" s="1"/>
      <c r="P618" s="1"/>
      <c r="Q618" s="59" t="s">
        <v>7</v>
      </c>
      <c r="R618" s="59" t="s">
        <v>7</v>
      </c>
    </row>
    <row r="619" spans="1:18" ht="15.75" customHeight="1" x14ac:dyDescent="0.3">
      <c r="A619" s="17" t="s">
        <v>59</v>
      </c>
      <c r="B619" s="1"/>
      <c r="C619" s="1"/>
      <c r="D619" s="1"/>
      <c r="E619" s="59" t="s">
        <v>7</v>
      </c>
      <c r="F619" s="1"/>
      <c r="G619" s="1"/>
      <c r="H619" s="1"/>
      <c r="I619" s="59" t="s">
        <v>7</v>
      </c>
      <c r="J619" s="1"/>
      <c r="K619" s="1"/>
      <c r="L619" s="1"/>
      <c r="M619" s="59" t="s">
        <v>7</v>
      </c>
      <c r="N619" s="1"/>
      <c r="O619" s="1"/>
      <c r="P619" s="1"/>
      <c r="Q619" s="59" t="s">
        <v>7</v>
      </c>
      <c r="R619" s="59" t="s">
        <v>7</v>
      </c>
    </row>
    <row r="620" spans="1:18" ht="15.75" customHeight="1" thickBot="1" x14ac:dyDescent="0.35">
      <c r="A620" s="17" t="s">
        <v>60</v>
      </c>
      <c r="B620" s="1"/>
      <c r="C620" s="1"/>
      <c r="D620" s="1"/>
      <c r="E620" s="59" t="s">
        <v>7</v>
      </c>
      <c r="F620" s="1"/>
      <c r="G620" s="1"/>
      <c r="H620" s="1"/>
      <c r="I620" s="59" t="s">
        <v>7</v>
      </c>
      <c r="J620" s="1"/>
      <c r="K620" s="1"/>
      <c r="L620" s="1"/>
      <c r="M620" s="59" t="s">
        <v>7</v>
      </c>
      <c r="N620" s="1"/>
      <c r="O620" s="1"/>
      <c r="P620" s="1"/>
      <c r="Q620" s="59" t="s">
        <v>7</v>
      </c>
      <c r="R620" s="59" t="s">
        <v>7</v>
      </c>
    </row>
    <row r="621" spans="1:18" ht="16.5" customHeight="1" thickBot="1" x14ac:dyDescent="0.35">
      <c r="A621" s="137" t="s">
        <v>61</v>
      </c>
      <c r="B621" s="100">
        <f>SUM(B618:B620)</f>
        <v>0</v>
      </c>
      <c r="C621" s="101">
        <f>SUM(C618:C620)</f>
        <v>0</v>
      </c>
      <c r="D621" s="101">
        <f>SUM(D618:D620)</f>
        <v>0</v>
      </c>
      <c r="E621" s="64">
        <f>SUM(B621:D621)</f>
        <v>0</v>
      </c>
      <c r="F621" s="101">
        <f>SUM(F618:F620)</f>
        <v>0</v>
      </c>
      <c r="G621" s="101">
        <f>SUM(G618:G620)</f>
        <v>0</v>
      </c>
      <c r="H621" s="101">
        <f>SUM(H618:H620)</f>
        <v>0</v>
      </c>
      <c r="I621" s="64">
        <f>SUM(F621:H621)</f>
        <v>0</v>
      </c>
      <c r="J621" s="101">
        <f>SUM(J618:J620)</f>
        <v>0</v>
      </c>
      <c r="K621" s="101">
        <f>SUM(K618:K620)</f>
        <v>0</v>
      </c>
      <c r="L621" s="101">
        <f>SUM(L618:L620)</f>
        <v>0</v>
      </c>
      <c r="M621" s="64">
        <f>SUM(J621:L621)</f>
        <v>0</v>
      </c>
      <c r="N621" s="101">
        <f>SUM(N618:N620)</f>
        <v>0</v>
      </c>
      <c r="O621" s="101">
        <f>SUM(O618:O620)</f>
        <v>0</v>
      </c>
      <c r="P621" s="101">
        <f>SUM(P618:P620)</f>
        <v>0</v>
      </c>
      <c r="Q621" s="64">
        <f>SUM(N621:P621)</f>
        <v>0</v>
      </c>
      <c r="R621" s="64">
        <f>+E621+I621+M621+Q621</f>
        <v>0</v>
      </c>
    </row>
    <row r="622" spans="1:18" ht="15.75" customHeight="1" x14ac:dyDescent="0.3">
      <c r="A622" s="17" t="s">
        <v>62</v>
      </c>
      <c r="B622" s="1"/>
      <c r="C622" s="1"/>
      <c r="D622" s="1"/>
      <c r="E622" s="59" t="s">
        <v>7</v>
      </c>
      <c r="F622" s="1"/>
      <c r="G622" s="1"/>
      <c r="H622" s="1"/>
      <c r="I622" s="59" t="s">
        <v>7</v>
      </c>
      <c r="J622" s="1"/>
      <c r="K622" s="1"/>
      <c r="L622" s="1"/>
      <c r="M622" s="59" t="s">
        <v>7</v>
      </c>
      <c r="N622" s="1"/>
      <c r="O622" s="1"/>
      <c r="P622" s="1"/>
      <c r="Q622" s="59" t="s">
        <v>7</v>
      </c>
      <c r="R622" s="59" t="s">
        <v>7</v>
      </c>
    </row>
    <row r="623" spans="1:18" ht="15.75" customHeight="1" x14ac:dyDescent="0.3">
      <c r="A623" s="17" t="s">
        <v>63</v>
      </c>
      <c r="B623" s="1"/>
      <c r="C623" s="1"/>
      <c r="D623" s="1"/>
      <c r="E623" s="59" t="s">
        <v>7</v>
      </c>
      <c r="F623" s="1"/>
      <c r="G623" s="1"/>
      <c r="H623" s="1"/>
      <c r="I623" s="59" t="s">
        <v>7</v>
      </c>
      <c r="J623" s="1"/>
      <c r="K623" s="1"/>
      <c r="L623" s="1"/>
      <c r="M623" s="59" t="s">
        <v>7</v>
      </c>
      <c r="N623" s="1"/>
      <c r="O623" s="1"/>
      <c r="P623" s="1"/>
      <c r="Q623" s="59" t="s">
        <v>7</v>
      </c>
      <c r="R623" s="59" t="s">
        <v>7</v>
      </c>
    </row>
    <row r="624" spans="1:18" ht="15.75" customHeight="1" x14ac:dyDescent="0.3">
      <c r="A624" s="17" t="s">
        <v>64</v>
      </c>
      <c r="B624" s="1"/>
      <c r="C624" s="1"/>
      <c r="D624" s="1"/>
      <c r="E624" s="59" t="s">
        <v>7</v>
      </c>
      <c r="F624" s="1"/>
      <c r="G624" s="1"/>
      <c r="H624" s="1"/>
      <c r="I624" s="59" t="s">
        <v>7</v>
      </c>
      <c r="J624" s="1"/>
      <c r="K624" s="1"/>
      <c r="L624" s="1"/>
      <c r="M624" s="59" t="s">
        <v>7</v>
      </c>
      <c r="N624" s="1"/>
      <c r="O624" s="1"/>
      <c r="P624" s="1"/>
      <c r="Q624" s="59" t="s">
        <v>7</v>
      </c>
      <c r="R624" s="59" t="s">
        <v>7</v>
      </c>
    </row>
    <row r="625" spans="1:18" ht="15.75" customHeight="1" x14ac:dyDescent="0.3">
      <c r="A625" s="74" t="s">
        <v>555</v>
      </c>
      <c r="B625" s="1"/>
      <c r="C625" s="1"/>
      <c r="D625" s="1"/>
      <c r="E625" s="59">
        <f>SUM(B625:D625)</f>
        <v>0</v>
      </c>
      <c r="F625" s="1"/>
      <c r="G625" s="1"/>
      <c r="H625" s="1"/>
      <c r="I625" s="59">
        <f>SUM(F625:H625)</f>
        <v>0</v>
      </c>
      <c r="J625" s="1"/>
      <c r="K625" s="1"/>
      <c r="L625" s="1"/>
      <c r="M625" s="59">
        <f>SUM(J625:L625)</f>
        <v>0</v>
      </c>
      <c r="N625" s="1"/>
      <c r="O625" s="1"/>
      <c r="P625" s="1"/>
      <c r="Q625" s="59">
        <f>SUM(N625:P625)</f>
        <v>0</v>
      </c>
      <c r="R625" s="59">
        <f>+E625+I625+M625+Q625</f>
        <v>0</v>
      </c>
    </row>
    <row r="626" spans="1:18" ht="15.75" customHeight="1" x14ac:dyDescent="0.3">
      <c r="A626" s="17" t="s">
        <v>66</v>
      </c>
      <c r="B626" s="1"/>
      <c r="C626" s="1"/>
      <c r="D626" s="1"/>
      <c r="E626" s="59" t="s">
        <v>7</v>
      </c>
      <c r="F626" s="1"/>
      <c r="G626" s="1"/>
      <c r="H626" s="1"/>
      <c r="I626" s="59" t="s">
        <v>7</v>
      </c>
      <c r="J626" s="1"/>
      <c r="K626" s="1"/>
      <c r="L626" s="1"/>
      <c r="M626" s="59" t="s">
        <v>7</v>
      </c>
      <c r="N626" s="1"/>
      <c r="O626" s="1"/>
      <c r="P626" s="1"/>
      <c r="Q626" s="59" t="s">
        <v>7</v>
      </c>
      <c r="R626" s="59" t="s">
        <v>7</v>
      </c>
    </row>
    <row r="627" spans="1:18" ht="15.75" customHeight="1" thickBot="1" x14ac:dyDescent="0.35">
      <c r="A627" s="17" t="s">
        <v>67</v>
      </c>
      <c r="B627" s="1"/>
      <c r="C627" s="1"/>
      <c r="D627" s="1"/>
      <c r="E627" s="59" t="s">
        <v>7</v>
      </c>
      <c r="F627" s="1"/>
      <c r="G627" s="1"/>
      <c r="H627" s="1"/>
      <c r="I627" s="59" t="s">
        <v>7</v>
      </c>
      <c r="J627" s="1"/>
      <c r="K627" s="1"/>
      <c r="L627" s="1"/>
      <c r="M627" s="59" t="s">
        <v>7</v>
      </c>
      <c r="N627" s="1"/>
      <c r="O627" s="1"/>
      <c r="P627" s="1"/>
      <c r="Q627" s="59" t="s">
        <v>7</v>
      </c>
      <c r="R627" s="59" t="s">
        <v>7</v>
      </c>
    </row>
    <row r="628" spans="1:18" ht="16.5" customHeight="1" thickBot="1" x14ac:dyDescent="0.35">
      <c r="A628" s="62" t="s">
        <v>68</v>
      </c>
      <c r="B628" s="63">
        <f>SUM(B626:B627)</f>
        <v>0</v>
      </c>
      <c r="C628" s="63">
        <f>SUM(C626:C627)</f>
        <v>0</v>
      </c>
      <c r="D628" s="63">
        <f>SUM(D626:D627)</f>
        <v>0</v>
      </c>
      <c r="E628" s="334">
        <f>SUM(B628:D628)</f>
        <v>0</v>
      </c>
      <c r="F628" s="63">
        <f>SUM(F626:F627)</f>
        <v>0</v>
      </c>
      <c r="G628" s="63">
        <f>SUM(G626:G627)</f>
        <v>0</v>
      </c>
      <c r="H628" s="63">
        <f>SUM(H626:H627)</f>
        <v>0</v>
      </c>
      <c r="I628" s="334">
        <f>SUM(F628:H628)</f>
        <v>0</v>
      </c>
      <c r="J628" s="63">
        <f>SUM(J626:J627)</f>
        <v>0</v>
      </c>
      <c r="K628" s="63">
        <f>SUM(K626:K627)</f>
        <v>0</v>
      </c>
      <c r="L628" s="63">
        <f>SUM(L626:L627)</f>
        <v>0</v>
      </c>
      <c r="M628" s="334">
        <f>SUM(J628:L628)</f>
        <v>0</v>
      </c>
      <c r="N628" s="63">
        <f>SUM(N626:N627)</f>
        <v>0</v>
      </c>
      <c r="O628" s="63">
        <f>SUM(O626:O627)</f>
        <v>0</v>
      </c>
      <c r="P628" s="63">
        <f>SUM(P626:P627)</f>
        <v>0</v>
      </c>
      <c r="Q628" s="334">
        <f>SUM(N628:P628)</f>
        <v>0</v>
      </c>
      <c r="R628" s="64">
        <f>+E628+I628+M628+Q628</f>
        <v>0</v>
      </c>
    </row>
    <row r="629" spans="1:18" ht="16.5" customHeight="1" thickBot="1" x14ac:dyDescent="0.35">
      <c r="A629" s="137" t="s">
        <v>69</v>
      </c>
      <c r="B629" s="100">
        <f>SUM(B622:B627)</f>
        <v>0</v>
      </c>
      <c r="C629" s="101">
        <f>SUM(C622:C627)</f>
        <v>0</v>
      </c>
      <c r="D629" s="138">
        <f>SUM(D622:D627)</f>
        <v>0</v>
      </c>
      <c r="E629" s="334">
        <f>SUM(B629:D629)</f>
        <v>0</v>
      </c>
      <c r="F629" s="101">
        <f>SUM(F622:F627)</f>
        <v>0</v>
      </c>
      <c r="G629" s="101">
        <f>SUM(G622:G627)</f>
        <v>0</v>
      </c>
      <c r="H629" s="101">
        <f>SUM(H622:H627)</f>
        <v>0</v>
      </c>
      <c r="I629" s="334">
        <f>SUM(F629:H629)</f>
        <v>0</v>
      </c>
      <c r="J629" s="101">
        <f>SUM(J622:J627)</f>
        <v>0</v>
      </c>
      <c r="K629" s="101">
        <f>SUM(K622:K627)</f>
        <v>0</v>
      </c>
      <c r="L629" s="101">
        <f>SUM(L622:L627)</f>
        <v>0</v>
      </c>
      <c r="M629" s="334">
        <f>SUM(J629:L629)</f>
        <v>0</v>
      </c>
      <c r="N629" s="101">
        <f>SUM(N622:N627)</f>
        <v>0</v>
      </c>
      <c r="O629" s="101">
        <f>SUM(O622:O627)</f>
        <v>0</v>
      </c>
      <c r="P629" s="101">
        <f>SUM(P622:P627)</f>
        <v>0</v>
      </c>
      <c r="Q629" s="334">
        <f>SUM(N629:P629)</f>
        <v>0</v>
      </c>
      <c r="R629" s="64">
        <f>+E629+I629+M629+Q629</f>
        <v>0</v>
      </c>
    </row>
    <row r="630" spans="1:18" ht="16.5" customHeight="1" thickBot="1" x14ac:dyDescent="0.35">
      <c r="A630" s="62" t="s">
        <v>70</v>
      </c>
      <c r="B630" s="107">
        <f>+B613+B617+B621+B629</f>
        <v>100</v>
      </c>
      <c r="C630" s="63">
        <f>+C613+C617+C621+C629</f>
        <v>643</v>
      </c>
      <c r="D630" s="63">
        <f>+D613+D617+D621+D629</f>
        <v>778</v>
      </c>
      <c r="E630" s="64">
        <f>SUM(B630:D630)</f>
        <v>1521</v>
      </c>
      <c r="F630" s="63">
        <f>+F613+F617+F621+F629</f>
        <v>468</v>
      </c>
      <c r="G630" s="63">
        <f>+G613+G617+G621+G629</f>
        <v>1117</v>
      </c>
      <c r="H630" s="63">
        <f>+H613+H617+H621+H629</f>
        <v>1629</v>
      </c>
      <c r="I630" s="64">
        <f>SUM(F630:H630)</f>
        <v>3214</v>
      </c>
      <c r="J630" s="63">
        <f>+J613+J617+J621+J629</f>
        <v>2117</v>
      </c>
      <c r="K630" s="63">
        <f>+K613+K617+K621+K629</f>
        <v>2096</v>
      </c>
      <c r="L630" s="63">
        <f>+L613+L617+L621+L629</f>
        <v>1749</v>
      </c>
      <c r="M630" s="64">
        <f>SUM(J630:L630)</f>
        <v>5962</v>
      </c>
      <c r="N630" s="63">
        <f>+N613+N617+N621+N629</f>
        <v>696</v>
      </c>
      <c r="O630" s="63">
        <f>+O613+O617+O621+O629</f>
        <v>32</v>
      </c>
      <c r="P630" s="63">
        <f>+P613+P617+P621+P629</f>
        <v>194</v>
      </c>
      <c r="Q630" s="64">
        <f>SUM(N630:P630)</f>
        <v>922</v>
      </c>
      <c r="R630" s="88">
        <f>+E630+I630+M630+Q630</f>
        <v>11619</v>
      </c>
    </row>
    <row r="631" spans="1:18" ht="16.5" customHeight="1" thickBot="1" x14ac:dyDescent="0.35">
      <c r="A631" s="40" t="s">
        <v>37</v>
      </c>
      <c r="B631" s="25">
        <v>10</v>
      </c>
      <c r="C631" s="25">
        <v>11</v>
      </c>
      <c r="D631" s="25">
        <v>14</v>
      </c>
      <c r="E631" s="59">
        <f>SUM(B631:D631)</f>
        <v>35</v>
      </c>
      <c r="F631" s="25">
        <v>18</v>
      </c>
      <c r="G631" s="25">
        <v>21</v>
      </c>
      <c r="H631" s="25">
        <v>22</v>
      </c>
      <c r="I631" s="59">
        <f>SUM(F631:H631)</f>
        <v>61</v>
      </c>
      <c r="J631" s="25">
        <v>19</v>
      </c>
      <c r="K631" s="25">
        <v>17</v>
      </c>
      <c r="L631" s="25">
        <v>17</v>
      </c>
      <c r="M631" s="59">
        <f>SUM(J631:L631)</f>
        <v>53</v>
      </c>
      <c r="N631" s="25">
        <v>14</v>
      </c>
      <c r="O631" s="25">
        <v>11</v>
      </c>
      <c r="P631" s="25">
        <v>9</v>
      </c>
      <c r="Q631" s="59">
        <f>SUM(N631:P631)</f>
        <v>34</v>
      </c>
      <c r="R631" s="59">
        <f>+E631+I631+M631+Q631</f>
        <v>183</v>
      </c>
    </row>
    <row r="632" spans="1:18" ht="16.5" customHeight="1" thickBot="1" x14ac:dyDescent="0.35">
      <c r="A632" s="42"/>
      <c r="B632" s="37"/>
      <c r="C632" s="37"/>
      <c r="D632" s="37"/>
      <c r="E632" s="16"/>
      <c r="F632" s="37"/>
      <c r="G632" s="37"/>
      <c r="H632" s="37"/>
      <c r="I632" s="16"/>
      <c r="J632" s="37"/>
      <c r="K632" s="37"/>
      <c r="L632" s="37"/>
      <c r="M632" s="345"/>
      <c r="N632" s="37"/>
      <c r="O632" s="37"/>
      <c r="P632" s="37"/>
      <c r="Q632" s="345"/>
      <c r="R632" s="327"/>
    </row>
    <row r="633" spans="1:18" ht="15.75" customHeight="1" x14ac:dyDescent="0.3">
      <c r="A633" s="17" t="s">
        <v>507</v>
      </c>
      <c r="B633" s="1">
        <f>SUM(B630:B631)</f>
        <v>110</v>
      </c>
      <c r="C633" s="1">
        <f>SUM(C630:C631)</f>
        <v>654</v>
      </c>
      <c r="D633" s="1">
        <f>SUM(D630:D631)</f>
        <v>792</v>
      </c>
      <c r="E633" s="59">
        <f>SUM(B633:D633)</f>
        <v>1556</v>
      </c>
      <c r="F633" s="1">
        <f>SUM(F630:F631)</f>
        <v>486</v>
      </c>
      <c r="G633" s="1">
        <f>SUM(G630:G631)</f>
        <v>1138</v>
      </c>
      <c r="H633" s="1">
        <f>SUM(H630:H631)</f>
        <v>1651</v>
      </c>
      <c r="I633" s="334">
        <f>SUM(F633:H633)</f>
        <v>3275</v>
      </c>
      <c r="J633" s="1">
        <f>SUM(J630:J631)</f>
        <v>2136</v>
      </c>
      <c r="K633" s="1">
        <f>SUM(K630:K631)</f>
        <v>2113</v>
      </c>
      <c r="L633" s="1">
        <f>SUM(L630:L631)</f>
        <v>1766</v>
      </c>
      <c r="M633" s="334">
        <f>SUM(J633:L633)</f>
        <v>6015</v>
      </c>
      <c r="N633" s="1">
        <f>SUM(N630:N631)</f>
        <v>710</v>
      </c>
      <c r="O633" s="1">
        <f>SUM(O630:O631)</f>
        <v>43</v>
      </c>
      <c r="P633" s="1">
        <f>SUM(P630:P631)</f>
        <v>203</v>
      </c>
      <c r="Q633" s="334">
        <f>SUM(N633:P633)</f>
        <v>956</v>
      </c>
      <c r="R633" s="334">
        <f>+E633+I633+M633+Q633</f>
        <v>11802</v>
      </c>
    </row>
    <row r="634" spans="1:18" ht="15.75" customHeight="1" x14ac:dyDescent="0.3">
      <c r="A634" s="17" t="s">
        <v>39</v>
      </c>
      <c r="B634" s="1">
        <f>(B633/B10)/1.983</f>
        <v>1.7894034779496688</v>
      </c>
      <c r="C634" s="1">
        <f>(C633/C10)/1.983</f>
        <v>11.37252856174031</v>
      </c>
      <c r="D634" s="1">
        <f>(D633/D10)/1.983</f>
        <v>12.883705041237615</v>
      </c>
      <c r="E634" s="59" t="s">
        <v>7</v>
      </c>
      <c r="F634" s="1">
        <f>(F633/F10)/1.983</f>
        <v>8.1694402420574885</v>
      </c>
      <c r="G634" s="1">
        <f>(G633/G10)/1.983</f>
        <v>18.512192344606575</v>
      </c>
      <c r="H634" s="1">
        <f>(H633/H10)/1.983</f>
        <v>27.752563456043031</v>
      </c>
      <c r="I634" s="59" t="s">
        <v>7</v>
      </c>
      <c r="J634" s="1">
        <f>(J633/J10)/1.983</f>
        <v>34.746962080913569</v>
      </c>
      <c r="K634" s="1">
        <f>(K633/K10)/1.983</f>
        <v>34.372814080978635</v>
      </c>
      <c r="L634" s="1">
        <f>(L633/L10)/1.983</f>
        <v>29.685661455706839</v>
      </c>
      <c r="M634" s="59" t="s">
        <v>7</v>
      </c>
      <c r="N634" s="1">
        <f>(N633/N10)/1.983</f>
        <v>11.549786084947863</v>
      </c>
      <c r="O634" s="1">
        <f>(O633/O10)/1.983</f>
        <v>0.72281055639603287</v>
      </c>
      <c r="P634" s="1">
        <f>(P633/P10)/1.983</f>
        <v>3.3022627820343891</v>
      </c>
      <c r="Q634" s="59" t="s">
        <v>7</v>
      </c>
      <c r="R634" s="59" t="s">
        <v>7</v>
      </c>
    </row>
    <row r="635" spans="1:18" ht="15.75" customHeight="1" x14ac:dyDescent="0.3">
      <c r="A635" s="17" t="s">
        <v>556</v>
      </c>
      <c r="B635" s="1">
        <f>B633+B682</f>
        <v>7781</v>
      </c>
      <c r="C635" s="1">
        <f>C633+C682</f>
        <v>11438</v>
      </c>
      <c r="D635" s="1">
        <f>D633+D682</f>
        <v>17459</v>
      </c>
      <c r="E635" s="59">
        <f>SUM(B635:D635)</f>
        <v>36678</v>
      </c>
      <c r="F635" s="1">
        <f>F633+F682</f>
        <v>21039</v>
      </c>
      <c r="G635" s="1">
        <f>G633+G682</f>
        <v>22014</v>
      </c>
      <c r="H635" s="1">
        <f>H633+H682</f>
        <v>21065</v>
      </c>
      <c r="I635" s="59">
        <f>SUM(F635:H635)</f>
        <v>64118</v>
      </c>
      <c r="J635" s="1">
        <f>J633+J682</f>
        <v>21942</v>
      </c>
      <c r="K635" s="1">
        <f>K633+K682</f>
        <v>20106</v>
      </c>
      <c r="L635" s="1">
        <f>L633+L682</f>
        <v>18989</v>
      </c>
      <c r="M635" s="59">
        <f>SUM(J635:L635)</f>
        <v>61037</v>
      </c>
      <c r="N635" s="1">
        <f>N633+N682</f>
        <v>6339</v>
      </c>
      <c r="O635" s="1">
        <f>O633+O682</f>
        <v>7154</v>
      </c>
      <c r="P635" s="1">
        <f>P633+P682</f>
        <v>14296</v>
      </c>
      <c r="Q635" s="59">
        <f>SUM(N635:P635)</f>
        <v>27789</v>
      </c>
      <c r="R635" s="59">
        <f>+E635+I635+M635+Q635</f>
        <v>189622</v>
      </c>
    </row>
    <row r="636" spans="1:18" ht="16.5" customHeight="1" thickBot="1" x14ac:dyDescent="0.35">
      <c r="A636" s="24" t="s">
        <v>557</v>
      </c>
      <c r="B636" s="25">
        <f>(B635/B10)/1.983</f>
        <v>126.57589510842158</v>
      </c>
      <c r="C636" s="25">
        <f>(C635/C10)/1.983</f>
        <v>198.89752551863251</v>
      </c>
      <c r="D636" s="25">
        <f>(D635/D10)/1.983</f>
        <v>284.01086655930249</v>
      </c>
      <c r="E636" s="88" t="s">
        <v>7</v>
      </c>
      <c r="F636" s="25">
        <f>(F635/F10)/1.983</f>
        <v>353.65607665153806</v>
      </c>
      <c r="G636" s="25">
        <f>(G635/G10)/1.983</f>
        <v>358.10843785076372</v>
      </c>
      <c r="H636" s="25">
        <f>(H635/H10)/1.983</f>
        <v>354.09312489494027</v>
      </c>
      <c r="I636" s="88" t="s">
        <v>7</v>
      </c>
      <c r="J636" s="25">
        <f>(J635/J10)/1.983</f>
        <v>356.9371919379239</v>
      </c>
      <c r="K636" s="25">
        <f>(K635/K10)/1.983</f>
        <v>327.07042116050951</v>
      </c>
      <c r="L636" s="25">
        <f>(L635/L10)/1.983</f>
        <v>319.1965036140528</v>
      </c>
      <c r="M636" s="88" t="s">
        <v>7</v>
      </c>
      <c r="N636" s="25">
        <f>(N635/N10)/1.983</f>
        <v>103.11844224293591</v>
      </c>
      <c r="O636" s="25">
        <f>(O635/O10)/1.983</f>
        <v>120.25550512691208</v>
      </c>
      <c r="P636" s="25">
        <f>(P635/P10)/1.983</f>
        <v>232.55738291607699</v>
      </c>
      <c r="Q636" s="88" t="s">
        <v>7</v>
      </c>
      <c r="R636" s="88" t="s">
        <v>7</v>
      </c>
    </row>
    <row r="637" spans="1:18" ht="15.75" customHeight="1" x14ac:dyDescent="0.3">
      <c r="A637" s="28"/>
      <c r="B637" s="1"/>
      <c r="C637" s="1"/>
      <c r="D637" s="1"/>
      <c r="E637" s="1"/>
      <c r="F637" s="1"/>
      <c r="G637" s="1"/>
      <c r="H637" s="1"/>
      <c r="I637" s="1"/>
      <c r="J637" s="1"/>
      <c r="K637" s="1"/>
      <c r="L637" s="1"/>
      <c r="M637" s="1"/>
      <c r="N637" s="1"/>
      <c r="O637" s="1"/>
      <c r="P637" s="1"/>
      <c r="Q637" s="1"/>
      <c r="R637" s="28"/>
    </row>
    <row r="638" spans="1:18" ht="16.5" customHeight="1" thickBot="1" x14ac:dyDescent="0.35">
      <c r="A638" s="123"/>
      <c r="B638" s="25"/>
      <c r="C638" s="25"/>
      <c r="D638" s="25"/>
      <c r="E638" s="25"/>
      <c r="F638" s="25"/>
      <c r="G638" s="25"/>
      <c r="H638" s="25"/>
      <c r="I638" s="25"/>
      <c r="J638" s="25"/>
      <c r="K638" s="25"/>
      <c r="L638" s="25"/>
      <c r="M638" s="25"/>
      <c r="N638" s="25"/>
      <c r="O638" s="25"/>
      <c r="P638" s="25"/>
      <c r="Q638" s="25"/>
      <c r="R638" s="123"/>
    </row>
    <row r="639" spans="1:18" ht="15.75" customHeight="1" thickBot="1" x14ac:dyDescent="0.35">
      <c r="A639" s="342" t="s">
        <v>558</v>
      </c>
      <c r="B639" s="330" t="s">
        <v>36</v>
      </c>
      <c r="C639" s="331" t="s">
        <v>9</v>
      </c>
      <c r="D639" s="331" t="s">
        <v>10</v>
      </c>
      <c r="E639" s="325" t="s">
        <v>11</v>
      </c>
      <c r="F639" s="331" t="s">
        <v>12</v>
      </c>
      <c r="G639" s="331" t="s">
        <v>13</v>
      </c>
      <c r="H639" s="331" t="s">
        <v>14</v>
      </c>
      <c r="I639" s="325" t="s">
        <v>15</v>
      </c>
      <c r="J639" s="331" t="s">
        <v>16</v>
      </c>
      <c r="K639" s="331" t="s">
        <v>17</v>
      </c>
      <c r="L639" s="331" t="s">
        <v>18</v>
      </c>
      <c r="M639" s="325" t="s">
        <v>19</v>
      </c>
      <c r="N639" s="331" t="s">
        <v>20</v>
      </c>
      <c r="O639" s="331" t="s">
        <v>21</v>
      </c>
      <c r="P639" s="331" t="s">
        <v>22</v>
      </c>
      <c r="Q639" s="325" t="s">
        <v>23</v>
      </c>
      <c r="R639" s="332" t="s">
        <v>24</v>
      </c>
    </row>
    <row r="640" spans="1:18" ht="16.5" customHeight="1" thickBot="1" x14ac:dyDescent="0.35">
      <c r="A640" s="154"/>
      <c r="B640" s="56"/>
      <c r="C640" s="56"/>
      <c r="D640" s="56"/>
      <c r="E640" s="16"/>
      <c r="F640" s="56"/>
      <c r="G640" s="56"/>
      <c r="H640" s="56"/>
      <c r="I640" s="16"/>
      <c r="J640" s="56"/>
      <c r="K640" s="56"/>
      <c r="L640" s="56"/>
      <c r="M640" s="16"/>
      <c r="N640" s="56"/>
      <c r="O640" s="56"/>
      <c r="P640" s="56"/>
      <c r="Q640" s="16"/>
      <c r="R640" s="57"/>
    </row>
    <row r="641" spans="1:18" ht="15.75" customHeight="1" x14ac:dyDescent="0.3">
      <c r="A641" s="17" t="s">
        <v>45</v>
      </c>
      <c r="B641" s="1" t="s">
        <v>7</v>
      </c>
      <c r="C641" s="1" t="s">
        <v>7</v>
      </c>
      <c r="D641" s="1" t="s">
        <v>7</v>
      </c>
      <c r="E641" s="59" t="s">
        <v>7</v>
      </c>
      <c r="F641" s="1" t="s">
        <v>7</v>
      </c>
      <c r="G641" s="1" t="s">
        <v>7</v>
      </c>
      <c r="H641" s="1" t="s">
        <v>7</v>
      </c>
      <c r="I641" s="59" t="s">
        <v>7</v>
      </c>
      <c r="J641" s="1" t="s">
        <v>7</v>
      </c>
      <c r="K641" s="1" t="s">
        <v>7</v>
      </c>
      <c r="L641" s="1" t="s">
        <v>7</v>
      </c>
      <c r="M641" s="59" t="s">
        <v>7</v>
      </c>
      <c r="N641" s="1" t="s">
        <v>7</v>
      </c>
      <c r="O641" s="1" t="s">
        <v>7</v>
      </c>
      <c r="P641" s="1" t="s">
        <v>7</v>
      </c>
      <c r="Q641" s="59" t="s">
        <v>7</v>
      </c>
      <c r="R641" s="59" t="s">
        <v>7</v>
      </c>
    </row>
    <row r="642" spans="1:18" ht="15.75" customHeight="1" x14ac:dyDescent="0.3">
      <c r="A642" s="17" t="s">
        <v>46</v>
      </c>
      <c r="B642" s="1"/>
      <c r="C642" s="1"/>
      <c r="D642" s="1"/>
      <c r="E642" s="59" t="s">
        <v>7</v>
      </c>
      <c r="F642" s="1"/>
      <c r="G642" s="1"/>
      <c r="H642" s="1"/>
      <c r="I642" s="59" t="s">
        <v>7</v>
      </c>
      <c r="J642" s="1"/>
      <c r="K642" s="1"/>
      <c r="L642" s="1"/>
      <c r="M642" s="59" t="s">
        <v>7</v>
      </c>
      <c r="N642" s="1"/>
      <c r="O642" s="1"/>
      <c r="P642" s="1"/>
      <c r="Q642" s="59" t="s">
        <v>7</v>
      </c>
      <c r="R642" s="59" t="s">
        <v>7</v>
      </c>
    </row>
    <row r="643" spans="1:18" ht="15.75" customHeight="1" x14ac:dyDescent="0.3">
      <c r="A643" s="74" t="s">
        <v>559</v>
      </c>
      <c r="B643" s="1"/>
      <c r="C643" s="1">
        <v>1348</v>
      </c>
      <c r="D643" s="1">
        <v>3797</v>
      </c>
      <c r="E643" s="59">
        <f t="shared" ref="E643:E648" si="122">SUM(B643:D643)</f>
        <v>5145</v>
      </c>
      <c r="F643" s="1">
        <v>6861</v>
      </c>
      <c r="G643" s="1">
        <v>7454</v>
      </c>
      <c r="H643" s="1">
        <v>5483</v>
      </c>
      <c r="I643" s="59">
        <f t="shared" ref="I643:I648" si="123">SUM(F643:H643)</f>
        <v>19798</v>
      </c>
      <c r="J643" s="1">
        <v>6328</v>
      </c>
      <c r="K643" s="1">
        <v>7080</v>
      </c>
      <c r="L643" s="1">
        <v>3647</v>
      </c>
      <c r="M643" s="59">
        <f t="shared" ref="M643:M648" si="124">SUM(J643:L643)</f>
        <v>17055</v>
      </c>
      <c r="N643" s="1">
        <v>718</v>
      </c>
      <c r="O643" s="1">
        <v>1912</v>
      </c>
      <c r="P643" s="1">
        <v>5388</v>
      </c>
      <c r="Q643" s="59">
        <f t="shared" ref="Q643:Q648" si="125">SUM(N643:P643)</f>
        <v>8018</v>
      </c>
      <c r="R643" s="59">
        <f t="shared" ref="R643:R648" si="126">+E643+I643+M643+Q643</f>
        <v>50016</v>
      </c>
    </row>
    <row r="644" spans="1:18" ht="15.75" customHeight="1" x14ac:dyDescent="0.3">
      <c r="A644" s="74" t="s">
        <v>560</v>
      </c>
      <c r="B644" s="1">
        <v>1793</v>
      </c>
      <c r="C644" s="1">
        <v>4097</v>
      </c>
      <c r="D644" s="1">
        <v>5901</v>
      </c>
      <c r="E644" s="59">
        <f t="shared" si="122"/>
        <v>11791</v>
      </c>
      <c r="F644" s="1">
        <v>5879</v>
      </c>
      <c r="G644" s="1">
        <v>6459</v>
      </c>
      <c r="H644" s="1">
        <v>6064</v>
      </c>
      <c r="I644" s="59">
        <f t="shared" si="123"/>
        <v>18402</v>
      </c>
      <c r="J644" s="1">
        <v>6188</v>
      </c>
      <c r="K644" s="1">
        <v>6016</v>
      </c>
      <c r="L644" s="1">
        <v>6883</v>
      </c>
      <c r="M644" s="59">
        <f t="shared" si="124"/>
        <v>19087</v>
      </c>
      <c r="N644" s="1">
        <v>2367</v>
      </c>
      <c r="O644" s="1">
        <v>3261</v>
      </c>
      <c r="P644" s="1">
        <v>3193</v>
      </c>
      <c r="Q644" s="59">
        <f t="shared" si="125"/>
        <v>8821</v>
      </c>
      <c r="R644" s="59">
        <f t="shared" si="126"/>
        <v>58101</v>
      </c>
    </row>
    <row r="645" spans="1:18" ht="15.75" customHeight="1" x14ac:dyDescent="0.3">
      <c r="A645" s="74" t="s">
        <v>561</v>
      </c>
      <c r="B645" s="1">
        <v>50</v>
      </c>
      <c r="C645" s="1"/>
      <c r="D645" s="1"/>
      <c r="E645" s="59">
        <f t="shared" si="122"/>
        <v>50</v>
      </c>
      <c r="F645" s="1"/>
      <c r="G645" s="1"/>
      <c r="H645" s="1"/>
      <c r="I645" s="59">
        <f t="shared" si="123"/>
        <v>0</v>
      </c>
      <c r="J645" s="1"/>
      <c r="K645" s="1"/>
      <c r="L645" s="1"/>
      <c r="M645" s="59">
        <f t="shared" si="124"/>
        <v>0</v>
      </c>
      <c r="N645" s="1"/>
      <c r="O645" s="1"/>
      <c r="P645" s="1"/>
      <c r="Q645" s="59">
        <f t="shared" si="125"/>
        <v>0</v>
      </c>
      <c r="R645" s="59">
        <f t="shared" si="126"/>
        <v>50</v>
      </c>
    </row>
    <row r="646" spans="1:18" ht="15.75" customHeight="1" x14ac:dyDescent="0.3">
      <c r="A646" s="74" t="s">
        <v>562</v>
      </c>
      <c r="B646" s="1">
        <v>350</v>
      </c>
      <c r="C646" s="1">
        <v>350</v>
      </c>
      <c r="D646" s="1">
        <v>350</v>
      </c>
      <c r="E646" s="59">
        <f t="shared" si="122"/>
        <v>1050</v>
      </c>
      <c r="F646" s="1">
        <v>350</v>
      </c>
      <c r="G646" s="1">
        <v>350</v>
      </c>
      <c r="H646" s="1">
        <v>350</v>
      </c>
      <c r="I646" s="59">
        <f t="shared" si="123"/>
        <v>1050</v>
      </c>
      <c r="J646" s="1">
        <v>350</v>
      </c>
      <c r="K646" s="1">
        <v>350</v>
      </c>
      <c r="L646" s="1">
        <v>350</v>
      </c>
      <c r="M646" s="59">
        <f t="shared" si="124"/>
        <v>1050</v>
      </c>
      <c r="N646" s="1">
        <v>250</v>
      </c>
      <c r="O646" s="1">
        <v>250</v>
      </c>
      <c r="P646" s="1">
        <v>350</v>
      </c>
      <c r="Q646" s="59">
        <f t="shared" si="125"/>
        <v>850</v>
      </c>
      <c r="R646" s="59">
        <f t="shared" si="126"/>
        <v>4000</v>
      </c>
    </row>
    <row r="647" spans="1:18" ht="15.75" customHeight="1" x14ac:dyDescent="0.3">
      <c r="A647" s="74" t="s">
        <v>563</v>
      </c>
      <c r="B647" s="1">
        <v>89</v>
      </c>
      <c r="C647" s="1">
        <v>225</v>
      </c>
      <c r="D647" s="1">
        <v>200</v>
      </c>
      <c r="E647" s="59">
        <f t="shared" si="122"/>
        <v>514</v>
      </c>
      <c r="F647" s="1">
        <v>250</v>
      </c>
      <c r="G647" s="1">
        <v>250</v>
      </c>
      <c r="H647" s="1">
        <v>250</v>
      </c>
      <c r="I647" s="59">
        <f t="shared" si="123"/>
        <v>750</v>
      </c>
      <c r="J647" s="1">
        <v>250</v>
      </c>
      <c r="K647" s="1">
        <v>250</v>
      </c>
      <c r="L647" s="1">
        <v>350</v>
      </c>
      <c r="M647" s="59">
        <f t="shared" si="124"/>
        <v>850</v>
      </c>
      <c r="N647" s="1"/>
      <c r="O647" s="1"/>
      <c r="P647" s="1">
        <v>186</v>
      </c>
      <c r="Q647" s="59">
        <f t="shared" si="125"/>
        <v>186</v>
      </c>
      <c r="R647" s="59">
        <f t="shared" si="126"/>
        <v>2300</v>
      </c>
    </row>
    <row r="648" spans="1:18" ht="15.75" customHeight="1" x14ac:dyDescent="0.3">
      <c r="A648" s="74" t="s">
        <v>564</v>
      </c>
      <c r="B648" s="1">
        <v>100</v>
      </c>
      <c r="C648" s="1">
        <v>100</v>
      </c>
      <c r="D648" s="1">
        <v>100</v>
      </c>
      <c r="E648" s="59">
        <f t="shared" si="122"/>
        <v>300</v>
      </c>
      <c r="F648" s="1">
        <v>100</v>
      </c>
      <c r="G648" s="1">
        <v>100</v>
      </c>
      <c r="H648" s="1">
        <v>100</v>
      </c>
      <c r="I648" s="59">
        <f t="shared" si="123"/>
        <v>300</v>
      </c>
      <c r="J648" s="1">
        <v>100</v>
      </c>
      <c r="K648" s="1">
        <v>100</v>
      </c>
      <c r="L648" s="1">
        <v>100</v>
      </c>
      <c r="M648" s="59">
        <f t="shared" si="124"/>
        <v>300</v>
      </c>
      <c r="N648" s="1"/>
      <c r="O648" s="1">
        <v>100</v>
      </c>
      <c r="P648" s="1">
        <v>100</v>
      </c>
      <c r="Q648" s="59">
        <f t="shared" si="125"/>
        <v>200</v>
      </c>
      <c r="R648" s="59">
        <f t="shared" si="126"/>
        <v>1100</v>
      </c>
    </row>
    <row r="649" spans="1:18" ht="15.75" customHeight="1" x14ac:dyDescent="0.3">
      <c r="A649" s="17" t="s">
        <v>47</v>
      </c>
      <c r="B649" s="1"/>
      <c r="C649" s="1"/>
      <c r="D649" s="1"/>
      <c r="E649" s="59" t="s">
        <v>7</v>
      </c>
      <c r="F649" s="1"/>
      <c r="G649" s="1"/>
      <c r="H649" s="1"/>
      <c r="I649" s="59" t="s">
        <v>7</v>
      </c>
      <c r="J649" s="1"/>
      <c r="K649" s="1"/>
      <c r="L649" s="1"/>
      <c r="M649" s="59" t="s">
        <v>7</v>
      </c>
      <c r="N649" s="1"/>
      <c r="O649" s="1"/>
      <c r="P649" s="1"/>
      <c r="Q649" s="59" t="s">
        <v>7</v>
      </c>
      <c r="R649" s="59" t="s">
        <v>7</v>
      </c>
    </row>
    <row r="650" spans="1:18" ht="15.75" customHeight="1" x14ac:dyDescent="0.3">
      <c r="A650" s="17" t="s">
        <v>898</v>
      </c>
      <c r="B650" s="1"/>
      <c r="C650" s="1"/>
      <c r="D650" s="1"/>
      <c r="E650" s="59" t="s">
        <v>7</v>
      </c>
      <c r="F650" s="1"/>
      <c r="G650" s="1"/>
      <c r="H650" s="1"/>
      <c r="I650" s="59" t="s">
        <v>7</v>
      </c>
      <c r="J650" s="1"/>
      <c r="K650" s="1"/>
      <c r="L650" s="1"/>
      <c r="M650" s="59" t="s">
        <v>7</v>
      </c>
      <c r="N650" s="1"/>
      <c r="O650" s="1"/>
      <c r="P650" s="1"/>
      <c r="Q650" s="59" t="s">
        <v>7</v>
      </c>
      <c r="R650" s="59" t="s">
        <v>7</v>
      </c>
    </row>
    <row r="651" spans="1:18" ht="15.75" customHeight="1" thickBot="1" x14ac:dyDescent="0.35">
      <c r="A651" s="17" t="s">
        <v>51</v>
      </c>
      <c r="B651" s="1"/>
      <c r="C651" s="1"/>
      <c r="D651" s="1"/>
      <c r="E651" s="59" t="s">
        <v>7</v>
      </c>
      <c r="F651" s="1"/>
      <c r="G651" s="1"/>
      <c r="H651" s="1"/>
      <c r="I651" s="59" t="s">
        <v>7</v>
      </c>
      <c r="J651" s="1"/>
      <c r="K651" s="1"/>
      <c r="L651" s="1"/>
      <c r="M651" s="59" t="s">
        <v>7</v>
      </c>
      <c r="N651" s="1"/>
      <c r="O651" s="1"/>
      <c r="P651" s="1"/>
      <c r="Q651" s="59" t="s">
        <v>7</v>
      </c>
      <c r="R651" s="59" t="s">
        <v>7</v>
      </c>
    </row>
    <row r="652" spans="1:18" ht="16.5" customHeight="1" thickBot="1" x14ac:dyDescent="0.35">
      <c r="A652" s="126" t="s">
        <v>52</v>
      </c>
      <c r="B652" s="100">
        <f>SUM(B641:B651)</f>
        <v>2382</v>
      </c>
      <c r="C652" s="101">
        <f>SUM(C641:C651)</f>
        <v>6120</v>
      </c>
      <c r="D652" s="101">
        <f>SUM(D641:D651)</f>
        <v>10348</v>
      </c>
      <c r="E652" s="64">
        <f>SUM(B652:D652)</f>
        <v>18850</v>
      </c>
      <c r="F652" s="101">
        <f>SUM(F641:F651)</f>
        <v>13440</v>
      </c>
      <c r="G652" s="101">
        <f>SUM(G641:G651)</f>
        <v>14613</v>
      </c>
      <c r="H652" s="101">
        <f>SUM(H641:H651)</f>
        <v>12247</v>
      </c>
      <c r="I652" s="64">
        <f>SUM(F652:H652)</f>
        <v>40300</v>
      </c>
      <c r="J652" s="101">
        <f>SUM(J641:J651)</f>
        <v>13216</v>
      </c>
      <c r="K652" s="101">
        <f>SUM(K641:K651)</f>
        <v>13796</v>
      </c>
      <c r="L652" s="101">
        <f>SUM(L641:L651)</f>
        <v>11330</v>
      </c>
      <c r="M652" s="64">
        <f>SUM(J652:L652)</f>
        <v>38342</v>
      </c>
      <c r="N652" s="101">
        <f>SUM(N641:N651)</f>
        <v>3335</v>
      </c>
      <c r="O652" s="101">
        <f>SUM(O641:O651)</f>
        <v>5523</v>
      </c>
      <c r="P652" s="101">
        <f>SUM(P641:P651)</f>
        <v>9217</v>
      </c>
      <c r="Q652" s="64">
        <f>SUM(N652:P652)</f>
        <v>18075</v>
      </c>
      <c r="R652" s="64">
        <f>+E652+I652+M652+Q652</f>
        <v>115567</v>
      </c>
    </row>
    <row r="653" spans="1:18" ht="15.75" customHeight="1" x14ac:dyDescent="0.3">
      <c r="A653" s="17" t="s">
        <v>53</v>
      </c>
      <c r="B653" s="1"/>
      <c r="C653" s="1"/>
      <c r="D653" s="1"/>
      <c r="E653" s="59" t="s">
        <v>7</v>
      </c>
      <c r="F653" s="1"/>
      <c r="G653" s="1"/>
      <c r="H653" s="1"/>
      <c r="I653" s="59" t="s">
        <v>7</v>
      </c>
      <c r="J653" s="1"/>
      <c r="K653" s="1"/>
      <c r="L653" s="1"/>
      <c r="M653" s="59" t="s">
        <v>7</v>
      </c>
      <c r="N653" s="1"/>
      <c r="O653" s="1"/>
      <c r="P653" s="1"/>
      <c r="Q653" s="59" t="s">
        <v>7</v>
      </c>
      <c r="R653" s="59" t="s">
        <v>7</v>
      </c>
    </row>
    <row r="654" spans="1:18" ht="15.75" customHeight="1" x14ac:dyDescent="0.3">
      <c r="A654" s="17" t="s">
        <v>55</v>
      </c>
      <c r="B654" s="1"/>
      <c r="C654" s="1"/>
      <c r="D654" s="1"/>
      <c r="E654" s="59" t="s">
        <v>7</v>
      </c>
      <c r="F654" s="1"/>
      <c r="G654" s="1"/>
      <c r="H654" s="1"/>
      <c r="I654" s="59" t="s">
        <v>7</v>
      </c>
      <c r="J654" s="1"/>
      <c r="K654" s="1"/>
      <c r="L654" s="1"/>
      <c r="M654" s="59" t="s">
        <v>7</v>
      </c>
      <c r="N654" s="1"/>
      <c r="O654" s="1"/>
      <c r="P654" s="1"/>
      <c r="Q654" s="59" t="s">
        <v>7</v>
      </c>
      <c r="R654" s="59" t="s">
        <v>7</v>
      </c>
    </row>
    <row r="655" spans="1:18" ht="15.75" customHeight="1" thickBot="1" x14ac:dyDescent="0.35">
      <c r="A655" s="17" t="s">
        <v>56</v>
      </c>
      <c r="B655" s="1"/>
      <c r="C655" s="1"/>
      <c r="D655" s="1"/>
      <c r="E655" s="59" t="s">
        <v>7</v>
      </c>
      <c r="F655" s="1"/>
      <c r="G655" s="1"/>
      <c r="H655" s="1"/>
      <c r="I655" s="59" t="s">
        <v>7</v>
      </c>
      <c r="J655" s="1"/>
      <c r="K655" s="1"/>
      <c r="L655" s="1"/>
      <c r="M655" s="59" t="s">
        <v>7</v>
      </c>
      <c r="N655" s="1"/>
      <c r="O655" s="1"/>
      <c r="P655" s="1"/>
      <c r="Q655" s="59" t="s">
        <v>7</v>
      </c>
      <c r="R655" s="59" t="s">
        <v>7</v>
      </c>
    </row>
    <row r="656" spans="1:18" ht="16.5" customHeight="1" thickBot="1" x14ac:dyDescent="0.35">
      <c r="A656" s="62" t="s">
        <v>57</v>
      </c>
      <c r="B656" s="100">
        <f>SUM(B653:B655)</f>
        <v>0</v>
      </c>
      <c r="C656" s="101">
        <f>SUM(C653:C655)</f>
        <v>0</v>
      </c>
      <c r="D656" s="101">
        <f>SUM(D653:D655)</f>
        <v>0</v>
      </c>
      <c r="E656" s="64">
        <f>SUM(B656:D656)</f>
        <v>0</v>
      </c>
      <c r="F656" s="101">
        <f>SUM(F653:F655)</f>
        <v>0</v>
      </c>
      <c r="G656" s="101">
        <f>SUM(G653:G655)</f>
        <v>0</v>
      </c>
      <c r="H656" s="101">
        <f>SUM(H653:H655)</f>
        <v>0</v>
      </c>
      <c r="I656" s="64">
        <f>SUM(F656:H656)</f>
        <v>0</v>
      </c>
      <c r="J656" s="101">
        <f>SUM(J653:J655)</f>
        <v>0</v>
      </c>
      <c r="K656" s="101">
        <f>SUM(K653:K655)</f>
        <v>0</v>
      </c>
      <c r="L656" s="101">
        <f>SUM(L653:L655)</f>
        <v>0</v>
      </c>
      <c r="M656" s="64">
        <f>SUM(J656:L656)</f>
        <v>0</v>
      </c>
      <c r="N656" s="101">
        <f>SUM(N653:N655)</f>
        <v>0</v>
      </c>
      <c r="O656" s="101">
        <f>SUM(O653:O655)</f>
        <v>0</v>
      </c>
      <c r="P656" s="101">
        <f>SUM(P653:P655)</f>
        <v>0</v>
      </c>
      <c r="Q656" s="64">
        <f>SUM(N656:P656)</f>
        <v>0</v>
      </c>
      <c r="R656" s="64">
        <f>+E656+I656+M656+Q656</f>
        <v>0</v>
      </c>
    </row>
    <row r="657" spans="1:20" ht="15.75" customHeight="1" x14ac:dyDescent="0.3">
      <c r="A657" s="17" t="s">
        <v>58</v>
      </c>
      <c r="B657" s="1"/>
      <c r="C657" s="1"/>
      <c r="D657" s="1"/>
      <c r="E657" s="59" t="s">
        <v>7</v>
      </c>
      <c r="F657" s="1"/>
      <c r="G657" s="1"/>
      <c r="H657" s="1"/>
      <c r="I657" s="59" t="s">
        <v>7</v>
      </c>
      <c r="J657" s="1"/>
      <c r="K657" s="1"/>
      <c r="L657" s="1"/>
      <c r="M657" s="59" t="s">
        <v>7</v>
      </c>
      <c r="N657" s="1"/>
      <c r="O657" s="1"/>
      <c r="P657" s="1"/>
      <c r="Q657" s="59" t="s">
        <v>7</v>
      </c>
      <c r="R657" s="59" t="s">
        <v>7</v>
      </c>
    </row>
    <row r="658" spans="1:20" ht="15.75" customHeight="1" x14ac:dyDescent="0.3">
      <c r="A658" s="17" t="s">
        <v>59</v>
      </c>
      <c r="B658" s="1"/>
      <c r="C658" s="1"/>
      <c r="D658" s="1"/>
      <c r="E658" s="59" t="s">
        <v>7</v>
      </c>
      <c r="F658" s="1"/>
      <c r="G658" s="1"/>
      <c r="H658" s="1"/>
      <c r="I658" s="59" t="s">
        <v>7</v>
      </c>
      <c r="J658" s="1"/>
      <c r="K658" s="1"/>
      <c r="L658" s="1"/>
      <c r="M658" s="59" t="s">
        <v>7</v>
      </c>
      <c r="N658" s="1"/>
      <c r="O658" s="1"/>
      <c r="P658" s="1"/>
      <c r="Q658" s="59" t="s">
        <v>7</v>
      </c>
      <c r="R658" s="59" t="s">
        <v>7</v>
      </c>
    </row>
    <row r="659" spans="1:20" ht="15.75" customHeight="1" x14ac:dyDescent="0.3">
      <c r="A659" s="74" t="s">
        <v>565</v>
      </c>
      <c r="B659" s="1">
        <v>241</v>
      </c>
      <c r="C659" s="1">
        <v>479</v>
      </c>
      <c r="D659" s="1">
        <v>1150</v>
      </c>
      <c r="E659" s="59">
        <f>SUM(B659:D659)</f>
        <v>1870</v>
      </c>
      <c r="F659" s="1">
        <v>1760</v>
      </c>
      <c r="G659" s="1">
        <v>966</v>
      </c>
      <c r="H659" s="1">
        <v>1583</v>
      </c>
      <c r="I659" s="59">
        <f>SUM(F659:H659)</f>
        <v>4309</v>
      </c>
      <c r="J659" s="1">
        <v>1748</v>
      </c>
      <c r="K659" s="1">
        <v>862</v>
      </c>
      <c r="L659" s="1">
        <v>904</v>
      </c>
      <c r="M659" s="59">
        <f>SUM(J659:L659)</f>
        <v>3514</v>
      </c>
      <c r="N659" s="1">
        <v>277</v>
      </c>
      <c r="O659" s="1">
        <v>270</v>
      </c>
      <c r="P659" s="1">
        <v>224</v>
      </c>
      <c r="Q659" s="59">
        <f>SUM(N659:P659)</f>
        <v>771</v>
      </c>
      <c r="R659" s="59">
        <f>+E659+I659+M659+Q659</f>
        <v>10464</v>
      </c>
      <c r="T659" s="4" t="s">
        <v>566</v>
      </c>
    </row>
    <row r="660" spans="1:20" ht="15.75" customHeight="1" x14ac:dyDescent="0.3">
      <c r="A660" s="17" t="s">
        <v>60</v>
      </c>
      <c r="B660" s="1"/>
      <c r="C660" s="1"/>
      <c r="D660" s="1"/>
      <c r="E660" s="59" t="s">
        <v>7</v>
      </c>
      <c r="F660" s="1"/>
      <c r="G660" s="1"/>
      <c r="H660" s="1"/>
      <c r="I660" s="59" t="s">
        <v>7</v>
      </c>
      <c r="J660" s="1"/>
      <c r="K660" s="1"/>
      <c r="L660" s="1"/>
      <c r="M660" s="59" t="s">
        <v>7</v>
      </c>
      <c r="N660" s="1"/>
      <c r="O660" s="1"/>
      <c r="P660" s="1"/>
      <c r="Q660" s="59" t="s">
        <v>7</v>
      </c>
      <c r="R660" s="59" t="s">
        <v>7</v>
      </c>
    </row>
    <row r="661" spans="1:20" ht="15.75" customHeight="1" x14ac:dyDescent="0.3">
      <c r="A661" s="74" t="s">
        <v>567</v>
      </c>
      <c r="B661" s="1"/>
      <c r="C661" s="1"/>
      <c r="D661" s="1"/>
      <c r="E661" s="59">
        <f>SUM(B661:D661)</f>
        <v>0</v>
      </c>
      <c r="F661" s="1"/>
      <c r="G661" s="1"/>
      <c r="H661" s="1"/>
      <c r="I661" s="59">
        <f>SUM(F661:H661)</f>
        <v>0</v>
      </c>
      <c r="J661" s="1"/>
      <c r="K661" s="1"/>
      <c r="L661" s="1"/>
      <c r="M661" s="59">
        <f>SUM(J661:L661)</f>
        <v>0</v>
      </c>
      <c r="N661" s="1"/>
      <c r="O661" s="1"/>
      <c r="P661" s="1"/>
      <c r="Q661" s="59">
        <f>SUM(N661:P661)</f>
        <v>0</v>
      </c>
      <c r="R661" s="59">
        <f>+E661+I661+M661+Q661</f>
        <v>0</v>
      </c>
      <c r="T661" s="4" t="s">
        <v>568</v>
      </c>
    </row>
    <row r="662" spans="1:20" ht="15.75" customHeight="1" x14ac:dyDescent="0.3">
      <c r="A662" s="74" t="s">
        <v>569</v>
      </c>
      <c r="B662" s="1">
        <v>126</v>
      </c>
      <c r="C662" s="1">
        <v>126</v>
      </c>
      <c r="D662" s="1"/>
      <c r="E662" s="59">
        <f>SUM(B662:D662)</f>
        <v>252</v>
      </c>
      <c r="F662" s="1">
        <v>126</v>
      </c>
      <c r="G662" s="1">
        <v>60</v>
      </c>
      <c r="H662" s="1">
        <v>126</v>
      </c>
      <c r="I662" s="59">
        <f>SUM(F662:H662)</f>
        <v>312</v>
      </c>
      <c r="J662" s="1">
        <v>126</v>
      </c>
      <c r="K662" s="1">
        <v>80</v>
      </c>
      <c r="L662" s="1"/>
      <c r="M662" s="59">
        <f>SUM(J662:L662)</f>
        <v>206</v>
      </c>
      <c r="N662" s="1"/>
      <c r="O662" s="1"/>
      <c r="P662" s="1">
        <v>34</v>
      </c>
      <c r="Q662" s="59">
        <f>SUM(N662:P662)</f>
        <v>34</v>
      </c>
      <c r="R662" s="59">
        <f>+E662+I662+M662+Q662</f>
        <v>804</v>
      </c>
      <c r="T662" s="4" t="s">
        <v>568</v>
      </c>
    </row>
    <row r="663" spans="1:20" ht="15.75" customHeight="1" x14ac:dyDescent="0.3">
      <c r="A663" s="74" t="s">
        <v>570</v>
      </c>
      <c r="B663" s="1"/>
      <c r="C663" s="1"/>
      <c r="D663" s="1">
        <v>126</v>
      </c>
      <c r="E663" s="59">
        <f>SUM(B663:D663)</f>
        <v>126</v>
      </c>
      <c r="F663" s="1"/>
      <c r="G663" s="1">
        <v>66</v>
      </c>
      <c r="H663" s="1"/>
      <c r="I663" s="59">
        <f>SUM(F663:H663)</f>
        <v>66</v>
      </c>
      <c r="J663" s="1"/>
      <c r="K663" s="1">
        <v>46</v>
      </c>
      <c r="L663" s="1">
        <v>126</v>
      </c>
      <c r="M663" s="59">
        <f>SUM(J663:L663)</f>
        <v>172</v>
      </c>
      <c r="N663" s="1">
        <v>126</v>
      </c>
      <c r="O663" s="1">
        <v>126</v>
      </c>
      <c r="P663" s="1">
        <v>174</v>
      </c>
      <c r="Q663" s="59">
        <f>SUM(N663:P663)</f>
        <v>426</v>
      </c>
      <c r="R663" s="59">
        <f>+E663+I663+M663+Q663</f>
        <v>790</v>
      </c>
      <c r="T663" s="4" t="s">
        <v>568</v>
      </c>
    </row>
    <row r="664" spans="1:20" ht="15.75" customHeight="1" thickBot="1" x14ac:dyDescent="0.35">
      <c r="A664" s="74" t="s">
        <v>576</v>
      </c>
      <c r="B664" s="1"/>
      <c r="C664" s="1"/>
      <c r="D664" s="1"/>
      <c r="E664" s="59">
        <f>SUM(B664:D664)</f>
        <v>0</v>
      </c>
      <c r="F664" s="1"/>
      <c r="G664" s="1"/>
      <c r="H664" s="1"/>
      <c r="I664" s="59">
        <f>SUM(F664:H664)</f>
        <v>0</v>
      </c>
      <c r="J664" s="1"/>
      <c r="K664" s="1"/>
      <c r="L664" s="1"/>
      <c r="M664" s="59">
        <f>SUM(J664:L664)</f>
        <v>0</v>
      </c>
      <c r="N664" s="1"/>
      <c r="O664" s="1"/>
      <c r="P664" s="1"/>
      <c r="Q664" s="59">
        <f>SUM(N664:P664)</f>
        <v>0</v>
      </c>
      <c r="R664" s="59">
        <f>+E664+I664+M664+Q664</f>
        <v>0</v>
      </c>
      <c r="T664" s="4" t="s">
        <v>568</v>
      </c>
    </row>
    <row r="665" spans="1:20" ht="16.5" customHeight="1" thickBot="1" x14ac:dyDescent="0.35">
      <c r="A665" s="62" t="s">
        <v>61</v>
      </c>
      <c r="B665" s="100">
        <f>SUM(B657:B664)</f>
        <v>367</v>
      </c>
      <c r="C665" s="101">
        <f>SUM(C657:C664)</f>
        <v>605</v>
      </c>
      <c r="D665" s="101">
        <f>SUM(D657:D664)</f>
        <v>1276</v>
      </c>
      <c r="E665" s="64">
        <f>SUM(B665:D665)</f>
        <v>2248</v>
      </c>
      <c r="F665" s="101">
        <f>SUM(F657:F664)</f>
        <v>1886</v>
      </c>
      <c r="G665" s="101">
        <f>SUM(G657:G664)</f>
        <v>1092</v>
      </c>
      <c r="H665" s="101">
        <f>SUM(H657:H664)</f>
        <v>1709</v>
      </c>
      <c r="I665" s="64">
        <f>SUM(F665:H665)</f>
        <v>4687</v>
      </c>
      <c r="J665" s="101">
        <f>SUM(J657:J664)</f>
        <v>1874</v>
      </c>
      <c r="K665" s="101">
        <f>SUM(K657:K664)</f>
        <v>988</v>
      </c>
      <c r="L665" s="101">
        <f>SUM(L657:L664)</f>
        <v>1030</v>
      </c>
      <c r="M665" s="64">
        <f>SUM(J665:L665)</f>
        <v>3892</v>
      </c>
      <c r="N665" s="101">
        <f>SUM(N657:N664)</f>
        <v>403</v>
      </c>
      <c r="O665" s="101">
        <f>SUM(O657:O664)</f>
        <v>396</v>
      </c>
      <c r="P665" s="101">
        <f>SUM(P657:P664)</f>
        <v>432</v>
      </c>
      <c r="Q665" s="64">
        <f>SUM(N665:P665)</f>
        <v>1231</v>
      </c>
      <c r="R665" s="138">
        <f>+E665+I665+M665+Q665</f>
        <v>12058</v>
      </c>
    </row>
    <row r="666" spans="1:20" ht="15.75" customHeight="1" x14ac:dyDescent="0.3">
      <c r="A666" s="17" t="s">
        <v>62</v>
      </c>
      <c r="B666" s="1"/>
      <c r="C666" s="1"/>
      <c r="D666" s="1"/>
      <c r="E666" s="59" t="s">
        <v>7</v>
      </c>
      <c r="F666" s="1"/>
      <c r="G666" s="1"/>
      <c r="H666" s="1"/>
      <c r="I666" s="59" t="s">
        <v>7</v>
      </c>
      <c r="J666" s="1"/>
      <c r="K666" s="1"/>
      <c r="L666" s="1"/>
      <c r="M666" s="59" t="s">
        <v>7</v>
      </c>
      <c r="N666" s="1"/>
      <c r="O666" s="1"/>
      <c r="P666" s="1"/>
      <c r="Q666" s="59" t="s">
        <v>7</v>
      </c>
      <c r="R666" s="59" t="s">
        <v>7</v>
      </c>
    </row>
    <row r="667" spans="1:20" ht="15.75" customHeight="1" x14ac:dyDescent="0.3">
      <c r="A667" s="17" t="s">
        <v>63</v>
      </c>
      <c r="B667" s="1"/>
      <c r="C667" s="1"/>
      <c r="D667" s="1"/>
      <c r="E667" s="59" t="s">
        <v>7</v>
      </c>
      <c r="F667" s="1"/>
      <c r="G667" s="1"/>
      <c r="H667" s="1"/>
      <c r="I667" s="59" t="s">
        <v>7</v>
      </c>
      <c r="J667" s="1"/>
      <c r="K667" s="1"/>
      <c r="L667" s="1"/>
      <c r="M667" s="59" t="s">
        <v>7</v>
      </c>
      <c r="N667" s="1"/>
      <c r="O667" s="1"/>
      <c r="P667" s="1"/>
      <c r="Q667" s="59" t="s">
        <v>7</v>
      </c>
      <c r="R667" s="59" t="s">
        <v>7</v>
      </c>
    </row>
    <row r="668" spans="1:20" ht="15.75" customHeight="1" x14ac:dyDescent="0.3">
      <c r="A668" s="17" t="s">
        <v>64</v>
      </c>
      <c r="B668" s="1"/>
      <c r="C668" s="1"/>
      <c r="D668" s="1"/>
      <c r="E668" s="59" t="s">
        <v>7</v>
      </c>
      <c r="F668" s="1"/>
      <c r="G668" s="1"/>
      <c r="H668" s="1"/>
      <c r="I668" s="59" t="s">
        <v>7</v>
      </c>
      <c r="J668" s="1"/>
      <c r="K668" s="1"/>
      <c r="L668" s="1"/>
      <c r="M668" s="59" t="s">
        <v>7</v>
      </c>
      <c r="N668" s="1"/>
      <c r="O668" s="1"/>
      <c r="P668" s="1"/>
      <c r="Q668" s="59" t="s">
        <v>7</v>
      </c>
      <c r="R668" s="59" t="s">
        <v>7</v>
      </c>
    </row>
    <row r="669" spans="1:20" ht="15.75" customHeight="1" x14ac:dyDescent="0.3">
      <c r="A669" s="74" t="s">
        <v>577</v>
      </c>
      <c r="B669" s="1"/>
      <c r="C669" s="1"/>
      <c r="D669" s="1"/>
      <c r="E669" s="59">
        <f>SUM(B669:D669)</f>
        <v>0</v>
      </c>
      <c r="F669" s="1"/>
      <c r="G669" s="1"/>
      <c r="H669" s="1"/>
      <c r="I669" s="59">
        <f>SUM(F669:H669)</f>
        <v>0</v>
      </c>
      <c r="J669" s="1"/>
      <c r="K669" s="1"/>
      <c r="L669" s="1"/>
      <c r="M669" s="59">
        <f>SUM(J669:L669)</f>
        <v>0</v>
      </c>
      <c r="N669" s="1"/>
      <c r="O669" s="1"/>
      <c r="P669" s="1"/>
      <c r="Q669" s="59">
        <f>SUM(N669:P669)</f>
        <v>0</v>
      </c>
      <c r="R669" s="59">
        <f>+E669+I669+M669+Q669</f>
        <v>0</v>
      </c>
    </row>
    <row r="670" spans="1:20" ht="15.75" customHeight="1" x14ac:dyDescent="0.3">
      <c r="A670" s="74" t="s">
        <v>578</v>
      </c>
      <c r="B670" s="1"/>
      <c r="C670" s="1"/>
      <c r="D670" s="1"/>
      <c r="E670" s="59">
        <f>SUM(B670:D670)</f>
        <v>0</v>
      </c>
      <c r="F670" s="1"/>
      <c r="G670" s="1"/>
      <c r="H670" s="1"/>
      <c r="I670" s="59">
        <f>SUM(F670:H670)</f>
        <v>0</v>
      </c>
      <c r="J670" s="1"/>
      <c r="K670" s="1"/>
      <c r="L670" s="1"/>
      <c r="M670" s="59">
        <f>SUM(J670:L670)</f>
        <v>0</v>
      </c>
      <c r="N670" s="1"/>
      <c r="O670" s="1"/>
      <c r="P670" s="1"/>
      <c r="Q670" s="59">
        <f>SUM(N670:P670)</f>
        <v>0</v>
      </c>
      <c r="R670" s="59">
        <f>+E670+I670+M670+Q670</f>
        <v>0</v>
      </c>
    </row>
    <row r="671" spans="1:20" ht="15.75" customHeight="1" x14ac:dyDescent="0.3">
      <c r="A671" s="74" t="s">
        <v>579</v>
      </c>
      <c r="B671" s="1">
        <v>1020</v>
      </c>
      <c r="C671" s="1">
        <v>1020</v>
      </c>
      <c r="D671" s="1">
        <v>1020</v>
      </c>
      <c r="E671" s="59">
        <f>SUM(B671:D671)</f>
        <v>3060</v>
      </c>
      <c r="F671" s="1">
        <v>1020</v>
      </c>
      <c r="G671" s="1">
        <v>1020</v>
      </c>
      <c r="H671" s="1">
        <v>1020</v>
      </c>
      <c r="I671" s="59">
        <f>SUM(F671:H671)</f>
        <v>3060</v>
      </c>
      <c r="J671" s="1">
        <v>1020</v>
      </c>
      <c r="K671" s="1">
        <v>1020</v>
      </c>
      <c r="L671" s="1"/>
      <c r="M671" s="59">
        <f>SUM(J671:L671)</f>
        <v>2040</v>
      </c>
      <c r="N671" s="1"/>
      <c r="O671" s="1"/>
      <c r="P671" s="1"/>
      <c r="Q671" s="59">
        <f>SUM(N671:P671)</f>
        <v>0</v>
      </c>
      <c r="R671" s="59">
        <f>+E671+I671+M671+Q671</f>
        <v>8160</v>
      </c>
    </row>
    <row r="672" spans="1:20" ht="15.75" customHeight="1" x14ac:dyDescent="0.3">
      <c r="A672" s="74" t="s">
        <v>580</v>
      </c>
      <c r="B672" s="1"/>
      <c r="C672" s="1"/>
      <c r="D672" s="1"/>
      <c r="E672" s="59">
        <f>SUM(B672:D672)</f>
        <v>0</v>
      </c>
      <c r="F672" s="1"/>
      <c r="G672" s="1"/>
      <c r="H672" s="1"/>
      <c r="I672" s="59">
        <f>SUM(F672:H672)</f>
        <v>0</v>
      </c>
      <c r="J672" s="1"/>
      <c r="K672" s="1"/>
      <c r="L672" s="1"/>
      <c r="M672" s="59">
        <f>SUM(J672:L672)</f>
        <v>0</v>
      </c>
      <c r="N672" s="1"/>
      <c r="O672" s="1"/>
      <c r="P672" s="1"/>
      <c r="Q672" s="59">
        <f>SUM(N672:P672)</f>
        <v>0</v>
      </c>
      <c r="R672" s="59">
        <f>+E672+I672+M672+Q672</f>
        <v>0</v>
      </c>
    </row>
    <row r="673" spans="1:18" ht="15.75" customHeight="1" x14ac:dyDescent="0.3">
      <c r="A673" s="17" t="s">
        <v>66</v>
      </c>
      <c r="B673" s="1"/>
      <c r="C673" s="1"/>
      <c r="D673" s="1"/>
      <c r="E673" s="59" t="s">
        <v>7</v>
      </c>
      <c r="F673" s="1"/>
      <c r="G673" s="1"/>
      <c r="H673" s="1"/>
      <c r="I673" s="59" t="s">
        <v>7</v>
      </c>
      <c r="J673" s="1"/>
      <c r="K673" s="1"/>
      <c r="L673" s="1"/>
      <c r="M673" s="59" t="s">
        <v>7</v>
      </c>
      <c r="N673" s="1"/>
      <c r="O673" s="1"/>
      <c r="P673" s="1"/>
      <c r="Q673" s="59" t="s">
        <v>7</v>
      </c>
      <c r="R673" s="59" t="s">
        <v>7</v>
      </c>
    </row>
    <row r="674" spans="1:18" ht="15.75" customHeight="1" thickBot="1" x14ac:dyDescent="0.35">
      <c r="A674" s="17" t="s">
        <v>67</v>
      </c>
      <c r="B674" s="1"/>
      <c r="C674" s="1"/>
      <c r="D674" s="1"/>
      <c r="E674" s="59" t="s">
        <v>7</v>
      </c>
      <c r="F674" s="1"/>
      <c r="G674" s="1"/>
      <c r="H674" s="1"/>
      <c r="I674" s="59" t="s">
        <v>7</v>
      </c>
      <c r="J674" s="1"/>
      <c r="K674" s="1"/>
      <c r="L674" s="1"/>
      <c r="M674" s="59" t="s">
        <v>7</v>
      </c>
      <c r="N674" s="1"/>
      <c r="O674" s="1"/>
      <c r="P674" s="1"/>
      <c r="Q674" s="59" t="s">
        <v>7</v>
      </c>
      <c r="R674" s="59" t="s">
        <v>7</v>
      </c>
    </row>
    <row r="675" spans="1:18" ht="16.5" customHeight="1" thickBot="1" x14ac:dyDescent="0.35">
      <c r="A675" s="62" t="s">
        <v>68</v>
      </c>
      <c r="B675" s="63">
        <f>SUM(B673:B674)</f>
        <v>0</v>
      </c>
      <c r="C675" s="63">
        <f>SUM(C673:C674)</f>
        <v>0</v>
      </c>
      <c r="D675" s="63">
        <f>SUM(D673:D674)</f>
        <v>0</v>
      </c>
      <c r="E675" s="334">
        <f>SUM(B675:D675)</f>
        <v>0</v>
      </c>
      <c r="F675" s="63">
        <f>SUM(F673:F674)</f>
        <v>0</v>
      </c>
      <c r="G675" s="63">
        <f>SUM(G673:G674)</f>
        <v>0</v>
      </c>
      <c r="H675" s="63">
        <f>SUM(H673:H674)</f>
        <v>0</v>
      </c>
      <c r="I675" s="334">
        <f>SUM(F675:H675)</f>
        <v>0</v>
      </c>
      <c r="J675" s="63">
        <f>SUM(J673:J674)</f>
        <v>0</v>
      </c>
      <c r="K675" s="63">
        <f>SUM(K673:K674)</f>
        <v>0</v>
      </c>
      <c r="L675" s="63">
        <f>SUM(L673:L674)</f>
        <v>0</v>
      </c>
      <c r="M675" s="334">
        <f>SUM(J675:L675)</f>
        <v>0</v>
      </c>
      <c r="N675" s="63">
        <f>SUM(N673:N674)</f>
        <v>0</v>
      </c>
      <c r="O675" s="63">
        <f>SUM(O673:O674)</f>
        <v>0</v>
      </c>
      <c r="P675" s="63">
        <f>SUM(P673:P674)</f>
        <v>0</v>
      </c>
      <c r="Q675" s="334">
        <f>SUM(N675:P675)</f>
        <v>0</v>
      </c>
      <c r="R675" s="64">
        <f>+E675+I675+M675+Q675</f>
        <v>0</v>
      </c>
    </row>
    <row r="676" spans="1:18" ht="16.5" customHeight="1" thickBot="1" x14ac:dyDescent="0.35">
      <c r="A676" s="137" t="s">
        <v>69</v>
      </c>
      <c r="B676" s="100">
        <f>SUM(B666:B674)</f>
        <v>1020</v>
      </c>
      <c r="C676" s="101">
        <f>SUM(C666:C674)</f>
        <v>1020</v>
      </c>
      <c r="D676" s="138">
        <f>SUM(D666:D674)</f>
        <v>1020</v>
      </c>
      <c r="E676" s="334">
        <f>SUM(B676:D676)</f>
        <v>3060</v>
      </c>
      <c r="F676" s="101">
        <f>SUM(F666:F674)</f>
        <v>1020</v>
      </c>
      <c r="G676" s="101">
        <f>SUM(G666:G674)</f>
        <v>1020</v>
      </c>
      <c r="H676" s="101">
        <f>SUM(H666:H674)</f>
        <v>1020</v>
      </c>
      <c r="I676" s="334">
        <f>SUM(F676:H676)</f>
        <v>3060</v>
      </c>
      <c r="J676" s="101">
        <f>SUM(J666:J674)</f>
        <v>1020</v>
      </c>
      <c r="K676" s="101">
        <f>SUM(K666:K674)</f>
        <v>1020</v>
      </c>
      <c r="L676" s="101">
        <f>SUM(L666:L674)</f>
        <v>0</v>
      </c>
      <c r="M676" s="334">
        <f>SUM(J676:L676)</f>
        <v>2040</v>
      </c>
      <c r="N676" s="101">
        <f>SUM(N666:N674)</f>
        <v>0</v>
      </c>
      <c r="O676" s="101">
        <f>SUM(O666:O674)</f>
        <v>0</v>
      </c>
      <c r="P676" s="101">
        <f>SUM(P666:P674)</f>
        <v>0</v>
      </c>
      <c r="Q676" s="334">
        <f>SUM(N676:P676)</f>
        <v>0</v>
      </c>
      <c r="R676" s="64">
        <f>+E676+I676+M676+Q676</f>
        <v>8160</v>
      </c>
    </row>
    <row r="677" spans="1:18" ht="16.5" customHeight="1" thickBot="1" x14ac:dyDescent="0.35">
      <c r="A677" s="62" t="s">
        <v>70</v>
      </c>
      <c r="B677" s="107">
        <f>+B652+B656+B665+B676</f>
        <v>3769</v>
      </c>
      <c r="C677" s="63">
        <f>+C652+C656+C665+C676</f>
        <v>7745</v>
      </c>
      <c r="D677" s="63">
        <f>+D652+D656+D665+D676</f>
        <v>12644</v>
      </c>
      <c r="E677" s="64">
        <f>SUM(B677:D677)</f>
        <v>24158</v>
      </c>
      <c r="F677" s="63">
        <f>+F652+F656+F665+F676</f>
        <v>16346</v>
      </c>
      <c r="G677" s="63">
        <f>+G652+G656+G665+G676</f>
        <v>16725</v>
      </c>
      <c r="H677" s="63">
        <f>+H652+H656+H665+H676</f>
        <v>14976</v>
      </c>
      <c r="I677" s="64">
        <f>SUM(F677:H677)</f>
        <v>48047</v>
      </c>
      <c r="J677" s="63">
        <f>+J652+J656+J665+J676</f>
        <v>16110</v>
      </c>
      <c r="K677" s="63">
        <f>+K652+K656+K665+K676</f>
        <v>15804</v>
      </c>
      <c r="L677" s="63">
        <f>+L652+L656+L665+L676</f>
        <v>12360</v>
      </c>
      <c r="M677" s="64">
        <f>SUM(J677:L677)</f>
        <v>44274</v>
      </c>
      <c r="N677" s="63">
        <f>+N652+N656+N665+N676</f>
        <v>3738</v>
      </c>
      <c r="O677" s="63">
        <f>+O652+O656+O665+O676</f>
        <v>5919</v>
      </c>
      <c r="P677" s="63">
        <f>+P652+P656+P665+P676</f>
        <v>9649</v>
      </c>
      <c r="Q677" s="64">
        <f>SUM(N677:P677)</f>
        <v>19306</v>
      </c>
      <c r="R677" s="88">
        <f>+E677+I677+M677+Q677</f>
        <v>135785</v>
      </c>
    </row>
    <row r="678" spans="1:18" ht="16.5" customHeight="1" thickBot="1" x14ac:dyDescent="0.35">
      <c r="A678" s="66" t="s">
        <v>37</v>
      </c>
      <c r="B678" s="25">
        <v>22</v>
      </c>
      <c r="C678" s="25">
        <v>24</v>
      </c>
      <c r="D678" s="25">
        <v>31</v>
      </c>
      <c r="E678" s="64">
        <f>SUM(B678:D678)</f>
        <v>77</v>
      </c>
      <c r="F678" s="25">
        <v>40</v>
      </c>
      <c r="G678" s="25">
        <v>45</v>
      </c>
      <c r="H678" s="25">
        <v>48</v>
      </c>
      <c r="I678" s="64">
        <f>SUM(F678:H678)</f>
        <v>133</v>
      </c>
      <c r="J678" s="25">
        <v>42</v>
      </c>
      <c r="K678" s="25">
        <v>39</v>
      </c>
      <c r="L678" s="25">
        <v>38</v>
      </c>
      <c r="M678" s="64">
        <f>SUM(J678:L678)</f>
        <v>119</v>
      </c>
      <c r="N678" s="25">
        <v>32</v>
      </c>
      <c r="O678" s="25">
        <v>25</v>
      </c>
      <c r="P678" s="25">
        <v>21</v>
      </c>
      <c r="Q678" s="64">
        <f>SUM(N678:P678)</f>
        <v>78</v>
      </c>
      <c r="R678" s="334">
        <f>+E678+I678+M678+Q678</f>
        <v>407</v>
      </c>
    </row>
    <row r="679" spans="1:18" ht="16.5" customHeight="1" thickBot="1" x14ac:dyDescent="0.35">
      <c r="A679" s="42"/>
      <c r="B679" s="37"/>
      <c r="C679" s="37"/>
      <c r="D679" s="37"/>
      <c r="E679" s="16"/>
      <c r="F679" s="37"/>
      <c r="G679" s="37"/>
      <c r="H679" s="37"/>
      <c r="I679" s="16"/>
      <c r="J679" s="37"/>
      <c r="K679" s="37"/>
      <c r="L679" s="37"/>
      <c r="M679" s="16"/>
      <c r="N679" s="37"/>
      <c r="O679" s="37"/>
      <c r="P679" s="37"/>
      <c r="Q679" s="16"/>
      <c r="R679" s="43"/>
    </row>
    <row r="680" spans="1:18" ht="15.75" customHeight="1" x14ac:dyDescent="0.3">
      <c r="A680" s="17" t="s">
        <v>507</v>
      </c>
      <c r="B680" s="1">
        <f>+SUM(B677:B678)</f>
        <v>3791</v>
      </c>
      <c r="C680" s="1">
        <f>+SUM(C677:C678)</f>
        <v>7769</v>
      </c>
      <c r="D680" s="1">
        <f>+SUM(D677:D678)</f>
        <v>12675</v>
      </c>
      <c r="E680" s="334">
        <f>SUM(B680:D680)</f>
        <v>24235</v>
      </c>
      <c r="F680" s="1">
        <f>+SUM(F677:F678)</f>
        <v>16386</v>
      </c>
      <c r="G680" s="1">
        <f>+SUM(G677:G678)</f>
        <v>16770</v>
      </c>
      <c r="H680" s="1">
        <f>+SUM(H677:H678)</f>
        <v>15024</v>
      </c>
      <c r="I680" s="334">
        <f>SUM(F680:H680)</f>
        <v>48180</v>
      </c>
      <c r="J680" s="1">
        <f>+SUM(J677:J678)</f>
        <v>16152</v>
      </c>
      <c r="K680" s="1">
        <f>+SUM(K677:K678)</f>
        <v>15843</v>
      </c>
      <c r="L680" s="1">
        <f>+SUM(L677:L678)</f>
        <v>12398</v>
      </c>
      <c r="M680" s="334">
        <f>SUM(J680:L680)</f>
        <v>44393</v>
      </c>
      <c r="N680" s="1">
        <f>+SUM(N677:N678)</f>
        <v>3770</v>
      </c>
      <c r="O680" s="1">
        <f>+SUM(O677:O678)</f>
        <v>5944</v>
      </c>
      <c r="P680" s="1">
        <f>+SUM(P677:P678)</f>
        <v>9670</v>
      </c>
      <c r="Q680" s="334">
        <f>SUM(N680:P680)</f>
        <v>19384</v>
      </c>
      <c r="R680" s="334">
        <f>+E680+I680+M680+Q680</f>
        <v>136192</v>
      </c>
    </row>
    <row r="681" spans="1:18" ht="15.75" customHeight="1" x14ac:dyDescent="0.3">
      <c r="A681" s="17" t="s">
        <v>39</v>
      </c>
      <c r="B681" s="1">
        <f>(B680/B10)/1.983</f>
        <v>61.669350771883593</v>
      </c>
      <c r="C681" s="1">
        <f>(C680/C10)/1.983</f>
        <v>135.09659693602515</v>
      </c>
      <c r="D681" s="1">
        <f>(D680/D10)/1.983</f>
        <v>206.18808257283683</v>
      </c>
      <c r="E681" s="59" t="s">
        <v>7</v>
      </c>
      <c r="F681" s="1">
        <f>(F680/F10)/1.983</f>
        <v>275.44125063035807</v>
      </c>
      <c r="G681" s="1">
        <f>(G680/G10)/1.983</f>
        <v>272.80269386559951</v>
      </c>
      <c r="H681" s="1">
        <f>(H680/H10)/1.983</f>
        <v>252.54664649520927</v>
      </c>
      <c r="I681" s="59" t="s">
        <v>7</v>
      </c>
      <c r="J681" s="1">
        <f>(J680/J10)/1.983</f>
        <v>262.74949978039137</v>
      </c>
      <c r="K681" s="1">
        <f>(K680/K10)/1.983</f>
        <v>257.72290273778731</v>
      </c>
      <c r="L681" s="1">
        <f>(L680/L10)/1.983</f>
        <v>208.40477391158177</v>
      </c>
      <c r="M681" s="59" t="s">
        <v>7</v>
      </c>
      <c r="N681" s="1">
        <f>(N680/N10)/1.983</f>
        <v>61.327737380638652</v>
      </c>
      <c r="O681" s="1">
        <f>(O680/O10)/1.983</f>
        <v>99.915952260884168</v>
      </c>
      <c r="P681" s="1">
        <f>(P680/P10)/1.983</f>
        <v>157.30483301612088</v>
      </c>
      <c r="Q681" s="59" t="s">
        <v>7</v>
      </c>
      <c r="R681" s="59" t="s">
        <v>7</v>
      </c>
    </row>
    <row r="682" spans="1:18" ht="15.75" customHeight="1" x14ac:dyDescent="0.3">
      <c r="A682" s="17" t="s">
        <v>581</v>
      </c>
      <c r="B682" s="1">
        <f>B680+B692</f>
        <v>7671</v>
      </c>
      <c r="C682" s="1">
        <f>C680+C692</f>
        <v>10784</v>
      </c>
      <c r="D682" s="1">
        <f>D680+D692</f>
        <v>16667</v>
      </c>
      <c r="E682" s="59">
        <f>SUM(B682:D682)</f>
        <v>35122</v>
      </c>
      <c r="F682" s="1">
        <f>F680+F692</f>
        <v>20553</v>
      </c>
      <c r="G682" s="1">
        <f>G680+G692</f>
        <v>20876</v>
      </c>
      <c r="H682" s="1">
        <f>H680+H692</f>
        <v>19414</v>
      </c>
      <c r="I682" s="59">
        <f>SUM(F682:H682)</f>
        <v>60843</v>
      </c>
      <c r="J682" s="1">
        <f>J680+J692</f>
        <v>19806</v>
      </c>
      <c r="K682" s="1">
        <f>K680+K692</f>
        <v>17993</v>
      </c>
      <c r="L682" s="1">
        <f>L680+L692</f>
        <v>17223</v>
      </c>
      <c r="M682" s="59">
        <f>SUM(J682:L682)</f>
        <v>55022</v>
      </c>
      <c r="N682" s="1">
        <f>N680+N692</f>
        <v>5629</v>
      </c>
      <c r="O682" s="1">
        <f>O680+O692</f>
        <v>7111</v>
      </c>
      <c r="P682" s="1">
        <f>P680+P692</f>
        <v>14093</v>
      </c>
      <c r="Q682" s="59">
        <f>SUM(N682:P682)</f>
        <v>26833</v>
      </c>
      <c r="R682" s="59">
        <f>+E682+I682+M682+Q682</f>
        <v>177820</v>
      </c>
    </row>
    <row r="683" spans="1:18" ht="16.5" customHeight="1" thickBot="1" x14ac:dyDescent="0.35">
      <c r="A683" s="24" t="s">
        <v>582</v>
      </c>
      <c r="B683" s="25">
        <f>(B682/B10)/1.983</f>
        <v>124.7864916304719</v>
      </c>
      <c r="C683" s="25">
        <f>(C682/C10)/1.983</f>
        <v>187.52499695689221</v>
      </c>
      <c r="D683" s="25">
        <f>(D682/D10)/1.983</f>
        <v>271.12716151806484</v>
      </c>
      <c r="E683" s="88" t="s">
        <v>7</v>
      </c>
      <c r="F683" s="25">
        <f>(F682/F10)/1.983</f>
        <v>345.48663640948058</v>
      </c>
      <c r="G683" s="25">
        <f>(G682/G10)/1.983</f>
        <v>339.59624550615712</v>
      </c>
      <c r="H683" s="25">
        <f>(H682/H10)/1.983</f>
        <v>326.34056143889728</v>
      </c>
      <c r="I683" s="88" t="s">
        <v>7</v>
      </c>
      <c r="J683" s="25">
        <f>(J682/J10)/1.983</f>
        <v>322.19022985701037</v>
      </c>
      <c r="K683" s="25">
        <f>(K682/K10)/1.983</f>
        <v>292.69760707953083</v>
      </c>
      <c r="L683" s="25">
        <f>(L682/L10)/1.983</f>
        <v>289.51084215834595</v>
      </c>
      <c r="M683" s="88" t="s">
        <v>7</v>
      </c>
      <c r="N683" s="25">
        <f>(N682/N10)/1.983</f>
        <v>91.568656157988059</v>
      </c>
      <c r="O683" s="25">
        <f>(O682/O10)/1.983</f>
        <v>119.53269457051604</v>
      </c>
      <c r="P683" s="25">
        <f>(P682/P10)/1.983</f>
        <v>229.25512013404258</v>
      </c>
      <c r="Q683" s="88" t="s">
        <v>7</v>
      </c>
      <c r="R683" s="88" t="s">
        <v>7</v>
      </c>
    </row>
    <row r="684" spans="1:18" ht="15.75" customHeight="1" x14ac:dyDescent="0.3">
      <c r="A684" s="28"/>
      <c r="B684" s="1"/>
      <c r="C684" s="1"/>
      <c r="D684" s="1"/>
      <c r="E684" s="1"/>
      <c r="F684" s="1"/>
      <c r="G684" s="1"/>
      <c r="H684" s="1"/>
      <c r="I684" s="1"/>
      <c r="J684" s="1"/>
      <c r="K684" s="1"/>
      <c r="L684" s="1"/>
      <c r="M684" s="1"/>
      <c r="N684" s="1"/>
      <c r="O684" s="1"/>
      <c r="P684" s="1"/>
      <c r="Q684" s="1"/>
      <c r="R684" s="28"/>
    </row>
    <row r="685" spans="1:18" ht="15.75" customHeight="1" thickBot="1" x14ac:dyDescent="0.35">
      <c r="A685" s="28"/>
      <c r="B685" s="1"/>
      <c r="C685" s="1"/>
      <c r="D685" s="1"/>
      <c r="E685" s="1"/>
      <c r="F685" s="1"/>
      <c r="G685" s="1"/>
      <c r="H685" s="1"/>
      <c r="I685" s="1"/>
      <c r="J685" s="1"/>
      <c r="K685" s="1"/>
      <c r="L685" s="1"/>
      <c r="M685" s="1"/>
      <c r="N685" s="1"/>
      <c r="O685" s="1"/>
      <c r="P685" s="1"/>
      <c r="Q685" s="1"/>
      <c r="R685" s="28"/>
    </row>
    <row r="686" spans="1:18" ht="16.5" customHeight="1" thickBot="1" x14ac:dyDescent="0.35">
      <c r="A686" s="343" t="s">
        <v>583</v>
      </c>
      <c r="B686" s="323" t="s">
        <v>36</v>
      </c>
      <c r="C686" s="324" t="s">
        <v>9</v>
      </c>
      <c r="D686" s="324" t="s">
        <v>10</v>
      </c>
      <c r="E686" s="325" t="s">
        <v>11</v>
      </c>
      <c r="F686" s="324" t="s">
        <v>12</v>
      </c>
      <c r="G686" s="324" t="s">
        <v>13</v>
      </c>
      <c r="H686" s="324" t="s">
        <v>14</v>
      </c>
      <c r="I686" s="34" t="s">
        <v>15</v>
      </c>
      <c r="J686" s="324" t="s">
        <v>16</v>
      </c>
      <c r="K686" s="324" t="s">
        <v>17</v>
      </c>
      <c r="L686" s="324" t="s">
        <v>18</v>
      </c>
      <c r="M686" s="34" t="s">
        <v>19</v>
      </c>
      <c r="N686" s="324" t="s">
        <v>20</v>
      </c>
      <c r="O686" s="324" t="s">
        <v>21</v>
      </c>
      <c r="P686" s="324" t="s">
        <v>22</v>
      </c>
      <c r="Q686" s="34" t="s">
        <v>23</v>
      </c>
      <c r="R686" s="326" t="s">
        <v>24</v>
      </c>
    </row>
    <row r="687" spans="1:18" ht="16.5" customHeight="1" thickBot="1" x14ac:dyDescent="0.35">
      <c r="A687" s="42"/>
      <c r="B687" s="37"/>
      <c r="C687" s="37"/>
      <c r="D687" s="37"/>
      <c r="E687" s="38"/>
      <c r="F687" s="37"/>
      <c r="G687" s="37"/>
      <c r="H687" s="37"/>
      <c r="I687" s="38"/>
      <c r="J687" s="37"/>
      <c r="K687" s="37"/>
      <c r="L687" s="37"/>
      <c r="M687" s="38"/>
      <c r="N687" s="37"/>
      <c r="O687" s="37"/>
      <c r="P687" s="37"/>
      <c r="Q687" s="38"/>
      <c r="R687" s="42"/>
    </row>
    <row r="688" spans="1:18" ht="16.5" customHeight="1" thickBot="1" x14ac:dyDescent="0.35">
      <c r="A688" s="40" t="s">
        <v>37</v>
      </c>
      <c r="B688" s="25">
        <v>2</v>
      </c>
      <c r="C688" s="25">
        <v>3</v>
      </c>
      <c r="D688" s="25">
        <v>5</v>
      </c>
      <c r="E688" s="59">
        <f>SUM(B688:D688)</f>
        <v>10</v>
      </c>
      <c r="F688" s="25">
        <v>7</v>
      </c>
      <c r="G688" s="25">
        <v>8</v>
      </c>
      <c r="H688" s="25">
        <v>9</v>
      </c>
      <c r="I688" s="59">
        <f>SUM(F688:H688)</f>
        <v>24</v>
      </c>
      <c r="J688" s="25">
        <v>7</v>
      </c>
      <c r="K688" s="25">
        <v>6</v>
      </c>
      <c r="L688" s="25">
        <v>6</v>
      </c>
      <c r="M688" s="59">
        <f>SUM(J688:L688)</f>
        <v>19</v>
      </c>
      <c r="N688" s="25">
        <v>5</v>
      </c>
      <c r="O688" s="25">
        <v>3</v>
      </c>
      <c r="P688" s="25">
        <v>2</v>
      </c>
      <c r="Q688" s="59">
        <f>SUM(N688:P688)</f>
        <v>10</v>
      </c>
      <c r="R688" s="334">
        <f>+E688+I688+M688+Q688</f>
        <v>63</v>
      </c>
    </row>
    <row r="689" spans="1:18" ht="16.5" customHeight="1" thickBot="1" x14ac:dyDescent="0.35">
      <c r="A689" s="42"/>
      <c r="B689" s="37"/>
      <c r="C689" s="37"/>
      <c r="D689" s="37"/>
      <c r="E689" s="16"/>
      <c r="F689" s="37"/>
      <c r="G689" s="37"/>
      <c r="H689" s="37"/>
      <c r="I689" s="16"/>
      <c r="J689" s="37"/>
      <c r="K689" s="37"/>
      <c r="L689" s="37"/>
      <c r="M689" s="16"/>
      <c r="N689" s="37"/>
      <c r="O689" s="37"/>
      <c r="P689" s="37"/>
      <c r="Q689" s="16"/>
      <c r="R689" s="43"/>
    </row>
    <row r="690" spans="1:18" ht="15.75" customHeight="1" x14ac:dyDescent="0.3">
      <c r="A690" s="17" t="s">
        <v>507</v>
      </c>
      <c r="B690" s="1">
        <f>B688</f>
        <v>2</v>
      </c>
      <c r="C690" s="1">
        <f>C688</f>
        <v>3</v>
      </c>
      <c r="D690" s="1">
        <f>D688</f>
        <v>5</v>
      </c>
      <c r="E690" s="334">
        <f>SUM(B690:D690)</f>
        <v>10</v>
      </c>
      <c r="F690" s="1">
        <f>F688</f>
        <v>7</v>
      </c>
      <c r="G690" s="1">
        <f>G688</f>
        <v>8</v>
      </c>
      <c r="H690" s="1">
        <f>H688</f>
        <v>9</v>
      </c>
      <c r="I690" s="334">
        <f>SUM(F690:H690)</f>
        <v>24</v>
      </c>
      <c r="J690" s="1">
        <f>J688</f>
        <v>7</v>
      </c>
      <c r="K690" s="1">
        <f>K688</f>
        <v>6</v>
      </c>
      <c r="L690" s="1">
        <f>L688</f>
        <v>6</v>
      </c>
      <c r="M690" s="334">
        <f>SUM(J690:L690)</f>
        <v>19</v>
      </c>
      <c r="N690" s="1">
        <f>N688</f>
        <v>5</v>
      </c>
      <c r="O690" s="1">
        <f>O688</f>
        <v>3</v>
      </c>
      <c r="P690" s="1">
        <f>P688</f>
        <v>2</v>
      </c>
      <c r="Q690" s="334">
        <f>SUM(N690:P690)</f>
        <v>10</v>
      </c>
      <c r="R690" s="334">
        <f>+E690+I690+M690+Q690</f>
        <v>63</v>
      </c>
    </row>
    <row r="691" spans="1:18" ht="15.75" customHeight="1" x14ac:dyDescent="0.3">
      <c r="A691" s="17" t="s">
        <v>39</v>
      </c>
      <c r="B691" s="1">
        <f>(B690/B10)/1.983</f>
        <v>3.2534608689993978E-2</v>
      </c>
      <c r="C691" s="1">
        <f>(C690/C10)/1.983</f>
        <v>5.2167562209817935E-2</v>
      </c>
      <c r="D691" s="1">
        <f>(D690/D10)/1.983</f>
        <v>8.1336521724984942E-2</v>
      </c>
      <c r="E691" s="59" t="s">
        <v>7</v>
      </c>
      <c r="F691" s="1">
        <f>(F690/F10)/1.983</f>
        <v>0.1176668347621449</v>
      </c>
      <c r="G691" s="1">
        <f>(G690/G10)/1.983</f>
        <v>0.13013843475997591</v>
      </c>
      <c r="H691" s="1">
        <f>(H690/H10)/1.983</f>
        <v>0.15128593040847199</v>
      </c>
      <c r="I691" s="59" t="s">
        <v>7</v>
      </c>
      <c r="J691" s="1">
        <f>(J690/J10)/1.983</f>
        <v>0.11387113041497893</v>
      </c>
      <c r="K691" s="1">
        <f>(K690/K10)/1.983</f>
        <v>9.7603826069981942E-2</v>
      </c>
      <c r="L691" s="1">
        <f>(L690/L10)/1.983</f>
        <v>0.10085728693898134</v>
      </c>
      <c r="M691" s="59" t="s">
        <v>7</v>
      </c>
      <c r="N691" s="1">
        <f>(N690/N10)/1.983</f>
        <v>8.1336521724984942E-2</v>
      </c>
      <c r="O691" s="1">
        <f>(O690/O10)/1.983</f>
        <v>5.0428643469490671E-2</v>
      </c>
      <c r="P691" s="1">
        <f>(P690/P10)/1.983</f>
        <v>3.2534608689993978E-2</v>
      </c>
      <c r="Q691" s="59" t="s">
        <v>7</v>
      </c>
      <c r="R691" s="59" t="s">
        <v>7</v>
      </c>
    </row>
    <row r="692" spans="1:18" ht="15.75" customHeight="1" x14ac:dyDescent="0.3">
      <c r="A692" s="17" t="s">
        <v>584</v>
      </c>
      <c r="B692" s="1">
        <f>B690+B726+B774-B721</f>
        <v>3880</v>
      </c>
      <c r="C692" s="1">
        <f>C690+C726+C774-C721</f>
        <v>3015</v>
      </c>
      <c r="D692" s="1">
        <f>D690+D726+D774-D721</f>
        <v>3992</v>
      </c>
      <c r="E692" s="59">
        <f>SUM(B692:D692)</f>
        <v>10887</v>
      </c>
      <c r="F692" s="1">
        <f>F690+F726+F774-F721</f>
        <v>4167</v>
      </c>
      <c r="G692" s="1">
        <f>G690+G726+G774-G721</f>
        <v>4106</v>
      </c>
      <c r="H692" s="1">
        <f>H690+H726+H774-H721</f>
        <v>4390</v>
      </c>
      <c r="I692" s="59">
        <f>SUM(F692:H692)</f>
        <v>12663</v>
      </c>
      <c r="J692" s="1">
        <f>J690+J726+J774-J721</f>
        <v>3654</v>
      </c>
      <c r="K692" s="1">
        <f>K690+K726+K774-K721</f>
        <v>2150</v>
      </c>
      <c r="L692" s="1">
        <f>L690+L726+L774-L721</f>
        <v>4825</v>
      </c>
      <c r="M692" s="59">
        <f>SUM(J692:L692)</f>
        <v>10629</v>
      </c>
      <c r="N692" s="1">
        <f>N690+N726+N774-N721</f>
        <v>1859</v>
      </c>
      <c r="O692" s="1">
        <f>O690+O726+O774-O721</f>
        <v>1167</v>
      </c>
      <c r="P692" s="1">
        <f>P690+P726+P774-P721</f>
        <v>4423</v>
      </c>
      <c r="Q692" s="59">
        <f>SUM(N692:P692)</f>
        <v>7449</v>
      </c>
      <c r="R692" s="59">
        <f>+E692+I692+M692+Q692</f>
        <v>41628</v>
      </c>
    </row>
    <row r="693" spans="1:18" ht="16.5" customHeight="1" thickBot="1" x14ac:dyDescent="0.35">
      <c r="A693" s="24" t="s">
        <v>585</v>
      </c>
      <c r="B693" s="25">
        <f>(B692/B10)/1.983</f>
        <v>63.117140858588321</v>
      </c>
      <c r="C693" s="25">
        <f>(C692/C10)/1.983</f>
        <v>52.428400020867024</v>
      </c>
      <c r="D693" s="25">
        <f>(D692/D10)/1.983</f>
        <v>64.93907894522799</v>
      </c>
      <c r="E693" s="88" t="s">
        <v>7</v>
      </c>
      <c r="F693" s="25">
        <f>(F692/F10)/1.983</f>
        <v>70.04538577912254</v>
      </c>
      <c r="G693" s="25">
        <f>(G692/G10)/1.983</f>
        <v>66.793551640557638</v>
      </c>
      <c r="H693" s="25">
        <f>(H692/H10)/1.983</f>
        <v>73.793914943688023</v>
      </c>
      <c r="I693" s="88" t="s">
        <v>7</v>
      </c>
      <c r="J693" s="25">
        <f>(J692/J10)/1.983</f>
        <v>59.440730076619005</v>
      </c>
      <c r="K693" s="25">
        <f>(K692/K10)/1.983</f>
        <v>34.974704341743532</v>
      </c>
      <c r="L693" s="25">
        <f>(L692/L10)/1.983</f>
        <v>81.106068246764167</v>
      </c>
      <c r="M693" s="88" t="s">
        <v>7</v>
      </c>
      <c r="N693" s="25">
        <f>(N692/N10)/1.983</f>
        <v>30.240918777349403</v>
      </c>
      <c r="O693" s="25">
        <f>(O692/O10)/1.983</f>
        <v>19.616742309631871</v>
      </c>
      <c r="P693" s="25">
        <f>(P692/P10)/1.983</f>
        <v>71.95028711792169</v>
      </c>
      <c r="Q693" s="88" t="s">
        <v>7</v>
      </c>
      <c r="R693" s="88" t="s">
        <v>7</v>
      </c>
    </row>
    <row r="694" spans="1:18" ht="15.75" customHeight="1" x14ac:dyDescent="0.3">
      <c r="A694" s="28"/>
      <c r="B694" s="1"/>
      <c r="C694" s="1"/>
      <c r="D694" s="1"/>
      <c r="E694" s="1"/>
      <c r="F694" s="1"/>
      <c r="G694" s="1"/>
      <c r="H694" s="1"/>
      <c r="I694" s="1"/>
      <c r="J694" s="1"/>
      <c r="K694" s="1"/>
      <c r="L694" s="1"/>
      <c r="M694" s="1"/>
      <c r="N694" s="1"/>
      <c r="O694" s="1"/>
      <c r="P694" s="1"/>
      <c r="Q694" s="1"/>
      <c r="R694" s="28"/>
    </row>
    <row r="695" spans="1:18" ht="15.75" customHeight="1" thickBot="1" x14ac:dyDescent="0.35">
      <c r="A695" s="28"/>
      <c r="B695" s="1"/>
      <c r="C695" s="1"/>
      <c r="D695" s="1"/>
      <c r="E695" s="1"/>
      <c r="F695" s="1"/>
      <c r="G695" s="1"/>
      <c r="H695" s="1"/>
      <c r="I695" s="1"/>
      <c r="J695" s="1"/>
      <c r="K695" s="1"/>
      <c r="L695" s="1"/>
      <c r="M695" s="1"/>
      <c r="N695" s="1"/>
      <c r="O695" s="1"/>
      <c r="P695" s="1"/>
      <c r="Q695" s="1"/>
      <c r="R695" s="28"/>
    </row>
    <row r="696" spans="1:18" ht="16.5" customHeight="1" thickBot="1" x14ac:dyDescent="0.35">
      <c r="A696" s="343" t="s">
        <v>586</v>
      </c>
      <c r="B696" s="323" t="s">
        <v>36</v>
      </c>
      <c r="C696" s="324" t="s">
        <v>9</v>
      </c>
      <c r="D696" s="324" t="s">
        <v>10</v>
      </c>
      <c r="E696" s="34" t="s">
        <v>11</v>
      </c>
      <c r="F696" s="324" t="s">
        <v>12</v>
      </c>
      <c r="G696" s="324" t="s">
        <v>13</v>
      </c>
      <c r="H696" s="324" t="s">
        <v>14</v>
      </c>
      <c r="I696" s="34" t="s">
        <v>15</v>
      </c>
      <c r="J696" s="324" t="s">
        <v>16</v>
      </c>
      <c r="K696" s="324" t="s">
        <v>17</v>
      </c>
      <c r="L696" s="324" t="s">
        <v>18</v>
      </c>
      <c r="M696" s="34" t="s">
        <v>19</v>
      </c>
      <c r="N696" s="324" t="s">
        <v>20</v>
      </c>
      <c r="O696" s="324" t="s">
        <v>21</v>
      </c>
      <c r="P696" s="324" t="s">
        <v>22</v>
      </c>
      <c r="Q696" s="34" t="s">
        <v>23</v>
      </c>
      <c r="R696" s="346" t="s">
        <v>24</v>
      </c>
    </row>
    <row r="697" spans="1:18" ht="16.5" customHeight="1" thickBot="1" x14ac:dyDescent="0.35">
      <c r="A697" s="42"/>
      <c r="B697" s="37"/>
      <c r="C697" s="37"/>
      <c r="D697" s="37"/>
      <c r="E697" s="156"/>
      <c r="F697" s="37"/>
      <c r="G697" s="37"/>
      <c r="H697" s="37"/>
      <c r="I697" s="156"/>
      <c r="J697" s="37"/>
      <c r="K697" s="37"/>
      <c r="L697" s="37"/>
      <c r="M697" s="156"/>
      <c r="N697" s="37"/>
      <c r="O697" s="37"/>
      <c r="P697" s="37"/>
      <c r="Q697" s="156"/>
      <c r="R697" s="39"/>
    </row>
    <row r="698" spans="1:18" ht="15.75" customHeight="1" x14ac:dyDescent="0.3">
      <c r="A698" s="17" t="s">
        <v>45</v>
      </c>
      <c r="B698" s="1" t="s">
        <v>7</v>
      </c>
      <c r="C698" s="1" t="s">
        <v>7</v>
      </c>
      <c r="D698" s="1" t="s">
        <v>7</v>
      </c>
      <c r="E698" s="59" t="s">
        <v>7</v>
      </c>
      <c r="F698" s="1" t="s">
        <v>7</v>
      </c>
      <c r="G698" s="1" t="s">
        <v>7</v>
      </c>
      <c r="H698" s="1" t="s">
        <v>7</v>
      </c>
      <c r="I698" s="59" t="s">
        <v>7</v>
      </c>
      <c r="J698" s="1" t="s">
        <v>7</v>
      </c>
      <c r="K698" s="1" t="s">
        <v>7</v>
      </c>
      <c r="L698" s="1" t="s">
        <v>7</v>
      </c>
      <c r="M698" s="59" t="s">
        <v>7</v>
      </c>
      <c r="N698" s="1" t="s">
        <v>7</v>
      </c>
      <c r="O698" s="1" t="s">
        <v>7</v>
      </c>
      <c r="P698" s="1" t="s">
        <v>7</v>
      </c>
      <c r="Q698" s="59" t="s">
        <v>7</v>
      </c>
      <c r="R698" s="59" t="s">
        <v>7</v>
      </c>
    </row>
    <row r="699" spans="1:18" ht="15.75" customHeight="1" x14ac:dyDescent="0.3">
      <c r="A699" s="17" t="s">
        <v>46</v>
      </c>
      <c r="B699" s="1"/>
      <c r="C699" s="1"/>
      <c r="D699" s="1"/>
      <c r="E699" s="59" t="s">
        <v>7</v>
      </c>
      <c r="F699" s="1"/>
      <c r="G699" s="1"/>
      <c r="H699" s="1"/>
      <c r="I699" s="59" t="s">
        <v>7</v>
      </c>
      <c r="J699" s="1"/>
      <c r="K699" s="1"/>
      <c r="L699" s="1"/>
      <c r="M699" s="59" t="s">
        <v>7</v>
      </c>
      <c r="N699" s="1"/>
      <c r="O699" s="1"/>
      <c r="P699" s="1"/>
      <c r="Q699" s="59" t="s">
        <v>7</v>
      </c>
      <c r="R699" s="59" t="s">
        <v>7</v>
      </c>
    </row>
    <row r="700" spans="1:18" ht="15.75" customHeight="1" x14ac:dyDescent="0.3">
      <c r="A700" s="74" t="s">
        <v>587</v>
      </c>
      <c r="B700" s="1"/>
      <c r="C700" s="1"/>
      <c r="D700" s="1"/>
      <c r="E700" s="59">
        <f>SUM(B700:D700)</f>
        <v>0</v>
      </c>
      <c r="F700" s="1">
        <v>42</v>
      </c>
      <c r="G700" s="1"/>
      <c r="H700" s="1"/>
      <c r="I700" s="59">
        <f>SUM(F700:H700)</f>
        <v>42</v>
      </c>
      <c r="J700" s="1">
        <v>3</v>
      </c>
      <c r="K700" s="1"/>
      <c r="L700" s="1"/>
      <c r="M700" s="59">
        <f>SUM(J700:L700)</f>
        <v>3</v>
      </c>
      <c r="N700" s="1"/>
      <c r="O700" s="1"/>
      <c r="P700" s="1"/>
      <c r="Q700" s="59">
        <f>SUM(N700:P700)</f>
        <v>0</v>
      </c>
      <c r="R700" s="59">
        <f>+E700+I700+M700+Q700</f>
        <v>45</v>
      </c>
    </row>
    <row r="701" spans="1:18" ht="15.75" customHeight="1" x14ac:dyDescent="0.3">
      <c r="A701" s="17" t="s">
        <v>47</v>
      </c>
      <c r="B701" s="1"/>
      <c r="C701" s="1"/>
      <c r="D701" s="1"/>
      <c r="E701" s="59" t="s">
        <v>7</v>
      </c>
      <c r="F701" s="1"/>
      <c r="G701" s="1"/>
      <c r="H701" s="1"/>
      <c r="I701" s="59" t="s">
        <v>7</v>
      </c>
      <c r="J701" s="1"/>
      <c r="K701" s="1"/>
      <c r="L701" s="1"/>
      <c r="M701" s="59" t="s">
        <v>7</v>
      </c>
      <c r="N701" s="1"/>
      <c r="O701" s="1"/>
      <c r="P701" s="1"/>
      <c r="Q701" s="59" t="s">
        <v>7</v>
      </c>
      <c r="R701" s="59" t="s">
        <v>7</v>
      </c>
    </row>
    <row r="702" spans="1:18" ht="15.75" customHeight="1" x14ac:dyDescent="0.3">
      <c r="A702" s="17" t="s">
        <v>898</v>
      </c>
      <c r="B702" s="1"/>
      <c r="C702" s="1"/>
      <c r="D702" s="1"/>
      <c r="E702" s="59" t="s">
        <v>7</v>
      </c>
      <c r="F702" s="1"/>
      <c r="G702" s="1"/>
      <c r="H702" s="1"/>
      <c r="I702" s="59" t="s">
        <v>7</v>
      </c>
      <c r="J702" s="1"/>
      <c r="K702" s="1"/>
      <c r="L702" s="1"/>
      <c r="M702" s="59" t="s">
        <v>7</v>
      </c>
      <c r="N702" s="1"/>
      <c r="O702" s="1"/>
      <c r="P702" s="1"/>
      <c r="Q702" s="59" t="s">
        <v>7</v>
      </c>
      <c r="R702" s="59" t="s">
        <v>7</v>
      </c>
    </row>
    <row r="703" spans="1:18" ht="15.75" customHeight="1" thickBot="1" x14ac:dyDescent="0.35">
      <c r="A703" s="17" t="s">
        <v>51</v>
      </c>
      <c r="B703" s="1"/>
      <c r="C703" s="1"/>
      <c r="D703" s="1"/>
      <c r="E703" s="59" t="s">
        <v>7</v>
      </c>
      <c r="F703" s="1"/>
      <c r="G703" s="1"/>
      <c r="H703" s="1"/>
      <c r="I703" s="59" t="s">
        <v>7</v>
      </c>
      <c r="J703" s="1"/>
      <c r="K703" s="1"/>
      <c r="L703" s="1"/>
      <c r="M703" s="59" t="s">
        <v>7</v>
      </c>
      <c r="N703" s="1"/>
      <c r="O703" s="1"/>
      <c r="P703" s="1"/>
      <c r="Q703" s="59" t="s">
        <v>7</v>
      </c>
      <c r="R703" s="59" t="s">
        <v>7</v>
      </c>
    </row>
    <row r="704" spans="1:18" ht="16.5" customHeight="1" thickBot="1" x14ac:dyDescent="0.35">
      <c r="A704" s="62" t="s">
        <v>52</v>
      </c>
      <c r="B704" s="100">
        <f>SUM(B698:B703)</f>
        <v>0</v>
      </c>
      <c r="C704" s="101">
        <f>SUM(C698:C703)</f>
        <v>0</v>
      </c>
      <c r="D704" s="101">
        <f>SUM(D698:D703)</f>
        <v>0</v>
      </c>
      <c r="E704" s="64">
        <f>SUM(B704:D704)</f>
        <v>0</v>
      </c>
      <c r="F704" s="101">
        <f>SUM(F698:F703)</f>
        <v>42</v>
      </c>
      <c r="G704" s="101">
        <f>SUM(G698:G703)</f>
        <v>0</v>
      </c>
      <c r="H704" s="101">
        <f>SUM(H698:H703)</f>
        <v>0</v>
      </c>
      <c r="I704" s="64">
        <f>SUM(F704:H704)</f>
        <v>42</v>
      </c>
      <c r="J704" s="101">
        <f>SUM(J698:J703)</f>
        <v>3</v>
      </c>
      <c r="K704" s="101">
        <f>SUM(K698:K703)</f>
        <v>0</v>
      </c>
      <c r="L704" s="101">
        <f>SUM(L698:L703)</f>
        <v>0</v>
      </c>
      <c r="M704" s="64">
        <f>SUM(J704:L704)</f>
        <v>3</v>
      </c>
      <c r="N704" s="101">
        <f>SUM(N698:N703)</f>
        <v>0</v>
      </c>
      <c r="O704" s="101">
        <f>SUM(O698:O703)</f>
        <v>0</v>
      </c>
      <c r="P704" s="101">
        <f>SUM(P698:P703)</f>
        <v>0</v>
      </c>
      <c r="Q704" s="64">
        <f>SUM(N704:P704)</f>
        <v>0</v>
      </c>
      <c r="R704" s="64">
        <f>+E704+I704+M704+Q704</f>
        <v>45</v>
      </c>
    </row>
    <row r="705" spans="1:18" ht="15.75" customHeight="1" x14ac:dyDescent="0.3">
      <c r="A705" s="17" t="s">
        <v>53</v>
      </c>
      <c r="B705" s="1"/>
      <c r="C705" s="1"/>
      <c r="D705" s="1"/>
      <c r="E705" s="59" t="s">
        <v>7</v>
      </c>
      <c r="F705" s="1"/>
      <c r="G705" s="1"/>
      <c r="H705" s="1"/>
      <c r="I705" s="59" t="s">
        <v>7</v>
      </c>
      <c r="J705" s="1"/>
      <c r="K705" s="1"/>
      <c r="L705" s="1"/>
      <c r="M705" s="59" t="s">
        <v>7</v>
      </c>
      <c r="N705" s="1"/>
      <c r="O705" s="1"/>
      <c r="P705" s="1"/>
      <c r="Q705" s="59" t="s">
        <v>7</v>
      </c>
      <c r="R705" s="59" t="s">
        <v>7</v>
      </c>
    </row>
    <row r="706" spans="1:18" ht="15.75" customHeight="1" x14ac:dyDescent="0.3">
      <c r="A706" s="17" t="s">
        <v>55</v>
      </c>
      <c r="B706" s="1"/>
      <c r="C706" s="1"/>
      <c r="D706" s="1"/>
      <c r="E706" s="59" t="s">
        <v>7</v>
      </c>
      <c r="F706" s="1"/>
      <c r="G706" s="1"/>
      <c r="H706" s="1"/>
      <c r="I706" s="59" t="s">
        <v>7</v>
      </c>
      <c r="J706" s="1"/>
      <c r="K706" s="1"/>
      <c r="L706" s="1"/>
      <c r="M706" s="59" t="s">
        <v>7</v>
      </c>
      <c r="N706" s="1"/>
      <c r="O706" s="1"/>
      <c r="P706" s="1"/>
      <c r="Q706" s="59" t="s">
        <v>7</v>
      </c>
      <c r="R706" s="59" t="s">
        <v>7</v>
      </c>
    </row>
    <row r="707" spans="1:18" ht="15.75" customHeight="1" thickBot="1" x14ac:dyDescent="0.35">
      <c r="A707" s="17" t="s">
        <v>56</v>
      </c>
      <c r="B707" s="1"/>
      <c r="C707" s="1"/>
      <c r="D707" s="1"/>
      <c r="E707" s="59" t="s">
        <v>7</v>
      </c>
      <c r="F707" s="1"/>
      <c r="G707" s="1"/>
      <c r="H707" s="1"/>
      <c r="I707" s="59" t="s">
        <v>7</v>
      </c>
      <c r="J707" s="1"/>
      <c r="K707" s="1"/>
      <c r="L707" s="1"/>
      <c r="M707" s="59" t="s">
        <v>7</v>
      </c>
      <c r="N707" s="1"/>
      <c r="O707" s="1"/>
      <c r="P707" s="1"/>
      <c r="Q707" s="59" t="s">
        <v>7</v>
      </c>
      <c r="R707" s="59" t="s">
        <v>7</v>
      </c>
    </row>
    <row r="708" spans="1:18" ht="16.5" customHeight="1" thickBot="1" x14ac:dyDescent="0.35">
      <c r="A708" s="62" t="s">
        <v>57</v>
      </c>
      <c r="B708" s="100">
        <f>SUM(B705:B707)</f>
        <v>0</v>
      </c>
      <c r="C708" s="101">
        <f>SUM(C705:C707)</f>
        <v>0</v>
      </c>
      <c r="D708" s="101">
        <f>SUM(D705:D707)</f>
        <v>0</v>
      </c>
      <c r="E708" s="64">
        <f>SUM(B708:D708)</f>
        <v>0</v>
      </c>
      <c r="F708" s="101">
        <f>SUM(F705:F707)</f>
        <v>0</v>
      </c>
      <c r="G708" s="101">
        <f>SUM(G705:G707)</f>
        <v>0</v>
      </c>
      <c r="H708" s="101">
        <f>SUM(H705:H707)</f>
        <v>0</v>
      </c>
      <c r="I708" s="64">
        <f>SUM(F708:H708)</f>
        <v>0</v>
      </c>
      <c r="J708" s="101">
        <f>SUM(J705:J707)</f>
        <v>0</v>
      </c>
      <c r="K708" s="101">
        <f>SUM(K705:K707)</f>
        <v>0</v>
      </c>
      <c r="L708" s="101">
        <f>SUM(L705:L707)</f>
        <v>0</v>
      </c>
      <c r="M708" s="64">
        <f>SUM(J708:L708)</f>
        <v>0</v>
      </c>
      <c r="N708" s="101">
        <f>SUM(N705:N707)</f>
        <v>0</v>
      </c>
      <c r="O708" s="101">
        <f>SUM(O705:O707)</f>
        <v>0</v>
      </c>
      <c r="P708" s="101">
        <f>SUM(P705:P707)</f>
        <v>0</v>
      </c>
      <c r="Q708" s="64">
        <f>SUM(N708:P708)</f>
        <v>0</v>
      </c>
      <c r="R708" s="64">
        <f>+E708+I708+M708+Q708</f>
        <v>0</v>
      </c>
    </row>
    <row r="709" spans="1:18" ht="15.75" customHeight="1" x14ac:dyDescent="0.3">
      <c r="A709" s="17" t="s">
        <v>58</v>
      </c>
      <c r="B709" s="1"/>
      <c r="C709" s="1"/>
      <c r="D709" s="1"/>
      <c r="E709" s="59" t="s">
        <v>7</v>
      </c>
      <c r="F709" s="1"/>
      <c r="G709" s="1"/>
      <c r="H709" s="1"/>
      <c r="I709" s="59" t="s">
        <v>7</v>
      </c>
      <c r="J709" s="1"/>
      <c r="K709" s="1"/>
      <c r="L709" s="1"/>
      <c r="M709" s="59" t="s">
        <v>7</v>
      </c>
      <c r="N709" s="1"/>
      <c r="O709" s="1"/>
      <c r="P709" s="1"/>
      <c r="Q709" s="59" t="s">
        <v>7</v>
      </c>
      <c r="R709" s="59" t="s">
        <v>7</v>
      </c>
    </row>
    <row r="710" spans="1:18" ht="15.75" customHeight="1" x14ac:dyDescent="0.3">
      <c r="A710" s="17" t="s">
        <v>59</v>
      </c>
      <c r="B710" s="1"/>
      <c r="C710" s="1"/>
      <c r="D710" s="1"/>
      <c r="E710" s="59" t="s">
        <v>7</v>
      </c>
      <c r="F710" s="1"/>
      <c r="G710" s="1"/>
      <c r="H710" s="1"/>
      <c r="I710" s="59" t="s">
        <v>7</v>
      </c>
      <c r="J710" s="1"/>
      <c r="K710" s="1"/>
      <c r="L710" s="1"/>
      <c r="M710" s="59" t="s">
        <v>7</v>
      </c>
      <c r="N710" s="1"/>
      <c r="O710" s="1"/>
      <c r="P710" s="1"/>
      <c r="Q710" s="59" t="s">
        <v>7</v>
      </c>
      <c r="R710" s="59" t="s">
        <v>7</v>
      </c>
    </row>
    <row r="711" spans="1:18" ht="15.75" customHeight="1" thickBot="1" x14ac:dyDescent="0.35">
      <c r="A711" s="17" t="s">
        <v>60</v>
      </c>
      <c r="B711" s="1"/>
      <c r="C711" s="1"/>
      <c r="D711" s="1"/>
      <c r="E711" s="59" t="s">
        <v>7</v>
      </c>
      <c r="F711" s="1"/>
      <c r="G711" s="1"/>
      <c r="H711" s="1"/>
      <c r="I711" s="59" t="s">
        <v>7</v>
      </c>
      <c r="J711" s="1"/>
      <c r="K711" s="1"/>
      <c r="L711" s="1"/>
      <c r="M711" s="59" t="s">
        <v>7</v>
      </c>
      <c r="N711" s="1"/>
      <c r="O711" s="1"/>
      <c r="P711" s="1"/>
      <c r="Q711" s="59" t="s">
        <v>7</v>
      </c>
      <c r="R711" s="59" t="s">
        <v>7</v>
      </c>
    </row>
    <row r="712" spans="1:18" ht="16.5" customHeight="1" thickBot="1" x14ac:dyDescent="0.35">
      <c r="A712" s="62" t="s">
        <v>61</v>
      </c>
      <c r="B712" s="100">
        <f>SUM(B709:B711)</f>
        <v>0</v>
      </c>
      <c r="C712" s="101">
        <f>SUM(C709:C711)</f>
        <v>0</v>
      </c>
      <c r="D712" s="101">
        <f>SUM(D709:D711)</f>
        <v>0</v>
      </c>
      <c r="E712" s="64">
        <f>SUM(B712:D712)</f>
        <v>0</v>
      </c>
      <c r="F712" s="101">
        <f>SUM(F709:F711)</f>
        <v>0</v>
      </c>
      <c r="G712" s="101">
        <f>SUM(G709:G711)</f>
        <v>0</v>
      </c>
      <c r="H712" s="101">
        <f>SUM(H709:H711)</f>
        <v>0</v>
      </c>
      <c r="I712" s="64">
        <f>SUM(F712:H712)</f>
        <v>0</v>
      </c>
      <c r="J712" s="101">
        <f>SUM(J709:J711)</f>
        <v>0</v>
      </c>
      <c r="K712" s="101">
        <f>SUM(K709:K711)</f>
        <v>0</v>
      </c>
      <c r="L712" s="101">
        <f>SUM(L709:L711)</f>
        <v>0</v>
      </c>
      <c r="M712" s="64">
        <f>SUM(J712:L712)</f>
        <v>0</v>
      </c>
      <c r="N712" s="101">
        <f>SUM(N709:N711)</f>
        <v>0</v>
      </c>
      <c r="O712" s="101">
        <f>SUM(O709:O711)</f>
        <v>0</v>
      </c>
      <c r="P712" s="101">
        <f>SUM(P709:P711)</f>
        <v>0</v>
      </c>
      <c r="Q712" s="64">
        <f>SUM(N712:P712)</f>
        <v>0</v>
      </c>
      <c r="R712" s="64">
        <f>+E712+I712+M712+Q712</f>
        <v>0</v>
      </c>
    </row>
    <row r="713" spans="1:18" ht="15.75" customHeight="1" x14ac:dyDescent="0.3">
      <c r="A713" s="17" t="s">
        <v>62</v>
      </c>
      <c r="B713" s="1"/>
      <c r="C713" s="1"/>
      <c r="D713" s="1"/>
      <c r="E713" s="59" t="s">
        <v>7</v>
      </c>
      <c r="F713" s="1"/>
      <c r="G713" s="1"/>
      <c r="H713" s="1"/>
      <c r="I713" s="59" t="s">
        <v>7</v>
      </c>
      <c r="J713" s="1"/>
      <c r="K713" s="1"/>
      <c r="L713" s="1"/>
      <c r="M713" s="59" t="s">
        <v>7</v>
      </c>
      <c r="N713" s="1"/>
      <c r="O713" s="1"/>
      <c r="P713" s="1"/>
      <c r="Q713" s="59" t="s">
        <v>7</v>
      </c>
      <c r="R713" s="59" t="s">
        <v>7</v>
      </c>
    </row>
    <row r="714" spans="1:18" ht="15.75" customHeight="1" x14ac:dyDescent="0.3">
      <c r="A714" s="17" t="s">
        <v>63</v>
      </c>
      <c r="B714" s="1"/>
      <c r="C714" s="1"/>
      <c r="D714" s="1"/>
      <c r="E714" s="59" t="s">
        <v>7</v>
      </c>
      <c r="F714" s="1"/>
      <c r="G714" s="1"/>
      <c r="H714" s="1"/>
      <c r="I714" s="59" t="s">
        <v>7</v>
      </c>
      <c r="J714" s="1"/>
      <c r="K714" s="1"/>
      <c r="L714" s="1"/>
      <c r="M714" s="59" t="s">
        <v>7</v>
      </c>
      <c r="N714" s="1"/>
      <c r="O714" s="1"/>
      <c r="P714" s="1"/>
      <c r="Q714" s="59" t="s">
        <v>7</v>
      </c>
      <c r="R714" s="59" t="s">
        <v>7</v>
      </c>
    </row>
    <row r="715" spans="1:18" ht="15.75" customHeight="1" x14ac:dyDescent="0.3">
      <c r="A715" s="17" t="s">
        <v>64</v>
      </c>
      <c r="B715" s="1"/>
      <c r="C715" s="1"/>
      <c r="D715" s="1"/>
      <c r="E715" s="59" t="s">
        <v>7</v>
      </c>
      <c r="F715" s="1"/>
      <c r="G715" s="1"/>
      <c r="H715" s="1"/>
      <c r="I715" s="59" t="s">
        <v>7</v>
      </c>
      <c r="J715" s="1"/>
      <c r="K715" s="1"/>
      <c r="L715" s="1"/>
      <c r="M715" s="59" t="s">
        <v>7</v>
      </c>
      <c r="N715" s="1"/>
      <c r="O715" s="1"/>
      <c r="P715" s="1"/>
      <c r="Q715" s="59" t="s">
        <v>7</v>
      </c>
      <c r="R715" s="59" t="s">
        <v>7</v>
      </c>
    </row>
    <row r="716" spans="1:18" ht="15.75" customHeight="1" x14ac:dyDescent="0.3">
      <c r="A716" s="17" t="s">
        <v>66</v>
      </c>
      <c r="B716" s="1"/>
      <c r="C716" s="1"/>
      <c r="D716" s="1"/>
      <c r="E716" s="59" t="s">
        <v>7</v>
      </c>
      <c r="F716" s="1"/>
      <c r="G716" s="1"/>
      <c r="H716" s="1"/>
      <c r="I716" s="59" t="s">
        <v>7</v>
      </c>
      <c r="J716" s="1"/>
      <c r="K716" s="1"/>
      <c r="L716" s="1"/>
      <c r="M716" s="59" t="s">
        <v>7</v>
      </c>
      <c r="N716" s="1"/>
      <c r="O716" s="1"/>
      <c r="P716" s="1"/>
      <c r="Q716" s="59" t="s">
        <v>7</v>
      </c>
      <c r="R716" s="59" t="s">
        <v>7</v>
      </c>
    </row>
    <row r="717" spans="1:18" ht="15.75" customHeight="1" thickBot="1" x14ac:dyDescent="0.35">
      <c r="A717" s="17" t="s">
        <v>67</v>
      </c>
      <c r="B717" s="1"/>
      <c r="C717" s="1"/>
      <c r="D717" s="1"/>
      <c r="E717" s="59" t="s">
        <v>7</v>
      </c>
      <c r="F717" s="1"/>
      <c r="G717" s="1"/>
      <c r="H717" s="1"/>
      <c r="I717" s="59" t="s">
        <v>7</v>
      </c>
      <c r="J717" s="1"/>
      <c r="K717" s="1"/>
      <c r="L717" s="1"/>
      <c r="M717" s="59" t="s">
        <v>7</v>
      </c>
      <c r="N717" s="1"/>
      <c r="O717" s="1"/>
      <c r="P717" s="1"/>
      <c r="Q717" s="59" t="s">
        <v>7</v>
      </c>
      <c r="R717" s="59" t="s">
        <v>7</v>
      </c>
    </row>
    <row r="718" spans="1:18" ht="16.5" customHeight="1" thickBot="1" x14ac:dyDescent="0.35">
      <c r="A718" s="62" t="s">
        <v>68</v>
      </c>
      <c r="B718" s="63">
        <f>SUM(B716:B717)</f>
        <v>0</v>
      </c>
      <c r="C718" s="63">
        <f>SUM(C716:C717)</f>
        <v>0</v>
      </c>
      <c r="D718" s="63">
        <f>SUM(D716:D717)</f>
        <v>0</v>
      </c>
      <c r="E718" s="334">
        <f>SUM(B718:D718)</f>
        <v>0</v>
      </c>
      <c r="F718" s="63">
        <f>SUM(F716:F717)</f>
        <v>0</v>
      </c>
      <c r="G718" s="63">
        <f>SUM(G716:G717)</f>
        <v>0</v>
      </c>
      <c r="H718" s="63">
        <f>SUM(H716:H717)</f>
        <v>0</v>
      </c>
      <c r="I718" s="334">
        <f>SUM(F718:H718)</f>
        <v>0</v>
      </c>
      <c r="J718" s="63">
        <f>SUM(J716:J717)</f>
        <v>0</v>
      </c>
      <c r="K718" s="63">
        <f>SUM(K716:K717)</f>
        <v>0</v>
      </c>
      <c r="L718" s="63">
        <f>SUM(L716:L717)</f>
        <v>0</v>
      </c>
      <c r="M718" s="334">
        <f>SUM(J718:L718)</f>
        <v>0</v>
      </c>
      <c r="N718" s="63">
        <f>SUM(N716:N717)</f>
        <v>0</v>
      </c>
      <c r="O718" s="63">
        <f>SUM(O716:O717)</f>
        <v>0</v>
      </c>
      <c r="P718" s="63">
        <f>SUM(P716:P717)</f>
        <v>0</v>
      </c>
      <c r="Q718" s="334">
        <f>SUM(N718:P718)</f>
        <v>0</v>
      </c>
      <c r="R718" s="64">
        <f>+E718+I718+M718+Q718</f>
        <v>0</v>
      </c>
    </row>
    <row r="719" spans="1:18" ht="16.5" customHeight="1" thickBot="1" x14ac:dyDescent="0.35">
      <c r="A719" s="62" t="s">
        <v>69</v>
      </c>
      <c r="B719" s="100">
        <f>SUM(B713:B717)</f>
        <v>0</v>
      </c>
      <c r="C719" s="101">
        <f>SUM(C713:C717)</f>
        <v>0</v>
      </c>
      <c r="D719" s="138">
        <f>SUM(D713:D717)</f>
        <v>0</v>
      </c>
      <c r="E719" s="334">
        <f>SUM(B719:D719)</f>
        <v>0</v>
      </c>
      <c r="F719" s="101">
        <f>SUM(F713:F717)</f>
        <v>0</v>
      </c>
      <c r="G719" s="101">
        <f>SUM(G713:G717)</f>
        <v>0</v>
      </c>
      <c r="H719" s="101">
        <f>SUM(H713:H717)</f>
        <v>0</v>
      </c>
      <c r="I719" s="334">
        <f>SUM(F719:H719)</f>
        <v>0</v>
      </c>
      <c r="J719" s="101">
        <f>SUM(J713:J717)</f>
        <v>0</v>
      </c>
      <c r="K719" s="101">
        <f>SUM(K713:K717)</f>
        <v>0</v>
      </c>
      <c r="L719" s="101">
        <f>SUM(L713:L717)</f>
        <v>0</v>
      </c>
      <c r="M719" s="334">
        <f>SUM(J719:L719)</f>
        <v>0</v>
      </c>
      <c r="N719" s="101">
        <f>SUM(N713:N717)</f>
        <v>0</v>
      </c>
      <c r="O719" s="101">
        <f>SUM(O713:O717)</f>
        <v>0</v>
      </c>
      <c r="P719" s="101">
        <f>SUM(P713:P717)</f>
        <v>0</v>
      </c>
      <c r="Q719" s="334">
        <f>SUM(N719:P719)</f>
        <v>0</v>
      </c>
      <c r="R719" s="64">
        <f>+E719+I719+M719+Q719</f>
        <v>0</v>
      </c>
    </row>
    <row r="720" spans="1:18" ht="16.5" customHeight="1" thickBot="1" x14ac:dyDescent="0.35">
      <c r="A720" s="62" t="s">
        <v>70</v>
      </c>
      <c r="B720" s="107">
        <f>+B704+B708+B712+B719</f>
        <v>0</v>
      </c>
      <c r="C720" s="63">
        <f>+C704+C708+C712+C719</f>
        <v>0</v>
      </c>
      <c r="D720" s="63">
        <f>+D704+D708+D712+D719</f>
        <v>0</v>
      </c>
      <c r="E720" s="64">
        <f>SUM(B720:D720)</f>
        <v>0</v>
      </c>
      <c r="F720" s="63">
        <f>+F704+F708+F712+F719</f>
        <v>42</v>
      </c>
      <c r="G720" s="63">
        <f>+G704+G708+G712+G719</f>
        <v>0</v>
      </c>
      <c r="H720" s="63">
        <f>+H704+H708+H712+H719</f>
        <v>0</v>
      </c>
      <c r="I720" s="64">
        <f>SUM(F720:H720)</f>
        <v>42</v>
      </c>
      <c r="J720" s="63">
        <f>+J704+J708+J712+J719</f>
        <v>3</v>
      </c>
      <c r="K720" s="63">
        <f>+K704+K708+K712+K719</f>
        <v>0</v>
      </c>
      <c r="L720" s="63">
        <f>+L704+L708+L712+L719</f>
        <v>0</v>
      </c>
      <c r="M720" s="64">
        <f>SUM(J720:L720)</f>
        <v>3</v>
      </c>
      <c r="N720" s="63">
        <f>+N704+N708+N712+N719</f>
        <v>0</v>
      </c>
      <c r="O720" s="63">
        <f>+O704+O708+O712+O719</f>
        <v>0</v>
      </c>
      <c r="P720" s="63">
        <f>+P704+P708+P712+P719</f>
        <v>0</v>
      </c>
      <c r="Q720" s="64">
        <f>SUM(N720:P720)</f>
        <v>0</v>
      </c>
      <c r="R720" s="88">
        <f>+E720+I720+M720+Q720</f>
        <v>45</v>
      </c>
    </row>
    <row r="721" spans="1:20" ht="15.75" customHeight="1" x14ac:dyDescent="0.3">
      <c r="A721" s="74" t="s">
        <v>588</v>
      </c>
      <c r="B721" s="1">
        <v>3688</v>
      </c>
      <c r="C721" s="1">
        <v>3129</v>
      </c>
      <c r="D721" s="1">
        <v>3962</v>
      </c>
      <c r="E721" s="59">
        <f>SUM(B721:D721)</f>
        <v>10779</v>
      </c>
      <c r="F721" s="1">
        <v>3372</v>
      </c>
      <c r="G721" s="1">
        <v>1479</v>
      </c>
      <c r="H721" s="1">
        <v>4867</v>
      </c>
      <c r="I721" s="59">
        <f>SUM(F721:H721)</f>
        <v>9718</v>
      </c>
      <c r="J721" s="1">
        <v>4906</v>
      </c>
      <c r="K721" s="1">
        <v>4763</v>
      </c>
      <c r="L721" s="1">
        <v>3380</v>
      </c>
      <c r="M721" s="59">
        <f>SUM(J721:L721)</f>
        <v>13049</v>
      </c>
      <c r="N721" s="1">
        <v>0</v>
      </c>
      <c r="O721" s="1">
        <v>0</v>
      </c>
      <c r="P721" s="1">
        <v>0</v>
      </c>
      <c r="Q721" s="59">
        <f>SUM(N721:P721)</f>
        <v>0</v>
      </c>
      <c r="R721" s="59">
        <f>+E721+I721+M721+Q721</f>
        <v>33546</v>
      </c>
    </row>
    <row r="722" spans="1:20" ht="15.75" customHeight="1" thickBot="1" x14ac:dyDescent="0.35">
      <c r="A722" s="74" t="s">
        <v>37</v>
      </c>
      <c r="B722" s="1">
        <v>0</v>
      </c>
      <c r="C722" s="1">
        <v>0</v>
      </c>
      <c r="D722" s="1">
        <v>0</v>
      </c>
      <c r="E722" s="59">
        <f>SUM(B722:D722)</f>
        <v>0</v>
      </c>
      <c r="F722" s="1">
        <v>0</v>
      </c>
      <c r="G722" s="1">
        <v>0</v>
      </c>
      <c r="H722" s="1">
        <v>0</v>
      </c>
      <c r="I722" s="59">
        <f>SUM(F722:H722)</f>
        <v>0</v>
      </c>
      <c r="J722" s="1">
        <v>0</v>
      </c>
      <c r="K722" s="1">
        <v>0</v>
      </c>
      <c r="L722" s="1">
        <v>0</v>
      </c>
      <c r="M722" s="59">
        <f>SUM(J722:L722)</f>
        <v>0</v>
      </c>
      <c r="N722" s="1">
        <v>0</v>
      </c>
      <c r="O722" s="1">
        <v>0</v>
      </c>
      <c r="P722" s="1">
        <v>0</v>
      </c>
      <c r="Q722" s="59">
        <f>SUM(N722:P722)</f>
        <v>0</v>
      </c>
      <c r="R722" s="59">
        <f>+E722+I722+M722+Q722</f>
        <v>0</v>
      </c>
    </row>
    <row r="723" spans="1:20" ht="16.5" customHeight="1" thickBot="1" x14ac:dyDescent="0.35">
      <c r="A723" s="154"/>
      <c r="B723" s="56"/>
      <c r="C723" s="56"/>
      <c r="D723" s="56"/>
      <c r="E723" s="64" t="s">
        <v>7</v>
      </c>
      <c r="F723" s="56"/>
      <c r="G723" s="56"/>
      <c r="H723" s="56"/>
      <c r="I723" s="64" t="s">
        <v>7</v>
      </c>
      <c r="J723" s="56"/>
      <c r="K723" s="56"/>
      <c r="L723" s="56"/>
      <c r="M723" s="64" t="s">
        <v>7</v>
      </c>
      <c r="N723" s="56"/>
      <c r="O723" s="56"/>
      <c r="P723" s="56"/>
      <c r="Q723" s="64"/>
      <c r="R723" s="64"/>
    </row>
    <row r="724" spans="1:20" ht="15.75" customHeight="1" x14ac:dyDescent="0.3">
      <c r="A724" s="17" t="s">
        <v>38</v>
      </c>
      <c r="B724" s="1">
        <f>SUM(B720:B722)</f>
        <v>3688</v>
      </c>
      <c r="C724" s="1">
        <f>SUM(C720:C722)</f>
        <v>3129</v>
      </c>
      <c r="D724" s="1">
        <f>SUM(D720:D722)</f>
        <v>3962</v>
      </c>
      <c r="E724" s="334">
        <f>SUM(B724:D724)</f>
        <v>10779</v>
      </c>
      <c r="F724" s="1">
        <f>SUM(F720:F722)</f>
        <v>3414</v>
      </c>
      <c r="G724" s="1">
        <f>SUM(G720:G722)</f>
        <v>1479</v>
      </c>
      <c r="H724" s="1">
        <f>SUM(H720:H722)</f>
        <v>4867</v>
      </c>
      <c r="I724" s="334">
        <f>SUM(F724:H724)</f>
        <v>9760</v>
      </c>
      <c r="J724" s="1">
        <f>SUM(J720:J722)</f>
        <v>4909</v>
      </c>
      <c r="K724" s="1">
        <f>SUM(K720:K722)</f>
        <v>4763</v>
      </c>
      <c r="L724" s="1">
        <f>SUM(L720:L722)</f>
        <v>3380</v>
      </c>
      <c r="M724" s="334">
        <f>SUM(J724:L724)</f>
        <v>13052</v>
      </c>
      <c r="N724" s="1">
        <f>SUM(N720:N722)</f>
        <v>0</v>
      </c>
      <c r="O724" s="1">
        <f>SUM(O720:O722)</f>
        <v>0</v>
      </c>
      <c r="P724" s="1">
        <f>SUM(P720:P722)</f>
        <v>0</v>
      </c>
      <c r="Q724" s="334">
        <f>SUM(N724:P724)</f>
        <v>0</v>
      </c>
      <c r="R724" s="334">
        <f>+E724+I724+M724+Q724</f>
        <v>33591</v>
      </c>
    </row>
    <row r="725" spans="1:20" ht="15.75" customHeight="1" x14ac:dyDescent="0.3">
      <c r="A725" s="17" t="s">
        <v>39</v>
      </c>
      <c r="B725" s="1">
        <f>(B724/B10)/1.983</f>
        <v>59.993818424348902</v>
      </c>
      <c r="C725" s="1">
        <f>(C724/C10)/1.983</f>
        <v>54.410767384840106</v>
      </c>
      <c r="D725" s="1">
        <f>(D724/D10)/1.983</f>
        <v>64.451059814878079</v>
      </c>
      <c r="E725" s="59" t="s">
        <v>7</v>
      </c>
      <c r="F725" s="1">
        <f>(F724/F10)/1.983</f>
        <v>57.387796268280376</v>
      </c>
      <c r="G725" s="1">
        <f>(G724/G10)/1.983</f>
        <v>24.05934312625055</v>
      </c>
      <c r="H725" s="1">
        <f>(H724/H10)/1.983</f>
        <v>81.812069255337022</v>
      </c>
      <c r="I725" s="59" t="s">
        <v>7</v>
      </c>
      <c r="J725" s="1">
        <f>(J724/J10)/1.983</f>
        <v>79.85619702959022</v>
      </c>
      <c r="K725" s="1">
        <f>(K724/K10)/1.983</f>
        <v>77.481170595220661</v>
      </c>
      <c r="L725" s="1">
        <f>(L724/L10)/1.983</f>
        <v>56.816271642292818</v>
      </c>
      <c r="M725" s="59" t="s">
        <v>7</v>
      </c>
      <c r="N725" s="1">
        <f>(N724/N10)/1.983</f>
        <v>0</v>
      </c>
      <c r="O725" s="1">
        <f>(O724/O10)/1.983</f>
        <v>0</v>
      </c>
      <c r="P725" s="1">
        <f>(P724/P10)/1.983</f>
        <v>0</v>
      </c>
      <c r="Q725" s="59" t="s">
        <v>7</v>
      </c>
      <c r="R725" s="59" t="s">
        <v>7</v>
      </c>
    </row>
    <row r="726" spans="1:20" ht="15.75" customHeight="1" x14ac:dyDescent="0.3">
      <c r="A726" s="17" t="s">
        <v>589</v>
      </c>
      <c r="B726" s="1">
        <f>B724</f>
        <v>3688</v>
      </c>
      <c r="C726" s="1">
        <f>C724</f>
        <v>3129</v>
      </c>
      <c r="D726" s="1">
        <f>D724</f>
        <v>3962</v>
      </c>
      <c r="E726" s="59">
        <f>SUM(B726:D726)</f>
        <v>10779</v>
      </c>
      <c r="F726" s="1">
        <f>F724</f>
        <v>3414</v>
      </c>
      <c r="G726" s="1">
        <f>G724</f>
        <v>1479</v>
      </c>
      <c r="H726" s="1">
        <f>H724</f>
        <v>4867</v>
      </c>
      <c r="I726" s="59">
        <f>SUM(F726:H726)</f>
        <v>9760</v>
      </c>
      <c r="J726" s="1">
        <f>J724</f>
        <v>4909</v>
      </c>
      <c r="K726" s="1">
        <f>K724</f>
        <v>4763</v>
      </c>
      <c r="L726" s="1">
        <f>L724</f>
        <v>3380</v>
      </c>
      <c r="M726" s="59">
        <f>SUM(J726:L726)</f>
        <v>13052</v>
      </c>
      <c r="N726" s="1">
        <f>N724</f>
        <v>0</v>
      </c>
      <c r="O726" s="1">
        <f>O724</f>
        <v>0</v>
      </c>
      <c r="P726" s="1">
        <f>P724</f>
        <v>0</v>
      </c>
      <c r="Q726" s="59">
        <f>SUM(N726:P726)</f>
        <v>0</v>
      </c>
      <c r="R726" s="59">
        <f>+E726+I726+M726+Q726</f>
        <v>33591</v>
      </c>
    </row>
    <row r="727" spans="1:20" ht="16.5" customHeight="1" thickBot="1" x14ac:dyDescent="0.35">
      <c r="A727" s="24" t="s">
        <v>590</v>
      </c>
      <c r="B727" s="25">
        <f>(B726/B10)/1.983</f>
        <v>59.993818424348902</v>
      </c>
      <c r="C727" s="25">
        <f>(C726/C10)/1.983</f>
        <v>54.410767384840106</v>
      </c>
      <c r="D727" s="25">
        <f>(D726/D10)/1.983</f>
        <v>64.451059814878079</v>
      </c>
      <c r="E727" s="88" t="s">
        <v>7</v>
      </c>
      <c r="F727" s="25">
        <f>(F726/F10)/1.983</f>
        <v>57.387796268280376</v>
      </c>
      <c r="G727" s="25">
        <f>(G726/G10)/1.983</f>
        <v>24.05934312625055</v>
      </c>
      <c r="H727" s="25">
        <f>(H726/H10)/1.983</f>
        <v>81.812069255337022</v>
      </c>
      <c r="I727" s="88" t="s">
        <v>7</v>
      </c>
      <c r="J727" s="25">
        <f>(J726/J10)/1.983</f>
        <v>79.85619702959022</v>
      </c>
      <c r="K727" s="25">
        <f>(K726/K10)/1.983</f>
        <v>77.481170595220661</v>
      </c>
      <c r="L727" s="25">
        <f>(L726/L10)/1.983</f>
        <v>56.816271642292818</v>
      </c>
      <c r="M727" s="88" t="s">
        <v>7</v>
      </c>
      <c r="N727" s="25">
        <f>(N726/N10)/1.983</f>
        <v>0</v>
      </c>
      <c r="O727" s="25">
        <f>(O726/O10)/1.983</f>
        <v>0</v>
      </c>
      <c r="P727" s="25">
        <f>(P726/P10)/1.983</f>
        <v>0</v>
      </c>
      <c r="Q727" s="88" t="s">
        <v>7</v>
      </c>
      <c r="R727" s="88" t="s">
        <v>7</v>
      </c>
    </row>
    <row r="728" spans="1:20" ht="15.75" customHeight="1" x14ac:dyDescent="0.3">
      <c r="A728" s="28"/>
      <c r="B728" s="1"/>
      <c r="C728" s="1"/>
      <c r="D728" s="1"/>
      <c r="E728" s="1"/>
      <c r="F728" s="1"/>
      <c r="G728" s="1"/>
      <c r="H728" s="1"/>
      <c r="I728" s="1"/>
      <c r="J728" s="1"/>
      <c r="K728" s="1"/>
      <c r="L728" s="1"/>
      <c r="M728" s="1"/>
      <c r="N728" s="1"/>
      <c r="O728" s="1"/>
      <c r="P728" s="1"/>
      <c r="Q728" s="1"/>
      <c r="R728" s="28"/>
    </row>
    <row r="729" spans="1:20" ht="15.75" customHeight="1" thickBot="1" x14ac:dyDescent="0.35">
      <c r="A729" s="28"/>
      <c r="B729" s="1"/>
      <c r="C729" s="1"/>
      <c r="D729" s="1"/>
      <c r="E729" s="1"/>
      <c r="F729" s="1"/>
      <c r="G729" s="1"/>
      <c r="H729" s="1"/>
      <c r="I729" s="1"/>
      <c r="J729" s="1"/>
      <c r="K729" s="1"/>
      <c r="L729" s="1"/>
      <c r="M729" s="1"/>
      <c r="N729" s="1"/>
      <c r="O729" s="1"/>
      <c r="P729" s="1"/>
      <c r="Q729" s="1"/>
      <c r="R729" s="28"/>
    </row>
    <row r="730" spans="1:20" ht="16.5" customHeight="1" thickBot="1" x14ac:dyDescent="0.35">
      <c r="A730" s="343" t="s">
        <v>591</v>
      </c>
      <c r="B730" s="323" t="s">
        <v>36</v>
      </c>
      <c r="C730" s="324" t="s">
        <v>9</v>
      </c>
      <c r="D730" s="324" t="s">
        <v>10</v>
      </c>
      <c r="E730" s="325" t="s">
        <v>11</v>
      </c>
      <c r="F730" s="324" t="s">
        <v>12</v>
      </c>
      <c r="G730" s="324" t="s">
        <v>13</v>
      </c>
      <c r="H730" s="324" t="s">
        <v>14</v>
      </c>
      <c r="I730" s="34" t="s">
        <v>15</v>
      </c>
      <c r="J730" s="324" t="s">
        <v>16</v>
      </c>
      <c r="K730" s="324" t="s">
        <v>17</v>
      </c>
      <c r="L730" s="324" t="s">
        <v>18</v>
      </c>
      <c r="M730" s="34" t="s">
        <v>19</v>
      </c>
      <c r="N730" s="324" t="s">
        <v>20</v>
      </c>
      <c r="O730" s="324" t="s">
        <v>21</v>
      </c>
      <c r="P730" s="324" t="s">
        <v>22</v>
      </c>
      <c r="Q730" s="34" t="s">
        <v>23</v>
      </c>
      <c r="R730" s="157" t="s">
        <v>24</v>
      </c>
    </row>
    <row r="731" spans="1:20" ht="16.5" customHeight="1" thickBot="1" x14ac:dyDescent="0.35">
      <c r="A731" s="42"/>
      <c r="B731" s="37"/>
      <c r="C731" s="37"/>
      <c r="D731" s="37"/>
      <c r="E731" s="16"/>
      <c r="F731" s="37"/>
      <c r="G731" s="37"/>
      <c r="H731" s="37"/>
      <c r="I731" s="156"/>
      <c r="J731" s="37"/>
      <c r="K731" s="37"/>
      <c r="L731" s="37"/>
      <c r="M731" s="156"/>
      <c r="N731" s="37"/>
      <c r="O731" s="37"/>
      <c r="P731" s="37"/>
      <c r="Q731" s="158"/>
      <c r="R731" s="159"/>
    </row>
    <row r="732" spans="1:20" ht="15.75" customHeight="1" x14ac:dyDescent="0.3">
      <c r="A732" s="17" t="s">
        <v>45</v>
      </c>
      <c r="B732" s="1" t="s">
        <v>7</v>
      </c>
      <c r="C732" s="1" t="s">
        <v>7</v>
      </c>
      <c r="D732" s="1" t="s">
        <v>7</v>
      </c>
      <c r="E732" s="160"/>
      <c r="F732" s="1" t="s">
        <v>7</v>
      </c>
      <c r="G732" s="1" t="s">
        <v>7</v>
      </c>
      <c r="H732" s="1" t="s">
        <v>7</v>
      </c>
      <c r="I732" s="160"/>
      <c r="J732" s="1" t="s">
        <v>7</v>
      </c>
      <c r="K732" s="1" t="s">
        <v>7</v>
      </c>
      <c r="L732" s="1" t="s">
        <v>7</v>
      </c>
      <c r="M732" s="160"/>
      <c r="N732" s="1" t="s">
        <v>7</v>
      </c>
      <c r="O732" s="1" t="s">
        <v>7</v>
      </c>
      <c r="P732" s="1" t="s">
        <v>7</v>
      </c>
      <c r="Q732" s="161"/>
      <c r="R732" s="162" t="s">
        <v>7</v>
      </c>
    </row>
    <row r="733" spans="1:20" ht="15.75" customHeight="1" x14ac:dyDescent="0.3">
      <c r="A733" s="17" t="s">
        <v>46</v>
      </c>
      <c r="B733" s="1"/>
      <c r="C733" s="1"/>
      <c r="D733" s="1"/>
      <c r="E733" s="59" t="s">
        <v>7</v>
      </c>
      <c r="F733" s="1"/>
      <c r="G733" s="1"/>
      <c r="H733" s="1"/>
      <c r="I733" s="59" t="s">
        <v>7</v>
      </c>
      <c r="J733" s="1"/>
      <c r="K733" s="1"/>
      <c r="L733" s="1"/>
      <c r="M733" s="59" t="s">
        <v>7</v>
      </c>
      <c r="N733" s="1"/>
      <c r="O733" s="1"/>
      <c r="P733" s="1"/>
      <c r="Q733" s="59" t="s">
        <v>7</v>
      </c>
      <c r="R733" s="59" t="s">
        <v>7</v>
      </c>
    </row>
    <row r="734" spans="1:20" ht="15.75" customHeight="1" x14ac:dyDescent="0.3">
      <c r="A734" s="74" t="s">
        <v>594</v>
      </c>
      <c r="B734" s="1"/>
      <c r="C734" s="1"/>
      <c r="D734" s="1"/>
      <c r="E734" s="59">
        <f>SUM(B734:D734)</f>
        <v>0</v>
      </c>
      <c r="F734" s="1"/>
      <c r="G734" s="1"/>
      <c r="H734" s="1"/>
      <c r="I734" s="59">
        <f>SUM(F734:H734)</f>
        <v>0</v>
      </c>
      <c r="J734" s="1"/>
      <c r="K734" s="1"/>
      <c r="L734" s="1"/>
      <c r="M734" s="59">
        <f>SUM(J734:L734)</f>
        <v>0</v>
      </c>
      <c r="N734" s="1"/>
      <c r="O734" s="1"/>
      <c r="P734" s="1"/>
      <c r="Q734" s="59">
        <f>SUM(N734:P734)</f>
        <v>0</v>
      </c>
      <c r="R734" s="59">
        <f>+E734+I734+M734+Q734</f>
        <v>0</v>
      </c>
      <c r="T734" s="4" t="s">
        <v>593</v>
      </c>
    </row>
    <row r="735" spans="1:20" ht="15.75" customHeight="1" x14ac:dyDescent="0.3">
      <c r="A735" s="74" t="s">
        <v>595</v>
      </c>
      <c r="B735" s="1"/>
      <c r="C735" s="1"/>
      <c r="D735" s="1">
        <v>1000</v>
      </c>
      <c r="E735" s="59">
        <f>SUM(B735:D735)</f>
        <v>1000</v>
      </c>
      <c r="F735" s="1"/>
      <c r="G735" s="1"/>
      <c r="H735" s="1"/>
      <c r="I735" s="59">
        <f>SUM(F735:H735)</f>
        <v>0</v>
      </c>
      <c r="J735" s="1"/>
      <c r="K735" s="1"/>
      <c r="L735" s="1"/>
      <c r="M735" s="59">
        <f>SUM(J735:L735)</f>
        <v>0</v>
      </c>
      <c r="N735" s="1"/>
      <c r="O735" s="1"/>
      <c r="P735" s="1"/>
      <c r="Q735" s="59">
        <f>SUM(N735:P735)</f>
        <v>0</v>
      </c>
      <c r="R735" s="59">
        <f>+E735+I735+M735+Q735</f>
        <v>1000</v>
      </c>
    </row>
    <row r="736" spans="1:20" ht="15.75" customHeight="1" x14ac:dyDescent="0.3">
      <c r="A736" s="74" t="s">
        <v>596</v>
      </c>
      <c r="B736" s="1">
        <v>50</v>
      </c>
      <c r="C736" s="1"/>
      <c r="D736" s="1"/>
      <c r="E736" s="59">
        <f>SUM(B736:D736)</f>
        <v>50</v>
      </c>
      <c r="F736" s="1"/>
      <c r="G736" s="1"/>
      <c r="H736" s="1"/>
      <c r="I736" s="59">
        <f>SUM(F736:H736)</f>
        <v>0</v>
      </c>
      <c r="J736" s="1"/>
      <c r="K736" s="1"/>
      <c r="L736" s="1"/>
      <c r="M736" s="59">
        <f>SUM(J736:L736)</f>
        <v>0</v>
      </c>
      <c r="N736" s="1"/>
      <c r="O736" s="1"/>
      <c r="P736" s="1"/>
      <c r="Q736" s="59">
        <f>SUM(N736:P736)</f>
        <v>0</v>
      </c>
      <c r="R736" s="59">
        <f>+E736+I736+M736+Q736</f>
        <v>50</v>
      </c>
    </row>
    <row r="737" spans="1:20" ht="15.75" customHeight="1" x14ac:dyDescent="0.3">
      <c r="A737" s="74" t="s">
        <v>598</v>
      </c>
      <c r="B737" s="1">
        <v>3184</v>
      </c>
      <c r="C737" s="1">
        <v>2158</v>
      </c>
      <c r="D737" s="1">
        <v>1697</v>
      </c>
      <c r="E737" s="59">
        <f>SUM(B737:D737)</f>
        <v>7039</v>
      </c>
      <c r="F737" s="1">
        <v>2667</v>
      </c>
      <c r="G737" s="1">
        <v>2343</v>
      </c>
      <c r="H737" s="1">
        <v>2878</v>
      </c>
      <c r="I737" s="59">
        <f>SUM(F737:H737)</f>
        <v>7888</v>
      </c>
      <c r="J737" s="1">
        <v>2043</v>
      </c>
      <c r="K737" s="1">
        <v>491</v>
      </c>
      <c r="L737" s="1">
        <v>3079</v>
      </c>
      <c r="M737" s="59">
        <f>SUM(J737:L737)</f>
        <v>5613</v>
      </c>
      <c r="N737" s="1">
        <v>1169</v>
      </c>
      <c r="O737" s="1">
        <v>64</v>
      </c>
      <c r="P737" s="1">
        <v>3227</v>
      </c>
      <c r="Q737" s="59">
        <f>SUM(N737:P737)</f>
        <v>4460</v>
      </c>
      <c r="R737" s="59">
        <f>+E737+I737+M737+Q737</f>
        <v>25000</v>
      </c>
    </row>
    <row r="738" spans="1:20" ht="15.75" customHeight="1" x14ac:dyDescent="0.3">
      <c r="A738" s="17" t="s">
        <v>47</v>
      </c>
      <c r="B738" s="1"/>
      <c r="C738" s="1"/>
      <c r="D738" s="1"/>
      <c r="E738" s="59" t="s">
        <v>7</v>
      </c>
      <c r="F738" s="1"/>
      <c r="G738" s="1"/>
      <c r="H738" s="1"/>
      <c r="I738" s="59" t="s">
        <v>7</v>
      </c>
      <c r="J738" s="1"/>
      <c r="K738" s="1"/>
      <c r="L738" s="1"/>
      <c r="M738" s="59" t="s">
        <v>7</v>
      </c>
      <c r="N738" s="1"/>
      <c r="O738" s="1"/>
      <c r="P738" s="1"/>
      <c r="Q738" s="59" t="s">
        <v>7</v>
      </c>
      <c r="R738" s="59" t="s">
        <v>7</v>
      </c>
    </row>
    <row r="739" spans="1:20" ht="15.75" customHeight="1" x14ac:dyDescent="0.3">
      <c r="A739" s="17" t="s">
        <v>898</v>
      </c>
      <c r="B739" s="1"/>
      <c r="C739" s="1"/>
      <c r="D739" s="1"/>
      <c r="E739" s="59" t="s">
        <v>7</v>
      </c>
      <c r="F739" s="1"/>
      <c r="G739" s="1"/>
      <c r="H739" s="1"/>
      <c r="I739" s="59" t="s">
        <v>7</v>
      </c>
      <c r="J739" s="1"/>
      <c r="K739" s="1"/>
      <c r="L739" s="1"/>
      <c r="M739" s="59" t="s">
        <v>7</v>
      </c>
      <c r="N739" s="1"/>
      <c r="O739" s="1"/>
      <c r="P739" s="1"/>
      <c r="Q739" s="59" t="s">
        <v>7</v>
      </c>
      <c r="R739" s="59" t="s">
        <v>7</v>
      </c>
    </row>
    <row r="740" spans="1:20" ht="15.75" customHeight="1" x14ac:dyDescent="0.3">
      <c r="A740" s="74" t="s">
        <v>926</v>
      </c>
      <c r="B740" s="1"/>
      <c r="C740" s="1"/>
      <c r="D740" s="1"/>
      <c r="E740" s="59">
        <f>SUM(B740:D740)</f>
        <v>0</v>
      </c>
      <c r="F740" s="1"/>
      <c r="G740" s="1"/>
      <c r="H740" s="1"/>
      <c r="I740" s="59">
        <f>SUM(F740:H740)</f>
        <v>0</v>
      </c>
      <c r="J740" s="1"/>
      <c r="K740" s="1"/>
      <c r="L740" s="1"/>
      <c r="M740" s="59">
        <f>SUM(J740:L740)</f>
        <v>0</v>
      </c>
      <c r="N740" s="1"/>
      <c r="O740" s="1"/>
      <c r="P740" s="1"/>
      <c r="Q740" s="59">
        <f>SUM(N740:P740)</f>
        <v>0</v>
      </c>
      <c r="R740" s="59">
        <f>+E740+I740+M740+Q740</f>
        <v>0</v>
      </c>
    </row>
    <row r="741" spans="1:20" ht="15.75" customHeight="1" thickBot="1" x14ac:dyDescent="0.35">
      <c r="A741" s="17" t="s">
        <v>51</v>
      </c>
      <c r="B741" s="1"/>
      <c r="C741" s="1"/>
      <c r="D741" s="1"/>
      <c r="E741" s="59" t="s">
        <v>7</v>
      </c>
      <c r="F741" s="1"/>
      <c r="G741" s="1"/>
      <c r="H741" s="1"/>
      <c r="I741" s="59" t="s">
        <v>7</v>
      </c>
      <c r="J741" s="1"/>
      <c r="K741" s="1"/>
      <c r="L741" s="1"/>
      <c r="M741" s="59" t="s">
        <v>7</v>
      </c>
      <c r="N741" s="1"/>
      <c r="O741" s="1"/>
      <c r="P741" s="1"/>
      <c r="Q741" s="59" t="s">
        <v>7</v>
      </c>
      <c r="R741" s="59" t="s">
        <v>7</v>
      </c>
    </row>
    <row r="742" spans="1:20" ht="16.5" customHeight="1" thickBot="1" x14ac:dyDescent="0.35">
      <c r="A742" s="62" t="s">
        <v>52</v>
      </c>
      <c r="B742" s="100">
        <f>SUM(B732:B741)</f>
        <v>3234</v>
      </c>
      <c r="C742" s="101">
        <f>SUM(C732:C741)</f>
        <v>2158</v>
      </c>
      <c r="D742" s="101">
        <f>SUM(D732:D741)</f>
        <v>2697</v>
      </c>
      <c r="E742" s="64">
        <f>SUM(B742:D742)</f>
        <v>8089</v>
      </c>
      <c r="F742" s="101">
        <f>SUM(F732:F741)</f>
        <v>2667</v>
      </c>
      <c r="G742" s="101">
        <f>SUM(G732:G741)</f>
        <v>2343</v>
      </c>
      <c r="H742" s="101">
        <f>SUM(H732:H741)</f>
        <v>2878</v>
      </c>
      <c r="I742" s="64">
        <f>SUM(F742:H742)</f>
        <v>7888</v>
      </c>
      <c r="J742" s="101">
        <f>SUM(J732:J741)</f>
        <v>2043</v>
      </c>
      <c r="K742" s="101">
        <f>SUM(K732:K741)</f>
        <v>491</v>
      </c>
      <c r="L742" s="101">
        <f>SUM(L732:L741)</f>
        <v>3079</v>
      </c>
      <c r="M742" s="64">
        <f>SUM(J742:L742)</f>
        <v>5613</v>
      </c>
      <c r="N742" s="101">
        <f>SUM(N732:N741)</f>
        <v>1169</v>
      </c>
      <c r="O742" s="101">
        <f>SUM(O732:O741)</f>
        <v>64</v>
      </c>
      <c r="P742" s="101">
        <f>SUM(P732:P741)</f>
        <v>3227</v>
      </c>
      <c r="Q742" s="64">
        <f>SUM(N742:P742)</f>
        <v>4460</v>
      </c>
      <c r="R742" s="64">
        <f>+E742+I742+M742+Q742</f>
        <v>26050</v>
      </c>
    </row>
    <row r="743" spans="1:20" ht="15.75" customHeight="1" x14ac:dyDescent="0.3">
      <c r="A743" s="17" t="s">
        <v>53</v>
      </c>
      <c r="B743" s="1"/>
      <c r="C743" s="1"/>
      <c r="D743" s="1"/>
      <c r="E743" s="59" t="s">
        <v>7</v>
      </c>
      <c r="F743" s="1"/>
      <c r="G743" s="1"/>
      <c r="H743" s="1"/>
      <c r="I743" s="59" t="s">
        <v>7</v>
      </c>
      <c r="J743" s="1"/>
      <c r="K743" s="1"/>
      <c r="L743" s="1"/>
      <c r="M743" s="59" t="s">
        <v>7</v>
      </c>
      <c r="N743" s="1"/>
      <c r="O743" s="1"/>
      <c r="P743" s="1"/>
      <c r="Q743" s="59" t="s">
        <v>7</v>
      </c>
      <c r="R743" s="59" t="s">
        <v>7</v>
      </c>
    </row>
    <row r="744" spans="1:20" ht="15.75" customHeight="1" x14ac:dyDescent="0.3">
      <c r="A744" s="17" t="s">
        <v>55</v>
      </c>
      <c r="B744" s="1"/>
      <c r="C744" s="1"/>
      <c r="D744" s="1"/>
      <c r="E744" s="59" t="s">
        <v>7</v>
      </c>
      <c r="F744" s="1"/>
      <c r="G744" s="1"/>
      <c r="H744" s="1"/>
      <c r="I744" s="59" t="s">
        <v>7</v>
      </c>
      <c r="J744" s="1"/>
      <c r="K744" s="1"/>
      <c r="L744" s="1"/>
      <c r="M744" s="59" t="s">
        <v>7</v>
      </c>
      <c r="N744" s="1"/>
      <c r="O744" s="1"/>
      <c r="P744" s="1"/>
      <c r="Q744" s="59" t="s">
        <v>7</v>
      </c>
      <c r="R744" s="59" t="s">
        <v>7</v>
      </c>
    </row>
    <row r="745" spans="1:20" ht="15.75" customHeight="1" x14ac:dyDescent="0.3">
      <c r="A745" s="74" t="s">
        <v>600</v>
      </c>
      <c r="B745" s="1"/>
      <c r="C745" s="1"/>
      <c r="D745" s="1"/>
      <c r="E745" s="59">
        <f>SUM(B745:D745)</f>
        <v>0</v>
      </c>
      <c r="F745" s="1"/>
      <c r="G745" s="1"/>
      <c r="H745" s="1"/>
      <c r="I745" s="59">
        <f>SUM(F745:H745)</f>
        <v>0</v>
      </c>
      <c r="J745" s="1"/>
      <c r="K745" s="1"/>
      <c r="L745" s="1"/>
      <c r="M745" s="59">
        <f>SUM(J745:L745)</f>
        <v>0</v>
      </c>
      <c r="N745" s="1"/>
      <c r="O745" s="1"/>
      <c r="P745" s="1"/>
      <c r="Q745" s="59">
        <f>SUM(N745:P745)</f>
        <v>0</v>
      </c>
      <c r="R745" s="59">
        <f>+E745+I745+M745+Q745</f>
        <v>0</v>
      </c>
    </row>
    <row r="746" spans="1:20" ht="15.75" customHeight="1" thickBot="1" x14ac:dyDescent="0.35">
      <c r="A746" s="17" t="s">
        <v>56</v>
      </c>
      <c r="B746" s="1"/>
      <c r="C746" s="1"/>
      <c r="D746" s="1"/>
      <c r="E746" s="59" t="s">
        <v>7</v>
      </c>
      <c r="F746" s="1"/>
      <c r="G746" s="1"/>
      <c r="H746" s="1"/>
      <c r="I746" s="59" t="s">
        <v>7</v>
      </c>
      <c r="J746" s="1"/>
      <c r="K746" s="1"/>
      <c r="L746" s="1"/>
      <c r="M746" s="59" t="s">
        <v>7</v>
      </c>
      <c r="N746" s="1"/>
      <c r="O746" s="1"/>
      <c r="P746" s="1"/>
      <c r="Q746" s="59" t="s">
        <v>7</v>
      </c>
      <c r="R746" s="59" t="s">
        <v>7</v>
      </c>
    </row>
    <row r="747" spans="1:20" ht="16.5" customHeight="1" thickBot="1" x14ac:dyDescent="0.35">
      <c r="A747" s="62" t="s">
        <v>57</v>
      </c>
      <c r="B747" s="100">
        <f>SUM(B743:B746)</f>
        <v>0</v>
      </c>
      <c r="C747" s="101">
        <f>SUM(C743:C746)</f>
        <v>0</v>
      </c>
      <c r="D747" s="101">
        <f>SUM(D743:D746)</f>
        <v>0</v>
      </c>
      <c r="E747" s="64">
        <f>SUM(B747:D747)</f>
        <v>0</v>
      </c>
      <c r="F747" s="101">
        <f>SUM(F743:F746)</f>
        <v>0</v>
      </c>
      <c r="G747" s="101">
        <f>SUM(G743:G746)</f>
        <v>0</v>
      </c>
      <c r="H747" s="101">
        <f>SUM(H743:H746)</f>
        <v>0</v>
      </c>
      <c r="I747" s="64">
        <f>SUM(F747:H747)</f>
        <v>0</v>
      </c>
      <c r="J747" s="101">
        <f>SUM(J743:J746)</f>
        <v>0</v>
      </c>
      <c r="K747" s="101">
        <f>SUM(K743:K746)</f>
        <v>0</v>
      </c>
      <c r="L747" s="101">
        <f>SUM(L743:L746)</f>
        <v>0</v>
      </c>
      <c r="M747" s="64">
        <f>SUM(J747:L747)</f>
        <v>0</v>
      </c>
      <c r="N747" s="101">
        <f>SUM(N743:N746)</f>
        <v>0</v>
      </c>
      <c r="O747" s="101">
        <f>SUM(O743:O746)</f>
        <v>0</v>
      </c>
      <c r="P747" s="101">
        <f>SUM(P743:P746)</f>
        <v>0</v>
      </c>
      <c r="Q747" s="64">
        <f>SUM(N747:P747)</f>
        <v>0</v>
      </c>
      <c r="R747" s="64">
        <f>+E747+I747+M747+Q747</f>
        <v>0</v>
      </c>
    </row>
    <row r="748" spans="1:20" ht="15.75" customHeight="1" x14ac:dyDescent="0.3">
      <c r="A748" s="17" t="s">
        <v>58</v>
      </c>
      <c r="B748" s="1"/>
      <c r="C748" s="1"/>
      <c r="D748" s="1"/>
      <c r="E748" s="59" t="s">
        <v>7</v>
      </c>
      <c r="F748" s="1"/>
      <c r="G748" s="1"/>
      <c r="H748" s="1"/>
      <c r="I748" s="59" t="s">
        <v>7</v>
      </c>
      <c r="J748" s="1" t="s">
        <v>7</v>
      </c>
      <c r="K748" s="1"/>
      <c r="L748" s="1"/>
      <c r="M748" s="59" t="s">
        <v>7</v>
      </c>
      <c r="N748" s="1"/>
      <c r="O748" s="1"/>
      <c r="P748" s="1"/>
      <c r="Q748" s="59" t="s">
        <v>7</v>
      </c>
      <c r="R748" s="59" t="s">
        <v>7</v>
      </c>
    </row>
    <row r="749" spans="1:20" ht="18" customHeight="1" x14ac:dyDescent="0.3">
      <c r="A749" s="17" t="s">
        <v>59</v>
      </c>
      <c r="B749" s="1"/>
      <c r="C749" s="1"/>
      <c r="D749" s="1"/>
      <c r="E749" s="59" t="s">
        <v>7</v>
      </c>
      <c r="F749" s="1"/>
      <c r="G749" s="1"/>
      <c r="H749" s="1"/>
      <c r="I749" s="59" t="s">
        <v>7</v>
      </c>
      <c r="J749" s="1"/>
      <c r="K749" s="1"/>
      <c r="L749" s="1"/>
      <c r="M749" s="59" t="s">
        <v>7</v>
      </c>
      <c r="N749" s="1"/>
      <c r="O749" s="1"/>
      <c r="P749" s="1"/>
      <c r="Q749" s="59" t="s">
        <v>7</v>
      </c>
      <c r="R749" s="59" t="s">
        <v>7</v>
      </c>
    </row>
    <row r="750" spans="1:20" ht="15.75" customHeight="1" x14ac:dyDescent="0.3">
      <c r="A750" s="74" t="s">
        <v>601</v>
      </c>
      <c r="B750" s="1">
        <v>64</v>
      </c>
      <c r="C750" s="1">
        <v>216</v>
      </c>
      <c r="D750" s="1">
        <v>541</v>
      </c>
      <c r="E750" s="59">
        <f>SUM(B750:D750)</f>
        <v>821</v>
      </c>
      <c r="F750" s="1">
        <v>683</v>
      </c>
      <c r="G750" s="1">
        <v>896</v>
      </c>
      <c r="H750" s="1">
        <v>885</v>
      </c>
      <c r="I750" s="59">
        <f>SUM(F750:H750)</f>
        <v>2464</v>
      </c>
      <c r="J750" s="1">
        <v>946</v>
      </c>
      <c r="K750" s="1">
        <v>735</v>
      </c>
      <c r="L750" s="1">
        <v>925</v>
      </c>
      <c r="M750" s="59">
        <f>SUM(J750:L750)</f>
        <v>2606</v>
      </c>
      <c r="N750" s="1">
        <v>223</v>
      </c>
      <c r="O750" s="1">
        <v>572</v>
      </c>
      <c r="P750" s="1">
        <v>462</v>
      </c>
      <c r="Q750" s="59">
        <f>SUM(N750:P750)</f>
        <v>1257</v>
      </c>
      <c r="R750" s="59">
        <f>+E750+I750+M750+Q750</f>
        <v>7148</v>
      </c>
      <c r="T750" s="4" t="s">
        <v>602</v>
      </c>
    </row>
    <row r="751" spans="1:20" ht="15.75" customHeight="1" x14ac:dyDescent="0.3">
      <c r="A751" s="74" t="s">
        <v>603</v>
      </c>
      <c r="B751" s="1">
        <v>20</v>
      </c>
      <c r="C751" s="1">
        <v>49</v>
      </c>
      <c r="D751" s="1">
        <v>45</v>
      </c>
      <c r="E751" s="59">
        <f>SUM(B751:D751)</f>
        <v>114</v>
      </c>
      <c r="F751" s="1">
        <v>76</v>
      </c>
      <c r="G751" s="1">
        <v>79</v>
      </c>
      <c r="H751" s="1">
        <v>108</v>
      </c>
      <c r="I751" s="59">
        <f>SUM(F751:H751)</f>
        <v>263</v>
      </c>
      <c r="J751" s="1">
        <v>85</v>
      </c>
      <c r="K751" s="1">
        <v>38</v>
      </c>
      <c r="L751" s="1"/>
      <c r="M751" s="59">
        <f>SUM(J751:L751)</f>
        <v>123</v>
      </c>
      <c r="N751" s="1"/>
      <c r="O751" s="1"/>
      <c r="P751" s="1"/>
      <c r="Q751" s="59">
        <f>SUM(N751:P751)</f>
        <v>0</v>
      </c>
      <c r="R751" s="59">
        <f>+E751+I751+M751+Q751</f>
        <v>500</v>
      </c>
      <c r="T751" s="4" t="s">
        <v>604</v>
      </c>
    </row>
    <row r="752" spans="1:20" ht="15.75" customHeight="1" x14ac:dyDescent="0.3">
      <c r="A752" s="17" t="s">
        <v>60</v>
      </c>
      <c r="B752" s="1"/>
      <c r="C752" s="1"/>
      <c r="D752" s="1"/>
      <c r="E752" s="59" t="s">
        <v>7</v>
      </c>
      <c r="F752" s="1"/>
      <c r="G752" s="1"/>
      <c r="H752" s="1"/>
      <c r="I752" s="59" t="s">
        <v>7</v>
      </c>
      <c r="J752" s="1"/>
      <c r="K752" s="1"/>
      <c r="L752" s="1"/>
      <c r="M752" s="59" t="s">
        <v>7</v>
      </c>
      <c r="N752" s="1"/>
      <c r="O752" s="1"/>
      <c r="P752" s="1"/>
      <c r="Q752" s="59" t="s">
        <v>7</v>
      </c>
      <c r="R752" s="59" t="s">
        <v>7</v>
      </c>
    </row>
    <row r="753" spans="1:20" ht="15.75" customHeight="1" x14ac:dyDescent="0.3">
      <c r="A753" s="74" t="s">
        <v>606</v>
      </c>
      <c r="B753" s="1"/>
      <c r="C753" s="1"/>
      <c r="D753" s="1"/>
      <c r="E753" s="59">
        <f>SUM(B753:D753)</f>
        <v>0</v>
      </c>
      <c r="F753" s="1"/>
      <c r="G753" s="1"/>
      <c r="H753" s="1"/>
      <c r="I753" s="59">
        <f>SUM(F753:H753)</f>
        <v>0</v>
      </c>
      <c r="J753" s="1"/>
      <c r="K753" s="1">
        <v>25</v>
      </c>
      <c r="L753" s="1">
        <v>50</v>
      </c>
      <c r="M753" s="59">
        <f>SUM(J753:L753)</f>
        <v>75</v>
      </c>
      <c r="N753" s="1">
        <v>43</v>
      </c>
      <c r="O753" s="1">
        <v>38</v>
      </c>
      <c r="P753" s="1">
        <v>18</v>
      </c>
      <c r="Q753" s="59">
        <f>SUM(N753:P753)</f>
        <v>99</v>
      </c>
      <c r="R753" s="59">
        <f>+E753+I753+M753+Q753</f>
        <v>174</v>
      </c>
      <c r="T753" s="4" t="s">
        <v>604</v>
      </c>
    </row>
    <row r="754" spans="1:20" ht="15.75" customHeight="1" x14ac:dyDescent="0.3">
      <c r="A754" s="74" t="s">
        <v>607</v>
      </c>
      <c r="B754" s="1"/>
      <c r="C754" s="1"/>
      <c r="D754" s="1"/>
      <c r="E754" s="59">
        <f>SUM(B754:D754)</f>
        <v>0</v>
      </c>
      <c r="F754" s="1"/>
      <c r="G754" s="1"/>
      <c r="H754" s="1"/>
      <c r="I754" s="59">
        <f>SUM(F754:H754)</f>
        <v>0</v>
      </c>
      <c r="J754" s="1"/>
      <c r="K754" s="1"/>
      <c r="L754" s="1"/>
      <c r="M754" s="59">
        <f>SUM(J754:L754)</f>
        <v>0</v>
      </c>
      <c r="N754" s="1"/>
      <c r="O754" s="1"/>
      <c r="P754" s="1"/>
      <c r="Q754" s="59">
        <f>SUM(N754:P754)</f>
        <v>0</v>
      </c>
      <c r="R754" s="59">
        <f>+E754+I754+M754+Q754</f>
        <v>0</v>
      </c>
    </row>
    <row r="755" spans="1:20" ht="15.75" customHeight="1" x14ac:dyDescent="0.3">
      <c r="A755" s="74" t="s">
        <v>609</v>
      </c>
      <c r="B755" s="1"/>
      <c r="C755" s="1"/>
      <c r="D755" s="1"/>
      <c r="E755" s="59">
        <f>SUM(B755:D755)</f>
        <v>0</v>
      </c>
      <c r="F755" s="1"/>
      <c r="G755" s="1"/>
      <c r="H755" s="1"/>
      <c r="I755" s="59">
        <f>SUM(F755:H755)</f>
        <v>0</v>
      </c>
      <c r="J755" s="1"/>
      <c r="K755" s="1"/>
      <c r="L755" s="1"/>
      <c r="M755" s="59">
        <f>SUM(J755:L755)</f>
        <v>0</v>
      </c>
      <c r="N755" s="1"/>
      <c r="O755" s="1"/>
      <c r="P755" s="1"/>
      <c r="Q755" s="59">
        <f>SUM(N755:P755)</f>
        <v>0</v>
      </c>
      <c r="R755" s="59">
        <f>+E755+I755+M755+Q755</f>
        <v>0</v>
      </c>
      <c r="T755" s="4" t="s">
        <v>593</v>
      </c>
    </row>
    <row r="756" spans="1:20" ht="15.75" customHeight="1" thickBot="1" x14ac:dyDescent="0.35">
      <c r="A756" s="74" t="s">
        <v>610</v>
      </c>
      <c r="B756" s="1">
        <v>549</v>
      </c>
      <c r="C756" s="1">
        <v>576</v>
      </c>
      <c r="D756" s="1">
        <v>687</v>
      </c>
      <c r="E756" s="59">
        <f>SUM(B756:D756)</f>
        <v>1812</v>
      </c>
      <c r="F756" s="1">
        <v>671</v>
      </c>
      <c r="G756" s="1">
        <v>757</v>
      </c>
      <c r="H756" s="1">
        <v>485</v>
      </c>
      <c r="I756" s="59">
        <f>SUM(F756:H756)</f>
        <v>1913</v>
      </c>
      <c r="J756" s="1">
        <v>545</v>
      </c>
      <c r="K756" s="1">
        <v>834</v>
      </c>
      <c r="L756" s="1">
        <v>746</v>
      </c>
      <c r="M756" s="59">
        <f>SUM(J756:L756)</f>
        <v>2125</v>
      </c>
      <c r="N756" s="1">
        <v>402</v>
      </c>
      <c r="O756" s="1">
        <v>477</v>
      </c>
      <c r="P756" s="1">
        <v>703</v>
      </c>
      <c r="Q756" s="59">
        <f>SUM(N756:P756)</f>
        <v>1582</v>
      </c>
      <c r="R756" s="59">
        <f>+E756+I756+M756+Q756</f>
        <v>7432</v>
      </c>
      <c r="T756" s="4" t="s">
        <v>611</v>
      </c>
    </row>
    <row r="757" spans="1:20" ht="16.5" customHeight="1" thickBot="1" x14ac:dyDescent="0.35">
      <c r="A757" s="62" t="s">
        <v>61</v>
      </c>
      <c r="B757" s="100">
        <f>SUM(B748:B756)</f>
        <v>633</v>
      </c>
      <c r="C757" s="101">
        <f>SUM(C748:C756)</f>
        <v>841</v>
      </c>
      <c r="D757" s="101">
        <f>SUM(D748:D756)</f>
        <v>1273</v>
      </c>
      <c r="E757" s="64">
        <f>SUM(B757:D757)</f>
        <v>2747</v>
      </c>
      <c r="F757" s="101">
        <f>SUM(F748:F756)</f>
        <v>1430</v>
      </c>
      <c r="G757" s="101">
        <f>SUM(G748:G756)</f>
        <v>1732</v>
      </c>
      <c r="H757" s="101">
        <f>SUM(H748:H756)</f>
        <v>1478</v>
      </c>
      <c r="I757" s="64">
        <f>SUM(F757:H757)</f>
        <v>4640</v>
      </c>
      <c r="J757" s="101">
        <f>SUM(J748:J756)</f>
        <v>1576</v>
      </c>
      <c r="K757" s="101">
        <f>SUM(K748:K756)</f>
        <v>1632</v>
      </c>
      <c r="L757" s="101">
        <f>SUM(L748:L756)</f>
        <v>1721</v>
      </c>
      <c r="M757" s="64">
        <f>SUM(J757:L757)</f>
        <v>4929</v>
      </c>
      <c r="N757" s="101">
        <f>SUM(N748:N756)</f>
        <v>668</v>
      </c>
      <c r="O757" s="101">
        <f>SUM(O748:O756)</f>
        <v>1087</v>
      </c>
      <c r="P757" s="101">
        <f>SUM(P748:P756)</f>
        <v>1183</v>
      </c>
      <c r="Q757" s="64">
        <f>SUM(N757:P757)</f>
        <v>2938</v>
      </c>
      <c r="R757" s="64">
        <f>+E757+I757+M757+Q757</f>
        <v>15254</v>
      </c>
    </row>
    <row r="758" spans="1:20" ht="15.75" customHeight="1" x14ac:dyDescent="0.3">
      <c r="A758" s="17" t="s">
        <v>62</v>
      </c>
      <c r="B758" s="1"/>
      <c r="C758" s="1"/>
      <c r="D758" s="1"/>
      <c r="E758" s="59" t="s">
        <v>7</v>
      </c>
      <c r="F758" s="1"/>
      <c r="G758" s="1"/>
      <c r="H758" s="1"/>
      <c r="I758" s="59" t="s">
        <v>7</v>
      </c>
      <c r="J758" s="1"/>
      <c r="K758" s="1"/>
      <c r="L758" s="1"/>
      <c r="M758" s="59" t="s">
        <v>7</v>
      </c>
      <c r="N758" s="1"/>
      <c r="O758" s="1"/>
      <c r="P758" s="1"/>
      <c r="Q758" s="59" t="s">
        <v>7</v>
      </c>
      <c r="R758" s="59" t="s">
        <v>7</v>
      </c>
    </row>
    <row r="759" spans="1:20" ht="15.75" customHeight="1" x14ac:dyDescent="0.3">
      <c r="A759" s="17" t="s">
        <v>63</v>
      </c>
      <c r="B759" s="1"/>
      <c r="C759" s="1"/>
      <c r="D759" s="1"/>
      <c r="E759" s="59" t="s">
        <v>7</v>
      </c>
      <c r="F759" s="1"/>
      <c r="G759" s="1"/>
      <c r="H759" s="1"/>
      <c r="I759" s="59" t="s">
        <v>7</v>
      </c>
      <c r="J759" s="1"/>
      <c r="K759" s="1"/>
      <c r="L759" s="1"/>
      <c r="M759" s="59" t="s">
        <v>7</v>
      </c>
      <c r="N759" s="1"/>
      <c r="O759" s="1"/>
      <c r="P759" s="1"/>
      <c r="Q759" s="59" t="s">
        <v>7</v>
      </c>
      <c r="R759" s="59" t="s">
        <v>7</v>
      </c>
    </row>
    <row r="760" spans="1:20" ht="15.75" customHeight="1" x14ac:dyDescent="0.3">
      <c r="A760" s="74" t="s">
        <v>926</v>
      </c>
      <c r="B760" s="1"/>
      <c r="C760" s="1"/>
      <c r="D760" s="1"/>
      <c r="E760" s="59">
        <f>SUM(B760:D760)</f>
        <v>0</v>
      </c>
      <c r="F760" s="1"/>
      <c r="G760" s="1"/>
      <c r="H760" s="1"/>
      <c r="I760" s="59">
        <f>SUM(F760:H760)</f>
        <v>0</v>
      </c>
      <c r="J760" s="1"/>
      <c r="K760" s="1"/>
      <c r="L760" s="1"/>
      <c r="M760" s="59">
        <f>SUM(J760:L760)</f>
        <v>0</v>
      </c>
      <c r="N760" s="1"/>
      <c r="O760" s="1"/>
      <c r="P760" s="1"/>
      <c r="Q760" s="59">
        <f>SUM(N760:P760)</f>
        <v>0</v>
      </c>
      <c r="R760" s="59">
        <f>+E760+I760+M760+Q760</f>
        <v>0</v>
      </c>
    </row>
    <row r="761" spans="1:20" ht="15.75" customHeight="1" x14ac:dyDescent="0.3">
      <c r="A761" s="74" t="s">
        <v>613</v>
      </c>
      <c r="B761" s="1"/>
      <c r="C761" s="1"/>
      <c r="D761" s="1"/>
      <c r="E761" s="59">
        <f>SUM(B761:D761)</f>
        <v>0</v>
      </c>
      <c r="F761" s="1"/>
      <c r="G761" s="1"/>
      <c r="H761" s="1"/>
      <c r="I761" s="59">
        <f>SUM(F761:H761)</f>
        <v>0</v>
      </c>
      <c r="J761" s="1"/>
      <c r="K761" s="1"/>
      <c r="L761" s="1"/>
      <c r="M761" s="59">
        <f>SUM(J761:L761)</f>
        <v>0</v>
      </c>
      <c r="N761" s="1"/>
      <c r="O761" s="1"/>
      <c r="P761" s="1"/>
      <c r="Q761" s="59">
        <f>SUM(N761:P761)</f>
        <v>0</v>
      </c>
      <c r="R761" s="59">
        <f>+E761+I761+M761+Q761</f>
        <v>0</v>
      </c>
    </row>
    <row r="762" spans="1:20" ht="15.75" customHeight="1" x14ac:dyDescent="0.3">
      <c r="A762" s="17" t="s">
        <v>64</v>
      </c>
      <c r="B762" s="1"/>
      <c r="C762" s="1"/>
      <c r="D762" s="1"/>
      <c r="E762" s="59" t="s">
        <v>7</v>
      </c>
      <c r="F762" s="1"/>
      <c r="G762" s="1"/>
      <c r="H762" s="1"/>
      <c r="I762" s="59" t="s">
        <v>7</v>
      </c>
      <c r="J762" s="1"/>
      <c r="K762" s="1"/>
      <c r="L762" s="1"/>
      <c r="M762" s="59" t="s">
        <v>7</v>
      </c>
      <c r="N762" s="1"/>
      <c r="O762" s="1"/>
      <c r="P762" s="1"/>
      <c r="Q762" s="59" t="s">
        <v>7</v>
      </c>
      <c r="R762" s="59" t="s">
        <v>7</v>
      </c>
    </row>
    <row r="763" spans="1:20" ht="15.75" customHeight="1" x14ac:dyDescent="0.3">
      <c r="A763" s="74" t="s">
        <v>614</v>
      </c>
      <c r="B763" s="1"/>
      <c r="C763" s="1"/>
      <c r="D763" s="1"/>
      <c r="E763" s="59">
        <f>SUM(B763:D763)</f>
        <v>0</v>
      </c>
      <c r="F763" s="1"/>
      <c r="G763" s="1"/>
      <c r="H763" s="1"/>
      <c r="I763" s="59">
        <f>SUM(F763:H763)</f>
        <v>0</v>
      </c>
      <c r="J763" s="1"/>
      <c r="K763" s="1"/>
      <c r="L763" s="1"/>
      <c r="M763" s="59">
        <f>SUM(J763:L763)</f>
        <v>0</v>
      </c>
      <c r="N763" s="1"/>
      <c r="O763" s="1"/>
      <c r="P763" s="1"/>
      <c r="Q763" s="59">
        <f>SUM(N763:P763)</f>
        <v>0</v>
      </c>
      <c r="R763" s="59">
        <f>+E763+I763+M763+Q763</f>
        <v>0</v>
      </c>
    </row>
    <row r="764" spans="1:20" ht="15.75" customHeight="1" x14ac:dyDescent="0.3">
      <c r="A764" s="74" t="s">
        <v>615</v>
      </c>
      <c r="B764" s="1"/>
      <c r="C764" s="1"/>
      <c r="D764" s="1"/>
      <c r="E764" s="59">
        <f>SUM(B764:D764)</f>
        <v>0</v>
      </c>
      <c r="F764" s="1"/>
      <c r="G764" s="1"/>
      <c r="H764" s="1"/>
      <c r="I764" s="59">
        <f>SUM(F764:H764)</f>
        <v>0</v>
      </c>
      <c r="J764" s="1"/>
      <c r="K764" s="1"/>
      <c r="L764" s="1"/>
      <c r="M764" s="59">
        <f>SUM(J764:L764)</f>
        <v>0</v>
      </c>
      <c r="N764" s="1"/>
      <c r="O764" s="1"/>
      <c r="P764" s="1"/>
      <c r="Q764" s="59">
        <f>SUM(N764:P764)</f>
        <v>0</v>
      </c>
      <c r="R764" s="59">
        <f>+E764+I764+M764+Q764</f>
        <v>0</v>
      </c>
    </row>
    <row r="765" spans="1:20" ht="15.75" customHeight="1" x14ac:dyDescent="0.3">
      <c r="A765" s="17" t="s">
        <v>66</v>
      </c>
      <c r="B765" s="1"/>
      <c r="C765" s="1"/>
      <c r="D765" s="1"/>
      <c r="E765" s="59" t="s">
        <v>7</v>
      </c>
      <c r="F765" s="1"/>
      <c r="G765" s="1"/>
      <c r="H765" s="1"/>
      <c r="I765" s="59" t="s">
        <v>7</v>
      </c>
      <c r="J765" s="1"/>
      <c r="K765" s="1"/>
      <c r="L765" s="1"/>
      <c r="M765" s="59" t="s">
        <v>7</v>
      </c>
      <c r="N765" s="1"/>
      <c r="O765" s="1"/>
      <c r="P765" s="1"/>
      <c r="Q765" s="59" t="s">
        <v>7</v>
      </c>
      <c r="R765" s="59" t="s">
        <v>7</v>
      </c>
    </row>
    <row r="766" spans="1:20" ht="15.75" customHeight="1" thickBot="1" x14ac:dyDescent="0.35">
      <c r="A766" s="17" t="s">
        <v>67</v>
      </c>
      <c r="B766" s="1"/>
      <c r="C766" s="1"/>
      <c r="D766" s="1"/>
      <c r="E766" s="59" t="s">
        <v>7</v>
      </c>
      <c r="F766" s="1"/>
      <c r="G766" s="1"/>
      <c r="H766" s="1"/>
      <c r="I766" s="59" t="s">
        <v>7</v>
      </c>
      <c r="J766" s="1"/>
      <c r="K766" s="1"/>
      <c r="L766" s="1"/>
      <c r="M766" s="59" t="s">
        <v>7</v>
      </c>
      <c r="N766" s="1"/>
      <c r="O766" s="1"/>
      <c r="P766" s="1"/>
      <c r="Q766" s="59" t="s">
        <v>7</v>
      </c>
      <c r="R766" s="59" t="s">
        <v>7</v>
      </c>
    </row>
    <row r="767" spans="1:20" ht="16.5" customHeight="1" thickBot="1" x14ac:dyDescent="0.35">
      <c r="A767" s="62" t="s">
        <v>68</v>
      </c>
      <c r="B767" s="63">
        <f>SUM(B765:B766)</f>
        <v>0</v>
      </c>
      <c r="C767" s="63">
        <f>SUM(C765:C766)</f>
        <v>0</v>
      </c>
      <c r="D767" s="63">
        <f>SUM(D765:D766)</f>
        <v>0</v>
      </c>
      <c r="E767" s="334">
        <f>SUM(B767:D767)</f>
        <v>0</v>
      </c>
      <c r="F767" s="63">
        <f>SUM(F765:F766)</f>
        <v>0</v>
      </c>
      <c r="G767" s="63">
        <f>SUM(G765:G766)</f>
        <v>0</v>
      </c>
      <c r="H767" s="63">
        <f>SUM(H765:H766)</f>
        <v>0</v>
      </c>
      <c r="I767" s="334">
        <f>SUM(F767:H767)</f>
        <v>0</v>
      </c>
      <c r="J767" s="63">
        <f>SUM(J765:J766)</f>
        <v>0</v>
      </c>
      <c r="K767" s="63">
        <f>SUM(K765:K766)</f>
        <v>0</v>
      </c>
      <c r="L767" s="63">
        <f>SUM(L765:L766)</f>
        <v>0</v>
      </c>
      <c r="M767" s="334">
        <f>SUM(J767:L767)</f>
        <v>0</v>
      </c>
      <c r="N767" s="63">
        <f>SUM(N765:N766)</f>
        <v>0</v>
      </c>
      <c r="O767" s="63">
        <f>SUM(O765:O766)</f>
        <v>0</v>
      </c>
      <c r="P767" s="63">
        <f>SUM(P765:P766)</f>
        <v>0</v>
      </c>
      <c r="Q767" s="334">
        <f>SUM(N767:P767)</f>
        <v>0</v>
      </c>
      <c r="R767" s="64">
        <f>+E767+I767+M767+Q767</f>
        <v>0</v>
      </c>
    </row>
    <row r="768" spans="1:20" ht="16.5" customHeight="1" thickBot="1" x14ac:dyDescent="0.35">
      <c r="A768" s="62" t="s">
        <v>69</v>
      </c>
      <c r="B768" s="100">
        <f>SUM(B758:B766)</f>
        <v>0</v>
      </c>
      <c r="C768" s="101">
        <f>SUM(C758:C766)</f>
        <v>0</v>
      </c>
      <c r="D768" s="138">
        <f>SUM(D758:D766)</f>
        <v>0</v>
      </c>
      <c r="E768" s="334">
        <f>SUM(B768:D768)</f>
        <v>0</v>
      </c>
      <c r="F768" s="101">
        <f>SUM(F758:F766)</f>
        <v>0</v>
      </c>
      <c r="G768" s="101">
        <f>SUM(G758:G766)</f>
        <v>0</v>
      </c>
      <c r="H768" s="101">
        <f>SUM(H758:H766)</f>
        <v>0</v>
      </c>
      <c r="I768" s="334">
        <f>SUM(F768:H768)</f>
        <v>0</v>
      </c>
      <c r="J768" s="101">
        <f>SUM(J758:J766)</f>
        <v>0</v>
      </c>
      <c r="K768" s="101">
        <f>SUM(K758:K766)</f>
        <v>0</v>
      </c>
      <c r="L768" s="101">
        <f>SUM(L758:L766)</f>
        <v>0</v>
      </c>
      <c r="M768" s="334">
        <f>SUM(J768:L768)</f>
        <v>0</v>
      </c>
      <c r="N768" s="101">
        <f>SUM(N758:N766)</f>
        <v>0</v>
      </c>
      <c r="O768" s="101">
        <f>SUM(O758:O766)</f>
        <v>0</v>
      </c>
      <c r="P768" s="101">
        <f>SUM(P758:P766)</f>
        <v>0</v>
      </c>
      <c r="Q768" s="334">
        <f>SUM(N768:P768)</f>
        <v>0</v>
      </c>
      <c r="R768" s="64">
        <f>+E768+I768+M768+Q768</f>
        <v>0</v>
      </c>
    </row>
    <row r="769" spans="1:18" ht="16.5" customHeight="1" thickBot="1" x14ac:dyDescent="0.35">
      <c r="A769" s="62" t="s">
        <v>70</v>
      </c>
      <c r="B769" s="107">
        <f>+B742+B747+B757+B768</f>
        <v>3867</v>
      </c>
      <c r="C769" s="63">
        <f>+C742+C747+C757+C768</f>
        <v>2999</v>
      </c>
      <c r="D769" s="63">
        <f>+D742+D747+D757+D768</f>
        <v>3970</v>
      </c>
      <c r="E769" s="64">
        <f>SUM(B769:D769)</f>
        <v>10836</v>
      </c>
      <c r="F769" s="63">
        <f>+F742+F747+F757+F768</f>
        <v>4097</v>
      </c>
      <c r="G769" s="63">
        <f>+G742+G747+G757+G768</f>
        <v>4075</v>
      </c>
      <c r="H769" s="63">
        <f>+H742+H747+H757+H768</f>
        <v>4356</v>
      </c>
      <c r="I769" s="64">
        <f>SUM(F769:H769)</f>
        <v>12528</v>
      </c>
      <c r="J769" s="63">
        <f>+J742+J747+J757+J768</f>
        <v>3619</v>
      </c>
      <c r="K769" s="63">
        <f>+K742+K747+K757+K768</f>
        <v>2123</v>
      </c>
      <c r="L769" s="63">
        <f>+L742+L747+L757+L768</f>
        <v>4800</v>
      </c>
      <c r="M769" s="64">
        <f>SUM(J769:L769)</f>
        <v>10542</v>
      </c>
      <c r="N769" s="63">
        <f>+N742+N747+N757+N768</f>
        <v>1837</v>
      </c>
      <c r="O769" s="63">
        <f>+O742+O747+O757+O768</f>
        <v>1151</v>
      </c>
      <c r="P769" s="63">
        <f>+P742+P747+P757+P768</f>
        <v>4410</v>
      </c>
      <c r="Q769" s="64">
        <f>SUM(N769:P769)</f>
        <v>7398</v>
      </c>
      <c r="R769" s="88">
        <f>+E769+I769+M769+Q769</f>
        <v>41304</v>
      </c>
    </row>
    <row r="770" spans="1:18" ht="16.5" customHeight="1" thickBot="1" x14ac:dyDescent="0.35">
      <c r="A770" s="40" t="s">
        <v>37</v>
      </c>
      <c r="B770" s="25">
        <v>11</v>
      </c>
      <c r="C770" s="25">
        <v>13</v>
      </c>
      <c r="D770" s="25">
        <v>17</v>
      </c>
      <c r="E770" s="59">
        <f>SUM(B770:D770)</f>
        <v>41</v>
      </c>
      <c r="F770" s="25">
        <v>21</v>
      </c>
      <c r="G770" s="25">
        <v>23</v>
      </c>
      <c r="H770" s="25">
        <v>25</v>
      </c>
      <c r="I770" s="59">
        <f>SUM(F770:H770)</f>
        <v>69</v>
      </c>
      <c r="J770" s="25">
        <v>25</v>
      </c>
      <c r="K770" s="25">
        <v>21</v>
      </c>
      <c r="L770" s="25">
        <v>19</v>
      </c>
      <c r="M770" s="59">
        <f>SUM(J770:L770)</f>
        <v>65</v>
      </c>
      <c r="N770" s="25">
        <v>17</v>
      </c>
      <c r="O770" s="25">
        <v>13</v>
      </c>
      <c r="P770" s="25">
        <v>11</v>
      </c>
      <c r="Q770" s="59">
        <f>SUM(N770:P770)</f>
        <v>41</v>
      </c>
      <c r="R770" s="59">
        <f>+E770+I770+M770+Q770</f>
        <v>216</v>
      </c>
    </row>
    <row r="771" spans="1:18" ht="16.5" customHeight="1" thickBot="1" x14ac:dyDescent="0.35">
      <c r="A771" s="42"/>
      <c r="B771" s="37"/>
      <c r="C771" s="37"/>
      <c r="D771" s="37"/>
      <c r="E771" s="64" t="s">
        <v>7</v>
      </c>
      <c r="F771" s="37"/>
      <c r="G771" s="37"/>
      <c r="H771" s="37"/>
      <c r="I771" s="64" t="s">
        <v>7</v>
      </c>
      <c r="J771" s="37"/>
      <c r="K771" s="37"/>
      <c r="L771" s="37"/>
      <c r="M771" s="64" t="s">
        <v>7</v>
      </c>
      <c r="N771" s="37"/>
      <c r="O771" s="37"/>
      <c r="P771" s="37"/>
      <c r="Q771" s="64" t="s">
        <v>7</v>
      </c>
      <c r="R771" s="64" t="s">
        <v>7</v>
      </c>
    </row>
    <row r="772" spans="1:18" ht="15.75" customHeight="1" x14ac:dyDescent="0.3">
      <c r="A772" s="17" t="s">
        <v>38</v>
      </c>
      <c r="B772" s="1">
        <f>SUM(B769:B770)</f>
        <v>3878</v>
      </c>
      <c r="C772" s="1">
        <f>SUM(C769:C770)</f>
        <v>3012</v>
      </c>
      <c r="D772" s="1">
        <f>SUM(D769:D770)</f>
        <v>3987</v>
      </c>
      <c r="E772" s="334">
        <f>SUM(B772:D772)</f>
        <v>10877</v>
      </c>
      <c r="F772" s="1">
        <f>SUM(F769:F770)</f>
        <v>4118</v>
      </c>
      <c r="G772" s="1">
        <f>SUM(G769:G770)</f>
        <v>4098</v>
      </c>
      <c r="H772" s="1">
        <f>SUM(H769:H770)</f>
        <v>4381</v>
      </c>
      <c r="I772" s="334">
        <f>SUM(F772:H772)</f>
        <v>12597</v>
      </c>
      <c r="J772" s="1">
        <f>SUM(J769:J770)</f>
        <v>3644</v>
      </c>
      <c r="K772" s="1">
        <f>SUM(K769:K770)</f>
        <v>2144</v>
      </c>
      <c r="L772" s="1">
        <f>SUM(L769:L770)</f>
        <v>4819</v>
      </c>
      <c r="M772" s="334">
        <f>SUM(J772:L772)</f>
        <v>10607</v>
      </c>
      <c r="N772" s="1">
        <f>SUM(N769:N770)</f>
        <v>1854</v>
      </c>
      <c r="O772" s="1">
        <f>SUM(O769:O770)</f>
        <v>1164</v>
      </c>
      <c r="P772" s="1">
        <f>SUM(P769:P770)</f>
        <v>4421</v>
      </c>
      <c r="Q772" s="334">
        <f>SUM(N772:P772)</f>
        <v>7439</v>
      </c>
      <c r="R772" s="334">
        <f>+E772+I772+M772+Q772</f>
        <v>41520</v>
      </c>
    </row>
    <row r="773" spans="1:18" ht="15.75" customHeight="1" x14ac:dyDescent="0.3">
      <c r="A773" s="17" t="s">
        <v>39</v>
      </c>
      <c r="B773" s="1">
        <f>(B772/B10)/1.983</f>
        <v>63.084606249898322</v>
      </c>
      <c r="C773" s="1">
        <f>(C772/C10)/1.983</f>
        <v>52.376232458657206</v>
      </c>
      <c r="D773" s="1">
        <f>(D772/D10)/1.983</f>
        <v>64.857742423502998</v>
      </c>
      <c r="E773" s="59" t="s">
        <v>7</v>
      </c>
      <c r="F773" s="1">
        <f>(F772/F10)/1.983</f>
        <v>69.221717935787524</v>
      </c>
      <c r="G773" s="1">
        <f>(G772/G10)/1.983</f>
        <v>66.663413205797667</v>
      </c>
      <c r="H773" s="1">
        <f>(H772/H10)/1.983</f>
        <v>73.642629013279532</v>
      </c>
      <c r="I773" s="59" t="s">
        <v>7</v>
      </c>
      <c r="J773" s="1">
        <f>(J772/J10)/1.983</f>
        <v>59.278057033169027</v>
      </c>
      <c r="K773" s="1">
        <f>(K772/K10)/1.983</f>
        <v>34.877100515673547</v>
      </c>
      <c r="L773" s="1">
        <f>(L772/L10)/1.983</f>
        <v>81.005210959825177</v>
      </c>
      <c r="M773" s="59" t="s">
        <v>7</v>
      </c>
      <c r="N773" s="1">
        <f>(N772/N10)/1.983</f>
        <v>30.159582255624418</v>
      </c>
      <c r="O773" s="1">
        <f>(O772/O10)/1.983</f>
        <v>19.56631366616238</v>
      </c>
      <c r="P773" s="1">
        <f>(P772/P10)/1.983</f>
        <v>71.917752509231704</v>
      </c>
      <c r="Q773" s="59" t="s">
        <v>7</v>
      </c>
      <c r="R773" s="59" t="s">
        <v>7</v>
      </c>
    </row>
    <row r="774" spans="1:18" ht="15.75" customHeight="1" x14ac:dyDescent="0.3">
      <c r="A774" s="17" t="s">
        <v>616</v>
      </c>
      <c r="B774" s="1">
        <f>B772</f>
        <v>3878</v>
      </c>
      <c r="C774" s="1">
        <f>C772</f>
        <v>3012</v>
      </c>
      <c r="D774" s="1">
        <f>D772</f>
        <v>3987</v>
      </c>
      <c r="E774" s="59">
        <f>SUM(B774:D774)</f>
        <v>10877</v>
      </c>
      <c r="F774" s="1">
        <f>F772</f>
        <v>4118</v>
      </c>
      <c r="G774" s="1">
        <f>G772</f>
        <v>4098</v>
      </c>
      <c r="H774" s="1">
        <f>H772</f>
        <v>4381</v>
      </c>
      <c r="I774" s="59">
        <f>SUM(F774:H774)</f>
        <v>12597</v>
      </c>
      <c r="J774" s="1">
        <f>J772</f>
        <v>3644</v>
      </c>
      <c r="K774" s="1">
        <f>K772</f>
        <v>2144</v>
      </c>
      <c r="L774" s="1">
        <f>L772</f>
        <v>4819</v>
      </c>
      <c r="M774" s="59">
        <f>SUM(J774:L774)</f>
        <v>10607</v>
      </c>
      <c r="N774" s="1">
        <f>N772</f>
        <v>1854</v>
      </c>
      <c r="O774" s="1">
        <f>O772</f>
        <v>1164</v>
      </c>
      <c r="P774" s="1">
        <f>P772</f>
        <v>4421</v>
      </c>
      <c r="Q774" s="59">
        <f>SUM(N774:P774)</f>
        <v>7439</v>
      </c>
      <c r="R774" s="59">
        <f>+E774+I774+M774+Q774</f>
        <v>41520</v>
      </c>
    </row>
    <row r="775" spans="1:18" ht="16.5" customHeight="1" thickBot="1" x14ac:dyDescent="0.35">
      <c r="A775" s="24" t="s">
        <v>617</v>
      </c>
      <c r="B775" s="25">
        <f>(B774/B10)/1.983</f>
        <v>63.084606249898322</v>
      </c>
      <c r="C775" s="25">
        <f>(C774/C10)/1.983</f>
        <v>52.376232458657206</v>
      </c>
      <c r="D775" s="25">
        <f>(D774/D10)/1.983</f>
        <v>64.857742423502998</v>
      </c>
      <c r="E775" s="88" t="s">
        <v>7</v>
      </c>
      <c r="F775" s="25">
        <f>(F774/F10)/1.983</f>
        <v>69.221717935787524</v>
      </c>
      <c r="G775" s="25">
        <f>(G774/G10)/1.983</f>
        <v>66.663413205797667</v>
      </c>
      <c r="H775" s="25">
        <f>(H774/H10)/1.983</f>
        <v>73.642629013279532</v>
      </c>
      <c r="I775" s="88" t="s">
        <v>7</v>
      </c>
      <c r="J775" s="25">
        <f>(J774/J10)/1.983</f>
        <v>59.278057033169027</v>
      </c>
      <c r="K775" s="25">
        <f>(K774/K10)/1.983</f>
        <v>34.877100515673547</v>
      </c>
      <c r="L775" s="25">
        <f>(L774/L10)/1.983</f>
        <v>81.005210959825177</v>
      </c>
      <c r="M775" s="88" t="s">
        <v>7</v>
      </c>
      <c r="N775" s="25">
        <f>(N774/N10)/1.983</f>
        <v>30.159582255624418</v>
      </c>
      <c r="O775" s="25">
        <f>(O774/O10)/1.983</f>
        <v>19.56631366616238</v>
      </c>
      <c r="P775" s="25">
        <f>(P774/P10)/1.983</f>
        <v>71.917752509231704</v>
      </c>
      <c r="Q775" s="88" t="s">
        <v>7</v>
      </c>
      <c r="R775" s="88" t="s">
        <v>7</v>
      </c>
    </row>
    <row r="776" spans="1:18" ht="15.75" customHeight="1" x14ac:dyDescent="0.3">
      <c r="A776" s="30"/>
      <c r="B776" s="1"/>
      <c r="C776" s="1"/>
      <c r="D776" s="1"/>
      <c r="E776" s="28"/>
      <c r="F776" s="1"/>
      <c r="G776" s="1"/>
      <c r="H776" s="1"/>
      <c r="I776" s="28"/>
      <c r="J776" s="1"/>
      <c r="K776" s="1"/>
      <c r="L776" s="1"/>
      <c r="M776" s="28"/>
      <c r="N776" s="1"/>
      <c r="O776" s="1"/>
      <c r="P776" s="1"/>
      <c r="Q776" s="28"/>
      <c r="R776" s="28"/>
    </row>
    <row r="777" spans="1:18" ht="15.75" customHeight="1" x14ac:dyDescent="0.3">
      <c r="A777" s="30"/>
      <c r="B777" s="1"/>
      <c r="C777" s="1"/>
      <c r="D777" s="1"/>
      <c r="E777" s="1"/>
      <c r="F777" s="1"/>
      <c r="G777" s="1"/>
      <c r="H777" s="1"/>
      <c r="I777" s="1"/>
      <c r="J777" s="1"/>
      <c r="K777" s="1"/>
      <c r="L777" s="1"/>
      <c r="M777" s="1"/>
      <c r="N777" s="1"/>
      <c r="O777" s="1"/>
      <c r="P777" s="1"/>
      <c r="Q777" s="2" t="str">
        <f>+Q1</f>
        <v xml:space="preserve">PRINTED:  </v>
      </c>
      <c r="R777" s="163">
        <f ca="1">+R1</f>
        <v>44894.658168402777</v>
      </c>
    </row>
    <row r="778" spans="1:18" ht="15.75" customHeight="1" x14ac:dyDescent="0.3">
      <c r="A778" s="383" t="s">
        <v>1</v>
      </c>
      <c r="B778" s="383"/>
      <c r="C778" s="383"/>
      <c r="D778" s="383"/>
      <c r="E778" s="383"/>
      <c r="F778" s="383"/>
      <c r="G778" s="383"/>
      <c r="H778" s="383"/>
      <c r="I778" s="383"/>
      <c r="J778" s="383"/>
      <c r="K778" s="383"/>
      <c r="L778" s="383"/>
      <c r="M778" s="383"/>
      <c r="N778" s="383"/>
      <c r="O778" s="383"/>
      <c r="P778" s="383"/>
      <c r="Q778" s="383"/>
      <c r="R778" s="383"/>
    </row>
    <row r="779" spans="1:18" ht="15.75" customHeight="1" x14ac:dyDescent="0.3">
      <c r="A779" s="383" t="s">
        <v>2</v>
      </c>
      <c r="B779" s="383"/>
      <c r="C779" s="383"/>
      <c r="D779" s="383"/>
      <c r="E779" s="383"/>
      <c r="F779" s="383"/>
      <c r="G779" s="383"/>
      <c r="H779" s="383"/>
      <c r="I779" s="383"/>
      <c r="J779" s="383"/>
      <c r="K779" s="383"/>
      <c r="L779" s="383"/>
      <c r="M779" s="383"/>
      <c r="N779" s="383"/>
      <c r="O779" s="383"/>
      <c r="P779" s="383"/>
      <c r="Q779" s="383"/>
      <c r="R779" s="383"/>
    </row>
    <row r="780" spans="1:18" ht="15.75" customHeight="1" x14ac:dyDescent="0.3">
      <c r="A780" s="383" t="s">
        <v>3</v>
      </c>
      <c r="B780" s="383"/>
      <c r="C780" s="383"/>
      <c r="D780" s="383"/>
      <c r="E780" s="383"/>
      <c r="F780" s="383"/>
      <c r="G780" s="383"/>
      <c r="H780" s="383"/>
      <c r="I780" s="383"/>
      <c r="J780" s="383"/>
      <c r="K780" s="383"/>
      <c r="L780" s="383"/>
      <c r="M780" s="383"/>
      <c r="N780" s="383"/>
      <c r="O780" s="383"/>
      <c r="P780" s="383"/>
      <c r="Q780" s="383"/>
      <c r="R780" s="383"/>
    </row>
    <row r="781" spans="1:18" ht="15.75" customHeight="1" x14ac:dyDescent="0.3">
      <c r="A781" s="391">
        <f>+A5</f>
        <v>2016</v>
      </c>
      <c r="B781" s="391"/>
      <c r="C781" s="391"/>
      <c r="D781" s="391"/>
      <c r="E781" s="391"/>
      <c r="F781" s="391"/>
      <c r="G781" s="391"/>
      <c r="H781" s="391"/>
      <c r="I781" s="391"/>
      <c r="J781" s="391"/>
      <c r="K781" s="391"/>
      <c r="L781" s="391"/>
      <c r="M781" s="391"/>
      <c r="N781" s="391"/>
      <c r="O781" s="391"/>
      <c r="P781" s="391"/>
      <c r="Q781" s="391"/>
      <c r="R781" s="391"/>
    </row>
    <row r="782" spans="1:18" ht="15.75" customHeight="1" x14ac:dyDescent="0.3">
      <c r="A782" s="1"/>
      <c r="B782" s="1"/>
      <c r="C782" s="1"/>
      <c r="D782" s="7"/>
      <c r="E782" s="7"/>
      <c r="F782" s="7"/>
      <c r="G782" s="8"/>
      <c r="H782" s="7"/>
      <c r="I782" s="7"/>
      <c r="J782" s="8"/>
      <c r="K782" s="8"/>
      <c r="L782" s="8"/>
      <c r="M782" s="8"/>
      <c r="N782" s="1"/>
      <c r="O782" s="8"/>
      <c r="P782" s="8"/>
      <c r="Q782" s="8"/>
      <c r="R782" s="8"/>
    </row>
    <row r="783" spans="1:18" ht="15.75" customHeight="1" x14ac:dyDescent="0.3">
      <c r="A783" s="383" t="str">
        <f>+A8</f>
        <v>Revised:  2/23/2017</v>
      </c>
      <c r="B783" s="383"/>
      <c r="C783" s="383"/>
      <c r="D783" s="383"/>
      <c r="E783" s="383"/>
      <c r="F783" s="383"/>
      <c r="G783" s="383"/>
      <c r="H783" s="383"/>
      <c r="I783" s="383"/>
      <c r="J783" s="383"/>
      <c r="K783" s="383"/>
      <c r="L783" s="383"/>
      <c r="M783" s="383"/>
      <c r="N783" s="383"/>
      <c r="O783" s="383"/>
      <c r="P783" s="383"/>
      <c r="Q783" s="383"/>
      <c r="R783" s="383"/>
    </row>
    <row r="784" spans="1:18" ht="15.75" customHeight="1" x14ac:dyDescent="0.3">
      <c r="A784" s="6"/>
      <c r="B784" s="6"/>
      <c r="C784" s="6"/>
      <c r="D784" s="6"/>
      <c r="E784" s="6"/>
      <c r="F784" s="6"/>
      <c r="G784" s="6"/>
      <c r="H784" s="6"/>
      <c r="I784" s="6"/>
      <c r="J784" s="6"/>
      <c r="K784" s="6"/>
      <c r="L784" s="6"/>
      <c r="M784" s="6"/>
      <c r="N784" s="6"/>
      <c r="O784" s="6"/>
      <c r="P784" s="6"/>
      <c r="Q784" s="6"/>
      <c r="R784" s="6"/>
    </row>
    <row r="785" spans="1:20" ht="15.75" customHeight="1" x14ac:dyDescent="0.3">
      <c r="A785" s="6"/>
      <c r="B785" s="6"/>
      <c r="C785" s="6"/>
      <c r="D785" s="6"/>
      <c r="E785" s="6"/>
      <c r="F785" s="6"/>
      <c r="G785" s="6"/>
      <c r="H785" s="6"/>
      <c r="I785" s="6"/>
      <c r="J785" s="6"/>
      <c r="K785" s="6"/>
      <c r="L785" s="6"/>
      <c r="M785" s="6"/>
      <c r="N785" s="6"/>
      <c r="O785" s="6"/>
      <c r="P785" s="6"/>
      <c r="Q785" s="6"/>
      <c r="R785" s="6"/>
    </row>
    <row r="786" spans="1:20" ht="15.75" customHeight="1" thickBot="1" x14ac:dyDescent="0.35">
      <c r="A786" s="30"/>
      <c r="B786" s="1"/>
      <c r="C786" s="1"/>
      <c r="D786" s="1"/>
      <c r="E786" s="1"/>
      <c r="F786" s="1"/>
      <c r="G786" s="1"/>
      <c r="H786" s="1"/>
      <c r="I786" s="1"/>
      <c r="J786" s="1"/>
      <c r="K786" s="1"/>
      <c r="L786" s="1"/>
      <c r="M786" s="1"/>
      <c r="N786" s="1"/>
      <c r="O786" s="1"/>
      <c r="P786" s="1"/>
      <c r="Q786" s="1"/>
      <c r="R786" s="28"/>
    </row>
    <row r="787" spans="1:20" ht="16.5" customHeight="1" thickBot="1" x14ac:dyDescent="0.35">
      <c r="A787" s="343" t="s">
        <v>618</v>
      </c>
      <c r="B787" s="323" t="s">
        <v>36</v>
      </c>
      <c r="C787" s="324" t="s">
        <v>9</v>
      </c>
      <c r="D787" s="324" t="s">
        <v>10</v>
      </c>
      <c r="E787" s="325" t="s">
        <v>11</v>
      </c>
      <c r="F787" s="324" t="s">
        <v>12</v>
      </c>
      <c r="G787" s="324" t="s">
        <v>13</v>
      </c>
      <c r="H787" s="324" t="s">
        <v>14</v>
      </c>
      <c r="I787" s="34" t="s">
        <v>15</v>
      </c>
      <c r="J787" s="324" t="s">
        <v>16</v>
      </c>
      <c r="K787" s="324" t="s">
        <v>17</v>
      </c>
      <c r="L787" s="324" t="s">
        <v>18</v>
      </c>
      <c r="M787" s="34" t="s">
        <v>19</v>
      </c>
      <c r="N787" s="324" t="s">
        <v>20</v>
      </c>
      <c r="O787" s="324" t="s">
        <v>21</v>
      </c>
      <c r="P787" s="324" t="s">
        <v>22</v>
      </c>
      <c r="Q787" s="34" t="s">
        <v>23</v>
      </c>
      <c r="R787" s="157" t="s">
        <v>24</v>
      </c>
    </row>
    <row r="788" spans="1:20" ht="16.5" customHeight="1" thickBot="1" x14ac:dyDescent="0.35">
      <c r="A788" s="42"/>
      <c r="B788" s="37"/>
      <c r="C788" s="37"/>
      <c r="D788" s="37"/>
      <c r="E788" s="16"/>
      <c r="F788" s="37"/>
      <c r="G788" s="37"/>
      <c r="H788" s="37"/>
      <c r="I788" s="156"/>
      <c r="J788" s="37"/>
      <c r="K788" s="37"/>
      <c r="L788" s="37"/>
      <c r="M788" s="156"/>
      <c r="N788" s="37"/>
      <c r="O788" s="37"/>
      <c r="P788" s="37"/>
      <c r="Q788" s="158"/>
      <c r="R788" s="159"/>
    </row>
    <row r="789" spans="1:20" ht="15.75" customHeight="1" x14ac:dyDescent="0.3">
      <c r="A789" s="17" t="s">
        <v>45</v>
      </c>
      <c r="B789" s="1" t="s">
        <v>7</v>
      </c>
      <c r="C789" s="1" t="s">
        <v>7</v>
      </c>
      <c r="D789" s="1" t="s">
        <v>7</v>
      </c>
      <c r="E789" s="160"/>
      <c r="F789" s="1" t="s">
        <v>7</v>
      </c>
      <c r="G789" s="1" t="s">
        <v>7</v>
      </c>
      <c r="H789" s="1" t="s">
        <v>7</v>
      </c>
      <c r="I789" s="160"/>
      <c r="J789" s="1" t="s">
        <v>7</v>
      </c>
      <c r="K789" s="1" t="s">
        <v>7</v>
      </c>
      <c r="L789" s="1" t="s">
        <v>7</v>
      </c>
      <c r="M789" s="160"/>
      <c r="N789" s="1" t="s">
        <v>7</v>
      </c>
      <c r="O789" s="1" t="s">
        <v>7</v>
      </c>
      <c r="P789" s="1" t="s">
        <v>7</v>
      </c>
      <c r="Q789" s="161"/>
      <c r="R789" s="162" t="s">
        <v>7</v>
      </c>
    </row>
    <row r="790" spans="1:20" ht="15.75" customHeight="1" x14ac:dyDescent="0.3">
      <c r="A790" s="164" t="s">
        <v>46</v>
      </c>
      <c r="B790" s="1">
        <f>+SUM(B71:B81)+SUM(B137:B183)+SUM(B309:B335)+SUM(B456:B459)+SUM(B497:B501)+SUM(B541:B551)+SUM(B606:B609)+SUM(B642:B648)+SUM(B699:B700)+SUM(B733:B737)</f>
        <v>19517</v>
      </c>
      <c r="C790" s="1">
        <f>+SUM(C71:C81)+SUM(C137:C183)+SUM(C309:C335)+SUM(C456:C459)+SUM(C497:C501)+SUM(C541:C551)+SUM(C606:C609)+SUM(C642:C648)+SUM(C699:C700)+SUM(C733:C737)</f>
        <v>23072</v>
      </c>
      <c r="D790" s="1">
        <f>+SUM(D71:D81)+SUM(D137:D183)+SUM(D309:D335)+SUM(D456:D459)+SUM(D497:D501)+SUM(D541:D551)+SUM(D606:D609)+SUM(D642:D648)+SUM(D699:D700)+SUM(D733:D737)</f>
        <v>37628</v>
      </c>
      <c r="E790" s="59">
        <f t="shared" ref="E790:E796" si="127">SUM(B790:D790)</f>
        <v>80217</v>
      </c>
      <c r="F790" s="1">
        <f>+SUM(F71:F81)+SUM(F137:F183)+SUM(F309:F335)+SUM(F456:F459)+SUM(F497:F501)+SUM(F541:F551)+SUM(F606:F609)+SUM(F642:F648)+SUM(F699:F700)+SUM(F733:F737)</f>
        <v>40673</v>
      </c>
      <c r="G790" s="1">
        <f>+SUM(G71:G81)+SUM(G137:G183)+SUM(G309:G335)+SUM(G456:G459)+SUM(G497:G501)+SUM(G541:G551)+SUM(G606:G609)+SUM(G642:G648)+SUM(G699:G700)+SUM(G733:G737)</f>
        <v>46791</v>
      </c>
      <c r="H790" s="1">
        <f>+SUM(H71:H81)+SUM(H137:H183)+SUM(H309:H335)+SUM(H456:H459)+SUM(H497:H501)+SUM(H541:H551)+SUM(H606:H609)+SUM(H642:H648)+SUM(H699:H700)+SUM(H733:H737)</f>
        <v>52860</v>
      </c>
      <c r="I790" s="59">
        <f t="shared" ref="I790:I796" si="128">SUM(F790:H790)</f>
        <v>140324</v>
      </c>
      <c r="J790" s="1">
        <f>+SUM(J71:J81)+SUM(J137:J183)+SUM(J309:J335)+SUM(J456:J459)+SUM(J497:J501)+SUM(J541:J551)+SUM(J606:J609)+SUM(J642:J648)+SUM(J699:J700)+SUM(J733:J737)</f>
        <v>65063</v>
      </c>
      <c r="K790" s="1">
        <f>+SUM(K71:K81)+SUM(K137:K183)+SUM(K309:K335)+SUM(K456:K459)+SUM(K497:K501)+SUM(K541:K551)+SUM(K606:K609)+SUM(K642:K648)+SUM(K699:K700)+SUM(K733:K737)</f>
        <v>57879</v>
      </c>
      <c r="L790" s="1">
        <f>+SUM(L71:L81)+SUM(L137:L183)+SUM(L309:L335)+SUM(L456:L459)+SUM(L497:L501)+SUM(L541:L551)+SUM(L606:L609)+SUM(L642:L648)+SUM(L699:L700)+SUM(L733:L737)</f>
        <v>54896</v>
      </c>
      <c r="M790" s="59">
        <f t="shared" ref="M790:M796" si="129">SUM(J790:L790)</f>
        <v>177838</v>
      </c>
      <c r="N790" s="1">
        <f>+SUM(N71:N81)+SUM(N137:N183)+SUM(N309:N335)+SUM(N456:N459)+SUM(N497:N501)+SUM(N541:N551)+SUM(N606:N609)+SUM(N642:N648)+SUM(N699:N700)+SUM(N733:N737)</f>
        <v>39172</v>
      </c>
      <c r="O790" s="1">
        <f>+SUM(O71:O81)+SUM(O137:O183)+SUM(O309:O335)+SUM(O456:O459)+SUM(O497:O501)+SUM(O541:O551)+SUM(O606:O609)+SUM(O642:O648)+SUM(O699:O700)+SUM(O733:O737)</f>
        <v>35133</v>
      </c>
      <c r="P790" s="1">
        <f>+SUM(P71:P81)+SUM(P137:P183)+SUM(P309:P335)+SUM(P456:P459)+SUM(P497:P501)+SUM(P541:P551)+SUM(P606:P609)+SUM(P642:P648)+SUM(P699:P700)+SUM(P733:P737)</f>
        <v>32128</v>
      </c>
      <c r="Q790" s="59">
        <f t="shared" ref="Q790:Q796" si="130">SUM(N790:P790)</f>
        <v>106433</v>
      </c>
      <c r="R790" s="59">
        <f t="shared" ref="R790:R796" si="131">+E790+I790+M790+Q790</f>
        <v>504812</v>
      </c>
    </row>
    <row r="791" spans="1:20" ht="15.75" customHeight="1" x14ac:dyDescent="0.3">
      <c r="A791" s="17" t="s">
        <v>619</v>
      </c>
      <c r="B791" s="1">
        <f>+B38+SUM(B82:B83)+SUM(B185:B194)+SUM(B337:B347)+SUM(B461:B462)+B502+SUM(B552:B553)+B610+B649+B701+SUM(B738:B738)</f>
        <v>0</v>
      </c>
      <c r="C791" s="1">
        <f>+C38+SUM(C82:C83)+SUM(C185:C194)+SUM(C337:C347)+SUM(C461:C462)+C502+SUM(C552:C553)+C610+C649+C701+SUM(C738:C738)</f>
        <v>0</v>
      </c>
      <c r="D791" s="1">
        <f>+D38+SUM(D82:D83)+SUM(D185:D194)+SUM(D337:D347)+SUM(D461:D462)+D502+SUM(D552:D553)+D610+D649+D701+SUM(D738:D738)</f>
        <v>0</v>
      </c>
      <c r="E791" s="59">
        <f t="shared" si="127"/>
        <v>0</v>
      </c>
      <c r="F791" s="1">
        <f>+F38+SUM(F82:F83)+SUM(F185:F194)+SUM(F337:F347)+SUM(F461:F462)+F502+SUM(F552:F553)+F610+F649+F701+SUM(F738:F738)</f>
        <v>0</v>
      </c>
      <c r="G791" s="1">
        <f>+G38+SUM(G82:G83)+SUM(G185:G194)+SUM(G337:G347)+SUM(G461:G462)+G502+SUM(G552:G553)+G610+G649+G701+SUM(G738:G738)</f>
        <v>0</v>
      </c>
      <c r="H791" s="1">
        <f>+H38+SUM(H82:H83)+SUM(H185:H194)+SUM(H337:H347)+SUM(H461:H462)+H502+SUM(H552:H553)+H610+H649+H701+SUM(H738:H738)</f>
        <v>0</v>
      </c>
      <c r="I791" s="59">
        <f t="shared" si="128"/>
        <v>0</v>
      </c>
      <c r="J791" s="1">
        <f>+J38+SUM(J82:J83)+SUM(J185:J194)+SUM(J337:J347)+SUM(J461:J462)+J502+SUM(J552:J553)+J610+J649+J701+SUM(J738:J738)</f>
        <v>0</v>
      </c>
      <c r="K791" s="1">
        <f>+K38+SUM(K82:K83)+SUM(K185:K194)+SUM(K337:K347)+SUM(K461:K462)+K502+SUM(K552:K553)+K610+K649+K701+SUM(K738:K738)</f>
        <v>0</v>
      </c>
      <c r="L791" s="1">
        <f>+L38+SUM(L82:L83)+SUM(L185:L194)+SUM(L337:L347)+SUM(L461:L462)+L502+SUM(L552:L553)+L610+L649+L701+SUM(L738:L738)</f>
        <v>0</v>
      </c>
      <c r="M791" s="59">
        <f t="shared" si="129"/>
        <v>0</v>
      </c>
      <c r="N791" s="1">
        <f>+N38+SUM(N82:N83)+SUM(N185:N194)+SUM(N337:N347)+SUM(N461:N462)+N502+SUM(N552:N553)+N610+N649+N701+SUM(N738:N738)</f>
        <v>0</v>
      </c>
      <c r="O791" s="1">
        <f>+O38+SUM(O82:O83)+SUM(O185:O194)+SUM(O337:O347)+SUM(O461:O462)+O502+SUM(O552:O553)+O610+O649+O701+SUM(O738:O738)</f>
        <v>0</v>
      </c>
      <c r="P791" s="1">
        <f>+P38+SUM(P82:P83)+SUM(P185:P194)+SUM(P337:P347)+SUM(P461:P462)+P502+SUM(P552:P553)+P610+P649+P701+SUM(P738:P738)</f>
        <v>0</v>
      </c>
      <c r="Q791" s="59">
        <f t="shared" si="130"/>
        <v>0</v>
      </c>
      <c r="R791" s="59">
        <f t="shared" si="131"/>
        <v>0</v>
      </c>
    </row>
    <row r="792" spans="1:20" ht="15.75" customHeight="1" x14ac:dyDescent="0.3">
      <c r="A792" s="164" t="s">
        <v>620</v>
      </c>
      <c r="B792" s="1">
        <f>+SUM(B84:B86)+SUM(B195:B198)+SUM(B348:B352)+B463+B503+SUM(B554:B555)+B611+B650+B702+SUM(B739:B740)</f>
        <v>895</v>
      </c>
      <c r="C792" s="1">
        <f>+SUM(C84:C86)+SUM(C195:C198)+SUM(C348:C352)+C463+C503+SUM(C554:C555)+C611+C650+C702+SUM(C739:C740)</f>
        <v>2921</v>
      </c>
      <c r="D792" s="1">
        <f>+SUM(D84:D86)+SUM(D195:D198)+SUM(D348:D352)+D463+D503+SUM(D554:D555)+D611+D650+D702+SUM(D739:D740)</f>
        <v>1606</v>
      </c>
      <c r="E792" s="59">
        <f t="shared" si="127"/>
        <v>5422</v>
      </c>
      <c r="F792" s="1">
        <f>+SUM(F84:F86)+SUM(F195:F198)+SUM(F348:F352)+F463+F503+SUM(F554:F555)+F611+F650+F702+SUM(F739:F740)</f>
        <v>4791</v>
      </c>
      <c r="G792" s="1">
        <f>+SUM(G84:G86)+SUM(G195:G198)+SUM(G348:G352)+G463+G503+SUM(G554:G555)+G611+G650+G702+SUM(G739:G740)</f>
        <v>8710</v>
      </c>
      <c r="H792" s="1">
        <f>+SUM(H84:H86)+SUM(H195:H198)+SUM(H348:H352)+H463+H503+SUM(H554:H555)+H611+H650+H702+SUM(H739:H740)</f>
        <v>5300</v>
      </c>
      <c r="I792" s="59">
        <f t="shared" si="128"/>
        <v>18801</v>
      </c>
      <c r="J792" s="1">
        <f>+SUM(J84:J86)+SUM(J195:J198)+SUM(J348:J352)+J463+J503+SUM(J554:J555)+J611+J650+J702+SUM(J739:J740)</f>
        <v>2289</v>
      </c>
      <c r="K792" s="1">
        <f>+SUM(K84:K86)+SUM(K195:K198)+SUM(K348:K352)+K463+K503+SUM(K554:K555)+K611+K650+K702+SUM(K739:K740)</f>
        <v>5235</v>
      </c>
      <c r="L792" s="1">
        <f>+SUM(L84:L86)+SUM(L195:L198)+SUM(L348:L352)+L463+L503+SUM(L554:L555)+L611+L650+L702+SUM(L739:L740)</f>
        <v>412</v>
      </c>
      <c r="M792" s="59">
        <f t="shared" si="129"/>
        <v>7936</v>
      </c>
      <c r="N792" s="1">
        <f>+SUM(N84:N86)+SUM(N195:N198)+SUM(N348:N352)+N463+N503+SUM(N554:N555)+N611+N650+N702+SUM(N739:N740)</f>
        <v>109</v>
      </c>
      <c r="O792" s="1">
        <f>+SUM(O84:O86)+SUM(O195:O198)+SUM(O348:O352)+O463+O503+SUM(O554:O555)+O611+O650+O702+SUM(O739:O740)</f>
        <v>2228</v>
      </c>
      <c r="P792" s="1">
        <f>+SUM(P84:P86)+SUM(P195:P198)+SUM(P348:P352)+P463+P503+SUM(P554:P555)+P611+P650+P702+SUM(P739:P740)</f>
        <v>15</v>
      </c>
      <c r="Q792" s="59">
        <f t="shared" si="130"/>
        <v>2352</v>
      </c>
      <c r="R792" s="59">
        <f t="shared" si="131"/>
        <v>34511</v>
      </c>
    </row>
    <row r="793" spans="1:20" ht="15.75" customHeight="1" x14ac:dyDescent="0.3">
      <c r="A793" s="17" t="s">
        <v>621</v>
      </c>
      <c r="B793" s="1">
        <f>+B286+B437+B438</f>
        <v>0</v>
      </c>
      <c r="C793" s="1">
        <f>+C286+C437+C438</f>
        <v>0</v>
      </c>
      <c r="D793" s="1">
        <f>+D286+D437+D438</f>
        <v>0</v>
      </c>
      <c r="E793" s="59">
        <f t="shared" si="127"/>
        <v>0</v>
      </c>
      <c r="F793" s="1">
        <f>+F286+F437+F438</f>
        <v>0</v>
      </c>
      <c r="G793" s="1">
        <f>+G286+G437+G438</f>
        <v>0</v>
      </c>
      <c r="H793" s="1">
        <f>+H286+H437+H438</f>
        <v>0</v>
      </c>
      <c r="I793" s="59">
        <f t="shared" si="128"/>
        <v>0</v>
      </c>
      <c r="J793" s="1">
        <f>+J286+J437+J438</f>
        <v>0</v>
      </c>
      <c r="K793" s="1">
        <f>+K286+K437+K438</f>
        <v>0</v>
      </c>
      <c r="L793" s="1">
        <f>+L286+L437+L438</f>
        <v>0</v>
      </c>
      <c r="M793" s="59">
        <f t="shared" si="129"/>
        <v>0</v>
      </c>
      <c r="N793" s="1">
        <f>+N286+N437+N438</f>
        <v>0</v>
      </c>
      <c r="O793" s="1">
        <f>+O286+O437+O438</f>
        <v>0</v>
      </c>
      <c r="P793" s="1">
        <f>+P286+P437+P438</f>
        <v>0</v>
      </c>
      <c r="Q793" s="59">
        <f t="shared" si="130"/>
        <v>0</v>
      </c>
      <c r="R793" s="59">
        <f t="shared" si="131"/>
        <v>0</v>
      </c>
    </row>
    <row r="794" spans="1:20" ht="15.75" customHeight="1" x14ac:dyDescent="0.3">
      <c r="A794" s="164" t="s">
        <v>622</v>
      </c>
      <c r="B794" s="1">
        <f>+B287</f>
        <v>9</v>
      </c>
      <c r="C794" s="1">
        <f>+C287</f>
        <v>39</v>
      </c>
      <c r="D794" s="1">
        <f>+D287</f>
        <v>42</v>
      </c>
      <c r="E794" s="59">
        <f>SUM(B794:D794)</f>
        <v>90</v>
      </c>
      <c r="F794" s="1">
        <f>+F287</f>
        <v>42</v>
      </c>
      <c r="G794" s="1">
        <f>+G287</f>
        <v>61</v>
      </c>
      <c r="H794" s="1">
        <f>+H287</f>
        <v>52</v>
      </c>
      <c r="I794" s="59">
        <f>SUM(F794:H794)</f>
        <v>155</v>
      </c>
      <c r="J794" s="1">
        <f>+J287</f>
        <v>42</v>
      </c>
      <c r="K794" s="1">
        <f>+K287</f>
        <v>55</v>
      </c>
      <c r="L794" s="1">
        <f>+L287</f>
        <v>86</v>
      </c>
      <c r="M794" s="59">
        <f>SUM(J794:L794)</f>
        <v>183</v>
      </c>
      <c r="N794" s="1">
        <f>+N287</f>
        <v>74</v>
      </c>
      <c r="O794" s="1">
        <f>+O287</f>
        <v>41</v>
      </c>
      <c r="P794" s="1">
        <f>+P287</f>
        <v>34</v>
      </c>
      <c r="Q794" s="59">
        <f t="shared" si="130"/>
        <v>149</v>
      </c>
      <c r="R794" s="59">
        <f>+E794+I794+M794+Q794</f>
        <v>577</v>
      </c>
    </row>
    <row r="795" spans="1:20" ht="15.75" customHeight="1" thickBot="1" x14ac:dyDescent="0.35">
      <c r="A795" s="17" t="s">
        <v>51</v>
      </c>
      <c r="B795" s="1">
        <f>+B87+B464+B504+B556+B612+B651+B703+B741</f>
        <v>0</v>
      </c>
      <c r="C795" s="1">
        <f>+C87+C464+C504+C556+C612+C651+C703+C741</f>
        <v>0</v>
      </c>
      <c r="D795" s="1">
        <f>+D87+D464+D504+D556+D612+D651+D703+D741</f>
        <v>0</v>
      </c>
      <c r="E795" s="59">
        <f t="shared" si="127"/>
        <v>0</v>
      </c>
      <c r="F795" s="1">
        <f>+F87+F464+F504+F556+F612+F651+F703+F741</f>
        <v>0</v>
      </c>
      <c r="G795" s="1">
        <f>+G87+G464+G504+G556+G612+G651+G703+G741</f>
        <v>0</v>
      </c>
      <c r="H795" s="1">
        <f>+H87+H464+H504+H556+H612+H651+H703+H741</f>
        <v>0</v>
      </c>
      <c r="I795" s="59">
        <f t="shared" si="128"/>
        <v>0</v>
      </c>
      <c r="J795" s="1">
        <f>+J87+J464+J504+J556+J612+J651+J703+J741</f>
        <v>0</v>
      </c>
      <c r="K795" s="1">
        <f>+K87+K464+K504+K556+K612+K651+K703+K741</f>
        <v>0</v>
      </c>
      <c r="L795" s="1">
        <f>+L87+L464+L504+L556+L612+L651+L703+L741</f>
        <v>0</v>
      </c>
      <c r="M795" s="59">
        <f t="shared" si="129"/>
        <v>0</v>
      </c>
      <c r="N795" s="1">
        <f>+N87+N464+N504+N556+N612+N651+N703+N741</f>
        <v>0</v>
      </c>
      <c r="O795" s="1">
        <f>+O87+O464+O504+O556+O612+O651+O703+O741</f>
        <v>0</v>
      </c>
      <c r="P795" s="1">
        <f>+P87+P464+P504+P556+P612+P651+P703+P741</f>
        <v>0</v>
      </c>
      <c r="Q795" s="59">
        <f t="shared" si="130"/>
        <v>0</v>
      </c>
      <c r="R795" s="59">
        <f t="shared" si="131"/>
        <v>0</v>
      </c>
    </row>
    <row r="796" spans="1:20" ht="16.5" customHeight="1" thickBot="1" x14ac:dyDescent="0.35">
      <c r="A796" s="62" t="s">
        <v>52</v>
      </c>
      <c r="B796" s="100">
        <f>SUM(B789:B795)</f>
        <v>20421</v>
      </c>
      <c r="C796" s="101">
        <f>SUM(C789:C795)</f>
        <v>26032</v>
      </c>
      <c r="D796" s="101">
        <f>SUM(D789:D795)</f>
        <v>39276</v>
      </c>
      <c r="E796" s="64">
        <f t="shared" si="127"/>
        <v>85729</v>
      </c>
      <c r="F796" s="101">
        <f>SUM(F789:F795)</f>
        <v>45506</v>
      </c>
      <c r="G796" s="101">
        <f>SUM(G789:G795)</f>
        <v>55562</v>
      </c>
      <c r="H796" s="101">
        <f>SUM(H789:H795)</f>
        <v>58212</v>
      </c>
      <c r="I796" s="64">
        <f t="shared" si="128"/>
        <v>159280</v>
      </c>
      <c r="J796" s="101">
        <f>SUM(J789:J795)</f>
        <v>67394</v>
      </c>
      <c r="K796" s="101">
        <f>SUM(K789:K795)</f>
        <v>63169</v>
      </c>
      <c r="L796" s="101">
        <f>SUM(L789:L795)</f>
        <v>55394</v>
      </c>
      <c r="M796" s="64">
        <f t="shared" si="129"/>
        <v>185957</v>
      </c>
      <c r="N796" s="101">
        <f>SUM(N789:N795)</f>
        <v>39355</v>
      </c>
      <c r="O796" s="101">
        <f>SUM(O789:O795)</f>
        <v>37402</v>
      </c>
      <c r="P796" s="101">
        <f>SUM(P789:P795)</f>
        <v>32177</v>
      </c>
      <c r="Q796" s="64">
        <f t="shared" si="130"/>
        <v>108934</v>
      </c>
      <c r="R796" s="64">
        <f t="shared" si="131"/>
        <v>539900</v>
      </c>
      <c r="T796" s="4">
        <f>+R796-R793-R792</f>
        <v>505389</v>
      </c>
    </row>
    <row r="797" spans="1:20" ht="15.75" customHeight="1" x14ac:dyDescent="0.3">
      <c r="A797" s="17" t="s">
        <v>53</v>
      </c>
      <c r="B797" s="1"/>
      <c r="C797" s="1"/>
      <c r="D797" s="1"/>
      <c r="E797" s="59" t="s">
        <v>7</v>
      </c>
      <c r="F797" s="1"/>
      <c r="G797" s="1"/>
      <c r="H797" s="1"/>
      <c r="I797" s="59" t="s">
        <v>7</v>
      </c>
      <c r="J797" s="1"/>
      <c r="K797" s="1"/>
      <c r="L797" s="1"/>
      <c r="M797" s="59" t="s">
        <v>7</v>
      </c>
      <c r="N797" s="1"/>
      <c r="O797" s="1"/>
      <c r="P797" s="1"/>
      <c r="Q797" s="59" t="s">
        <v>7</v>
      </c>
      <c r="R797" s="59" t="s">
        <v>7</v>
      </c>
    </row>
    <row r="798" spans="1:20" ht="15.75" customHeight="1" x14ac:dyDescent="0.3">
      <c r="A798" s="17" t="s">
        <v>54</v>
      </c>
      <c r="B798" s="1">
        <f>SUM(B43:B43)+SUM(B202:B202)+SUM(B90:B90)+SUM(B356:B356)</f>
        <v>0</v>
      </c>
      <c r="C798" s="1">
        <f>SUM(C43:C43)+SUM(C202:C202)+SUM(C90:C90)+SUM(C356:C356)</f>
        <v>0</v>
      </c>
      <c r="D798" s="1">
        <f>SUM(D43:D43)+SUM(D202:D202)+SUM(D90:D90)+SUM(D356:D356)</f>
        <v>0</v>
      </c>
      <c r="E798" s="59">
        <f>SUM(B798:D798)</f>
        <v>0</v>
      </c>
      <c r="F798" s="1">
        <f>SUM(F43:F43)+SUM(F202:F202)+SUM(F90:F90)+SUM(F356:F356)</f>
        <v>0</v>
      </c>
      <c r="G798" s="1">
        <f>SUM(G43:G43)+SUM(G202:G202)+SUM(G90:G90)+SUM(G356:G356)</f>
        <v>0</v>
      </c>
      <c r="H798" s="1">
        <f>SUM(H43:H43)+SUM(H202:H202)+SUM(H90:H90)+SUM(H356:H356)</f>
        <v>0</v>
      </c>
      <c r="I798" s="59">
        <f>SUM(F798:H798)</f>
        <v>0</v>
      </c>
      <c r="J798" s="1">
        <f>SUM(J43:J43)+SUM(J202:J202)+SUM(J90:J90)+SUM(J356:J356)</f>
        <v>0</v>
      </c>
      <c r="K798" s="1">
        <f>SUM(K43:K43)+SUM(K202:K202)+SUM(K90:K90)+SUM(K356:K356)</f>
        <v>0</v>
      </c>
      <c r="L798" s="1">
        <f>SUM(L43:L43)+SUM(L202:L202)+SUM(L90:L90)+SUM(L356:L356)</f>
        <v>0</v>
      </c>
      <c r="M798" s="59">
        <f>SUM(J798:L798)</f>
        <v>0</v>
      </c>
      <c r="N798" s="1">
        <f>SUM(N43:N43)+SUM(N202:N202)+SUM(N90:N90)+SUM(N356:N356)</f>
        <v>0</v>
      </c>
      <c r="O798" s="1">
        <f>SUM(O43:O43)+SUM(O202:O202)+SUM(O90:O90)+SUM(O356:O356)</f>
        <v>0</v>
      </c>
      <c r="P798" s="1">
        <f>SUM(P43:P43)+SUM(P202:P202)+SUM(P90:P90)+SUM(P356:P356)</f>
        <v>0</v>
      </c>
      <c r="Q798" s="59">
        <f>SUM(N798:P798)</f>
        <v>0</v>
      </c>
      <c r="R798" s="59">
        <f>+E798+I798+M798+Q798</f>
        <v>0</v>
      </c>
    </row>
    <row r="799" spans="1:20" ht="15.75" customHeight="1" x14ac:dyDescent="0.3">
      <c r="A799" s="164" t="s">
        <v>55</v>
      </c>
      <c r="B799" s="1">
        <f>+SUM(B92:B93)+SUM(B203:B205)+SUM(B357:B366)+B468+SUM(B507:B509)+SUM(B559:B561)+SUM(B615:B615)+B654+B706+SUM(B744:B745)</f>
        <v>1913</v>
      </c>
      <c r="C799" s="1">
        <f>+SUM(C92:C93)+SUM(C203:C205)+SUM(C357:C366)+C468+SUM(C507:C509)+SUM(C559:C561)+SUM(C615:C615)+C654+C706+SUM(C744:C745)</f>
        <v>15616</v>
      </c>
      <c r="D799" s="1">
        <f>+SUM(D92:D93)+SUM(D203:D205)+SUM(D357:D366)+D468+SUM(D507:D509)+SUM(D559:D561)+SUM(D615:D615)+D654+D706+SUM(D744:D745)</f>
        <v>26911</v>
      </c>
      <c r="E799" s="59">
        <f>SUM(B799:D799)</f>
        <v>44440</v>
      </c>
      <c r="F799" s="1">
        <f>+SUM(F92:F93)+SUM(F203:F205)+SUM(F357:F366)+F468+SUM(F507:F509)+SUM(F559:F561)+SUM(F615:F615)+F654+F706+SUM(F744:F745)</f>
        <v>29045</v>
      </c>
      <c r="G799" s="1">
        <f>+SUM(G92:G93)+SUM(G203:G205)+SUM(G357:G366)+G468+SUM(G507:G509)+SUM(G559:G561)+SUM(G615:G615)+G654+G706+SUM(G744:G745)</f>
        <v>35073</v>
      </c>
      <c r="H799" s="1">
        <f>+SUM(H92:H93)+SUM(H203:H205)+SUM(H357:H366)+H468+SUM(H507:H509)+SUM(H559:H561)+SUM(H615:H615)+H654+H706+SUM(H744:H745)</f>
        <v>59682</v>
      </c>
      <c r="I799" s="59">
        <f>SUM(F799:H799)</f>
        <v>123800</v>
      </c>
      <c r="J799" s="1">
        <f>+SUM(J92:J93)+SUM(J203:J205)+SUM(J357:J366)+J468+SUM(J507:J509)+SUM(J559:J561)+SUM(J615:J615)+J654+J706+SUM(J744:J745)</f>
        <v>40687</v>
      </c>
      <c r="K799" s="1">
        <f>+SUM(K92:K93)+SUM(K203:K205)+SUM(K357:K366)+K468+SUM(K507:K509)+SUM(K559:K561)+SUM(K615:K615)+K654+K706+SUM(K744:K745)</f>
        <v>33893</v>
      </c>
      <c r="L799" s="1">
        <f>+SUM(L92:L93)+SUM(L203:L205)+SUM(L357:L366)+L468+SUM(L507:L509)+SUM(L559:L561)+SUM(L615:L615)+L654+L706+SUM(L744:L745)</f>
        <v>20881</v>
      </c>
      <c r="M799" s="59">
        <f>SUM(J799:L799)</f>
        <v>95461</v>
      </c>
      <c r="N799" s="1">
        <f>+SUM(N92:N93)+SUM(N203:N205)+SUM(N357:N366)+N468+SUM(N507:N509)+SUM(N559:N561)+SUM(N615:N615)+N654+N706+SUM(N744:N745)</f>
        <v>9602</v>
      </c>
      <c r="O799" s="1">
        <f>+SUM(O92:O93)+SUM(O203:O205)+SUM(O357:O366)+O468+SUM(O507:O509)+SUM(O559:O561)+SUM(O615:O615)+O654+O706+SUM(O744:O745)</f>
        <v>2385</v>
      </c>
      <c r="P799" s="1">
        <f>+SUM(P92:P93)+SUM(P203:P205)+SUM(P357:P366)+P468+SUM(P507:P509)+SUM(P559:P561)+SUM(P615:P615)+P654+P706+SUM(P744:P745)</f>
        <v>5057</v>
      </c>
      <c r="Q799" s="59">
        <f>SUM(N799:P799)</f>
        <v>17044</v>
      </c>
      <c r="R799" s="59">
        <f>+E799+I799+M799+Q799</f>
        <v>280745</v>
      </c>
    </row>
    <row r="800" spans="1:20" ht="15.75" customHeight="1" thickBot="1" x14ac:dyDescent="0.35">
      <c r="A800" s="17" t="s">
        <v>1018</v>
      </c>
      <c r="B800" s="1">
        <f>+B94+B368+B469+B511+B562+B616+B655+B707+B746</f>
        <v>0</v>
      </c>
      <c r="C800" s="1">
        <f t="shared" ref="C800:D800" si="132">+C94+C368+C469+C511+C562+C616+C655+C707+C746</f>
        <v>0</v>
      </c>
      <c r="D800" s="1">
        <f t="shared" si="132"/>
        <v>0</v>
      </c>
      <c r="E800" s="59">
        <f>SUM(B800:D800)</f>
        <v>0</v>
      </c>
      <c r="F800" s="1">
        <f t="shared" ref="F800:H800" si="133">+F94+F368+F469+F511+F562+F616+F655+F707+F746</f>
        <v>0</v>
      </c>
      <c r="G800" s="1">
        <f t="shared" si="133"/>
        <v>0</v>
      </c>
      <c r="H800" s="1">
        <f t="shared" si="133"/>
        <v>0</v>
      </c>
      <c r="I800" s="59">
        <f>SUM(F800:H800)</f>
        <v>0</v>
      </c>
      <c r="J800" s="1">
        <f t="shared" ref="J800:L800" si="134">+J94+J368+J469+J511+J562+J616+J655+J707+J746</f>
        <v>0</v>
      </c>
      <c r="K800" s="1">
        <f t="shared" si="134"/>
        <v>0</v>
      </c>
      <c r="L800" s="1">
        <f t="shared" si="134"/>
        <v>0</v>
      </c>
      <c r="M800" s="59">
        <f>SUM(J800:L800)</f>
        <v>0</v>
      </c>
      <c r="N800" s="1">
        <f t="shared" ref="N800:P800" si="135">+N94+N368+N469+N511+N562+N616+N655+N707+N746</f>
        <v>0</v>
      </c>
      <c r="O800" s="1">
        <f t="shared" si="135"/>
        <v>11</v>
      </c>
      <c r="P800" s="1">
        <f t="shared" si="135"/>
        <v>41</v>
      </c>
      <c r="Q800" s="59">
        <f>SUM(N800:P800)</f>
        <v>52</v>
      </c>
      <c r="R800" s="59">
        <f>+E800+I800+M800+Q800</f>
        <v>52</v>
      </c>
    </row>
    <row r="801" spans="1:20" ht="16.5" customHeight="1" thickBot="1" x14ac:dyDescent="0.35">
      <c r="A801" s="62" t="s">
        <v>57</v>
      </c>
      <c r="B801" s="100">
        <f>SUM(B797:B800)</f>
        <v>1913</v>
      </c>
      <c r="C801" s="101">
        <f>SUM(C797:C800)</f>
        <v>15616</v>
      </c>
      <c r="D801" s="101">
        <f>SUM(D797:D800)</f>
        <v>26911</v>
      </c>
      <c r="E801" s="64">
        <f>SUM(B801:D801)</f>
        <v>44440</v>
      </c>
      <c r="F801" s="101">
        <f>SUM(F797:F800)</f>
        <v>29045</v>
      </c>
      <c r="G801" s="101">
        <f>SUM(G797:G800)</f>
        <v>35073</v>
      </c>
      <c r="H801" s="101">
        <f>SUM(H797:H800)</f>
        <v>59682</v>
      </c>
      <c r="I801" s="64">
        <f>SUM(F801:H801)</f>
        <v>123800</v>
      </c>
      <c r="J801" s="101">
        <f>SUM(J797:J800)</f>
        <v>40687</v>
      </c>
      <c r="K801" s="101">
        <f>SUM(K797:K800)</f>
        <v>33893</v>
      </c>
      <c r="L801" s="101">
        <f>SUM(L797:L800)</f>
        <v>20881</v>
      </c>
      <c r="M801" s="64">
        <f>SUM(J801:L801)</f>
        <v>95461</v>
      </c>
      <c r="N801" s="101">
        <f>SUM(N797:N800)</f>
        <v>9602</v>
      </c>
      <c r="O801" s="101">
        <f>SUM(O797:O800)</f>
        <v>2396</v>
      </c>
      <c r="P801" s="101">
        <f>SUM(P797:P800)</f>
        <v>5098</v>
      </c>
      <c r="Q801" s="64">
        <f>SUM(N801:P801)</f>
        <v>17096</v>
      </c>
      <c r="R801" s="64">
        <f>+E801+I801+M801+Q801</f>
        <v>280797</v>
      </c>
    </row>
    <row r="802" spans="1:20" ht="15.75" customHeight="1" x14ac:dyDescent="0.3">
      <c r="A802" s="17" t="s">
        <v>58</v>
      </c>
      <c r="B802" s="1"/>
      <c r="C802" s="1"/>
      <c r="D802" s="1"/>
      <c r="E802" s="59" t="s">
        <v>7</v>
      </c>
      <c r="F802" s="1"/>
      <c r="G802" s="1"/>
      <c r="H802" s="1"/>
      <c r="I802" s="59" t="s">
        <v>7</v>
      </c>
      <c r="J802" s="1"/>
      <c r="K802" s="1"/>
      <c r="L802" s="1"/>
      <c r="M802" s="59" t="s">
        <v>7</v>
      </c>
      <c r="N802" s="1"/>
      <c r="O802" s="1"/>
      <c r="P802" s="1"/>
      <c r="Q802" s="59" t="s">
        <v>7</v>
      </c>
      <c r="R802" s="59" t="s">
        <v>7</v>
      </c>
    </row>
    <row r="803" spans="1:20" ht="15.75" customHeight="1" x14ac:dyDescent="0.3">
      <c r="A803" s="164" t="s">
        <v>59</v>
      </c>
      <c r="B803" s="1">
        <f>+B48+B97+B209+SUM(B371:B373)+B472+B514+B565+B619+SUM(B658:B659)+B710+SUM(B749:B751)</f>
        <v>3718</v>
      </c>
      <c r="C803" s="1">
        <f>+C48+C97+C209+SUM(C371:C373)+C472+C514+C565+C619+SUM(C658:C659)+C710+SUM(C749:C751)</f>
        <v>8266</v>
      </c>
      <c r="D803" s="1">
        <f>+D48+D97+D209+SUM(D371:D373)+D472+D514+D565+D619+SUM(D658:D659)+D710+SUM(D749:D751)</f>
        <v>9898</v>
      </c>
      <c r="E803" s="59">
        <f>SUM(B803:D803)</f>
        <v>21882</v>
      </c>
      <c r="F803" s="1">
        <f>+F48+F97+F209+SUM(F371:F373)+F472+F514+F565+F619+SUM(F658:F659)+F710+SUM(F749:F751)</f>
        <v>12515</v>
      </c>
      <c r="G803" s="1">
        <f>+G48+G97+G209+SUM(G371:G373)+G472+G514+G565+G619+SUM(G658:G659)+G710+SUM(G749:G751)</f>
        <v>15432</v>
      </c>
      <c r="H803" s="1">
        <f>+H48+H97+H209+SUM(H371:H373)+H472+H514+H565+H619+SUM(H658:H659)+H710+SUM(H749:H751)</f>
        <v>24325</v>
      </c>
      <c r="I803" s="59">
        <f>SUM(F803:H803)</f>
        <v>52272</v>
      </c>
      <c r="J803" s="1">
        <f>+J48+J97+J209+SUM(J371:J373)+J472+J514+J565+J619+SUM(J658:J659)+J710+SUM(J749:J751)</f>
        <v>27676</v>
      </c>
      <c r="K803" s="1">
        <f>+K48+K97+K209+SUM(K371:K373)+K472+K514+K565+K619+SUM(K658:K659)+K710+SUM(K749:K751)</f>
        <v>19077</v>
      </c>
      <c r="L803" s="1">
        <f>+L48+L97+L209+SUM(L371:L373)+L472+L514+L565+L619+SUM(L658:L659)+L710+SUM(L749:L751)</f>
        <v>12909</v>
      </c>
      <c r="M803" s="59">
        <f>SUM(J803:L803)</f>
        <v>59662</v>
      </c>
      <c r="N803" s="1">
        <f>+N48+N97+N209+SUM(N371:N373)+N472+N514+N565+N619+SUM(N658:N659)+N710+SUM(N749:N751)</f>
        <v>9113</v>
      </c>
      <c r="O803" s="1">
        <f>+O48+O97+O209+SUM(O371:O373)+O472+O514+O565+O619+SUM(O658:O659)+O710+SUM(O749:O751)</f>
        <v>1579</v>
      </c>
      <c r="P803" s="1">
        <f>+P48+P97+P209+SUM(P371:P373)+P472+P514+P565+P619+SUM(P658:P659)+P710+SUM(P749:P751)</f>
        <v>5605</v>
      </c>
      <c r="Q803" s="59">
        <f>SUM(N803:P803)</f>
        <v>16297</v>
      </c>
      <c r="R803" s="59">
        <f>+E803+I803+M803+Q803</f>
        <v>150113</v>
      </c>
    </row>
    <row r="804" spans="1:20" ht="15.75" customHeight="1" thickBot="1" x14ac:dyDescent="0.35">
      <c r="A804" s="164" t="s">
        <v>60</v>
      </c>
      <c r="B804" s="1">
        <f>+B49+SUM(B98:B105)+SUM(B210:B262)+SUM(B374:B410)+SUM(B473:B474)+SUM(B515:B516)+SUM(B566:B567)+B620+SUM(B660:B664)+B711+SUM(B752:B756)</f>
        <v>15830</v>
      </c>
      <c r="C804" s="1">
        <f>+C49+SUM(C98:C105)+SUM(C210:C262)+SUM(C374:C410)+SUM(C473:C474)+SUM(C515:C516)+SUM(C566:C567)+C620+SUM(C660:C664)+C711+SUM(C752:C756)</f>
        <v>25119</v>
      </c>
      <c r="D804" s="1">
        <f>+D49+SUM(D98:D105)+SUM(D210:D262)+SUM(D374:D410)+SUM(D473:D474)+SUM(D515:D516)+SUM(D566:D567)+D620+SUM(D660:D664)+D711+SUM(D752:D756)</f>
        <v>42701</v>
      </c>
      <c r="E804" s="59">
        <f>SUM(B804:D804)</f>
        <v>83650</v>
      </c>
      <c r="F804" s="1">
        <f>+F49+SUM(F98:F105)+SUM(F210:F262)+SUM(F374:F410)+SUM(F473:F474)+SUM(F515:F516)+SUM(F566:F567)+F620+SUM(F660:F664)+F711+SUM(F752:F756)</f>
        <v>45924</v>
      </c>
      <c r="G804" s="1">
        <f>+G49+SUM(G98:G105)+SUM(G210:G262)+SUM(G374:G410)+SUM(G473:G474)+SUM(G515:G516)+SUM(G566:G567)+G620+SUM(G660:G664)+G711+SUM(G752:G756)</f>
        <v>53737</v>
      </c>
      <c r="H804" s="1">
        <f>+H49+SUM(H98:H105)+SUM(H210:H262)+SUM(H374:H410)+SUM(H473:H474)+SUM(H515:H516)+SUM(H566:H567)+H620+SUM(H660:H664)+H711+SUM(H752:H756)</f>
        <v>47433</v>
      </c>
      <c r="I804" s="59">
        <f>SUM(F804:H804)</f>
        <v>147094</v>
      </c>
      <c r="J804" s="1">
        <f>+J49+SUM(J98:J105)+SUM(J210:J262)+SUM(J374:J410)+SUM(J473:J474)+SUM(J515:J516)+SUM(J566:J567)+J620+SUM(J660:J664)+J711+SUM(J752:J756)</f>
        <v>41845</v>
      </c>
      <c r="K804" s="1">
        <f>+K49+SUM(K98:K105)+SUM(K210:K262)+SUM(K374:K410)+SUM(K473:K474)+SUM(K515:K516)+SUM(K566:K567)+K620+SUM(K660:K664)+K711+SUM(K752:K756)</f>
        <v>29705</v>
      </c>
      <c r="L804" s="1">
        <f>+L49+SUM(L98:L105)+SUM(L210:L262)+SUM(L374:L410)+SUM(L473:L474)+SUM(L515:L516)+SUM(L566:L567)+L620+SUM(L660:L664)+L711+SUM(L752:L756)</f>
        <v>32235</v>
      </c>
      <c r="M804" s="59">
        <f>SUM(J804:L804)</f>
        <v>103785</v>
      </c>
      <c r="N804" s="1">
        <f>+N49+SUM(N98:N105)+SUM(N210:N262)+SUM(N374:N410)+SUM(N473:N474)+SUM(N515:N516)+SUM(N566:N567)+N620+SUM(N660:N664)+N711+SUM(N752:N756)</f>
        <v>18636</v>
      </c>
      <c r="O804" s="1">
        <f>+O49+SUM(O98:O105)+SUM(O210:O262)+SUM(O374:O410)+SUM(O473:O474)+SUM(O515:O516)+SUM(O566:O567)+O620+SUM(O660:O664)+O711+SUM(O752:O756)</f>
        <v>10133</v>
      </c>
      <c r="P804" s="1">
        <f>+P49+SUM(P98:P105)+SUM(P210:P262)+SUM(P374:P410)+SUM(P473:P474)+SUM(P515:P516)+SUM(P566:P567)+P620+SUM(P660:P664)+P711+SUM(P752:P756)</f>
        <v>16730</v>
      </c>
      <c r="Q804" s="59">
        <f>SUM(N804:P804)</f>
        <v>45499</v>
      </c>
      <c r="R804" s="59">
        <f>+E804+I804+M804+Q804</f>
        <v>380028</v>
      </c>
    </row>
    <row r="805" spans="1:20" ht="16.5" customHeight="1" thickBot="1" x14ac:dyDescent="0.35">
      <c r="A805" s="62" t="s">
        <v>61</v>
      </c>
      <c r="B805" s="100">
        <f>SUM(B802:B804)</f>
        <v>19548</v>
      </c>
      <c r="C805" s="101">
        <f>SUM(C802:C804)</f>
        <v>33385</v>
      </c>
      <c r="D805" s="138">
        <f>SUM(D802:D804)</f>
        <v>52599</v>
      </c>
      <c r="E805" s="64">
        <f>SUM(B805:D805)</f>
        <v>105532</v>
      </c>
      <c r="F805" s="101">
        <f>SUM(F802:F804)</f>
        <v>58439</v>
      </c>
      <c r="G805" s="101">
        <f>SUM(G802:G804)</f>
        <v>69169</v>
      </c>
      <c r="H805" s="101">
        <f>SUM(H802:H804)</f>
        <v>71758</v>
      </c>
      <c r="I805" s="64">
        <f>SUM(F805:H805)</f>
        <v>199366</v>
      </c>
      <c r="J805" s="101">
        <f>SUM(J802:J804)</f>
        <v>69521</v>
      </c>
      <c r="K805" s="101">
        <f>SUM(K802:K804)</f>
        <v>48782</v>
      </c>
      <c r="L805" s="101">
        <f>SUM(L802:L804)</f>
        <v>45144</v>
      </c>
      <c r="M805" s="64">
        <f>SUM(J805:L805)</f>
        <v>163447</v>
      </c>
      <c r="N805" s="101">
        <f>SUM(N802:N804)</f>
        <v>27749</v>
      </c>
      <c r="O805" s="101">
        <f>SUM(O802:O804)</f>
        <v>11712</v>
      </c>
      <c r="P805" s="101">
        <f>SUM(P802:P804)</f>
        <v>22335</v>
      </c>
      <c r="Q805" s="64">
        <f>SUM(N805:P805)</f>
        <v>61796</v>
      </c>
      <c r="R805" s="64">
        <f>+E805+I805+M805+Q805</f>
        <v>530141</v>
      </c>
      <c r="T805" s="4">
        <v>1600000</v>
      </c>
    </row>
    <row r="806" spans="1:20" ht="20.25" customHeight="1" x14ac:dyDescent="0.3">
      <c r="A806" s="17" t="s">
        <v>623</v>
      </c>
      <c r="B806" s="1"/>
      <c r="C806" s="1"/>
      <c r="D806" s="1"/>
      <c r="E806" s="59" t="s">
        <v>7</v>
      </c>
      <c r="F806" s="1"/>
      <c r="G806" s="1"/>
      <c r="H806" s="1"/>
      <c r="I806" s="59" t="s">
        <v>7</v>
      </c>
      <c r="J806" s="1"/>
      <c r="K806" s="1"/>
      <c r="L806" s="1"/>
      <c r="M806" s="59" t="s">
        <v>7</v>
      </c>
      <c r="N806" s="1"/>
      <c r="O806" s="1"/>
      <c r="P806" s="1"/>
      <c r="Q806" s="59" t="s">
        <v>7</v>
      </c>
      <c r="R806" s="59" t="s">
        <v>7</v>
      </c>
      <c r="T806" s="4">
        <f>+T805-28000-R790-R791-400000-R803-R804+12000</f>
        <v>149047</v>
      </c>
    </row>
    <row r="807" spans="1:20" ht="15.75" customHeight="1" x14ac:dyDescent="0.3">
      <c r="A807" s="17" t="s">
        <v>624</v>
      </c>
      <c r="B807" s="1">
        <f>SUM(B52:B52)+SUM(B108:B116)+SUM(B265:B268)+SUM(B413:B414)+SUM(B477:B477)+B519+SUM(B570:B572)+B623+B667+B714+SUM(B759:B761)</f>
        <v>0</v>
      </c>
      <c r="C807" s="1">
        <f>SUM(C52:C52)+SUM(C108:C116)+SUM(C265:C268)+SUM(C413:C414)+SUM(C477:C477)+C519+SUM(C570:C572)+C623+C667+C714+SUM(C759:C761)</f>
        <v>0</v>
      </c>
      <c r="D807" s="1">
        <f>SUM(D52:D52)+SUM(D108:D116)+SUM(D265:D268)+SUM(D413:D414)+SUM(D477:D477)+D519+SUM(D570:D572)+D623+D667+D714+SUM(D759:D761)</f>
        <v>0</v>
      </c>
      <c r="E807" s="59">
        <f t="shared" ref="E807:E815" si="136">SUM(B807:D807)</f>
        <v>0</v>
      </c>
      <c r="F807" s="1">
        <f>SUM(F52:F52)+SUM(F108:F116)+SUM(F265:F268)+SUM(F413:F414)+SUM(F477:F477)+F519+SUM(F570:F572)+F623+F667+F714+SUM(F759:F761)</f>
        <v>0</v>
      </c>
      <c r="G807" s="1">
        <f>SUM(G52:G52)+SUM(G108:G116)+SUM(G265:G268)+SUM(G413:G414)+SUM(G477:G477)+G519+SUM(G570:G572)+G623+G667+G714+SUM(G759:G761)</f>
        <v>659</v>
      </c>
      <c r="H807" s="1">
        <f>SUM(H52:H52)+SUM(H108:H116)+SUM(H265:H268)+SUM(H413:H414)+SUM(H477:H477)+H519+SUM(H570:H572)+H623+H667+H714+SUM(H759:H761)</f>
        <v>1870</v>
      </c>
      <c r="I807" s="59">
        <f t="shared" ref="I807:I815" si="137">SUM(F807:H807)</f>
        <v>2529</v>
      </c>
      <c r="J807" s="1">
        <f>SUM(J52:J52)+SUM(J108:J116)+SUM(J265:J268)+SUM(J413:J414)+SUM(J477:J477)+J519+SUM(J570:J572)+J623+J667+J714+SUM(J759:J761)</f>
        <v>1978</v>
      </c>
      <c r="K807" s="1">
        <f>SUM(K52:K52)+SUM(K108:K116)+SUM(K265:K268)+SUM(K413:K414)+SUM(K477:K477)+K519+SUM(K570:K572)+K623+K667+K714+SUM(K759:K761)</f>
        <v>279</v>
      </c>
      <c r="L807" s="1">
        <f>SUM(L52:L52)+SUM(L108:L116)+SUM(L265:L268)+SUM(L413:L414)+SUM(L477:L477)+L519+SUM(L570:L572)+L623+L667+L714+SUM(L759:L761)</f>
        <v>214</v>
      </c>
      <c r="M807" s="59">
        <f t="shared" ref="M807:M815" si="138">SUM(J807:L807)</f>
        <v>2471</v>
      </c>
      <c r="N807" s="1">
        <f>SUM(N52:N52)+SUM(N108:N116)+SUM(N265:N268)+SUM(N413:N414)+SUM(N477:N477)+N519+SUM(N570:N572)+N623+N667+N714+SUM(N759:N761)</f>
        <v>18</v>
      </c>
      <c r="O807" s="1">
        <f>SUM(O52:O52)+SUM(O108:O116)+SUM(O265:O268)+SUM(O413:O414)+SUM(O477:O477)+O519+SUM(O570:O572)+O623+O667+O714+SUM(O759:O761)</f>
        <v>12</v>
      </c>
      <c r="P807" s="1">
        <f>SUM(P52:P52)+SUM(P108:P116)+SUM(P265:P268)+SUM(P413:P414)+SUM(P477:P477)+P519+SUM(P570:P572)+P623+P667+P714+SUM(P759:P761)</f>
        <v>835</v>
      </c>
      <c r="Q807" s="59">
        <f t="shared" ref="Q807:Q815" si="139">SUM(N807:P807)</f>
        <v>865</v>
      </c>
      <c r="R807" s="59">
        <f>+E807+I807+M807+Q807</f>
        <v>5865</v>
      </c>
    </row>
    <row r="808" spans="1:20" ht="15.75" customHeight="1" x14ac:dyDescent="0.3">
      <c r="A808" s="17" t="s">
        <v>64</v>
      </c>
      <c r="B808" s="1">
        <f>SUM(B53:B54)+SUM(B117:B118)+SUM(B269:B270)+B272+B274+B276+B277+SUM(B415:B417)+B478+B520+SUM(B573:B574)+B576+SUM(B624:B625)+B669+B671+B715+SUM(B762:B763)</f>
        <v>1020</v>
      </c>
      <c r="C808" s="1">
        <f>SUM(C53:C54)+SUM(C117:C118)+SUM(C269:C270)+C272+C274+C276+C277+SUM(C415:C417)+C478+C520+SUM(C573:C574)+C576+SUM(C624:C625)+C669+C671+C715+SUM(C762:C763)</f>
        <v>1520</v>
      </c>
      <c r="D808" s="1">
        <f>SUM(D53:D54)+SUM(D117:D118)+SUM(D269:D270)+D272+D274+D276+D277+SUM(D415:D417)+D478+D520+SUM(D573:D574)+D576+SUM(D624:D625)+D669+D671+D715+SUM(D762:D763)</f>
        <v>2020</v>
      </c>
      <c r="E808" s="59">
        <f t="shared" si="136"/>
        <v>4560</v>
      </c>
      <c r="F808" s="1">
        <f>SUM(F53:F54)+SUM(F117:F118)+SUM(F269:F270)+F272+F274+F276+F277+SUM(F415:F417)+F478+F520+SUM(F573:F574)+F576+SUM(F624:F625)+F669+F671+F715+SUM(F762:F763)</f>
        <v>4253</v>
      </c>
      <c r="G808" s="1">
        <f>SUM(G53:G54)+SUM(G117:G118)+SUM(G269:G270)+G272+G274+G276+G277+SUM(G415:G417)+G478+G520+SUM(G573:G574)+G576+SUM(G624:G625)+G669+G671+G715+SUM(G762:G763)</f>
        <v>4306</v>
      </c>
      <c r="H808" s="1">
        <f>SUM(H53:H54)+SUM(H117:H118)+SUM(H269:H270)+H272+H274+H276+H277+SUM(H415:H417)+H478+H520+SUM(H573:H574)+H576+SUM(H624:H625)+H669+H671+H715+SUM(H762:H763)</f>
        <v>6137</v>
      </c>
      <c r="I808" s="59">
        <f t="shared" si="137"/>
        <v>14696</v>
      </c>
      <c r="J808" s="1">
        <f>SUM(J53:J54)+SUM(J117:J118)+SUM(J269:J270)+J272+J274+J276+J277+SUM(J415:J417)+J478+J520+SUM(J573:J574)+J576+SUM(J624:J625)+J669+J671+J715+SUM(J762:J763)</f>
        <v>8802</v>
      </c>
      <c r="K808" s="1">
        <f>SUM(K53:K54)+SUM(K117:K118)+SUM(K269:K270)+K272+K274+K276+K277+SUM(K415:K417)+K478+K520+SUM(K573:K574)+K576+SUM(K624:K625)+K669+K671+K715+SUM(K762:K763)</f>
        <v>3351</v>
      </c>
      <c r="L808" s="1">
        <f>SUM(L53:L54)+SUM(L117:L118)+SUM(L269:L270)+L272+L274+L276+L277+SUM(L415:L417)+L478+L520+SUM(L573:L574)+L576+SUM(L624:L625)+L669+L671+L715+SUM(L762:L763)</f>
        <v>2158</v>
      </c>
      <c r="M808" s="59">
        <f t="shared" si="138"/>
        <v>14311</v>
      </c>
      <c r="N808" s="1">
        <f>SUM(N53:N54)+SUM(N117:N118)+SUM(N269:N270)+N272+N274+N276+N277+SUM(N415:N417)+N478+N520+SUM(N573:N574)+N576+SUM(N624:N625)+N669+N671+N715+SUM(N762:N763)</f>
        <v>3007</v>
      </c>
      <c r="O808" s="1">
        <f>SUM(O53:O54)+SUM(O117:O118)+SUM(O269:O270)+O272+O274+O276+O277+SUM(O415:O417)+O478+O520+SUM(O573:O574)+O576+SUM(O624:O625)+O669+O671+O715+SUM(O762:O763)</f>
        <v>2112</v>
      </c>
      <c r="P808" s="1">
        <f>SUM(P53:P54)+SUM(P117:P118)+SUM(P269:P270)+P272+P274+P276+P277+SUM(P415:P417)+P478+P520+SUM(P573:P574)+P576+SUM(P624:P625)+P669+P671+P715+SUM(P762:P763)</f>
        <v>429</v>
      </c>
      <c r="Q808" s="59">
        <f t="shared" si="139"/>
        <v>5548</v>
      </c>
      <c r="R808" s="59">
        <f t="shared" ref="R808:R815" si="140">+E808+I808+M808+Q808</f>
        <v>39115</v>
      </c>
    </row>
    <row r="809" spans="1:20" ht="15.75" customHeight="1" x14ac:dyDescent="0.3">
      <c r="A809" s="74" t="s">
        <v>927</v>
      </c>
      <c r="B809" s="1">
        <f>B119+B271+B273+B275+B575+B577+B670+B672+B764</f>
        <v>0</v>
      </c>
      <c r="C809" s="1">
        <f>C119+C271+C273+C275+C575+C577+C670+C672+C764</f>
        <v>0</v>
      </c>
      <c r="D809" s="1">
        <f>D119+D271+D273+D275+D575+D577+D670+D672+D764</f>
        <v>0</v>
      </c>
      <c r="E809" s="59">
        <f t="shared" si="136"/>
        <v>0</v>
      </c>
      <c r="F809" s="1">
        <f>F119+F271+F273+F275+F575+F577+F670+F672+F764</f>
        <v>0</v>
      </c>
      <c r="G809" s="1">
        <f>G119+G271+G273+G275+G575+G577+G670+G672+G764</f>
        <v>0</v>
      </c>
      <c r="H809" s="1">
        <f>H119+H271+H273+H275+H575+H577+H670+H672+H764</f>
        <v>0</v>
      </c>
      <c r="I809" s="59">
        <f t="shared" si="137"/>
        <v>0</v>
      </c>
      <c r="J809" s="1">
        <f>J119+J271+J273+J275+J575+J577+J670+J672+J764</f>
        <v>0</v>
      </c>
      <c r="K809" s="1">
        <f>K119+K271+K273+K275+K575+K577+K670+K672+K764</f>
        <v>0</v>
      </c>
      <c r="L809" s="1">
        <f>L119+L271+L273+L275+L575+L577+L670+L672+L764</f>
        <v>0</v>
      </c>
      <c r="M809" s="59">
        <f t="shared" si="138"/>
        <v>0</v>
      </c>
      <c r="N809" s="1">
        <f>N119+N271+N273+N275+N575+N577+N670+N672+N764</f>
        <v>0</v>
      </c>
      <c r="O809" s="1">
        <f>O119+O271+O273+O275+O575+O577+O670+O672+O764</f>
        <v>0</v>
      </c>
      <c r="P809" s="1">
        <f>P119+P271+P273+P275+P575+P577+P670+P672+P764</f>
        <v>0</v>
      </c>
      <c r="Q809" s="59">
        <f t="shared" si="139"/>
        <v>0</v>
      </c>
      <c r="R809" s="59">
        <f t="shared" si="140"/>
        <v>0</v>
      </c>
    </row>
    <row r="810" spans="1:20" ht="15.75" customHeight="1" x14ac:dyDescent="0.3">
      <c r="A810" s="17" t="s">
        <v>626</v>
      </c>
      <c r="B810" s="1">
        <f>+B55+SUM(B120:B121)+SUM(B278:B278)+SUM(B418:B424)+SUM(B479:B479)+SUM(B521:B522)+B578+B626+B673+B765+B765</f>
        <v>0</v>
      </c>
      <c r="C810" s="1">
        <f>+C55+SUM(C120:C121)+SUM(C278:C278)+SUM(C418:C424)+SUM(C479:C479)+SUM(C521:C522)+C578+C626+C673+C765+C765</f>
        <v>0</v>
      </c>
      <c r="D810" s="1">
        <f>+D55+SUM(D120:D121)+SUM(D278:D278)+SUM(D418:D424)+SUM(D479:D479)+SUM(D521:D522)+D578+D626+D673+D765+D765</f>
        <v>0</v>
      </c>
      <c r="E810" s="59">
        <f t="shared" si="136"/>
        <v>0</v>
      </c>
      <c r="F810" s="1">
        <f>+F55+SUM(F120:F121)+SUM(F278:F278)+SUM(F418:F424)+SUM(F479:F479)+SUM(F521:F522)+F578+F626+F673+F765+F765</f>
        <v>0</v>
      </c>
      <c r="G810" s="1">
        <f>+G55+SUM(G120:G121)+SUM(G278:G278)+SUM(G418:G424)+SUM(G479:G479)+SUM(G521:G522)+G578+G626+G673+G765+G765</f>
        <v>0</v>
      </c>
      <c r="H810" s="1">
        <f>+H55+SUM(H120:H121)+SUM(H278:H278)+SUM(H418:H424)+SUM(H479:H479)+SUM(H521:H522)+H578+H626+H673+H765+H765</f>
        <v>1000</v>
      </c>
      <c r="I810" s="59">
        <f t="shared" si="137"/>
        <v>1000</v>
      </c>
      <c r="J810" s="1">
        <f>+J55+SUM(J120:J121)+SUM(J278:J278)+SUM(J418:J424)+SUM(J479:J479)+SUM(J521:J522)+J578+J626+J673+J765+J765</f>
        <v>0</v>
      </c>
      <c r="K810" s="1">
        <f>+K55+SUM(K120:K121)+SUM(K278:K278)+SUM(K418:K424)+SUM(K479:K479)+SUM(K521:K522)+K578+K626+K673+K765+K765</f>
        <v>43</v>
      </c>
      <c r="L810" s="1">
        <f>+L55+SUM(L120:L121)+SUM(L278:L278)+SUM(L418:L424)+SUM(L479:L479)+SUM(L521:L522)+L578+L626+L673+L765+L765</f>
        <v>1625</v>
      </c>
      <c r="M810" s="59">
        <f t="shared" si="138"/>
        <v>1668</v>
      </c>
      <c r="N810" s="1">
        <f>+N55+SUM(N120:N121)+SUM(N278:N278)+SUM(N418:N424)+SUM(N479:N479)+SUM(N521:N522)+N578+N626+N673+N765+N765</f>
        <v>4421</v>
      </c>
      <c r="O810" s="1">
        <f>+O55+SUM(O120:O121)+SUM(O278:O278)+SUM(O418:O424)+SUM(O479:O479)+SUM(O521:O522)+O578+O626+O673+O765+O765</f>
        <v>1208</v>
      </c>
      <c r="P810" s="1">
        <f>+P55+SUM(P120:P121)+SUM(P278:P278)+SUM(P418:P424)+SUM(P479:P479)+SUM(P521:P522)+P578+P626+P673+P765+P765</f>
        <v>202</v>
      </c>
      <c r="Q810" s="59">
        <f t="shared" si="139"/>
        <v>5831</v>
      </c>
      <c r="R810" s="59">
        <f>+E810+I810+M810+Q810</f>
        <v>8499</v>
      </c>
    </row>
    <row r="811" spans="1:20" ht="22.5" customHeight="1" x14ac:dyDescent="0.3">
      <c r="A811" s="17" t="s">
        <v>928</v>
      </c>
      <c r="B811" s="1">
        <f>SUM(B122:B122)+SUM(B279:B280)+B426+B428+B429+B431+B433+SUM(B480:B481)+B524+B526+B579+SUM(B580:B581)+B627+B674+B717+B766</f>
        <v>246</v>
      </c>
      <c r="C811" s="1">
        <f>SUM(C122:C122)+SUM(C279:C280)+C426+C428+C429+C431+C433+SUM(C480:C481)+C524+C526+C579+SUM(C580:C581)+C627+C674+C717+C766</f>
        <v>700</v>
      </c>
      <c r="D811" s="1">
        <f>SUM(D122:D122)+SUM(D279:D280)+D426+D428+D429+D431+D433+SUM(D480:D481)+D524+D526+D579+SUM(D580:D581)+D627+D674+D717+D766</f>
        <v>1340</v>
      </c>
      <c r="E811" s="59">
        <f t="shared" si="136"/>
        <v>2286</v>
      </c>
      <c r="F811" s="1">
        <f>SUM(F122:F122)+SUM(F279:F280)+F426+F428+F429+F431+F433+SUM(F480:F481)+F524+F526+F579+SUM(F580:F581)+F627+F674+F717+F766</f>
        <v>1200</v>
      </c>
      <c r="G811" s="1">
        <f>SUM(G122:G122)+SUM(G279:G280)+G426+G428+G429+G431+G433+SUM(G480:G481)+G524+G526+G579+SUM(G580:G581)+G627+G674+G717+G766</f>
        <v>1260</v>
      </c>
      <c r="H811" s="1">
        <f>SUM(H122:H122)+SUM(H279:H280)+H426+H428+H429+H431+H433+SUM(H480:H481)+H524+H526+H579+SUM(H580:H581)+H627+H674+H717+H766</f>
        <v>2891</v>
      </c>
      <c r="I811" s="59">
        <f t="shared" si="137"/>
        <v>5351</v>
      </c>
      <c r="J811" s="1">
        <f>SUM(J122:J122)+SUM(J279:J280)+J426+J428+J429+J431+J433+SUM(J480:J481)+J524+J526+J579+SUM(J580:J581)+J627+J674+J717+J766</f>
        <v>5046</v>
      </c>
      <c r="K811" s="1">
        <f>SUM(K122:K122)+SUM(K279:K280)+K426+K428+K429+K431+K433+SUM(K480:K481)+K524+K526+K579+SUM(K580:K581)+K627+K674+K717+K766</f>
        <v>2299</v>
      </c>
      <c r="L811" s="1">
        <f>SUM(L122:L122)+SUM(L279:L280)+L426+L428+L429+L431+L433+SUM(L480:L481)+L524+L526+L579+SUM(L580:L581)+L627+L674+L717+L766</f>
        <v>3778</v>
      </c>
      <c r="M811" s="59">
        <f t="shared" si="138"/>
        <v>11123</v>
      </c>
      <c r="N811" s="1">
        <f>SUM(N122:N122)+SUM(N279:N280)+N426+N428+N429+N431+N433+SUM(N480:N481)+N524+N526+N579+SUM(N580:N581)+N627+N674+N717+N766</f>
        <v>4652</v>
      </c>
      <c r="O811" s="1">
        <f>SUM(O122:O122)+SUM(O279:O280)+O426+O428+O429+O431+O433+SUM(O480:O481)+O524+O526+O579+SUM(O580:O581)+O627+O674+O717+O766</f>
        <v>2527</v>
      </c>
      <c r="P811" s="1">
        <f>SUM(P122:P122)+SUM(P279:P280)+P426+P428+P429+P431+P433+SUM(P480:P481)+P524+P526+P579+SUM(P580:P581)+P627+P674+P717+P766</f>
        <v>654</v>
      </c>
      <c r="Q811" s="59">
        <f t="shared" si="139"/>
        <v>7833</v>
      </c>
      <c r="R811" s="59">
        <f t="shared" si="140"/>
        <v>26593</v>
      </c>
    </row>
    <row r="812" spans="1:20" ht="15.75" customHeight="1" thickBot="1" x14ac:dyDescent="0.35">
      <c r="A812" s="74" t="s">
        <v>929</v>
      </c>
      <c r="B812" s="1">
        <f>+B427+B430+B432+B482</f>
        <v>0</v>
      </c>
      <c r="C812" s="1">
        <f>+C427+C430+C432+C482</f>
        <v>0</v>
      </c>
      <c r="D812" s="1">
        <f>+D427+D430+D432+D482</f>
        <v>0</v>
      </c>
      <c r="E812" s="59">
        <f>SUM(B812:D812)</f>
        <v>0</v>
      </c>
      <c r="F812" s="1">
        <f>+F427+F430+F432+F482</f>
        <v>0</v>
      </c>
      <c r="G812" s="1">
        <f>+G427+G430+G432+G482</f>
        <v>0</v>
      </c>
      <c r="H812" s="1">
        <f>+H427+H430+H432+H482</f>
        <v>0</v>
      </c>
      <c r="I812" s="59">
        <f>SUM(F812:H812)</f>
        <v>0</v>
      </c>
      <c r="J812" s="1">
        <f>+J427+J430+J432+J482</f>
        <v>0</v>
      </c>
      <c r="K812" s="1">
        <f>+K427+K430+K432+K482</f>
        <v>0</v>
      </c>
      <c r="L812" s="1">
        <f>+L427+L430+L432+L482</f>
        <v>0</v>
      </c>
      <c r="M812" s="59">
        <f>SUM(J812:L812)</f>
        <v>0</v>
      </c>
      <c r="N812" s="1">
        <f>+N427+N430+N432+N482</f>
        <v>0</v>
      </c>
      <c r="O812" s="1">
        <f>+O427+O430+O432+O482</f>
        <v>0</v>
      </c>
      <c r="P812" s="1">
        <f>+P427+P430+P432+P482</f>
        <v>0</v>
      </c>
      <c r="Q812" s="59">
        <f>SUM(N812:P812)</f>
        <v>0</v>
      </c>
      <c r="R812" s="59">
        <f>+E812+I812+M812+Q812</f>
        <v>0</v>
      </c>
    </row>
    <row r="813" spans="1:20" ht="16.5" customHeight="1" thickBot="1" x14ac:dyDescent="0.35">
      <c r="A813" s="62" t="s">
        <v>68</v>
      </c>
      <c r="B813" s="344">
        <f>SUM(B810:B812)</f>
        <v>246</v>
      </c>
      <c r="C813" s="344">
        <f>SUM(C810:C812)</f>
        <v>700</v>
      </c>
      <c r="D813" s="344">
        <f>SUM(D810:D812)</f>
        <v>1340</v>
      </c>
      <c r="E813" s="334">
        <f t="shared" si="136"/>
        <v>2286</v>
      </c>
      <c r="F813" s="344">
        <f>SUM(F810:F812)</f>
        <v>1200</v>
      </c>
      <c r="G813" s="344">
        <f>SUM(G810:G812)</f>
        <v>1260</v>
      </c>
      <c r="H813" s="344">
        <f>SUM(H810:H812)</f>
        <v>3891</v>
      </c>
      <c r="I813" s="334">
        <f t="shared" si="137"/>
        <v>6351</v>
      </c>
      <c r="J813" s="344">
        <f>SUM(J810:J812)</f>
        <v>5046</v>
      </c>
      <c r="K813" s="344">
        <f>SUM(K810:K812)</f>
        <v>2342</v>
      </c>
      <c r="L813" s="344">
        <f>SUM(L810:L812)</f>
        <v>5403</v>
      </c>
      <c r="M813" s="334">
        <f t="shared" si="138"/>
        <v>12791</v>
      </c>
      <c r="N813" s="344">
        <f>SUM(N810:N812)</f>
        <v>9073</v>
      </c>
      <c r="O813" s="344">
        <f>SUM(O810:O812)</f>
        <v>3735</v>
      </c>
      <c r="P813" s="344">
        <f>SUM(P810:P812)</f>
        <v>856</v>
      </c>
      <c r="Q813" s="334">
        <f t="shared" si="139"/>
        <v>13664</v>
      </c>
      <c r="R813" s="64">
        <f t="shared" si="140"/>
        <v>35092</v>
      </c>
    </row>
    <row r="814" spans="1:20" ht="16.5" customHeight="1" thickBot="1" x14ac:dyDescent="0.35">
      <c r="A814" s="137" t="s">
        <v>69</v>
      </c>
      <c r="B814" s="100">
        <f>SUM(B806:B812)</f>
        <v>1266</v>
      </c>
      <c r="C814" s="101">
        <f>SUM(C806:C812)</f>
        <v>2220</v>
      </c>
      <c r="D814" s="138">
        <f>SUM(D806:D812)</f>
        <v>3360</v>
      </c>
      <c r="E814" s="347">
        <f t="shared" si="136"/>
        <v>6846</v>
      </c>
      <c r="F814" s="100">
        <f>SUM(F806:F812)</f>
        <v>5453</v>
      </c>
      <c r="G814" s="101">
        <f>SUM(G806:G812)</f>
        <v>6225</v>
      </c>
      <c r="H814" s="138">
        <f>SUM(H806:H812)</f>
        <v>11898</v>
      </c>
      <c r="I814" s="334">
        <f t="shared" si="137"/>
        <v>23576</v>
      </c>
      <c r="J814" s="100">
        <f>SUM(J806:J812)</f>
        <v>15826</v>
      </c>
      <c r="K814" s="101">
        <f>SUM(K806:K812)</f>
        <v>5972</v>
      </c>
      <c r="L814" s="138">
        <f>SUM(L806:L812)</f>
        <v>7775</v>
      </c>
      <c r="M814" s="334">
        <f t="shared" si="138"/>
        <v>29573</v>
      </c>
      <c r="N814" s="100">
        <f>SUM(N806:N812)</f>
        <v>12098</v>
      </c>
      <c r="O814" s="101">
        <f>SUM(O806:O812)</f>
        <v>5859</v>
      </c>
      <c r="P814" s="138">
        <f>SUM(P806:P812)</f>
        <v>2120</v>
      </c>
      <c r="Q814" s="334">
        <f t="shared" si="139"/>
        <v>20077</v>
      </c>
      <c r="R814" s="64">
        <f t="shared" si="140"/>
        <v>80072</v>
      </c>
    </row>
    <row r="815" spans="1:20" ht="16.5" customHeight="1" thickBot="1" x14ac:dyDescent="0.35">
      <c r="A815" s="62" t="s">
        <v>70</v>
      </c>
      <c r="B815" s="149">
        <f>+B796+B801+B805+B814</f>
        <v>43148</v>
      </c>
      <c r="C815" s="150">
        <f>+C796+C801+C805+C814</f>
        <v>77253</v>
      </c>
      <c r="D815" s="150">
        <f>+D796+D801+D805+D814</f>
        <v>122146</v>
      </c>
      <c r="E815" s="64">
        <f t="shared" si="136"/>
        <v>242547</v>
      </c>
      <c r="F815" s="63">
        <f>+F796+F801+F805+F814</f>
        <v>138443</v>
      </c>
      <c r="G815" s="63">
        <f>+G796+G801+G805+G814</f>
        <v>166029</v>
      </c>
      <c r="H815" s="63">
        <f>+H796+H801+H805+H814</f>
        <v>201550</v>
      </c>
      <c r="I815" s="64">
        <f t="shared" si="137"/>
        <v>506022</v>
      </c>
      <c r="J815" s="63">
        <f>+J796+J801+J805+J814</f>
        <v>193428</v>
      </c>
      <c r="K815" s="63">
        <f>+K796+K801+K805+K814</f>
        <v>151816</v>
      </c>
      <c r="L815" s="63">
        <f>+L796+L801+L805+L814</f>
        <v>129194</v>
      </c>
      <c r="M815" s="64">
        <f t="shared" si="138"/>
        <v>474438</v>
      </c>
      <c r="N815" s="63">
        <f>+N796+N801+N805+N814</f>
        <v>88804</v>
      </c>
      <c r="O815" s="63">
        <f>+O796+O801+O805+O814</f>
        <v>57369</v>
      </c>
      <c r="P815" s="63">
        <f>+P796+P801+P805+P814</f>
        <v>61730</v>
      </c>
      <c r="Q815" s="64">
        <f t="shared" si="139"/>
        <v>207903</v>
      </c>
      <c r="R815" s="88">
        <f t="shared" si="140"/>
        <v>1430910</v>
      </c>
    </row>
    <row r="816" spans="1:20" ht="15.75" customHeight="1" x14ac:dyDescent="0.3">
      <c r="A816" s="1" t="s">
        <v>930</v>
      </c>
      <c r="B816" s="1"/>
      <c r="C816" s="1"/>
      <c r="D816" s="1"/>
      <c r="E816" s="1"/>
      <c r="F816" s="1"/>
      <c r="G816" s="1"/>
      <c r="H816" s="1"/>
      <c r="I816" s="1"/>
      <c r="J816" s="1"/>
      <c r="K816" s="1"/>
      <c r="L816" s="1"/>
      <c r="M816" s="1"/>
      <c r="N816" s="1"/>
      <c r="O816" s="166"/>
      <c r="P816" s="1"/>
      <c r="Q816" s="1"/>
      <c r="R816" s="28"/>
    </row>
    <row r="817" spans="1:18" ht="15.75" customHeight="1" x14ac:dyDescent="0.3">
      <c r="A817" s="1" t="s">
        <v>931</v>
      </c>
      <c r="B817" s="1"/>
      <c r="C817" s="1"/>
      <c r="D817" s="1"/>
      <c r="E817" s="1"/>
      <c r="F817" s="1"/>
      <c r="G817" s="1"/>
      <c r="H817" s="1"/>
      <c r="I817" s="1"/>
      <c r="J817" s="1"/>
      <c r="K817" s="1"/>
      <c r="L817" s="1"/>
      <c r="M817" s="1"/>
      <c r="N817" s="1"/>
      <c r="O817" s="166"/>
      <c r="P817" s="1"/>
      <c r="Q817" s="1"/>
      <c r="R817" s="28"/>
    </row>
    <row r="818" spans="1:18" ht="15.75" customHeight="1" x14ac:dyDescent="0.3">
      <c r="A818" s="1"/>
      <c r="B818" s="1"/>
      <c r="C818" s="1"/>
      <c r="D818" s="1"/>
      <c r="E818" s="1"/>
      <c r="F818" s="1"/>
      <c r="G818" s="1"/>
      <c r="H818" s="1"/>
      <c r="I818" s="1"/>
      <c r="J818" s="1"/>
      <c r="K818" s="1"/>
      <c r="L818" s="1"/>
      <c r="M818" s="1"/>
      <c r="N818" s="1"/>
      <c r="O818" s="166"/>
      <c r="P818" s="1"/>
      <c r="Q818" s="2" t="str">
        <f>+Q1</f>
        <v xml:space="preserve">PRINTED:  </v>
      </c>
      <c r="R818" s="163">
        <f ca="1">+R1</f>
        <v>44894.658168402777</v>
      </c>
    </row>
    <row r="819" spans="1:18" ht="15.75" customHeight="1" x14ac:dyDescent="0.3">
      <c r="A819" s="383" t="s">
        <v>1</v>
      </c>
      <c r="B819" s="383"/>
      <c r="C819" s="383"/>
      <c r="D819" s="383"/>
      <c r="E819" s="383"/>
      <c r="F819" s="383"/>
      <c r="G819" s="383"/>
      <c r="H819" s="383"/>
      <c r="I819" s="383"/>
      <c r="J819" s="383"/>
      <c r="K819" s="383"/>
      <c r="L819" s="383"/>
      <c r="M819" s="383"/>
      <c r="N819" s="383"/>
      <c r="O819" s="383"/>
      <c r="P819" s="383"/>
      <c r="Q819" s="383"/>
      <c r="R819" s="383"/>
    </row>
    <row r="820" spans="1:18" ht="15.75" customHeight="1" x14ac:dyDescent="0.3">
      <c r="A820" s="383" t="s">
        <v>2</v>
      </c>
      <c r="B820" s="383"/>
      <c r="C820" s="383"/>
      <c r="D820" s="383"/>
      <c r="E820" s="383"/>
      <c r="F820" s="383"/>
      <c r="G820" s="383"/>
      <c r="H820" s="383"/>
      <c r="I820" s="383"/>
      <c r="J820" s="383"/>
      <c r="K820" s="383"/>
      <c r="L820" s="383"/>
      <c r="M820" s="383"/>
      <c r="N820" s="383"/>
      <c r="O820" s="383"/>
      <c r="P820" s="383"/>
      <c r="Q820" s="383"/>
      <c r="R820" s="383"/>
    </row>
    <row r="821" spans="1:18" ht="15.75" customHeight="1" x14ac:dyDescent="0.3">
      <c r="A821" s="383" t="s">
        <v>3</v>
      </c>
      <c r="B821" s="383"/>
      <c r="C821" s="383"/>
      <c r="D821" s="383"/>
      <c r="E821" s="383"/>
      <c r="F821" s="383"/>
      <c r="G821" s="383"/>
      <c r="H821" s="383"/>
      <c r="I821" s="383"/>
      <c r="J821" s="383"/>
      <c r="K821" s="383"/>
      <c r="L821" s="383"/>
      <c r="M821" s="383"/>
      <c r="N821" s="383"/>
      <c r="O821" s="383"/>
      <c r="P821" s="383"/>
      <c r="Q821" s="383"/>
      <c r="R821" s="383"/>
    </row>
    <row r="822" spans="1:18" ht="15.75" customHeight="1" x14ac:dyDescent="0.3">
      <c r="A822" s="392">
        <f>+A5</f>
        <v>2016</v>
      </c>
      <c r="B822" s="392"/>
      <c r="C822" s="392"/>
      <c r="D822" s="392"/>
      <c r="E822" s="392"/>
      <c r="F822" s="392"/>
      <c r="G822" s="392"/>
      <c r="H822" s="392"/>
      <c r="I822" s="392"/>
      <c r="J822" s="392"/>
      <c r="K822" s="392"/>
      <c r="L822" s="392"/>
      <c r="M822" s="392"/>
      <c r="N822" s="392"/>
      <c r="O822" s="392"/>
      <c r="P822" s="392"/>
      <c r="Q822" s="392"/>
      <c r="R822" s="392"/>
    </row>
    <row r="823" spans="1:18" ht="15.75" customHeight="1" x14ac:dyDescent="0.3">
      <c r="A823" s="1"/>
      <c r="B823" s="1"/>
      <c r="C823" s="1"/>
      <c r="D823" s="7"/>
      <c r="E823" s="7"/>
      <c r="F823" s="7"/>
      <c r="G823" s="8"/>
      <c r="H823" s="7"/>
      <c r="I823" s="7"/>
      <c r="J823" s="8"/>
      <c r="K823" s="8"/>
      <c r="L823" s="8"/>
      <c r="M823" s="8"/>
      <c r="N823" s="1"/>
      <c r="O823" s="8"/>
      <c r="P823" s="8"/>
      <c r="Q823" s="8"/>
      <c r="R823" s="8"/>
    </row>
    <row r="824" spans="1:18" ht="15.75" customHeight="1" x14ac:dyDescent="0.3">
      <c r="A824" s="383" t="str">
        <f>+A8</f>
        <v>Revised:  2/23/2017</v>
      </c>
      <c r="B824" s="383"/>
      <c r="C824" s="383"/>
      <c r="D824" s="383"/>
      <c r="E824" s="383"/>
      <c r="F824" s="383"/>
      <c r="G824" s="383"/>
      <c r="H824" s="383"/>
      <c r="I824" s="383"/>
      <c r="J824" s="383"/>
      <c r="K824" s="383"/>
      <c r="L824" s="383"/>
      <c r="M824" s="383"/>
      <c r="N824" s="383"/>
      <c r="O824" s="383"/>
      <c r="P824" s="383"/>
      <c r="Q824" s="383"/>
      <c r="R824" s="383"/>
    </row>
    <row r="825" spans="1:18" ht="15.75" customHeight="1" x14ac:dyDescent="0.3">
      <c r="A825" s="6"/>
      <c r="B825" s="6"/>
      <c r="C825" s="6"/>
      <c r="D825" s="6"/>
      <c r="E825" s="6"/>
      <c r="F825" s="6"/>
      <c r="G825" s="6"/>
      <c r="H825" s="6"/>
      <c r="I825" s="6"/>
      <c r="J825" s="6"/>
      <c r="K825" s="6"/>
      <c r="L825" s="6"/>
      <c r="M825" s="6"/>
      <c r="N825" s="6"/>
      <c r="O825" s="6"/>
      <c r="P825" s="6"/>
      <c r="Q825" s="6"/>
      <c r="R825" s="6"/>
    </row>
    <row r="826" spans="1:18" ht="15.75" customHeight="1" x14ac:dyDescent="0.3">
      <c r="A826" s="30"/>
      <c r="B826" s="1"/>
      <c r="C826" s="1"/>
      <c r="D826" s="1"/>
      <c r="E826" s="1"/>
      <c r="F826" s="1"/>
      <c r="G826" s="1"/>
      <c r="H826" s="1"/>
      <c r="I826" s="1"/>
      <c r="J826" s="1"/>
      <c r="K826" s="1"/>
      <c r="L826" s="1"/>
      <c r="M826" s="1"/>
      <c r="N826" s="1"/>
      <c r="O826" s="1"/>
      <c r="P826" s="1"/>
      <c r="Q826" s="1"/>
      <c r="R826" s="28"/>
    </row>
    <row r="827" spans="1:18" ht="15.75" customHeight="1" thickBot="1" x14ac:dyDescent="0.35">
      <c r="A827" s="1"/>
      <c r="B827" s="1"/>
      <c r="C827" s="1"/>
      <c r="D827" s="1"/>
      <c r="E827" s="1"/>
      <c r="F827" s="1"/>
      <c r="G827" s="1"/>
      <c r="H827" s="1"/>
      <c r="I827" s="1"/>
      <c r="J827" s="1"/>
      <c r="K827" s="1"/>
      <c r="L827" s="1"/>
      <c r="M827" s="1"/>
      <c r="N827" s="1"/>
      <c r="O827" s="166"/>
      <c r="P827" s="1"/>
      <c r="Q827" s="1"/>
      <c r="R827" s="28"/>
    </row>
    <row r="828" spans="1:18" ht="15.75" customHeight="1" thickBot="1" x14ac:dyDescent="0.35">
      <c r="A828" s="342" t="s">
        <v>630</v>
      </c>
      <c r="B828" s="330" t="s">
        <v>36</v>
      </c>
      <c r="C828" s="331" t="s">
        <v>9</v>
      </c>
      <c r="D828" s="331" t="s">
        <v>10</v>
      </c>
      <c r="E828" s="325" t="s">
        <v>11</v>
      </c>
      <c r="F828" s="331" t="s">
        <v>12</v>
      </c>
      <c r="G828" s="331" t="s">
        <v>13</v>
      </c>
      <c r="H828" s="331" t="s">
        <v>14</v>
      </c>
      <c r="I828" s="325" t="s">
        <v>15</v>
      </c>
      <c r="J828" s="331" t="s">
        <v>16</v>
      </c>
      <c r="K828" s="331" t="s">
        <v>17</v>
      </c>
      <c r="L828" s="331" t="s">
        <v>18</v>
      </c>
      <c r="M828" s="325" t="s">
        <v>19</v>
      </c>
      <c r="N828" s="331" t="s">
        <v>20</v>
      </c>
      <c r="O828" s="331" t="s">
        <v>21</v>
      </c>
      <c r="P828" s="331" t="s">
        <v>22</v>
      </c>
      <c r="Q828" s="325" t="s">
        <v>23</v>
      </c>
      <c r="R828" s="348" t="s">
        <v>24</v>
      </c>
    </row>
    <row r="829" spans="1:18" ht="16.5" customHeight="1" thickBot="1" x14ac:dyDescent="0.35">
      <c r="A829" s="168"/>
      <c r="B829" s="169"/>
      <c r="C829" s="169"/>
      <c r="D829" s="169"/>
      <c r="E829" s="16"/>
      <c r="F829" s="169"/>
      <c r="G829" s="169"/>
      <c r="H829" s="169"/>
      <c r="I829" s="38"/>
      <c r="J829" s="169"/>
      <c r="K829" s="169"/>
      <c r="L829" s="169"/>
      <c r="M829" s="38"/>
      <c r="N829" s="169"/>
      <c r="O829" s="169"/>
      <c r="P829" s="169"/>
      <c r="Q829" s="151"/>
      <c r="R829" s="349"/>
    </row>
    <row r="830" spans="1:18" ht="16.5" customHeight="1" thickBot="1" x14ac:dyDescent="0.35">
      <c r="A830" s="171" t="s">
        <v>26</v>
      </c>
      <c r="B830" s="172">
        <f>+B796</f>
        <v>20421</v>
      </c>
      <c r="C830" s="172">
        <f>+C796</f>
        <v>26032</v>
      </c>
      <c r="D830" s="172">
        <f>+D796</f>
        <v>39276</v>
      </c>
      <c r="E830" s="100">
        <f>+SUM(B830:D830)</f>
        <v>85729</v>
      </c>
      <c r="F830" s="172">
        <f>+F796</f>
        <v>45506</v>
      </c>
      <c r="G830" s="172">
        <f>+G796</f>
        <v>55562</v>
      </c>
      <c r="H830" s="172">
        <f>+H796</f>
        <v>58212</v>
      </c>
      <c r="I830" s="100">
        <f>+SUM(F830:H830)</f>
        <v>159280</v>
      </c>
      <c r="J830" s="172">
        <f>+J796</f>
        <v>67394</v>
      </c>
      <c r="K830" s="172">
        <f>+K796</f>
        <v>63169</v>
      </c>
      <c r="L830" s="172">
        <f>+L796</f>
        <v>55394</v>
      </c>
      <c r="M830" s="100">
        <f>+SUM(J830:L830)</f>
        <v>185957</v>
      </c>
      <c r="N830" s="172">
        <f>+N796</f>
        <v>39355</v>
      </c>
      <c r="O830" s="172">
        <f>+O796</f>
        <v>37402</v>
      </c>
      <c r="P830" s="172">
        <f>+P796</f>
        <v>32177</v>
      </c>
      <c r="Q830" s="100">
        <f>+SUM(N830:P830)</f>
        <v>108934</v>
      </c>
      <c r="R830" s="64">
        <f>+E830+I830+M830+Q830</f>
        <v>539900</v>
      </c>
    </row>
    <row r="831" spans="1:18" ht="16.5" customHeight="1" thickBot="1" x14ac:dyDescent="0.35">
      <c r="A831" s="34"/>
      <c r="B831" s="100"/>
      <c r="C831" s="100"/>
      <c r="D831" s="100"/>
      <c r="E831" s="100"/>
      <c r="F831" s="100"/>
      <c r="G831" s="100"/>
      <c r="H831" s="100"/>
      <c r="I831" s="100"/>
      <c r="J831" s="100"/>
      <c r="K831" s="100"/>
      <c r="L831" s="100"/>
      <c r="M831" s="100"/>
      <c r="N831" s="100"/>
      <c r="O831" s="100"/>
      <c r="P831" s="100"/>
      <c r="Q831" s="100"/>
      <c r="R831" s="64"/>
    </row>
    <row r="832" spans="1:18" ht="16.5" customHeight="1" thickBot="1" x14ac:dyDescent="0.35">
      <c r="A832" s="171" t="s">
        <v>631</v>
      </c>
      <c r="B832" s="172">
        <f>+B801</f>
        <v>1913</v>
      </c>
      <c r="C832" s="172">
        <f>+C801</f>
        <v>15616</v>
      </c>
      <c r="D832" s="172">
        <f>+D801</f>
        <v>26911</v>
      </c>
      <c r="E832" s="100">
        <f>+SUM(B832:D832)</f>
        <v>44440</v>
      </c>
      <c r="F832" s="172">
        <f>+F801</f>
        <v>29045</v>
      </c>
      <c r="G832" s="172">
        <f>+G801</f>
        <v>35073</v>
      </c>
      <c r="H832" s="172">
        <f>+H801</f>
        <v>59682</v>
      </c>
      <c r="I832" s="100">
        <f>+SUM(F832:H832)</f>
        <v>123800</v>
      </c>
      <c r="J832" s="172">
        <f>+J801</f>
        <v>40687</v>
      </c>
      <c r="K832" s="172">
        <f>+K801</f>
        <v>33893</v>
      </c>
      <c r="L832" s="172">
        <f>+L801</f>
        <v>20881</v>
      </c>
      <c r="M832" s="100">
        <f>+SUM(J832:L832)</f>
        <v>95461</v>
      </c>
      <c r="N832" s="172">
        <f>+N801</f>
        <v>9602</v>
      </c>
      <c r="O832" s="172">
        <f>+O801</f>
        <v>2396</v>
      </c>
      <c r="P832" s="172">
        <f>+P801</f>
        <v>5098</v>
      </c>
      <c r="Q832" s="100">
        <f>+SUM(N832:P832)</f>
        <v>17096</v>
      </c>
      <c r="R832" s="64">
        <f>+E832+I832+M832+Q832</f>
        <v>280797</v>
      </c>
    </row>
    <row r="833" spans="1:46" ht="16.5" customHeight="1" thickBot="1" x14ac:dyDescent="0.35">
      <c r="A833" s="34"/>
      <c r="B833" s="100"/>
      <c r="C833" s="100"/>
      <c r="D833" s="100"/>
      <c r="E833" s="100"/>
      <c r="F833" s="100"/>
      <c r="G833" s="100"/>
      <c r="H833" s="100"/>
      <c r="I833" s="100"/>
      <c r="J833" s="100"/>
      <c r="K833" s="100"/>
      <c r="L833" s="100"/>
      <c r="M833" s="100"/>
      <c r="N833" s="100"/>
      <c r="O833" s="100"/>
      <c r="P833" s="100"/>
      <c r="Q833" s="100"/>
      <c r="R833" s="64"/>
      <c r="AC833" s="350"/>
      <c r="AD833" s="351"/>
      <c r="AE833" s="352" t="s">
        <v>632</v>
      </c>
      <c r="AF833" s="351"/>
      <c r="AG833" s="351"/>
      <c r="AH833" s="351"/>
      <c r="AI833" s="351"/>
      <c r="AJ833" s="351"/>
      <c r="AK833" s="351" t="s">
        <v>633</v>
      </c>
      <c r="AL833" s="351"/>
      <c r="AM833" s="351" t="s">
        <v>7</v>
      </c>
      <c r="AN833" s="353" t="str">
        <f>+A8</f>
        <v>Revised:  2/23/2017</v>
      </c>
      <c r="AO833" s="351"/>
      <c r="AP833" s="351"/>
      <c r="AQ833" s="351"/>
      <c r="AR833" s="351"/>
      <c r="AS833" s="354" t="str">
        <f>+Q1</f>
        <v xml:space="preserve">PRINTED:  </v>
      </c>
      <c r="AT833" s="355">
        <f ca="1">+R1</f>
        <v>44894.658168402777</v>
      </c>
    </row>
    <row r="834" spans="1:46" ht="16.5" customHeight="1" thickBot="1" x14ac:dyDescent="0.35">
      <c r="A834" s="171" t="s">
        <v>28</v>
      </c>
      <c r="B834" s="172">
        <f>+B805</f>
        <v>19548</v>
      </c>
      <c r="C834" s="172">
        <f>+C805</f>
        <v>33385</v>
      </c>
      <c r="D834" s="172">
        <f>+D805</f>
        <v>52599</v>
      </c>
      <c r="E834" s="100">
        <f>+SUM(B834:D834)</f>
        <v>105532</v>
      </c>
      <c r="F834" s="172">
        <f>+F805</f>
        <v>58439</v>
      </c>
      <c r="G834" s="172">
        <f>+G805</f>
        <v>69169</v>
      </c>
      <c r="H834" s="172">
        <f>+H805</f>
        <v>71758</v>
      </c>
      <c r="I834" s="100">
        <f>+SUM(F834:H834)</f>
        <v>199366</v>
      </c>
      <c r="J834" s="172">
        <f>+J805</f>
        <v>69521</v>
      </c>
      <c r="K834" s="172">
        <f>+K805</f>
        <v>48782</v>
      </c>
      <c r="L834" s="172">
        <f>+L805</f>
        <v>45144</v>
      </c>
      <c r="M834" s="100">
        <f>+SUM(J834:L834)</f>
        <v>163447</v>
      </c>
      <c r="N834" s="172">
        <f>+N805</f>
        <v>27749</v>
      </c>
      <c r="O834" s="172">
        <f>+O805</f>
        <v>11712</v>
      </c>
      <c r="P834" s="172">
        <f>+P805</f>
        <v>22335</v>
      </c>
      <c r="Q834" s="100">
        <f>+SUM(N834:P834)</f>
        <v>61796</v>
      </c>
      <c r="R834" s="64">
        <f>+E834+I834+M834+Q834</f>
        <v>530141</v>
      </c>
      <c r="AC834" s="179"/>
      <c r="AD834" s="180"/>
      <c r="AE834" s="180"/>
      <c r="AF834" s="180">
        <f>++A5</f>
        <v>2016</v>
      </c>
      <c r="AG834" s="180"/>
      <c r="AH834" s="180"/>
      <c r="AI834" s="180"/>
      <c r="AJ834" s="180"/>
      <c r="AK834" s="180"/>
      <c r="AL834" s="180"/>
      <c r="AM834" s="180"/>
      <c r="AN834" s="180"/>
      <c r="AO834" s="180"/>
      <c r="AP834" s="180"/>
      <c r="AQ834" s="180"/>
      <c r="AR834" s="180"/>
      <c r="AS834" s="180"/>
      <c r="AT834" s="306"/>
    </row>
    <row r="835" spans="1:46" ht="16.5" customHeight="1" thickBot="1" x14ac:dyDescent="0.35">
      <c r="A835" s="34"/>
      <c r="B835" s="100"/>
      <c r="C835" s="100"/>
      <c r="D835" s="100"/>
      <c r="E835" s="100"/>
      <c r="F835" s="100"/>
      <c r="G835" s="100"/>
      <c r="H835" s="100"/>
      <c r="I835" s="100"/>
      <c r="J835" s="100"/>
      <c r="K835" s="100"/>
      <c r="L835" s="100"/>
      <c r="M835" s="100"/>
      <c r="N835" s="100"/>
      <c r="O835" s="100"/>
      <c r="P835" s="100"/>
      <c r="Q835" s="100"/>
      <c r="R835" s="64"/>
      <c r="AC835" s="179"/>
      <c r="AD835" s="180"/>
      <c r="AE835" s="180"/>
      <c r="AF835" s="180"/>
      <c r="AG835" s="180"/>
      <c r="AH835" s="180"/>
      <c r="AI835" s="180"/>
      <c r="AJ835" s="180"/>
      <c r="AK835" s="180"/>
      <c r="AL835" s="180"/>
      <c r="AM835" s="180"/>
      <c r="AN835" s="180"/>
      <c r="AO835" s="180"/>
      <c r="AP835" s="180"/>
      <c r="AQ835" s="180"/>
      <c r="AR835" s="180"/>
      <c r="AS835" s="180"/>
      <c r="AT835" s="306"/>
    </row>
    <row r="836" spans="1:46" ht="16.5" customHeight="1" thickBot="1" x14ac:dyDescent="0.35">
      <c r="A836" s="171" t="s">
        <v>634</v>
      </c>
      <c r="B836" s="172">
        <f>+B814</f>
        <v>1266</v>
      </c>
      <c r="C836" s="172">
        <f>+C814</f>
        <v>2220</v>
      </c>
      <c r="D836" s="172">
        <f>+D814</f>
        <v>3360</v>
      </c>
      <c r="E836" s="100">
        <f>+SUM(B836:D836)</f>
        <v>6846</v>
      </c>
      <c r="F836" s="172">
        <f>+F814</f>
        <v>5453</v>
      </c>
      <c r="G836" s="172">
        <f>+G814</f>
        <v>6225</v>
      </c>
      <c r="H836" s="172">
        <f>+H814</f>
        <v>11898</v>
      </c>
      <c r="I836" s="100">
        <f>+SUM(F836:H836)</f>
        <v>23576</v>
      </c>
      <c r="J836" s="172">
        <f>+J814</f>
        <v>15826</v>
      </c>
      <c r="K836" s="172">
        <f>+K814</f>
        <v>5972</v>
      </c>
      <c r="L836" s="172">
        <f>+L814</f>
        <v>7775</v>
      </c>
      <c r="M836" s="100">
        <f>+SUM(J836:L836)</f>
        <v>29573</v>
      </c>
      <c r="N836" s="172">
        <f>+N814</f>
        <v>12098</v>
      </c>
      <c r="O836" s="172">
        <f>+O814</f>
        <v>5859</v>
      </c>
      <c r="P836" s="172">
        <f>+P814</f>
        <v>2120</v>
      </c>
      <c r="Q836" s="100">
        <f>+SUM(N836:P836)</f>
        <v>20077</v>
      </c>
      <c r="R836" s="64">
        <f>+E836+I836+M836+Q836</f>
        <v>80072</v>
      </c>
      <c r="AC836" s="179"/>
      <c r="AD836" s="180"/>
      <c r="AE836" s="180"/>
      <c r="AF836" s="180"/>
      <c r="AG836" s="180"/>
      <c r="AH836" s="180"/>
      <c r="AI836" s="182" t="s">
        <v>635</v>
      </c>
      <c r="AJ836" s="180"/>
      <c r="AK836" s="180"/>
      <c r="AL836" s="180"/>
      <c r="AM836" s="180"/>
      <c r="AN836" s="180"/>
      <c r="AO836" s="180"/>
      <c r="AP836" s="180"/>
      <c r="AQ836" s="180"/>
      <c r="AR836" s="180"/>
      <c r="AS836" s="180"/>
      <c r="AT836" s="306"/>
    </row>
    <row r="837" spans="1:46" ht="16.5" customHeight="1" thickBot="1" x14ac:dyDescent="0.35">
      <c r="A837" s="34"/>
      <c r="B837" s="100"/>
      <c r="C837" s="100"/>
      <c r="D837" s="100"/>
      <c r="E837" s="100"/>
      <c r="F837" s="100"/>
      <c r="G837" s="100"/>
      <c r="H837" s="100"/>
      <c r="I837" s="100"/>
      <c r="J837" s="100"/>
      <c r="K837" s="100"/>
      <c r="L837" s="100"/>
      <c r="M837" s="100"/>
      <c r="N837" s="100"/>
      <c r="O837" s="100"/>
      <c r="P837" s="100"/>
      <c r="Q837" s="100"/>
      <c r="R837" s="64"/>
      <c r="AC837" s="179"/>
      <c r="AD837" s="180" t="s">
        <v>633</v>
      </c>
      <c r="AE837" s="180"/>
      <c r="AF837" s="182" t="s">
        <v>636</v>
      </c>
      <c r="AG837" s="182" t="s">
        <v>636</v>
      </c>
      <c r="AH837" s="182" t="s">
        <v>637</v>
      </c>
      <c r="AI837" s="182" t="s">
        <v>638</v>
      </c>
      <c r="AJ837" s="182" t="s">
        <v>639</v>
      </c>
      <c r="AK837" s="182" t="s">
        <v>640</v>
      </c>
      <c r="AL837" s="182" t="s">
        <v>641</v>
      </c>
      <c r="AM837" s="180" t="s">
        <v>633</v>
      </c>
      <c r="AN837" s="182" t="s">
        <v>642</v>
      </c>
      <c r="AO837" s="182" t="s">
        <v>642</v>
      </c>
      <c r="AP837" s="182" t="s">
        <v>642</v>
      </c>
      <c r="AQ837" s="180"/>
      <c r="AR837" s="180"/>
      <c r="AS837" s="180"/>
      <c r="AT837" s="306"/>
    </row>
    <row r="838" spans="1:46" ht="16.5" customHeight="1" thickBot="1" x14ac:dyDescent="0.4">
      <c r="A838" s="34" t="s">
        <v>643</v>
      </c>
      <c r="B838" s="107">
        <f t="shared" ref="B838:R838" si="141">+SUM(B830:B836)</f>
        <v>43148</v>
      </c>
      <c r="C838" s="107">
        <f t="shared" si="141"/>
        <v>77253</v>
      </c>
      <c r="D838" s="107">
        <f t="shared" si="141"/>
        <v>122146</v>
      </c>
      <c r="E838" s="107">
        <f t="shared" si="141"/>
        <v>242547</v>
      </c>
      <c r="F838" s="107">
        <f t="shared" si="141"/>
        <v>138443</v>
      </c>
      <c r="G838" s="107">
        <f t="shared" si="141"/>
        <v>166029</v>
      </c>
      <c r="H838" s="107">
        <f t="shared" si="141"/>
        <v>201550</v>
      </c>
      <c r="I838" s="107">
        <f t="shared" si="141"/>
        <v>506022</v>
      </c>
      <c r="J838" s="107">
        <f t="shared" si="141"/>
        <v>193428</v>
      </c>
      <c r="K838" s="107">
        <f t="shared" si="141"/>
        <v>151816</v>
      </c>
      <c r="L838" s="107">
        <f t="shared" si="141"/>
        <v>129194</v>
      </c>
      <c r="M838" s="107">
        <f t="shared" si="141"/>
        <v>474438</v>
      </c>
      <c r="N838" s="107">
        <f t="shared" si="141"/>
        <v>88804</v>
      </c>
      <c r="O838" s="107">
        <f t="shared" si="141"/>
        <v>57369</v>
      </c>
      <c r="P838" s="107">
        <f t="shared" si="141"/>
        <v>61730</v>
      </c>
      <c r="Q838" s="107">
        <f t="shared" si="141"/>
        <v>207903</v>
      </c>
      <c r="R838" s="183">
        <f t="shared" si="141"/>
        <v>1430910</v>
      </c>
      <c r="AC838" s="179"/>
      <c r="AD838" s="182" t="s">
        <v>644</v>
      </c>
      <c r="AE838" s="182" t="s">
        <v>645</v>
      </c>
      <c r="AF838" s="182" t="s">
        <v>646</v>
      </c>
      <c r="AG838" s="182" t="s">
        <v>646</v>
      </c>
      <c r="AH838" s="182" t="s">
        <v>647</v>
      </c>
      <c r="AI838" s="184" t="s">
        <v>648</v>
      </c>
      <c r="AJ838" s="182" t="s">
        <v>649</v>
      </c>
      <c r="AK838" s="182" t="s">
        <v>650</v>
      </c>
      <c r="AL838" s="182" t="s">
        <v>651</v>
      </c>
      <c r="AM838" s="180" t="s">
        <v>633</v>
      </c>
      <c r="AN838" s="182" t="s">
        <v>652</v>
      </c>
      <c r="AO838" s="182" t="s">
        <v>648</v>
      </c>
      <c r="AP838" s="182" t="s">
        <v>653</v>
      </c>
      <c r="AQ838" s="180"/>
      <c r="AR838" s="180"/>
      <c r="AS838" s="180"/>
      <c r="AT838" s="306"/>
    </row>
    <row r="839" spans="1:46" ht="15.75" customHeight="1" x14ac:dyDescent="0.35">
      <c r="A839" s="185"/>
      <c r="B839" s="186"/>
      <c r="C839" s="186"/>
      <c r="D839" s="186"/>
      <c r="E839" s="186"/>
      <c r="F839" s="186"/>
      <c r="G839" s="186"/>
      <c r="H839" s="187" t="s">
        <v>654</v>
      </c>
      <c r="I839" s="186"/>
      <c r="J839" s="186"/>
      <c r="K839" s="186"/>
      <c r="L839" s="186"/>
      <c r="M839" s="186"/>
      <c r="N839" s="186"/>
      <c r="O839" s="186"/>
      <c r="P839" s="186"/>
      <c r="Q839" s="186"/>
      <c r="R839" s="186"/>
      <c r="AC839" s="179"/>
      <c r="AD839" s="182" t="s">
        <v>127</v>
      </c>
      <c r="AE839" s="182" t="s">
        <v>655</v>
      </c>
      <c r="AF839" s="182" t="s">
        <v>656</v>
      </c>
      <c r="AG839" s="182" t="s">
        <v>657</v>
      </c>
      <c r="AH839" s="182" t="s">
        <v>658</v>
      </c>
      <c r="AI839" s="182" t="s">
        <v>658</v>
      </c>
      <c r="AJ839" s="182" t="s">
        <v>658</v>
      </c>
      <c r="AK839" s="182" t="s">
        <v>658</v>
      </c>
      <c r="AL839" s="182" t="s">
        <v>659</v>
      </c>
      <c r="AM839" s="180" t="s">
        <v>633</v>
      </c>
      <c r="AN839" s="182" t="s">
        <v>660</v>
      </c>
      <c r="AO839" s="182" t="s">
        <v>661</v>
      </c>
      <c r="AP839" s="182" t="s">
        <v>661</v>
      </c>
      <c r="AQ839" s="180"/>
      <c r="AR839" s="180"/>
      <c r="AS839" s="180"/>
      <c r="AT839" s="306"/>
    </row>
    <row r="840" spans="1:46" ht="15.75" customHeight="1" x14ac:dyDescent="0.35">
      <c r="A840" s="185"/>
      <c r="B840" s="186"/>
      <c r="C840" s="186"/>
      <c r="D840" s="186"/>
      <c r="E840" s="186"/>
      <c r="F840" s="186"/>
      <c r="G840" s="186"/>
      <c r="H840" s="187"/>
      <c r="I840" s="186"/>
      <c r="J840" s="186"/>
      <c r="K840" s="186"/>
      <c r="L840" s="186"/>
      <c r="M840" s="186"/>
      <c r="N840" s="186"/>
      <c r="O840" s="186"/>
      <c r="P840" s="186"/>
      <c r="Q840" s="186"/>
      <c r="R840" s="186"/>
      <c r="AC840" s="179"/>
      <c r="AD840" s="182" t="s">
        <v>662</v>
      </c>
      <c r="AE840" s="182" t="s">
        <v>663</v>
      </c>
      <c r="AF840" s="182" t="s">
        <v>664</v>
      </c>
      <c r="AG840" s="182" t="s">
        <v>664</v>
      </c>
      <c r="AH840" s="182" t="s">
        <v>664</v>
      </c>
      <c r="AI840" s="182" t="s">
        <v>664</v>
      </c>
      <c r="AJ840" s="182" t="s">
        <v>664</v>
      </c>
      <c r="AK840" s="182" t="s">
        <v>664</v>
      </c>
      <c r="AL840" s="182" t="s">
        <v>664</v>
      </c>
      <c r="AM840" s="180" t="s">
        <v>633</v>
      </c>
      <c r="AN840" s="182" t="s">
        <v>665</v>
      </c>
      <c r="AO840" s="182" t="s">
        <v>665</v>
      </c>
      <c r="AP840" s="182" t="s">
        <v>665</v>
      </c>
      <c r="AQ840" s="180"/>
      <c r="AR840" s="180"/>
      <c r="AS840" s="180"/>
      <c r="AT840" s="306"/>
    </row>
    <row r="841" spans="1:46" ht="15.75" customHeight="1" thickBot="1" x14ac:dyDescent="0.4">
      <c r="A841" s="185"/>
      <c r="B841" s="186"/>
      <c r="C841" s="186"/>
      <c r="D841" s="186"/>
      <c r="E841" s="186"/>
      <c r="F841" s="186"/>
      <c r="G841" s="186"/>
      <c r="H841" s="187"/>
      <c r="I841" s="186"/>
      <c r="J841" s="186"/>
      <c r="K841" s="186"/>
      <c r="L841" s="186"/>
      <c r="M841" s="186"/>
      <c r="N841" s="186"/>
      <c r="O841" s="186"/>
      <c r="P841" s="186"/>
      <c r="Q841" s="186"/>
      <c r="R841" s="186"/>
      <c r="AC841" s="179"/>
      <c r="AD841" s="180" t="s">
        <v>666</v>
      </c>
      <c r="AE841" s="180" t="s">
        <v>666</v>
      </c>
      <c r="AF841" s="180" t="s">
        <v>666</v>
      </c>
      <c r="AG841" s="180" t="s">
        <v>666</v>
      </c>
      <c r="AH841" s="180" t="s">
        <v>666</v>
      </c>
      <c r="AI841" s="180" t="s">
        <v>666</v>
      </c>
      <c r="AJ841" s="180" t="s">
        <v>666</v>
      </c>
      <c r="AK841" s="180" t="s">
        <v>666</v>
      </c>
      <c r="AL841" s="180" t="s">
        <v>666</v>
      </c>
      <c r="AM841" s="180" t="s">
        <v>633</v>
      </c>
      <c r="AN841" s="180" t="s">
        <v>666</v>
      </c>
      <c r="AO841" s="180" t="s">
        <v>666</v>
      </c>
      <c r="AP841" s="180" t="s">
        <v>666</v>
      </c>
      <c r="AQ841" s="180"/>
      <c r="AR841" s="180"/>
      <c r="AS841" s="180"/>
      <c r="AT841" s="306"/>
    </row>
    <row r="842" spans="1:46" ht="15.75" customHeight="1" x14ac:dyDescent="0.3">
      <c r="A842" s="356"/>
      <c r="B842" s="423" t="s">
        <v>667</v>
      </c>
      <c r="C842" s="423"/>
      <c r="D842" s="423"/>
      <c r="E842" s="423"/>
      <c r="F842" s="423"/>
      <c r="G842" s="423"/>
      <c r="H842" s="423"/>
      <c r="I842" s="423"/>
      <c r="J842" s="423"/>
      <c r="K842" s="423"/>
      <c r="L842" s="423"/>
      <c r="M842" s="423"/>
      <c r="N842" s="423"/>
      <c r="O842" s="423"/>
      <c r="P842" s="423"/>
      <c r="Q842" s="354" t="str">
        <f>+Q1</f>
        <v xml:space="preserve">PRINTED:  </v>
      </c>
      <c r="R842" s="355">
        <f ca="1">+R1</f>
        <v>44894.658168402777</v>
      </c>
      <c r="AC842" s="189" t="s">
        <v>668</v>
      </c>
      <c r="AD842" s="180">
        <f t="shared" ref="AD842:AD853" si="142">(F851)</f>
        <v>108452</v>
      </c>
      <c r="AE842" s="180">
        <f t="shared" ref="AE842:AE853" si="143">SUM($B$906:$E$906)+(T851-1526.8)/0.7702</f>
        <v>1638.1524430019012</v>
      </c>
      <c r="AF842" s="180">
        <f>(AD842*AE842/1000)</f>
        <v>177660.90874844219</v>
      </c>
      <c r="AG842" s="180">
        <f t="shared" ref="AG842:AG853" si="144">(((B851-F851)*B$906)+((C851-F851)*C$906)+((D851-F851)*D$906)+((E851-F851)*E$906))/1000</f>
        <v>62233.591999999997</v>
      </c>
      <c r="AH842" s="180">
        <f>(AF842+AG842)</f>
        <v>239894.50074844219</v>
      </c>
      <c r="AI842" s="180">
        <f t="shared" ref="AI842:AI853" si="145">SUM(H908:Q908)</f>
        <v>15712</v>
      </c>
      <c r="AJ842" s="180">
        <f>+AH842+AI842</f>
        <v>255606.50074844219</v>
      </c>
      <c r="AK842" s="180">
        <f t="shared" ref="AK842:AK849" si="146">(G936)</f>
        <v>0</v>
      </c>
      <c r="AL842" s="180">
        <f t="shared" ref="AL842:AL853" si="147">(AJ842-AK842)</f>
        <v>255606.50074844219</v>
      </c>
      <c r="AM842" s="180" t="s">
        <v>633</v>
      </c>
      <c r="AN842" s="180">
        <f>+B851/31/1.98</f>
        <v>2481.8996415770607</v>
      </c>
      <c r="AO842" s="180">
        <f>(AD842*43560/31/24/3600)</f>
        <v>1763.8026881720427</v>
      </c>
      <c r="AP842" s="180">
        <f>+B303</f>
        <v>0</v>
      </c>
      <c r="AQ842" s="180"/>
      <c r="AR842" s="180"/>
      <c r="AS842" s="180"/>
      <c r="AT842" s="306"/>
    </row>
    <row r="843" spans="1:46" ht="15.75" customHeight="1" x14ac:dyDescent="0.3">
      <c r="A843" s="189"/>
      <c r="B843" s="394" t="str">
        <f>+A8</f>
        <v>Revised:  2/23/2017</v>
      </c>
      <c r="C843" s="394"/>
      <c r="D843" s="394"/>
      <c r="E843" s="394"/>
      <c r="F843" s="394"/>
      <c r="G843" s="394"/>
      <c r="H843" s="394"/>
      <c r="I843" s="394"/>
      <c r="J843" s="394"/>
      <c r="K843" s="394"/>
      <c r="L843" s="394"/>
      <c r="M843" s="394"/>
      <c r="N843" s="394"/>
      <c r="O843" s="394"/>
      <c r="P843" s="394"/>
      <c r="Q843" s="180"/>
      <c r="R843" s="306"/>
      <c r="AC843" s="189" t="s">
        <v>669</v>
      </c>
      <c r="AD843" s="180">
        <f t="shared" si="142"/>
        <v>32889</v>
      </c>
      <c r="AE843" s="180">
        <f t="shared" si="143"/>
        <v>1642.6450272656455</v>
      </c>
      <c r="AF843" s="180">
        <f>(AD843*AE843/1000)</f>
        <v>54024.95230173981</v>
      </c>
      <c r="AG843" s="180">
        <f t="shared" si="144"/>
        <v>114779.141</v>
      </c>
      <c r="AH843" s="180">
        <f t="shared" ref="AH843:AH853" si="148">(AF843+AG843)</f>
        <v>168804.09330173981</v>
      </c>
      <c r="AI843" s="180">
        <f t="shared" si="145"/>
        <v>25288</v>
      </c>
      <c r="AJ843" s="180">
        <f t="shared" ref="AJ843:AJ853" si="149">+AH843+AI843</f>
        <v>194092.09330173981</v>
      </c>
      <c r="AK843" s="180">
        <f t="shared" si="146"/>
        <v>0</v>
      </c>
      <c r="AL843" s="180">
        <f t="shared" si="147"/>
        <v>194092.09330173981</v>
      </c>
      <c r="AM843" s="180" t="s">
        <v>633</v>
      </c>
      <c r="AN843" s="180">
        <f>+B852/28/1.98</f>
        <v>2055.3932178932178</v>
      </c>
      <c r="AO843" s="180">
        <f>(AD843*43560/29/24/3600)</f>
        <v>571.77715517241381</v>
      </c>
      <c r="AP843" s="180">
        <f>+C303</f>
        <v>0</v>
      </c>
      <c r="AQ843" s="180"/>
      <c r="AR843" s="180"/>
      <c r="AS843" s="180"/>
      <c r="AT843" s="306"/>
    </row>
    <row r="844" spans="1:46" ht="15.75" customHeight="1" x14ac:dyDescent="0.3">
      <c r="A844" s="189"/>
      <c r="B844" s="394" t="s">
        <v>670</v>
      </c>
      <c r="C844" s="394"/>
      <c r="D844" s="394"/>
      <c r="E844" s="394"/>
      <c r="F844" s="394"/>
      <c r="G844" s="394"/>
      <c r="H844" s="394"/>
      <c r="I844" s="394"/>
      <c r="J844" s="394"/>
      <c r="K844" s="394"/>
      <c r="L844" s="394"/>
      <c r="M844" s="394"/>
      <c r="N844" s="394"/>
      <c r="O844" s="394"/>
      <c r="P844" s="394"/>
      <c r="Q844" s="180"/>
      <c r="R844" s="306"/>
      <c r="AC844" s="189" t="s">
        <v>671</v>
      </c>
      <c r="AD844" s="180">
        <f t="shared" si="142"/>
        <v>4539</v>
      </c>
      <c r="AE844" s="180">
        <f t="shared" si="143"/>
        <v>1646.592054011945</v>
      </c>
      <c r="AF844" s="180">
        <f t="shared" ref="AF844:AF853" si="150">(AD844*AE844/1000)</f>
        <v>7473.8813331602187</v>
      </c>
      <c r="AG844" s="180">
        <f t="shared" si="144"/>
        <v>166724.97899999999</v>
      </c>
      <c r="AH844" s="180">
        <f t="shared" si="148"/>
        <v>174198.86033316021</v>
      </c>
      <c r="AI844" s="180">
        <f t="shared" si="145"/>
        <v>37484</v>
      </c>
      <c r="AJ844" s="180">
        <f t="shared" si="149"/>
        <v>211682.86033316021</v>
      </c>
      <c r="AK844" s="180">
        <f t="shared" si="146"/>
        <v>1666.5490580256212</v>
      </c>
      <c r="AL844" s="180">
        <f t="shared" si="147"/>
        <v>210016.31127513459</v>
      </c>
      <c r="AM844" s="180" t="s">
        <v>633</v>
      </c>
      <c r="AN844" s="180">
        <f>+B853/31/1.98</f>
        <v>1995.0798305637018</v>
      </c>
      <c r="AO844" s="180">
        <f>(AD844*43560/31/24/3600)</f>
        <v>73.819758064516122</v>
      </c>
      <c r="AP844" s="180">
        <f>+D303</f>
        <v>-170.8229629268134</v>
      </c>
      <c r="AQ844" s="180"/>
      <c r="AR844" s="180"/>
      <c r="AS844" s="180"/>
      <c r="AT844" s="306"/>
    </row>
    <row r="845" spans="1:46" ht="15.75" customHeight="1" x14ac:dyDescent="0.3">
      <c r="A845" s="189"/>
      <c r="B845" s="394"/>
      <c r="C845" s="394"/>
      <c r="D845" s="394"/>
      <c r="E845" s="394"/>
      <c r="F845" s="394"/>
      <c r="G845" s="394"/>
      <c r="H845" s="394"/>
      <c r="I845" s="394"/>
      <c r="J845" s="394"/>
      <c r="K845" s="394"/>
      <c r="L845" s="394"/>
      <c r="M845" s="394"/>
      <c r="N845" s="394"/>
      <c r="O845" s="394"/>
      <c r="P845" s="394"/>
      <c r="Q845" s="180"/>
      <c r="R845" s="306"/>
      <c r="AC845" s="189" t="s">
        <v>672</v>
      </c>
      <c r="AD845" s="180">
        <f t="shared" si="142"/>
        <v>28044</v>
      </c>
      <c r="AE845" s="180">
        <f t="shared" si="143"/>
        <v>1645.8271291131655</v>
      </c>
      <c r="AF845" s="180">
        <f t="shared" si="150"/>
        <v>46155.57600884961</v>
      </c>
      <c r="AG845" s="180">
        <f t="shared" si="144"/>
        <v>196475.49</v>
      </c>
      <c r="AH845" s="180">
        <f t="shared" si="148"/>
        <v>242631.06600884959</v>
      </c>
      <c r="AI845" s="180">
        <f t="shared" si="145"/>
        <v>43952</v>
      </c>
      <c r="AJ845" s="180">
        <f t="shared" si="149"/>
        <v>286583.06600884959</v>
      </c>
      <c r="AK845" s="180">
        <f t="shared" si="146"/>
        <v>0</v>
      </c>
      <c r="AL845" s="180">
        <f t="shared" si="147"/>
        <v>286583.06600884959</v>
      </c>
      <c r="AM845" s="180" t="s">
        <v>633</v>
      </c>
      <c r="AN845" s="180">
        <f>+B854/30/1.98</f>
        <v>2812.3569023569021</v>
      </c>
      <c r="AO845" s="180">
        <f>(AD845*43560/30/24/3600)</f>
        <v>471.29500000000002</v>
      </c>
      <c r="AP845" s="180">
        <f>+F303</f>
        <v>0</v>
      </c>
      <c r="AQ845" s="180"/>
      <c r="AR845" s="180"/>
      <c r="AS845" s="180"/>
      <c r="AT845" s="306"/>
    </row>
    <row r="846" spans="1:46" ht="15.75" customHeight="1" x14ac:dyDescent="0.3">
      <c r="A846" s="189"/>
      <c r="B846" s="395">
        <f>+A5</f>
        <v>2016</v>
      </c>
      <c r="C846" s="395"/>
      <c r="D846" s="395"/>
      <c r="E846" s="395"/>
      <c r="F846" s="395"/>
      <c r="G846" s="395"/>
      <c r="H846" s="395"/>
      <c r="I846" s="395"/>
      <c r="J846" s="395"/>
      <c r="K846" s="395"/>
      <c r="L846" s="395"/>
      <c r="M846" s="395"/>
      <c r="N846" s="395"/>
      <c r="O846" s="395"/>
      <c r="P846" s="395"/>
      <c r="Q846" s="180"/>
      <c r="R846" s="306"/>
      <c r="AC846" s="189" t="s">
        <v>673</v>
      </c>
      <c r="AD846" s="180">
        <f t="shared" si="142"/>
        <v>12390</v>
      </c>
      <c r="AE846" s="180">
        <f t="shared" si="143"/>
        <v>1642.8008309529996</v>
      </c>
      <c r="AF846" s="180">
        <f t="shared" si="150"/>
        <v>20354.302295507667</v>
      </c>
      <c r="AG846" s="180">
        <f t="shared" si="144"/>
        <v>234386.677</v>
      </c>
      <c r="AH846" s="180">
        <f t="shared" si="148"/>
        <v>254740.97929550766</v>
      </c>
      <c r="AI846" s="180">
        <f t="shared" si="145"/>
        <v>43602</v>
      </c>
      <c r="AJ846" s="180">
        <f t="shared" si="149"/>
        <v>298342.97929550766</v>
      </c>
      <c r="AK846" s="180">
        <f t="shared" si="146"/>
        <v>0</v>
      </c>
      <c r="AL846" s="180">
        <f t="shared" si="147"/>
        <v>298342.97929550766</v>
      </c>
      <c r="AM846" s="180" t="s">
        <v>633</v>
      </c>
      <c r="AN846" s="180">
        <f>+B855/31/1.98</f>
        <v>2901.9550342130988</v>
      </c>
      <c r="AO846" s="180">
        <f>(AD846*43560/31/24/3600)</f>
        <v>201.50403225806451</v>
      </c>
      <c r="AP846" s="180">
        <f>+G303</f>
        <v>0</v>
      </c>
      <c r="AQ846" s="180"/>
      <c r="AR846" s="180"/>
      <c r="AS846" s="180"/>
      <c r="AT846" s="306"/>
    </row>
    <row r="847" spans="1:46" ht="15.75" customHeight="1" x14ac:dyDescent="0.3">
      <c r="A847" s="189"/>
      <c r="B847" s="394" t="s">
        <v>674</v>
      </c>
      <c r="C847" s="394"/>
      <c r="D847" s="394"/>
      <c r="E847" s="394"/>
      <c r="F847" s="394"/>
      <c r="G847" s="394"/>
      <c r="H847" s="394"/>
      <c r="I847" s="394"/>
      <c r="J847" s="394"/>
      <c r="K847" s="394"/>
      <c r="L847" s="394"/>
      <c r="M847" s="394"/>
      <c r="N847" s="394"/>
      <c r="O847" s="394"/>
      <c r="P847" s="394"/>
      <c r="Q847" s="180"/>
      <c r="R847" s="306"/>
      <c r="AC847" s="189" t="s">
        <v>675</v>
      </c>
      <c r="AD847" s="180">
        <f t="shared" si="142"/>
        <v>0</v>
      </c>
      <c r="AE847" s="180">
        <f t="shared" si="143"/>
        <v>1626.3375746559338</v>
      </c>
      <c r="AF847" s="180">
        <f t="shared" si="150"/>
        <v>0</v>
      </c>
      <c r="AG847" s="180">
        <f t="shared" si="144"/>
        <v>128546.56</v>
      </c>
      <c r="AH847" s="180">
        <f t="shared" si="148"/>
        <v>128546.56</v>
      </c>
      <c r="AI847" s="180">
        <f t="shared" si="145"/>
        <v>48477</v>
      </c>
      <c r="AJ847" s="180">
        <f t="shared" si="149"/>
        <v>177023.56</v>
      </c>
      <c r="AK847" s="180">
        <f t="shared" si="146"/>
        <v>15232.50655614168</v>
      </c>
      <c r="AL847" s="180">
        <f t="shared" si="147"/>
        <v>161791.05344385831</v>
      </c>
      <c r="AM847" s="180" t="s">
        <v>633</v>
      </c>
      <c r="AN847" s="180">
        <f>+B856/30/1.98</f>
        <v>1542.6936026936028</v>
      </c>
      <c r="AO847" s="180">
        <f t="shared" ref="AO847:AO852" si="151">(AD847*43560/30/24/3600)</f>
        <v>0</v>
      </c>
      <c r="AP847" s="180">
        <f>+H303</f>
        <v>-1893.9821818793075</v>
      </c>
      <c r="AQ847" s="180"/>
      <c r="AR847" s="180"/>
      <c r="AS847" s="180"/>
      <c r="AT847" s="306"/>
    </row>
    <row r="848" spans="1:46" ht="15.75" customHeight="1" x14ac:dyDescent="0.3">
      <c r="A848" s="189"/>
      <c r="B848" s="180"/>
      <c r="C848" s="180"/>
      <c r="D848" s="180"/>
      <c r="E848" s="180"/>
      <c r="F848" s="180"/>
      <c r="G848" s="180"/>
      <c r="H848" s="180"/>
      <c r="I848" s="180"/>
      <c r="J848" s="180"/>
      <c r="K848" s="180"/>
      <c r="L848" s="180"/>
      <c r="M848" s="180"/>
      <c r="N848" s="180"/>
      <c r="O848" s="180"/>
      <c r="P848" s="180"/>
      <c r="Q848" s="180"/>
      <c r="R848" s="306"/>
      <c r="AC848" s="189" t="s">
        <v>676</v>
      </c>
      <c r="AD848" s="180">
        <f t="shared" si="142"/>
        <v>0</v>
      </c>
      <c r="AE848" s="180">
        <f t="shared" si="143"/>
        <v>1614.093965893418</v>
      </c>
      <c r="AF848" s="180">
        <f t="shared" si="150"/>
        <v>0</v>
      </c>
      <c r="AG848" s="180">
        <f t="shared" si="144"/>
        <v>108187.348</v>
      </c>
      <c r="AH848" s="180">
        <f t="shared" si="148"/>
        <v>108187.348</v>
      </c>
      <c r="AI848" s="180">
        <f t="shared" si="145"/>
        <v>47881</v>
      </c>
      <c r="AJ848" s="180">
        <f t="shared" si="149"/>
        <v>156068.348</v>
      </c>
      <c r="AK848" s="180">
        <f t="shared" si="146"/>
        <v>14511.141514979801</v>
      </c>
      <c r="AL848" s="180">
        <f t="shared" si="147"/>
        <v>141557.2064850202</v>
      </c>
      <c r="AM848" s="180" t="s">
        <v>633</v>
      </c>
      <c r="AN848" s="180">
        <f>+B857/31/1.98</f>
        <v>1261.3717823395243</v>
      </c>
      <c r="AO848" s="180">
        <f t="shared" si="151"/>
        <v>0</v>
      </c>
      <c r="AP848" s="180">
        <f>+J303</f>
        <v>-1951.2143542693541</v>
      </c>
      <c r="AQ848" s="180"/>
      <c r="AR848" s="180"/>
      <c r="AS848" s="180"/>
      <c r="AT848" s="306"/>
    </row>
    <row r="849" spans="1:46" ht="15.75" customHeight="1" thickBot="1" x14ac:dyDescent="0.35">
      <c r="A849" s="189" t="s">
        <v>647</v>
      </c>
      <c r="B849" s="191" t="s">
        <v>677</v>
      </c>
      <c r="C849" s="191" t="s">
        <v>678</v>
      </c>
      <c r="D849" s="191" t="s">
        <v>679</v>
      </c>
      <c r="E849" s="191" t="s">
        <v>680</v>
      </c>
      <c r="F849" s="191" t="s">
        <v>644</v>
      </c>
      <c r="G849" s="191" t="s">
        <v>644</v>
      </c>
      <c r="H849" s="191" t="s">
        <v>681</v>
      </c>
      <c r="I849" s="191" t="s">
        <v>682</v>
      </c>
      <c r="J849" s="191" t="s">
        <v>683</v>
      </c>
      <c r="K849" s="191" t="s">
        <v>684</v>
      </c>
      <c r="L849" s="191" t="s">
        <v>685</v>
      </c>
      <c r="M849" s="191" t="s">
        <v>686</v>
      </c>
      <c r="N849" s="191" t="s">
        <v>687</v>
      </c>
      <c r="O849" s="191" t="s">
        <v>688</v>
      </c>
      <c r="P849" s="191" t="s">
        <v>689</v>
      </c>
      <c r="Q849" s="191" t="s">
        <v>638</v>
      </c>
      <c r="R849" s="306"/>
      <c r="T849" s="52" t="s">
        <v>690</v>
      </c>
      <c r="AC849" s="189" t="s">
        <v>691</v>
      </c>
      <c r="AD849" s="180">
        <f t="shared" si="142"/>
        <v>0</v>
      </c>
      <c r="AE849" s="180">
        <f t="shared" si="143"/>
        <v>1600.6037637565339</v>
      </c>
      <c r="AF849" s="180">
        <f t="shared" si="150"/>
        <v>0</v>
      </c>
      <c r="AG849" s="180">
        <f t="shared" si="144"/>
        <v>94631.452000000005</v>
      </c>
      <c r="AH849" s="180">
        <f t="shared" si="148"/>
        <v>94631.452000000005</v>
      </c>
      <c r="AI849" s="180">
        <f t="shared" si="145"/>
        <v>38983</v>
      </c>
      <c r="AJ849" s="180">
        <f t="shared" si="149"/>
        <v>133614.45199999999</v>
      </c>
      <c r="AK849" s="180">
        <f t="shared" si="146"/>
        <v>9240.355367309241</v>
      </c>
      <c r="AL849" s="180">
        <f t="shared" si="147"/>
        <v>124374.09663269075</v>
      </c>
      <c r="AM849" s="180" t="s">
        <v>633</v>
      </c>
      <c r="AN849" s="180">
        <f>+B858/31/1.98</f>
        <v>1102.8185076572172</v>
      </c>
      <c r="AO849" s="180">
        <f t="shared" si="151"/>
        <v>0</v>
      </c>
      <c r="AP849" s="180">
        <f>+K303</f>
        <v>-1427.2282140126558</v>
      </c>
      <c r="AQ849" s="180"/>
      <c r="AR849" s="180"/>
      <c r="AS849" s="180"/>
      <c r="AT849" s="306"/>
    </row>
    <row r="850" spans="1:46" ht="15.75" customHeight="1" x14ac:dyDescent="0.3">
      <c r="A850" s="189"/>
      <c r="B850" s="180"/>
      <c r="C850" s="180"/>
      <c r="D850" s="180"/>
      <c r="E850" s="180"/>
      <c r="F850" s="182" t="s">
        <v>127</v>
      </c>
      <c r="G850" s="182" t="s">
        <v>653</v>
      </c>
      <c r="H850" s="180"/>
      <c r="I850" s="180"/>
      <c r="J850" s="180"/>
      <c r="K850" s="180"/>
      <c r="L850" s="180"/>
      <c r="M850" s="180"/>
      <c r="N850" s="180"/>
      <c r="O850" s="180"/>
      <c r="P850" s="180"/>
      <c r="Q850" s="180"/>
      <c r="R850" s="306"/>
      <c r="AC850" s="189" t="s">
        <v>692</v>
      </c>
      <c r="AD850" s="180">
        <f t="shared" si="142"/>
        <v>19406</v>
      </c>
      <c r="AE850" s="180">
        <f t="shared" si="143"/>
        <v>1598.5266164632565</v>
      </c>
      <c r="AF850" s="180">
        <f t="shared" si="150"/>
        <v>31021.007519085953</v>
      </c>
      <c r="AG850" s="180">
        <f t="shared" si="144"/>
        <v>158349.16899999999</v>
      </c>
      <c r="AH850" s="180">
        <f t="shared" si="148"/>
        <v>189370.17651908594</v>
      </c>
      <c r="AI850" s="180">
        <f t="shared" si="145"/>
        <v>38255</v>
      </c>
      <c r="AJ850" s="180">
        <f t="shared" si="149"/>
        <v>227625.17651908594</v>
      </c>
      <c r="AK850" s="180">
        <v>0</v>
      </c>
      <c r="AL850" s="180">
        <f t="shared" si="147"/>
        <v>227625.17651908594</v>
      </c>
      <c r="AM850" s="180" t="s">
        <v>633</v>
      </c>
      <c r="AN850" s="180">
        <f>+B859/30/1.98</f>
        <v>2209.5454545454545</v>
      </c>
      <c r="AO850" s="180">
        <f t="shared" si="151"/>
        <v>326.12861111111113</v>
      </c>
      <c r="AP850" s="180">
        <f>+L303</f>
        <v>-378.14758782988736</v>
      </c>
      <c r="AQ850" s="180"/>
      <c r="AR850" s="180"/>
      <c r="AS850" s="180"/>
      <c r="AT850" s="306"/>
    </row>
    <row r="851" spans="1:46" ht="15.75" customHeight="1" x14ac:dyDescent="0.3">
      <c r="A851" s="192" t="s">
        <v>8</v>
      </c>
      <c r="B851" s="180">
        <f>+B29</f>
        <v>152339</v>
      </c>
      <c r="C851" s="180">
        <f>+B64</f>
        <v>152242</v>
      </c>
      <c r="D851" s="180">
        <f>+B130</f>
        <v>152146</v>
      </c>
      <c r="E851" s="180">
        <f>+B293</f>
        <v>150911</v>
      </c>
      <c r="F851" s="180">
        <f>+B288</f>
        <v>108452</v>
      </c>
      <c r="G851" s="180">
        <f>+B300</f>
        <v>0</v>
      </c>
      <c r="H851" s="180">
        <f>+B443</f>
        <v>23810</v>
      </c>
      <c r="I851" s="180">
        <f>+B490</f>
        <v>9084</v>
      </c>
      <c r="J851" s="180">
        <f>+B534</f>
        <v>9063</v>
      </c>
      <c r="K851" s="180">
        <f>+B589</f>
        <v>8964</v>
      </c>
      <c r="L851" s="180">
        <f>+B599</f>
        <v>7801</v>
      </c>
      <c r="M851" s="180">
        <f>+B635</f>
        <v>7781</v>
      </c>
      <c r="N851" s="180">
        <f>+B682</f>
        <v>7671</v>
      </c>
      <c r="O851" s="180">
        <f>+B692</f>
        <v>3880</v>
      </c>
      <c r="P851" s="180">
        <f>+B726</f>
        <v>3688</v>
      </c>
      <c r="Q851" s="180">
        <f>+B774</f>
        <v>3878</v>
      </c>
      <c r="R851" s="306"/>
      <c r="T851" s="193">
        <f>'[2]Lake Pleasant Forecast'!B35</f>
        <v>1690.1998116000643</v>
      </c>
      <c r="AC851" s="189" t="s">
        <v>693</v>
      </c>
      <c r="AD851" s="180">
        <f t="shared" si="142"/>
        <v>40011</v>
      </c>
      <c r="AE851" s="180">
        <f t="shared" si="143"/>
        <v>1607.0828356271095</v>
      </c>
      <c r="AF851" s="180">
        <f t="shared" si="150"/>
        <v>64300.991336276275</v>
      </c>
      <c r="AG851" s="180">
        <f t="shared" si="144"/>
        <v>132422.114</v>
      </c>
      <c r="AH851" s="180">
        <f t="shared" si="148"/>
        <v>196723.10533627629</v>
      </c>
      <c r="AI851" s="180">
        <f t="shared" si="145"/>
        <v>14927</v>
      </c>
      <c r="AJ851" s="180">
        <f t="shared" si="149"/>
        <v>211650.10533627629</v>
      </c>
      <c r="AK851" s="180">
        <v>0</v>
      </c>
      <c r="AL851" s="180">
        <f t="shared" si="147"/>
        <v>211650.10533627629</v>
      </c>
      <c r="AM851" s="180" t="s">
        <v>633</v>
      </c>
      <c r="AN851" s="180">
        <f>+B860/31/1.98</f>
        <v>2173.9491691104595</v>
      </c>
      <c r="AO851" s="180">
        <f t="shared" si="151"/>
        <v>672.40708333333339</v>
      </c>
      <c r="AP851" s="180">
        <f>+N303</f>
        <v>-18.951409561921491</v>
      </c>
      <c r="AQ851" s="180"/>
      <c r="AR851" s="180"/>
      <c r="AS851" s="180"/>
      <c r="AT851" s="306"/>
    </row>
    <row r="852" spans="1:46" ht="15.75" customHeight="1" x14ac:dyDescent="0.3">
      <c r="A852" s="192" t="s">
        <v>9</v>
      </c>
      <c r="B852" s="180">
        <f>+C29</f>
        <v>113951</v>
      </c>
      <c r="C852" s="180">
        <f>+C64</f>
        <v>113803</v>
      </c>
      <c r="D852" s="180">
        <f>+C130</f>
        <v>113658</v>
      </c>
      <c r="E852" s="180">
        <f>+C293</f>
        <v>110482</v>
      </c>
      <c r="F852" s="180">
        <f>+C288</f>
        <v>32889</v>
      </c>
      <c r="G852" s="180">
        <f>+C300</f>
        <v>0</v>
      </c>
      <c r="H852" s="180">
        <f>+C443</f>
        <v>57969</v>
      </c>
      <c r="I852" s="180">
        <f>+C490</f>
        <v>18052</v>
      </c>
      <c r="J852" s="180">
        <f>+C534</f>
        <v>17663</v>
      </c>
      <c r="K852" s="180">
        <f>+C589</f>
        <v>16067</v>
      </c>
      <c r="L852" s="180">
        <f>+C599</f>
        <v>11460</v>
      </c>
      <c r="M852" s="180">
        <f>+C635</f>
        <v>11438</v>
      </c>
      <c r="N852" s="180">
        <f>+C682</f>
        <v>10784</v>
      </c>
      <c r="O852" s="180">
        <f>+C692</f>
        <v>3015</v>
      </c>
      <c r="P852" s="180">
        <f>+C726</f>
        <v>3129</v>
      </c>
      <c r="Q852" s="180">
        <f>+C774</f>
        <v>3012</v>
      </c>
      <c r="R852" s="306"/>
      <c r="T852" s="193">
        <f>'[2]Lake Pleasant Forecast'!B37</f>
        <v>1693.66</v>
      </c>
      <c r="AC852" s="189" t="s">
        <v>694</v>
      </c>
      <c r="AD852" s="180">
        <f t="shared" si="142"/>
        <v>74729</v>
      </c>
      <c r="AE852" s="180">
        <f t="shared" si="143"/>
        <v>1617.5216826798235</v>
      </c>
      <c r="AF852" s="180">
        <f t="shared" si="150"/>
        <v>120875.77782498053</v>
      </c>
      <c r="AG852" s="180">
        <f t="shared" si="144"/>
        <v>90402.573999999993</v>
      </c>
      <c r="AH852" s="180">
        <f t="shared" si="148"/>
        <v>211278.35182498052</v>
      </c>
      <c r="AI852" s="180">
        <f t="shared" si="145"/>
        <v>14428</v>
      </c>
      <c r="AJ852" s="180">
        <f t="shared" si="149"/>
        <v>225706.35182498052</v>
      </c>
      <c r="AK852" s="180">
        <f>(G946)</f>
        <v>0</v>
      </c>
      <c r="AL852" s="180">
        <f t="shared" si="147"/>
        <v>225706.35182498052</v>
      </c>
      <c r="AM852" s="180" t="s">
        <v>633</v>
      </c>
      <c r="AN852" s="180">
        <f>+B861/30/1.98</f>
        <v>2330.2020202020203</v>
      </c>
      <c r="AO852" s="180">
        <f t="shared" si="151"/>
        <v>1255.8623611111111</v>
      </c>
      <c r="AP852" s="180">
        <f>+O303</f>
        <v>0</v>
      </c>
      <c r="AQ852" s="180"/>
      <c r="AR852" s="180"/>
      <c r="AS852" s="180"/>
      <c r="AT852" s="306"/>
    </row>
    <row r="853" spans="1:46" ht="15.75" customHeight="1" x14ac:dyDescent="0.3">
      <c r="A853" s="192" t="s">
        <v>10</v>
      </c>
      <c r="B853" s="180">
        <f>+D29</f>
        <v>122458</v>
      </c>
      <c r="C853" s="180">
        <f>+D64</f>
        <v>122184</v>
      </c>
      <c r="D853" s="180">
        <f>+D130</f>
        <v>121923</v>
      </c>
      <c r="E853" s="180">
        <f>+D293</f>
        <v>116405</v>
      </c>
      <c r="F853" s="180">
        <f>+D288</f>
        <v>4539</v>
      </c>
      <c r="G853" s="180">
        <f>+D300</f>
        <v>-10501</v>
      </c>
      <c r="H853" s="180">
        <f>+D443</f>
        <v>89418</v>
      </c>
      <c r="I853" s="180">
        <f>+D490</f>
        <v>31641</v>
      </c>
      <c r="J853" s="180">
        <f>+D534</f>
        <v>24605</v>
      </c>
      <c r="K853" s="180">
        <f>+D589</f>
        <v>22002</v>
      </c>
      <c r="L853" s="180">
        <f>+D599</f>
        <v>17487</v>
      </c>
      <c r="M853" s="180">
        <f>+D635</f>
        <v>17459</v>
      </c>
      <c r="N853" s="180">
        <f>+D682</f>
        <v>16667</v>
      </c>
      <c r="O853" s="180">
        <f>+D692</f>
        <v>3992</v>
      </c>
      <c r="P853" s="180">
        <f>+D726</f>
        <v>3962</v>
      </c>
      <c r="Q853" s="180">
        <f>+D774</f>
        <v>3987</v>
      </c>
      <c r="R853" s="306"/>
      <c r="T853" s="193">
        <f>'[2]Lake Pleasant Forecast'!B39</f>
        <v>1696.7</v>
      </c>
      <c r="AC853" s="189" t="s">
        <v>695</v>
      </c>
      <c r="AD853" s="180">
        <f t="shared" si="142"/>
        <v>52389</v>
      </c>
      <c r="AE853" s="180">
        <f t="shared" si="143"/>
        <v>1621.0530797648637</v>
      </c>
      <c r="AF853" s="180">
        <f t="shared" si="150"/>
        <v>84925.349795801449</v>
      </c>
      <c r="AG853" s="180">
        <f t="shared" si="144"/>
        <v>91967.478000000003</v>
      </c>
      <c r="AH853" s="180">
        <f t="shared" si="148"/>
        <v>176892.82779580145</v>
      </c>
      <c r="AI853" s="180">
        <f t="shared" si="145"/>
        <v>23656</v>
      </c>
      <c r="AJ853" s="180">
        <f t="shared" si="149"/>
        <v>200548.82779580145</v>
      </c>
      <c r="AK853" s="180">
        <f>(G947)</f>
        <v>0</v>
      </c>
      <c r="AL853" s="180">
        <f t="shared" si="147"/>
        <v>200548.82779580145</v>
      </c>
      <c r="AM853" s="180" t="s">
        <v>633</v>
      </c>
      <c r="AN853" s="180">
        <f>+B862/31/1.98</f>
        <v>1909.3027044639948</v>
      </c>
      <c r="AO853" s="180">
        <f>(AD853*43560/31/24/3600)</f>
        <v>852.02540322580649</v>
      </c>
      <c r="AP853" s="180">
        <f>+P303</f>
        <v>0</v>
      </c>
      <c r="AQ853" s="180"/>
      <c r="AR853" s="180"/>
      <c r="AS853" s="180"/>
      <c r="AT853" s="306"/>
    </row>
    <row r="854" spans="1:46" ht="15.75" customHeight="1" x14ac:dyDescent="0.3">
      <c r="A854" s="192" t="s">
        <v>12</v>
      </c>
      <c r="B854" s="180">
        <f>+F29</f>
        <v>167054</v>
      </c>
      <c r="C854" s="180">
        <f>+F64</f>
        <v>166687</v>
      </c>
      <c r="D854" s="180">
        <f>+F130</f>
        <v>166337</v>
      </c>
      <c r="E854" s="180">
        <f>+F293</f>
        <v>159674</v>
      </c>
      <c r="F854" s="180">
        <f>+F288</f>
        <v>28044</v>
      </c>
      <c r="G854" s="180">
        <f>+F300</f>
        <v>0</v>
      </c>
      <c r="H854" s="180">
        <f>+F443</f>
        <v>103186</v>
      </c>
      <c r="I854" s="180">
        <f>+F490</f>
        <v>39342</v>
      </c>
      <c r="J854" s="180">
        <f>+F534</f>
        <v>30202</v>
      </c>
      <c r="K854" s="180">
        <f>+F589</f>
        <v>25240</v>
      </c>
      <c r="L854" s="180">
        <f>+F599</f>
        <v>21076</v>
      </c>
      <c r="M854" s="180">
        <f>+F635</f>
        <v>21039</v>
      </c>
      <c r="N854" s="180">
        <f>+F682</f>
        <v>20553</v>
      </c>
      <c r="O854" s="180">
        <f>+F692</f>
        <v>4167</v>
      </c>
      <c r="P854" s="180">
        <f>+F726</f>
        <v>3414</v>
      </c>
      <c r="Q854" s="180">
        <f>+F774</f>
        <v>4118</v>
      </c>
      <c r="R854" s="306"/>
      <c r="T854" s="193">
        <f>'[2]Lake Pleasant Forecast'!B41</f>
        <v>1696.11085484296</v>
      </c>
      <c r="AC854" s="179"/>
      <c r="AD854" s="180"/>
      <c r="AE854" s="180"/>
      <c r="AF854" s="180"/>
      <c r="AG854" s="180"/>
      <c r="AH854" s="180"/>
      <c r="AI854" s="180"/>
      <c r="AJ854" s="180"/>
      <c r="AK854" s="180"/>
      <c r="AL854" s="180"/>
      <c r="AM854" s="180" t="s">
        <v>633</v>
      </c>
      <c r="AN854" s="180"/>
      <c r="AO854" s="180"/>
      <c r="AP854" s="180"/>
      <c r="AQ854" s="180"/>
      <c r="AR854" s="180"/>
      <c r="AS854" s="180"/>
      <c r="AT854" s="306"/>
    </row>
    <row r="855" spans="1:46" ht="15.75" customHeight="1" x14ac:dyDescent="0.3">
      <c r="A855" s="192" t="s">
        <v>13</v>
      </c>
      <c r="B855" s="180">
        <f>+G29</f>
        <v>178122</v>
      </c>
      <c r="C855" s="180">
        <f>+G64</f>
        <v>177697</v>
      </c>
      <c r="D855" s="180">
        <f>+G130</f>
        <v>177295</v>
      </c>
      <c r="E855" s="180">
        <f>+G293</f>
        <v>169951</v>
      </c>
      <c r="F855" s="180">
        <f>+G288</f>
        <v>12390</v>
      </c>
      <c r="G855" s="180">
        <f>+G300</f>
        <v>0</v>
      </c>
      <c r="H855" s="180">
        <f>+G443</f>
        <v>119224</v>
      </c>
      <c r="I855" s="180">
        <f>+G490</f>
        <v>36410</v>
      </c>
      <c r="J855" s="180">
        <f>+G534</f>
        <v>27038</v>
      </c>
      <c r="K855" s="180">
        <f>+G589</f>
        <v>24236</v>
      </c>
      <c r="L855" s="180">
        <f>+G599</f>
        <v>22056</v>
      </c>
      <c r="M855" s="180">
        <f>+G635</f>
        <v>22014</v>
      </c>
      <c r="N855" s="180">
        <f>+G682</f>
        <v>20876</v>
      </c>
      <c r="O855" s="180">
        <f>+G692</f>
        <v>4106</v>
      </c>
      <c r="P855" s="180">
        <f>+G726</f>
        <v>1479</v>
      </c>
      <c r="Q855" s="180">
        <f>+G774</f>
        <v>4098</v>
      </c>
      <c r="R855" s="306"/>
      <c r="T855" s="193">
        <f>'[2]Lake Pleasant Forecast'!B43</f>
        <v>1693.7800000000002</v>
      </c>
      <c r="AC855" s="179" t="s">
        <v>641</v>
      </c>
      <c r="AD855" s="180">
        <f>SUM(AD842:AD853)</f>
        <v>372849</v>
      </c>
      <c r="AE855" s="180"/>
      <c r="AF855" s="180">
        <f t="shared" ref="AF855:AL855" si="152">SUM(AF842:AF853)</f>
        <v>606792.74716384371</v>
      </c>
      <c r="AG855" s="180">
        <f t="shared" si="152"/>
        <v>1579106.574</v>
      </c>
      <c r="AH855" s="180">
        <f t="shared" si="152"/>
        <v>2185899.3211638439</v>
      </c>
      <c r="AI855" s="180">
        <f t="shared" si="152"/>
        <v>392645</v>
      </c>
      <c r="AJ855" s="180">
        <f t="shared" si="152"/>
        <v>2578544.3211638443</v>
      </c>
      <c r="AK855" s="180">
        <f t="shared" si="152"/>
        <v>40650.552496456345</v>
      </c>
      <c r="AL855" s="180">
        <f t="shared" si="152"/>
        <v>2537893.7686673878</v>
      </c>
      <c r="AM855" s="180"/>
      <c r="AN855" s="180"/>
      <c r="AO855" s="180"/>
      <c r="AP855" s="180"/>
      <c r="AQ855" s="180"/>
      <c r="AR855" s="180"/>
      <c r="AS855" s="180"/>
      <c r="AT855" s="306"/>
    </row>
    <row r="856" spans="1:46" ht="15.75" customHeight="1" x14ac:dyDescent="0.3">
      <c r="A856" s="192" t="s">
        <v>14</v>
      </c>
      <c r="B856" s="180">
        <f>+H29</f>
        <v>91636</v>
      </c>
      <c r="C856" s="180">
        <f>+H64</f>
        <v>91219</v>
      </c>
      <c r="D856" s="180">
        <f>+H130</f>
        <v>90823</v>
      </c>
      <c r="E856" s="180">
        <f>+H293</f>
        <v>82634</v>
      </c>
      <c r="F856" s="180">
        <f>+H288</f>
        <v>0</v>
      </c>
      <c r="G856" s="180">
        <f>+H300</f>
        <v>-112673</v>
      </c>
      <c r="H856" s="180">
        <f>+H443</f>
        <v>145021</v>
      </c>
      <c r="I856" s="180">
        <f>+H490</f>
        <v>45408</v>
      </c>
      <c r="J856" s="180">
        <f>+H534</f>
        <v>29076</v>
      </c>
      <c r="K856" s="180">
        <f>+H589</f>
        <v>22944</v>
      </c>
      <c r="L856" s="180">
        <f>+H599</f>
        <v>21109</v>
      </c>
      <c r="M856" s="180">
        <f>+H635</f>
        <v>21065</v>
      </c>
      <c r="N856" s="180">
        <f>+H682</f>
        <v>19414</v>
      </c>
      <c r="O856" s="180">
        <f>+H692</f>
        <v>4390</v>
      </c>
      <c r="P856" s="180">
        <f>+H726</f>
        <v>4867</v>
      </c>
      <c r="Q856" s="180">
        <f>+H774</f>
        <v>4381</v>
      </c>
      <c r="R856" s="306"/>
      <c r="T856" s="193">
        <f>'[2]Lake Pleasant Forecast'!B45</f>
        <v>1681.1000000000001</v>
      </c>
      <c r="AC856" s="179"/>
      <c r="AD856" s="180"/>
      <c r="AE856" s="180"/>
      <c r="AF856" s="180"/>
      <c r="AG856" s="180"/>
      <c r="AH856" s="180"/>
      <c r="AI856" s="180"/>
      <c r="AJ856" s="180"/>
      <c r="AK856" s="180"/>
      <c r="AL856" s="180"/>
      <c r="AM856" s="180"/>
      <c r="AN856" s="180"/>
      <c r="AO856" s="180"/>
      <c r="AP856" s="180"/>
      <c r="AQ856" s="180"/>
      <c r="AR856" s="180"/>
      <c r="AS856" s="180"/>
      <c r="AT856" s="306"/>
    </row>
    <row r="857" spans="1:46" ht="15.75" customHeight="1" x14ac:dyDescent="0.3">
      <c r="A857" s="192" t="s">
        <v>16</v>
      </c>
      <c r="B857" s="180">
        <f>+J29</f>
        <v>77423</v>
      </c>
      <c r="C857" s="180">
        <f>+J64</f>
        <v>77007</v>
      </c>
      <c r="D857" s="180">
        <f>+J130</f>
        <v>76613</v>
      </c>
      <c r="E857" s="180">
        <f>+J293</f>
        <v>68001</v>
      </c>
      <c r="F857" s="180">
        <f>+J288</f>
        <v>0</v>
      </c>
      <c r="G857" s="180">
        <f>+J300</f>
        <v>-119947</v>
      </c>
      <c r="H857" s="180">
        <f>+J443</f>
        <v>128199</v>
      </c>
      <c r="I857" s="180">
        <f>+J490</f>
        <v>50008</v>
      </c>
      <c r="J857" s="180">
        <f>+J534</f>
        <v>28429</v>
      </c>
      <c r="K857" s="180">
        <f>+J589</f>
        <v>25371</v>
      </c>
      <c r="L857" s="180">
        <f>+J599</f>
        <v>21981</v>
      </c>
      <c r="M857" s="180">
        <f>+J635</f>
        <v>21942</v>
      </c>
      <c r="N857" s="180">
        <f>+J682</f>
        <v>19806</v>
      </c>
      <c r="O857" s="180">
        <f>+J692</f>
        <v>3654</v>
      </c>
      <c r="P857" s="180">
        <f>+J726</f>
        <v>4909</v>
      </c>
      <c r="Q857" s="180">
        <f>+J774</f>
        <v>3644</v>
      </c>
      <c r="R857" s="306"/>
      <c r="T857" s="193">
        <f>'[2]Lake Pleasant Forecast'!B47</f>
        <v>1671.6699725311105</v>
      </c>
      <c r="AC857" s="179" t="s">
        <v>696</v>
      </c>
      <c r="AD857" s="180"/>
      <c r="AE857" s="180"/>
      <c r="AF857" s="180"/>
      <c r="AG857" s="180"/>
      <c r="AH857" s="180"/>
      <c r="AI857" s="180"/>
      <c r="AJ857" s="180"/>
      <c r="AK857" s="180"/>
      <c r="AL857" s="180"/>
      <c r="AM857" s="180"/>
      <c r="AN857" s="180"/>
      <c r="AO857" s="180"/>
      <c r="AP857" s="180"/>
      <c r="AQ857" s="180"/>
      <c r="AR857" s="180"/>
      <c r="AS857" s="180"/>
      <c r="AT857" s="306"/>
    </row>
    <row r="858" spans="1:46" ht="15.75" customHeight="1" x14ac:dyDescent="0.3">
      <c r="A858" s="192" t="s">
        <v>17</v>
      </c>
      <c r="B858" s="180">
        <f>+K29</f>
        <v>67691</v>
      </c>
      <c r="C858" s="180">
        <f>+K64</f>
        <v>67357</v>
      </c>
      <c r="D858" s="180">
        <f>+K130</f>
        <v>67039</v>
      </c>
      <c r="E858" s="180">
        <f>+K293</f>
        <v>59601</v>
      </c>
      <c r="F858" s="180">
        <f>+K288</f>
        <v>0</v>
      </c>
      <c r="G858" s="180">
        <f>+K300</f>
        <v>-87736</v>
      </c>
      <c r="H858" s="180">
        <f>+K443</f>
        <v>96897</v>
      </c>
      <c r="I858" s="180">
        <f>+K490</f>
        <v>35955</v>
      </c>
      <c r="J858" s="180">
        <f>+K534</f>
        <v>25261</v>
      </c>
      <c r="K858" s="180">
        <f>+K589</f>
        <v>21685</v>
      </c>
      <c r="L858" s="180">
        <f>+K599</f>
        <v>20142</v>
      </c>
      <c r="M858" s="180">
        <f>+K635</f>
        <v>20106</v>
      </c>
      <c r="N858" s="180">
        <f>+K682</f>
        <v>17993</v>
      </c>
      <c r="O858" s="180">
        <f>+K692</f>
        <v>2150</v>
      </c>
      <c r="P858" s="180">
        <f>+K726</f>
        <v>4763</v>
      </c>
      <c r="Q858" s="180">
        <f>+K774</f>
        <v>2144</v>
      </c>
      <c r="R858" s="306"/>
      <c r="T858" s="193">
        <f>'[2]Lake Pleasant Forecast'!B49</f>
        <v>1661.2798188452823</v>
      </c>
      <c r="AC858" s="179" t="s">
        <v>697</v>
      </c>
      <c r="AD858" s="180"/>
      <c r="AE858" s="180"/>
      <c r="AF858" s="180"/>
      <c r="AG858" s="180"/>
      <c r="AH858" s="180"/>
      <c r="AI858" s="180"/>
      <c r="AJ858" s="180"/>
      <c r="AK858" s="180"/>
      <c r="AL858" s="180"/>
      <c r="AM858" s="180"/>
      <c r="AN858" s="180"/>
      <c r="AO858" s="180"/>
      <c r="AP858" s="180"/>
      <c r="AQ858" s="180"/>
      <c r="AR858" s="180"/>
      <c r="AS858" s="180"/>
      <c r="AT858" s="306"/>
    </row>
    <row r="859" spans="1:46" ht="15.75" customHeight="1" x14ac:dyDescent="0.3">
      <c r="A859" s="192" t="s">
        <v>18</v>
      </c>
      <c r="B859" s="180">
        <f>+L29</f>
        <v>131247</v>
      </c>
      <c r="C859" s="180">
        <f>+L64</f>
        <v>130931</v>
      </c>
      <c r="D859" s="180">
        <f>+L130</f>
        <v>130630</v>
      </c>
      <c r="E859" s="180">
        <f>+L293</f>
        <v>126596</v>
      </c>
      <c r="F859" s="180">
        <f>+L288</f>
        <v>19406</v>
      </c>
      <c r="G859" s="180">
        <f>+L300</f>
        <v>-22496</v>
      </c>
      <c r="H859" s="180">
        <f>+L443</f>
        <v>80109</v>
      </c>
      <c r="I859" s="180">
        <f>+L490</f>
        <v>33405</v>
      </c>
      <c r="J859" s="180">
        <f>+L534</f>
        <v>25967</v>
      </c>
      <c r="K859" s="180">
        <f>+L589</f>
        <v>22936</v>
      </c>
      <c r="L859" s="180">
        <f>+L599</f>
        <v>19023</v>
      </c>
      <c r="M859" s="180">
        <f>+L635</f>
        <v>18989</v>
      </c>
      <c r="N859" s="180">
        <f>+L682</f>
        <v>17223</v>
      </c>
      <c r="O859" s="180">
        <f>+L692</f>
        <v>4825</v>
      </c>
      <c r="P859" s="180">
        <f>+L726</f>
        <v>3380</v>
      </c>
      <c r="Q859" s="180">
        <f>+L774</f>
        <v>4819</v>
      </c>
      <c r="R859" s="306"/>
      <c r="T859" s="193">
        <f>'[2]Lake Pleasant Forecast'!B51</f>
        <v>1659.68</v>
      </c>
      <c r="AC859" s="179"/>
      <c r="AD859" s="180"/>
      <c r="AE859" s="180"/>
      <c r="AF859" s="180"/>
      <c r="AG859" s="180"/>
      <c r="AH859" s="180"/>
      <c r="AI859" s="180"/>
      <c r="AJ859" s="180"/>
      <c r="AK859" s="180"/>
      <c r="AL859" s="180"/>
      <c r="AM859" s="180"/>
      <c r="AN859" s="180"/>
      <c r="AO859" s="180"/>
      <c r="AP859" s="180"/>
      <c r="AQ859" s="180"/>
      <c r="AR859" s="180"/>
      <c r="AS859" s="180"/>
      <c r="AT859" s="306"/>
    </row>
    <row r="860" spans="1:46" ht="15.75" customHeight="1" x14ac:dyDescent="0.3">
      <c r="A860" s="192" t="s">
        <v>20</v>
      </c>
      <c r="B860" s="180">
        <f>+N29</f>
        <v>133437</v>
      </c>
      <c r="C860" s="180">
        <f>+N64</f>
        <v>133152</v>
      </c>
      <c r="D860" s="180">
        <f>+N130</f>
        <v>132880</v>
      </c>
      <c r="E860" s="180">
        <f>+N293</f>
        <v>130253</v>
      </c>
      <c r="F860" s="180">
        <f>+N288</f>
        <v>40011</v>
      </c>
      <c r="G860" s="180">
        <f>+N300</f>
        <v>-1165</v>
      </c>
      <c r="H860" s="180">
        <f>+N443</f>
        <v>52257</v>
      </c>
      <c r="I860" s="180">
        <f>+N490</f>
        <v>11059</v>
      </c>
      <c r="J860" s="180">
        <f>+N534</f>
        <v>8221</v>
      </c>
      <c r="K860" s="180">
        <f>+N589</f>
        <v>7905</v>
      </c>
      <c r="L860" s="180">
        <f>+N599</f>
        <v>6368</v>
      </c>
      <c r="M860" s="180">
        <f>+N635</f>
        <v>6339</v>
      </c>
      <c r="N860" s="180">
        <f>+N682</f>
        <v>5629</v>
      </c>
      <c r="O860" s="180">
        <f>+N692</f>
        <v>1859</v>
      </c>
      <c r="P860" s="180">
        <f>+N726</f>
        <v>0</v>
      </c>
      <c r="Q860" s="180">
        <f>+N774</f>
        <v>1854</v>
      </c>
      <c r="R860" s="306"/>
      <c r="T860" s="193">
        <f>'[2]Lake Pleasant Forecast'!B53</f>
        <v>1666.2699999999998</v>
      </c>
      <c r="AC860" s="179" t="s">
        <v>698</v>
      </c>
      <c r="AD860" s="180"/>
      <c r="AE860" s="180"/>
      <c r="AF860" s="180"/>
      <c r="AG860" s="180"/>
      <c r="AH860" s="180"/>
      <c r="AI860" s="180"/>
      <c r="AJ860" s="180"/>
      <c r="AK860" s="180"/>
      <c r="AL860" s="180"/>
      <c r="AM860" s="180"/>
      <c r="AN860" s="180"/>
      <c r="AO860" s="180"/>
      <c r="AP860" s="180"/>
      <c r="AQ860" s="180"/>
      <c r="AR860" s="180"/>
      <c r="AS860" s="180"/>
      <c r="AT860" s="306"/>
    </row>
    <row r="861" spans="1:46" ht="15.75" customHeight="1" x14ac:dyDescent="0.3">
      <c r="A861" s="192" t="s">
        <v>21</v>
      </c>
      <c r="B861" s="180">
        <f>+O29</f>
        <v>138414</v>
      </c>
      <c r="C861" s="180">
        <f>+O64</f>
        <v>138179</v>
      </c>
      <c r="D861" s="180">
        <f>+O130</f>
        <v>137953</v>
      </c>
      <c r="E861" s="180">
        <f>+O293</f>
        <v>136932</v>
      </c>
      <c r="F861" s="180">
        <f>+O288</f>
        <v>74729</v>
      </c>
      <c r="G861" s="180">
        <f>+O300</f>
        <v>0</v>
      </c>
      <c r="H861" s="180">
        <f>+O443</f>
        <v>32345</v>
      </c>
      <c r="I861" s="180">
        <f>+O490</f>
        <v>11993</v>
      </c>
      <c r="J861" s="180">
        <f>+O534</f>
        <v>10398</v>
      </c>
      <c r="K861" s="180">
        <f>+O589</f>
        <v>10329</v>
      </c>
      <c r="L861" s="180">
        <f>+O599</f>
        <v>7177</v>
      </c>
      <c r="M861" s="180">
        <f>+O635</f>
        <v>7154</v>
      </c>
      <c r="N861" s="180">
        <f>+O682</f>
        <v>7111</v>
      </c>
      <c r="O861" s="180">
        <f>+O692</f>
        <v>1167</v>
      </c>
      <c r="P861" s="180">
        <f>+O726</f>
        <v>0</v>
      </c>
      <c r="Q861" s="180">
        <f>+O774</f>
        <v>1164</v>
      </c>
      <c r="R861" s="306"/>
      <c r="T861" s="193">
        <f>'[2]Lake Pleasant Forecast'!B55</f>
        <v>1674.31</v>
      </c>
      <c r="AC861" s="179"/>
      <c r="AD861" s="180"/>
      <c r="AE861" s="180"/>
      <c r="AF861" s="180"/>
      <c r="AG861" s="180"/>
      <c r="AH861" s="180"/>
      <c r="AI861" s="180"/>
      <c r="AJ861" s="180"/>
      <c r="AK861" s="180"/>
      <c r="AL861" s="180"/>
      <c r="AM861" s="180"/>
      <c r="AN861" s="180"/>
      <c r="AO861" s="180"/>
      <c r="AP861" s="180"/>
      <c r="AQ861" s="180"/>
      <c r="AR861" s="180"/>
      <c r="AS861" s="180"/>
      <c r="AT861" s="306"/>
    </row>
    <row r="862" spans="1:46" ht="15.75" customHeight="1" thickBot="1" x14ac:dyDescent="0.35">
      <c r="A862" s="192" t="s">
        <v>22</v>
      </c>
      <c r="B862" s="180">
        <f>+P29</f>
        <v>117193</v>
      </c>
      <c r="C862" s="180">
        <f>+P64</f>
        <v>117007</v>
      </c>
      <c r="D862" s="180">
        <f>+P130</f>
        <v>116828</v>
      </c>
      <c r="E862" s="180">
        <f>+P293</f>
        <v>115487</v>
      </c>
      <c r="F862" s="180">
        <f>+P288</f>
        <v>52389</v>
      </c>
      <c r="G862" s="180">
        <f>+P300</f>
        <v>0</v>
      </c>
      <c r="H862" s="180">
        <f>+P443</f>
        <v>41828</v>
      </c>
      <c r="I862" s="180">
        <f>+P490</f>
        <v>15977</v>
      </c>
      <c r="J862" s="180">
        <f>+P534</f>
        <v>14869</v>
      </c>
      <c r="K862" s="180">
        <f>+P589</f>
        <v>14827</v>
      </c>
      <c r="L862" s="180">
        <f>+P599</f>
        <v>14315</v>
      </c>
      <c r="M862" s="180">
        <f>+P635</f>
        <v>14296</v>
      </c>
      <c r="N862" s="180">
        <f>+P682</f>
        <v>14093</v>
      </c>
      <c r="O862" s="180">
        <f>+P692</f>
        <v>4423</v>
      </c>
      <c r="P862" s="180">
        <f>+P726</f>
        <v>0</v>
      </c>
      <c r="Q862" s="180">
        <f>+P774</f>
        <v>4421</v>
      </c>
      <c r="R862" s="306"/>
      <c r="T862" s="193">
        <f>'[2]Lake Pleasant Forecast'!B57</f>
        <v>1677.029882034898</v>
      </c>
      <c r="AC862" s="194" t="s">
        <v>699</v>
      </c>
      <c r="AD862" s="195"/>
      <c r="AE862" s="195"/>
      <c r="AF862" s="195"/>
      <c r="AG862" s="195"/>
      <c r="AH862" s="195"/>
      <c r="AI862" s="195"/>
      <c r="AJ862" s="195"/>
      <c r="AK862" s="195"/>
      <c r="AL862" s="195"/>
      <c r="AM862" s="195"/>
      <c r="AN862" s="195"/>
      <c r="AO862" s="195"/>
      <c r="AP862" s="195"/>
      <c r="AQ862" s="195"/>
      <c r="AR862" s="195"/>
      <c r="AS862" s="195"/>
      <c r="AT862" s="196"/>
    </row>
    <row r="863" spans="1:46" ht="15.75" customHeight="1" x14ac:dyDescent="0.3">
      <c r="A863" s="189"/>
      <c r="B863" s="180"/>
      <c r="C863" s="180"/>
      <c r="D863" s="180"/>
      <c r="E863" s="180"/>
      <c r="F863" s="180"/>
      <c r="G863" s="180"/>
      <c r="H863" s="180"/>
      <c r="I863" s="180"/>
      <c r="J863" s="180"/>
      <c r="K863" s="180"/>
      <c r="L863" s="180"/>
      <c r="M863" s="180"/>
      <c r="N863" s="180"/>
      <c r="O863" s="180"/>
      <c r="P863" s="180"/>
      <c r="Q863" s="180"/>
      <c r="R863" s="306"/>
    </row>
    <row r="864" spans="1:46" ht="15.75" customHeight="1" thickBot="1" x14ac:dyDescent="0.35">
      <c r="A864" s="189" t="s">
        <v>641</v>
      </c>
      <c r="B864" s="180">
        <f t="shared" ref="B864:Q864" si="153">SUM(B851:B862)</f>
        <v>1490965</v>
      </c>
      <c r="C864" s="180">
        <f t="shared" si="153"/>
        <v>1487465</v>
      </c>
      <c r="D864" s="180">
        <f t="shared" si="153"/>
        <v>1484125</v>
      </c>
      <c r="E864" s="180">
        <f t="shared" si="153"/>
        <v>1426927</v>
      </c>
      <c r="F864" s="180">
        <f t="shared" si="153"/>
        <v>372849</v>
      </c>
      <c r="G864" s="180">
        <f t="shared" si="153"/>
        <v>-354518</v>
      </c>
      <c r="H864" s="180">
        <f t="shared" si="153"/>
        <v>970263</v>
      </c>
      <c r="I864" s="180">
        <f t="shared" si="153"/>
        <v>338334</v>
      </c>
      <c r="J864" s="180">
        <f t="shared" si="153"/>
        <v>250792</v>
      </c>
      <c r="K864" s="180">
        <f t="shared" si="153"/>
        <v>222506</v>
      </c>
      <c r="L864" s="180">
        <f t="shared" si="153"/>
        <v>189995</v>
      </c>
      <c r="M864" s="180">
        <f t="shared" si="153"/>
        <v>189622</v>
      </c>
      <c r="N864" s="180">
        <f t="shared" si="153"/>
        <v>177820</v>
      </c>
      <c r="O864" s="180">
        <f t="shared" si="153"/>
        <v>41628</v>
      </c>
      <c r="P864" s="180">
        <f t="shared" si="153"/>
        <v>33591</v>
      </c>
      <c r="Q864" s="180">
        <f t="shared" si="153"/>
        <v>41520</v>
      </c>
      <c r="R864" s="306"/>
    </row>
    <row r="865" spans="1:50" ht="15.75" customHeight="1" thickBot="1" x14ac:dyDescent="0.35">
      <c r="A865" s="135"/>
      <c r="B865" s="135"/>
      <c r="C865" s="135"/>
      <c r="D865" s="135"/>
      <c r="E865" s="135"/>
      <c r="F865" s="135"/>
      <c r="G865" s="135"/>
      <c r="H865" s="135"/>
      <c r="I865" s="135"/>
      <c r="J865" s="135"/>
      <c r="K865" s="135"/>
      <c r="L865" s="135"/>
      <c r="M865" s="135"/>
      <c r="N865" s="135"/>
      <c r="O865" s="135"/>
      <c r="P865" s="135"/>
      <c r="Q865" s="135"/>
      <c r="R865" s="196"/>
      <c r="AC865" s="350"/>
      <c r="AD865" s="351"/>
      <c r="AE865" s="351"/>
      <c r="AF865" s="351"/>
      <c r="AG865" s="351"/>
      <c r="AH865" s="351"/>
      <c r="AI865" s="351"/>
      <c r="AJ865" s="351"/>
      <c r="AK865" s="351"/>
      <c r="AL865" s="351"/>
      <c r="AM865" s="351"/>
      <c r="AN865" s="351"/>
      <c r="AO865" s="351"/>
      <c r="AP865" s="351"/>
      <c r="AQ865" s="351"/>
      <c r="AR865" s="351"/>
      <c r="AS865" s="354" t="str">
        <f>+Q1</f>
        <v xml:space="preserve">PRINTED:  </v>
      </c>
      <c r="AT865" s="357">
        <f ca="1">+R1</f>
        <v>44894.658168402777</v>
      </c>
      <c r="AU865" s="358"/>
      <c r="AW865" s="199" t="s">
        <v>700</v>
      </c>
      <c r="AX865" s="180"/>
    </row>
    <row r="866" spans="1:50" ht="15.75" customHeight="1" x14ac:dyDescent="0.35">
      <c r="A866" s="359"/>
      <c r="B866" s="359"/>
      <c r="C866" s="359"/>
      <c r="D866" s="359"/>
      <c r="E866" s="359"/>
      <c r="F866" s="359"/>
      <c r="G866" s="359"/>
      <c r="H866" s="359"/>
      <c r="I866" s="359"/>
      <c r="J866" s="359"/>
      <c r="K866" s="359"/>
      <c r="L866" s="359"/>
      <c r="M866" s="359"/>
      <c r="N866" s="359"/>
      <c r="O866" s="359"/>
      <c r="P866" s="359"/>
      <c r="Q866" s="359"/>
      <c r="R866" s="351"/>
      <c r="AC866" s="179"/>
      <c r="AD866" s="180"/>
      <c r="AE866" s="199" t="s">
        <v>701</v>
      </c>
      <c r="AF866" s="180"/>
      <c r="AG866" s="180"/>
      <c r="AH866" s="180"/>
      <c r="AI866" s="180"/>
      <c r="AJ866" s="180"/>
      <c r="AK866" s="180"/>
      <c r="AL866" s="180"/>
      <c r="AM866" s="180"/>
      <c r="AN866" s="201"/>
      <c r="AO866" s="199" t="s">
        <v>702</v>
      </c>
      <c r="AP866" s="180"/>
      <c r="AQ866" s="180"/>
      <c r="AR866" s="180"/>
      <c r="AS866" s="180"/>
      <c r="AT866" s="180"/>
      <c r="AU866" s="304"/>
      <c r="AW866" s="180" t="s">
        <v>703</v>
      </c>
      <c r="AX866" s="180"/>
    </row>
    <row r="867" spans="1:50" ht="16.5" customHeight="1" x14ac:dyDescent="0.3">
      <c r="A867" s="189" t="s">
        <v>7</v>
      </c>
      <c r="B867" s="180"/>
      <c r="C867" s="180"/>
      <c r="D867" s="180"/>
      <c r="E867" s="180"/>
      <c r="F867" s="180"/>
      <c r="G867" s="180"/>
      <c r="H867" s="180"/>
      <c r="I867" s="180"/>
      <c r="J867" s="180"/>
      <c r="K867" s="180"/>
      <c r="L867" s="180"/>
      <c r="M867" s="180"/>
      <c r="N867" s="180"/>
      <c r="O867" s="180"/>
      <c r="P867" s="180"/>
      <c r="Q867" s="180"/>
      <c r="R867" s="180"/>
      <c r="AC867" s="179"/>
      <c r="AD867" s="180"/>
      <c r="AE867" s="180"/>
      <c r="AF867" s="180"/>
      <c r="AG867" s="180" t="s">
        <v>7</v>
      </c>
      <c r="AH867" s="202" t="str">
        <f>+A8</f>
        <v>Revised:  2/23/2017</v>
      </c>
      <c r="AI867" s="180"/>
      <c r="AJ867" s="180"/>
      <c r="AK867" s="180"/>
      <c r="AL867" s="180"/>
      <c r="AM867" s="180"/>
      <c r="AN867" s="180"/>
      <c r="AO867" s="180"/>
      <c r="AP867" s="180"/>
      <c r="AQ867" s="180"/>
      <c r="AR867" s="180" t="s">
        <v>7</v>
      </c>
      <c r="AS867" s="202" t="str">
        <f>+A8</f>
        <v>Revised:  2/23/2017</v>
      </c>
      <c r="AT867" s="180"/>
      <c r="AU867" s="304"/>
      <c r="AW867" s="180"/>
      <c r="AX867" s="180"/>
    </row>
    <row r="868" spans="1:50" ht="15.75" customHeight="1" x14ac:dyDescent="0.3">
      <c r="A868" s="182"/>
      <c r="B868" s="180"/>
      <c r="C868" s="180"/>
      <c r="D868" s="180"/>
      <c r="E868" s="180"/>
      <c r="F868" s="180"/>
      <c r="G868" s="180"/>
      <c r="H868" s="180"/>
      <c r="I868" s="180"/>
      <c r="J868" s="180"/>
      <c r="K868" s="180"/>
      <c r="L868" s="180"/>
      <c r="M868" s="180"/>
      <c r="N868" s="180"/>
      <c r="O868" s="180"/>
      <c r="P868" s="180"/>
      <c r="Q868" s="180"/>
      <c r="R868" s="180"/>
      <c r="AC868" s="179"/>
      <c r="AD868" s="180"/>
      <c r="AE868" s="180"/>
      <c r="AF868" s="180" t="s">
        <v>704</v>
      </c>
      <c r="AG868" s="180"/>
      <c r="AH868" s="180"/>
      <c r="AI868" s="180"/>
      <c r="AJ868" s="180"/>
      <c r="AK868" s="180"/>
      <c r="AL868" s="180"/>
      <c r="AM868" s="180"/>
      <c r="AN868" s="180"/>
      <c r="AO868" s="180"/>
      <c r="AP868" s="180" t="s">
        <v>704</v>
      </c>
      <c r="AQ868" s="180"/>
      <c r="AR868" s="180"/>
      <c r="AS868" s="180"/>
      <c r="AT868" s="180"/>
      <c r="AU868" s="304"/>
      <c r="AW868" s="180" t="s">
        <v>633</v>
      </c>
      <c r="AX868" s="182" t="s">
        <v>658</v>
      </c>
    </row>
    <row r="869" spans="1:50" ht="15.75" customHeight="1" x14ac:dyDescent="0.3">
      <c r="A869" s="192"/>
      <c r="AC869" s="179"/>
      <c r="AD869" s="180"/>
      <c r="AE869" s="180"/>
      <c r="AF869" s="180"/>
      <c r="AG869" s="180"/>
      <c r="AH869" s="180"/>
      <c r="AI869" s="180"/>
      <c r="AJ869" s="180"/>
      <c r="AK869" s="180"/>
      <c r="AL869" s="180"/>
      <c r="AM869" s="180"/>
      <c r="AN869" s="180"/>
      <c r="AO869" s="180"/>
      <c r="AP869" s="180"/>
      <c r="AQ869" s="180"/>
      <c r="AR869" s="180"/>
      <c r="AS869" s="180"/>
      <c r="AT869" s="180"/>
      <c r="AU869" s="304"/>
      <c r="AW869" s="182" t="s">
        <v>658</v>
      </c>
      <c r="AX869" s="182" t="s">
        <v>655</v>
      </c>
    </row>
    <row r="870" spans="1:50" ht="15.75" customHeight="1" thickBot="1" x14ac:dyDescent="0.35">
      <c r="A870" s="192"/>
      <c r="AC870" s="179"/>
      <c r="AD870" s="180"/>
      <c r="AE870" s="180"/>
      <c r="AF870" s="180"/>
      <c r="AG870" s="180">
        <f>+A5</f>
        <v>2016</v>
      </c>
      <c r="AH870" s="180"/>
      <c r="AI870" s="180"/>
      <c r="AJ870" s="180"/>
      <c r="AK870" s="180"/>
      <c r="AL870" s="180"/>
      <c r="AM870" s="180"/>
      <c r="AN870" s="180"/>
      <c r="AO870" s="180"/>
      <c r="AP870" s="180"/>
      <c r="AQ870" s="180"/>
      <c r="AR870" s="180">
        <f>+A5</f>
        <v>2016</v>
      </c>
      <c r="AS870" s="180"/>
      <c r="AT870" s="180"/>
      <c r="AU870" s="304"/>
      <c r="AW870" s="182" t="s">
        <v>705</v>
      </c>
      <c r="AX870" s="182" t="s">
        <v>706</v>
      </c>
    </row>
    <row r="871" spans="1:50" ht="15.75" customHeight="1" x14ac:dyDescent="0.3">
      <c r="A871" s="356"/>
      <c r="B871" s="423" t="s">
        <v>707</v>
      </c>
      <c r="C871" s="423"/>
      <c r="D871" s="423"/>
      <c r="E871" s="423"/>
      <c r="F871" s="423"/>
      <c r="G871" s="423"/>
      <c r="H871" s="423"/>
      <c r="I871" s="423"/>
      <c r="J871" s="423"/>
      <c r="K871" s="423"/>
      <c r="L871" s="423"/>
      <c r="M871" s="423"/>
      <c r="N871" s="423"/>
      <c r="O871" s="423"/>
      <c r="P871" s="423"/>
      <c r="Q871" s="354" t="str">
        <f>+Q1</f>
        <v xml:space="preserve">PRINTED:  </v>
      </c>
      <c r="R871" s="355">
        <f ca="1">+R1</f>
        <v>44894.658168402777</v>
      </c>
      <c r="AC871" s="179"/>
      <c r="AD871" s="180"/>
      <c r="AE871" s="180"/>
      <c r="AF871" s="180"/>
      <c r="AG871" s="180" t="s">
        <v>708</v>
      </c>
      <c r="AH871" s="180"/>
      <c r="AI871" s="180"/>
      <c r="AJ871" s="180"/>
      <c r="AK871" s="180"/>
      <c r="AL871" s="180"/>
      <c r="AM871" s="180"/>
      <c r="AN871" s="180"/>
      <c r="AO871" s="180"/>
      <c r="AP871" s="180"/>
      <c r="AQ871" s="180"/>
      <c r="AR871" s="180" t="s">
        <v>708</v>
      </c>
      <c r="AS871" s="180"/>
      <c r="AT871" s="180"/>
      <c r="AU871" s="304"/>
      <c r="AW871" s="182" t="s">
        <v>666</v>
      </c>
      <c r="AX871" s="182" t="s">
        <v>666</v>
      </c>
    </row>
    <row r="872" spans="1:50" ht="15.75" customHeight="1" x14ac:dyDescent="0.3">
      <c r="A872" s="189"/>
      <c r="B872" s="394" t="str">
        <f>+A8</f>
        <v>Revised:  2/23/2017</v>
      </c>
      <c r="C872" s="394"/>
      <c r="D872" s="394"/>
      <c r="E872" s="394"/>
      <c r="F872" s="394"/>
      <c r="G872" s="394"/>
      <c r="H872" s="394"/>
      <c r="I872" s="394"/>
      <c r="J872" s="394"/>
      <c r="K872" s="394"/>
      <c r="L872" s="394"/>
      <c r="M872" s="394"/>
      <c r="N872" s="394"/>
      <c r="O872" s="394"/>
      <c r="P872" s="394"/>
      <c r="Q872" s="180"/>
      <c r="R872" s="306"/>
      <c r="AC872" s="179"/>
      <c r="AD872" s="180"/>
      <c r="AE872" s="180"/>
      <c r="AF872" s="180"/>
      <c r="AG872" s="180"/>
      <c r="AH872" s="180"/>
      <c r="AI872" s="180"/>
      <c r="AJ872" s="180"/>
      <c r="AK872" s="180"/>
      <c r="AL872" s="180"/>
      <c r="AM872" s="180"/>
      <c r="AN872" s="180"/>
      <c r="AO872" s="180"/>
      <c r="AP872" s="180"/>
      <c r="AQ872" s="180"/>
      <c r="AR872" s="180"/>
      <c r="AS872" s="180"/>
      <c r="AT872" s="180"/>
      <c r="AU872" s="304"/>
      <c r="AW872" s="180">
        <f t="shared" ref="AW872:AW883" si="154">SUM(L908:Q908)</f>
        <v>7352</v>
      </c>
      <c r="AX872" s="203">
        <v>2.4700000000000002</v>
      </c>
    </row>
    <row r="873" spans="1:50" ht="15.75" customHeight="1" x14ac:dyDescent="0.3">
      <c r="A873" s="189"/>
      <c r="B873" s="394" t="s">
        <v>670</v>
      </c>
      <c r="C873" s="394"/>
      <c r="D873" s="394"/>
      <c r="E873" s="394"/>
      <c r="F873" s="394"/>
      <c r="G873" s="394"/>
      <c r="H873" s="394"/>
      <c r="I873" s="394"/>
      <c r="J873" s="394"/>
      <c r="K873" s="394"/>
      <c r="L873" s="394"/>
      <c r="M873" s="394"/>
      <c r="N873" s="394"/>
      <c r="O873" s="394"/>
      <c r="P873" s="394"/>
      <c r="Q873" s="180"/>
      <c r="R873" s="306"/>
      <c r="AC873" s="179" t="s">
        <v>709</v>
      </c>
      <c r="AD873" s="182" t="s">
        <v>677</v>
      </c>
      <c r="AE873" s="182" t="s">
        <v>678</v>
      </c>
      <c r="AF873" s="182" t="s">
        <v>679</v>
      </c>
      <c r="AG873" s="182" t="s">
        <v>680</v>
      </c>
      <c r="AH873" s="182" t="s">
        <v>644</v>
      </c>
      <c r="AI873" s="180"/>
      <c r="AJ873" s="182" t="s">
        <v>641</v>
      </c>
      <c r="AK873" s="180"/>
      <c r="AL873" s="180"/>
      <c r="AM873" s="180"/>
      <c r="AN873" s="180" t="s">
        <v>709</v>
      </c>
      <c r="AO873" s="182" t="s">
        <v>677</v>
      </c>
      <c r="AP873" s="182" t="s">
        <v>678</v>
      </c>
      <c r="AQ873" s="182" t="s">
        <v>679</v>
      </c>
      <c r="AR873" s="182" t="s">
        <v>680</v>
      </c>
      <c r="AS873" s="182" t="s">
        <v>644</v>
      </c>
      <c r="AT873" s="182" t="s">
        <v>641</v>
      </c>
      <c r="AU873" s="304"/>
      <c r="AW873" s="180">
        <f t="shared" si="154"/>
        <v>8184</v>
      </c>
      <c r="AX873" s="203">
        <v>2.4700000000000002</v>
      </c>
    </row>
    <row r="874" spans="1:50" ht="15.75" customHeight="1" x14ac:dyDescent="0.3">
      <c r="A874" s="189"/>
      <c r="B874" s="394"/>
      <c r="C874" s="394"/>
      <c r="D874" s="394"/>
      <c r="E874" s="394"/>
      <c r="F874" s="394"/>
      <c r="G874" s="394"/>
      <c r="H874" s="394"/>
      <c r="I874" s="394"/>
      <c r="J874" s="394"/>
      <c r="K874" s="394"/>
      <c r="L874" s="394"/>
      <c r="M874" s="394"/>
      <c r="N874" s="394"/>
      <c r="O874" s="394"/>
      <c r="P874" s="394"/>
      <c r="Q874" s="180"/>
      <c r="R874" s="306"/>
      <c r="AC874" s="179" t="s">
        <v>710</v>
      </c>
      <c r="AD874" s="180"/>
      <c r="AE874" s="180"/>
      <c r="AF874" s="180"/>
      <c r="AG874" s="180"/>
      <c r="AH874" s="182" t="s">
        <v>127</v>
      </c>
      <c r="AI874" s="180"/>
      <c r="AJ874" s="182" t="s">
        <v>711</v>
      </c>
      <c r="AK874" s="180"/>
      <c r="AL874" s="180"/>
      <c r="AM874" s="180"/>
      <c r="AN874" s="180" t="s">
        <v>710</v>
      </c>
      <c r="AO874" s="180"/>
      <c r="AP874" s="180"/>
      <c r="AQ874" s="180"/>
      <c r="AR874" s="180"/>
      <c r="AS874" s="182" t="s">
        <v>127</v>
      </c>
      <c r="AT874" s="182" t="s">
        <v>711</v>
      </c>
      <c r="AU874" s="304"/>
      <c r="AW874" s="180">
        <f t="shared" si="154"/>
        <v>11875</v>
      </c>
      <c r="AX874" s="203">
        <v>2.4700000000000002</v>
      </c>
    </row>
    <row r="875" spans="1:50" ht="15.75" customHeight="1" x14ac:dyDescent="0.3">
      <c r="A875" s="189"/>
      <c r="B875" s="395">
        <f>+A5</f>
        <v>2016</v>
      </c>
      <c r="C875" s="395"/>
      <c r="D875" s="395"/>
      <c r="E875" s="395"/>
      <c r="F875" s="395"/>
      <c r="G875" s="395"/>
      <c r="H875" s="395"/>
      <c r="I875" s="395"/>
      <c r="J875" s="395"/>
      <c r="K875" s="395"/>
      <c r="L875" s="395"/>
      <c r="M875" s="395"/>
      <c r="N875" s="395"/>
      <c r="O875" s="395"/>
      <c r="P875" s="395"/>
      <c r="Q875" s="180"/>
      <c r="R875" s="306"/>
      <c r="AC875" s="179" t="s">
        <v>712</v>
      </c>
      <c r="AD875" s="180">
        <f>+$B$906</f>
        <v>957</v>
      </c>
      <c r="AE875" s="180">
        <f>+C$906</f>
        <v>122</v>
      </c>
      <c r="AF875" s="180">
        <f>+D$906</f>
        <v>128</v>
      </c>
      <c r="AG875" s="180">
        <f>+E$906</f>
        <v>219</v>
      </c>
      <c r="AH875" s="180"/>
      <c r="AI875" s="180"/>
      <c r="AJ875" s="182" t="s">
        <v>658</v>
      </c>
      <c r="AK875" s="180"/>
      <c r="AL875" s="180"/>
      <c r="AM875" s="180"/>
      <c r="AN875" s="180" t="s">
        <v>712</v>
      </c>
      <c r="AO875" s="180">
        <f>+$B$906</f>
        <v>957</v>
      </c>
      <c r="AP875" s="180">
        <f>+C$906</f>
        <v>122</v>
      </c>
      <c r="AQ875" s="180">
        <f>+D$906</f>
        <v>128</v>
      </c>
      <c r="AR875" s="180">
        <f>+E$906</f>
        <v>219</v>
      </c>
      <c r="AS875" s="180"/>
      <c r="AT875" s="182" t="s">
        <v>658</v>
      </c>
      <c r="AU875" s="304"/>
      <c r="AW875" s="180">
        <f t="shared" si="154"/>
        <v>13535</v>
      </c>
      <c r="AX875" s="203">
        <v>2.4700000000000002</v>
      </c>
    </row>
    <row r="876" spans="1:50" ht="15.75" customHeight="1" x14ac:dyDescent="0.3">
      <c r="A876" s="189"/>
      <c r="B876" s="394" t="s">
        <v>713</v>
      </c>
      <c r="C876" s="394"/>
      <c r="D876" s="394"/>
      <c r="E876" s="394"/>
      <c r="F876" s="394"/>
      <c r="G876" s="394"/>
      <c r="H876" s="394"/>
      <c r="I876" s="394"/>
      <c r="J876" s="394"/>
      <c r="K876" s="394"/>
      <c r="L876" s="394"/>
      <c r="M876" s="394"/>
      <c r="N876" s="394"/>
      <c r="O876" s="394"/>
      <c r="P876" s="394"/>
      <c r="Q876" s="180"/>
      <c r="R876" s="306"/>
      <c r="AC876" s="179"/>
      <c r="AD876" s="180" t="s">
        <v>666</v>
      </c>
      <c r="AE876" s="180" t="s">
        <v>666</v>
      </c>
      <c r="AF876" s="180" t="s">
        <v>666</v>
      </c>
      <c r="AG876" s="180" t="s">
        <v>666</v>
      </c>
      <c r="AH876" s="180" t="s">
        <v>666</v>
      </c>
      <c r="AI876" s="180"/>
      <c r="AJ876" s="180" t="s">
        <v>714</v>
      </c>
      <c r="AK876" s="180"/>
      <c r="AL876" s="180"/>
      <c r="AM876" s="180"/>
      <c r="AN876" s="180"/>
      <c r="AO876" s="180" t="s">
        <v>666</v>
      </c>
      <c r="AP876" s="180" t="s">
        <v>666</v>
      </c>
      <c r="AQ876" s="180" t="s">
        <v>666</v>
      </c>
      <c r="AR876" s="180" t="s">
        <v>666</v>
      </c>
      <c r="AS876" s="180" t="s">
        <v>666</v>
      </c>
      <c r="AT876" s="180" t="s">
        <v>714</v>
      </c>
      <c r="AU876" s="304"/>
      <c r="AW876" s="180">
        <f t="shared" si="154"/>
        <v>13150</v>
      </c>
      <c r="AX876" s="203">
        <v>2.4700000000000002</v>
      </c>
    </row>
    <row r="877" spans="1:50" ht="15.75" customHeight="1" x14ac:dyDescent="0.3">
      <c r="A877" s="189"/>
      <c r="B877" s="180"/>
      <c r="C877" s="180"/>
      <c r="D877" s="180"/>
      <c r="E877" s="180"/>
      <c r="F877" s="180"/>
      <c r="G877" s="180"/>
      <c r="H877" s="180"/>
      <c r="I877" s="180"/>
      <c r="J877" s="180"/>
      <c r="K877" s="180"/>
      <c r="L877" s="180"/>
      <c r="M877" s="180"/>
      <c r="N877" s="180"/>
      <c r="O877" s="180"/>
      <c r="P877" s="180"/>
      <c r="Q877" s="180"/>
      <c r="R877" s="306"/>
      <c r="AC877" s="189" t="s">
        <v>668</v>
      </c>
      <c r="AD877" s="180">
        <f t="shared" ref="AD877:AD888" si="155">ROUND($F851*$AD$875/1000,0)</f>
        <v>103789</v>
      </c>
      <c r="AE877" s="180">
        <f t="shared" ref="AE877:AE888" si="156">ROUND($F851*$AE$875/1000,0)</f>
        <v>13231</v>
      </c>
      <c r="AF877" s="180">
        <f t="shared" ref="AF877:AF888" si="157">ROUND($F851*$AF$875/1000,0)</f>
        <v>13882</v>
      </c>
      <c r="AG877" s="180">
        <f t="shared" ref="AG877:AG888" si="158">ROUND($F851*$AG$875/1000,0)</f>
        <v>23751</v>
      </c>
      <c r="AH877" s="180">
        <f t="shared" ref="AH877:AH888" si="159">(F851*((T851-1526.8)/0.7702))/1000</f>
        <v>23008.356748442195</v>
      </c>
      <c r="AI877" s="180"/>
      <c r="AJ877" s="180">
        <f t="shared" ref="AJ877:AJ888" si="160">SUM(AD877:AH877)</f>
        <v>177661.35674844219</v>
      </c>
      <c r="AK877" s="180"/>
      <c r="AL877" s="180"/>
      <c r="AM877" s="180"/>
      <c r="AN877" s="182" t="s">
        <v>668</v>
      </c>
      <c r="AO877" s="180">
        <f t="shared" ref="AO877:AO888" si="161">ROUND((B851-$F851)*$AO$875/1000,0)</f>
        <v>42000</v>
      </c>
      <c r="AP877" s="180">
        <f t="shared" ref="AP877:AP888" si="162">ROUND((C851-$F851)*$AP$875/1000,0)</f>
        <v>5342</v>
      </c>
      <c r="AQ877" s="180">
        <f t="shared" ref="AQ877:AQ888" si="163">ROUND((D851-$F851)*$AQ$875/1000,0)</f>
        <v>5593</v>
      </c>
      <c r="AR877" s="180">
        <f t="shared" ref="AR877:AR888" si="164">ROUND((E851-$F851)*$AR$875/1000,0)</f>
        <v>9299</v>
      </c>
      <c r="AS877" s="180">
        <f>((F851-$F851)*(('[2]Lake Pleasant Forecast'!B35-1526.8)/0.7702))/1000</f>
        <v>0</v>
      </c>
      <c r="AT877" s="180">
        <f t="shared" ref="AT877:AT888" si="165">SUM(AN877:AR877)</f>
        <v>62234</v>
      </c>
      <c r="AU877" s="304"/>
      <c r="AW877" s="180">
        <f t="shared" si="154"/>
        <v>13911</v>
      </c>
      <c r="AX877" s="203">
        <v>2.4700000000000002</v>
      </c>
    </row>
    <row r="878" spans="1:50" ht="15.75" customHeight="1" thickBot="1" x14ac:dyDescent="0.35">
      <c r="A878" s="189" t="s">
        <v>647</v>
      </c>
      <c r="B878" s="191" t="s">
        <v>677</v>
      </c>
      <c r="C878" s="191" t="s">
        <v>678</v>
      </c>
      <c r="D878" s="191" t="s">
        <v>679</v>
      </c>
      <c r="E878" s="191" t="s">
        <v>680</v>
      </c>
      <c r="F878" s="191" t="s">
        <v>644</v>
      </c>
      <c r="G878" s="191" t="s">
        <v>644</v>
      </c>
      <c r="H878" s="191" t="s">
        <v>681</v>
      </c>
      <c r="I878" s="191" t="s">
        <v>682</v>
      </c>
      <c r="J878" s="191" t="s">
        <v>683</v>
      </c>
      <c r="K878" s="191" t="s">
        <v>684</v>
      </c>
      <c r="L878" s="191" t="s">
        <v>685</v>
      </c>
      <c r="M878" s="191" t="s">
        <v>686</v>
      </c>
      <c r="N878" s="191" t="s">
        <v>687</v>
      </c>
      <c r="O878" s="191" t="s">
        <v>688</v>
      </c>
      <c r="P878" s="191" t="s">
        <v>689</v>
      </c>
      <c r="Q878" s="191" t="s">
        <v>638</v>
      </c>
      <c r="R878" s="306"/>
      <c r="AC878" s="189" t="s">
        <v>669</v>
      </c>
      <c r="AD878" s="180">
        <f t="shared" si="155"/>
        <v>31475</v>
      </c>
      <c r="AE878" s="180">
        <f t="shared" si="156"/>
        <v>4012</v>
      </c>
      <c r="AF878" s="180">
        <f t="shared" si="157"/>
        <v>4210</v>
      </c>
      <c r="AG878" s="180">
        <f t="shared" si="158"/>
        <v>7203</v>
      </c>
      <c r="AH878" s="180">
        <f t="shared" si="159"/>
        <v>7125.2383017398133</v>
      </c>
      <c r="AI878" s="180"/>
      <c r="AJ878" s="180">
        <f t="shared" si="160"/>
        <v>54025.23830173981</v>
      </c>
      <c r="AK878" s="180"/>
      <c r="AL878" s="180"/>
      <c r="AM878" s="180"/>
      <c r="AN878" s="182" t="s">
        <v>669</v>
      </c>
      <c r="AO878" s="180">
        <f t="shared" si="161"/>
        <v>77576</v>
      </c>
      <c r="AP878" s="180">
        <f t="shared" si="162"/>
        <v>9872</v>
      </c>
      <c r="AQ878" s="180">
        <f t="shared" si="163"/>
        <v>10338</v>
      </c>
      <c r="AR878" s="180">
        <f t="shared" si="164"/>
        <v>16993</v>
      </c>
      <c r="AS878" s="180">
        <f>((F852-$F852)*(('[2]Lake Pleasant Forecast'!B37-1526.8)/0.7702))/1000</f>
        <v>0</v>
      </c>
      <c r="AT878" s="180">
        <f t="shared" si="165"/>
        <v>114779</v>
      </c>
      <c r="AU878" s="304"/>
      <c r="AW878" s="180">
        <f t="shared" si="154"/>
        <v>13742</v>
      </c>
      <c r="AX878" s="203">
        <v>2.4700000000000002</v>
      </c>
    </row>
    <row r="879" spans="1:50" ht="15.75" customHeight="1" x14ac:dyDescent="0.3">
      <c r="A879" s="189"/>
      <c r="B879" s="180"/>
      <c r="C879" s="180"/>
      <c r="D879" s="180"/>
      <c r="E879" s="180"/>
      <c r="F879" s="182" t="s">
        <v>127</v>
      </c>
      <c r="G879" s="182" t="s">
        <v>653</v>
      </c>
      <c r="H879" s="180"/>
      <c r="I879" s="180"/>
      <c r="J879" s="180"/>
      <c r="K879" s="180"/>
      <c r="L879" s="180"/>
      <c r="M879" s="180"/>
      <c r="N879" s="180"/>
      <c r="O879" s="180"/>
      <c r="P879" s="180"/>
      <c r="Q879" s="180"/>
      <c r="R879" s="306"/>
      <c r="AC879" s="189" t="s">
        <v>671</v>
      </c>
      <c r="AD879" s="180">
        <f t="shared" si="155"/>
        <v>4344</v>
      </c>
      <c r="AE879" s="180">
        <f t="shared" si="156"/>
        <v>554</v>
      </c>
      <c r="AF879" s="180">
        <f t="shared" si="157"/>
        <v>581</v>
      </c>
      <c r="AG879" s="180">
        <f t="shared" si="158"/>
        <v>994</v>
      </c>
      <c r="AH879" s="180">
        <f t="shared" si="159"/>
        <v>1001.2673331602186</v>
      </c>
      <c r="AI879" s="180"/>
      <c r="AJ879" s="180">
        <f t="shared" si="160"/>
        <v>7474.2673331602182</v>
      </c>
      <c r="AK879" s="180"/>
      <c r="AL879" s="180"/>
      <c r="AM879" s="180"/>
      <c r="AN879" s="182" t="s">
        <v>671</v>
      </c>
      <c r="AO879" s="180">
        <f t="shared" si="161"/>
        <v>112848</v>
      </c>
      <c r="AP879" s="180">
        <f t="shared" si="162"/>
        <v>14353</v>
      </c>
      <c r="AQ879" s="180">
        <f t="shared" si="163"/>
        <v>15025</v>
      </c>
      <c r="AR879" s="180">
        <f t="shared" si="164"/>
        <v>24499</v>
      </c>
      <c r="AS879" s="180">
        <f>((F853-$F853)*(('[2]Lake Pleasant Forecast'!B39-1526.8)/0.7702))/1000</f>
        <v>0</v>
      </c>
      <c r="AT879" s="180">
        <f t="shared" si="165"/>
        <v>166725</v>
      </c>
      <c r="AU879" s="304"/>
      <c r="AW879" s="180">
        <f t="shared" si="154"/>
        <v>11878</v>
      </c>
      <c r="AX879" s="203">
        <v>2.4700000000000002</v>
      </c>
    </row>
    <row r="880" spans="1:50" ht="15.75" customHeight="1" x14ac:dyDescent="0.3">
      <c r="A880" s="192" t="s">
        <v>8</v>
      </c>
      <c r="B880" s="180">
        <f t="shared" ref="B880:Q880" si="166">(B851/$B$10/1.983)</f>
        <v>2478.1448766124963</v>
      </c>
      <c r="C880" s="180">
        <f t="shared" si="166"/>
        <v>2476.5669480910319</v>
      </c>
      <c r="D880" s="180">
        <f t="shared" si="166"/>
        <v>2475.0052868739122</v>
      </c>
      <c r="E880" s="180">
        <f t="shared" si="166"/>
        <v>2454.9151660078405</v>
      </c>
      <c r="F880" s="180">
        <f t="shared" si="166"/>
        <v>1764.2216908236135</v>
      </c>
      <c r="G880" s="180">
        <f t="shared" si="166"/>
        <v>0</v>
      </c>
      <c r="H880" s="180">
        <f t="shared" si="166"/>
        <v>387.32451645437834</v>
      </c>
      <c r="I880" s="180">
        <f t="shared" si="166"/>
        <v>147.77219266995266</v>
      </c>
      <c r="J880" s="180">
        <f t="shared" si="166"/>
        <v>147.43057927870774</v>
      </c>
      <c r="K880" s="180">
        <f t="shared" si="166"/>
        <v>145.82011614855304</v>
      </c>
      <c r="L880" s="180">
        <f t="shared" si="166"/>
        <v>126.90124119532152</v>
      </c>
      <c r="M880" s="180">
        <f t="shared" si="166"/>
        <v>126.57589510842158</v>
      </c>
      <c r="N880" s="180">
        <f t="shared" si="166"/>
        <v>124.7864916304719</v>
      </c>
      <c r="O880" s="180">
        <f t="shared" si="166"/>
        <v>63.117140858588321</v>
      </c>
      <c r="P880" s="180">
        <f t="shared" si="166"/>
        <v>59.993818424348902</v>
      </c>
      <c r="Q880" s="180">
        <f t="shared" si="166"/>
        <v>63.084606249898322</v>
      </c>
      <c r="R880" s="306"/>
      <c r="AC880" s="189" t="s">
        <v>672</v>
      </c>
      <c r="AD880" s="180">
        <f t="shared" si="155"/>
        <v>26838</v>
      </c>
      <c r="AE880" s="180">
        <f t="shared" si="156"/>
        <v>3421</v>
      </c>
      <c r="AF880" s="180">
        <f t="shared" si="157"/>
        <v>3590</v>
      </c>
      <c r="AG880" s="180">
        <f t="shared" si="158"/>
        <v>6142</v>
      </c>
      <c r="AH880" s="180">
        <f t="shared" si="159"/>
        <v>6164.8320088496102</v>
      </c>
      <c r="AI880" s="180"/>
      <c r="AJ880" s="180">
        <f t="shared" si="160"/>
        <v>46155.832008849611</v>
      </c>
      <c r="AK880" s="180"/>
      <c r="AL880" s="180"/>
      <c r="AM880" s="180"/>
      <c r="AN880" s="182" t="s">
        <v>672</v>
      </c>
      <c r="AO880" s="180">
        <f t="shared" si="161"/>
        <v>133033</v>
      </c>
      <c r="AP880" s="180">
        <f t="shared" si="162"/>
        <v>16914</v>
      </c>
      <c r="AQ880" s="180">
        <f t="shared" si="163"/>
        <v>17702</v>
      </c>
      <c r="AR880" s="180">
        <f t="shared" si="164"/>
        <v>28827</v>
      </c>
      <c r="AS880" s="180">
        <f>((F854-$F854)*(('[2]Lake Pleasant Forecast'!B41-1526.8)/0.7702))/1000</f>
        <v>0</v>
      </c>
      <c r="AT880" s="180">
        <f t="shared" si="165"/>
        <v>196476</v>
      </c>
      <c r="AU880" s="304"/>
      <c r="AW880" s="180">
        <f t="shared" si="154"/>
        <v>12684</v>
      </c>
      <c r="AX880" s="203">
        <v>2.4700000000000002</v>
      </c>
    </row>
    <row r="881" spans="1:50" ht="15.75" customHeight="1" x14ac:dyDescent="0.3">
      <c r="A881" s="192" t="s">
        <v>9</v>
      </c>
      <c r="B881" s="180">
        <f t="shared" ref="B881:Q881" si="167">(B852/$C$10/1.983)</f>
        <v>1981.515293790321</v>
      </c>
      <c r="C881" s="180">
        <f t="shared" si="167"/>
        <v>1978.9416940546366</v>
      </c>
      <c r="D881" s="180">
        <f t="shared" si="167"/>
        <v>1976.4202618811621</v>
      </c>
      <c r="E881" s="180">
        <f t="shared" si="167"/>
        <v>1921.1922026883683</v>
      </c>
      <c r="F881" s="180">
        <f t="shared" si="167"/>
        <v>571.91298450623401</v>
      </c>
      <c r="G881" s="180">
        <f t="shared" si="167"/>
        <v>0</v>
      </c>
      <c r="H881" s="180">
        <f t="shared" si="167"/>
        <v>1008.0338045803119</v>
      </c>
      <c r="I881" s="180">
        <f t="shared" si="167"/>
        <v>313.90961100387779</v>
      </c>
      <c r="J881" s="180">
        <f t="shared" si="167"/>
        <v>307.1452171040047</v>
      </c>
      <c r="K881" s="180">
        <f t="shared" si="167"/>
        <v>279.3920740083816</v>
      </c>
      <c r="L881" s="180">
        <f t="shared" si="167"/>
        <v>199.28008764150451</v>
      </c>
      <c r="M881" s="180">
        <f t="shared" si="167"/>
        <v>198.89752551863251</v>
      </c>
      <c r="N881" s="180">
        <f t="shared" si="167"/>
        <v>187.52499695689221</v>
      </c>
      <c r="O881" s="180">
        <f t="shared" si="167"/>
        <v>52.428400020867024</v>
      </c>
      <c r="P881" s="180">
        <f t="shared" si="167"/>
        <v>54.410767384840106</v>
      </c>
      <c r="Q881" s="180">
        <f t="shared" si="167"/>
        <v>52.376232458657206</v>
      </c>
      <c r="R881" s="306"/>
      <c r="AC881" s="189" t="s">
        <v>673</v>
      </c>
      <c r="AD881" s="180">
        <f t="shared" si="155"/>
        <v>11857</v>
      </c>
      <c r="AE881" s="180">
        <f t="shared" si="156"/>
        <v>1512</v>
      </c>
      <c r="AF881" s="180">
        <f t="shared" si="157"/>
        <v>1586</v>
      </c>
      <c r="AG881" s="180">
        <f t="shared" si="158"/>
        <v>2713</v>
      </c>
      <c r="AH881" s="180">
        <f t="shared" si="159"/>
        <v>2686.1622955076641</v>
      </c>
      <c r="AI881" s="180"/>
      <c r="AJ881" s="180">
        <f t="shared" si="160"/>
        <v>20354.162295507664</v>
      </c>
      <c r="AK881" s="180"/>
      <c r="AL881" s="180"/>
      <c r="AM881" s="180"/>
      <c r="AN881" s="182" t="s">
        <v>673</v>
      </c>
      <c r="AO881" s="180">
        <f t="shared" si="161"/>
        <v>158606</v>
      </c>
      <c r="AP881" s="180">
        <f t="shared" si="162"/>
        <v>20167</v>
      </c>
      <c r="AQ881" s="180">
        <f t="shared" si="163"/>
        <v>21108</v>
      </c>
      <c r="AR881" s="180">
        <f t="shared" si="164"/>
        <v>34506</v>
      </c>
      <c r="AS881" s="180">
        <f>((F855-$F855)*(('[2]Lake Pleasant Forecast'!B43-1526.8)/0.7702))/1000</f>
        <v>0</v>
      </c>
      <c r="AT881" s="180">
        <f t="shared" si="165"/>
        <v>234387</v>
      </c>
      <c r="AU881" s="304"/>
      <c r="AW881" s="180">
        <f t="shared" si="154"/>
        <v>3979</v>
      </c>
      <c r="AX881" s="203">
        <v>2.4700000000000002</v>
      </c>
    </row>
    <row r="882" spans="1:50" ht="15.75" customHeight="1" x14ac:dyDescent="0.3">
      <c r="A882" s="192" t="s">
        <v>10</v>
      </c>
      <c r="B882" s="180">
        <f t="shared" ref="B882:Q882" si="168">(B853/$D$10/1.983)</f>
        <v>1992.0615554796416</v>
      </c>
      <c r="C882" s="180">
        <f t="shared" si="168"/>
        <v>1987.6043140891122</v>
      </c>
      <c r="D882" s="180">
        <f t="shared" si="168"/>
        <v>1983.3585476550679</v>
      </c>
      <c r="E882" s="180">
        <f t="shared" si="168"/>
        <v>1893.5955622793747</v>
      </c>
      <c r="F882" s="180">
        <f t="shared" si="168"/>
        <v>73.837294421941337</v>
      </c>
      <c r="G882" s="180">
        <f t="shared" si="168"/>
        <v>-170.8229629268134</v>
      </c>
      <c r="H882" s="180">
        <f t="shared" si="168"/>
        <v>1454.589819920941</v>
      </c>
      <c r="I882" s="180">
        <f t="shared" si="168"/>
        <v>514.71377678004978</v>
      </c>
      <c r="J882" s="180">
        <f t="shared" si="168"/>
        <v>400.25702340865098</v>
      </c>
      <c r="K882" s="180">
        <f t="shared" si="168"/>
        <v>357.91323019862375</v>
      </c>
      <c r="L882" s="180">
        <f t="shared" si="168"/>
        <v>284.4663510809624</v>
      </c>
      <c r="M882" s="180">
        <f t="shared" si="168"/>
        <v>284.01086655930249</v>
      </c>
      <c r="N882" s="180">
        <f t="shared" si="168"/>
        <v>271.12716151806484</v>
      </c>
      <c r="O882" s="180">
        <f t="shared" si="168"/>
        <v>64.93907894522799</v>
      </c>
      <c r="P882" s="180">
        <f t="shared" si="168"/>
        <v>64.451059814878079</v>
      </c>
      <c r="Q882" s="180">
        <f t="shared" si="168"/>
        <v>64.857742423502998</v>
      </c>
      <c r="R882" s="306"/>
      <c r="AC882" s="189" t="s">
        <v>675</v>
      </c>
      <c r="AD882" s="180">
        <f t="shared" si="155"/>
        <v>0</v>
      </c>
      <c r="AE882" s="180">
        <f t="shared" si="156"/>
        <v>0</v>
      </c>
      <c r="AF882" s="180">
        <f t="shared" si="157"/>
        <v>0</v>
      </c>
      <c r="AG882" s="180">
        <f t="shared" si="158"/>
        <v>0</v>
      </c>
      <c r="AH882" s="180">
        <f t="shared" si="159"/>
        <v>0</v>
      </c>
      <c r="AI882" s="180"/>
      <c r="AJ882" s="180">
        <f t="shared" si="160"/>
        <v>0</v>
      </c>
      <c r="AK882" s="180"/>
      <c r="AL882" s="180"/>
      <c r="AM882" s="180"/>
      <c r="AN882" s="182" t="s">
        <v>675</v>
      </c>
      <c r="AO882" s="180">
        <f t="shared" si="161"/>
        <v>87696</v>
      </c>
      <c r="AP882" s="180">
        <f t="shared" si="162"/>
        <v>11129</v>
      </c>
      <c r="AQ882" s="180">
        <f t="shared" si="163"/>
        <v>11625</v>
      </c>
      <c r="AR882" s="180">
        <f t="shared" si="164"/>
        <v>18097</v>
      </c>
      <c r="AS882" s="180">
        <f>((F856-$F856)*(('[2]Lake Pleasant Forecast'!B45-1526.8)/0.7702))/1000</f>
        <v>0</v>
      </c>
      <c r="AT882" s="180">
        <f t="shared" si="165"/>
        <v>128547</v>
      </c>
      <c r="AU882" s="304"/>
      <c r="AW882" s="180">
        <f t="shared" si="154"/>
        <v>4086</v>
      </c>
      <c r="AX882" s="203">
        <v>2.4700000000000002</v>
      </c>
    </row>
    <row r="883" spans="1:50" ht="15.75" customHeight="1" x14ac:dyDescent="0.3">
      <c r="A883" s="192" t="s">
        <v>12</v>
      </c>
      <c r="B883" s="180">
        <f t="shared" ref="B883:Q883" si="169">(B854/$F$10/1.983)</f>
        <v>2808.1022020507644</v>
      </c>
      <c r="C883" s="180">
        <f t="shared" si="169"/>
        <v>2801.9330979996639</v>
      </c>
      <c r="D883" s="180">
        <f t="shared" si="169"/>
        <v>2796.0497562615565</v>
      </c>
      <c r="E883" s="180">
        <f t="shared" si="169"/>
        <v>2684.0477391158174</v>
      </c>
      <c r="F883" s="180">
        <f t="shared" si="169"/>
        <v>471.40695915279872</v>
      </c>
      <c r="G883" s="180">
        <f t="shared" si="169"/>
        <v>0</v>
      </c>
      <c r="H883" s="180">
        <f t="shared" si="169"/>
        <v>1734.5100016809547</v>
      </c>
      <c r="I883" s="180">
        <f t="shared" si="169"/>
        <v>661.32123045890069</v>
      </c>
      <c r="J883" s="180">
        <f t="shared" si="169"/>
        <v>507.6819633551857</v>
      </c>
      <c r="K883" s="180">
        <f t="shared" si="169"/>
        <v>424.27298705664816</v>
      </c>
      <c r="L883" s="180">
        <f t="shared" si="169"/>
        <v>354.2780299209951</v>
      </c>
      <c r="M883" s="180">
        <f t="shared" si="169"/>
        <v>353.65607665153806</v>
      </c>
      <c r="N883" s="180">
        <f t="shared" si="169"/>
        <v>345.48663640948058</v>
      </c>
      <c r="O883" s="180">
        <f t="shared" si="169"/>
        <v>70.04538577912254</v>
      </c>
      <c r="P883" s="180">
        <f t="shared" si="169"/>
        <v>57.387796268280376</v>
      </c>
      <c r="Q883" s="180">
        <f t="shared" si="169"/>
        <v>69.221717935787524</v>
      </c>
      <c r="R883" s="306"/>
      <c r="AC883" s="189" t="s">
        <v>676</v>
      </c>
      <c r="AD883" s="180">
        <f t="shared" si="155"/>
        <v>0</v>
      </c>
      <c r="AE883" s="180">
        <f t="shared" si="156"/>
        <v>0</v>
      </c>
      <c r="AF883" s="180">
        <f t="shared" si="157"/>
        <v>0</v>
      </c>
      <c r="AG883" s="180">
        <f t="shared" si="158"/>
        <v>0</v>
      </c>
      <c r="AH883" s="180">
        <f t="shared" si="159"/>
        <v>0</v>
      </c>
      <c r="AI883" s="180"/>
      <c r="AJ883" s="180">
        <f t="shared" si="160"/>
        <v>0</v>
      </c>
      <c r="AK883" s="180"/>
      <c r="AL883" s="180"/>
      <c r="AM883" s="180"/>
      <c r="AN883" s="182" t="s">
        <v>676</v>
      </c>
      <c r="AO883" s="180">
        <f t="shared" si="161"/>
        <v>74094</v>
      </c>
      <c r="AP883" s="180">
        <f t="shared" si="162"/>
        <v>9395</v>
      </c>
      <c r="AQ883" s="180">
        <f t="shared" si="163"/>
        <v>9806</v>
      </c>
      <c r="AR883" s="180">
        <f t="shared" si="164"/>
        <v>14892</v>
      </c>
      <c r="AS883" s="180">
        <f>((F857-$F857)*(('[2]Lake Pleasant Forecast'!B47-1526.8)/0.7702))/1000</f>
        <v>0</v>
      </c>
      <c r="AT883" s="180">
        <f t="shared" si="165"/>
        <v>108187</v>
      </c>
      <c r="AU883" s="304"/>
      <c r="AW883" s="180">
        <f t="shared" si="154"/>
        <v>9471</v>
      </c>
      <c r="AX883" s="203">
        <v>2.4700000000000002</v>
      </c>
    </row>
    <row r="884" spans="1:50" ht="15.75" customHeight="1" x14ac:dyDescent="0.3">
      <c r="A884" s="192" t="s">
        <v>13</v>
      </c>
      <c r="B884" s="180">
        <f t="shared" ref="B884:Q884" si="170">(B855/$G$10/1.983)</f>
        <v>2897.5647845395538</v>
      </c>
      <c r="C884" s="180">
        <f t="shared" si="170"/>
        <v>2890.65118019293</v>
      </c>
      <c r="D884" s="180">
        <f t="shared" si="170"/>
        <v>2884.1117238462411</v>
      </c>
      <c r="E884" s="180">
        <f t="shared" si="170"/>
        <v>2764.6446407365834</v>
      </c>
      <c r="F884" s="180">
        <f t="shared" si="170"/>
        <v>201.55190083451271</v>
      </c>
      <c r="G884" s="180">
        <f>(G855/$G$10/1.983)</f>
        <v>0</v>
      </c>
      <c r="H884" s="180">
        <f t="shared" si="170"/>
        <v>1939.453093227921</v>
      </c>
      <c r="I884" s="180">
        <f t="shared" si="170"/>
        <v>592.29255120134042</v>
      </c>
      <c r="J884" s="180">
        <f t="shared" si="170"/>
        <v>439.83537488002861</v>
      </c>
      <c r="K884" s="180">
        <f t="shared" si="170"/>
        <v>394.254388105347</v>
      </c>
      <c r="L884" s="180">
        <f t="shared" si="170"/>
        <v>358.79166463325362</v>
      </c>
      <c r="M884" s="180">
        <f t="shared" si="170"/>
        <v>358.10843785076372</v>
      </c>
      <c r="N884" s="180">
        <f t="shared" si="170"/>
        <v>339.59624550615712</v>
      </c>
      <c r="O884" s="180">
        <f t="shared" si="170"/>
        <v>66.793551640557638</v>
      </c>
      <c r="P884" s="180">
        <f t="shared" si="170"/>
        <v>24.05934312625055</v>
      </c>
      <c r="Q884" s="180">
        <f t="shared" si="170"/>
        <v>66.663413205797667</v>
      </c>
      <c r="R884" s="306"/>
      <c r="AC884" s="189" t="s">
        <v>691</v>
      </c>
      <c r="AD884" s="180">
        <f t="shared" si="155"/>
        <v>0</v>
      </c>
      <c r="AE884" s="180">
        <f t="shared" si="156"/>
        <v>0</v>
      </c>
      <c r="AF884" s="180">
        <f t="shared" si="157"/>
        <v>0</v>
      </c>
      <c r="AG884" s="180">
        <f t="shared" si="158"/>
        <v>0</v>
      </c>
      <c r="AH884" s="180">
        <f t="shared" si="159"/>
        <v>0</v>
      </c>
      <c r="AI884" s="180"/>
      <c r="AJ884" s="180">
        <f t="shared" si="160"/>
        <v>0</v>
      </c>
      <c r="AK884" s="180"/>
      <c r="AL884" s="180"/>
      <c r="AM884" s="180"/>
      <c r="AN884" s="182" t="s">
        <v>691</v>
      </c>
      <c r="AO884" s="180">
        <f t="shared" si="161"/>
        <v>64780</v>
      </c>
      <c r="AP884" s="180">
        <f t="shared" si="162"/>
        <v>8218</v>
      </c>
      <c r="AQ884" s="180">
        <f t="shared" si="163"/>
        <v>8581</v>
      </c>
      <c r="AR884" s="180">
        <f t="shared" si="164"/>
        <v>13053</v>
      </c>
      <c r="AS884" s="180">
        <f>((F858-$F858)*(('[2]Lake Pleasant Forecast'!B49-1526.8)/0.7702))/1000</f>
        <v>0</v>
      </c>
      <c r="AT884" s="180">
        <f t="shared" si="165"/>
        <v>94632</v>
      </c>
      <c r="AU884" s="304"/>
      <c r="AW884" s="180"/>
      <c r="AX884" s="203"/>
    </row>
    <row r="885" spans="1:50" ht="15.75" customHeight="1" x14ac:dyDescent="0.3">
      <c r="A885" s="192" t="s">
        <v>14</v>
      </c>
      <c r="B885" s="180">
        <f t="shared" ref="B885:Q885" si="171">(B856/$H$10/1.983)</f>
        <v>1540.3597243234155</v>
      </c>
      <c r="C885" s="180">
        <f t="shared" si="171"/>
        <v>1533.3501428811564</v>
      </c>
      <c r="D885" s="180">
        <f t="shared" si="171"/>
        <v>1526.6935619431838</v>
      </c>
      <c r="E885" s="180">
        <f t="shared" si="171"/>
        <v>1389.0401748192974</v>
      </c>
      <c r="F885" s="180">
        <f t="shared" si="171"/>
        <v>0</v>
      </c>
      <c r="G885" s="180">
        <f t="shared" si="171"/>
        <v>-1893.9821818793075</v>
      </c>
      <c r="H885" s="180">
        <f t="shared" si="171"/>
        <v>2437.7374348630024</v>
      </c>
      <c r="I885" s="180">
        <f t="shared" si="171"/>
        <v>763.28794755421075</v>
      </c>
      <c r="J885" s="180">
        <f t="shared" si="171"/>
        <v>488.75441250630359</v>
      </c>
      <c r="K885" s="180">
        <f t="shared" si="171"/>
        <v>385.67826525466461</v>
      </c>
      <c r="L885" s="180">
        <f t="shared" si="171"/>
        <v>354.8327449991595</v>
      </c>
      <c r="M885" s="180">
        <f t="shared" si="171"/>
        <v>354.09312489494027</v>
      </c>
      <c r="N885" s="180">
        <f t="shared" si="171"/>
        <v>326.34056143889728</v>
      </c>
      <c r="O885" s="180">
        <f t="shared" si="171"/>
        <v>73.793914943688023</v>
      </c>
      <c r="P885" s="180">
        <f t="shared" si="171"/>
        <v>81.812069255337022</v>
      </c>
      <c r="Q885" s="180">
        <f t="shared" si="171"/>
        <v>73.642629013279532</v>
      </c>
      <c r="R885" s="306"/>
      <c r="AC885" s="189" t="s">
        <v>692</v>
      </c>
      <c r="AD885" s="180">
        <f t="shared" si="155"/>
        <v>18572</v>
      </c>
      <c r="AE885" s="180">
        <f t="shared" si="156"/>
        <v>2368</v>
      </c>
      <c r="AF885" s="180">
        <f t="shared" si="157"/>
        <v>2484</v>
      </c>
      <c r="AG885" s="180">
        <f t="shared" si="158"/>
        <v>4250</v>
      </c>
      <c r="AH885" s="180">
        <f t="shared" si="159"/>
        <v>3348.0515190859546</v>
      </c>
      <c r="AI885" s="180"/>
      <c r="AJ885" s="180">
        <f t="shared" si="160"/>
        <v>31022.051519085955</v>
      </c>
      <c r="AK885" s="180"/>
      <c r="AL885" s="180"/>
      <c r="AM885" s="180"/>
      <c r="AN885" s="182" t="s">
        <v>692</v>
      </c>
      <c r="AO885" s="180">
        <f t="shared" si="161"/>
        <v>107032</v>
      </c>
      <c r="AP885" s="180">
        <f t="shared" si="162"/>
        <v>13606</v>
      </c>
      <c r="AQ885" s="180">
        <f t="shared" si="163"/>
        <v>14237</v>
      </c>
      <c r="AR885" s="180">
        <f t="shared" si="164"/>
        <v>23475</v>
      </c>
      <c r="AS885" s="180">
        <f>((F859-$F859)*(('[2]Lake Pleasant Forecast'!B51-1526.8)/0.7702))/1000</f>
        <v>0</v>
      </c>
      <c r="AT885" s="180">
        <f t="shared" si="165"/>
        <v>158350</v>
      </c>
      <c r="AU885" s="304"/>
      <c r="AW885" s="180">
        <f>(SUM(AW872:AW883))</f>
        <v>123847</v>
      </c>
      <c r="AX885" s="203"/>
    </row>
    <row r="886" spans="1:50" ht="15.75" customHeight="1" x14ac:dyDescent="0.3">
      <c r="A886" s="192" t="s">
        <v>16</v>
      </c>
      <c r="B886" s="180">
        <f t="shared" ref="B886:Q886" si="172">(B857/$J$10/1.983)</f>
        <v>1259.4635043027019</v>
      </c>
      <c r="C886" s="180">
        <f t="shared" si="172"/>
        <v>1252.6963056951831</v>
      </c>
      <c r="D886" s="180">
        <f t="shared" si="172"/>
        <v>1246.2869877832545</v>
      </c>
      <c r="E886" s="180">
        <f t="shared" si="172"/>
        <v>1106.1929627641402</v>
      </c>
      <c r="F886" s="180">
        <f t="shared" si="172"/>
        <v>0</v>
      </c>
      <c r="G886" s="180">
        <f t="shared" si="172"/>
        <v>-1951.2143542693541</v>
      </c>
      <c r="H886" s="180">
        <f t="shared" si="172"/>
        <v>2085.452149724269</v>
      </c>
      <c r="I886" s="180">
        <f t="shared" si="172"/>
        <v>813.49535568460954</v>
      </c>
      <c r="J886" s="180">
        <f t="shared" si="172"/>
        <v>462.46319522391946</v>
      </c>
      <c r="K886" s="180">
        <f t="shared" si="172"/>
        <v>412.71777853691862</v>
      </c>
      <c r="L886" s="180">
        <f t="shared" si="172"/>
        <v>357.57161680737886</v>
      </c>
      <c r="M886" s="180">
        <f t="shared" si="172"/>
        <v>356.9371919379239</v>
      </c>
      <c r="N886" s="180">
        <f t="shared" si="172"/>
        <v>322.19022985701037</v>
      </c>
      <c r="O886" s="180">
        <f t="shared" si="172"/>
        <v>59.440730076619005</v>
      </c>
      <c r="P886" s="180">
        <f t="shared" si="172"/>
        <v>79.85619702959022</v>
      </c>
      <c r="Q886" s="180">
        <f t="shared" si="172"/>
        <v>59.278057033169027</v>
      </c>
      <c r="R886" s="306"/>
      <c r="AC886" s="189" t="s">
        <v>693</v>
      </c>
      <c r="AD886" s="180">
        <f t="shared" si="155"/>
        <v>38291</v>
      </c>
      <c r="AE886" s="180">
        <f t="shared" si="156"/>
        <v>4881</v>
      </c>
      <c r="AF886" s="180">
        <f t="shared" si="157"/>
        <v>5121</v>
      </c>
      <c r="AG886" s="180">
        <f t="shared" si="158"/>
        <v>8762</v>
      </c>
      <c r="AH886" s="180">
        <f t="shared" si="159"/>
        <v>7245.3053362762812</v>
      </c>
      <c r="AI886" s="180"/>
      <c r="AJ886" s="180">
        <f t="shared" si="160"/>
        <v>64300.30533627628</v>
      </c>
      <c r="AK886" s="180"/>
      <c r="AL886" s="180"/>
      <c r="AM886" s="180"/>
      <c r="AN886" s="182" t="s">
        <v>693</v>
      </c>
      <c r="AO886" s="180">
        <f t="shared" si="161"/>
        <v>89409</v>
      </c>
      <c r="AP886" s="180">
        <f t="shared" si="162"/>
        <v>11363</v>
      </c>
      <c r="AQ886" s="180">
        <f t="shared" si="163"/>
        <v>11887</v>
      </c>
      <c r="AR886" s="180">
        <f t="shared" si="164"/>
        <v>19763</v>
      </c>
      <c r="AS886" s="180">
        <f>((F860-$F860)*(('[2]Lake Pleasant Forecast'!B53-1526.8)/0.7702))/1000</f>
        <v>0</v>
      </c>
      <c r="AT886" s="180">
        <f t="shared" si="165"/>
        <v>132422</v>
      </c>
      <c r="AU886" s="304"/>
    </row>
    <row r="887" spans="1:50" ht="15.75" customHeight="1" x14ac:dyDescent="0.3">
      <c r="A887" s="192" t="s">
        <v>17</v>
      </c>
      <c r="B887" s="180">
        <f t="shared" ref="B887:Q887" si="173">(B858/$K$10/1.983)</f>
        <v>1101.1500984171912</v>
      </c>
      <c r="C887" s="180">
        <f t="shared" si="173"/>
        <v>1095.7168187659622</v>
      </c>
      <c r="D887" s="180">
        <f t="shared" si="173"/>
        <v>1090.5438159842531</v>
      </c>
      <c r="E887" s="180">
        <f t="shared" si="173"/>
        <v>969.54760626616553</v>
      </c>
      <c r="F887" s="180">
        <f t="shared" si="173"/>
        <v>0</v>
      </c>
      <c r="G887" s="180">
        <f t="shared" si="173"/>
        <v>-1427.2282140126558</v>
      </c>
      <c r="H887" s="180">
        <f t="shared" si="173"/>
        <v>1576.2529891171732</v>
      </c>
      <c r="I887" s="180">
        <f t="shared" si="173"/>
        <v>584.89092772436675</v>
      </c>
      <c r="J887" s="180">
        <f t="shared" si="173"/>
        <v>410.92837505896898</v>
      </c>
      <c r="K887" s="180">
        <f t="shared" si="173"/>
        <v>352.75649472125974</v>
      </c>
      <c r="L887" s="180">
        <f t="shared" si="173"/>
        <v>327.65604411692937</v>
      </c>
      <c r="M887" s="180">
        <f t="shared" si="173"/>
        <v>327.07042116050951</v>
      </c>
      <c r="N887" s="180">
        <f t="shared" si="173"/>
        <v>292.69760707953083</v>
      </c>
      <c r="O887" s="180">
        <f t="shared" si="173"/>
        <v>34.974704341743532</v>
      </c>
      <c r="P887" s="180">
        <f t="shared" si="173"/>
        <v>77.481170595220661</v>
      </c>
      <c r="Q887" s="180">
        <f t="shared" si="173"/>
        <v>34.877100515673547</v>
      </c>
      <c r="R887" s="306"/>
      <c r="AC887" s="189" t="s">
        <v>694</v>
      </c>
      <c r="AD887" s="180">
        <f t="shared" si="155"/>
        <v>71516</v>
      </c>
      <c r="AE887" s="180">
        <f t="shared" si="156"/>
        <v>9117</v>
      </c>
      <c r="AF887" s="180">
        <f t="shared" si="157"/>
        <v>9565</v>
      </c>
      <c r="AG887" s="180">
        <f t="shared" si="158"/>
        <v>16366</v>
      </c>
      <c r="AH887" s="180">
        <f t="shared" si="159"/>
        <v>14312.223824980523</v>
      </c>
      <c r="AI887" s="180"/>
      <c r="AJ887" s="180">
        <f t="shared" si="160"/>
        <v>120876.22382498052</v>
      </c>
      <c r="AK887" s="180"/>
      <c r="AL887" s="180"/>
      <c r="AM887" s="180"/>
      <c r="AN887" s="182" t="s">
        <v>694</v>
      </c>
      <c r="AO887" s="180">
        <f t="shared" si="161"/>
        <v>60947</v>
      </c>
      <c r="AP887" s="180">
        <f t="shared" si="162"/>
        <v>7741</v>
      </c>
      <c r="AQ887" s="180">
        <f t="shared" si="163"/>
        <v>8093</v>
      </c>
      <c r="AR887" s="180">
        <f t="shared" si="164"/>
        <v>13622</v>
      </c>
      <c r="AS887" s="180">
        <f>((F861-$F861)*(('[2]Lake Pleasant Forecast'!B55-1526.8)/0.7702))/1000</f>
        <v>0</v>
      </c>
      <c r="AT887" s="180">
        <f t="shared" si="165"/>
        <v>90403</v>
      </c>
      <c r="AU887" s="304"/>
    </row>
    <row r="888" spans="1:50" ht="15.75" customHeight="1" x14ac:dyDescent="0.3">
      <c r="A888" s="192" t="s">
        <v>18</v>
      </c>
      <c r="B888" s="180">
        <f t="shared" ref="B888:Q888" si="174">(B859/$L$10/1.983)</f>
        <v>2206.2027231467468</v>
      </c>
      <c r="C888" s="180">
        <f t="shared" si="174"/>
        <v>2200.8909060346277</v>
      </c>
      <c r="D888" s="180">
        <f t="shared" si="174"/>
        <v>2195.8312321398553</v>
      </c>
      <c r="E888" s="180">
        <f t="shared" si="174"/>
        <v>2128.0215162212135</v>
      </c>
      <c r="F888" s="180">
        <f t="shared" si="174"/>
        <v>326.20608505631196</v>
      </c>
      <c r="G888" s="180">
        <f t="shared" si="174"/>
        <v>-378.14758782988736</v>
      </c>
      <c r="H888" s="180">
        <f t="shared" si="174"/>
        <v>1346.5960665658095</v>
      </c>
      <c r="I888" s="180">
        <f t="shared" si="174"/>
        <v>561.52294503277858</v>
      </c>
      <c r="J888" s="180">
        <f t="shared" si="174"/>
        <v>436.49352832408806</v>
      </c>
      <c r="K888" s="180">
        <f t="shared" si="174"/>
        <v>385.54378887207929</v>
      </c>
      <c r="L888" s="180">
        <f t="shared" si="174"/>
        <v>319.76802824004034</v>
      </c>
      <c r="M888" s="180">
        <f t="shared" si="174"/>
        <v>319.1965036140528</v>
      </c>
      <c r="N888" s="180">
        <f t="shared" si="174"/>
        <v>289.51084215834595</v>
      </c>
      <c r="O888" s="180">
        <f t="shared" si="174"/>
        <v>81.106068246764167</v>
      </c>
      <c r="P888" s="180">
        <f t="shared" si="174"/>
        <v>56.816271642292818</v>
      </c>
      <c r="Q888" s="180">
        <f t="shared" si="174"/>
        <v>81.005210959825177</v>
      </c>
      <c r="R888" s="306"/>
      <c r="AC888" s="189" t="s">
        <v>695</v>
      </c>
      <c r="AD888" s="180">
        <f t="shared" si="155"/>
        <v>50136</v>
      </c>
      <c r="AE888" s="180">
        <f t="shared" si="156"/>
        <v>6391</v>
      </c>
      <c r="AF888" s="180">
        <f t="shared" si="157"/>
        <v>6706</v>
      </c>
      <c r="AG888" s="180">
        <f t="shared" si="158"/>
        <v>11473</v>
      </c>
      <c r="AH888" s="180">
        <f t="shared" si="159"/>
        <v>10218.635795801449</v>
      </c>
      <c r="AI888" s="180"/>
      <c r="AJ888" s="180">
        <f t="shared" si="160"/>
        <v>84924.635795801441</v>
      </c>
      <c r="AK888" s="180"/>
      <c r="AL888" s="180"/>
      <c r="AM888" s="180"/>
      <c r="AN888" s="182" t="s">
        <v>695</v>
      </c>
      <c r="AO888" s="180">
        <f t="shared" si="161"/>
        <v>62017</v>
      </c>
      <c r="AP888" s="180">
        <f t="shared" si="162"/>
        <v>7883</v>
      </c>
      <c r="AQ888" s="180">
        <f t="shared" si="163"/>
        <v>8248</v>
      </c>
      <c r="AR888" s="180">
        <f t="shared" si="164"/>
        <v>13818</v>
      </c>
      <c r="AS888" s="180">
        <f>((F862-$F862)*(('[2]Lake Pleasant Forecast'!B57-1526.8)/0.7702))/1000</f>
        <v>0</v>
      </c>
      <c r="AT888" s="180">
        <f t="shared" si="165"/>
        <v>91966</v>
      </c>
      <c r="AU888" s="304"/>
    </row>
    <row r="889" spans="1:50" ht="15.75" customHeight="1" x14ac:dyDescent="0.3">
      <c r="A889" s="192" t="s">
        <v>20</v>
      </c>
      <c r="B889" s="180">
        <f t="shared" ref="B889:Q889" si="175">(B860/$N$10/1.983)</f>
        <v>2170.660289883363</v>
      </c>
      <c r="C889" s="180">
        <f t="shared" si="175"/>
        <v>2166.024108145039</v>
      </c>
      <c r="D889" s="180">
        <f t="shared" si="175"/>
        <v>2161.5994013631998</v>
      </c>
      <c r="E889" s="180">
        <f t="shared" si="175"/>
        <v>2118.865192848893</v>
      </c>
      <c r="F889" s="180">
        <f t="shared" si="175"/>
        <v>650.87111414767458</v>
      </c>
      <c r="G889" s="180">
        <f t="shared" si="175"/>
        <v>-18.951409561921491</v>
      </c>
      <c r="H889" s="180">
        <f t="shared" si="175"/>
        <v>850.08052315650775</v>
      </c>
      <c r="I889" s="180">
        <f t="shared" si="175"/>
        <v>179.90011875132171</v>
      </c>
      <c r="J889" s="180">
        <f t="shared" si="175"/>
        <v>133.73350902022025</v>
      </c>
      <c r="K889" s="180">
        <f t="shared" si="175"/>
        <v>128.59304084720119</v>
      </c>
      <c r="L889" s="180">
        <f t="shared" si="175"/>
        <v>103.59019406894082</v>
      </c>
      <c r="M889" s="180">
        <f t="shared" si="175"/>
        <v>103.11844224293591</v>
      </c>
      <c r="N889" s="180">
        <f t="shared" si="175"/>
        <v>91.568656157988059</v>
      </c>
      <c r="O889" s="180">
        <f t="shared" si="175"/>
        <v>30.240918777349403</v>
      </c>
      <c r="P889" s="180">
        <f t="shared" si="175"/>
        <v>0</v>
      </c>
      <c r="Q889" s="180">
        <f t="shared" si="175"/>
        <v>30.159582255624418</v>
      </c>
      <c r="R889" s="306"/>
      <c r="AC889" s="179"/>
      <c r="AD889" s="180"/>
      <c r="AE889" s="180"/>
      <c r="AF889" s="180"/>
      <c r="AG889" s="180"/>
      <c r="AH889" s="180"/>
      <c r="AI889" s="180"/>
      <c r="AJ889" s="180"/>
      <c r="AK889" s="180"/>
      <c r="AL889" s="180"/>
      <c r="AM889" s="180"/>
      <c r="AN889" s="180"/>
      <c r="AO889" s="180"/>
      <c r="AP889" s="180"/>
      <c r="AQ889" s="180"/>
      <c r="AR889" s="180"/>
      <c r="AS889" s="180"/>
      <c r="AT889" s="180"/>
      <c r="AU889" s="304"/>
    </row>
    <row r="890" spans="1:50" ht="15.75" customHeight="1" thickBot="1" x14ac:dyDescent="0.35">
      <c r="A890" s="192" t="s">
        <v>21</v>
      </c>
      <c r="B890" s="180">
        <f t="shared" ref="B890:Q890" si="176">(B861/$O$10/1.983)</f>
        <v>2326.6767523953604</v>
      </c>
      <c r="C890" s="180">
        <f t="shared" si="176"/>
        <v>2322.7265086569168</v>
      </c>
      <c r="D890" s="180">
        <f t="shared" si="176"/>
        <v>2318.9275508488822</v>
      </c>
      <c r="E890" s="180">
        <f t="shared" si="176"/>
        <v>2301.7650025214321</v>
      </c>
      <c r="F890" s="180">
        <f t="shared" si="176"/>
        <v>1256.1606992771895</v>
      </c>
      <c r="G890" s="180">
        <f t="shared" si="176"/>
        <v>0</v>
      </c>
      <c r="H890" s="180">
        <f t="shared" si="176"/>
        <v>543.70482434022529</v>
      </c>
      <c r="I890" s="180">
        <f t="shared" si="176"/>
        <v>201.59690704320053</v>
      </c>
      <c r="J890" s="180">
        <f t="shared" si="176"/>
        <v>174.78567826525466</v>
      </c>
      <c r="K890" s="180">
        <f t="shared" si="176"/>
        <v>173.62581946545637</v>
      </c>
      <c r="L890" s="180">
        <f t="shared" si="176"/>
        <v>120.64212472684484</v>
      </c>
      <c r="M890" s="180">
        <f t="shared" si="176"/>
        <v>120.25550512691208</v>
      </c>
      <c r="N890" s="180">
        <f t="shared" si="176"/>
        <v>119.53269457051604</v>
      </c>
      <c r="O890" s="180">
        <f t="shared" si="176"/>
        <v>19.616742309631871</v>
      </c>
      <c r="P890" s="180">
        <f t="shared" si="176"/>
        <v>0</v>
      </c>
      <c r="Q890" s="180">
        <f t="shared" si="176"/>
        <v>19.56631366616238</v>
      </c>
      <c r="R890" s="306"/>
      <c r="AC890" s="204" t="s">
        <v>641</v>
      </c>
      <c r="AD890" s="195">
        <f>SUM(AD877:AD888)</f>
        <v>356818</v>
      </c>
      <c r="AE890" s="195">
        <f>SUM(AE877:AE888)</f>
        <v>45487</v>
      </c>
      <c r="AF890" s="195">
        <f>SUM(AF877:AF888)</f>
        <v>47725</v>
      </c>
      <c r="AG890" s="195">
        <f>SUM(AG877:AG888)</f>
        <v>81654</v>
      </c>
      <c r="AH890" s="195">
        <f>SUM(AH877:AH888)</f>
        <v>75110.073163843714</v>
      </c>
      <c r="AI890" s="195"/>
      <c r="AJ890" s="195">
        <f>SUM(AJ877:AJ888)</f>
        <v>606794.07316384371</v>
      </c>
      <c r="AK890" s="195"/>
      <c r="AL890" s="195"/>
      <c r="AM890" s="195"/>
      <c r="AN890" s="205" t="s">
        <v>641</v>
      </c>
      <c r="AO890" s="195">
        <f t="shared" ref="AO890:AT890" si="177">SUM(AO877:AO888)</f>
        <v>1070038</v>
      </c>
      <c r="AP890" s="195">
        <f t="shared" si="177"/>
        <v>135983</v>
      </c>
      <c r="AQ890" s="195">
        <f t="shared" si="177"/>
        <v>142243</v>
      </c>
      <c r="AR890" s="195">
        <f t="shared" si="177"/>
        <v>230844</v>
      </c>
      <c r="AS890" s="195">
        <f t="shared" si="177"/>
        <v>0</v>
      </c>
      <c r="AT890" s="195">
        <f t="shared" si="177"/>
        <v>1579108</v>
      </c>
      <c r="AU890" s="136"/>
    </row>
    <row r="891" spans="1:50" ht="15.75" customHeight="1" thickBot="1" x14ac:dyDescent="0.35">
      <c r="A891" s="206" t="s">
        <v>22</v>
      </c>
      <c r="B891" s="195">
        <f t="shared" ref="B891:Q891" si="178">(B862/$P$10/1.983)</f>
        <v>1906.4141981032324</v>
      </c>
      <c r="C891" s="195">
        <f t="shared" si="178"/>
        <v>1903.3884794950627</v>
      </c>
      <c r="D891" s="195">
        <f t="shared" si="178"/>
        <v>1900.4766320173082</v>
      </c>
      <c r="E891" s="195">
        <f t="shared" si="178"/>
        <v>1878.6621768906673</v>
      </c>
      <c r="F891" s="195">
        <f t="shared" si="178"/>
        <v>852.22780733004731</v>
      </c>
      <c r="G891" s="195">
        <f t="shared" si="178"/>
        <v>0</v>
      </c>
      <c r="H891" s="195">
        <f t="shared" si="178"/>
        <v>680.42880614253409</v>
      </c>
      <c r="I891" s="195">
        <f t="shared" si="178"/>
        <v>259.90272152001688</v>
      </c>
      <c r="J891" s="195">
        <f t="shared" si="178"/>
        <v>241.87854830576023</v>
      </c>
      <c r="K891" s="195">
        <f t="shared" si="178"/>
        <v>241.19532152327037</v>
      </c>
      <c r="L891" s="195">
        <f t="shared" si="178"/>
        <v>232.86646169863189</v>
      </c>
      <c r="M891" s="195">
        <f t="shared" si="178"/>
        <v>232.55738291607699</v>
      </c>
      <c r="N891" s="195">
        <f t="shared" si="178"/>
        <v>229.25512013404258</v>
      </c>
      <c r="O891" s="195">
        <f t="shared" si="178"/>
        <v>71.95028711792169</v>
      </c>
      <c r="P891" s="195">
        <f t="shared" si="178"/>
        <v>0</v>
      </c>
      <c r="Q891" s="195">
        <f t="shared" si="178"/>
        <v>71.917752509231704</v>
      </c>
      <c r="R891" s="196"/>
    </row>
    <row r="892" spans="1:50" ht="15.75" customHeight="1" x14ac:dyDescent="0.3">
      <c r="R892" s="351"/>
      <c r="AC892" s="360"/>
      <c r="AD892" s="423" t="s">
        <v>715</v>
      </c>
      <c r="AE892" s="427"/>
      <c r="AF892" s="427"/>
      <c r="AG892" s="427"/>
      <c r="AH892" s="427"/>
      <c r="AI892" s="427"/>
      <c r="AJ892" s="427"/>
      <c r="AK892" s="427"/>
      <c r="AL892" s="427"/>
      <c r="AM892" s="427"/>
      <c r="AN892" s="427"/>
      <c r="AO892" s="427"/>
      <c r="AP892" s="427"/>
      <c r="AQ892" s="427"/>
      <c r="AR892" s="354" t="str">
        <f>$Q$1</f>
        <v xml:space="preserve">PRINTED:  </v>
      </c>
      <c r="AS892" s="361">
        <f ca="1">$R$1</f>
        <v>44894.658168402777</v>
      </c>
    </row>
    <row r="893" spans="1:50" ht="15.75" customHeight="1" x14ac:dyDescent="0.3">
      <c r="R893" s="180"/>
      <c r="AC893" s="95"/>
      <c r="AD893" s="394" t="str">
        <f>+$A$8</f>
        <v>Revised:  2/23/2017</v>
      </c>
      <c r="AE893" s="396"/>
      <c r="AF893" s="396"/>
      <c r="AG893" s="396"/>
      <c r="AH893" s="396"/>
      <c r="AI893" s="396"/>
      <c r="AJ893" s="396"/>
      <c r="AK893" s="396"/>
      <c r="AL893" s="396"/>
      <c r="AM893" s="396"/>
      <c r="AN893" s="396"/>
      <c r="AO893" s="396"/>
      <c r="AP893" s="396"/>
      <c r="AQ893" s="396"/>
      <c r="AR893" s="192"/>
      <c r="AS893" s="304"/>
    </row>
    <row r="894" spans="1:50" ht="15.75" customHeight="1" x14ac:dyDescent="0.3">
      <c r="A894" s="192"/>
      <c r="AC894" s="95"/>
      <c r="AD894" s="394" t="s">
        <v>670</v>
      </c>
      <c r="AE894" s="397"/>
      <c r="AF894" s="397"/>
      <c r="AG894" s="397"/>
      <c r="AH894" s="397"/>
      <c r="AI894" s="397"/>
      <c r="AJ894" s="397"/>
      <c r="AK894" s="397"/>
      <c r="AL894" s="397"/>
      <c r="AM894" s="397"/>
      <c r="AN894" s="397"/>
      <c r="AO894" s="397"/>
      <c r="AP894" s="397"/>
      <c r="AQ894" s="397"/>
      <c r="AS894" s="304"/>
    </row>
    <row r="895" spans="1:50" ht="15.75" customHeight="1" x14ac:dyDescent="0.3">
      <c r="A895" s="192"/>
      <c r="AC895" s="95"/>
      <c r="AS895" s="304"/>
    </row>
    <row r="896" spans="1:50" ht="15.75" customHeight="1" thickBot="1" x14ac:dyDescent="0.35">
      <c r="A896" s="192"/>
      <c r="AC896" s="95"/>
      <c r="AD896" s="395">
        <f>$A$5</f>
        <v>2016</v>
      </c>
      <c r="AE896" s="397"/>
      <c r="AF896" s="397"/>
      <c r="AG896" s="397"/>
      <c r="AH896" s="397"/>
      <c r="AI896" s="397"/>
      <c r="AJ896" s="397"/>
      <c r="AK896" s="397"/>
      <c r="AL896" s="397"/>
      <c r="AM896" s="397"/>
      <c r="AN896" s="397"/>
      <c r="AO896" s="397"/>
      <c r="AP896" s="397"/>
      <c r="AQ896" s="397"/>
      <c r="AS896" s="304"/>
    </row>
    <row r="897" spans="1:48" ht="15.75" customHeight="1" x14ac:dyDescent="0.3">
      <c r="A897" s="356"/>
      <c r="B897" s="423" t="s">
        <v>716</v>
      </c>
      <c r="C897" s="423"/>
      <c r="D897" s="423"/>
      <c r="E897" s="423"/>
      <c r="F897" s="423"/>
      <c r="G897" s="423"/>
      <c r="H897" s="423"/>
      <c r="I897" s="423"/>
      <c r="J897" s="423"/>
      <c r="K897" s="423"/>
      <c r="L897" s="423"/>
      <c r="M897" s="423"/>
      <c r="N897" s="423"/>
      <c r="O897" s="423"/>
      <c r="P897" s="423"/>
      <c r="Q897" s="354" t="str">
        <f>+Q1</f>
        <v xml:space="preserve">PRINTED:  </v>
      </c>
      <c r="R897" s="355">
        <f ca="1">+R1</f>
        <v>44894.658168402777</v>
      </c>
      <c r="AC897" s="95"/>
      <c r="AD897" s="394" t="s">
        <v>717</v>
      </c>
      <c r="AE897" s="396"/>
      <c r="AF897" s="396"/>
      <c r="AG897" s="396"/>
      <c r="AH897" s="396"/>
      <c r="AI897" s="396"/>
      <c r="AJ897" s="396"/>
      <c r="AK897" s="396"/>
      <c r="AL897" s="396"/>
      <c r="AM897" s="396"/>
      <c r="AN897" s="396"/>
      <c r="AO897" s="396"/>
      <c r="AP897" s="396"/>
      <c r="AQ897" s="396"/>
      <c r="AR897" s="182"/>
      <c r="AS897" s="304"/>
    </row>
    <row r="898" spans="1:48" ht="16.5" customHeight="1" x14ac:dyDescent="0.3">
      <c r="A898" s="189"/>
      <c r="B898" s="394" t="str">
        <f>+A8</f>
        <v>Revised:  2/23/2017</v>
      </c>
      <c r="C898" s="394"/>
      <c r="D898" s="394"/>
      <c r="E898" s="394"/>
      <c r="F898" s="394"/>
      <c r="G898" s="394"/>
      <c r="H898" s="394"/>
      <c r="I898" s="394"/>
      <c r="J898" s="394"/>
      <c r="K898" s="394"/>
      <c r="L898" s="394"/>
      <c r="M898" s="394"/>
      <c r="N898" s="394"/>
      <c r="O898" s="394"/>
      <c r="P898" s="394"/>
      <c r="Q898" s="180"/>
      <c r="R898" s="306"/>
      <c r="AC898" s="95"/>
      <c r="AK898" s="190"/>
      <c r="AS898" s="304"/>
    </row>
    <row r="899" spans="1:48" ht="15.75" customHeight="1" thickBot="1" x14ac:dyDescent="0.35">
      <c r="A899" s="189"/>
      <c r="B899" s="394" t="s">
        <v>670</v>
      </c>
      <c r="C899" s="394"/>
      <c r="D899" s="394"/>
      <c r="E899" s="394"/>
      <c r="F899" s="394"/>
      <c r="G899" s="394"/>
      <c r="H899" s="394"/>
      <c r="I899" s="394"/>
      <c r="J899" s="394"/>
      <c r="K899" s="394"/>
      <c r="L899" s="394"/>
      <c r="M899" s="394"/>
      <c r="N899" s="394"/>
      <c r="O899" s="394"/>
      <c r="P899" s="394"/>
      <c r="Q899" s="180"/>
      <c r="R899" s="306"/>
      <c r="AC899" s="95"/>
      <c r="AD899" s="191" t="s">
        <v>677</v>
      </c>
      <c r="AE899" s="191" t="s">
        <v>678</v>
      </c>
      <c r="AF899" s="191" t="s">
        <v>679</v>
      </c>
      <c r="AG899" s="191" t="s">
        <v>680</v>
      </c>
      <c r="AH899" s="191" t="s">
        <v>644</v>
      </c>
      <c r="AI899" s="191" t="s">
        <v>681</v>
      </c>
      <c r="AJ899" s="191" t="s">
        <v>682</v>
      </c>
      <c r="AK899" s="191" t="s">
        <v>683</v>
      </c>
      <c r="AL899" s="191" t="s">
        <v>684</v>
      </c>
      <c r="AM899" s="191" t="s">
        <v>685</v>
      </c>
      <c r="AN899" s="191" t="s">
        <v>686</v>
      </c>
      <c r="AO899" s="191" t="s">
        <v>687</v>
      </c>
      <c r="AP899" s="191" t="s">
        <v>688</v>
      </c>
      <c r="AQ899" s="191" t="s">
        <v>689</v>
      </c>
      <c r="AR899" s="191" t="s">
        <v>638</v>
      </c>
      <c r="AS899" s="209" t="s">
        <v>641</v>
      </c>
    </row>
    <row r="900" spans="1:48" ht="15.75" customHeight="1" x14ac:dyDescent="0.3">
      <c r="A900" s="189"/>
      <c r="B900" s="180"/>
      <c r="C900" s="180"/>
      <c r="D900" s="180"/>
      <c r="E900" s="180"/>
      <c r="F900" s="180"/>
      <c r="G900" s="180"/>
      <c r="H900" s="180"/>
      <c r="I900" s="180"/>
      <c r="J900" s="180"/>
      <c r="K900" s="180"/>
      <c r="L900" s="180"/>
      <c r="M900" s="180"/>
      <c r="N900" s="180"/>
      <c r="O900" s="180"/>
      <c r="P900" s="180"/>
      <c r="Q900" s="180"/>
      <c r="R900" s="306"/>
      <c r="AC900" s="95"/>
      <c r="AD900" s="180"/>
      <c r="AE900" s="180"/>
      <c r="AF900" s="180"/>
      <c r="AG900" s="180"/>
      <c r="AH900" s="182" t="s">
        <v>718</v>
      </c>
      <c r="AI900" s="180"/>
      <c r="AJ900" s="180"/>
      <c r="AK900" s="180"/>
      <c r="AL900" s="180"/>
      <c r="AM900" s="180"/>
      <c r="AN900" s="180"/>
      <c r="AO900" s="180"/>
      <c r="AP900" s="180"/>
      <c r="AQ900" s="180"/>
      <c r="AR900" s="180"/>
      <c r="AS900" s="210"/>
    </row>
    <row r="901" spans="1:48" ht="15.75" customHeight="1" x14ac:dyDescent="0.3">
      <c r="A901" s="189"/>
      <c r="B901" s="395">
        <f>A5</f>
        <v>2016</v>
      </c>
      <c r="C901" s="395"/>
      <c r="D901" s="395"/>
      <c r="E901" s="395"/>
      <c r="F901" s="395"/>
      <c r="G901" s="395"/>
      <c r="H901" s="395"/>
      <c r="I901" s="395"/>
      <c r="J901" s="395"/>
      <c r="K901" s="395"/>
      <c r="L901" s="395"/>
      <c r="M901" s="395"/>
      <c r="N901" s="395"/>
      <c r="O901" s="395"/>
      <c r="P901" s="395"/>
      <c r="Q901" s="180"/>
      <c r="R901" s="306"/>
      <c r="S901" s="180"/>
      <c r="AC901" s="211" t="s">
        <v>719</v>
      </c>
      <c r="AD901" s="212">
        <v>1.7000000000000001E-2</v>
      </c>
      <c r="AE901" s="212">
        <v>1.7000000000000001E-2</v>
      </c>
      <c r="AF901" s="212">
        <v>1.7000000000000001E-2</v>
      </c>
      <c r="AG901" s="212">
        <v>1.7000000000000001E-2</v>
      </c>
      <c r="AH901" s="212"/>
      <c r="AI901" s="212"/>
      <c r="AJ901" s="212"/>
      <c r="AK901" s="212"/>
      <c r="AL901" s="212"/>
      <c r="AM901" s="212"/>
      <c r="AN901" s="212"/>
      <c r="AO901" s="212"/>
      <c r="AP901" s="212"/>
      <c r="AQ901" s="212"/>
      <c r="AR901" s="212"/>
      <c r="AS901" s="213"/>
    </row>
    <row r="902" spans="1:48" ht="15.75" customHeight="1" x14ac:dyDescent="0.3">
      <c r="A902" s="189"/>
      <c r="B902" s="394" t="s">
        <v>717</v>
      </c>
      <c r="C902" s="394"/>
      <c r="D902" s="394"/>
      <c r="E902" s="394"/>
      <c r="F902" s="394"/>
      <c r="G902" s="394"/>
      <c r="H902" s="394"/>
      <c r="I902" s="394"/>
      <c r="J902" s="394"/>
      <c r="K902" s="394"/>
      <c r="L902" s="394"/>
      <c r="M902" s="394"/>
      <c r="N902" s="394"/>
      <c r="O902" s="394"/>
      <c r="P902" s="394"/>
      <c r="Q902" s="180"/>
      <c r="R902" s="306"/>
      <c r="S902" s="180"/>
      <c r="AC902" s="211" t="s">
        <v>720</v>
      </c>
      <c r="AD902" s="212"/>
      <c r="AE902" s="212">
        <v>0.03</v>
      </c>
      <c r="AF902" s="212"/>
      <c r="AG902" s="212"/>
      <c r="AH902" s="212"/>
      <c r="AI902" s="212"/>
      <c r="AJ902" s="212"/>
      <c r="AK902" s="212"/>
      <c r="AL902" s="212"/>
      <c r="AM902" s="212">
        <v>0.03</v>
      </c>
      <c r="AN902" s="212">
        <v>0.03</v>
      </c>
      <c r="AO902" s="212">
        <v>0.03</v>
      </c>
      <c r="AP902" s="212">
        <v>0.03</v>
      </c>
      <c r="AQ902" s="212">
        <v>0.03</v>
      </c>
      <c r="AR902" s="212">
        <v>0.03</v>
      </c>
      <c r="AS902" s="213"/>
    </row>
    <row r="903" spans="1:48" ht="15.75" customHeight="1" x14ac:dyDescent="0.3">
      <c r="A903" s="189"/>
      <c r="B903" s="180"/>
      <c r="C903" s="180"/>
      <c r="D903" s="180"/>
      <c r="E903" s="180"/>
      <c r="F903" s="180"/>
      <c r="G903" s="180"/>
      <c r="H903" s="180"/>
      <c r="I903" s="180"/>
      <c r="J903" s="180"/>
      <c r="K903" s="180"/>
      <c r="L903" s="180"/>
      <c r="M903" s="180"/>
      <c r="N903" s="180"/>
      <c r="O903" s="180"/>
      <c r="P903" s="180"/>
      <c r="Q903" s="180"/>
      <c r="R903" s="306"/>
      <c r="S903" s="180"/>
      <c r="AC903" s="211" t="s">
        <v>721</v>
      </c>
      <c r="AD903" s="212"/>
      <c r="AE903" s="212"/>
      <c r="AF903" s="212">
        <v>0.03</v>
      </c>
      <c r="AG903" s="212">
        <v>0.03</v>
      </c>
      <c r="AH903" s="212"/>
      <c r="AI903" s="212"/>
      <c r="AJ903" s="212"/>
      <c r="AK903" s="212"/>
      <c r="AL903" s="212"/>
      <c r="AM903" s="212"/>
      <c r="AN903" s="212"/>
      <c r="AO903" s="212"/>
      <c r="AP903" s="212"/>
      <c r="AQ903" s="212"/>
      <c r="AR903" s="212"/>
      <c r="AS903" s="213"/>
    </row>
    <row r="904" spans="1:48" ht="15.75" customHeight="1" thickBot="1" x14ac:dyDescent="0.35">
      <c r="A904" s="189" t="s">
        <v>647</v>
      </c>
      <c r="B904" s="191" t="s">
        <v>677</v>
      </c>
      <c r="C904" s="191" t="s">
        <v>678</v>
      </c>
      <c r="D904" s="191" t="s">
        <v>679</v>
      </c>
      <c r="E904" s="191" t="s">
        <v>680</v>
      </c>
      <c r="F904" s="191" t="s">
        <v>644</v>
      </c>
      <c r="G904" s="191" t="s">
        <v>644</v>
      </c>
      <c r="H904" s="191" t="s">
        <v>681</v>
      </c>
      <c r="I904" s="191" t="s">
        <v>682</v>
      </c>
      <c r="J904" s="191" t="s">
        <v>683</v>
      </c>
      <c r="K904" s="191" t="s">
        <v>684</v>
      </c>
      <c r="L904" s="191" t="s">
        <v>685</v>
      </c>
      <c r="M904" s="191" t="s">
        <v>686</v>
      </c>
      <c r="N904" s="191" t="s">
        <v>687</v>
      </c>
      <c r="O904" s="191" t="s">
        <v>688</v>
      </c>
      <c r="P904" s="191" t="s">
        <v>689</v>
      </c>
      <c r="Q904" s="191" t="s">
        <v>638</v>
      </c>
      <c r="R904" s="209" t="s">
        <v>641</v>
      </c>
      <c r="S904" s="182"/>
      <c r="AC904" s="211" t="s">
        <v>137</v>
      </c>
      <c r="AD904" s="212"/>
      <c r="AE904" s="212"/>
      <c r="AF904" s="212"/>
      <c r="AG904" s="212"/>
      <c r="AH904" s="212"/>
      <c r="AI904" s="212">
        <v>0.03</v>
      </c>
      <c r="AJ904" s="212"/>
      <c r="AK904" s="212"/>
      <c r="AL904" s="212"/>
      <c r="AM904" s="212"/>
      <c r="AN904" s="212"/>
      <c r="AO904" s="212"/>
      <c r="AP904" s="212"/>
      <c r="AQ904" s="212"/>
      <c r="AR904" s="212"/>
      <c r="AS904" s="213"/>
    </row>
    <row r="905" spans="1:48" ht="15.75" customHeight="1" x14ac:dyDescent="0.3">
      <c r="A905" s="189"/>
      <c r="B905" s="180"/>
      <c r="C905" s="180"/>
      <c r="D905" s="180"/>
      <c r="E905" s="180"/>
      <c r="F905" s="182" t="s">
        <v>127</v>
      </c>
      <c r="G905" s="182" t="s">
        <v>653</v>
      </c>
      <c r="H905" s="180"/>
      <c r="I905" s="180"/>
      <c r="J905" s="180"/>
      <c r="K905" s="180"/>
      <c r="L905" s="180"/>
      <c r="M905" s="180"/>
      <c r="N905" s="180"/>
      <c r="O905" s="180"/>
      <c r="P905" s="180"/>
      <c r="Q905" s="180"/>
      <c r="R905" s="213" t="s">
        <v>722</v>
      </c>
      <c r="S905" s="182"/>
      <c r="AC905" s="211" t="s">
        <v>723</v>
      </c>
      <c r="AD905" s="212">
        <v>0.03</v>
      </c>
      <c r="AE905" s="212"/>
      <c r="AF905" s="212"/>
      <c r="AG905" s="212"/>
      <c r="AH905" s="212"/>
      <c r="AI905" s="212"/>
      <c r="AJ905" s="212">
        <v>0.03</v>
      </c>
      <c r="AK905" s="212">
        <v>0.03</v>
      </c>
      <c r="AL905" s="212">
        <v>0.03</v>
      </c>
      <c r="AM905" s="212"/>
      <c r="AN905" s="212"/>
      <c r="AO905" s="212"/>
      <c r="AP905" s="212"/>
      <c r="AQ905" s="212"/>
      <c r="AR905" s="212"/>
      <c r="AS905" s="213"/>
    </row>
    <row r="906" spans="1:48" ht="15.75" customHeight="1" x14ac:dyDescent="0.3">
      <c r="A906" s="189" t="s">
        <v>724</v>
      </c>
      <c r="B906" s="214">
        <v>957</v>
      </c>
      <c r="C906" s="214">
        <v>122</v>
      </c>
      <c r="D906" s="214">
        <v>128</v>
      </c>
      <c r="E906" s="214">
        <v>219</v>
      </c>
      <c r="F906" s="214"/>
      <c r="G906" s="214"/>
      <c r="H906" s="214">
        <v>97</v>
      </c>
      <c r="I906" s="214">
        <v>160</v>
      </c>
      <c r="J906" s="214">
        <v>250</v>
      </c>
      <c r="K906" s="214">
        <v>260</v>
      </c>
      <c r="L906" s="214">
        <v>100</v>
      </c>
      <c r="M906" s="214">
        <v>118</v>
      </c>
      <c r="N906" s="214">
        <v>250</v>
      </c>
      <c r="O906" s="214">
        <v>190</v>
      </c>
      <c r="P906" s="214">
        <v>340</v>
      </c>
      <c r="Q906" s="214">
        <v>450</v>
      </c>
      <c r="R906" s="213" t="s">
        <v>658</v>
      </c>
      <c r="S906" s="182"/>
      <c r="AC906" s="211" t="s">
        <v>641</v>
      </c>
      <c r="AD906" s="215">
        <f>SUM(AD901:AD905)</f>
        <v>4.7E-2</v>
      </c>
      <c r="AE906" s="215">
        <f t="shared" ref="AE906:AR906" si="179">SUM(AE901:AE905)</f>
        <v>4.7E-2</v>
      </c>
      <c r="AF906" s="215">
        <f t="shared" si="179"/>
        <v>4.7E-2</v>
      </c>
      <c r="AG906" s="215">
        <f t="shared" si="179"/>
        <v>4.7E-2</v>
      </c>
      <c r="AH906" s="215">
        <f t="shared" si="179"/>
        <v>0</v>
      </c>
      <c r="AI906" s="215">
        <f t="shared" si="179"/>
        <v>0.03</v>
      </c>
      <c r="AJ906" s="215">
        <f t="shared" si="179"/>
        <v>0.03</v>
      </c>
      <c r="AK906" s="215">
        <f t="shared" si="179"/>
        <v>0.03</v>
      </c>
      <c r="AL906" s="215">
        <f t="shared" si="179"/>
        <v>0.03</v>
      </c>
      <c r="AM906" s="215">
        <f t="shared" si="179"/>
        <v>0.03</v>
      </c>
      <c r="AN906" s="215">
        <f t="shared" si="179"/>
        <v>0.03</v>
      </c>
      <c r="AO906" s="215">
        <f t="shared" si="179"/>
        <v>0.03</v>
      </c>
      <c r="AP906" s="215">
        <f t="shared" si="179"/>
        <v>0.03</v>
      </c>
      <c r="AQ906" s="215">
        <f t="shared" si="179"/>
        <v>0.03</v>
      </c>
      <c r="AR906" s="215">
        <f t="shared" si="179"/>
        <v>0.03</v>
      </c>
      <c r="AS906" s="213"/>
      <c r="AU906" s="192" t="s">
        <v>725</v>
      </c>
      <c r="AV906" s="4" t="s">
        <v>726</v>
      </c>
    </row>
    <row r="907" spans="1:48" ht="15.75" customHeight="1" x14ac:dyDescent="0.3">
      <c r="A907" s="189"/>
      <c r="B907" s="182" t="s">
        <v>666</v>
      </c>
      <c r="C907" s="182" t="s">
        <v>666</v>
      </c>
      <c r="D907" s="182" t="s">
        <v>666</v>
      </c>
      <c r="E907" s="182" t="s">
        <v>666</v>
      </c>
      <c r="F907" s="182" t="s">
        <v>666</v>
      </c>
      <c r="G907" s="182" t="s">
        <v>666</v>
      </c>
      <c r="H907" s="182" t="s">
        <v>666</v>
      </c>
      <c r="I907" s="182" t="s">
        <v>666</v>
      </c>
      <c r="J907" s="182" t="s">
        <v>666</v>
      </c>
      <c r="K907" s="182" t="s">
        <v>666</v>
      </c>
      <c r="L907" s="182" t="s">
        <v>666</v>
      </c>
      <c r="M907" s="182" t="s">
        <v>666</v>
      </c>
      <c r="N907" s="182" t="s">
        <v>666</v>
      </c>
      <c r="O907" s="182" t="s">
        <v>666</v>
      </c>
      <c r="P907" s="182" t="s">
        <v>666</v>
      </c>
      <c r="Q907" s="182" t="s">
        <v>666</v>
      </c>
      <c r="R907" s="213" t="s">
        <v>714</v>
      </c>
      <c r="S907" s="182"/>
      <c r="T907" s="182"/>
      <c r="AC907" s="189" t="s">
        <v>666</v>
      </c>
      <c r="AD907" s="182" t="s">
        <v>666</v>
      </c>
      <c r="AE907" s="182" t="s">
        <v>666</v>
      </c>
      <c r="AF907" s="182" t="s">
        <v>666</v>
      </c>
      <c r="AG907" s="182" t="s">
        <v>666</v>
      </c>
      <c r="AH907" s="182" t="s">
        <v>666</v>
      </c>
      <c r="AI907" s="182" t="s">
        <v>666</v>
      </c>
      <c r="AJ907" s="182" t="s">
        <v>666</v>
      </c>
      <c r="AK907" s="182" t="s">
        <v>666</v>
      </c>
      <c r="AL907" s="182" t="s">
        <v>666</v>
      </c>
      <c r="AM907" s="182" t="s">
        <v>666</v>
      </c>
      <c r="AN907" s="182" t="s">
        <v>666</v>
      </c>
      <c r="AO907" s="182" t="s">
        <v>666</v>
      </c>
      <c r="AP907" s="182" t="s">
        <v>666</v>
      </c>
      <c r="AQ907" s="182" t="s">
        <v>666</v>
      </c>
      <c r="AR907" s="182" t="s">
        <v>666</v>
      </c>
      <c r="AS907" s="213" t="s">
        <v>666</v>
      </c>
    </row>
    <row r="908" spans="1:48" ht="15.75" customHeight="1" x14ac:dyDescent="0.3">
      <c r="A908" s="192" t="s">
        <v>8</v>
      </c>
      <c r="B908" s="180">
        <f>ROUND((B851*$B$906)/1000,0)</f>
        <v>145788</v>
      </c>
      <c r="C908" s="180">
        <f t="shared" ref="C908:C919" si="180">ROUND((C851*$C$906)/1000,0)</f>
        <v>18574</v>
      </c>
      <c r="D908" s="180">
        <f t="shared" ref="D908:D919" si="181">ROUND((D851*$D$906)/1000,0)</f>
        <v>19475</v>
      </c>
      <c r="E908" s="180">
        <f t="shared" ref="E908:E919" si="182">ROUND((E851*$E$906)/1000,0)</f>
        <v>33050</v>
      </c>
      <c r="F908" s="180">
        <f>(F851*((T851-1526.8)/0.7702))/1000</f>
        <v>23008.356748442195</v>
      </c>
      <c r="G908" s="180">
        <f t="shared" ref="G908:G919" si="183">(G851*((T851-1591.4)/0.6635))/1000</f>
        <v>0</v>
      </c>
      <c r="H908" s="180">
        <f t="shared" ref="H908:H919" si="184">ROUND((H851*$H$906)/1000,0)</f>
        <v>2310</v>
      </c>
      <c r="I908" s="180">
        <f t="shared" ref="I908:I919" si="185">ROUND((I851*$I$906)/1000,0)</f>
        <v>1453</v>
      </c>
      <c r="J908" s="180">
        <f t="shared" ref="J908:J919" si="186">ROUND((J851*$J$906)/1000,0)</f>
        <v>2266</v>
      </c>
      <c r="K908" s="180">
        <f t="shared" ref="K908:K919" si="187">ROUND((K851*$K$906)/1000,0)</f>
        <v>2331</v>
      </c>
      <c r="L908" s="180">
        <f t="shared" ref="L908:L919" si="188">ROUND((L851*$L$906)/1000,0)</f>
        <v>780</v>
      </c>
      <c r="M908" s="180">
        <f t="shared" ref="M908:M919" si="189">ROUND((M851*$M$906)/1000,0)</f>
        <v>918</v>
      </c>
      <c r="N908" s="180">
        <f t="shared" ref="N908:N919" si="190">ROUND((N851*$N$906)/1000,0)</f>
        <v>1918</v>
      </c>
      <c r="O908" s="180">
        <f t="shared" ref="O908:O919" si="191">ROUND((O851*$O$906)/1000,0)</f>
        <v>737</v>
      </c>
      <c r="P908" s="180">
        <f t="shared" ref="P908:P919" si="192">ROUND((P851*$P$906)/1000,0)</f>
        <v>1254</v>
      </c>
      <c r="Q908" s="180">
        <f t="shared" ref="Q908:Q919" si="193">ROUND((Q851*$Q$906)/1000,0)</f>
        <v>1745</v>
      </c>
      <c r="R908" s="216">
        <f>(SUM(B908:Q908))</f>
        <v>255607.35674844219</v>
      </c>
      <c r="S908" s="217"/>
      <c r="AC908" s="211" t="s">
        <v>8</v>
      </c>
      <c r="AD908" s="180">
        <f>ROUND(B908*$AD$906, 0)</f>
        <v>6852</v>
      </c>
      <c r="AE908" s="180">
        <f>ROUND(C908*$AE$906,0)</f>
        <v>873</v>
      </c>
      <c r="AF908" s="180">
        <f>ROUND(D908*$AF$906,0)</f>
        <v>915</v>
      </c>
      <c r="AG908" s="180">
        <f>ROUND(E908*$AG$906,0)</f>
        <v>1553</v>
      </c>
      <c r="AH908" s="180">
        <f>ROUND(F908*$AH$906,0)</f>
        <v>0</v>
      </c>
      <c r="AI908" s="180">
        <f>ROUND(H908*$AI$906,0)</f>
        <v>69</v>
      </c>
      <c r="AJ908" s="180">
        <f>ROUND(I908*$AJ$906,0)</f>
        <v>44</v>
      </c>
      <c r="AK908" s="180">
        <f>ROUND(J908*$AK$906,0)</f>
        <v>68</v>
      </c>
      <c r="AL908" s="180">
        <f>ROUND(K908*$AL$906,0)</f>
        <v>70</v>
      </c>
      <c r="AM908" s="180">
        <f>ROUND(L908*$AM$906,0)</f>
        <v>23</v>
      </c>
      <c r="AN908" s="180">
        <f>ROUND(M908*$AN$906,0)</f>
        <v>28</v>
      </c>
      <c r="AO908" s="180">
        <f>ROUND(N908*$AO$906,0)</f>
        <v>58</v>
      </c>
      <c r="AP908" s="180">
        <f>ROUND(O908*$AP$906,0)</f>
        <v>22</v>
      </c>
      <c r="AQ908" s="180">
        <f>ROUND(P908*$AQ$906,0)</f>
        <v>38</v>
      </c>
      <c r="AR908" s="180">
        <f>ROUND(Q908*$AR$906,0)</f>
        <v>52</v>
      </c>
      <c r="AS908" s="210">
        <f>SUM(AD908:AR908)</f>
        <v>10665</v>
      </c>
      <c r="AU908" s="218">
        <f>AS908/R908</f>
        <v>4.1724151196853208E-2</v>
      </c>
    </row>
    <row r="909" spans="1:48" ht="15.75" customHeight="1" x14ac:dyDescent="0.3">
      <c r="A909" s="192" t="s">
        <v>9</v>
      </c>
      <c r="B909" s="180">
        <f t="shared" ref="B909:B919" si="194">ROUND((B852*$B$906)/1000,0)</f>
        <v>109051</v>
      </c>
      <c r="C909" s="180">
        <f t="shared" si="180"/>
        <v>13884</v>
      </c>
      <c r="D909" s="180">
        <f t="shared" si="181"/>
        <v>14548</v>
      </c>
      <c r="E909" s="180">
        <f t="shared" si="182"/>
        <v>24196</v>
      </c>
      <c r="F909" s="180">
        <f t="shared" ref="F909:F919" si="195">(F852*((T852-1526.8)/0.7702))/1000</f>
        <v>7125.2383017398133</v>
      </c>
      <c r="G909" s="180">
        <f t="shared" si="183"/>
        <v>0</v>
      </c>
      <c r="H909" s="180">
        <f t="shared" si="184"/>
        <v>5623</v>
      </c>
      <c r="I909" s="180">
        <f t="shared" si="185"/>
        <v>2888</v>
      </c>
      <c r="J909" s="180">
        <f t="shared" si="186"/>
        <v>4416</v>
      </c>
      <c r="K909" s="180">
        <f t="shared" si="187"/>
        <v>4177</v>
      </c>
      <c r="L909" s="180">
        <f t="shared" si="188"/>
        <v>1146</v>
      </c>
      <c r="M909" s="180">
        <f t="shared" si="189"/>
        <v>1350</v>
      </c>
      <c r="N909" s="180">
        <f t="shared" si="190"/>
        <v>2696</v>
      </c>
      <c r="O909" s="180">
        <f t="shared" si="191"/>
        <v>573</v>
      </c>
      <c r="P909" s="180">
        <f t="shared" si="192"/>
        <v>1064</v>
      </c>
      <c r="Q909" s="180">
        <f t="shared" si="193"/>
        <v>1355</v>
      </c>
      <c r="R909" s="216">
        <f t="shared" ref="R909:R919" si="196">(SUM(B909:Q909))</f>
        <v>194092.23830173982</v>
      </c>
      <c r="S909" s="217"/>
      <c r="AC909" s="211" t="s">
        <v>9</v>
      </c>
      <c r="AD909" s="180">
        <f t="shared" ref="AD909:AD919" si="197">ROUND(B909*$AD$906, 0)</f>
        <v>5125</v>
      </c>
      <c r="AE909" s="180">
        <f t="shared" ref="AE909:AE919" si="198">ROUND(C909*$AE$906,0)</f>
        <v>653</v>
      </c>
      <c r="AF909" s="180">
        <f t="shared" ref="AF909:AF919" si="199">ROUND(D909*$AF$906,0)</f>
        <v>684</v>
      </c>
      <c r="AG909" s="180">
        <f t="shared" ref="AG909:AG919" si="200">ROUND(E909*$AG$906,0)</f>
        <v>1137</v>
      </c>
      <c r="AH909" s="180">
        <f t="shared" ref="AH909:AH919" si="201">ROUND(F909*$AH$906,0)</f>
        <v>0</v>
      </c>
      <c r="AI909" s="180">
        <f t="shared" ref="AI909:AI919" si="202">ROUND(H909*$AI$906,0)</f>
        <v>169</v>
      </c>
      <c r="AJ909" s="180">
        <f t="shared" ref="AJ909:AJ919" si="203">ROUND(I909*$AJ$906,0)</f>
        <v>87</v>
      </c>
      <c r="AK909" s="180">
        <f t="shared" ref="AK909:AK919" si="204">ROUND(J909*$AK$906,0)</f>
        <v>132</v>
      </c>
      <c r="AL909" s="180">
        <f t="shared" ref="AL909:AL919" si="205">ROUND(K909*$AL$906,0)</f>
        <v>125</v>
      </c>
      <c r="AM909" s="180">
        <f t="shared" ref="AM909:AM919" si="206">ROUND(L909*$AM$906,0)</f>
        <v>34</v>
      </c>
      <c r="AN909" s="180">
        <f t="shared" ref="AN909:AN919" si="207">ROUND(M909*$AN$906,0)</f>
        <v>41</v>
      </c>
      <c r="AO909" s="180">
        <f t="shared" ref="AO909:AO919" si="208">ROUND(N909*$AO$906,0)</f>
        <v>81</v>
      </c>
      <c r="AP909" s="180">
        <f t="shared" ref="AP909:AP919" si="209">ROUND(O909*$AP$906,0)</f>
        <v>17</v>
      </c>
      <c r="AQ909" s="180">
        <f t="shared" ref="AQ909:AQ919" si="210">ROUND(P909*$AQ$906,0)</f>
        <v>32</v>
      </c>
      <c r="AR909" s="180">
        <f t="shared" ref="AR909:AR919" si="211">ROUND(Q909*$AR$906,0)</f>
        <v>41</v>
      </c>
      <c r="AS909" s="210">
        <f t="shared" ref="AS909:AS919" si="212">SUM(AD909:AR909)</f>
        <v>8358</v>
      </c>
      <c r="AU909" s="218">
        <f t="shared" ref="AU909:AU921" si="213">AS909/R909</f>
        <v>4.3062000176464964E-2</v>
      </c>
    </row>
    <row r="910" spans="1:48" ht="15.75" customHeight="1" x14ac:dyDescent="0.3">
      <c r="A910" s="192" t="s">
        <v>10</v>
      </c>
      <c r="B910" s="180">
        <f t="shared" si="194"/>
        <v>117192</v>
      </c>
      <c r="C910" s="180">
        <f t="shared" si="180"/>
        <v>14906</v>
      </c>
      <c r="D910" s="180">
        <f t="shared" si="181"/>
        <v>15606</v>
      </c>
      <c r="E910" s="180">
        <f t="shared" si="182"/>
        <v>25493</v>
      </c>
      <c r="F910" s="180">
        <f t="shared" si="195"/>
        <v>1001.2673331602186</v>
      </c>
      <c r="G910" s="180">
        <f t="shared" si="183"/>
        <v>-1666.5490580256212</v>
      </c>
      <c r="H910" s="180">
        <f t="shared" si="184"/>
        <v>8674</v>
      </c>
      <c r="I910" s="180">
        <f t="shared" si="185"/>
        <v>5063</v>
      </c>
      <c r="J910" s="180">
        <f t="shared" si="186"/>
        <v>6151</v>
      </c>
      <c r="K910" s="180">
        <f t="shared" si="187"/>
        <v>5721</v>
      </c>
      <c r="L910" s="180">
        <f t="shared" si="188"/>
        <v>1749</v>
      </c>
      <c r="M910" s="180">
        <f t="shared" si="189"/>
        <v>2060</v>
      </c>
      <c r="N910" s="180">
        <f t="shared" si="190"/>
        <v>4167</v>
      </c>
      <c r="O910" s="180">
        <f t="shared" si="191"/>
        <v>758</v>
      </c>
      <c r="P910" s="180">
        <f t="shared" si="192"/>
        <v>1347</v>
      </c>
      <c r="Q910" s="180">
        <f t="shared" si="193"/>
        <v>1794</v>
      </c>
      <c r="R910" s="216">
        <f t="shared" si="196"/>
        <v>210015.7182751346</v>
      </c>
      <c r="S910" s="217"/>
      <c r="AC910" s="211" t="s">
        <v>10</v>
      </c>
      <c r="AD910" s="180">
        <f t="shared" si="197"/>
        <v>5508</v>
      </c>
      <c r="AE910" s="180">
        <f t="shared" si="198"/>
        <v>701</v>
      </c>
      <c r="AF910" s="180">
        <f t="shared" si="199"/>
        <v>733</v>
      </c>
      <c r="AG910" s="180">
        <f t="shared" si="200"/>
        <v>1198</v>
      </c>
      <c r="AH910" s="180">
        <f t="shared" si="201"/>
        <v>0</v>
      </c>
      <c r="AI910" s="180">
        <f t="shared" si="202"/>
        <v>260</v>
      </c>
      <c r="AJ910" s="180">
        <f t="shared" si="203"/>
        <v>152</v>
      </c>
      <c r="AK910" s="180">
        <f t="shared" si="204"/>
        <v>185</v>
      </c>
      <c r="AL910" s="180">
        <f t="shared" si="205"/>
        <v>172</v>
      </c>
      <c r="AM910" s="180">
        <f t="shared" si="206"/>
        <v>52</v>
      </c>
      <c r="AN910" s="180">
        <f t="shared" si="207"/>
        <v>62</v>
      </c>
      <c r="AO910" s="180">
        <f t="shared" si="208"/>
        <v>125</v>
      </c>
      <c r="AP910" s="180">
        <f t="shared" si="209"/>
        <v>23</v>
      </c>
      <c r="AQ910" s="180">
        <f t="shared" si="210"/>
        <v>40</v>
      </c>
      <c r="AR910" s="180">
        <f t="shared" si="211"/>
        <v>54</v>
      </c>
      <c r="AS910" s="210">
        <f t="shared" si="212"/>
        <v>9265</v>
      </c>
      <c r="AU910" s="218">
        <f t="shared" si="213"/>
        <v>4.4115745602727852E-2</v>
      </c>
    </row>
    <row r="911" spans="1:48" ht="15.75" customHeight="1" x14ac:dyDescent="0.3">
      <c r="A911" s="192" t="s">
        <v>12</v>
      </c>
      <c r="B911" s="180">
        <f t="shared" si="194"/>
        <v>159871</v>
      </c>
      <c r="C911" s="180">
        <f t="shared" si="180"/>
        <v>20336</v>
      </c>
      <c r="D911" s="180">
        <f t="shared" si="181"/>
        <v>21291</v>
      </c>
      <c r="E911" s="180">
        <f t="shared" si="182"/>
        <v>34969</v>
      </c>
      <c r="F911" s="180">
        <f t="shared" si="195"/>
        <v>6164.8320088496102</v>
      </c>
      <c r="G911" s="180">
        <f t="shared" si="183"/>
        <v>0</v>
      </c>
      <c r="H911" s="180">
        <f t="shared" si="184"/>
        <v>10009</v>
      </c>
      <c r="I911" s="180">
        <f t="shared" si="185"/>
        <v>6295</v>
      </c>
      <c r="J911" s="180">
        <f t="shared" si="186"/>
        <v>7551</v>
      </c>
      <c r="K911" s="180">
        <f t="shared" si="187"/>
        <v>6562</v>
      </c>
      <c r="L911" s="180">
        <f t="shared" si="188"/>
        <v>2108</v>
      </c>
      <c r="M911" s="180">
        <f t="shared" si="189"/>
        <v>2483</v>
      </c>
      <c r="N911" s="180">
        <f t="shared" si="190"/>
        <v>5138</v>
      </c>
      <c r="O911" s="180">
        <f t="shared" si="191"/>
        <v>792</v>
      </c>
      <c r="P911" s="180">
        <f t="shared" si="192"/>
        <v>1161</v>
      </c>
      <c r="Q911" s="180">
        <f t="shared" si="193"/>
        <v>1853</v>
      </c>
      <c r="R911" s="216">
        <f t="shared" si="196"/>
        <v>286583.8320088496</v>
      </c>
      <c r="S911" s="217"/>
      <c r="AC911" s="211" t="s">
        <v>12</v>
      </c>
      <c r="AD911" s="180">
        <f t="shared" si="197"/>
        <v>7514</v>
      </c>
      <c r="AE911" s="180">
        <f t="shared" si="198"/>
        <v>956</v>
      </c>
      <c r="AF911" s="180">
        <f t="shared" si="199"/>
        <v>1001</v>
      </c>
      <c r="AG911" s="180">
        <f t="shared" si="200"/>
        <v>1644</v>
      </c>
      <c r="AH911" s="180">
        <f t="shared" si="201"/>
        <v>0</v>
      </c>
      <c r="AI911" s="180">
        <f t="shared" si="202"/>
        <v>300</v>
      </c>
      <c r="AJ911" s="180">
        <f t="shared" si="203"/>
        <v>189</v>
      </c>
      <c r="AK911" s="180">
        <f t="shared" si="204"/>
        <v>227</v>
      </c>
      <c r="AL911" s="180">
        <f t="shared" si="205"/>
        <v>197</v>
      </c>
      <c r="AM911" s="180">
        <f t="shared" si="206"/>
        <v>63</v>
      </c>
      <c r="AN911" s="180">
        <f t="shared" si="207"/>
        <v>74</v>
      </c>
      <c r="AO911" s="180">
        <f t="shared" si="208"/>
        <v>154</v>
      </c>
      <c r="AP911" s="180">
        <f t="shared" si="209"/>
        <v>24</v>
      </c>
      <c r="AQ911" s="180">
        <f t="shared" si="210"/>
        <v>35</v>
      </c>
      <c r="AR911" s="180">
        <f t="shared" si="211"/>
        <v>56</v>
      </c>
      <c r="AS911" s="210">
        <f t="shared" si="212"/>
        <v>12434</v>
      </c>
      <c r="AU911" s="218">
        <f t="shared" si="213"/>
        <v>4.3386955617287032E-2</v>
      </c>
    </row>
    <row r="912" spans="1:48" ht="15.75" customHeight="1" x14ac:dyDescent="0.3">
      <c r="A912" s="192" t="s">
        <v>13</v>
      </c>
      <c r="B912" s="180">
        <f t="shared" si="194"/>
        <v>170463</v>
      </c>
      <c r="C912" s="180">
        <f t="shared" si="180"/>
        <v>21679</v>
      </c>
      <c r="D912" s="180">
        <f t="shared" si="181"/>
        <v>22694</v>
      </c>
      <c r="E912" s="180">
        <f t="shared" si="182"/>
        <v>37219</v>
      </c>
      <c r="F912" s="180">
        <f t="shared" si="195"/>
        <v>2686.1622955076641</v>
      </c>
      <c r="G912" s="180">
        <f t="shared" si="183"/>
        <v>0</v>
      </c>
      <c r="H912" s="180">
        <f t="shared" si="184"/>
        <v>11565</v>
      </c>
      <c r="I912" s="180">
        <f t="shared" si="185"/>
        <v>5826</v>
      </c>
      <c r="J912" s="180">
        <f t="shared" si="186"/>
        <v>6760</v>
      </c>
      <c r="K912" s="180">
        <f t="shared" si="187"/>
        <v>6301</v>
      </c>
      <c r="L912" s="180">
        <f t="shared" si="188"/>
        <v>2206</v>
      </c>
      <c r="M912" s="180">
        <f t="shared" si="189"/>
        <v>2598</v>
      </c>
      <c r="N912" s="180">
        <f t="shared" si="190"/>
        <v>5219</v>
      </c>
      <c r="O912" s="180">
        <f t="shared" si="191"/>
        <v>780</v>
      </c>
      <c r="P912" s="180">
        <f t="shared" si="192"/>
        <v>503</v>
      </c>
      <c r="Q912" s="180">
        <f t="shared" si="193"/>
        <v>1844</v>
      </c>
      <c r="R912" s="216">
        <f t="shared" si="196"/>
        <v>298343.16229550767</v>
      </c>
      <c r="S912" s="217"/>
      <c r="AC912" s="211" t="s">
        <v>13</v>
      </c>
      <c r="AD912" s="180">
        <f t="shared" si="197"/>
        <v>8012</v>
      </c>
      <c r="AE912" s="180">
        <f t="shared" si="198"/>
        <v>1019</v>
      </c>
      <c r="AF912" s="180">
        <f t="shared" si="199"/>
        <v>1067</v>
      </c>
      <c r="AG912" s="180">
        <f t="shared" si="200"/>
        <v>1749</v>
      </c>
      <c r="AH912" s="180">
        <f t="shared" si="201"/>
        <v>0</v>
      </c>
      <c r="AI912" s="180">
        <f t="shared" si="202"/>
        <v>347</v>
      </c>
      <c r="AJ912" s="180">
        <f t="shared" si="203"/>
        <v>175</v>
      </c>
      <c r="AK912" s="180">
        <f t="shared" si="204"/>
        <v>203</v>
      </c>
      <c r="AL912" s="180">
        <f t="shared" si="205"/>
        <v>189</v>
      </c>
      <c r="AM912" s="180">
        <f t="shared" si="206"/>
        <v>66</v>
      </c>
      <c r="AN912" s="180">
        <f t="shared" si="207"/>
        <v>78</v>
      </c>
      <c r="AO912" s="180">
        <f t="shared" si="208"/>
        <v>157</v>
      </c>
      <c r="AP912" s="180">
        <f t="shared" si="209"/>
        <v>23</v>
      </c>
      <c r="AQ912" s="180">
        <f t="shared" si="210"/>
        <v>15</v>
      </c>
      <c r="AR912" s="180">
        <f t="shared" si="211"/>
        <v>55</v>
      </c>
      <c r="AS912" s="210">
        <f t="shared" si="212"/>
        <v>13155</v>
      </c>
      <c r="AU912" s="218">
        <f t="shared" si="213"/>
        <v>4.4093519351283229E-2</v>
      </c>
    </row>
    <row r="913" spans="1:47" ht="15.75" customHeight="1" x14ac:dyDescent="0.3">
      <c r="A913" s="192" t="s">
        <v>14</v>
      </c>
      <c r="B913" s="180">
        <f t="shared" si="194"/>
        <v>87696</v>
      </c>
      <c r="C913" s="180">
        <f t="shared" si="180"/>
        <v>11129</v>
      </c>
      <c r="D913" s="180">
        <f t="shared" si="181"/>
        <v>11625</v>
      </c>
      <c r="E913" s="180">
        <f t="shared" si="182"/>
        <v>18097</v>
      </c>
      <c r="F913" s="180">
        <f t="shared" si="195"/>
        <v>0</v>
      </c>
      <c r="G913" s="180">
        <f t="shared" si="183"/>
        <v>-15232.50655614168</v>
      </c>
      <c r="H913" s="180">
        <f t="shared" si="184"/>
        <v>14067</v>
      </c>
      <c r="I913" s="180">
        <f t="shared" si="185"/>
        <v>7265</v>
      </c>
      <c r="J913" s="180">
        <f t="shared" si="186"/>
        <v>7269</v>
      </c>
      <c r="K913" s="180">
        <f t="shared" si="187"/>
        <v>5965</v>
      </c>
      <c r="L913" s="180">
        <f t="shared" si="188"/>
        <v>2111</v>
      </c>
      <c r="M913" s="180">
        <f t="shared" si="189"/>
        <v>2486</v>
      </c>
      <c r="N913" s="180">
        <f t="shared" si="190"/>
        <v>4854</v>
      </c>
      <c r="O913" s="180">
        <f t="shared" si="191"/>
        <v>834</v>
      </c>
      <c r="P913" s="180">
        <f t="shared" si="192"/>
        <v>1655</v>
      </c>
      <c r="Q913" s="180">
        <f t="shared" si="193"/>
        <v>1971</v>
      </c>
      <c r="R913" s="216">
        <f>(SUM(B913:Q913))</f>
        <v>161791.49344385832</v>
      </c>
      <c r="S913" s="217"/>
      <c r="AC913" s="211" t="s">
        <v>14</v>
      </c>
      <c r="AD913" s="180">
        <f t="shared" si="197"/>
        <v>4122</v>
      </c>
      <c r="AE913" s="180">
        <f t="shared" si="198"/>
        <v>523</v>
      </c>
      <c r="AF913" s="180">
        <f t="shared" si="199"/>
        <v>546</v>
      </c>
      <c r="AG913" s="180">
        <f t="shared" si="200"/>
        <v>851</v>
      </c>
      <c r="AH913" s="180">
        <f t="shared" si="201"/>
        <v>0</v>
      </c>
      <c r="AI913" s="180">
        <f t="shared" si="202"/>
        <v>422</v>
      </c>
      <c r="AJ913" s="180">
        <f t="shared" si="203"/>
        <v>218</v>
      </c>
      <c r="AK913" s="180">
        <f t="shared" si="204"/>
        <v>218</v>
      </c>
      <c r="AL913" s="180">
        <f t="shared" si="205"/>
        <v>179</v>
      </c>
      <c r="AM913" s="180">
        <f t="shared" si="206"/>
        <v>63</v>
      </c>
      <c r="AN913" s="180">
        <f t="shared" si="207"/>
        <v>75</v>
      </c>
      <c r="AO913" s="180">
        <f t="shared" si="208"/>
        <v>146</v>
      </c>
      <c r="AP913" s="180">
        <f t="shared" si="209"/>
        <v>25</v>
      </c>
      <c r="AQ913" s="180">
        <f t="shared" si="210"/>
        <v>50</v>
      </c>
      <c r="AR913" s="180">
        <f t="shared" si="211"/>
        <v>59</v>
      </c>
      <c r="AS913" s="210">
        <f t="shared" si="212"/>
        <v>7497</v>
      </c>
      <c r="AU913" s="218">
        <f t="shared" si="213"/>
        <v>4.6337417625738529E-2</v>
      </c>
    </row>
    <row r="914" spans="1:47" ht="15.75" customHeight="1" x14ac:dyDescent="0.3">
      <c r="A914" s="192" t="s">
        <v>16</v>
      </c>
      <c r="B914" s="180">
        <f t="shared" si="194"/>
        <v>74094</v>
      </c>
      <c r="C914" s="180">
        <f t="shared" si="180"/>
        <v>9395</v>
      </c>
      <c r="D914" s="180">
        <f t="shared" si="181"/>
        <v>9806</v>
      </c>
      <c r="E914" s="180">
        <f t="shared" si="182"/>
        <v>14892</v>
      </c>
      <c r="F914" s="180">
        <f t="shared" si="195"/>
        <v>0</v>
      </c>
      <c r="G914" s="180">
        <f t="shared" si="183"/>
        <v>-14511.141514979801</v>
      </c>
      <c r="H914" s="180">
        <f t="shared" si="184"/>
        <v>12435</v>
      </c>
      <c r="I914" s="180">
        <f t="shared" si="185"/>
        <v>8001</v>
      </c>
      <c r="J914" s="180">
        <f t="shared" si="186"/>
        <v>7107</v>
      </c>
      <c r="K914" s="180">
        <f t="shared" si="187"/>
        <v>6596</v>
      </c>
      <c r="L914" s="180">
        <f t="shared" si="188"/>
        <v>2198</v>
      </c>
      <c r="M914" s="180">
        <f t="shared" si="189"/>
        <v>2589</v>
      </c>
      <c r="N914" s="180">
        <f t="shared" si="190"/>
        <v>4952</v>
      </c>
      <c r="O914" s="180">
        <f t="shared" si="191"/>
        <v>694</v>
      </c>
      <c r="P914" s="180">
        <f t="shared" si="192"/>
        <v>1669</v>
      </c>
      <c r="Q914" s="180">
        <f t="shared" si="193"/>
        <v>1640</v>
      </c>
      <c r="R914" s="216">
        <f t="shared" si="196"/>
        <v>141556.8584850202</v>
      </c>
      <c r="S914" s="217"/>
      <c r="AC914" s="211" t="s">
        <v>16</v>
      </c>
      <c r="AD914" s="180">
        <f t="shared" si="197"/>
        <v>3482</v>
      </c>
      <c r="AE914" s="180">
        <f t="shared" si="198"/>
        <v>442</v>
      </c>
      <c r="AF914" s="180">
        <f t="shared" si="199"/>
        <v>461</v>
      </c>
      <c r="AG914" s="180">
        <f t="shared" si="200"/>
        <v>700</v>
      </c>
      <c r="AH914" s="180">
        <f t="shared" si="201"/>
        <v>0</v>
      </c>
      <c r="AI914" s="180">
        <f t="shared" si="202"/>
        <v>373</v>
      </c>
      <c r="AJ914" s="180">
        <f t="shared" si="203"/>
        <v>240</v>
      </c>
      <c r="AK914" s="180">
        <f t="shared" si="204"/>
        <v>213</v>
      </c>
      <c r="AL914" s="180">
        <f t="shared" si="205"/>
        <v>198</v>
      </c>
      <c r="AM914" s="180">
        <f t="shared" si="206"/>
        <v>66</v>
      </c>
      <c r="AN914" s="180">
        <f t="shared" si="207"/>
        <v>78</v>
      </c>
      <c r="AO914" s="180">
        <f t="shared" si="208"/>
        <v>149</v>
      </c>
      <c r="AP914" s="180">
        <f t="shared" si="209"/>
        <v>21</v>
      </c>
      <c r="AQ914" s="180">
        <f t="shared" si="210"/>
        <v>50</v>
      </c>
      <c r="AR914" s="180">
        <f t="shared" si="211"/>
        <v>49</v>
      </c>
      <c r="AS914" s="210">
        <f t="shared" si="212"/>
        <v>6522</v>
      </c>
      <c r="AU914" s="218">
        <f t="shared" si="213"/>
        <v>4.6073359283331151E-2</v>
      </c>
    </row>
    <row r="915" spans="1:47" ht="15.75" customHeight="1" x14ac:dyDescent="0.3">
      <c r="A915" s="192" t="s">
        <v>17</v>
      </c>
      <c r="B915" s="180">
        <f t="shared" si="194"/>
        <v>64780</v>
      </c>
      <c r="C915" s="180">
        <f t="shared" si="180"/>
        <v>8218</v>
      </c>
      <c r="D915" s="180">
        <f t="shared" si="181"/>
        <v>8581</v>
      </c>
      <c r="E915" s="180">
        <f t="shared" si="182"/>
        <v>13053</v>
      </c>
      <c r="F915" s="180">
        <f t="shared" si="195"/>
        <v>0</v>
      </c>
      <c r="G915" s="180">
        <f t="shared" si="183"/>
        <v>-9240.355367309241</v>
      </c>
      <c r="H915" s="180">
        <f t="shared" si="184"/>
        <v>9399</v>
      </c>
      <c r="I915" s="180">
        <f t="shared" si="185"/>
        <v>5753</v>
      </c>
      <c r="J915" s="180">
        <f t="shared" si="186"/>
        <v>6315</v>
      </c>
      <c r="K915" s="180">
        <f t="shared" si="187"/>
        <v>5638</v>
      </c>
      <c r="L915" s="180">
        <f t="shared" si="188"/>
        <v>2014</v>
      </c>
      <c r="M915" s="180">
        <f t="shared" si="189"/>
        <v>2373</v>
      </c>
      <c r="N915" s="180">
        <f t="shared" si="190"/>
        <v>4498</v>
      </c>
      <c r="O915" s="180">
        <f t="shared" si="191"/>
        <v>409</v>
      </c>
      <c r="P915" s="180">
        <f t="shared" si="192"/>
        <v>1619</v>
      </c>
      <c r="Q915" s="180">
        <f t="shared" si="193"/>
        <v>965</v>
      </c>
      <c r="R915" s="216">
        <f t="shared" si="196"/>
        <v>124374.64463269076</v>
      </c>
      <c r="S915" s="217"/>
      <c r="AC915" s="211" t="s">
        <v>17</v>
      </c>
      <c r="AD915" s="180">
        <f t="shared" si="197"/>
        <v>3045</v>
      </c>
      <c r="AE915" s="180">
        <f t="shared" si="198"/>
        <v>386</v>
      </c>
      <c r="AF915" s="180">
        <f t="shared" si="199"/>
        <v>403</v>
      </c>
      <c r="AG915" s="180">
        <f t="shared" si="200"/>
        <v>613</v>
      </c>
      <c r="AH915" s="180">
        <f t="shared" si="201"/>
        <v>0</v>
      </c>
      <c r="AI915" s="180">
        <f t="shared" si="202"/>
        <v>282</v>
      </c>
      <c r="AJ915" s="180">
        <f t="shared" si="203"/>
        <v>173</v>
      </c>
      <c r="AK915" s="180">
        <f t="shared" si="204"/>
        <v>189</v>
      </c>
      <c r="AL915" s="180">
        <f t="shared" si="205"/>
        <v>169</v>
      </c>
      <c r="AM915" s="180">
        <f t="shared" si="206"/>
        <v>60</v>
      </c>
      <c r="AN915" s="180">
        <f t="shared" si="207"/>
        <v>71</v>
      </c>
      <c r="AO915" s="180">
        <f t="shared" si="208"/>
        <v>135</v>
      </c>
      <c r="AP915" s="180">
        <f t="shared" si="209"/>
        <v>12</v>
      </c>
      <c r="AQ915" s="180">
        <f t="shared" si="210"/>
        <v>49</v>
      </c>
      <c r="AR915" s="180">
        <f t="shared" si="211"/>
        <v>29</v>
      </c>
      <c r="AS915" s="210">
        <f t="shared" si="212"/>
        <v>5616</v>
      </c>
      <c r="AU915" s="218">
        <f t="shared" si="213"/>
        <v>4.5153897859048713E-2</v>
      </c>
    </row>
    <row r="916" spans="1:47" ht="15.75" customHeight="1" x14ac:dyDescent="0.3">
      <c r="A916" s="192" t="s">
        <v>18</v>
      </c>
      <c r="B916" s="180">
        <f t="shared" si="194"/>
        <v>125603</v>
      </c>
      <c r="C916" s="180">
        <f t="shared" si="180"/>
        <v>15974</v>
      </c>
      <c r="D916" s="180">
        <f t="shared" si="181"/>
        <v>16721</v>
      </c>
      <c r="E916" s="180">
        <f t="shared" si="182"/>
        <v>27725</v>
      </c>
      <c r="F916" s="180">
        <f t="shared" si="195"/>
        <v>3348.0515190859546</v>
      </c>
      <c r="G916" s="180">
        <f t="shared" si="183"/>
        <v>-2315.0367445365478</v>
      </c>
      <c r="H916" s="180">
        <f t="shared" si="184"/>
        <v>7771</v>
      </c>
      <c r="I916" s="180">
        <f t="shared" si="185"/>
        <v>5345</v>
      </c>
      <c r="J916" s="180">
        <f t="shared" si="186"/>
        <v>6492</v>
      </c>
      <c r="K916" s="180">
        <f t="shared" si="187"/>
        <v>5963</v>
      </c>
      <c r="L916" s="180">
        <f t="shared" si="188"/>
        <v>1902</v>
      </c>
      <c r="M916" s="180">
        <f t="shared" si="189"/>
        <v>2241</v>
      </c>
      <c r="N916" s="180">
        <f t="shared" si="190"/>
        <v>4306</v>
      </c>
      <c r="O916" s="180">
        <f t="shared" si="191"/>
        <v>917</v>
      </c>
      <c r="P916" s="180">
        <f t="shared" si="192"/>
        <v>1149</v>
      </c>
      <c r="Q916" s="180">
        <f t="shared" si="193"/>
        <v>2169</v>
      </c>
      <c r="R916" s="216">
        <f t="shared" si="196"/>
        <v>225311.0147745494</v>
      </c>
      <c r="S916" s="217"/>
      <c r="AC916" s="211" t="s">
        <v>18</v>
      </c>
      <c r="AD916" s="180">
        <f t="shared" si="197"/>
        <v>5903</v>
      </c>
      <c r="AE916" s="180">
        <f t="shared" si="198"/>
        <v>751</v>
      </c>
      <c r="AF916" s="180">
        <f t="shared" si="199"/>
        <v>786</v>
      </c>
      <c r="AG916" s="180">
        <f t="shared" si="200"/>
        <v>1303</v>
      </c>
      <c r="AH916" s="180">
        <f t="shared" si="201"/>
        <v>0</v>
      </c>
      <c r="AI916" s="180">
        <f t="shared" si="202"/>
        <v>233</v>
      </c>
      <c r="AJ916" s="180">
        <f t="shared" si="203"/>
        <v>160</v>
      </c>
      <c r="AK916" s="180">
        <f t="shared" si="204"/>
        <v>195</v>
      </c>
      <c r="AL916" s="180">
        <f t="shared" si="205"/>
        <v>179</v>
      </c>
      <c r="AM916" s="180">
        <f t="shared" si="206"/>
        <v>57</v>
      </c>
      <c r="AN916" s="180">
        <f t="shared" si="207"/>
        <v>67</v>
      </c>
      <c r="AO916" s="180">
        <f t="shared" si="208"/>
        <v>129</v>
      </c>
      <c r="AP916" s="180">
        <f t="shared" si="209"/>
        <v>28</v>
      </c>
      <c r="AQ916" s="180">
        <f t="shared" si="210"/>
        <v>34</v>
      </c>
      <c r="AR916" s="180">
        <f t="shared" si="211"/>
        <v>65</v>
      </c>
      <c r="AS916" s="210">
        <f t="shared" si="212"/>
        <v>9890</v>
      </c>
      <c r="AU916" s="218">
        <f t="shared" si="213"/>
        <v>4.3894880194366562E-2</v>
      </c>
    </row>
    <row r="917" spans="1:47" ht="15.75" customHeight="1" x14ac:dyDescent="0.3">
      <c r="A917" s="192" t="s">
        <v>20</v>
      </c>
      <c r="B917" s="180">
        <f t="shared" si="194"/>
        <v>127699</v>
      </c>
      <c r="C917" s="180">
        <f t="shared" si="180"/>
        <v>16245</v>
      </c>
      <c r="D917" s="180">
        <f t="shared" si="181"/>
        <v>17009</v>
      </c>
      <c r="E917" s="180">
        <f t="shared" si="182"/>
        <v>28525</v>
      </c>
      <c r="F917" s="180">
        <f t="shared" si="195"/>
        <v>7245.3053362762812</v>
      </c>
      <c r="G917" s="180">
        <f t="shared" si="183"/>
        <v>-131.45975885455857</v>
      </c>
      <c r="H917" s="180">
        <f t="shared" si="184"/>
        <v>5069</v>
      </c>
      <c r="I917" s="180">
        <f t="shared" si="185"/>
        <v>1769</v>
      </c>
      <c r="J917" s="180">
        <f t="shared" si="186"/>
        <v>2055</v>
      </c>
      <c r="K917" s="180">
        <f t="shared" si="187"/>
        <v>2055</v>
      </c>
      <c r="L917" s="180">
        <f t="shared" si="188"/>
        <v>637</v>
      </c>
      <c r="M917" s="180">
        <f t="shared" si="189"/>
        <v>748</v>
      </c>
      <c r="N917" s="180">
        <f t="shared" si="190"/>
        <v>1407</v>
      </c>
      <c r="O917" s="180">
        <f t="shared" si="191"/>
        <v>353</v>
      </c>
      <c r="P917" s="180">
        <f t="shared" si="192"/>
        <v>0</v>
      </c>
      <c r="Q917" s="180">
        <f t="shared" si="193"/>
        <v>834</v>
      </c>
      <c r="R917" s="216">
        <f t="shared" si="196"/>
        <v>211518.84557742171</v>
      </c>
      <c r="S917" s="217"/>
      <c r="AC917" s="211" t="s">
        <v>20</v>
      </c>
      <c r="AD917" s="180">
        <f t="shared" si="197"/>
        <v>6002</v>
      </c>
      <c r="AE917" s="180">
        <f t="shared" si="198"/>
        <v>764</v>
      </c>
      <c r="AF917" s="180">
        <f t="shared" si="199"/>
        <v>799</v>
      </c>
      <c r="AG917" s="180">
        <f t="shared" si="200"/>
        <v>1341</v>
      </c>
      <c r="AH917" s="180">
        <f t="shared" si="201"/>
        <v>0</v>
      </c>
      <c r="AI917" s="180">
        <f t="shared" si="202"/>
        <v>152</v>
      </c>
      <c r="AJ917" s="180">
        <f t="shared" si="203"/>
        <v>53</v>
      </c>
      <c r="AK917" s="180">
        <f t="shared" si="204"/>
        <v>62</v>
      </c>
      <c r="AL917" s="180">
        <f t="shared" si="205"/>
        <v>62</v>
      </c>
      <c r="AM917" s="180">
        <f t="shared" si="206"/>
        <v>19</v>
      </c>
      <c r="AN917" s="180">
        <f t="shared" si="207"/>
        <v>22</v>
      </c>
      <c r="AO917" s="180">
        <f t="shared" si="208"/>
        <v>42</v>
      </c>
      <c r="AP917" s="180">
        <f t="shared" si="209"/>
        <v>11</v>
      </c>
      <c r="AQ917" s="180">
        <f t="shared" si="210"/>
        <v>0</v>
      </c>
      <c r="AR917" s="180">
        <f t="shared" si="211"/>
        <v>25</v>
      </c>
      <c r="AS917" s="210">
        <f t="shared" si="212"/>
        <v>9354</v>
      </c>
      <c r="AU917" s="218">
        <f t="shared" si="213"/>
        <v>4.4223009890511998E-2</v>
      </c>
    </row>
    <row r="918" spans="1:47" ht="15.75" customHeight="1" x14ac:dyDescent="0.3">
      <c r="A918" s="192" t="s">
        <v>21</v>
      </c>
      <c r="B918" s="180">
        <f t="shared" si="194"/>
        <v>132462</v>
      </c>
      <c r="C918" s="180">
        <f t="shared" si="180"/>
        <v>16858</v>
      </c>
      <c r="D918" s="180">
        <f t="shared" si="181"/>
        <v>17658</v>
      </c>
      <c r="E918" s="180">
        <f t="shared" si="182"/>
        <v>29988</v>
      </c>
      <c r="F918" s="180">
        <f t="shared" si="195"/>
        <v>14312.223824980523</v>
      </c>
      <c r="G918" s="180">
        <f t="shared" si="183"/>
        <v>0</v>
      </c>
      <c r="H918" s="180">
        <f t="shared" si="184"/>
        <v>3137</v>
      </c>
      <c r="I918" s="180">
        <f t="shared" si="185"/>
        <v>1919</v>
      </c>
      <c r="J918" s="180">
        <f t="shared" si="186"/>
        <v>2600</v>
      </c>
      <c r="K918" s="180">
        <f t="shared" si="187"/>
        <v>2686</v>
      </c>
      <c r="L918" s="180">
        <f t="shared" si="188"/>
        <v>718</v>
      </c>
      <c r="M918" s="180">
        <f t="shared" si="189"/>
        <v>844</v>
      </c>
      <c r="N918" s="180">
        <f t="shared" si="190"/>
        <v>1778</v>
      </c>
      <c r="O918" s="180">
        <f t="shared" si="191"/>
        <v>222</v>
      </c>
      <c r="P918" s="180">
        <f t="shared" si="192"/>
        <v>0</v>
      </c>
      <c r="Q918" s="180">
        <f t="shared" si="193"/>
        <v>524</v>
      </c>
      <c r="R918" s="216">
        <f t="shared" si="196"/>
        <v>225706.22382498052</v>
      </c>
      <c r="S918" s="217"/>
      <c r="AC918" s="211" t="s">
        <v>21</v>
      </c>
      <c r="AD918" s="180">
        <f t="shared" si="197"/>
        <v>6226</v>
      </c>
      <c r="AE918" s="180">
        <f t="shared" si="198"/>
        <v>792</v>
      </c>
      <c r="AF918" s="180">
        <f t="shared" si="199"/>
        <v>830</v>
      </c>
      <c r="AG918" s="180">
        <f t="shared" si="200"/>
        <v>1409</v>
      </c>
      <c r="AH918" s="180">
        <f t="shared" si="201"/>
        <v>0</v>
      </c>
      <c r="AI918" s="180">
        <f t="shared" si="202"/>
        <v>94</v>
      </c>
      <c r="AJ918" s="180">
        <f t="shared" si="203"/>
        <v>58</v>
      </c>
      <c r="AK918" s="180">
        <f t="shared" si="204"/>
        <v>78</v>
      </c>
      <c r="AL918" s="180">
        <f t="shared" si="205"/>
        <v>81</v>
      </c>
      <c r="AM918" s="180">
        <f t="shared" si="206"/>
        <v>22</v>
      </c>
      <c r="AN918" s="180">
        <f t="shared" si="207"/>
        <v>25</v>
      </c>
      <c r="AO918" s="180">
        <f t="shared" si="208"/>
        <v>53</v>
      </c>
      <c r="AP918" s="180">
        <f t="shared" si="209"/>
        <v>7</v>
      </c>
      <c r="AQ918" s="180">
        <f t="shared" si="210"/>
        <v>0</v>
      </c>
      <c r="AR918" s="180">
        <f t="shared" si="211"/>
        <v>16</v>
      </c>
      <c r="AS918" s="210">
        <f t="shared" si="212"/>
        <v>9691</v>
      </c>
      <c r="AU918" s="218">
        <f t="shared" si="213"/>
        <v>4.2936343693892536E-2</v>
      </c>
    </row>
    <row r="919" spans="1:47" ht="15.75" customHeight="1" x14ac:dyDescent="0.3">
      <c r="A919" s="192" t="s">
        <v>22</v>
      </c>
      <c r="B919" s="180">
        <f t="shared" si="194"/>
        <v>112154</v>
      </c>
      <c r="C919" s="180">
        <f t="shared" si="180"/>
        <v>14275</v>
      </c>
      <c r="D919" s="180">
        <f t="shared" si="181"/>
        <v>14954</v>
      </c>
      <c r="E919" s="180">
        <f t="shared" si="182"/>
        <v>25292</v>
      </c>
      <c r="F919" s="180">
        <f t="shared" si="195"/>
        <v>10218.635795801449</v>
      </c>
      <c r="G919" s="180">
        <f t="shared" si="183"/>
        <v>0</v>
      </c>
      <c r="H919" s="180">
        <f t="shared" si="184"/>
        <v>4057</v>
      </c>
      <c r="I919" s="180">
        <f t="shared" si="185"/>
        <v>2556</v>
      </c>
      <c r="J919" s="180">
        <f t="shared" si="186"/>
        <v>3717</v>
      </c>
      <c r="K919" s="180">
        <f t="shared" si="187"/>
        <v>3855</v>
      </c>
      <c r="L919" s="180">
        <f t="shared" si="188"/>
        <v>1432</v>
      </c>
      <c r="M919" s="180">
        <f t="shared" si="189"/>
        <v>1687</v>
      </c>
      <c r="N919" s="180">
        <f t="shared" si="190"/>
        <v>3523</v>
      </c>
      <c r="O919" s="180">
        <f t="shared" si="191"/>
        <v>840</v>
      </c>
      <c r="P919" s="180">
        <f t="shared" si="192"/>
        <v>0</v>
      </c>
      <c r="Q919" s="180">
        <f t="shared" si="193"/>
        <v>1989</v>
      </c>
      <c r="R919" s="216">
        <f t="shared" si="196"/>
        <v>200549.63579580144</v>
      </c>
      <c r="S919" s="217"/>
      <c r="AC919" s="211" t="s">
        <v>22</v>
      </c>
      <c r="AD919" s="180">
        <f t="shared" si="197"/>
        <v>5271</v>
      </c>
      <c r="AE919" s="180">
        <f t="shared" si="198"/>
        <v>671</v>
      </c>
      <c r="AF919" s="180">
        <f t="shared" si="199"/>
        <v>703</v>
      </c>
      <c r="AG919" s="180">
        <f t="shared" si="200"/>
        <v>1189</v>
      </c>
      <c r="AH919" s="180">
        <f t="shared" si="201"/>
        <v>0</v>
      </c>
      <c r="AI919" s="180">
        <f t="shared" si="202"/>
        <v>122</v>
      </c>
      <c r="AJ919" s="180">
        <f t="shared" si="203"/>
        <v>77</v>
      </c>
      <c r="AK919" s="180">
        <f t="shared" si="204"/>
        <v>112</v>
      </c>
      <c r="AL919" s="180">
        <f t="shared" si="205"/>
        <v>116</v>
      </c>
      <c r="AM919" s="180">
        <f t="shared" si="206"/>
        <v>43</v>
      </c>
      <c r="AN919" s="180">
        <f t="shared" si="207"/>
        <v>51</v>
      </c>
      <c r="AO919" s="180">
        <f t="shared" si="208"/>
        <v>106</v>
      </c>
      <c r="AP919" s="180">
        <f t="shared" si="209"/>
        <v>25</v>
      </c>
      <c r="AQ919" s="180">
        <f t="shared" si="210"/>
        <v>0</v>
      </c>
      <c r="AR919" s="180">
        <f t="shared" si="211"/>
        <v>60</v>
      </c>
      <c r="AS919" s="210">
        <f t="shared" si="212"/>
        <v>8546</v>
      </c>
      <c r="AU919" s="218">
        <f t="shared" si="213"/>
        <v>4.261289214557084E-2</v>
      </c>
    </row>
    <row r="920" spans="1:47" ht="15.75" customHeight="1" x14ac:dyDescent="0.3">
      <c r="A920" s="189"/>
      <c r="B920" s="180"/>
      <c r="C920" s="180"/>
      <c r="D920" s="180"/>
      <c r="E920" s="180"/>
      <c r="F920" s="180"/>
      <c r="G920" s="180"/>
      <c r="H920" s="180"/>
      <c r="I920" s="180"/>
      <c r="J920" s="180"/>
      <c r="K920" s="180"/>
      <c r="L920" s="180"/>
      <c r="M920" s="180"/>
      <c r="N920" s="180"/>
      <c r="O920" s="180"/>
      <c r="P920" s="180"/>
      <c r="Q920" s="180"/>
      <c r="R920" s="210"/>
      <c r="S920" s="217"/>
      <c r="AC920" s="95"/>
      <c r="AD920" s="180"/>
      <c r="AE920" s="180"/>
      <c r="AF920" s="180"/>
      <c r="AG920" s="180"/>
      <c r="AH920" s="180"/>
      <c r="AI920" s="180"/>
      <c r="AJ920" s="180"/>
      <c r="AK920" s="180"/>
      <c r="AL920" s="180"/>
      <c r="AM920" s="180"/>
      <c r="AN920" s="180"/>
      <c r="AO920" s="180"/>
      <c r="AP920" s="180"/>
      <c r="AQ920" s="180"/>
      <c r="AR920" s="180"/>
      <c r="AS920" s="210"/>
    </row>
    <row r="921" spans="1:47" ht="15.75" customHeight="1" thickBot="1" x14ac:dyDescent="0.35">
      <c r="A921" s="189" t="s">
        <v>641</v>
      </c>
      <c r="B921" s="180">
        <f>SUM(B908:B919)</f>
        <v>1426853</v>
      </c>
      <c r="C921" s="180">
        <f t="shared" ref="C921:R921" si="214">SUM(C908:C919)</f>
        <v>181473</v>
      </c>
      <c r="D921" s="180">
        <f t="shared" si="214"/>
        <v>189968</v>
      </c>
      <c r="E921" s="180">
        <f t="shared" si="214"/>
        <v>312499</v>
      </c>
      <c r="F921" s="180">
        <f t="shared" si="214"/>
        <v>75110.073163843714</v>
      </c>
      <c r="G921" s="180">
        <f t="shared" si="214"/>
        <v>-43097.048999847451</v>
      </c>
      <c r="H921" s="180">
        <f t="shared" si="214"/>
        <v>94116</v>
      </c>
      <c r="I921" s="180">
        <f t="shared" si="214"/>
        <v>54133</v>
      </c>
      <c r="J921" s="180">
        <f t="shared" si="214"/>
        <v>62699</v>
      </c>
      <c r="K921" s="180">
        <f t="shared" si="214"/>
        <v>57850</v>
      </c>
      <c r="L921" s="180">
        <f t="shared" si="214"/>
        <v>19001</v>
      </c>
      <c r="M921" s="180">
        <f t="shared" si="214"/>
        <v>22377</v>
      </c>
      <c r="N921" s="180">
        <f t="shared" si="214"/>
        <v>44456</v>
      </c>
      <c r="O921" s="180">
        <f t="shared" si="214"/>
        <v>7909</v>
      </c>
      <c r="P921" s="180">
        <f t="shared" si="214"/>
        <v>11421</v>
      </c>
      <c r="Q921" s="180">
        <f t="shared" si="214"/>
        <v>18683</v>
      </c>
      <c r="R921" s="219">
        <f t="shared" si="214"/>
        <v>2535451.0241639963</v>
      </c>
      <c r="S921" s="217"/>
      <c r="AC921" s="220" t="s">
        <v>641</v>
      </c>
      <c r="AD921" s="195">
        <f>SUM(AD908:AD919)</f>
        <v>67062</v>
      </c>
      <c r="AE921" s="195">
        <f t="shared" ref="AE921:AS921" si="215">SUM(AE908:AE919)</f>
        <v>8531</v>
      </c>
      <c r="AF921" s="195">
        <f t="shared" si="215"/>
        <v>8928</v>
      </c>
      <c r="AG921" s="195">
        <f t="shared" si="215"/>
        <v>14687</v>
      </c>
      <c r="AH921" s="195">
        <f t="shared" si="215"/>
        <v>0</v>
      </c>
      <c r="AI921" s="195">
        <f t="shared" si="215"/>
        <v>2823</v>
      </c>
      <c r="AJ921" s="195">
        <f t="shared" si="215"/>
        <v>1626</v>
      </c>
      <c r="AK921" s="195">
        <f t="shared" si="215"/>
        <v>1882</v>
      </c>
      <c r="AL921" s="195">
        <f t="shared" si="215"/>
        <v>1737</v>
      </c>
      <c r="AM921" s="195">
        <f t="shared" si="215"/>
        <v>568</v>
      </c>
      <c r="AN921" s="195">
        <f t="shared" si="215"/>
        <v>672</v>
      </c>
      <c r="AO921" s="195">
        <f t="shared" si="215"/>
        <v>1335</v>
      </c>
      <c r="AP921" s="195">
        <f t="shared" si="215"/>
        <v>238</v>
      </c>
      <c r="AQ921" s="195">
        <f t="shared" si="215"/>
        <v>343</v>
      </c>
      <c r="AR921" s="195">
        <f t="shared" si="215"/>
        <v>561</v>
      </c>
      <c r="AS921" s="221">
        <f t="shared" si="215"/>
        <v>110993</v>
      </c>
      <c r="AU921" s="218">
        <f t="shared" si="213"/>
        <v>4.3776432256898853E-2</v>
      </c>
    </row>
    <row r="922" spans="1:47" ht="16.5" customHeight="1" thickBot="1" x14ac:dyDescent="0.35">
      <c r="A922" s="204" t="s">
        <v>7</v>
      </c>
      <c r="B922" s="195"/>
      <c r="C922" s="195"/>
      <c r="D922" s="195"/>
      <c r="E922" s="195"/>
      <c r="F922" s="195"/>
      <c r="G922" s="195"/>
      <c r="H922" s="195"/>
      <c r="I922" s="195"/>
      <c r="J922" s="195"/>
      <c r="K922" s="195"/>
      <c r="L922" s="195"/>
      <c r="M922" s="195"/>
      <c r="N922" s="195"/>
      <c r="O922" s="195"/>
      <c r="P922" s="195"/>
      <c r="Q922" s="195"/>
      <c r="R922" s="221"/>
      <c r="S922" s="180"/>
    </row>
    <row r="923" spans="1:47" ht="15.75" customHeight="1" x14ac:dyDescent="0.3">
      <c r="A923" s="180"/>
      <c r="B923" s="180"/>
      <c r="C923" s="180"/>
      <c r="D923" s="180"/>
      <c r="E923" s="180"/>
      <c r="F923" s="180"/>
      <c r="G923" s="180"/>
      <c r="H923" s="180"/>
      <c r="I923" s="180"/>
      <c r="J923" s="180"/>
      <c r="K923" s="180"/>
      <c r="L923" s="180"/>
      <c r="M923" s="180"/>
      <c r="N923" s="180"/>
      <c r="O923" s="180"/>
      <c r="P923" s="180"/>
      <c r="Q923" s="180"/>
      <c r="R923" s="180"/>
    </row>
    <row r="924" spans="1:47" ht="15.75" customHeight="1" x14ac:dyDescent="0.3"/>
    <row r="925" spans="1:47" ht="15.75" customHeight="1" thickBot="1" x14ac:dyDescent="0.35"/>
    <row r="926" spans="1:47" ht="15.75" customHeight="1" thickBot="1" x14ac:dyDescent="0.35">
      <c r="B926" s="428" t="s">
        <v>727</v>
      </c>
      <c r="C926" s="423"/>
      <c r="D926" s="423"/>
      <c r="E926" s="423"/>
      <c r="F926" s="423"/>
      <c r="G926" s="423"/>
      <c r="H926" s="423"/>
      <c r="I926" s="423"/>
      <c r="J926" s="423"/>
      <c r="K926" s="423"/>
      <c r="L926" s="423"/>
      <c r="M926" s="423"/>
      <c r="N926" s="423"/>
      <c r="O926" s="423"/>
      <c r="P926" s="423"/>
      <c r="Q926" s="354" t="str">
        <f>+Q1</f>
        <v xml:space="preserve">PRINTED:  </v>
      </c>
      <c r="R926" s="357">
        <f ca="1">+R1</f>
        <v>44894.658168402777</v>
      </c>
      <c r="S926" s="351"/>
      <c r="T926" s="359"/>
      <c r="U926" s="359"/>
      <c r="V926" s="358"/>
    </row>
    <row r="927" spans="1:47" ht="15.75" customHeight="1" x14ac:dyDescent="0.3">
      <c r="B927" s="399">
        <f>+A5</f>
        <v>2016</v>
      </c>
      <c r="C927" s="395"/>
      <c r="D927" s="395"/>
      <c r="E927" s="395"/>
      <c r="F927" s="395"/>
      <c r="G927" s="395"/>
      <c r="H927" s="395"/>
      <c r="I927" s="395"/>
      <c r="J927" s="395"/>
      <c r="K927" s="395"/>
      <c r="L927" s="395"/>
      <c r="M927" s="395"/>
      <c r="N927" s="395"/>
      <c r="O927" s="395"/>
      <c r="P927" s="395"/>
      <c r="Q927" s="180"/>
      <c r="R927" s="180"/>
      <c r="S927" s="180"/>
      <c r="V927" s="304"/>
      <c r="AC927" s="360"/>
      <c r="AD927" s="423" t="s">
        <v>728</v>
      </c>
      <c r="AE927" s="427"/>
      <c r="AF927" s="427"/>
      <c r="AG927" s="427"/>
      <c r="AH927" s="427"/>
      <c r="AI927" s="427"/>
      <c r="AJ927" s="427"/>
      <c r="AK927" s="427"/>
      <c r="AL927" s="427"/>
      <c r="AM927" s="427"/>
      <c r="AN927" s="427"/>
      <c r="AO927" s="427"/>
      <c r="AP927" s="427"/>
      <c r="AQ927" s="427"/>
      <c r="AR927" s="354" t="str">
        <f>$Q$1</f>
        <v xml:space="preserve">PRINTED:  </v>
      </c>
      <c r="AS927" s="361">
        <f ca="1">$R$1</f>
        <v>44894.658168402777</v>
      </c>
    </row>
    <row r="928" spans="1:47" ht="15.75" customHeight="1" x14ac:dyDescent="0.3">
      <c r="B928" s="400" t="str">
        <f>+A8</f>
        <v>Revised:  2/23/2017</v>
      </c>
      <c r="C928" s="394"/>
      <c r="D928" s="394"/>
      <c r="E928" s="394"/>
      <c r="F928" s="394"/>
      <c r="G928" s="394"/>
      <c r="H928" s="394"/>
      <c r="I928" s="394"/>
      <c r="J928" s="394"/>
      <c r="K928" s="394"/>
      <c r="L928" s="394"/>
      <c r="M928" s="394"/>
      <c r="N928" s="394"/>
      <c r="O928" s="394"/>
      <c r="P928" s="394"/>
      <c r="Q928" s="180"/>
      <c r="R928" s="180"/>
      <c r="S928" s="180"/>
      <c r="V928" s="304"/>
      <c r="AC928" s="95"/>
      <c r="AD928" s="394" t="str">
        <f>+$A$8</f>
        <v>Revised:  2/23/2017</v>
      </c>
      <c r="AE928" s="396"/>
      <c r="AF928" s="396"/>
      <c r="AG928" s="396"/>
      <c r="AH928" s="396"/>
      <c r="AI928" s="396"/>
      <c r="AJ928" s="396"/>
      <c r="AK928" s="396"/>
      <c r="AL928" s="396"/>
      <c r="AM928" s="396"/>
      <c r="AN928" s="396"/>
      <c r="AO928" s="396"/>
      <c r="AP928" s="396"/>
      <c r="AQ928" s="396"/>
      <c r="AR928" s="192"/>
      <c r="AS928" s="304"/>
    </row>
    <row r="929" spans="1:45" ht="15.75" customHeight="1" thickBot="1" x14ac:dyDescent="0.35">
      <c r="B929" s="401" t="s">
        <v>729</v>
      </c>
      <c r="C929" s="402"/>
      <c r="D929" s="402"/>
      <c r="E929" s="402"/>
      <c r="F929" s="402"/>
      <c r="G929" s="402"/>
      <c r="H929" s="402"/>
      <c r="I929" s="402"/>
      <c r="J929" s="402"/>
      <c r="K929" s="402"/>
      <c r="L929" s="402"/>
      <c r="M929" s="402"/>
      <c r="N929" s="402"/>
      <c r="O929" s="402"/>
      <c r="P929" s="402"/>
      <c r="Q929" s="180"/>
      <c r="R929" s="180"/>
      <c r="S929" s="180"/>
      <c r="V929" s="304"/>
      <c r="AC929" s="95"/>
      <c r="AD929" s="394" t="s">
        <v>670</v>
      </c>
      <c r="AE929" s="397"/>
      <c r="AF929" s="397"/>
      <c r="AG929" s="397"/>
      <c r="AH929" s="397"/>
      <c r="AI929" s="397"/>
      <c r="AJ929" s="397"/>
      <c r="AK929" s="397"/>
      <c r="AL929" s="397"/>
      <c r="AM929" s="397"/>
      <c r="AN929" s="397"/>
      <c r="AO929" s="397"/>
      <c r="AP929" s="397"/>
      <c r="AQ929" s="397"/>
      <c r="AS929" s="304"/>
    </row>
    <row r="930" spans="1:45" ht="15.75" customHeight="1" thickBot="1" x14ac:dyDescent="0.35">
      <c r="A930" s="222"/>
      <c r="B930" s="403" t="s">
        <v>730</v>
      </c>
      <c r="C930" s="404"/>
      <c r="D930" s="404"/>
      <c r="E930" s="404"/>
      <c r="F930" s="405"/>
      <c r="G930" s="403" t="s">
        <v>731</v>
      </c>
      <c r="H930" s="404"/>
      <c r="I930" s="404"/>
      <c r="J930" s="404"/>
      <c r="K930" s="404"/>
      <c r="L930" s="404"/>
      <c r="M930" s="406" t="s">
        <v>732</v>
      </c>
      <c r="N930" s="429"/>
      <c r="O930" s="429"/>
      <c r="P930" s="429"/>
      <c r="Q930" s="429"/>
      <c r="R930" s="430"/>
      <c r="S930" s="403" t="s">
        <v>733</v>
      </c>
      <c r="T930" s="431"/>
      <c r="U930" s="432"/>
      <c r="V930" s="304"/>
      <c r="AC930" s="95"/>
      <c r="AS930" s="304"/>
    </row>
    <row r="931" spans="1:45" ht="15.75" customHeight="1" x14ac:dyDescent="0.3">
      <c r="A931" s="222"/>
      <c r="B931" s="189" t="s">
        <v>639</v>
      </c>
      <c r="C931" s="182"/>
      <c r="D931" s="182" t="s">
        <v>734</v>
      </c>
      <c r="E931" s="182" t="s">
        <v>735</v>
      </c>
      <c r="F931" s="307" t="s">
        <v>736</v>
      </c>
      <c r="G931" s="189" t="s">
        <v>737</v>
      </c>
      <c r="H931" s="182"/>
      <c r="I931" s="182"/>
      <c r="J931" s="182" t="s">
        <v>738</v>
      </c>
      <c r="K931" s="182" t="s">
        <v>739</v>
      </c>
      <c r="L931" s="182" t="s">
        <v>740</v>
      </c>
      <c r="M931" s="433" t="s">
        <v>741</v>
      </c>
      <c r="N931" s="427"/>
      <c r="O931" s="434"/>
      <c r="P931" s="226"/>
      <c r="Q931" s="227"/>
      <c r="R931" s="362"/>
      <c r="S931" s="182" t="s">
        <v>742</v>
      </c>
      <c r="T931" s="228" t="s">
        <v>743</v>
      </c>
      <c r="U931" s="308" t="s">
        <v>744</v>
      </c>
      <c r="V931" s="304"/>
      <c r="AC931" s="95"/>
      <c r="AD931" s="395">
        <f>$A$5</f>
        <v>2016</v>
      </c>
      <c r="AE931" s="397"/>
      <c r="AF931" s="397"/>
      <c r="AG931" s="397"/>
      <c r="AH931" s="397"/>
      <c r="AI931" s="397"/>
      <c r="AJ931" s="397"/>
      <c r="AK931" s="397"/>
      <c r="AL931" s="397"/>
      <c r="AM931" s="397"/>
      <c r="AN931" s="397"/>
      <c r="AO931" s="397"/>
      <c r="AP931" s="397"/>
      <c r="AQ931" s="397"/>
      <c r="AS931" s="304"/>
    </row>
    <row r="932" spans="1:45" ht="15.75" customHeight="1" x14ac:dyDescent="0.3">
      <c r="A932" s="222"/>
      <c r="B932" s="230" t="s">
        <v>745</v>
      </c>
      <c r="C932" s="231" t="s">
        <v>746</v>
      </c>
      <c r="D932" s="231" t="s">
        <v>747</v>
      </c>
      <c r="E932" s="182" t="s">
        <v>658</v>
      </c>
      <c r="F932" s="309" t="s">
        <v>748</v>
      </c>
      <c r="G932" s="189" t="s">
        <v>640</v>
      </c>
      <c r="H932" s="182" t="s">
        <v>749</v>
      </c>
      <c r="I932" s="182" t="s">
        <v>750</v>
      </c>
      <c r="J932" s="231" t="s">
        <v>751</v>
      </c>
      <c r="K932" s="182" t="s">
        <v>723</v>
      </c>
      <c r="L932" s="231" t="s">
        <v>752</v>
      </c>
      <c r="M932" s="233" t="s">
        <v>753</v>
      </c>
      <c r="N932" s="226" t="s">
        <v>754</v>
      </c>
      <c r="O932" s="310" t="s">
        <v>641</v>
      </c>
      <c r="P932" s="226" t="s">
        <v>755</v>
      </c>
      <c r="Q932" s="226" t="s">
        <v>755</v>
      </c>
      <c r="R932" s="310" t="s">
        <v>756</v>
      </c>
      <c r="S932" s="182" t="s">
        <v>757</v>
      </c>
      <c r="T932" s="182" t="s">
        <v>758</v>
      </c>
      <c r="U932" s="307" t="s">
        <v>759</v>
      </c>
      <c r="V932" s="304"/>
      <c r="AC932" s="95"/>
      <c r="AD932" s="394" t="s">
        <v>717</v>
      </c>
      <c r="AE932" s="396"/>
      <c r="AF932" s="396"/>
      <c r="AG932" s="396"/>
      <c r="AH932" s="396"/>
      <c r="AI932" s="396"/>
      <c r="AJ932" s="396"/>
      <c r="AK932" s="396"/>
      <c r="AL932" s="396"/>
      <c r="AM932" s="396"/>
      <c r="AN932" s="396"/>
      <c r="AO932" s="396"/>
      <c r="AP932" s="396"/>
      <c r="AQ932" s="396"/>
      <c r="AR932" s="182"/>
      <c r="AS932" s="304"/>
    </row>
    <row r="933" spans="1:45" ht="15.75" customHeight="1" x14ac:dyDescent="0.3">
      <c r="A933" s="222"/>
      <c r="B933" s="235" t="s">
        <v>760</v>
      </c>
      <c r="C933" s="215">
        <v>0</v>
      </c>
      <c r="D933" s="215"/>
      <c r="E933" s="182" t="s">
        <v>761</v>
      </c>
      <c r="F933" s="311" t="s">
        <v>762</v>
      </c>
      <c r="G933" s="189" t="s">
        <v>763</v>
      </c>
      <c r="H933" s="182" t="s">
        <v>658</v>
      </c>
      <c r="I933" s="182" t="s">
        <v>658</v>
      </c>
      <c r="J933" s="182" t="s">
        <v>658</v>
      </c>
      <c r="K933" s="182" t="s">
        <v>743</v>
      </c>
      <c r="L933" s="182" t="s">
        <v>764</v>
      </c>
      <c r="M933" s="237" t="s">
        <v>648</v>
      </c>
      <c r="N933" s="227" t="s">
        <v>765</v>
      </c>
      <c r="O933" s="310" t="s">
        <v>766</v>
      </c>
      <c r="P933" s="227" t="s">
        <v>767</v>
      </c>
      <c r="Q933" s="226" t="s">
        <v>767</v>
      </c>
      <c r="R933" s="310" t="s">
        <v>766</v>
      </c>
      <c r="S933" s="182" t="s">
        <v>658</v>
      </c>
      <c r="T933" s="182" t="s">
        <v>658</v>
      </c>
      <c r="U933" s="307" t="s">
        <v>658</v>
      </c>
      <c r="V933" s="304"/>
      <c r="AC933" s="95"/>
      <c r="AK933" s="190"/>
      <c r="AS933" s="304"/>
    </row>
    <row r="934" spans="1:45" ht="15.75" customHeight="1" thickBot="1" x14ac:dyDescent="0.35">
      <c r="A934" s="213" t="s">
        <v>768</v>
      </c>
      <c r="B934" s="189" t="s">
        <v>705</v>
      </c>
      <c r="C934" s="182" t="s">
        <v>705</v>
      </c>
      <c r="D934" s="182" t="s">
        <v>705</v>
      </c>
      <c r="E934" s="182" t="s">
        <v>705</v>
      </c>
      <c r="F934" s="307" t="s">
        <v>705</v>
      </c>
      <c r="G934" s="189" t="s">
        <v>705</v>
      </c>
      <c r="H934" s="182" t="s">
        <v>705</v>
      </c>
      <c r="I934" s="182" t="s">
        <v>705</v>
      </c>
      <c r="J934" s="182" t="s">
        <v>705</v>
      </c>
      <c r="K934" s="182" t="s">
        <v>705</v>
      </c>
      <c r="L934" s="182" t="s">
        <v>705</v>
      </c>
      <c r="M934" s="237" t="s">
        <v>705</v>
      </c>
      <c r="N934" s="227" t="s">
        <v>705</v>
      </c>
      <c r="O934" s="310" t="s">
        <v>705</v>
      </c>
      <c r="P934" s="227" t="s">
        <v>365</v>
      </c>
      <c r="Q934" s="226" t="s">
        <v>705</v>
      </c>
      <c r="R934" s="310" t="s">
        <v>705</v>
      </c>
      <c r="S934" s="182" t="s">
        <v>705</v>
      </c>
      <c r="T934" s="182" t="s">
        <v>705</v>
      </c>
      <c r="U934" s="307" t="s">
        <v>705</v>
      </c>
      <c r="V934" s="304"/>
      <c r="AC934" s="95"/>
      <c r="AD934" s="191" t="s">
        <v>677</v>
      </c>
      <c r="AE934" s="191" t="s">
        <v>678</v>
      </c>
      <c r="AF934" s="191" t="s">
        <v>679</v>
      </c>
      <c r="AG934" s="191" t="s">
        <v>680</v>
      </c>
      <c r="AH934" s="191" t="s">
        <v>644</v>
      </c>
      <c r="AI934" s="191" t="s">
        <v>681</v>
      </c>
      <c r="AJ934" s="191" t="s">
        <v>682</v>
      </c>
      <c r="AK934" s="191" t="s">
        <v>683</v>
      </c>
      <c r="AL934" s="191" t="s">
        <v>684</v>
      </c>
      <c r="AM934" s="191" t="s">
        <v>685</v>
      </c>
      <c r="AN934" s="191" t="s">
        <v>686</v>
      </c>
      <c r="AO934" s="191" t="s">
        <v>687</v>
      </c>
      <c r="AP934" s="191" t="s">
        <v>688</v>
      </c>
      <c r="AQ934" s="191" t="s">
        <v>689</v>
      </c>
      <c r="AR934" s="191" t="s">
        <v>638</v>
      </c>
      <c r="AS934" s="209" t="s">
        <v>641</v>
      </c>
    </row>
    <row r="935" spans="1:45" ht="15.75" customHeight="1" x14ac:dyDescent="0.3">
      <c r="A935" s="213" t="s">
        <v>666</v>
      </c>
      <c r="B935" s="189" t="s">
        <v>666</v>
      </c>
      <c r="C935" s="182" t="s">
        <v>666</v>
      </c>
      <c r="D935" s="182" t="s">
        <v>666</v>
      </c>
      <c r="E935" s="182" t="s">
        <v>769</v>
      </c>
      <c r="F935" s="307" t="s">
        <v>666</v>
      </c>
      <c r="G935" s="189" t="s">
        <v>666</v>
      </c>
      <c r="H935" s="182" t="s">
        <v>770</v>
      </c>
      <c r="I935" s="182" t="s">
        <v>770</v>
      </c>
      <c r="J935" s="182" t="s">
        <v>666</v>
      </c>
      <c r="K935" s="182" t="s">
        <v>666</v>
      </c>
      <c r="L935" s="182" t="s">
        <v>666</v>
      </c>
      <c r="M935" s="237" t="s">
        <v>666</v>
      </c>
      <c r="N935" s="227" t="s">
        <v>666</v>
      </c>
      <c r="O935" s="310" t="s">
        <v>666</v>
      </c>
      <c r="P935" s="237" t="s">
        <v>666</v>
      </c>
      <c r="Q935" s="227" t="s">
        <v>666</v>
      </c>
      <c r="R935" s="310" t="s">
        <v>666</v>
      </c>
      <c r="S935" s="182" t="s">
        <v>666</v>
      </c>
      <c r="T935" s="182" t="s">
        <v>666</v>
      </c>
      <c r="U935" s="307" t="s">
        <v>666</v>
      </c>
      <c r="V935" s="304"/>
      <c r="AC935" s="95"/>
      <c r="AD935" s="180"/>
      <c r="AE935" s="180"/>
      <c r="AF935" s="180"/>
      <c r="AG935" s="180"/>
      <c r="AH935" s="182" t="s">
        <v>718</v>
      </c>
      <c r="AI935" s="180"/>
      <c r="AJ935" s="180"/>
      <c r="AK935" s="180"/>
      <c r="AL935" s="180"/>
      <c r="AM935" s="180"/>
      <c r="AN935" s="180"/>
      <c r="AO935" s="180"/>
      <c r="AP935" s="180"/>
      <c r="AQ935" s="180"/>
      <c r="AR935" s="180"/>
      <c r="AS935" s="210"/>
    </row>
    <row r="936" spans="1:45" ht="15.75" customHeight="1" x14ac:dyDescent="0.3">
      <c r="A936" s="192" t="s">
        <v>8</v>
      </c>
      <c r="B936" s="189">
        <f>ROUND(R908-G908,0)</f>
        <v>255607</v>
      </c>
      <c r="C936" s="182">
        <f>+ROUND(B936*$C$933,0)</f>
        <v>0</v>
      </c>
      <c r="D936" s="182">
        <f>AS908</f>
        <v>10665</v>
      </c>
      <c r="E936" s="182">
        <f>+B936+C936</f>
        <v>255607</v>
      </c>
      <c r="F936" s="307">
        <f>(D936+E936)</f>
        <v>266272</v>
      </c>
      <c r="G936" s="189">
        <f>ABS(G908)</f>
        <v>0</v>
      </c>
      <c r="H936" s="238">
        <v>10239</v>
      </c>
      <c r="I936" s="238">
        <v>0</v>
      </c>
      <c r="J936" s="182">
        <f>(H936+I936)</f>
        <v>10239</v>
      </c>
      <c r="K936" s="238">
        <v>0</v>
      </c>
      <c r="L936" s="238">
        <v>0</v>
      </c>
      <c r="M936" s="239">
        <v>261552</v>
      </c>
      <c r="N936" s="240"/>
      <c r="O936" s="310">
        <f>M936+N936</f>
        <v>261552</v>
      </c>
      <c r="P936" s="241">
        <v>0</v>
      </c>
      <c r="Q936" s="227">
        <f>-O936*P936</f>
        <v>0</v>
      </c>
      <c r="R936" s="310">
        <f>O936+Q936</f>
        <v>261552</v>
      </c>
      <c r="S936" s="242">
        <f t="shared" ref="S936:S947" si="216">(F936-G936-J936-K936-L936-R936)</f>
        <v>-5519</v>
      </c>
      <c r="T936" s="182" t="str">
        <f>+IF(S936&gt;=0,ABS(S936),"")</f>
        <v/>
      </c>
      <c r="U936" s="307">
        <f>+IF(S936&lt;=0,ABS(S936),"")</f>
        <v>5519</v>
      </c>
      <c r="V936" s="304"/>
      <c r="AC936" s="211" t="s">
        <v>771</v>
      </c>
      <c r="AD936" s="212"/>
      <c r="AE936" s="212"/>
      <c r="AF936" s="212"/>
      <c r="AG936" s="212"/>
      <c r="AH936" s="212">
        <v>1.6E-2</v>
      </c>
      <c r="AI936" s="212">
        <v>1.6E-2</v>
      </c>
      <c r="AJ936" s="212">
        <v>1.6E-2</v>
      </c>
      <c r="AK936" s="212">
        <v>1.6E-2</v>
      </c>
      <c r="AL936" s="212">
        <v>1.6E-2</v>
      </c>
      <c r="AM936" s="212">
        <v>1.6E-2</v>
      </c>
      <c r="AN936" s="212">
        <v>1.6E-2</v>
      </c>
      <c r="AO936" s="212">
        <v>1.6E-2</v>
      </c>
      <c r="AP936" s="212">
        <v>1.6E-2</v>
      </c>
      <c r="AQ936" s="212">
        <v>1.6E-2</v>
      </c>
      <c r="AR936" s="212">
        <v>1.6E-2</v>
      </c>
      <c r="AS936" s="213"/>
    </row>
    <row r="937" spans="1:45" ht="15.75" customHeight="1" x14ac:dyDescent="0.3">
      <c r="A937" s="192" t="s">
        <v>9</v>
      </c>
      <c r="B937" s="189">
        <f t="shared" ref="B937:B947" si="217">ROUND(R909-G909,0)</f>
        <v>194092</v>
      </c>
      <c r="C937" s="182">
        <f t="shared" ref="C937:C947" si="218">+ROUND(B937*$C$933,0)</f>
        <v>0</v>
      </c>
      <c r="D937" s="182">
        <f t="shared" ref="D937:D947" si="219">AS909</f>
        <v>8358</v>
      </c>
      <c r="E937" s="182">
        <f t="shared" ref="E937:E949" si="220">+B937+C937</f>
        <v>194092</v>
      </c>
      <c r="F937" s="307">
        <f t="shared" ref="F937:F947" si="221">(D937+E937)</f>
        <v>202450</v>
      </c>
      <c r="G937" s="189">
        <f t="shared" ref="G937:G947" si="222">ABS(G909)</f>
        <v>0</v>
      </c>
      <c r="H937" s="238">
        <v>12163</v>
      </c>
      <c r="I937" s="238">
        <v>0</v>
      </c>
      <c r="J937" s="182">
        <f t="shared" ref="J937:J946" si="223">(H937+I937)</f>
        <v>12163</v>
      </c>
      <c r="K937" s="238">
        <v>0</v>
      </c>
      <c r="L937" s="238">
        <v>0</v>
      </c>
      <c r="M937" s="239">
        <v>178176</v>
      </c>
      <c r="N937" s="240"/>
      <c r="O937" s="310">
        <f t="shared" ref="O937:O949" si="224">M937+N937</f>
        <v>178176</v>
      </c>
      <c r="P937" s="241">
        <v>0.35</v>
      </c>
      <c r="Q937" s="227">
        <f t="shared" ref="Q937:Q947" si="225">-O937*P937</f>
        <v>-62361.599999999999</v>
      </c>
      <c r="R937" s="310">
        <f t="shared" ref="R937:R947" si="226">O937+Q937</f>
        <v>115814.39999999999</v>
      </c>
      <c r="S937" s="242">
        <f t="shared" si="216"/>
        <v>74472.600000000006</v>
      </c>
      <c r="T937" s="182">
        <f t="shared" ref="T937:T947" si="227">+IF(S937&gt;=0,ABS(S937),"")</f>
        <v>74472.600000000006</v>
      </c>
      <c r="U937" s="307" t="str">
        <f t="shared" ref="U937:U947" si="228">+IF(S937&lt;=0,ABS(S937),"")</f>
        <v/>
      </c>
      <c r="V937" s="304"/>
      <c r="AC937" s="211" t="s">
        <v>720</v>
      </c>
      <c r="AD937" s="212"/>
      <c r="AE937" s="212"/>
      <c r="AF937" s="212"/>
      <c r="AG937" s="212"/>
      <c r="AH937" s="212"/>
      <c r="AI937" s="212"/>
      <c r="AJ937" s="212"/>
      <c r="AK937" s="212"/>
      <c r="AL937" s="212"/>
      <c r="AM937" s="212"/>
      <c r="AN937" s="212"/>
      <c r="AO937" s="212"/>
      <c r="AP937" s="212"/>
      <c r="AQ937" s="212"/>
      <c r="AR937" s="212"/>
      <c r="AS937" s="213"/>
    </row>
    <row r="938" spans="1:45" ht="15.75" customHeight="1" x14ac:dyDescent="0.3">
      <c r="A938" s="192" t="s">
        <v>10</v>
      </c>
      <c r="B938" s="189">
        <f t="shared" si="217"/>
        <v>211682</v>
      </c>
      <c r="C938" s="182">
        <f t="shared" si="218"/>
        <v>0</v>
      </c>
      <c r="D938" s="182">
        <f t="shared" si="219"/>
        <v>9265</v>
      </c>
      <c r="E938" s="182">
        <f t="shared" si="220"/>
        <v>211682</v>
      </c>
      <c r="F938" s="307">
        <f t="shared" si="221"/>
        <v>220947</v>
      </c>
      <c r="G938" s="189">
        <f t="shared" si="222"/>
        <v>1666.5490580256212</v>
      </c>
      <c r="H938" s="238">
        <v>15955</v>
      </c>
      <c r="I938" s="238">
        <v>0</v>
      </c>
      <c r="J938" s="182">
        <f t="shared" si="223"/>
        <v>15955</v>
      </c>
      <c r="K938" s="238">
        <v>0</v>
      </c>
      <c r="L938" s="238">
        <v>0</v>
      </c>
      <c r="M938" s="239">
        <v>189720</v>
      </c>
      <c r="N938" s="240"/>
      <c r="O938" s="310">
        <f t="shared" si="224"/>
        <v>189720</v>
      </c>
      <c r="P938" s="241">
        <v>0.33</v>
      </c>
      <c r="Q938" s="227">
        <f t="shared" si="225"/>
        <v>-62607.600000000006</v>
      </c>
      <c r="R938" s="310">
        <f t="shared" si="226"/>
        <v>127112.4</v>
      </c>
      <c r="S938" s="242">
        <f t="shared" si="216"/>
        <v>76213.05094197439</v>
      </c>
      <c r="T938" s="182">
        <f t="shared" si="227"/>
        <v>76213.05094197439</v>
      </c>
      <c r="U938" s="307" t="str">
        <f t="shared" si="228"/>
        <v/>
      </c>
      <c r="V938" s="304"/>
      <c r="AC938" s="211" t="s">
        <v>721</v>
      </c>
      <c r="AD938" s="212"/>
      <c r="AE938" s="212"/>
      <c r="AF938" s="212"/>
      <c r="AG938" s="212"/>
      <c r="AH938" s="212"/>
      <c r="AI938" s="212"/>
      <c r="AJ938" s="212"/>
      <c r="AK938" s="212"/>
      <c r="AL938" s="212"/>
      <c r="AM938" s="212"/>
      <c r="AN938" s="212"/>
      <c r="AO938" s="212"/>
      <c r="AP938" s="212"/>
      <c r="AQ938" s="212"/>
      <c r="AR938" s="212"/>
      <c r="AS938" s="213"/>
    </row>
    <row r="939" spans="1:45" ht="15.75" customHeight="1" x14ac:dyDescent="0.3">
      <c r="A939" s="192" t="s">
        <v>12</v>
      </c>
      <c r="B939" s="189">
        <f t="shared" si="217"/>
        <v>286584</v>
      </c>
      <c r="C939" s="182">
        <f t="shared" si="218"/>
        <v>0</v>
      </c>
      <c r="D939" s="182">
        <f t="shared" si="219"/>
        <v>12434</v>
      </c>
      <c r="E939" s="182">
        <f t="shared" si="220"/>
        <v>286584</v>
      </c>
      <c r="F939" s="307">
        <f t="shared" si="221"/>
        <v>299018</v>
      </c>
      <c r="G939" s="189">
        <f t="shared" si="222"/>
        <v>0</v>
      </c>
      <c r="H939" s="238">
        <v>16907</v>
      </c>
      <c r="I939" s="238">
        <v>0</v>
      </c>
      <c r="J939" s="182">
        <f t="shared" si="223"/>
        <v>16907</v>
      </c>
      <c r="K939" s="238">
        <v>0</v>
      </c>
      <c r="L939" s="238">
        <v>0</v>
      </c>
      <c r="M939" s="239">
        <v>292320</v>
      </c>
      <c r="N939" s="240"/>
      <c r="O939" s="310">
        <f t="shared" si="224"/>
        <v>292320</v>
      </c>
      <c r="P939" s="241">
        <v>0.3</v>
      </c>
      <c r="Q939" s="227">
        <f t="shared" si="225"/>
        <v>-87696</v>
      </c>
      <c r="R939" s="310">
        <f t="shared" si="226"/>
        <v>204624</v>
      </c>
      <c r="S939" s="242">
        <f t="shared" si="216"/>
        <v>77487</v>
      </c>
      <c r="T939" s="182">
        <f t="shared" si="227"/>
        <v>77487</v>
      </c>
      <c r="U939" s="307" t="str">
        <f t="shared" si="228"/>
        <v/>
      </c>
      <c r="V939" s="304"/>
      <c r="AC939" s="211" t="s">
        <v>137</v>
      </c>
      <c r="AD939" s="212"/>
      <c r="AE939" s="212"/>
      <c r="AF939" s="212"/>
      <c r="AG939" s="212"/>
      <c r="AH939" s="212"/>
      <c r="AI939" s="212"/>
      <c r="AJ939" s="212"/>
      <c r="AK939" s="212"/>
      <c r="AL939" s="212"/>
      <c r="AM939" s="212"/>
      <c r="AN939" s="212"/>
      <c r="AO939" s="212"/>
      <c r="AP939" s="212"/>
      <c r="AQ939" s="212"/>
      <c r="AR939" s="212"/>
      <c r="AS939" s="213"/>
    </row>
    <row r="940" spans="1:45" ht="15.75" customHeight="1" x14ac:dyDescent="0.3">
      <c r="A940" s="192" t="s">
        <v>13</v>
      </c>
      <c r="B940" s="189">
        <f t="shared" si="217"/>
        <v>298343</v>
      </c>
      <c r="C940" s="182">
        <f t="shared" si="218"/>
        <v>0</v>
      </c>
      <c r="D940" s="182">
        <f t="shared" si="219"/>
        <v>13155</v>
      </c>
      <c r="E940" s="182">
        <f t="shared" si="220"/>
        <v>298343</v>
      </c>
      <c r="F940" s="307">
        <f t="shared" si="221"/>
        <v>311498</v>
      </c>
      <c r="G940" s="189">
        <f t="shared" si="222"/>
        <v>0</v>
      </c>
      <c r="H940" s="238">
        <v>13531</v>
      </c>
      <c r="I940" s="238">
        <v>0</v>
      </c>
      <c r="J940" s="182">
        <f t="shared" si="223"/>
        <v>13531</v>
      </c>
      <c r="K940" s="238">
        <v>0</v>
      </c>
      <c r="L940" s="238">
        <v>0</v>
      </c>
      <c r="M940" s="239">
        <v>300552</v>
      </c>
      <c r="N940" s="240"/>
      <c r="O940" s="310">
        <f t="shared" si="224"/>
        <v>300552</v>
      </c>
      <c r="P940" s="241">
        <v>0.09</v>
      </c>
      <c r="Q940" s="227">
        <f t="shared" si="225"/>
        <v>-27049.68</v>
      </c>
      <c r="R940" s="310">
        <f t="shared" si="226"/>
        <v>273502.32</v>
      </c>
      <c r="S940" s="242">
        <f t="shared" si="216"/>
        <v>24464.679999999993</v>
      </c>
      <c r="T940" s="182">
        <f t="shared" si="227"/>
        <v>24464.679999999993</v>
      </c>
      <c r="U940" s="307" t="str">
        <f t="shared" si="228"/>
        <v/>
      </c>
      <c r="V940" s="304"/>
      <c r="AC940" s="211" t="s">
        <v>772</v>
      </c>
      <c r="AD940" s="212"/>
      <c r="AE940" s="212"/>
      <c r="AF940" s="212"/>
      <c r="AG940" s="212"/>
      <c r="AH940" s="212"/>
      <c r="AI940" s="212"/>
      <c r="AJ940" s="212">
        <v>2.5000000000000001E-2</v>
      </c>
      <c r="AK940" s="212">
        <v>2.5000000000000001E-2</v>
      </c>
      <c r="AL940" s="212">
        <v>2.5000000000000001E-2</v>
      </c>
      <c r="AM940" s="212">
        <v>2.5000000000000001E-2</v>
      </c>
      <c r="AN940" s="212">
        <v>2.5000000000000001E-2</v>
      </c>
      <c r="AO940" s="212">
        <v>2.5000000000000001E-2</v>
      </c>
      <c r="AP940" s="212">
        <v>2.5000000000000001E-2</v>
      </c>
      <c r="AQ940" s="212">
        <v>2.5000000000000001E-2</v>
      </c>
      <c r="AR940" s="212">
        <v>2.5000000000000001E-2</v>
      </c>
      <c r="AS940" s="213"/>
    </row>
    <row r="941" spans="1:45" ht="15.75" customHeight="1" x14ac:dyDescent="0.3">
      <c r="A941" s="192" t="s">
        <v>14</v>
      </c>
      <c r="B941" s="189">
        <f t="shared" si="217"/>
        <v>177024</v>
      </c>
      <c r="C941" s="182">
        <f t="shared" si="218"/>
        <v>0</v>
      </c>
      <c r="D941" s="182">
        <f t="shared" si="219"/>
        <v>7497</v>
      </c>
      <c r="E941" s="182">
        <f t="shared" si="220"/>
        <v>177024</v>
      </c>
      <c r="F941" s="307">
        <f t="shared" si="221"/>
        <v>184521</v>
      </c>
      <c r="G941" s="189">
        <f t="shared" si="222"/>
        <v>15232.50655614168</v>
      </c>
      <c r="H941" s="238">
        <v>13636</v>
      </c>
      <c r="I941" s="238">
        <v>0</v>
      </c>
      <c r="J941" s="182">
        <f t="shared" si="223"/>
        <v>13636</v>
      </c>
      <c r="K941" s="238">
        <v>0</v>
      </c>
      <c r="L941" s="238">
        <v>0</v>
      </c>
      <c r="M941" s="239">
        <v>151020</v>
      </c>
      <c r="N941" s="240">
        <v>15300</v>
      </c>
      <c r="O941" s="310">
        <f t="shared" si="224"/>
        <v>166320</v>
      </c>
      <c r="P941" s="241">
        <v>7.0000000000000007E-2</v>
      </c>
      <c r="Q941" s="227">
        <f t="shared" si="225"/>
        <v>-11642.400000000001</v>
      </c>
      <c r="R941" s="310">
        <f t="shared" si="226"/>
        <v>154677.6</v>
      </c>
      <c r="S941" s="242">
        <f t="shared" si="216"/>
        <v>974.89344385830918</v>
      </c>
      <c r="T941" s="182">
        <f t="shared" si="227"/>
        <v>974.89344385830918</v>
      </c>
      <c r="U941" s="307" t="str">
        <f t="shared" si="228"/>
        <v/>
      </c>
      <c r="V941" s="304"/>
      <c r="AC941" s="211" t="s">
        <v>641</v>
      </c>
      <c r="AD941" s="215">
        <f>SUM(AD936:AD940)</f>
        <v>0</v>
      </c>
      <c r="AE941" s="215">
        <f t="shared" ref="AE941:AR941" si="229">SUM(AE936:AE940)</f>
        <v>0</v>
      </c>
      <c r="AF941" s="215">
        <f t="shared" si="229"/>
        <v>0</v>
      </c>
      <c r="AG941" s="215">
        <f t="shared" si="229"/>
        <v>0</v>
      </c>
      <c r="AH941" s="215">
        <f t="shared" si="229"/>
        <v>1.6E-2</v>
      </c>
      <c r="AI941" s="215">
        <f t="shared" si="229"/>
        <v>1.6E-2</v>
      </c>
      <c r="AJ941" s="215">
        <f t="shared" si="229"/>
        <v>4.1000000000000002E-2</v>
      </c>
      <c r="AK941" s="215">
        <f t="shared" si="229"/>
        <v>4.1000000000000002E-2</v>
      </c>
      <c r="AL941" s="215">
        <f t="shared" si="229"/>
        <v>4.1000000000000002E-2</v>
      </c>
      <c r="AM941" s="215">
        <f t="shared" si="229"/>
        <v>4.1000000000000002E-2</v>
      </c>
      <c r="AN941" s="215">
        <f t="shared" si="229"/>
        <v>4.1000000000000002E-2</v>
      </c>
      <c r="AO941" s="215">
        <f t="shared" si="229"/>
        <v>4.1000000000000002E-2</v>
      </c>
      <c r="AP941" s="215">
        <f t="shared" si="229"/>
        <v>4.1000000000000002E-2</v>
      </c>
      <c r="AQ941" s="215">
        <f t="shared" si="229"/>
        <v>4.1000000000000002E-2</v>
      </c>
      <c r="AR941" s="215">
        <f t="shared" si="229"/>
        <v>4.1000000000000002E-2</v>
      </c>
      <c r="AS941" s="213"/>
    </row>
    <row r="942" spans="1:45" ht="15.75" customHeight="1" x14ac:dyDescent="0.3">
      <c r="A942" s="192" t="s">
        <v>16</v>
      </c>
      <c r="B942" s="189">
        <f t="shared" si="217"/>
        <v>156068</v>
      </c>
      <c r="C942" s="182">
        <f t="shared" si="218"/>
        <v>0</v>
      </c>
      <c r="D942" s="182">
        <f t="shared" si="219"/>
        <v>6522</v>
      </c>
      <c r="E942" s="182">
        <f t="shared" si="220"/>
        <v>156068</v>
      </c>
      <c r="F942" s="307">
        <f t="shared" si="221"/>
        <v>162590</v>
      </c>
      <c r="G942" s="189">
        <f t="shared" si="222"/>
        <v>14511.141514979801</v>
      </c>
      <c r="H942" s="238">
        <v>12010</v>
      </c>
      <c r="I942" s="238">
        <v>0</v>
      </c>
      <c r="J942" s="182">
        <f t="shared" si="223"/>
        <v>12010</v>
      </c>
      <c r="K942" s="238">
        <v>0</v>
      </c>
      <c r="L942" s="238">
        <v>0</v>
      </c>
      <c r="M942" s="239">
        <v>159216</v>
      </c>
      <c r="N942" s="240">
        <v>15872</v>
      </c>
      <c r="O942" s="310">
        <f t="shared" si="224"/>
        <v>175088</v>
      </c>
      <c r="P942" s="241">
        <v>7.4999999999999997E-2</v>
      </c>
      <c r="Q942" s="227">
        <f t="shared" si="225"/>
        <v>-13131.6</v>
      </c>
      <c r="R942" s="310">
        <f t="shared" si="226"/>
        <v>161956.4</v>
      </c>
      <c r="S942" s="242">
        <f t="shared" si="216"/>
        <v>-25887.541514979792</v>
      </c>
      <c r="T942" s="182" t="str">
        <f t="shared" si="227"/>
        <v/>
      </c>
      <c r="U942" s="307">
        <f t="shared" si="228"/>
        <v>25887.541514979792</v>
      </c>
      <c r="V942" s="304"/>
      <c r="AC942" s="189" t="s">
        <v>666</v>
      </c>
      <c r="AD942" s="182" t="s">
        <v>666</v>
      </c>
      <c r="AE942" s="182" t="s">
        <v>666</v>
      </c>
      <c r="AF942" s="182" t="s">
        <v>666</v>
      </c>
      <c r="AG942" s="182" t="s">
        <v>666</v>
      </c>
      <c r="AH942" s="182" t="s">
        <v>666</v>
      </c>
      <c r="AI942" s="182" t="s">
        <v>666</v>
      </c>
      <c r="AJ942" s="182" t="s">
        <v>666</v>
      </c>
      <c r="AK942" s="182" t="s">
        <v>666</v>
      </c>
      <c r="AL942" s="182" t="s">
        <v>666</v>
      </c>
      <c r="AM942" s="182" t="s">
        <v>666</v>
      </c>
      <c r="AN942" s="182" t="s">
        <v>666</v>
      </c>
      <c r="AO942" s="182" t="s">
        <v>666</v>
      </c>
      <c r="AP942" s="182" t="s">
        <v>666</v>
      </c>
      <c r="AQ942" s="182" t="s">
        <v>666</v>
      </c>
      <c r="AR942" s="182" t="s">
        <v>666</v>
      </c>
      <c r="AS942" s="213" t="s">
        <v>666</v>
      </c>
    </row>
    <row r="943" spans="1:45" ht="15.75" customHeight="1" x14ac:dyDescent="0.3">
      <c r="A943" s="192" t="s">
        <v>17</v>
      </c>
      <c r="B943" s="189">
        <f t="shared" si="217"/>
        <v>133615</v>
      </c>
      <c r="C943" s="182">
        <f t="shared" si="218"/>
        <v>0</v>
      </c>
      <c r="D943" s="182">
        <f t="shared" si="219"/>
        <v>5616</v>
      </c>
      <c r="E943" s="182">
        <f t="shared" si="220"/>
        <v>133615</v>
      </c>
      <c r="F943" s="307">
        <f t="shared" si="221"/>
        <v>139231</v>
      </c>
      <c r="G943" s="189">
        <f t="shared" si="222"/>
        <v>9240.355367309241</v>
      </c>
      <c r="H943" s="238">
        <v>9563</v>
      </c>
      <c r="I943" s="238">
        <v>0</v>
      </c>
      <c r="J943" s="182">
        <f t="shared" si="223"/>
        <v>9563</v>
      </c>
      <c r="K943" s="238">
        <v>0</v>
      </c>
      <c r="L943" s="238">
        <v>0</v>
      </c>
      <c r="M943" s="239">
        <v>159960</v>
      </c>
      <c r="N943" s="240">
        <v>15376</v>
      </c>
      <c r="O943" s="310">
        <f t="shared" si="224"/>
        <v>175336</v>
      </c>
      <c r="P943" s="241">
        <v>7.4999999999999997E-2</v>
      </c>
      <c r="Q943" s="227">
        <f t="shared" si="225"/>
        <v>-13150.199999999999</v>
      </c>
      <c r="R943" s="310">
        <f t="shared" si="226"/>
        <v>162185.79999999999</v>
      </c>
      <c r="S943" s="242">
        <f t="shared" si="216"/>
        <v>-41758.155367309228</v>
      </c>
      <c r="T943" s="182" t="str">
        <f t="shared" si="227"/>
        <v/>
      </c>
      <c r="U943" s="307">
        <f t="shared" si="228"/>
        <v>41758.155367309228</v>
      </c>
      <c r="V943" s="304"/>
      <c r="AC943" s="211" t="s">
        <v>8</v>
      </c>
      <c r="AD943" s="180">
        <f>ROUND(B908*$AD$941, 0)</f>
        <v>0</v>
      </c>
      <c r="AE943" s="180">
        <f>ROUND(C908*$AE$941,0)</f>
        <v>0</v>
      </c>
      <c r="AF943" s="180">
        <f>ROUND(D908*$AF$941,0)</f>
        <v>0</v>
      </c>
      <c r="AG943" s="180">
        <f>ROUND(E908*$AG$941,0)</f>
        <v>0</v>
      </c>
      <c r="AH943" s="180">
        <f>ROUND(F908*$AH$941,0)</f>
        <v>368</v>
      </c>
      <c r="AI943" s="180">
        <f>ROUND(H908*$AI$941,0)</f>
        <v>37</v>
      </c>
      <c r="AJ943" s="180">
        <f>ROUND(I908*$AJ$941,0)</f>
        <v>60</v>
      </c>
      <c r="AK943" s="180">
        <f>ROUND(J908*$AK$941,0)</f>
        <v>93</v>
      </c>
      <c r="AL943" s="180">
        <f>ROUND(K908*$AL$941,0)</f>
        <v>96</v>
      </c>
      <c r="AM943" s="180">
        <f>ROUND(L908*$AM$941,0)</f>
        <v>32</v>
      </c>
      <c r="AN943" s="180">
        <f>ROUND(M908*$AN$941,0)</f>
        <v>38</v>
      </c>
      <c r="AO943" s="180">
        <f>ROUND(N908*$AO$941,0)</f>
        <v>79</v>
      </c>
      <c r="AP943" s="180">
        <f>ROUND(O908*$AP$941,0)</f>
        <v>30</v>
      </c>
      <c r="AQ943" s="180">
        <f>ROUND(P908*$AQ$941,0)</f>
        <v>51</v>
      </c>
      <c r="AR943" s="180">
        <f>ROUND(Q908*$AR$941,0)</f>
        <v>72</v>
      </c>
      <c r="AS943" s="210">
        <f>SUM(AD943:AR943)</f>
        <v>956</v>
      </c>
    </row>
    <row r="944" spans="1:45" ht="15.75" customHeight="1" x14ac:dyDescent="0.3">
      <c r="A944" s="192" t="s">
        <v>18</v>
      </c>
      <c r="B944" s="189">
        <f t="shared" si="217"/>
        <v>227626</v>
      </c>
      <c r="C944" s="182">
        <f t="shared" si="218"/>
        <v>0</v>
      </c>
      <c r="D944" s="182">
        <f t="shared" si="219"/>
        <v>9890</v>
      </c>
      <c r="E944" s="182">
        <f t="shared" si="220"/>
        <v>227626</v>
      </c>
      <c r="F944" s="307">
        <f t="shared" si="221"/>
        <v>237516</v>
      </c>
      <c r="G944" s="189">
        <f t="shared" si="222"/>
        <v>2315.0367445365478</v>
      </c>
      <c r="H944" s="238">
        <v>10083</v>
      </c>
      <c r="I944" s="238">
        <v>0</v>
      </c>
      <c r="J944" s="182">
        <f t="shared" si="223"/>
        <v>10083</v>
      </c>
      <c r="K944" s="238">
        <v>0</v>
      </c>
      <c r="L944" s="238">
        <v>0</v>
      </c>
      <c r="M944" s="239">
        <v>246720</v>
      </c>
      <c r="N944" s="240">
        <v>37200</v>
      </c>
      <c r="O944" s="310">
        <f t="shared" si="224"/>
        <v>283920</v>
      </c>
      <c r="P944" s="241">
        <v>7.4999999999999997E-2</v>
      </c>
      <c r="Q944" s="227">
        <f t="shared" si="225"/>
        <v>-21294</v>
      </c>
      <c r="R944" s="310">
        <f t="shared" si="226"/>
        <v>262626</v>
      </c>
      <c r="S944" s="242">
        <f t="shared" si="216"/>
        <v>-37508.036744536541</v>
      </c>
      <c r="T944" s="182" t="str">
        <f t="shared" si="227"/>
        <v/>
      </c>
      <c r="U944" s="307">
        <f t="shared" si="228"/>
        <v>37508.036744536541</v>
      </c>
      <c r="V944" s="304"/>
      <c r="AC944" s="211" t="s">
        <v>9</v>
      </c>
      <c r="AD944" s="180">
        <f t="shared" ref="AD944:AD954" si="230">ROUND(B909*$AD$941, 0)</f>
        <v>0</v>
      </c>
      <c r="AE944" s="180">
        <f t="shared" ref="AE944:AE954" si="231">ROUND(C909*$AE$941,0)</f>
        <v>0</v>
      </c>
      <c r="AF944" s="180">
        <f t="shared" ref="AF944:AF954" si="232">ROUND(D909*$AF$941,0)</f>
        <v>0</v>
      </c>
      <c r="AG944" s="180">
        <f t="shared" ref="AG944:AG954" si="233">ROUND(E909*$AG$941,0)</f>
        <v>0</v>
      </c>
      <c r="AH944" s="180">
        <f t="shared" ref="AH944:AH954" si="234">ROUND(F909*$AH$941,0)</f>
        <v>114</v>
      </c>
      <c r="AI944" s="180">
        <f t="shared" ref="AI944:AI954" si="235">ROUND(H909*$AI$941,0)</f>
        <v>90</v>
      </c>
      <c r="AJ944" s="180">
        <f t="shared" ref="AJ944:AJ954" si="236">ROUND(I909*$AJ$941,0)</f>
        <v>118</v>
      </c>
      <c r="AK944" s="180">
        <f t="shared" ref="AK944:AK954" si="237">ROUND(J909*$AK$941,0)</f>
        <v>181</v>
      </c>
      <c r="AL944" s="180">
        <f t="shared" ref="AL944:AL954" si="238">ROUND(K909*$AL$941,0)</f>
        <v>171</v>
      </c>
      <c r="AM944" s="180">
        <f t="shared" ref="AM944:AM954" si="239">ROUND(L909*$AM$941,0)</f>
        <v>47</v>
      </c>
      <c r="AN944" s="180">
        <f t="shared" ref="AN944:AN954" si="240">ROUND(M909*$AN$941,0)</f>
        <v>55</v>
      </c>
      <c r="AO944" s="180">
        <f t="shared" ref="AO944:AO954" si="241">ROUND(N909*$AO$941,0)</f>
        <v>111</v>
      </c>
      <c r="AP944" s="180">
        <f t="shared" ref="AP944:AP954" si="242">ROUND(O909*$AP$941,0)</f>
        <v>23</v>
      </c>
      <c r="AQ944" s="180">
        <f t="shared" ref="AQ944:AQ954" si="243">ROUND(P909*$AQ$941,0)</f>
        <v>44</v>
      </c>
      <c r="AR944" s="180">
        <f t="shared" ref="AR944:AR954" si="244">ROUND(Q909*$AR$941,0)</f>
        <v>56</v>
      </c>
      <c r="AS944" s="210">
        <f t="shared" ref="AS944:AS954" si="245">SUM(AD944:AR944)</f>
        <v>1010</v>
      </c>
    </row>
    <row r="945" spans="1:45" ht="15.75" customHeight="1" x14ac:dyDescent="0.3">
      <c r="A945" s="192" t="s">
        <v>20</v>
      </c>
      <c r="B945" s="189">
        <f t="shared" si="217"/>
        <v>211650</v>
      </c>
      <c r="C945" s="182">
        <f t="shared" si="218"/>
        <v>0</v>
      </c>
      <c r="D945" s="182">
        <f t="shared" si="219"/>
        <v>9354</v>
      </c>
      <c r="E945" s="182">
        <f t="shared" si="220"/>
        <v>211650</v>
      </c>
      <c r="F945" s="307">
        <f t="shared" si="221"/>
        <v>221004</v>
      </c>
      <c r="G945" s="189">
        <f t="shared" si="222"/>
        <v>131.45975885455857</v>
      </c>
      <c r="H945" s="238">
        <v>7997</v>
      </c>
      <c r="I945" s="238">
        <v>0</v>
      </c>
      <c r="J945" s="182">
        <f t="shared" si="223"/>
        <v>7997</v>
      </c>
      <c r="K945" s="238">
        <v>0</v>
      </c>
      <c r="L945" s="238">
        <v>0</v>
      </c>
      <c r="M945" s="239">
        <v>220720</v>
      </c>
      <c r="N945" s="240"/>
      <c r="O945" s="310">
        <f t="shared" si="224"/>
        <v>220720</v>
      </c>
      <c r="P945" s="241">
        <v>0.3</v>
      </c>
      <c r="Q945" s="227">
        <f t="shared" si="225"/>
        <v>-66216</v>
      </c>
      <c r="R945" s="310">
        <f t="shared" si="226"/>
        <v>154504</v>
      </c>
      <c r="S945" s="242">
        <f t="shared" si="216"/>
        <v>58371.540241145442</v>
      </c>
      <c r="T945" s="182">
        <f t="shared" si="227"/>
        <v>58371.540241145442</v>
      </c>
      <c r="U945" s="307" t="str">
        <f t="shared" si="228"/>
        <v/>
      </c>
      <c r="V945" s="304"/>
      <c r="AC945" s="211" t="s">
        <v>10</v>
      </c>
      <c r="AD945" s="180">
        <f t="shared" si="230"/>
        <v>0</v>
      </c>
      <c r="AE945" s="180">
        <f t="shared" si="231"/>
        <v>0</v>
      </c>
      <c r="AF945" s="180">
        <f t="shared" si="232"/>
        <v>0</v>
      </c>
      <c r="AG945" s="180">
        <f t="shared" si="233"/>
        <v>0</v>
      </c>
      <c r="AH945" s="180">
        <f t="shared" si="234"/>
        <v>16</v>
      </c>
      <c r="AI945" s="180">
        <f t="shared" si="235"/>
        <v>139</v>
      </c>
      <c r="AJ945" s="180">
        <f t="shared" si="236"/>
        <v>208</v>
      </c>
      <c r="AK945" s="180">
        <f t="shared" si="237"/>
        <v>252</v>
      </c>
      <c r="AL945" s="180">
        <f t="shared" si="238"/>
        <v>235</v>
      </c>
      <c r="AM945" s="180">
        <f t="shared" si="239"/>
        <v>72</v>
      </c>
      <c r="AN945" s="180">
        <f t="shared" si="240"/>
        <v>84</v>
      </c>
      <c r="AO945" s="180">
        <f t="shared" si="241"/>
        <v>171</v>
      </c>
      <c r="AP945" s="180">
        <f t="shared" si="242"/>
        <v>31</v>
      </c>
      <c r="AQ945" s="180">
        <f t="shared" si="243"/>
        <v>55</v>
      </c>
      <c r="AR945" s="180">
        <f t="shared" si="244"/>
        <v>74</v>
      </c>
      <c r="AS945" s="210">
        <f t="shared" si="245"/>
        <v>1337</v>
      </c>
    </row>
    <row r="946" spans="1:45" ht="15.75" customHeight="1" x14ac:dyDescent="0.3">
      <c r="A946" s="192" t="s">
        <v>21</v>
      </c>
      <c r="B946" s="189">
        <f t="shared" si="217"/>
        <v>225706</v>
      </c>
      <c r="C946" s="182">
        <f t="shared" si="218"/>
        <v>0</v>
      </c>
      <c r="D946" s="182">
        <f t="shared" si="219"/>
        <v>9691</v>
      </c>
      <c r="E946" s="182">
        <f t="shared" si="220"/>
        <v>225706</v>
      </c>
      <c r="F946" s="307">
        <f t="shared" si="221"/>
        <v>235397</v>
      </c>
      <c r="G946" s="189">
        <f t="shared" si="222"/>
        <v>0</v>
      </c>
      <c r="H946" s="238">
        <v>11493</v>
      </c>
      <c r="I946" s="238">
        <v>0</v>
      </c>
      <c r="J946" s="182">
        <f t="shared" si="223"/>
        <v>11493</v>
      </c>
      <c r="K946" s="238">
        <v>0</v>
      </c>
      <c r="L946" s="238">
        <v>0</v>
      </c>
      <c r="M946" s="239">
        <v>214560</v>
      </c>
      <c r="N946" s="240"/>
      <c r="O946" s="310">
        <f t="shared" si="224"/>
        <v>214560</v>
      </c>
      <c r="P946" s="241">
        <v>0.3</v>
      </c>
      <c r="Q946" s="227">
        <f t="shared" si="225"/>
        <v>-64368</v>
      </c>
      <c r="R946" s="310">
        <f t="shared" si="226"/>
        <v>150192</v>
      </c>
      <c r="S946" s="242">
        <f t="shared" si="216"/>
        <v>73712</v>
      </c>
      <c r="T946" s="182">
        <f t="shared" si="227"/>
        <v>73712</v>
      </c>
      <c r="U946" s="307" t="str">
        <f t="shared" si="228"/>
        <v/>
      </c>
      <c r="V946" s="304"/>
      <c r="AC946" s="211" t="s">
        <v>12</v>
      </c>
      <c r="AD946" s="180">
        <f t="shared" si="230"/>
        <v>0</v>
      </c>
      <c r="AE946" s="180">
        <f t="shared" si="231"/>
        <v>0</v>
      </c>
      <c r="AF946" s="180">
        <f t="shared" si="232"/>
        <v>0</v>
      </c>
      <c r="AG946" s="180">
        <f t="shared" si="233"/>
        <v>0</v>
      </c>
      <c r="AH946" s="180">
        <f t="shared" si="234"/>
        <v>99</v>
      </c>
      <c r="AI946" s="180">
        <f t="shared" si="235"/>
        <v>160</v>
      </c>
      <c r="AJ946" s="180">
        <f t="shared" si="236"/>
        <v>258</v>
      </c>
      <c r="AK946" s="180">
        <f t="shared" si="237"/>
        <v>310</v>
      </c>
      <c r="AL946" s="180">
        <f t="shared" si="238"/>
        <v>269</v>
      </c>
      <c r="AM946" s="180">
        <f t="shared" si="239"/>
        <v>86</v>
      </c>
      <c r="AN946" s="180">
        <f t="shared" si="240"/>
        <v>102</v>
      </c>
      <c r="AO946" s="180">
        <f t="shared" si="241"/>
        <v>211</v>
      </c>
      <c r="AP946" s="180">
        <f t="shared" si="242"/>
        <v>32</v>
      </c>
      <c r="AQ946" s="180">
        <f t="shared" si="243"/>
        <v>48</v>
      </c>
      <c r="AR946" s="180">
        <f t="shared" si="244"/>
        <v>76</v>
      </c>
      <c r="AS946" s="210">
        <f t="shared" si="245"/>
        <v>1651</v>
      </c>
    </row>
    <row r="947" spans="1:45" ht="15.75" customHeight="1" x14ac:dyDescent="0.3">
      <c r="A947" s="192" t="s">
        <v>22</v>
      </c>
      <c r="B947" s="189">
        <f t="shared" si="217"/>
        <v>200550</v>
      </c>
      <c r="C947" s="182">
        <f t="shared" si="218"/>
        <v>0</v>
      </c>
      <c r="D947" s="182">
        <f t="shared" si="219"/>
        <v>8546</v>
      </c>
      <c r="E947" s="182">
        <f t="shared" si="220"/>
        <v>200550</v>
      </c>
      <c r="F947" s="307">
        <f t="shared" si="221"/>
        <v>209096</v>
      </c>
      <c r="G947" s="189">
        <f t="shared" si="222"/>
        <v>0</v>
      </c>
      <c r="H947" s="238">
        <v>7495</v>
      </c>
      <c r="I947" s="238">
        <v>0</v>
      </c>
      <c r="J947" s="182">
        <f>(H947+I947)</f>
        <v>7495</v>
      </c>
      <c r="K947" s="238">
        <v>0</v>
      </c>
      <c r="L947" s="238">
        <v>0</v>
      </c>
      <c r="M947" s="239">
        <v>234112</v>
      </c>
      <c r="N947" s="240"/>
      <c r="O947" s="310">
        <f t="shared" si="224"/>
        <v>234112</v>
      </c>
      <c r="P947" s="241">
        <v>0.3</v>
      </c>
      <c r="Q947" s="227">
        <f t="shared" si="225"/>
        <v>-70233.599999999991</v>
      </c>
      <c r="R947" s="310">
        <f t="shared" si="226"/>
        <v>163878.40000000002</v>
      </c>
      <c r="S947" s="242">
        <f t="shared" si="216"/>
        <v>37722.599999999977</v>
      </c>
      <c r="T947" s="182">
        <f t="shared" si="227"/>
        <v>37722.599999999977</v>
      </c>
      <c r="U947" s="307" t="str">
        <f t="shared" si="228"/>
        <v/>
      </c>
      <c r="V947" s="304"/>
      <c r="AC947" s="211" t="s">
        <v>13</v>
      </c>
      <c r="AD947" s="180">
        <f t="shared" si="230"/>
        <v>0</v>
      </c>
      <c r="AE947" s="180">
        <f t="shared" si="231"/>
        <v>0</v>
      </c>
      <c r="AF947" s="180">
        <f t="shared" si="232"/>
        <v>0</v>
      </c>
      <c r="AG947" s="180">
        <f t="shared" si="233"/>
        <v>0</v>
      </c>
      <c r="AH947" s="180">
        <f t="shared" si="234"/>
        <v>43</v>
      </c>
      <c r="AI947" s="180">
        <f t="shared" si="235"/>
        <v>185</v>
      </c>
      <c r="AJ947" s="180">
        <f t="shared" si="236"/>
        <v>239</v>
      </c>
      <c r="AK947" s="180">
        <f t="shared" si="237"/>
        <v>277</v>
      </c>
      <c r="AL947" s="180">
        <f t="shared" si="238"/>
        <v>258</v>
      </c>
      <c r="AM947" s="180">
        <f t="shared" si="239"/>
        <v>90</v>
      </c>
      <c r="AN947" s="180">
        <f t="shared" si="240"/>
        <v>107</v>
      </c>
      <c r="AO947" s="180">
        <f t="shared" si="241"/>
        <v>214</v>
      </c>
      <c r="AP947" s="180">
        <f t="shared" si="242"/>
        <v>32</v>
      </c>
      <c r="AQ947" s="180">
        <f t="shared" si="243"/>
        <v>21</v>
      </c>
      <c r="AR947" s="180">
        <f t="shared" si="244"/>
        <v>76</v>
      </c>
      <c r="AS947" s="210">
        <f t="shared" si="245"/>
        <v>1542</v>
      </c>
    </row>
    <row r="948" spans="1:45" ht="15.75" customHeight="1" x14ac:dyDescent="0.3">
      <c r="A948" s="213" t="s">
        <v>633</v>
      </c>
      <c r="B948" s="189" t="s">
        <v>633</v>
      </c>
      <c r="C948" s="182"/>
      <c r="D948" s="182"/>
      <c r="E948" s="182" t="s">
        <v>7</v>
      </c>
      <c r="F948" s="307"/>
      <c r="G948" s="189"/>
      <c r="H948" s="182"/>
      <c r="I948" s="182" t="s">
        <v>7</v>
      </c>
      <c r="J948" s="182" t="s">
        <v>7</v>
      </c>
      <c r="K948" s="243"/>
      <c r="L948" s="182"/>
      <c r="M948" s="239"/>
      <c r="N948" s="240"/>
      <c r="O948" s="310"/>
      <c r="P948" s="241"/>
      <c r="Q948" s="240"/>
      <c r="R948" s="310"/>
      <c r="S948" s="242"/>
      <c r="T948" s="182"/>
      <c r="U948" s="307"/>
      <c r="V948" s="304"/>
      <c r="AC948" s="211" t="s">
        <v>14</v>
      </c>
      <c r="AD948" s="180">
        <f t="shared" si="230"/>
        <v>0</v>
      </c>
      <c r="AE948" s="180">
        <f t="shared" si="231"/>
        <v>0</v>
      </c>
      <c r="AF948" s="180">
        <f t="shared" si="232"/>
        <v>0</v>
      </c>
      <c r="AG948" s="180">
        <f t="shared" si="233"/>
        <v>0</v>
      </c>
      <c r="AH948" s="180">
        <f t="shared" si="234"/>
        <v>0</v>
      </c>
      <c r="AI948" s="180">
        <f t="shared" si="235"/>
        <v>225</v>
      </c>
      <c r="AJ948" s="180">
        <f t="shared" si="236"/>
        <v>298</v>
      </c>
      <c r="AK948" s="180">
        <f t="shared" si="237"/>
        <v>298</v>
      </c>
      <c r="AL948" s="180">
        <f t="shared" si="238"/>
        <v>245</v>
      </c>
      <c r="AM948" s="180">
        <f t="shared" si="239"/>
        <v>87</v>
      </c>
      <c r="AN948" s="180">
        <f t="shared" si="240"/>
        <v>102</v>
      </c>
      <c r="AO948" s="180">
        <f t="shared" si="241"/>
        <v>199</v>
      </c>
      <c r="AP948" s="180">
        <f t="shared" si="242"/>
        <v>34</v>
      </c>
      <c r="AQ948" s="180">
        <f t="shared" si="243"/>
        <v>68</v>
      </c>
      <c r="AR948" s="180">
        <f t="shared" si="244"/>
        <v>81</v>
      </c>
      <c r="AS948" s="210">
        <f t="shared" si="245"/>
        <v>1637</v>
      </c>
    </row>
    <row r="949" spans="1:45" ht="16.5" customHeight="1" thickBot="1" x14ac:dyDescent="0.35">
      <c r="A949" s="244" t="s">
        <v>641</v>
      </c>
      <c r="B949" s="204">
        <f>SUM(B936:B947)</f>
        <v>2578547</v>
      </c>
      <c r="C949" s="205">
        <f>+SUM(C936:C947)</f>
        <v>0</v>
      </c>
      <c r="D949" s="205">
        <f>SUM(D936:D947)</f>
        <v>110993</v>
      </c>
      <c r="E949" s="205">
        <f t="shared" si="220"/>
        <v>2578547</v>
      </c>
      <c r="F949" s="245">
        <f>SUM(F936:F947)</f>
        <v>2689540</v>
      </c>
      <c r="G949" s="204">
        <f>SUM(G936:G947)</f>
        <v>43097.048999847451</v>
      </c>
      <c r="H949" s="205">
        <f>SUM(H936:H947)</f>
        <v>141072</v>
      </c>
      <c r="I949" s="205">
        <f>SUM(I936:I947)</f>
        <v>0</v>
      </c>
      <c r="J949" s="205">
        <f>(H949+I949)</f>
        <v>141072</v>
      </c>
      <c r="K949" s="205">
        <f>SUM(K936:K947)</f>
        <v>0</v>
      </c>
      <c r="L949" s="205">
        <f>SUM(L936:L947)</f>
        <v>0</v>
      </c>
      <c r="M949" s="246">
        <f>SUM(M936:M947)</f>
        <v>2608628</v>
      </c>
      <c r="N949" s="247">
        <f>SUM(N936:N947)</f>
        <v>83748</v>
      </c>
      <c r="O949" s="248">
        <f t="shared" si="224"/>
        <v>2692376</v>
      </c>
      <c r="P949" s="249">
        <f>Q949/O949</f>
        <v>-0.1856169717751161</v>
      </c>
      <c r="Q949" s="250">
        <f>SUM(Q936:Q947)</f>
        <v>-499750.68</v>
      </c>
      <c r="R949" s="248">
        <f>SUM(R936:R947)</f>
        <v>2192625.3200000003</v>
      </c>
      <c r="S949" s="251">
        <f>(F949-G949-J949-K949-L949-R949)</f>
        <v>312745.63100015232</v>
      </c>
      <c r="T949" s="205">
        <f>+SUM(T936:T947)</f>
        <v>423418.36462697812</v>
      </c>
      <c r="U949" s="245">
        <f>+SUM(U936:U947)</f>
        <v>110672.73362682556</v>
      </c>
      <c r="V949" s="304"/>
      <c r="AC949" s="211" t="s">
        <v>16</v>
      </c>
      <c r="AD949" s="180">
        <f t="shared" si="230"/>
        <v>0</v>
      </c>
      <c r="AE949" s="180">
        <f t="shared" si="231"/>
        <v>0</v>
      </c>
      <c r="AF949" s="180">
        <f t="shared" si="232"/>
        <v>0</v>
      </c>
      <c r="AG949" s="180">
        <f t="shared" si="233"/>
        <v>0</v>
      </c>
      <c r="AH949" s="180">
        <f t="shared" si="234"/>
        <v>0</v>
      </c>
      <c r="AI949" s="180">
        <f t="shared" si="235"/>
        <v>199</v>
      </c>
      <c r="AJ949" s="180">
        <f t="shared" si="236"/>
        <v>328</v>
      </c>
      <c r="AK949" s="180">
        <f t="shared" si="237"/>
        <v>291</v>
      </c>
      <c r="AL949" s="180">
        <f t="shared" si="238"/>
        <v>270</v>
      </c>
      <c r="AM949" s="180">
        <f t="shared" si="239"/>
        <v>90</v>
      </c>
      <c r="AN949" s="180">
        <f t="shared" si="240"/>
        <v>106</v>
      </c>
      <c r="AO949" s="180">
        <f t="shared" si="241"/>
        <v>203</v>
      </c>
      <c r="AP949" s="180">
        <f t="shared" si="242"/>
        <v>28</v>
      </c>
      <c r="AQ949" s="180">
        <f t="shared" si="243"/>
        <v>68</v>
      </c>
      <c r="AR949" s="180">
        <f t="shared" si="244"/>
        <v>67</v>
      </c>
      <c r="AS949" s="210">
        <f t="shared" si="245"/>
        <v>1650</v>
      </c>
    </row>
    <row r="950" spans="1:45" ht="15.75" customHeight="1" x14ac:dyDescent="0.3">
      <c r="A950" s="95"/>
      <c r="B950" s="180"/>
      <c r="C950" s="180"/>
      <c r="D950" s="180"/>
      <c r="E950" s="180"/>
      <c r="F950" s="180" t="s">
        <v>633</v>
      </c>
      <c r="G950" s="180"/>
      <c r="H950" s="180"/>
      <c r="I950" s="180"/>
      <c r="K950" s="180"/>
      <c r="L950" s="180"/>
      <c r="M950" s="252"/>
      <c r="P950" s="351"/>
      <c r="V950" s="304"/>
      <c r="AC950" s="211" t="s">
        <v>17</v>
      </c>
      <c r="AD950" s="180">
        <f t="shared" si="230"/>
        <v>0</v>
      </c>
      <c r="AE950" s="180">
        <f t="shared" si="231"/>
        <v>0</v>
      </c>
      <c r="AF950" s="180">
        <f t="shared" si="232"/>
        <v>0</v>
      </c>
      <c r="AG950" s="180">
        <f t="shared" si="233"/>
        <v>0</v>
      </c>
      <c r="AH950" s="180">
        <f t="shared" si="234"/>
        <v>0</v>
      </c>
      <c r="AI950" s="180">
        <f t="shared" si="235"/>
        <v>150</v>
      </c>
      <c r="AJ950" s="180">
        <f t="shared" si="236"/>
        <v>236</v>
      </c>
      <c r="AK950" s="180">
        <f t="shared" si="237"/>
        <v>259</v>
      </c>
      <c r="AL950" s="180">
        <f t="shared" si="238"/>
        <v>231</v>
      </c>
      <c r="AM950" s="180">
        <f t="shared" si="239"/>
        <v>83</v>
      </c>
      <c r="AN950" s="180">
        <f t="shared" si="240"/>
        <v>97</v>
      </c>
      <c r="AO950" s="180">
        <f t="shared" si="241"/>
        <v>184</v>
      </c>
      <c r="AP950" s="180">
        <f t="shared" si="242"/>
        <v>17</v>
      </c>
      <c r="AQ950" s="180">
        <f t="shared" si="243"/>
        <v>66</v>
      </c>
      <c r="AR950" s="180">
        <f t="shared" si="244"/>
        <v>40</v>
      </c>
      <c r="AS950" s="210">
        <f t="shared" si="245"/>
        <v>1363</v>
      </c>
    </row>
    <row r="951" spans="1:45" ht="15.75" customHeight="1" x14ac:dyDescent="0.3">
      <c r="A951" s="179" t="s">
        <v>773</v>
      </c>
      <c r="P951" s="180"/>
      <c r="Q951" s="180"/>
      <c r="R951" s="180"/>
      <c r="V951" s="304"/>
      <c r="AC951" s="211" t="s">
        <v>18</v>
      </c>
      <c r="AD951" s="180">
        <f t="shared" si="230"/>
        <v>0</v>
      </c>
      <c r="AE951" s="180">
        <f t="shared" si="231"/>
        <v>0</v>
      </c>
      <c r="AF951" s="180">
        <f t="shared" si="232"/>
        <v>0</v>
      </c>
      <c r="AG951" s="180">
        <f t="shared" si="233"/>
        <v>0</v>
      </c>
      <c r="AH951" s="180">
        <f t="shared" si="234"/>
        <v>54</v>
      </c>
      <c r="AI951" s="180">
        <f t="shared" si="235"/>
        <v>124</v>
      </c>
      <c r="AJ951" s="180">
        <f t="shared" si="236"/>
        <v>219</v>
      </c>
      <c r="AK951" s="180">
        <f t="shared" si="237"/>
        <v>266</v>
      </c>
      <c r="AL951" s="180">
        <f t="shared" si="238"/>
        <v>244</v>
      </c>
      <c r="AM951" s="180">
        <f t="shared" si="239"/>
        <v>78</v>
      </c>
      <c r="AN951" s="180">
        <f t="shared" si="240"/>
        <v>92</v>
      </c>
      <c r="AO951" s="180">
        <f t="shared" si="241"/>
        <v>177</v>
      </c>
      <c r="AP951" s="180">
        <f t="shared" si="242"/>
        <v>38</v>
      </c>
      <c r="AQ951" s="180">
        <f t="shared" si="243"/>
        <v>47</v>
      </c>
      <c r="AR951" s="180">
        <f t="shared" si="244"/>
        <v>89</v>
      </c>
      <c r="AS951" s="210">
        <f t="shared" si="245"/>
        <v>1428</v>
      </c>
    </row>
    <row r="952" spans="1:45" ht="15.75" customHeight="1" x14ac:dyDescent="0.3">
      <c r="A952" s="179" t="s">
        <v>774</v>
      </c>
      <c r="D952" s="180"/>
      <c r="E952" s="180"/>
      <c r="F952" s="180"/>
      <c r="G952" s="180"/>
      <c r="H952" s="180"/>
      <c r="I952" s="180"/>
      <c r="J952" s="180"/>
      <c r="K952" s="180"/>
      <c r="L952" s="180"/>
      <c r="M952" s="180"/>
      <c r="N952" s="180"/>
      <c r="O952" s="180"/>
      <c r="P952" s="180"/>
      <c r="Q952" s="180"/>
      <c r="R952" s="180"/>
      <c r="V952" s="304"/>
      <c r="AC952" s="211" t="s">
        <v>20</v>
      </c>
      <c r="AD952" s="180">
        <f t="shared" si="230"/>
        <v>0</v>
      </c>
      <c r="AE952" s="180">
        <f t="shared" si="231"/>
        <v>0</v>
      </c>
      <c r="AF952" s="180">
        <f t="shared" si="232"/>
        <v>0</v>
      </c>
      <c r="AG952" s="180">
        <f t="shared" si="233"/>
        <v>0</v>
      </c>
      <c r="AH952" s="180">
        <f t="shared" si="234"/>
        <v>116</v>
      </c>
      <c r="AI952" s="180">
        <f t="shared" si="235"/>
        <v>81</v>
      </c>
      <c r="AJ952" s="180">
        <f t="shared" si="236"/>
        <v>73</v>
      </c>
      <c r="AK952" s="180">
        <f t="shared" si="237"/>
        <v>84</v>
      </c>
      <c r="AL952" s="180">
        <f t="shared" si="238"/>
        <v>84</v>
      </c>
      <c r="AM952" s="180">
        <f t="shared" si="239"/>
        <v>26</v>
      </c>
      <c r="AN952" s="180">
        <f t="shared" si="240"/>
        <v>31</v>
      </c>
      <c r="AO952" s="180">
        <f t="shared" si="241"/>
        <v>58</v>
      </c>
      <c r="AP952" s="180">
        <f t="shared" si="242"/>
        <v>14</v>
      </c>
      <c r="AQ952" s="180">
        <f t="shared" si="243"/>
        <v>0</v>
      </c>
      <c r="AR952" s="180">
        <f t="shared" si="244"/>
        <v>34</v>
      </c>
      <c r="AS952" s="210">
        <f t="shared" si="245"/>
        <v>601</v>
      </c>
    </row>
    <row r="953" spans="1:45" ht="15.75" customHeight="1" x14ac:dyDescent="0.3">
      <c r="A953" s="179" t="s">
        <v>775</v>
      </c>
      <c r="D953" s="180"/>
      <c r="E953" s="180"/>
      <c r="F953" s="180"/>
      <c r="G953" s="180"/>
      <c r="H953" s="180"/>
      <c r="I953" s="180"/>
      <c r="J953" s="180"/>
      <c r="K953" s="180"/>
      <c r="L953" s="180"/>
      <c r="M953" s="180"/>
      <c r="N953" s="180"/>
      <c r="O953" s="180"/>
      <c r="P953" s="180"/>
      <c r="Q953" s="180"/>
      <c r="R953" s="180"/>
      <c r="V953" s="304"/>
      <c r="AC953" s="211" t="s">
        <v>21</v>
      </c>
      <c r="AD953" s="180">
        <f t="shared" si="230"/>
        <v>0</v>
      </c>
      <c r="AE953" s="180">
        <f t="shared" si="231"/>
        <v>0</v>
      </c>
      <c r="AF953" s="180">
        <f t="shared" si="232"/>
        <v>0</v>
      </c>
      <c r="AG953" s="180">
        <f t="shared" si="233"/>
        <v>0</v>
      </c>
      <c r="AH953" s="180">
        <f t="shared" si="234"/>
        <v>229</v>
      </c>
      <c r="AI953" s="180">
        <f t="shared" si="235"/>
        <v>50</v>
      </c>
      <c r="AJ953" s="180">
        <f t="shared" si="236"/>
        <v>79</v>
      </c>
      <c r="AK953" s="180">
        <f t="shared" si="237"/>
        <v>107</v>
      </c>
      <c r="AL953" s="180">
        <f t="shared" si="238"/>
        <v>110</v>
      </c>
      <c r="AM953" s="180">
        <f t="shared" si="239"/>
        <v>29</v>
      </c>
      <c r="AN953" s="180">
        <f t="shared" si="240"/>
        <v>35</v>
      </c>
      <c r="AO953" s="180">
        <f t="shared" si="241"/>
        <v>73</v>
      </c>
      <c r="AP953" s="180">
        <f t="shared" si="242"/>
        <v>9</v>
      </c>
      <c r="AQ953" s="180">
        <f t="shared" si="243"/>
        <v>0</v>
      </c>
      <c r="AR953" s="180">
        <f t="shared" si="244"/>
        <v>21</v>
      </c>
      <c r="AS953" s="210">
        <f t="shared" si="245"/>
        <v>742</v>
      </c>
    </row>
    <row r="954" spans="1:45" ht="15.75" customHeight="1" thickBot="1" x14ac:dyDescent="0.35">
      <c r="A954" s="194" t="s">
        <v>776</v>
      </c>
      <c r="B954" s="135"/>
      <c r="C954" s="135"/>
      <c r="D954" s="195"/>
      <c r="E954" s="195"/>
      <c r="F954" s="195"/>
      <c r="G954" s="195"/>
      <c r="H954" s="195"/>
      <c r="I954" s="195"/>
      <c r="J954" s="195"/>
      <c r="K954" s="195"/>
      <c r="L954" s="195"/>
      <c r="M954" s="195"/>
      <c r="N954" s="195"/>
      <c r="O954" s="195"/>
      <c r="P954" s="195"/>
      <c r="Q954" s="195"/>
      <c r="R954" s="195"/>
      <c r="S954" s="135"/>
      <c r="T954" s="135"/>
      <c r="U954" s="135"/>
      <c r="V954" s="136"/>
      <c r="AC954" s="211" t="s">
        <v>22</v>
      </c>
      <c r="AD954" s="180">
        <f t="shared" si="230"/>
        <v>0</v>
      </c>
      <c r="AE954" s="180">
        <f t="shared" si="231"/>
        <v>0</v>
      </c>
      <c r="AF954" s="180">
        <f t="shared" si="232"/>
        <v>0</v>
      </c>
      <c r="AG954" s="180">
        <f t="shared" si="233"/>
        <v>0</v>
      </c>
      <c r="AH954" s="180">
        <f t="shared" si="234"/>
        <v>163</v>
      </c>
      <c r="AI954" s="180">
        <f t="shared" si="235"/>
        <v>65</v>
      </c>
      <c r="AJ954" s="180">
        <f t="shared" si="236"/>
        <v>105</v>
      </c>
      <c r="AK954" s="180">
        <f t="shared" si="237"/>
        <v>152</v>
      </c>
      <c r="AL954" s="180">
        <f t="shared" si="238"/>
        <v>158</v>
      </c>
      <c r="AM954" s="180">
        <f t="shared" si="239"/>
        <v>59</v>
      </c>
      <c r="AN954" s="180">
        <f t="shared" si="240"/>
        <v>69</v>
      </c>
      <c r="AO954" s="180">
        <f t="shared" si="241"/>
        <v>144</v>
      </c>
      <c r="AP954" s="180">
        <f t="shared" si="242"/>
        <v>34</v>
      </c>
      <c r="AQ954" s="180">
        <f t="shared" si="243"/>
        <v>0</v>
      </c>
      <c r="AR954" s="180">
        <f t="shared" si="244"/>
        <v>82</v>
      </c>
      <c r="AS954" s="210">
        <f t="shared" si="245"/>
        <v>1031</v>
      </c>
    </row>
    <row r="955" spans="1:45" ht="15.75" customHeight="1" thickBot="1" x14ac:dyDescent="0.35">
      <c r="A955" s="179"/>
      <c r="D955" s="180"/>
      <c r="E955" s="180"/>
      <c r="F955" s="180"/>
      <c r="G955" s="180"/>
      <c r="H955" s="180"/>
      <c r="I955" s="180"/>
      <c r="J955" s="180"/>
      <c r="K955" s="180"/>
      <c r="L955" s="180"/>
      <c r="M955" s="180"/>
      <c r="N955" s="180"/>
      <c r="O955" s="180"/>
      <c r="P955" s="180"/>
      <c r="Q955" s="180"/>
      <c r="R955" s="180"/>
      <c r="AC955" s="95"/>
      <c r="AD955" s="180"/>
      <c r="AE955" s="180"/>
      <c r="AF955" s="180"/>
      <c r="AG955" s="180"/>
      <c r="AH955" s="180"/>
      <c r="AI955" s="180"/>
      <c r="AJ955" s="180"/>
      <c r="AK955" s="180"/>
      <c r="AL955" s="180"/>
      <c r="AM955" s="180"/>
      <c r="AN955" s="180"/>
      <c r="AO955" s="180"/>
      <c r="AP955" s="180"/>
      <c r="AQ955" s="180"/>
      <c r="AR955" s="180"/>
      <c r="AS955" s="210"/>
    </row>
    <row r="956" spans="1:45" ht="15.75" customHeight="1" thickBot="1" x14ac:dyDescent="0.35">
      <c r="A956" s="192"/>
      <c r="B956" s="412" t="s">
        <v>777</v>
      </c>
      <c r="C956" s="413"/>
      <c r="D956" s="413"/>
      <c r="E956" s="413"/>
      <c r="F956" s="413"/>
      <c r="G956" s="413"/>
      <c r="H956" s="413"/>
      <c r="I956" s="413"/>
      <c r="J956" s="413"/>
      <c r="K956" s="413"/>
      <c r="L956" s="413"/>
      <c r="M956" s="413"/>
      <c r="N956" s="413"/>
      <c r="O956" s="413"/>
      <c r="P956" s="413"/>
      <c r="Q956" s="351"/>
      <c r="R956" s="351"/>
      <c r="S956" s="359"/>
      <c r="T956" s="359"/>
      <c r="U956" s="359"/>
      <c r="V956" s="358"/>
      <c r="AC956" s="220" t="s">
        <v>641</v>
      </c>
      <c r="AD956" s="195">
        <f>SUM(AD943:AD954)</f>
        <v>0</v>
      </c>
      <c r="AE956" s="195">
        <f t="shared" ref="AE956:AS956" si="246">SUM(AE943:AE954)</f>
        <v>0</v>
      </c>
      <c r="AF956" s="195">
        <f t="shared" si="246"/>
        <v>0</v>
      </c>
      <c r="AG956" s="195">
        <f t="shared" si="246"/>
        <v>0</v>
      </c>
      <c r="AH956" s="195">
        <f t="shared" si="246"/>
        <v>1202</v>
      </c>
      <c r="AI956" s="195">
        <f t="shared" si="246"/>
        <v>1505</v>
      </c>
      <c r="AJ956" s="195">
        <f t="shared" si="246"/>
        <v>2221</v>
      </c>
      <c r="AK956" s="195">
        <f t="shared" si="246"/>
        <v>2570</v>
      </c>
      <c r="AL956" s="195">
        <f t="shared" si="246"/>
        <v>2371</v>
      </c>
      <c r="AM956" s="195">
        <f t="shared" si="246"/>
        <v>779</v>
      </c>
      <c r="AN956" s="195">
        <f t="shared" si="246"/>
        <v>918</v>
      </c>
      <c r="AO956" s="195">
        <f t="shared" si="246"/>
        <v>1824</v>
      </c>
      <c r="AP956" s="195">
        <f t="shared" si="246"/>
        <v>322</v>
      </c>
      <c r="AQ956" s="195">
        <f t="shared" si="246"/>
        <v>468</v>
      </c>
      <c r="AR956" s="195">
        <f t="shared" si="246"/>
        <v>768</v>
      </c>
      <c r="AS956" s="221">
        <f t="shared" si="246"/>
        <v>14948</v>
      </c>
    </row>
    <row r="957" spans="1:45" ht="15.75" customHeight="1" thickBot="1" x14ac:dyDescent="0.35">
      <c r="A957" s="192"/>
      <c r="B957" s="403" t="s">
        <v>730</v>
      </c>
      <c r="C957" s="404"/>
      <c r="D957" s="404"/>
      <c r="E957" s="404"/>
      <c r="F957" s="405"/>
      <c r="G957" s="403" t="s">
        <v>731</v>
      </c>
      <c r="H957" s="404"/>
      <c r="I957" s="404"/>
      <c r="J957" s="404"/>
      <c r="K957" s="404"/>
      <c r="L957" s="404"/>
      <c r="M957" s="406" t="s">
        <v>732</v>
      </c>
      <c r="N957" s="407"/>
      <c r="O957" s="407"/>
      <c r="P957" s="429"/>
      <c r="Q957" s="429"/>
      <c r="R957" s="430"/>
      <c r="S957" s="403" t="s">
        <v>733</v>
      </c>
      <c r="T957" s="431"/>
      <c r="U957" s="432"/>
      <c r="V957" s="304"/>
    </row>
    <row r="958" spans="1:45" ht="15.75" customHeight="1" x14ac:dyDescent="0.3">
      <c r="A958" s="213"/>
      <c r="B958" s="189" t="s">
        <v>639</v>
      </c>
      <c r="C958" s="182"/>
      <c r="D958" s="182" t="s">
        <v>734</v>
      </c>
      <c r="E958" s="182" t="s">
        <v>735</v>
      </c>
      <c r="F958" s="307" t="s">
        <v>736</v>
      </c>
      <c r="G958" s="189" t="s">
        <v>737</v>
      </c>
      <c r="H958" s="182"/>
      <c r="I958" s="182"/>
      <c r="J958" s="182" t="s">
        <v>738</v>
      </c>
      <c r="K958" s="182" t="s">
        <v>739</v>
      </c>
      <c r="L958" s="182" t="s">
        <v>740</v>
      </c>
      <c r="M958" s="409" t="str">
        <f>+M931</f>
        <v>(NE)* per WAPA</v>
      </c>
      <c r="N958" s="410"/>
      <c r="O958" s="410"/>
      <c r="P958" s="363"/>
      <c r="Q958" s="227"/>
      <c r="R958" s="310"/>
      <c r="S958" s="189" t="s">
        <v>742</v>
      </c>
      <c r="T958" s="228" t="s">
        <v>743</v>
      </c>
      <c r="U958" s="308" t="s">
        <v>744</v>
      </c>
      <c r="V958" s="304"/>
    </row>
    <row r="959" spans="1:45" ht="15.75" customHeight="1" x14ac:dyDescent="0.3">
      <c r="A959" s="213"/>
      <c r="B959" s="230" t="s">
        <v>745</v>
      </c>
      <c r="C959" s="231" t="s">
        <v>746</v>
      </c>
      <c r="D959" s="231" t="s">
        <v>747</v>
      </c>
      <c r="E959" s="182" t="s">
        <v>658</v>
      </c>
      <c r="F959" s="309" t="s">
        <v>748</v>
      </c>
      <c r="G959" s="189" t="s">
        <v>640</v>
      </c>
      <c r="H959" s="182" t="s">
        <v>749</v>
      </c>
      <c r="I959" s="182" t="s">
        <v>750</v>
      </c>
      <c r="J959" s="231" t="s">
        <v>751</v>
      </c>
      <c r="K959" s="182" t="s">
        <v>723</v>
      </c>
      <c r="L959" s="231" t="s">
        <v>752</v>
      </c>
      <c r="M959" s="233" t="s">
        <v>753</v>
      </c>
      <c r="N959" s="226" t="s">
        <v>754</v>
      </c>
      <c r="O959" s="227" t="s">
        <v>641</v>
      </c>
      <c r="P959" s="233" t="s">
        <v>755</v>
      </c>
      <c r="Q959" s="226" t="s">
        <v>755</v>
      </c>
      <c r="R959" s="310" t="s">
        <v>756</v>
      </c>
      <c r="S959" s="189" t="s">
        <v>757</v>
      </c>
      <c r="T959" s="182" t="s">
        <v>758</v>
      </c>
      <c r="U959" s="307" t="s">
        <v>759</v>
      </c>
      <c r="V959" s="304"/>
    </row>
    <row r="960" spans="1:45" ht="15.75" customHeight="1" x14ac:dyDescent="0.3">
      <c r="A960" s="213"/>
      <c r="B960" s="235" t="s">
        <v>760</v>
      </c>
      <c r="C960" s="215">
        <v>5.0000000000000001E-3</v>
      </c>
      <c r="D960" s="215">
        <v>4.2999999999999997E-2</v>
      </c>
      <c r="E960" s="182" t="s">
        <v>761</v>
      </c>
      <c r="F960" s="311" t="s">
        <v>762</v>
      </c>
      <c r="G960" s="189" t="s">
        <v>763</v>
      </c>
      <c r="H960" s="182" t="s">
        <v>658</v>
      </c>
      <c r="I960" s="182" t="s">
        <v>658</v>
      </c>
      <c r="J960" s="182" t="s">
        <v>658</v>
      </c>
      <c r="K960" s="182" t="s">
        <v>743</v>
      </c>
      <c r="L960" s="182" t="s">
        <v>764</v>
      </c>
      <c r="M960" s="237" t="s">
        <v>648</v>
      </c>
      <c r="N960" s="227" t="s">
        <v>765</v>
      </c>
      <c r="O960" s="227" t="s">
        <v>766</v>
      </c>
      <c r="P960" s="237" t="s">
        <v>767</v>
      </c>
      <c r="Q960" s="226" t="s">
        <v>767</v>
      </c>
      <c r="R960" s="310" t="s">
        <v>766</v>
      </c>
      <c r="S960" s="189" t="s">
        <v>658</v>
      </c>
      <c r="T960" s="182" t="s">
        <v>658</v>
      </c>
      <c r="U960" s="307" t="s">
        <v>658</v>
      </c>
      <c r="V960" s="304"/>
    </row>
    <row r="961" spans="1:22" ht="15.75" customHeight="1" x14ac:dyDescent="0.3">
      <c r="A961" s="213" t="s">
        <v>768</v>
      </c>
      <c r="B961" s="189" t="s">
        <v>778</v>
      </c>
      <c r="C961" s="182" t="s">
        <v>778</v>
      </c>
      <c r="D961" s="182" t="s">
        <v>778</v>
      </c>
      <c r="E961" s="182" t="s">
        <v>778</v>
      </c>
      <c r="F961" s="182" t="s">
        <v>778</v>
      </c>
      <c r="G961" s="189" t="s">
        <v>778</v>
      </c>
      <c r="H961" s="182" t="s">
        <v>778</v>
      </c>
      <c r="I961" s="182" t="s">
        <v>778</v>
      </c>
      <c r="J961" s="182" t="s">
        <v>778</v>
      </c>
      <c r="K961" s="182" t="s">
        <v>778</v>
      </c>
      <c r="L961" s="182" t="s">
        <v>778</v>
      </c>
      <c r="M961" s="237" t="s">
        <v>778</v>
      </c>
      <c r="N961" s="227" t="s">
        <v>779</v>
      </c>
      <c r="O961" s="227" t="s">
        <v>778</v>
      </c>
      <c r="P961" s="237" t="s">
        <v>365</v>
      </c>
      <c r="Q961" s="226" t="s">
        <v>705</v>
      </c>
      <c r="R961" s="310" t="s">
        <v>705</v>
      </c>
      <c r="S961" s="189" t="s">
        <v>778</v>
      </c>
      <c r="T961" s="182" t="s">
        <v>778</v>
      </c>
      <c r="U961" s="307" t="s">
        <v>778</v>
      </c>
      <c r="V961" s="304"/>
    </row>
    <row r="962" spans="1:22" ht="15.75" customHeight="1" x14ac:dyDescent="0.3">
      <c r="A962" s="213" t="s">
        <v>666</v>
      </c>
      <c r="B962" s="189" t="s">
        <v>666</v>
      </c>
      <c r="C962" s="182" t="s">
        <v>666</v>
      </c>
      <c r="D962" s="182" t="s">
        <v>666</v>
      </c>
      <c r="E962" s="182" t="s">
        <v>769</v>
      </c>
      <c r="F962" s="307" t="s">
        <v>666</v>
      </c>
      <c r="G962" s="189" t="s">
        <v>666</v>
      </c>
      <c r="H962" s="182" t="s">
        <v>770</v>
      </c>
      <c r="I962" s="182" t="s">
        <v>770</v>
      </c>
      <c r="J962" s="182" t="s">
        <v>666</v>
      </c>
      <c r="K962" s="182" t="s">
        <v>666</v>
      </c>
      <c r="L962" s="182" t="s">
        <v>666</v>
      </c>
      <c r="M962" s="237" t="s">
        <v>666</v>
      </c>
      <c r="N962" s="227" t="s">
        <v>666</v>
      </c>
      <c r="O962" s="227" t="s">
        <v>666</v>
      </c>
      <c r="P962" s="237" t="s">
        <v>666</v>
      </c>
      <c r="Q962" s="227" t="s">
        <v>666</v>
      </c>
      <c r="R962" s="310" t="s">
        <v>666</v>
      </c>
      <c r="S962" s="189" t="s">
        <v>666</v>
      </c>
      <c r="T962" s="182" t="s">
        <v>666</v>
      </c>
      <c r="U962" s="307" t="s">
        <v>666</v>
      </c>
      <c r="V962" s="304"/>
    </row>
    <row r="963" spans="1:22" ht="15.75" customHeight="1" x14ac:dyDescent="0.3">
      <c r="A963" s="192" t="s">
        <v>8</v>
      </c>
      <c r="B963" s="189">
        <f>+B936/($B$10*24)</f>
        <v>343.55779569892474</v>
      </c>
      <c r="C963" s="182">
        <f t="shared" ref="C963:N963" si="247">+C936/($B$10*24)</f>
        <v>0</v>
      </c>
      <c r="D963" s="182">
        <f t="shared" si="247"/>
        <v>14.334677419354838</v>
      </c>
      <c r="E963" s="182">
        <f t="shared" si="247"/>
        <v>343.55779569892474</v>
      </c>
      <c r="F963" s="307">
        <f t="shared" si="247"/>
        <v>357.89247311827955</v>
      </c>
      <c r="G963" s="182">
        <f t="shared" si="247"/>
        <v>0</v>
      </c>
      <c r="H963" s="182">
        <f t="shared" si="247"/>
        <v>13.762096774193548</v>
      </c>
      <c r="I963" s="182">
        <f t="shared" si="247"/>
        <v>0</v>
      </c>
      <c r="J963" s="182">
        <f t="shared" si="247"/>
        <v>13.762096774193548</v>
      </c>
      <c r="K963" s="182">
        <f t="shared" si="247"/>
        <v>0</v>
      </c>
      <c r="L963" s="182">
        <f t="shared" si="247"/>
        <v>0</v>
      </c>
      <c r="M963" s="237">
        <f>+M936/($B$10*24)</f>
        <v>351.54838709677421</v>
      </c>
      <c r="N963" s="227">
        <f t="shared" si="247"/>
        <v>0</v>
      </c>
      <c r="O963" s="227">
        <f>+O936/($B$10*24)</f>
        <v>351.54838709677421</v>
      </c>
      <c r="P963" s="254">
        <f>P936</f>
        <v>0</v>
      </c>
      <c r="Q963" s="227">
        <f>-O963*P963</f>
        <v>0</v>
      </c>
      <c r="R963" s="310">
        <f>O963+Q963</f>
        <v>351.54838709677421</v>
      </c>
      <c r="S963" s="255">
        <f>+S936/($B$10*24)</f>
        <v>-7.418010752688172</v>
      </c>
      <c r="T963" s="182" t="str">
        <f>+IF(S963&gt;=0,ABS(S963),"")</f>
        <v/>
      </c>
      <c r="U963" s="307">
        <f>+IF(S963&lt;=0,ABS(S963),"")</f>
        <v>7.418010752688172</v>
      </c>
      <c r="V963" s="304"/>
    </row>
    <row r="964" spans="1:22" ht="15.75" customHeight="1" x14ac:dyDescent="0.3">
      <c r="A964" s="192" t="s">
        <v>9</v>
      </c>
      <c r="B964" s="189">
        <f>+B937/($C$10*24)</f>
        <v>278.86781609195401</v>
      </c>
      <c r="C964" s="182">
        <f t="shared" ref="C964:N964" si="248">+C937/($C$10*24)</f>
        <v>0</v>
      </c>
      <c r="D964" s="182">
        <f t="shared" si="248"/>
        <v>12.008620689655173</v>
      </c>
      <c r="E964" s="182">
        <f t="shared" si="248"/>
        <v>278.86781609195401</v>
      </c>
      <c r="F964" s="307">
        <f t="shared" si="248"/>
        <v>290.87643678160919</v>
      </c>
      <c r="G964" s="182">
        <f t="shared" si="248"/>
        <v>0</v>
      </c>
      <c r="H964" s="182">
        <f t="shared" si="248"/>
        <v>17.475574712643677</v>
      </c>
      <c r="I964" s="182">
        <f t="shared" si="248"/>
        <v>0</v>
      </c>
      <c r="J964" s="182">
        <f t="shared" si="248"/>
        <v>17.475574712643677</v>
      </c>
      <c r="K964" s="182">
        <f t="shared" si="248"/>
        <v>0</v>
      </c>
      <c r="L964" s="182">
        <f t="shared" si="248"/>
        <v>0</v>
      </c>
      <c r="M964" s="237">
        <f t="shared" si="248"/>
        <v>256</v>
      </c>
      <c r="N964" s="227">
        <f t="shared" si="248"/>
        <v>0</v>
      </c>
      <c r="O964" s="227">
        <f t="shared" ref="O964:O974" si="249">+O937/($B$10*24)</f>
        <v>239.48387096774192</v>
      </c>
      <c r="P964" s="254">
        <f t="shared" ref="P964:P974" si="250">P937</f>
        <v>0.35</v>
      </c>
      <c r="Q964" s="227">
        <f t="shared" ref="Q964:Q974" si="251">-O964*P964</f>
        <v>-83.819354838709671</v>
      </c>
      <c r="R964" s="310">
        <f t="shared" ref="R964:R974" si="252">O964+Q964</f>
        <v>155.66451612903225</v>
      </c>
      <c r="S964" s="255">
        <f>+S937/($C$10*24)</f>
        <v>107.00086206896553</v>
      </c>
      <c r="T964" s="182">
        <f t="shared" ref="T964:T974" si="253">+IF(S964&gt;=0,ABS(S964),"")</f>
        <v>107.00086206896553</v>
      </c>
      <c r="U964" s="307" t="str">
        <f t="shared" ref="U964:U974" si="254">+IF(S964&lt;=0,ABS(S964),"")</f>
        <v/>
      </c>
      <c r="V964" s="304"/>
    </row>
    <row r="965" spans="1:22" ht="15.75" customHeight="1" x14ac:dyDescent="0.3">
      <c r="A965" s="192" t="s">
        <v>10</v>
      </c>
      <c r="B965" s="189">
        <f>+B938/($D$10*24)</f>
        <v>284.51881720430106</v>
      </c>
      <c r="C965" s="182">
        <f t="shared" ref="C965:N965" si="255">+C938/($D$10*24)</f>
        <v>0</v>
      </c>
      <c r="D965" s="182">
        <f t="shared" si="255"/>
        <v>12.452956989247312</v>
      </c>
      <c r="E965" s="182">
        <f t="shared" si="255"/>
        <v>284.51881720430106</v>
      </c>
      <c r="F965" s="307">
        <f t="shared" si="255"/>
        <v>296.97177419354841</v>
      </c>
      <c r="G965" s="182">
        <f t="shared" si="255"/>
        <v>2.2399852930451898</v>
      </c>
      <c r="H965" s="182">
        <f t="shared" si="255"/>
        <v>21.44489247311828</v>
      </c>
      <c r="I965" s="182">
        <f t="shared" si="255"/>
        <v>0</v>
      </c>
      <c r="J965" s="182">
        <f t="shared" si="255"/>
        <v>21.44489247311828</v>
      </c>
      <c r="K965" s="182">
        <f t="shared" si="255"/>
        <v>0</v>
      </c>
      <c r="L965" s="182">
        <f t="shared" si="255"/>
        <v>0</v>
      </c>
      <c r="M965" s="237">
        <f t="shared" si="255"/>
        <v>255</v>
      </c>
      <c r="N965" s="227">
        <f t="shared" si="255"/>
        <v>0</v>
      </c>
      <c r="O965" s="227">
        <f t="shared" si="249"/>
        <v>255</v>
      </c>
      <c r="P965" s="254">
        <f t="shared" si="250"/>
        <v>0.33</v>
      </c>
      <c r="Q965" s="227">
        <f t="shared" si="251"/>
        <v>-84.15</v>
      </c>
      <c r="R965" s="310">
        <f t="shared" si="252"/>
        <v>170.85</v>
      </c>
      <c r="S965" s="255">
        <f>+S938/($D$10*24)</f>
        <v>102.43689642738494</v>
      </c>
      <c r="T965" s="182">
        <f t="shared" si="253"/>
        <v>102.43689642738494</v>
      </c>
      <c r="U965" s="307" t="str">
        <f t="shared" si="254"/>
        <v/>
      </c>
      <c r="V965" s="304"/>
    </row>
    <row r="966" spans="1:22" ht="15.75" customHeight="1" x14ac:dyDescent="0.3">
      <c r="A966" s="192" t="s">
        <v>12</v>
      </c>
      <c r="B966" s="189">
        <f>+B939/($F$10*24)</f>
        <v>398.03333333333336</v>
      </c>
      <c r="C966" s="182">
        <f t="shared" ref="C966:N966" si="256">+C939/($F$10*24)</f>
        <v>0</v>
      </c>
      <c r="D966" s="182">
        <f t="shared" si="256"/>
        <v>17.269444444444446</v>
      </c>
      <c r="E966" s="182">
        <f t="shared" si="256"/>
        <v>398.03333333333336</v>
      </c>
      <c r="F966" s="307">
        <f t="shared" si="256"/>
        <v>415.30277777777781</v>
      </c>
      <c r="G966" s="182">
        <f t="shared" si="256"/>
        <v>0</v>
      </c>
      <c r="H966" s="182">
        <f t="shared" si="256"/>
        <v>23.481944444444444</v>
      </c>
      <c r="I966" s="182">
        <f t="shared" si="256"/>
        <v>0</v>
      </c>
      <c r="J966" s="182">
        <f t="shared" si="256"/>
        <v>23.481944444444444</v>
      </c>
      <c r="K966" s="182">
        <f t="shared" si="256"/>
        <v>0</v>
      </c>
      <c r="L966" s="182">
        <f t="shared" si="256"/>
        <v>0</v>
      </c>
      <c r="M966" s="237">
        <f t="shared" si="256"/>
        <v>406</v>
      </c>
      <c r="N966" s="227">
        <f t="shared" si="256"/>
        <v>0</v>
      </c>
      <c r="O966" s="227">
        <f t="shared" si="249"/>
        <v>392.90322580645159</v>
      </c>
      <c r="P966" s="254">
        <f t="shared" si="250"/>
        <v>0.3</v>
      </c>
      <c r="Q966" s="227">
        <f t="shared" si="251"/>
        <v>-117.87096774193547</v>
      </c>
      <c r="R966" s="310">
        <f t="shared" si="252"/>
        <v>275.0322580645161</v>
      </c>
      <c r="S966" s="255">
        <f>+S939/($F$10*24)</f>
        <v>107.62083333333334</v>
      </c>
      <c r="T966" s="182">
        <f t="shared" si="253"/>
        <v>107.62083333333334</v>
      </c>
      <c r="U966" s="307" t="str">
        <f t="shared" si="254"/>
        <v/>
      </c>
      <c r="V966" s="304"/>
    </row>
    <row r="967" spans="1:22" ht="15.75" customHeight="1" x14ac:dyDescent="0.3">
      <c r="A967" s="192" t="s">
        <v>13</v>
      </c>
      <c r="B967" s="189">
        <f>+B940/($G$10*24)</f>
        <v>400.9986559139785</v>
      </c>
      <c r="C967" s="182">
        <f t="shared" ref="C967:N967" si="257">+C940/($G$10*24)</f>
        <v>0</v>
      </c>
      <c r="D967" s="182">
        <f t="shared" si="257"/>
        <v>17.681451612903224</v>
      </c>
      <c r="E967" s="182">
        <f t="shared" si="257"/>
        <v>400.9986559139785</v>
      </c>
      <c r="F967" s="307">
        <f t="shared" si="257"/>
        <v>418.68010752688173</v>
      </c>
      <c r="G967" s="182">
        <f t="shared" si="257"/>
        <v>0</v>
      </c>
      <c r="H967" s="182">
        <f t="shared" si="257"/>
        <v>18.186827956989248</v>
      </c>
      <c r="I967" s="182">
        <f t="shared" si="257"/>
        <v>0</v>
      </c>
      <c r="J967" s="182">
        <f t="shared" si="257"/>
        <v>18.186827956989248</v>
      </c>
      <c r="K967" s="182">
        <f t="shared" si="257"/>
        <v>0</v>
      </c>
      <c r="L967" s="182">
        <f t="shared" si="257"/>
        <v>0</v>
      </c>
      <c r="M967" s="237">
        <f t="shared" si="257"/>
        <v>403.96774193548384</v>
      </c>
      <c r="N967" s="227">
        <f t="shared" si="257"/>
        <v>0</v>
      </c>
      <c r="O967" s="227">
        <f t="shared" si="249"/>
        <v>403.96774193548384</v>
      </c>
      <c r="P967" s="254">
        <f t="shared" si="250"/>
        <v>0.09</v>
      </c>
      <c r="Q967" s="227">
        <f t="shared" si="251"/>
        <v>-36.357096774193543</v>
      </c>
      <c r="R967" s="310">
        <f t="shared" si="252"/>
        <v>367.61064516129028</v>
      </c>
      <c r="S967" s="255">
        <f>+S940/($G$10*24)</f>
        <v>32.882634408602144</v>
      </c>
      <c r="T967" s="182">
        <f t="shared" si="253"/>
        <v>32.882634408602144</v>
      </c>
      <c r="U967" s="307" t="str">
        <f t="shared" si="254"/>
        <v/>
      </c>
      <c r="V967" s="304"/>
    </row>
    <row r="968" spans="1:22" ht="15.75" customHeight="1" x14ac:dyDescent="0.3">
      <c r="A968" s="192" t="s">
        <v>14</v>
      </c>
      <c r="B968" s="189">
        <f>+B941/($H$10*24)</f>
        <v>245.86666666666667</v>
      </c>
      <c r="C968" s="182">
        <f t="shared" ref="C968:N968" si="258">+C941/($H$10*24)</f>
        <v>0</v>
      </c>
      <c r="D968" s="182">
        <f t="shared" si="258"/>
        <v>10.4125</v>
      </c>
      <c r="E968" s="182">
        <f t="shared" si="258"/>
        <v>245.86666666666667</v>
      </c>
      <c r="F968" s="307">
        <f t="shared" si="258"/>
        <v>256.27916666666664</v>
      </c>
      <c r="G968" s="182">
        <f t="shared" si="258"/>
        <v>21.156259105752333</v>
      </c>
      <c r="H968" s="182">
        <f t="shared" si="258"/>
        <v>18.93888888888889</v>
      </c>
      <c r="I968" s="182">
        <f t="shared" si="258"/>
        <v>0</v>
      </c>
      <c r="J968" s="182">
        <f t="shared" si="258"/>
        <v>18.93888888888889</v>
      </c>
      <c r="K968" s="182">
        <f t="shared" si="258"/>
        <v>0</v>
      </c>
      <c r="L968" s="182">
        <f t="shared" si="258"/>
        <v>0</v>
      </c>
      <c r="M968" s="237">
        <f t="shared" si="258"/>
        <v>209.75</v>
      </c>
      <c r="N968" s="227">
        <f t="shared" si="258"/>
        <v>21.25</v>
      </c>
      <c r="O968" s="227">
        <f t="shared" si="249"/>
        <v>223.54838709677421</v>
      </c>
      <c r="P968" s="254">
        <f t="shared" si="250"/>
        <v>7.0000000000000007E-2</v>
      </c>
      <c r="Q968" s="227">
        <f t="shared" si="251"/>
        <v>-15.648387096774195</v>
      </c>
      <c r="R968" s="310">
        <f t="shared" si="252"/>
        <v>207.9</v>
      </c>
      <c r="S968" s="255">
        <f>+S941/($H$10*24)</f>
        <v>1.3540186720254295</v>
      </c>
      <c r="T968" s="182">
        <f t="shared" si="253"/>
        <v>1.3540186720254295</v>
      </c>
      <c r="U968" s="307" t="str">
        <f t="shared" si="254"/>
        <v/>
      </c>
      <c r="V968" s="304"/>
    </row>
    <row r="969" spans="1:22" ht="15.75" customHeight="1" x14ac:dyDescent="0.3">
      <c r="A969" s="192" t="s">
        <v>16</v>
      </c>
      <c r="B969" s="189">
        <f>+B942/($J$10*24)</f>
        <v>209.76881720430109</v>
      </c>
      <c r="C969" s="182">
        <f t="shared" ref="C969:N969" si="259">+C942/($J$10*24)</f>
        <v>0</v>
      </c>
      <c r="D969" s="182">
        <f t="shared" si="259"/>
        <v>8.7661290322580641</v>
      </c>
      <c r="E969" s="182">
        <f t="shared" si="259"/>
        <v>209.76881720430109</v>
      </c>
      <c r="F969" s="307">
        <f t="shared" si="259"/>
        <v>218.53494623655914</v>
      </c>
      <c r="G969" s="182">
        <f t="shared" si="259"/>
        <v>19.504222466370699</v>
      </c>
      <c r="H969" s="182">
        <f t="shared" si="259"/>
        <v>16.142473118279568</v>
      </c>
      <c r="I969" s="182">
        <f t="shared" si="259"/>
        <v>0</v>
      </c>
      <c r="J969" s="182">
        <f t="shared" si="259"/>
        <v>16.142473118279568</v>
      </c>
      <c r="K969" s="182">
        <f t="shared" si="259"/>
        <v>0</v>
      </c>
      <c r="L969" s="182">
        <f t="shared" si="259"/>
        <v>0</v>
      </c>
      <c r="M969" s="237">
        <f t="shared" si="259"/>
        <v>214</v>
      </c>
      <c r="N969" s="227">
        <f t="shared" si="259"/>
        <v>21.333333333333332</v>
      </c>
      <c r="O969" s="227">
        <f t="shared" si="249"/>
        <v>235.33333333333334</v>
      </c>
      <c r="P969" s="254">
        <f t="shared" si="250"/>
        <v>7.4999999999999997E-2</v>
      </c>
      <c r="Q969" s="227">
        <f t="shared" si="251"/>
        <v>-17.649999999999999</v>
      </c>
      <c r="R969" s="310">
        <f t="shared" si="252"/>
        <v>217.68333333333334</v>
      </c>
      <c r="S969" s="255">
        <f>+S942/($J$10*24)</f>
        <v>-34.795082681424454</v>
      </c>
      <c r="T969" s="182" t="str">
        <f t="shared" si="253"/>
        <v/>
      </c>
      <c r="U969" s="307">
        <f t="shared" si="254"/>
        <v>34.795082681424454</v>
      </c>
      <c r="V969" s="304"/>
    </row>
    <row r="970" spans="1:22" ht="15.75" customHeight="1" x14ac:dyDescent="0.3">
      <c r="A970" s="192" t="s">
        <v>17</v>
      </c>
      <c r="B970" s="189">
        <f>+B943/($K$10*24)</f>
        <v>179.59005376344086</v>
      </c>
      <c r="C970" s="182">
        <f t="shared" ref="C970:N970" si="260">+C943/($K$10*24)</f>
        <v>0</v>
      </c>
      <c r="D970" s="182">
        <f t="shared" si="260"/>
        <v>7.5483870967741939</v>
      </c>
      <c r="E970" s="182">
        <f t="shared" si="260"/>
        <v>179.59005376344086</v>
      </c>
      <c r="F970" s="307">
        <f t="shared" si="260"/>
        <v>187.13844086021504</v>
      </c>
      <c r="G970" s="182">
        <f t="shared" si="260"/>
        <v>12.419832482942528</v>
      </c>
      <c r="H970" s="182">
        <f t="shared" si="260"/>
        <v>12.853494623655914</v>
      </c>
      <c r="I970" s="182">
        <f t="shared" si="260"/>
        <v>0</v>
      </c>
      <c r="J970" s="182">
        <f t="shared" si="260"/>
        <v>12.853494623655914</v>
      </c>
      <c r="K970" s="182">
        <f t="shared" si="260"/>
        <v>0</v>
      </c>
      <c r="L970" s="182">
        <f t="shared" si="260"/>
        <v>0</v>
      </c>
      <c r="M970" s="237">
        <f t="shared" si="260"/>
        <v>215</v>
      </c>
      <c r="N970" s="227">
        <f t="shared" si="260"/>
        <v>20.666666666666668</v>
      </c>
      <c r="O970" s="227">
        <f t="shared" si="249"/>
        <v>235.66666666666666</v>
      </c>
      <c r="P970" s="254">
        <f t="shared" si="250"/>
        <v>7.4999999999999997E-2</v>
      </c>
      <c r="Q970" s="227">
        <f t="shared" si="251"/>
        <v>-17.674999999999997</v>
      </c>
      <c r="R970" s="310">
        <f t="shared" si="252"/>
        <v>217.99166666666667</v>
      </c>
      <c r="S970" s="255">
        <f>+S943/($K$10*24)</f>
        <v>-56.126552913050034</v>
      </c>
      <c r="T970" s="182" t="str">
        <f t="shared" si="253"/>
        <v/>
      </c>
      <c r="U970" s="307">
        <f t="shared" si="254"/>
        <v>56.126552913050034</v>
      </c>
      <c r="V970" s="304"/>
    </row>
    <row r="971" spans="1:22" ht="15.75" customHeight="1" x14ac:dyDescent="0.3">
      <c r="A971" s="192" t="s">
        <v>18</v>
      </c>
      <c r="B971" s="189">
        <f>+B944/($L$10*24)</f>
        <v>316.14722222222224</v>
      </c>
      <c r="C971" s="182">
        <f t="shared" ref="C971:N971" si="261">+C944/($L$10*24)</f>
        <v>0</v>
      </c>
      <c r="D971" s="182">
        <f t="shared" si="261"/>
        <v>13.736111111111111</v>
      </c>
      <c r="E971" s="182">
        <f t="shared" si="261"/>
        <v>316.14722222222224</v>
      </c>
      <c r="F971" s="307">
        <f t="shared" si="261"/>
        <v>329.88333333333333</v>
      </c>
      <c r="G971" s="182">
        <f t="shared" si="261"/>
        <v>3.2153288118563164</v>
      </c>
      <c r="H971" s="182">
        <f t="shared" si="261"/>
        <v>14.004166666666666</v>
      </c>
      <c r="I971" s="182">
        <f t="shared" si="261"/>
        <v>0</v>
      </c>
      <c r="J971" s="182">
        <f t="shared" si="261"/>
        <v>14.004166666666666</v>
      </c>
      <c r="K971" s="182">
        <f t="shared" si="261"/>
        <v>0</v>
      </c>
      <c r="L971" s="182">
        <f t="shared" si="261"/>
        <v>0</v>
      </c>
      <c r="M971" s="237">
        <f t="shared" si="261"/>
        <v>342.66666666666669</v>
      </c>
      <c r="N971" s="227">
        <f t="shared" si="261"/>
        <v>51.666666666666664</v>
      </c>
      <c r="O971" s="227">
        <f t="shared" si="249"/>
        <v>381.61290322580646</v>
      </c>
      <c r="P971" s="254">
        <f t="shared" si="250"/>
        <v>7.4999999999999997E-2</v>
      </c>
      <c r="Q971" s="227">
        <f t="shared" si="251"/>
        <v>-28.620967741935484</v>
      </c>
      <c r="R971" s="310">
        <f t="shared" si="252"/>
        <v>352.99193548387098</v>
      </c>
      <c r="S971" s="255">
        <f>+S944/($L$10*24)</f>
        <v>-52.094495478522973</v>
      </c>
      <c r="T971" s="182" t="str">
        <f t="shared" si="253"/>
        <v/>
      </c>
      <c r="U971" s="307">
        <f t="shared" si="254"/>
        <v>52.094495478522973</v>
      </c>
      <c r="V971" s="304"/>
    </row>
    <row r="972" spans="1:22" ht="15.75" customHeight="1" x14ac:dyDescent="0.3">
      <c r="A972" s="192" t="s">
        <v>20</v>
      </c>
      <c r="B972" s="189">
        <f>+B945/($N$10*24)</f>
        <v>284.47580645161293</v>
      </c>
      <c r="C972" s="182">
        <f t="shared" ref="C972:N972" si="262">+C945/($N$10*24)</f>
        <v>0</v>
      </c>
      <c r="D972" s="182">
        <f t="shared" si="262"/>
        <v>12.57258064516129</v>
      </c>
      <c r="E972" s="182">
        <f t="shared" si="262"/>
        <v>284.47580645161293</v>
      </c>
      <c r="F972" s="307">
        <f t="shared" si="262"/>
        <v>297.04838709677421</v>
      </c>
      <c r="G972" s="182">
        <f t="shared" si="262"/>
        <v>0.17669322426687981</v>
      </c>
      <c r="H972" s="182">
        <f t="shared" si="262"/>
        <v>10.748655913978494</v>
      </c>
      <c r="I972" s="182">
        <f t="shared" si="262"/>
        <v>0</v>
      </c>
      <c r="J972" s="182">
        <f t="shared" si="262"/>
        <v>10.748655913978494</v>
      </c>
      <c r="K972" s="182">
        <f t="shared" si="262"/>
        <v>0</v>
      </c>
      <c r="L972" s="182">
        <f t="shared" si="262"/>
        <v>0</v>
      </c>
      <c r="M972" s="237">
        <f t="shared" si="262"/>
        <v>296.66666666666669</v>
      </c>
      <c r="N972" s="227">
        <f t="shared" si="262"/>
        <v>0</v>
      </c>
      <c r="O972" s="227">
        <f t="shared" si="249"/>
        <v>296.66666666666669</v>
      </c>
      <c r="P972" s="254">
        <f t="shared" si="250"/>
        <v>0.3</v>
      </c>
      <c r="Q972" s="227">
        <f t="shared" si="251"/>
        <v>-89</v>
      </c>
      <c r="R972" s="310">
        <f t="shared" si="252"/>
        <v>207.66666666666669</v>
      </c>
      <c r="S972" s="255">
        <f>+S945/($N$10*24)</f>
        <v>78.456371291862155</v>
      </c>
      <c r="T972" s="182">
        <f t="shared" si="253"/>
        <v>78.456371291862155</v>
      </c>
      <c r="U972" s="307" t="str">
        <f t="shared" si="254"/>
        <v/>
      </c>
      <c r="V972" s="304"/>
    </row>
    <row r="973" spans="1:22" ht="15.75" customHeight="1" x14ac:dyDescent="0.3">
      <c r="A973" s="192" t="s">
        <v>21</v>
      </c>
      <c r="B973" s="189">
        <f>+B946/($O$10*24)</f>
        <v>313.48055555555555</v>
      </c>
      <c r="C973" s="182">
        <f t="shared" ref="C973:N973" si="263">+C946/($O$10*24)</f>
        <v>0</v>
      </c>
      <c r="D973" s="182">
        <f t="shared" si="263"/>
        <v>13.459722222222222</v>
      </c>
      <c r="E973" s="182">
        <f t="shared" si="263"/>
        <v>313.48055555555555</v>
      </c>
      <c r="F973" s="307">
        <f t="shared" si="263"/>
        <v>326.94027777777779</v>
      </c>
      <c r="G973" s="182">
        <f t="shared" si="263"/>
        <v>0</v>
      </c>
      <c r="H973" s="182">
        <f t="shared" si="263"/>
        <v>15.9625</v>
      </c>
      <c r="I973" s="182">
        <f t="shared" si="263"/>
        <v>0</v>
      </c>
      <c r="J973" s="182">
        <f t="shared" si="263"/>
        <v>15.9625</v>
      </c>
      <c r="K973" s="182">
        <f t="shared" si="263"/>
        <v>0</v>
      </c>
      <c r="L973" s="182">
        <f t="shared" si="263"/>
        <v>0</v>
      </c>
      <c r="M973" s="237">
        <f t="shared" si="263"/>
        <v>298</v>
      </c>
      <c r="N973" s="227">
        <f t="shared" si="263"/>
        <v>0</v>
      </c>
      <c r="O973" s="227">
        <f t="shared" si="249"/>
        <v>288.38709677419354</v>
      </c>
      <c r="P973" s="254">
        <f t="shared" si="250"/>
        <v>0.3</v>
      </c>
      <c r="Q973" s="227">
        <f t="shared" si="251"/>
        <v>-86.516129032258064</v>
      </c>
      <c r="R973" s="310">
        <f t="shared" si="252"/>
        <v>201.87096774193549</v>
      </c>
      <c r="S973" s="255">
        <f>+S946/($O$10*24)</f>
        <v>102.37777777777778</v>
      </c>
      <c r="T973" s="182">
        <f t="shared" si="253"/>
        <v>102.37777777777778</v>
      </c>
      <c r="U973" s="307" t="str">
        <f t="shared" si="254"/>
        <v/>
      </c>
      <c r="V973" s="304"/>
    </row>
    <row r="974" spans="1:22" ht="15.75" customHeight="1" thickBot="1" x14ac:dyDescent="0.35">
      <c r="A974" s="192" t="s">
        <v>22</v>
      </c>
      <c r="B974" s="204">
        <f>+B947/($P$10*24)</f>
        <v>269.55645161290323</v>
      </c>
      <c r="C974" s="205">
        <f t="shared" ref="C974:N974" si="264">+C947/($P$10*24)</f>
        <v>0</v>
      </c>
      <c r="D974" s="205">
        <f t="shared" si="264"/>
        <v>11.486559139784946</v>
      </c>
      <c r="E974" s="205">
        <f t="shared" si="264"/>
        <v>269.55645161290323</v>
      </c>
      <c r="F974" s="245">
        <f t="shared" si="264"/>
        <v>281.04301075268819</v>
      </c>
      <c r="G974" s="205">
        <f t="shared" si="264"/>
        <v>0</v>
      </c>
      <c r="H974" s="205">
        <f t="shared" si="264"/>
        <v>10.073924731182796</v>
      </c>
      <c r="I974" s="205">
        <f t="shared" si="264"/>
        <v>0</v>
      </c>
      <c r="J974" s="205">
        <f t="shared" si="264"/>
        <v>10.073924731182796</v>
      </c>
      <c r="K974" s="205">
        <f t="shared" si="264"/>
        <v>0</v>
      </c>
      <c r="L974" s="205">
        <f t="shared" si="264"/>
        <v>0</v>
      </c>
      <c r="M974" s="246">
        <f t="shared" si="264"/>
        <v>314.66666666666669</v>
      </c>
      <c r="N974" s="247">
        <f t="shared" si="264"/>
        <v>0</v>
      </c>
      <c r="O974" s="248">
        <f t="shared" si="249"/>
        <v>314.66666666666669</v>
      </c>
      <c r="P974" s="249">
        <f t="shared" si="250"/>
        <v>0.3</v>
      </c>
      <c r="Q974" s="247">
        <f t="shared" si="251"/>
        <v>-94.4</v>
      </c>
      <c r="R974" s="248">
        <f t="shared" si="252"/>
        <v>220.26666666666668</v>
      </c>
      <c r="S974" s="256">
        <f>+S947/($P$10*24)</f>
        <v>50.702419354838682</v>
      </c>
      <c r="T974" s="205">
        <f t="shared" si="253"/>
        <v>50.702419354838682</v>
      </c>
      <c r="U974" s="245" t="str">
        <f t="shared" si="254"/>
        <v/>
      </c>
      <c r="V974" s="304"/>
    </row>
    <row r="975" spans="1:22" ht="15.75" customHeight="1" x14ac:dyDescent="0.3">
      <c r="A975" s="257"/>
      <c r="V975" s="304"/>
    </row>
    <row r="976" spans="1:22" ht="16.5" customHeight="1" thickBot="1" x14ac:dyDescent="0.35">
      <c r="A976" s="258"/>
      <c r="B976" s="135"/>
      <c r="C976" s="135"/>
      <c r="D976" s="135"/>
      <c r="E976" s="135"/>
      <c r="F976" s="135"/>
      <c r="G976" s="135"/>
      <c r="H976" s="135"/>
      <c r="I976" s="135"/>
      <c r="J976" s="135"/>
      <c r="K976" s="135"/>
      <c r="L976" s="135"/>
      <c r="M976" s="135"/>
      <c r="N976" s="135"/>
      <c r="O976" s="135"/>
      <c r="P976" s="135"/>
      <c r="Q976" s="135"/>
      <c r="R976" s="135"/>
      <c r="S976" s="135"/>
      <c r="T976" s="135"/>
      <c r="U976" s="135"/>
      <c r="V976" s="136"/>
    </row>
    <row r="977" spans="1:50" ht="15.75" customHeight="1" x14ac:dyDescent="0.3">
      <c r="A977" s="259"/>
      <c r="B977" s="180"/>
      <c r="C977" s="180"/>
      <c r="D977" s="180"/>
      <c r="E977" s="180"/>
      <c r="F977" s="180"/>
      <c r="G977" s="180"/>
      <c r="H977" s="180"/>
      <c r="I977" s="180"/>
      <c r="J977" s="180"/>
      <c r="K977" s="180"/>
      <c r="L977" s="180"/>
      <c r="M977" s="180"/>
      <c r="N977" s="180"/>
      <c r="O977" s="180"/>
      <c r="P977" s="180"/>
      <c r="Q977" s="180"/>
      <c r="R977" s="180"/>
    </row>
    <row r="978" spans="1:50" ht="15.75" customHeight="1" x14ac:dyDescent="0.3">
      <c r="A978" s="260"/>
    </row>
    <row r="979" spans="1:50" ht="15.75" customHeight="1" thickBot="1" x14ac:dyDescent="0.35">
      <c r="A979" s="260"/>
    </row>
    <row r="980" spans="1:50" ht="15.75" customHeight="1" x14ac:dyDescent="0.3">
      <c r="A980" s="364"/>
      <c r="B980" s="423" t="s">
        <v>780</v>
      </c>
      <c r="C980" s="423"/>
      <c r="D980" s="423"/>
      <c r="E980" s="423"/>
      <c r="F980" s="423"/>
      <c r="G980" s="423"/>
      <c r="H980" s="423"/>
      <c r="I980" s="423"/>
      <c r="J980" s="423"/>
      <c r="K980" s="423"/>
      <c r="L980" s="423"/>
      <c r="M980" s="423"/>
      <c r="N980" s="423"/>
      <c r="O980" s="423"/>
      <c r="P980" s="423"/>
      <c r="Q980" s="354" t="str">
        <f>+Q1</f>
        <v xml:space="preserve">PRINTED:  </v>
      </c>
      <c r="R980" s="357">
        <f ca="1">+R1</f>
        <v>44894.658168402777</v>
      </c>
      <c r="S980" s="358"/>
    </row>
    <row r="981" spans="1:50" ht="15.75" customHeight="1" x14ac:dyDescent="0.3">
      <c r="A981" s="262"/>
      <c r="B981" s="394" t="str">
        <f>+A8</f>
        <v>Revised:  2/23/2017</v>
      </c>
      <c r="C981" s="394"/>
      <c r="D981" s="394"/>
      <c r="E981" s="394"/>
      <c r="F981" s="394"/>
      <c r="G981" s="394"/>
      <c r="H981" s="394"/>
      <c r="I981" s="394"/>
      <c r="J981" s="394"/>
      <c r="K981" s="394"/>
      <c r="L981" s="394"/>
      <c r="M981" s="394"/>
      <c r="N981" s="394"/>
      <c r="O981" s="394"/>
      <c r="P981" s="394"/>
      <c r="Q981" s="180"/>
      <c r="R981" s="180"/>
      <c r="S981" s="304"/>
    </row>
    <row r="982" spans="1:50" ht="16.5" customHeight="1" x14ac:dyDescent="0.3">
      <c r="A982" s="262"/>
      <c r="B982" s="394" t="s">
        <v>670</v>
      </c>
      <c r="C982" s="394"/>
      <c r="D982" s="394"/>
      <c r="E982" s="394"/>
      <c r="F982" s="394"/>
      <c r="G982" s="394"/>
      <c r="H982" s="394"/>
      <c r="I982" s="394"/>
      <c r="J982" s="394"/>
      <c r="K982" s="394"/>
      <c r="L982" s="394"/>
      <c r="M982" s="394"/>
      <c r="N982" s="394"/>
      <c r="O982" s="394"/>
      <c r="P982" s="394"/>
      <c r="Q982" s="180"/>
      <c r="R982" s="180"/>
      <c r="S982" s="304"/>
    </row>
    <row r="983" spans="1:50" ht="15.75" customHeight="1" x14ac:dyDescent="0.3">
      <c r="A983" s="262"/>
      <c r="B983" s="180"/>
      <c r="C983" s="180"/>
      <c r="D983" s="180"/>
      <c r="E983" s="180"/>
      <c r="F983" s="180"/>
      <c r="G983" s="180"/>
      <c r="H983" s="180"/>
      <c r="I983" s="180"/>
      <c r="J983" s="180"/>
      <c r="K983" s="180"/>
      <c r="L983" s="180"/>
      <c r="M983" s="180"/>
      <c r="N983" s="180"/>
      <c r="O983" s="180"/>
      <c r="P983" s="180"/>
      <c r="Q983" s="180"/>
      <c r="R983" s="180"/>
      <c r="S983" s="304"/>
      <c r="AG983" s="192"/>
    </row>
    <row r="984" spans="1:50" ht="15.75" customHeight="1" x14ac:dyDescent="0.3">
      <c r="A984" s="262"/>
      <c r="B984" s="415">
        <f>+A5</f>
        <v>2016</v>
      </c>
      <c r="C984" s="395"/>
      <c r="D984" s="395"/>
      <c r="E984" s="395"/>
      <c r="F984" s="395"/>
      <c r="G984" s="395"/>
      <c r="H984" s="395"/>
      <c r="I984" s="395"/>
      <c r="J984" s="395"/>
      <c r="K984" s="395"/>
      <c r="L984" s="395"/>
      <c r="M984" s="395"/>
      <c r="N984" s="395"/>
      <c r="O984" s="395"/>
      <c r="P984" s="395"/>
      <c r="Q984" s="180"/>
      <c r="R984" s="180"/>
      <c r="S984" s="304"/>
      <c r="AE984" s="4" t="s">
        <v>781</v>
      </c>
      <c r="AF984" s="4" t="s">
        <v>782</v>
      </c>
    </row>
    <row r="985" spans="1:50" ht="15.75" customHeight="1" thickBot="1" x14ac:dyDescent="0.35">
      <c r="A985" s="262"/>
      <c r="B985" s="394" t="s">
        <v>708</v>
      </c>
      <c r="C985" s="394"/>
      <c r="D985" s="394"/>
      <c r="E985" s="394"/>
      <c r="F985" s="394"/>
      <c r="G985" s="394"/>
      <c r="H985" s="394"/>
      <c r="I985" s="394"/>
      <c r="J985" s="394"/>
      <c r="K985" s="394"/>
      <c r="L985" s="394"/>
      <c r="M985" s="394"/>
      <c r="N985" s="394"/>
      <c r="O985" s="394"/>
      <c r="P985" s="394"/>
      <c r="Q985" s="180"/>
      <c r="R985" s="180"/>
      <c r="S985" s="304"/>
      <c r="AC985" s="4" t="s">
        <v>784</v>
      </c>
      <c r="AD985" s="263" t="s">
        <v>10</v>
      </c>
      <c r="AE985" s="4" t="e">
        <f ca="1">DAY(DATE($A$5,MonthFromText(AD985)+1,1)-1)</f>
        <v>#NAME?</v>
      </c>
    </row>
    <row r="986" spans="1:50" ht="15.75" customHeight="1" x14ac:dyDescent="0.3">
      <c r="A986" s="262"/>
      <c r="B986" s="439" t="s">
        <v>786</v>
      </c>
      <c r="C986" s="440"/>
      <c r="D986" s="441"/>
      <c r="E986" s="182"/>
      <c r="F986" s="182"/>
      <c r="G986" s="182"/>
      <c r="H986" s="182"/>
      <c r="I986" s="182"/>
      <c r="J986" s="182"/>
      <c r="K986" s="182"/>
      <c r="L986" s="182"/>
      <c r="M986" s="182"/>
      <c r="N986" s="182"/>
      <c r="O986" s="182"/>
      <c r="P986" s="182"/>
      <c r="Q986" s="180"/>
      <c r="R986" s="180"/>
      <c r="S986" s="265"/>
    </row>
    <row r="987" spans="1:50" ht="15.75" customHeight="1" thickBot="1" x14ac:dyDescent="0.35">
      <c r="A987" s="191" t="s">
        <v>768</v>
      </c>
      <c r="B987" s="267" t="s">
        <v>791</v>
      </c>
      <c r="C987" s="268" t="s">
        <v>792</v>
      </c>
      <c r="D987" s="269" t="s">
        <v>793</v>
      </c>
      <c r="E987" s="268" t="s">
        <v>678</v>
      </c>
      <c r="F987" s="268" t="s">
        <v>679</v>
      </c>
      <c r="G987" s="268" t="s">
        <v>680</v>
      </c>
      <c r="H987" s="268" t="s">
        <v>794</v>
      </c>
      <c r="I987" s="268" t="s">
        <v>795</v>
      </c>
      <c r="J987" s="268" t="s">
        <v>681</v>
      </c>
      <c r="K987" s="268" t="s">
        <v>682</v>
      </c>
      <c r="L987" s="268" t="s">
        <v>683</v>
      </c>
      <c r="M987" s="268" t="s">
        <v>684</v>
      </c>
      <c r="N987" s="268" t="s">
        <v>685</v>
      </c>
      <c r="O987" s="268" t="s">
        <v>686</v>
      </c>
      <c r="P987" s="268" t="s">
        <v>687</v>
      </c>
      <c r="Q987" s="268" t="s">
        <v>688</v>
      </c>
      <c r="R987" s="268" t="s">
        <v>689</v>
      </c>
      <c r="S987" s="269" t="s">
        <v>638</v>
      </c>
      <c r="T987" s="270" t="s">
        <v>933</v>
      </c>
      <c r="U987" s="270" t="s">
        <v>934</v>
      </c>
      <c r="V987" s="270" t="s">
        <v>935</v>
      </c>
      <c r="AD987" s="191" t="s">
        <v>677</v>
      </c>
      <c r="AE987" s="191" t="s">
        <v>678</v>
      </c>
      <c r="AF987" s="191" t="s">
        <v>679</v>
      </c>
      <c r="AG987" s="191" t="s">
        <v>680</v>
      </c>
      <c r="AH987" s="191" t="s">
        <v>644</v>
      </c>
      <c r="AI987" s="191" t="s">
        <v>681</v>
      </c>
      <c r="AJ987" s="191" t="s">
        <v>682</v>
      </c>
      <c r="AK987" s="191" t="s">
        <v>683</v>
      </c>
      <c r="AL987" s="191" t="s">
        <v>684</v>
      </c>
      <c r="AM987" s="191" t="s">
        <v>685</v>
      </c>
      <c r="AN987" s="191" t="s">
        <v>686</v>
      </c>
      <c r="AO987" s="191" t="s">
        <v>687</v>
      </c>
      <c r="AP987" s="191" t="s">
        <v>688</v>
      </c>
      <c r="AQ987" s="191" t="s">
        <v>689</v>
      </c>
      <c r="AR987" s="191" t="s">
        <v>638</v>
      </c>
      <c r="AS987" s="191" t="s">
        <v>641</v>
      </c>
      <c r="AT987" s="191" t="s">
        <v>800</v>
      </c>
      <c r="AU987" s="191" t="s">
        <v>641</v>
      </c>
      <c r="AW987" s="270" t="s">
        <v>801</v>
      </c>
      <c r="AX987" s="270" t="s">
        <v>802</v>
      </c>
    </row>
    <row r="988" spans="1:50" ht="15.75" customHeight="1" x14ac:dyDescent="0.3">
      <c r="A988" s="211" t="s">
        <v>8</v>
      </c>
      <c r="B988" s="211">
        <f t="shared" ref="B988:C999" si="265">+F1015</f>
        <v>245</v>
      </c>
      <c r="C988" s="192">
        <f t="shared" si="265"/>
        <v>0</v>
      </c>
      <c r="D988" s="312" t="s">
        <v>803</v>
      </c>
      <c r="E988" s="192">
        <f t="shared" ref="E988:S988" si="266">+C908/$B$10/24</f>
        <v>24.96505376344086</v>
      </c>
      <c r="F988" s="192">
        <f t="shared" si="266"/>
        <v>26.176075268817204</v>
      </c>
      <c r="G988" s="192">
        <f t="shared" si="266"/>
        <v>44.422043010752695</v>
      </c>
      <c r="H988" s="192">
        <f t="shared" si="266"/>
        <v>30.925210683390048</v>
      </c>
      <c r="I988" s="192">
        <f t="shared" si="266"/>
        <v>0</v>
      </c>
      <c r="J988" s="192">
        <f t="shared" si="266"/>
        <v>3.1048387096774195</v>
      </c>
      <c r="K988" s="192">
        <f t="shared" si="266"/>
        <v>1.9529569892473118</v>
      </c>
      <c r="L988" s="192">
        <f t="shared" si="266"/>
        <v>3.0456989247311825</v>
      </c>
      <c r="M988" s="192">
        <f t="shared" si="266"/>
        <v>3.133064516129032</v>
      </c>
      <c r="N988" s="192">
        <f t="shared" si="266"/>
        <v>1.0483870967741935</v>
      </c>
      <c r="O988" s="192">
        <f t="shared" si="266"/>
        <v>1.2338709677419355</v>
      </c>
      <c r="P988" s="192">
        <f t="shared" si="266"/>
        <v>2.5779569892473115</v>
      </c>
      <c r="Q988" s="192">
        <f t="shared" si="266"/>
        <v>0.99059139784946237</v>
      </c>
      <c r="R988" s="192">
        <f t="shared" si="266"/>
        <v>1.685483870967742</v>
      </c>
      <c r="S988" s="312">
        <f t="shared" si="266"/>
        <v>2.3454301075268815</v>
      </c>
      <c r="T988" s="192">
        <f t="shared" ref="T988:T999" si="267">+B988+SUM(E988:S988)</f>
        <v>392.60666229629322</v>
      </c>
      <c r="U988" s="192">
        <f t="shared" ref="U988:U999" si="268">+C988+SUM(E988:S988)</f>
        <v>147.60666229629322</v>
      </c>
      <c r="V988" s="192" t="s">
        <v>803</v>
      </c>
      <c r="AC988" s="4">
        <v>1</v>
      </c>
      <c r="AD988" s="192">
        <f t="shared" ref="AD988:AD993" si="269">IF($AF$985=1,VLOOKUP($AD$985,$A$1015:$P$1026,12,FALSE),VLOOKUP($AD$985,$A$988:$S$999,2,FALSE))</f>
        <v>294</v>
      </c>
      <c r="AE988" s="192">
        <f>VLOOKUP($AD$985,$A$988:$S$999,5,FALSE)</f>
        <v>20.03494623655914</v>
      </c>
      <c r="AF988" s="192">
        <f>VLOOKUP($AD$985,$A$988:$S$999,6,FALSE)</f>
        <v>20.975806451612904</v>
      </c>
      <c r="AG988" s="192">
        <f>VLOOKUP($AD$985,$A$988:$S$999,7,FALSE)</f>
        <v>34.26478494623656</v>
      </c>
      <c r="AH988" s="192">
        <f>VLOOKUP($AD$985,$A$988:$S$999,8,FALSE)</f>
        <v>1.3457894262906163</v>
      </c>
      <c r="AI988" s="192">
        <f>VLOOKUP($AD$985,$A$988:$S$999,10,FALSE)</f>
        <v>11.658602150537634</v>
      </c>
      <c r="AJ988" s="192">
        <f>VLOOKUP($AD$985,$A$988:$S$999,11,FALSE)</f>
        <v>6.80510752688172</v>
      </c>
      <c r="AK988" s="192">
        <f>VLOOKUP($AD$985,$A$988:$S$999,12,FALSE)</f>
        <v>8.26747311827957</v>
      </c>
      <c r="AL988" s="192">
        <f>VLOOKUP($AD$985,$A$988:$S$999,13,FALSE)</f>
        <v>7.6895161290322589</v>
      </c>
      <c r="AM988" s="192">
        <f>VLOOKUP($AD$985,$A$988:$S$999,14,FALSE)</f>
        <v>2.3508064516129035</v>
      </c>
      <c r="AN988" s="192">
        <f>VLOOKUP($AD$985,$A$988:$S$999,15,FALSE)</f>
        <v>2.7688172043010755</v>
      </c>
      <c r="AO988" s="192">
        <f>VLOOKUP($AD$985,$A$988:$S$999,16,FALSE)</f>
        <v>5.600806451612903</v>
      </c>
      <c r="AP988" s="192">
        <f>VLOOKUP($AD$985,$A$988:$S$999,17,FALSE)</f>
        <v>1.0188172043010753</v>
      </c>
      <c r="AQ988" s="192">
        <f>VLOOKUP($AD$985,$A$988:$S$999,18,FALSE)</f>
        <v>1.810483870967742</v>
      </c>
      <c r="AR988" s="192">
        <f>VLOOKUP($AD$985,$A$988:$S$999,19,FALSE)</f>
        <v>2.411290322580645</v>
      </c>
      <c r="AS988" s="192">
        <f>SUM(AD988:AR988)</f>
        <v>421.00304749080681</v>
      </c>
      <c r="AT988" s="192" t="e">
        <f ca="1">VLOOKUP($AD$985,$AC$908:$AS$919,17,FALSE)/$AE$985*(AS988/$AS$1012)</f>
        <v>#NAME?</v>
      </c>
      <c r="AU988" s="192" t="e">
        <f ca="1">AS988+AT988</f>
        <v>#NAME?</v>
      </c>
      <c r="AW988" s="192" t="e">
        <f t="shared" ref="AW988:AW1011" ca="1" si="270">VLOOKUP($AD$985,$A$936:$R$949,15,FALSE)/$AE$985/24</f>
        <v>#NAME?</v>
      </c>
      <c r="AX988" s="192" t="e">
        <f ca="1">AU988-AW988</f>
        <v>#NAME?</v>
      </c>
    </row>
    <row r="989" spans="1:50" ht="15.75" customHeight="1" x14ac:dyDescent="0.3">
      <c r="A989" s="211" t="s">
        <v>9</v>
      </c>
      <c r="B989" s="211">
        <f t="shared" si="265"/>
        <v>294</v>
      </c>
      <c r="C989" s="192">
        <f t="shared" si="265"/>
        <v>147</v>
      </c>
      <c r="D989" s="312" t="s">
        <v>803</v>
      </c>
      <c r="E989" s="192">
        <f t="shared" ref="E989:S989" si="271">+C909/$C$10/24</f>
        <v>19.948275862068964</v>
      </c>
      <c r="F989" s="192">
        <f t="shared" si="271"/>
        <v>20.902298850574713</v>
      </c>
      <c r="G989" s="192">
        <f t="shared" si="271"/>
        <v>34.764367816091955</v>
      </c>
      <c r="H989" s="192">
        <f t="shared" si="271"/>
        <v>10.237411353074444</v>
      </c>
      <c r="I989" s="192">
        <f t="shared" si="271"/>
        <v>0</v>
      </c>
      <c r="J989" s="192">
        <f t="shared" si="271"/>
        <v>8.0790229885057467</v>
      </c>
      <c r="K989" s="192">
        <f t="shared" si="271"/>
        <v>4.1494252873563218</v>
      </c>
      <c r="L989" s="192">
        <f t="shared" si="271"/>
        <v>6.3448275862068968</v>
      </c>
      <c r="M989" s="192">
        <f t="shared" si="271"/>
        <v>6.001436781609196</v>
      </c>
      <c r="N989" s="192">
        <f t="shared" si="271"/>
        <v>1.6465517241379308</v>
      </c>
      <c r="O989" s="192">
        <f t="shared" si="271"/>
        <v>1.9396551724137929</v>
      </c>
      <c r="P989" s="192">
        <f t="shared" si="271"/>
        <v>3.8735632183908049</v>
      </c>
      <c r="Q989" s="192">
        <f t="shared" si="271"/>
        <v>0.82327586206896541</v>
      </c>
      <c r="R989" s="192">
        <f t="shared" si="271"/>
        <v>1.5287356321839081</v>
      </c>
      <c r="S989" s="312">
        <f t="shared" si="271"/>
        <v>1.9468390804597702</v>
      </c>
      <c r="T989" s="192">
        <f t="shared" si="267"/>
        <v>416.18568721514345</v>
      </c>
      <c r="U989" s="192">
        <f t="shared" si="268"/>
        <v>269.18568721514345</v>
      </c>
      <c r="V989" s="192" t="s">
        <v>803</v>
      </c>
      <c r="AC989" s="4">
        <v>2</v>
      </c>
      <c r="AD989" s="192">
        <f t="shared" si="269"/>
        <v>294</v>
      </c>
      <c r="AE989" s="192">
        <f t="shared" ref="AE989:AE1011" si="272">VLOOKUP($AD$985,$A$988:$S$999,5,FALSE)</f>
        <v>20.03494623655914</v>
      </c>
      <c r="AF989" s="192">
        <f t="shared" ref="AF989:AF1011" si="273">VLOOKUP($AD$985,$A$988:$S$999,6,FALSE)</f>
        <v>20.975806451612904</v>
      </c>
      <c r="AG989" s="192">
        <f t="shared" ref="AG989:AG1011" si="274">VLOOKUP($AD$985,$A$988:$S$999,7,FALSE)</f>
        <v>34.26478494623656</v>
      </c>
      <c r="AH989" s="192">
        <f t="shared" ref="AH989:AH1011" si="275">VLOOKUP($AD$985,$A$988:$S$999,8,FALSE)</f>
        <v>1.3457894262906163</v>
      </c>
      <c r="AI989" s="192">
        <f t="shared" ref="AI989:AI1011" si="276">VLOOKUP($AD$985,$A$988:$S$999,10,FALSE)</f>
        <v>11.658602150537634</v>
      </c>
      <c r="AJ989" s="192">
        <f t="shared" ref="AJ989:AJ1011" si="277">VLOOKUP($AD$985,$A$988:$S$999,11,FALSE)</f>
        <v>6.80510752688172</v>
      </c>
      <c r="AK989" s="192">
        <f t="shared" ref="AK989:AK1011" si="278">VLOOKUP($AD$985,$A$988:$S$999,12,FALSE)</f>
        <v>8.26747311827957</v>
      </c>
      <c r="AL989" s="192">
        <f t="shared" ref="AL989:AL1011" si="279">VLOOKUP($AD$985,$A$988:$S$999,13,FALSE)</f>
        <v>7.6895161290322589</v>
      </c>
      <c r="AM989" s="192">
        <f t="shared" ref="AM989:AM1011" si="280">VLOOKUP($AD$985,$A$988:$S$999,14,FALSE)</f>
        <v>2.3508064516129035</v>
      </c>
      <c r="AN989" s="192">
        <f t="shared" ref="AN989:AN1011" si="281">VLOOKUP($AD$985,$A$988:$S$999,15,FALSE)</f>
        <v>2.7688172043010755</v>
      </c>
      <c r="AO989" s="192">
        <f t="shared" ref="AO989:AO1011" si="282">VLOOKUP($AD$985,$A$988:$S$999,16,FALSE)</f>
        <v>5.600806451612903</v>
      </c>
      <c r="AP989" s="192">
        <f t="shared" ref="AP989:AP1011" si="283">VLOOKUP($AD$985,$A$988:$S$999,17,FALSE)</f>
        <v>1.0188172043010753</v>
      </c>
      <c r="AQ989" s="192">
        <f t="shared" ref="AQ989:AQ1011" si="284">VLOOKUP($AD$985,$A$988:$S$999,18,FALSE)</f>
        <v>1.810483870967742</v>
      </c>
      <c r="AR989" s="192">
        <f t="shared" ref="AR989:AR1011" si="285">VLOOKUP($AD$985,$A$988:$S$999,19,FALSE)</f>
        <v>2.411290322580645</v>
      </c>
      <c r="AS989" s="192">
        <f t="shared" ref="AS989:AS1011" si="286">SUM(AD989:AR989)</f>
        <v>421.00304749080681</v>
      </c>
      <c r="AT989" s="192" t="e">
        <f t="shared" ref="AT989:AT1011" ca="1" si="287">VLOOKUP($AD$985,$AC$908:$AS$919,17,FALSE)/$AE$985*(AS989/$AS$1012)</f>
        <v>#NAME?</v>
      </c>
      <c r="AU989" s="192" t="e">
        <f t="shared" ref="AU989:AU1011" ca="1" si="288">AS989+AT989</f>
        <v>#NAME?</v>
      </c>
      <c r="AW989" s="192" t="e">
        <f t="shared" ca="1" si="270"/>
        <v>#NAME?</v>
      </c>
      <c r="AX989" s="192" t="e">
        <f t="shared" ref="AX989:AX1011" ca="1" si="289">AU989-AW989</f>
        <v>#NAME?</v>
      </c>
    </row>
    <row r="990" spans="1:50" ht="15.75" customHeight="1" x14ac:dyDescent="0.3">
      <c r="A990" s="211" t="s">
        <v>10</v>
      </c>
      <c r="B990" s="211">
        <f t="shared" si="265"/>
        <v>294</v>
      </c>
      <c r="C990" s="192">
        <f t="shared" si="265"/>
        <v>196</v>
      </c>
      <c r="D990" s="312" t="s">
        <v>803</v>
      </c>
      <c r="E990" s="192">
        <f t="shared" ref="E990:S990" si="290">+C910/$D$10/24</f>
        <v>20.03494623655914</v>
      </c>
      <c r="F990" s="192">
        <f t="shared" si="290"/>
        <v>20.975806451612904</v>
      </c>
      <c r="G990" s="192">
        <f t="shared" si="290"/>
        <v>34.26478494623656</v>
      </c>
      <c r="H990" s="192">
        <f t="shared" si="290"/>
        <v>1.3457894262906163</v>
      </c>
      <c r="I990" s="192">
        <f t="shared" si="290"/>
        <v>-2.2399852930451898</v>
      </c>
      <c r="J990" s="192">
        <f t="shared" si="290"/>
        <v>11.658602150537634</v>
      </c>
      <c r="K990" s="192">
        <f t="shared" si="290"/>
        <v>6.80510752688172</v>
      </c>
      <c r="L990" s="192">
        <f t="shared" si="290"/>
        <v>8.26747311827957</v>
      </c>
      <c r="M990" s="192">
        <f t="shared" si="290"/>
        <v>7.6895161290322589</v>
      </c>
      <c r="N990" s="192">
        <f t="shared" si="290"/>
        <v>2.3508064516129035</v>
      </c>
      <c r="O990" s="192">
        <f t="shared" si="290"/>
        <v>2.7688172043010755</v>
      </c>
      <c r="P990" s="192">
        <f t="shared" si="290"/>
        <v>5.600806451612903</v>
      </c>
      <c r="Q990" s="192">
        <f t="shared" si="290"/>
        <v>1.0188172043010753</v>
      </c>
      <c r="R990" s="192">
        <f t="shared" si="290"/>
        <v>1.810483870967742</v>
      </c>
      <c r="S990" s="312">
        <f t="shared" si="290"/>
        <v>2.411290322580645</v>
      </c>
      <c r="T990" s="192">
        <f t="shared" si="267"/>
        <v>418.76306219776154</v>
      </c>
      <c r="U990" s="192">
        <f t="shared" si="268"/>
        <v>320.76306219776154</v>
      </c>
      <c r="V990" s="192" t="s">
        <v>803</v>
      </c>
      <c r="AC990" s="4">
        <v>3</v>
      </c>
      <c r="AD990" s="192">
        <f t="shared" si="269"/>
        <v>294</v>
      </c>
      <c r="AE990" s="192">
        <f t="shared" si="272"/>
        <v>20.03494623655914</v>
      </c>
      <c r="AF990" s="192">
        <f t="shared" si="273"/>
        <v>20.975806451612904</v>
      </c>
      <c r="AG990" s="192">
        <f t="shared" si="274"/>
        <v>34.26478494623656</v>
      </c>
      <c r="AH990" s="192">
        <f t="shared" si="275"/>
        <v>1.3457894262906163</v>
      </c>
      <c r="AI990" s="192">
        <f t="shared" si="276"/>
        <v>11.658602150537634</v>
      </c>
      <c r="AJ990" s="192">
        <f t="shared" si="277"/>
        <v>6.80510752688172</v>
      </c>
      <c r="AK990" s="192">
        <f t="shared" si="278"/>
        <v>8.26747311827957</v>
      </c>
      <c r="AL990" s="192">
        <f t="shared" si="279"/>
        <v>7.6895161290322589</v>
      </c>
      <c r="AM990" s="192">
        <f t="shared" si="280"/>
        <v>2.3508064516129035</v>
      </c>
      <c r="AN990" s="192">
        <f t="shared" si="281"/>
        <v>2.7688172043010755</v>
      </c>
      <c r="AO990" s="192">
        <f t="shared" si="282"/>
        <v>5.600806451612903</v>
      </c>
      <c r="AP990" s="192">
        <f t="shared" si="283"/>
        <v>1.0188172043010753</v>
      </c>
      <c r="AQ990" s="192">
        <f t="shared" si="284"/>
        <v>1.810483870967742</v>
      </c>
      <c r="AR990" s="192">
        <f t="shared" si="285"/>
        <v>2.411290322580645</v>
      </c>
      <c r="AS990" s="192">
        <f t="shared" si="286"/>
        <v>421.00304749080681</v>
      </c>
      <c r="AT990" s="192" t="e">
        <f t="shared" ca="1" si="287"/>
        <v>#NAME?</v>
      </c>
      <c r="AU990" s="192" t="e">
        <f t="shared" ca="1" si="288"/>
        <v>#NAME?</v>
      </c>
      <c r="AW990" s="192" t="e">
        <f t="shared" ca="1" si="270"/>
        <v>#NAME?</v>
      </c>
      <c r="AX990" s="192" t="e">
        <f t="shared" ca="1" si="289"/>
        <v>#NAME?</v>
      </c>
    </row>
    <row r="991" spans="1:50" ht="15.75" customHeight="1" x14ac:dyDescent="0.3">
      <c r="A991" s="211" t="s">
        <v>12</v>
      </c>
      <c r="B991" s="211">
        <f t="shared" si="265"/>
        <v>294</v>
      </c>
      <c r="C991" s="192">
        <f t="shared" si="265"/>
        <v>196</v>
      </c>
      <c r="D991" s="312" t="s">
        <v>803</v>
      </c>
      <c r="E991" s="192">
        <f t="shared" ref="E991:S991" si="291">+C911/$F$10/24</f>
        <v>28.244444444444444</v>
      </c>
      <c r="F991" s="192">
        <f t="shared" si="291"/>
        <v>29.570833333333336</v>
      </c>
      <c r="G991" s="192">
        <f t="shared" si="291"/>
        <v>48.56805555555556</v>
      </c>
      <c r="H991" s="192">
        <f t="shared" si="291"/>
        <v>8.5622666789577924</v>
      </c>
      <c r="I991" s="192">
        <f t="shared" si="291"/>
        <v>0</v>
      </c>
      <c r="J991" s="192">
        <f t="shared" si="291"/>
        <v>13.901388888888889</v>
      </c>
      <c r="K991" s="192">
        <f t="shared" si="291"/>
        <v>8.7430555555555554</v>
      </c>
      <c r="L991" s="192">
        <f t="shared" si="291"/>
        <v>10.487499999999999</v>
      </c>
      <c r="M991" s="192">
        <f t="shared" si="291"/>
        <v>9.1138888888888889</v>
      </c>
      <c r="N991" s="192">
        <f t="shared" si="291"/>
        <v>2.9277777777777776</v>
      </c>
      <c r="O991" s="192">
        <f t="shared" si="291"/>
        <v>3.4486111111111111</v>
      </c>
      <c r="P991" s="192">
        <f t="shared" si="291"/>
        <v>7.136111111111112</v>
      </c>
      <c r="Q991" s="192">
        <f t="shared" si="291"/>
        <v>1.0999999999999999</v>
      </c>
      <c r="R991" s="192">
        <f t="shared" si="291"/>
        <v>1.6125</v>
      </c>
      <c r="S991" s="312">
        <f t="shared" si="291"/>
        <v>2.5736111111111111</v>
      </c>
      <c r="T991" s="192">
        <f t="shared" si="267"/>
        <v>469.99004445673563</v>
      </c>
      <c r="U991" s="192">
        <f t="shared" si="268"/>
        <v>371.99004445673563</v>
      </c>
      <c r="V991" s="192" t="s">
        <v>803</v>
      </c>
      <c r="AC991" s="4">
        <v>4</v>
      </c>
      <c r="AD991" s="192">
        <f t="shared" si="269"/>
        <v>294</v>
      </c>
      <c r="AE991" s="192">
        <f t="shared" si="272"/>
        <v>20.03494623655914</v>
      </c>
      <c r="AF991" s="192">
        <f t="shared" si="273"/>
        <v>20.975806451612904</v>
      </c>
      <c r="AG991" s="192">
        <f t="shared" si="274"/>
        <v>34.26478494623656</v>
      </c>
      <c r="AH991" s="192">
        <f t="shared" si="275"/>
        <v>1.3457894262906163</v>
      </c>
      <c r="AI991" s="192">
        <f t="shared" si="276"/>
        <v>11.658602150537634</v>
      </c>
      <c r="AJ991" s="192">
        <f t="shared" si="277"/>
        <v>6.80510752688172</v>
      </c>
      <c r="AK991" s="192">
        <f t="shared" si="278"/>
        <v>8.26747311827957</v>
      </c>
      <c r="AL991" s="192">
        <f t="shared" si="279"/>
        <v>7.6895161290322589</v>
      </c>
      <c r="AM991" s="192">
        <f t="shared" si="280"/>
        <v>2.3508064516129035</v>
      </c>
      <c r="AN991" s="192">
        <f t="shared" si="281"/>
        <v>2.7688172043010755</v>
      </c>
      <c r="AO991" s="192">
        <f t="shared" si="282"/>
        <v>5.600806451612903</v>
      </c>
      <c r="AP991" s="192">
        <f t="shared" si="283"/>
        <v>1.0188172043010753</v>
      </c>
      <c r="AQ991" s="192">
        <f t="shared" si="284"/>
        <v>1.810483870967742</v>
      </c>
      <c r="AR991" s="192">
        <f t="shared" si="285"/>
        <v>2.411290322580645</v>
      </c>
      <c r="AS991" s="192">
        <f t="shared" si="286"/>
        <v>421.00304749080681</v>
      </c>
      <c r="AT991" s="192" t="e">
        <f t="shared" ca="1" si="287"/>
        <v>#NAME?</v>
      </c>
      <c r="AU991" s="192" t="e">
        <f t="shared" ca="1" si="288"/>
        <v>#NAME?</v>
      </c>
      <c r="AW991" s="192" t="e">
        <f t="shared" ca="1" si="270"/>
        <v>#NAME?</v>
      </c>
      <c r="AX991" s="192" t="e">
        <f t="shared" ca="1" si="289"/>
        <v>#NAME?</v>
      </c>
    </row>
    <row r="992" spans="1:50" ht="15.75" customHeight="1" x14ac:dyDescent="0.3">
      <c r="A992" s="211" t="s">
        <v>13</v>
      </c>
      <c r="B992" s="211">
        <f t="shared" si="265"/>
        <v>294</v>
      </c>
      <c r="C992" s="192">
        <f t="shared" si="265"/>
        <v>196</v>
      </c>
      <c r="D992" s="312" t="s">
        <v>803</v>
      </c>
      <c r="E992" s="192">
        <f t="shared" ref="E992:S992" si="292">+C912/$G$10/24</f>
        <v>29.138440860215056</v>
      </c>
      <c r="F992" s="192">
        <f t="shared" si="292"/>
        <v>30.502688172043012</v>
      </c>
      <c r="G992" s="192">
        <f t="shared" si="292"/>
        <v>50.0255376344086</v>
      </c>
      <c r="H992" s="192">
        <f t="shared" si="292"/>
        <v>3.6104331928866453</v>
      </c>
      <c r="I992" s="192">
        <f t="shared" si="292"/>
        <v>0</v>
      </c>
      <c r="J992" s="192">
        <f t="shared" si="292"/>
        <v>15.544354838709678</v>
      </c>
      <c r="K992" s="192">
        <f t="shared" si="292"/>
        <v>7.830645161290323</v>
      </c>
      <c r="L992" s="192">
        <f t="shared" si="292"/>
        <v>9.086021505376344</v>
      </c>
      <c r="M992" s="192">
        <f t="shared" si="292"/>
        <v>8.469086021505376</v>
      </c>
      <c r="N992" s="192">
        <f t="shared" si="292"/>
        <v>2.96505376344086</v>
      </c>
      <c r="O992" s="192">
        <f t="shared" si="292"/>
        <v>3.491935483870968</v>
      </c>
      <c r="P992" s="192">
        <f t="shared" si="292"/>
        <v>7.014784946236559</v>
      </c>
      <c r="Q992" s="192">
        <f t="shared" si="292"/>
        <v>1.0483870967741935</v>
      </c>
      <c r="R992" s="192">
        <f t="shared" si="292"/>
        <v>0.67607526881720437</v>
      </c>
      <c r="S992" s="312">
        <f t="shared" si="292"/>
        <v>2.478494623655914</v>
      </c>
      <c r="T992" s="192">
        <f t="shared" si="267"/>
        <v>465.88193856923078</v>
      </c>
      <c r="U992" s="192">
        <f t="shared" si="268"/>
        <v>367.88193856923078</v>
      </c>
      <c r="V992" s="192" t="s">
        <v>803</v>
      </c>
      <c r="AC992" s="4">
        <v>5</v>
      </c>
      <c r="AD992" s="192">
        <f t="shared" si="269"/>
        <v>294</v>
      </c>
      <c r="AE992" s="192">
        <f t="shared" si="272"/>
        <v>20.03494623655914</v>
      </c>
      <c r="AF992" s="192">
        <f t="shared" si="273"/>
        <v>20.975806451612904</v>
      </c>
      <c r="AG992" s="192">
        <f t="shared" si="274"/>
        <v>34.26478494623656</v>
      </c>
      <c r="AH992" s="192">
        <f t="shared" si="275"/>
        <v>1.3457894262906163</v>
      </c>
      <c r="AI992" s="192">
        <f t="shared" si="276"/>
        <v>11.658602150537634</v>
      </c>
      <c r="AJ992" s="192">
        <f t="shared" si="277"/>
        <v>6.80510752688172</v>
      </c>
      <c r="AK992" s="192">
        <f t="shared" si="278"/>
        <v>8.26747311827957</v>
      </c>
      <c r="AL992" s="192">
        <f t="shared" si="279"/>
        <v>7.6895161290322589</v>
      </c>
      <c r="AM992" s="192">
        <f t="shared" si="280"/>
        <v>2.3508064516129035</v>
      </c>
      <c r="AN992" s="192">
        <f t="shared" si="281"/>
        <v>2.7688172043010755</v>
      </c>
      <c r="AO992" s="192">
        <f t="shared" si="282"/>
        <v>5.600806451612903</v>
      </c>
      <c r="AP992" s="192">
        <f t="shared" si="283"/>
        <v>1.0188172043010753</v>
      </c>
      <c r="AQ992" s="192">
        <f t="shared" si="284"/>
        <v>1.810483870967742</v>
      </c>
      <c r="AR992" s="192">
        <f t="shared" si="285"/>
        <v>2.411290322580645</v>
      </c>
      <c r="AS992" s="192">
        <f t="shared" si="286"/>
        <v>421.00304749080681</v>
      </c>
      <c r="AT992" s="192" t="e">
        <f t="shared" ca="1" si="287"/>
        <v>#NAME?</v>
      </c>
      <c r="AU992" s="192" t="e">
        <f t="shared" ca="1" si="288"/>
        <v>#NAME?</v>
      </c>
      <c r="AW992" s="192" t="e">
        <f t="shared" ca="1" si="270"/>
        <v>#NAME?</v>
      </c>
      <c r="AX992" s="192" t="e">
        <f t="shared" ca="1" si="289"/>
        <v>#NAME?</v>
      </c>
    </row>
    <row r="993" spans="1:50" ht="15.75" customHeight="1" x14ac:dyDescent="0.3">
      <c r="A993" s="211" t="s">
        <v>14</v>
      </c>
      <c r="B993" s="211">
        <f t="shared" si="265"/>
        <v>294</v>
      </c>
      <c r="C993" s="192">
        <f t="shared" si="265"/>
        <v>98</v>
      </c>
      <c r="D993" s="312">
        <f>H1020</f>
        <v>0</v>
      </c>
      <c r="E993" s="192">
        <f t="shared" ref="E993:S993" si="293">+C913/$H$10/24</f>
        <v>15.456944444444444</v>
      </c>
      <c r="F993" s="192">
        <f t="shared" si="293"/>
        <v>16.145833333333332</v>
      </c>
      <c r="G993" s="192">
        <f t="shared" si="293"/>
        <v>25.134722222222223</v>
      </c>
      <c r="H993" s="192">
        <f t="shared" si="293"/>
        <v>0</v>
      </c>
      <c r="I993" s="192">
        <f t="shared" si="293"/>
        <v>-21.156259105752333</v>
      </c>
      <c r="J993" s="192">
        <f t="shared" si="293"/>
        <v>19.537499999999998</v>
      </c>
      <c r="K993" s="192">
        <f t="shared" si="293"/>
        <v>10.090277777777777</v>
      </c>
      <c r="L993" s="192">
        <f t="shared" si="293"/>
        <v>10.095833333333333</v>
      </c>
      <c r="M993" s="192">
        <f t="shared" si="293"/>
        <v>8.2847222222222232</v>
      </c>
      <c r="N993" s="192">
        <f t="shared" si="293"/>
        <v>2.931944444444444</v>
      </c>
      <c r="O993" s="192">
        <f t="shared" si="293"/>
        <v>3.4527777777777775</v>
      </c>
      <c r="P993" s="192">
        <f t="shared" si="293"/>
        <v>6.7416666666666671</v>
      </c>
      <c r="Q993" s="192">
        <f t="shared" si="293"/>
        <v>1.1583333333333334</v>
      </c>
      <c r="R993" s="192">
        <f t="shared" si="293"/>
        <v>2.2986111111111112</v>
      </c>
      <c r="S993" s="312">
        <f t="shared" si="293"/>
        <v>2.7375000000000003</v>
      </c>
      <c r="T993" s="192">
        <f t="shared" si="267"/>
        <v>396.91040756091434</v>
      </c>
      <c r="U993" s="192">
        <f t="shared" si="268"/>
        <v>200.91040756091434</v>
      </c>
      <c r="V993" s="320">
        <f>D993+SUM(E993:S993)</f>
        <v>102.91040756091432</v>
      </c>
      <c r="AC993" s="4">
        <v>6</v>
      </c>
      <c r="AD993" s="192">
        <f t="shared" si="269"/>
        <v>294</v>
      </c>
      <c r="AE993" s="192">
        <f t="shared" si="272"/>
        <v>20.03494623655914</v>
      </c>
      <c r="AF993" s="192">
        <f t="shared" si="273"/>
        <v>20.975806451612904</v>
      </c>
      <c r="AG993" s="192">
        <f t="shared" si="274"/>
        <v>34.26478494623656</v>
      </c>
      <c r="AH993" s="192">
        <f t="shared" si="275"/>
        <v>1.3457894262906163</v>
      </c>
      <c r="AI993" s="192">
        <f t="shared" si="276"/>
        <v>11.658602150537634</v>
      </c>
      <c r="AJ993" s="192">
        <f t="shared" si="277"/>
        <v>6.80510752688172</v>
      </c>
      <c r="AK993" s="192">
        <f t="shared" si="278"/>
        <v>8.26747311827957</v>
      </c>
      <c r="AL993" s="192">
        <f t="shared" si="279"/>
        <v>7.6895161290322589</v>
      </c>
      <c r="AM993" s="192">
        <f t="shared" si="280"/>
        <v>2.3508064516129035</v>
      </c>
      <c r="AN993" s="192">
        <f t="shared" si="281"/>
        <v>2.7688172043010755</v>
      </c>
      <c r="AO993" s="192">
        <f t="shared" si="282"/>
        <v>5.600806451612903</v>
      </c>
      <c r="AP993" s="192">
        <f t="shared" si="283"/>
        <v>1.0188172043010753</v>
      </c>
      <c r="AQ993" s="192">
        <f t="shared" si="284"/>
        <v>1.810483870967742</v>
      </c>
      <c r="AR993" s="192">
        <f t="shared" si="285"/>
        <v>2.411290322580645</v>
      </c>
      <c r="AS993" s="192">
        <f t="shared" si="286"/>
        <v>421.00304749080681</v>
      </c>
      <c r="AT993" s="192" t="e">
        <f t="shared" ca="1" si="287"/>
        <v>#NAME?</v>
      </c>
      <c r="AU993" s="192" t="e">
        <f t="shared" ca="1" si="288"/>
        <v>#NAME?</v>
      </c>
      <c r="AW993" s="192" t="e">
        <f t="shared" ca="1" si="270"/>
        <v>#NAME?</v>
      </c>
      <c r="AX993" s="192" t="e">
        <f t="shared" ca="1" si="289"/>
        <v>#NAME?</v>
      </c>
    </row>
    <row r="994" spans="1:50" ht="15.75" customHeight="1" x14ac:dyDescent="0.3">
      <c r="A994" s="211" t="s">
        <v>16</v>
      </c>
      <c r="B994" s="211">
        <f t="shared" si="265"/>
        <v>147</v>
      </c>
      <c r="C994" s="192">
        <f t="shared" si="265"/>
        <v>98</v>
      </c>
      <c r="D994" s="312">
        <f>H1021</f>
        <v>0</v>
      </c>
      <c r="E994" s="192">
        <f t="shared" ref="E994:S994" si="294">+C914/$J$10/24</f>
        <v>12.62768817204301</v>
      </c>
      <c r="F994" s="192">
        <f t="shared" si="294"/>
        <v>13.18010752688172</v>
      </c>
      <c r="G994" s="192">
        <f t="shared" si="294"/>
        <v>20.016129032258064</v>
      </c>
      <c r="H994" s="192">
        <f t="shared" si="294"/>
        <v>0</v>
      </c>
      <c r="I994" s="192">
        <f t="shared" si="294"/>
        <v>-19.504222466370702</v>
      </c>
      <c r="J994" s="192">
        <f t="shared" si="294"/>
        <v>16.713709677419356</v>
      </c>
      <c r="K994" s="192">
        <f t="shared" si="294"/>
        <v>10.754032258064518</v>
      </c>
      <c r="L994" s="192">
        <f t="shared" si="294"/>
        <v>9.55241935483871</v>
      </c>
      <c r="M994" s="192">
        <f t="shared" si="294"/>
        <v>8.865591397849462</v>
      </c>
      <c r="N994" s="192">
        <f t="shared" si="294"/>
        <v>2.9543010752688175</v>
      </c>
      <c r="O994" s="192">
        <f t="shared" si="294"/>
        <v>3.4798387096774195</v>
      </c>
      <c r="P994" s="192">
        <f t="shared" si="294"/>
        <v>6.655913978494624</v>
      </c>
      <c r="Q994" s="192">
        <f t="shared" si="294"/>
        <v>0.93279569892473113</v>
      </c>
      <c r="R994" s="192">
        <f t="shared" si="294"/>
        <v>2.243279569892473</v>
      </c>
      <c r="S994" s="312">
        <f t="shared" si="294"/>
        <v>2.2043010752688175</v>
      </c>
      <c r="T994" s="192">
        <f t="shared" si="267"/>
        <v>237.67588506051104</v>
      </c>
      <c r="U994" s="192">
        <f t="shared" si="268"/>
        <v>188.67588506051104</v>
      </c>
      <c r="V994" s="320">
        <f>D994+SUM(E994:S994)</f>
        <v>90.675885060511035</v>
      </c>
      <c r="AC994" s="4">
        <v>7</v>
      </c>
      <c r="AD994" s="192">
        <f>IF($AF$985=1,VLOOKUP($AD$985,$A$1015:$P$1026,12,FALSE),IF(OR($AD$985="JAN",$AD$985="FEB",$AD$985="NOV",$AD$985="DEC"),VLOOKUP($AD$985,$A$988:$S$999,2,FALSE),VLOOKUP($AD$985,$A$988:$S$999,3,FALSE)))</f>
        <v>196</v>
      </c>
      <c r="AE994" s="192">
        <f t="shared" si="272"/>
        <v>20.03494623655914</v>
      </c>
      <c r="AF994" s="192">
        <f t="shared" si="273"/>
        <v>20.975806451612904</v>
      </c>
      <c r="AG994" s="192">
        <f t="shared" si="274"/>
        <v>34.26478494623656</v>
      </c>
      <c r="AH994" s="192">
        <f t="shared" si="275"/>
        <v>1.3457894262906163</v>
      </c>
      <c r="AI994" s="192">
        <f t="shared" si="276"/>
        <v>11.658602150537634</v>
      </c>
      <c r="AJ994" s="192">
        <f t="shared" si="277"/>
        <v>6.80510752688172</v>
      </c>
      <c r="AK994" s="192">
        <f t="shared" si="278"/>
        <v>8.26747311827957</v>
      </c>
      <c r="AL994" s="192">
        <f t="shared" si="279"/>
        <v>7.6895161290322589</v>
      </c>
      <c r="AM994" s="192">
        <f t="shared" si="280"/>
        <v>2.3508064516129035</v>
      </c>
      <c r="AN994" s="192">
        <f t="shared" si="281"/>
        <v>2.7688172043010755</v>
      </c>
      <c r="AO994" s="192">
        <f t="shared" si="282"/>
        <v>5.600806451612903</v>
      </c>
      <c r="AP994" s="192">
        <f t="shared" si="283"/>
        <v>1.0188172043010753</v>
      </c>
      <c r="AQ994" s="192">
        <f t="shared" si="284"/>
        <v>1.810483870967742</v>
      </c>
      <c r="AR994" s="192">
        <f t="shared" si="285"/>
        <v>2.411290322580645</v>
      </c>
      <c r="AS994" s="192">
        <f t="shared" si="286"/>
        <v>323.00304749080675</v>
      </c>
      <c r="AT994" s="192" t="e">
        <f t="shared" ca="1" si="287"/>
        <v>#NAME?</v>
      </c>
      <c r="AU994" s="192" t="e">
        <f t="shared" ca="1" si="288"/>
        <v>#NAME?</v>
      </c>
      <c r="AW994" s="192" t="e">
        <f t="shared" ca="1" si="270"/>
        <v>#NAME?</v>
      </c>
      <c r="AX994" s="192" t="e">
        <f t="shared" ca="1" si="289"/>
        <v>#NAME?</v>
      </c>
    </row>
    <row r="995" spans="1:50" ht="15.75" customHeight="1" x14ac:dyDescent="0.3">
      <c r="A995" s="211" t="s">
        <v>17</v>
      </c>
      <c r="B995" s="211">
        <f t="shared" si="265"/>
        <v>147</v>
      </c>
      <c r="C995" s="192">
        <f t="shared" si="265"/>
        <v>98</v>
      </c>
      <c r="D995" s="312">
        <f>H1022</f>
        <v>0</v>
      </c>
      <c r="E995" s="192">
        <f t="shared" ref="E995:S995" si="295">+C915/$K$10/24</f>
        <v>11.045698924731184</v>
      </c>
      <c r="F995" s="192">
        <f t="shared" si="295"/>
        <v>11.533602150537634</v>
      </c>
      <c r="G995" s="192">
        <f t="shared" si="295"/>
        <v>17.544354838709676</v>
      </c>
      <c r="H995" s="192">
        <f t="shared" si="295"/>
        <v>0</v>
      </c>
      <c r="I995" s="192">
        <f t="shared" si="295"/>
        <v>-12.41983248294253</v>
      </c>
      <c r="J995" s="192">
        <f t="shared" si="295"/>
        <v>12.633064516129032</v>
      </c>
      <c r="K995" s="192">
        <f t="shared" si="295"/>
        <v>7.7325268817204309</v>
      </c>
      <c r="L995" s="192">
        <f t="shared" si="295"/>
        <v>8.487903225806452</v>
      </c>
      <c r="M995" s="192">
        <f t="shared" si="295"/>
        <v>7.577956989247312</v>
      </c>
      <c r="N995" s="192">
        <f t="shared" si="295"/>
        <v>2.706989247311828</v>
      </c>
      <c r="O995" s="192">
        <f t="shared" si="295"/>
        <v>3.189516129032258</v>
      </c>
      <c r="P995" s="192">
        <f t="shared" si="295"/>
        <v>6.045698924731183</v>
      </c>
      <c r="Q995" s="192">
        <f t="shared" si="295"/>
        <v>0.54973118279569888</v>
      </c>
      <c r="R995" s="192">
        <f t="shared" si="295"/>
        <v>2.1760752688172045</v>
      </c>
      <c r="S995" s="312">
        <f t="shared" si="295"/>
        <v>1.2970430107526882</v>
      </c>
      <c r="T995" s="192">
        <f t="shared" si="267"/>
        <v>227.10032880738004</v>
      </c>
      <c r="U995" s="192">
        <f t="shared" si="268"/>
        <v>178.10032880738004</v>
      </c>
      <c r="V995" s="320">
        <f>D995+SUM(E995:S995)</f>
        <v>80.100328807380038</v>
      </c>
      <c r="AC995" s="4">
        <v>8</v>
      </c>
      <c r="AD995" s="192">
        <f>IF($AF$985=1,VLOOKUP($AD$985,$A$1015:$P$1026,12,FALSE),VLOOKUP($AD$985,$A$988:$S$999,3,FALSE))</f>
        <v>196</v>
      </c>
      <c r="AE995" s="192">
        <f t="shared" si="272"/>
        <v>20.03494623655914</v>
      </c>
      <c r="AF995" s="192">
        <f t="shared" si="273"/>
        <v>20.975806451612904</v>
      </c>
      <c r="AG995" s="192">
        <f t="shared" si="274"/>
        <v>34.26478494623656</v>
      </c>
      <c r="AH995" s="192">
        <f t="shared" si="275"/>
        <v>1.3457894262906163</v>
      </c>
      <c r="AI995" s="192">
        <f t="shared" si="276"/>
        <v>11.658602150537634</v>
      </c>
      <c r="AJ995" s="192">
        <f t="shared" si="277"/>
        <v>6.80510752688172</v>
      </c>
      <c r="AK995" s="192">
        <f t="shared" si="278"/>
        <v>8.26747311827957</v>
      </c>
      <c r="AL995" s="192">
        <f t="shared" si="279"/>
        <v>7.6895161290322589</v>
      </c>
      <c r="AM995" s="192">
        <f t="shared" si="280"/>
        <v>2.3508064516129035</v>
      </c>
      <c r="AN995" s="192">
        <f t="shared" si="281"/>
        <v>2.7688172043010755</v>
      </c>
      <c r="AO995" s="192">
        <f t="shared" si="282"/>
        <v>5.600806451612903</v>
      </c>
      <c r="AP995" s="192">
        <f t="shared" si="283"/>
        <v>1.0188172043010753</v>
      </c>
      <c r="AQ995" s="192">
        <f t="shared" si="284"/>
        <v>1.810483870967742</v>
      </c>
      <c r="AR995" s="192">
        <f t="shared" si="285"/>
        <v>2.411290322580645</v>
      </c>
      <c r="AS995" s="192">
        <f t="shared" si="286"/>
        <v>323.00304749080675</v>
      </c>
      <c r="AT995" s="192" t="e">
        <f t="shared" ca="1" si="287"/>
        <v>#NAME?</v>
      </c>
      <c r="AU995" s="192" t="e">
        <f t="shared" ca="1" si="288"/>
        <v>#NAME?</v>
      </c>
      <c r="AW995" s="192" t="e">
        <f t="shared" ca="1" si="270"/>
        <v>#NAME?</v>
      </c>
      <c r="AX995" s="192" t="e">
        <f t="shared" ca="1" si="289"/>
        <v>#NAME?</v>
      </c>
    </row>
    <row r="996" spans="1:50" ht="15.75" customHeight="1" x14ac:dyDescent="0.3">
      <c r="A996" s="211" t="s">
        <v>18</v>
      </c>
      <c r="B996" s="211">
        <f t="shared" si="265"/>
        <v>245</v>
      </c>
      <c r="C996" s="192">
        <f t="shared" si="265"/>
        <v>147</v>
      </c>
      <c r="D996" s="312" t="s">
        <v>803</v>
      </c>
      <c r="E996" s="192">
        <f t="shared" ref="E996:S996" si="296">+C916/$L$10/24</f>
        <v>22.186111111111114</v>
      </c>
      <c r="F996" s="192">
        <f t="shared" si="296"/>
        <v>23.223611111111111</v>
      </c>
      <c r="G996" s="192">
        <f t="shared" si="296"/>
        <v>38.506944444444443</v>
      </c>
      <c r="H996" s="192">
        <f t="shared" si="296"/>
        <v>4.6500715542860478</v>
      </c>
      <c r="I996" s="192">
        <f t="shared" si="296"/>
        <v>-3.2153288118563164</v>
      </c>
      <c r="J996" s="192">
        <f t="shared" si="296"/>
        <v>10.793055555555556</v>
      </c>
      <c r="K996" s="192">
        <f t="shared" si="296"/>
        <v>7.4236111111111107</v>
      </c>
      <c r="L996" s="192">
        <f t="shared" si="296"/>
        <v>9.0166666666666675</v>
      </c>
      <c r="M996" s="192">
        <f t="shared" si="296"/>
        <v>8.281944444444445</v>
      </c>
      <c r="N996" s="192">
        <f t="shared" si="296"/>
        <v>2.6416666666666666</v>
      </c>
      <c r="O996" s="192">
        <f t="shared" si="296"/>
        <v>3.1125000000000003</v>
      </c>
      <c r="P996" s="192">
        <f t="shared" si="296"/>
        <v>5.9805555555555552</v>
      </c>
      <c r="Q996" s="192">
        <f t="shared" si="296"/>
        <v>1.273611111111111</v>
      </c>
      <c r="R996" s="192">
        <f t="shared" si="296"/>
        <v>1.5958333333333332</v>
      </c>
      <c r="S996" s="312">
        <f t="shared" si="296"/>
        <v>3.0124999999999997</v>
      </c>
      <c r="T996" s="192">
        <f t="shared" si="267"/>
        <v>383.48335385354085</v>
      </c>
      <c r="U996" s="192">
        <f t="shared" si="268"/>
        <v>285.48335385354085</v>
      </c>
      <c r="V996" s="192" t="s">
        <v>803</v>
      </c>
      <c r="AC996" s="4">
        <v>9</v>
      </c>
      <c r="AD996" s="192">
        <f>IF($AF$985=1,VLOOKUP($AD$985,$A$1015:$P$1026,12,FALSE),VLOOKUP($AD$985,$A$988:$S$999,3,FALSE))</f>
        <v>196</v>
      </c>
      <c r="AE996" s="192">
        <f t="shared" si="272"/>
        <v>20.03494623655914</v>
      </c>
      <c r="AF996" s="192">
        <f t="shared" si="273"/>
        <v>20.975806451612904</v>
      </c>
      <c r="AG996" s="192">
        <f t="shared" si="274"/>
        <v>34.26478494623656</v>
      </c>
      <c r="AH996" s="192">
        <f t="shared" si="275"/>
        <v>1.3457894262906163</v>
      </c>
      <c r="AI996" s="192">
        <f t="shared" si="276"/>
        <v>11.658602150537634</v>
      </c>
      <c r="AJ996" s="192">
        <f t="shared" si="277"/>
        <v>6.80510752688172</v>
      </c>
      <c r="AK996" s="192">
        <f t="shared" si="278"/>
        <v>8.26747311827957</v>
      </c>
      <c r="AL996" s="192">
        <f t="shared" si="279"/>
        <v>7.6895161290322589</v>
      </c>
      <c r="AM996" s="192">
        <f t="shared" si="280"/>
        <v>2.3508064516129035</v>
      </c>
      <c r="AN996" s="192">
        <f t="shared" si="281"/>
        <v>2.7688172043010755</v>
      </c>
      <c r="AO996" s="192">
        <f t="shared" si="282"/>
        <v>5.600806451612903</v>
      </c>
      <c r="AP996" s="192">
        <f t="shared" si="283"/>
        <v>1.0188172043010753</v>
      </c>
      <c r="AQ996" s="192">
        <f t="shared" si="284"/>
        <v>1.810483870967742</v>
      </c>
      <c r="AR996" s="192">
        <f t="shared" si="285"/>
        <v>2.411290322580645</v>
      </c>
      <c r="AS996" s="192">
        <f t="shared" si="286"/>
        <v>323.00304749080675</v>
      </c>
      <c r="AT996" s="192" t="e">
        <f t="shared" ca="1" si="287"/>
        <v>#NAME?</v>
      </c>
      <c r="AU996" s="192" t="e">
        <f t="shared" ca="1" si="288"/>
        <v>#NAME?</v>
      </c>
      <c r="AW996" s="192" t="e">
        <f t="shared" ca="1" si="270"/>
        <v>#NAME?</v>
      </c>
      <c r="AX996" s="192" t="e">
        <f t="shared" ca="1" si="289"/>
        <v>#NAME?</v>
      </c>
    </row>
    <row r="997" spans="1:50" ht="15.75" customHeight="1" x14ac:dyDescent="0.3">
      <c r="A997" s="211" t="s">
        <v>20</v>
      </c>
      <c r="B997" s="211">
        <f t="shared" si="265"/>
        <v>245</v>
      </c>
      <c r="C997" s="192">
        <f t="shared" si="265"/>
        <v>147</v>
      </c>
      <c r="D997" s="312" t="s">
        <v>803</v>
      </c>
      <c r="E997" s="192">
        <f t="shared" ref="E997:S997" si="297">+C917/$N$10/24</f>
        <v>21.834677419354836</v>
      </c>
      <c r="F997" s="192">
        <f t="shared" si="297"/>
        <v>22.861559139784944</v>
      </c>
      <c r="G997" s="192">
        <f t="shared" si="297"/>
        <v>38.340053763440856</v>
      </c>
      <c r="H997" s="192">
        <f t="shared" si="297"/>
        <v>9.7383136240272599</v>
      </c>
      <c r="I997" s="192">
        <f t="shared" si="297"/>
        <v>-0.17669322426687981</v>
      </c>
      <c r="J997" s="192">
        <f t="shared" si="297"/>
        <v>6.813172043010753</v>
      </c>
      <c r="K997" s="192">
        <f t="shared" si="297"/>
        <v>2.3776881720430105</v>
      </c>
      <c r="L997" s="192">
        <f t="shared" si="297"/>
        <v>2.7620967741935485</v>
      </c>
      <c r="M997" s="192">
        <f t="shared" si="297"/>
        <v>2.7620967741935485</v>
      </c>
      <c r="N997" s="192">
        <f t="shared" si="297"/>
        <v>0.85618279569892464</v>
      </c>
      <c r="O997" s="192">
        <f t="shared" si="297"/>
        <v>1.0053763440860215</v>
      </c>
      <c r="P997" s="192">
        <f t="shared" si="297"/>
        <v>1.8911290322580647</v>
      </c>
      <c r="Q997" s="192">
        <f t="shared" si="297"/>
        <v>0.47446236559139782</v>
      </c>
      <c r="R997" s="192">
        <f t="shared" si="297"/>
        <v>0</v>
      </c>
      <c r="S997" s="312">
        <f t="shared" si="297"/>
        <v>1.1209677419354838</v>
      </c>
      <c r="T997" s="192">
        <f t="shared" si="267"/>
        <v>357.66108276535175</v>
      </c>
      <c r="U997" s="192">
        <f t="shared" si="268"/>
        <v>259.66108276535175</v>
      </c>
      <c r="V997" s="192" t="s">
        <v>803</v>
      </c>
      <c r="AC997" s="4">
        <v>10</v>
      </c>
      <c r="AD997" s="192">
        <f>IF($AF$985=1,VLOOKUP($AD$985,$A$1015:$P$1026,12,FALSE),VLOOKUP($AD$985,$A$988:$S$999,3,FALSE))</f>
        <v>196</v>
      </c>
      <c r="AE997" s="192">
        <f t="shared" si="272"/>
        <v>20.03494623655914</v>
      </c>
      <c r="AF997" s="192">
        <f t="shared" si="273"/>
        <v>20.975806451612904</v>
      </c>
      <c r="AG997" s="192">
        <f t="shared" si="274"/>
        <v>34.26478494623656</v>
      </c>
      <c r="AH997" s="192">
        <f t="shared" si="275"/>
        <v>1.3457894262906163</v>
      </c>
      <c r="AI997" s="192">
        <f t="shared" si="276"/>
        <v>11.658602150537634</v>
      </c>
      <c r="AJ997" s="192">
        <f t="shared" si="277"/>
        <v>6.80510752688172</v>
      </c>
      <c r="AK997" s="192">
        <f t="shared" si="278"/>
        <v>8.26747311827957</v>
      </c>
      <c r="AL997" s="192">
        <f t="shared" si="279"/>
        <v>7.6895161290322589</v>
      </c>
      <c r="AM997" s="192">
        <f t="shared" si="280"/>
        <v>2.3508064516129035</v>
      </c>
      <c r="AN997" s="192">
        <f t="shared" si="281"/>
        <v>2.7688172043010755</v>
      </c>
      <c r="AO997" s="192">
        <f t="shared" si="282"/>
        <v>5.600806451612903</v>
      </c>
      <c r="AP997" s="192">
        <f t="shared" si="283"/>
        <v>1.0188172043010753</v>
      </c>
      <c r="AQ997" s="192">
        <f t="shared" si="284"/>
        <v>1.810483870967742</v>
      </c>
      <c r="AR997" s="192">
        <f t="shared" si="285"/>
        <v>2.411290322580645</v>
      </c>
      <c r="AS997" s="192">
        <f t="shared" si="286"/>
        <v>323.00304749080675</v>
      </c>
      <c r="AT997" s="192" t="e">
        <f t="shared" ca="1" si="287"/>
        <v>#NAME?</v>
      </c>
      <c r="AU997" s="192" t="e">
        <f t="shared" ca="1" si="288"/>
        <v>#NAME?</v>
      </c>
      <c r="AW997" s="192" t="e">
        <f t="shared" ca="1" si="270"/>
        <v>#NAME?</v>
      </c>
      <c r="AX997" s="192" t="e">
        <f t="shared" ca="1" si="289"/>
        <v>#NAME?</v>
      </c>
    </row>
    <row r="998" spans="1:50" ht="15.75" customHeight="1" x14ac:dyDescent="0.3">
      <c r="A998" s="211" t="s">
        <v>21</v>
      </c>
      <c r="B998" s="211">
        <f t="shared" si="265"/>
        <v>245</v>
      </c>
      <c r="C998" s="192">
        <f t="shared" si="265"/>
        <v>147</v>
      </c>
      <c r="D998" s="312" t="s">
        <v>803</v>
      </c>
      <c r="E998" s="192">
        <f t="shared" ref="E998:S998" si="298">+C918/$O$10/24</f>
        <v>23.413888888888888</v>
      </c>
      <c r="F998" s="192">
        <f t="shared" si="298"/>
        <v>24.525000000000002</v>
      </c>
      <c r="G998" s="192">
        <f t="shared" si="298"/>
        <v>41.65</v>
      </c>
      <c r="H998" s="192">
        <f t="shared" si="298"/>
        <v>19.878088645806283</v>
      </c>
      <c r="I998" s="192">
        <f t="shared" si="298"/>
        <v>0</v>
      </c>
      <c r="J998" s="192">
        <f t="shared" si="298"/>
        <v>4.3569444444444443</v>
      </c>
      <c r="K998" s="192">
        <f t="shared" si="298"/>
        <v>2.6652777777777779</v>
      </c>
      <c r="L998" s="192">
        <f t="shared" si="298"/>
        <v>3.6111111111111112</v>
      </c>
      <c r="M998" s="192">
        <f t="shared" si="298"/>
        <v>3.7305555555555556</v>
      </c>
      <c r="N998" s="192">
        <f t="shared" si="298"/>
        <v>0.99722222222222223</v>
      </c>
      <c r="O998" s="192">
        <f t="shared" si="298"/>
        <v>1.1722222222222223</v>
      </c>
      <c r="P998" s="192">
        <f t="shared" si="298"/>
        <v>2.4694444444444446</v>
      </c>
      <c r="Q998" s="192">
        <f t="shared" si="298"/>
        <v>0.30833333333333335</v>
      </c>
      <c r="R998" s="192">
        <f t="shared" si="298"/>
        <v>0</v>
      </c>
      <c r="S998" s="312">
        <f t="shared" si="298"/>
        <v>0.72777777777777775</v>
      </c>
      <c r="T998" s="192">
        <f t="shared" si="267"/>
        <v>374.50586642358405</v>
      </c>
      <c r="U998" s="192">
        <f t="shared" si="268"/>
        <v>276.50586642358405</v>
      </c>
      <c r="V998" s="192" t="s">
        <v>803</v>
      </c>
      <c r="AC998" s="4">
        <v>11</v>
      </c>
      <c r="AD998" s="192">
        <f>IF($AF$985=1,VLOOKUP($AD$985,$A$1015:$P$1026,12,FALSE),VLOOKUP($AD$985,$A$988:$S$999,3,FALSE))</f>
        <v>196</v>
      </c>
      <c r="AE998" s="192">
        <f t="shared" si="272"/>
        <v>20.03494623655914</v>
      </c>
      <c r="AF998" s="192">
        <f t="shared" si="273"/>
        <v>20.975806451612904</v>
      </c>
      <c r="AG998" s="192">
        <f t="shared" si="274"/>
        <v>34.26478494623656</v>
      </c>
      <c r="AH998" s="192">
        <f t="shared" si="275"/>
        <v>1.3457894262906163</v>
      </c>
      <c r="AI998" s="192">
        <f t="shared" si="276"/>
        <v>11.658602150537634</v>
      </c>
      <c r="AJ998" s="192">
        <f t="shared" si="277"/>
        <v>6.80510752688172</v>
      </c>
      <c r="AK998" s="192">
        <f t="shared" si="278"/>
        <v>8.26747311827957</v>
      </c>
      <c r="AL998" s="192">
        <f t="shared" si="279"/>
        <v>7.6895161290322589</v>
      </c>
      <c r="AM998" s="192">
        <f t="shared" si="280"/>
        <v>2.3508064516129035</v>
      </c>
      <c r="AN998" s="192">
        <f t="shared" si="281"/>
        <v>2.7688172043010755</v>
      </c>
      <c r="AO998" s="192">
        <f t="shared" si="282"/>
        <v>5.600806451612903</v>
      </c>
      <c r="AP998" s="192">
        <f t="shared" si="283"/>
        <v>1.0188172043010753</v>
      </c>
      <c r="AQ998" s="192">
        <f t="shared" si="284"/>
        <v>1.810483870967742</v>
      </c>
      <c r="AR998" s="192">
        <f t="shared" si="285"/>
        <v>2.411290322580645</v>
      </c>
      <c r="AS998" s="192">
        <f t="shared" si="286"/>
        <v>323.00304749080675</v>
      </c>
      <c r="AT998" s="192" t="e">
        <f t="shared" ca="1" si="287"/>
        <v>#NAME?</v>
      </c>
      <c r="AU998" s="192" t="e">
        <f t="shared" ca="1" si="288"/>
        <v>#NAME?</v>
      </c>
      <c r="AW998" s="192" t="e">
        <f t="shared" ca="1" si="270"/>
        <v>#NAME?</v>
      </c>
      <c r="AX998" s="192" t="e">
        <f t="shared" ca="1" si="289"/>
        <v>#NAME?</v>
      </c>
    </row>
    <row r="999" spans="1:50" ht="15.75" customHeight="1" thickBot="1" x14ac:dyDescent="0.35">
      <c r="A999" s="220" t="s">
        <v>22</v>
      </c>
      <c r="B999" s="220">
        <f t="shared" si="265"/>
        <v>294</v>
      </c>
      <c r="C999" s="206">
        <f t="shared" si="265"/>
        <v>98</v>
      </c>
      <c r="D999" s="272" t="s">
        <v>803</v>
      </c>
      <c r="E999" s="206">
        <f t="shared" ref="E999:S999" si="299">+C919/$P$10/24</f>
        <v>19.186827956989248</v>
      </c>
      <c r="F999" s="206">
        <f t="shared" si="299"/>
        <v>20.099462365591396</v>
      </c>
      <c r="G999" s="206">
        <f t="shared" si="299"/>
        <v>33.994623655913976</v>
      </c>
      <c r="H999" s="206">
        <f t="shared" si="299"/>
        <v>13.734725531991195</v>
      </c>
      <c r="I999" s="206">
        <f t="shared" si="299"/>
        <v>0</v>
      </c>
      <c r="J999" s="206">
        <f t="shared" si="299"/>
        <v>5.452956989247312</v>
      </c>
      <c r="K999" s="206">
        <f t="shared" si="299"/>
        <v>3.435483870967742</v>
      </c>
      <c r="L999" s="206">
        <f t="shared" si="299"/>
        <v>4.995967741935484</v>
      </c>
      <c r="M999" s="206">
        <f t="shared" si="299"/>
        <v>5.181451612903226</v>
      </c>
      <c r="N999" s="206">
        <f t="shared" si="299"/>
        <v>1.924731182795699</v>
      </c>
      <c r="O999" s="206">
        <f t="shared" si="299"/>
        <v>2.26747311827957</v>
      </c>
      <c r="P999" s="206">
        <f t="shared" si="299"/>
        <v>4.735215053763441</v>
      </c>
      <c r="Q999" s="206">
        <f t="shared" si="299"/>
        <v>1.1290322580645162</v>
      </c>
      <c r="R999" s="206">
        <f t="shared" si="299"/>
        <v>0</v>
      </c>
      <c r="S999" s="272">
        <f t="shared" si="299"/>
        <v>2.6733870967741935</v>
      </c>
      <c r="T999" s="192">
        <f t="shared" si="267"/>
        <v>412.81133843521701</v>
      </c>
      <c r="U999" s="192">
        <f t="shared" si="268"/>
        <v>216.81133843521701</v>
      </c>
      <c r="V999" s="192" t="s">
        <v>803</v>
      </c>
      <c r="AC999" s="4">
        <v>12</v>
      </c>
      <c r="AD999" s="192">
        <f>IF($AF$985=1,VLOOKUP($AD$985,$A$1015:$P$1026,12,FALSE),VLOOKUP($AD$985,$A$988:$S$999,3,FALSE))</f>
        <v>196</v>
      </c>
      <c r="AE999" s="192">
        <f t="shared" si="272"/>
        <v>20.03494623655914</v>
      </c>
      <c r="AF999" s="192">
        <f t="shared" si="273"/>
        <v>20.975806451612904</v>
      </c>
      <c r="AG999" s="192">
        <f t="shared" si="274"/>
        <v>34.26478494623656</v>
      </c>
      <c r="AH999" s="192">
        <f t="shared" si="275"/>
        <v>1.3457894262906163</v>
      </c>
      <c r="AI999" s="192">
        <f t="shared" si="276"/>
        <v>11.658602150537634</v>
      </c>
      <c r="AJ999" s="192">
        <f t="shared" si="277"/>
        <v>6.80510752688172</v>
      </c>
      <c r="AK999" s="192">
        <f t="shared" si="278"/>
        <v>8.26747311827957</v>
      </c>
      <c r="AL999" s="192">
        <f t="shared" si="279"/>
        <v>7.6895161290322589</v>
      </c>
      <c r="AM999" s="192">
        <f t="shared" si="280"/>
        <v>2.3508064516129035</v>
      </c>
      <c r="AN999" s="192">
        <f t="shared" si="281"/>
        <v>2.7688172043010755</v>
      </c>
      <c r="AO999" s="192">
        <f t="shared" si="282"/>
        <v>5.600806451612903</v>
      </c>
      <c r="AP999" s="192">
        <f t="shared" si="283"/>
        <v>1.0188172043010753</v>
      </c>
      <c r="AQ999" s="192">
        <f t="shared" si="284"/>
        <v>1.810483870967742</v>
      </c>
      <c r="AR999" s="192">
        <f t="shared" si="285"/>
        <v>2.411290322580645</v>
      </c>
      <c r="AS999" s="192">
        <f t="shared" si="286"/>
        <v>323.00304749080675</v>
      </c>
      <c r="AT999" s="192" t="e">
        <f t="shared" ca="1" si="287"/>
        <v>#NAME?</v>
      </c>
      <c r="AU999" s="192" t="e">
        <f t="shared" ca="1" si="288"/>
        <v>#NAME?</v>
      </c>
      <c r="AW999" s="192" t="e">
        <f t="shared" ca="1" si="270"/>
        <v>#NAME?</v>
      </c>
      <c r="AX999" s="192" t="e">
        <f t="shared" ca="1" si="289"/>
        <v>#NAME?</v>
      </c>
    </row>
    <row r="1000" spans="1:50" ht="15.75" customHeight="1" x14ac:dyDescent="0.3">
      <c r="A1000" s="260"/>
      <c r="AC1000" s="4">
        <v>13</v>
      </c>
      <c r="AD1000" s="192">
        <f>IF($AF$985=1,VLOOKUP($AD$985,$A$1015:$P$1026,12,FALSE),IF(OR($AD$985="JUN",$AD$985="JUL",$AD$985="AUG"),VLOOKUP($AD$985,$A$988:$S$999,4,FALSE),VLOOKUP($AD$985,$A$988:$S$999,3,FALSE)))</f>
        <v>196</v>
      </c>
      <c r="AE1000" s="192">
        <f t="shared" si="272"/>
        <v>20.03494623655914</v>
      </c>
      <c r="AF1000" s="192">
        <f t="shared" si="273"/>
        <v>20.975806451612904</v>
      </c>
      <c r="AG1000" s="192">
        <f t="shared" si="274"/>
        <v>34.26478494623656</v>
      </c>
      <c r="AH1000" s="192">
        <f t="shared" si="275"/>
        <v>1.3457894262906163</v>
      </c>
      <c r="AI1000" s="192">
        <f t="shared" si="276"/>
        <v>11.658602150537634</v>
      </c>
      <c r="AJ1000" s="192">
        <f t="shared" si="277"/>
        <v>6.80510752688172</v>
      </c>
      <c r="AK1000" s="192">
        <f t="shared" si="278"/>
        <v>8.26747311827957</v>
      </c>
      <c r="AL1000" s="192">
        <f t="shared" si="279"/>
        <v>7.6895161290322589</v>
      </c>
      <c r="AM1000" s="192">
        <f t="shared" si="280"/>
        <v>2.3508064516129035</v>
      </c>
      <c r="AN1000" s="192">
        <f t="shared" si="281"/>
        <v>2.7688172043010755</v>
      </c>
      <c r="AO1000" s="192">
        <f t="shared" si="282"/>
        <v>5.600806451612903</v>
      </c>
      <c r="AP1000" s="192">
        <f t="shared" si="283"/>
        <v>1.0188172043010753</v>
      </c>
      <c r="AQ1000" s="192">
        <f t="shared" si="284"/>
        <v>1.810483870967742</v>
      </c>
      <c r="AR1000" s="192">
        <f t="shared" si="285"/>
        <v>2.411290322580645</v>
      </c>
      <c r="AS1000" s="192">
        <f t="shared" si="286"/>
        <v>323.00304749080675</v>
      </c>
      <c r="AT1000" s="192" t="e">
        <f t="shared" ca="1" si="287"/>
        <v>#NAME?</v>
      </c>
      <c r="AU1000" s="192" t="e">
        <f t="shared" ca="1" si="288"/>
        <v>#NAME?</v>
      </c>
      <c r="AW1000" s="192" t="e">
        <f t="shared" ca="1" si="270"/>
        <v>#NAME?</v>
      </c>
      <c r="AX1000" s="192" t="e">
        <f t="shared" ca="1" si="289"/>
        <v>#NAME?</v>
      </c>
    </row>
    <row r="1001" spans="1:50" ht="15.75" customHeight="1" x14ac:dyDescent="0.3">
      <c r="A1001" s="260" t="s">
        <v>804</v>
      </c>
      <c r="AC1001" s="4">
        <v>14</v>
      </c>
      <c r="AD1001" s="192">
        <f t="shared" ref="AD1001:AD1007" si="300">IF($AF$985=1,VLOOKUP($AD$985,$A$1015:$P$1026,12,FALSE),IF(OR($AD$985="JUN",$AD$985="JUL",$AD$985="AUG"),VLOOKUP($AD$985,$A$988:$S$999,4,FALSE),VLOOKUP($AD$985,$A$988:$S$999,3,FALSE)))</f>
        <v>196</v>
      </c>
      <c r="AE1001" s="192">
        <f t="shared" si="272"/>
        <v>20.03494623655914</v>
      </c>
      <c r="AF1001" s="192">
        <f t="shared" si="273"/>
        <v>20.975806451612904</v>
      </c>
      <c r="AG1001" s="192">
        <f t="shared" si="274"/>
        <v>34.26478494623656</v>
      </c>
      <c r="AH1001" s="192">
        <f t="shared" si="275"/>
        <v>1.3457894262906163</v>
      </c>
      <c r="AI1001" s="192">
        <f t="shared" si="276"/>
        <v>11.658602150537634</v>
      </c>
      <c r="AJ1001" s="192">
        <f t="shared" si="277"/>
        <v>6.80510752688172</v>
      </c>
      <c r="AK1001" s="192">
        <f t="shared" si="278"/>
        <v>8.26747311827957</v>
      </c>
      <c r="AL1001" s="192">
        <f t="shared" si="279"/>
        <v>7.6895161290322589</v>
      </c>
      <c r="AM1001" s="192">
        <f t="shared" si="280"/>
        <v>2.3508064516129035</v>
      </c>
      <c r="AN1001" s="192">
        <f t="shared" si="281"/>
        <v>2.7688172043010755</v>
      </c>
      <c r="AO1001" s="192">
        <f t="shared" si="282"/>
        <v>5.600806451612903</v>
      </c>
      <c r="AP1001" s="192">
        <f t="shared" si="283"/>
        <v>1.0188172043010753</v>
      </c>
      <c r="AQ1001" s="192">
        <f t="shared" si="284"/>
        <v>1.810483870967742</v>
      </c>
      <c r="AR1001" s="192">
        <f t="shared" si="285"/>
        <v>2.411290322580645</v>
      </c>
      <c r="AS1001" s="192">
        <f t="shared" si="286"/>
        <v>323.00304749080675</v>
      </c>
      <c r="AT1001" s="192" t="e">
        <f t="shared" ca="1" si="287"/>
        <v>#NAME?</v>
      </c>
      <c r="AU1001" s="192" t="e">
        <f t="shared" ca="1" si="288"/>
        <v>#NAME?</v>
      </c>
      <c r="AW1001" s="192" t="e">
        <f t="shared" ca="1" si="270"/>
        <v>#NAME?</v>
      </c>
      <c r="AX1001" s="192" t="e">
        <f t="shared" ca="1" si="289"/>
        <v>#NAME?</v>
      </c>
    </row>
    <row r="1002" spans="1:50" ht="15.75" customHeight="1" x14ac:dyDescent="0.3">
      <c r="A1002" s="260"/>
      <c r="AC1002" s="4">
        <v>15</v>
      </c>
      <c r="AD1002" s="192">
        <f t="shared" si="300"/>
        <v>196</v>
      </c>
      <c r="AE1002" s="192">
        <f t="shared" si="272"/>
        <v>20.03494623655914</v>
      </c>
      <c r="AF1002" s="192">
        <f t="shared" si="273"/>
        <v>20.975806451612904</v>
      </c>
      <c r="AG1002" s="192">
        <f t="shared" si="274"/>
        <v>34.26478494623656</v>
      </c>
      <c r="AH1002" s="192">
        <f t="shared" si="275"/>
        <v>1.3457894262906163</v>
      </c>
      <c r="AI1002" s="192">
        <f t="shared" si="276"/>
        <v>11.658602150537634</v>
      </c>
      <c r="AJ1002" s="192">
        <f t="shared" si="277"/>
        <v>6.80510752688172</v>
      </c>
      <c r="AK1002" s="192">
        <f t="shared" si="278"/>
        <v>8.26747311827957</v>
      </c>
      <c r="AL1002" s="192">
        <f t="shared" si="279"/>
        <v>7.6895161290322589</v>
      </c>
      <c r="AM1002" s="192">
        <f t="shared" si="280"/>
        <v>2.3508064516129035</v>
      </c>
      <c r="AN1002" s="192">
        <f t="shared" si="281"/>
        <v>2.7688172043010755</v>
      </c>
      <c r="AO1002" s="192">
        <f t="shared" si="282"/>
        <v>5.600806451612903</v>
      </c>
      <c r="AP1002" s="192">
        <f t="shared" si="283"/>
        <v>1.0188172043010753</v>
      </c>
      <c r="AQ1002" s="192">
        <f t="shared" si="284"/>
        <v>1.810483870967742</v>
      </c>
      <c r="AR1002" s="192">
        <f t="shared" si="285"/>
        <v>2.411290322580645</v>
      </c>
      <c r="AS1002" s="192">
        <f t="shared" si="286"/>
        <v>323.00304749080675</v>
      </c>
      <c r="AT1002" s="192" t="e">
        <f t="shared" ca="1" si="287"/>
        <v>#NAME?</v>
      </c>
      <c r="AU1002" s="192" t="e">
        <f t="shared" ca="1" si="288"/>
        <v>#NAME?</v>
      </c>
      <c r="AW1002" s="192" t="e">
        <f t="shared" ca="1" si="270"/>
        <v>#NAME?</v>
      </c>
      <c r="AX1002" s="192" t="e">
        <f t="shared" ca="1" si="289"/>
        <v>#NAME?</v>
      </c>
    </row>
    <row r="1003" spans="1:50" ht="15.75" customHeight="1" x14ac:dyDescent="0.3">
      <c r="A1003" s="260"/>
      <c r="AC1003" s="4">
        <v>16</v>
      </c>
      <c r="AD1003" s="192">
        <f t="shared" si="300"/>
        <v>196</v>
      </c>
      <c r="AE1003" s="192">
        <f t="shared" si="272"/>
        <v>20.03494623655914</v>
      </c>
      <c r="AF1003" s="192">
        <f t="shared" si="273"/>
        <v>20.975806451612904</v>
      </c>
      <c r="AG1003" s="192">
        <f t="shared" si="274"/>
        <v>34.26478494623656</v>
      </c>
      <c r="AH1003" s="192">
        <f t="shared" si="275"/>
        <v>1.3457894262906163</v>
      </c>
      <c r="AI1003" s="192">
        <f t="shared" si="276"/>
        <v>11.658602150537634</v>
      </c>
      <c r="AJ1003" s="192">
        <f t="shared" si="277"/>
        <v>6.80510752688172</v>
      </c>
      <c r="AK1003" s="192">
        <f t="shared" si="278"/>
        <v>8.26747311827957</v>
      </c>
      <c r="AL1003" s="192">
        <f t="shared" si="279"/>
        <v>7.6895161290322589</v>
      </c>
      <c r="AM1003" s="192">
        <f t="shared" si="280"/>
        <v>2.3508064516129035</v>
      </c>
      <c r="AN1003" s="192">
        <f t="shared" si="281"/>
        <v>2.7688172043010755</v>
      </c>
      <c r="AO1003" s="192">
        <f t="shared" si="282"/>
        <v>5.600806451612903</v>
      </c>
      <c r="AP1003" s="192">
        <f t="shared" si="283"/>
        <v>1.0188172043010753</v>
      </c>
      <c r="AQ1003" s="192">
        <f t="shared" si="284"/>
        <v>1.810483870967742</v>
      </c>
      <c r="AR1003" s="192">
        <f t="shared" si="285"/>
        <v>2.411290322580645</v>
      </c>
      <c r="AS1003" s="192">
        <f t="shared" si="286"/>
        <v>323.00304749080675</v>
      </c>
      <c r="AT1003" s="192" t="e">
        <f t="shared" ca="1" si="287"/>
        <v>#NAME?</v>
      </c>
      <c r="AU1003" s="192" t="e">
        <f t="shared" ca="1" si="288"/>
        <v>#NAME?</v>
      </c>
      <c r="AW1003" s="192" t="e">
        <f t="shared" ca="1" si="270"/>
        <v>#NAME?</v>
      </c>
      <c r="AX1003" s="192" t="e">
        <f t="shared" ca="1" si="289"/>
        <v>#NAME?</v>
      </c>
    </row>
    <row r="1004" spans="1:50" ht="15.75" customHeight="1" thickBot="1" x14ac:dyDescent="0.35">
      <c r="A1004" s="260"/>
      <c r="AC1004" s="4">
        <v>17</v>
      </c>
      <c r="AD1004" s="192">
        <f t="shared" si="300"/>
        <v>196</v>
      </c>
      <c r="AE1004" s="192">
        <f t="shared" si="272"/>
        <v>20.03494623655914</v>
      </c>
      <c r="AF1004" s="192">
        <f t="shared" si="273"/>
        <v>20.975806451612904</v>
      </c>
      <c r="AG1004" s="192">
        <f t="shared" si="274"/>
        <v>34.26478494623656</v>
      </c>
      <c r="AH1004" s="192">
        <f t="shared" si="275"/>
        <v>1.3457894262906163</v>
      </c>
      <c r="AI1004" s="192">
        <f t="shared" si="276"/>
        <v>11.658602150537634</v>
      </c>
      <c r="AJ1004" s="192">
        <f t="shared" si="277"/>
        <v>6.80510752688172</v>
      </c>
      <c r="AK1004" s="192">
        <f t="shared" si="278"/>
        <v>8.26747311827957</v>
      </c>
      <c r="AL1004" s="192">
        <f t="shared" si="279"/>
        <v>7.6895161290322589</v>
      </c>
      <c r="AM1004" s="192">
        <f t="shared" si="280"/>
        <v>2.3508064516129035</v>
      </c>
      <c r="AN1004" s="192">
        <f t="shared" si="281"/>
        <v>2.7688172043010755</v>
      </c>
      <c r="AO1004" s="192">
        <f t="shared" si="282"/>
        <v>5.600806451612903</v>
      </c>
      <c r="AP1004" s="192">
        <f t="shared" si="283"/>
        <v>1.0188172043010753</v>
      </c>
      <c r="AQ1004" s="192">
        <f t="shared" si="284"/>
        <v>1.810483870967742</v>
      </c>
      <c r="AR1004" s="192">
        <f t="shared" si="285"/>
        <v>2.411290322580645</v>
      </c>
      <c r="AS1004" s="192">
        <f t="shared" si="286"/>
        <v>323.00304749080675</v>
      </c>
      <c r="AT1004" s="192" t="e">
        <f t="shared" ca="1" si="287"/>
        <v>#NAME?</v>
      </c>
      <c r="AU1004" s="192" t="e">
        <f t="shared" ca="1" si="288"/>
        <v>#NAME?</v>
      </c>
      <c r="AW1004" s="192" t="e">
        <f t="shared" ca="1" si="270"/>
        <v>#NAME?</v>
      </c>
      <c r="AX1004" s="192" t="e">
        <f t="shared" ca="1" si="289"/>
        <v>#NAME?</v>
      </c>
    </row>
    <row r="1005" spans="1:50" ht="15.75" customHeight="1" x14ac:dyDescent="0.3">
      <c r="A1005" s="365"/>
      <c r="B1005" s="423" t="s">
        <v>805</v>
      </c>
      <c r="C1005" s="423"/>
      <c r="D1005" s="423"/>
      <c r="E1005" s="423"/>
      <c r="F1005" s="423"/>
      <c r="G1005" s="423"/>
      <c r="H1005" s="423"/>
      <c r="I1005" s="423"/>
      <c r="J1005" s="423"/>
      <c r="K1005" s="423"/>
      <c r="L1005" s="423"/>
      <c r="M1005" s="423"/>
      <c r="N1005" s="423"/>
      <c r="O1005" s="423"/>
      <c r="P1005" s="423"/>
      <c r="Q1005" s="354" t="str">
        <f>+Q1</f>
        <v xml:space="preserve">PRINTED:  </v>
      </c>
      <c r="R1005" s="355">
        <f ca="1">+R1</f>
        <v>44894.658168402777</v>
      </c>
      <c r="AC1005" s="4">
        <v>18</v>
      </c>
      <c r="AD1005" s="192">
        <f t="shared" si="300"/>
        <v>196</v>
      </c>
      <c r="AE1005" s="192">
        <f t="shared" si="272"/>
        <v>20.03494623655914</v>
      </c>
      <c r="AF1005" s="192">
        <f t="shared" si="273"/>
        <v>20.975806451612904</v>
      </c>
      <c r="AG1005" s="192">
        <f t="shared" si="274"/>
        <v>34.26478494623656</v>
      </c>
      <c r="AH1005" s="192">
        <f t="shared" si="275"/>
        <v>1.3457894262906163</v>
      </c>
      <c r="AI1005" s="192">
        <f t="shared" si="276"/>
        <v>11.658602150537634</v>
      </c>
      <c r="AJ1005" s="192">
        <f t="shared" si="277"/>
        <v>6.80510752688172</v>
      </c>
      <c r="AK1005" s="192">
        <f t="shared" si="278"/>
        <v>8.26747311827957</v>
      </c>
      <c r="AL1005" s="192">
        <f t="shared" si="279"/>
        <v>7.6895161290322589</v>
      </c>
      <c r="AM1005" s="192">
        <f t="shared" si="280"/>
        <v>2.3508064516129035</v>
      </c>
      <c r="AN1005" s="192">
        <f t="shared" si="281"/>
        <v>2.7688172043010755</v>
      </c>
      <c r="AO1005" s="192">
        <f t="shared" si="282"/>
        <v>5.600806451612903</v>
      </c>
      <c r="AP1005" s="192">
        <f t="shared" si="283"/>
        <v>1.0188172043010753</v>
      </c>
      <c r="AQ1005" s="192">
        <f t="shared" si="284"/>
        <v>1.810483870967742</v>
      </c>
      <c r="AR1005" s="192">
        <f t="shared" si="285"/>
        <v>2.411290322580645</v>
      </c>
      <c r="AS1005" s="192">
        <f t="shared" si="286"/>
        <v>323.00304749080675</v>
      </c>
      <c r="AT1005" s="192" t="e">
        <f t="shared" ca="1" si="287"/>
        <v>#NAME?</v>
      </c>
      <c r="AU1005" s="192" t="e">
        <f t="shared" ca="1" si="288"/>
        <v>#NAME?</v>
      </c>
      <c r="AW1005" s="192" t="e">
        <f t="shared" ca="1" si="270"/>
        <v>#NAME?</v>
      </c>
      <c r="AX1005" s="192" t="e">
        <f t="shared" ca="1" si="289"/>
        <v>#NAME?</v>
      </c>
    </row>
    <row r="1006" spans="1:50" ht="16.5" customHeight="1" x14ac:dyDescent="0.3">
      <c r="A1006" s="257"/>
      <c r="B1006" s="394" t="str">
        <f>+A8</f>
        <v>Revised:  2/23/2017</v>
      </c>
      <c r="C1006" s="394"/>
      <c r="D1006" s="394"/>
      <c r="E1006" s="394"/>
      <c r="F1006" s="394"/>
      <c r="G1006" s="394"/>
      <c r="H1006" s="394"/>
      <c r="I1006" s="394"/>
      <c r="J1006" s="394"/>
      <c r="K1006" s="394"/>
      <c r="L1006" s="394"/>
      <c r="M1006" s="394"/>
      <c r="N1006" s="394"/>
      <c r="O1006" s="394"/>
      <c r="P1006" s="394"/>
      <c r="R1006" s="304"/>
      <c r="AC1006" s="4">
        <v>19</v>
      </c>
      <c r="AD1006" s="192">
        <f t="shared" si="300"/>
        <v>196</v>
      </c>
      <c r="AE1006" s="192">
        <f t="shared" si="272"/>
        <v>20.03494623655914</v>
      </c>
      <c r="AF1006" s="192">
        <f t="shared" si="273"/>
        <v>20.975806451612904</v>
      </c>
      <c r="AG1006" s="192">
        <f t="shared" si="274"/>
        <v>34.26478494623656</v>
      </c>
      <c r="AH1006" s="192">
        <f t="shared" si="275"/>
        <v>1.3457894262906163</v>
      </c>
      <c r="AI1006" s="192">
        <f t="shared" si="276"/>
        <v>11.658602150537634</v>
      </c>
      <c r="AJ1006" s="192">
        <f t="shared" si="277"/>
        <v>6.80510752688172</v>
      </c>
      <c r="AK1006" s="192">
        <f t="shared" si="278"/>
        <v>8.26747311827957</v>
      </c>
      <c r="AL1006" s="192">
        <f t="shared" si="279"/>
        <v>7.6895161290322589</v>
      </c>
      <c r="AM1006" s="192">
        <f t="shared" si="280"/>
        <v>2.3508064516129035</v>
      </c>
      <c r="AN1006" s="192">
        <f t="shared" si="281"/>
        <v>2.7688172043010755</v>
      </c>
      <c r="AO1006" s="192">
        <f t="shared" si="282"/>
        <v>5.600806451612903</v>
      </c>
      <c r="AP1006" s="192">
        <f t="shared" si="283"/>
        <v>1.0188172043010753</v>
      </c>
      <c r="AQ1006" s="192">
        <f t="shared" si="284"/>
        <v>1.810483870967742</v>
      </c>
      <c r="AR1006" s="192">
        <f t="shared" si="285"/>
        <v>2.411290322580645</v>
      </c>
      <c r="AS1006" s="192">
        <f t="shared" si="286"/>
        <v>323.00304749080675</v>
      </c>
      <c r="AT1006" s="192" t="e">
        <f t="shared" ca="1" si="287"/>
        <v>#NAME?</v>
      </c>
      <c r="AU1006" s="192" t="e">
        <f t="shared" ca="1" si="288"/>
        <v>#NAME?</v>
      </c>
      <c r="AW1006" s="192" t="e">
        <f t="shared" ca="1" si="270"/>
        <v>#NAME?</v>
      </c>
      <c r="AX1006" s="192" t="e">
        <f t="shared" ca="1" si="289"/>
        <v>#NAME?</v>
      </c>
    </row>
    <row r="1007" spans="1:50" ht="16.5" customHeight="1" x14ac:dyDescent="0.3">
      <c r="A1007" s="257"/>
      <c r="B1007" s="394" t="s">
        <v>670</v>
      </c>
      <c r="C1007" s="394"/>
      <c r="D1007" s="394"/>
      <c r="E1007" s="394"/>
      <c r="F1007" s="394"/>
      <c r="G1007" s="394"/>
      <c r="H1007" s="394"/>
      <c r="I1007" s="394"/>
      <c r="J1007" s="394"/>
      <c r="K1007" s="394"/>
      <c r="L1007" s="394"/>
      <c r="M1007" s="394"/>
      <c r="N1007" s="394"/>
      <c r="O1007" s="394"/>
      <c r="P1007" s="394"/>
      <c r="R1007" s="304"/>
      <c r="AC1007" s="4">
        <v>20</v>
      </c>
      <c r="AD1007" s="192">
        <f t="shared" si="300"/>
        <v>196</v>
      </c>
      <c r="AE1007" s="192">
        <f t="shared" si="272"/>
        <v>20.03494623655914</v>
      </c>
      <c r="AF1007" s="192">
        <f t="shared" si="273"/>
        <v>20.975806451612904</v>
      </c>
      <c r="AG1007" s="192">
        <f t="shared" si="274"/>
        <v>34.26478494623656</v>
      </c>
      <c r="AH1007" s="192">
        <f t="shared" si="275"/>
        <v>1.3457894262906163</v>
      </c>
      <c r="AI1007" s="192">
        <f t="shared" si="276"/>
        <v>11.658602150537634</v>
      </c>
      <c r="AJ1007" s="192">
        <f t="shared" si="277"/>
        <v>6.80510752688172</v>
      </c>
      <c r="AK1007" s="192">
        <f t="shared" si="278"/>
        <v>8.26747311827957</v>
      </c>
      <c r="AL1007" s="192">
        <f t="shared" si="279"/>
        <v>7.6895161290322589</v>
      </c>
      <c r="AM1007" s="192">
        <f t="shared" si="280"/>
        <v>2.3508064516129035</v>
      </c>
      <c r="AN1007" s="192">
        <f t="shared" si="281"/>
        <v>2.7688172043010755</v>
      </c>
      <c r="AO1007" s="192">
        <f t="shared" si="282"/>
        <v>5.600806451612903</v>
      </c>
      <c r="AP1007" s="192">
        <f t="shared" si="283"/>
        <v>1.0188172043010753</v>
      </c>
      <c r="AQ1007" s="192">
        <f t="shared" si="284"/>
        <v>1.810483870967742</v>
      </c>
      <c r="AR1007" s="192">
        <f t="shared" si="285"/>
        <v>2.411290322580645</v>
      </c>
      <c r="AS1007" s="192">
        <f t="shared" si="286"/>
        <v>323.00304749080675</v>
      </c>
      <c r="AT1007" s="192" t="e">
        <f t="shared" ca="1" si="287"/>
        <v>#NAME?</v>
      </c>
      <c r="AU1007" s="192" t="e">
        <f t="shared" ca="1" si="288"/>
        <v>#NAME?</v>
      </c>
      <c r="AW1007" s="192" t="e">
        <f t="shared" ca="1" si="270"/>
        <v>#NAME?</v>
      </c>
      <c r="AX1007" s="192" t="e">
        <f t="shared" ca="1" si="289"/>
        <v>#NAME?</v>
      </c>
    </row>
    <row r="1008" spans="1:50" ht="16.5" customHeight="1" x14ac:dyDescent="0.3">
      <c r="A1008" s="257"/>
      <c r="B1008" s="180"/>
      <c r="C1008" s="180"/>
      <c r="D1008" s="180"/>
      <c r="E1008" s="180"/>
      <c r="F1008" s="180"/>
      <c r="G1008" s="180"/>
      <c r="H1008" s="180"/>
      <c r="I1008" s="180"/>
      <c r="J1008" s="180"/>
      <c r="K1008" s="180"/>
      <c r="L1008" s="180"/>
      <c r="M1008" s="180"/>
      <c r="N1008" s="180"/>
      <c r="O1008" s="180"/>
      <c r="P1008" s="180"/>
      <c r="R1008" s="304"/>
      <c r="AC1008" s="4">
        <v>21</v>
      </c>
      <c r="AD1008" s="192">
        <f>IF($AF$985=1,VLOOKUP($AD$985,$A$1015:$P$1026,12,FALSE),VLOOKUP($AD$985,$A$988:$S$999,3,FALSE))</f>
        <v>196</v>
      </c>
      <c r="AE1008" s="192">
        <f t="shared" si="272"/>
        <v>20.03494623655914</v>
      </c>
      <c r="AF1008" s="192">
        <f t="shared" si="273"/>
        <v>20.975806451612904</v>
      </c>
      <c r="AG1008" s="192">
        <f t="shared" si="274"/>
        <v>34.26478494623656</v>
      </c>
      <c r="AH1008" s="192">
        <f t="shared" si="275"/>
        <v>1.3457894262906163</v>
      </c>
      <c r="AI1008" s="192">
        <f t="shared" si="276"/>
        <v>11.658602150537634</v>
      </c>
      <c r="AJ1008" s="192">
        <f t="shared" si="277"/>
        <v>6.80510752688172</v>
      </c>
      <c r="AK1008" s="192">
        <f t="shared" si="278"/>
        <v>8.26747311827957</v>
      </c>
      <c r="AL1008" s="192">
        <f t="shared" si="279"/>
        <v>7.6895161290322589</v>
      </c>
      <c r="AM1008" s="192">
        <f t="shared" si="280"/>
        <v>2.3508064516129035</v>
      </c>
      <c r="AN1008" s="192">
        <f t="shared" si="281"/>
        <v>2.7688172043010755</v>
      </c>
      <c r="AO1008" s="192">
        <f t="shared" si="282"/>
        <v>5.600806451612903</v>
      </c>
      <c r="AP1008" s="192">
        <f t="shared" si="283"/>
        <v>1.0188172043010753</v>
      </c>
      <c r="AQ1008" s="192">
        <f t="shared" si="284"/>
        <v>1.810483870967742</v>
      </c>
      <c r="AR1008" s="192">
        <f t="shared" si="285"/>
        <v>2.411290322580645</v>
      </c>
      <c r="AS1008" s="192">
        <f t="shared" si="286"/>
        <v>323.00304749080675</v>
      </c>
      <c r="AT1008" s="192" t="e">
        <f t="shared" ca="1" si="287"/>
        <v>#NAME?</v>
      </c>
      <c r="AU1008" s="192" t="e">
        <f t="shared" ca="1" si="288"/>
        <v>#NAME?</v>
      </c>
      <c r="AW1008" s="192" t="e">
        <f t="shared" ca="1" si="270"/>
        <v>#NAME?</v>
      </c>
      <c r="AX1008" s="192" t="e">
        <f t="shared" ca="1" si="289"/>
        <v>#NAME?</v>
      </c>
    </row>
    <row r="1009" spans="1:50" ht="16.5" customHeight="1" x14ac:dyDescent="0.3">
      <c r="A1009" s="257"/>
      <c r="B1009" s="415">
        <f>+A5</f>
        <v>2016</v>
      </c>
      <c r="C1009" s="395"/>
      <c r="D1009" s="395"/>
      <c r="E1009" s="395"/>
      <c r="F1009" s="395"/>
      <c r="G1009" s="395"/>
      <c r="H1009" s="395"/>
      <c r="I1009" s="395"/>
      <c r="J1009" s="395"/>
      <c r="K1009" s="395"/>
      <c r="L1009" s="395"/>
      <c r="M1009" s="395"/>
      <c r="N1009" s="395"/>
      <c r="O1009" s="395"/>
      <c r="P1009" s="395"/>
      <c r="R1009" s="304"/>
      <c r="AC1009" s="4">
        <v>22</v>
      </c>
      <c r="AD1009" s="192">
        <f>IF($AF$985=1,VLOOKUP($AD$985,$A$1015:$P$1026,12,FALSE),VLOOKUP($AD$985,$A$988:$S$999,3,FALSE))</f>
        <v>196</v>
      </c>
      <c r="AE1009" s="192">
        <f t="shared" si="272"/>
        <v>20.03494623655914</v>
      </c>
      <c r="AF1009" s="192">
        <f t="shared" si="273"/>
        <v>20.975806451612904</v>
      </c>
      <c r="AG1009" s="192">
        <f t="shared" si="274"/>
        <v>34.26478494623656</v>
      </c>
      <c r="AH1009" s="192">
        <f t="shared" si="275"/>
        <v>1.3457894262906163</v>
      </c>
      <c r="AI1009" s="192">
        <f t="shared" si="276"/>
        <v>11.658602150537634</v>
      </c>
      <c r="AJ1009" s="192">
        <f t="shared" si="277"/>
        <v>6.80510752688172</v>
      </c>
      <c r="AK1009" s="192">
        <f t="shared" si="278"/>
        <v>8.26747311827957</v>
      </c>
      <c r="AL1009" s="192">
        <f t="shared" si="279"/>
        <v>7.6895161290322589</v>
      </c>
      <c r="AM1009" s="192">
        <f t="shared" si="280"/>
        <v>2.3508064516129035</v>
      </c>
      <c r="AN1009" s="192">
        <f t="shared" si="281"/>
        <v>2.7688172043010755</v>
      </c>
      <c r="AO1009" s="192">
        <f t="shared" si="282"/>
        <v>5.600806451612903</v>
      </c>
      <c r="AP1009" s="192">
        <f t="shared" si="283"/>
        <v>1.0188172043010753</v>
      </c>
      <c r="AQ1009" s="192">
        <f t="shared" si="284"/>
        <v>1.810483870967742</v>
      </c>
      <c r="AR1009" s="192">
        <f t="shared" si="285"/>
        <v>2.411290322580645</v>
      </c>
      <c r="AS1009" s="192">
        <f t="shared" si="286"/>
        <v>323.00304749080675</v>
      </c>
      <c r="AT1009" s="192" t="e">
        <f t="shared" ca="1" si="287"/>
        <v>#NAME?</v>
      </c>
      <c r="AU1009" s="192" t="e">
        <f t="shared" ca="1" si="288"/>
        <v>#NAME?</v>
      </c>
      <c r="AW1009" s="192" t="e">
        <f t="shared" ca="1" si="270"/>
        <v>#NAME?</v>
      </c>
      <c r="AX1009" s="192" t="e">
        <f t="shared" ca="1" si="289"/>
        <v>#NAME?</v>
      </c>
    </row>
    <row r="1010" spans="1:50" ht="15.75" customHeight="1" x14ac:dyDescent="0.3">
      <c r="A1010" s="257"/>
      <c r="B1010" s="394" t="s">
        <v>708</v>
      </c>
      <c r="C1010" s="394"/>
      <c r="D1010" s="394"/>
      <c r="E1010" s="394"/>
      <c r="F1010" s="394"/>
      <c r="G1010" s="394"/>
      <c r="H1010" s="394"/>
      <c r="I1010" s="394"/>
      <c r="J1010" s="394"/>
      <c r="K1010" s="394"/>
      <c r="L1010" s="394"/>
      <c r="M1010" s="394"/>
      <c r="N1010" s="394"/>
      <c r="O1010" s="394"/>
      <c r="P1010" s="394"/>
      <c r="R1010" s="304"/>
      <c r="AC1010" s="4">
        <v>23</v>
      </c>
      <c r="AD1010" s="192">
        <f>IF($AF$985=1,VLOOKUP($AD$985,$A$1015:$P$1026,12,FALSE),IF(OR($AD$985="JAN",$AD$985="FEB",$AD$985="NOV",$AD$985="DEC"),VLOOKUP($AD$985,$A$988:$S$999,3,FALSE),VLOOKUP($AD$985,$A$988:$S$999,2,FALSE)))</f>
        <v>294</v>
      </c>
      <c r="AE1010" s="192">
        <f t="shared" si="272"/>
        <v>20.03494623655914</v>
      </c>
      <c r="AF1010" s="192">
        <f t="shared" si="273"/>
        <v>20.975806451612904</v>
      </c>
      <c r="AG1010" s="192">
        <f t="shared" si="274"/>
        <v>34.26478494623656</v>
      </c>
      <c r="AH1010" s="192">
        <f t="shared" si="275"/>
        <v>1.3457894262906163</v>
      </c>
      <c r="AI1010" s="192">
        <f t="shared" si="276"/>
        <v>11.658602150537634</v>
      </c>
      <c r="AJ1010" s="192">
        <f t="shared" si="277"/>
        <v>6.80510752688172</v>
      </c>
      <c r="AK1010" s="192">
        <f t="shared" si="278"/>
        <v>8.26747311827957</v>
      </c>
      <c r="AL1010" s="192">
        <f t="shared" si="279"/>
        <v>7.6895161290322589</v>
      </c>
      <c r="AM1010" s="192">
        <f t="shared" si="280"/>
        <v>2.3508064516129035</v>
      </c>
      <c r="AN1010" s="192">
        <f t="shared" si="281"/>
        <v>2.7688172043010755</v>
      </c>
      <c r="AO1010" s="192">
        <f t="shared" si="282"/>
        <v>5.600806451612903</v>
      </c>
      <c r="AP1010" s="192">
        <f t="shared" si="283"/>
        <v>1.0188172043010753</v>
      </c>
      <c r="AQ1010" s="192">
        <f t="shared" si="284"/>
        <v>1.810483870967742</v>
      </c>
      <c r="AR1010" s="192">
        <f t="shared" si="285"/>
        <v>2.411290322580645</v>
      </c>
      <c r="AS1010" s="192">
        <f t="shared" si="286"/>
        <v>421.00304749080681</v>
      </c>
      <c r="AT1010" s="192" t="e">
        <f t="shared" ca="1" si="287"/>
        <v>#NAME?</v>
      </c>
      <c r="AU1010" s="192" t="e">
        <f t="shared" ca="1" si="288"/>
        <v>#NAME?</v>
      </c>
      <c r="AW1010" s="192" t="e">
        <f t="shared" ca="1" si="270"/>
        <v>#NAME?</v>
      </c>
      <c r="AX1010" s="192" t="e">
        <f t="shared" ca="1" si="289"/>
        <v>#NAME?</v>
      </c>
    </row>
    <row r="1011" spans="1:50" ht="15.75" customHeight="1" thickBot="1" x14ac:dyDescent="0.35">
      <c r="A1011" s="257"/>
      <c r="R1011" s="304"/>
      <c r="AC1011" s="4">
        <v>24</v>
      </c>
      <c r="AD1011" s="192">
        <f>IF($AF$985=1,VLOOKUP($AD$985,$A$1015:$P$1026,12,FALSE),VLOOKUP($AD$985,$A$988:$S$999,2,FALSE))</f>
        <v>294</v>
      </c>
      <c r="AE1011" s="192">
        <f t="shared" si="272"/>
        <v>20.03494623655914</v>
      </c>
      <c r="AF1011" s="192">
        <f t="shared" si="273"/>
        <v>20.975806451612904</v>
      </c>
      <c r="AG1011" s="192">
        <f t="shared" si="274"/>
        <v>34.26478494623656</v>
      </c>
      <c r="AH1011" s="192">
        <f t="shared" si="275"/>
        <v>1.3457894262906163</v>
      </c>
      <c r="AI1011" s="192">
        <f t="shared" si="276"/>
        <v>11.658602150537634</v>
      </c>
      <c r="AJ1011" s="192">
        <f t="shared" si="277"/>
        <v>6.80510752688172</v>
      </c>
      <c r="AK1011" s="192">
        <f t="shared" si="278"/>
        <v>8.26747311827957</v>
      </c>
      <c r="AL1011" s="192">
        <f t="shared" si="279"/>
        <v>7.6895161290322589</v>
      </c>
      <c r="AM1011" s="192">
        <f t="shared" si="280"/>
        <v>2.3508064516129035</v>
      </c>
      <c r="AN1011" s="192">
        <f t="shared" si="281"/>
        <v>2.7688172043010755</v>
      </c>
      <c r="AO1011" s="192">
        <f t="shared" si="282"/>
        <v>5.600806451612903</v>
      </c>
      <c r="AP1011" s="192">
        <f t="shared" si="283"/>
        <v>1.0188172043010753</v>
      </c>
      <c r="AQ1011" s="192">
        <f t="shared" si="284"/>
        <v>1.810483870967742</v>
      </c>
      <c r="AR1011" s="192">
        <f t="shared" si="285"/>
        <v>2.411290322580645</v>
      </c>
      <c r="AS1011" s="192">
        <f t="shared" si="286"/>
        <v>421.00304749080681</v>
      </c>
      <c r="AT1011" s="192" t="e">
        <f t="shared" ca="1" si="287"/>
        <v>#NAME?</v>
      </c>
      <c r="AU1011" s="192" t="e">
        <f t="shared" ca="1" si="288"/>
        <v>#NAME?</v>
      </c>
      <c r="AW1011" s="192" t="e">
        <f t="shared" ca="1" si="270"/>
        <v>#NAME?</v>
      </c>
      <c r="AX1011" s="192" t="e">
        <f t="shared" ca="1" si="289"/>
        <v>#NAME?</v>
      </c>
    </row>
    <row r="1012" spans="1:50" ht="15.75" customHeight="1" x14ac:dyDescent="0.3">
      <c r="A1012" s="257"/>
      <c r="B1012" s="435" t="s">
        <v>806</v>
      </c>
      <c r="C1012" s="436"/>
      <c r="D1012" s="436"/>
      <c r="E1012" s="436"/>
      <c r="F1012" s="436"/>
      <c r="G1012" s="436"/>
      <c r="H1012" s="436"/>
      <c r="I1012" s="436"/>
      <c r="J1012" s="436"/>
      <c r="K1012" s="436"/>
      <c r="L1012" s="437"/>
      <c r="M1012" s="438" t="s">
        <v>807</v>
      </c>
      <c r="N1012" s="436"/>
      <c r="O1012" s="436"/>
      <c r="P1012" s="436"/>
      <c r="Q1012" s="192" t="s">
        <v>808</v>
      </c>
      <c r="R1012" s="312" t="s">
        <v>809</v>
      </c>
      <c r="AC1012" s="4" t="s">
        <v>641</v>
      </c>
      <c r="AD1012" s="192">
        <f>SUM(AD988:AD1011)</f>
        <v>5488</v>
      </c>
      <c r="AE1012" s="192">
        <f>SUM(AE988:AE1011)</f>
        <v>480.83870967741962</v>
      </c>
      <c r="AF1012" s="192">
        <f t="shared" ref="AF1012:AW1012" si="301">SUM(AF988:AF1011)</f>
        <v>503.41935483870986</v>
      </c>
      <c r="AG1012" s="192">
        <f t="shared" si="301"/>
        <v>822.35483870967721</v>
      </c>
      <c r="AH1012" s="192">
        <f t="shared" si="301"/>
        <v>32.298946230974785</v>
      </c>
      <c r="AI1012" s="192">
        <f t="shared" si="301"/>
        <v>279.80645161290329</v>
      </c>
      <c r="AJ1012" s="192">
        <f t="shared" si="301"/>
        <v>163.32258064516137</v>
      </c>
      <c r="AK1012" s="192">
        <f t="shared" si="301"/>
        <v>198.41935483870978</v>
      </c>
      <c r="AL1012" s="192">
        <f t="shared" si="301"/>
        <v>184.54838709677418</v>
      </c>
      <c r="AM1012" s="192">
        <f t="shared" si="301"/>
        <v>56.419354838709687</v>
      </c>
      <c r="AN1012" s="192">
        <f t="shared" si="301"/>
        <v>66.451612903225779</v>
      </c>
      <c r="AO1012" s="192">
        <f t="shared" si="301"/>
        <v>134.41935483870961</v>
      </c>
      <c r="AP1012" s="192">
        <f t="shared" si="301"/>
        <v>24.451612903225815</v>
      </c>
      <c r="AQ1012" s="192">
        <f t="shared" si="301"/>
        <v>43.451612903225836</v>
      </c>
      <c r="AR1012" s="192">
        <f t="shared" si="301"/>
        <v>57.870967741935502</v>
      </c>
      <c r="AS1012" s="192">
        <f t="shared" si="301"/>
        <v>8536.0731397793661</v>
      </c>
      <c r="AT1012" s="192" t="e">
        <f t="shared" ca="1" si="301"/>
        <v>#NAME?</v>
      </c>
      <c r="AU1012" s="192" t="e">
        <f t="shared" ca="1" si="301"/>
        <v>#NAME?</v>
      </c>
      <c r="AW1012" s="192" t="e">
        <f t="shared" ca="1" si="301"/>
        <v>#NAME?</v>
      </c>
      <c r="AX1012" s="192">
        <f ca="1">SUMIF(AX988:AX1011,"&gt;0")</f>
        <v>0</v>
      </c>
    </row>
    <row r="1013" spans="1:50" ht="15.75" customHeight="1" thickBot="1" x14ac:dyDescent="0.35">
      <c r="A1013" s="257" t="s">
        <v>768</v>
      </c>
      <c r="B1013" s="274" t="s">
        <v>811</v>
      </c>
      <c r="C1013" s="275" t="s">
        <v>791</v>
      </c>
      <c r="D1013" s="275" t="s">
        <v>792</v>
      </c>
      <c r="E1013" s="275" t="s">
        <v>812</v>
      </c>
      <c r="F1013" s="275" t="s">
        <v>791</v>
      </c>
      <c r="G1013" s="275" t="s">
        <v>792</v>
      </c>
      <c r="H1013" s="275" t="s">
        <v>793</v>
      </c>
      <c r="I1013" s="275" t="s">
        <v>791</v>
      </c>
      <c r="J1013" s="275" t="s">
        <v>792</v>
      </c>
      <c r="K1013" s="275" t="s">
        <v>793</v>
      </c>
      <c r="L1013" s="276" t="s">
        <v>813</v>
      </c>
      <c r="M1013" s="274" t="s">
        <v>814</v>
      </c>
      <c r="N1013" s="275" t="s">
        <v>791</v>
      </c>
      <c r="O1013" s="275" t="s">
        <v>791</v>
      </c>
      <c r="P1013" s="276" t="s">
        <v>813</v>
      </c>
      <c r="Q1013" s="277" t="s">
        <v>641</v>
      </c>
      <c r="R1013" s="313" t="s">
        <v>815</v>
      </c>
      <c r="S1013" s="192"/>
      <c r="AU1013" s="192"/>
      <c r="AW1013" s="192"/>
      <c r="AX1013" s="192"/>
    </row>
    <row r="1014" spans="1:50" ht="15.75" customHeight="1" thickTop="1" x14ac:dyDescent="0.3">
      <c r="A1014" s="257"/>
      <c r="B1014" s="279"/>
      <c r="C1014" s="280" t="s">
        <v>817</v>
      </c>
      <c r="D1014" s="280" t="s">
        <v>817</v>
      </c>
      <c r="E1014" s="280" t="s">
        <v>817</v>
      </c>
      <c r="F1014" s="281" t="s">
        <v>779</v>
      </c>
      <c r="G1014" s="281" t="s">
        <v>779</v>
      </c>
      <c r="H1014" s="281" t="s">
        <v>779</v>
      </c>
      <c r="I1014" s="281" t="s">
        <v>818</v>
      </c>
      <c r="J1014" s="281" t="s">
        <v>818</v>
      </c>
      <c r="K1014" s="281" t="s">
        <v>818</v>
      </c>
      <c r="L1014" s="314" t="s">
        <v>819</v>
      </c>
      <c r="M1014" s="283"/>
      <c r="N1014" s="280" t="s">
        <v>817</v>
      </c>
      <c r="O1014" s="281" t="s">
        <v>779</v>
      </c>
      <c r="P1014" s="314" t="s">
        <v>818</v>
      </c>
      <c r="Q1014" s="277" t="s">
        <v>818</v>
      </c>
      <c r="R1014" s="313" t="s">
        <v>818</v>
      </c>
      <c r="S1014" s="192"/>
    </row>
    <row r="1015" spans="1:50" ht="15.75" customHeight="1" x14ac:dyDescent="0.3">
      <c r="A1015" s="257" t="s">
        <v>8</v>
      </c>
      <c r="B1015" s="211" t="e">
        <f ca="1">+$B$10-M1015</f>
        <v>#NAME?</v>
      </c>
      <c r="C1015" s="284">
        <v>5</v>
      </c>
      <c r="D1015" s="284">
        <v>0</v>
      </c>
      <c r="E1015" s="284" t="s">
        <v>803</v>
      </c>
      <c r="F1015" s="192">
        <f t="shared" ref="F1015:H1026" si="302">+I1015/8</f>
        <v>245</v>
      </c>
      <c r="G1015" s="192">
        <f>+J1015/16</f>
        <v>0</v>
      </c>
      <c r="H1015" s="192" t="s">
        <v>803</v>
      </c>
      <c r="I1015" s="192">
        <f t="shared" ref="I1015:K1026" si="303">+C1015*49*8</f>
        <v>1960</v>
      </c>
      <c r="J1015" s="192">
        <f>+D1015*49*16</f>
        <v>0</v>
      </c>
      <c r="K1015" s="192" t="s">
        <v>803</v>
      </c>
      <c r="L1015" s="312">
        <f t="shared" ref="L1015:L1026" si="304">+J1015+I1015</f>
        <v>1960</v>
      </c>
      <c r="M1015" s="211" t="e">
        <f ca="1">SUMPRODUCT(--(WEEKDAY(ROW(INDIRECT(DATE($B$1009,MonthFromText(A1015),1)&amp;":"&amp;DATE($B$1009,MonthFromText(A1015),$B$10))),1)=1))</f>
        <v>#NAME?</v>
      </c>
      <c r="N1015" s="284">
        <v>5</v>
      </c>
      <c r="O1015" s="4">
        <f t="shared" ref="O1015:O1026" si="305">+P1015/24</f>
        <v>245</v>
      </c>
      <c r="P1015" s="312">
        <f t="shared" ref="P1015:P1026" si="306">+N1015*49*24</f>
        <v>5880</v>
      </c>
      <c r="Q1015" s="192" t="e">
        <f t="shared" ref="Q1015:Q1026" ca="1" si="307">+(L1015*B1015)+(M1015*P1015)</f>
        <v>#NAME?</v>
      </c>
      <c r="R1015" s="312" t="e">
        <f t="shared" ref="R1015:R1026" ca="1" si="308">+Q1015-B908</f>
        <v>#NAME?</v>
      </c>
      <c r="S1015" s="192"/>
    </row>
    <row r="1016" spans="1:50" ht="15.75" customHeight="1" x14ac:dyDescent="0.3">
      <c r="A1016" s="257" t="s">
        <v>9</v>
      </c>
      <c r="B1016" s="211" t="e">
        <f ca="1">+$C$10-M1016</f>
        <v>#NAME?</v>
      </c>
      <c r="C1016" s="284">
        <v>6</v>
      </c>
      <c r="D1016" s="284">
        <v>3</v>
      </c>
      <c r="E1016" s="284" t="s">
        <v>803</v>
      </c>
      <c r="F1016" s="192">
        <f t="shared" si="302"/>
        <v>294</v>
      </c>
      <c r="G1016" s="192">
        <f>+J1016/16</f>
        <v>147</v>
      </c>
      <c r="H1016" s="192" t="s">
        <v>803</v>
      </c>
      <c r="I1016" s="192">
        <f t="shared" si="303"/>
        <v>2352</v>
      </c>
      <c r="J1016" s="192">
        <f>+D1016*49*16</f>
        <v>2352</v>
      </c>
      <c r="K1016" s="192" t="s">
        <v>803</v>
      </c>
      <c r="L1016" s="312">
        <f t="shared" si="304"/>
        <v>4704</v>
      </c>
      <c r="M1016" s="211" t="e">
        <f ca="1">SUMPRODUCT(--(WEEKDAY(ROW(INDIRECT(DATE($B$1009,MonthFromText(A1016),1)&amp;":"&amp;DATE($B$1009,MonthFromText(A1016),$C$10))),1)=1))</f>
        <v>#NAME?</v>
      </c>
      <c r="N1016" s="284">
        <v>6</v>
      </c>
      <c r="O1016" s="4">
        <f t="shared" si="305"/>
        <v>294</v>
      </c>
      <c r="P1016" s="312">
        <f t="shared" si="306"/>
        <v>7056</v>
      </c>
      <c r="Q1016" s="192" t="e">
        <f t="shared" ca="1" si="307"/>
        <v>#NAME?</v>
      </c>
      <c r="R1016" s="312" t="e">
        <f t="shared" ca="1" si="308"/>
        <v>#NAME?</v>
      </c>
      <c r="S1016" s="192"/>
    </row>
    <row r="1017" spans="1:50" ht="16.5" customHeight="1" x14ac:dyDescent="0.3">
      <c r="A1017" s="257" t="s">
        <v>10</v>
      </c>
      <c r="B1017" s="211" t="e">
        <f ca="1">+$D$10-M1017</f>
        <v>#NAME?</v>
      </c>
      <c r="C1017" s="284">
        <v>6</v>
      </c>
      <c r="D1017" s="284">
        <v>4</v>
      </c>
      <c r="E1017" s="284" t="s">
        <v>803</v>
      </c>
      <c r="F1017" s="192">
        <f t="shared" si="302"/>
        <v>294</v>
      </c>
      <c r="G1017" s="192">
        <f>+J1017/16</f>
        <v>196</v>
      </c>
      <c r="H1017" s="192" t="s">
        <v>803</v>
      </c>
      <c r="I1017" s="192">
        <f t="shared" si="303"/>
        <v>2352</v>
      </c>
      <c r="J1017" s="192">
        <f>+D1017*49*16</f>
        <v>3136</v>
      </c>
      <c r="K1017" s="192" t="s">
        <v>803</v>
      </c>
      <c r="L1017" s="312">
        <f t="shared" si="304"/>
        <v>5488</v>
      </c>
      <c r="M1017" s="211" t="e">
        <f ca="1">SUMPRODUCT(--(WEEKDAY(ROW(INDIRECT(DATE($B$1009,MonthFromText(A1017),1)&amp;":"&amp;DATE($B$1009,MonthFromText(A1017),$D$10))),1)=1))</f>
        <v>#NAME?</v>
      </c>
      <c r="N1017" s="284">
        <v>6</v>
      </c>
      <c r="O1017" s="4">
        <f t="shared" si="305"/>
        <v>294</v>
      </c>
      <c r="P1017" s="312">
        <f t="shared" si="306"/>
        <v>7056</v>
      </c>
      <c r="Q1017" s="192" t="e">
        <f t="shared" ca="1" si="307"/>
        <v>#NAME?</v>
      </c>
      <c r="R1017" s="312" t="e">
        <f t="shared" ca="1" si="308"/>
        <v>#NAME?</v>
      </c>
      <c r="S1017" s="192"/>
    </row>
    <row r="1018" spans="1:50" ht="16.5" customHeight="1" x14ac:dyDescent="0.3">
      <c r="A1018" s="257" t="s">
        <v>12</v>
      </c>
      <c r="B1018" s="211" t="e">
        <f ca="1">+$F$10-M1018</f>
        <v>#NAME?</v>
      </c>
      <c r="C1018" s="284">
        <v>6</v>
      </c>
      <c r="D1018" s="284">
        <v>4</v>
      </c>
      <c r="E1018" s="284" t="s">
        <v>803</v>
      </c>
      <c r="F1018" s="192">
        <f t="shared" si="302"/>
        <v>294</v>
      </c>
      <c r="G1018" s="192">
        <f>+J1018/16</f>
        <v>196</v>
      </c>
      <c r="H1018" s="192" t="s">
        <v>803</v>
      </c>
      <c r="I1018" s="192">
        <f t="shared" si="303"/>
        <v>2352</v>
      </c>
      <c r="J1018" s="192">
        <f>+D1018*49*16</f>
        <v>3136</v>
      </c>
      <c r="K1018" s="192" t="s">
        <v>803</v>
      </c>
      <c r="L1018" s="312">
        <f t="shared" si="304"/>
        <v>5488</v>
      </c>
      <c r="M1018" s="211" t="e">
        <f ca="1">SUMPRODUCT(--(WEEKDAY(ROW(INDIRECT(DATE($B$1009,MonthFromText(A1018),1)&amp;":"&amp;DATE($B$1009,MonthFromText(A1018),$F$10))),1)=1))</f>
        <v>#NAME?</v>
      </c>
      <c r="N1018" s="284">
        <v>6</v>
      </c>
      <c r="O1018" s="4">
        <f t="shared" si="305"/>
        <v>294</v>
      </c>
      <c r="P1018" s="312">
        <f t="shared" si="306"/>
        <v>7056</v>
      </c>
      <c r="Q1018" s="192" t="e">
        <f t="shared" ca="1" si="307"/>
        <v>#NAME?</v>
      </c>
      <c r="R1018" s="312" t="e">
        <f t="shared" ca="1" si="308"/>
        <v>#NAME?</v>
      </c>
      <c r="S1018" s="192"/>
    </row>
    <row r="1019" spans="1:50" ht="15.75" customHeight="1" x14ac:dyDescent="0.3">
      <c r="A1019" s="257" t="s">
        <v>13</v>
      </c>
      <c r="B1019" s="211" t="e">
        <f ca="1">+$G$10-M1019</f>
        <v>#NAME?</v>
      </c>
      <c r="C1019" s="284">
        <v>6</v>
      </c>
      <c r="D1019" s="284">
        <v>4</v>
      </c>
      <c r="E1019" s="284" t="s">
        <v>803</v>
      </c>
      <c r="F1019" s="192">
        <f t="shared" si="302"/>
        <v>294</v>
      </c>
      <c r="G1019" s="192">
        <f>+J1019/16</f>
        <v>196</v>
      </c>
      <c r="H1019" s="192" t="s">
        <v>803</v>
      </c>
      <c r="I1019" s="192">
        <f t="shared" si="303"/>
        <v>2352</v>
      </c>
      <c r="J1019" s="192">
        <f>+D1019*49*16</f>
        <v>3136</v>
      </c>
      <c r="K1019" s="192" t="s">
        <v>803</v>
      </c>
      <c r="L1019" s="312">
        <f t="shared" si="304"/>
        <v>5488</v>
      </c>
      <c r="M1019" s="211" t="e">
        <f ca="1">SUMPRODUCT(--(WEEKDAY(ROW(INDIRECT(DATE($B$1009,MonthFromText(A1019),1)&amp;":"&amp;DATE($B$1009,MonthFromText(A1019),$G$10))),1)=1))</f>
        <v>#NAME?</v>
      </c>
      <c r="N1019" s="284">
        <v>6</v>
      </c>
      <c r="O1019" s="4">
        <f t="shared" si="305"/>
        <v>294</v>
      </c>
      <c r="P1019" s="312">
        <f t="shared" si="306"/>
        <v>7056</v>
      </c>
      <c r="Q1019" s="192" t="e">
        <f t="shared" ca="1" si="307"/>
        <v>#NAME?</v>
      </c>
      <c r="R1019" s="312" t="e">
        <f t="shared" ca="1" si="308"/>
        <v>#NAME?</v>
      </c>
      <c r="S1019" s="192"/>
    </row>
    <row r="1020" spans="1:50" ht="15.75" customHeight="1" x14ac:dyDescent="0.3">
      <c r="A1020" s="257" t="s">
        <v>14</v>
      </c>
      <c r="B1020" s="211" t="e">
        <f ca="1">+$H$10-M1020</f>
        <v>#NAME?</v>
      </c>
      <c r="C1020" s="284">
        <v>6</v>
      </c>
      <c r="D1020" s="284">
        <v>2</v>
      </c>
      <c r="E1020" s="284">
        <v>0</v>
      </c>
      <c r="F1020" s="192">
        <f t="shared" si="302"/>
        <v>294</v>
      </c>
      <c r="G1020" s="192">
        <f t="shared" si="302"/>
        <v>98</v>
      </c>
      <c r="H1020" s="192">
        <f t="shared" si="302"/>
        <v>0</v>
      </c>
      <c r="I1020" s="192">
        <f t="shared" si="303"/>
        <v>2352</v>
      </c>
      <c r="J1020" s="192">
        <f t="shared" si="303"/>
        <v>784</v>
      </c>
      <c r="K1020" s="192">
        <f t="shared" si="303"/>
        <v>0</v>
      </c>
      <c r="L1020" s="312">
        <f t="shared" si="304"/>
        <v>3136</v>
      </c>
      <c r="M1020" s="211" t="e">
        <f ca="1">SUMPRODUCT(--(WEEKDAY(ROW(INDIRECT(DATE($B$1009,MonthFromText(A1020),1)&amp;":"&amp;DATE($B$1009,MonthFromText(A1020),$H$10))),1)=1))</f>
        <v>#NAME?</v>
      </c>
      <c r="N1020" s="284">
        <v>5</v>
      </c>
      <c r="O1020" s="4">
        <f t="shared" si="305"/>
        <v>245</v>
      </c>
      <c r="P1020" s="312">
        <f t="shared" si="306"/>
        <v>5880</v>
      </c>
      <c r="Q1020" s="192" t="e">
        <f t="shared" ca="1" si="307"/>
        <v>#NAME?</v>
      </c>
      <c r="R1020" s="312" t="e">
        <f t="shared" ca="1" si="308"/>
        <v>#NAME?</v>
      </c>
      <c r="S1020" s="192"/>
    </row>
    <row r="1021" spans="1:50" ht="15.75" customHeight="1" x14ac:dyDescent="0.3">
      <c r="A1021" s="257" t="s">
        <v>16</v>
      </c>
      <c r="B1021" s="211" t="e">
        <f ca="1">+$J$10-M1021</f>
        <v>#NAME?</v>
      </c>
      <c r="C1021" s="284">
        <v>3</v>
      </c>
      <c r="D1021" s="284">
        <v>2</v>
      </c>
      <c r="E1021" s="284">
        <v>0</v>
      </c>
      <c r="F1021" s="192">
        <f t="shared" si="302"/>
        <v>147</v>
      </c>
      <c r="G1021" s="192">
        <f t="shared" si="302"/>
        <v>98</v>
      </c>
      <c r="H1021" s="192">
        <f t="shared" si="302"/>
        <v>0</v>
      </c>
      <c r="I1021" s="192">
        <f t="shared" si="303"/>
        <v>1176</v>
      </c>
      <c r="J1021" s="192">
        <f t="shared" si="303"/>
        <v>784</v>
      </c>
      <c r="K1021" s="192">
        <f t="shared" si="303"/>
        <v>0</v>
      </c>
      <c r="L1021" s="312">
        <f t="shared" si="304"/>
        <v>1960</v>
      </c>
      <c r="M1021" s="211" t="e">
        <f ca="1">SUMPRODUCT(--(WEEKDAY(ROW(INDIRECT(DATE($B$1009,MonthFromText(A1021),1)&amp;":"&amp;DATE($B$1009,MonthFromText(A1021),$J$10))),1)=1))</f>
        <v>#NAME?</v>
      </c>
      <c r="N1021" s="284">
        <v>3</v>
      </c>
      <c r="O1021" s="4">
        <f t="shared" si="305"/>
        <v>147</v>
      </c>
      <c r="P1021" s="312">
        <f t="shared" si="306"/>
        <v>3528</v>
      </c>
      <c r="Q1021" s="192" t="e">
        <f t="shared" ca="1" si="307"/>
        <v>#NAME?</v>
      </c>
      <c r="R1021" s="312" t="e">
        <f t="shared" ca="1" si="308"/>
        <v>#NAME?</v>
      </c>
      <c r="S1021" s="192"/>
    </row>
    <row r="1022" spans="1:50" ht="15.75" customHeight="1" x14ac:dyDescent="0.3">
      <c r="A1022" s="257" t="s">
        <v>17</v>
      </c>
      <c r="B1022" s="211" t="e">
        <f ca="1">+$K$10-M1022</f>
        <v>#NAME?</v>
      </c>
      <c r="C1022" s="284">
        <v>3</v>
      </c>
      <c r="D1022" s="284">
        <v>2</v>
      </c>
      <c r="E1022" s="284">
        <v>0</v>
      </c>
      <c r="F1022" s="192">
        <f t="shared" si="302"/>
        <v>147</v>
      </c>
      <c r="G1022" s="192">
        <f t="shared" si="302"/>
        <v>98</v>
      </c>
      <c r="H1022" s="192">
        <f t="shared" si="302"/>
        <v>0</v>
      </c>
      <c r="I1022" s="192">
        <f t="shared" si="303"/>
        <v>1176</v>
      </c>
      <c r="J1022" s="192">
        <f t="shared" si="303"/>
        <v>784</v>
      </c>
      <c r="K1022" s="192">
        <f t="shared" si="303"/>
        <v>0</v>
      </c>
      <c r="L1022" s="312">
        <f t="shared" si="304"/>
        <v>1960</v>
      </c>
      <c r="M1022" s="211" t="e">
        <f ca="1">SUMPRODUCT(--(WEEKDAY(ROW(INDIRECT(DATE($B$1009,MonthFromText(A1022),1)&amp;":"&amp;DATE($B$1009,MonthFromText(A1022),$K$10))),1)=1))</f>
        <v>#NAME?</v>
      </c>
      <c r="N1022" s="284">
        <v>3</v>
      </c>
      <c r="O1022" s="4">
        <f t="shared" si="305"/>
        <v>147</v>
      </c>
      <c r="P1022" s="312">
        <f t="shared" si="306"/>
        <v>3528</v>
      </c>
      <c r="Q1022" s="192" t="e">
        <f t="shared" ca="1" si="307"/>
        <v>#NAME?</v>
      </c>
      <c r="R1022" s="312" t="e">
        <f t="shared" ca="1" si="308"/>
        <v>#NAME?</v>
      </c>
      <c r="S1022" s="192"/>
    </row>
    <row r="1023" spans="1:50" ht="15.75" customHeight="1" x14ac:dyDescent="0.3">
      <c r="A1023" s="257" t="s">
        <v>18</v>
      </c>
      <c r="B1023" s="211" t="e">
        <f ca="1">+$L$10-M1023</f>
        <v>#NAME?</v>
      </c>
      <c r="C1023" s="284">
        <v>5</v>
      </c>
      <c r="D1023" s="284">
        <v>3</v>
      </c>
      <c r="E1023" s="284" t="s">
        <v>803</v>
      </c>
      <c r="F1023" s="192">
        <f t="shared" si="302"/>
        <v>245</v>
      </c>
      <c r="G1023" s="192">
        <f>+J1023/16</f>
        <v>147</v>
      </c>
      <c r="H1023" s="192" t="s">
        <v>803</v>
      </c>
      <c r="I1023" s="192">
        <f t="shared" si="303"/>
        <v>1960</v>
      </c>
      <c r="J1023" s="192">
        <f>+D1023*49*16</f>
        <v>2352</v>
      </c>
      <c r="K1023" s="192" t="s">
        <v>803</v>
      </c>
      <c r="L1023" s="312">
        <f t="shared" si="304"/>
        <v>4312</v>
      </c>
      <c r="M1023" s="211" t="e">
        <f ca="1">SUMPRODUCT(--(WEEKDAY(ROW(INDIRECT(DATE($B$1009,MonthFromText(A1023),1)&amp;":"&amp;DATE($B$1009,MonthFromText(A1023),$L$10))),1)=1))</f>
        <v>#NAME?</v>
      </c>
      <c r="N1023" s="284">
        <v>5</v>
      </c>
      <c r="O1023" s="4">
        <f t="shared" si="305"/>
        <v>245</v>
      </c>
      <c r="P1023" s="312">
        <f t="shared" si="306"/>
        <v>5880</v>
      </c>
      <c r="Q1023" s="192" t="e">
        <f t="shared" ca="1" si="307"/>
        <v>#NAME?</v>
      </c>
      <c r="R1023" s="312" t="e">
        <f t="shared" ca="1" si="308"/>
        <v>#NAME?</v>
      </c>
      <c r="S1023" s="192"/>
    </row>
    <row r="1024" spans="1:50" ht="15.75" customHeight="1" x14ac:dyDescent="0.3">
      <c r="A1024" s="257" t="s">
        <v>20</v>
      </c>
      <c r="B1024" s="211" t="e">
        <f ca="1">+$N$10-M1024</f>
        <v>#NAME?</v>
      </c>
      <c r="C1024" s="284">
        <v>5</v>
      </c>
      <c r="D1024" s="284">
        <v>3</v>
      </c>
      <c r="E1024" s="284" t="s">
        <v>803</v>
      </c>
      <c r="F1024" s="192">
        <f t="shared" si="302"/>
        <v>245</v>
      </c>
      <c r="G1024" s="192">
        <f>+J1024/16</f>
        <v>147</v>
      </c>
      <c r="H1024" s="192" t="s">
        <v>803</v>
      </c>
      <c r="I1024" s="192">
        <f t="shared" si="303"/>
        <v>1960</v>
      </c>
      <c r="J1024" s="192">
        <f>+D1024*49*16</f>
        <v>2352</v>
      </c>
      <c r="K1024" s="192" t="s">
        <v>803</v>
      </c>
      <c r="L1024" s="312">
        <f t="shared" si="304"/>
        <v>4312</v>
      </c>
      <c r="M1024" s="211" t="e">
        <f ca="1">SUMPRODUCT(--(WEEKDAY(ROW(INDIRECT(DATE($B$1009,MonthFromText(A1024),1)&amp;":"&amp;DATE($B$1009,MonthFromText(A1024),$N$10))),1)=1))</f>
        <v>#NAME?</v>
      </c>
      <c r="N1024" s="284">
        <v>5</v>
      </c>
      <c r="O1024" s="4">
        <f t="shared" si="305"/>
        <v>245</v>
      </c>
      <c r="P1024" s="312">
        <f t="shared" si="306"/>
        <v>5880</v>
      </c>
      <c r="Q1024" s="192" t="e">
        <f t="shared" ca="1" si="307"/>
        <v>#NAME?</v>
      </c>
      <c r="R1024" s="312" t="e">
        <f t="shared" ca="1" si="308"/>
        <v>#NAME?</v>
      </c>
      <c r="S1024" s="192"/>
    </row>
    <row r="1025" spans="1:19" ht="15.75" customHeight="1" x14ac:dyDescent="0.3">
      <c r="A1025" s="257" t="s">
        <v>21</v>
      </c>
      <c r="B1025" s="211" t="e">
        <f ca="1">+$O$10-M1025</f>
        <v>#NAME?</v>
      </c>
      <c r="C1025" s="284">
        <v>5</v>
      </c>
      <c r="D1025" s="284">
        <v>3</v>
      </c>
      <c r="E1025" s="284" t="s">
        <v>803</v>
      </c>
      <c r="F1025" s="192">
        <f t="shared" si="302"/>
        <v>245</v>
      </c>
      <c r="G1025" s="192">
        <f>+J1025/16</f>
        <v>147</v>
      </c>
      <c r="H1025" s="192" t="s">
        <v>803</v>
      </c>
      <c r="I1025" s="192">
        <f t="shared" si="303"/>
        <v>1960</v>
      </c>
      <c r="J1025" s="192">
        <f>+D1025*49*16</f>
        <v>2352</v>
      </c>
      <c r="K1025" s="192" t="s">
        <v>803</v>
      </c>
      <c r="L1025" s="312">
        <f t="shared" si="304"/>
        <v>4312</v>
      </c>
      <c r="M1025" s="211" t="e">
        <f ca="1">SUMPRODUCT(--(WEEKDAY(ROW(INDIRECT(DATE($B$1009,MonthFromText(A1025),1)&amp;":"&amp;DATE($B$1009,MonthFromText(A1025),$O$10))),1)=1))</f>
        <v>#NAME?</v>
      </c>
      <c r="N1025" s="284">
        <v>6</v>
      </c>
      <c r="O1025" s="4">
        <f t="shared" si="305"/>
        <v>294</v>
      </c>
      <c r="P1025" s="312">
        <f t="shared" si="306"/>
        <v>7056</v>
      </c>
      <c r="Q1025" s="192" t="e">
        <f t="shared" ca="1" si="307"/>
        <v>#NAME?</v>
      </c>
      <c r="R1025" s="312" t="e">
        <f t="shared" ca="1" si="308"/>
        <v>#NAME?</v>
      </c>
      <c r="S1025" s="192"/>
    </row>
    <row r="1026" spans="1:19" ht="15.75" customHeight="1" thickBot="1" x14ac:dyDescent="0.35">
      <c r="A1026" s="257" t="s">
        <v>22</v>
      </c>
      <c r="B1026" s="220" t="e">
        <f ca="1">+$P$10-M1026</f>
        <v>#NAME?</v>
      </c>
      <c r="C1026" s="290">
        <v>6</v>
      </c>
      <c r="D1026" s="290">
        <v>2</v>
      </c>
      <c r="E1026" s="284" t="s">
        <v>803</v>
      </c>
      <c r="F1026" s="192">
        <f t="shared" si="302"/>
        <v>294</v>
      </c>
      <c r="G1026" s="192">
        <f>+J1026/16</f>
        <v>98</v>
      </c>
      <c r="H1026" s="192" t="s">
        <v>803</v>
      </c>
      <c r="I1026" s="192">
        <f t="shared" si="303"/>
        <v>2352</v>
      </c>
      <c r="J1026" s="192">
        <f>+D1026*49*16</f>
        <v>1568</v>
      </c>
      <c r="K1026" s="192" t="s">
        <v>803</v>
      </c>
      <c r="L1026" s="312">
        <f t="shared" si="304"/>
        <v>3920</v>
      </c>
      <c r="M1026" s="220" t="e">
        <f ca="1">SUMPRODUCT(--(WEEKDAY(ROW(INDIRECT(DATE($B$1009,MonthFromText(A1026),1)&amp;":"&amp;DATE($B$1009,MonthFromText(A1026),$P$10))),1)=1))</f>
        <v>#NAME?</v>
      </c>
      <c r="N1026" s="290">
        <v>6</v>
      </c>
      <c r="O1026" s="135">
        <f t="shared" si="305"/>
        <v>294</v>
      </c>
      <c r="P1026" s="272">
        <f t="shared" si="306"/>
        <v>7056</v>
      </c>
      <c r="Q1026" s="291" t="e">
        <f t="shared" ca="1" si="307"/>
        <v>#NAME?</v>
      </c>
      <c r="R1026" s="292" t="e">
        <f t="shared" ca="1" si="308"/>
        <v>#NAME?</v>
      </c>
      <c r="S1026" s="192"/>
    </row>
    <row r="1027" spans="1:19" ht="15.75" customHeight="1" thickBot="1" x14ac:dyDescent="0.35">
      <c r="A1027" s="134"/>
      <c r="B1027" s="135"/>
      <c r="C1027" s="135"/>
      <c r="D1027" s="135"/>
      <c r="E1027" s="223"/>
      <c r="F1027" s="223"/>
      <c r="G1027" s="223"/>
      <c r="H1027" s="223"/>
      <c r="I1027" s="223"/>
      <c r="J1027" s="223"/>
      <c r="K1027" s="223"/>
      <c r="L1027" s="223"/>
      <c r="M1027" s="135"/>
      <c r="N1027" s="135"/>
      <c r="O1027" s="135"/>
      <c r="P1027" s="135"/>
      <c r="Q1027" s="206" t="e">
        <f ca="1">+SUM(Q1015:Q1026)</f>
        <v>#NAME?</v>
      </c>
      <c r="R1027" s="272" t="e">
        <f ca="1">+Q1027-B921</f>
        <v>#NAME?</v>
      </c>
    </row>
    <row r="1028" spans="1:19" ht="15.75" customHeight="1" x14ac:dyDescent="0.3">
      <c r="A1028" s="260" t="s">
        <v>827</v>
      </c>
      <c r="J1028" s="192"/>
    </row>
    <row r="1029" spans="1:19" ht="15.75" customHeight="1" x14ac:dyDescent="0.3">
      <c r="A1029" s="260" t="s">
        <v>828</v>
      </c>
    </row>
    <row r="1030" spans="1:19" ht="15.75" customHeight="1" x14ac:dyDescent="0.3">
      <c r="A1030" s="260" t="s">
        <v>829</v>
      </c>
    </row>
    <row r="1031" spans="1:19" ht="15.75" customHeight="1" x14ac:dyDescent="0.3"/>
    <row r="1032" spans="1:19" ht="15.75" customHeight="1" x14ac:dyDescent="0.3"/>
    <row r="1033" spans="1:19" ht="15.75" customHeight="1" x14ac:dyDescent="0.3"/>
    <row r="1034" spans="1:19" ht="15.75" customHeight="1" x14ac:dyDescent="0.3"/>
    <row r="1035" spans="1:19" ht="16.5" customHeight="1" x14ac:dyDescent="0.3"/>
    <row r="1036" spans="1:19" ht="15.75" customHeight="1" x14ac:dyDescent="0.3"/>
    <row r="1037" spans="1:19" ht="16.5" customHeight="1" x14ac:dyDescent="0.3"/>
    <row r="1038" spans="1:19" ht="15.75" customHeight="1" x14ac:dyDescent="0.3"/>
    <row r="1039" spans="1:19" ht="15.75" customHeight="1" x14ac:dyDescent="0.3"/>
    <row r="1040" spans="1:19" ht="15.75" customHeight="1" x14ac:dyDescent="0.3"/>
    <row r="1041" spans="1:19" ht="15.75" customHeight="1" x14ac:dyDescent="0.3"/>
    <row r="1042" spans="1:19" ht="15.75" customHeight="1" x14ac:dyDescent="0.3">
      <c r="I1042" s="192"/>
      <c r="J1042" s="192"/>
    </row>
    <row r="1043" spans="1:19" ht="15.75" customHeight="1" x14ac:dyDescent="0.3"/>
    <row r="1044" spans="1:19" ht="15.75" customHeight="1" x14ac:dyDescent="0.3"/>
    <row r="1045" spans="1:19" ht="15.75" customHeight="1" x14ac:dyDescent="0.3"/>
    <row r="1046" spans="1:19" ht="15.75" customHeight="1" x14ac:dyDescent="0.3"/>
    <row r="1047" spans="1:19" ht="15.75" customHeight="1" x14ac:dyDescent="0.3"/>
    <row r="1048" spans="1:19" ht="15.75" customHeight="1" x14ac:dyDescent="0.3"/>
    <row r="1049" spans="1:19" ht="15.75" customHeight="1" thickBot="1" x14ac:dyDescent="0.35"/>
    <row r="1050" spans="1:19" ht="15.75" customHeight="1" x14ac:dyDescent="0.35">
      <c r="A1050" s="350"/>
      <c r="B1050" s="351"/>
      <c r="C1050" s="369"/>
      <c r="D1050" s="369"/>
      <c r="E1050" s="369"/>
      <c r="F1050" s="369"/>
      <c r="G1050" s="369"/>
      <c r="H1050" s="352" t="s">
        <v>832</v>
      </c>
      <c r="I1050" s="351"/>
      <c r="J1050" s="351"/>
      <c r="K1050" s="351"/>
      <c r="L1050" s="351"/>
      <c r="M1050" s="351"/>
      <c r="N1050" s="351"/>
      <c r="O1050" s="351"/>
      <c r="P1050" s="351"/>
      <c r="Q1050" s="354" t="str">
        <f>+Q1</f>
        <v xml:space="preserve">PRINTED:  </v>
      </c>
      <c r="R1050" s="357">
        <f ca="1">+R1</f>
        <v>44894.658168402777</v>
      </c>
      <c r="S1050" s="358"/>
    </row>
    <row r="1051" spans="1:19" ht="15.75" customHeight="1" x14ac:dyDescent="0.35">
      <c r="A1051" s="179"/>
      <c r="B1051" s="180"/>
      <c r="C1051" s="201"/>
      <c r="D1051" s="201"/>
      <c r="E1051" s="201"/>
      <c r="F1051" s="201"/>
      <c r="G1051" s="201"/>
      <c r="H1051" s="180" t="s">
        <v>633</v>
      </c>
      <c r="I1051" s="180" t="s">
        <v>7</v>
      </c>
      <c r="J1051" s="202" t="str">
        <f>+A8</f>
        <v>Revised:  2/23/2017</v>
      </c>
      <c r="K1051" s="180"/>
      <c r="L1051" s="180"/>
      <c r="M1051" s="180"/>
      <c r="N1051" s="180"/>
      <c r="O1051" s="180"/>
      <c r="P1051" s="180"/>
      <c r="Q1051" s="180"/>
      <c r="R1051" s="180"/>
      <c r="S1051" s="304"/>
    </row>
    <row r="1052" spans="1:19" ht="15.75" customHeight="1" x14ac:dyDescent="0.35">
      <c r="A1052" s="179"/>
      <c r="B1052" s="180"/>
      <c r="C1052" s="201"/>
      <c r="D1052" s="201"/>
      <c r="E1052" s="201"/>
      <c r="F1052" s="201"/>
      <c r="G1052" s="201"/>
      <c r="H1052" s="180" t="s">
        <v>833</v>
      </c>
      <c r="I1052" s="180"/>
      <c r="J1052" s="180"/>
      <c r="K1052" s="180"/>
      <c r="L1052" s="180"/>
      <c r="M1052" s="180"/>
      <c r="N1052" s="180"/>
      <c r="O1052" s="180"/>
      <c r="P1052" s="180"/>
      <c r="Q1052" s="180"/>
      <c r="R1052" s="180"/>
      <c r="S1052" s="304"/>
    </row>
    <row r="1053" spans="1:19" ht="15.75" customHeight="1" x14ac:dyDescent="0.35">
      <c r="A1053" s="179"/>
      <c r="B1053" s="180"/>
      <c r="C1053" s="201"/>
      <c r="D1053" s="201"/>
      <c r="E1053" s="201"/>
      <c r="F1053" s="201"/>
      <c r="G1053" s="201"/>
      <c r="H1053" s="180"/>
      <c r="I1053" s="180"/>
      <c r="J1053" s="180"/>
      <c r="K1053" s="180"/>
      <c r="L1053" s="180"/>
      <c r="M1053" s="180"/>
      <c r="N1053" s="180"/>
      <c r="O1053" s="180"/>
      <c r="P1053" s="180"/>
      <c r="Q1053" s="180"/>
      <c r="R1053" s="180"/>
      <c r="S1053" s="304"/>
    </row>
    <row r="1054" spans="1:19" ht="15.75" customHeight="1" x14ac:dyDescent="0.35">
      <c r="A1054" s="179"/>
      <c r="B1054" s="180"/>
      <c r="C1054" s="201"/>
      <c r="D1054" s="201"/>
      <c r="E1054" s="201"/>
      <c r="F1054" s="201"/>
      <c r="G1054" s="201"/>
      <c r="H1054" s="180" t="s">
        <v>633</v>
      </c>
      <c r="I1054" s="297">
        <f>+A5</f>
        <v>2016</v>
      </c>
      <c r="J1054" s="180"/>
      <c r="K1054" s="180"/>
      <c r="L1054" s="180"/>
      <c r="M1054" s="180"/>
      <c r="N1054" s="180"/>
      <c r="O1054" s="180"/>
      <c r="P1054" s="180"/>
      <c r="Q1054" s="180"/>
      <c r="R1054" s="180"/>
      <c r="S1054" s="304"/>
    </row>
    <row r="1055" spans="1:19" ht="15.75" customHeight="1" x14ac:dyDescent="0.3">
      <c r="A1055" s="179"/>
      <c r="B1055" s="180"/>
      <c r="C1055" s="180"/>
      <c r="D1055" s="180"/>
      <c r="E1055" s="180"/>
      <c r="F1055" s="180"/>
      <c r="G1055" s="180"/>
      <c r="H1055" s="180"/>
      <c r="I1055" s="180"/>
      <c r="J1055" s="180"/>
      <c r="K1055" s="180"/>
      <c r="L1055" s="180"/>
      <c r="M1055" s="180"/>
      <c r="N1055" s="180"/>
      <c r="O1055" s="180"/>
      <c r="P1055" s="180"/>
      <c r="Q1055" s="180"/>
      <c r="R1055" s="180"/>
      <c r="S1055" s="304"/>
    </row>
    <row r="1056" spans="1:19" ht="15.75" customHeight="1" x14ac:dyDescent="0.3">
      <c r="A1056" s="179"/>
      <c r="B1056" s="180"/>
      <c r="C1056" s="199" t="s">
        <v>834</v>
      </c>
      <c r="D1056" s="180"/>
      <c r="E1056" s="180"/>
      <c r="F1056" s="180"/>
      <c r="G1056" s="199" t="s">
        <v>835</v>
      </c>
      <c r="H1056" s="180"/>
      <c r="I1056" s="180"/>
      <c r="J1056" s="180"/>
      <c r="K1056" s="298" t="s">
        <v>836</v>
      </c>
      <c r="L1056" s="180"/>
      <c r="M1056" s="180"/>
      <c r="N1056" s="180"/>
      <c r="O1056" s="298" t="s">
        <v>837</v>
      </c>
      <c r="P1056" s="180"/>
      <c r="Q1056" s="180"/>
      <c r="R1056" s="180"/>
      <c r="S1056" s="304"/>
    </row>
    <row r="1057" spans="1:19" ht="15.75" customHeight="1" x14ac:dyDescent="0.3">
      <c r="A1057" s="179"/>
      <c r="B1057" s="180"/>
      <c r="C1057" s="180">
        <f>+A5</f>
        <v>2016</v>
      </c>
      <c r="D1057" s="180"/>
      <c r="E1057" s="180"/>
      <c r="F1057" s="180" t="s">
        <v>838</v>
      </c>
      <c r="G1057" s="180"/>
      <c r="H1057" s="180"/>
      <c r="I1057" s="180"/>
      <c r="J1057" s="180"/>
      <c r="K1057" s="180">
        <f>+A5</f>
        <v>2016</v>
      </c>
      <c r="L1057" s="180"/>
      <c r="M1057" s="180"/>
      <c r="N1057" s="180"/>
      <c r="O1057" s="180">
        <f>+A5</f>
        <v>2016</v>
      </c>
      <c r="P1057" s="180"/>
      <c r="Q1057" s="180"/>
      <c r="R1057" s="180"/>
      <c r="S1057" s="304"/>
    </row>
    <row r="1058" spans="1:19" ht="15.75" customHeight="1" x14ac:dyDescent="0.3">
      <c r="A1058" s="179"/>
      <c r="B1058" s="180"/>
      <c r="C1058" s="180"/>
      <c r="D1058" s="180"/>
      <c r="E1058" s="180"/>
      <c r="F1058" s="180"/>
      <c r="G1058" s="180">
        <f>+A5</f>
        <v>2016</v>
      </c>
      <c r="H1058" s="180"/>
      <c r="I1058" s="180"/>
      <c r="J1058" s="180"/>
      <c r="K1058" s="180"/>
      <c r="L1058" s="180"/>
      <c r="M1058" s="180"/>
      <c r="N1058" s="180"/>
      <c r="O1058" s="180"/>
      <c r="P1058" s="180"/>
      <c r="Q1058" s="180"/>
      <c r="R1058" s="180"/>
      <c r="S1058" s="304"/>
    </row>
    <row r="1059" spans="1:19" ht="15.75" customHeight="1" x14ac:dyDescent="0.3">
      <c r="A1059" s="179"/>
      <c r="B1059" s="180"/>
      <c r="C1059" s="182" t="s">
        <v>839</v>
      </c>
      <c r="D1059" s="182" t="s">
        <v>840</v>
      </c>
      <c r="E1059" s="182" t="s">
        <v>841</v>
      </c>
      <c r="F1059" s="180"/>
      <c r="G1059" s="182" t="s">
        <v>842</v>
      </c>
      <c r="H1059" s="182" t="s">
        <v>840</v>
      </c>
      <c r="I1059" s="182" t="s">
        <v>843</v>
      </c>
      <c r="J1059" s="180"/>
      <c r="K1059" s="182" t="s">
        <v>738</v>
      </c>
      <c r="L1059" s="182" t="s">
        <v>840</v>
      </c>
      <c r="M1059" s="182" t="s">
        <v>844</v>
      </c>
      <c r="N1059" s="180"/>
      <c r="O1059" s="182" t="s">
        <v>738</v>
      </c>
      <c r="P1059" s="182" t="s">
        <v>840</v>
      </c>
      <c r="Q1059" s="182" t="s">
        <v>844</v>
      </c>
      <c r="R1059" s="180"/>
      <c r="S1059" s="304"/>
    </row>
    <row r="1060" spans="1:19" ht="15.75" customHeight="1" x14ac:dyDescent="0.3">
      <c r="A1060" s="179"/>
      <c r="B1060" s="180"/>
      <c r="C1060" s="182" t="s">
        <v>845</v>
      </c>
      <c r="D1060" s="182" t="s">
        <v>658</v>
      </c>
      <c r="E1060" s="182" t="s">
        <v>846</v>
      </c>
      <c r="F1060" s="180"/>
      <c r="G1060" s="182" t="s">
        <v>847</v>
      </c>
      <c r="H1060" s="182" t="s">
        <v>658</v>
      </c>
      <c r="I1060" s="182" t="s">
        <v>846</v>
      </c>
      <c r="J1060" s="180"/>
      <c r="K1060" s="182" t="s">
        <v>848</v>
      </c>
      <c r="L1060" s="182" t="s">
        <v>658</v>
      </c>
      <c r="M1060" s="182" t="s">
        <v>846</v>
      </c>
      <c r="N1060" s="180"/>
      <c r="O1060" s="182" t="s">
        <v>848</v>
      </c>
      <c r="P1060" s="182" t="s">
        <v>658</v>
      </c>
      <c r="Q1060" s="182" t="s">
        <v>846</v>
      </c>
      <c r="R1060" s="180"/>
      <c r="S1060" s="304"/>
    </row>
    <row r="1061" spans="1:19" ht="15.75" customHeight="1" x14ac:dyDescent="0.3">
      <c r="A1061" s="179"/>
      <c r="B1061" s="180"/>
      <c r="C1061" s="182" t="s">
        <v>658</v>
      </c>
      <c r="D1061" s="182" t="s">
        <v>655</v>
      </c>
      <c r="E1061" s="182" t="s">
        <v>849</v>
      </c>
      <c r="F1061" s="180"/>
      <c r="G1061" s="182" t="s">
        <v>743</v>
      </c>
      <c r="H1061" s="182" t="s">
        <v>655</v>
      </c>
      <c r="I1061" s="182" t="s">
        <v>849</v>
      </c>
      <c r="J1061" s="180"/>
      <c r="K1061" s="182" t="s">
        <v>658</v>
      </c>
      <c r="L1061" s="182" t="s">
        <v>655</v>
      </c>
      <c r="M1061" s="182" t="s">
        <v>849</v>
      </c>
      <c r="N1061" s="180"/>
      <c r="O1061" s="182" t="s">
        <v>658</v>
      </c>
      <c r="P1061" s="182" t="s">
        <v>655</v>
      </c>
      <c r="Q1061" s="182" t="s">
        <v>849</v>
      </c>
      <c r="R1061" s="180"/>
      <c r="S1061" s="304"/>
    </row>
    <row r="1062" spans="1:19" ht="15.75" customHeight="1" x14ac:dyDescent="0.3">
      <c r="A1062" s="179"/>
      <c r="B1062" s="180"/>
      <c r="C1062" s="182" t="s">
        <v>664</v>
      </c>
      <c r="D1062" s="182" t="s">
        <v>850</v>
      </c>
      <c r="E1062" s="182" t="s">
        <v>851</v>
      </c>
      <c r="F1062" s="180"/>
      <c r="G1062" s="182" t="s">
        <v>664</v>
      </c>
      <c r="H1062" s="182" t="s">
        <v>850</v>
      </c>
      <c r="I1062" s="182" t="s">
        <v>851</v>
      </c>
      <c r="J1062" s="180"/>
      <c r="K1062" s="182" t="s">
        <v>664</v>
      </c>
      <c r="L1062" s="182" t="s">
        <v>850</v>
      </c>
      <c r="M1062" s="182" t="s">
        <v>851</v>
      </c>
      <c r="N1062" s="180"/>
      <c r="O1062" s="182" t="s">
        <v>664</v>
      </c>
      <c r="P1062" s="182" t="s">
        <v>850</v>
      </c>
      <c r="Q1062" s="182" t="s">
        <v>851</v>
      </c>
      <c r="R1062" s="180"/>
      <c r="S1062" s="304"/>
    </row>
    <row r="1063" spans="1:19" ht="15.75" customHeight="1" x14ac:dyDescent="0.3">
      <c r="A1063" s="179"/>
      <c r="B1063" s="180"/>
      <c r="C1063" s="180" t="s">
        <v>666</v>
      </c>
      <c r="D1063" s="180" t="s">
        <v>666</v>
      </c>
      <c r="E1063" s="180" t="s">
        <v>666</v>
      </c>
      <c r="F1063" s="180"/>
      <c r="G1063" s="182" t="s">
        <v>666</v>
      </c>
      <c r="H1063" s="182" t="s">
        <v>666</v>
      </c>
      <c r="I1063" s="182" t="s">
        <v>666</v>
      </c>
      <c r="J1063" s="180"/>
      <c r="K1063" s="180" t="s">
        <v>666</v>
      </c>
      <c r="L1063" s="180" t="s">
        <v>666</v>
      </c>
      <c r="M1063" s="180" t="s">
        <v>666</v>
      </c>
      <c r="N1063" s="180"/>
      <c r="O1063" s="180" t="s">
        <v>666</v>
      </c>
      <c r="P1063" s="180" t="s">
        <v>666</v>
      </c>
      <c r="Q1063" s="180" t="s">
        <v>666</v>
      </c>
      <c r="R1063" s="180"/>
      <c r="S1063" s="304"/>
    </row>
    <row r="1064" spans="1:19" ht="15.75" customHeight="1" x14ac:dyDescent="0.3">
      <c r="A1064" s="189" t="s">
        <v>668</v>
      </c>
      <c r="B1064" s="180"/>
      <c r="C1064" s="180">
        <f t="shared" ref="C1064:C1075" si="309">(S936)</f>
        <v>-5519</v>
      </c>
      <c r="D1064" s="203">
        <v>0</v>
      </c>
      <c r="E1064" s="217">
        <f t="shared" ref="E1064:E1075" si="310">(S936*D1064/1000)</f>
        <v>0</v>
      </c>
      <c r="F1064" s="180"/>
      <c r="G1064" s="180">
        <v>0</v>
      </c>
      <c r="H1064" s="203">
        <v>0</v>
      </c>
      <c r="I1064" s="217">
        <f t="shared" ref="I1064:I1075" si="311">(G1064*H1064/1000)</f>
        <v>0</v>
      </c>
      <c r="J1064" s="180"/>
      <c r="K1064" s="299">
        <v>11848</v>
      </c>
      <c r="L1064" s="300">
        <v>0</v>
      </c>
      <c r="M1064" s="217">
        <f t="shared" ref="M1064:M1075" si="312">(K1064*L1064/1000)</f>
        <v>0</v>
      </c>
      <c r="N1064" s="180"/>
      <c r="O1064" s="299">
        <v>0</v>
      </c>
      <c r="P1064" s="203">
        <v>0</v>
      </c>
      <c r="Q1064" s="217">
        <f t="shared" ref="Q1064:Q1075" si="313">(O1064*P1064/1000)</f>
        <v>0</v>
      </c>
      <c r="R1064" s="180"/>
      <c r="S1064" s="304"/>
    </row>
    <row r="1065" spans="1:19" ht="15.75" customHeight="1" x14ac:dyDescent="0.3">
      <c r="A1065" s="189" t="s">
        <v>669</v>
      </c>
      <c r="B1065" s="180"/>
      <c r="C1065" s="180">
        <f t="shared" si="309"/>
        <v>74472.600000000006</v>
      </c>
      <c r="D1065" s="203">
        <v>0</v>
      </c>
      <c r="E1065" s="217">
        <f t="shared" si="310"/>
        <v>0</v>
      </c>
      <c r="F1065" s="180"/>
      <c r="G1065" s="180" t="e">
        <f>#REF!</f>
        <v>#REF!</v>
      </c>
      <c r="H1065" s="203">
        <v>0</v>
      </c>
      <c r="I1065" s="217" t="e">
        <f t="shared" si="311"/>
        <v>#REF!</v>
      </c>
      <c r="J1065" s="180"/>
      <c r="K1065" s="299">
        <v>11489</v>
      </c>
      <c r="L1065" s="300">
        <v>0</v>
      </c>
      <c r="M1065" s="217">
        <f t="shared" si="312"/>
        <v>0</v>
      </c>
      <c r="N1065" s="180"/>
      <c r="O1065" s="299">
        <v>0</v>
      </c>
      <c r="P1065" s="203">
        <v>0</v>
      </c>
      <c r="Q1065" s="217">
        <f t="shared" si="313"/>
        <v>0</v>
      </c>
      <c r="R1065" s="180"/>
      <c r="S1065" s="304"/>
    </row>
    <row r="1066" spans="1:19" ht="15.75" customHeight="1" x14ac:dyDescent="0.3">
      <c r="A1066" s="189" t="s">
        <v>671</v>
      </c>
      <c r="B1066" s="180"/>
      <c r="C1066" s="180">
        <f t="shared" si="309"/>
        <v>76213.05094197439</v>
      </c>
      <c r="D1066" s="203">
        <v>0</v>
      </c>
      <c r="E1066" s="217">
        <f t="shared" si="310"/>
        <v>0</v>
      </c>
      <c r="F1066" s="180">
        <f>SUM(E1064:E1066)</f>
        <v>0</v>
      </c>
      <c r="G1066" s="180" t="e">
        <f>#REF!</f>
        <v>#REF!</v>
      </c>
      <c r="H1066" s="203">
        <v>0</v>
      </c>
      <c r="I1066" s="217" t="e">
        <f t="shared" si="311"/>
        <v>#REF!</v>
      </c>
      <c r="J1066" s="180" t="e">
        <f>SUM(I1064:I1066)</f>
        <v>#REF!</v>
      </c>
      <c r="K1066" s="299">
        <v>16247</v>
      </c>
      <c r="L1066" s="300">
        <v>0</v>
      </c>
      <c r="M1066" s="217">
        <f t="shared" si="312"/>
        <v>0</v>
      </c>
      <c r="N1066" s="180">
        <f>SUM(M1064:M1066)</f>
        <v>0</v>
      </c>
      <c r="O1066" s="299">
        <v>0</v>
      </c>
      <c r="P1066" s="203">
        <v>0</v>
      </c>
      <c r="Q1066" s="217">
        <f t="shared" si="313"/>
        <v>0</v>
      </c>
      <c r="R1066" s="180">
        <f>SUM(Q1064:Q1066)</f>
        <v>0</v>
      </c>
      <c r="S1066" s="304"/>
    </row>
    <row r="1067" spans="1:19" ht="15.75" customHeight="1" x14ac:dyDescent="0.3">
      <c r="A1067" s="189" t="s">
        <v>672</v>
      </c>
      <c r="B1067" s="180"/>
      <c r="C1067" s="180">
        <f t="shared" si="309"/>
        <v>77487</v>
      </c>
      <c r="D1067" s="203">
        <v>0</v>
      </c>
      <c r="E1067" s="217">
        <f t="shared" si="310"/>
        <v>0</v>
      </c>
      <c r="F1067" s="180"/>
      <c r="G1067" s="180" t="e">
        <f>#REF!</f>
        <v>#REF!</v>
      </c>
      <c r="H1067" s="203">
        <v>0</v>
      </c>
      <c r="I1067" s="217" t="e">
        <f t="shared" si="311"/>
        <v>#REF!</v>
      </c>
      <c r="J1067" s="180"/>
      <c r="K1067" s="299">
        <v>17740</v>
      </c>
      <c r="L1067" s="300">
        <v>0</v>
      </c>
      <c r="M1067" s="217">
        <f t="shared" si="312"/>
        <v>0</v>
      </c>
      <c r="N1067" s="180"/>
      <c r="O1067" s="299">
        <v>0</v>
      </c>
      <c r="P1067" s="203">
        <v>0</v>
      </c>
      <c r="Q1067" s="217">
        <f t="shared" si="313"/>
        <v>0</v>
      </c>
      <c r="R1067" s="180"/>
      <c r="S1067" s="304"/>
    </row>
    <row r="1068" spans="1:19" ht="15.75" customHeight="1" x14ac:dyDescent="0.3">
      <c r="A1068" s="189" t="s">
        <v>673</v>
      </c>
      <c r="B1068" s="180"/>
      <c r="C1068" s="180">
        <f t="shared" si="309"/>
        <v>24464.679999999993</v>
      </c>
      <c r="D1068" s="203">
        <v>0</v>
      </c>
      <c r="E1068" s="217">
        <f t="shared" si="310"/>
        <v>0</v>
      </c>
      <c r="F1068" s="180"/>
      <c r="G1068" s="180" t="e">
        <f>#REF!</f>
        <v>#REF!</v>
      </c>
      <c r="H1068" s="203">
        <v>0</v>
      </c>
      <c r="I1068" s="217" t="e">
        <f t="shared" si="311"/>
        <v>#REF!</v>
      </c>
      <c r="J1068" s="180"/>
      <c r="K1068" s="299">
        <v>15434</v>
      </c>
      <c r="L1068" s="300">
        <v>0</v>
      </c>
      <c r="M1068" s="217">
        <f t="shared" si="312"/>
        <v>0</v>
      </c>
      <c r="N1068" s="180"/>
      <c r="O1068" s="299">
        <v>0</v>
      </c>
      <c r="P1068" s="203">
        <v>0</v>
      </c>
      <c r="Q1068" s="217">
        <f t="shared" si="313"/>
        <v>0</v>
      </c>
      <c r="R1068" s="180"/>
      <c r="S1068" s="304"/>
    </row>
    <row r="1069" spans="1:19" ht="15.75" customHeight="1" x14ac:dyDescent="0.3">
      <c r="A1069" s="189" t="s">
        <v>675</v>
      </c>
      <c r="B1069" s="180"/>
      <c r="C1069" s="180">
        <f t="shared" si="309"/>
        <v>974.89344385830918</v>
      </c>
      <c r="D1069" s="203">
        <v>0</v>
      </c>
      <c r="E1069" s="217">
        <f t="shared" si="310"/>
        <v>0</v>
      </c>
      <c r="F1069" s="180">
        <f>SUM(E1067:E1069)</f>
        <v>0</v>
      </c>
      <c r="G1069" s="180" t="e">
        <f>#REF!</f>
        <v>#REF!</v>
      </c>
      <c r="H1069" s="203">
        <v>0</v>
      </c>
      <c r="I1069" s="217" t="e">
        <f t="shared" si="311"/>
        <v>#REF!</v>
      </c>
      <c r="J1069" s="180" t="e">
        <f>SUM(I1067:I1069)</f>
        <v>#REF!</v>
      </c>
      <c r="K1069" s="299">
        <v>14355</v>
      </c>
      <c r="L1069" s="300">
        <v>0</v>
      </c>
      <c r="M1069" s="217">
        <f t="shared" si="312"/>
        <v>0</v>
      </c>
      <c r="N1069" s="180">
        <f>SUM(M1067:M1069)</f>
        <v>0</v>
      </c>
      <c r="O1069" s="299">
        <v>0</v>
      </c>
      <c r="P1069" s="203">
        <v>0</v>
      </c>
      <c r="Q1069" s="217">
        <f t="shared" si="313"/>
        <v>0</v>
      </c>
      <c r="R1069" s="180">
        <f>SUM(Q1067:Q1069)</f>
        <v>0</v>
      </c>
      <c r="S1069" s="304"/>
    </row>
    <row r="1070" spans="1:19" ht="15.75" customHeight="1" x14ac:dyDescent="0.3">
      <c r="A1070" s="189" t="s">
        <v>676</v>
      </c>
      <c r="B1070" s="180"/>
      <c r="C1070" s="180">
        <f t="shared" si="309"/>
        <v>-25887.541514979792</v>
      </c>
      <c r="D1070" s="203">
        <v>0</v>
      </c>
      <c r="E1070" s="217">
        <f t="shared" si="310"/>
        <v>0</v>
      </c>
      <c r="F1070" s="180"/>
      <c r="G1070" s="180" t="e">
        <f>#REF!</f>
        <v>#REF!</v>
      </c>
      <c r="H1070" s="203">
        <v>0</v>
      </c>
      <c r="I1070" s="217" t="e">
        <f t="shared" si="311"/>
        <v>#REF!</v>
      </c>
      <c r="J1070" s="180"/>
      <c r="K1070" s="299">
        <v>13129</v>
      </c>
      <c r="L1070" s="300">
        <v>0</v>
      </c>
      <c r="M1070" s="217">
        <f t="shared" si="312"/>
        <v>0</v>
      </c>
      <c r="N1070" s="180"/>
      <c r="O1070" s="299">
        <v>0</v>
      </c>
      <c r="P1070" s="203">
        <v>0</v>
      </c>
      <c r="Q1070" s="217">
        <f t="shared" si="313"/>
        <v>0</v>
      </c>
      <c r="R1070" s="180"/>
      <c r="S1070" s="304"/>
    </row>
    <row r="1071" spans="1:19" ht="15.75" customHeight="1" x14ac:dyDescent="0.3">
      <c r="A1071" s="189" t="s">
        <v>691</v>
      </c>
      <c r="B1071" s="180"/>
      <c r="C1071" s="180">
        <f t="shared" si="309"/>
        <v>-41758.155367309228</v>
      </c>
      <c r="D1071" s="203">
        <v>0</v>
      </c>
      <c r="E1071" s="217">
        <f t="shared" si="310"/>
        <v>0</v>
      </c>
      <c r="F1071" s="180"/>
      <c r="G1071" s="180" t="e">
        <f>#REF!</f>
        <v>#REF!</v>
      </c>
      <c r="H1071" s="203">
        <v>0</v>
      </c>
      <c r="I1071" s="217" t="e">
        <f t="shared" si="311"/>
        <v>#REF!</v>
      </c>
      <c r="J1071" s="180"/>
      <c r="K1071" s="299">
        <v>12545</v>
      </c>
      <c r="L1071" s="300">
        <v>0</v>
      </c>
      <c r="M1071" s="217">
        <f t="shared" si="312"/>
        <v>0</v>
      </c>
      <c r="N1071" s="180"/>
      <c r="O1071" s="299">
        <v>0</v>
      </c>
      <c r="P1071" s="203">
        <v>0</v>
      </c>
      <c r="Q1071" s="217">
        <f t="shared" si="313"/>
        <v>0</v>
      </c>
      <c r="R1071" s="180"/>
      <c r="S1071" s="304"/>
    </row>
    <row r="1072" spans="1:19" ht="15.75" customHeight="1" x14ac:dyDescent="0.3">
      <c r="A1072" s="189" t="s">
        <v>692</v>
      </c>
      <c r="B1072" s="180"/>
      <c r="C1072" s="180">
        <f t="shared" si="309"/>
        <v>-37508.036744536541</v>
      </c>
      <c r="D1072" s="203">
        <v>0</v>
      </c>
      <c r="E1072" s="217">
        <f t="shared" si="310"/>
        <v>0</v>
      </c>
      <c r="F1072" s="180">
        <f>SUM(E1070:E1072)</f>
        <v>0</v>
      </c>
      <c r="G1072" s="180" t="e">
        <f>#REF!</f>
        <v>#REF!</v>
      </c>
      <c r="H1072" s="203">
        <v>0</v>
      </c>
      <c r="I1072" s="217" t="e">
        <f t="shared" si="311"/>
        <v>#REF!</v>
      </c>
      <c r="J1072" s="180" t="e">
        <f>SUM(I1070:I1072)</f>
        <v>#REF!</v>
      </c>
      <c r="K1072" s="299">
        <v>9350</v>
      </c>
      <c r="L1072" s="300">
        <v>0</v>
      </c>
      <c r="M1072" s="217">
        <f t="shared" si="312"/>
        <v>0</v>
      </c>
      <c r="N1072" s="180">
        <f>SUM(M1070:M1072)</f>
        <v>0</v>
      </c>
      <c r="O1072" s="299">
        <v>0</v>
      </c>
      <c r="P1072" s="203">
        <v>0</v>
      </c>
      <c r="Q1072" s="217">
        <f t="shared" si="313"/>
        <v>0</v>
      </c>
      <c r="R1072" s="180">
        <f>SUM(Q1070:Q1072)</f>
        <v>0</v>
      </c>
      <c r="S1072" s="304"/>
    </row>
    <row r="1073" spans="1:19" ht="15.75" customHeight="1" x14ac:dyDescent="0.3">
      <c r="A1073" s="189" t="s">
        <v>693</v>
      </c>
      <c r="B1073" s="180"/>
      <c r="C1073" s="180">
        <f t="shared" si="309"/>
        <v>58371.540241145442</v>
      </c>
      <c r="D1073" s="203">
        <v>0</v>
      </c>
      <c r="E1073" s="217">
        <f t="shared" si="310"/>
        <v>0</v>
      </c>
      <c r="F1073" s="180"/>
      <c r="G1073" s="180" t="e">
        <f>#REF!</f>
        <v>#REF!</v>
      </c>
      <c r="H1073" s="203">
        <v>0</v>
      </c>
      <c r="I1073" s="217" t="e">
        <f t="shared" si="311"/>
        <v>#REF!</v>
      </c>
      <c r="J1073" s="180"/>
      <c r="K1073" s="299">
        <v>11649</v>
      </c>
      <c r="L1073" s="300">
        <v>0</v>
      </c>
      <c r="M1073" s="217">
        <f t="shared" si="312"/>
        <v>0</v>
      </c>
      <c r="N1073" s="180"/>
      <c r="O1073" s="299">
        <v>0</v>
      </c>
      <c r="P1073" s="203">
        <v>0</v>
      </c>
      <c r="Q1073" s="217">
        <f t="shared" si="313"/>
        <v>0</v>
      </c>
      <c r="R1073" s="180"/>
      <c r="S1073" s="304"/>
    </row>
    <row r="1074" spans="1:19" ht="15.75" customHeight="1" x14ac:dyDescent="0.3">
      <c r="A1074" s="189" t="s">
        <v>694</v>
      </c>
      <c r="B1074" s="180"/>
      <c r="C1074" s="180">
        <f t="shared" si="309"/>
        <v>73712</v>
      </c>
      <c r="D1074" s="203">
        <v>0</v>
      </c>
      <c r="E1074" s="217">
        <f t="shared" si="310"/>
        <v>0</v>
      </c>
      <c r="F1074" s="180"/>
      <c r="G1074" s="180" t="e">
        <f>#REF!</f>
        <v>#REF!</v>
      </c>
      <c r="H1074" s="203">
        <v>0</v>
      </c>
      <c r="I1074" s="217" t="e">
        <f t="shared" si="311"/>
        <v>#REF!</v>
      </c>
      <c r="J1074" s="180"/>
      <c r="K1074" s="299">
        <v>8035</v>
      </c>
      <c r="L1074" s="300">
        <v>0</v>
      </c>
      <c r="M1074" s="217">
        <f t="shared" si="312"/>
        <v>0</v>
      </c>
      <c r="N1074" s="180"/>
      <c r="O1074" s="299">
        <v>0</v>
      </c>
      <c r="P1074" s="203">
        <v>0</v>
      </c>
      <c r="Q1074" s="217">
        <f t="shared" si="313"/>
        <v>0</v>
      </c>
      <c r="R1074" s="180"/>
      <c r="S1074" s="304"/>
    </row>
    <row r="1075" spans="1:19" ht="15.75" customHeight="1" x14ac:dyDescent="0.3">
      <c r="A1075" s="189" t="s">
        <v>695</v>
      </c>
      <c r="B1075" s="180"/>
      <c r="C1075" s="180">
        <f t="shared" si="309"/>
        <v>37722.599999999977</v>
      </c>
      <c r="D1075" s="203">
        <v>0</v>
      </c>
      <c r="E1075" s="217">
        <f t="shared" si="310"/>
        <v>0</v>
      </c>
      <c r="F1075" s="180">
        <f>SUM(E1073:E1075)</f>
        <v>0</v>
      </c>
      <c r="G1075" s="180" t="e">
        <f>#REF!</f>
        <v>#REF!</v>
      </c>
      <c r="H1075" s="203">
        <v>0</v>
      </c>
      <c r="I1075" s="217" t="e">
        <f t="shared" si="311"/>
        <v>#REF!</v>
      </c>
      <c r="J1075" s="180" t="e">
        <f>SUM(I1073:I1075)</f>
        <v>#REF!</v>
      </c>
      <c r="K1075" s="299">
        <v>8092</v>
      </c>
      <c r="L1075" s="300">
        <v>0</v>
      </c>
      <c r="M1075" s="217">
        <f t="shared" si="312"/>
        <v>0</v>
      </c>
      <c r="N1075" s="180">
        <f>SUM(M1073:M1075)</f>
        <v>0</v>
      </c>
      <c r="O1075" s="299">
        <v>0</v>
      </c>
      <c r="P1075" s="203">
        <v>0</v>
      </c>
      <c r="Q1075" s="217">
        <f t="shared" si="313"/>
        <v>0</v>
      </c>
      <c r="R1075" s="180">
        <f>SUM(Q1073:Q1075)</f>
        <v>0</v>
      </c>
      <c r="S1075" s="304"/>
    </row>
    <row r="1076" spans="1:19" ht="15.75" customHeight="1" x14ac:dyDescent="0.3">
      <c r="A1076" s="179"/>
      <c r="B1076" s="180"/>
      <c r="C1076" s="180"/>
      <c r="D1076" s="180"/>
      <c r="E1076" s="180"/>
      <c r="F1076" s="180"/>
      <c r="G1076" s="180"/>
      <c r="H1076" s="180"/>
      <c r="I1076" s="180"/>
      <c r="J1076" s="180"/>
      <c r="K1076" s="180"/>
      <c r="L1076" s="180"/>
      <c r="M1076" s="180"/>
      <c r="N1076" s="180"/>
      <c r="O1076" s="180"/>
      <c r="P1076" s="180"/>
      <c r="Q1076" s="180"/>
      <c r="R1076" s="180"/>
      <c r="S1076" s="304"/>
    </row>
    <row r="1077" spans="1:19" ht="15.75" customHeight="1" x14ac:dyDescent="0.3">
      <c r="A1077" s="179"/>
      <c r="B1077" s="180"/>
      <c r="C1077" s="180"/>
      <c r="D1077" s="180"/>
      <c r="E1077" s="180"/>
      <c r="F1077" s="180"/>
      <c r="G1077" s="180"/>
      <c r="H1077" s="180"/>
      <c r="I1077" s="180"/>
      <c r="J1077" s="180"/>
      <c r="K1077" s="180"/>
      <c r="L1077" s="180"/>
      <c r="M1077" s="180"/>
      <c r="N1077" s="180"/>
      <c r="O1077" s="180"/>
      <c r="P1077" s="180"/>
      <c r="Q1077" s="180"/>
      <c r="R1077" s="180"/>
      <c r="S1077" s="304"/>
    </row>
    <row r="1078" spans="1:19" ht="16.5" customHeight="1" thickBot="1" x14ac:dyDescent="0.35">
      <c r="A1078" s="194" t="s">
        <v>641</v>
      </c>
      <c r="B1078" s="195"/>
      <c r="C1078" s="195">
        <f>SUM(C1064:C1075)</f>
        <v>312745.63100015256</v>
      </c>
      <c r="D1078" s="195"/>
      <c r="E1078" s="301">
        <f>SUM(E1064:E1075)</f>
        <v>0</v>
      </c>
      <c r="F1078" s="195"/>
      <c r="G1078" s="195" t="e">
        <f>SUM(G1064:G1075)</f>
        <v>#REF!</v>
      </c>
      <c r="H1078" s="195" t="s">
        <v>633</v>
      </c>
      <c r="I1078" s="301" t="e">
        <f>SUM(I1064:I1075)</f>
        <v>#REF!</v>
      </c>
      <c r="J1078" s="195"/>
      <c r="K1078" s="195">
        <f>SUM(K1064:K1075)</f>
        <v>149913</v>
      </c>
      <c r="L1078" s="195" t="s">
        <v>633</v>
      </c>
      <c r="M1078" s="301">
        <f>SUM(M1064:M1075)</f>
        <v>0</v>
      </c>
      <c r="N1078" s="195"/>
      <c r="O1078" s="195">
        <f>(SUM(O1064:O1075))</f>
        <v>0</v>
      </c>
      <c r="P1078" s="195" t="s">
        <v>633</v>
      </c>
      <c r="Q1078" s="301">
        <f>SUM(Q1064:Q1075)</f>
        <v>0</v>
      </c>
      <c r="R1078" s="195"/>
      <c r="S1078" s="136"/>
    </row>
  </sheetData>
  <scenarios current="0">
    <scenario name="Jan" count="1" user="Windows User" comment="Created by Windows User on 4/11/2013">
      <inputCells r="B288" val="57771.3688407242" numFmtId="37"/>
    </scenario>
  </scenarios>
  <autoFilter ref="A31:R839" xr:uid="{00000000-0009-0000-0000-00000E000000}"/>
  <mergeCells count="72">
    <mergeCell ref="B1012:L1012"/>
    <mergeCell ref="M1012:P1012"/>
    <mergeCell ref="B986:D986"/>
    <mergeCell ref="B1005:P1005"/>
    <mergeCell ref="B1006:P1006"/>
    <mergeCell ref="B1007:P1007"/>
    <mergeCell ref="B1009:P1009"/>
    <mergeCell ref="B1010:P1010"/>
    <mergeCell ref="B985:P985"/>
    <mergeCell ref="M931:O931"/>
    <mergeCell ref="AD931:AQ931"/>
    <mergeCell ref="AD932:AQ932"/>
    <mergeCell ref="B956:P956"/>
    <mergeCell ref="B957:F957"/>
    <mergeCell ref="G957:L957"/>
    <mergeCell ref="M957:R957"/>
    <mergeCell ref="S957:U957"/>
    <mergeCell ref="M958:O958"/>
    <mergeCell ref="B980:P980"/>
    <mergeCell ref="B981:P981"/>
    <mergeCell ref="B982:P982"/>
    <mergeCell ref="B984:P984"/>
    <mergeCell ref="B928:P928"/>
    <mergeCell ref="AD928:AQ928"/>
    <mergeCell ref="B929:P929"/>
    <mergeCell ref="AD929:AQ929"/>
    <mergeCell ref="B930:F930"/>
    <mergeCell ref="G930:L930"/>
    <mergeCell ref="M930:R930"/>
    <mergeCell ref="S930:U930"/>
    <mergeCell ref="AD927:AQ927"/>
    <mergeCell ref="AD893:AQ893"/>
    <mergeCell ref="AD894:AQ894"/>
    <mergeCell ref="AD896:AQ896"/>
    <mergeCell ref="B897:P897"/>
    <mergeCell ref="AD897:AQ897"/>
    <mergeCell ref="B898:P898"/>
    <mergeCell ref="B899:P899"/>
    <mergeCell ref="B901:P901"/>
    <mergeCell ref="B902:P902"/>
    <mergeCell ref="B926:P926"/>
    <mergeCell ref="B927:P927"/>
    <mergeCell ref="AD892:AQ892"/>
    <mergeCell ref="B843:P843"/>
    <mergeCell ref="B844:P844"/>
    <mergeCell ref="B845:P845"/>
    <mergeCell ref="B846:P846"/>
    <mergeCell ref="B847:P847"/>
    <mergeCell ref="B871:P871"/>
    <mergeCell ref="B872:P872"/>
    <mergeCell ref="B873:P873"/>
    <mergeCell ref="B874:P874"/>
    <mergeCell ref="B875:P875"/>
    <mergeCell ref="B876:P876"/>
    <mergeCell ref="B842:P842"/>
    <mergeCell ref="V358:AM358"/>
    <mergeCell ref="A778:R778"/>
    <mergeCell ref="A779:R779"/>
    <mergeCell ref="A780:R780"/>
    <mergeCell ref="A781:R781"/>
    <mergeCell ref="A783:R783"/>
    <mergeCell ref="A819:R819"/>
    <mergeCell ref="A820:R820"/>
    <mergeCell ref="A821:R821"/>
    <mergeCell ref="A822:R822"/>
    <mergeCell ref="A824:R824"/>
    <mergeCell ref="A8:R8"/>
    <mergeCell ref="A2:R2"/>
    <mergeCell ref="A3:R3"/>
    <mergeCell ref="A4:R4"/>
    <mergeCell ref="A5:R5"/>
    <mergeCell ref="A6:R6"/>
  </mergeCells>
  <conditionalFormatting sqref="S936:S949">
    <cfRule type="cellIs" dxfId="39" priority="3" operator="lessThan">
      <formula>0</formula>
    </cfRule>
    <cfRule type="cellIs" dxfId="38" priority="4" operator="greaterThan">
      <formula>0</formula>
    </cfRule>
  </conditionalFormatting>
  <conditionalFormatting sqref="S963:S974">
    <cfRule type="cellIs" dxfId="37" priority="1" operator="lessThan">
      <formula>0</formula>
    </cfRule>
    <cfRule type="cellIs" dxfId="36" priority="2" operator="greaterThan">
      <formula>0</formula>
    </cfRule>
  </conditionalFormatting>
  <printOptions horizontalCentered="1"/>
  <pageMargins left="0.25" right="0.25" top="0.25" bottom="0.25" header="0" footer="0"/>
  <pageSetup paperSize="17" scale="82" orientation="landscape" r:id="rId1"/>
  <headerFooter alignWithMargins="0"/>
  <rowBreaks count="5" manualBreakCount="5">
    <brk id="775" max="17" man="1"/>
    <brk id="815" max="17" man="1"/>
    <brk id="868" max="18" man="1"/>
    <brk id="896" max="18" man="1"/>
    <brk id="864" min="28" max="46"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8B038-8056-40C9-8E22-A2811B531079}">
  <sheetPr codeName="Sheet22">
    <pageSetUpPr fitToPage="1"/>
  </sheetPr>
  <dimension ref="A1:AX1112"/>
  <sheetViews>
    <sheetView zoomScale="80" zoomScaleNormal="80" workbookViewId="0">
      <selection activeCell="W17" sqref="W17"/>
    </sheetView>
  </sheetViews>
  <sheetFormatPr defaultColWidth="8.77734375" defaultRowHeight="15.6" x14ac:dyDescent="0.3"/>
  <cols>
    <col min="1" max="1" width="48.21875" style="4" customWidth="1"/>
    <col min="2" max="3" width="11.21875" style="4" customWidth="1"/>
    <col min="4" max="4" width="12.44140625" style="4" customWidth="1"/>
    <col min="5" max="5" width="14" style="4" customWidth="1"/>
    <col min="6" max="7" width="11.21875" style="4" customWidth="1"/>
    <col min="8" max="8" width="11.77734375" style="4" bestFit="1" customWidth="1"/>
    <col min="9" max="9" width="13.109375" style="4" customWidth="1"/>
    <col min="10" max="10" width="11.77734375" style="4" bestFit="1" customWidth="1"/>
    <col min="11" max="12" width="11.21875" style="4" bestFit="1" customWidth="1"/>
    <col min="13" max="13" width="15" style="4" customWidth="1"/>
    <col min="14" max="14" width="11.21875" style="4" bestFit="1" customWidth="1"/>
    <col min="15" max="15" width="11.77734375" style="4" bestFit="1" customWidth="1"/>
    <col min="16" max="16" width="11.21875" style="4" bestFit="1" customWidth="1"/>
    <col min="17" max="17" width="13" style="4" customWidth="1"/>
    <col min="18" max="18" width="14.21875" style="4" customWidth="1"/>
    <col min="19" max="19" width="15.21875" style="4" customWidth="1"/>
    <col min="20" max="20" width="11.21875" style="4" bestFit="1" customWidth="1"/>
    <col min="21" max="21" width="8.77734375" style="4"/>
    <col min="22" max="22" width="11.6640625" style="4" customWidth="1"/>
    <col min="23" max="23" width="13.6640625" style="4" customWidth="1"/>
    <col min="24" max="24" width="12.44140625" style="4" customWidth="1"/>
    <col min="25" max="25" width="13.109375" style="4" customWidth="1"/>
    <col min="26" max="26" width="12.33203125" style="4" bestFit="1" customWidth="1"/>
    <col min="27" max="28" width="8.77734375" style="4"/>
    <col min="29" max="29" width="13.6640625" style="4" customWidth="1"/>
    <col min="30" max="34" width="8.77734375" style="4"/>
    <col min="35" max="35" width="11.6640625" style="4" customWidth="1"/>
    <col min="36" max="48" width="8.77734375" style="4"/>
    <col min="49" max="49" width="21.33203125" style="4" customWidth="1"/>
    <col min="50" max="50" width="20.88671875" style="4" bestFit="1" customWidth="1"/>
    <col min="51" max="16384" width="8.77734375" style="4"/>
  </cols>
  <sheetData>
    <row r="1" spans="1:36" x14ac:dyDescent="0.3">
      <c r="A1" s="1"/>
      <c r="B1" s="1"/>
      <c r="C1" s="1"/>
      <c r="D1" s="1"/>
      <c r="E1" s="1"/>
      <c r="F1" s="1"/>
      <c r="G1" s="1"/>
      <c r="H1" s="1"/>
      <c r="I1" s="1"/>
      <c r="J1" s="1"/>
      <c r="K1" s="1"/>
      <c r="L1" s="1"/>
      <c r="M1" s="1"/>
      <c r="N1" s="1"/>
      <c r="O1" s="1"/>
      <c r="P1" s="1"/>
      <c r="Q1" s="2" t="s">
        <v>0</v>
      </c>
      <c r="R1" s="3">
        <f ca="1">NOW()</f>
        <v>44894.658168402777</v>
      </c>
    </row>
    <row r="2" spans="1:36" ht="19.5" customHeight="1" x14ac:dyDescent="0.35">
      <c r="A2" s="384"/>
      <c r="B2" s="384"/>
      <c r="C2" s="384"/>
      <c r="D2" s="384"/>
      <c r="E2" s="384"/>
      <c r="F2" s="384"/>
      <c r="G2" s="384"/>
      <c r="H2" s="384"/>
      <c r="I2" s="384"/>
      <c r="J2" s="384"/>
      <c r="K2" s="384"/>
      <c r="L2" s="384"/>
      <c r="M2" s="384"/>
      <c r="N2" s="384"/>
      <c r="O2" s="384"/>
      <c r="P2" s="384"/>
      <c r="Q2" s="384"/>
      <c r="R2" s="384"/>
    </row>
    <row r="3" spans="1:36" ht="19.5" customHeight="1" x14ac:dyDescent="0.35">
      <c r="A3" s="384" t="s">
        <v>2</v>
      </c>
      <c r="B3" s="384"/>
      <c r="C3" s="384"/>
      <c r="D3" s="384"/>
      <c r="E3" s="384"/>
      <c r="F3" s="384"/>
      <c r="G3" s="384"/>
      <c r="H3" s="384"/>
      <c r="I3" s="384"/>
      <c r="J3" s="384"/>
      <c r="K3" s="384"/>
      <c r="L3" s="384"/>
      <c r="M3" s="384"/>
      <c r="N3" s="384"/>
      <c r="O3" s="384"/>
      <c r="P3" s="384"/>
      <c r="Q3" s="384"/>
      <c r="R3" s="384"/>
    </row>
    <row r="4" spans="1:36" ht="19.5" customHeight="1" x14ac:dyDescent="0.35">
      <c r="A4" s="385" t="s">
        <v>3</v>
      </c>
      <c r="B4" s="385"/>
      <c r="C4" s="385"/>
      <c r="D4" s="385"/>
      <c r="E4" s="385"/>
      <c r="F4" s="385"/>
      <c r="G4" s="385"/>
      <c r="H4" s="385"/>
      <c r="I4" s="385"/>
      <c r="J4" s="385"/>
      <c r="K4" s="385"/>
      <c r="L4" s="385"/>
      <c r="M4" s="385"/>
      <c r="N4" s="385"/>
      <c r="O4" s="385"/>
      <c r="P4" s="385"/>
      <c r="Q4" s="385"/>
      <c r="R4" s="385"/>
    </row>
    <row r="5" spans="1:36" ht="19.5" customHeight="1" x14ac:dyDescent="0.35">
      <c r="A5" s="386">
        <v>2017</v>
      </c>
      <c r="B5" s="386"/>
      <c r="C5" s="386"/>
      <c r="D5" s="386"/>
      <c r="E5" s="386"/>
      <c r="F5" s="386"/>
      <c r="G5" s="386"/>
      <c r="H5" s="386"/>
      <c r="I5" s="386"/>
      <c r="J5" s="386"/>
      <c r="K5" s="386"/>
      <c r="L5" s="386"/>
      <c r="M5" s="386"/>
      <c r="N5" s="386"/>
      <c r="O5" s="386"/>
      <c r="P5" s="386"/>
      <c r="Q5" s="386"/>
      <c r="R5" s="386"/>
    </row>
    <row r="6" spans="1:36" ht="19.5" customHeight="1" x14ac:dyDescent="0.35">
      <c r="A6" s="385" t="s">
        <v>948</v>
      </c>
      <c r="B6" s="385"/>
      <c r="C6" s="385"/>
      <c r="D6" s="385"/>
      <c r="E6" s="385"/>
      <c r="F6" s="385"/>
      <c r="G6" s="385"/>
      <c r="H6" s="385"/>
      <c r="I6" s="385"/>
      <c r="J6" s="385"/>
      <c r="K6" s="385"/>
      <c r="L6" s="385"/>
      <c r="M6" s="385"/>
      <c r="N6" s="385"/>
      <c r="O6" s="385"/>
      <c r="P6" s="385"/>
      <c r="Q6" s="385"/>
      <c r="R6" s="385"/>
    </row>
    <row r="7" spans="1:36" ht="19.5" customHeight="1" x14ac:dyDescent="0.35">
      <c r="A7" s="5"/>
      <c r="B7" s="5"/>
      <c r="C7" s="5"/>
      <c r="D7" s="5"/>
      <c r="E7" s="5"/>
      <c r="F7" s="5"/>
      <c r="G7" s="5"/>
      <c r="H7" s="5"/>
      <c r="I7" s="5"/>
      <c r="J7" s="5"/>
      <c r="K7" s="5"/>
      <c r="L7" s="5"/>
      <c r="M7" s="5"/>
      <c r="N7" s="5"/>
      <c r="O7" s="5"/>
      <c r="P7" s="5"/>
      <c r="Q7" s="5"/>
      <c r="R7" s="5"/>
    </row>
    <row r="8" spans="1:36" ht="15.75" customHeight="1" x14ac:dyDescent="0.3">
      <c r="A8" s="383" t="s">
        <v>949</v>
      </c>
      <c r="B8" s="383"/>
      <c r="C8" s="383"/>
      <c r="D8" s="383"/>
      <c r="E8" s="383"/>
      <c r="F8" s="383"/>
      <c r="G8" s="383"/>
      <c r="H8" s="383"/>
      <c r="I8" s="383"/>
      <c r="J8" s="383"/>
      <c r="K8" s="383"/>
      <c r="L8" s="383"/>
      <c r="M8" s="383"/>
      <c r="N8" s="383"/>
      <c r="O8" s="383"/>
      <c r="P8" s="383"/>
      <c r="Q8" s="383"/>
      <c r="R8" s="383"/>
    </row>
    <row r="9" spans="1:36" ht="15.75" customHeight="1" x14ac:dyDescent="0.3">
      <c r="A9" s="7"/>
      <c r="B9" s="8"/>
      <c r="C9" s="8"/>
      <c r="D9" s="8"/>
      <c r="E9" s="8"/>
      <c r="F9" s="8"/>
      <c r="G9" s="8"/>
      <c r="H9" s="8"/>
      <c r="I9" s="8"/>
      <c r="J9" s="8"/>
      <c r="K9" s="8"/>
      <c r="L9" s="8"/>
      <c r="M9" s="8"/>
      <c r="N9" s="8"/>
      <c r="O9" s="8"/>
      <c r="P9" s="8"/>
      <c r="Q9" s="8"/>
      <c r="R9" s="8"/>
    </row>
    <row r="10" spans="1:36" ht="16.2" thickBot="1" x14ac:dyDescent="0.35">
      <c r="A10" s="1" t="s">
        <v>6</v>
      </c>
      <c r="B10" s="1">
        <v>31</v>
      </c>
      <c r="C10" s="1">
        <v>28</v>
      </c>
      <c r="D10" s="1">
        <v>31</v>
      </c>
      <c r="E10" s="1"/>
      <c r="F10" s="1">
        <v>30</v>
      </c>
      <c r="G10" s="1">
        <v>31</v>
      </c>
      <c r="H10" s="1">
        <v>30</v>
      </c>
      <c r="I10" s="1"/>
      <c r="J10" s="1">
        <v>31</v>
      </c>
      <c r="K10" s="1">
        <v>31</v>
      </c>
      <c r="L10" s="1">
        <v>30</v>
      </c>
      <c r="M10" s="1"/>
      <c r="N10" s="1">
        <v>31</v>
      </c>
      <c r="O10" s="1">
        <v>30</v>
      </c>
      <c r="P10" s="1">
        <v>31</v>
      </c>
      <c r="Q10" s="1"/>
      <c r="R10" s="1"/>
    </row>
    <row r="11" spans="1:36" ht="15.75" customHeight="1" thickBot="1" x14ac:dyDescent="0.35">
      <c r="A11" s="9" t="s">
        <v>7</v>
      </c>
      <c r="B11" s="10" t="s">
        <v>8</v>
      </c>
      <c r="C11" s="11" t="s">
        <v>9</v>
      </c>
      <c r="D11" s="11" t="s">
        <v>10</v>
      </c>
      <c r="E11" s="12" t="s">
        <v>11</v>
      </c>
      <c r="F11" s="11" t="s">
        <v>12</v>
      </c>
      <c r="G11" s="11" t="s">
        <v>13</v>
      </c>
      <c r="H11" s="11" t="s">
        <v>14</v>
      </c>
      <c r="I11" s="12" t="s">
        <v>15</v>
      </c>
      <c r="J11" s="11" t="s">
        <v>16</v>
      </c>
      <c r="K11" s="11" t="s">
        <v>17</v>
      </c>
      <c r="L11" s="11" t="s">
        <v>18</v>
      </c>
      <c r="M11" s="12" t="s">
        <v>19</v>
      </c>
      <c r="N11" s="11" t="s">
        <v>20</v>
      </c>
      <c r="O11" s="11" t="s">
        <v>21</v>
      </c>
      <c r="P11" s="11" t="s">
        <v>22</v>
      </c>
      <c r="Q11" s="12" t="s">
        <v>23</v>
      </c>
      <c r="R11" s="13" t="s">
        <v>24</v>
      </c>
    </row>
    <row r="12" spans="1:36" ht="16.5" customHeight="1" thickBot="1" x14ac:dyDescent="0.35">
      <c r="A12" s="14"/>
      <c r="B12" s="15"/>
      <c r="C12" s="15"/>
      <c r="D12" s="15"/>
      <c r="E12" s="16"/>
      <c r="F12" s="15"/>
      <c r="G12" s="15"/>
      <c r="H12" s="15"/>
      <c r="I12" s="16"/>
      <c r="J12" s="15"/>
      <c r="K12" s="15"/>
      <c r="L12" s="15"/>
      <c r="M12" s="16"/>
      <c r="N12" s="15"/>
      <c r="O12" s="15"/>
      <c r="P12" s="15"/>
      <c r="Q12" s="16"/>
      <c r="R12" s="16"/>
    </row>
    <row r="13" spans="1:36" ht="15.75" customHeight="1" x14ac:dyDescent="0.3">
      <c r="A13" s="17" t="s">
        <v>25</v>
      </c>
      <c r="B13" s="1">
        <f>+B872</f>
        <v>44141</v>
      </c>
      <c r="C13" s="1">
        <f>+C872</f>
        <v>49345</v>
      </c>
      <c r="D13" s="1">
        <f>+D872</f>
        <v>109644</v>
      </c>
      <c r="E13" s="18">
        <f>SUM(B13:D13)</f>
        <v>203130</v>
      </c>
      <c r="F13" s="1">
        <f>+F872</f>
        <v>147631</v>
      </c>
      <c r="G13" s="1">
        <f>+G872</f>
        <v>147226</v>
      </c>
      <c r="H13" s="1">
        <f>+H872</f>
        <v>193124</v>
      </c>
      <c r="I13" s="18">
        <f t="shared" ref="I13:I19" si="0">SUM(F13:H13)</f>
        <v>487981</v>
      </c>
      <c r="J13" s="1">
        <f>+J872</f>
        <v>170239</v>
      </c>
      <c r="K13" s="1">
        <f>+K872</f>
        <v>162968</v>
      </c>
      <c r="L13" s="1">
        <f>+L872</f>
        <v>131170</v>
      </c>
      <c r="M13" s="18">
        <f t="shared" ref="M13:M20" si="1">SUM(J13:L13)</f>
        <v>464377</v>
      </c>
      <c r="N13" s="1">
        <f>+N872</f>
        <v>79636</v>
      </c>
      <c r="O13" s="1">
        <f>+O872</f>
        <v>54330</v>
      </c>
      <c r="P13" s="1">
        <f>+P872</f>
        <v>67861</v>
      </c>
      <c r="Q13" s="19">
        <f t="shared" ref="Q13:Q19" si="2">SUM(N13:P13)</f>
        <v>201827</v>
      </c>
      <c r="R13" s="18">
        <f t="shared" ref="R13:R20" si="3">+E13+I13+M13+Q13</f>
        <v>1357315</v>
      </c>
      <c r="S13" s="4">
        <f>1495413+25265</f>
        <v>1520678</v>
      </c>
      <c r="T13" s="4">
        <f>+R13-S13</f>
        <v>-163363</v>
      </c>
      <c r="U13" s="4">
        <f>+R13-1478209</f>
        <v>-120894</v>
      </c>
      <c r="V13" s="21"/>
      <c r="W13" s="21"/>
      <c r="X13" s="21"/>
      <c r="Z13" s="21"/>
      <c r="AA13" s="21"/>
      <c r="AB13" s="21"/>
      <c r="AD13" s="21"/>
      <c r="AE13" s="21"/>
      <c r="AF13" s="21"/>
      <c r="AH13" s="21"/>
      <c r="AI13" s="21"/>
      <c r="AJ13" s="21"/>
    </row>
    <row r="14" spans="1:36" ht="15.75" customHeight="1" x14ac:dyDescent="0.3">
      <c r="A14" s="17" t="s">
        <v>27</v>
      </c>
      <c r="B14" s="1">
        <f>B25+B60+B127+B305+B467+B515+B559+B617+B627+B663+B711+B721+B755+B804</f>
        <v>739</v>
      </c>
      <c r="C14" s="1">
        <f>C25+C60+C127+C305+C467+C515+C559+C617+C627+C663+C711+C721+C755+C804</f>
        <v>1283</v>
      </c>
      <c r="D14" s="1">
        <f>D25+D60+D127+D305+D467+D515+D559+D617+D627+D663+D711+D721+D755+D804</f>
        <v>2185</v>
      </c>
      <c r="E14" s="18">
        <f t="shared" ref="E14:E19" si="4">SUM(B14:D14)</f>
        <v>4207</v>
      </c>
      <c r="F14" s="1">
        <f>F25+F60+F127+F305+F467+F515+F559+F617+F627+F663+F711+F721+F755+F804</f>
        <v>2959</v>
      </c>
      <c r="G14" s="1">
        <f>G25+G60+G127+G305+G467+G515+G559+G617+G627+G663+G711+G721+G755+G804</f>
        <v>3425</v>
      </c>
      <c r="H14" s="1">
        <f>H25+H60+H127+H305+H467+H515+H559+H617+H627+H663+H711+H721+H755+H804</f>
        <v>3464</v>
      </c>
      <c r="I14" s="18">
        <f t="shared" si="0"/>
        <v>9848</v>
      </c>
      <c r="J14" s="1">
        <f>J25+J60+J127+J305+J467+J515+J559+J617+J627+J663+J711+J721+J755+J804</f>
        <v>3382</v>
      </c>
      <c r="K14" s="1">
        <f>K25+K60+K127+K305+K467+K515+K559+K617+K627+K663+K711+K721+K755+K804</f>
        <v>2663</v>
      </c>
      <c r="L14" s="1">
        <f>L25+L60+L127+L305+L467+L515+L559+L617+L627+L663+L711+L721+L755+L804</f>
        <v>2559</v>
      </c>
      <c r="M14" s="18">
        <f t="shared" si="1"/>
        <v>8604</v>
      </c>
      <c r="N14" s="1">
        <f>N25+N60+N127+N305+N467+N515+N559+N617+N627+N663+N711+N721+N755+N804</f>
        <v>2343</v>
      </c>
      <c r="O14" s="1">
        <f>O25+O60+O127+O305+O467+O515+O559+O617+O627+O663+O711+O721+O755+O804</f>
        <v>1892</v>
      </c>
      <c r="P14" s="1">
        <f>P25+P60+P127+P305+P467+P515+P559+P617+P627+P663+P711+P721+P755+P804</f>
        <v>1423</v>
      </c>
      <c r="Q14" s="19">
        <f t="shared" si="2"/>
        <v>5658</v>
      </c>
      <c r="R14" s="18">
        <f t="shared" si="3"/>
        <v>28317</v>
      </c>
    </row>
    <row r="15" spans="1:36" ht="15.75" customHeight="1" x14ac:dyDescent="0.3">
      <c r="A15" s="17" t="s">
        <v>29</v>
      </c>
      <c r="B15" s="1">
        <f>B300</f>
        <v>0</v>
      </c>
      <c r="C15" s="1">
        <f>C300</f>
        <v>960</v>
      </c>
      <c r="D15" s="1">
        <f>D300</f>
        <v>3970</v>
      </c>
      <c r="E15" s="18">
        <f t="shared" si="4"/>
        <v>4930</v>
      </c>
      <c r="F15" s="1">
        <f>F300</f>
        <v>71</v>
      </c>
      <c r="G15" s="1">
        <f>G300</f>
        <v>2230</v>
      </c>
      <c r="H15" s="1">
        <f>H300</f>
        <v>3740</v>
      </c>
      <c r="I15" s="18">
        <f t="shared" si="0"/>
        <v>6041</v>
      </c>
      <c r="J15" s="1">
        <f>J300</f>
        <v>2096</v>
      </c>
      <c r="K15" s="1">
        <f>K300</f>
        <v>985</v>
      </c>
      <c r="L15" s="1">
        <f>L300</f>
        <v>3198</v>
      </c>
      <c r="M15" s="18">
        <f t="shared" si="1"/>
        <v>6279</v>
      </c>
      <c r="N15" s="1">
        <f>N300</f>
        <v>3450</v>
      </c>
      <c r="O15" s="1">
        <f>O300</f>
        <v>5218</v>
      </c>
      <c r="P15" s="1">
        <f>P300</f>
        <v>1302</v>
      </c>
      <c r="Q15" s="19">
        <f t="shared" si="2"/>
        <v>9970</v>
      </c>
      <c r="R15" s="18">
        <f t="shared" si="3"/>
        <v>27220</v>
      </c>
    </row>
    <row r="16" spans="1:36" ht="15.75" customHeight="1" x14ac:dyDescent="0.3">
      <c r="A16" s="22" t="s">
        <v>30</v>
      </c>
      <c r="B16" s="1">
        <f>+B301</f>
        <v>0</v>
      </c>
      <c r="C16" s="1">
        <f>+C301</f>
        <v>0</v>
      </c>
      <c r="D16" s="1">
        <f>+D301</f>
        <v>0</v>
      </c>
      <c r="E16" s="18">
        <f t="shared" si="4"/>
        <v>0</v>
      </c>
      <c r="F16" s="1">
        <f>+F301</f>
        <v>0</v>
      </c>
      <c r="G16" s="1">
        <f>+G301</f>
        <v>0</v>
      </c>
      <c r="H16" s="1">
        <f>+H301</f>
        <v>0</v>
      </c>
      <c r="I16" s="18">
        <f t="shared" si="0"/>
        <v>0</v>
      </c>
      <c r="J16" s="1">
        <f>+J301</f>
        <v>0</v>
      </c>
      <c r="K16" s="1">
        <f>+K301</f>
        <v>0</v>
      </c>
      <c r="L16" s="1">
        <f>+L301</f>
        <v>0</v>
      </c>
      <c r="M16" s="18">
        <f t="shared" si="1"/>
        <v>0</v>
      </c>
      <c r="N16" s="1">
        <f>+N301</f>
        <v>0</v>
      </c>
      <c r="O16" s="1">
        <f>+O301</f>
        <v>0</v>
      </c>
      <c r="P16" s="1">
        <f>+P301</f>
        <v>0</v>
      </c>
      <c r="Q16" s="19">
        <f t="shared" si="2"/>
        <v>0</v>
      </c>
      <c r="R16" s="18">
        <f t="shared" si="3"/>
        <v>0</v>
      </c>
    </row>
    <row r="17" spans="1:20" ht="15.75" customHeight="1" x14ac:dyDescent="0.3">
      <c r="A17" s="23" t="s">
        <v>31</v>
      </c>
      <c r="B17" s="1">
        <f>B304</f>
        <v>83310</v>
      </c>
      <c r="C17" s="1">
        <f>C304</f>
        <v>16480</v>
      </c>
      <c r="D17" s="1">
        <f>D304</f>
        <v>20055</v>
      </c>
      <c r="E17" s="18">
        <f t="shared" si="4"/>
        <v>119845</v>
      </c>
      <c r="F17" s="1">
        <f>F304</f>
        <v>9498</v>
      </c>
      <c r="G17" s="1">
        <f>G304</f>
        <v>24625</v>
      </c>
      <c r="H17" s="1">
        <f>H304</f>
        <v>0</v>
      </c>
      <c r="I17" s="18">
        <f t="shared" si="0"/>
        <v>34123</v>
      </c>
      <c r="J17" s="1">
        <f>J304</f>
        <v>0</v>
      </c>
      <c r="K17" s="1">
        <f>K304</f>
        <v>0</v>
      </c>
      <c r="L17" s="1">
        <f>L304</f>
        <v>9609</v>
      </c>
      <c r="M17" s="18">
        <f t="shared" si="1"/>
        <v>9609</v>
      </c>
      <c r="N17" s="1">
        <f>N304</f>
        <v>44152</v>
      </c>
      <c r="O17" s="1">
        <f>O304</f>
        <v>65541</v>
      </c>
      <c r="P17" s="1">
        <f>P304</f>
        <v>70977</v>
      </c>
      <c r="Q17" s="19">
        <f t="shared" si="2"/>
        <v>180670</v>
      </c>
      <c r="R17" s="18">
        <f t="shared" si="3"/>
        <v>344247</v>
      </c>
    </row>
    <row r="18" spans="1:20" ht="15.75" customHeight="1" x14ac:dyDescent="0.3">
      <c r="A18" s="23" t="s">
        <v>32</v>
      </c>
      <c r="B18" s="1">
        <f>B316</f>
        <v>-3647</v>
      </c>
      <c r="C18" s="1">
        <f>C316</f>
        <v>-7866</v>
      </c>
      <c r="D18" s="1">
        <f>D316</f>
        <v>-207</v>
      </c>
      <c r="E18" s="18">
        <f t="shared" si="4"/>
        <v>-11720</v>
      </c>
      <c r="F18" s="1">
        <f>F316</f>
        <v>-6</v>
      </c>
      <c r="G18" s="1">
        <f>G316</f>
        <v>-1492</v>
      </c>
      <c r="H18" s="1">
        <f>H316</f>
        <v>-117578</v>
      </c>
      <c r="I18" s="18">
        <f t="shared" si="0"/>
        <v>-119076</v>
      </c>
      <c r="J18" s="1">
        <f>J316</f>
        <v>-100321</v>
      </c>
      <c r="K18" s="1">
        <f>K316</f>
        <v>-94421</v>
      </c>
      <c r="L18" s="1">
        <f>L316</f>
        <v>-13817</v>
      </c>
      <c r="M18" s="18">
        <f t="shared" si="1"/>
        <v>-208559</v>
      </c>
      <c r="N18" s="1">
        <f>N316</f>
        <v>0</v>
      </c>
      <c r="O18" s="1">
        <f>O316</f>
        <v>0</v>
      </c>
      <c r="P18" s="1">
        <f>P316</f>
        <v>-76</v>
      </c>
      <c r="Q18" s="19">
        <f t="shared" si="2"/>
        <v>-76</v>
      </c>
      <c r="R18" s="18">
        <f t="shared" si="3"/>
        <v>-339431</v>
      </c>
    </row>
    <row r="19" spans="1:20" ht="16.5" customHeight="1" thickBot="1" x14ac:dyDescent="0.35">
      <c r="A19" s="24" t="s">
        <v>33</v>
      </c>
      <c r="B19" s="25">
        <f>(B29)</f>
        <v>124543</v>
      </c>
      <c r="C19" s="25">
        <f>(C29)</f>
        <v>60202</v>
      </c>
      <c r="D19" s="25">
        <f>(D29)</f>
        <v>135647</v>
      </c>
      <c r="E19" s="26">
        <f t="shared" si="4"/>
        <v>320392</v>
      </c>
      <c r="F19" s="25">
        <f>(F29)</f>
        <v>160153</v>
      </c>
      <c r="G19" s="25">
        <f>(G29)</f>
        <v>176014</v>
      </c>
      <c r="H19" s="25">
        <f>(H29)</f>
        <v>82750</v>
      </c>
      <c r="I19" s="26">
        <f t="shared" si="0"/>
        <v>418917</v>
      </c>
      <c r="J19" s="25">
        <f>(J29)</f>
        <v>75396</v>
      </c>
      <c r="K19" s="25">
        <f>(K29)</f>
        <v>72195</v>
      </c>
      <c r="L19" s="25">
        <f>(L29)</f>
        <v>132719</v>
      </c>
      <c r="M19" s="26">
        <f t="shared" si="1"/>
        <v>280310</v>
      </c>
      <c r="N19" s="25">
        <f>(N29)</f>
        <v>129581</v>
      </c>
      <c r="O19" s="25">
        <f>(O29)</f>
        <v>126981</v>
      </c>
      <c r="P19" s="25">
        <f>(P29)</f>
        <v>141369</v>
      </c>
      <c r="Q19" s="27">
        <f t="shared" si="2"/>
        <v>397931</v>
      </c>
      <c r="R19" s="26">
        <f t="shared" si="3"/>
        <v>1417550</v>
      </c>
      <c r="S19" s="4">
        <v>1472000</v>
      </c>
      <c r="T19" s="4" t="s">
        <v>897</v>
      </c>
    </row>
    <row r="20" spans="1:20" ht="16.5" customHeight="1" thickBot="1" x14ac:dyDescent="0.35">
      <c r="A20" s="24" t="s">
        <v>34</v>
      </c>
      <c r="B20" s="25">
        <v>126924</v>
      </c>
      <c r="C20" s="25">
        <v>62359</v>
      </c>
      <c r="D20" s="25">
        <v>136275</v>
      </c>
      <c r="E20" s="26">
        <f>SUM(B20:D20)</f>
        <v>325558</v>
      </c>
      <c r="F20" s="25">
        <v>159848</v>
      </c>
      <c r="G20" s="25">
        <v>174612</v>
      </c>
      <c r="H20" s="25">
        <v>79014</v>
      </c>
      <c r="I20" s="26">
        <f>SUM(F20:H20)</f>
        <v>413474</v>
      </c>
      <c r="J20" s="25">
        <v>71258</v>
      </c>
      <c r="K20" s="25">
        <v>70184</v>
      </c>
      <c r="L20" s="25">
        <v>134073</v>
      </c>
      <c r="M20" s="26">
        <f t="shared" si="1"/>
        <v>275515</v>
      </c>
      <c r="N20" s="25">
        <v>130498</v>
      </c>
      <c r="O20" s="25">
        <v>126715</v>
      </c>
      <c r="P20" s="25">
        <v>143853</v>
      </c>
      <c r="Q20" s="27">
        <f>SUM(N20:P20)</f>
        <v>401066</v>
      </c>
      <c r="R20" s="26">
        <f t="shared" si="3"/>
        <v>1415613</v>
      </c>
    </row>
    <row r="21" spans="1:20" ht="15.75" customHeight="1" x14ac:dyDescent="0.3">
      <c r="A21" s="1"/>
      <c r="B21" s="1"/>
      <c r="C21" s="1"/>
      <c r="D21" s="1"/>
      <c r="E21" s="1"/>
      <c r="F21" s="1"/>
      <c r="G21" s="1"/>
      <c r="H21" s="1"/>
      <c r="I21" s="1"/>
      <c r="J21" s="1"/>
      <c r="K21" s="1"/>
      <c r="L21" s="1"/>
      <c r="M21" s="1"/>
      <c r="N21" s="1"/>
      <c r="O21" s="1"/>
      <c r="P21" s="1"/>
      <c r="Q21" s="1"/>
      <c r="R21" s="28"/>
    </row>
    <row r="22" spans="1:20" ht="15.75" customHeight="1" thickBot="1" x14ac:dyDescent="0.35">
      <c r="A22" s="1"/>
      <c r="B22" s="1"/>
      <c r="C22" s="1"/>
      <c r="D22" s="1"/>
      <c r="E22" s="1"/>
      <c r="F22" s="29" t="s">
        <v>7</v>
      </c>
      <c r="G22" s="29" t="s">
        <v>7</v>
      </c>
      <c r="H22" s="1"/>
      <c r="I22" s="1"/>
      <c r="J22" s="1"/>
      <c r="K22" s="1"/>
      <c r="L22" s="1"/>
      <c r="M22" s="1"/>
      <c r="N22" s="29" t="s">
        <v>7</v>
      </c>
      <c r="O22" s="29" t="s">
        <v>7</v>
      </c>
      <c r="P22" s="29" t="s">
        <v>7</v>
      </c>
      <c r="Q22" s="29"/>
      <c r="R22" s="30" t="s">
        <v>7</v>
      </c>
    </row>
    <row r="23" spans="1:20" ht="16.5" customHeight="1" thickBot="1" x14ac:dyDescent="0.35">
      <c r="A23" s="31" t="s">
        <v>35</v>
      </c>
      <c r="B23" s="323" t="s">
        <v>36</v>
      </c>
      <c r="C23" s="324" t="s">
        <v>9</v>
      </c>
      <c r="D23" s="324" t="s">
        <v>10</v>
      </c>
      <c r="E23" s="325" t="s">
        <v>11</v>
      </c>
      <c r="F23" s="324" t="s">
        <v>12</v>
      </c>
      <c r="G23" s="324" t="s">
        <v>13</v>
      </c>
      <c r="H23" s="324" t="s">
        <v>14</v>
      </c>
      <c r="I23" s="34" t="s">
        <v>15</v>
      </c>
      <c r="J23" s="324" t="s">
        <v>16</v>
      </c>
      <c r="K23" s="324" t="s">
        <v>17</v>
      </c>
      <c r="L23" s="324" t="s">
        <v>18</v>
      </c>
      <c r="M23" s="34" t="s">
        <v>19</v>
      </c>
      <c r="N23" s="324" t="s">
        <v>20</v>
      </c>
      <c r="O23" s="324" t="s">
        <v>21</v>
      </c>
      <c r="P23" s="324" t="s">
        <v>22</v>
      </c>
      <c r="Q23" s="34" t="s">
        <v>23</v>
      </c>
      <c r="R23" s="326" t="s">
        <v>24</v>
      </c>
    </row>
    <row r="24" spans="1:20" ht="16.5" customHeight="1" thickBot="1" x14ac:dyDescent="0.35">
      <c r="A24" s="36"/>
      <c r="B24" s="37"/>
      <c r="C24" s="37"/>
      <c r="D24" s="37"/>
      <c r="E24" s="38"/>
      <c r="F24" s="37"/>
      <c r="G24" s="37"/>
      <c r="H24" s="37"/>
      <c r="I24" s="38"/>
      <c r="J24" s="37"/>
      <c r="K24" s="37"/>
      <c r="L24" s="37"/>
      <c r="M24" s="38"/>
      <c r="N24" s="37"/>
      <c r="O24" s="37"/>
      <c r="P24" s="37"/>
      <c r="Q24" s="38"/>
      <c r="R24" s="39"/>
    </row>
    <row r="25" spans="1:20" ht="16.5" customHeight="1" thickBot="1" x14ac:dyDescent="0.35">
      <c r="A25" s="40" t="s">
        <v>37</v>
      </c>
      <c r="B25" s="25">
        <v>97</v>
      </c>
      <c r="C25" s="25">
        <v>148</v>
      </c>
      <c r="D25" s="25">
        <v>274</v>
      </c>
      <c r="E25" s="327">
        <f>SUM(B25:D25)</f>
        <v>519</v>
      </c>
      <c r="F25" s="25">
        <v>367</v>
      </c>
      <c r="G25" s="25">
        <v>425</v>
      </c>
      <c r="H25" s="25">
        <v>417</v>
      </c>
      <c r="I25" s="327">
        <f>SUM(F25:H25)</f>
        <v>1209</v>
      </c>
      <c r="J25" s="25">
        <v>416</v>
      </c>
      <c r="K25" s="25">
        <v>334</v>
      </c>
      <c r="L25" s="25">
        <v>316</v>
      </c>
      <c r="M25" s="327">
        <f>SUM(J25:L25)</f>
        <v>1066</v>
      </c>
      <c r="N25" s="25">
        <v>285</v>
      </c>
      <c r="O25" s="25">
        <v>235</v>
      </c>
      <c r="P25" s="25">
        <v>186</v>
      </c>
      <c r="Q25" s="327">
        <f>SUM(N25:P25)</f>
        <v>706</v>
      </c>
      <c r="R25" s="26">
        <f>+E25+I25+M25+Q25</f>
        <v>3500</v>
      </c>
    </row>
    <row r="26" spans="1:20" ht="17.25" customHeight="1" thickBot="1" x14ac:dyDescent="0.35">
      <c r="A26" s="42"/>
      <c r="B26" s="37"/>
      <c r="C26" s="37"/>
      <c r="D26" s="37"/>
      <c r="E26" s="43"/>
      <c r="F26" s="37"/>
      <c r="G26" s="37"/>
      <c r="H26" s="37"/>
      <c r="I26" s="43"/>
      <c r="J26" s="37"/>
      <c r="K26" s="37"/>
      <c r="L26" s="37"/>
      <c r="M26" s="43"/>
      <c r="N26" s="37"/>
      <c r="O26" s="37"/>
      <c r="P26" s="37"/>
      <c r="Q26" s="43"/>
      <c r="R26" s="44"/>
    </row>
    <row r="27" spans="1:20" ht="15.75" customHeight="1" x14ac:dyDescent="0.3">
      <c r="A27" s="17" t="s">
        <v>38</v>
      </c>
      <c r="B27" s="1">
        <f>B25</f>
        <v>97</v>
      </c>
      <c r="C27" s="1">
        <f>C25</f>
        <v>148</v>
      </c>
      <c r="D27" s="1">
        <f>D25</f>
        <v>274</v>
      </c>
      <c r="E27" s="327">
        <f>SUM(B27:D27)</f>
        <v>519</v>
      </c>
      <c r="F27" s="1">
        <f>F25</f>
        <v>367</v>
      </c>
      <c r="G27" s="1">
        <f>G25</f>
        <v>425</v>
      </c>
      <c r="H27" s="1">
        <f>H25</f>
        <v>417</v>
      </c>
      <c r="I27" s="327">
        <f>SUM(F27:H27)</f>
        <v>1209</v>
      </c>
      <c r="J27" s="1">
        <f>J25</f>
        <v>416</v>
      </c>
      <c r="K27" s="1">
        <f>K25</f>
        <v>334</v>
      </c>
      <c r="L27" s="1">
        <f>L25</f>
        <v>316</v>
      </c>
      <c r="M27" s="327">
        <f>SUM(J27:L27)</f>
        <v>1066</v>
      </c>
      <c r="N27" s="1">
        <f>N25</f>
        <v>285</v>
      </c>
      <c r="O27" s="1">
        <f>O25</f>
        <v>235</v>
      </c>
      <c r="P27" s="1">
        <f>P25</f>
        <v>186</v>
      </c>
      <c r="Q27" s="328">
        <f>SUM(N27:P27)</f>
        <v>706</v>
      </c>
      <c r="R27" s="327">
        <f>+E27+I27+M27+Q27</f>
        <v>3500</v>
      </c>
    </row>
    <row r="28" spans="1:20" ht="15.75" customHeight="1" x14ac:dyDescent="0.3">
      <c r="A28" s="17" t="s">
        <v>39</v>
      </c>
      <c r="B28" s="1">
        <f>(B27/B10)/1.983</f>
        <v>1.5779285214647079</v>
      </c>
      <c r="C28" s="1">
        <f>(C27/C10)/1.983</f>
        <v>2.6655140119587926</v>
      </c>
      <c r="D28" s="1">
        <f>(D27/D10)/1.983</f>
        <v>4.457241390529175</v>
      </c>
      <c r="E28" s="18"/>
      <c r="F28" s="1">
        <f>(F27/F10)/1.983</f>
        <v>6.1691040511010247</v>
      </c>
      <c r="G28" s="1">
        <f>(G27/G10)/1.983</f>
        <v>6.9136043466237203</v>
      </c>
      <c r="H28" s="1">
        <f>(H27/H10)/1.983</f>
        <v>7.0095814422592033</v>
      </c>
      <c r="I28" s="18"/>
      <c r="J28" s="1">
        <f>(J27/J10)/1.983</f>
        <v>6.7671986075187478</v>
      </c>
      <c r="K28" s="1">
        <f>(K27/K10)/1.983</f>
        <v>5.433279651228994</v>
      </c>
      <c r="L28" s="1">
        <f>(L27/L10)/1.983</f>
        <v>5.3118171121196838</v>
      </c>
      <c r="M28" s="18"/>
      <c r="N28" s="1">
        <f>(N27/N10)/1.983</f>
        <v>4.6361817383241419</v>
      </c>
      <c r="O28" s="1">
        <f>(O27/O10)/1.983</f>
        <v>3.9502437384434357</v>
      </c>
      <c r="P28" s="1">
        <f>(P27/P10)/1.983</f>
        <v>3.02571860816944</v>
      </c>
      <c r="Q28" s="19"/>
      <c r="R28" s="18"/>
    </row>
    <row r="29" spans="1:20" ht="15.75" customHeight="1" x14ac:dyDescent="0.3">
      <c r="A29" s="17" t="s">
        <v>40</v>
      </c>
      <c r="B29" s="1">
        <f>B27+B64</f>
        <v>124543</v>
      </c>
      <c r="C29" s="1">
        <f>C27+C64</f>
        <v>60202</v>
      </c>
      <c r="D29" s="1">
        <f>D27+D64</f>
        <v>135647</v>
      </c>
      <c r="E29" s="18">
        <f>SUM(B29:D29)</f>
        <v>320392</v>
      </c>
      <c r="F29" s="1">
        <f>F27+F64</f>
        <v>160153</v>
      </c>
      <c r="G29" s="1">
        <f>G27+G64</f>
        <v>176014</v>
      </c>
      <c r="H29" s="1">
        <f>H27+H64</f>
        <v>82750</v>
      </c>
      <c r="I29" s="18">
        <f>SUM(F29:H29)</f>
        <v>418917</v>
      </c>
      <c r="J29" s="1">
        <f>J27+J64</f>
        <v>75396</v>
      </c>
      <c r="K29" s="1">
        <f>K27+K64</f>
        <v>72195</v>
      </c>
      <c r="L29" s="1">
        <f>L27+L64</f>
        <v>132719</v>
      </c>
      <c r="M29" s="18">
        <f>SUM(J29:L29)</f>
        <v>280310</v>
      </c>
      <c r="N29" s="1">
        <f>N27+N64</f>
        <v>129581</v>
      </c>
      <c r="O29" s="1">
        <f>O27+O64</f>
        <v>126981</v>
      </c>
      <c r="P29" s="1">
        <f>P27+P64</f>
        <v>141369</v>
      </c>
      <c r="Q29" s="19">
        <f>SUM(N29:P29)</f>
        <v>397931</v>
      </c>
      <c r="R29" s="18">
        <f>+E29+I29+M29+Q29</f>
        <v>1417550</v>
      </c>
    </row>
    <row r="30" spans="1:20" s="50" customFormat="1" ht="16.5" customHeight="1" thickBot="1" x14ac:dyDescent="0.35">
      <c r="A30" s="46" t="s">
        <v>41</v>
      </c>
      <c r="B30" s="47">
        <f>(B29/B10)/1.983</f>
        <v>2025.97888503896</v>
      </c>
      <c r="C30" s="47">
        <f>(C29/C10)/1.983</f>
        <v>1084.2518550536704</v>
      </c>
      <c r="D30" s="47">
        <f>(D29/D10)/1.983</f>
        <v>2206.6110324858068</v>
      </c>
      <c r="E30" s="48"/>
      <c r="F30" s="47">
        <f>(F29/F10)/1.983</f>
        <v>2692.0995125231129</v>
      </c>
      <c r="G30" s="47">
        <f>(G29/G10)/1.983</f>
        <v>2863.2733069803003</v>
      </c>
      <c r="H30" s="47">
        <f>(H29/H10)/1.983</f>
        <v>1390.9900823667842</v>
      </c>
      <c r="I30" s="48"/>
      <c r="J30" s="47">
        <f>(J29/J10)/1.983</f>
        <v>1226.489678395393</v>
      </c>
      <c r="K30" s="47">
        <f>(K29/K10)/1.983</f>
        <v>1174.4180371870577</v>
      </c>
      <c r="L30" s="47">
        <f>(L29/L10)/1.983</f>
        <v>2230.9463775424438</v>
      </c>
      <c r="M30" s="48"/>
      <c r="N30" s="47">
        <f>(N29/N10)/1.983</f>
        <v>2107.9335643290551</v>
      </c>
      <c r="O30" s="47">
        <f>(O29/O10)/1.983</f>
        <v>2134.4931921331313</v>
      </c>
      <c r="P30" s="47">
        <f>(P29/P10)/1.983</f>
        <v>2299.6925479478791</v>
      </c>
      <c r="Q30" s="49"/>
      <c r="R30" s="48"/>
      <c r="T30" s="51" t="s">
        <v>42</v>
      </c>
    </row>
    <row r="31" spans="1:20" ht="15.75" customHeight="1" x14ac:dyDescent="0.3">
      <c r="A31" s="28"/>
      <c r="B31" s="1"/>
      <c r="C31" s="1"/>
      <c r="D31" s="1"/>
      <c r="E31" s="1"/>
      <c r="F31" s="1"/>
      <c r="G31" s="1"/>
      <c r="H31" s="1"/>
      <c r="I31" s="1"/>
      <c r="J31" s="1"/>
      <c r="K31" s="1"/>
      <c r="L31" s="1"/>
      <c r="M31" s="1"/>
      <c r="N31" s="1"/>
      <c r="O31" s="1"/>
      <c r="P31" s="1"/>
      <c r="Q31" s="1"/>
      <c r="R31" s="28"/>
      <c r="T31" s="52" t="s">
        <v>43</v>
      </c>
    </row>
    <row r="32" spans="1:20" ht="15.75" customHeight="1" thickBot="1" x14ac:dyDescent="0.35">
      <c r="A32" s="28"/>
      <c r="B32" s="1"/>
      <c r="C32" s="1"/>
      <c r="D32" s="1"/>
      <c r="E32" s="1"/>
      <c r="F32" s="1"/>
      <c r="G32" s="1"/>
      <c r="H32" s="1"/>
      <c r="I32" s="1"/>
      <c r="J32" s="1"/>
      <c r="K32" s="1"/>
      <c r="L32" s="1"/>
      <c r="M32" s="1"/>
      <c r="N32" s="1"/>
      <c r="O32" s="1"/>
      <c r="P32" s="1"/>
      <c r="Q32" s="1"/>
      <c r="R32" s="28"/>
    </row>
    <row r="33" spans="1:18" ht="15.75" customHeight="1" thickBot="1" x14ac:dyDescent="0.35">
      <c r="A33" s="329" t="s">
        <v>44</v>
      </c>
      <c r="B33" s="330" t="s">
        <v>36</v>
      </c>
      <c r="C33" s="331" t="s">
        <v>9</v>
      </c>
      <c r="D33" s="331" t="s">
        <v>10</v>
      </c>
      <c r="E33" s="325" t="s">
        <v>11</v>
      </c>
      <c r="F33" s="331" t="s">
        <v>12</v>
      </c>
      <c r="G33" s="331" t="s">
        <v>13</v>
      </c>
      <c r="H33" s="331" t="s">
        <v>14</v>
      </c>
      <c r="I33" s="325" t="s">
        <v>15</v>
      </c>
      <c r="J33" s="331" t="s">
        <v>16</v>
      </c>
      <c r="K33" s="331" t="s">
        <v>17</v>
      </c>
      <c r="L33" s="331" t="s">
        <v>18</v>
      </c>
      <c r="M33" s="325" t="s">
        <v>19</v>
      </c>
      <c r="N33" s="331" t="s">
        <v>20</v>
      </c>
      <c r="O33" s="331" t="s">
        <v>21</v>
      </c>
      <c r="P33" s="331" t="s">
        <v>22</v>
      </c>
      <c r="Q33" s="325" t="s">
        <v>23</v>
      </c>
      <c r="R33" s="332" t="s">
        <v>24</v>
      </c>
    </row>
    <row r="34" spans="1:18" ht="16.5" customHeight="1" thickBot="1" x14ac:dyDescent="0.35">
      <c r="A34" s="43"/>
      <c r="B34" s="55"/>
      <c r="C34" s="56"/>
      <c r="D34" s="56"/>
      <c r="E34" s="16"/>
      <c r="F34" s="56"/>
      <c r="G34" s="56"/>
      <c r="H34" s="56"/>
      <c r="I34" s="16"/>
      <c r="J34" s="56"/>
      <c r="K34" s="56"/>
      <c r="L34" s="56"/>
      <c r="M34" s="16"/>
      <c r="N34" s="56"/>
      <c r="O34" s="56"/>
      <c r="P34" s="56"/>
      <c r="Q34" s="16"/>
      <c r="R34" s="57"/>
    </row>
    <row r="35" spans="1:18" ht="15.75" customHeight="1" x14ac:dyDescent="0.3">
      <c r="A35" s="333" t="s">
        <v>45</v>
      </c>
      <c r="B35" s="30"/>
      <c r="C35" s="30"/>
      <c r="D35" s="30"/>
      <c r="E35" s="59" t="s">
        <v>7</v>
      </c>
      <c r="F35" s="30"/>
      <c r="G35" s="30"/>
      <c r="H35" s="30"/>
      <c r="I35" s="59" t="s">
        <v>7</v>
      </c>
      <c r="J35" s="30"/>
      <c r="K35" s="30"/>
      <c r="L35" s="30"/>
      <c r="M35" s="59" t="s">
        <v>7</v>
      </c>
      <c r="N35" s="30"/>
      <c r="O35" s="30"/>
      <c r="P35" s="30"/>
      <c r="Q35" s="59" t="s">
        <v>7</v>
      </c>
      <c r="R35" s="59" t="s">
        <v>7</v>
      </c>
    </row>
    <row r="36" spans="1:18" ht="15.75" customHeight="1" x14ac:dyDescent="0.3">
      <c r="A36" s="22" t="s">
        <v>46</v>
      </c>
      <c r="B36" s="30" t="s">
        <v>7</v>
      </c>
      <c r="C36" s="60"/>
      <c r="D36" s="60"/>
      <c r="E36" s="59" t="s">
        <v>7</v>
      </c>
      <c r="F36" s="60"/>
      <c r="G36" s="60"/>
      <c r="H36" s="60"/>
      <c r="I36" s="59" t="s">
        <v>7</v>
      </c>
      <c r="J36" s="60"/>
      <c r="K36" s="60"/>
      <c r="L36" s="60"/>
      <c r="M36" s="59" t="s">
        <v>7</v>
      </c>
      <c r="N36" s="60"/>
      <c r="O36" s="60"/>
      <c r="P36" s="60"/>
      <c r="Q36" s="59" t="s">
        <v>7</v>
      </c>
      <c r="R36" s="59" t="s">
        <v>7</v>
      </c>
    </row>
    <row r="37" spans="1:18" ht="15.75" customHeight="1" x14ac:dyDescent="0.3">
      <c r="A37" s="22" t="s">
        <v>47</v>
      </c>
      <c r="B37" s="30"/>
      <c r="C37" s="30"/>
      <c r="D37" s="30"/>
      <c r="E37" s="59" t="s">
        <v>7</v>
      </c>
      <c r="F37" s="30"/>
      <c r="G37" s="30"/>
      <c r="H37" s="30"/>
      <c r="I37" s="59" t="s">
        <v>7</v>
      </c>
      <c r="J37" s="30"/>
      <c r="K37" s="30"/>
      <c r="L37" s="30"/>
      <c r="M37" s="59" t="s">
        <v>7</v>
      </c>
      <c r="N37" s="30"/>
      <c r="O37" s="30"/>
      <c r="P37" s="30"/>
      <c r="Q37" s="59" t="s">
        <v>7</v>
      </c>
      <c r="R37" s="59" t="s">
        <v>7</v>
      </c>
    </row>
    <row r="38" spans="1:18" ht="15.75" customHeight="1" x14ac:dyDescent="0.3">
      <c r="A38" s="61" t="s">
        <v>48</v>
      </c>
      <c r="B38" s="1"/>
      <c r="C38" s="1"/>
      <c r="D38" s="1"/>
      <c r="E38" s="59">
        <f>SUM(B38:D38)</f>
        <v>0</v>
      </c>
      <c r="F38" s="1"/>
      <c r="G38" s="1"/>
      <c r="H38" s="1"/>
      <c r="I38" s="59">
        <f>SUM(F38:H38)</f>
        <v>0</v>
      </c>
      <c r="J38" s="1"/>
      <c r="K38" s="1"/>
      <c r="L38" s="1"/>
      <c r="M38" s="59">
        <f>SUM(J38:L38)</f>
        <v>0</v>
      </c>
      <c r="N38" s="1"/>
      <c r="O38" s="1"/>
      <c r="P38" s="1"/>
      <c r="Q38" s="59">
        <f>SUM(N38:P38)</f>
        <v>0</v>
      </c>
      <c r="R38" s="59">
        <f>+E38+I38+M38+Q38</f>
        <v>0</v>
      </c>
    </row>
    <row r="39" spans="1:18" ht="15.75" customHeight="1" x14ac:dyDescent="0.3">
      <c r="A39" s="22" t="s">
        <v>49</v>
      </c>
      <c r="B39" s="30"/>
      <c r="C39" s="30"/>
      <c r="D39" s="30"/>
      <c r="E39" s="59" t="s">
        <v>50</v>
      </c>
      <c r="F39" s="30"/>
      <c r="G39" s="30"/>
      <c r="H39" s="30"/>
      <c r="I39" s="59" t="s">
        <v>50</v>
      </c>
      <c r="J39" s="30"/>
      <c r="K39" s="30"/>
      <c r="L39" s="30"/>
      <c r="M39" s="59" t="s">
        <v>50</v>
      </c>
      <c r="N39" s="30"/>
      <c r="O39" s="30"/>
      <c r="P39" s="30"/>
      <c r="Q39" s="59" t="s">
        <v>50</v>
      </c>
      <c r="R39" s="59" t="s">
        <v>50</v>
      </c>
    </row>
    <row r="40" spans="1:18" ht="15.75" customHeight="1" thickBot="1" x14ac:dyDescent="0.35">
      <c r="A40" s="22" t="s">
        <v>51</v>
      </c>
      <c r="B40" s="60"/>
      <c r="C40" s="60"/>
      <c r="D40" s="60"/>
      <c r="E40" s="59" t="s">
        <v>7</v>
      </c>
      <c r="F40" s="60"/>
      <c r="G40" s="60"/>
      <c r="H40" s="60"/>
      <c r="I40" s="59" t="s">
        <v>7</v>
      </c>
      <c r="J40" s="60"/>
      <c r="K40" s="60"/>
      <c r="L40" s="60"/>
      <c r="M40" s="59" t="s">
        <v>7</v>
      </c>
      <c r="N40" s="60"/>
      <c r="O40" s="60"/>
      <c r="P40" s="60"/>
      <c r="Q40" s="59" t="s">
        <v>7</v>
      </c>
      <c r="R40" s="59" t="s">
        <v>7</v>
      </c>
    </row>
    <row r="41" spans="1:18" ht="16.5" customHeight="1" thickBot="1" x14ac:dyDescent="0.35">
      <c r="A41" s="62" t="s">
        <v>52</v>
      </c>
      <c r="B41" s="63">
        <f>SUM(B35:B40)</f>
        <v>0</v>
      </c>
      <c r="C41" s="63">
        <f>SUM(C35:C40)</f>
        <v>0</v>
      </c>
      <c r="D41" s="63">
        <f>SUM(D35:D40)</f>
        <v>0</v>
      </c>
      <c r="E41" s="64">
        <f>SUM(B41:D41)</f>
        <v>0</v>
      </c>
      <c r="F41" s="63">
        <f>SUM(F35:F40)</f>
        <v>0</v>
      </c>
      <c r="G41" s="63">
        <f>SUM(G35:G40)</f>
        <v>0</v>
      </c>
      <c r="H41" s="63">
        <f>SUM(H35:H40)</f>
        <v>0</v>
      </c>
      <c r="I41" s="64">
        <f>SUM(F41:H41)</f>
        <v>0</v>
      </c>
      <c r="J41" s="63">
        <f>SUM(J35:J40)</f>
        <v>0</v>
      </c>
      <c r="K41" s="63">
        <f>SUM(K35:K40)</f>
        <v>0</v>
      </c>
      <c r="L41" s="63">
        <f>SUM(L35:L40)</f>
        <v>0</v>
      </c>
      <c r="M41" s="64">
        <f>SUM(J41:L41)</f>
        <v>0</v>
      </c>
      <c r="N41" s="63">
        <f>SUM(N35:N40)</f>
        <v>0</v>
      </c>
      <c r="O41" s="63">
        <f>SUM(O35:O40)</f>
        <v>0</v>
      </c>
      <c r="P41" s="63">
        <f>SUM(P35:P40)</f>
        <v>0</v>
      </c>
      <c r="Q41" s="64">
        <f>SUM(N41:P41)</f>
        <v>0</v>
      </c>
      <c r="R41" s="64">
        <f>+E41+I41+M41+Q41</f>
        <v>0</v>
      </c>
    </row>
    <row r="42" spans="1:18" ht="15.75" customHeight="1" x14ac:dyDescent="0.3">
      <c r="A42" s="22" t="s">
        <v>53</v>
      </c>
      <c r="B42" s="60"/>
      <c r="C42" s="60"/>
      <c r="D42" s="60"/>
      <c r="E42" s="59" t="s">
        <v>7</v>
      </c>
      <c r="F42" s="60"/>
      <c r="G42" s="60"/>
      <c r="H42" s="60"/>
      <c r="I42" s="59" t="s">
        <v>7</v>
      </c>
      <c r="J42" s="60"/>
      <c r="K42" s="60"/>
      <c r="L42" s="60"/>
      <c r="M42" s="59" t="s">
        <v>7</v>
      </c>
      <c r="N42" s="60"/>
      <c r="O42" s="60"/>
      <c r="P42" s="60"/>
      <c r="Q42" s="59" t="s">
        <v>7</v>
      </c>
      <c r="R42" s="334" t="s">
        <v>7</v>
      </c>
    </row>
    <row r="43" spans="1:18" ht="15.75" customHeight="1" x14ac:dyDescent="0.3">
      <c r="A43" s="22" t="s">
        <v>54</v>
      </c>
      <c r="B43" s="60"/>
      <c r="C43" s="60"/>
      <c r="D43" s="60"/>
      <c r="E43" s="59"/>
      <c r="F43" s="60"/>
      <c r="G43" s="60"/>
      <c r="H43" s="60"/>
      <c r="I43" s="59"/>
      <c r="J43" s="60"/>
      <c r="K43" s="60"/>
      <c r="L43" s="60"/>
      <c r="M43" s="59"/>
      <c r="N43" s="60"/>
      <c r="O43" s="60"/>
      <c r="P43" s="60"/>
      <c r="Q43" s="59"/>
      <c r="R43" s="59"/>
    </row>
    <row r="44" spans="1:18" ht="15.75" customHeight="1" x14ac:dyDescent="0.3">
      <c r="A44" s="22" t="s">
        <v>55</v>
      </c>
      <c r="B44" s="60"/>
      <c r="C44" s="60"/>
      <c r="D44" s="60"/>
      <c r="E44" s="59" t="s">
        <v>7</v>
      </c>
      <c r="F44" s="60"/>
      <c r="G44" s="60"/>
      <c r="H44" s="60"/>
      <c r="I44" s="59" t="s">
        <v>7</v>
      </c>
      <c r="J44" s="60"/>
      <c r="K44" s="60"/>
      <c r="L44" s="60"/>
      <c r="M44" s="59" t="s">
        <v>7</v>
      </c>
      <c r="N44" s="60"/>
      <c r="O44" s="60"/>
      <c r="P44" s="60"/>
      <c r="Q44" s="59" t="s">
        <v>7</v>
      </c>
      <c r="R44" s="59" t="s">
        <v>7</v>
      </c>
    </row>
    <row r="45" spans="1:18" ht="15.75" customHeight="1" thickBot="1" x14ac:dyDescent="0.35">
      <c r="A45" s="22" t="s">
        <v>56</v>
      </c>
      <c r="B45" s="60"/>
      <c r="C45" s="60"/>
      <c r="D45" s="60"/>
      <c r="E45" s="59" t="s">
        <v>7</v>
      </c>
      <c r="F45" s="60"/>
      <c r="G45" s="60"/>
      <c r="H45" s="60"/>
      <c r="I45" s="59" t="s">
        <v>7</v>
      </c>
      <c r="J45" s="60"/>
      <c r="K45" s="60"/>
      <c r="L45" s="60"/>
      <c r="M45" s="59" t="s">
        <v>7</v>
      </c>
      <c r="N45" s="60"/>
      <c r="O45" s="60"/>
      <c r="P45" s="60"/>
      <c r="Q45" s="59" t="s">
        <v>7</v>
      </c>
      <c r="R45" s="59" t="s">
        <v>7</v>
      </c>
    </row>
    <row r="46" spans="1:18" ht="16.5" customHeight="1" thickBot="1" x14ac:dyDescent="0.35">
      <c r="A46" s="62" t="s">
        <v>57</v>
      </c>
      <c r="B46" s="63">
        <f>SUM(B42:B45)</f>
        <v>0</v>
      </c>
      <c r="C46" s="63">
        <f>SUM(C42:C45)</f>
        <v>0</v>
      </c>
      <c r="D46" s="63">
        <f>SUM(D42:D45)</f>
        <v>0</v>
      </c>
      <c r="E46" s="64">
        <f>SUM(B46:D46)</f>
        <v>0</v>
      </c>
      <c r="F46" s="63">
        <f>SUM(F42:F45)</f>
        <v>0</v>
      </c>
      <c r="G46" s="63">
        <f>SUM(G42:G45)</f>
        <v>0</v>
      </c>
      <c r="H46" s="63">
        <f>SUM(H42:H45)</f>
        <v>0</v>
      </c>
      <c r="I46" s="64">
        <f>SUM(F46:H46)</f>
        <v>0</v>
      </c>
      <c r="J46" s="63">
        <f>SUM(J42:J45)</f>
        <v>0</v>
      </c>
      <c r="K46" s="63">
        <f>SUM(K42:K45)</f>
        <v>0</v>
      </c>
      <c r="L46" s="63">
        <f>SUM(L42:L45)</f>
        <v>0</v>
      </c>
      <c r="M46" s="64">
        <f>SUM(J46:L46)</f>
        <v>0</v>
      </c>
      <c r="N46" s="63">
        <f>SUM(N42:N45)</f>
        <v>0</v>
      </c>
      <c r="O46" s="63">
        <f>SUM(O42:O45)</f>
        <v>0</v>
      </c>
      <c r="P46" s="63">
        <f>SUM(P42:P45)</f>
        <v>0</v>
      </c>
      <c r="Q46" s="64">
        <f>SUM(N46:P46)</f>
        <v>0</v>
      </c>
      <c r="R46" s="64">
        <f>+E46+I46+M46+Q46</f>
        <v>0</v>
      </c>
    </row>
    <row r="47" spans="1:18" ht="15.75" customHeight="1" x14ac:dyDescent="0.3">
      <c r="A47" s="22" t="s">
        <v>58</v>
      </c>
      <c r="B47" s="60"/>
      <c r="C47" s="60"/>
      <c r="D47" s="60"/>
      <c r="E47" s="59" t="s">
        <v>7</v>
      </c>
      <c r="F47" s="60"/>
      <c r="G47" s="60"/>
      <c r="H47" s="60"/>
      <c r="I47" s="59" t="s">
        <v>7</v>
      </c>
      <c r="J47" s="60"/>
      <c r="K47" s="60"/>
      <c r="L47" s="60"/>
      <c r="M47" s="59" t="s">
        <v>7</v>
      </c>
      <c r="N47" s="60"/>
      <c r="O47" s="60"/>
      <c r="P47" s="60"/>
      <c r="Q47" s="59" t="s">
        <v>7</v>
      </c>
      <c r="R47" s="59" t="s">
        <v>7</v>
      </c>
    </row>
    <row r="48" spans="1:18" ht="15.75" customHeight="1" x14ac:dyDescent="0.3">
      <c r="A48" s="22" t="s">
        <v>59</v>
      </c>
      <c r="B48" s="60"/>
      <c r="C48" s="60"/>
      <c r="D48" s="60"/>
      <c r="E48" s="59" t="s">
        <v>7</v>
      </c>
      <c r="F48" s="60"/>
      <c r="G48" s="60"/>
      <c r="H48" s="60"/>
      <c r="I48" s="59" t="s">
        <v>7</v>
      </c>
      <c r="J48" s="60"/>
      <c r="K48" s="60"/>
      <c r="L48" s="60"/>
      <c r="M48" s="59" t="s">
        <v>7</v>
      </c>
      <c r="N48" s="60"/>
      <c r="O48" s="60"/>
      <c r="P48" s="60"/>
      <c r="Q48" s="59" t="s">
        <v>7</v>
      </c>
      <c r="R48" s="59" t="s">
        <v>7</v>
      </c>
    </row>
    <row r="49" spans="1:18" ht="15.75" customHeight="1" thickBot="1" x14ac:dyDescent="0.35">
      <c r="A49" s="22" t="s">
        <v>60</v>
      </c>
      <c r="B49" s="60"/>
      <c r="C49" s="60"/>
      <c r="D49" s="60"/>
      <c r="E49" s="59"/>
      <c r="F49" s="60"/>
      <c r="G49" s="60"/>
      <c r="H49" s="60"/>
      <c r="I49" s="59"/>
      <c r="J49" s="60"/>
      <c r="K49" s="60"/>
      <c r="L49" s="60"/>
      <c r="M49" s="59"/>
      <c r="N49" s="60"/>
      <c r="O49" s="60"/>
      <c r="P49" s="60"/>
      <c r="Q49" s="59"/>
      <c r="R49" s="59"/>
    </row>
    <row r="50" spans="1:18" ht="16.5" customHeight="1" thickBot="1" x14ac:dyDescent="0.35">
      <c r="A50" s="62" t="s">
        <v>61</v>
      </c>
      <c r="B50" s="63">
        <f>SUM(B47:B49)</f>
        <v>0</v>
      </c>
      <c r="C50" s="63">
        <f>SUM(C47:C49)</f>
        <v>0</v>
      </c>
      <c r="D50" s="63">
        <f>SUM(D47:D49)</f>
        <v>0</v>
      </c>
      <c r="E50" s="64">
        <f>SUM(B50:D50)</f>
        <v>0</v>
      </c>
      <c r="F50" s="63">
        <f>SUM(F47:F49)</f>
        <v>0</v>
      </c>
      <c r="G50" s="63">
        <f>SUM(G47:G49)</f>
        <v>0</v>
      </c>
      <c r="H50" s="63">
        <f>SUM(H47:H49)</f>
        <v>0</v>
      </c>
      <c r="I50" s="64">
        <f>SUM(F50:H50)</f>
        <v>0</v>
      </c>
      <c r="J50" s="63">
        <f>SUM(J47:J49)</f>
        <v>0</v>
      </c>
      <c r="K50" s="63">
        <f>SUM(K47:K49)</f>
        <v>0</v>
      </c>
      <c r="L50" s="63">
        <f>SUM(L47:L49)</f>
        <v>0</v>
      </c>
      <c r="M50" s="64">
        <f>SUM(J50:L50)</f>
        <v>0</v>
      </c>
      <c r="N50" s="63">
        <f>SUM(N47:N49)</f>
        <v>0</v>
      </c>
      <c r="O50" s="63">
        <f>SUM(O47:O49)</f>
        <v>0</v>
      </c>
      <c r="P50" s="63">
        <f>SUM(P47:P49)</f>
        <v>0</v>
      </c>
      <c r="Q50" s="64">
        <f>SUM(N50:P50)</f>
        <v>0</v>
      </c>
      <c r="R50" s="64">
        <f>+E50+I50+M50+Q50</f>
        <v>0</v>
      </c>
    </row>
    <row r="51" spans="1:18" ht="15.75" customHeight="1" x14ac:dyDescent="0.3">
      <c r="A51" s="22" t="s">
        <v>62</v>
      </c>
      <c r="B51" s="60"/>
      <c r="C51" s="60"/>
      <c r="D51" s="60"/>
      <c r="E51" s="59" t="s">
        <v>7</v>
      </c>
      <c r="F51" s="60"/>
      <c r="G51" s="60"/>
      <c r="H51" s="60"/>
      <c r="I51" s="59" t="s">
        <v>7</v>
      </c>
      <c r="J51" s="60"/>
      <c r="K51" s="60"/>
      <c r="L51" s="60"/>
      <c r="M51" s="59" t="s">
        <v>7</v>
      </c>
      <c r="N51" s="60"/>
      <c r="O51" s="60"/>
      <c r="P51" s="60"/>
      <c r="Q51" s="59" t="s">
        <v>7</v>
      </c>
      <c r="R51" s="59" t="s">
        <v>7</v>
      </c>
    </row>
    <row r="52" spans="1:18" ht="15.75" customHeight="1" x14ac:dyDescent="0.3">
      <c r="A52" s="22" t="s">
        <v>63</v>
      </c>
      <c r="B52" s="60"/>
      <c r="C52" s="60"/>
      <c r="D52" s="60"/>
      <c r="E52" s="59" t="s">
        <v>7</v>
      </c>
      <c r="F52" s="60"/>
      <c r="G52" s="60"/>
      <c r="H52" s="60"/>
      <c r="I52" s="59" t="s">
        <v>7</v>
      </c>
      <c r="J52" s="60"/>
      <c r="K52" s="60"/>
      <c r="L52" s="60"/>
      <c r="M52" s="59" t="s">
        <v>7</v>
      </c>
      <c r="N52" s="60"/>
      <c r="O52" s="60"/>
      <c r="P52" s="60"/>
      <c r="Q52" s="59" t="s">
        <v>7</v>
      </c>
      <c r="R52" s="59" t="s">
        <v>7</v>
      </c>
    </row>
    <row r="53" spans="1:18" ht="15.75" customHeight="1" x14ac:dyDescent="0.3">
      <c r="A53" s="22" t="s">
        <v>64</v>
      </c>
      <c r="B53" s="60"/>
      <c r="C53" s="60"/>
      <c r="D53" s="60"/>
      <c r="E53" s="59" t="s">
        <v>7</v>
      </c>
      <c r="F53" s="60"/>
      <c r="G53" s="60"/>
      <c r="H53" s="60"/>
      <c r="I53" s="59" t="s">
        <v>7</v>
      </c>
      <c r="J53" s="60"/>
      <c r="K53" s="60"/>
      <c r="L53" s="60"/>
      <c r="M53" s="59" t="s">
        <v>7</v>
      </c>
      <c r="N53" s="60"/>
      <c r="O53" s="60"/>
      <c r="P53" s="60"/>
      <c r="Q53" s="59" t="s">
        <v>7</v>
      </c>
      <c r="R53" s="59" t="s">
        <v>7</v>
      </c>
    </row>
    <row r="54" spans="1:18" ht="15.75" customHeight="1" x14ac:dyDescent="0.3">
      <c r="A54" s="61" t="s">
        <v>65</v>
      </c>
      <c r="B54" s="1"/>
      <c r="C54" s="1"/>
      <c r="D54" s="1"/>
      <c r="E54" s="59">
        <f>SUM(B54:D54)</f>
        <v>0</v>
      </c>
      <c r="F54" s="1"/>
      <c r="G54" s="1"/>
      <c r="H54" s="1"/>
      <c r="I54" s="59">
        <f>SUM(F54:H54)</f>
        <v>0</v>
      </c>
      <c r="J54" s="1"/>
      <c r="K54" s="1"/>
      <c r="L54" s="1"/>
      <c r="M54" s="59">
        <f>SUM(J54:L54)</f>
        <v>0</v>
      </c>
      <c r="N54" s="1"/>
      <c r="O54" s="1"/>
      <c r="P54" s="1"/>
      <c r="Q54" s="59">
        <f>SUM(N54:P54)</f>
        <v>0</v>
      </c>
      <c r="R54" s="59">
        <f>+E54+I54+M54+Q54</f>
        <v>0</v>
      </c>
    </row>
    <row r="55" spans="1:18" ht="15.75" customHeight="1" x14ac:dyDescent="0.3">
      <c r="A55" s="22" t="s">
        <v>66</v>
      </c>
      <c r="B55" s="60"/>
      <c r="C55" s="60"/>
      <c r="D55" s="60"/>
      <c r="E55" s="59" t="s">
        <v>7</v>
      </c>
      <c r="F55" s="60"/>
      <c r="G55" s="60"/>
      <c r="H55" s="60"/>
      <c r="I55" s="59" t="s">
        <v>7</v>
      </c>
      <c r="J55" s="60"/>
      <c r="K55" s="60"/>
      <c r="L55" s="60"/>
      <c r="M55" s="59" t="s">
        <v>7</v>
      </c>
      <c r="N55" s="60"/>
      <c r="O55" s="60"/>
      <c r="P55" s="60"/>
      <c r="Q55" s="59" t="s">
        <v>7</v>
      </c>
      <c r="R55" s="59" t="s">
        <v>7</v>
      </c>
    </row>
    <row r="56" spans="1:18" ht="15.75" customHeight="1" thickBot="1" x14ac:dyDescent="0.35">
      <c r="A56" s="22" t="s">
        <v>67</v>
      </c>
      <c r="B56" s="60"/>
      <c r="C56" s="60"/>
      <c r="D56" s="60"/>
      <c r="E56" s="59" t="s">
        <v>7</v>
      </c>
      <c r="F56" s="60"/>
      <c r="G56" s="60"/>
      <c r="H56" s="60"/>
      <c r="I56" s="59" t="s">
        <v>7</v>
      </c>
      <c r="J56" s="60"/>
      <c r="K56" s="60"/>
      <c r="L56" s="60"/>
      <c r="M56" s="59" t="s">
        <v>7</v>
      </c>
      <c r="N56" s="60"/>
      <c r="O56" s="60"/>
      <c r="P56" s="60"/>
      <c r="Q56" s="59" t="s">
        <v>7</v>
      </c>
      <c r="R56" s="59" t="s">
        <v>7</v>
      </c>
    </row>
    <row r="57" spans="1:18" ht="16.5" customHeight="1" thickBot="1" x14ac:dyDescent="0.35">
      <c r="A57" s="62" t="s">
        <v>68</v>
      </c>
      <c r="B57" s="63">
        <f>SUM(B55:B56)</f>
        <v>0</v>
      </c>
      <c r="C57" s="63">
        <f>SUM(C55:C56)</f>
        <v>0</v>
      </c>
      <c r="D57" s="63">
        <f>SUM(D55:D56)</f>
        <v>0</v>
      </c>
      <c r="E57" s="334">
        <f>SUM(B57:D57)</f>
        <v>0</v>
      </c>
      <c r="F57" s="63">
        <f>SUM(F55:F56)</f>
        <v>0</v>
      </c>
      <c r="G57" s="63">
        <f>SUM(G55:G56)</f>
        <v>0</v>
      </c>
      <c r="H57" s="63">
        <f>SUM(H55:H56)</f>
        <v>0</v>
      </c>
      <c r="I57" s="334">
        <f>SUM(F57:H57)</f>
        <v>0</v>
      </c>
      <c r="J57" s="63">
        <f>SUM(J55:J56)</f>
        <v>0</v>
      </c>
      <c r="K57" s="63">
        <f>SUM(K55:K56)</f>
        <v>0</v>
      </c>
      <c r="L57" s="63">
        <f>SUM(L55:L56)</f>
        <v>0</v>
      </c>
      <c r="M57" s="334">
        <f>SUM(J57:L57)</f>
        <v>0</v>
      </c>
      <c r="N57" s="63">
        <f>SUM(N55:N56)</f>
        <v>0</v>
      </c>
      <c r="O57" s="63">
        <f>SUM(O55:O56)</f>
        <v>0</v>
      </c>
      <c r="P57" s="63">
        <f>SUM(P55:P56)</f>
        <v>0</v>
      </c>
      <c r="Q57" s="334">
        <f>SUM(N57:P57)</f>
        <v>0</v>
      </c>
      <c r="R57" s="64">
        <f>+E57+I57+M57+Q57</f>
        <v>0</v>
      </c>
    </row>
    <row r="58" spans="1:18" ht="16.5" customHeight="1" thickBot="1" x14ac:dyDescent="0.35">
      <c r="A58" s="62" t="s">
        <v>69</v>
      </c>
      <c r="B58" s="63">
        <f>SUM(B51:B56)</f>
        <v>0</v>
      </c>
      <c r="C58" s="63">
        <f>SUM(C51:C56)</f>
        <v>0</v>
      </c>
      <c r="D58" s="63">
        <f>SUM(D51:D56)</f>
        <v>0</v>
      </c>
      <c r="E58" s="334">
        <f>SUM(B58:D58)</f>
        <v>0</v>
      </c>
      <c r="F58" s="63">
        <f>SUM(F51:F56)</f>
        <v>0</v>
      </c>
      <c r="G58" s="63">
        <f>SUM(G51:G56)</f>
        <v>0</v>
      </c>
      <c r="H58" s="63">
        <f>SUM(H51:H56)</f>
        <v>0</v>
      </c>
      <c r="I58" s="334">
        <f>SUM(F58:H58)</f>
        <v>0</v>
      </c>
      <c r="J58" s="63">
        <f>SUM(J51:J56)</f>
        <v>0</v>
      </c>
      <c r="K58" s="63">
        <f>SUM(K51:K56)</f>
        <v>0</v>
      </c>
      <c r="L58" s="63">
        <f>SUM(L51:L56)</f>
        <v>0</v>
      </c>
      <c r="M58" s="334">
        <f>SUM(J58:L58)</f>
        <v>0</v>
      </c>
      <c r="N58" s="63">
        <f>SUM(N51:N56)</f>
        <v>0</v>
      </c>
      <c r="O58" s="63">
        <f>SUM(O51:O56)</f>
        <v>0</v>
      </c>
      <c r="P58" s="63">
        <f>SUM(P51:P56)</f>
        <v>0</v>
      </c>
      <c r="Q58" s="334">
        <f>SUM(N58:P58)</f>
        <v>0</v>
      </c>
      <c r="R58" s="64">
        <f>+E58+I58+M58+Q58</f>
        <v>0</v>
      </c>
    </row>
    <row r="59" spans="1:18" ht="16.5" customHeight="1" thickBot="1" x14ac:dyDescent="0.35">
      <c r="A59" s="62" t="s">
        <v>70</v>
      </c>
      <c r="B59" s="63">
        <f>+B41+B46+B50+B58</f>
        <v>0</v>
      </c>
      <c r="C59" s="63">
        <f>+C41+C46+C50+C58</f>
        <v>0</v>
      </c>
      <c r="D59" s="63">
        <f>+D41+D46+D50+D58</f>
        <v>0</v>
      </c>
      <c r="E59" s="64">
        <f>SUM(B59:D59)</f>
        <v>0</v>
      </c>
      <c r="F59" s="63">
        <f>+F41+F46+F50+F58</f>
        <v>0</v>
      </c>
      <c r="G59" s="63">
        <f>+G41+G46+G50+G58</f>
        <v>0</v>
      </c>
      <c r="H59" s="63">
        <f>+H41+H46+H50+H58</f>
        <v>0</v>
      </c>
      <c r="I59" s="64">
        <f>SUM(F59:H59)</f>
        <v>0</v>
      </c>
      <c r="J59" s="63">
        <f>+J41+J46+J50+J58</f>
        <v>0</v>
      </c>
      <c r="K59" s="63">
        <f>+K41+K46+K50+K58</f>
        <v>0</v>
      </c>
      <c r="L59" s="63">
        <f>+L41+L46+L50+L58</f>
        <v>0</v>
      </c>
      <c r="M59" s="64">
        <f>SUM(J59:L59)</f>
        <v>0</v>
      </c>
      <c r="N59" s="63">
        <f>+N41+N46+N50+N58</f>
        <v>0</v>
      </c>
      <c r="O59" s="63">
        <f>+O41+O46+O50+O58</f>
        <v>0</v>
      </c>
      <c r="P59" s="63">
        <f>+P41+P46+P50+P58</f>
        <v>0</v>
      </c>
      <c r="Q59" s="64">
        <f>SUM(N59:P59)</f>
        <v>0</v>
      </c>
      <c r="R59" s="64">
        <f>+E59+I59+M59+Q59</f>
        <v>0</v>
      </c>
    </row>
    <row r="60" spans="1:18" ht="16.5" customHeight="1" thickBot="1" x14ac:dyDescent="0.35">
      <c r="A60" s="66" t="s">
        <v>37</v>
      </c>
      <c r="B60" s="67">
        <v>96</v>
      </c>
      <c r="C60" s="67">
        <v>145</v>
      </c>
      <c r="D60" s="67">
        <v>261</v>
      </c>
      <c r="E60" s="43">
        <f>SUM(B60:D60)</f>
        <v>502</v>
      </c>
      <c r="F60" s="67">
        <v>350</v>
      </c>
      <c r="G60" s="67">
        <v>402</v>
      </c>
      <c r="H60" s="67">
        <v>396</v>
      </c>
      <c r="I60" s="43">
        <f>SUM(F60:H60)</f>
        <v>1148</v>
      </c>
      <c r="J60" s="67">
        <v>394</v>
      </c>
      <c r="K60" s="67">
        <v>318</v>
      </c>
      <c r="L60" s="67">
        <v>301</v>
      </c>
      <c r="M60" s="43">
        <f>SUM(J60:L60)</f>
        <v>1013</v>
      </c>
      <c r="N60" s="67">
        <v>272</v>
      </c>
      <c r="O60" s="67">
        <v>226</v>
      </c>
      <c r="P60" s="67">
        <v>179</v>
      </c>
      <c r="Q60" s="43">
        <f>SUM(N60:P60)</f>
        <v>677</v>
      </c>
      <c r="R60" s="43">
        <f>+E60+I60+M60+Q60</f>
        <v>3340</v>
      </c>
    </row>
    <row r="61" spans="1:18" ht="16.5" customHeight="1" thickBot="1" x14ac:dyDescent="0.35">
      <c r="A61" s="42"/>
      <c r="B61" s="37"/>
      <c r="C61" s="37"/>
      <c r="D61" s="37"/>
      <c r="E61" s="26"/>
      <c r="F61" s="37"/>
      <c r="G61" s="37"/>
      <c r="H61" s="37"/>
      <c r="I61" s="26"/>
      <c r="J61" s="37"/>
      <c r="K61" s="37"/>
      <c r="L61" s="37"/>
      <c r="M61" s="26"/>
      <c r="N61" s="37"/>
      <c r="O61" s="37"/>
      <c r="P61" s="37"/>
      <c r="Q61" s="26"/>
      <c r="R61" s="42"/>
    </row>
    <row r="62" spans="1:18" ht="15.75" customHeight="1" x14ac:dyDescent="0.3">
      <c r="A62" s="17" t="s">
        <v>38</v>
      </c>
      <c r="B62" s="1">
        <f>+B59+B60</f>
        <v>96</v>
      </c>
      <c r="C62" s="1">
        <f>+C59+C60</f>
        <v>145</v>
      </c>
      <c r="D62" s="1">
        <f>+D59+D60</f>
        <v>261</v>
      </c>
      <c r="E62" s="327">
        <f>SUM(B62:D62)</f>
        <v>502</v>
      </c>
      <c r="F62" s="1">
        <f>+F59+F60</f>
        <v>350</v>
      </c>
      <c r="G62" s="1">
        <f>+G59+G60</f>
        <v>402</v>
      </c>
      <c r="H62" s="1">
        <f>+H59+H60</f>
        <v>396</v>
      </c>
      <c r="I62" s="327">
        <f>SUM(F62:H62)</f>
        <v>1148</v>
      </c>
      <c r="J62" s="1">
        <f>+J59+J60</f>
        <v>394</v>
      </c>
      <c r="K62" s="1">
        <f>+K59+K60</f>
        <v>318</v>
      </c>
      <c r="L62" s="1">
        <f>+L59+L60</f>
        <v>301</v>
      </c>
      <c r="M62" s="327">
        <f>SUM(J62:L62)</f>
        <v>1013</v>
      </c>
      <c r="N62" s="1">
        <f>+N59+N60</f>
        <v>272</v>
      </c>
      <c r="O62" s="1">
        <f>+O59+O60</f>
        <v>226</v>
      </c>
      <c r="P62" s="1">
        <f>+P59+P60</f>
        <v>179</v>
      </c>
      <c r="Q62" s="328">
        <f>SUM(N62:P62)</f>
        <v>677</v>
      </c>
      <c r="R62" s="18">
        <f>+E62+I62+M62+Q62</f>
        <v>3340</v>
      </c>
    </row>
    <row r="63" spans="1:18" ht="15.75" customHeight="1" x14ac:dyDescent="0.3">
      <c r="A63" s="17" t="s">
        <v>39</v>
      </c>
      <c r="B63" s="1">
        <f>(B62/B10)/1.983</f>
        <v>1.5616612171197111</v>
      </c>
      <c r="C63" s="1">
        <f>(C62/C10)/1.983</f>
        <v>2.6114833225271954</v>
      </c>
      <c r="D63" s="1">
        <f>(D62/D10)/1.983</f>
        <v>4.2457664340442145</v>
      </c>
      <c r="E63" s="18"/>
      <c r="F63" s="1">
        <f>(F62/F10)/1.983</f>
        <v>5.8833417381072444</v>
      </c>
      <c r="G63" s="1">
        <f>(G62/G10)/1.983</f>
        <v>6.5394563466887892</v>
      </c>
      <c r="H63" s="1">
        <f>(H62/H10)/1.983</f>
        <v>6.6565809379727678</v>
      </c>
      <c r="I63" s="18"/>
      <c r="J63" s="1">
        <f>(J62/J10)/1.983</f>
        <v>6.4093179119288139</v>
      </c>
      <c r="K63" s="1">
        <f>(K62/K10)/1.983</f>
        <v>5.1730027817090427</v>
      </c>
      <c r="L63" s="1">
        <f>(L62/L10)/1.983</f>
        <v>5.0596738947722306</v>
      </c>
      <c r="M63" s="18"/>
      <c r="N63" s="1">
        <f>(N62/N10)/1.983</f>
        <v>4.4247067818391805</v>
      </c>
      <c r="O63" s="1">
        <f>(O62/O10)/1.983</f>
        <v>3.7989578080349635</v>
      </c>
      <c r="P63" s="1">
        <f>(P62/P10)/1.983</f>
        <v>2.9118474777544612</v>
      </c>
      <c r="Q63" s="19"/>
      <c r="R63" s="68"/>
    </row>
    <row r="64" spans="1:18" ht="15.75" customHeight="1" x14ac:dyDescent="0.3">
      <c r="A64" s="17" t="s">
        <v>71</v>
      </c>
      <c r="B64" s="1">
        <f>B62+B131</f>
        <v>124446</v>
      </c>
      <c r="C64" s="1">
        <f>C62+C131</f>
        <v>60054</v>
      </c>
      <c r="D64" s="1">
        <f>D62+D131</f>
        <v>135373</v>
      </c>
      <c r="E64" s="18">
        <f>SUM(B64:D64)</f>
        <v>319873</v>
      </c>
      <c r="F64" s="1">
        <f>F62+F131</f>
        <v>159786</v>
      </c>
      <c r="G64" s="1">
        <f>G62+G131</f>
        <v>175589</v>
      </c>
      <c r="H64" s="1">
        <f>H62+H131</f>
        <v>82333</v>
      </c>
      <c r="I64" s="18">
        <f>SUM(F64:H64)</f>
        <v>417708</v>
      </c>
      <c r="J64" s="1">
        <f>J62+J131</f>
        <v>74980</v>
      </c>
      <c r="K64" s="1">
        <f>K62+K131</f>
        <v>71861</v>
      </c>
      <c r="L64" s="1">
        <f>L62+L131</f>
        <v>132403</v>
      </c>
      <c r="M64" s="18">
        <f>SUM(J64:L64)</f>
        <v>279244</v>
      </c>
      <c r="N64" s="1">
        <f>N62+N131</f>
        <v>129296</v>
      </c>
      <c r="O64" s="1">
        <f>O62+O131</f>
        <v>126746</v>
      </c>
      <c r="P64" s="1">
        <f>P62+P131</f>
        <v>141183</v>
      </c>
      <c r="Q64" s="19">
        <f>SUM(N64:P64)</f>
        <v>397225</v>
      </c>
      <c r="R64" s="18">
        <f>+E64+I64+M64+Q64</f>
        <v>1414050</v>
      </c>
    </row>
    <row r="65" spans="1:20" ht="16.5" customHeight="1" thickBot="1" x14ac:dyDescent="0.35">
      <c r="A65" s="24" t="s">
        <v>72</v>
      </c>
      <c r="B65" s="25">
        <f>(B64/B10)/1.983</f>
        <v>2024.4009565174954</v>
      </c>
      <c r="C65" s="25">
        <f>(C64/C10)/1.983</f>
        <v>1081.5863410417116</v>
      </c>
      <c r="D65" s="25">
        <f>(D64/D10)/1.983</f>
        <v>2202.1537910952775</v>
      </c>
      <c r="E65" s="26"/>
      <c r="F65" s="25">
        <f>(F64/F10)/1.983</f>
        <v>2685.930408472012</v>
      </c>
      <c r="G65" s="25">
        <f>(G64/G10)/1.983</f>
        <v>2856.3597026336765</v>
      </c>
      <c r="H65" s="25">
        <f>(H64/H10)/1.983</f>
        <v>1383.9805009245251</v>
      </c>
      <c r="I65" s="26"/>
      <c r="J65" s="25">
        <f>(J64/J10)/1.983</f>
        <v>1219.7224797878741</v>
      </c>
      <c r="K65" s="25">
        <f>(K64/K10)/1.983</f>
        <v>1168.9847575358287</v>
      </c>
      <c r="L65" s="25">
        <f>(L64/L10)/1.983</f>
        <v>2225.6345604303242</v>
      </c>
      <c r="M65" s="26"/>
      <c r="N65" s="25">
        <f>(N64/N10)/1.983</f>
        <v>2103.2973825907306</v>
      </c>
      <c r="O65" s="25">
        <f>(O64/O10)/1.983</f>
        <v>2130.5429483946882</v>
      </c>
      <c r="P65" s="25">
        <f>(P64/P10)/1.983</f>
        <v>2296.6668293397097</v>
      </c>
      <c r="Q65" s="27"/>
      <c r="R65" s="69" t="s">
        <v>7</v>
      </c>
    </row>
    <row r="66" spans="1:20" ht="15.75" customHeight="1" x14ac:dyDescent="0.3">
      <c r="A66" s="28"/>
      <c r="B66" s="1"/>
      <c r="C66" s="1"/>
      <c r="D66" s="1"/>
      <c r="E66" s="1"/>
      <c r="F66" s="1"/>
      <c r="G66" s="1"/>
      <c r="H66" s="1"/>
      <c r="I66" s="1"/>
      <c r="J66" s="1"/>
      <c r="K66" s="1"/>
      <c r="L66" s="1"/>
      <c r="M66" s="1"/>
      <c r="N66" s="1"/>
      <c r="O66" s="1"/>
      <c r="P66" s="1"/>
      <c r="Q66" s="1"/>
      <c r="R66" s="28"/>
    </row>
    <row r="67" spans="1:20" ht="15.75" customHeight="1" thickBot="1" x14ac:dyDescent="0.35">
      <c r="A67" s="28"/>
      <c r="B67" s="1"/>
      <c r="C67" s="1"/>
      <c r="D67" s="1"/>
      <c r="E67" s="1"/>
      <c r="F67" s="1"/>
      <c r="G67" s="1"/>
      <c r="H67" s="1"/>
      <c r="I67" s="1"/>
      <c r="J67" s="1"/>
      <c r="K67" s="1"/>
      <c r="L67" s="1"/>
      <c r="M67" s="1"/>
      <c r="N67" s="1"/>
      <c r="O67" s="1"/>
      <c r="P67" s="1"/>
      <c r="Q67" s="1"/>
      <c r="R67" s="28"/>
    </row>
    <row r="68" spans="1:20" ht="16.5" customHeight="1" thickBot="1" x14ac:dyDescent="0.35">
      <c r="A68" s="31" t="s">
        <v>73</v>
      </c>
      <c r="B68" s="323" t="s">
        <v>36</v>
      </c>
      <c r="C68" s="324" t="s">
        <v>9</v>
      </c>
      <c r="D68" s="324" t="s">
        <v>10</v>
      </c>
      <c r="E68" s="325" t="s">
        <v>11</v>
      </c>
      <c r="F68" s="324" t="s">
        <v>12</v>
      </c>
      <c r="G68" s="324" t="s">
        <v>13</v>
      </c>
      <c r="H68" s="324" t="s">
        <v>14</v>
      </c>
      <c r="I68" s="34" t="s">
        <v>15</v>
      </c>
      <c r="J68" s="324" t="s">
        <v>16</v>
      </c>
      <c r="K68" s="324" t="s">
        <v>17</v>
      </c>
      <c r="L68" s="324" t="s">
        <v>18</v>
      </c>
      <c r="M68" s="34" t="s">
        <v>19</v>
      </c>
      <c r="N68" s="324" t="s">
        <v>20</v>
      </c>
      <c r="O68" s="324" t="s">
        <v>21</v>
      </c>
      <c r="P68" s="324" t="s">
        <v>22</v>
      </c>
      <c r="Q68" s="34" t="s">
        <v>23</v>
      </c>
      <c r="R68" s="326" t="s">
        <v>24</v>
      </c>
    </row>
    <row r="69" spans="1:20" ht="16.5" customHeight="1" thickBot="1" x14ac:dyDescent="0.35">
      <c r="A69" s="70"/>
      <c r="B69" s="14"/>
      <c r="C69" s="71"/>
      <c r="D69" s="71"/>
      <c r="E69" s="72"/>
      <c r="F69" s="71"/>
      <c r="G69" s="71"/>
      <c r="H69" s="71"/>
      <c r="I69" s="72"/>
      <c r="J69" s="71"/>
      <c r="K69" s="71"/>
      <c r="L69" s="71"/>
      <c r="M69" s="72"/>
      <c r="N69" s="71"/>
      <c r="O69" s="71"/>
      <c r="P69" s="73"/>
      <c r="Q69" s="72"/>
      <c r="R69" s="64"/>
    </row>
    <row r="70" spans="1:20" ht="15.75" customHeight="1" x14ac:dyDescent="0.3">
      <c r="A70" s="333" t="s">
        <v>45</v>
      </c>
      <c r="B70" s="30"/>
      <c r="C70" s="30"/>
      <c r="D70" s="30"/>
      <c r="E70" s="59" t="s">
        <v>7</v>
      </c>
      <c r="F70" s="30"/>
      <c r="G70" s="30"/>
      <c r="H70" s="30"/>
      <c r="I70" s="59" t="s">
        <v>7</v>
      </c>
      <c r="J70" s="30"/>
      <c r="K70" s="30"/>
      <c r="L70" s="30"/>
      <c r="M70" s="59" t="s">
        <v>7</v>
      </c>
      <c r="N70" s="30"/>
      <c r="O70" s="30"/>
      <c r="P70" s="30"/>
      <c r="Q70" s="59" t="s">
        <v>7</v>
      </c>
      <c r="R70" s="59" t="s">
        <v>7</v>
      </c>
    </row>
    <row r="71" spans="1:20" ht="15.75" customHeight="1" x14ac:dyDescent="0.3">
      <c r="A71" s="22" t="s">
        <v>46</v>
      </c>
      <c r="B71" s="30"/>
      <c r="C71" s="60"/>
      <c r="D71" s="60"/>
      <c r="E71" s="59" t="s">
        <v>7</v>
      </c>
      <c r="F71" s="60"/>
      <c r="G71" s="60"/>
      <c r="H71" s="60"/>
      <c r="I71" s="59" t="s">
        <v>7</v>
      </c>
      <c r="J71" s="60"/>
      <c r="K71" s="60"/>
      <c r="L71" s="60"/>
      <c r="M71" s="59" t="s">
        <v>7</v>
      </c>
      <c r="N71" s="60"/>
      <c r="O71" s="60"/>
      <c r="P71" s="60"/>
      <c r="Q71" s="59" t="s">
        <v>7</v>
      </c>
      <c r="R71" s="59" t="s">
        <v>7</v>
      </c>
    </row>
    <row r="72" spans="1:20" ht="15.75" customHeight="1" x14ac:dyDescent="0.3">
      <c r="A72" s="74" t="s">
        <v>74</v>
      </c>
      <c r="B72" s="1"/>
      <c r="C72" s="1"/>
      <c r="D72" s="1"/>
      <c r="E72" s="59">
        <f t="shared" ref="E72:E82" si="5">SUM(B72:D72)</f>
        <v>0</v>
      </c>
      <c r="F72" s="1"/>
      <c r="G72" s="1"/>
      <c r="H72" s="1"/>
      <c r="I72" s="59">
        <f t="shared" ref="I72:I82" si="6">SUM(F72:H72)</f>
        <v>0</v>
      </c>
      <c r="J72" s="1"/>
      <c r="K72" s="1"/>
      <c r="L72" s="1"/>
      <c r="M72" s="59">
        <f t="shared" ref="M72:M82" si="7">SUM(J72:L72)</f>
        <v>0</v>
      </c>
      <c r="N72" s="1"/>
      <c r="O72" s="1"/>
      <c r="P72" s="1"/>
      <c r="Q72" s="59">
        <f t="shared" ref="Q72:Q82" si="8">SUM(N72:P72)</f>
        <v>0</v>
      </c>
      <c r="R72" s="59">
        <f t="shared" ref="R72:R82" si="9">+E72+I72+M72+Q72</f>
        <v>0</v>
      </c>
    </row>
    <row r="73" spans="1:20" ht="15.75" customHeight="1" x14ac:dyDescent="0.3">
      <c r="A73" s="74" t="s">
        <v>75</v>
      </c>
      <c r="B73" s="1"/>
      <c r="C73" s="1"/>
      <c r="D73" s="1"/>
      <c r="E73" s="59">
        <f>SUM(B73:D73)</f>
        <v>0</v>
      </c>
      <c r="F73" s="1"/>
      <c r="G73" s="1"/>
      <c r="H73" s="1"/>
      <c r="I73" s="59">
        <f>SUM(F73:H73)</f>
        <v>0</v>
      </c>
      <c r="J73" s="1"/>
      <c r="K73" s="1"/>
      <c r="L73" s="1"/>
      <c r="M73" s="59">
        <f>SUM(J73:L73)</f>
        <v>0</v>
      </c>
      <c r="N73" s="1"/>
      <c r="O73" s="1"/>
      <c r="P73" s="1"/>
      <c r="Q73" s="59">
        <f>SUM(N73:P73)</f>
        <v>0</v>
      </c>
      <c r="R73" s="59">
        <f>+E73+I73+M73+Q73</f>
        <v>0</v>
      </c>
    </row>
    <row r="74" spans="1:20" ht="15.75" customHeight="1" x14ac:dyDescent="0.3">
      <c r="A74" s="74" t="s">
        <v>76</v>
      </c>
      <c r="B74" s="1"/>
      <c r="C74" s="1"/>
      <c r="D74" s="1"/>
      <c r="E74" s="59">
        <f t="shared" si="5"/>
        <v>0</v>
      </c>
      <c r="F74" s="1"/>
      <c r="G74" s="1"/>
      <c r="H74" s="1"/>
      <c r="I74" s="59">
        <f t="shared" si="6"/>
        <v>0</v>
      </c>
      <c r="J74" s="1"/>
      <c r="K74" s="1"/>
      <c r="L74" s="1"/>
      <c r="M74" s="59">
        <f t="shared" si="7"/>
        <v>0</v>
      </c>
      <c r="N74" s="1"/>
      <c r="O74" s="1"/>
      <c r="P74" s="1"/>
      <c r="Q74" s="59">
        <f t="shared" si="8"/>
        <v>0</v>
      </c>
      <c r="R74" s="59">
        <f t="shared" si="9"/>
        <v>0</v>
      </c>
    </row>
    <row r="75" spans="1:20" ht="15.75" customHeight="1" x14ac:dyDescent="0.3">
      <c r="A75" s="74" t="s">
        <v>77</v>
      </c>
      <c r="B75" s="1"/>
      <c r="C75" s="1"/>
      <c r="D75" s="1"/>
      <c r="E75" s="59">
        <f t="shared" si="5"/>
        <v>0</v>
      </c>
      <c r="F75" s="1"/>
      <c r="G75" s="1"/>
      <c r="H75" s="1"/>
      <c r="I75" s="59">
        <f t="shared" si="6"/>
        <v>0</v>
      </c>
      <c r="K75" s="1"/>
      <c r="L75" s="1"/>
      <c r="M75" s="59">
        <f t="shared" si="7"/>
        <v>0</v>
      </c>
      <c r="N75" s="1"/>
      <c r="O75" s="1"/>
      <c r="P75" s="1"/>
      <c r="Q75" s="59">
        <f t="shared" si="8"/>
        <v>0</v>
      </c>
      <c r="R75" s="59">
        <f t="shared" si="9"/>
        <v>0</v>
      </c>
      <c r="T75" s="4" t="s">
        <v>78</v>
      </c>
    </row>
    <row r="76" spans="1:20" ht="15.75" customHeight="1" x14ac:dyDescent="0.3">
      <c r="A76" s="74" t="s">
        <v>899</v>
      </c>
      <c r="B76" s="1">
        <v>22</v>
      </c>
      <c r="C76" s="1">
        <v>360</v>
      </c>
      <c r="D76" s="1">
        <v>1237</v>
      </c>
      <c r="E76" s="59">
        <f t="shared" si="5"/>
        <v>1619</v>
      </c>
      <c r="F76" s="1">
        <v>515</v>
      </c>
      <c r="G76" s="1"/>
      <c r="H76" s="1"/>
      <c r="I76" s="59">
        <f t="shared" si="6"/>
        <v>515</v>
      </c>
      <c r="J76" s="1"/>
      <c r="K76" s="1"/>
      <c r="L76" s="1"/>
      <c r="M76" s="59">
        <f t="shared" si="7"/>
        <v>0</v>
      </c>
      <c r="N76" s="1"/>
      <c r="O76" s="1"/>
      <c r="P76" s="1"/>
      <c r="Q76" s="59">
        <f t="shared" si="8"/>
        <v>0</v>
      </c>
      <c r="R76" s="59">
        <f t="shared" si="9"/>
        <v>2134</v>
      </c>
      <c r="T76" s="4" t="s">
        <v>78</v>
      </c>
    </row>
    <row r="77" spans="1:20" ht="15.75" customHeight="1" x14ac:dyDescent="0.3">
      <c r="A77" s="74" t="s">
        <v>81</v>
      </c>
      <c r="B77" s="1"/>
      <c r="C77" s="1"/>
      <c r="D77" s="1"/>
      <c r="E77" s="59">
        <f t="shared" si="5"/>
        <v>0</v>
      </c>
      <c r="F77" s="1"/>
      <c r="G77" s="1"/>
      <c r="H77" s="1"/>
      <c r="I77" s="59">
        <f t="shared" si="6"/>
        <v>0</v>
      </c>
      <c r="J77" s="1"/>
      <c r="K77" s="1"/>
      <c r="L77" s="1"/>
      <c r="M77" s="59">
        <f t="shared" si="7"/>
        <v>0</v>
      </c>
      <c r="N77" s="1"/>
      <c r="O77" s="1"/>
      <c r="P77" s="1"/>
      <c r="Q77" s="59">
        <f t="shared" si="8"/>
        <v>0</v>
      </c>
      <c r="R77" s="59">
        <f t="shared" si="9"/>
        <v>0</v>
      </c>
    </row>
    <row r="78" spans="1:20" ht="15.75" customHeight="1" x14ac:dyDescent="0.3">
      <c r="A78" s="74" t="s">
        <v>82</v>
      </c>
      <c r="B78" s="1"/>
      <c r="C78" s="1"/>
      <c r="D78" s="1"/>
      <c r="E78" s="59">
        <f t="shared" si="5"/>
        <v>0</v>
      </c>
      <c r="F78" s="1"/>
      <c r="G78" s="1"/>
      <c r="H78" s="1"/>
      <c r="I78" s="59">
        <f t="shared" si="6"/>
        <v>0</v>
      </c>
      <c r="J78" s="1"/>
      <c r="K78" s="1"/>
      <c r="L78" s="1"/>
      <c r="M78" s="59">
        <f t="shared" si="7"/>
        <v>0</v>
      </c>
      <c r="N78" s="1"/>
      <c r="O78" s="1"/>
      <c r="P78" s="1"/>
      <c r="Q78" s="59">
        <f t="shared" si="8"/>
        <v>0</v>
      </c>
      <c r="R78" s="59">
        <f t="shared" si="9"/>
        <v>0</v>
      </c>
      <c r="T78" s="4" t="s">
        <v>83</v>
      </c>
    </row>
    <row r="79" spans="1:20" ht="15.75" customHeight="1" x14ac:dyDescent="0.3">
      <c r="A79" s="76" t="s">
        <v>84</v>
      </c>
      <c r="B79" s="1"/>
      <c r="C79" s="1"/>
      <c r="D79" s="1"/>
      <c r="E79" s="59">
        <f t="shared" si="5"/>
        <v>0</v>
      </c>
      <c r="F79" s="1"/>
      <c r="G79" s="1"/>
      <c r="H79" s="1"/>
      <c r="I79" s="59">
        <f t="shared" si="6"/>
        <v>0</v>
      </c>
      <c r="J79" s="1">
        <v>512</v>
      </c>
      <c r="K79" s="1">
        <v>512</v>
      </c>
      <c r="L79" s="1">
        <v>512</v>
      </c>
      <c r="M79" s="59">
        <f t="shared" si="7"/>
        <v>1536</v>
      </c>
      <c r="N79" s="1">
        <v>512</v>
      </c>
      <c r="O79" s="1"/>
      <c r="P79" s="1"/>
      <c r="Q79" s="59">
        <f t="shared" si="8"/>
        <v>512</v>
      </c>
      <c r="R79" s="59">
        <f t="shared" si="9"/>
        <v>2048</v>
      </c>
    </row>
    <row r="80" spans="1:20" ht="15.75" customHeight="1" x14ac:dyDescent="0.3">
      <c r="A80" s="76" t="s">
        <v>85</v>
      </c>
      <c r="B80" s="1"/>
      <c r="C80" s="1"/>
      <c r="D80" s="1"/>
      <c r="E80" s="59">
        <f t="shared" si="5"/>
        <v>0</v>
      </c>
      <c r="F80" s="1"/>
      <c r="G80" s="1"/>
      <c r="H80" s="1"/>
      <c r="I80" s="59">
        <f t="shared" si="6"/>
        <v>0</v>
      </c>
      <c r="J80" s="1"/>
      <c r="K80" s="1"/>
      <c r="L80" s="1"/>
      <c r="M80" s="59">
        <f t="shared" si="7"/>
        <v>0</v>
      </c>
      <c r="N80" s="1"/>
      <c r="O80" s="1"/>
      <c r="P80" s="1"/>
      <c r="Q80" s="59">
        <f t="shared" si="8"/>
        <v>0</v>
      </c>
      <c r="R80" s="59">
        <f t="shared" si="9"/>
        <v>0</v>
      </c>
    </row>
    <row r="81" spans="1:20" ht="15.75" customHeight="1" x14ac:dyDescent="0.3">
      <c r="A81" s="76" t="s">
        <v>86</v>
      </c>
      <c r="B81" s="1"/>
      <c r="C81" s="1"/>
      <c r="D81" s="1"/>
      <c r="E81" s="59">
        <f>SUM(B81:D81)</f>
        <v>0</v>
      </c>
      <c r="F81" s="1"/>
      <c r="G81" s="1"/>
      <c r="H81" s="1"/>
      <c r="I81" s="59">
        <f>SUM(F81:H81)</f>
        <v>0</v>
      </c>
      <c r="J81" s="1"/>
      <c r="K81" s="1"/>
      <c r="L81" s="1"/>
      <c r="M81" s="59">
        <f>SUM(J81:L81)</f>
        <v>0</v>
      </c>
      <c r="N81" s="1"/>
      <c r="O81" s="1"/>
      <c r="P81" s="1"/>
      <c r="Q81" s="59">
        <f>SUM(N81:P81)</f>
        <v>0</v>
      </c>
      <c r="R81" s="59">
        <f t="shared" si="9"/>
        <v>0</v>
      </c>
    </row>
    <row r="82" spans="1:20" ht="15.75" customHeight="1" x14ac:dyDescent="0.3">
      <c r="A82" s="76" t="s">
        <v>87</v>
      </c>
      <c r="B82" s="1"/>
      <c r="C82" s="1"/>
      <c r="D82" s="1"/>
      <c r="E82" s="59">
        <f t="shared" si="5"/>
        <v>0</v>
      </c>
      <c r="F82" s="1"/>
      <c r="G82" s="1"/>
      <c r="H82" s="1"/>
      <c r="I82" s="59">
        <f t="shared" si="6"/>
        <v>0</v>
      </c>
      <c r="J82" s="1"/>
      <c r="K82" s="1"/>
      <c r="L82" s="1"/>
      <c r="M82" s="59">
        <f t="shared" si="7"/>
        <v>0</v>
      </c>
      <c r="N82" s="1"/>
      <c r="O82" s="1"/>
      <c r="P82" s="1"/>
      <c r="Q82" s="59">
        <f t="shared" si="8"/>
        <v>0</v>
      </c>
      <c r="R82" s="59">
        <f t="shared" si="9"/>
        <v>0</v>
      </c>
      <c r="S82" s="4">
        <f>SUM(R72:R82)</f>
        <v>4182</v>
      </c>
    </row>
    <row r="83" spans="1:20" ht="15.75" customHeight="1" x14ac:dyDescent="0.3">
      <c r="A83" s="22" t="s">
        <v>47</v>
      </c>
      <c r="B83" s="30"/>
      <c r="C83" s="30"/>
      <c r="D83" s="30"/>
      <c r="E83" s="59" t="s">
        <v>7</v>
      </c>
      <c r="F83" s="30"/>
      <c r="G83" s="30"/>
      <c r="H83" s="30"/>
      <c r="I83" s="59" t="s">
        <v>7</v>
      </c>
      <c r="J83" s="30"/>
      <c r="K83" s="30"/>
      <c r="L83" s="30"/>
      <c r="M83" s="59" t="s">
        <v>7</v>
      </c>
      <c r="N83" s="30"/>
      <c r="O83" s="30"/>
      <c r="P83" s="30"/>
      <c r="Q83" s="59" t="s">
        <v>7</v>
      </c>
      <c r="R83" s="59" t="s">
        <v>7</v>
      </c>
    </row>
    <row r="84" spans="1:20" ht="15.75" customHeight="1" x14ac:dyDescent="0.3">
      <c r="A84" s="76" t="s">
        <v>88</v>
      </c>
      <c r="B84" s="1"/>
      <c r="C84" s="1"/>
      <c r="D84" s="1"/>
      <c r="E84" s="59">
        <f>SUM(B84:D84)</f>
        <v>0</v>
      </c>
      <c r="F84" s="1"/>
      <c r="G84" s="1"/>
      <c r="H84" s="1"/>
      <c r="I84" s="59">
        <f>SUM(F84:H84)</f>
        <v>0</v>
      </c>
      <c r="J84" s="1"/>
      <c r="K84" s="1"/>
      <c r="L84" s="1"/>
      <c r="M84" s="59">
        <f>SUM(J84:L84)</f>
        <v>0</v>
      </c>
      <c r="N84" s="1"/>
      <c r="O84" s="1"/>
      <c r="P84" s="1"/>
      <c r="Q84" s="59">
        <f>SUM(N84:P84)</f>
        <v>0</v>
      </c>
      <c r="R84" s="59">
        <f>+E84+I84+M84+Q84</f>
        <v>0</v>
      </c>
    </row>
    <row r="85" spans="1:20" ht="15.75" customHeight="1" x14ac:dyDescent="0.3">
      <c r="A85" s="22" t="s">
        <v>49</v>
      </c>
      <c r="B85" s="30"/>
      <c r="C85" s="30"/>
      <c r="D85" s="30"/>
      <c r="E85" s="59" t="s">
        <v>50</v>
      </c>
      <c r="F85" s="30"/>
      <c r="G85" s="30"/>
      <c r="H85" s="30"/>
      <c r="I85" s="59" t="s">
        <v>50</v>
      </c>
      <c r="J85" s="30"/>
      <c r="K85" s="30"/>
      <c r="L85" s="30"/>
      <c r="M85" s="59" t="s">
        <v>50</v>
      </c>
      <c r="N85" s="30"/>
      <c r="O85" s="30"/>
      <c r="P85" s="30"/>
      <c r="Q85" s="59" t="s">
        <v>50</v>
      </c>
      <c r="R85" s="59" t="s">
        <v>50</v>
      </c>
    </row>
    <row r="86" spans="1:20" ht="15.75" customHeight="1" x14ac:dyDescent="0.3">
      <c r="A86" s="61" t="s">
        <v>900</v>
      </c>
      <c r="B86" s="1"/>
      <c r="C86" s="1"/>
      <c r="D86" s="1"/>
      <c r="E86" s="59">
        <f>SUM(B86:D86)</f>
        <v>0</v>
      </c>
      <c r="F86" s="1"/>
      <c r="G86" s="1"/>
      <c r="H86" s="1"/>
      <c r="I86" s="59">
        <f>SUM(F86:H86)</f>
        <v>0</v>
      </c>
      <c r="J86" s="1"/>
      <c r="K86" s="1"/>
      <c r="L86" s="1"/>
      <c r="M86" s="59">
        <f>SUM(J86:L86)</f>
        <v>0</v>
      </c>
      <c r="N86" s="1"/>
      <c r="O86" s="1"/>
      <c r="P86" s="1"/>
      <c r="Q86" s="59">
        <f>SUM(N86:P86)</f>
        <v>0</v>
      </c>
      <c r="R86" s="59">
        <f>+E86+I86+M86+Q86</f>
        <v>0</v>
      </c>
    </row>
    <row r="87" spans="1:20" ht="15.75" customHeight="1" x14ac:dyDescent="0.3">
      <c r="A87" s="61" t="s">
        <v>901</v>
      </c>
      <c r="B87" s="1"/>
      <c r="C87" s="1"/>
      <c r="D87" s="1"/>
      <c r="E87" s="59">
        <f>SUM(B87:D87)</f>
        <v>0</v>
      </c>
      <c r="F87" s="1">
        <v>1201</v>
      </c>
      <c r="G87" s="1">
        <v>1927</v>
      </c>
      <c r="H87" s="1">
        <v>1839</v>
      </c>
      <c r="I87" s="59">
        <f>SUM(F87:H87)</f>
        <v>4967</v>
      </c>
      <c r="J87" s="1">
        <v>321</v>
      </c>
      <c r="K87" s="1">
        <v>914</v>
      </c>
      <c r="L87" s="1">
        <v>715</v>
      </c>
      <c r="M87" s="59">
        <f>SUM(J87:L87)</f>
        <v>1950</v>
      </c>
      <c r="N87" s="1">
        <v>38</v>
      </c>
      <c r="O87" s="1">
        <v>480</v>
      </c>
      <c r="P87" s="1">
        <v>721</v>
      </c>
      <c r="Q87" s="59">
        <f>SUM(N87:P87)</f>
        <v>1239</v>
      </c>
      <c r="R87" s="59">
        <f>+E87+I87+M87+Q87</f>
        <v>8156</v>
      </c>
      <c r="T87" s="4" t="s">
        <v>78</v>
      </c>
    </row>
    <row r="88" spans="1:20" ht="15.75" customHeight="1" thickBot="1" x14ac:dyDescent="0.35">
      <c r="A88" s="22" t="s">
        <v>51</v>
      </c>
      <c r="B88" s="60"/>
      <c r="C88" s="60"/>
      <c r="D88" s="60"/>
      <c r="E88" s="59" t="s">
        <v>7</v>
      </c>
      <c r="F88" s="60"/>
      <c r="G88" s="60"/>
      <c r="H88" s="60"/>
      <c r="I88" s="59" t="s">
        <v>7</v>
      </c>
      <c r="J88" s="60"/>
      <c r="K88" s="60"/>
      <c r="L88" s="60"/>
      <c r="M88" s="59" t="s">
        <v>7</v>
      </c>
      <c r="N88" s="60"/>
      <c r="O88" s="60"/>
      <c r="P88" s="60"/>
      <c r="Q88" s="59" t="s">
        <v>7</v>
      </c>
      <c r="R88" s="59" t="s">
        <v>7</v>
      </c>
    </row>
    <row r="89" spans="1:20" ht="16.5" customHeight="1" thickBot="1" x14ac:dyDescent="0.35">
      <c r="A89" s="62" t="s">
        <v>52</v>
      </c>
      <c r="B89" s="63">
        <f>SUM(B70:B88)</f>
        <v>22</v>
      </c>
      <c r="C89" s="63">
        <f>SUM(C70:C88)</f>
        <v>360</v>
      </c>
      <c r="D89" s="63">
        <f>SUM(D70:D88)</f>
        <v>1237</v>
      </c>
      <c r="E89" s="64">
        <f>SUM(B89:D89)</f>
        <v>1619</v>
      </c>
      <c r="F89" s="63">
        <f>SUM(F70:F88)</f>
        <v>1716</v>
      </c>
      <c r="G89" s="63">
        <f>SUM(G70:G88)</f>
        <v>1927</v>
      </c>
      <c r="H89" s="63">
        <f>SUM(H70:H88)</f>
        <v>1839</v>
      </c>
      <c r="I89" s="64">
        <f>SUM(F89:H89)</f>
        <v>5482</v>
      </c>
      <c r="J89" s="63">
        <f>SUM(J70:J88)</f>
        <v>833</v>
      </c>
      <c r="K89" s="63">
        <f>SUM(K70:K88)</f>
        <v>1426</v>
      </c>
      <c r="L89" s="63">
        <f>SUM(L70:L88)</f>
        <v>1227</v>
      </c>
      <c r="M89" s="64">
        <f>SUM(J89:L89)</f>
        <v>3486</v>
      </c>
      <c r="N89" s="63">
        <f>SUM(N70:N88)</f>
        <v>550</v>
      </c>
      <c r="O89" s="63">
        <f>SUM(O70:O88)</f>
        <v>480</v>
      </c>
      <c r="P89" s="63">
        <f>SUM(P70:P88)</f>
        <v>721</v>
      </c>
      <c r="Q89" s="64">
        <f>SUM(N89:P89)</f>
        <v>1751</v>
      </c>
      <c r="R89" s="64">
        <f>+E89+I89+M89+Q89</f>
        <v>12338</v>
      </c>
    </row>
    <row r="90" spans="1:20" ht="15.75" customHeight="1" x14ac:dyDescent="0.3">
      <c r="A90" s="22" t="s">
        <v>53</v>
      </c>
      <c r="B90" s="60"/>
      <c r="C90" s="60"/>
      <c r="D90" s="60"/>
      <c r="E90" s="59" t="s">
        <v>7</v>
      </c>
      <c r="F90" s="60"/>
      <c r="G90" s="60"/>
      <c r="H90" s="60"/>
      <c r="I90" s="59" t="s">
        <v>7</v>
      </c>
      <c r="J90" s="60"/>
      <c r="K90" s="60"/>
      <c r="L90" s="60"/>
      <c r="M90" s="59" t="s">
        <v>7</v>
      </c>
      <c r="N90" s="60"/>
      <c r="O90" s="60"/>
      <c r="P90" s="60"/>
      <c r="Q90" s="59" t="s">
        <v>7</v>
      </c>
      <c r="R90" s="334" t="s">
        <v>7</v>
      </c>
    </row>
    <row r="91" spans="1:20" ht="15.75" customHeight="1" x14ac:dyDescent="0.3">
      <c r="A91" s="22" t="s">
        <v>54</v>
      </c>
      <c r="B91" s="60"/>
      <c r="C91" s="60"/>
      <c r="D91" s="60"/>
      <c r="E91" s="59" t="s">
        <v>7</v>
      </c>
      <c r="F91" s="60"/>
      <c r="G91" s="60"/>
      <c r="H91" s="60"/>
      <c r="I91" s="59" t="s">
        <v>7</v>
      </c>
      <c r="J91" s="60"/>
      <c r="K91" s="60"/>
      <c r="L91" s="60"/>
      <c r="M91" s="59" t="s">
        <v>7</v>
      </c>
      <c r="N91" s="60"/>
      <c r="O91" s="60"/>
      <c r="P91" s="60"/>
      <c r="Q91" s="59" t="s">
        <v>7</v>
      </c>
      <c r="R91" s="59" t="s">
        <v>7</v>
      </c>
    </row>
    <row r="92" spans="1:20" ht="15.75" customHeight="1" x14ac:dyDescent="0.3">
      <c r="A92" s="22" t="s">
        <v>55</v>
      </c>
      <c r="B92" s="60"/>
      <c r="C92" s="60"/>
      <c r="D92" s="60"/>
      <c r="E92" s="59" t="s">
        <v>7</v>
      </c>
      <c r="F92" s="60"/>
      <c r="G92" s="60"/>
      <c r="H92" s="60"/>
      <c r="I92" s="59" t="s">
        <v>7</v>
      </c>
      <c r="J92" s="60"/>
      <c r="K92" s="60"/>
      <c r="L92" s="60"/>
      <c r="M92" s="59" t="s">
        <v>7</v>
      </c>
      <c r="N92" s="60"/>
      <c r="O92" s="60"/>
      <c r="P92" s="60"/>
      <c r="Q92" s="59" t="s">
        <v>7</v>
      </c>
      <c r="R92" s="59" t="s">
        <v>7</v>
      </c>
    </row>
    <row r="93" spans="1:20" ht="15.75" customHeight="1" x14ac:dyDescent="0.3">
      <c r="A93" s="76" t="s">
        <v>92</v>
      </c>
      <c r="B93" s="1">
        <v>4</v>
      </c>
      <c r="C93" s="1">
        <v>626</v>
      </c>
      <c r="D93" s="1">
        <v>1310</v>
      </c>
      <c r="E93" s="59">
        <f>SUM(B93:D93)</f>
        <v>1940</v>
      </c>
      <c r="F93" s="1">
        <v>2942</v>
      </c>
      <c r="G93" s="1">
        <v>3707</v>
      </c>
      <c r="H93" s="1">
        <v>3592</v>
      </c>
      <c r="I93" s="59">
        <f>SUM(F93:H93)</f>
        <v>10241</v>
      </c>
      <c r="J93" s="1">
        <v>3949</v>
      </c>
      <c r="K93" s="1">
        <v>3386</v>
      </c>
      <c r="L93" s="1">
        <v>2155</v>
      </c>
      <c r="M93" s="59">
        <f>SUM(J93:L93)</f>
        <v>9490</v>
      </c>
      <c r="N93" s="1">
        <v>1632</v>
      </c>
      <c r="O93" s="1">
        <v>909</v>
      </c>
      <c r="P93" s="1">
        <v>1710</v>
      </c>
      <c r="Q93" s="59">
        <f>SUM(N93:P93)</f>
        <v>4251</v>
      </c>
      <c r="R93" s="59">
        <f>+E93+I93+M93+Q93</f>
        <v>25922</v>
      </c>
      <c r="T93" s="4" t="s">
        <v>93</v>
      </c>
    </row>
    <row r="94" spans="1:20" ht="15.75" customHeight="1" x14ac:dyDescent="0.3">
      <c r="A94" s="76" t="s">
        <v>94</v>
      </c>
      <c r="B94" s="1"/>
      <c r="C94" s="1"/>
      <c r="D94" s="1"/>
      <c r="E94" s="59">
        <f>SUM(B94:D94)</f>
        <v>0</v>
      </c>
      <c r="F94" s="1"/>
      <c r="G94" s="1"/>
      <c r="H94" s="1"/>
      <c r="I94" s="59">
        <f>SUM(F94:H94)</f>
        <v>0</v>
      </c>
      <c r="J94" s="1">
        <v>435</v>
      </c>
      <c r="K94" s="1">
        <v>235</v>
      </c>
      <c r="L94" s="1">
        <v>715</v>
      </c>
      <c r="M94" s="59">
        <f>SUM(J94:L94)</f>
        <v>1385</v>
      </c>
      <c r="N94" s="1">
        <v>715</v>
      </c>
      <c r="O94" s="1">
        <v>200</v>
      </c>
      <c r="P94" s="1"/>
      <c r="Q94" s="59">
        <f>SUM(N94:P94)</f>
        <v>915</v>
      </c>
      <c r="R94" s="59">
        <f>+E94+I94+M94+Q94</f>
        <v>2300</v>
      </c>
      <c r="T94" s="4" t="s">
        <v>78</v>
      </c>
    </row>
    <row r="95" spans="1:20" ht="15.75" customHeight="1" thickBot="1" x14ac:dyDescent="0.35">
      <c r="A95" s="22" t="s">
        <v>56</v>
      </c>
      <c r="B95" s="60"/>
      <c r="C95" s="60"/>
      <c r="D95" s="60"/>
      <c r="E95" s="59" t="s">
        <v>7</v>
      </c>
      <c r="F95" s="60"/>
      <c r="G95" s="60"/>
      <c r="H95" s="60"/>
      <c r="I95" s="59" t="s">
        <v>7</v>
      </c>
      <c r="J95" s="60"/>
      <c r="K95" s="60"/>
      <c r="L95" s="60"/>
      <c r="M95" s="59" t="s">
        <v>7</v>
      </c>
      <c r="N95" s="60"/>
      <c r="O95" s="60"/>
      <c r="P95" s="60"/>
      <c r="Q95" s="59" t="s">
        <v>7</v>
      </c>
      <c r="R95" s="59" t="s">
        <v>7</v>
      </c>
    </row>
    <row r="96" spans="1:20" ht="16.5" customHeight="1" thickBot="1" x14ac:dyDescent="0.35">
      <c r="A96" s="62" t="s">
        <v>57</v>
      </c>
      <c r="B96" s="63">
        <f>SUM(B90:B95)</f>
        <v>4</v>
      </c>
      <c r="C96" s="63">
        <f>SUM(C90:C95)</f>
        <v>626</v>
      </c>
      <c r="D96" s="63">
        <f>SUM(D90:D95)</f>
        <v>1310</v>
      </c>
      <c r="E96" s="64">
        <f>SUM(B96:D96)</f>
        <v>1940</v>
      </c>
      <c r="F96" s="63">
        <f>SUM(F90:F95)</f>
        <v>2942</v>
      </c>
      <c r="G96" s="63">
        <f>SUM(G90:G95)</f>
        <v>3707</v>
      </c>
      <c r="H96" s="63">
        <f>SUM(H90:H95)</f>
        <v>3592</v>
      </c>
      <c r="I96" s="64">
        <f>SUM(F96:H96)</f>
        <v>10241</v>
      </c>
      <c r="J96" s="63">
        <f>SUM(J90:J95)</f>
        <v>4384</v>
      </c>
      <c r="K96" s="63">
        <f>SUM(K90:K95)</f>
        <v>3621</v>
      </c>
      <c r="L96" s="63">
        <f>SUM(L90:L95)</f>
        <v>2870</v>
      </c>
      <c r="M96" s="64">
        <f>SUM(J96:L96)</f>
        <v>10875</v>
      </c>
      <c r="N96" s="63">
        <f>SUM(N90:N95)</f>
        <v>2347</v>
      </c>
      <c r="O96" s="63">
        <f>SUM(O90:O95)</f>
        <v>1109</v>
      </c>
      <c r="P96" s="63">
        <f>SUM(P90:P95)</f>
        <v>1710</v>
      </c>
      <c r="Q96" s="64">
        <f>SUM(N96:P96)</f>
        <v>5166</v>
      </c>
      <c r="R96" s="64">
        <f>+E96+I96+M96+Q96</f>
        <v>28222</v>
      </c>
    </row>
    <row r="97" spans="1:20" ht="15.75" customHeight="1" x14ac:dyDescent="0.3">
      <c r="A97" s="22" t="s">
        <v>58</v>
      </c>
      <c r="B97" s="60"/>
      <c r="C97" s="60"/>
      <c r="D97" s="60"/>
      <c r="E97" s="59" t="s">
        <v>7</v>
      </c>
      <c r="F97" s="60"/>
      <c r="G97" s="60"/>
      <c r="H97" s="60"/>
      <c r="I97" s="59" t="s">
        <v>7</v>
      </c>
      <c r="J97" s="60"/>
      <c r="K97" s="60"/>
      <c r="L97" s="60"/>
      <c r="M97" s="59" t="s">
        <v>7</v>
      </c>
      <c r="N97" s="60"/>
      <c r="O97" s="60"/>
      <c r="P97" s="60"/>
      <c r="Q97" s="59" t="s">
        <v>7</v>
      </c>
      <c r="R97" s="59" t="s">
        <v>7</v>
      </c>
    </row>
    <row r="98" spans="1:20" ht="15.75" customHeight="1" x14ac:dyDescent="0.3">
      <c r="A98" s="22" t="s">
        <v>59</v>
      </c>
      <c r="B98" s="60"/>
      <c r="C98" s="60"/>
      <c r="D98" s="60"/>
      <c r="E98" s="59" t="s">
        <v>7</v>
      </c>
      <c r="F98" s="60"/>
      <c r="G98" s="60"/>
      <c r="H98" s="60"/>
      <c r="I98" s="59" t="s">
        <v>7</v>
      </c>
      <c r="J98" s="60"/>
      <c r="K98" s="60"/>
      <c r="L98" s="60"/>
      <c r="M98" s="59" t="s">
        <v>7</v>
      </c>
      <c r="N98" s="60"/>
      <c r="O98" s="60"/>
      <c r="P98" s="60"/>
      <c r="Q98" s="59" t="s">
        <v>7</v>
      </c>
      <c r="R98" s="59" t="s">
        <v>7</v>
      </c>
    </row>
    <row r="99" spans="1:20" ht="15.75" customHeight="1" x14ac:dyDescent="0.3">
      <c r="A99" s="22" t="s">
        <v>60</v>
      </c>
      <c r="B99" s="60"/>
      <c r="C99" s="60"/>
      <c r="D99" s="60"/>
      <c r="E99" s="59"/>
      <c r="F99" s="60"/>
      <c r="G99" s="60"/>
      <c r="H99" s="60"/>
      <c r="I99" s="59"/>
      <c r="J99" s="60"/>
      <c r="K99" s="60"/>
      <c r="L99" s="60"/>
      <c r="M99" s="59"/>
      <c r="N99" s="60"/>
      <c r="O99" s="60"/>
      <c r="P99" s="60"/>
      <c r="Q99" s="59"/>
      <c r="R99" s="59"/>
    </row>
    <row r="100" spans="1:20" ht="15.75" customHeight="1" x14ac:dyDescent="0.3">
      <c r="A100" s="76" t="s">
        <v>95</v>
      </c>
      <c r="B100" s="1"/>
      <c r="C100" s="1"/>
      <c r="D100" s="1"/>
      <c r="E100" s="59">
        <f t="shared" ref="E100:E107" si="10">SUM(B100:D100)</f>
        <v>0</v>
      </c>
      <c r="F100" s="1"/>
      <c r="G100" s="1"/>
      <c r="H100" s="1"/>
      <c r="I100" s="59">
        <f t="shared" ref="I100:I107" si="11">SUM(F100:H100)</f>
        <v>0</v>
      </c>
      <c r="J100" s="1"/>
      <c r="K100" s="1"/>
      <c r="L100" s="1"/>
      <c r="M100" s="59">
        <f t="shared" ref="M100:M107" si="12">SUM(J100:L100)</f>
        <v>0</v>
      </c>
      <c r="N100" s="1"/>
      <c r="O100" s="1"/>
      <c r="P100" s="1"/>
      <c r="Q100" s="59">
        <f t="shared" ref="Q100:Q107" si="13">SUM(N100:P100)</f>
        <v>0</v>
      </c>
      <c r="R100" s="59">
        <f t="shared" ref="R100:R107" si="14">+E100+I100+M100+Q100</f>
        <v>0</v>
      </c>
    </row>
    <row r="101" spans="1:20" ht="15.75" customHeight="1" x14ac:dyDescent="0.3">
      <c r="A101" s="76" t="s">
        <v>96</v>
      </c>
      <c r="B101" s="1"/>
      <c r="C101" s="1"/>
      <c r="D101" s="1"/>
      <c r="E101" s="59">
        <f t="shared" si="10"/>
        <v>0</v>
      </c>
      <c r="F101" s="1"/>
      <c r="G101" s="1"/>
      <c r="H101" s="1"/>
      <c r="I101" s="59">
        <f t="shared" si="11"/>
        <v>0</v>
      </c>
      <c r="J101" s="1"/>
      <c r="K101" s="1"/>
      <c r="L101" s="1"/>
      <c r="M101" s="59">
        <f t="shared" si="12"/>
        <v>0</v>
      </c>
      <c r="N101" s="1"/>
      <c r="O101" s="1"/>
      <c r="P101" s="1"/>
      <c r="Q101" s="59">
        <f t="shared" si="13"/>
        <v>0</v>
      </c>
      <c r="R101" s="59">
        <f t="shared" si="14"/>
        <v>0</v>
      </c>
    </row>
    <row r="102" spans="1:20" ht="15.75" customHeight="1" x14ac:dyDescent="0.3">
      <c r="A102" s="76" t="s">
        <v>875</v>
      </c>
      <c r="B102" s="1"/>
      <c r="C102" s="1"/>
      <c r="D102" s="1"/>
      <c r="E102" s="59">
        <f>SUM(B102:D102)</f>
        <v>0</v>
      </c>
      <c r="F102" s="1"/>
      <c r="G102" s="1"/>
      <c r="H102" s="1"/>
      <c r="I102" s="59">
        <f>SUM(F102:H102)</f>
        <v>0</v>
      </c>
      <c r="J102" s="1"/>
      <c r="K102" s="1"/>
      <c r="L102" s="1"/>
      <c r="M102" s="59">
        <f>SUM(J102:L102)</f>
        <v>0</v>
      </c>
      <c r="N102" s="1"/>
      <c r="O102" s="1"/>
      <c r="P102" s="1"/>
      <c r="Q102" s="59">
        <f>SUM(N102:P102)</f>
        <v>0</v>
      </c>
      <c r="R102" s="59">
        <f>+E102+I102+M102+Q102</f>
        <v>0</v>
      </c>
    </row>
    <row r="103" spans="1:20" ht="15.75" customHeight="1" x14ac:dyDescent="0.3">
      <c r="A103" s="76" t="s">
        <v>98</v>
      </c>
      <c r="B103" s="1"/>
      <c r="C103" s="1"/>
      <c r="D103" s="1"/>
      <c r="E103" s="59">
        <f>SUM(B103:D103)</f>
        <v>0</v>
      </c>
      <c r="F103" s="1"/>
      <c r="G103" s="1"/>
      <c r="H103" s="1"/>
      <c r="I103" s="59">
        <f>SUM(F103:H103)</f>
        <v>0</v>
      </c>
      <c r="J103" s="1"/>
      <c r="K103" s="1"/>
      <c r="L103" s="1"/>
      <c r="M103" s="59">
        <f>SUM(J103:L103)</f>
        <v>0</v>
      </c>
      <c r="N103" s="1"/>
      <c r="O103" s="1"/>
      <c r="P103" s="1"/>
      <c r="Q103" s="59">
        <f>SUM(N103:P103)</f>
        <v>0</v>
      </c>
      <c r="R103" s="59">
        <f>+E103+I103+M103+Q103</f>
        <v>0</v>
      </c>
      <c r="T103" s="4" t="s">
        <v>83</v>
      </c>
    </row>
    <row r="104" spans="1:20" ht="15.75" customHeight="1" x14ac:dyDescent="0.3">
      <c r="A104" s="76" t="s">
        <v>99</v>
      </c>
      <c r="B104" s="1"/>
      <c r="C104" s="1"/>
      <c r="D104" s="1"/>
      <c r="E104" s="59">
        <f>SUM(B104:D104)</f>
        <v>0</v>
      </c>
      <c r="F104" s="1"/>
      <c r="G104" s="1"/>
      <c r="H104" s="1"/>
      <c r="I104" s="59">
        <f>SUM(F104:H104)</f>
        <v>0</v>
      </c>
      <c r="J104" s="1"/>
      <c r="K104" s="1"/>
      <c r="L104" s="1"/>
      <c r="M104" s="59">
        <f>SUM(J104:L104)</f>
        <v>0</v>
      </c>
      <c r="N104" s="1"/>
      <c r="O104" s="1"/>
      <c r="P104" s="1"/>
      <c r="Q104" s="59">
        <f>SUM(N104:P104)</f>
        <v>0</v>
      </c>
      <c r="R104" s="59">
        <f>+E104+I104+M104+Q104</f>
        <v>0</v>
      </c>
    </row>
    <row r="105" spans="1:20" ht="15.75" customHeight="1" x14ac:dyDescent="0.3">
      <c r="A105" s="76" t="s">
        <v>876</v>
      </c>
      <c r="B105" s="1"/>
      <c r="C105" s="1"/>
      <c r="D105" s="1"/>
      <c r="E105" s="59">
        <f t="shared" si="10"/>
        <v>0</v>
      </c>
      <c r="F105" s="1"/>
      <c r="G105" s="1"/>
      <c r="H105" s="1"/>
      <c r="I105" s="59">
        <f t="shared" si="11"/>
        <v>0</v>
      </c>
      <c r="J105" s="1"/>
      <c r="K105" s="1"/>
      <c r="L105" s="1"/>
      <c r="M105" s="59">
        <f t="shared" si="12"/>
        <v>0</v>
      </c>
      <c r="N105" s="1"/>
      <c r="O105" s="1"/>
      <c r="P105" s="1"/>
      <c r="Q105" s="59">
        <f t="shared" si="13"/>
        <v>0</v>
      </c>
      <c r="R105" s="59">
        <f t="shared" si="14"/>
        <v>0</v>
      </c>
    </row>
    <row r="106" spans="1:20" ht="15.75" customHeight="1" thickBot="1" x14ac:dyDescent="0.35">
      <c r="A106" s="76" t="s">
        <v>101</v>
      </c>
      <c r="B106" s="1"/>
      <c r="C106" s="1"/>
      <c r="D106" s="1"/>
      <c r="E106" s="59">
        <f t="shared" si="10"/>
        <v>0</v>
      </c>
      <c r="F106" s="1"/>
      <c r="G106" s="1"/>
      <c r="H106" s="1"/>
      <c r="I106" s="59">
        <f t="shared" si="11"/>
        <v>0</v>
      </c>
      <c r="J106" s="1"/>
      <c r="K106" s="1"/>
      <c r="L106" s="1"/>
      <c r="M106" s="59">
        <f t="shared" si="12"/>
        <v>0</v>
      </c>
      <c r="N106" s="1"/>
      <c r="O106" s="1"/>
      <c r="P106" s="1"/>
      <c r="Q106" s="59">
        <f t="shared" si="13"/>
        <v>0</v>
      </c>
      <c r="R106" s="59">
        <f t="shared" si="14"/>
        <v>0</v>
      </c>
    </row>
    <row r="107" spans="1:20" ht="16.5" customHeight="1" thickBot="1" x14ac:dyDescent="0.35">
      <c r="A107" s="62" t="s">
        <v>61</v>
      </c>
      <c r="B107" s="63">
        <f>SUM(B97:B106)</f>
        <v>0</v>
      </c>
      <c r="C107" s="63">
        <f>SUM(C97:C106)</f>
        <v>0</v>
      </c>
      <c r="D107" s="63">
        <f>SUM(D97:D106)</f>
        <v>0</v>
      </c>
      <c r="E107" s="64">
        <f t="shared" si="10"/>
        <v>0</v>
      </c>
      <c r="F107" s="63">
        <f>SUM(F97:F106)</f>
        <v>0</v>
      </c>
      <c r="G107" s="63">
        <f>SUM(G97:G106)</f>
        <v>0</v>
      </c>
      <c r="H107" s="63">
        <f>SUM(H97:H106)</f>
        <v>0</v>
      </c>
      <c r="I107" s="64">
        <f t="shared" si="11"/>
        <v>0</v>
      </c>
      <c r="J107" s="63">
        <f>SUM(J97:J106)</f>
        <v>0</v>
      </c>
      <c r="K107" s="63">
        <f>SUM(K97:K106)</f>
        <v>0</v>
      </c>
      <c r="L107" s="63">
        <f>SUM(L97:L106)</f>
        <v>0</v>
      </c>
      <c r="M107" s="64">
        <f t="shared" si="12"/>
        <v>0</v>
      </c>
      <c r="N107" s="63">
        <f>SUM(N97:N106)</f>
        <v>0</v>
      </c>
      <c r="O107" s="63">
        <f>SUM(O97:O106)</f>
        <v>0</v>
      </c>
      <c r="P107" s="63">
        <f>SUM(P97:P106)</f>
        <v>0</v>
      </c>
      <c r="Q107" s="64">
        <f t="shared" si="13"/>
        <v>0</v>
      </c>
      <c r="R107" s="64">
        <f t="shared" si="14"/>
        <v>0</v>
      </c>
    </row>
    <row r="108" spans="1:20" ht="15.75" customHeight="1" x14ac:dyDescent="0.3">
      <c r="A108" s="22" t="s">
        <v>62</v>
      </c>
      <c r="B108" s="60"/>
      <c r="C108" s="60"/>
      <c r="D108" s="60"/>
      <c r="E108" s="59" t="s">
        <v>7</v>
      </c>
      <c r="F108" s="60"/>
      <c r="G108" s="60"/>
      <c r="H108" s="60"/>
      <c r="I108" s="59" t="s">
        <v>7</v>
      </c>
      <c r="J108" s="60"/>
      <c r="K108" s="60"/>
      <c r="L108" s="60"/>
      <c r="M108" s="59" t="s">
        <v>7</v>
      </c>
      <c r="N108" s="60"/>
      <c r="O108" s="60"/>
      <c r="P108" s="60"/>
      <c r="Q108" s="59" t="s">
        <v>7</v>
      </c>
      <c r="R108" s="59" t="s">
        <v>7</v>
      </c>
    </row>
    <row r="109" spans="1:20" ht="15.75" customHeight="1" x14ac:dyDescent="0.3">
      <c r="A109" s="22" t="s">
        <v>63</v>
      </c>
      <c r="B109" s="60"/>
      <c r="C109" s="60"/>
      <c r="D109" s="60"/>
      <c r="E109" s="59" t="s">
        <v>7</v>
      </c>
      <c r="F109" s="60"/>
      <c r="G109" s="60"/>
      <c r="H109" s="60"/>
      <c r="I109" s="59" t="s">
        <v>7</v>
      </c>
      <c r="J109" s="60"/>
      <c r="K109" s="60"/>
      <c r="L109" s="60"/>
      <c r="M109" s="59" t="s">
        <v>7</v>
      </c>
      <c r="N109" s="60"/>
      <c r="O109" s="60"/>
      <c r="P109" s="60"/>
      <c r="Q109" s="59" t="s">
        <v>7</v>
      </c>
      <c r="R109" s="59" t="s">
        <v>7</v>
      </c>
    </row>
    <row r="110" spans="1:20" ht="15.75" customHeight="1" x14ac:dyDescent="0.3">
      <c r="A110" s="61" t="s">
        <v>103</v>
      </c>
      <c r="B110" s="1"/>
      <c r="C110" s="1"/>
      <c r="D110" s="1"/>
      <c r="E110" s="59">
        <f t="shared" ref="E110:E115" si="15">SUM(B110:D110)</f>
        <v>0</v>
      </c>
      <c r="F110" s="1"/>
      <c r="G110" s="1"/>
      <c r="H110" s="1"/>
      <c r="I110" s="59">
        <f t="shared" ref="I110:I115" si="16">SUM(F110:H110)</f>
        <v>0</v>
      </c>
      <c r="J110" s="1"/>
      <c r="K110" s="1"/>
      <c r="L110" s="1"/>
      <c r="M110" s="59">
        <f t="shared" ref="M110:M115" si="17">SUM(J110:L110)</f>
        <v>0</v>
      </c>
      <c r="N110" s="1"/>
      <c r="O110" s="1"/>
      <c r="P110" s="1"/>
      <c r="Q110" s="59">
        <f t="shared" ref="Q110:Q115" si="18">SUM(N110:P110)</f>
        <v>0</v>
      </c>
      <c r="R110" s="59">
        <f t="shared" ref="R110:R115" si="19">+E110+I110+M110+Q110</f>
        <v>0</v>
      </c>
    </row>
    <row r="111" spans="1:20" ht="15.75" customHeight="1" x14ac:dyDescent="0.3">
      <c r="A111" s="61" t="s">
        <v>902</v>
      </c>
      <c r="B111" s="1"/>
      <c r="C111" s="1"/>
      <c r="D111" s="1"/>
      <c r="E111" s="59">
        <f t="shared" si="15"/>
        <v>0</v>
      </c>
      <c r="F111" s="1"/>
      <c r="G111" s="1"/>
      <c r="H111" s="1"/>
      <c r="I111" s="59">
        <f t="shared" si="16"/>
        <v>0</v>
      </c>
      <c r="J111" s="1"/>
      <c r="K111" s="1"/>
      <c r="L111" s="1"/>
      <c r="M111" s="59">
        <f t="shared" si="17"/>
        <v>0</v>
      </c>
      <c r="N111" s="1"/>
      <c r="O111" s="1"/>
      <c r="P111" s="1"/>
      <c r="Q111" s="59">
        <f t="shared" si="18"/>
        <v>0</v>
      </c>
      <c r="R111" s="59">
        <f t="shared" si="19"/>
        <v>0</v>
      </c>
    </row>
    <row r="112" spans="1:20" ht="15.75" customHeight="1" x14ac:dyDescent="0.3">
      <c r="A112" s="61" t="s">
        <v>105</v>
      </c>
      <c r="B112" s="1"/>
      <c r="C112" s="1"/>
      <c r="D112" s="1"/>
      <c r="E112" s="59">
        <f t="shared" si="15"/>
        <v>0</v>
      </c>
      <c r="F112" s="1"/>
      <c r="G112" s="1"/>
      <c r="H112" s="1"/>
      <c r="I112" s="59">
        <f t="shared" si="16"/>
        <v>0</v>
      </c>
      <c r="J112" s="1"/>
      <c r="K112" s="1"/>
      <c r="L112" s="1"/>
      <c r="M112" s="59">
        <f t="shared" si="17"/>
        <v>0</v>
      </c>
      <c r="N112" s="1"/>
      <c r="O112" s="1"/>
      <c r="P112" s="1"/>
      <c r="Q112" s="59">
        <f t="shared" si="18"/>
        <v>0</v>
      </c>
      <c r="R112" s="59">
        <f t="shared" si="19"/>
        <v>0</v>
      </c>
    </row>
    <row r="113" spans="1:20" ht="15.75" customHeight="1" x14ac:dyDescent="0.3">
      <c r="A113" s="61" t="s">
        <v>106</v>
      </c>
      <c r="B113" s="1"/>
      <c r="C113" s="1"/>
      <c r="D113" s="1"/>
      <c r="E113" s="59">
        <f t="shared" si="15"/>
        <v>0</v>
      </c>
      <c r="F113" s="1"/>
      <c r="G113" s="1"/>
      <c r="H113" s="1"/>
      <c r="I113" s="59">
        <f t="shared" si="16"/>
        <v>0</v>
      </c>
      <c r="J113" s="1"/>
      <c r="K113" s="1"/>
      <c r="L113" s="1"/>
      <c r="M113" s="59">
        <f t="shared" si="17"/>
        <v>0</v>
      </c>
      <c r="N113" s="1"/>
      <c r="O113" s="1"/>
      <c r="P113" s="1"/>
      <c r="Q113" s="59">
        <f t="shared" si="18"/>
        <v>0</v>
      </c>
      <c r="R113" s="59">
        <f t="shared" si="19"/>
        <v>0</v>
      </c>
    </row>
    <row r="114" spans="1:20" ht="15.75" customHeight="1" x14ac:dyDescent="0.3">
      <c r="A114" s="61" t="s">
        <v>107</v>
      </c>
      <c r="B114" s="1"/>
      <c r="C114" s="1"/>
      <c r="D114" s="1"/>
      <c r="E114" s="59">
        <f t="shared" si="15"/>
        <v>0</v>
      </c>
      <c r="F114" s="1"/>
      <c r="G114" s="1"/>
      <c r="H114" s="1"/>
      <c r="I114" s="59">
        <f t="shared" si="16"/>
        <v>0</v>
      </c>
      <c r="J114" s="1"/>
      <c r="K114" s="1"/>
      <c r="L114" s="1"/>
      <c r="M114" s="59">
        <f t="shared" si="17"/>
        <v>0</v>
      </c>
      <c r="N114" s="1"/>
      <c r="O114" s="1"/>
      <c r="P114" s="1"/>
      <c r="Q114" s="59">
        <f t="shared" si="18"/>
        <v>0</v>
      </c>
      <c r="R114" s="59">
        <f t="shared" si="19"/>
        <v>0</v>
      </c>
    </row>
    <row r="115" spans="1:20" ht="15.75" customHeight="1" x14ac:dyDescent="0.3">
      <c r="A115" s="61" t="s">
        <v>108</v>
      </c>
      <c r="B115" s="1"/>
      <c r="C115" s="1"/>
      <c r="D115" s="1"/>
      <c r="E115" s="59">
        <f t="shared" si="15"/>
        <v>0</v>
      </c>
      <c r="F115" s="1"/>
      <c r="G115" s="1"/>
      <c r="H115" s="1"/>
      <c r="I115" s="59">
        <f t="shared" si="16"/>
        <v>0</v>
      </c>
      <c r="J115" s="1"/>
      <c r="K115" s="1"/>
      <c r="L115" s="1"/>
      <c r="M115" s="59">
        <f t="shared" si="17"/>
        <v>0</v>
      </c>
      <c r="N115" s="1"/>
      <c r="O115" s="1"/>
      <c r="P115" s="1"/>
      <c r="Q115" s="59">
        <f t="shared" si="18"/>
        <v>0</v>
      </c>
      <c r="R115" s="59">
        <f t="shared" si="19"/>
        <v>0</v>
      </c>
    </row>
    <row r="116" spans="1:20" ht="15.75" customHeight="1" x14ac:dyDescent="0.3">
      <c r="A116" s="61" t="s">
        <v>109</v>
      </c>
      <c r="B116" s="1"/>
      <c r="C116" s="1"/>
      <c r="D116" s="1"/>
      <c r="E116" s="59">
        <f>SUM(B116:D116)</f>
        <v>0</v>
      </c>
      <c r="F116" s="1"/>
      <c r="G116" s="1"/>
      <c r="H116" s="1"/>
      <c r="I116" s="59">
        <f>SUM(F116:H116)</f>
        <v>0</v>
      </c>
      <c r="J116" s="1"/>
      <c r="K116" s="1"/>
      <c r="L116" s="1"/>
      <c r="M116" s="59">
        <f>SUM(J116:L116)</f>
        <v>0</v>
      </c>
      <c r="N116" s="1"/>
      <c r="O116" s="1"/>
      <c r="P116" s="1"/>
      <c r="Q116" s="59">
        <f>SUM(N116:P116)</f>
        <v>0</v>
      </c>
      <c r="R116" s="59">
        <f>+E116+I116+M116+Q116</f>
        <v>0</v>
      </c>
    </row>
    <row r="117" spans="1:20" ht="15.75" customHeight="1" x14ac:dyDescent="0.3">
      <c r="A117" s="78" t="s">
        <v>110</v>
      </c>
      <c r="B117" s="1"/>
      <c r="C117" s="1"/>
      <c r="D117" s="1"/>
      <c r="E117" s="59">
        <f>SUM(B117:D117)</f>
        <v>0</v>
      </c>
      <c r="F117" s="1"/>
      <c r="G117" s="1"/>
      <c r="H117" s="1"/>
      <c r="I117" s="59">
        <f>SUM(F117:H117)</f>
        <v>0</v>
      </c>
      <c r="J117" s="1"/>
      <c r="K117" s="1"/>
      <c r="L117" s="1"/>
      <c r="M117" s="59">
        <f>SUM(J117:L117)</f>
        <v>0</v>
      </c>
      <c r="N117" s="1"/>
      <c r="O117" s="1"/>
      <c r="P117" s="1"/>
      <c r="Q117" s="59">
        <f>SUM(N117:P117)</f>
        <v>0</v>
      </c>
      <c r="R117" s="59">
        <f>+E117+I117+M117+Q117</f>
        <v>0</v>
      </c>
      <c r="T117" s="4" t="s">
        <v>111</v>
      </c>
    </row>
    <row r="118" spans="1:20" ht="15.75" customHeight="1" x14ac:dyDescent="0.3">
      <c r="A118" s="22" t="s">
        <v>64</v>
      </c>
      <c r="B118" s="60"/>
      <c r="C118" s="60"/>
      <c r="D118" s="60"/>
      <c r="E118" s="59" t="s">
        <v>7</v>
      </c>
      <c r="F118" s="60"/>
      <c r="G118" s="60"/>
      <c r="H118" s="60"/>
      <c r="I118" s="59" t="s">
        <v>7</v>
      </c>
      <c r="J118" s="60"/>
      <c r="K118" s="60"/>
      <c r="L118" s="60"/>
      <c r="M118" s="59" t="s">
        <v>7</v>
      </c>
      <c r="N118" s="60"/>
      <c r="O118" s="60"/>
      <c r="P118" s="60"/>
      <c r="Q118" s="59" t="s">
        <v>7</v>
      </c>
      <c r="R118" s="59" t="s">
        <v>7</v>
      </c>
    </row>
    <row r="119" spans="1:20" ht="15.75" customHeight="1" x14ac:dyDescent="0.3">
      <c r="A119" s="61" t="s">
        <v>112</v>
      </c>
      <c r="B119" s="1"/>
      <c r="C119" s="1"/>
      <c r="D119" s="1"/>
      <c r="E119" s="59">
        <f>SUM(B119:D119)</f>
        <v>0</v>
      </c>
      <c r="F119" s="1"/>
      <c r="G119" s="1"/>
      <c r="H119" s="1"/>
      <c r="I119" s="59">
        <f>SUM(F119:H119)</f>
        <v>0</v>
      </c>
      <c r="J119" s="1"/>
      <c r="K119" s="1"/>
      <c r="L119" s="1"/>
      <c r="M119" s="59">
        <f>SUM(J119:L119)</f>
        <v>0</v>
      </c>
      <c r="N119" s="1"/>
      <c r="O119" s="1"/>
      <c r="P119" s="1"/>
      <c r="Q119" s="59">
        <f>SUM(N119:P119)</f>
        <v>0</v>
      </c>
      <c r="R119" s="59">
        <f>+E119+I119+M119+Q119</f>
        <v>0</v>
      </c>
    </row>
    <row r="120" spans="1:20" ht="15.75" customHeight="1" x14ac:dyDescent="0.3">
      <c r="A120" s="61" t="s">
        <v>113</v>
      </c>
      <c r="B120" s="1"/>
      <c r="C120" s="1"/>
      <c r="D120" s="1"/>
      <c r="E120" s="59">
        <f>SUM(B120:D120)</f>
        <v>0</v>
      </c>
      <c r="F120" s="1"/>
      <c r="G120" s="1"/>
      <c r="H120" s="1"/>
      <c r="I120" s="59">
        <f>SUM(F120:H120)</f>
        <v>0</v>
      </c>
      <c r="J120" s="1"/>
      <c r="K120" s="1"/>
      <c r="L120" s="1"/>
      <c r="M120" s="59">
        <f>SUM(J120:L120)</f>
        <v>0</v>
      </c>
      <c r="N120" s="1"/>
      <c r="O120" s="1"/>
      <c r="P120" s="1"/>
      <c r="Q120" s="59">
        <f>SUM(N120:P120)</f>
        <v>0</v>
      </c>
      <c r="R120" s="59">
        <f>+E120+I120+M120+Q120</f>
        <v>0</v>
      </c>
    </row>
    <row r="121" spans="1:20" ht="15.75" customHeight="1" x14ac:dyDescent="0.3">
      <c r="A121" s="22" t="s">
        <v>66</v>
      </c>
      <c r="B121" s="60"/>
      <c r="C121" s="60"/>
      <c r="D121" s="60"/>
      <c r="E121" s="59" t="s">
        <v>7</v>
      </c>
      <c r="F121" s="60"/>
      <c r="G121" s="60"/>
      <c r="H121" s="60"/>
      <c r="I121" s="59" t="s">
        <v>7</v>
      </c>
      <c r="J121" s="60"/>
      <c r="K121" s="60"/>
      <c r="L121" s="60"/>
      <c r="M121" s="59" t="s">
        <v>7</v>
      </c>
      <c r="N121" s="60"/>
      <c r="O121" s="60"/>
      <c r="P121" s="60"/>
      <c r="Q121" s="59" t="s">
        <v>7</v>
      </c>
      <c r="R121" s="59" t="s">
        <v>7</v>
      </c>
    </row>
    <row r="122" spans="1:20" ht="15.75" customHeight="1" x14ac:dyDescent="0.3">
      <c r="A122" s="61" t="s">
        <v>903</v>
      </c>
      <c r="B122" s="1"/>
      <c r="C122" s="1"/>
      <c r="D122" s="1"/>
      <c r="E122" s="59">
        <f>SUM(B122:D122)</f>
        <v>0</v>
      </c>
      <c r="F122" s="1"/>
      <c r="G122" s="1"/>
      <c r="H122" s="1"/>
      <c r="I122" s="59">
        <f>SUM(F122:H122)</f>
        <v>0</v>
      </c>
      <c r="J122" s="1"/>
      <c r="K122" s="1"/>
      <c r="L122" s="1"/>
      <c r="M122" s="59">
        <f>SUM(J122:L122)</f>
        <v>0</v>
      </c>
      <c r="N122" s="1"/>
      <c r="O122" s="1"/>
      <c r="P122" s="1"/>
      <c r="Q122" s="59">
        <f>SUM(N122:P122)</f>
        <v>0</v>
      </c>
      <c r="R122" s="59">
        <f>+E122+I122+M122+Q122</f>
        <v>0</v>
      </c>
      <c r="T122" s="4" t="s">
        <v>78</v>
      </c>
    </row>
    <row r="123" spans="1:20" ht="15.75" customHeight="1" thickBot="1" x14ac:dyDescent="0.35">
      <c r="A123" s="22" t="s">
        <v>67</v>
      </c>
      <c r="B123" s="60"/>
      <c r="C123" s="60"/>
      <c r="D123" s="60"/>
      <c r="E123" s="59" t="s">
        <v>7</v>
      </c>
      <c r="F123" s="60"/>
      <c r="G123" s="60"/>
      <c r="H123" s="60"/>
      <c r="I123" s="59" t="s">
        <v>7</v>
      </c>
      <c r="J123" s="60"/>
      <c r="K123" s="60"/>
      <c r="L123" s="60"/>
      <c r="M123" s="59" t="s">
        <v>7</v>
      </c>
      <c r="N123" s="60"/>
      <c r="O123" s="60"/>
      <c r="P123" s="60"/>
      <c r="Q123" s="59" t="s">
        <v>7</v>
      </c>
      <c r="R123" s="59" t="s">
        <v>7</v>
      </c>
    </row>
    <row r="124" spans="1:20" ht="16.5" customHeight="1" thickBot="1" x14ac:dyDescent="0.35">
      <c r="A124" s="62" t="s">
        <v>68</v>
      </c>
      <c r="B124" s="63">
        <f>SUM(B121:B123)</f>
        <v>0</v>
      </c>
      <c r="C124" s="63">
        <f>SUM(C121:C123)</f>
        <v>0</v>
      </c>
      <c r="D124" s="63">
        <f>SUM(D121:D123)</f>
        <v>0</v>
      </c>
      <c r="E124" s="334">
        <f>SUM(B124:D124)</f>
        <v>0</v>
      </c>
      <c r="F124" s="63">
        <f>SUM(F121:F123)</f>
        <v>0</v>
      </c>
      <c r="G124" s="63">
        <f>SUM(G121:G123)</f>
        <v>0</v>
      </c>
      <c r="H124" s="63">
        <f>SUM(H121:H123)</f>
        <v>0</v>
      </c>
      <c r="I124" s="334">
        <f>SUM(F124:H124)</f>
        <v>0</v>
      </c>
      <c r="J124" s="63">
        <f>SUM(J121:J123)</f>
        <v>0</v>
      </c>
      <c r="K124" s="63">
        <f>SUM(K121:K123)</f>
        <v>0</v>
      </c>
      <c r="L124" s="63">
        <f>SUM(L121:L123)</f>
        <v>0</v>
      </c>
      <c r="M124" s="334">
        <f>SUM(J124:L124)</f>
        <v>0</v>
      </c>
      <c r="N124" s="63">
        <f>SUM(N121:N123)</f>
        <v>0</v>
      </c>
      <c r="O124" s="63">
        <f>SUM(O121:O123)</f>
        <v>0</v>
      </c>
      <c r="P124" s="63">
        <f>SUM(P121:P123)</f>
        <v>0</v>
      </c>
      <c r="Q124" s="334">
        <f>SUM(N124:P124)</f>
        <v>0</v>
      </c>
      <c r="R124" s="64">
        <f>+E124+I124+M124+Q124</f>
        <v>0</v>
      </c>
    </row>
    <row r="125" spans="1:20" ht="16.5" customHeight="1" thickBot="1" x14ac:dyDescent="0.35">
      <c r="A125" s="62" t="s">
        <v>69</v>
      </c>
      <c r="B125" s="63">
        <f>SUM(B108:B123)</f>
        <v>0</v>
      </c>
      <c r="C125" s="63">
        <f>SUM(C108:C123)</f>
        <v>0</v>
      </c>
      <c r="D125" s="63">
        <f>SUM(D108:D123)</f>
        <v>0</v>
      </c>
      <c r="E125" s="334">
        <f>SUM(B125:D125)</f>
        <v>0</v>
      </c>
      <c r="F125" s="63">
        <f>SUM(F108:F123)</f>
        <v>0</v>
      </c>
      <c r="G125" s="63">
        <f>SUM(G108:G123)</f>
        <v>0</v>
      </c>
      <c r="H125" s="63">
        <f>SUM(H108:H123)</f>
        <v>0</v>
      </c>
      <c r="I125" s="334">
        <f>SUM(F125:H125)</f>
        <v>0</v>
      </c>
      <c r="J125" s="63">
        <f>SUM(J108:J123)</f>
        <v>0</v>
      </c>
      <c r="K125" s="63">
        <f>SUM(K108:K123)</f>
        <v>0</v>
      </c>
      <c r="L125" s="63">
        <f>SUM(L108:L123)</f>
        <v>0</v>
      </c>
      <c r="M125" s="334">
        <f>SUM(J125:L125)</f>
        <v>0</v>
      </c>
      <c r="N125" s="63">
        <f>SUM(N108:N123)</f>
        <v>0</v>
      </c>
      <c r="O125" s="63">
        <f>SUM(O108:O123)</f>
        <v>0</v>
      </c>
      <c r="P125" s="63">
        <f>SUM(P108:P123)</f>
        <v>0</v>
      </c>
      <c r="Q125" s="334">
        <f>SUM(N125:P125)</f>
        <v>0</v>
      </c>
      <c r="R125" s="64">
        <f>+E125+I125+M125+Q125</f>
        <v>0</v>
      </c>
    </row>
    <row r="126" spans="1:20" ht="16.5" customHeight="1" thickBot="1" x14ac:dyDescent="0.35">
      <c r="A126" s="62" t="s">
        <v>70</v>
      </c>
      <c r="B126" s="63">
        <f>+B89+B96+B107+B125</f>
        <v>26</v>
      </c>
      <c r="C126" s="63">
        <f>+C89+C96+C107+C125</f>
        <v>986</v>
      </c>
      <c r="D126" s="63">
        <f>+D89+D96+D107+D125</f>
        <v>2547</v>
      </c>
      <c r="E126" s="64">
        <f>SUM(B126:D126)</f>
        <v>3559</v>
      </c>
      <c r="F126" s="63">
        <f>+F89+F96+F107+F125</f>
        <v>4658</v>
      </c>
      <c r="G126" s="63">
        <f>+G89+G96+G107+G125</f>
        <v>5634</v>
      </c>
      <c r="H126" s="63">
        <f>+H89+H96+H107+H125</f>
        <v>5431</v>
      </c>
      <c r="I126" s="64">
        <f>SUM(F126:H126)</f>
        <v>15723</v>
      </c>
      <c r="J126" s="63">
        <f>+J89+J96+J107+J125</f>
        <v>5217</v>
      </c>
      <c r="K126" s="63">
        <f>+K89+K96+K107+K125</f>
        <v>5047</v>
      </c>
      <c r="L126" s="63">
        <f>+L89+L96+L107+L125</f>
        <v>4097</v>
      </c>
      <c r="M126" s="64">
        <f>SUM(J126:L126)</f>
        <v>14361</v>
      </c>
      <c r="N126" s="63">
        <f>+N89+N96+N107+N125</f>
        <v>2897</v>
      </c>
      <c r="O126" s="63">
        <f>+O89+O96+O107+O125</f>
        <v>1589</v>
      </c>
      <c r="P126" s="63">
        <f>+P89+P96+P107+P125</f>
        <v>2431</v>
      </c>
      <c r="Q126" s="64">
        <f>SUM(N126:P126)</f>
        <v>6917</v>
      </c>
      <c r="R126" s="64">
        <f>+E126+I126+M126+Q126</f>
        <v>40560</v>
      </c>
    </row>
    <row r="127" spans="1:20" ht="16.5" customHeight="1" thickBot="1" x14ac:dyDescent="0.35">
      <c r="A127" s="79" t="s">
        <v>37</v>
      </c>
      <c r="B127" s="25">
        <v>173</v>
      </c>
      <c r="C127" s="25">
        <v>260</v>
      </c>
      <c r="D127" s="25">
        <v>471</v>
      </c>
      <c r="E127" s="59">
        <f>SUM(B127:D127)</f>
        <v>904</v>
      </c>
      <c r="F127" s="25">
        <v>629</v>
      </c>
      <c r="G127" s="25">
        <v>725</v>
      </c>
      <c r="H127" s="25">
        <v>712</v>
      </c>
      <c r="I127" s="59">
        <f>SUM(F127:H127)</f>
        <v>2066</v>
      </c>
      <c r="J127" s="25">
        <v>711</v>
      </c>
      <c r="K127" s="25">
        <v>573</v>
      </c>
      <c r="L127" s="25">
        <v>542</v>
      </c>
      <c r="M127" s="59">
        <f>SUM(J127:L127)</f>
        <v>1826</v>
      </c>
      <c r="N127" s="25">
        <v>490</v>
      </c>
      <c r="O127" s="25">
        <v>407</v>
      </c>
      <c r="P127" s="25">
        <v>323</v>
      </c>
      <c r="Q127" s="59">
        <f>SUM(N127:P127)</f>
        <v>1220</v>
      </c>
      <c r="R127" s="59">
        <f>+E127+I127+M127+Q127</f>
        <v>6016</v>
      </c>
    </row>
    <row r="128" spans="1:20" ht="16.5" customHeight="1" thickBot="1" x14ac:dyDescent="0.35">
      <c r="A128" s="80"/>
      <c r="B128" s="81"/>
      <c r="C128" s="81"/>
      <c r="D128" s="81"/>
      <c r="E128" s="64" t="s">
        <v>7</v>
      </c>
      <c r="F128" s="81"/>
      <c r="G128" s="81"/>
      <c r="H128" s="81"/>
      <c r="I128" s="64" t="s">
        <v>7</v>
      </c>
      <c r="J128" s="81"/>
      <c r="K128" s="81"/>
      <c r="L128" s="81"/>
      <c r="M128" s="64" t="s">
        <v>7</v>
      </c>
      <c r="N128" s="81"/>
      <c r="O128" s="81"/>
      <c r="P128" s="81"/>
      <c r="Q128" s="64" t="s">
        <v>7</v>
      </c>
      <c r="R128" s="64" t="s">
        <v>7</v>
      </c>
    </row>
    <row r="129" spans="1:20" ht="15.75" customHeight="1" x14ac:dyDescent="0.3">
      <c r="A129" s="335" t="s">
        <v>38</v>
      </c>
      <c r="B129" s="336">
        <f>+B126+B127</f>
        <v>199</v>
      </c>
      <c r="C129" s="336">
        <f>+C126+C127</f>
        <v>1246</v>
      </c>
      <c r="D129" s="336">
        <f>+D126+D127</f>
        <v>3018</v>
      </c>
      <c r="E129" s="59">
        <f>SUM(B129:D129)</f>
        <v>4463</v>
      </c>
      <c r="F129" s="336">
        <f>+F126+F127</f>
        <v>5287</v>
      </c>
      <c r="G129" s="336">
        <f>+G126+G127</f>
        <v>6359</v>
      </c>
      <c r="H129" s="336">
        <f>+H126+H127</f>
        <v>6143</v>
      </c>
      <c r="I129" s="59">
        <f>SUM(F129:H129)</f>
        <v>17789</v>
      </c>
      <c r="J129" s="336">
        <f>+J126+J127</f>
        <v>5928</v>
      </c>
      <c r="K129" s="336">
        <f>+K126+K127</f>
        <v>5620</v>
      </c>
      <c r="L129" s="336">
        <f>+L126+L127</f>
        <v>4639</v>
      </c>
      <c r="M129" s="59">
        <f>SUM(J129:L129)</f>
        <v>16187</v>
      </c>
      <c r="N129" s="336">
        <f>+N126+N127</f>
        <v>3387</v>
      </c>
      <c r="O129" s="336">
        <f>+O126+O127</f>
        <v>1996</v>
      </c>
      <c r="P129" s="336">
        <f>+P126+P127</f>
        <v>2754</v>
      </c>
      <c r="Q129" s="59">
        <f>SUM(N129:P129)</f>
        <v>8137</v>
      </c>
      <c r="R129" s="59">
        <f>+E129+I129+M129+Q129</f>
        <v>46576</v>
      </c>
    </row>
    <row r="130" spans="1:20" ht="15.75" customHeight="1" x14ac:dyDescent="0.3">
      <c r="A130" s="84" t="s">
        <v>39</v>
      </c>
      <c r="B130" s="1">
        <f>(B129/B10)/1.983</f>
        <v>3.2371935646544006</v>
      </c>
      <c r="C130" s="1">
        <f>(C129/C10)/1.983</f>
        <v>22.440746343923347</v>
      </c>
      <c r="D130" s="1">
        <f>(D129/D10)/1.983</f>
        <v>49.094724513200916</v>
      </c>
      <c r="E130" s="59" t="s">
        <v>7</v>
      </c>
      <c r="F130" s="1">
        <f>(F129/F10)/1.983</f>
        <v>88.872079341065714</v>
      </c>
      <c r="G130" s="1">
        <f>(G129/G10)/1.983</f>
        <v>103.44378832983585</v>
      </c>
      <c r="H130" s="1">
        <f>(H129/H10)/1.983</f>
        <v>103.26105227769374</v>
      </c>
      <c r="I130" s="59" t="s">
        <v>7</v>
      </c>
      <c r="J130" s="1">
        <f>(J129/J10)/1.983</f>
        <v>96.432580157142155</v>
      </c>
      <c r="K130" s="1">
        <f>(K129/K10)/1.983</f>
        <v>91.422250418883081</v>
      </c>
      <c r="L130" s="1">
        <f>(L129/L10)/1.983</f>
        <v>77.979492351655736</v>
      </c>
      <c r="M130" s="59" t="s">
        <v>7</v>
      </c>
      <c r="N130" s="1">
        <f>(N129/N10)/1.983</f>
        <v>55.097359816504806</v>
      </c>
      <c r="O130" s="1">
        <f>(O129/O10)/1.983</f>
        <v>33.551857455034458</v>
      </c>
      <c r="P130" s="1">
        <f>(P129/P10)/1.983</f>
        <v>44.80015616612171</v>
      </c>
      <c r="Q130" s="59" t="s">
        <v>7</v>
      </c>
      <c r="R130" s="59" t="s">
        <v>7</v>
      </c>
    </row>
    <row r="131" spans="1:20" ht="15.75" customHeight="1" x14ac:dyDescent="0.3">
      <c r="A131" s="85" t="s">
        <v>117</v>
      </c>
      <c r="B131" s="1">
        <f>B129+B309</f>
        <v>124350</v>
      </c>
      <c r="C131" s="1">
        <f>C129+C309</f>
        <v>59909</v>
      </c>
      <c r="D131" s="1">
        <f>D129+D309</f>
        <v>135112</v>
      </c>
      <c r="E131" s="59">
        <f>SUM(B131:D131)</f>
        <v>319371</v>
      </c>
      <c r="F131" s="1">
        <f>F129+F309</f>
        <v>159436</v>
      </c>
      <c r="G131" s="1">
        <f>G129+G309</f>
        <v>175187</v>
      </c>
      <c r="H131" s="1">
        <f>H129+H309</f>
        <v>81937</v>
      </c>
      <c r="I131" s="59">
        <f>SUM(F131:H131)</f>
        <v>416560</v>
      </c>
      <c r="J131" s="1">
        <f>J129+J309</f>
        <v>74586</v>
      </c>
      <c r="K131" s="1">
        <f>K129+K309</f>
        <v>71543</v>
      </c>
      <c r="L131" s="1">
        <f>L129+L309</f>
        <v>132102</v>
      </c>
      <c r="M131" s="59">
        <f>SUM(J131:L131)</f>
        <v>278231</v>
      </c>
      <c r="N131" s="1">
        <f>N129+N309</f>
        <v>129024</v>
      </c>
      <c r="O131" s="1">
        <f>O129+O309</f>
        <v>126520</v>
      </c>
      <c r="P131" s="1">
        <f>P129+P309</f>
        <v>141004</v>
      </c>
      <c r="Q131" s="59">
        <f>SUM(N131:P131)</f>
        <v>396548</v>
      </c>
      <c r="R131" s="59">
        <f>+E131+I131+M131+Q131</f>
        <v>1410710</v>
      </c>
    </row>
    <row r="132" spans="1:20" ht="16.5" customHeight="1" thickBot="1" x14ac:dyDescent="0.35">
      <c r="A132" s="86" t="s">
        <v>118</v>
      </c>
      <c r="B132" s="87">
        <f>(B131/B10)/1.983</f>
        <v>2022.8392953003759</v>
      </c>
      <c r="C132" s="87">
        <f>(C131/C10)/1.983</f>
        <v>1078.9748577191845</v>
      </c>
      <c r="D132" s="87">
        <f>(D131/D10)/1.983</f>
        <v>2197.908024661233</v>
      </c>
      <c r="E132" s="88" t="s">
        <v>7</v>
      </c>
      <c r="F132" s="87">
        <f>(F131/F10)/1.983</f>
        <v>2680.047066733905</v>
      </c>
      <c r="G132" s="87">
        <f>(G131/G10)/1.983</f>
        <v>2849.8202462869876</v>
      </c>
      <c r="H132" s="87">
        <f>(H131/H10)/1.983</f>
        <v>1377.3239199865523</v>
      </c>
      <c r="I132" s="88" t="s">
        <v>7</v>
      </c>
      <c r="J132" s="87">
        <f>(J131/J10)/1.983</f>
        <v>1213.3131618759455</v>
      </c>
      <c r="K132" s="87">
        <f>(K131/K10)/1.983</f>
        <v>1163.8117547541196</v>
      </c>
      <c r="L132" s="87">
        <f>(L131/L10)/1.983</f>
        <v>2220.5748865355517</v>
      </c>
      <c r="M132" s="88" t="s">
        <v>7</v>
      </c>
      <c r="N132" s="87">
        <f>(N131/N10)/1.983</f>
        <v>2098.8726758088915</v>
      </c>
      <c r="O132" s="87">
        <f>(O131/O10)/1.983</f>
        <v>2126.7439905866531</v>
      </c>
      <c r="P132" s="87">
        <f>(P131/P10)/1.983</f>
        <v>2293.7549818619559</v>
      </c>
      <c r="Q132" s="88" t="s">
        <v>7</v>
      </c>
      <c r="R132" s="88" t="s">
        <v>7</v>
      </c>
    </row>
    <row r="133" spans="1:20" ht="15.75" customHeight="1" x14ac:dyDescent="0.3">
      <c r="A133" s="30"/>
      <c r="B133" s="1"/>
      <c r="C133" s="1"/>
      <c r="D133" s="1"/>
      <c r="E133" s="1"/>
      <c r="F133" s="1"/>
      <c r="G133" s="1"/>
      <c r="H133" s="1"/>
      <c r="I133" s="1"/>
      <c r="J133" s="1"/>
      <c r="K133" s="1"/>
      <c r="L133" s="1"/>
      <c r="M133" s="1"/>
      <c r="N133" s="1"/>
      <c r="O133" s="1"/>
      <c r="P133" s="1"/>
      <c r="Q133" s="1"/>
      <c r="R133" s="28"/>
    </row>
    <row r="134" spans="1:20" ht="15.75" customHeight="1" thickBot="1" x14ac:dyDescent="0.35">
      <c r="A134" s="30" t="s">
        <v>7</v>
      </c>
      <c r="B134" s="1"/>
      <c r="C134" s="1"/>
      <c r="D134" s="1"/>
      <c r="E134" s="1"/>
      <c r="F134" s="1"/>
      <c r="G134" s="1"/>
      <c r="H134" s="1"/>
      <c r="I134" s="1"/>
      <c r="J134" s="1"/>
      <c r="K134" s="1"/>
      <c r="L134" s="1"/>
      <c r="M134" s="1"/>
      <c r="N134" s="1"/>
      <c r="O134" s="1"/>
      <c r="P134" s="1"/>
      <c r="Q134" s="1"/>
      <c r="R134" s="28"/>
    </row>
    <row r="135" spans="1:20" ht="16.5" customHeight="1" thickBot="1" x14ac:dyDescent="0.35">
      <c r="A135" s="31" t="s">
        <v>119</v>
      </c>
      <c r="B135" s="323" t="s">
        <v>36</v>
      </c>
      <c r="C135" s="324" t="s">
        <v>9</v>
      </c>
      <c r="D135" s="324" t="s">
        <v>10</v>
      </c>
      <c r="E135" s="325" t="s">
        <v>11</v>
      </c>
      <c r="F135" s="324" t="s">
        <v>12</v>
      </c>
      <c r="G135" s="324" t="s">
        <v>13</v>
      </c>
      <c r="H135" s="324" t="s">
        <v>14</v>
      </c>
      <c r="I135" s="34" t="s">
        <v>15</v>
      </c>
      <c r="J135" s="324" t="s">
        <v>16</v>
      </c>
      <c r="K135" s="324" t="s">
        <v>17</v>
      </c>
      <c r="L135" s="324" t="s">
        <v>18</v>
      </c>
      <c r="M135" s="34" t="s">
        <v>19</v>
      </c>
      <c r="N135" s="324" t="s">
        <v>20</v>
      </c>
      <c r="O135" s="324" t="s">
        <v>21</v>
      </c>
      <c r="P135" s="324" t="s">
        <v>22</v>
      </c>
      <c r="Q135" s="34" t="s">
        <v>23</v>
      </c>
      <c r="R135" s="326" t="s">
        <v>24</v>
      </c>
    </row>
    <row r="136" spans="1:20" ht="16.5" customHeight="1" thickBot="1" x14ac:dyDescent="0.35">
      <c r="A136" s="80"/>
      <c r="B136" s="81"/>
      <c r="C136" s="81"/>
      <c r="D136" s="81"/>
      <c r="E136" s="89"/>
      <c r="F136" s="81"/>
      <c r="G136" s="81"/>
      <c r="H136" s="81"/>
      <c r="I136" s="89"/>
      <c r="J136" s="81"/>
      <c r="K136" s="81"/>
      <c r="L136" s="81"/>
      <c r="M136" s="89"/>
      <c r="N136" s="81"/>
      <c r="O136" s="81"/>
      <c r="P136" s="81"/>
      <c r="Q136" s="89"/>
      <c r="R136" s="80"/>
    </row>
    <row r="137" spans="1:20" ht="15.75" customHeight="1" x14ac:dyDescent="0.3">
      <c r="A137" s="17" t="s">
        <v>45</v>
      </c>
      <c r="B137" s="1" t="s">
        <v>7</v>
      </c>
      <c r="C137" s="1" t="s">
        <v>7</v>
      </c>
      <c r="D137" s="1" t="s">
        <v>7</v>
      </c>
      <c r="E137" s="59" t="s">
        <v>7</v>
      </c>
      <c r="F137" s="1" t="s">
        <v>7</v>
      </c>
      <c r="G137" s="1" t="s">
        <v>7</v>
      </c>
      <c r="H137" s="1" t="s">
        <v>7</v>
      </c>
      <c r="I137" s="59" t="s">
        <v>7</v>
      </c>
      <c r="J137" s="1" t="s">
        <v>7</v>
      </c>
      <c r="K137" s="1" t="s">
        <v>7</v>
      </c>
      <c r="L137" s="1" t="s">
        <v>7</v>
      </c>
      <c r="M137" s="59" t="s">
        <v>7</v>
      </c>
      <c r="N137" s="1" t="s">
        <v>7</v>
      </c>
      <c r="O137" s="1" t="s">
        <v>7</v>
      </c>
      <c r="P137" s="1" t="s">
        <v>7</v>
      </c>
      <c r="Q137" s="59" t="s">
        <v>7</v>
      </c>
      <c r="R137" s="90" t="s">
        <v>7</v>
      </c>
    </row>
    <row r="138" spans="1:20" ht="15.75" customHeight="1" x14ac:dyDescent="0.3">
      <c r="A138" s="17" t="s">
        <v>46</v>
      </c>
      <c r="B138" s="1"/>
      <c r="C138" s="1"/>
      <c r="D138" s="1"/>
      <c r="E138" s="59" t="s">
        <v>7</v>
      </c>
      <c r="F138" s="1"/>
      <c r="G138" s="1"/>
      <c r="H138" s="1"/>
      <c r="I138" s="59" t="s">
        <v>7</v>
      </c>
      <c r="J138" s="1"/>
      <c r="K138" s="1"/>
      <c r="L138" s="1"/>
      <c r="M138" s="59" t="s">
        <v>7</v>
      </c>
      <c r="N138" s="1"/>
      <c r="O138" s="1"/>
      <c r="P138" s="1"/>
      <c r="Q138" s="59" t="s">
        <v>7</v>
      </c>
      <c r="R138" s="90"/>
    </row>
    <row r="139" spans="1:20" ht="15.75" customHeight="1" x14ac:dyDescent="0.3">
      <c r="A139" s="91" t="s">
        <v>120</v>
      </c>
      <c r="B139" s="1"/>
      <c r="C139" s="1"/>
      <c r="D139" s="1"/>
      <c r="E139" s="59">
        <f t="shared" ref="E139:E144" si="20">SUM(B139:D139)</f>
        <v>0</v>
      </c>
      <c r="F139" s="1">
        <v>562</v>
      </c>
      <c r="G139" s="1">
        <v>645</v>
      </c>
      <c r="H139" s="1">
        <v>617</v>
      </c>
      <c r="I139" s="59">
        <f t="shared" ref="I139:I144" si="21">SUM(F139:H139)</f>
        <v>1824</v>
      </c>
      <c r="J139" s="1">
        <v>693</v>
      </c>
      <c r="K139" s="1">
        <v>525</v>
      </c>
      <c r="L139" s="1">
        <v>742</v>
      </c>
      <c r="M139" s="59">
        <f t="shared" ref="M139:M144" si="22">SUM(J139:L139)</f>
        <v>1960</v>
      </c>
      <c r="N139" s="1">
        <v>405</v>
      </c>
      <c r="O139" s="1"/>
      <c r="P139" s="1"/>
      <c r="Q139" s="59">
        <f t="shared" ref="Q139:Q144" si="23">SUM(N139:P139)</f>
        <v>405</v>
      </c>
      <c r="R139" s="59">
        <f>+E139+I139+M139+Q139</f>
        <v>4189</v>
      </c>
      <c r="T139" s="4" t="s">
        <v>121</v>
      </c>
    </row>
    <row r="140" spans="1:20" ht="15.75" customHeight="1" x14ac:dyDescent="0.3">
      <c r="A140" s="91" t="s">
        <v>122</v>
      </c>
      <c r="B140" s="1"/>
      <c r="C140" s="1">
        <v>368</v>
      </c>
      <c r="D140" s="1">
        <v>912</v>
      </c>
      <c r="E140" s="59">
        <f t="shared" si="20"/>
        <v>1280</v>
      </c>
      <c r="F140" s="1">
        <v>1232</v>
      </c>
      <c r="G140" s="1">
        <v>1237</v>
      </c>
      <c r="H140" s="1">
        <v>1457</v>
      </c>
      <c r="I140" s="59">
        <f t="shared" si="21"/>
        <v>3926</v>
      </c>
      <c r="J140" s="1">
        <v>1650</v>
      </c>
      <c r="K140" s="1">
        <v>1528</v>
      </c>
      <c r="L140" s="1">
        <v>1731</v>
      </c>
      <c r="M140" s="59">
        <f t="shared" si="22"/>
        <v>4909</v>
      </c>
      <c r="N140" s="1">
        <v>978</v>
      </c>
      <c r="O140" s="1"/>
      <c r="P140" s="1"/>
      <c r="Q140" s="59">
        <f t="shared" si="23"/>
        <v>978</v>
      </c>
      <c r="R140" s="59">
        <f t="shared" ref="R140:R184" si="24">+E140+I140+M140+Q140</f>
        <v>11093</v>
      </c>
      <c r="T140" s="4" t="s">
        <v>121</v>
      </c>
    </row>
    <row r="141" spans="1:20" ht="15.75" customHeight="1" x14ac:dyDescent="0.3">
      <c r="A141" s="91" t="s">
        <v>123</v>
      </c>
      <c r="B141" s="1"/>
      <c r="C141" s="1"/>
      <c r="D141" s="1"/>
      <c r="E141" s="59">
        <f t="shared" si="20"/>
        <v>0</v>
      </c>
      <c r="F141" s="1">
        <v>317</v>
      </c>
      <c r="G141" s="1">
        <v>365</v>
      </c>
      <c r="H141" s="1">
        <v>350</v>
      </c>
      <c r="I141" s="59">
        <f t="shared" si="21"/>
        <v>1032</v>
      </c>
      <c r="J141" s="1">
        <v>392</v>
      </c>
      <c r="K141" s="1">
        <v>320</v>
      </c>
      <c r="L141" s="1">
        <v>420</v>
      </c>
      <c r="M141" s="59">
        <f t="shared" si="22"/>
        <v>1132</v>
      </c>
      <c r="N141" s="1">
        <v>208</v>
      </c>
      <c r="O141" s="1"/>
      <c r="P141" s="1"/>
      <c r="Q141" s="59">
        <f t="shared" si="23"/>
        <v>208</v>
      </c>
      <c r="R141" s="59">
        <f t="shared" si="24"/>
        <v>2372</v>
      </c>
      <c r="T141" s="4" t="s">
        <v>121</v>
      </c>
    </row>
    <row r="142" spans="1:20" ht="15.75" customHeight="1" x14ac:dyDescent="0.3">
      <c r="A142" s="91" t="s">
        <v>124</v>
      </c>
      <c r="B142" s="1"/>
      <c r="C142" s="1"/>
      <c r="D142" s="1"/>
      <c r="E142" s="59">
        <f t="shared" si="20"/>
        <v>0</v>
      </c>
      <c r="F142" s="1">
        <v>433</v>
      </c>
      <c r="G142" s="1">
        <v>498</v>
      </c>
      <c r="H142" s="1">
        <v>476</v>
      </c>
      <c r="I142" s="59">
        <f t="shared" si="21"/>
        <v>1407</v>
      </c>
      <c r="J142" s="1">
        <v>534</v>
      </c>
      <c r="K142" s="1">
        <v>416</v>
      </c>
      <c r="L142" s="1">
        <v>573</v>
      </c>
      <c r="M142" s="59">
        <f t="shared" si="22"/>
        <v>1523</v>
      </c>
      <c r="N142" s="1">
        <v>301</v>
      </c>
      <c r="O142" s="1"/>
      <c r="P142" s="1"/>
      <c r="Q142" s="59">
        <f t="shared" si="23"/>
        <v>301</v>
      </c>
      <c r="R142" s="59">
        <f t="shared" si="24"/>
        <v>3231</v>
      </c>
      <c r="T142" s="4" t="s">
        <v>121</v>
      </c>
    </row>
    <row r="143" spans="1:20" ht="15.75" customHeight="1" x14ac:dyDescent="0.3">
      <c r="A143" s="74" t="s">
        <v>126</v>
      </c>
      <c r="B143" s="1"/>
      <c r="C143" s="1">
        <v>2</v>
      </c>
      <c r="D143" s="1">
        <v>21</v>
      </c>
      <c r="E143" s="59">
        <f t="shared" si="20"/>
        <v>23</v>
      </c>
      <c r="F143" s="1">
        <v>10</v>
      </c>
      <c r="G143" s="1">
        <v>28</v>
      </c>
      <c r="H143" s="1">
        <v>11</v>
      </c>
      <c r="I143" s="59">
        <f t="shared" si="21"/>
        <v>49</v>
      </c>
      <c r="J143" s="1">
        <v>7</v>
      </c>
      <c r="K143" s="1">
        <v>2</v>
      </c>
      <c r="L143" s="1">
        <v>6</v>
      </c>
      <c r="M143" s="59">
        <f t="shared" si="22"/>
        <v>15</v>
      </c>
      <c r="N143" s="1">
        <v>5</v>
      </c>
      <c r="O143" s="1">
        <v>3</v>
      </c>
      <c r="P143" s="1">
        <v>15</v>
      </c>
      <c r="Q143" s="59">
        <f t="shared" si="23"/>
        <v>23</v>
      </c>
      <c r="R143" s="59">
        <f t="shared" si="24"/>
        <v>110</v>
      </c>
      <c r="T143" s="4" t="s">
        <v>127</v>
      </c>
    </row>
    <row r="144" spans="1:20" ht="15.75" customHeight="1" x14ac:dyDescent="0.3">
      <c r="A144" s="91" t="s">
        <v>129</v>
      </c>
      <c r="B144" s="1"/>
      <c r="C144" s="1"/>
      <c r="D144" s="1"/>
      <c r="E144" s="59">
        <f t="shared" si="20"/>
        <v>0</v>
      </c>
      <c r="F144" s="1">
        <v>500</v>
      </c>
      <c r="G144" s="1"/>
      <c r="H144" s="1"/>
      <c r="I144" s="59">
        <f t="shared" si="21"/>
        <v>500</v>
      </c>
      <c r="J144" s="1"/>
      <c r="K144" s="1"/>
      <c r="L144" s="1"/>
      <c r="M144" s="59">
        <f t="shared" si="22"/>
        <v>0</v>
      </c>
      <c r="N144" s="1"/>
      <c r="O144" s="1"/>
      <c r="P144" s="1"/>
      <c r="Q144" s="59">
        <f t="shared" si="23"/>
        <v>0</v>
      </c>
      <c r="R144" s="59">
        <f t="shared" si="24"/>
        <v>500</v>
      </c>
      <c r="T144" s="4" t="s">
        <v>121</v>
      </c>
    </row>
    <row r="145" spans="1:20" ht="15.75" customHeight="1" x14ac:dyDescent="0.3">
      <c r="A145" s="91" t="s">
        <v>131</v>
      </c>
      <c r="B145" s="1"/>
      <c r="C145" s="1"/>
      <c r="D145" s="1"/>
      <c r="E145" s="59">
        <f t="shared" ref="E145:E158" si="25">SUM(B145:D145)</f>
        <v>0</v>
      </c>
      <c r="F145" s="1"/>
      <c r="G145" s="1"/>
      <c r="H145" s="1"/>
      <c r="I145" s="59">
        <f t="shared" ref="I145:I181" si="26">SUM(F145:H145)</f>
        <v>0</v>
      </c>
      <c r="J145" s="1"/>
      <c r="K145" s="1"/>
      <c r="L145" s="1"/>
      <c r="M145" s="59">
        <f t="shared" ref="M145:M181" si="27">SUM(J145:L145)</f>
        <v>0</v>
      </c>
      <c r="N145" s="1"/>
      <c r="O145" s="1"/>
      <c r="P145" s="1"/>
      <c r="Q145" s="59">
        <f t="shared" ref="Q145:Q187" si="28">SUM(N145:P145)</f>
        <v>0</v>
      </c>
      <c r="R145" s="59">
        <f t="shared" si="24"/>
        <v>0</v>
      </c>
      <c r="T145" s="4" t="s">
        <v>132</v>
      </c>
    </row>
    <row r="146" spans="1:20" ht="15.75" customHeight="1" x14ac:dyDescent="0.3">
      <c r="A146" s="91" t="s">
        <v>133</v>
      </c>
      <c r="B146" s="1"/>
      <c r="C146" s="1">
        <v>238</v>
      </c>
      <c r="D146" s="1">
        <v>2032</v>
      </c>
      <c r="E146" s="59">
        <f t="shared" si="25"/>
        <v>2270</v>
      </c>
      <c r="F146" s="1">
        <v>1704</v>
      </c>
      <c r="G146" s="1"/>
      <c r="H146" s="1"/>
      <c r="I146" s="59">
        <f t="shared" si="26"/>
        <v>1704</v>
      </c>
      <c r="J146" s="1"/>
      <c r="K146" s="1"/>
      <c r="L146" s="1"/>
      <c r="M146" s="59">
        <f t="shared" si="27"/>
        <v>0</v>
      </c>
      <c r="N146" s="1"/>
      <c r="O146" s="1"/>
      <c r="P146" s="1"/>
      <c r="Q146" s="59">
        <f t="shared" si="28"/>
        <v>0</v>
      </c>
      <c r="R146" s="59">
        <f t="shared" si="24"/>
        <v>3974</v>
      </c>
      <c r="T146" s="4" t="s">
        <v>134</v>
      </c>
    </row>
    <row r="147" spans="1:20" ht="15.75" customHeight="1" x14ac:dyDescent="0.3">
      <c r="A147" s="74" t="s">
        <v>135</v>
      </c>
      <c r="B147" s="1"/>
      <c r="C147" s="1"/>
      <c r="D147" s="1"/>
      <c r="E147" s="59">
        <f t="shared" si="25"/>
        <v>0</v>
      </c>
      <c r="F147" s="1"/>
      <c r="G147" s="1"/>
      <c r="H147" s="1">
        <v>1442</v>
      </c>
      <c r="I147" s="59">
        <f t="shared" si="26"/>
        <v>1442</v>
      </c>
      <c r="J147" s="1"/>
      <c r="K147" s="1"/>
      <c r="L147" s="1"/>
      <c r="M147" s="59">
        <f t="shared" si="27"/>
        <v>0</v>
      </c>
      <c r="N147" s="1"/>
      <c r="O147" s="1"/>
      <c r="P147" s="1"/>
      <c r="Q147" s="59">
        <f t="shared" si="28"/>
        <v>0</v>
      </c>
      <c r="R147" s="59">
        <f t="shared" si="24"/>
        <v>1442</v>
      </c>
      <c r="S147" s="4" t="s">
        <v>136</v>
      </c>
      <c r="T147" s="4" t="s">
        <v>137</v>
      </c>
    </row>
    <row r="148" spans="1:20" ht="15.75" customHeight="1" x14ac:dyDescent="0.3">
      <c r="A148" s="91" t="s">
        <v>904</v>
      </c>
      <c r="B148" s="1"/>
      <c r="C148" s="1">
        <v>546</v>
      </c>
      <c r="D148" s="1">
        <v>1385</v>
      </c>
      <c r="E148" s="59">
        <f t="shared" si="25"/>
        <v>1931</v>
      </c>
      <c r="F148" s="1">
        <v>774</v>
      </c>
      <c r="G148" s="1"/>
      <c r="H148" s="1"/>
      <c r="I148" s="59">
        <f t="shared" si="26"/>
        <v>774</v>
      </c>
      <c r="J148" s="1"/>
      <c r="K148" s="1"/>
      <c r="L148" s="1"/>
      <c r="M148" s="59">
        <f t="shared" si="27"/>
        <v>0</v>
      </c>
      <c r="N148" s="1"/>
      <c r="O148" s="1"/>
      <c r="P148" s="1"/>
      <c r="Q148" s="59">
        <f t="shared" si="28"/>
        <v>0</v>
      </c>
      <c r="R148" s="59">
        <f t="shared" si="24"/>
        <v>2705</v>
      </c>
      <c r="T148" s="4" t="s">
        <v>132</v>
      </c>
    </row>
    <row r="149" spans="1:20" ht="15.75" customHeight="1" x14ac:dyDescent="0.3">
      <c r="A149" s="91" t="s">
        <v>905</v>
      </c>
      <c r="B149" s="1"/>
      <c r="C149" s="1"/>
      <c r="D149" s="1"/>
      <c r="E149" s="59">
        <f t="shared" si="25"/>
        <v>0</v>
      </c>
      <c r="F149" s="1"/>
      <c r="G149" s="1"/>
      <c r="H149" s="1"/>
      <c r="I149" s="59">
        <f t="shared" si="26"/>
        <v>0</v>
      </c>
      <c r="J149" s="1">
        <v>157</v>
      </c>
      <c r="K149" s="1"/>
      <c r="L149" s="1"/>
      <c r="M149" s="59">
        <f t="shared" si="27"/>
        <v>157</v>
      </c>
      <c r="N149" s="1"/>
      <c r="O149" s="1"/>
      <c r="P149" s="1"/>
      <c r="Q149" s="59">
        <f t="shared" si="28"/>
        <v>0</v>
      </c>
      <c r="R149" s="59">
        <f t="shared" si="24"/>
        <v>157</v>
      </c>
      <c r="T149" s="4" t="s">
        <v>134</v>
      </c>
    </row>
    <row r="150" spans="1:20" ht="15.75" customHeight="1" x14ac:dyDescent="0.3">
      <c r="A150" s="91" t="s">
        <v>906</v>
      </c>
      <c r="B150" s="1"/>
      <c r="C150" s="1"/>
      <c r="D150" s="1"/>
      <c r="E150" s="59">
        <f t="shared" si="25"/>
        <v>0</v>
      </c>
      <c r="F150" s="1">
        <v>1000</v>
      </c>
      <c r="G150" s="1">
        <v>1000</v>
      </c>
      <c r="H150" s="1">
        <v>1000</v>
      </c>
      <c r="I150" s="59">
        <f t="shared" si="26"/>
        <v>3000</v>
      </c>
      <c r="J150" s="1"/>
      <c r="K150" s="1"/>
      <c r="L150" s="1"/>
      <c r="M150" s="59">
        <f t="shared" si="27"/>
        <v>0</v>
      </c>
      <c r="N150" s="1"/>
      <c r="O150" s="1"/>
      <c r="P150" s="1"/>
      <c r="Q150" s="59">
        <f t="shared" si="28"/>
        <v>0</v>
      </c>
      <c r="R150" s="59">
        <f t="shared" si="24"/>
        <v>3000</v>
      </c>
      <c r="T150" s="4" t="s">
        <v>121</v>
      </c>
    </row>
    <row r="151" spans="1:20" ht="15.75" customHeight="1" x14ac:dyDescent="0.3">
      <c r="A151" s="74" t="s">
        <v>142</v>
      </c>
      <c r="B151" s="1">
        <v>45</v>
      </c>
      <c r="C151" s="1">
        <v>36</v>
      </c>
      <c r="D151" s="1">
        <v>42</v>
      </c>
      <c r="E151" s="59">
        <f t="shared" si="25"/>
        <v>123</v>
      </c>
      <c r="F151" s="1">
        <v>47</v>
      </c>
      <c r="G151" s="1">
        <v>50</v>
      </c>
      <c r="H151" s="1">
        <v>60</v>
      </c>
      <c r="I151" s="59">
        <f t="shared" si="26"/>
        <v>157</v>
      </c>
      <c r="J151" s="1">
        <v>68</v>
      </c>
      <c r="K151" s="1">
        <v>67</v>
      </c>
      <c r="L151" s="1">
        <v>56</v>
      </c>
      <c r="M151" s="59">
        <f t="shared" si="27"/>
        <v>191</v>
      </c>
      <c r="N151" s="1">
        <v>56</v>
      </c>
      <c r="O151" s="1">
        <v>53</v>
      </c>
      <c r="P151" s="1">
        <v>60</v>
      </c>
      <c r="Q151" s="59">
        <f t="shared" si="28"/>
        <v>169</v>
      </c>
      <c r="R151" s="59">
        <f t="shared" si="24"/>
        <v>640</v>
      </c>
      <c r="T151" s="4" t="s">
        <v>143</v>
      </c>
    </row>
    <row r="152" spans="1:20" ht="15.75" customHeight="1" x14ac:dyDescent="0.3">
      <c r="A152" s="74" t="s">
        <v>144</v>
      </c>
      <c r="B152" s="1">
        <v>96</v>
      </c>
      <c r="C152" s="1">
        <v>116</v>
      </c>
      <c r="D152" s="1">
        <v>122</v>
      </c>
      <c r="E152" s="59">
        <f t="shared" si="25"/>
        <v>334</v>
      </c>
      <c r="F152" s="1">
        <v>147</v>
      </c>
      <c r="G152" s="1">
        <v>175</v>
      </c>
      <c r="H152" s="1">
        <v>245</v>
      </c>
      <c r="I152" s="59">
        <f t="shared" si="26"/>
        <v>567</v>
      </c>
      <c r="J152" s="1">
        <v>256</v>
      </c>
      <c r="K152" s="1">
        <v>217</v>
      </c>
      <c r="L152" s="1">
        <v>183</v>
      </c>
      <c r="M152" s="59">
        <f t="shared" si="27"/>
        <v>656</v>
      </c>
      <c r="N152" s="1">
        <v>207</v>
      </c>
      <c r="O152" s="1">
        <v>140</v>
      </c>
      <c r="P152" s="1">
        <v>139</v>
      </c>
      <c r="Q152" s="59">
        <f t="shared" si="28"/>
        <v>486</v>
      </c>
      <c r="R152" s="59">
        <f t="shared" si="24"/>
        <v>2043</v>
      </c>
      <c r="T152" s="4" t="s">
        <v>145</v>
      </c>
    </row>
    <row r="153" spans="1:20" ht="15.75" customHeight="1" x14ac:dyDescent="0.3">
      <c r="A153" s="91" t="s">
        <v>950</v>
      </c>
      <c r="B153" s="1"/>
      <c r="C153" s="1"/>
      <c r="D153" s="1"/>
      <c r="E153" s="59">
        <f t="shared" si="25"/>
        <v>0</v>
      </c>
      <c r="F153" s="1"/>
      <c r="G153" s="1"/>
      <c r="H153" s="1"/>
      <c r="I153" s="59">
        <f t="shared" si="26"/>
        <v>0</v>
      </c>
      <c r="J153" s="1"/>
      <c r="K153" s="1"/>
      <c r="L153" s="1"/>
      <c r="M153" s="59">
        <f t="shared" si="27"/>
        <v>0</v>
      </c>
      <c r="N153" s="1">
        <v>697</v>
      </c>
      <c r="O153" s="1">
        <v>703</v>
      </c>
      <c r="P153" s="1"/>
      <c r="Q153" s="59">
        <f t="shared" si="28"/>
        <v>1400</v>
      </c>
      <c r="R153" s="59">
        <f t="shared" si="24"/>
        <v>1400</v>
      </c>
    </row>
    <row r="154" spans="1:20" ht="15.75" customHeight="1" x14ac:dyDescent="0.3">
      <c r="A154" s="74" t="s">
        <v>147</v>
      </c>
      <c r="B154" s="1"/>
      <c r="C154" s="1"/>
      <c r="D154" s="1"/>
      <c r="E154" s="59">
        <f t="shared" si="25"/>
        <v>0</v>
      </c>
      <c r="F154" s="1"/>
      <c r="G154" s="1">
        <v>451</v>
      </c>
      <c r="H154" s="1"/>
      <c r="I154" s="59">
        <f t="shared" si="26"/>
        <v>451</v>
      </c>
      <c r="J154" s="1"/>
      <c r="K154" s="1">
        <v>381</v>
      </c>
      <c r="L154" s="1">
        <f>600+663+850</f>
        <v>2113</v>
      </c>
      <c r="M154" s="59">
        <f t="shared" si="27"/>
        <v>2494</v>
      </c>
      <c r="N154" s="1">
        <v>800</v>
      </c>
      <c r="O154" s="1">
        <v>500</v>
      </c>
      <c r="P154" s="1"/>
      <c r="Q154" s="59">
        <f t="shared" si="28"/>
        <v>1300</v>
      </c>
      <c r="R154" s="59">
        <f t="shared" si="24"/>
        <v>4245</v>
      </c>
      <c r="S154" s="4" t="s">
        <v>136</v>
      </c>
    </row>
    <row r="155" spans="1:20" ht="15.75" customHeight="1" x14ac:dyDescent="0.3">
      <c r="A155" s="91" t="s">
        <v>877</v>
      </c>
      <c r="B155" s="1"/>
      <c r="C155" s="1"/>
      <c r="D155" s="1"/>
      <c r="E155" s="59">
        <f t="shared" si="25"/>
        <v>0</v>
      </c>
      <c r="F155" s="1">
        <v>121</v>
      </c>
      <c r="G155" s="1">
        <v>139</v>
      </c>
      <c r="H155" s="1">
        <v>133</v>
      </c>
      <c r="I155" s="59">
        <f t="shared" si="26"/>
        <v>393</v>
      </c>
      <c r="J155" s="1">
        <v>149</v>
      </c>
      <c r="K155" s="1">
        <v>801</v>
      </c>
      <c r="L155" s="1">
        <v>160</v>
      </c>
      <c r="M155" s="59">
        <f t="shared" si="27"/>
        <v>1110</v>
      </c>
      <c r="N155" s="1">
        <v>97</v>
      </c>
      <c r="O155" s="1"/>
      <c r="P155" s="1"/>
      <c r="Q155" s="59">
        <f t="shared" si="28"/>
        <v>97</v>
      </c>
      <c r="R155" s="59">
        <f t="shared" si="24"/>
        <v>1600</v>
      </c>
      <c r="T155" s="4" t="s">
        <v>121</v>
      </c>
    </row>
    <row r="156" spans="1:20" ht="15.75" customHeight="1" x14ac:dyDescent="0.3">
      <c r="A156" s="74" t="s">
        <v>878</v>
      </c>
      <c r="B156" s="1">
        <v>74</v>
      </c>
      <c r="C156" s="1">
        <v>96</v>
      </c>
      <c r="D156" s="1">
        <v>359</v>
      </c>
      <c r="E156" s="59">
        <f t="shared" si="25"/>
        <v>529</v>
      </c>
      <c r="F156" s="1">
        <v>412</v>
      </c>
      <c r="G156" s="1">
        <v>611</v>
      </c>
      <c r="H156" s="1">
        <v>418</v>
      </c>
      <c r="I156" s="59">
        <f t="shared" si="26"/>
        <v>1441</v>
      </c>
      <c r="J156" s="1">
        <v>398</v>
      </c>
      <c r="K156" s="1">
        <v>435</v>
      </c>
      <c r="L156" s="1">
        <v>541</v>
      </c>
      <c r="M156" s="59">
        <f t="shared" si="27"/>
        <v>1374</v>
      </c>
      <c r="N156" s="1">
        <v>542</v>
      </c>
      <c r="O156" s="1">
        <v>466</v>
      </c>
      <c r="P156" s="1">
        <v>414</v>
      </c>
      <c r="Q156" s="59">
        <f t="shared" si="28"/>
        <v>1422</v>
      </c>
      <c r="R156" s="59">
        <f t="shared" si="24"/>
        <v>4766</v>
      </c>
      <c r="T156" s="4" t="s">
        <v>150</v>
      </c>
    </row>
    <row r="157" spans="1:20" ht="15.75" customHeight="1" x14ac:dyDescent="0.3">
      <c r="A157" s="91" t="s">
        <v>152</v>
      </c>
      <c r="B157" s="1"/>
      <c r="C157" s="1"/>
      <c r="D157" s="1"/>
      <c r="E157" s="59">
        <f t="shared" si="25"/>
        <v>0</v>
      </c>
      <c r="F157" s="1"/>
      <c r="G157" s="1"/>
      <c r="H157" s="1"/>
      <c r="I157" s="59">
        <f t="shared" si="26"/>
        <v>0</v>
      </c>
      <c r="J157" s="1">
        <v>508</v>
      </c>
      <c r="K157" s="1"/>
      <c r="L157" s="1"/>
      <c r="M157" s="59">
        <f t="shared" si="27"/>
        <v>508</v>
      </c>
      <c r="N157" s="1"/>
      <c r="O157" s="1"/>
      <c r="P157" s="1"/>
      <c r="Q157" s="59">
        <f t="shared" si="28"/>
        <v>0</v>
      </c>
      <c r="R157" s="59">
        <f t="shared" si="24"/>
        <v>508</v>
      </c>
      <c r="T157" s="4" t="s">
        <v>134</v>
      </c>
    </row>
    <row r="158" spans="1:20" ht="15.75" customHeight="1" x14ac:dyDescent="0.3">
      <c r="A158" s="76" t="s">
        <v>858</v>
      </c>
      <c r="B158" s="1"/>
      <c r="C158" s="1"/>
      <c r="D158" s="1"/>
      <c r="E158" s="59">
        <f t="shared" si="25"/>
        <v>0</v>
      </c>
      <c r="F158" s="1"/>
      <c r="G158" s="1"/>
      <c r="H158" s="1"/>
      <c r="I158" s="59">
        <f t="shared" si="26"/>
        <v>0</v>
      </c>
      <c r="J158" s="1"/>
      <c r="K158" s="1"/>
      <c r="L158" s="1">
        <v>55</v>
      </c>
      <c r="M158" s="59">
        <f t="shared" si="27"/>
        <v>55</v>
      </c>
      <c r="N158" s="1"/>
      <c r="O158" s="1"/>
      <c r="P158" s="1"/>
      <c r="Q158" s="59">
        <f t="shared" si="28"/>
        <v>0</v>
      </c>
      <c r="R158" s="59">
        <f t="shared" si="24"/>
        <v>55</v>
      </c>
    </row>
    <row r="159" spans="1:20" ht="15.75" customHeight="1" x14ac:dyDescent="0.3">
      <c r="A159" s="74" t="s">
        <v>155</v>
      </c>
      <c r="B159" s="1"/>
      <c r="C159" s="1"/>
      <c r="D159" s="1"/>
      <c r="E159" s="59">
        <f t="shared" ref="E159:E180" si="29">SUM(B159:D159)</f>
        <v>0</v>
      </c>
      <c r="F159" s="1"/>
      <c r="G159" s="1"/>
      <c r="H159" s="1"/>
      <c r="I159" s="59">
        <f t="shared" si="26"/>
        <v>0</v>
      </c>
      <c r="J159" s="1"/>
      <c r="K159" s="1">
        <v>800</v>
      </c>
      <c r="L159" s="1">
        <v>700</v>
      </c>
      <c r="M159" s="59">
        <f t="shared" si="27"/>
        <v>1500</v>
      </c>
      <c r="N159" s="1">
        <v>600</v>
      </c>
      <c r="O159" s="1">
        <v>300</v>
      </c>
      <c r="P159" s="1"/>
      <c r="Q159" s="59">
        <f t="shared" si="28"/>
        <v>900</v>
      </c>
      <c r="R159" s="59">
        <f t="shared" si="24"/>
        <v>2400</v>
      </c>
      <c r="S159" s="4" t="s">
        <v>136</v>
      </c>
      <c r="T159" s="4" t="s">
        <v>137</v>
      </c>
    </row>
    <row r="160" spans="1:20" s="98" customFormat="1" ht="15.75" customHeight="1" x14ac:dyDescent="0.3">
      <c r="A160" s="96" t="s">
        <v>156</v>
      </c>
      <c r="B160" s="1"/>
      <c r="C160" s="1"/>
      <c r="D160" s="1"/>
      <c r="E160" s="97">
        <f t="shared" si="29"/>
        <v>0</v>
      </c>
      <c r="F160" s="1"/>
      <c r="G160" s="1"/>
      <c r="H160" s="1"/>
      <c r="I160" s="97">
        <f t="shared" si="26"/>
        <v>0</v>
      </c>
      <c r="J160" s="1"/>
      <c r="K160" s="1"/>
      <c r="L160" s="1"/>
      <c r="M160" s="97">
        <f t="shared" si="27"/>
        <v>0</v>
      </c>
      <c r="N160" s="1"/>
      <c r="O160" s="1"/>
      <c r="P160" s="1"/>
      <c r="Q160" s="97">
        <f t="shared" si="28"/>
        <v>0</v>
      </c>
      <c r="R160" s="97">
        <f t="shared" si="24"/>
        <v>0</v>
      </c>
    </row>
    <row r="161" spans="1:20" ht="15.75" customHeight="1" x14ac:dyDescent="0.3">
      <c r="A161" s="74" t="s">
        <v>157</v>
      </c>
      <c r="B161" s="1"/>
      <c r="C161" s="1"/>
      <c r="D161" s="1"/>
      <c r="E161" s="59">
        <f t="shared" si="29"/>
        <v>0</v>
      </c>
      <c r="F161" s="1">
        <v>1276</v>
      </c>
      <c r="G161" s="1">
        <v>1353</v>
      </c>
      <c r="H161" s="1">
        <v>1554</v>
      </c>
      <c r="I161" s="59">
        <f t="shared" si="26"/>
        <v>4183</v>
      </c>
      <c r="J161" s="1">
        <v>1400</v>
      </c>
      <c r="K161" s="1">
        <v>1361</v>
      </c>
      <c r="L161" s="1">
        <v>1252</v>
      </c>
      <c r="M161" s="59">
        <f t="shared" si="27"/>
        <v>4013</v>
      </c>
      <c r="N161" s="1">
        <v>1256</v>
      </c>
      <c r="O161" s="1">
        <v>1133</v>
      </c>
      <c r="P161" s="1">
        <v>1125</v>
      </c>
      <c r="Q161" s="59">
        <f t="shared" si="28"/>
        <v>3514</v>
      </c>
      <c r="R161" s="59">
        <f>+E161+I161+M161+Q161</f>
        <v>11710</v>
      </c>
      <c r="T161" s="4" t="s">
        <v>158</v>
      </c>
    </row>
    <row r="162" spans="1:20" ht="15.75" customHeight="1" x14ac:dyDescent="0.3">
      <c r="A162" s="91" t="s">
        <v>159</v>
      </c>
      <c r="B162" s="1"/>
      <c r="C162" s="1"/>
      <c r="D162" s="1"/>
      <c r="E162" s="59">
        <f t="shared" si="29"/>
        <v>0</v>
      </c>
      <c r="F162" s="1"/>
      <c r="G162" s="1">
        <v>300</v>
      </c>
      <c r="H162" s="1">
        <v>500</v>
      </c>
      <c r="I162" s="59">
        <f t="shared" si="26"/>
        <v>800</v>
      </c>
      <c r="J162" s="1">
        <v>500</v>
      </c>
      <c r="K162" s="1">
        <v>500</v>
      </c>
      <c r="L162" s="1"/>
      <c r="M162" s="59">
        <f t="shared" si="27"/>
        <v>1000</v>
      </c>
      <c r="N162" s="1"/>
      <c r="O162" s="1"/>
      <c r="P162" s="1"/>
      <c r="Q162" s="59">
        <f t="shared" si="28"/>
        <v>0</v>
      </c>
      <c r="R162" s="59">
        <f t="shared" ref="R162:R168" si="30">+E162+I162+M162+Q162</f>
        <v>1800</v>
      </c>
      <c r="T162" s="4" t="s">
        <v>121</v>
      </c>
    </row>
    <row r="163" spans="1:20" ht="15.75" customHeight="1" x14ac:dyDescent="0.3">
      <c r="A163" s="91" t="s">
        <v>160</v>
      </c>
      <c r="B163" s="1"/>
      <c r="C163" s="1"/>
      <c r="D163" s="1"/>
      <c r="E163" s="59">
        <f t="shared" si="29"/>
        <v>0</v>
      </c>
      <c r="F163" s="1"/>
      <c r="G163" s="1"/>
      <c r="H163" s="1">
        <v>694</v>
      </c>
      <c r="I163" s="59">
        <f t="shared" si="26"/>
        <v>694</v>
      </c>
      <c r="J163" s="1">
        <v>1251</v>
      </c>
      <c r="K163" s="1">
        <v>294</v>
      </c>
      <c r="L163" s="1"/>
      <c r="M163" s="59">
        <f t="shared" si="27"/>
        <v>1545</v>
      </c>
      <c r="N163" s="1">
        <v>206</v>
      </c>
      <c r="O163" s="1"/>
      <c r="P163" s="1"/>
      <c r="Q163" s="59">
        <f t="shared" si="28"/>
        <v>206</v>
      </c>
      <c r="R163" s="59">
        <f t="shared" si="30"/>
        <v>2445</v>
      </c>
      <c r="T163" s="4" t="s">
        <v>134</v>
      </c>
    </row>
    <row r="164" spans="1:20" ht="15.75" customHeight="1" x14ac:dyDescent="0.3">
      <c r="A164" s="91" t="s">
        <v>951</v>
      </c>
      <c r="B164" s="1"/>
      <c r="C164" s="1"/>
      <c r="D164" s="1"/>
      <c r="E164" s="59">
        <f t="shared" si="29"/>
        <v>0</v>
      </c>
      <c r="F164" s="1"/>
      <c r="G164" s="1"/>
      <c r="H164" s="1"/>
      <c r="I164" s="59">
        <f t="shared" si="26"/>
        <v>0</v>
      </c>
      <c r="J164" s="1"/>
      <c r="K164" s="1"/>
      <c r="L164" s="1"/>
      <c r="M164" s="59">
        <f t="shared" si="27"/>
        <v>0</v>
      </c>
      <c r="N164" s="1"/>
      <c r="O164" s="1">
        <v>300</v>
      </c>
      <c r="P164" s="1"/>
      <c r="Q164" s="59">
        <f t="shared" ref="Q164" si="31">SUM(N164:P164)</f>
        <v>300</v>
      </c>
      <c r="R164" s="59">
        <f t="shared" si="30"/>
        <v>300</v>
      </c>
    </row>
    <row r="165" spans="1:20" ht="15.75" customHeight="1" x14ac:dyDescent="0.3">
      <c r="A165" s="74" t="s">
        <v>161</v>
      </c>
      <c r="B165" s="1"/>
      <c r="C165" s="1"/>
      <c r="D165" s="1"/>
      <c r="E165" s="59">
        <f t="shared" si="29"/>
        <v>0</v>
      </c>
      <c r="F165" s="1"/>
      <c r="G165" s="1"/>
      <c r="H165" s="1"/>
      <c r="I165" s="59">
        <f t="shared" si="26"/>
        <v>0</v>
      </c>
      <c r="J165" s="1"/>
      <c r="K165" s="1"/>
      <c r="L165" s="1">
        <v>531</v>
      </c>
      <c r="M165" s="59">
        <f t="shared" si="27"/>
        <v>531</v>
      </c>
      <c r="N165" s="1"/>
      <c r="O165" s="1"/>
      <c r="P165" s="1"/>
      <c r="Q165" s="59">
        <f t="shared" si="28"/>
        <v>0</v>
      </c>
      <c r="R165" s="59">
        <f t="shared" si="30"/>
        <v>531</v>
      </c>
      <c r="S165" s="94" t="s">
        <v>136</v>
      </c>
      <c r="T165" s="4" t="s">
        <v>162</v>
      </c>
    </row>
    <row r="166" spans="1:20" ht="15.75" customHeight="1" x14ac:dyDescent="0.3">
      <c r="A166" s="91" t="s">
        <v>164</v>
      </c>
      <c r="B166" s="1"/>
      <c r="C166" s="1"/>
      <c r="D166" s="1"/>
      <c r="E166" s="59">
        <f t="shared" si="29"/>
        <v>0</v>
      </c>
      <c r="F166" s="1"/>
      <c r="G166" s="1"/>
      <c r="H166" s="1"/>
      <c r="I166" s="59">
        <f t="shared" si="26"/>
        <v>0</v>
      </c>
      <c r="J166" s="1"/>
      <c r="K166" s="1"/>
      <c r="L166" s="1"/>
      <c r="M166" s="59">
        <f t="shared" si="27"/>
        <v>0</v>
      </c>
      <c r="N166" s="1"/>
      <c r="O166" s="1"/>
      <c r="P166" s="1"/>
      <c r="Q166" s="59">
        <f t="shared" si="28"/>
        <v>0</v>
      </c>
      <c r="R166" s="59">
        <f t="shared" si="30"/>
        <v>0</v>
      </c>
      <c r="T166" s="4" t="s">
        <v>132</v>
      </c>
    </row>
    <row r="167" spans="1:20" ht="15.75" customHeight="1" x14ac:dyDescent="0.3">
      <c r="A167" s="91" t="s">
        <v>165</v>
      </c>
      <c r="B167" s="1"/>
      <c r="C167" s="1"/>
      <c r="D167" s="1"/>
      <c r="E167" s="59">
        <f t="shared" si="29"/>
        <v>0</v>
      </c>
      <c r="F167" s="1"/>
      <c r="G167" s="1">
        <v>1744</v>
      </c>
      <c r="H167" s="1"/>
      <c r="I167" s="59">
        <f t="shared" si="26"/>
        <v>1744</v>
      </c>
      <c r="J167" s="1"/>
      <c r="K167" s="1"/>
      <c r="L167" s="1"/>
      <c r="M167" s="59">
        <f t="shared" si="27"/>
        <v>0</v>
      </c>
      <c r="N167" s="1"/>
      <c r="O167" s="1"/>
      <c r="P167" s="1"/>
      <c r="Q167" s="59">
        <f t="shared" si="28"/>
        <v>0</v>
      </c>
      <c r="R167" s="59">
        <f t="shared" si="30"/>
        <v>1744</v>
      </c>
      <c r="T167" s="4" t="s">
        <v>134</v>
      </c>
    </row>
    <row r="168" spans="1:20" ht="15.75" customHeight="1" x14ac:dyDescent="0.3">
      <c r="A168" s="74" t="s">
        <v>166</v>
      </c>
      <c r="B168" s="1">
        <v>6</v>
      </c>
      <c r="C168" s="1">
        <v>16</v>
      </c>
      <c r="D168" s="1">
        <v>31</v>
      </c>
      <c r="E168" s="59">
        <f t="shared" si="29"/>
        <v>53</v>
      </c>
      <c r="F168" s="1">
        <v>61</v>
      </c>
      <c r="G168" s="1">
        <v>45</v>
      </c>
      <c r="H168" s="1">
        <v>54</v>
      </c>
      <c r="I168" s="59">
        <f t="shared" si="26"/>
        <v>160</v>
      </c>
      <c r="J168" s="1">
        <v>12</v>
      </c>
      <c r="K168" s="1"/>
      <c r="L168" s="1">
        <v>8</v>
      </c>
      <c r="M168" s="59">
        <f t="shared" si="27"/>
        <v>20</v>
      </c>
      <c r="N168" s="1">
        <v>55</v>
      </c>
      <c r="O168" s="1">
        <v>55</v>
      </c>
      <c r="P168" s="1">
        <v>23</v>
      </c>
      <c r="Q168" s="59">
        <f t="shared" si="28"/>
        <v>133</v>
      </c>
      <c r="R168" s="59">
        <f t="shared" si="30"/>
        <v>366</v>
      </c>
      <c r="T168" s="4" t="s">
        <v>127</v>
      </c>
    </row>
    <row r="169" spans="1:20" ht="15.75" customHeight="1" x14ac:dyDescent="0.3">
      <c r="A169" s="91" t="s">
        <v>167</v>
      </c>
      <c r="B169" s="1"/>
      <c r="C169" s="1"/>
      <c r="D169" s="1"/>
      <c r="E169" s="59">
        <f t="shared" si="29"/>
        <v>0</v>
      </c>
      <c r="F169" s="1"/>
      <c r="G169" s="1"/>
      <c r="H169" s="1">
        <v>2163</v>
      </c>
      <c r="I169" s="59">
        <f t="shared" si="26"/>
        <v>2163</v>
      </c>
      <c r="J169" s="1">
        <v>1102</v>
      </c>
      <c r="K169" s="1"/>
      <c r="L169" s="1">
        <v>923</v>
      </c>
      <c r="M169" s="59">
        <f t="shared" si="27"/>
        <v>2025</v>
      </c>
      <c r="N169" s="1">
        <v>954</v>
      </c>
      <c r="O169" s="1"/>
      <c r="P169" s="1"/>
      <c r="Q169" s="59">
        <f t="shared" si="28"/>
        <v>954</v>
      </c>
      <c r="R169" s="59">
        <f t="shared" si="24"/>
        <v>5142</v>
      </c>
      <c r="T169" s="4" t="s">
        <v>132</v>
      </c>
    </row>
    <row r="170" spans="1:20" ht="15.75" customHeight="1" x14ac:dyDescent="0.3">
      <c r="A170" s="91" t="s">
        <v>168</v>
      </c>
      <c r="B170" s="1"/>
      <c r="C170" s="1"/>
      <c r="D170" s="1"/>
      <c r="E170" s="59">
        <f t="shared" si="29"/>
        <v>0</v>
      </c>
      <c r="F170" s="1"/>
      <c r="G170" s="1"/>
      <c r="H170" s="1">
        <v>562</v>
      </c>
      <c r="I170" s="59">
        <f t="shared" si="26"/>
        <v>562</v>
      </c>
      <c r="J170" s="1"/>
      <c r="K170" s="1"/>
      <c r="L170" s="1"/>
      <c r="M170" s="59">
        <f t="shared" si="27"/>
        <v>0</v>
      </c>
      <c r="N170" s="1"/>
      <c r="O170" s="1"/>
      <c r="P170" s="1"/>
      <c r="Q170" s="59">
        <f t="shared" si="28"/>
        <v>0</v>
      </c>
      <c r="R170" s="59">
        <f t="shared" si="24"/>
        <v>562</v>
      </c>
      <c r="T170" s="4" t="s">
        <v>134</v>
      </c>
    </row>
    <row r="171" spans="1:20" ht="15.75" customHeight="1" x14ac:dyDescent="0.3">
      <c r="A171" s="91" t="s">
        <v>169</v>
      </c>
      <c r="B171" s="1"/>
      <c r="C171" s="1"/>
      <c r="D171" s="1"/>
      <c r="E171" s="59">
        <f t="shared" si="29"/>
        <v>0</v>
      </c>
      <c r="F171" s="1"/>
      <c r="G171" s="1"/>
      <c r="H171" s="1">
        <v>84</v>
      </c>
      <c r="I171" s="59">
        <f>SUM(F171:H171)</f>
        <v>84</v>
      </c>
      <c r="J171" s="1">
        <v>73</v>
      </c>
      <c r="K171" s="1">
        <v>64</v>
      </c>
      <c r="L171" s="1">
        <v>64</v>
      </c>
      <c r="M171" s="59">
        <f t="shared" si="27"/>
        <v>201</v>
      </c>
      <c r="N171" s="1">
        <v>105</v>
      </c>
      <c r="O171" s="1">
        <v>49</v>
      </c>
      <c r="P171" s="1">
        <v>36</v>
      </c>
      <c r="Q171" s="59">
        <f t="shared" si="28"/>
        <v>190</v>
      </c>
      <c r="R171" s="59">
        <f t="shared" si="24"/>
        <v>475</v>
      </c>
      <c r="T171" s="4" t="s">
        <v>170</v>
      </c>
    </row>
    <row r="172" spans="1:20" ht="15.75" customHeight="1" x14ac:dyDescent="0.3">
      <c r="A172" s="91" t="s">
        <v>171</v>
      </c>
      <c r="B172" s="1"/>
      <c r="C172" s="1"/>
      <c r="D172" s="1"/>
      <c r="E172" s="59">
        <f t="shared" si="29"/>
        <v>0</v>
      </c>
      <c r="F172" s="1"/>
      <c r="G172" s="1">
        <v>54</v>
      </c>
      <c r="H172" s="1">
        <v>101</v>
      </c>
      <c r="I172" s="59">
        <f t="shared" si="26"/>
        <v>155</v>
      </c>
      <c r="J172" s="1">
        <v>119</v>
      </c>
      <c r="K172" s="1">
        <v>69</v>
      </c>
      <c r="L172" s="1">
        <v>45</v>
      </c>
      <c r="M172" s="59">
        <f t="shared" si="27"/>
        <v>233</v>
      </c>
      <c r="N172" s="1">
        <v>56</v>
      </c>
      <c r="O172" s="1">
        <v>17</v>
      </c>
      <c r="P172" s="1">
        <v>1</v>
      </c>
      <c r="Q172" s="59">
        <f t="shared" si="28"/>
        <v>74</v>
      </c>
      <c r="R172" s="59">
        <f t="shared" si="24"/>
        <v>462</v>
      </c>
      <c r="T172" s="4" t="s">
        <v>127</v>
      </c>
    </row>
    <row r="173" spans="1:20" ht="15.75" customHeight="1" x14ac:dyDescent="0.3">
      <c r="A173" s="91" t="s">
        <v>172</v>
      </c>
      <c r="B173" s="1"/>
      <c r="C173" s="1"/>
      <c r="D173" s="1"/>
      <c r="E173" s="59">
        <f t="shared" si="29"/>
        <v>0</v>
      </c>
      <c r="F173" s="1"/>
      <c r="G173" s="1">
        <v>12</v>
      </c>
      <c r="H173" s="1">
        <v>20</v>
      </c>
      <c r="I173" s="59">
        <f t="shared" si="26"/>
        <v>32</v>
      </c>
      <c r="J173" s="1">
        <v>19</v>
      </c>
      <c r="K173" s="1">
        <v>29</v>
      </c>
      <c r="L173" s="1">
        <v>73</v>
      </c>
      <c r="M173" s="59">
        <f t="shared" si="27"/>
        <v>121</v>
      </c>
      <c r="N173" s="1">
        <v>47</v>
      </c>
      <c r="O173" s="1">
        <v>3</v>
      </c>
      <c r="P173" s="1">
        <v>2</v>
      </c>
      <c r="Q173" s="59">
        <f t="shared" si="28"/>
        <v>52</v>
      </c>
      <c r="R173" s="59">
        <f t="shared" si="24"/>
        <v>205</v>
      </c>
      <c r="T173" s="4" t="s">
        <v>121</v>
      </c>
    </row>
    <row r="174" spans="1:20" ht="15.75" customHeight="1" x14ac:dyDescent="0.3">
      <c r="A174" s="74" t="s">
        <v>173</v>
      </c>
      <c r="B174" s="1"/>
      <c r="C174" s="1"/>
      <c r="D174" s="1"/>
      <c r="E174" s="59">
        <f t="shared" si="29"/>
        <v>0</v>
      </c>
      <c r="F174" s="1"/>
      <c r="G174" s="1">
        <v>937</v>
      </c>
      <c r="H174" s="1">
        <v>959</v>
      </c>
      <c r="I174" s="59">
        <f t="shared" si="26"/>
        <v>1896</v>
      </c>
      <c r="J174" s="1">
        <v>968</v>
      </c>
      <c r="K174" s="1">
        <v>960</v>
      </c>
      <c r="L174" s="1">
        <v>897</v>
      </c>
      <c r="M174" s="59">
        <f t="shared" si="27"/>
        <v>2825</v>
      </c>
      <c r="N174" s="1">
        <v>865</v>
      </c>
      <c r="O174" s="1">
        <v>845</v>
      </c>
      <c r="P174" s="1">
        <v>727</v>
      </c>
      <c r="Q174" s="59">
        <f t="shared" si="28"/>
        <v>2437</v>
      </c>
      <c r="R174" s="59">
        <f t="shared" si="24"/>
        <v>7158</v>
      </c>
      <c r="T174" s="4" t="s">
        <v>158</v>
      </c>
    </row>
    <row r="175" spans="1:20" ht="15.75" customHeight="1" x14ac:dyDescent="0.3">
      <c r="A175" s="74" t="s">
        <v>174</v>
      </c>
      <c r="B175" s="1"/>
      <c r="C175" s="1"/>
      <c r="D175" s="1"/>
      <c r="E175" s="59">
        <f t="shared" si="29"/>
        <v>0</v>
      </c>
      <c r="F175" s="1"/>
      <c r="G175" s="1"/>
      <c r="H175" s="1"/>
      <c r="I175" s="59">
        <f t="shared" si="26"/>
        <v>0</v>
      </c>
      <c r="J175" s="1">
        <v>1996</v>
      </c>
      <c r="K175" s="1"/>
      <c r="L175" s="1"/>
      <c r="M175" s="59">
        <f t="shared" si="27"/>
        <v>1996</v>
      </c>
      <c r="N175" s="1"/>
      <c r="O175" s="1"/>
      <c r="P175" s="1"/>
      <c r="Q175" s="59">
        <f t="shared" si="28"/>
        <v>0</v>
      </c>
      <c r="R175" s="59">
        <f t="shared" si="24"/>
        <v>1996</v>
      </c>
      <c r="S175" s="94" t="s">
        <v>136</v>
      </c>
      <c r="T175" s="4" t="s">
        <v>137</v>
      </c>
    </row>
    <row r="176" spans="1:20" ht="15.75" customHeight="1" x14ac:dyDescent="0.3">
      <c r="A176" s="74" t="s">
        <v>175</v>
      </c>
      <c r="B176" s="1"/>
      <c r="C176" s="1"/>
      <c r="D176" s="1"/>
      <c r="E176" s="59">
        <f t="shared" si="29"/>
        <v>0</v>
      </c>
      <c r="F176" s="1"/>
      <c r="G176" s="1"/>
      <c r="H176" s="1"/>
      <c r="I176" s="59">
        <f t="shared" si="26"/>
        <v>0</v>
      </c>
      <c r="J176" s="1"/>
      <c r="K176" s="1"/>
      <c r="L176" s="1"/>
      <c r="M176" s="59">
        <f t="shared" si="27"/>
        <v>0</v>
      </c>
      <c r="N176" s="1"/>
      <c r="O176" s="1"/>
      <c r="P176" s="1"/>
      <c r="Q176" s="59">
        <f t="shared" si="28"/>
        <v>0</v>
      </c>
      <c r="R176" s="59">
        <f t="shared" si="24"/>
        <v>0</v>
      </c>
      <c r="T176" s="4" t="s">
        <v>137</v>
      </c>
    </row>
    <row r="177" spans="1:20" ht="15.75" customHeight="1" x14ac:dyDescent="0.3">
      <c r="A177" s="74" t="s">
        <v>176</v>
      </c>
      <c r="B177" s="1">
        <v>7102</v>
      </c>
      <c r="C177" s="1">
        <v>5944</v>
      </c>
      <c r="D177" s="1">
        <v>3856</v>
      </c>
      <c r="E177" s="59">
        <f t="shared" si="29"/>
        <v>16902</v>
      </c>
      <c r="F177" s="1">
        <v>1351</v>
      </c>
      <c r="G177" s="1"/>
      <c r="H177" s="1">
        <v>11904</v>
      </c>
      <c r="I177" s="59">
        <f t="shared" si="26"/>
        <v>13255</v>
      </c>
      <c r="J177" s="1">
        <v>12255</v>
      </c>
      <c r="K177" s="1">
        <v>11593</v>
      </c>
      <c r="L177" s="1">
        <v>12467</v>
      </c>
      <c r="M177" s="59">
        <f t="shared" si="27"/>
        <v>36315</v>
      </c>
      <c r="N177" s="1">
        <f>11498+1+2551+2+82</f>
        <v>14134</v>
      </c>
      <c r="O177" s="1">
        <f>8207+1+2908+2+82</f>
        <v>11200</v>
      </c>
      <c r="P177" s="1">
        <f>8949+1+2443+2+23</f>
        <v>11418</v>
      </c>
      <c r="Q177" s="59">
        <f t="shared" si="28"/>
        <v>36752</v>
      </c>
      <c r="R177" s="59">
        <f t="shared" si="24"/>
        <v>103224</v>
      </c>
      <c r="S177" s="4" t="s">
        <v>136</v>
      </c>
    </row>
    <row r="178" spans="1:20" ht="15.75" customHeight="1" x14ac:dyDescent="0.3">
      <c r="A178" s="74" t="s">
        <v>177</v>
      </c>
      <c r="B178" s="1">
        <v>1611</v>
      </c>
      <c r="C178" s="1"/>
      <c r="D178" s="1"/>
      <c r="E178" s="59">
        <f t="shared" si="29"/>
        <v>1611</v>
      </c>
      <c r="F178" s="1"/>
      <c r="G178" s="1"/>
      <c r="H178" s="1">
        <v>3075</v>
      </c>
      <c r="I178" s="59">
        <f t="shared" si="26"/>
        <v>3075</v>
      </c>
      <c r="J178" s="1">
        <v>3041</v>
      </c>
      <c r="K178" s="1">
        <f>4392+1434</f>
        <v>5826</v>
      </c>
      <c r="L178" s="1">
        <f>1581</f>
        <v>1581</v>
      </c>
      <c r="M178" s="59">
        <f t="shared" si="27"/>
        <v>10448</v>
      </c>
      <c r="N178" s="1">
        <v>239</v>
      </c>
      <c r="O178" s="1">
        <v>296</v>
      </c>
      <c r="P178" s="1">
        <f>852+611</f>
        <v>1463</v>
      </c>
      <c r="Q178" s="59">
        <f t="shared" si="28"/>
        <v>1998</v>
      </c>
      <c r="R178" s="59">
        <f>+E178+I178+M178+Q178</f>
        <v>17132</v>
      </c>
      <c r="S178" s="94"/>
      <c r="T178" s="4" t="s">
        <v>137</v>
      </c>
    </row>
    <row r="179" spans="1:20" ht="15.75" customHeight="1" x14ac:dyDescent="0.3">
      <c r="A179" s="74" t="s">
        <v>859</v>
      </c>
      <c r="B179" s="1">
        <v>25</v>
      </c>
      <c r="C179" s="1">
        <v>17</v>
      </c>
      <c r="D179" s="1"/>
      <c r="E179" s="59">
        <f t="shared" si="29"/>
        <v>42</v>
      </c>
      <c r="F179" s="1">
        <v>35</v>
      </c>
      <c r="G179" s="1">
        <v>35</v>
      </c>
      <c r="H179" s="1">
        <v>35</v>
      </c>
      <c r="I179" s="59">
        <f t="shared" si="26"/>
        <v>105</v>
      </c>
      <c r="J179" s="1">
        <v>35</v>
      </c>
      <c r="K179" s="1">
        <v>35</v>
      </c>
      <c r="L179" s="1">
        <v>35</v>
      </c>
      <c r="M179" s="59">
        <f t="shared" si="27"/>
        <v>105</v>
      </c>
      <c r="N179" s="1">
        <v>51</v>
      </c>
      <c r="O179" s="1">
        <v>35</v>
      </c>
      <c r="P179" s="1">
        <v>19</v>
      </c>
      <c r="Q179" s="59">
        <f t="shared" si="28"/>
        <v>105</v>
      </c>
      <c r="R179" s="59">
        <f t="shared" si="24"/>
        <v>357</v>
      </c>
      <c r="S179" s="4" t="s">
        <v>136</v>
      </c>
      <c r="T179" s="4" t="s">
        <v>137</v>
      </c>
    </row>
    <row r="180" spans="1:20" ht="15.75" customHeight="1" x14ac:dyDescent="0.3">
      <c r="A180" s="74" t="s">
        <v>180</v>
      </c>
      <c r="B180" s="1">
        <v>3283</v>
      </c>
      <c r="C180" s="1"/>
      <c r="D180" s="1"/>
      <c r="E180" s="59">
        <f t="shared" si="29"/>
        <v>3283</v>
      </c>
      <c r="F180" s="1"/>
      <c r="G180" s="1">
        <f>119+5994+50</f>
        <v>6163</v>
      </c>
      <c r="H180" s="1">
        <f>136+852+5835+62</f>
        <v>6885</v>
      </c>
      <c r="I180" s="59">
        <f t="shared" si="26"/>
        <v>13048</v>
      </c>
      <c r="J180" s="1">
        <f>134+605+5761+37</f>
        <v>6537</v>
      </c>
      <c r="K180" s="1">
        <f>137+516+4927+29</f>
        <v>5609</v>
      </c>
      <c r="L180" s="1">
        <f>108+460+4440+50</f>
        <v>5058</v>
      </c>
      <c r="M180" s="59">
        <f t="shared" si="27"/>
        <v>17204</v>
      </c>
      <c r="N180" s="1">
        <f>73+511+4979+70</f>
        <v>5633</v>
      </c>
      <c r="O180" s="1">
        <f>23+36+4136+22</f>
        <v>4217</v>
      </c>
      <c r="P180" s="1">
        <f>20+120+3727+19</f>
        <v>3886</v>
      </c>
      <c r="Q180" s="59">
        <f t="shared" si="28"/>
        <v>13736</v>
      </c>
      <c r="R180" s="59">
        <f>+E180+I180+M180+Q180</f>
        <v>47271</v>
      </c>
    </row>
    <row r="181" spans="1:20" ht="15.75" customHeight="1" x14ac:dyDescent="0.3">
      <c r="A181" s="74" t="s">
        <v>181</v>
      </c>
      <c r="B181" s="1"/>
      <c r="C181" s="1"/>
      <c r="D181" s="1"/>
      <c r="E181" s="59">
        <f t="shared" ref="E181:E187" si="32">SUM(B181:D181)</f>
        <v>0</v>
      </c>
      <c r="F181" s="1"/>
      <c r="G181" s="1">
        <v>56</v>
      </c>
      <c r="H181" s="1">
        <v>288</v>
      </c>
      <c r="I181" s="59">
        <f t="shared" si="26"/>
        <v>344</v>
      </c>
      <c r="J181" s="1">
        <f>289+2661</f>
        <v>2950</v>
      </c>
      <c r="K181" s="1">
        <v>183</v>
      </c>
      <c r="L181" s="1">
        <v>202</v>
      </c>
      <c r="M181" s="59">
        <f t="shared" si="27"/>
        <v>3335</v>
      </c>
      <c r="N181" s="1"/>
      <c r="O181" s="1"/>
      <c r="P181" s="1"/>
      <c r="Q181" s="59">
        <f t="shared" si="28"/>
        <v>0</v>
      </c>
      <c r="R181" s="59">
        <f t="shared" si="24"/>
        <v>3679</v>
      </c>
      <c r="S181" s="4" t="s">
        <v>136</v>
      </c>
    </row>
    <row r="182" spans="1:20" ht="15.75" customHeight="1" x14ac:dyDescent="0.3">
      <c r="A182" s="91" t="s">
        <v>182</v>
      </c>
      <c r="B182" s="1"/>
      <c r="C182" s="1"/>
      <c r="D182" s="1"/>
      <c r="E182" s="59">
        <f t="shared" si="32"/>
        <v>0</v>
      </c>
      <c r="F182" s="1"/>
      <c r="G182" s="1"/>
      <c r="H182" s="1"/>
      <c r="I182" s="59">
        <f t="shared" ref="I182:I187" si="33">SUM(F182:H182)</f>
        <v>0</v>
      </c>
      <c r="J182" s="1"/>
      <c r="K182" s="1"/>
      <c r="L182" s="1"/>
      <c r="M182" s="59">
        <f t="shared" ref="M182:M187" si="34">SUM(J182:L182)</f>
        <v>0</v>
      </c>
      <c r="N182" s="1"/>
      <c r="O182" s="1"/>
      <c r="P182" s="1"/>
      <c r="Q182" s="59">
        <f t="shared" si="28"/>
        <v>0</v>
      </c>
      <c r="R182" s="59">
        <f t="shared" si="24"/>
        <v>0</v>
      </c>
      <c r="T182" s="4" t="s">
        <v>132</v>
      </c>
    </row>
    <row r="183" spans="1:20" ht="15.75" customHeight="1" x14ac:dyDescent="0.3">
      <c r="A183" s="91" t="s">
        <v>183</v>
      </c>
      <c r="B183" s="1"/>
      <c r="C183" s="1"/>
      <c r="D183" s="1"/>
      <c r="E183" s="59">
        <f t="shared" si="32"/>
        <v>0</v>
      </c>
      <c r="F183" s="1"/>
      <c r="G183" s="1"/>
      <c r="H183" s="1"/>
      <c r="I183" s="59">
        <f t="shared" si="33"/>
        <v>0</v>
      </c>
      <c r="J183" s="1"/>
      <c r="K183" s="1"/>
      <c r="L183" s="1"/>
      <c r="M183" s="59">
        <f t="shared" si="34"/>
        <v>0</v>
      </c>
      <c r="N183" s="1"/>
      <c r="O183" s="1"/>
      <c r="P183" s="1"/>
      <c r="Q183" s="59">
        <f t="shared" si="28"/>
        <v>0</v>
      </c>
      <c r="R183" s="59">
        <f>+E183+I183+M183+Q183</f>
        <v>0</v>
      </c>
    </row>
    <row r="184" spans="1:20" ht="15.75" customHeight="1" x14ac:dyDescent="0.3">
      <c r="A184" s="91" t="s">
        <v>184</v>
      </c>
      <c r="B184" s="1"/>
      <c r="C184" s="1"/>
      <c r="D184" s="1"/>
      <c r="E184" s="59">
        <f t="shared" si="32"/>
        <v>0</v>
      </c>
      <c r="F184" s="1">
        <v>1500</v>
      </c>
      <c r="G184" s="1">
        <v>1500</v>
      </c>
      <c r="H184" s="1">
        <v>1000</v>
      </c>
      <c r="I184" s="59">
        <f t="shared" si="33"/>
        <v>4000</v>
      </c>
      <c r="J184" s="1">
        <v>725</v>
      </c>
      <c r="K184" s="1">
        <v>500</v>
      </c>
      <c r="L184" s="1"/>
      <c r="M184" s="59">
        <f t="shared" si="34"/>
        <v>1225</v>
      </c>
      <c r="N184" s="1">
        <v>500</v>
      </c>
      <c r="O184" s="1"/>
      <c r="P184" s="1"/>
      <c r="Q184" s="59">
        <f t="shared" si="28"/>
        <v>500</v>
      </c>
      <c r="R184" s="59">
        <f t="shared" si="24"/>
        <v>5725</v>
      </c>
    </row>
    <row r="185" spans="1:20" ht="15.75" customHeight="1" x14ac:dyDescent="0.3">
      <c r="A185" s="74" t="s">
        <v>185</v>
      </c>
      <c r="B185" s="1">
        <v>74</v>
      </c>
      <c r="C185" s="1">
        <v>117</v>
      </c>
      <c r="D185" s="1"/>
      <c r="E185" s="59">
        <f t="shared" si="32"/>
        <v>191</v>
      </c>
      <c r="F185" s="1">
        <v>200</v>
      </c>
      <c r="G185" s="1">
        <v>450</v>
      </c>
      <c r="H185" s="1">
        <v>450</v>
      </c>
      <c r="I185" s="59">
        <f t="shared" si="33"/>
        <v>1100</v>
      </c>
      <c r="J185" s="1">
        <v>580</v>
      </c>
      <c r="K185" s="1">
        <v>481</v>
      </c>
      <c r="L185" s="1">
        <v>469</v>
      </c>
      <c r="M185" s="59">
        <f t="shared" si="34"/>
        <v>1530</v>
      </c>
      <c r="N185" s="1">
        <v>347</v>
      </c>
      <c r="O185" s="1">
        <v>300</v>
      </c>
      <c r="P185" s="1">
        <v>237</v>
      </c>
      <c r="Q185" s="59">
        <f t="shared" si="28"/>
        <v>884</v>
      </c>
      <c r="R185" s="59">
        <f>+E185+I185+M185+Q185</f>
        <v>3705</v>
      </c>
      <c r="S185" s="4" t="s">
        <v>136</v>
      </c>
      <c r="T185" s="4" t="s">
        <v>137</v>
      </c>
    </row>
    <row r="186" spans="1:20" ht="15.75" customHeight="1" x14ac:dyDescent="0.3">
      <c r="A186" s="74" t="s">
        <v>186</v>
      </c>
      <c r="B186" s="1">
        <v>2</v>
      </c>
      <c r="C186" s="1">
        <v>2</v>
      </c>
      <c r="D186" s="1">
        <v>3</v>
      </c>
      <c r="E186" s="59">
        <f t="shared" si="32"/>
        <v>7</v>
      </c>
      <c r="F186" s="1">
        <v>3</v>
      </c>
      <c r="G186" s="1">
        <v>3</v>
      </c>
      <c r="H186" s="1">
        <v>4</v>
      </c>
      <c r="I186" s="59">
        <f t="shared" si="33"/>
        <v>10</v>
      </c>
      <c r="J186" s="1">
        <v>3</v>
      </c>
      <c r="K186" s="1">
        <v>4</v>
      </c>
      <c r="L186" s="1">
        <v>4</v>
      </c>
      <c r="M186" s="59">
        <f t="shared" si="34"/>
        <v>11</v>
      </c>
      <c r="N186" s="1">
        <v>3</v>
      </c>
      <c r="O186" s="1">
        <v>3</v>
      </c>
      <c r="P186" s="1"/>
      <c r="Q186" s="59">
        <f t="shared" si="28"/>
        <v>6</v>
      </c>
      <c r="R186" s="59">
        <f>+E186+I186+M186+Q186</f>
        <v>34</v>
      </c>
      <c r="S186" s="4">
        <f>SUM(R139:R186)</f>
        <v>266453</v>
      </c>
    </row>
    <row r="187" spans="1:20" ht="15.75" customHeight="1" x14ac:dyDescent="0.3">
      <c r="A187" s="74" t="s">
        <v>187</v>
      </c>
      <c r="B187" s="1"/>
      <c r="C187" s="1"/>
      <c r="D187" s="1"/>
      <c r="E187" s="59">
        <f t="shared" si="32"/>
        <v>0</v>
      </c>
      <c r="F187" s="1"/>
      <c r="G187" s="1"/>
      <c r="H187" s="1"/>
      <c r="I187" s="59">
        <f t="shared" si="33"/>
        <v>0</v>
      </c>
      <c r="J187" s="1">
        <v>107</v>
      </c>
      <c r="K187" s="1"/>
      <c r="L187" s="1"/>
      <c r="M187" s="59">
        <f t="shared" si="34"/>
        <v>107</v>
      </c>
      <c r="N187" s="1"/>
      <c r="O187" s="1"/>
      <c r="P187" s="1"/>
      <c r="Q187" s="59">
        <f t="shared" si="28"/>
        <v>0</v>
      </c>
      <c r="R187" s="59">
        <f>+E187+I187+M187+Q187</f>
        <v>107</v>
      </c>
      <c r="S187" s="94" t="s">
        <v>136</v>
      </c>
      <c r="T187" s="4" t="s">
        <v>137</v>
      </c>
    </row>
    <row r="188" spans="1:20" ht="15.75" customHeight="1" x14ac:dyDescent="0.3">
      <c r="A188" s="17" t="s">
        <v>47</v>
      </c>
      <c r="B188" s="1"/>
      <c r="C188" s="1"/>
      <c r="D188" s="1"/>
      <c r="E188" s="59" t="s">
        <v>7</v>
      </c>
      <c r="F188" s="1"/>
      <c r="G188" s="1"/>
      <c r="H188" s="1"/>
      <c r="I188" s="59" t="s">
        <v>7</v>
      </c>
      <c r="J188" s="1"/>
      <c r="K188" s="1"/>
      <c r="L188" s="1"/>
      <c r="M188" s="59" t="s">
        <v>7</v>
      </c>
      <c r="N188" s="1"/>
      <c r="O188" s="1"/>
      <c r="P188" s="1"/>
      <c r="Q188" s="59" t="s">
        <v>7</v>
      </c>
      <c r="R188" s="59" t="s">
        <v>7</v>
      </c>
    </row>
    <row r="189" spans="1:20" ht="15.75" customHeight="1" x14ac:dyDescent="0.3">
      <c r="A189" s="74" t="s">
        <v>188</v>
      </c>
      <c r="B189" s="1"/>
      <c r="C189" s="1"/>
      <c r="D189" s="1"/>
      <c r="E189" s="59">
        <f t="shared" ref="E189:E200" si="35">SUM(B189:D189)</f>
        <v>0</v>
      </c>
      <c r="F189" s="1"/>
      <c r="G189" s="1"/>
      <c r="H189" s="1"/>
      <c r="I189" s="59">
        <f t="shared" ref="I189:I200" si="36">SUM(F189:H189)</f>
        <v>0</v>
      </c>
      <c r="J189" s="1"/>
      <c r="K189" s="1"/>
      <c r="L189" s="1"/>
      <c r="M189" s="59">
        <f t="shared" ref="M189:M200" si="37">SUM(J189:L189)</f>
        <v>0</v>
      </c>
      <c r="N189" s="1"/>
      <c r="O189" s="1"/>
      <c r="P189" s="1"/>
      <c r="Q189" s="59">
        <f t="shared" ref="Q189:Q200" si="38">SUM(N189:P189)</f>
        <v>0</v>
      </c>
      <c r="R189" s="59">
        <f t="shared" ref="R189:R200" si="39">+E189+I189+M189+Q189</f>
        <v>0</v>
      </c>
    </row>
    <row r="190" spans="1:20" ht="15.75" customHeight="1" x14ac:dyDescent="0.3">
      <c r="A190" s="74" t="s">
        <v>189</v>
      </c>
      <c r="B190" s="1"/>
      <c r="C190" s="1"/>
      <c r="D190" s="1"/>
      <c r="E190" s="59">
        <f>SUM(B190:D190)</f>
        <v>0</v>
      </c>
      <c r="F190" s="1"/>
      <c r="G190" s="1"/>
      <c r="H190" s="1"/>
      <c r="I190" s="59">
        <f>SUM(F190:H190)</f>
        <v>0</v>
      </c>
      <c r="J190" s="1"/>
      <c r="K190" s="1"/>
      <c r="L190" s="1"/>
      <c r="M190" s="59">
        <f>SUM(J190:L190)</f>
        <v>0</v>
      </c>
      <c r="N190" s="1"/>
      <c r="O190" s="1"/>
      <c r="P190" s="1"/>
      <c r="Q190" s="59">
        <f>SUM(N190:P190)</f>
        <v>0</v>
      </c>
      <c r="R190" s="59">
        <f>+E190+I190+M190+Q190</f>
        <v>0</v>
      </c>
      <c r="T190" s="4" t="s">
        <v>127</v>
      </c>
    </row>
    <row r="191" spans="1:20" ht="15.75" customHeight="1" x14ac:dyDescent="0.3">
      <c r="A191" s="74" t="s">
        <v>190</v>
      </c>
      <c r="B191" s="1"/>
      <c r="C191" s="1"/>
      <c r="D191" s="1"/>
      <c r="E191" s="59">
        <f t="shared" si="35"/>
        <v>0</v>
      </c>
      <c r="F191" s="1"/>
      <c r="G191" s="1"/>
      <c r="H191" s="1"/>
      <c r="I191" s="59">
        <f t="shared" si="36"/>
        <v>0</v>
      </c>
      <c r="J191" s="1"/>
      <c r="K191" s="1"/>
      <c r="L191" s="1"/>
      <c r="M191" s="59">
        <f t="shared" si="37"/>
        <v>0</v>
      </c>
      <c r="N191" s="1"/>
      <c r="O191" s="1"/>
      <c r="P191" s="1"/>
      <c r="Q191" s="59">
        <f t="shared" si="38"/>
        <v>0</v>
      </c>
      <c r="R191" s="59">
        <f t="shared" si="39"/>
        <v>0</v>
      </c>
    </row>
    <row r="192" spans="1:20" ht="15.75" customHeight="1" x14ac:dyDescent="0.3">
      <c r="A192" s="74" t="s">
        <v>191</v>
      </c>
      <c r="B192" s="1"/>
      <c r="C192" s="1"/>
      <c r="D192" s="1"/>
      <c r="E192" s="59">
        <f t="shared" si="35"/>
        <v>0</v>
      </c>
      <c r="F192" s="1"/>
      <c r="G192" s="1"/>
      <c r="H192" s="1"/>
      <c r="I192" s="59">
        <f t="shared" si="36"/>
        <v>0</v>
      </c>
      <c r="J192" s="1"/>
      <c r="K192" s="1"/>
      <c r="L192" s="1"/>
      <c r="M192" s="59">
        <f t="shared" si="37"/>
        <v>0</v>
      </c>
      <c r="N192" s="1"/>
      <c r="O192" s="1"/>
      <c r="P192" s="1"/>
      <c r="Q192" s="59">
        <f t="shared" si="38"/>
        <v>0</v>
      </c>
      <c r="R192" s="59">
        <f t="shared" si="39"/>
        <v>0</v>
      </c>
      <c r="T192" s="4" t="s">
        <v>137</v>
      </c>
    </row>
    <row r="193" spans="1:20" ht="15.75" customHeight="1" x14ac:dyDescent="0.3">
      <c r="A193" s="74" t="s">
        <v>192</v>
      </c>
      <c r="B193" s="1"/>
      <c r="C193" s="1"/>
      <c r="D193" s="1"/>
      <c r="E193" s="59">
        <f t="shared" si="35"/>
        <v>0</v>
      </c>
      <c r="F193" s="1"/>
      <c r="G193" s="1"/>
      <c r="H193" s="1"/>
      <c r="I193" s="59">
        <f t="shared" si="36"/>
        <v>0</v>
      </c>
      <c r="J193" s="1"/>
      <c r="K193" s="1"/>
      <c r="L193" s="1"/>
      <c r="M193" s="59">
        <f t="shared" si="37"/>
        <v>0</v>
      </c>
      <c r="N193" s="1"/>
      <c r="O193" s="1"/>
      <c r="P193" s="1"/>
      <c r="Q193" s="59">
        <f t="shared" si="38"/>
        <v>0</v>
      </c>
      <c r="R193" s="59">
        <f t="shared" si="39"/>
        <v>0</v>
      </c>
    </row>
    <row r="194" spans="1:20" ht="15.75" customHeight="1" x14ac:dyDescent="0.3">
      <c r="A194" s="74" t="s">
        <v>193</v>
      </c>
      <c r="B194" s="1"/>
      <c r="C194" s="1"/>
      <c r="D194" s="1"/>
      <c r="E194" s="59">
        <f t="shared" si="35"/>
        <v>0</v>
      </c>
      <c r="F194" s="1"/>
      <c r="G194" s="1"/>
      <c r="H194" s="1"/>
      <c r="I194" s="59">
        <f t="shared" si="36"/>
        <v>0</v>
      </c>
      <c r="J194" s="1"/>
      <c r="K194" s="1"/>
      <c r="L194" s="1"/>
      <c r="M194" s="59">
        <f t="shared" si="37"/>
        <v>0</v>
      </c>
      <c r="N194" s="1"/>
      <c r="O194" s="1"/>
      <c r="P194" s="1"/>
      <c r="Q194" s="59">
        <f t="shared" si="38"/>
        <v>0</v>
      </c>
      <c r="R194" s="59">
        <f t="shared" si="39"/>
        <v>0</v>
      </c>
    </row>
    <row r="195" spans="1:20" ht="15.75" customHeight="1" x14ac:dyDescent="0.3">
      <c r="A195" s="91" t="s">
        <v>194</v>
      </c>
      <c r="B195" s="1"/>
      <c r="C195" s="1"/>
      <c r="D195" s="1"/>
      <c r="E195" s="59">
        <f t="shared" si="35"/>
        <v>0</v>
      </c>
      <c r="F195" s="1"/>
      <c r="G195" s="1"/>
      <c r="H195" s="1"/>
      <c r="I195" s="59">
        <f t="shared" si="36"/>
        <v>0</v>
      </c>
      <c r="J195" s="1"/>
      <c r="K195" s="1"/>
      <c r="L195" s="1"/>
      <c r="M195" s="59">
        <f t="shared" si="37"/>
        <v>0</v>
      </c>
      <c r="N195" s="1"/>
      <c r="O195" s="1"/>
      <c r="P195" s="1"/>
      <c r="Q195" s="59">
        <f t="shared" si="38"/>
        <v>0</v>
      </c>
      <c r="R195" s="59">
        <f t="shared" si="39"/>
        <v>0</v>
      </c>
      <c r="T195" s="4" t="s">
        <v>121</v>
      </c>
    </row>
    <row r="196" spans="1:20" ht="15.75" customHeight="1" x14ac:dyDescent="0.3">
      <c r="A196" s="74" t="s">
        <v>952</v>
      </c>
      <c r="B196" s="1"/>
      <c r="C196" s="1"/>
      <c r="D196" s="1"/>
      <c r="E196" s="59">
        <f t="shared" si="35"/>
        <v>0</v>
      </c>
      <c r="F196" s="1"/>
      <c r="G196" s="1"/>
      <c r="H196" s="1"/>
      <c r="I196" s="59">
        <f t="shared" si="36"/>
        <v>0</v>
      </c>
      <c r="J196" s="1"/>
      <c r="K196" s="1"/>
      <c r="L196" s="1"/>
      <c r="M196" s="59">
        <f t="shared" si="37"/>
        <v>0</v>
      </c>
      <c r="N196" s="1"/>
      <c r="O196" s="1"/>
      <c r="P196" s="1">
        <v>59</v>
      </c>
      <c r="Q196" s="59">
        <f t="shared" si="38"/>
        <v>59</v>
      </c>
      <c r="R196" s="59">
        <f t="shared" si="39"/>
        <v>59</v>
      </c>
    </row>
    <row r="197" spans="1:20" ht="15.75" customHeight="1" x14ac:dyDescent="0.3">
      <c r="A197" s="74" t="s">
        <v>195</v>
      </c>
      <c r="B197" s="1"/>
      <c r="C197" s="1"/>
      <c r="D197" s="1"/>
      <c r="E197" s="59">
        <f t="shared" si="35"/>
        <v>0</v>
      </c>
      <c r="F197" s="1"/>
      <c r="G197" s="1"/>
      <c r="H197" s="1"/>
      <c r="I197" s="59">
        <f t="shared" si="36"/>
        <v>0</v>
      </c>
      <c r="J197" s="1"/>
      <c r="K197" s="1"/>
      <c r="L197" s="1"/>
      <c r="M197" s="59">
        <f t="shared" si="37"/>
        <v>0</v>
      </c>
      <c r="N197" s="1"/>
      <c r="O197" s="1"/>
      <c r="P197" s="1"/>
      <c r="Q197" s="59">
        <f t="shared" si="38"/>
        <v>0</v>
      </c>
      <c r="R197" s="59">
        <f t="shared" si="39"/>
        <v>0</v>
      </c>
      <c r="T197" s="4" t="s">
        <v>137</v>
      </c>
    </row>
    <row r="198" spans="1:20" ht="15.75" customHeight="1" x14ac:dyDescent="0.3">
      <c r="A198" s="74" t="s">
        <v>196</v>
      </c>
      <c r="B198" s="1"/>
      <c r="C198" s="1"/>
      <c r="D198" s="1"/>
      <c r="E198" s="59">
        <f t="shared" si="35"/>
        <v>0</v>
      </c>
      <c r="F198" s="1"/>
      <c r="G198" s="1"/>
      <c r="H198" s="1"/>
      <c r="I198" s="59">
        <f t="shared" si="36"/>
        <v>0</v>
      </c>
      <c r="J198" s="1"/>
      <c r="K198" s="1"/>
      <c r="L198" s="1"/>
      <c r="M198" s="59">
        <f t="shared" si="37"/>
        <v>0</v>
      </c>
      <c r="N198" s="1"/>
      <c r="O198" s="1"/>
      <c r="P198" s="1"/>
      <c r="Q198" s="59">
        <f t="shared" si="38"/>
        <v>0</v>
      </c>
      <c r="R198" s="59">
        <f t="shared" si="39"/>
        <v>0</v>
      </c>
      <c r="T198" s="4" t="s">
        <v>197</v>
      </c>
    </row>
    <row r="199" spans="1:20" ht="15.75" customHeight="1" x14ac:dyDescent="0.3">
      <c r="A199" s="91" t="s">
        <v>198</v>
      </c>
      <c r="B199" s="1"/>
      <c r="C199" s="1"/>
      <c r="D199" s="1"/>
      <c r="E199" s="59">
        <f>SUM(B199:D199)</f>
        <v>0</v>
      </c>
      <c r="F199" s="1"/>
      <c r="G199" s="1"/>
      <c r="H199" s="1"/>
      <c r="I199" s="59">
        <f>SUM(F199:H199)</f>
        <v>0</v>
      </c>
      <c r="J199" s="1"/>
      <c r="K199" s="1"/>
      <c r="L199" s="1"/>
      <c r="M199" s="59">
        <f>SUM(J199:L199)</f>
        <v>0</v>
      </c>
      <c r="N199" s="1"/>
      <c r="O199" s="1"/>
      <c r="P199" s="1"/>
      <c r="Q199" s="59">
        <f>SUM(N199:P199)</f>
        <v>0</v>
      </c>
      <c r="R199" s="59">
        <f>+E199+I199+M199+Q199</f>
        <v>0</v>
      </c>
    </row>
    <row r="200" spans="1:20" ht="15.75" customHeight="1" x14ac:dyDescent="0.3">
      <c r="A200" s="74" t="s">
        <v>953</v>
      </c>
      <c r="B200" s="1"/>
      <c r="C200" s="1"/>
      <c r="D200" s="1"/>
      <c r="E200" s="59">
        <f t="shared" si="35"/>
        <v>0</v>
      </c>
      <c r="F200" s="1"/>
      <c r="G200" s="1"/>
      <c r="H200" s="1"/>
      <c r="I200" s="59">
        <f t="shared" si="36"/>
        <v>0</v>
      </c>
      <c r="J200" s="1"/>
      <c r="K200" s="1"/>
      <c r="L200" s="1"/>
      <c r="M200" s="59">
        <f t="shared" si="37"/>
        <v>0</v>
      </c>
      <c r="N200" s="1"/>
      <c r="O200" s="1"/>
      <c r="P200" s="1">
        <v>3</v>
      </c>
      <c r="Q200" s="59">
        <f t="shared" si="38"/>
        <v>3</v>
      </c>
      <c r="R200" s="59">
        <f t="shared" si="39"/>
        <v>3</v>
      </c>
    </row>
    <row r="201" spans="1:20" ht="15.75" customHeight="1" x14ac:dyDescent="0.3">
      <c r="A201" s="17" t="s">
        <v>49</v>
      </c>
      <c r="B201" s="1"/>
      <c r="C201" s="1"/>
      <c r="D201" s="1"/>
      <c r="E201" s="59" t="s">
        <v>7</v>
      </c>
      <c r="F201" s="1"/>
      <c r="G201" s="1"/>
      <c r="H201" s="1"/>
      <c r="I201" s="59" t="s">
        <v>7</v>
      </c>
      <c r="J201" s="1"/>
      <c r="K201" s="1"/>
      <c r="L201" s="1"/>
      <c r="M201" s="59" t="s">
        <v>7</v>
      </c>
      <c r="N201" s="1"/>
      <c r="O201" s="1"/>
      <c r="P201" s="1"/>
      <c r="Q201" s="59" t="s">
        <v>7</v>
      </c>
      <c r="R201" s="59" t="s">
        <v>7</v>
      </c>
    </row>
    <row r="202" spans="1:20" ht="15.75" customHeight="1" x14ac:dyDescent="0.3">
      <c r="A202" s="99" t="s">
        <v>907</v>
      </c>
      <c r="B202" s="1"/>
      <c r="C202" s="1"/>
      <c r="D202" s="1"/>
      <c r="E202" s="59">
        <f>SUM(B202:D202)</f>
        <v>0</v>
      </c>
      <c r="F202" s="1"/>
      <c r="G202" s="1"/>
      <c r="H202" s="1"/>
      <c r="I202" s="59">
        <f>SUM(F202:H202)</f>
        <v>0</v>
      </c>
      <c r="J202" s="1"/>
      <c r="K202" s="1"/>
      <c r="L202" s="1"/>
      <c r="M202" s="59">
        <f>SUM(J202:L202)</f>
        <v>0</v>
      </c>
      <c r="N202" s="1"/>
      <c r="O202" s="1">
        <v>1789</v>
      </c>
      <c r="P202" s="1">
        <v>1154</v>
      </c>
      <c r="Q202" s="59">
        <f>SUM(N202:P202)</f>
        <v>2943</v>
      </c>
      <c r="R202" s="59">
        <f>+E202+I202+M202+Q202</f>
        <v>2943</v>
      </c>
      <c r="T202" s="4" t="s">
        <v>132</v>
      </c>
    </row>
    <row r="203" spans="1:20" ht="15.75" customHeight="1" x14ac:dyDescent="0.3">
      <c r="A203" s="99" t="s">
        <v>908</v>
      </c>
      <c r="B203" s="1"/>
      <c r="C203" s="1"/>
      <c r="D203" s="1"/>
      <c r="E203" s="59">
        <f>SUM(B203:D203)</f>
        <v>0</v>
      </c>
      <c r="F203" s="1"/>
      <c r="G203" s="1"/>
      <c r="H203" s="1"/>
      <c r="I203" s="59">
        <f>SUM(F203:H203)</f>
        <v>0</v>
      </c>
      <c r="J203" s="1"/>
      <c r="K203" s="1"/>
      <c r="L203" s="1"/>
      <c r="M203" s="59">
        <f>SUM(J203:L203)</f>
        <v>0</v>
      </c>
      <c r="N203" s="1">
        <v>43</v>
      </c>
      <c r="O203" s="1">
        <v>535</v>
      </c>
      <c r="P203" s="1">
        <v>523</v>
      </c>
      <c r="Q203" s="59">
        <f>SUM(N203:P203)</f>
        <v>1101</v>
      </c>
      <c r="R203" s="59">
        <f>+E203+I203+M203+Q203</f>
        <v>1101</v>
      </c>
      <c r="T203" s="4" t="s">
        <v>134</v>
      </c>
    </row>
    <row r="204" spans="1:20" ht="15.75" customHeight="1" x14ac:dyDescent="0.3">
      <c r="A204" s="61" t="s">
        <v>909</v>
      </c>
      <c r="B204" s="1"/>
      <c r="C204" s="1">
        <v>13</v>
      </c>
      <c r="D204" s="1">
        <v>63</v>
      </c>
      <c r="E204" s="59">
        <f>SUM(B204:D204)</f>
        <v>76</v>
      </c>
      <c r="F204" s="1">
        <v>113</v>
      </c>
      <c r="G204" s="1">
        <v>143</v>
      </c>
      <c r="H204" s="1">
        <v>175</v>
      </c>
      <c r="I204" s="59">
        <f>SUM(F204:H204)</f>
        <v>431</v>
      </c>
      <c r="J204" s="1">
        <v>146</v>
      </c>
      <c r="K204" s="1">
        <v>146</v>
      </c>
      <c r="L204" s="1">
        <v>151</v>
      </c>
      <c r="M204" s="59">
        <f>SUM(J204:L204)</f>
        <v>443</v>
      </c>
      <c r="N204" s="1">
        <v>115</v>
      </c>
      <c r="O204" s="1">
        <v>35</v>
      </c>
      <c r="P204" s="1"/>
      <c r="Q204" s="59">
        <f>SUM(N204:P204)</f>
        <v>150</v>
      </c>
      <c r="R204" s="59">
        <f>+E204+I204+M204+Q204</f>
        <v>1100</v>
      </c>
      <c r="T204" s="4" t="s">
        <v>202</v>
      </c>
    </row>
    <row r="205" spans="1:20" ht="15.75" customHeight="1" thickBot="1" x14ac:dyDescent="0.35">
      <c r="A205" s="17" t="s">
        <v>51</v>
      </c>
      <c r="B205" s="1"/>
      <c r="C205" s="1"/>
      <c r="D205" s="1"/>
      <c r="E205" s="59" t="s">
        <v>7</v>
      </c>
      <c r="F205" s="1"/>
      <c r="G205" s="1"/>
      <c r="H205" s="1"/>
      <c r="I205" s="59" t="s">
        <v>7</v>
      </c>
      <c r="J205" s="1"/>
      <c r="K205" s="1"/>
      <c r="L205" s="1"/>
      <c r="M205" s="59" t="s">
        <v>7</v>
      </c>
      <c r="N205" s="1"/>
      <c r="O205" s="1"/>
      <c r="P205" s="1"/>
      <c r="Q205" s="59" t="s">
        <v>7</v>
      </c>
      <c r="R205" s="59" t="s">
        <v>7</v>
      </c>
    </row>
    <row r="206" spans="1:20" ht="16.5" customHeight="1" thickBot="1" x14ac:dyDescent="0.35">
      <c r="A206" s="62" t="s">
        <v>52</v>
      </c>
      <c r="B206" s="100">
        <f>SUM(B137:B205)</f>
        <v>12318</v>
      </c>
      <c r="C206" s="101">
        <f>SUM(C137:C205)</f>
        <v>7511</v>
      </c>
      <c r="D206" s="101">
        <f>SUM(D137:D205)</f>
        <v>8826</v>
      </c>
      <c r="E206" s="64">
        <f>SUM(B206:D206)</f>
        <v>28655</v>
      </c>
      <c r="F206" s="101">
        <f>SUM(F137:F205)</f>
        <v>11798</v>
      </c>
      <c r="G206" s="101">
        <f t="shared" ref="G206:H206" si="40">SUM(G137:G205)</f>
        <v>17994</v>
      </c>
      <c r="H206" s="101">
        <f t="shared" si="40"/>
        <v>36716</v>
      </c>
      <c r="I206" s="64">
        <f>SUM(F206:H206)</f>
        <v>66508</v>
      </c>
      <c r="J206" s="101">
        <f>SUM(J137:J205)</f>
        <v>38631</v>
      </c>
      <c r="K206" s="101">
        <f>SUM(K137:K205)</f>
        <v>33146</v>
      </c>
      <c r="L206" s="101">
        <f>SUM(L137:L205)</f>
        <v>31040</v>
      </c>
      <c r="M206" s="64">
        <f>SUM(J206:L206)</f>
        <v>102817</v>
      </c>
      <c r="N206" s="101">
        <f>SUM(N137:N205)</f>
        <v>29505</v>
      </c>
      <c r="O206" s="101">
        <f>SUM(O137:O205)</f>
        <v>22977</v>
      </c>
      <c r="P206" s="101">
        <f>SUM(P137:P205)</f>
        <v>21304</v>
      </c>
      <c r="Q206" s="64">
        <f>SUM(N206:P206)</f>
        <v>73786</v>
      </c>
      <c r="R206" s="64">
        <f>+E206+I206+M206+Q206</f>
        <v>271766</v>
      </c>
    </row>
    <row r="207" spans="1:20" ht="15.75" customHeight="1" x14ac:dyDescent="0.3">
      <c r="A207" s="17" t="s">
        <v>53</v>
      </c>
      <c r="B207" s="1"/>
      <c r="C207" s="1"/>
      <c r="D207" s="1"/>
      <c r="E207" s="59" t="s">
        <v>7</v>
      </c>
      <c r="F207" s="1"/>
      <c r="G207" s="1"/>
      <c r="H207" s="1"/>
      <c r="I207" s="59" t="s">
        <v>7</v>
      </c>
      <c r="J207" s="1"/>
      <c r="K207" s="1"/>
      <c r="L207" s="1"/>
      <c r="M207" s="59" t="s">
        <v>7</v>
      </c>
      <c r="N207" s="1"/>
      <c r="O207" s="1"/>
      <c r="P207" s="1"/>
      <c r="Q207" s="59" t="s">
        <v>7</v>
      </c>
      <c r="R207" s="59" t="s">
        <v>7</v>
      </c>
    </row>
    <row r="208" spans="1:20" ht="15.75" customHeight="1" x14ac:dyDescent="0.3">
      <c r="A208" s="17" t="s">
        <v>54</v>
      </c>
      <c r="B208" s="1"/>
      <c r="C208" s="1"/>
      <c r="D208" s="1"/>
      <c r="E208" s="59" t="s">
        <v>7</v>
      </c>
      <c r="F208" s="1"/>
      <c r="G208" s="1"/>
      <c r="H208" s="1"/>
      <c r="I208" s="59" t="s">
        <v>7</v>
      </c>
      <c r="J208" s="1"/>
      <c r="K208" s="1"/>
      <c r="L208" s="1"/>
      <c r="M208" s="59" t="s">
        <v>7</v>
      </c>
      <c r="N208" s="1"/>
      <c r="O208" s="1"/>
      <c r="P208" s="1"/>
      <c r="Q208" s="59" t="s">
        <v>7</v>
      </c>
      <c r="R208" s="59" t="s">
        <v>7</v>
      </c>
    </row>
    <row r="209" spans="1:20" ht="15.75" customHeight="1" x14ac:dyDescent="0.3">
      <c r="A209" s="17" t="s">
        <v>55</v>
      </c>
      <c r="B209" s="1"/>
      <c r="C209" s="1"/>
      <c r="D209" s="1"/>
      <c r="E209" s="59" t="s">
        <v>7</v>
      </c>
      <c r="F209" s="1"/>
      <c r="G209" s="1"/>
      <c r="H209" s="1"/>
      <c r="I209" s="59" t="s">
        <v>7</v>
      </c>
      <c r="J209" s="1"/>
      <c r="K209" s="1"/>
      <c r="L209" s="1"/>
      <c r="M209" s="59" t="s">
        <v>7</v>
      </c>
      <c r="N209" s="1"/>
      <c r="O209" s="1"/>
      <c r="P209" s="1"/>
      <c r="Q209" s="59" t="s">
        <v>7</v>
      </c>
      <c r="R209" s="59" t="s">
        <v>7</v>
      </c>
    </row>
    <row r="210" spans="1:20" ht="15.75" customHeight="1" x14ac:dyDescent="0.3">
      <c r="A210" s="99" t="s">
        <v>203</v>
      </c>
      <c r="B210" s="1"/>
      <c r="C210" s="1"/>
      <c r="D210" s="1"/>
      <c r="E210" s="59">
        <f>SUM(B210:D210)</f>
        <v>0</v>
      </c>
      <c r="F210" s="1"/>
      <c r="G210" s="1"/>
      <c r="H210" s="1"/>
      <c r="I210" s="59">
        <f>SUM(F210:H210)</f>
        <v>0</v>
      </c>
      <c r="J210" s="1"/>
      <c r="K210" s="1"/>
      <c r="L210" s="1"/>
      <c r="M210" s="59">
        <f>SUM(J210:L210)</f>
        <v>0</v>
      </c>
      <c r="N210" s="1"/>
      <c r="O210" s="1"/>
      <c r="P210" s="1"/>
      <c r="Q210" s="59">
        <f>SUM(N210:P210)</f>
        <v>0</v>
      </c>
      <c r="R210" s="59">
        <f>+E210+I210+M210+Q210</f>
        <v>0</v>
      </c>
      <c r="T210" s="4" t="s">
        <v>121</v>
      </c>
    </row>
    <row r="211" spans="1:20" ht="15.75" customHeight="1" x14ac:dyDescent="0.3">
      <c r="A211" s="76" t="s">
        <v>204</v>
      </c>
      <c r="B211" s="1"/>
      <c r="C211" s="1"/>
      <c r="D211" s="1"/>
      <c r="E211" s="59">
        <f>SUM(B211:D211)</f>
        <v>0</v>
      </c>
      <c r="F211" s="1"/>
      <c r="G211" s="1"/>
      <c r="H211" s="1"/>
      <c r="I211" s="59">
        <f>SUM(F211:H211)</f>
        <v>0</v>
      </c>
      <c r="J211" s="1"/>
      <c r="K211" s="1"/>
      <c r="L211" s="1"/>
      <c r="M211" s="59">
        <f>SUM(J211:L211)</f>
        <v>0</v>
      </c>
      <c r="N211" s="1"/>
      <c r="O211" s="1"/>
      <c r="P211" s="1"/>
      <c r="Q211" s="59">
        <f>SUM(N211:P211)</f>
        <v>0</v>
      </c>
      <c r="R211" s="59">
        <f>+E211+I211+M211+Q211</f>
        <v>0</v>
      </c>
      <c r="S211" s="4" t="s">
        <v>136</v>
      </c>
      <c r="T211" s="4" t="s">
        <v>137</v>
      </c>
    </row>
    <row r="212" spans="1:20" ht="15.75" customHeight="1" thickBot="1" x14ac:dyDescent="0.35">
      <c r="A212" s="17" t="s">
        <v>56</v>
      </c>
      <c r="B212" s="1"/>
      <c r="C212" s="1"/>
      <c r="D212" s="1"/>
      <c r="E212" s="59" t="s">
        <v>7</v>
      </c>
      <c r="F212" s="1"/>
      <c r="G212" s="1"/>
      <c r="H212" s="1"/>
      <c r="I212" s="59" t="s">
        <v>7</v>
      </c>
      <c r="J212" s="1"/>
      <c r="K212" s="1"/>
      <c r="L212" s="1"/>
      <c r="M212" s="59" t="s">
        <v>7</v>
      </c>
      <c r="N212" s="1"/>
      <c r="O212" s="1"/>
      <c r="P212" s="1"/>
      <c r="Q212" s="59" t="s">
        <v>7</v>
      </c>
      <c r="R212" s="59" t="s">
        <v>7</v>
      </c>
    </row>
    <row r="213" spans="1:20" ht="16.5" customHeight="1" thickBot="1" x14ac:dyDescent="0.35">
      <c r="A213" s="62" t="s">
        <v>57</v>
      </c>
      <c r="B213" s="100">
        <f>SUM(B207:B212)</f>
        <v>0</v>
      </c>
      <c r="C213" s="101">
        <f>SUM(C207:C212)</f>
        <v>0</v>
      </c>
      <c r="D213" s="101">
        <f>SUM(D207:D212)</f>
        <v>0</v>
      </c>
      <c r="E213" s="64">
        <f>SUM(B213:D213)</f>
        <v>0</v>
      </c>
      <c r="F213" s="101"/>
      <c r="G213" s="101"/>
      <c r="H213" s="101"/>
      <c r="I213" s="64">
        <f>SUM(F213:H213)</f>
        <v>0</v>
      </c>
      <c r="J213" s="101">
        <f>SUM(J207:J212)</f>
        <v>0</v>
      </c>
      <c r="K213" s="101">
        <f>SUM(K207:K212)</f>
        <v>0</v>
      </c>
      <c r="L213" s="101">
        <f>SUM(L207:L212)</f>
        <v>0</v>
      </c>
      <c r="M213" s="64">
        <f>SUM(J213:L213)</f>
        <v>0</v>
      </c>
      <c r="N213" s="101">
        <f>SUM(N207:N212)</f>
        <v>0</v>
      </c>
      <c r="O213" s="101">
        <f>SUM(O207:O212)</f>
        <v>0</v>
      </c>
      <c r="P213" s="101">
        <f>SUM(P207:P212)</f>
        <v>0</v>
      </c>
      <c r="Q213" s="64">
        <f>SUM(N213:P213)</f>
        <v>0</v>
      </c>
      <c r="R213" s="64">
        <f>+E213+I213+M213+Q213</f>
        <v>0</v>
      </c>
    </row>
    <row r="214" spans="1:20" ht="15.75" customHeight="1" x14ac:dyDescent="0.3">
      <c r="A214" s="17" t="s">
        <v>58</v>
      </c>
      <c r="B214" s="1"/>
      <c r="C214" s="1"/>
      <c r="D214" s="1"/>
      <c r="E214" s="59" t="s">
        <v>7</v>
      </c>
      <c r="F214" s="1"/>
      <c r="G214" s="1"/>
      <c r="H214" s="1"/>
      <c r="I214" s="59" t="s">
        <v>7</v>
      </c>
      <c r="J214" s="1"/>
      <c r="K214" s="1"/>
      <c r="L214" s="1"/>
      <c r="M214" s="59" t="s">
        <v>7</v>
      </c>
      <c r="N214" s="1"/>
      <c r="O214" s="1"/>
      <c r="P214" s="1"/>
      <c r="Q214" s="59" t="s">
        <v>7</v>
      </c>
      <c r="R214" s="59" t="s">
        <v>7</v>
      </c>
    </row>
    <row r="215" spans="1:20" ht="15.75" customHeight="1" x14ac:dyDescent="0.3">
      <c r="A215" s="17" t="s">
        <v>59</v>
      </c>
      <c r="B215" s="1"/>
      <c r="C215" s="1"/>
      <c r="D215" s="1"/>
      <c r="E215" s="59" t="s">
        <v>7</v>
      </c>
      <c r="F215" s="1"/>
      <c r="G215" s="1"/>
      <c r="H215" s="1"/>
      <c r="I215" s="59" t="s">
        <v>7</v>
      </c>
      <c r="J215" s="1"/>
      <c r="K215" s="1"/>
      <c r="L215" s="1"/>
      <c r="M215" s="59" t="s">
        <v>7</v>
      </c>
      <c r="N215" s="1"/>
      <c r="O215" s="1"/>
      <c r="P215" s="1"/>
      <c r="Q215" s="59" t="s">
        <v>7</v>
      </c>
      <c r="R215" s="59" t="s">
        <v>7</v>
      </c>
    </row>
    <row r="216" spans="1:20" ht="15.75" customHeight="1" x14ac:dyDescent="0.3">
      <c r="A216" s="17" t="s">
        <v>60</v>
      </c>
      <c r="B216" s="1"/>
      <c r="C216" s="1"/>
      <c r="D216" s="1"/>
      <c r="E216" s="59" t="s">
        <v>7</v>
      </c>
      <c r="F216" s="1"/>
      <c r="G216" s="1"/>
      <c r="H216" s="1"/>
      <c r="I216" s="59" t="s">
        <v>7</v>
      </c>
      <c r="J216" s="1"/>
      <c r="K216" s="1"/>
      <c r="L216" s="1"/>
      <c r="M216" s="59" t="s">
        <v>7</v>
      </c>
      <c r="N216" s="1"/>
      <c r="O216" s="1"/>
      <c r="P216" s="1"/>
      <c r="Q216" s="59" t="s">
        <v>7</v>
      </c>
      <c r="R216" s="59" t="s">
        <v>7</v>
      </c>
    </row>
    <row r="217" spans="1:20" ht="15.75" customHeight="1" x14ac:dyDescent="0.3">
      <c r="A217" s="102" t="s">
        <v>205</v>
      </c>
      <c r="B217" s="1">
        <v>315</v>
      </c>
      <c r="C217" s="1">
        <v>297</v>
      </c>
      <c r="D217" s="1">
        <v>382</v>
      </c>
      <c r="E217" s="59">
        <f t="shared" ref="E217:E222" si="41">SUM(B217:D217)</f>
        <v>994</v>
      </c>
      <c r="F217" s="1">
        <v>453</v>
      </c>
      <c r="G217" s="1">
        <v>507</v>
      </c>
      <c r="H217" s="1">
        <v>479</v>
      </c>
      <c r="I217" s="59">
        <f t="shared" ref="I217:I222" si="42">SUM(F217:H217)</f>
        <v>1439</v>
      </c>
      <c r="J217" s="1">
        <v>495</v>
      </c>
      <c r="K217" s="1">
        <v>495</v>
      </c>
      <c r="L217" s="1">
        <v>479</v>
      </c>
      <c r="M217" s="59">
        <f t="shared" ref="M217:M222" si="43">SUM(J217:L217)</f>
        <v>1469</v>
      </c>
      <c r="N217" s="1">
        <v>558</v>
      </c>
      <c r="O217" s="1">
        <v>392</v>
      </c>
      <c r="P217" s="1">
        <v>312</v>
      </c>
      <c r="Q217" s="59">
        <f t="shared" ref="Q217:Q222" si="44">SUM(N217:P217)</f>
        <v>1262</v>
      </c>
      <c r="R217" s="59">
        <f t="shared" ref="R217:R278" si="45">+E217+I217+M217+Q217</f>
        <v>5164</v>
      </c>
      <c r="T217" s="4" t="s">
        <v>206</v>
      </c>
    </row>
    <row r="218" spans="1:20" ht="15.75" customHeight="1" x14ac:dyDescent="0.3">
      <c r="A218" s="102" t="s">
        <v>207</v>
      </c>
      <c r="B218" s="1"/>
      <c r="C218" s="1"/>
      <c r="D218" s="1"/>
      <c r="E218" s="59">
        <f t="shared" si="41"/>
        <v>0</v>
      </c>
      <c r="F218" s="1">
        <v>1283</v>
      </c>
      <c r="G218" s="1"/>
      <c r="H218" s="1"/>
      <c r="I218" s="59">
        <f t="shared" si="42"/>
        <v>1283</v>
      </c>
      <c r="J218" s="1"/>
      <c r="K218" s="1"/>
      <c r="L218" s="1"/>
      <c r="M218" s="59">
        <f t="shared" si="43"/>
        <v>0</v>
      </c>
      <c r="N218" s="1"/>
      <c r="O218" s="1"/>
      <c r="P218" s="1"/>
      <c r="Q218" s="59">
        <f t="shared" si="44"/>
        <v>0</v>
      </c>
      <c r="R218" s="59">
        <f t="shared" si="45"/>
        <v>1283</v>
      </c>
      <c r="T218" s="4" t="s">
        <v>121</v>
      </c>
    </row>
    <row r="219" spans="1:20" ht="15.75" customHeight="1" x14ac:dyDescent="0.3">
      <c r="A219" s="76" t="s">
        <v>208</v>
      </c>
      <c r="B219" s="1"/>
      <c r="C219" s="1"/>
      <c r="D219" s="1"/>
      <c r="E219" s="59">
        <f t="shared" si="41"/>
        <v>0</v>
      </c>
      <c r="F219" s="1">
        <v>37</v>
      </c>
      <c r="G219" s="1">
        <v>78</v>
      </c>
      <c r="H219" s="1">
        <v>96</v>
      </c>
      <c r="I219" s="59">
        <f t="shared" si="42"/>
        <v>211</v>
      </c>
      <c r="J219" s="1">
        <v>90</v>
      </c>
      <c r="K219" s="1">
        <v>38</v>
      </c>
      <c r="L219" s="1">
        <v>21</v>
      </c>
      <c r="M219" s="59">
        <f t="shared" si="43"/>
        <v>149</v>
      </c>
      <c r="N219" s="1">
        <v>15</v>
      </c>
      <c r="O219" s="1">
        <v>15</v>
      </c>
      <c r="P219" s="1">
        <v>11</v>
      </c>
      <c r="Q219" s="59">
        <f t="shared" si="44"/>
        <v>41</v>
      </c>
      <c r="R219" s="59">
        <f t="shared" si="45"/>
        <v>401</v>
      </c>
    </row>
    <row r="220" spans="1:20" ht="15.75" customHeight="1" x14ac:dyDescent="0.3">
      <c r="A220" s="102" t="s">
        <v>879</v>
      </c>
      <c r="B220" s="1">
        <v>4</v>
      </c>
      <c r="C220" s="1">
        <v>14</v>
      </c>
      <c r="D220" s="1">
        <v>37</v>
      </c>
      <c r="E220" s="59">
        <f t="shared" si="41"/>
        <v>55</v>
      </c>
      <c r="F220" s="1">
        <v>65</v>
      </c>
      <c r="G220" s="1">
        <v>85</v>
      </c>
      <c r="H220" s="1">
        <v>211</v>
      </c>
      <c r="I220" s="59">
        <f t="shared" si="42"/>
        <v>361</v>
      </c>
      <c r="J220" s="1">
        <v>193</v>
      </c>
      <c r="K220" s="1">
        <v>128</v>
      </c>
      <c r="L220" s="1">
        <v>79</v>
      </c>
      <c r="M220" s="59">
        <f t="shared" si="43"/>
        <v>400</v>
      </c>
      <c r="N220" s="1">
        <v>63</v>
      </c>
      <c r="O220" s="1">
        <v>44</v>
      </c>
      <c r="P220" s="1">
        <v>38</v>
      </c>
      <c r="Q220" s="59">
        <f t="shared" si="44"/>
        <v>145</v>
      </c>
      <c r="R220" s="59">
        <f t="shared" si="45"/>
        <v>961</v>
      </c>
      <c r="T220" s="4" t="s">
        <v>127</v>
      </c>
    </row>
    <row r="221" spans="1:20" ht="15.75" customHeight="1" x14ac:dyDescent="0.3">
      <c r="A221" s="102" t="s">
        <v>210</v>
      </c>
      <c r="B221" s="1"/>
      <c r="C221" s="1"/>
      <c r="D221" s="1"/>
      <c r="E221" s="59">
        <f t="shared" si="41"/>
        <v>0</v>
      </c>
      <c r="F221" s="1"/>
      <c r="G221" s="1"/>
      <c r="H221" s="1"/>
      <c r="I221" s="59">
        <f t="shared" si="42"/>
        <v>0</v>
      </c>
      <c r="J221" s="1">
        <v>786</v>
      </c>
      <c r="K221" s="1"/>
      <c r="L221" s="1"/>
      <c r="M221" s="59">
        <f t="shared" si="43"/>
        <v>786</v>
      </c>
      <c r="N221" s="1">
        <v>400</v>
      </c>
      <c r="O221" s="1"/>
      <c r="P221" s="1"/>
      <c r="Q221" s="59">
        <f t="shared" si="44"/>
        <v>400</v>
      </c>
      <c r="R221" s="59">
        <f>+E221+I221+M221+Q221</f>
        <v>1186</v>
      </c>
      <c r="T221" s="4" t="s">
        <v>134</v>
      </c>
    </row>
    <row r="222" spans="1:20" ht="15.75" customHeight="1" x14ac:dyDescent="0.3">
      <c r="A222" s="76" t="s">
        <v>212</v>
      </c>
      <c r="B222" s="1"/>
      <c r="C222" s="1"/>
      <c r="D222" s="1"/>
      <c r="E222" s="59">
        <f t="shared" si="41"/>
        <v>0</v>
      </c>
      <c r="F222" s="1"/>
      <c r="G222" s="1"/>
      <c r="H222" s="1">
        <v>621</v>
      </c>
      <c r="I222" s="59">
        <f t="shared" si="42"/>
        <v>621</v>
      </c>
      <c r="J222" s="1"/>
      <c r="K222" s="1"/>
      <c r="L222" s="1"/>
      <c r="M222" s="59">
        <f t="shared" si="43"/>
        <v>0</v>
      </c>
      <c r="N222" s="1"/>
      <c r="O222" s="1"/>
      <c r="P222" s="1"/>
      <c r="Q222" s="59">
        <f t="shared" si="44"/>
        <v>0</v>
      </c>
      <c r="R222" s="59">
        <f>+E222+I222+M222+Q222</f>
        <v>621</v>
      </c>
      <c r="S222" s="94"/>
      <c r="T222" s="4" t="s">
        <v>137</v>
      </c>
    </row>
    <row r="223" spans="1:20" ht="15.75" customHeight="1" x14ac:dyDescent="0.3">
      <c r="A223" s="76" t="s">
        <v>215</v>
      </c>
      <c r="B223" s="1">
        <v>248</v>
      </c>
      <c r="C223" s="1">
        <v>454</v>
      </c>
      <c r="D223" s="1"/>
      <c r="E223" s="59">
        <f t="shared" ref="E223:E276" si="46">SUM(B223:D223)</f>
        <v>702</v>
      </c>
      <c r="F223" s="1"/>
      <c r="G223" s="1"/>
      <c r="H223" s="1"/>
      <c r="I223" s="59">
        <f t="shared" ref="I223:I276" si="47">SUM(F223:H223)</f>
        <v>0</v>
      </c>
      <c r="J223" s="1"/>
      <c r="K223" s="1"/>
      <c r="L223" s="1"/>
      <c r="M223" s="59">
        <f t="shared" ref="M223:M276" si="48">SUM(J223:L223)</f>
        <v>0</v>
      </c>
      <c r="N223" s="1"/>
      <c r="O223" s="1"/>
      <c r="P223" s="1"/>
      <c r="Q223" s="59">
        <f t="shared" ref="Q223:Q276" si="49">SUM(N223:P223)</f>
        <v>0</v>
      </c>
      <c r="R223" s="59">
        <f t="shared" si="45"/>
        <v>702</v>
      </c>
      <c r="S223" s="4" t="s">
        <v>136</v>
      </c>
    </row>
    <row r="224" spans="1:20" ht="15.75" customHeight="1" x14ac:dyDescent="0.3">
      <c r="A224" s="103" t="s">
        <v>216</v>
      </c>
      <c r="B224" s="1">
        <v>495</v>
      </c>
      <c r="C224" s="1">
        <v>340</v>
      </c>
      <c r="D224" s="1"/>
      <c r="E224" s="59">
        <f t="shared" ref="E224" si="50">SUM(B224:D224)</f>
        <v>835</v>
      </c>
      <c r="F224" s="1"/>
      <c r="G224" s="1"/>
      <c r="H224" s="1"/>
      <c r="I224" s="59">
        <f t="shared" si="47"/>
        <v>0</v>
      </c>
      <c r="J224" s="1"/>
      <c r="K224" s="1"/>
      <c r="L224" s="1"/>
      <c r="M224" s="59">
        <f t="shared" si="48"/>
        <v>0</v>
      </c>
      <c r="N224" s="1"/>
      <c r="O224" s="1"/>
      <c r="P224" s="1"/>
      <c r="Q224" s="59">
        <f t="shared" si="49"/>
        <v>0</v>
      </c>
      <c r="R224" s="59">
        <f>+E224+I224+M224+Q224</f>
        <v>835</v>
      </c>
      <c r="T224" s="4" t="s">
        <v>217</v>
      </c>
    </row>
    <row r="225" spans="1:20" ht="15.75" customHeight="1" x14ac:dyDescent="0.3">
      <c r="A225" s="76" t="s">
        <v>218</v>
      </c>
      <c r="B225" s="1">
        <v>682</v>
      </c>
      <c r="C225" s="1"/>
      <c r="D225" s="1"/>
      <c r="E225" s="59">
        <f>SUM(B225:D225)</f>
        <v>682</v>
      </c>
      <c r="F225" s="1"/>
      <c r="G225" s="1"/>
      <c r="H225" s="1"/>
      <c r="I225" s="59">
        <f>SUM(F225:H225)</f>
        <v>0</v>
      </c>
      <c r="J225" s="1"/>
      <c r="K225" s="1"/>
      <c r="L225" s="1"/>
      <c r="M225" s="59">
        <f>SUM(J225:L225)</f>
        <v>0</v>
      </c>
      <c r="N225" s="1"/>
      <c r="O225" s="1"/>
      <c r="P225" s="1"/>
      <c r="Q225" s="59">
        <f>SUM(N225:P225)</f>
        <v>0</v>
      </c>
      <c r="R225" s="59">
        <f t="shared" si="45"/>
        <v>682</v>
      </c>
      <c r="T225" s="4" t="s">
        <v>158</v>
      </c>
    </row>
    <row r="226" spans="1:20" ht="15.75" customHeight="1" x14ac:dyDescent="0.3">
      <c r="A226" s="76" t="s">
        <v>393</v>
      </c>
      <c r="B226" s="1"/>
      <c r="C226" s="1"/>
      <c r="D226" s="1"/>
      <c r="E226" s="59">
        <f t="shared" si="46"/>
        <v>0</v>
      </c>
      <c r="F226" s="1"/>
      <c r="G226" s="1"/>
      <c r="H226" s="1"/>
      <c r="I226" s="59">
        <f t="shared" si="47"/>
        <v>0</v>
      </c>
      <c r="J226" s="1"/>
      <c r="K226" s="1"/>
      <c r="L226" s="1"/>
      <c r="M226" s="59">
        <f t="shared" si="48"/>
        <v>0</v>
      </c>
      <c r="N226" s="1"/>
      <c r="O226" s="1"/>
      <c r="P226" s="1"/>
      <c r="Q226" s="59">
        <f t="shared" si="49"/>
        <v>0</v>
      </c>
      <c r="R226" s="59">
        <f t="shared" si="45"/>
        <v>0</v>
      </c>
    </row>
    <row r="227" spans="1:20" ht="15.75" customHeight="1" x14ac:dyDescent="0.3">
      <c r="A227" s="76" t="s">
        <v>220</v>
      </c>
      <c r="B227" s="1">
        <v>1136</v>
      </c>
      <c r="C227" s="1"/>
      <c r="D227" s="1"/>
      <c r="E227" s="59">
        <f t="shared" si="46"/>
        <v>1136</v>
      </c>
      <c r="F227" s="1"/>
      <c r="G227" s="1"/>
      <c r="H227" s="1"/>
      <c r="I227" s="59">
        <f t="shared" si="47"/>
        <v>0</v>
      </c>
      <c r="J227" s="1"/>
      <c r="K227" s="1"/>
      <c r="L227" s="1"/>
      <c r="M227" s="59">
        <f t="shared" si="48"/>
        <v>0</v>
      </c>
      <c r="N227" s="1"/>
      <c r="O227" s="1"/>
      <c r="P227" s="1"/>
      <c r="Q227" s="59">
        <f t="shared" si="49"/>
        <v>0</v>
      </c>
      <c r="R227" s="59">
        <f t="shared" si="45"/>
        <v>1136</v>
      </c>
    </row>
    <row r="228" spans="1:20" ht="15.75" customHeight="1" x14ac:dyDescent="0.3">
      <c r="A228" s="76" t="s">
        <v>221</v>
      </c>
      <c r="B228" s="1">
        <v>23</v>
      </c>
      <c r="C228" s="1"/>
      <c r="D228" s="1"/>
      <c r="E228" s="59">
        <f t="shared" si="46"/>
        <v>23</v>
      </c>
      <c r="F228" s="1"/>
      <c r="G228" s="1"/>
      <c r="H228" s="1"/>
      <c r="I228" s="59">
        <f t="shared" si="47"/>
        <v>0</v>
      </c>
      <c r="J228" s="1"/>
      <c r="K228" s="1"/>
      <c r="L228" s="1"/>
      <c r="M228" s="59">
        <f t="shared" si="48"/>
        <v>0</v>
      </c>
      <c r="N228" s="1"/>
      <c r="O228" s="1"/>
      <c r="P228" s="1"/>
      <c r="Q228" s="59">
        <f t="shared" si="49"/>
        <v>0</v>
      </c>
      <c r="R228" s="59">
        <f t="shared" si="45"/>
        <v>23</v>
      </c>
    </row>
    <row r="229" spans="1:20" ht="15.75" customHeight="1" x14ac:dyDescent="0.3">
      <c r="A229" s="76" t="s">
        <v>222</v>
      </c>
      <c r="B229" s="1">
        <v>23</v>
      </c>
      <c r="C229" s="1"/>
      <c r="D229" s="1"/>
      <c r="E229" s="59">
        <f t="shared" si="46"/>
        <v>23</v>
      </c>
      <c r="F229" s="1"/>
      <c r="G229" s="1"/>
      <c r="H229" s="1"/>
      <c r="I229" s="59">
        <f t="shared" si="47"/>
        <v>0</v>
      </c>
      <c r="J229" s="1"/>
      <c r="K229" s="1"/>
      <c r="L229" s="1"/>
      <c r="M229" s="59">
        <f t="shared" si="48"/>
        <v>0</v>
      </c>
      <c r="N229" s="1"/>
      <c r="O229" s="1"/>
      <c r="P229" s="1"/>
      <c r="Q229" s="59">
        <f t="shared" si="49"/>
        <v>0</v>
      </c>
      <c r="R229" s="59">
        <f t="shared" si="45"/>
        <v>23</v>
      </c>
      <c r="S229" s="4" t="s">
        <v>136</v>
      </c>
      <c r="T229" s="4" t="s">
        <v>137</v>
      </c>
    </row>
    <row r="230" spans="1:20" ht="15.75" customHeight="1" x14ac:dyDescent="0.3">
      <c r="A230" s="76" t="s">
        <v>223</v>
      </c>
      <c r="B230" s="1"/>
      <c r="C230" s="1"/>
      <c r="D230" s="1"/>
      <c r="E230" s="59">
        <f t="shared" si="46"/>
        <v>0</v>
      </c>
      <c r="F230" s="1"/>
      <c r="G230" s="1"/>
      <c r="H230" s="1"/>
      <c r="I230" s="59">
        <f t="shared" si="47"/>
        <v>0</v>
      </c>
      <c r="J230" s="1"/>
      <c r="K230" s="1"/>
      <c r="L230" s="1"/>
      <c r="M230" s="59">
        <f t="shared" si="48"/>
        <v>0</v>
      </c>
      <c r="N230" s="1"/>
      <c r="O230" s="1"/>
      <c r="P230" s="1"/>
      <c r="Q230" s="59">
        <f t="shared" si="49"/>
        <v>0</v>
      </c>
      <c r="R230" s="59">
        <f t="shared" si="45"/>
        <v>0</v>
      </c>
      <c r="S230" s="4" t="s">
        <v>136</v>
      </c>
      <c r="T230" s="4" t="s">
        <v>137</v>
      </c>
    </row>
    <row r="231" spans="1:20" ht="15.75" customHeight="1" x14ac:dyDescent="0.3">
      <c r="A231" s="76" t="s">
        <v>224</v>
      </c>
      <c r="B231" s="1"/>
      <c r="C231" s="1"/>
      <c r="D231" s="1"/>
      <c r="E231" s="59">
        <f t="shared" ref="E231" si="51">SUM(B231:D231)</f>
        <v>0</v>
      </c>
      <c r="F231" s="1">
        <v>855</v>
      </c>
      <c r="G231" s="1">
        <v>2190</v>
      </c>
      <c r="H231" s="1"/>
      <c r="I231" s="59">
        <f t="shared" si="47"/>
        <v>3045</v>
      </c>
      <c r="J231" s="1"/>
      <c r="K231" s="1"/>
      <c r="L231" s="1"/>
      <c r="M231" s="59">
        <f t="shared" si="48"/>
        <v>0</v>
      </c>
      <c r="N231" s="1"/>
      <c r="O231" s="1"/>
      <c r="P231" s="1"/>
      <c r="Q231" s="59">
        <f t="shared" si="49"/>
        <v>0</v>
      </c>
      <c r="R231" s="59">
        <f t="shared" si="45"/>
        <v>3045</v>
      </c>
    </row>
    <row r="232" spans="1:20" ht="15.75" customHeight="1" x14ac:dyDescent="0.3">
      <c r="A232" s="76" t="s">
        <v>225</v>
      </c>
      <c r="B232" s="1"/>
      <c r="C232" s="1"/>
      <c r="D232" s="1"/>
      <c r="E232" s="59">
        <f t="shared" si="46"/>
        <v>0</v>
      </c>
      <c r="F232" s="1">
        <v>255</v>
      </c>
      <c r="G232" s="1">
        <v>1000</v>
      </c>
      <c r="H232" s="1"/>
      <c r="I232" s="59">
        <f t="shared" si="47"/>
        <v>1255</v>
      </c>
      <c r="J232" s="1"/>
      <c r="K232" s="1"/>
      <c r="L232" s="1"/>
      <c r="M232" s="59">
        <f t="shared" si="48"/>
        <v>0</v>
      </c>
      <c r="N232" s="1"/>
      <c r="O232" s="1"/>
      <c r="P232" s="1"/>
      <c r="Q232" s="59">
        <f t="shared" si="49"/>
        <v>0</v>
      </c>
      <c r="R232" s="59">
        <f t="shared" si="45"/>
        <v>1255</v>
      </c>
    </row>
    <row r="233" spans="1:20" ht="15.75" customHeight="1" x14ac:dyDescent="0.3">
      <c r="A233" s="102" t="s">
        <v>226</v>
      </c>
      <c r="B233" s="1"/>
      <c r="C233" s="1"/>
      <c r="D233" s="1"/>
      <c r="E233" s="59">
        <f t="shared" si="46"/>
        <v>0</v>
      </c>
      <c r="F233" s="1"/>
      <c r="G233" s="1"/>
      <c r="H233" s="1"/>
      <c r="I233" s="59">
        <f t="shared" si="47"/>
        <v>0</v>
      </c>
      <c r="J233" s="1"/>
      <c r="K233" s="1"/>
      <c r="L233" s="1"/>
      <c r="M233" s="59">
        <f t="shared" si="48"/>
        <v>0</v>
      </c>
      <c r="N233" s="1"/>
      <c r="O233" s="1"/>
      <c r="P233" s="1"/>
      <c r="Q233" s="59">
        <f t="shared" si="49"/>
        <v>0</v>
      </c>
      <c r="R233" s="59">
        <f t="shared" si="45"/>
        <v>0</v>
      </c>
      <c r="T233" s="4" t="s">
        <v>121</v>
      </c>
    </row>
    <row r="234" spans="1:20" ht="15.75" customHeight="1" x14ac:dyDescent="0.3">
      <c r="A234" s="76" t="s">
        <v>227</v>
      </c>
      <c r="B234" s="1"/>
      <c r="C234" s="1"/>
      <c r="D234" s="1"/>
      <c r="E234" s="59">
        <f t="shared" si="46"/>
        <v>0</v>
      </c>
      <c r="F234" s="1"/>
      <c r="G234" s="1"/>
      <c r="H234" s="1"/>
      <c r="I234" s="59">
        <f t="shared" si="47"/>
        <v>0</v>
      </c>
      <c r="J234" s="1"/>
      <c r="K234" s="1"/>
      <c r="L234" s="1"/>
      <c r="M234" s="59">
        <f t="shared" si="48"/>
        <v>0</v>
      </c>
      <c r="N234" s="1"/>
      <c r="O234" s="1"/>
      <c r="P234" s="1"/>
      <c r="Q234" s="59">
        <f>SUM(N234:P234)</f>
        <v>0</v>
      </c>
      <c r="R234" s="59">
        <f>+E234+I234+M234+Q234</f>
        <v>0</v>
      </c>
      <c r="S234" s="94"/>
      <c r="T234" s="4" t="s">
        <v>137</v>
      </c>
    </row>
    <row r="235" spans="1:20" ht="15.75" customHeight="1" x14ac:dyDescent="0.3">
      <c r="A235" s="102" t="s">
        <v>228</v>
      </c>
      <c r="B235" s="1"/>
      <c r="C235" s="1">
        <v>238</v>
      </c>
      <c r="D235" s="1">
        <v>2032</v>
      </c>
      <c r="E235" s="59">
        <f t="shared" si="46"/>
        <v>2270</v>
      </c>
      <c r="F235" s="1">
        <v>3731</v>
      </c>
      <c r="G235" s="1">
        <v>999</v>
      </c>
      <c r="H235" s="1"/>
      <c r="I235" s="59">
        <f t="shared" si="47"/>
        <v>4730</v>
      </c>
      <c r="J235" s="1"/>
      <c r="K235" s="1"/>
      <c r="L235" s="1"/>
      <c r="M235" s="59">
        <f t="shared" si="48"/>
        <v>0</v>
      </c>
      <c r="N235" s="1"/>
      <c r="O235" s="1"/>
      <c r="P235" s="1"/>
      <c r="Q235" s="59">
        <f t="shared" si="49"/>
        <v>0</v>
      </c>
      <c r="R235" s="59">
        <f t="shared" si="45"/>
        <v>7000</v>
      </c>
    </row>
    <row r="236" spans="1:20" ht="15.75" customHeight="1" x14ac:dyDescent="0.3">
      <c r="A236" s="102" t="s">
        <v>229</v>
      </c>
      <c r="B236" s="1"/>
      <c r="C236" s="1"/>
      <c r="D236" s="1"/>
      <c r="E236" s="59">
        <f t="shared" si="46"/>
        <v>0</v>
      </c>
      <c r="F236" s="1"/>
      <c r="G236" s="1"/>
      <c r="H236" s="1"/>
      <c r="I236" s="59">
        <f t="shared" si="47"/>
        <v>0</v>
      </c>
      <c r="J236" s="1"/>
      <c r="K236" s="1"/>
      <c r="L236" s="1"/>
      <c r="M236" s="59">
        <f t="shared" si="48"/>
        <v>0</v>
      </c>
      <c r="N236" s="1"/>
      <c r="O236" s="1"/>
      <c r="P236" s="1"/>
      <c r="Q236" s="59">
        <f t="shared" si="49"/>
        <v>0</v>
      </c>
      <c r="R236" s="59">
        <f t="shared" si="45"/>
        <v>0</v>
      </c>
    </row>
    <row r="237" spans="1:20" ht="15.75" customHeight="1" x14ac:dyDescent="0.3">
      <c r="A237" s="102" t="s">
        <v>231</v>
      </c>
      <c r="B237" s="1"/>
      <c r="C237" s="1">
        <v>546</v>
      </c>
      <c r="D237" s="1">
        <v>1385</v>
      </c>
      <c r="E237" s="59">
        <f t="shared" si="46"/>
        <v>1931</v>
      </c>
      <c r="F237" s="1">
        <v>513</v>
      </c>
      <c r="G237" s="1">
        <v>524</v>
      </c>
      <c r="H237" s="1"/>
      <c r="I237" s="59">
        <f t="shared" si="47"/>
        <v>1037</v>
      </c>
      <c r="J237" s="1"/>
      <c r="K237" s="1"/>
      <c r="L237" s="1"/>
      <c r="M237" s="59">
        <f t="shared" si="48"/>
        <v>0</v>
      </c>
      <c r="N237" s="1"/>
      <c r="O237" s="1"/>
      <c r="P237" s="1"/>
      <c r="Q237" s="59">
        <f t="shared" si="49"/>
        <v>0</v>
      </c>
      <c r="R237" s="59">
        <f t="shared" si="45"/>
        <v>2968</v>
      </c>
    </row>
    <row r="238" spans="1:20" ht="15.75" customHeight="1" x14ac:dyDescent="0.3">
      <c r="A238" s="102" t="s">
        <v>232</v>
      </c>
      <c r="B238" s="1"/>
      <c r="C238" s="1">
        <v>280</v>
      </c>
      <c r="D238" s="1"/>
      <c r="E238" s="59">
        <f t="shared" si="46"/>
        <v>280</v>
      </c>
      <c r="F238" s="1"/>
      <c r="G238" s="1">
        <v>415</v>
      </c>
      <c r="H238" s="1"/>
      <c r="I238" s="59">
        <f t="shared" si="47"/>
        <v>415</v>
      </c>
      <c r="J238" s="1"/>
      <c r="K238" s="1"/>
      <c r="L238" s="1"/>
      <c r="M238" s="59">
        <f t="shared" si="48"/>
        <v>0</v>
      </c>
      <c r="N238" s="1"/>
      <c r="O238" s="1"/>
      <c r="P238" s="1"/>
      <c r="Q238" s="59">
        <f t="shared" si="49"/>
        <v>0</v>
      </c>
      <c r="R238" s="59">
        <f t="shared" si="45"/>
        <v>695</v>
      </c>
    </row>
    <row r="239" spans="1:20" ht="15.75" customHeight="1" x14ac:dyDescent="0.3">
      <c r="A239" s="76" t="s">
        <v>233</v>
      </c>
      <c r="B239" s="1">
        <v>694</v>
      </c>
      <c r="C239" s="1">
        <v>642</v>
      </c>
      <c r="D239" s="1">
        <v>768</v>
      </c>
      <c r="E239" s="59">
        <f t="shared" si="46"/>
        <v>2104</v>
      </c>
      <c r="F239" s="1">
        <v>863</v>
      </c>
      <c r="G239" s="1">
        <v>17</v>
      </c>
      <c r="H239" s="1"/>
      <c r="I239" s="59">
        <f t="shared" si="47"/>
        <v>880</v>
      </c>
      <c r="J239" s="1"/>
      <c r="K239" s="1"/>
      <c r="L239" s="1"/>
      <c r="M239" s="59">
        <f t="shared" si="48"/>
        <v>0</v>
      </c>
      <c r="N239" s="1"/>
      <c r="O239" s="1"/>
      <c r="P239" s="1"/>
      <c r="Q239" s="59">
        <f t="shared" si="49"/>
        <v>0</v>
      </c>
      <c r="R239" s="59">
        <f t="shared" si="45"/>
        <v>2984</v>
      </c>
    </row>
    <row r="240" spans="1:20" ht="15.75" customHeight="1" x14ac:dyDescent="0.3">
      <c r="A240" s="91" t="s">
        <v>234</v>
      </c>
      <c r="B240" s="1">
        <v>15</v>
      </c>
      <c r="C240" s="1">
        <v>20</v>
      </c>
      <c r="D240" s="1">
        <v>36</v>
      </c>
      <c r="E240" s="59">
        <f>SUM(B240:D240)</f>
        <v>71</v>
      </c>
      <c r="F240" s="1">
        <v>63</v>
      </c>
      <c r="G240" s="1">
        <v>68</v>
      </c>
      <c r="H240" s="1"/>
      <c r="I240" s="59">
        <f t="shared" si="47"/>
        <v>131</v>
      </c>
      <c r="J240" s="1"/>
      <c r="K240" s="1"/>
      <c r="L240" s="1"/>
      <c r="M240" s="59">
        <f t="shared" si="48"/>
        <v>0</v>
      </c>
      <c r="N240" s="1"/>
      <c r="O240" s="1"/>
      <c r="P240" s="1"/>
      <c r="Q240" s="59">
        <f t="shared" si="49"/>
        <v>0</v>
      </c>
      <c r="R240" s="59">
        <f t="shared" si="45"/>
        <v>202</v>
      </c>
    </row>
    <row r="241" spans="1:21" ht="15.75" customHeight="1" x14ac:dyDescent="0.3">
      <c r="A241" s="91" t="s">
        <v>235</v>
      </c>
      <c r="B241" s="1"/>
      <c r="C241" s="1"/>
      <c r="D241" s="1">
        <v>9</v>
      </c>
      <c r="E241" s="59">
        <f>SUM(B241:D241)</f>
        <v>9</v>
      </c>
      <c r="F241" s="1">
        <v>65</v>
      </c>
      <c r="G241" s="1">
        <v>65</v>
      </c>
      <c r="H241" s="1"/>
      <c r="I241" s="59">
        <f t="shared" si="47"/>
        <v>130</v>
      </c>
      <c r="J241" s="1"/>
      <c r="K241" s="1"/>
      <c r="L241" s="1"/>
      <c r="M241" s="59">
        <f t="shared" si="48"/>
        <v>0</v>
      </c>
      <c r="N241" s="1"/>
      <c r="O241" s="1"/>
      <c r="P241" s="1"/>
      <c r="Q241" s="59">
        <f t="shared" si="49"/>
        <v>0</v>
      </c>
      <c r="R241" s="59">
        <f t="shared" si="45"/>
        <v>139</v>
      </c>
    </row>
    <row r="242" spans="1:21" ht="15.75" customHeight="1" x14ac:dyDescent="0.3">
      <c r="A242" s="91" t="s">
        <v>236</v>
      </c>
      <c r="B242" s="1"/>
      <c r="C242" s="1"/>
      <c r="D242" s="1">
        <v>3</v>
      </c>
      <c r="E242" s="59">
        <f>SUM(B242:D242)</f>
        <v>3</v>
      </c>
      <c r="F242" s="1">
        <v>9</v>
      </c>
      <c r="G242" s="1"/>
      <c r="H242" s="1"/>
      <c r="I242" s="59">
        <f t="shared" si="47"/>
        <v>9</v>
      </c>
      <c r="J242" s="1"/>
      <c r="K242" s="1"/>
      <c r="L242" s="1"/>
      <c r="M242" s="59">
        <f t="shared" si="48"/>
        <v>0</v>
      </c>
      <c r="N242" s="1"/>
      <c r="O242" s="1"/>
      <c r="P242" s="1"/>
      <c r="Q242" s="59">
        <f t="shared" si="49"/>
        <v>0</v>
      </c>
      <c r="R242" s="59">
        <f t="shared" si="45"/>
        <v>12</v>
      </c>
      <c r="T242" s="4" t="s">
        <v>121</v>
      </c>
    </row>
    <row r="243" spans="1:21" ht="15.75" customHeight="1" x14ac:dyDescent="0.3">
      <c r="A243" s="76" t="s">
        <v>237</v>
      </c>
      <c r="B243" s="1"/>
      <c r="C243" s="1"/>
      <c r="D243" s="1"/>
      <c r="E243" s="59">
        <f t="shared" ref="E243" si="52">SUM(B243:D243)</f>
        <v>0</v>
      </c>
      <c r="F243" s="1"/>
      <c r="G243" s="1"/>
      <c r="H243" s="1"/>
      <c r="I243" s="59">
        <f t="shared" ref="I243" si="53">SUM(F243:H243)</f>
        <v>0</v>
      </c>
      <c r="J243" s="1"/>
      <c r="K243" s="1"/>
      <c r="L243" s="1"/>
      <c r="M243" s="59">
        <f t="shared" ref="M243" si="54">SUM(J243:L243)</f>
        <v>0</v>
      </c>
      <c r="N243" s="1"/>
      <c r="O243" s="1"/>
      <c r="P243" s="1"/>
      <c r="Q243" s="59">
        <f t="shared" ref="Q243" si="55">SUM(N243:P243)</f>
        <v>0</v>
      </c>
      <c r="R243" s="59">
        <f t="shared" si="45"/>
        <v>0</v>
      </c>
      <c r="S243" s="105" t="s">
        <v>136</v>
      </c>
    </row>
    <row r="244" spans="1:21" ht="15.75" customHeight="1" x14ac:dyDescent="0.3">
      <c r="A244" s="76" t="s">
        <v>238</v>
      </c>
      <c r="B244" s="1"/>
      <c r="C244" s="1"/>
      <c r="D244" s="1"/>
      <c r="E244" s="59">
        <f t="shared" si="46"/>
        <v>0</v>
      </c>
      <c r="F244" s="1"/>
      <c r="G244" s="1">
        <v>10342</v>
      </c>
      <c r="H244" s="1"/>
      <c r="I244" s="59">
        <f t="shared" si="47"/>
        <v>10342</v>
      </c>
      <c r="J244" s="1"/>
      <c r="K244" s="1"/>
      <c r="L244" s="1"/>
      <c r="M244" s="59">
        <f t="shared" si="48"/>
        <v>0</v>
      </c>
      <c r="N244" s="1"/>
      <c r="O244" s="1"/>
      <c r="P244" s="1"/>
      <c r="Q244" s="59">
        <f t="shared" si="49"/>
        <v>0</v>
      </c>
      <c r="R244" s="59">
        <f t="shared" si="45"/>
        <v>10342</v>
      </c>
      <c r="S244" s="4" t="s">
        <v>136</v>
      </c>
    </row>
    <row r="245" spans="1:21" ht="15.75" customHeight="1" x14ac:dyDescent="0.3">
      <c r="A245" s="76" t="s">
        <v>239</v>
      </c>
      <c r="B245" s="1"/>
      <c r="C245" s="1"/>
      <c r="D245" s="1"/>
      <c r="E245" s="59">
        <f t="shared" si="46"/>
        <v>0</v>
      </c>
      <c r="F245" s="1">
        <f>4205+359+112</f>
        <v>4676</v>
      </c>
      <c r="G245" s="1">
        <v>621</v>
      </c>
      <c r="H245" s="1"/>
      <c r="I245" s="59">
        <f t="shared" si="47"/>
        <v>5297</v>
      </c>
      <c r="J245" s="1"/>
      <c r="K245" s="1"/>
      <c r="L245" s="1"/>
      <c r="M245" s="59">
        <f t="shared" si="48"/>
        <v>0</v>
      </c>
      <c r="N245" s="1"/>
      <c r="O245" s="1"/>
      <c r="P245" s="1"/>
      <c r="Q245" s="59">
        <f t="shared" si="49"/>
        <v>0</v>
      </c>
      <c r="R245" s="59">
        <f t="shared" si="45"/>
        <v>5297</v>
      </c>
      <c r="S245" s="4" t="s">
        <v>136</v>
      </c>
    </row>
    <row r="246" spans="1:21" ht="15.75" customHeight="1" x14ac:dyDescent="0.3">
      <c r="A246" s="76" t="s">
        <v>240</v>
      </c>
      <c r="B246" s="1"/>
      <c r="C246" s="1"/>
      <c r="D246" s="1"/>
      <c r="E246" s="59">
        <f t="shared" si="46"/>
        <v>0</v>
      </c>
      <c r="F246" s="1"/>
      <c r="G246" s="1">
        <v>233</v>
      </c>
      <c r="H246" s="1"/>
      <c r="I246" s="59">
        <f t="shared" si="47"/>
        <v>233</v>
      </c>
      <c r="J246" s="1"/>
      <c r="K246" s="1"/>
      <c r="L246" s="1"/>
      <c r="M246" s="59">
        <f t="shared" si="48"/>
        <v>0</v>
      </c>
      <c r="N246" s="1"/>
      <c r="O246" s="1"/>
      <c r="P246" s="1"/>
      <c r="Q246" s="59">
        <f>SUM(N246:P246)</f>
        <v>0</v>
      </c>
      <c r="R246" s="59">
        <f t="shared" si="45"/>
        <v>233</v>
      </c>
    </row>
    <row r="247" spans="1:21" ht="15.75" customHeight="1" x14ac:dyDescent="0.3">
      <c r="A247" s="76" t="s">
        <v>241</v>
      </c>
      <c r="B247" s="1"/>
      <c r="C247" s="1"/>
      <c r="D247" s="1"/>
      <c r="E247" s="59">
        <f t="shared" si="46"/>
        <v>0</v>
      </c>
      <c r="F247" s="1">
        <v>600</v>
      </c>
      <c r="G247" s="1">
        <f>500+149</f>
        <v>649</v>
      </c>
      <c r="H247" s="1"/>
      <c r="I247" s="59">
        <f t="shared" si="47"/>
        <v>1249</v>
      </c>
      <c r="J247" s="1"/>
      <c r="K247" s="1"/>
      <c r="L247" s="1"/>
      <c r="M247" s="59">
        <f t="shared" si="48"/>
        <v>0</v>
      </c>
      <c r="N247" s="1"/>
      <c r="O247" s="1"/>
      <c r="P247" s="1"/>
      <c r="Q247" s="59">
        <f t="shared" si="49"/>
        <v>0</v>
      </c>
      <c r="R247" s="59">
        <f t="shared" si="45"/>
        <v>1249</v>
      </c>
      <c r="S247" s="4" t="s">
        <v>136</v>
      </c>
      <c r="T247" s="4" t="s">
        <v>137</v>
      </c>
    </row>
    <row r="248" spans="1:21" ht="15.75" customHeight="1" x14ac:dyDescent="0.3">
      <c r="A248" s="76" t="s">
        <v>242</v>
      </c>
      <c r="B248" s="1"/>
      <c r="C248" s="1"/>
      <c r="D248" s="1"/>
      <c r="E248" s="59">
        <f t="shared" si="46"/>
        <v>0</v>
      </c>
      <c r="F248" s="1"/>
      <c r="G248" s="1"/>
      <c r="H248" s="1">
        <v>636</v>
      </c>
      <c r="I248" s="59">
        <f t="shared" si="47"/>
        <v>636</v>
      </c>
      <c r="J248" s="1">
        <v>800</v>
      </c>
      <c r="K248" s="1"/>
      <c r="L248" s="1"/>
      <c r="M248" s="59">
        <f t="shared" si="48"/>
        <v>800</v>
      </c>
      <c r="N248" s="1"/>
      <c r="O248" s="1"/>
      <c r="P248" s="1"/>
      <c r="Q248" s="59">
        <f t="shared" si="49"/>
        <v>0</v>
      </c>
      <c r="R248" s="59">
        <f t="shared" si="45"/>
        <v>1436</v>
      </c>
      <c r="S248" s="106" t="s">
        <v>136</v>
      </c>
      <c r="T248" s="106" t="s">
        <v>137</v>
      </c>
      <c r="U248" s="106"/>
    </row>
    <row r="249" spans="1:21" ht="15.75" customHeight="1" x14ac:dyDescent="0.3">
      <c r="A249" s="76" t="s">
        <v>243</v>
      </c>
      <c r="B249" s="1"/>
      <c r="C249" s="1"/>
      <c r="D249" s="1">
        <v>1641</v>
      </c>
      <c r="E249" s="59">
        <f>SUM(B249:D249)</f>
        <v>1641</v>
      </c>
      <c r="F249" s="1">
        <v>173</v>
      </c>
      <c r="G249" s="1"/>
      <c r="H249" s="1"/>
      <c r="I249" s="59">
        <f>SUM(F249:H249)</f>
        <v>173</v>
      </c>
      <c r="J249" s="1"/>
      <c r="K249" s="1"/>
      <c r="L249" s="1"/>
      <c r="M249" s="59">
        <f t="shared" si="48"/>
        <v>0</v>
      </c>
      <c r="N249" s="1"/>
      <c r="O249" s="1"/>
      <c r="P249" s="1"/>
      <c r="Q249" s="59">
        <f t="shared" si="49"/>
        <v>0</v>
      </c>
      <c r="R249" s="59">
        <f t="shared" si="45"/>
        <v>1814</v>
      </c>
      <c r="T249" s="4" t="s">
        <v>244</v>
      </c>
    </row>
    <row r="250" spans="1:21" ht="15.75" customHeight="1" x14ac:dyDescent="0.3">
      <c r="A250" s="91" t="s">
        <v>245</v>
      </c>
      <c r="B250" s="1"/>
      <c r="C250" s="1"/>
      <c r="D250" s="1"/>
      <c r="E250" s="59">
        <f>SUM(B250:D250)</f>
        <v>0</v>
      </c>
      <c r="F250" s="1"/>
      <c r="G250" s="1"/>
      <c r="H250" s="1"/>
      <c r="I250" s="59">
        <f>SUM(F250:H250)</f>
        <v>0</v>
      </c>
      <c r="J250" s="1"/>
      <c r="K250" s="1"/>
      <c r="L250" s="1"/>
      <c r="M250" s="59">
        <f t="shared" si="48"/>
        <v>0</v>
      </c>
      <c r="N250" s="1"/>
      <c r="O250" s="1"/>
      <c r="P250" s="1"/>
      <c r="Q250" s="59">
        <f>SUM(N250:P250)</f>
        <v>0</v>
      </c>
      <c r="R250" s="59">
        <f>+E250+I250+M250+Q250</f>
        <v>0</v>
      </c>
      <c r="T250" s="4" t="s">
        <v>134</v>
      </c>
    </row>
    <row r="251" spans="1:21" ht="15.75" customHeight="1" x14ac:dyDescent="0.3">
      <c r="A251" s="76" t="s">
        <v>436</v>
      </c>
      <c r="B251" s="1"/>
      <c r="C251" s="1"/>
      <c r="D251" s="1"/>
      <c r="E251" s="59">
        <f t="shared" si="46"/>
        <v>0</v>
      </c>
      <c r="F251" s="1"/>
      <c r="G251" s="1"/>
      <c r="H251" s="1"/>
      <c r="I251" s="59">
        <f t="shared" si="47"/>
        <v>0</v>
      </c>
      <c r="J251" s="1"/>
      <c r="K251" s="1"/>
      <c r="L251" s="1"/>
      <c r="M251" s="59">
        <f t="shared" si="48"/>
        <v>0</v>
      </c>
      <c r="N251" s="1"/>
      <c r="O251" s="1"/>
      <c r="P251" s="1"/>
      <c r="Q251" s="59">
        <f t="shared" si="49"/>
        <v>0</v>
      </c>
      <c r="R251" s="59">
        <f t="shared" si="45"/>
        <v>0</v>
      </c>
    </row>
    <row r="252" spans="1:21" ht="15.75" customHeight="1" x14ac:dyDescent="0.3">
      <c r="A252" s="76" t="s">
        <v>246</v>
      </c>
      <c r="B252" s="1"/>
      <c r="C252" s="1"/>
      <c r="D252" s="1"/>
      <c r="E252" s="59">
        <f t="shared" si="46"/>
        <v>0</v>
      </c>
      <c r="F252" s="1">
        <v>3023</v>
      </c>
      <c r="G252" s="1"/>
      <c r="H252" s="1"/>
      <c r="I252" s="59">
        <f t="shared" si="47"/>
        <v>3023</v>
      </c>
      <c r="J252" s="1"/>
      <c r="K252" s="1"/>
      <c r="L252" s="1"/>
      <c r="M252" s="59">
        <f t="shared" si="48"/>
        <v>0</v>
      </c>
      <c r="N252" s="1"/>
      <c r="O252" s="1"/>
      <c r="P252" s="1"/>
      <c r="Q252" s="59">
        <f t="shared" si="49"/>
        <v>0</v>
      </c>
      <c r="R252" s="59">
        <f t="shared" si="45"/>
        <v>3023</v>
      </c>
    </row>
    <row r="253" spans="1:21" ht="15.75" customHeight="1" x14ac:dyDescent="0.3">
      <c r="A253" s="76" t="s">
        <v>247</v>
      </c>
      <c r="B253" s="1"/>
      <c r="C253" s="1"/>
      <c r="D253" s="1"/>
      <c r="E253" s="59">
        <f t="shared" si="46"/>
        <v>0</v>
      </c>
      <c r="F253" s="1"/>
      <c r="G253" s="1"/>
      <c r="H253" s="1"/>
      <c r="I253" s="59">
        <f t="shared" si="47"/>
        <v>0</v>
      </c>
      <c r="J253" s="1"/>
      <c r="K253" s="1"/>
      <c r="L253" s="1"/>
      <c r="M253" s="59">
        <f t="shared" si="48"/>
        <v>0</v>
      </c>
      <c r="N253" s="1"/>
      <c r="O253" s="1"/>
      <c r="P253" s="1"/>
      <c r="Q253" s="59">
        <f t="shared" si="49"/>
        <v>0</v>
      </c>
      <c r="R253" s="59">
        <f t="shared" si="45"/>
        <v>0</v>
      </c>
    </row>
    <row r="254" spans="1:21" ht="15.75" customHeight="1" x14ac:dyDescent="0.3">
      <c r="A254" s="76" t="s">
        <v>248</v>
      </c>
      <c r="B254" s="1">
        <v>60</v>
      </c>
      <c r="C254" s="1"/>
      <c r="D254" s="1"/>
      <c r="E254" s="59">
        <f t="shared" si="46"/>
        <v>60</v>
      </c>
      <c r="F254" s="1"/>
      <c r="G254" s="1"/>
      <c r="H254" s="1"/>
      <c r="I254" s="59">
        <f t="shared" si="47"/>
        <v>0</v>
      </c>
      <c r="J254" s="1"/>
      <c r="K254" s="1"/>
      <c r="L254" s="1"/>
      <c r="M254" s="59">
        <f t="shared" si="48"/>
        <v>0</v>
      </c>
      <c r="N254" s="1"/>
      <c r="O254" s="1"/>
      <c r="P254" s="1"/>
      <c r="Q254" s="59">
        <f t="shared" si="49"/>
        <v>0</v>
      </c>
      <c r="R254" s="59">
        <f t="shared" si="45"/>
        <v>60</v>
      </c>
    </row>
    <row r="255" spans="1:21" ht="15.75" customHeight="1" x14ac:dyDescent="0.3">
      <c r="A255" s="76" t="s">
        <v>249</v>
      </c>
      <c r="B255" s="1">
        <v>60</v>
      </c>
      <c r="C255" s="1"/>
      <c r="D255" s="1"/>
      <c r="E255" s="59">
        <f t="shared" si="46"/>
        <v>60</v>
      </c>
      <c r="F255" s="1"/>
      <c r="G255" s="1"/>
      <c r="H255" s="1"/>
      <c r="I255" s="59">
        <f t="shared" si="47"/>
        <v>0</v>
      </c>
      <c r="J255" s="1"/>
      <c r="K255" s="1"/>
      <c r="L255" s="1"/>
      <c r="M255" s="59">
        <f t="shared" si="48"/>
        <v>0</v>
      </c>
      <c r="N255" s="1"/>
      <c r="O255" s="1"/>
      <c r="P255" s="1"/>
      <c r="Q255" s="59">
        <f t="shared" si="49"/>
        <v>0</v>
      </c>
      <c r="R255" s="59">
        <f t="shared" si="45"/>
        <v>60</v>
      </c>
      <c r="S255" s="4" t="s">
        <v>136</v>
      </c>
      <c r="T255" s="4" t="s">
        <v>137</v>
      </c>
    </row>
    <row r="256" spans="1:21" ht="15.75" customHeight="1" x14ac:dyDescent="0.3">
      <c r="A256" s="76" t="s">
        <v>250</v>
      </c>
      <c r="B256" s="1"/>
      <c r="C256" s="1"/>
      <c r="D256" s="1"/>
      <c r="E256" s="59">
        <f t="shared" si="46"/>
        <v>0</v>
      </c>
      <c r="F256" s="1"/>
      <c r="G256" s="1"/>
      <c r="H256" s="1"/>
      <c r="I256" s="59">
        <f t="shared" si="47"/>
        <v>0</v>
      </c>
      <c r="J256" s="1"/>
      <c r="K256" s="1"/>
      <c r="L256" s="1"/>
      <c r="M256" s="59">
        <f t="shared" si="48"/>
        <v>0</v>
      </c>
      <c r="N256" s="1"/>
      <c r="O256" s="1"/>
      <c r="P256" s="1"/>
      <c r="Q256" s="59">
        <f t="shared" si="49"/>
        <v>0</v>
      </c>
      <c r="R256" s="59">
        <f t="shared" si="45"/>
        <v>0</v>
      </c>
      <c r="T256" s="4" t="s">
        <v>137</v>
      </c>
    </row>
    <row r="257" spans="1:20" ht="15.75" customHeight="1" x14ac:dyDescent="0.3">
      <c r="A257" s="317" t="s">
        <v>910</v>
      </c>
      <c r="B257" s="1"/>
      <c r="C257" s="1"/>
      <c r="D257" s="1"/>
      <c r="E257" s="59">
        <f t="shared" ref="E257" si="56">SUM(B257:D257)</f>
        <v>0</v>
      </c>
      <c r="F257" s="1"/>
      <c r="G257" s="1"/>
      <c r="H257" s="1">
        <v>2926</v>
      </c>
      <c r="I257" s="59">
        <f t="shared" ref="I257" si="57">SUM(F257:H257)</f>
        <v>2926</v>
      </c>
      <c r="J257" s="1">
        <v>1462</v>
      </c>
      <c r="K257" s="1">
        <v>962</v>
      </c>
      <c r="L257" s="1">
        <v>962</v>
      </c>
      <c r="M257" s="59">
        <f t="shared" ref="M257" si="58">SUM(J257:L257)</f>
        <v>3386</v>
      </c>
      <c r="N257" s="1"/>
      <c r="O257" s="1"/>
      <c r="P257" s="1"/>
      <c r="Q257" s="59">
        <f t="shared" ref="Q257" si="59">SUM(N257:P257)</f>
        <v>0</v>
      </c>
      <c r="R257" s="59">
        <f t="shared" si="45"/>
        <v>6312</v>
      </c>
      <c r="S257" s="4" t="s">
        <v>136</v>
      </c>
      <c r="T257" s="4" t="s">
        <v>137</v>
      </c>
    </row>
    <row r="258" spans="1:20" ht="15.75" customHeight="1" x14ac:dyDescent="0.3">
      <c r="A258" s="317" t="s">
        <v>252</v>
      </c>
      <c r="B258" s="1"/>
      <c r="C258" s="1"/>
      <c r="D258" s="1"/>
      <c r="E258" s="59">
        <f t="shared" si="46"/>
        <v>0</v>
      </c>
      <c r="F258" s="1"/>
      <c r="G258" s="1"/>
      <c r="H258" s="1">
        <v>3000</v>
      </c>
      <c r="I258" s="59">
        <f t="shared" si="47"/>
        <v>3000</v>
      </c>
      <c r="J258" s="1">
        <v>5000</v>
      </c>
      <c r="K258" s="1">
        <v>6951</v>
      </c>
      <c r="L258" s="1">
        <v>5000</v>
      </c>
      <c r="M258" s="59">
        <f t="shared" si="48"/>
        <v>16951</v>
      </c>
      <c r="N258" s="1"/>
      <c r="O258" s="1">
        <v>2324</v>
      </c>
      <c r="P258" s="1">
        <v>4600</v>
      </c>
      <c r="Q258" s="59">
        <f t="shared" si="49"/>
        <v>6924</v>
      </c>
      <c r="R258" s="59">
        <f>+E258+I258+M258+Q258</f>
        <v>26875</v>
      </c>
      <c r="S258" s="94" t="s">
        <v>136</v>
      </c>
      <c r="T258" s="4" t="s">
        <v>137</v>
      </c>
    </row>
    <row r="259" spans="1:20" ht="15.75" customHeight="1" x14ac:dyDescent="0.3">
      <c r="A259" s="102" t="s">
        <v>253</v>
      </c>
      <c r="B259" s="1"/>
      <c r="C259" s="1"/>
      <c r="D259" s="1"/>
      <c r="E259" s="59">
        <f t="shared" si="46"/>
        <v>0</v>
      </c>
      <c r="F259" s="1"/>
      <c r="G259" s="1"/>
      <c r="H259" s="1"/>
      <c r="I259" s="59">
        <f t="shared" si="47"/>
        <v>0</v>
      </c>
      <c r="J259" s="1"/>
      <c r="K259" s="1"/>
      <c r="L259" s="1"/>
      <c r="M259" s="59">
        <f t="shared" si="48"/>
        <v>0</v>
      </c>
      <c r="N259" s="1"/>
      <c r="O259" s="1"/>
      <c r="P259" s="1"/>
      <c r="Q259" s="59">
        <f t="shared" si="49"/>
        <v>0</v>
      </c>
      <c r="R259" s="59">
        <f t="shared" si="45"/>
        <v>0</v>
      </c>
      <c r="T259" s="4" t="s">
        <v>132</v>
      </c>
    </row>
    <row r="260" spans="1:20" ht="15.75" customHeight="1" x14ac:dyDescent="0.3">
      <c r="A260" s="102" t="s">
        <v>254</v>
      </c>
      <c r="B260" s="1"/>
      <c r="C260" s="1"/>
      <c r="D260" s="1"/>
      <c r="E260" s="59">
        <f t="shared" si="46"/>
        <v>0</v>
      </c>
      <c r="F260" s="1"/>
      <c r="G260" s="1"/>
      <c r="H260" s="1"/>
      <c r="I260" s="59">
        <f t="shared" ref="I260" si="60">SUM(F260:H260)</f>
        <v>0</v>
      </c>
      <c r="J260" s="1">
        <v>565</v>
      </c>
      <c r="K260" s="1"/>
      <c r="L260" s="1"/>
      <c r="M260" s="59">
        <f t="shared" ref="M260" si="61">SUM(J260:L260)</f>
        <v>565</v>
      </c>
      <c r="N260" s="1">
        <v>400</v>
      </c>
      <c r="O260" s="1">
        <v>480</v>
      </c>
      <c r="P260" s="1"/>
      <c r="Q260" s="59">
        <f t="shared" si="49"/>
        <v>880</v>
      </c>
      <c r="R260" s="59">
        <f t="shared" si="45"/>
        <v>1445</v>
      </c>
      <c r="T260" s="4" t="s">
        <v>134</v>
      </c>
    </row>
    <row r="261" spans="1:20" ht="15.75" customHeight="1" x14ac:dyDescent="0.3">
      <c r="A261" s="76" t="s">
        <v>880</v>
      </c>
      <c r="B261" s="1"/>
      <c r="C261" s="1"/>
      <c r="D261" s="1"/>
      <c r="E261" s="59">
        <f t="shared" si="46"/>
        <v>0</v>
      </c>
      <c r="F261" s="1"/>
      <c r="G261" s="1"/>
      <c r="H261" s="1">
        <f>500+800</f>
        <v>1300</v>
      </c>
      <c r="I261" s="59">
        <f t="shared" si="47"/>
        <v>1300</v>
      </c>
      <c r="J261" s="1">
        <f>750+550</f>
        <v>1300</v>
      </c>
      <c r="K261" s="1">
        <f>469+500</f>
        <v>969</v>
      </c>
      <c r="L261" s="1"/>
      <c r="M261" s="59">
        <f>SUM(J261:L261)</f>
        <v>2269</v>
      </c>
      <c r="N261" s="1"/>
      <c r="O261" s="1"/>
      <c r="P261" s="1"/>
      <c r="Q261" s="59">
        <f t="shared" si="49"/>
        <v>0</v>
      </c>
      <c r="R261" s="59">
        <f t="shared" si="45"/>
        <v>3569</v>
      </c>
      <c r="S261" s="4" t="s">
        <v>136</v>
      </c>
      <c r="T261" s="4" t="s">
        <v>137</v>
      </c>
    </row>
    <row r="262" spans="1:20" ht="15.75" customHeight="1" x14ac:dyDescent="0.3">
      <c r="A262" s="102" t="s">
        <v>954</v>
      </c>
      <c r="B262" s="1"/>
      <c r="C262" s="1"/>
      <c r="D262" s="1"/>
      <c r="E262" s="59">
        <f t="shared" si="46"/>
        <v>0</v>
      </c>
      <c r="F262" s="1"/>
      <c r="G262" s="1"/>
      <c r="H262" s="1">
        <v>1105</v>
      </c>
      <c r="I262" s="59">
        <f t="shared" si="47"/>
        <v>1105</v>
      </c>
      <c r="J262" s="1"/>
      <c r="K262" s="1"/>
      <c r="L262" s="1"/>
      <c r="M262" s="59">
        <f>SUM(J262:L262)</f>
        <v>0</v>
      </c>
      <c r="N262" s="1"/>
      <c r="O262" s="1"/>
      <c r="P262" s="1"/>
      <c r="Q262" s="59">
        <f t="shared" si="49"/>
        <v>0</v>
      </c>
      <c r="R262" s="59">
        <f t="shared" si="45"/>
        <v>1105</v>
      </c>
    </row>
    <row r="263" spans="1:20" ht="15.75" customHeight="1" x14ac:dyDescent="0.3">
      <c r="A263" s="76" t="s">
        <v>881</v>
      </c>
      <c r="B263" s="1"/>
      <c r="C263" s="1"/>
      <c r="D263" s="1"/>
      <c r="E263" s="59">
        <f t="shared" si="46"/>
        <v>0</v>
      </c>
      <c r="F263" s="1">
        <v>700</v>
      </c>
      <c r="G263" s="1">
        <v>700</v>
      </c>
      <c r="H263" s="1">
        <v>164</v>
      </c>
      <c r="I263" s="59">
        <f t="shared" si="47"/>
        <v>1564</v>
      </c>
      <c r="J263" s="1"/>
      <c r="K263" s="1"/>
      <c r="L263" s="1"/>
      <c r="M263" s="59">
        <f t="shared" si="48"/>
        <v>0</v>
      </c>
      <c r="N263" s="1"/>
      <c r="O263" s="1"/>
      <c r="P263" s="1"/>
      <c r="Q263" s="59">
        <f t="shared" si="49"/>
        <v>0</v>
      </c>
      <c r="R263" s="59">
        <f t="shared" si="45"/>
        <v>1564</v>
      </c>
      <c r="T263" s="4" t="s">
        <v>137</v>
      </c>
    </row>
    <row r="264" spans="1:20" ht="15.75" customHeight="1" x14ac:dyDescent="0.3">
      <c r="A264" s="76" t="s">
        <v>882</v>
      </c>
      <c r="B264" s="1">
        <v>1062</v>
      </c>
      <c r="C264" s="1">
        <v>1730</v>
      </c>
      <c r="D264" s="1">
        <v>58</v>
      </c>
      <c r="E264" s="59">
        <f t="shared" si="46"/>
        <v>2850</v>
      </c>
      <c r="F264" s="1"/>
      <c r="G264" s="1"/>
      <c r="H264" s="1"/>
      <c r="I264" s="59">
        <f t="shared" si="47"/>
        <v>0</v>
      </c>
      <c r="J264" s="1"/>
      <c r="K264" s="1"/>
      <c r="L264" s="1"/>
      <c r="M264" s="59">
        <f t="shared" si="48"/>
        <v>0</v>
      </c>
      <c r="N264" s="1"/>
      <c r="O264" s="1"/>
      <c r="P264" s="1"/>
      <c r="Q264" s="59">
        <f t="shared" si="49"/>
        <v>0</v>
      </c>
      <c r="R264" s="59">
        <f t="shared" si="45"/>
        <v>2850</v>
      </c>
      <c r="T264" s="4" t="s">
        <v>158</v>
      </c>
    </row>
    <row r="265" spans="1:20" ht="15.75" customHeight="1" x14ac:dyDescent="0.3">
      <c r="A265" s="76" t="s">
        <v>883</v>
      </c>
      <c r="B265" s="1"/>
      <c r="C265" s="1"/>
      <c r="D265" s="1"/>
      <c r="E265" s="59">
        <f t="shared" si="46"/>
        <v>0</v>
      </c>
      <c r="F265" s="1"/>
      <c r="G265" s="1"/>
      <c r="H265" s="1"/>
      <c r="I265" s="59">
        <f t="shared" si="47"/>
        <v>0</v>
      </c>
      <c r="J265" s="1"/>
      <c r="K265" s="1"/>
      <c r="L265" s="1"/>
      <c r="M265" s="59">
        <f t="shared" si="48"/>
        <v>0</v>
      </c>
      <c r="N265" s="1"/>
      <c r="O265" s="1"/>
      <c r="P265" s="1"/>
      <c r="Q265" s="59">
        <f t="shared" si="49"/>
        <v>0</v>
      </c>
      <c r="R265" s="59">
        <f t="shared" si="45"/>
        <v>0</v>
      </c>
    </row>
    <row r="266" spans="1:20" ht="15.75" customHeight="1" x14ac:dyDescent="0.3">
      <c r="A266" s="76" t="s">
        <v>884</v>
      </c>
      <c r="B266" s="1"/>
      <c r="C266" s="1"/>
      <c r="D266" s="1"/>
      <c r="E266" s="59">
        <f t="shared" si="46"/>
        <v>0</v>
      </c>
      <c r="F266" s="1">
        <v>4750</v>
      </c>
      <c r="G266" s="1"/>
      <c r="H266" s="1"/>
      <c r="I266" s="59">
        <f>SUM(F266:H266)</f>
        <v>4750</v>
      </c>
      <c r="J266" s="1"/>
      <c r="K266" s="1"/>
      <c r="L266" s="1"/>
      <c r="M266" s="59">
        <f t="shared" si="48"/>
        <v>0</v>
      </c>
      <c r="N266" s="1"/>
      <c r="O266" s="1"/>
      <c r="P266" s="1"/>
      <c r="Q266" s="59">
        <f t="shared" si="49"/>
        <v>0</v>
      </c>
      <c r="R266" s="59">
        <f t="shared" si="45"/>
        <v>4750</v>
      </c>
      <c r="S266" s="4" t="s">
        <v>136</v>
      </c>
    </row>
    <row r="267" spans="1:20" ht="15.75" customHeight="1" x14ac:dyDescent="0.3">
      <c r="A267" s="76" t="s">
        <v>885</v>
      </c>
      <c r="B267" s="1">
        <v>95</v>
      </c>
      <c r="C267" s="1"/>
      <c r="D267" s="1"/>
      <c r="E267" s="59">
        <f t="shared" si="46"/>
        <v>95</v>
      </c>
      <c r="F267" s="1"/>
      <c r="G267" s="1"/>
      <c r="H267" s="1"/>
      <c r="I267" s="59">
        <f t="shared" si="47"/>
        <v>0</v>
      </c>
      <c r="J267" s="1"/>
      <c r="K267" s="1"/>
      <c r="L267" s="1"/>
      <c r="M267" s="59">
        <f t="shared" si="48"/>
        <v>0</v>
      </c>
      <c r="N267" s="1"/>
      <c r="O267" s="1"/>
      <c r="P267" s="1"/>
      <c r="Q267" s="59">
        <f t="shared" si="49"/>
        <v>0</v>
      </c>
      <c r="R267" s="59">
        <f t="shared" si="45"/>
        <v>95</v>
      </c>
    </row>
    <row r="268" spans="1:20" ht="15.75" customHeight="1" x14ac:dyDescent="0.3">
      <c r="A268" s="76" t="s">
        <v>886</v>
      </c>
      <c r="B268" s="1">
        <v>95</v>
      </c>
      <c r="C268" s="1"/>
      <c r="D268" s="1"/>
      <c r="E268" s="59">
        <f t="shared" si="46"/>
        <v>95</v>
      </c>
      <c r="F268" s="1"/>
      <c r="G268" s="1"/>
      <c r="H268" s="1"/>
      <c r="I268" s="59">
        <f t="shared" si="47"/>
        <v>0</v>
      </c>
      <c r="J268" s="1"/>
      <c r="K268" s="1"/>
      <c r="L268" s="1"/>
      <c r="M268" s="59">
        <f t="shared" si="48"/>
        <v>0</v>
      </c>
      <c r="N268" s="1"/>
      <c r="O268" s="1"/>
      <c r="P268" s="1"/>
      <c r="Q268" s="59">
        <f t="shared" si="49"/>
        <v>0</v>
      </c>
      <c r="R268" s="59">
        <f t="shared" si="45"/>
        <v>95</v>
      </c>
      <c r="S268" s="4" t="s">
        <v>136</v>
      </c>
      <c r="T268" s="4" t="s">
        <v>137</v>
      </c>
    </row>
    <row r="269" spans="1:20" ht="15.75" customHeight="1" x14ac:dyDescent="0.3">
      <c r="A269" s="76" t="s">
        <v>263</v>
      </c>
      <c r="B269" s="1">
        <v>1073</v>
      </c>
      <c r="C269" s="1"/>
      <c r="D269" s="1"/>
      <c r="E269" s="59">
        <f>SUM(B269:D269)</f>
        <v>1073</v>
      </c>
      <c r="F269" s="1">
        <v>1310</v>
      </c>
      <c r="G269" s="1">
        <v>2356</v>
      </c>
      <c r="H269" s="1">
        <v>301</v>
      </c>
      <c r="I269" s="59">
        <f>SUM(F269:H269)</f>
        <v>3967</v>
      </c>
      <c r="J269" s="1">
        <v>1000</v>
      </c>
      <c r="K269" s="1">
        <v>1835</v>
      </c>
      <c r="L269" s="1">
        <f>583+2200</f>
        <v>2783</v>
      </c>
      <c r="M269" s="59">
        <f>SUM(J269:L269)</f>
        <v>5618</v>
      </c>
      <c r="N269" s="1">
        <v>869</v>
      </c>
      <c r="O269" s="1">
        <v>1699</v>
      </c>
      <c r="P269" s="1">
        <v>737</v>
      </c>
      <c r="Q269" s="59">
        <f>SUM(N269:P269)</f>
        <v>3305</v>
      </c>
      <c r="R269" s="59">
        <f>+E269+I269+M269+Q269</f>
        <v>13963</v>
      </c>
      <c r="S269" s="4" t="s">
        <v>136</v>
      </c>
      <c r="T269" s="4" t="s">
        <v>137</v>
      </c>
    </row>
    <row r="270" spans="1:20" ht="15.75" customHeight="1" x14ac:dyDescent="0.3">
      <c r="A270" s="76" t="s">
        <v>918</v>
      </c>
      <c r="B270" s="1"/>
      <c r="C270" s="1"/>
      <c r="D270" s="1"/>
      <c r="E270" s="59">
        <f>SUM(B270:D270)</f>
        <v>0</v>
      </c>
      <c r="F270" s="1"/>
      <c r="G270" s="1"/>
      <c r="H270" s="1"/>
      <c r="I270" s="59">
        <f>SUM(F270:H270)</f>
        <v>0</v>
      </c>
      <c r="J270" s="1"/>
      <c r="K270" s="1"/>
      <c r="L270" s="1"/>
      <c r="M270" s="59">
        <f>SUM(J270:L270)</f>
        <v>0</v>
      </c>
      <c r="N270" s="1"/>
      <c r="O270" s="1"/>
      <c r="P270" s="1"/>
      <c r="Q270" s="59">
        <f>SUM(N270:P270)</f>
        <v>0</v>
      </c>
      <c r="R270" s="59">
        <f>+E270+I270+M270+Q270</f>
        <v>0</v>
      </c>
      <c r="T270" s="4" t="s">
        <v>137</v>
      </c>
    </row>
    <row r="271" spans="1:20" ht="15.75" customHeight="1" x14ac:dyDescent="0.3">
      <c r="A271" s="102" t="s">
        <v>955</v>
      </c>
      <c r="B271" s="1"/>
      <c r="C271" s="1"/>
      <c r="D271" s="1"/>
      <c r="E271" s="59">
        <f t="shared" ref="E271" si="62">SUM(B271:D271)</f>
        <v>0</v>
      </c>
      <c r="F271" s="1"/>
      <c r="G271" s="1"/>
      <c r="H271" s="1"/>
      <c r="I271" s="59">
        <f t="shared" ref="I271" si="63">SUM(F271:H271)</f>
        <v>0</v>
      </c>
      <c r="J271" s="1"/>
      <c r="K271" s="1"/>
      <c r="L271" s="1"/>
      <c r="M271" s="59">
        <f t="shared" ref="M271" si="64">SUM(J271:L271)</f>
        <v>0</v>
      </c>
      <c r="N271" s="1"/>
      <c r="O271" s="1"/>
      <c r="P271" s="1">
        <v>203</v>
      </c>
      <c r="Q271" s="59">
        <f t="shared" ref="Q271" si="65">SUM(N271:P271)</f>
        <v>203</v>
      </c>
      <c r="R271" s="59">
        <f>+E271+I271+M271+Q271</f>
        <v>203</v>
      </c>
      <c r="T271" s="4" t="s">
        <v>137</v>
      </c>
    </row>
    <row r="272" spans="1:20" ht="15.75" customHeight="1" x14ac:dyDescent="0.3">
      <c r="A272" s="76" t="s">
        <v>860</v>
      </c>
      <c r="B272" s="1"/>
      <c r="C272" s="1"/>
      <c r="D272" s="1"/>
      <c r="E272" s="59">
        <f t="shared" si="46"/>
        <v>0</v>
      </c>
      <c r="F272" s="1"/>
      <c r="G272" s="1"/>
      <c r="H272" s="1"/>
      <c r="I272" s="59">
        <f t="shared" si="47"/>
        <v>0</v>
      </c>
      <c r="J272" s="1">
        <v>2825</v>
      </c>
      <c r="K272" s="1">
        <v>2500</v>
      </c>
      <c r="L272" s="1"/>
      <c r="M272" s="59">
        <f t="shared" si="48"/>
        <v>5325</v>
      </c>
      <c r="N272" s="1"/>
      <c r="O272" s="1"/>
      <c r="P272" s="1"/>
      <c r="Q272" s="59">
        <f t="shared" si="49"/>
        <v>0</v>
      </c>
      <c r="R272" s="59">
        <f t="shared" si="45"/>
        <v>5325</v>
      </c>
      <c r="S272" s="4" t="s">
        <v>136</v>
      </c>
    </row>
    <row r="273" spans="1:20" ht="15.75" customHeight="1" x14ac:dyDescent="0.3">
      <c r="A273" s="76" t="s">
        <v>270</v>
      </c>
      <c r="B273" s="1">
        <v>4</v>
      </c>
      <c r="C273" s="1">
        <v>3719</v>
      </c>
      <c r="D273" s="1">
        <v>5141</v>
      </c>
      <c r="E273" s="59">
        <f>SUM(B273:D273)</f>
        <v>8864</v>
      </c>
      <c r="F273" s="1">
        <v>1567</v>
      </c>
      <c r="G273" s="1"/>
      <c r="H273" s="1"/>
      <c r="I273" s="59">
        <f>SUM(F273:H273)</f>
        <v>1567</v>
      </c>
      <c r="J273" s="1"/>
      <c r="K273" s="1"/>
      <c r="L273" s="1"/>
      <c r="M273" s="59">
        <f>SUM(J273:L273)</f>
        <v>0</v>
      </c>
      <c r="N273" s="1"/>
      <c r="O273" s="1"/>
      <c r="P273" s="1"/>
      <c r="Q273" s="59">
        <f>SUM(N273:P273)</f>
        <v>0</v>
      </c>
      <c r="R273" s="59">
        <f>+E273+I273+M273+Q273</f>
        <v>10431</v>
      </c>
      <c r="S273" s="4" t="s">
        <v>136</v>
      </c>
    </row>
    <row r="274" spans="1:20" ht="15.75" customHeight="1" x14ac:dyDescent="0.3">
      <c r="A274" s="76" t="s">
        <v>271</v>
      </c>
      <c r="B274" s="1">
        <v>115</v>
      </c>
      <c r="C274" s="1"/>
      <c r="D274" s="1"/>
      <c r="E274" s="59">
        <f>SUM(B274:D274)</f>
        <v>115</v>
      </c>
      <c r="F274" s="1"/>
      <c r="G274" s="1"/>
      <c r="H274" s="1"/>
      <c r="I274" s="59">
        <f>SUM(F274:H274)</f>
        <v>0</v>
      </c>
      <c r="J274" s="1"/>
      <c r="K274" s="1"/>
      <c r="L274" s="1"/>
      <c r="M274" s="59">
        <f>SUM(J274:L274)</f>
        <v>0</v>
      </c>
      <c r="N274" s="1"/>
      <c r="O274" s="1"/>
      <c r="P274" s="1"/>
      <c r="Q274" s="59">
        <f>SUM(N274:P274)</f>
        <v>0</v>
      </c>
      <c r="R274" s="59">
        <f>+E274+I274+M274+Q274</f>
        <v>115</v>
      </c>
    </row>
    <row r="275" spans="1:20" ht="15.75" customHeight="1" x14ac:dyDescent="0.3">
      <c r="A275" s="76" t="s">
        <v>272</v>
      </c>
      <c r="B275" s="1"/>
      <c r="C275" s="1"/>
      <c r="D275" s="1"/>
      <c r="E275" s="59">
        <f t="shared" ref="E275" si="66">SUM(B275:D275)</f>
        <v>0</v>
      </c>
      <c r="F275" s="1"/>
      <c r="G275" s="1"/>
      <c r="H275" s="1"/>
      <c r="I275" s="59">
        <f t="shared" ref="I275" si="67">SUM(F275:H275)</f>
        <v>0</v>
      </c>
      <c r="J275" s="1"/>
      <c r="K275" s="1"/>
      <c r="L275" s="1"/>
      <c r="M275" s="59">
        <f t="shared" ref="M275" si="68">SUM(J275:L275)</f>
        <v>0</v>
      </c>
      <c r="N275" s="1"/>
      <c r="O275" s="1"/>
      <c r="P275" s="1"/>
      <c r="Q275" s="59">
        <f t="shared" ref="Q275" si="69">SUM(N275:P275)</f>
        <v>0</v>
      </c>
      <c r="R275" s="59">
        <f t="shared" ref="R275" si="70">+E275+I275+M275+Q275</f>
        <v>0</v>
      </c>
    </row>
    <row r="276" spans="1:20" ht="15.75" customHeight="1" x14ac:dyDescent="0.3">
      <c r="A276" s="76" t="s">
        <v>273</v>
      </c>
      <c r="B276" s="1">
        <v>500</v>
      </c>
      <c r="C276" s="1"/>
      <c r="D276" s="1"/>
      <c r="E276" s="59">
        <f t="shared" si="46"/>
        <v>500</v>
      </c>
      <c r="F276" s="1"/>
      <c r="G276" s="1"/>
      <c r="H276" s="1"/>
      <c r="I276" s="59">
        <f t="shared" si="47"/>
        <v>0</v>
      </c>
      <c r="J276" s="1"/>
      <c r="K276" s="1"/>
      <c r="L276" s="1"/>
      <c r="M276" s="59">
        <f t="shared" si="48"/>
        <v>0</v>
      </c>
      <c r="N276" s="1"/>
      <c r="O276" s="1"/>
      <c r="P276" s="1"/>
      <c r="Q276" s="59">
        <f t="shared" si="49"/>
        <v>0</v>
      </c>
      <c r="R276" s="59">
        <f t="shared" si="45"/>
        <v>500</v>
      </c>
    </row>
    <row r="277" spans="1:20" ht="15.75" customHeight="1" thickBot="1" x14ac:dyDescent="0.35">
      <c r="A277" s="76" t="s">
        <v>275</v>
      </c>
      <c r="B277" s="1"/>
      <c r="C277" s="1"/>
      <c r="D277" s="1"/>
      <c r="E277" s="59">
        <f>SUM(B277:D277)</f>
        <v>0</v>
      </c>
      <c r="F277" s="1"/>
      <c r="G277" s="1"/>
      <c r="H277" s="1"/>
      <c r="I277" s="59">
        <f>SUM(F277:H277)</f>
        <v>0</v>
      </c>
      <c r="J277" s="1"/>
      <c r="K277" s="1"/>
      <c r="L277" s="1"/>
      <c r="M277" s="59">
        <f>SUM(J277:L277)</f>
        <v>0</v>
      </c>
      <c r="N277" s="1"/>
      <c r="O277" s="1"/>
      <c r="P277" s="1"/>
      <c r="Q277" s="59">
        <f>SUM(N277:P277)</f>
        <v>0</v>
      </c>
      <c r="R277" s="59">
        <f t="shared" si="45"/>
        <v>0</v>
      </c>
      <c r="S277" s="94" t="s">
        <v>136</v>
      </c>
    </row>
    <row r="278" spans="1:20" ht="16.5" customHeight="1" thickBot="1" x14ac:dyDescent="0.35">
      <c r="A278" s="62" t="s">
        <v>61</v>
      </c>
      <c r="B278" s="100">
        <f>SUM(B214:B277)</f>
        <v>6699</v>
      </c>
      <c r="C278" s="101">
        <f>SUM(C214:C277)</f>
        <v>8280</v>
      </c>
      <c r="D278" s="101">
        <f>SUM(D214:D277)</f>
        <v>11492</v>
      </c>
      <c r="E278" s="64">
        <f t="shared" ref="E278" si="71">SUM(B278:D278)</f>
        <v>26471</v>
      </c>
      <c r="F278" s="101">
        <f>SUM(F214:F277)</f>
        <v>24991</v>
      </c>
      <c r="G278" s="101">
        <f>SUM(G214:G277)</f>
        <v>20849</v>
      </c>
      <c r="H278" s="101">
        <f>SUM(H214:H277)</f>
        <v>10839</v>
      </c>
      <c r="I278" s="64">
        <f t="shared" ref="I278" si="72">SUM(F278:H278)</f>
        <v>56679</v>
      </c>
      <c r="J278" s="101">
        <f>SUM(J214:J277)</f>
        <v>14516</v>
      </c>
      <c r="K278" s="101">
        <f>SUM(K214:K277)</f>
        <v>13878</v>
      </c>
      <c r="L278" s="101">
        <f>SUM(L214:L277)</f>
        <v>9324</v>
      </c>
      <c r="M278" s="64">
        <f t="shared" ref="M278" si="73">SUM(J278:L278)</f>
        <v>37718</v>
      </c>
      <c r="N278" s="101">
        <f>SUM(N214:N277)</f>
        <v>2305</v>
      </c>
      <c r="O278" s="101">
        <f>SUM(O214:O277)</f>
        <v>4954</v>
      </c>
      <c r="P278" s="101">
        <f>SUM(P214:P277)</f>
        <v>5901</v>
      </c>
      <c r="Q278" s="64">
        <f t="shared" ref="Q278" si="74">SUM(N278:P278)</f>
        <v>13160</v>
      </c>
      <c r="R278" s="64">
        <f t="shared" si="45"/>
        <v>134028</v>
      </c>
    </row>
    <row r="279" spans="1:20" ht="15.75" customHeight="1" x14ac:dyDescent="0.3">
      <c r="A279" s="17" t="s">
        <v>62</v>
      </c>
      <c r="B279" s="1"/>
      <c r="C279" s="1"/>
      <c r="D279" s="1"/>
      <c r="E279" s="59" t="s">
        <v>7</v>
      </c>
      <c r="F279" s="1"/>
      <c r="G279" s="1"/>
      <c r="H279" s="1"/>
      <c r="I279" s="59" t="s">
        <v>7</v>
      </c>
      <c r="J279" s="1"/>
      <c r="K279" s="1"/>
      <c r="L279" s="1"/>
      <c r="M279" s="59" t="s">
        <v>7</v>
      </c>
      <c r="N279" s="1"/>
      <c r="O279" s="1"/>
      <c r="P279" s="1"/>
      <c r="Q279" s="59" t="s">
        <v>7</v>
      </c>
      <c r="R279" s="59" t="s">
        <v>7</v>
      </c>
    </row>
    <row r="280" spans="1:20" ht="15.75" customHeight="1" x14ac:dyDescent="0.3">
      <c r="A280" s="17" t="s">
        <v>63</v>
      </c>
      <c r="B280" s="1"/>
      <c r="C280" s="1"/>
      <c r="D280" s="1"/>
      <c r="E280" s="59" t="s">
        <v>7</v>
      </c>
      <c r="F280" s="1"/>
      <c r="G280" s="1"/>
      <c r="H280" s="1"/>
      <c r="I280" s="59" t="s">
        <v>7</v>
      </c>
      <c r="J280" s="1"/>
      <c r="K280" s="1"/>
      <c r="L280" s="1"/>
      <c r="M280" s="59" t="s">
        <v>7</v>
      </c>
      <c r="N280" s="1"/>
      <c r="O280" s="1"/>
      <c r="P280" s="1"/>
      <c r="Q280" s="59" t="s">
        <v>7</v>
      </c>
      <c r="R280" s="59" t="s">
        <v>7</v>
      </c>
    </row>
    <row r="281" spans="1:20" ht="15.75" customHeight="1" x14ac:dyDescent="0.3">
      <c r="A281" s="78" t="s">
        <v>854</v>
      </c>
      <c r="B281" s="1"/>
      <c r="C281" s="1"/>
      <c r="D281" s="1"/>
      <c r="E281" s="59">
        <f>SUM(B281:D281)</f>
        <v>0</v>
      </c>
      <c r="F281" s="1"/>
      <c r="G281" s="1"/>
      <c r="H281" s="1"/>
      <c r="I281" s="59">
        <f>SUM(F281:H281)</f>
        <v>0</v>
      </c>
      <c r="J281" s="1"/>
      <c r="K281" s="1"/>
      <c r="L281" s="1"/>
      <c r="M281" s="59">
        <f>SUM(J281:L281)</f>
        <v>0</v>
      </c>
      <c r="N281" s="1"/>
      <c r="O281" s="1"/>
      <c r="P281" s="1"/>
      <c r="Q281" s="59">
        <f>SUM(N281:P281)</f>
        <v>0</v>
      </c>
      <c r="R281" s="59">
        <f>+E281+I281+M281+Q281</f>
        <v>0</v>
      </c>
      <c r="T281" s="4" t="s">
        <v>137</v>
      </c>
    </row>
    <row r="282" spans="1:20" ht="15.75" customHeight="1" x14ac:dyDescent="0.3">
      <c r="A282" s="99" t="s">
        <v>904</v>
      </c>
      <c r="B282" s="1"/>
      <c r="C282" s="1"/>
      <c r="D282" s="1"/>
      <c r="E282" s="59">
        <f>SUM(B282:D282)</f>
        <v>0</v>
      </c>
      <c r="F282" s="1"/>
      <c r="G282" s="1"/>
      <c r="H282" s="1"/>
      <c r="I282" s="59">
        <f>SUM(F282:H282)</f>
        <v>0</v>
      </c>
      <c r="J282" s="1"/>
      <c r="K282" s="1"/>
      <c r="L282" s="1"/>
      <c r="M282" s="59">
        <f>SUM(J282:L282)</f>
        <v>0</v>
      </c>
      <c r="N282" s="1"/>
      <c r="O282" s="1"/>
      <c r="P282" s="1"/>
      <c r="Q282" s="59">
        <f>SUM(N282:P282)</f>
        <v>0</v>
      </c>
      <c r="R282" s="59">
        <f>+E282+I282+M282+Q282</f>
        <v>0</v>
      </c>
      <c r="T282" s="4" t="s">
        <v>132</v>
      </c>
    </row>
    <row r="283" spans="1:20" ht="15.75" customHeight="1" x14ac:dyDescent="0.3">
      <c r="A283" s="99" t="s">
        <v>905</v>
      </c>
      <c r="B283" s="1"/>
      <c r="C283" s="1"/>
      <c r="D283" s="1"/>
      <c r="E283" s="59">
        <f>SUM(B283:D283)</f>
        <v>0</v>
      </c>
      <c r="F283" s="1"/>
      <c r="G283" s="1"/>
      <c r="H283" s="1"/>
      <c r="I283" s="59">
        <f>SUM(F283:H283)</f>
        <v>0</v>
      </c>
      <c r="J283" s="1"/>
      <c r="K283" s="1"/>
      <c r="L283" s="1"/>
      <c r="M283" s="59">
        <f>SUM(J283:L283)</f>
        <v>0</v>
      </c>
      <c r="N283" s="1"/>
      <c r="O283" s="1"/>
      <c r="P283" s="1"/>
      <c r="Q283" s="59">
        <f>SUM(N283:P283)</f>
        <v>0</v>
      </c>
      <c r="R283" s="59">
        <f>+E283+I283+M283+Q283</f>
        <v>0</v>
      </c>
      <c r="T283" s="4" t="s">
        <v>134</v>
      </c>
    </row>
    <row r="284" spans="1:20" ht="15.75" customHeight="1" x14ac:dyDescent="0.3">
      <c r="A284" s="17" t="s">
        <v>64</v>
      </c>
      <c r="B284" s="1"/>
      <c r="C284" s="1"/>
      <c r="D284" s="1"/>
      <c r="E284" s="59" t="s">
        <v>7</v>
      </c>
      <c r="F284" s="1"/>
      <c r="G284" s="1"/>
      <c r="H284" s="1"/>
      <c r="I284" s="59" t="s">
        <v>7</v>
      </c>
      <c r="J284" s="1"/>
      <c r="K284" s="1"/>
      <c r="L284" s="1"/>
      <c r="M284" s="59" t="s">
        <v>7</v>
      </c>
      <c r="N284" s="1"/>
      <c r="O284" s="1"/>
      <c r="P284" s="1"/>
      <c r="Q284" s="59" t="s">
        <v>7</v>
      </c>
      <c r="R284" s="59" t="s">
        <v>7</v>
      </c>
    </row>
    <row r="285" spans="1:20" ht="15.75" customHeight="1" x14ac:dyDescent="0.3">
      <c r="A285" s="99" t="s">
        <v>278</v>
      </c>
      <c r="B285" s="1"/>
      <c r="C285" s="1"/>
      <c r="D285" s="1"/>
      <c r="E285" s="59">
        <f>SUM(B285:D285)</f>
        <v>0</v>
      </c>
      <c r="F285" s="1"/>
      <c r="G285" s="1"/>
      <c r="H285" s="1"/>
      <c r="I285" s="59">
        <f>SUM(F285:H285)</f>
        <v>0</v>
      </c>
      <c r="J285" s="1"/>
      <c r="K285" s="1"/>
      <c r="L285" s="1"/>
      <c r="M285" s="59">
        <f>SUM(J285:L285)</f>
        <v>0</v>
      </c>
      <c r="N285" s="1"/>
      <c r="O285" s="1"/>
      <c r="P285" s="1"/>
      <c r="Q285" s="59">
        <f>SUM(N285:P285)</f>
        <v>0</v>
      </c>
      <c r="R285" s="59">
        <f>+E285+I285+M285+Q285</f>
        <v>0</v>
      </c>
    </row>
    <row r="286" spans="1:20" ht="15.75" customHeight="1" x14ac:dyDescent="0.3">
      <c r="A286" s="99" t="s">
        <v>279</v>
      </c>
      <c r="B286" s="1"/>
      <c r="C286" s="1"/>
      <c r="D286" s="1"/>
      <c r="E286" s="59">
        <f>SUM(B286:D286)</f>
        <v>0</v>
      </c>
      <c r="F286" s="1"/>
      <c r="G286" s="1"/>
      <c r="H286" s="1"/>
      <c r="I286" s="59">
        <f>SUM(F286:H286)</f>
        <v>0</v>
      </c>
      <c r="J286" s="1"/>
      <c r="K286" s="1"/>
      <c r="L286" s="1"/>
      <c r="M286" s="59">
        <f>SUM(J286:L286)</f>
        <v>0</v>
      </c>
      <c r="N286" s="1"/>
      <c r="O286" s="1"/>
      <c r="P286" s="1"/>
      <c r="Q286" s="59">
        <f>SUM(N286:P286)</f>
        <v>0</v>
      </c>
      <c r="R286" s="59">
        <f>+E286+I286+M286+Q286</f>
        <v>0</v>
      </c>
      <c r="T286" s="4">
        <f>24000-SUM(R145,R148,R166,R169,R182,R202,R236,R237,R259,R282,R285,R286)</f>
        <v>10242</v>
      </c>
    </row>
    <row r="287" spans="1:20" ht="15.75" customHeight="1" x14ac:dyDescent="0.3">
      <c r="A287" s="74" t="s">
        <v>280</v>
      </c>
      <c r="B287" s="1"/>
      <c r="C287" s="1"/>
      <c r="D287" s="1"/>
      <c r="E287" s="59">
        <f t="shared" ref="E287:E292" si="75">SUM(B287:D287)</f>
        <v>0</v>
      </c>
      <c r="F287" s="1"/>
      <c r="G287" s="1"/>
      <c r="H287" s="1"/>
      <c r="I287" s="59">
        <f t="shared" ref="I287:I292" si="76">SUM(F287:H287)</f>
        <v>0</v>
      </c>
      <c r="J287" s="1"/>
      <c r="K287" s="1"/>
      <c r="L287" s="1"/>
      <c r="M287" s="59">
        <f t="shared" ref="M287:M292" si="77">SUM(J287:L287)</f>
        <v>0</v>
      </c>
      <c r="N287" s="1"/>
      <c r="O287" s="1"/>
      <c r="P287" s="1"/>
      <c r="Q287" s="59">
        <f t="shared" ref="Q287:Q292" si="78">SUM(N287:P287)</f>
        <v>0</v>
      </c>
      <c r="R287" s="59">
        <f t="shared" ref="R287:R292" si="79">+E287+I287+M287+Q287</f>
        <v>0</v>
      </c>
      <c r="S287" s="4" t="s">
        <v>136</v>
      </c>
    </row>
    <row r="288" spans="1:20" ht="15.75" customHeight="1" x14ac:dyDescent="0.3">
      <c r="A288" s="74" t="s">
        <v>281</v>
      </c>
      <c r="B288" s="1"/>
      <c r="C288" s="1"/>
      <c r="D288" s="1"/>
      <c r="E288" s="59">
        <f t="shared" si="75"/>
        <v>0</v>
      </c>
      <c r="F288" s="1"/>
      <c r="G288" s="1"/>
      <c r="H288" s="1"/>
      <c r="I288" s="59">
        <f t="shared" si="76"/>
        <v>0</v>
      </c>
      <c r="J288" s="1"/>
      <c r="K288" s="1"/>
      <c r="L288" s="1"/>
      <c r="M288" s="59">
        <f t="shared" si="77"/>
        <v>0</v>
      </c>
      <c r="N288" s="1"/>
      <c r="O288" s="1"/>
      <c r="P288" s="1"/>
      <c r="Q288" s="59">
        <f t="shared" si="78"/>
        <v>0</v>
      </c>
      <c r="R288" s="59">
        <f t="shared" si="79"/>
        <v>0</v>
      </c>
    </row>
    <row r="289" spans="1:20" ht="15.75" customHeight="1" x14ac:dyDescent="0.3">
      <c r="A289" s="91" t="s">
        <v>282</v>
      </c>
      <c r="B289" s="1"/>
      <c r="C289" s="1"/>
      <c r="D289" s="1"/>
      <c r="E289" s="59">
        <f t="shared" si="75"/>
        <v>0</v>
      </c>
      <c r="F289" s="1"/>
      <c r="G289" s="1"/>
      <c r="H289" s="1"/>
      <c r="I289" s="59">
        <f t="shared" si="76"/>
        <v>0</v>
      </c>
      <c r="J289" s="1"/>
      <c r="K289" s="1"/>
      <c r="L289" s="1">
        <v>850</v>
      </c>
      <c r="M289" s="59">
        <f t="shared" si="77"/>
        <v>850</v>
      </c>
      <c r="N289" s="1">
        <v>1050</v>
      </c>
      <c r="O289" s="1"/>
      <c r="P289" s="1"/>
      <c r="Q289" s="59">
        <f t="shared" si="78"/>
        <v>1050</v>
      </c>
      <c r="R289" s="59">
        <f t="shared" si="79"/>
        <v>1900</v>
      </c>
    </row>
    <row r="290" spans="1:20" ht="15.75" customHeight="1" x14ac:dyDescent="0.3">
      <c r="A290" s="91" t="s">
        <v>283</v>
      </c>
      <c r="B290" s="1"/>
      <c r="C290" s="1"/>
      <c r="D290" s="1"/>
      <c r="E290" s="59">
        <f t="shared" si="75"/>
        <v>0</v>
      </c>
      <c r="F290" s="1"/>
      <c r="G290" s="1"/>
      <c r="H290" s="1"/>
      <c r="I290" s="59">
        <f t="shared" si="76"/>
        <v>0</v>
      </c>
      <c r="J290" s="1"/>
      <c r="K290" s="1"/>
      <c r="L290" s="1"/>
      <c r="M290" s="59">
        <f t="shared" si="77"/>
        <v>0</v>
      </c>
      <c r="N290" s="1"/>
      <c r="O290" s="1"/>
      <c r="P290" s="1"/>
      <c r="Q290" s="59">
        <f t="shared" si="78"/>
        <v>0</v>
      </c>
      <c r="R290" s="59">
        <f t="shared" si="79"/>
        <v>0</v>
      </c>
    </row>
    <row r="291" spans="1:20" ht="15.75" customHeight="1" x14ac:dyDescent="0.3">
      <c r="A291" s="61" t="s">
        <v>284</v>
      </c>
      <c r="B291" s="1"/>
      <c r="C291" s="1"/>
      <c r="D291" s="1"/>
      <c r="E291" s="59">
        <f t="shared" si="75"/>
        <v>0</v>
      </c>
      <c r="F291" s="1"/>
      <c r="G291" s="1"/>
      <c r="H291" s="1"/>
      <c r="I291" s="59">
        <f t="shared" si="76"/>
        <v>0</v>
      </c>
      <c r="J291" s="1"/>
      <c r="K291" s="1"/>
      <c r="L291" s="1"/>
      <c r="M291" s="59">
        <f t="shared" si="77"/>
        <v>0</v>
      </c>
      <c r="N291" s="1"/>
      <c r="O291" s="1"/>
      <c r="P291" s="1"/>
      <c r="Q291" s="59">
        <f t="shared" si="78"/>
        <v>0</v>
      </c>
      <c r="R291" s="59">
        <f t="shared" si="79"/>
        <v>0</v>
      </c>
    </row>
    <row r="292" spans="1:20" ht="15.75" customHeight="1" x14ac:dyDescent="0.3">
      <c r="A292" s="61" t="s">
        <v>285</v>
      </c>
      <c r="B292" s="1"/>
      <c r="C292" s="1"/>
      <c r="D292" s="1"/>
      <c r="E292" s="59">
        <f t="shared" si="75"/>
        <v>0</v>
      </c>
      <c r="F292" s="1"/>
      <c r="G292" s="1"/>
      <c r="H292" s="1"/>
      <c r="I292" s="59">
        <f t="shared" si="76"/>
        <v>0</v>
      </c>
      <c r="J292" s="1"/>
      <c r="K292" s="1"/>
      <c r="L292" s="1"/>
      <c r="M292" s="59">
        <f t="shared" si="77"/>
        <v>0</v>
      </c>
      <c r="N292" s="1"/>
      <c r="O292" s="1"/>
      <c r="P292" s="1"/>
      <c r="Q292" s="59">
        <f t="shared" si="78"/>
        <v>0</v>
      </c>
      <c r="R292" s="59">
        <f t="shared" si="79"/>
        <v>0</v>
      </c>
    </row>
    <row r="293" spans="1:20" ht="15.75" customHeight="1" x14ac:dyDescent="0.3">
      <c r="A293" s="17" t="s">
        <v>66</v>
      </c>
      <c r="B293" s="1"/>
      <c r="C293" s="1"/>
      <c r="D293" s="1"/>
      <c r="E293" s="59" t="s">
        <v>7</v>
      </c>
      <c r="F293" s="1"/>
      <c r="G293" s="1"/>
      <c r="H293" s="1"/>
      <c r="I293" s="59" t="s">
        <v>7</v>
      </c>
      <c r="J293" s="1"/>
      <c r="K293" s="1"/>
      <c r="L293" s="1"/>
      <c r="M293" s="59" t="s">
        <v>7</v>
      </c>
      <c r="N293" s="1"/>
      <c r="O293" s="1"/>
      <c r="P293" s="1"/>
      <c r="Q293" s="59" t="s">
        <v>7</v>
      </c>
      <c r="R293" s="59" t="s">
        <v>7</v>
      </c>
    </row>
    <row r="294" spans="1:20" ht="15.75" customHeight="1" x14ac:dyDescent="0.3">
      <c r="A294" s="99" t="s">
        <v>911</v>
      </c>
      <c r="B294" s="1"/>
      <c r="C294" s="1"/>
      <c r="D294" s="1"/>
      <c r="E294" s="59">
        <f t="shared" ref="E294" si="80">SUM(B294:D294)</f>
        <v>0</v>
      </c>
      <c r="F294" s="1"/>
      <c r="G294" s="1"/>
      <c r="H294" s="1"/>
      <c r="I294" s="59">
        <f t="shared" ref="I294" si="81">SUM(F294:H294)</f>
        <v>0</v>
      </c>
      <c r="J294" s="1"/>
      <c r="K294" s="1"/>
      <c r="L294" s="1"/>
      <c r="M294" s="59">
        <f t="shared" ref="M294" si="82">SUM(J294:L294)</f>
        <v>0</v>
      </c>
      <c r="N294" s="1"/>
      <c r="O294" s="1"/>
      <c r="P294" s="1"/>
      <c r="Q294" s="59">
        <f t="shared" ref="Q294" si="83">SUM(N294:P294)</f>
        <v>0</v>
      </c>
      <c r="R294" s="59">
        <f t="shared" ref="R294" si="84">+E294+I294+M294+Q294</f>
        <v>0</v>
      </c>
    </row>
    <row r="295" spans="1:20" ht="15.75" customHeight="1" x14ac:dyDescent="0.3">
      <c r="A295" s="17" t="s">
        <v>67</v>
      </c>
      <c r="B295" s="1"/>
      <c r="C295" s="1"/>
      <c r="D295" s="1"/>
      <c r="E295" s="59" t="s">
        <v>7</v>
      </c>
      <c r="F295" s="1"/>
      <c r="G295" s="1"/>
      <c r="H295" s="1"/>
      <c r="I295" s="59" t="s">
        <v>7</v>
      </c>
      <c r="J295" s="1"/>
      <c r="K295" s="1"/>
      <c r="L295" s="1"/>
      <c r="M295" s="59" t="s">
        <v>7</v>
      </c>
      <c r="N295" s="1"/>
      <c r="O295" s="1"/>
      <c r="P295" s="1"/>
      <c r="Q295" s="59" t="s">
        <v>7</v>
      </c>
      <c r="R295" s="59" t="s">
        <v>7</v>
      </c>
    </row>
    <row r="296" spans="1:20" ht="15.75" customHeight="1" thickBot="1" x14ac:dyDescent="0.35">
      <c r="A296" s="74" t="s">
        <v>287</v>
      </c>
      <c r="B296" s="1"/>
      <c r="C296" s="1"/>
      <c r="D296" s="1"/>
      <c r="E296" s="59">
        <f t="shared" ref="E296" si="85">SUM(B296:D296)</f>
        <v>0</v>
      </c>
      <c r="F296" s="1"/>
      <c r="G296" s="1"/>
      <c r="H296" s="1"/>
      <c r="I296" s="59">
        <f t="shared" ref="I296:I305" si="86">SUM(F296:H296)</f>
        <v>0</v>
      </c>
      <c r="J296" s="1"/>
      <c r="K296" s="1"/>
      <c r="L296" s="1"/>
      <c r="M296" s="59">
        <f t="shared" ref="M296:M305" si="87">SUM(J296:L296)</f>
        <v>0</v>
      </c>
      <c r="N296" s="1"/>
      <c r="O296" s="1"/>
      <c r="P296" s="1"/>
      <c r="Q296" s="59">
        <f t="shared" ref="Q296:Q305" si="88">SUM(N296:P296)</f>
        <v>0</v>
      </c>
      <c r="R296" s="59">
        <f t="shared" ref="R296:R305" si="89">+E296+I296+M296+Q296</f>
        <v>0</v>
      </c>
      <c r="S296" s="4" t="s">
        <v>136</v>
      </c>
    </row>
    <row r="297" spans="1:20" ht="16.5" customHeight="1" thickBot="1" x14ac:dyDescent="0.35">
      <c r="A297" s="62" t="s">
        <v>68</v>
      </c>
      <c r="B297" s="63">
        <f>SUM(B293:B296)</f>
        <v>0</v>
      </c>
      <c r="C297" s="63">
        <f>SUM(C293:C296)</f>
        <v>0</v>
      </c>
      <c r="D297" s="63">
        <f>SUM(D293:D296)</f>
        <v>0</v>
      </c>
      <c r="E297" s="334">
        <f t="shared" ref="E297:E304" si="90">SUM(B297:D297)</f>
        <v>0</v>
      </c>
      <c r="F297" s="63">
        <f>SUM(F293:F296)</f>
        <v>0</v>
      </c>
      <c r="G297" s="63">
        <f>SUM(G293:G296)</f>
        <v>0</v>
      </c>
      <c r="H297" s="63">
        <f>SUM(H293:H296)</f>
        <v>0</v>
      </c>
      <c r="I297" s="334">
        <f t="shared" si="86"/>
        <v>0</v>
      </c>
      <c r="J297" s="63">
        <f>SUM(J293:J296)</f>
        <v>0</v>
      </c>
      <c r="K297" s="63">
        <f>SUM(K293:K296)</f>
        <v>0</v>
      </c>
      <c r="L297" s="63">
        <f>SUM(L293:L296)</f>
        <v>0</v>
      </c>
      <c r="M297" s="334">
        <f t="shared" si="87"/>
        <v>0</v>
      </c>
      <c r="N297" s="63">
        <f>SUM(N293:N296)</f>
        <v>0</v>
      </c>
      <c r="O297" s="63">
        <f>SUM(O293:O296)</f>
        <v>0</v>
      </c>
      <c r="P297" s="63">
        <f>SUM(P293:P296)</f>
        <v>0</v>
      </c>
      <c r="Q297" s="334">
        <f t="shared" si="88"/>
        <v>0</v>
      </c>
      <c r="R297" s="64">
        <f t="shared" si="89"/>
        <v>0</v>
      </c>
    </row>
    <row r="298" spans="1:20" ht="16.5" customHeight="1" thickBot="1" x14ac:dyDescent="0.35">
      <c r="A298" s="62" t="s">
        <v>69</v>
      </c>
      <c r="B298" s="100">
        <f>SUM(B279:B296)</f>
        <v>0</v>
      </c>
      <c r="C298" s="101">
        <f>SUM(C279:C296)</f>
        <v>0</v>
      </c>
      <c r="D298" s="101">
        <f>SUM(D279:D296)</f>
        <v>0</v>
      </c>
      <c r="E298" s="64">
        <f t="shared" si="90"/>
        <v>0</v>
      </c>
      <c r="F298" s="101">
        <f>SUM(F279:F296)</f>
        <v>0</v>
      </c>
      <c r="G298" s="101">
        <f>SUM(G279:G296)</f>
        <v>0</v>
      </c>
      <c r="H298" s="101">
        <f>SUM(H279:H296)</f>
        <v>0</v>
      </c>
      <c r="I298" s="64">
        <f t="shared" si="86"/>
        <v>0</v>
      </c>
      <c r="J298" s="101">
        <f>SUM(J279:J296)</f>
        <v>0</v>
      </c>
      <c r="K298" s="101">
        <f>SUM(K279:K296)</f>
        <v>0</v>
      </c>
      <c r="L298" s="101">
        <f>SUM(L279:L296)</f>
        <v>850</v>
      </c>
      <c r="M298" s="64">
        <f t="shared" si="87"/>
        <v>850</v>
      </c>
      <c r="N298" s="101">
        <f>SUM(N279:N296)</f>
        <v>1050</v>
      </c>
      <c r="O298" s="101">
        <f>SUM(O279:O296)</f>
        <v>0</v>
      </c>
      <c r="P298" s="101">
        <f>SUM(P279:P296)</f>
        <v>0</v>
      </c>
      <c r="Q298" s="64">
        <f t="shared" si="88"/>
        <v>1050</v>
      </c>
      <c r="R298" s="64">
        <f t="shared" si="89"/>
        <v>1900</v>
      </c>
    </row>
    <row r="299" spans="1:20" ht="16.5" customHeight="1" thickBot="1" x14ac:dyDescent="0.35">
      <c r="A299" s="62" t="s">
        <v>70</v>
      </c>
      <c r="B299" s="107">
        <f>+B206+B213+B278+B298</f>
        <v>19017</v>
      </c>
      <c r="C299" s="63">
        <f>+C206+C213+C278+C298</f>
        <v>15791</v>
      </c>
      <c r="D299" s="63">
        <f>+D206+D213+D278+D298</f>
        <v>20318</v>
      </c>
      <c r="E299" s="88">
        <f t="shared" si="90"/>
        <v>55126</v>
      </c>
      <c r="F299" s="63">
        <f>+F206+F213+F278+F298</f>
        <v>36789</v>
      </c>
      <c r="G299" s="63">
        <f>+G206+G213+G278+G298</f>
        <v>38843</v>
      </c>
      <c r="H299" s="63">
        <f>+H206+H213+H278+H298</f>
        <v>47555</v>
      </c>
      <c r="I299" s="88">
        <f t="shared" si="86"/>
        <v>123187</v>
      </c>
      <c r="J299" s="63">
        <f>+J206+J213+J278+J298</f>
        <v>53147</v>
      </c>
      <c r="K299" s="63">
        <f>+K206+K213+K278+K298</f>
        <v>47024</v>
      </c>
      <c r="L299" s="63">
        <f>+L206+L213+L278+L298</f>
        <v>41214</v>
      </c>
      <c r="M299" s="88">
        <f t="shared" si="87"/>
        <v>141385</v>
      </c>
      <c r="N299" s="63">
        <f>+N206+N213+N278+N298</f>
        <v>32860</v>
      </c>
      <c r="O299" s="63">
        <f>+O206+O213+O278+O298</f>
        <v>27931</v>
      </c>
      <c r="P299" s="63">
        <f>+P206+P213+P278+P298</f>
        <v>27205</v>
      </c>
      <c r="Q299" s="88">
        <f t="shared" si="88"/>
        <v>87996</v>
      </c>
      <c r="R299" s="88">
        <f t="shared" si="89"/>
        <v>407694</v>
      </c>
    </row>
    <row r="300" spans="1:20" ht="15.75" customHeight="1" x14ac:dyDescent="0.3">
      <c r="A300" s="102" t="s">
        <v>288</v>
      </c>
      <c r="B300" s="1"/>
      <c r="C300" s="1">
        <v>960</v>
      </c>
      <c r="D300" s="1">
        <v>3970</v>
      </c>
      <c r="E300" s="59">
        <f t="shared" si="90"/>
        <v>4930</v>
      </c>
      <c r="F300" s="1">
        <v>71</v>
      </c>
      <c r="G300" s="1">
        <v>2230</v>
      </c>
      <c r="H300" s="1">
        <v>3740</v>
      </c>
      <c r="I300" s="59">
        <f t="shared" si="86"/>
        <v>6041</v>
      </c>
      <c r="J300" s="1">
        <v>2096</v>
      </c>
      <c r="K300" s="1">
        <v>985</v>
      </c>
      <c r="L300" s="1">
        <v>3198</v>
      </c>
      <c r="M300" s="59">
        <f t="shared" si="87"/>
        <v>6279</v>
      </c>
      <c r="N300" s="1">
        <v>3450</v>
      </c>
      <c r="O300" s="1">
        <v>5218</v>
      </c>
      <c r="P300" s="1">
        <v>1302</v>
      </c>
      <c r="Q300" s="59">
        <f t="shared" si="88"/>
        <v>9970</v>
      </c>
      <c r="R300" s="59">
        <f t="shared" si="89"/>
        <v>27220</v>
      </c>
      <c r="T300" s="4" t="s">
        <v>121</v>
      </c>
    </row>
    <row r="301" spans="1:20" ht="15.75" customHeight="1" x14ac:dyDescent="0.3">
      <c r="A301" s="108" t="s">
        <v>289</v>
      </c>
      <c r="B301" s="1"/>
      <c r="C301" s="1"/>
      <c r="D301" s="1"/>
      <c r="E301" s="59">
        <f t="shared" si="90"/>
        <v>0</v>
      </c>
      <c r="F301" s="1"/>
      <c r="G301" s="1"/>
      <c r="H301" s="1"/>
      <c r="I301" s="59">
        <f t="shared" si="86"/>
        <v>0</v>
      </c>
      <c r="J301" s="1"/>
      <c r="K301" s="1"/>
      <c r="L301" s="1"/>
      <c r="M301" s="59">
        <f t="shared" si="87"/>
        <v>0</v>
      </c>
      <c r="N301" s="1"/>
      <c r="O301" s="1"/>
      <c r="P301" s="1"/>
      <c r="Q301" s="59">
        <f t="shared" si="88"/>
        <v>0</v>
      </c>
      <c r="R301" s="59">
        <f t="shared" si="89"/>
        <v>0</v>
      </c>
    </row>
    <row r="302" spans="1:20" ht="15.75" customHeight="1" x14ac:dyDescent="0.3">
      <c r="A302" s="74" t="s">
        <v>290</v>
      </c>
      <c r="B302" s="1"/>
      <c r="C302" s="1"/>
      <c r="D302" s="1"/>
      <c r="E302" s="59">
        <f t="shared" si="90"/>
        <v>0</v>
      </c>
      <c r="F302" s="1"/>
      <c r="G302" s="1"/>
      <c r="H302" s="1"/>
      <c r="I302" s="59">
        <f t="shared" si="86"/>
        <v>0</v>
      </c>
      <c r="J302" s="1"/>
      <c r="K302" s="1"/>
      <c r="L302" s="1"/>
      <c r="M302" s="59">
        <f t="shared" si="87"/>
        <v>0</v>
      </c>
      <c r="N302" s="1"/>
      <c r="O302" s="1"/>
      <c r="P302" s="1"/>
      <c r="Q302" s="59">
        <f t="shared" si="88"/>
        <v>0</v>
      </c>
      <c r="R302" s="59">
        <f t="shared" si="89"/>
        <v>0</v>
      </c>
    </row>
    <row r="303" spans="1:20" ht="15.75" customHeight="1" x14ac:dyDescent="0.3">
      <c r="A303" s="108" t="s">
        <v>291</v>
      </c>
      <c r="B303" s="1">
        <v>9</v>
      </c>
      <c r="C303" s="1">
        <v>214</v>
      </c>
      <c r="D303" s="1">
        <v>37</v>
      </c>
      <c r="E303" s="59">
        <f>SUM(B303:D303)</f>
        <v>260</v>
      </c>
      <c r="F303" s="1">
        <v>57</v>
      </c>
      <c r="G303" s="1">
        <v>45</v>
      </c>
      <c r="H303" s="1">
        <v>30</v>
      </c>
      <c r="I303" s="59">
        <f>SUM(F303:H303)</f>
        <v>132</v>
      </c>
      <c r="J303" s="1">
        <v>57</v>
      </c>
      <c r="K303" s="1">
        <v>62</v>
      </c>
      <c r="L303" s="1">
        <v>65</v>
      </c>
      <c r="M303" s="59">
        <f>SUM(J303:L303)</f>
        <v>184</v>
      </c>
      <c r="N303" s="1">
        <v>76</v>
      </c>
      <c r="O303" s="1">
        <v>56</v>
      </c>
      <c r="P303" s="1"/>
      <c r="Q303" s="59">
        <f>SUM(N303:P303)</f>
        <v>132</v>
      </c>
      <c r="R303" s="59">
        <f t="shared" si="89"/>
        <v>708</v>
      </c>
    </row>
    <row r="304" spans="1:20" ht="15.75" customHeight="1" x14ac:dyDescent="0.3">
      <c r="A304" s="91" t="s">
        <v>292</v>
      </c>
      <c r="B304" s="1">
        <v>83310</v>
      </c>
      <c r="C304" s="1">
        <v>16480</v>
      </c>
      <c r="D304" s="1">
        <v>20055</v>
      </c>
      <c r="E304" s="59">
        <f t="shared" si="90"/>
        <v>119845</v>
      </c>
      <c r="F304" s="1">
        <v>9498</v>
      </c>
      <c r="G304" s="1">
        <v>24625</v>
      </c>
      <c r="H304" s="1"/>
      <c r="I304" s="59">
        <f t="shared" si="86"/>
        <v>34123</v>
      </c>
      <c r="J304" s="1"/>
      <c r="K304" s="1"/>
      <c r="L304" s="1">
        <v>9609</v>
      </c>
      <c r="M304" s="59">
        <f t="shared" si="87"/>
        <v>9609</v>
      </c>
      <c r="N304" s="1">
        <v>44152</v>
      </c>
      <c r="O304" s="1">
        <v>65541</v>
      </c>
      <c r="P304" s="1">
        <v>70977</v>
      </c>
      <c r="Q304" s="59">
        <f t="shared" si="88"/>
        <v>180670</v>
      </c>
      <c r="R304" s="59">
        <f t="shared" si="89"/>
        <v>344247</v>
      </c>
    </row>
    <row r="305" spans="1:18" ht="16.5" customHeight="1" thickBot="1" x14ac:dyDescent="0.35">
      <c r="A305" s="40" t="s">
        <v>37</v>
      </c>
      <c r="B305" s="25">
        <v>104</v>
      </c>
      <c r="C305" s="25">
        <v>268</v>
      </c>
      <c r="D305" s="25">
        <v>474</v>
      </c>
      <c r="E305" s="59">
        <f>SUM(B305:D305)</f>
        <v>846</v>
      </c>
      <c r="F305" s="25">
        <v>647</v>
      </c>
      <c r="G305" s="25">
        <v>742</v>
      </c>
      <c r="H305" s="25">
        <v>781</v>
      </c>
      <c r="I305" s="59">
        <f t="shared" si="86"/>
        <v>2170</v>
      </c>
      <c r="J305" s="25">
        <v>774</v>
      </c>
      <c r="K305" s="25">
        <v>596</v>
      </c>
      <c r="L305" s="25">
        <v>546</v>
      </c>
      <c r="M305" s="59">
        <f t="shared" si="87"/>
        <v>1916</v>
      </c>
      <c r="N305" s="25">
        <v>517</v>
      </c>
      <c r="O305" s="25">
        <v>413</v>
      </c>
      <c r="P305" s="25">
        <v>302</v>
      </c>
      <c r="Q305" s="59">
        <f t="shared" si="88"/>
        <v>1232</v>
      </c>
      <c r="R305" s="59">
        <f t="shared" si="89"/>
        <v>6164</v>
      </c>
    </row>
    <row r="306" spans="1:18" ht="16.5" customHeight="1" thickBot="1" x14ac:dyDescent="0.35">
      <c r="A306" s="80"/>
      <c r="B306" s="81"/>
      <c r="C306" s="81"/>
      <c r="D306" s="81"/>
      <c r="E306" s="334"/>
      <c r="F306" s="81"/>
      <c r="G306" s="81"/>
      <c r="H306" s="81"/>
      <c r="I306" s="64"/>
      <c r="J306" s="81"/>
      <c r="K306" s="81"/>
      <c r="L306" s="81"/>
      <c r="M306" s="64"/>
      <c r="N306" s="81"/>
      <c r="O306" s="81"/>
      <c r="P306" s="81"/>
      <c r="Q306" s="64"/>
      <c r="R306" s="64" t="s">
        <v>7</v>
      </c>
    </row>
    <row r="307" spans="1:18" ht="15.75" customHeight="1" x14ac:dyDescent="0.3">
      <c r="A307" s="335" t="s">
        <v>38</v>
      </c>
      <c r="B307" s="336">
        <f>SUM(B299:B305)</f>
        <v>102440</v>
      </c>
      <c r="C307" s="336">
        <f>SUM(C299:C305)</f>
        <v>33713</v>
      </c>
      <c r="D307" s="336">
        <f>SUM(D299:D305)</f>
        <v>44854</v>
      </c>
      <c r="E307" s="334">
        <f>SUM(B307:D307)</f>
        <v>181007</v>
      </c>
      <c r="F307" s="336">
        <f>SUM(F299:F305)</f>
        <v>47062</v>
      </c>
      <c r="G307" s="336">
        <f>SUM(G299:G305)</f>
        <v>66485</v>
      </c>
      <c r="H307" s="336">
        <f>SUM(H299:H305)</f>
        <v>52106</v>
      </c>
      <c r="I307" s="334">
        <f>SUM(F307:H307)</f>
        <v>165653</v>
      </c>
      <c r="J307" s="336">
        <f>SUM(J299:J305)</f>
        <v>56074</v>
      </c>
      <c r="K307" s="336">
        <f>SUM(K299:K305)</f>
        <v>48667</v>
      </c>
      <c r="L307" s="336">
        <f>SUM(L299:L305)</f>
        <v>54632</v>
      </c>
      <c r="M307" s="334">
        <f>SUM(J307:L307)</f>
        <v>159373</v>
      </c>
      <c r="N307" s="336">
        <f>SUM(N299:N305)</f>
        <v>81055</v>
      </c>
      <c r="O307" s="336">
        <f>SUM(O299:O305)</f>
        <v>99159</v>
      </c>
      <c r="P307" s="336">
        <f>SUM(P299:P305)</f>
        <v>99786</v>
      </c>
      <c r="Q307" s="337">
        <f>SUM(N307:P307)</f>
        <v>280000</v>
      </c>
      <c r="R307" s="334">
        <f>+E307+I307+M307+Q307</f>
        <v>786033</v>
      </c>
    </row>
    <row r="308" spans="1:18" ht="15.75" customHeight="1" x14ac:dyDescent="0.3">
      <c r="A308" s="85" t="s">
        <v>39</v>
      </c>
      <c r="B308" s="1">
        <f>(B307/B10)/1.983</f>
        <v>1666.4226571014917</v>
      </c>
      <c r="C308" s="1">
        <f>(C307/C10)/1.983</f>
        <v>607.17887760247811</v>
      </c>
      <c r="D308" s="1">
        <f>(D307/D10)/1.983</f>
        <v>729.65366909049499</v>
      </c>
      <c r="E308" s="59" t="s">
        <v>7</v>
      </c>
      <c r="F308" s="1">
        <f>(F307/F10)/1.983</f>
        <v>791.09093965372324</v>
      </c>
      <c r="G308" s="1">
        <f>(G307/G10)/1.983</f>
        <v>1081.5317293771247</v>
      </c>
      <c r="H308" s="1">
        <f>(H307/H10)/1.983</f>
        <v>875.87829887376017</v>
      </c>
      <c r="I308" s="59" t="s">
        <v>7</v>
      </c>
      <c r="J308" s="1">
        <f>(J307/J10)/1.983</f>
        <v>912.17282384136115</v>
      </c>
      <c r="K308" s="1">
        <f>(K307/K10)/1.983</f>
        <v>791.68090055796858</v>
      </c>
      <c r="L308" s="1">
        <f>(L307/L10)/1.983</f>
        <v>918.33921667507138</v>
      </c>
      <c r="M308" s="59" t="s">
        <v>7</v>
      </c>
      <c r="N308" s="1">
        <f>(N307/N10)/1.983</f>
        <v>1318.546353683731</v>
      </c>
      <c r="O308" s="1">
        <f>(O307/O10)/1.983</f>
        <v>1666.8179525970752</v>
      </c>
      <c r="P308" s="1">
        <f>(P307/P10)/1.983</f>
        <v>1623.2492313698697</v>
      </c>
      <c r="Q308" s="110" t="s">
        <v>7</v>
      </c>
      <c r="R308" s="59" t="s">
        <v>7</v>
      </c>
    </row>
    <row r="309" spans="1:18" ht="15.75" customHeight="1" x14ac:dyDescent="0.3">
      <c r="A309" s="85" t="s">
        <v>293</v>
      </c>
      <c r="B309" s="1">
        <f>(+B307+B471)+B316</f>
        <v>124151</v>
      </c>
      <c r="C309" s="1">
        <f>(+C307+C471)+C316</f>
        <v>58663</v>
      </c>
      <c r="D309" s="1">
        <f>(+D307+D471)+D316</f>
        <v>132094</v>
      </c>
      <c r="E309" s="59">
        <f>SUM(B309:D309)</f>
        <v>314908</v>
      </c>
      <c r="F309" s="1">
        <f>(+F307+F471)+F316</f>
        <v>154149</v>
      </c>
      <c r="G309" s="1">
        <f>(+G307+G471)+G316</f>
        <v>168828</v>
      </c>
      <c r="H309" s="1">
        <f>(+H307+H471)+H316</f>
        <v>75794</v>
      </c>
      <c r="I309" s="59">
        <f>SUM(F309:H309)</f>
        <v>398771</v>
      </c>
      <c r="J309" s="1">
        <f>(+J307+J471)+J316</f>
        <v>68658</v>
      </c>
      <c r="K309" s="1">
        <f>(+K307+K471)+K316</f>
        <v>65923</v>
      </c>
      <c r="L309" s="1">
        <f>(+L307+L471)+L316</f>
        <v>127463</v>
      </c>
      <c r="M309" s="59">
        <f>SUM(J309:L309)</f>
        <v>262044</v>
      </c>
      <c r="N309" s="1">
        <f>(+N307+N471)+N316</f>
        <v>125637</v>
      </c>
      <c r="O309" s="1">
        <f>(+O307+O471)+O316</f>
        <v>124524</v>
      </c>
      <c r="P309" s="1">
        <f>(+P307+P471)+P316</f>
        <v>138250</v>
      </c>
      <c r="Q309" s="110">
        <f>SUM(N309:P309)</f>
        <v>388411</v>
      </c>
      <c r="R309" s="59">
        <f>+E309+I309+M309+Q309</f>
        <v>1364134</v>
      </c>
    </row>
    <row r="310" spans="1:18" ht="16.5" customHeight="1" thickBot="1" x14ac:dyDescent="0.35">
      <c r="A310" s="86" t="s">
        <v>294</v>
      </c>
      <c r="B310" s="87">
        <f>(B309/B10)/1.983</f>
        <v>2019.6021017357214</v>
      </c>
      <c r="C310" s="87">
        <f>(C309/C10)/1.983</f>
        <v>1056.5341113752611</v>
      </c>
      <c r="D310" s="87">
        <f>(D309/D10)/1.983</f>
        <v>2148.8133001480323</v>
      </c>
      <c r="E310" s="88" t="s">
        <v>7</v>
      </c>
      <c r="F310" s="87">
        <f>(F309/F10)/1.983</f>
        <v>2591.1749873928393</v>
      </c>
      <c r="G310" s="87">
        <f>(G309/G10)/1.983</f>
        <v>2746.3764579571516</v>
      </c>
      <c r="H310" s="87">
        <f>(H309/H10)/1.983</f>
        <v>1274.0628677088587</v>
      </c>
      <c r="I310" s="88" t="s">
        <v>7</v>
      </c>
      <c r="J310" s="87">
        <f>(J309/J10)/1.983</f>
        <v>1116.8805817188033</v>
      </c>
      <c r="K310" s="87">
        <f>(K309/K10)/1.983</f>
        <v>1072.3895043352366</v>
      </c>
      <c r="L310" s="87">
        <f>(L309/L10)/1.983</f>
        <v>2142.5953941838961</v>
      </c>
      <c r="M310" s="88" t="s">
        <v>7</v>
      </c>
      <c r="N310" s="87">
        <f>(N309/N10)/1.983</f>
        <v>2043.7753159923868</v>
      </c>
      <c r="O310" s="87">
        <f>(O309/O10)/1.983</f>
        <v>2093.1921331316189</v>
      </c>
      <c r="P310" s="87">
        <f>(P309/P10)/1.983</f>
        <v>2248.9548256958342</v>
      </c>
      <c r="Q310" s="111" t="s">
        <v>7</v>
      </c>
      <c r="R310" s="88" t="s">
        <v>7</v>
      </c>
    </row>
    <row r="311" spans="1:18" ht="16.5" customHeight="1" thickBot="1" x14ac:dyDescent="0.35">
      <c r="A311" s="112" t="s">
        <v>295</v>
      </c>
      <c r="B311" s="113">
        <f>+(B309-(B139+B140+B141+B142+B144+B145+B146+B148+B149+B150+B153+B155+B157++B162+B163+B164+B166+B167+B169+B170+B171+B172+B173+B182+B183+B184+B195+B199+B202+B203+B210+B217+B218+B220+B221+B233+B235+B236+B237+B238+B240+B241+B242+B250+B259+B260+B262+B271+B282+B283+B285+B286+B289+B290+B294+B300+B304+B312)-B316)/(B10*1.983)</f>
        <v>679.06235257755429</v>
      </c>
      <c r="C311" s="113">
        <f>+(C309-(C139+C140+C141+C142+C144+C145+C146+C148+C149+C150+C153+C155+C157++C162+C163+C164+C166+C167+C169+C170+C171+C172+C173+C182+C183+C184+C195+C199+C202+C203+C210+C217+C218+C220+C221+C233+C235+C236+C237+C238+C240+C241+C242+C250+C259+C260+C262+C271+C282+C283+C285+C286+C289+C290+C294+C300+C304+C312)-C316)/(C10*1.983)</f>
        <v>799.13190692313231</v>
      </c>
      <c r="D311" s="113">
        <f>+(D309-(D139+D140+D141+D142+D144+D145+D146+D148+D149+D150+D153+D155+D157++D162+D163+D164+D166+D167+D169+D170+D171+D172+D173+D182+D183+D184+D195+D199+D202+D203+D210+D217+D218+D220+D221+D233+D235+D236+D237+D238+D240+D241+D242+D250+D259+D260+D262+D271+D282+D283+D285+D286+D289+D290+D294+D300+D304+D312)-D316)/(D10*1.983)</f>
        <v>1588.404665462886</v>
      </c>
      <c r="E311" s="114"/>
      <c r="F311" s="113">
        <f>+(F309-(F139+F140+F141+F142+F144+F145+F146+F148+F149+F150+F153+F155+F157++F162+F163+F164+F166+F167+F169+F170+F171+F172+F173+F182+F183+F184+F195+F199+F202+F203+F210+F217+F218+F220+F221+F233+F235+F236+F237+F238+F240+F241+F242+F250+F259+F260+F262+F271+F282+F283+F285+F286+F289+F290+F294+F300+F304+F312)-F316)/(F10*1.983)</f>
        <v>2150.7816439737771</v>
      </c>
      <c r="G311" s="113">
        <f>+(G309-(G139+G140+G141+G142+G144+G145+G146+G148+G149+G150+G153+G155+G157++G162+G163+G164+G166+G167+G169+G170+G171+G172+G173+G182+G183+G184+G195+G199+G202+G203+G210+G217+G218+G220+G221+G233+G235+G236+G237+G238+G240+G241+G242+G250+G259+G260+G262+G271+G282+G283+G285+G286+G289+G290+G294+G300+G304+G312)-G316)/(G10*1.983)</f>
        <v>2127.8447448473312</v>
      </c>
      <c r="H311" s="113">
        <f>+(H309-(H139+H140+H141+H142+H144+H145+H146+H148+H149+H150+H153+H155+H157++H162+H163+H164+H166+H167+H169+H170+H171+H172+H173+H182+H183+H184+H195+H199+H202+H203+H210+H217+H218+H220+H221+H233+H235+H236+H237+H238+H240+H241+H242+H250+H259+H260+H262+H271+H282+H283+H285+H286+H289+H290+H294+H300+H304+H312)-H316)/(H10*1.983)</f>
        <v>2966.5826189275508</v>
      </c>
      <c r="I311" s="114"/>
      <c r="J311" s="113">
        <f>+(J309-(J139+J140+J141+J142+J144+J145+J146+J148+J149+J150+J153+J155+J157++J162+J163+J164+J166+J167+J169+J170+J171+J172+J173+J182+J183+J184+J195+J199+J202+J203+J210+J217+J218+J220+J221+J233+J235+J236+J237+J238+J240+J241+J242+J250+J259+J260+J262+J271+J282+J283+J285+J286+J289+J290+J294+J300+J304+J312)-J316)/(J10*1.983)</f>
        <v>2514.3721633888044</v>
      </c>
      <c r="K311" s="113">
        <f>+(K309-(K139+K140+K141+K142+K144+K145+K146+K148+K149+K150+K153+K155+K157++K162+K163+K164+K166+K167+K169+K170+K171+K172+K173+K182+K183+K184+K195+K199+K202+K203+K210+K217+K218+K220+K221+K233+K235+K236+K237+K238+K240+K241+K242+K250+K259+K260+K262+K271+K282+K283+K285+K286+K289+K290+K294+K300+K304+K312)-K316)/(K10*1.983)</f>
        <v>2461.1130089632843</v>
      </c>
      <c r="L311" s="113">
        <f>+(L309-(L139+L140+L141+L142+L144+L145+L146+L148+L149+L150+L153+L155+L157++L162+L163+L164+L166+L167+L169+L170+L171+L172+L173+L182+L183+L184+L195+L199+L202+L203+L210+L217+L218+L220+L221+L233+L235+L236+L237+L238+L240+L241+L242+L250+L259+L260+L262+L271+L282+L283+L285+L286+L289+L290+L294+L300+L304+L312)-L316)/(L10*1.983)</f>
        <v>2017.9189779794922</v>
      </c>
      <c r="M311" s="114"/>
      <c r="N311" s="113">
        <f>+(N309-(N139+N140+N141+N142+N144+N145+N146+N148+N149+N150+N153+N155+N157++N162+N163+N164+N166+N167+N169+N170+N171+N172+N173+N182+N183+N184+N195+N199+N202+N203+N210+N217+N218+N220+N221+N233+N235+N236+N237+N238+N240+N241+N242+N250+N259+N260+N262+N271+N282+N283+N285+N286+N289+N290+N294+N300+N304+N312)-N316)/(N10*1.983)</f>
        <v>1112.943894067314</v>
      </c>
      <c r="O311" s="113">
        <f>+(O309-(O139+O140+O141+O142+O144+O145+O146+O148+O149+O150+O153+O155+O157++O162+O163+O164+O166+O167+O169+O170+O171+O172+O173+O182+O183+O184+O195+O199+O202+O203+O210+O217+O218+O220+O221+O233+O235+O236+O237+O238+O240+O241+O242+O250+O259+O260+O262+O271+O282+O283+O285+O286+O289+O290+O294+O300+O304+O312)-O316)/(O10*1.983)</f>
        <v>782.40040342914779</v>
      </c>
      <c r="P311" s="113">
        <f>+(P309-(P139+P140+P141+P142+P144+P145+P146+P148+P149+P150+P153+P155+P157++P162+P163+P164+P166+P167+P169+P170+P171+P172+P173+P182+P183+P184+P195+P199+P202+P203+P210+P217+P218+P220+P221+P233+P235+P236+P237+P238+P240+P241+P242+P250+P259+P260+P262+P271+P282+P283+P285+P286+P289+P290+P294+P300+P304+P312)-P316)/(P10*1.983)</f>
        <v>997.75511200039034</v>
      </c>
      <c r="Q311" s="115"/>
      <c r="R311" s="114"/>
    </row>
    <row r="312" spans="1:18" ht="15.75" customHeight="1" x14ac:dyDescent="0.3">
      <c r="A312" s="116" t="s">
        <v>296</v>
      </c>
      <c r="B312" s="1">
        <v>2410</v>
      </c>
      <c r="C312" s="1">
        <v>2171</v>
      </c>
      <c r="D312" s="1">
        <v>2419</v>
      </c>
      <c r="E312" s="1"/>
      <c r="F312" s="1">
        <v>2311</v>
      </c>
      <c r="G312" s="1">
        <v>2503</v>
      </c>
      <c r="H312" s="1">
        <v>2198</v>
      </c>
      <c r="I312" s="1"/>
      <c r="J312" s="1">
        <v>2406</v>
      </c>
      <c r="K312" s="1">
        <v>2398</v>
      </c>
      <c r="L312" s="1">
        <v>2288</v>
      </c>
      <c r="M312" s="1"/>
      <c r="N312" s="1">
        <v>2551</v>
      </c>
      <c r="O312" s="1">
        <v>2908</v>
      </c>
      <c r="P312" s="1">
        <v>2443</v>
      </c>
      <c r="Q312" s="1"/>
      <c r="R312" s="28"/>
    </row>
    <row r="313" spans="1:18" ht="15.75" customHeight="1" thickBot="1" x14ac:dyDescent="0.35">
      <c r="A313" s="30"/>
      <c r="B313" s="1"/>
      <c r="C313" s="1"/>
      <c r="D313" s="1"/>
      <c r="E313" s="1"/>
      <c r="F313" s="1"/>
      <c r="G313" s="1"/>
      <c r="H313" s="1"/>
      <c r="I313" s="1"/>
      <c r="J313" s="1"/>
      <c r="K313" s="1"/>
      <c r="L313" s="1"/>
      <c r="M313" s="1"/>
      <c r="N313" s="1"/>
      <c r="O313" s="1"/>
      <c r="P313" s="1"/>
      <c r="Q313" s="1"/>
      <c r="R313" s="28"/>
    </row>
    <row r="314" spans="1:18" ht="16.5" customHeight="1" thickBot="1" x14ac:dyDescent="0.35">
      <c r="A314" s="31" t="s">
        <v>297</v>
      </c>
      <c r="B314" s="323" t="s">
        <v>36</v>
      </c>
      <c r="C314" s="324" t="s">
        <v>9</v>
      </c>
      <c r="D314" s="324" t="s">
        <v>10</v>
      </c>
      <c r="E314" s="325" t="s">
        <v>11</v>
      </c>
      <c r="F314" s="324" t="s">
        <v>12</v>
      </c>
      <c r="G314" s="324" t="s">
        <v>13</v>
      </c>
      <c r="H314" s="324" t="s">
        <v>14</v>
      </c>
      <c r="I314" s="34" t="s">
        <v>15</v>
      </c>
      <c r="J314" s="324" t="s">
        <v>16</v>
      </c>
      <c r="K314" s="324" t="s">
        <v>17</v>
      </c>
      <c r="L314" s="324" t="s">
        <v>18</v>
      </c>
      <c r="M314" s="34" t="s">
        <v>19</v>
      </c>
      <c r="N314" s="324" t="s">
        <v>20</v>
      </c>
      <c r="O314" s="324" t="s">
        <v>21</v>
      </c>
      <c r="P314" s="324" t="s">
        <v>22</v>
      </c>
      <c r="Q314" s="34" t="s">
        <v>23</v>
      </c>
      <c r="R314" s="326" t="s">
        <v>24</v>
      </c>
    </row>
    <row r="315" spans="1:18" ht="16.5" customHeight="1" thickBot="1" x14ac:dyDescent="0.35">
      <c r="A315" s="80"/>
      <c r="B315" s="81"/>
      <c r="C315" s="81"/>
      <c r="D315" s="81"/>
      <c r="E315" s="89"/>
      <c r="F315" s="81"/>
      <c r="G315" s="81"/>
      <c r="H315" s="81"/>
      <c r="I315" s="89"/>
      <c r="J315" s="81"/>
      <c r="K315" s="81"/>
      <c r="L315" s="81"/>
      <c r="M315" s="89"/>
      <c r="N315" s="81"/>
      <c r="O315" s="81"/>
      <c r="P315" s="81"/>
      <c r="Q315" s="89"/>
      <c r="R315" s="117"/>
    </row>
    <row r="316" spans="1:18" ht="15.75" customHeight="1" thickBot="1" x14ac:dyDescent="0.35">
      <c r="A316" s="74" t="s">
        <v>298</v>
      </c>
      <c r="B316" s="1">
        <v>-3647</v>
      </c>
      <c r="C316" s="1">
        <v>-7866</v>
      </c>
      <c r="D316" s="1">
        <v>-207</v>
      </c>
      <c r="E316" s="59">
        <f>SUM(B316:D316)</f>
        <v>-11720</v>
      </c>
      <c r="F316" s="1">
        <v>-6</v>
      </c>
      <c r="G316" s="1">
        <v>-1492</v>
      </c>
      <c r="H316" s="1">
        <v>-117578</v>
      </c>
      <c r="I316" s="59">
        <f>SUM(F316:H316)</f>
        <v>-119076</v>
      </c>
      <c r="J316" s="1">
        <v>-100321</v>
      </c>
      <c r="K316" s="1">
        <v>-94421</v>
      </c>
      <c r="L316" s="1">
        <v>-13817</v>
      </c>
      <c r="M316" s="59">
        <f>SUM(J316:L316)</f>
        <v>-208559</v>
      </c>
      <c r="N316" s="1"/>
      <c r="O316" s="1"/>
      <c r="P316" s="1">
        <v>-76</v>
      </c>
      <c r="Q316" s="59">
        <f>SUM(N316:P316)</f>
        <v>-76</v>
      </c>
      <c r="R316" s="59">
        <f>+E316+I316+M316+Q316</f>
        <v>-339431</v>
      </c>
    </row>
    <row r="317" spans="1:18" ht="16.5" customHeight="1" thickBot="1" x14ac:dyDescent="0.35">
      <c r="A317" s="338"/>
      <c r="B317" s="339"/>
      <c r="C317" s="339"/>
      <c r="D317" s="339"/>
      <c r="E317" s="340"/>
      <c r="F317" s="339"/>
      <c r="G317" s="339"/>
      <c r="H317" s="339"/>
      <c r="I317" s="340"/>
      <c r="J317" s="339"/>
      <c r="K317" s="339"/>
      <c r="L317" s="339"/>
      <c r="M317" s="340"/>
      <c r="N317" s="339"/>
      <c r="O317" s="339"/>
      <c r="P317" s="339"/>
      <c r="Q317" s="340"/>
      <c r="R317" s="341"/>
    </row>
    <row r="318" spans="1:18" ht="15.75" customHeight="1" x14ac:dyDescent="0.3">
      <c r="A318" s="17" t="s">
        <v>32</v>
      </c>
      <c r="B318" s="1">
        <f>B316</f>
        <v>-3647</v>
      </c>
      <c r="C318" s="1">
        <f>C316</f>
        <v>-7866</v>
      </c>
      <c r="D318" s="1">
        <f>D316</f>
        <v>-207</v>
      </c>
      <c r="E318" s="59">
        <f>SUM(B318:D318)</f>
        <v>-11720</v>
      </c>
      <c r="F318" s="1">
        <f>F316</f>
        <v>-6</v>
      </c>
      <c r="G318" s="1">
        <f>G316</f>
        <v>-1492</v>
      </c>
      <c r="H318" s="1">
        <f>H316</f>
        <v>-117578</v>
      </c>
      <c r="I318" s="59">
        <f>SUM(F318:H318)</f>
        <v>-119076</v>
      </c>
      <c r="J318" s="1">
        <f>J316</f>
        <v>-100321</v>
      </c>
      <c r="K318" s="1">
        <f>K316</f>
        <v>-94421</v>
      </c>
      <c r="L318" s="1">
        <f>L316</f>
        <v>-13817</v>
      </c>
      <c r="M318" s="59">
        <f>SUM(J318:L318)</f>
        <v>-208559</v>
      </c>
      <c r="N318" s="1">
        <f>N316</f>
        <v>0</v>
      </c>
      <c r="O318" s="1">
        <f>O316</f>
        <v>0</v>
      </c>
      <c r="P318" s="1">
        <f>P316</f>
        <v>-76</v>
      </c>
      <c r="Q318" s="59">
        <f>SUM(N318:P318)</f>
        <v>-76</v>
      </c>
      <c r="R318" s="122">
        <f>R316</f>
        <v>-339431</v>
      </c>
    </row>
    <row r="319" spans="1:18" ht="16.5" customHeight="1" thickBot="1" x14ac:dyDescent="0.35">
      <c r="A319" s="24" t="s">
        <v>39</v>
      </c>
      <c r="B319" s="25">
        <f>(B318/B10)/1.983</f>
        <v>-59.32685894620402</v>
      </c>
      <c r="C319" s="25">
        <f>(C318/C10)/1.983</f>
        <v>-141.66846768964771</v>
      </c>
      <c r="D319" s="25">
        <f>(D318/D10)/1.983</f>
        <v>-3.3673319994143771</v>
      </c>
      <c r="E319" s="88"/>
      <c r="F319" s="25">
        <f>(F318/F10)/1.983</f>
        <v>-0.10085728693898134</v>
      </c>
      <c r="G319" s="25">
        <f>(G318/G10)/1.983</f>
        <v>-24.270818082735509</v>
      </c>
      <c r="H319" s="25">
        <f>(H318/H10)/1.983</f>
        <v>-1976.4330139519247</v>
      </c>
      <c r="I319" s="88"/>
      <c r="J319" s="25">
        <f>(J318/J10)/1.983</f>
        <v>-1631.9522391944429</v>
      </c>
      <c r="K319" s="25">
        <f>(K318/K10)/1.983</f>
        <v>-1535.9751435589608</v>
      </c>
      <c r="L319" s="25">
        <f>(L318/L10)/1.983</f>
        <v>-232.25752227265085</v>
      </c>
      <c r="M319" s="88"/>
      <c r="N319" s="25">
        <f>(N318/N10)/1.983</f>
        <v>0</v>
      </c>
      <c r="O319" s="25">
        <f>(O318/O10)/1.983</f>
        <v>0</v>
      </c>
      <c r="P319" s="25">
        <f>(P318/P10)/1.983</f>
        <v>-1.2363151302197712</v>
      </c>
      <c r="Q319" s="88"/>
      <c r="R319" s="117" t="s">
        <v>7</v>
      </c>
    </row>
    <row r="320" spans="1:18" ht="15.75" customHeight="1" x14ac:dyDescent="0.3">
      <c r="A320" s="28"/>
      <c r="B320" s="1"/>
      <c r="C320" s="1"/>
      <c r="D320" s="1"/>
      <c r="E320" s="1"/>
      <c r="F320" s="1"/>
      <c r="G320" s="1"/>
      <c r="H320" s="1"/>
      <c r="I320" s="1"/>
      <c r="J320" s="1"/>
      <c r="K320" s="1"/>
      <c r="L320" s="1"/>
      <c r="M320" s="1"/>
      <c r="N320" s="1"/>
      <c r="O320" s="1"/>
      <c r="P320" s="1"/>
      <c r="Q320" s="1"/>
      <c r="R320" s="28"/>
    </row>
    <row r="321" spans="1:20" ht="16.5" customHeight="1" thickBot="1" x14ac:dyDescent="0.35">
      <c r="A321" s="123"/>
      <c r="B321" s="25"/>
      <c r="C321" s="25"/>
      <c r="D321" s="25"/>
      <c r="E321" s="25"/>
      <c r="F321" s="25"/>
      <c r="G321" s="25"/>
      <c r="H321" s="25"/>
      <c r="I321" s="25"/>
      <c r="J321" s="25"/>
      <c r="K321" s="25"/>
      <c r="L321" s="25"/>
      <c r="M321" s="25"/>
      <c r="N321" s="25"/>
      <c r="O321" s="25"/>
      <c r="P321" s="25"/>
      <c r="Q321" s="25"/>
      <c r="R321" s="123"/>
    </row>
    <row r="322" spans="1:20" ht="16.5" customHeight="1" thickBot="1" x14ac:dyDescent="0.35">
      <c r="A322" s="342" t="s">
        <v>299</v>
      </c>
      <c r="B322" s="323" t="s">
        <v>36</v>
      </c>
      <c r="C322" s="324" t="s">
        <v>9</v>
      </c>
      <c r="D322" s="324" t="s">
        <v>10</v>
      </c>
      <c r="E322" s="325" t="s">
        <v>11</v>
      </c>
      <c r="F322" s="324" t="s">
        <v>12</v>
      </c>
      <c r="G322" s="324" t="s">
        <v>13</v>
      </c>
      <c r="H322" s="324" t="s">
        <v>14</v>
      </c>
      <c r="I322" s="34" t="s">
        <v>15</v>
      </c>
      <c r="J322" s="324" t="s">
        <v>16</v>
      </c>
      <c r="K322" s="324" t="s">
        <v>17</v>
      </c>
      <c r="L322" s="324" t="s">
        <v>18</v>
      </c>
      <c r="M322" s="34" t="s">
        <v>19</v>
      </c>
      <c r="N322" s="324" t="s">
        <v>20</v>
      </c>
      <c r="O322" s="324" t="s">
        <v>21</v>
      </c>
      <c r="P322" s="324" t="s">
        <v>22</v>
      </c>
      <c r="Q322" s="34" t="s">
        <v>23</v>
      </c>
      <c r="R322" s="326" t="s">
        <v>24</v>
      </c>
    </row>
    <row r="323" spans="1:20" ht="16.5" customHeight="1" thickBot="1" x14ac:dyDescent="0.35">
      <c r="A323" s="64"/>
      <c r="B323" s="81"/>
      <c r="C323" s="81"/>
      <c r="D323" s="81"/>
      <c r="E323" s="72"/>
      <c r="F323" s="81"/>
      <c r="G323" s="81"/>
      <c r="H323" s="81"/>
      <c r="I323" s="89"/>
      <c r="J323" s="81"/>
      <c r="K323" s="81"/>
      <c r="L323" s="81"/>
      <c r="M323" s="89"/>
      <c r="N323" s="81"/>
      <c r="O323" s="81"/>
      <c r="P323" s="81"/>
      <c r="Q323" s="89"/>
      <c r="R323" s="122"/>
    </row>
    <row r="324" spans="1:20" ht="15.75" customHeight="1" x14ac:dyDescent="0.3">
      <c r="A324" s="17" t="s">
        <v>45</v>
      </c>
      <c r="B324" s="1"/>
      <c r="C324" s="1"/>
      <c r="D324" s="1"/>
      <c r="E324" s="59" t="s">
        <v>7</v>
      </c>
      <c r="F324" s="1" t="s">
        <v>7</v>
      </c>
      <c r="G324" s="1" t="s">
        <v>7</v>
      </c>
      <c r="H324" s="1" t="s">
        <v>7</v>
      </c>
      <c r="I324" s="59" t="s">
        <v>7</v>
      </c>
      <c r="J324" s="1" t="s">
        <v>7</v>
      </c>
      <c r="K324" s="1" t="s">
        <v>7</v>
      </c>
      <c r="L324" s="1" t="s">
        <v>7</v>
      </c>
      <c r="M324" s="59" t="s">
        <v>7</v>
      </c>
      <c r="N324" s="1" t="s">
        <v>7</v>
      </c>
      <c r="O324" s="1" t="s">
        <v>7</v>
      </c>
      <c r="P324" s="1" t="s">
        <v>7</v>
      </c>
      <c r="Q324" s="59" t="s">
        <v>7</v>
      </c>
      <c r="R324" s="334" t="s">
        <v>7</v>
      </c>
    </row>
    <row r="325" spans="1:20" ht="15.75" customHeight="1" x14ac:dyDescent="0.3">
      <c r="A325" s="17" t="s">
        <v>46</v>
      </c>
      <c r="B325" s="1"/>
      <c r="C325" s="1"/>
      <c r="D325" s="1"/>
      <c r="E325" s="59" t="s">
        <v>7</v>
      </c>
      <c r="F325" s="1"/>
      <c r="G325" s="1"/>
      <c r="H325" s="1"/>
      <c r="I325" s="59" t="s">
        <v>7</v>
      </c>
      <c r="J325" s="1"/>
      <c r="K325" s="1"/>
      <c r="L325" s="1"/>
      <c r="M325" s="59" t="s">
        <v>7</v>
      </c>
      <c r="N325" s="1"/>
      <c r="O325" s="1"/>
      <c r="P325" s="1"/>
      <c r="Q325" s="59" t="s">
        <v>7</v>
      </c>
      <c r="R325" s="59" t="s">
        <v>7</v>
      </c>
    </row>
    <row r="326" spans="1:20" ht="15.75" customHeight="1" x14ac:dyDescent="0.3">
      <c r="A326" s="76" t="s">
        <v>300</v>
      </c>
      <c r="B326" s="1"/>
      <c r="C326" s="1"/>
      <c r="D326" s="1"/>
      <c r="E326" s="59">
        <f t="shared" ref="E326:E355" si="91">SUM(B326:D326)</f>
        <v>0</v>
      </c>
      <c r="F326" s="1"/>
      <c r="G326" s="1"/>
      <c r="H326" s="1"/>
      <c r="I326" s="59">
        <f t="shared" ref="I326:I355" si="92">SUM(F326:H326)</f>
        <v>0</v>
      </c>
      <c r="J326" s="1"/>
      <c r="K326" s="1"/>
      <c r="L326" s="1"/>
      <c r="M326" s="59">
        <f t="shared" ref="M326:M355" si="93">SUM(J326:L326)</f>
        <v>0</v>
      </c>
      <c r="N326" s="1"/>
      <c r="O326" s="1">
        <v>32</v>
      </c>
      <c r="P326" s="1">
        <v>107</v>
      </c>
      <c r="Q326" s="59">
        <f t="shared" ref="Q326:Q355" si="94">SUM(N326:P326)</f>
        <v>139</v>
      </c>
      <c r="R326" s="59">
        <f t="shared" ref="R326:R355" si="95">+E326+I326+M326+Q326</f>
        <v>139</v>
      </c>
      <c r="T326" s="4" t="s">
        <v>301</v>
      </c>
    </row>
    <row r="327" spans="1:20" ht="15.75" customHeight="1" x14ac:dyDescent="0.3">
      <c r="A327" s="76" t="s">
        <v>303</v>
      </c>
      <c r="B327" s="1"/>
      <c r="C327" s="1"/>
      <c r="D327" s="1"/>
      <c r="E327" s="59">
        <f t="shared" si="91"/>
        <v>0</v>
      </c>
      <c r="F327" s="1"/>
      <c r="G327" s="1"/>
      <c r="H327" s="1"/>
      <c r="I327" s="59">
        <f t="shared" si="92"/>
        <v>0</v>
      </c>
      <c r="J327" s="1">
        <v>534</v>
      </c>
      <c r="K327" s="1"/>
      <c r="L327" s="1"/>
      <c r="M327" s="59">
        <f t="shared" si="93"/>
        <v>534</v>
      </c>
      <c r="N327" s="1"/>
      <c r="O327" s="1">
        <v>100</v>
      </c>
      <c r="P327" s="1"/>
      <c r="Q327" s="59">
        <f t="shared" si="94"/>
        <v>100</v>
      </c>
      <c r="R327" s="59">
        <f>+E327+I327+M327+Q327</f>
        <v>634</v>
      </c>
    </row>
    <row r="328" spans="1:20" ht="15.75" customHeight="1" x14ac:dyDescent="0.3">
      <c r="A328" s="76" t="s">
        <v>304</v>
      </c>
      <c r="B328" s="1">
        <v>45</v>
      </c>
      <c r="C328" s="1">
        <v>38</v>
      </c>
      <c r="D328" s="1">
        <v>92</v>
      </c>
      <c r="E328" s="59">
        <f t="shared" si="91"/>
        <v>175</v>
      </c>
      <c r="F328" s="1">
        <v>78</v>
      </c>
      <c r="G328" s="1">
        <v>110</v>
      </c>
      <c r="H328" s="1">
        <v>364</v>
      </c>
      <c r="I328" s="59">
        <f t="shared" si="92"/>
        <v>552</v>
      </c>
      <c r="J328" s="1">
        <v>283</v>
      </c>
      <c r="K328" s="1">
        <v>286</v>
      </c>
      <c r="L328" s="1">
        <v>199</v>
      </c>
      <c r="M328" s="59">
        <f t="shared" si="93"/>
        <v>768</v>
      </c>
      <c r="N328" s="1">
        <v>141</v>
      </c>
      <c r="O328" s="1">
        <v>74</v>
      </c>
      <c r="P328" s="1">
        <v>127</v>
      </c>
      <c r="Q328" s="59">
        <f t="shared" si="94"/>
        <v>342</v>
      </c>
      <c r="R328" s="59">
        <f t="shared" si="95"/>
        <v>1837</v>
      </c>
      <c r="T328" s="4" t="s">
        <v>305</v>
      </c>
    </row>
    <row r="329" spans="1:20" ht="15.75" customHeight="1" x14ac:dyDescent="0.3">
      <c r="A329" s="76" t="s">
        <v>308</v>
      </c>
      <c r="B329" s="1"/>
      <c r="C329" s="1"/>
      <c r="D329" s="1"/>
      <c r="E329" s="59">
        <f t="shared" si="91"/>
        <v>0</v>
      </c>
      <c r="F329" s="1"/>
      <c r="G329" s="1"/>
      <c r="H329" s="1"/>
      <c r="I329" s="59">
        <f t="shared" si="92"/>
        <v>0</v>
      </c>
      <c r="J329" s="1">
        <v>1700</v>
      </c>
      <c r="K329" s="1"/>
      <c r="L329" s="1"/>
      <c r="M329" s="59">
        <f t="shared" si="93"/>
        <v>1700</v>
      </c>
      <c r="N329" s="1"/>
      <c r="O329" s="1"/>
      <c r="P329" s="1"/>
      <c r="Q329" s="59">
        <f t="shared" si="94"/>
        <v>0</v>
      </c>
      <c r="R329" s="59">
        <f t="shared" si="95"/>
        <v>1700</v>
      </c>
      <c r="T329" s="4" t="s">
        <v>307</v>
      </c>
    </row>
    <row r="330" spans="1:20" ht="15.75" customHeight="1" x14ac:dyDescent="0.3">
      <c r="A330" s="76" t="s">
        <v>309</v>
      </c>
      <c r="B330" s="1"/>
      <c r="C330" s="1"/>
      <c r="D330" s="1"/>
      <c r="E330" s="59">
        <f t="shared" ref="E330:E335" si="96">SUM(B330:D330)</f>
        <v>0</v>
      </c>
      <c r="F330" s="1">
        <v>2300</v>
      </c>
      <c r="G330" s="1"/>
      <c r="H330" s="1"/>
      <c r="I330" s="59">
        <f t="shared" ref="I330:I335" si="97">SUM(F330:H330)</f>
        <v>2300</v>
      </c>
      <c r="J330" s="1"/>
      <c r="K330" s="1"/>
      <c r="L330" s="1"/>
      <c r="M330" s="59">
        <f t="shared" ref="M330:M335" si="98">SUM(J330:L330)</f>
        <v>0</v>
      </c>
      <c r="N330" s="1"/>
      <c r="O330" s="1"/>
      <c r="P330" s="1"/>
      <c r="Q330" s="59">
        <f>SUM(N330:P330)</f>
        <v>0</v>
      </c>
      <c r="R330" s="59">
        <f t="shared" si="95"/>
        <v>2300</v>
      </c>
      <c r="T330" s="4" t="s">
        <v>305</v>
      </c>
    </row>
    <row r="331" spans="1:20" ht="15.75" customHeight="1" x14ac:dyDescent="0.3">
      <c r="A331" s="76" t="s">
        <v>310</v>
      </c>
      <c r="B331" s="1"/>
      <c r="C331" s="1"/>
      <c r="D331" s="1"/>
      <c r="E331" s="59">
        <f t="shared" si="96"/>
        <v>0</v>
      </c>
      <c r="F331" s="1"/>
      <c r="G331" s="1"/>
      <c r="H331" s="1"/>
      <c r="I331" s="59">
        <f t="shared" si="97"/>
        <v>0</v>
      </c>
      <c r="J331" s="1">
        <v>600</v>
      </c>
      <c r="K331" s="1"/>
      <c r="L331" s="1"/>
      <c r="M331" s="59">
        <f t="shared" si="98"/>
        <v>600</v>
      </c>
      <c r="N331" s="1"/>
      <c r="O331" s="1"/>
      <c r="P331" s="1"/>
      <c r="Q331" s="59">
        <f>SUM(N331:P331)</f>
        <v>0</v>
      </c>
      <c r="R331" s="59">
        <f t="shared" si="95"/>
        <v>600</v>
      </c>
      <c r="T331" s="4" t="s">
        <v>307</v>
      </c>
    </row>
    <row r="332" spans="1:20" ht="15.75" customHeight="1" x14ac:dyDescent="0.3">
      <c r="A332" s="76" t="s">
        <v>312</v>
      </c>
      <c r="B332" s="1">
        <f>10+22</f>
        <v>32</v>
      </c>
      <c r="C332" s="1">
        <f>15+86</f>
        <v>101</v>
      </c>
      <c r="D332" s="1">
        <v>225</v>
      </c>
      <c r="E332" s="59">
        <f t="shared" si="96"/>
        <v>358</v>
      </c>
      <c r="F332" s="1">
        <v>376</v>
      </c>
      <c r="G332" s="1">
        <v>382</v>
      </c>
      <c r="H332" s="1">
        <v>399</v>
      </c>
      <c r="I332" s="59">
        <f t="shared" si="97"/>
        <v>1157</v>
      </c>
      <c r="J332" s="1">
        <v>377</v>
      </c>
      <c r="K332" s="1">
        <v>322</v>
      </c>
      <c r="L332" s="1">
        <v>250</v>
      </c>
      <c r="M332" s="59">
        <f t="shared" si="98"/>
        <v>949</v>
      </c>
      <c r="N332" s="1">
        <v>274</v>
      </c>
      <c r="O332" s="1">
        <v>284</v>
      </c>
      <c r="P332" s="1">
        <v>135</v>
      </c>
      <c r="Q332" s="59">
        <f>SUM(N332:P332)</f>
        <v>693</v>
      </c>
      <c r="R332" s="59">
        <f>+E332+I332+M332+Q332</f>
        <v>3157</v>
      </c>
      <c r="T332" s="4" t="s">
        <v>313</v>
      </c>
    </row>
    <row r="333" spans="1:20" ht="15.75" customHeight="1" x14ac:dyDescent="0.3">
      <c r="A333" s="76" t="s">
        <v>316</v>
      </c>
      <c r="B333" s="1"/>
      <c r="C333" s="1"/>
      <c r="D333" s="1"/>
      <c r="E333" s="59">
        <f t="shared" si="96"/>
        <v>0</v>
      </c>
      <c r="F333" s="1">
        <v>2400</v>
      </c>
      <c r="G333" s="1"/>
      <c r="H333" s="1"/>
      <c r="I333" s="59">
        <f t="shared" si="97"/>
        <v>2400</v>
      </c>
      <c r="J333" s="1"/>
      <c r="K333" s="1"/>
      <c r="L333" s="1"/>
      <c r="M333" s="59">
        <f t="shared" si="98"/>
        <v>0</v>
      </c>
      <c r="N333" s="1"/>
      <c r="O333" s="1"/>
      <c r="P333" s="1"/>
      <c r="Q333" s="59">
        <f>SUM(N333:P333)</f>
        <v>0</v>
      </c>
      <c r="R333" s="59">
        <f>+E333+I333+M333+Q333</f>
        <v>2400</v>
      </c>
      <c r="T333" s="4" t="s">
        <v>317</v>
      </c>
    </row>
    <row r="334" spans="1:20" ht="15.75" customHeight="1" x14ac:dyDescent="0.3">
      <c r="A334" s="76" t="s">
        <v>318</v>
      </c>
      <c r="B334" s="1"/>
      <c r="C334" s="1"/>
      <c r="D334" s="1"/>
      <c r="E334" s="59">
        <f t="shared" si="96"/>
        <v>0</v>
      </c>
      <c r="F334" s="1"/>
      <c r="G334" s="1">
        <v>1457</v>
      </c>
      <c r="H334" s="1">
        <v>5998</v>
      </c>
      <c r="I334" s="59">
        <f t="shared" si="97"/>
        <v>7455</v>
      </c>
      <c r="J334" s="1">
        <v>3196</v>
      </c>
      <c r="K334" s="1">
        <v>4330</v>
      </c>
      <c r="L334" s="1">
        <v>6019</v>
      </c>
      <c r="M334" s="59">
        <f t="shared" si="98"/>
        <v>13545</v>
      </c>
      <c r="N334" s="1"/>
      <c r="O334" s="1"/>
      <c r="P334" s="1"/>
      <c r="Q334" s="59">
        <f t="shared" ref="Q334" si="99">SUM(N334:P334)</f>
        <v>0</v>
      </c>
      <c r="R334" s="59">
        <f>+E334+I334+M334+Q334</f>
        <v>21000</v>
      </c>
    </row>
    <row r="335" spans="1:20" ht="15.75" customHeight="1" x14ac:dyDescent="0.3">
      <c r="A335" s="76" t="s">
        <v>912</v>
      </c>
      <c r="B335" s="1"/>
      <c r="C335" s="1"/>
      <c r="D335" s="1">
        <v>315</v>
      </c>
      <c r="E335" s="59">
        <f t="shared" si="96"/>
        <v>315</v>
      </c>
      <c r="F335" s="1"/>
      <c r="G335" s="1"/>
      <c r="H335" s="1"/>
      <c r="I335" s="59">
        <f t="shared" si="97"/>
        <v>0</v>
      </c>
      <c r="J335" s="1"/>
      <c r="K335" s="1"/>
      <c r="L335" s="1"/>
      <c r="M335" s="59">
        <f t="shared" si="98"/>
        <v>0</v>
      </c>
      <c r="N335" s="1"/>
      <c r="O335" s="1"/>
      <c r="P335" s="1"/>
      <c r="Q335" s="59">
        <f>SUM(N335:P335)</f>
        <v>0</v>
      </c>
      <c r="R335" s="59">
        <f>+E335+I335+M335+Q335</f>
        <v>315</v>
      </c>
    </row>
    <row r="336" spans="1:20" ht="15.75" customHeight="1" x14ac:dyDescent="0.3">
      <c r="A336" s="76" t="s">
        <v>320</v>
      </c>
      <c r="B336" s="1"/>
      <c r="C336" s="1"/>
      <c r="D336" s="1"/>
      <c r="E336" s="59">
        <f t="shared" ref="E336" si="100">SUM(B336:D336)</f>
        <v>0</v>
      </c>
      <c r="F336" s="1">
        <v>800</v>
      </c>
      <c r="G336" s="1"/>
      <c r="H336" s="1">
        <v>871</v>
      </c>
      <c r="I336" s="59">
        <f t="shared" ref="I336:I337" si="101">SUM(F336:H336)</f>
        <v>1671</v>
      </c>
      <c r="J336" s="1"/>
      <c r="K336" s="1"/>
      <c r="L336" s="1"/>
      <c r="M336" s="59">
        <f t="shared" ref="M336:M337" si="102">SUM(J336:L336)</f>
        <v>0</v>
      </c>
      <c r="N336" s="1"/>
      <c r="O336" s="1"/>
      <c r="P336" s="1"/>
      <c r="Q336" s="59">
        <f t="shared" ref="Q336:Q337" si="103">SUM(N336:P336)</f>
        <v>0</v>
      </c>
      <c r="R336" s="59">
        <f t="shared" ref="R336:R337" si="104">+E336+I336+M336+Q336</f>
        <v>1671</v>
      </c>
    </row>
    <row r="337" spans="1:20" ht="15.75" customHeight="1" x14ac:dyDescent="0.3">
      <c r="A337" s="76" t="s">
        <v>321</v>
      </c>
      <c r="B337" s="1"/>
      <c r="C337" s="1">
        <v>500</v>
      </c>
      <c r="D337" s="1">
        <v>330</v>
      </c>
      <c r="E337" s="59">
        <f>SUM(B337:D337)</f>
        <v>830</v>
      </c>
      <c r="F337" s="1"/>
      <c r="G337" s="1"/>
      <c r="H337" s="1"/>
      <c r="I337" s="59">
        <f t="shared" si="101"/>
        <v>0</v>
      </c>
      <c r="J337" s="1"/>
      <c r="K337" s="1"/>
      <c r="L337" s="1"/>
      <c r="M337" s="59">
        <f t="shared" si="102"/>
        <v>0</v>
      </c>
      <c r="N337" s="1"/>
      <c r="O337" s="1"/>
      <c r="P337" s="1"/>
      <c r="Q337" s="59">
        <f t="shared" si="103"/>
        <v>0</v>
      </c>
      <c r="R337" s="59">
        <f t="shared" si="104"/>
        <v>830</v>
      </c>
      <c r="T337" s="4" t="s">
        <v>315</v>
      </c>
    </row>
    <row r="338" spans="1:20" ht="15.75" customHeight="1" x14ac:dyDescent="0.3">
      <c r="A338" s="76" t="s">
        <v>322</v>
      </c>
      <c r="B338" s="1"/>
      <c r="C338" s="1"/>
      <c r="D338" s="1"/>
      <c r="E338" s="59">
        <f t="shared" si="91"/>
        <v>0</v>
      </c>
      <c r="F338" s="1"/>
      <c r="G338" s="1"/>
      <c r="H338" s="1"/>
      <c r="I338" s="59">
        <f t="shared" si="92"/>
        <v>0</v>
      </c>
      <c r="J338" s="1"/>
      <c r="K338" s="1"/>
      <c r="L338" s="1">
        <v>1128</v>
      </c>
      <c r="M338" s="59">
        <f t="shared" si="93"/>
        <v>1128</v>
      </c>
      <c r="N338" s="1">
        <v>686</v>
      </c>
      <c r="O338" s="1">
        <v>528</v>
      </c>
      <c r="P338" s="1">
        <v>1118</v>
      </c>
      <c r="Q338" s="59">
        <f t="shared" si="94"/>
        <v>2332</v>
      </c>
      <c r="R338" s="59">
        <f t="shared" si="95"/>
        <v>3460</v>
      </c>
      <c r="T338" s="4" t="s">
        <v>217</v>
      </c>
    </row>
    <row r="339" spans="1:20" ht="15.75" customHeight="1" x14ac:dyDescent="0.3">
      <c r="A339" s="76" t="s">
        <v>887</v>
      </c>
      <c r="B339" s="1"/>
      <c r="C339" s="1"/>
      <c r="D339" s="1"/>
      <c r="E339" s="59">
        <f t="shared" si="91"/>
        <v>0</v>
      </c>
      <c r="F339" s="1"/>
      <c r="G339" s="1"/>
      <c r="H339" s="1"/>
      <c r="I339" s="59">
        <f t="shared" si="92"/>
        <v>0</v>
      </c>
      <c r="J339" s="1"/>
      <c r="K339" s="1"/>
      <c r="L339" s="1"/>
      <c r="M339" s="59">
        <f t="shared" si="93"/>
        <v>0</v>
      </c>
      <c r="N339" s="1"/>
      <c r="O339" s="1"/>
      <c r="P339" s="1"/>
      <c r="Q339" s="59">
        <f t="shared" si="94"/>
        <v>0</v>
      </c>
      <c r="R339" s="59">
        <f t="shared" si="95"/>
        <v>0</v>
      </c>
      <c r="T339" s="4" t="s">
        <v>305</v>
      </c>
    </row>
    <row r="340" spans="1:20" ht="15.75" customHeight="1" x14ac:dyDescent="0.3">
      <c r="A340" s="76" t="s">
        <v>325</v>
      </c>
      <c r="B340" s="1"/>
      <c r="C340" s="1"/>
      <c r="D340" s="1"/>
      <c r="E340" s="59">
        <f t="shared" si="91"/>
        <v>0</v>
      </c>
      <c r="F340" s="1"/>
      <c r="G340" s="1"/>
      <c r="H340" s="1"/>
      <c r="I340" s="59">
        <f t="shared" si="92"/>
        <v>0</v>
      </c>
      <c r="J340" s="1"/>
      <c r="K340" s="1"/>
      <c r="L340" s="1"/>
      <c r="M340" s="59">
        <f t="shared" si="93"/>
        <v>0</v>
      </c>
      <c r="N340" s="1"/>
      <c r="O340" s="1"/>
      <c r="P340" s="1"/>
      <c r="Q340" s="59">
        <f t="shared" si="94"/>
        <v>0</v>
      </c>
      <c r="R340" s="59">
        <f t="shared" si="95"/>
        <v>0</v>
      </c>
      <c r="T340" s="4" t="s">
        <v>305</v>
      </c>
    </row>
    <row r="341" spans="1:20" ht="15.75" customHeight="1" x14ac:dyDescent="0.3">
      <c r="A341" s="76" t="s">
        <v>326</v>
      </c>
      <c r="B341" s="1"/>
      <c r="C341" s="1"/>
      <c r="D341" s="1"/>
      <c r="E341" s="59">
        <f t="shared" si="91"/>
        <v>0</v>
      </c>
      <c r="F341" s="1"/>
      <c r="G341" s="1"/>
      <c r="H341" s="1"/>
      <c r="I341" s="59">
        <f t="shared" si="92"/>
        <v>0</v>
      </c>
      <c r="J341" s="1"/>
      <c r="K341" s="1"/>
      <c r="L341" s="1"/>
      <c r="M341" s="59">
        <f t="shared" si="93"/>
        <v>0</v>
      </c>
      <c r="N341" s="1">
        <v>2023</v>
      </c>
      <c r="O341" s="1">
        <v>828</v>
      </c>
      <c r="P341" s="1"/>
      <c r="Q341" s="59">
        <f t="shared" si="94"/>
        <v>2851</v>
      </c>
      <c r="R341" s="59">
        <f t="shared" si="95"/>
        <v>2851</v>
      </c>
    </row>
    <row r="342" spans="1:20" ht="15.75" customHeight="1" x14ac:dyDescent="0.3">
      <c r="A342" s="76" t="s">
        <v>327</v>
      </c>
      <c r="B342" s="1"/>
      <c r="C342" s="1"/>
      <c r="D342" s="1"/>
      <c r="E342" s="59">
        <f>SUM(B342:D342)</f>
        <v>0</v>
      </c>
      <c r="F342" s="1"/>
      <c r="G342" s="1"/>
      <c r="H342" s="1"/>
      <c r="I342" s="59">
        <f>SUM(F342:H342)</f>
        <v>0</v>
      </c>
      <c r="J342" s="1"/>
      <c r="K342" s="1"/>
      <c r="L342" s="1">
        <v>172</v>
      </c>
      <c r="M342" s="59">
        <f t="shared" si="93"/>
        <v>172</v>
      </c>
      <c r="N342" s="1"/>
      <c r="O342" s="1"/>
      <c r="P342" s="1"/>
      <c r="Q342" s="59">
        <f>SUM(N342:P342)</f>
        <v>0</v>
      </c>
      <c r="R342" s="59">
        <f t="shared" si="95"/>
        <v>172</v>
      </c>
      <c r="T342" s="4" t="s">
        <v>315</v>
      </c>
    </row>
    <row r="343" spans="1:20" ht="15.75" customHeight="1" x14ac:dyDescent="0.3">
      <c r="A343" s="76" t="s">
        <v>328</v>
      </c>
      <c r="B343" s="1"/>
      <c r="C343" s="1"/>
      <c r="D343" s="1"/>
      <c r="E343" s="59">
        <f t="shared" si="91"/>
        <v>0</v>
      </c>
      <c r="F343" s="1"/>
      <c r="G343" s="1"/>
      <c r="H343" s="1"/>
      <c r="I343" s="59">
        <f t="shared" si="92"/>
        <v>0</v>
      </c>
      <c r="J343" s="1"/>
      <c r="K343" s="1">
        <v>685</v>
      </c>
      <c r="L343" s="1">
        <v>1081</v>
      </c>
      <c r="M343" s="59">
        <f t="shared" si="93"/>
        <v>1766</v>
      </c>
      <c r="N343" s="1">
        <v>804</v>
      </c>
      <c r="O343" s="1">
        <v>723</v>
      </c>
      <c r="P343" s="1">
        <v>1115</v>
      </c>
      <c r="Q343" s="59">
        <f t="shared" si="94"/>
        <v>2642</v>
      </c>
      <c r="R343" s="59">
        <f t="shared" si="95"/>
        <v>4408</v>
      </c>
      <c r="T343" s="4" t="s">
        <v>217</v>
      </c>
    </row>
    <row r="344" spans="1:20" ht="15.75" customHeight="1" x14ac:dyDescent="0.3">
      <c r="A344" s="76" t="s">
        <v>956</v>
      </c>
      <c r="B344" s="1"/>
      <c r="C344" s="1"/>
      <c r="D344" s="1"/>
      <c r="E344" s="59">
        <f t="shared" si="91"/>
        <v>0</v>
      </c>
      <c r="F344" s="1"/>
      <c r="G344" s="1"/>
      <c r="H344" s="1"/>
      <c r="I344" s="59">
        <f t="shared" si="92"/>
        <v>0</v>
      </c>
      <c r="J344" s="1"/>
      <c r="K344" s="1"/>
      <c r="L344" s="1"/>
      <c r="M344" s="59">
        <f t="shared" si="93"/>
        <v>0</v>
      </c>
      <c r="N344" s="1"/>
      <c r="O344" s="1"/>
      <c r="P344" s="1">
        <v>255</v>
      </c>
      <c r="Q344" s="59">
        <f t="shared" si="94"/>
        <v>255</v>
      </c>
      <c r="R344" s="59">
        <f t="shared" si="95"/>
        <v>255</v>
      </c>
    </row>
    <row r="345" spans="1:20" ht="15.75" customHeight="1" x14ac:dyDescent="0.3">
      <c r="A345" s="76" t="s">
        <v>329</v>
      </c>
      <c r="B345" s="1"/>
      <c r="C345" s="1"/>
      <c r="D345" s="1"/>
      <c r="E345" s="59">
        <f>SUM(B345:D345)</f>
        <v>0</v>
      </c>
      <c r="F345" s="1"/>
      <c r="G345" s="1"/>
      <c r="H345" s="1"/>
      <c r="I345" s="59">
        <f>SUM(F345:H345)</f>
        <v>0</v>
      </c>
      <c r="J345" s="1"/>
      <c r="K345" s="1"/>
      <c r="L345" s="1"/>
      <c r="M345" s="59">
        <f>SUM(J345:L345)</f>
        <v>0</v>
      </c>
      <c r="N345" s="1"/>
      <c r="O345" s="1"/>
      <c r="P345" s="1"/>
      <c r="Q345" s="59">
        <f>SUM(N345:P345)</f>
        <v>0</v>
      </c>
      <c r="R345" s="59">
        <f t="shared" si="95"/>
        <v>0</v>
      </c>
      <c r="T345" s="4" t="s">
        <v>315</v>
      </c>
    </row>
    <row r="346" spans="1:20" ht="15.75" customHeight="1" x14ac:dyDescent="0.3">
      <c r="A346" s="76" t="s">
        <v>330</v>
      </c>
      <c r="B346" s="1"/>
      <c r="C346" s="1"/>
      <c r="D346" s="1"/>
      <c r="E346" s="59">
        <f t="shared" si="91"/>
        <v>0</v>
      </c>
      <c r="F346" s="1"/>
      <c r="G346" s="1"/>
      <c r="H346" s="1"/>
      <c r="I346" s="59">
        <f t="shared" si="92"/>
        <v>0</v>
      </c>
      <c r="J346" s="1"/>
      <c r="K346" s="1"/>
      <c r="L346" s="1"/>
      <c r="M346" s="59">
        <f t="shared" si="93"/>
        <v>0</v>
      </c>
      <c r="N346" s="1"/>
      <c r="O346" s="1"/>
      <c r="P346" s="1"/>
      <c r="Q346" s="59">
        <f t="shared" si="94"/>
        <v>0</v>
      </c>
      <c r="R346" s="59">
        <f t="shared" si="95"/>
        <v>0</v>
      </c>
      <c r="S346" s="125"/>
      <c r="T346" s="4" t="s">
        <v>331</v>
      </c>
    </row>
    <row r="347" spans="1:20" ht="15.75" customHeight="1" x14ac:dyDescent="0.3">
      <c r="A347" s="76" t="s">
        <v>332</v>
      </c>
      <c r="B347" s="1">
        <v>7</v>
      </c>
      <c r="C347" s="1">
        <v>15</v>
      </c>
      <c r="D347" s="1">
        <v>37</v>
      </c>
      <c r="E347" s="59">
        <f>SUM(B347:D347)</f>
        <v>59</v>
      </c>
      <c r="F347" s="1">
        <v>66</v>
      </c>
      <c r="G347" s="1">
        <v>73</v>
      </c>
      <c r="H347" s="1">
        <v>66</v>
      </c>
      <c r="I347" s="59">
        <f>SUM(F347:H347)</f>
        <v>205</v>
      </c>
      <c r="J347" s="1">
        <v>39</v>
      </c>
      <c r="K347" s="1">
        <v>21</v>
      </c>
      <c r="L347" s="1">
        <v>2</v>
      </c>
      <c r="M347" s="59">
        <f>SUM(J347:L347)</f>
        <v>62</v>
      </c>
      <c r="N347" s="1">
        <v>4</v>
      </c>
      <c r="O347" s="1">
        <v>25</v>
      </c>
      <c r="P347" s="1">
        <v>24</v>
      </c>
      <c r="Q347" s="59">
        <f>SUM(N347:P347)</f>
        <v>53</v>
      </c>
      <c r="R347" s="59">
        <f>+E347+I347+M347+Q347</f>
        <v>379</v>
      </c>
      <c r="T347" s="4" t="s">
        <v>127</v>
      </c>
    </row>
    <row r="348" spans="1:20" ht="15.75" customHeight="1" x14ac:dyDescent="0.3">
      <c r="A348" s="76" t="s">
        <v>333</v>
      </c>
      <c r="B348" s="1">
        <v>1183</v>
      </c>
      <c r="C348" s="1">
        <v>1185</v>
      </c>
      <c r="D348" s="1">
        <v>2063</v>
      </c>
      <c r="E348" s="59">
        <f t="shared" si="91"/>
        <v>4431</v>
      </c>
      <c r="F348" s="1">
        <v>123</v>
      </c>
      <c r="G348" s="1">
        <v>1673</v>
      </c>
      <c r="H348" s="1">
        <v>5495</v>
      </c>
      <c r="I348" s="59">
        <f t="shared" si="92"/>
        <v>7291</v>
      </c>
      <c r="J348" s="1">
        <v>5229</v>
      </c>
      <c r="K348" s="1">
        <v>4808</v>
      </c>
      <c r="L348" s="1">
        <v>4788</v>
      </c>
      <c r="M348" s="59">
        <f t="shared" si="93"/>
        <v>14825</v>
      </c>
      <c r="N348" s="1">
        <v>4495</v>
      </c>
      <c r="O348" s="1">
        <v>4482</v>
      </c>
      <c r="P348" s="1">
        <v>4569</v>
      </c>
      <c r="Q348" s="59">
        <f t="shared" si="94"/>
        <v>13546</v>
      </c>
      <c r="R348" s="59">
        <f t="shared" si="95"/>
        <v>40093</v>
      </c>
      <c r="T348" s="4" t="s">
        <v>334</v>
      </c>
    </row>
    <row r="349" spans="1:20" ht="15.75" customHeight="1" x14ac:dyDescent="0.3">
      <c r="A349" s="76" t="s">
        <v>335</v>
      </c>
      <c r="B349" s="1"/>
      <c r="C349" s="1"/>
      <c r="D349" s="1"/>
      <c r="E349" s="59">
        <f t="shared" si="91"/>
        <v>0</v>
      </c>
      <c r="F349" s="1"/>
      <c r="G349" s="1"/>
      <c r="H349" s="1"/>
      <c r="I349" s="59">
        <f t="shared" si="92"/>
        <v>0</v>
      </c>
      <c r="J349" s="1"/>
      <c r="K349" s="1"/>
      <c r="L349" s="1"/>
      <c r="M349" s="59">
        <f t="shared" si="93"/>
        <v>0</v>
      </c>
      <c r="N349" s="1"/>
      <c r="O349" s="1"/>
      <c r="P349" s="1"/>
      <c r="Q349" s="59">
        <f t="shared" si="94"/>
        <v>0</v>
      </c>
      <c r="R349" s="59">
        <f t="shared" si="95"/>
        <v>0</v>
      </c>
      <c r="T349" s="4" t="s">
        <v>336</v>
      </c>
    </row>
    <row r="350" spans="1:20" ht="15.75" customHeight="1" x14ac:dyDescent="0.3">
      <c r="A350" s="76" t="s">
        <v>339</v>
      </c>
      <c r="B350" s="1"/>
      <c r="C350" s="1">
        <v>754</v>
      </c>
      <c r="D350" s="1">
        <v>300</v>
      </c>
      <c r="E350" s="59">
        <f t="shared" si="91"/>
        <v>1054</v>
      </c>
      <c r="F350" s="1">
        <v>454</v>
      </c>
      <c r="G350" s="1">
        <v>377</v>
      </c>
      <c r="H350" s="1"/>
      <c r="I350" s="59">
        <f t="shared" si="92"/>
        <v>831</v>
      </c>
      <c r="J350" s="1">
        <v>754</v>
      </c>
      <c r="K350" s="1">
        <v>1885</v>
      </c>
      <c r="L350" s="1"/>
      <c r="M350" s="59">
        <f t="shared" si="93"/>
        <v>2639</v>
      </c>
      <c r="N350" s="1"/>
      <c r="O350" s="1"/>
      <c r="P350" s="1"/>
      <c r="Q350" s="59">
        <f t="shared" si="94"/>
        <v>0</v>
      </c>
      <c r="R350" s="59">
        <f t="shared" si="95"/>
        <v>4524</v>
      </c>
    </row>
    <row r="351" spans="1:20" ht="15.75" customHeight="1" x14ac:dyDescent="0.3">
      <c r="A351" s="76" t="s">
        <v>913</v>
      </c>
      <c r="B351" s="1"/>
      <c r="C351" s="1"/>
      <c r="D351" s="1"/>
      <c r="E351" s="59">
        <f t="shared" si="91"/>
        <v>0</v>
      </c>
      <c r="F351" s="1"/>
      <c r="G351" s="1"/>
      <c r="H351" s="1"/>
      <c r="I351" s="59">
        <f t="shared" si="92"/>
        <v>0</v>
      </c>
      <c r="J351" s="1"/>
      <c r="K351" s="1"/>
      <c r="L351" s="1"/>
      <c r="M351" s="59">
        <f t="shared" si="93"/>
        <v>0</v>
      </c>
      <c r="N351" s="1"/>
      <c r="O351" s="1"/>
      <c r="P351" s="1"/>
      <c r="Q351" s="59">
        <f t="shared" si="94"/>
        <v>0</v>
      </c>
      <c r="R351" s="59">
        <f t="shared" si="95"/>
        <v>0</v>
      </c>
    </row>
    <row r="352" spans="1:20" ht="15.75" customHeight="1" x14ac:dyDescent="0.3">
      <c r="A352" s="76" t="s">
        <v>341</v>
      </c>
      <c r="B352" s="1"/>
      <c r="C352" s="1"/>
      <c r="D352" s="1"/>
      <c r="E352" s="59">
        <f t="shared" si="91"/>
        <v>0</v>
      </c>
      <c r="F352" s="1"/>
      <c r="G352" s="1"/>
      <c r="H352" s="1">
        <v>4927</v>
      </c>
      <c r="I352" s="59">
        <f t="shared" si="92"/>
        <v>4927</v>
      </c>
      <c r="J352" s="1">
        <v>13</v>
      </c>
      <c r="K352" s="1"/>
      <c r="L352" s="1"/>
      <c r="M352" s="59">
        <f t="shared" si="93"/>
        <v>13</v>
      </c>
      <c r="N352" s="1"/>
      <c r="O352" s="1"/>
      <c r="P352" s="1"/>
      <c r="Q352" s="59">
        <f>SUM(N352:P352)</f>
        <v>0</v>
      </c>
      <c r="R352" s="59">
        <f>+E352+I352+M352+Q352</f>
        <v>4940</v>
      </c>
      <c r="T352" s="4" t="s">
        <v>315</v>
      </c>
    </row>
    <row r="353" spans="1:20" ht="15.75" customHeight="1" x14ac:dyDescent="0.3">
      <c r="A353" s="76" t="s">
        <v>342</v>
      </c>
      <c r="B353" s="1">
        <v>20</v>
      </c>
      <c r="C353" s="1">
        <v>30</v>
      </c>
      <c r="D353" s="1">
        <v>35</v>
      </c>
      <c r="E353" s="59">
        <f>SUM(B353:D353)</f>
        <v>85</v>
      </c>
      <c r="F353" s="1">
        <v>59</v>
      </c>
      <c r="G353" s="1">
        <v>62</v>
      </c>
      <c r="H353" s="1">
        <v>60</v>
      </c>
      <c r="I353" s="59">
        <f>SUM(F353:H353)</f>
        <v>181</v>
      </c>
      <c r="J353" s="1">
        <v>76</v>
      </c>
      <c r="K353" s="1">
        <v>56</v>
      </c>
      <c r="L353" s="1">
        <v>45</v>
      </c>
      <c r="M353" s="59">
        <f>SUM(J353:L353)</f>
        <v>177</v>
      </c>
      <c r="N353" s="1">
        <v>64</v>
      </c>
      <c r="O353" s="1">
        <v>79</v>
      </c>
      <c r="P353" s="1">
        <v>38</v>
      </c>
      <c r="Q353" s="59">
        <f>SUM(N353:P353)</f>
        <v>181</v>
      </c>
      <c r="R353" s="59">
        <f>+E353+I353+M353+Q353</f>
        <v>624</v>
      </c>
      <c r="T353" s="4" t="s">
        <v>127</v>
      </c>
    </row>
    <row r="354" spans="1:20" ht="15.75" customHeight="1" x14ac:dyDescent="0.3">
      <c r="A354" s="74" t="s">
        <v>343</v>
      </c>
      <c r="B354" s="1"/>
      <c r="C354" s="1"/>
      <c r="D354" s="1"/>
      <c r="E354" s="59">
        <f>SUM(B354:D354)</f>
        <v>0</v>
      </c>
      <c r="F354" s="1">
        <v>37</v>
      </c>
      <c r="G354" s="1"/>
      <c r="H354" s="1"/>
      <c r="I354" s="59">
        <f>SUM(F354:H354)</f>
        <v>37</v>
      </c>
      <c r="J354" s="1"/>
      <c r="K354" s="1"/>
      <c r="L354" s="1"/>
      <c r="M354" s="59">
        <f>SUM(J354:L354)</f>
        <v>0</v>
      </c>
      <c r="N354" s="1"/>
      <c r="O354" s="1"/>
      <c r="P354" s="1"/>
      <c r="Q354" s="59">
        <f>SUM(N354:P354)</f>
        <v>0</v>
      </c>
      <c r="R354" s="59">
        <f t="shared" si="95"/>
        <v>37</v>
      </c>
    </row>
    <row r="355" spans="1:20" ht="15.75" customHeight="1" x14ac:dyDescent="0.3">
      <c r="A355" s="76" t="s">
        <v>344</v>
      </c>
      <c r="B355" s="1"/>
      <c r="C355" s="1"/>
      <c r="D355" s="1"/>
      <c r="E355" s="59">
        <f t="shared" si="91"/>
        <v>0</v>
      </c>
      <c r="F355" s="1"/>
      <c r="G355" s="1"/>
      <c r="H355" s="1"/>
      <c r="I355" s="59">
        <f t="shared" si="92"/>
        <v>0</v>
      </c>
      <c r="J355" s="1">
        <v>122</v>
      </c>
      <c r="K355" s="1">
        <v>128</v>
      </c>
      <c r="L355" s="1">
        <v>122</v>
      </c>
      <c r="M355" s="59">
        <f t="shared" si="93"/>
        <v>372</v>
      </c>
      <c r="N355" s="1">
        <v>123</v>
      </c>
      <c r="O355" s="1"/>
      <c r="P355" s="1"/>
      <c r="Q355" s="59">
        <f t="shared" si="94"/>
        <v>123</v>
      </c>
      <c r="R355" s="59">
        <f t="shared" si="95"/>
        <v>495</v>
      </c>
      <c r="S355" s="4">
        <f>SUM(R326:R355)</f>
        <v>98821</v>
      </c>
      <c r="T355" s="4" t="s">
        <v>331</v>
      </c>
    </row>
    <row r="356" spans="1:20" ht="15.75" customHeight="1" x14ac:dyDescent="0.3">
      <c r="A356" s="76" t="s">
        <v>345</v>
      </c>
      <c r="B356" s="1">
        <v>6</v>
      </c>
      <c r="C356" s="1">
        <v>9</v>
      </c>
      <c r="D356" s="1">
        <v>27</v>
      </c>
      <c r="E356" s="59">
        <f>SUM(B356:D356)</f>
        <v>42</v>
      </c>
      <c r="F356" s="1">
        <v>59</v>
      </c>
      <c r="G356" s="1">
        <v>74</v>
      </c>
      <c r="H356" s="1">
        <v>61</v>
      </c>
      <c r="I356" s="59">
        <f>SUM(F356:H356)</f>
        <v>194</v>
      </c>
      <c r="J356" s="1">
        <v>76</v>
      </c>
      <c r="K356" s="1">
        <v>60</v>
      </c>
      <c r="L356" s="1">
        <v>50</v>
      </c>
      <c r="M356" s="59">
        <f>SUM(J356:L356)</f>
        <v>186</v>
      </c>
      <c r="N356" s="1">
        <v>65</v>
      </c>
      <c r="O356" s="1">
        <v>48</v>
      </c>
      <c r="P356" s="1">
        <v>27</v>
      </c>
      <c r="Q356" s="59">
        <f>SUM(N356:P356)</f>
        <v>140</v>
      </c>
      <c r="R356" s="59">
        <f>+E356+I356+M356+Q356</f>
        <v>562</v>
      </c>
      <c r="T356" s="4" t="s">
        <v>127</v>
      </c>
    </row>
    <row r="357" spans="1:20" ht="15.75" customHeight="1" x14ac:dyDescent="0.3">
      <c r="A357" s="17" t="s">
        <v>47</v>
      </c>
      <c r="B357" s="1"/>
      <c r="C357" s="1"/>
      <c r="D357" s="1"/>
      <c r="E357" s="59" t="s">
        <v>7</v>
      </c>
      <c r="F357" s="1"/>
      <c r="G357" s="1"/>
      <c r="H357" s="1"/>
      <c r="I357" s="59" t="s">
        <v>7</v>
      </c>
      <c r="J357" s="1"/>
      <c r="K357" s="1"/>
      <c r="L357" s="1"/>
      <c r="M357" s="59" t="s">
        <v>7</v>
      </c>
      <c r="N357" s="1"/>
      <c r="O357" s="1"/>
      <c r="P357" s="1"/>
      <c r="Q357" s="59" t="s">
        <v>7</v>
      </c>
      <c r="R357" s="59" t="s">
        <v>7</v>
      </c>
    </row>
    <row r="358" spans="1:20" ht="15.75" customHeight="1" x14ac:dyDescent="0.3">
      <c r="A358" s="76" t="s">
        <v>346</v>
      </c>
      <c r="B358" s="1"/>
      <c r="C358" s="1"/>
      <c r="D358" s="1"/>
      <c r="E358" s="59">
        <f t="shared" ref="E358:E370" si="105">SUM(B358:D358)</f>
        <v>0</v>
      </c>
      <c r="F358" s="1"/>
      <c r="G358" s="1"/>
      <c r="H358" s="1"/>
      <c r="I358" s="59">
        <f t="shared" ref="I358:I370" si="106">SUM(F358:H358)</f>
        <v>0</v>
      </c>
      <c r="J358" s="1"/>
      <c r="K358" s="1"/>
      <c r="L358" s="1"/>
      <c r="M358" s="59">
        <f t="shared" ref="M358:M370" si="107">SUM(J358:L358)</f>
        <v>0</v>
      </c>
      <c r="N358" s="1"/>
      <c r="O358" s="1"/>
      <c r="P358" s="1"/>
      <c r="Q358" s="59">
        <f t="shared" ref="Q358:Q370" si="108">SUM(N358:P358)</f>
        <v>0</v>
      </c>
      <c r="R358" s="59">
        <f t="shared" ref="R358:R370" si="109">+E358+I358+M358+Q358</f>
        <v>0</v>
      </c>
    </row>
    <row r="359" spans="1:20" ht="15.75" customHeight="1" x14ac:dyDescent="0.3">
      <c r="A359" s="76" t="s">
        <v>347</v>
      </c>
      <c r="B359" s="1"/>
      <c r="C359" s="1"/>
      <c r="D359" s="1"/>
      <c r="E359" s="59">
        <f>SUM(B359:D359)</f>
        <v>0</v>
      </c>
      <c r="F359" s="1"/>
      <c r="G359" s="1"/>
      <c r="H359" s="1"/>
      <c r="I359" s="59">
        <f>SUM(F359:H359)</f>
        <v>0</v>
      </c>
      <c r="J359" s="1"/>
      <c r="K359" s="1"/>
      <c r="L359" s="1"/>
      <c r="M359" s="59">
        <f>SUM(J359:L359)</f>
        <v>0</v>
      </c>
      <c r="N359" s="1"/>
      <c r="O359" s="1"/>
      <c r="P359" s="1"/>
      <c r="Q359" s="59">
        <f>SUM(N359:P359)</f>
        <v>0</v>
      </c>
      <c r="R359" s="59">
        <f t="shared" si="109"/>
        <v>0</v>
      </c>
      <c r="T359" s="4" t="s">
        <v>348</v>
      </c>
    </row>
    <row r="360" spans="1:20" ht="15.75" customHeight="1" x14ac:dyDescent="0.3">
      <c r="A360" s="76" t="s">
        <v>957</v>
      </c>
      <c r="B360" s="1"/>
      <c r="C360" s="1"/>
      <c r="D360" s="1"/>
      <c r="E360" s="59">
        <f>SUM(B360:D360)</f>
        <v>0</v>
      </c>
      <c r="F360" s="1"/>
      <c r="G360" s="1"/>
      <c r="H360" s="1"/>
      <c r="I360" s="59">
        <f>SUM(F360:H360)</f>
        <v>0</v>
      </c>
      <c r="J360" s="1"/>
      <c r="K360" s="1"/>
      <c r="L360" s="1"/>
      <c r="M360" s="59">
        <f>SUM(J360:L360)</f>
        <v>0</v>
      </c>
      <c r="N360" s="1"/>
      <c r="O360" s="1"/>
      <c r="P360" s="1">
        <v>15</v>
      </c>
      <c r="Q360" s="59">
        <f>SUM(N360:P360)</f>
        <v>15</v>
      </c>
      <c r="R360" s="59">
        <f t="shared" si="109"/>
        <v>15</v>
      </c>
    </row>
    <row r="361" spans="1:20" ht="15.75" customHeight="1" x14ac:dyDescent="0.3">
      <c r="A361" s="76" t="s">
        <v>958</v>
      </c>
      <c r="B361" s="1"/>
      <c r="C361" s="1"/>
      <c r="D361" s="1"/>
      <c r="E361" s="59">
        <f>SUM(B361:D361)</f>
        <v>0</v>
      </c>
      <c r="F361" s="1"/>
      <c r="G361" s="1"/>
      <c r="H361" s="1"/>
      <c r="I361" s="59">
        <f>SUM(F361:H361)</f>
        <v>0</v>
      </c>
      <c r="J361" s="1"/>
      <c r="K361" s="1"/>
      <c r="L361" s="1"/>
      <c r="M361" s="59">
        <f>SUM(J361:L361)</f>
        <v>0</v>
      </c>
      <c r="N361" s="1"/>
      <c r="O361" s="1"/>
      <c r="P361" s="1">
        <v>19</v>
      </c>
      <c r="Q361" s="59">
        <f>SUM(N361:P361)</f>
        <v>19</v>
      </c>
      <c r="R361" s="59">
        <f t="shared" si="109"/>
        <v>19</v>
      </c>
    </row>
    <row r="362" spans="1:20" ht="15.75" customHeight="1" x14ac:dyDescent="0.3">
      <c r="A362" s="76" t="s">
        <v>349</v>
      </c>
      <c r="B362" s="1"/>
      <c r="C362" s="1"/>
      <c r="D362" s="1"/>
      <c r="E362" s="59">
        <f>SUM(B362:D362)</f>
        <v>0</v>
      </c>
      <c r="F362" s="1"/>
      <c r="G362" s="1"/>
      <c r="H362" s="1"/>
      <c r="I362" s="59">
        <f>SUM(F362:H362)</f>
        <v>0</v>
      </c>
      <c r="J362" s="1"/>
      <c r="K362" s="1"/>
      <c r="L362" s="1"/>
      <c r="M362" s="59">
        <f>SUM(J362:L362)</f>
        <v>0</v>
      </c>
      <c r="N362" s="1"/>
      <c r="O362" s="1"/>
      <c r="P362" s="1"/>
      <c r="Q362" s="59">
        <f>SUM(N362:P362)</f>
        <v>0</v>
      </c>
      <c r="R362" s="59">
        <f t="shared" si="109"/>
        <v>0</v>
      </c>
      <c r="T362" s="4" t="s">
        <v>336</v>
      </c>
    </row>
    <row r="363" spans="1:20" ht="15.75" customHeight="1" x14ac:dyDescent="0.3">
      <c r="A363" s="76" t="s">
        <v>330</v>
      </c>
      <c r="B363" s="1"/>
      <c r="C363" s="1"/>
      <c r="D363" s="1"/>
      <c r="E363" s="59">
        <f t="shared" si="105"/>
        <v>0</v>
      </c>
      <c r="F363" s="1"/>
      <c r="G363" s="1"/>
      <c r="H363" s="1"/>
      <c r="I363" s="59">
        <f t="shared" si="106"/>
        <v>0</v>
      </c>
      <c r="J363" s="1"/>
      <c r="K363" s="1"/>
      <c r="L363" s="1"/>
      <c r="M363" s="59">
        <f t="shared" si="107"/>
        <v>0</v>
      </c>
      <c r="N363" s="1"/>
      <c r="O363" s="1"/>
      <c r="P363" s="1"/>
      <c r="Q363" s="59">
        <f t="shared" si="108"/>
        <v>0</v>
      </c>
      <c r="R363" s="59">
        <f t="shared" si="109"/>
        <v>0</v>
      </c>
      <c r="T363" s="4" t="s">
        <v>331</v>
      </c>
    </row>
    <row r="364" spans="1:20" ht="15.75" customHeight="1" x14ac:dyDescent="0.3">
      <c r="A364" s="76" t="s">
        <v>350</v>
      </c>
      <c r="B364" s="1"/>
      <c r="C364" s="1"/>
      <c r="D364" s="1"/>
      <c r="E364" s="59">
        <f>SUM(B364:D364)</f>
        <v>0</v>
      </c>
      <c r="F364" s="1"/>
      <c r="G364" s="1"/>
      <c r="H364" s="1"/>
      <c r="I364" s="59">
        <f>SUM(F364:H364)</f>
        <v>0</v>
      </c>
      <c r="J364" s="1"/>
      <c r="K364" s="1"/>
      <c r="L364" s="1"/>
      <c r="M364" s="59">
        <f>SUM(J364:L364)</f>
        <v>0</v>
      </c>
      <c r="N364" s="1"/>
      <c r="O364" s="1"/>
      <c r="P364" s="1"/>
      <c r="Q364" s="59">
        <f>SUM(N364:P364)</f>
        <v>0</v>
      </c>
      <c r="R364" s="59">
        <f t="shared" si="109"/>
        <v>0</v>
      </c>
      <c r="T364" s="4" t="s">
        <v>351</v>
      </c>
    </row>
    <row r="365" spans="1:20" ht="15.75" customHeight="1" x14ac:dyDescent="0.3">
      <c r="A365" s="76" t="s">
        <v>352</v>
      </c>
      <c r="B365" s="1"/>
      <c r="C365" s="1"/>
      <c r="D365" s="1"/>
      <c r="E365" s="59">
        <f t="shared" si="105"/>
        <v>0</v>
      </c>
      <c r="F365" s="1"/>
      <c r="G365" s="1"/>
      <c r="H365" s="1"/>
      <c r="I365" s="59">
        <f t="shared" si="106"/>
        <v>0</v>
      </c>
      <c r="J365" s="1"/>
      <c r="K365" s="1"/>
      <c r="L365" s="1"/>
      <c r="M365" s="59">
        <f t="shared" si="107"/>
        <v>0</v>
      </c>
      <c r="N365" s="1"/>
      <c r="O365" s="1"/>
      <c r="P365" s="1"/>
      <c r="Q365" s="59">
        <f t="shared" si="108"/>
        <v>0</v>
      </c>
      <c r="R365" s="59">
        <f t="shared" si="109"/>
        <v>0</v>
      </c>
    </row>
    <row r="366" spans="1:20" ht="15.75" customHeight="1" x14ac:dyDescent="0.3">
      <c r="A366" s="76" t="s">
        <v>353</v>
      </c>
      <c r="B366" s="1"/>
      <c r="C366" s="1"/>
      <c r="D366" s="1"/>
      <c r="E366" s="59">
        <f t="shared" si="105"/>
        <v>0</v>
      </c>
      <c r="F366" s="1"/>
      <c r="G366" s="1"/>
      <c r="H366" s="1"/>
      <c r="I366" s="59">
        <f t="shared" si="106"/>
        <v>0</v>
      </c>
      <c r="J366" s="1"/>
      <c r="K366" s="1"/>
      <c r="L366" s="1"/>
      <c r="M366" s="59">
        <f t="shared" si="107"/>
        <v>0</v>
      </c>
      <c r="N366" s="1"/>
      <c r="O366" s="1"/>
      <c r="P366" s="1"/>
      <c r="Q366" s="59">
        <f t="shared" si="108"/>
        <v>0</v>
      </c>
      <c r="R366" s="59">
        <f t="shared" si="109"/>
        <v>0</v>
      </c>
      <c r="T366" s="4" t="s">
        <v>354</v>
      </c>
    </row>
    <row r="367" spans="1:20" ht="15.75" customHeight="1" x14ac:dyDescent="0.3">
      <c r="A367" s="76" t="s">
        <v>355</v>
      </c>
      <c r="B367" s="1"/>
      <c r="C367" s="1"/>
      <c r="D367" s="1"/>
      <c r="E367" s="59">
        <f t="shared" si="105"/>
        <v>0</v>
      </c>
      <c r="F367" s="1"/>
      <c r="G367" s="1"/>
      <c r="H367" s="1"/>
      <c r="I367" s="59">
        <f t="shared" si="106"/>
        <v>0</v>
      </c>
      <c r="J367" s="1"/>
      <c r="K367" s="1"/>
      <c r="L367" s="1"/>
      <c r="M367" s="59">
        <f t="shared" si="107"/>
        <v>0</v>
      </c>
      <c r="N367" s="1"/>
      <c r="O367" s="1"/>
      <c r="P367" s="1"/>
      <c r="Q367" s="59">
        <f t="shared" si="108"/>
        <v>0</v>
      </c>
      <c r="R367" s="59">
        <f t="shared" si="109"/>
        <v>0</v>
      </c>
      <c r="T367" s="4" t="s">
        <v>354</v>
      </c>
    </row>
    <row r="368" spans="1:20" ht="15.75" customHeight="1" x14ac:dyDescent="0.3">
      <c r="A368" s="76" t="s">
        <v>356</v>
      </c>
      <c r="B368" s="1"/>
      <c r="C368" s="1"/>
      <c r="D368" s="1"/>
      <c r="E368" s="59">
        <f t="shared" si="105"/>
        <v>0</v>
      </c>
      <c r="F368" s="1"/>
      <c r="G368" s="1"/>
      <c r="H368" s="1"/>
      <c r="I368" s="59">
        <f t="shared" si="106"/>
        <v>0</v>
      </c>
      <c r="J368" s="1"/>
      <c r="K368" s="1"/>
      <c r="L368" s="1"/>
      <c r="M368" s="59">
        <f t="shared" si="107"/>
        <v>0</v>
      </c>
      <c r="N368" s="1"/>
      <c r="O368" s="1"/>
      <c r="P368" s="1"/>
      <c r="Q368" s="59">
        <f t="shared" si="108"/>
        <v>0</v>
      </c>
      <c r="R368" s="59">
        <f t="shared" si="109"/>
        <v>0</v>
      </c>
      <c r="T368" s="4" t="s">
        <v>127</v>
      </c>
    </row>
    <row r="369" spans="1:39" ht="15.75" customHeight="1" x14ac:dyDescent="0.3">
      <c r="A369" s="76" t="s">
        <v>357</v>
      </c>
      <c r="B369" s="1"/>
      <c r="C369" s="1"/>
      <c r="D369" s="1"/>
      <c r="E369" s="59">
        <f>SUM(B369:D369)</f>
        <v>0</v>
      </c>
      <c r="F369" s="1"/>
      <c r="G369" s="1"/>
      <c r="H369" s="1"/>
      <c r="I369" s="59">
        <f>SUM(F369:H369)</f>
        <v>0</v>
      </c>
      <c r="J369" s="1"/>
      <c r="K369" s="1"/>
      <c r="L369" s="1"/>
      <c r="M369" s="59">
        <f>SUM(J369:L369)</f>
        <v>0</v>
      </c>
      <c r="N369" s="1"/>
      <c r="O369" s="1"/>
      <c r="P369" s="1"/>
      <c r="Q369" s="59">
        <f>SUM(N369:P369)</f>
        <v>0</v>
      </c>
      <c r="R369" s="59">
        <f>+E369+I369+M369+Q369</f>
        <v>0</v>
      </c>
      <c r="T369" s="4" t="s">
        <v>127</v>
      </c>
    </row>
    <row r="370" spans="1:39" ht="15.75" customHeight="1" x14ac:dyDescent="0.3">
      <c r="A370" s="76" t="s">
        <v>358</v>
      </c>
      <c r="B370" s="1"/>
      <c r="C370" s="1"/>
      <c r="D370" s="1"/>
      <c r="E370" s="59">
        <f t="shared" si="105"/>
        <v>0</v>
      </c>
      <c r="F370" s="1"/>
      <c r="G370" s="1"/>
      <c r="H370" s="1"/>
      <c r="I370" s="59">
        <f t="shared" si="106"/>
        <v>0</v>
      </c>
      <c r="J370" s="1"/>
      <c r="K370" s="1"/>
      <c r="L370" s="1"/>
      <c r="M370" s="59">
        <f t="shared" si="107"/>
        <v>0</v>
      </c>
      <c r="N370" s="1"/>
      <c r="O370" s="1"/>
      <c r="P370" s="1"/>
      <c r="Q370" s="59">
        <f t="shared" si="108"/>
        <v>0</v>
      </c>
      <c r="R370" s="59">
        <f t="shared" si="109"/>
        <v>0</v>
      </c>
      <c r="T370" s="4" t="s">
        <v>359</v>
      </c>
    </row>
    <row r="371" spans="1:39" ht="15.75" customHeight="1" x14ac:dyDescent="0.3">
      <c r="A371" s="17" t="s">
        <v>49</v>
      </c>
      <c r="B371" s="1"/>
      <c r="C371" s="1"/>
      <c r="D371" s="1"/>
      <c r="E371" s="59" t="s">
        <v>7</v>
      </c>
      <c r="F371" s="1"/>
      <c r="G371" s="1"/>
      <c r="H371" s="1"/>
      <c r="I371" s="59" t="s">
        <v>7</v>
      </c>
      <c r="J371" s="1"/>
      <c r="K371" s="1"/>
      <c r="L371" s="1"/>
      <c r="M371" s="59" t="s">
        <v>7</v>
      </c>
      <c r="N371" s="1"/>
      <c r="O371" s="1"/>
      <c r="P371" s="1"/>
      <c r="Q371" s="59" t="s">
        <v>7</v>
      </c>
      <c r="R371" s="59" t="s">
        <v>7</v>
      </c>
    </row>
    <row r="372" spans="1:39" ht="15.75" customHeight="1" x14ac:dyDescent="0.3">
      <c r="A372" s="76" t="s">
        <v>914</v>
      </c>
      <c r="B372" s="1"/>
      <c r="C372" s="1"/>
      <c r="D372" s="1"/>
      <c r="E372" s="59">
        <f>SUM(B372:D372)</f>
        <v>0</v>
      </c>
      <c r="F372" s="1"/>
      <c r="G372" s="1"/>
      <c r="H372" s="1"/>
      <c r="I372" s="59">
        <f>SUM(F372:H372)</f>
        <v>0</v>
      </c>
      <c r="J372" s="1"/>
      <c r="K372" s="1"/>
      <c r="L372" s="1"/>
      <c r="M372" s="59">
        <f>SUM(J372:L372)</f>
        <v>0</v>
      </c>
      <c r="N372" s="1"/>
      <c r="O372" s="1"/>
      <c r="P372" s="1"/>
      <c r="Q372" s="59">
        <f>SUM(N372:P372)</f>
        <v>0</v>
      </c>
      <c r="R372" s="59">
        <f>+E372+I372+M372+Q372</f>
        <v>0</v>
      </c>
      <c r="T372" s="4" t="s">
        <v>305</v>
      </c>
    </row>
    <row r="373" spans="1:39" ht="15.75" customHeight="1" x14ac:dyDescent="0.3">
      <c r="A373" s="76" t="s">
        <v>915</v>
      </c>
      <c r="B373" s="1"/>
      <c r="C373" s="1"/>
      <c r="D373" s="1"/>
      <c r="E373" s="59">
        <f>SUM(B373:D373)</f>
        <v>0</v>
      </c>
      <c r="F373" s="1"/>
      <c r="G373" s="1">
        <v>3000</v>
      </c>
      <c r="H373" s="1">
        <v>3000</v>
      </c>
      <c r="I373" s="59">
        <f>SUM(F373:H373)</f>
        <v>6000</v>
      </c>
      <c r="J373" s="1">
        <v>3000</v>
      </c>
      <c r="K373" s="1"/>
      <c r="L373" s="1"/>
      <c r="M373" s="59">
        <f>SUM(J373:L373)</f>
        <v>3000</v>
      </c>
      <c r="N373" s="1"/>
      <c r="O373" s="1"/>
      <c r="P373" s="1"/>
      <c r="Q373" s="59">
        <f>SUM(N373:P373)</f>
        <v>0</v>
      </c>
      <c r="R373" s="59">
        <f>+E373+I373+M373+Q373</f>
        <v>9000</v>
      </c>
    </row>
    <row r="374" spans="1:39" ht="15.75" customHeight="1" x14ac:dyDescent="0.3">
      <c r="A374" s="76" t="s">
        <v>916</v>
      </c>
      <c r="B374" s="1"/>
      <c r="C374" s="1"/>
      <c r="D374" s="1"/>
      <c r="E374" s="59">
        <f>SUM(B374:D374)</f>
        <v>0</v>
      </c>
      <c r="F374" s="1"/>
      <c r="G374" s="1">
        <v>2685</v>
      </c>
      <c r="H374" s="1"/>
      <c r="I374" s="59">
        <f>SUM(F374:H374)</f>
        <v>2685</v>
      </c>
      <c r="J374" s="1"/>
      <c r="K374" s="1"/>
      <c r="L374" s="1"/>
      <c r="M374" s="59">
        <f>SUM(J374:L374)</f>
        <v>0</v>
      </c>
      <c r="N374" s="1"/>
      <c r="O374" s="1"/>
      <c r="P374" s="1"/>
      <c r="Q374" s="59">
        <f>SUM(N374:P374)</f>
        <v>0</v>
      </c>
      <c r="R374" s="59">
        <f>+E374+I374+M374+Q374</f>
        <v>2685</v>
      </c>
      <c r="T374" s="4" t="s">
        <v>331</v>
      </c>
    </row>
    <row r="375" spans="1:39" ht="15.75" customHeight="1" x14ac:dyDescent="0.3">
      <c r="A375" s="76" t="s">
        <v>917</v>
      </c>
      <c r="B375" s="1"/>
      <c r="C375" s="1"/>
      <c r="D375" s="1"/>
      <c r="E375" s="59">
        <f>SUM(B375:D375)</f>
        <v>0</v>
      </c>
      <c r="F375" s="1"/>
      <c r="G375" s="1"/>
      <c r="H375" s="1"/>
      <c r="I375" s="59">
        <f>SUM(F375:H375)</f>
        <v>0</v>
      </c>
      <c r="J375" s="1"/>
      <c r="K375" s="1"/>
      <c r="L375" s="1"/>
      <c r="M375" s="59">
        <f>SUM(J375:L375)</f>
        <v>0</v>
      </c>
      <c r="N375" s="1"/>
      <c r="O375" s="1"/>
      <c r="P375" s="1"/>
      <c r="Q375" s="59">
        <f>SUM(N375:P375)</f>
        <v>0</v>
      </c>
      <c r="R375" s="59">
        <f>+E375+I375+M375+Q375</f>
        <v>0</v>
      </c>
      <c r="T375" s="4" t="s">
        <v>315</v>
      </c>
    </row>
    <row r="376" spans="1:39" ht="16.5" customHeight="1" thickBot="1" x14ac:dyDescent="0.35">
      <c r="A376" s="17" t="s">
        <v>51</v>
      </c>
      <c r="B376" s="1"/>
      <c r="C376" s="1"/>
      <c r="D376" s="1"/>
      <c r="E376" s="59" t="s">
        <v>7</v>
      </c>
      <c r="F376" s="1"/>
      <c r="G376" s="1"/>
      <c r="H376" s="1"/>
      <c r="I376" s="59" t="s">
        <v>7</v>
      </c>
      <c r="J376" s="1"/>
      <c r="K376" s="1"/>
      <c r="L376" s="1"/>
      <c r="M376" s="59" t="s">
        <v>7</v>
      </c>
      <c r="N376" s="1"/>
      <c r="O376" s="1"/>
      <c r="P376" s="1"/>
      <c r="Q376" s="59" t="s">
        <v>7</v>
      </c>
      <c r="R376" s="88" t="s">
        <v>7</v>
      </c>
      <c r="V376" s="4" t="s">
        <v>364</v>
      </c>
      <c r="W376" s="4" t="s">
        <v>365</v>
      </c>
    </row>
    <row r="377" spans="1:39" ht="16.5" customHeight="1" thickBot="1" x14ac:dyDescent="0.35">
      <c r="A377" s="126" t="s">
        <v>52</v>
      </c>
      <c r="B377" s="100">
        <f>SUM(B324:B376)</f>
        <v>1293</v>
      </c>
      <c r="C377" s="101">
        <f>SUM(C324:C376)</f>
        <v>2632</v>
      </c>
      <c r="D377" s="101">
        <f>SUM(D324:D376)</f>
        <v>3424</v>
      </c>
      <c r="E377" s="64">
        <f>SUM(B377:D377)</f>
        <v>7349</v>
      </c>
      <c r="F377" s="101">
        <f>SUM(F324:F376)</f>
        <v>6752</v>
      </c>
      <c r="G377" s="101">
        <f>SUM(G324:G376)</f>
        <v>9893</v>
      </c>
      <c r="H377" s="101">
        <f>SUM(H324:H376)</f>
        <v>21241</v>
      </c>
      <c r="I377" s="64">
        <f>SUM(F377:H377)</f>
        <v>37886</v>
      </c>
      <c r="J377" s="101">
        <f>SUM(J324:J376)</f>
        <v>15999</v>
      </c>
      <c r="K377" s="101">
        <f>SUM(K324:K376)</f>
        <v>12581</v>
      </c>
      <c r="L377" s="101">
        <f>SUM(L324:L376)</f>
        <v>13856</v>
      </c>
      <c r="M377" s="64">
        <f>SUM(J377:L377)</f>
        <v>42436</v>
      </c>
      <c r="N377" s="101">
        <f>SUM(N324:N376)</f>
        <v>8679</v>
      </c>
      <c r="O377" s="101">
        <f>SUM(O324:O376)</f>
        <v>7203</v>
      </c>
      <c r="P377" s="101">
        <f>SUM(P324:P376)</f>
        <v>7549</v>
      </c>
      <c r="Q377" s="64">
        <f>SUM(N377:P377)</f>
        <v>23431</v>
      </c>
      <c r="R377" s="64">
        <f>+E377+I377+M377+Q377</f>
        <v>111102</v>
      </c>
      <c r="T377" s="106"/>
      <c r="V377" s="4" t="s">
        <v>305</v>
      </c>
      <c r="W377" s="127">
        <v>0.18</v>
      </c>
    </row>
    <row r="378" spans="1:39" ht="15.75" customHeight="1" x14ac:dyDescent="0.3">
      <c r="A378" s="17" t="s">
        <v>53</v>
      </c>
      <c r="B378" s="1"/>
      <c r="C378" s="1"/>
      <c r="D378" s="1"/>
      <c r="E378" s="59" t="s">
        <v>7</v>
      </c>
      <c r="F378" s="1"/>
      <c r="G378" s="1"/>
      <c r="H378" s="1"/>
      <c r="I378" s="59" t="s">
        <v>7</v>
      </c>
      <c r="J378" s="1"/>
      <c r="K378" s="1"/>
      <c r="L378" s="1"/>
      <c r="M378" s="59" t="s">
        <v>7</v>
      </c>
      <c r="N378" s="1"/>
      <c r="O378" s="1"/>
      <c r="P378" s="1"/>
      <c r="Q378" s="59" t="s">
        <v>7</v>
      </c>
      <c r="R378" s="59" t="s">
        <v>7</v>
      </c>
      <c r="V378" s="4" t="s">
        <v>366</v>
      </c>
      <c r="W378" s="127">
        <v>0.52</v>
      </c>
    </row>
    <row r="379" spans="1:39" ht="15.75" customHeight="1" x14ac:dyDescent="0.3">
      <c r="A379" s="17" t="s">
        <v>367</v>
      </c>
      <c r="B379" s="1"/>
      <c r="C379" s="1"/>
      <c r="D379" s="1"/>
      <c r="E379" s="59"/>
      <c r="F379" s="1"/>
      <c r="G379" s="1"/>
      <c r="H379" s="1"/>
      <c r="I379" s="59"/>
      <c r="J379" s="1"/>
      <c r="K379" s="1"/>
      <c r="L379" s="1"/>
      <c r="M379" s="59"/>
      <c r="N379" s="1"/>
      <c r="O379" s="1"/>
      <c r="P379" s="1"/>
      <c r="Q379" s="59"/>
      <c r="R379" s="59"/>
      <c r="V379" s="4" t="s">
        <v>368</v>
      </c>
      <c r="W379" s="127">
        <v>0.3</v>
      </c>
    </row>
    <row r="380" spans="1:39" ht="15.75" customHeight="1" x14ac:dyDescent="0.3">
      <c r="A380" s="17" t="s">
        <v>55</v>
      </c>
      <c r="B380" s="1"/>
      <c r="C380" s="1"/>
      <c r="D380" s="1"/>
      <c r="E380" s="59" t="s">
        <v>7</v>
      </c>
      <c r="F380" s="1"/>
      <c r="G380" s="1"/>
      <c r="H380" s="1"/>
      <c r="I380" s="59" t="s">
        <v>7</v>
      </c>
      <c r="J380" s="1"/>
      <c r="K380" s="1"/>
      <c r="L380" s="1"/>
      <c r="M380" s="59" t="s">
        <v>7</v>
      </c>
      <c r="N380" s="1"/>
      <c r="O380" s="1"/>
      <c r="P380" s="1"/>
      <c r="Q380" s="59" t="s">
        <v>7</v>
      </c>
      <c r="R380" s="59" t="s">
        <v>7</v>
      </c>
      <c r="W380" s="128">
        <f>+SUM(W377:W379)</f>
        <v>1</v>
      </c>
    </row>
    <row r="381" spans="1:39" ht="15.75" customHeight="1" x14ac:dyDescent="0.3">
      <c r="A381" s="76" t="s">
        <v>369</v>
      </c>
      <c r="B381" s="1">
        <v>9</v>
      </c>
      <c r="C381" s="1">
        <v>11</v>
      </c>
      <c r="D381" s="1">
        <v>1694</v>
      </c>
      <c r="E381" s="59">
        <f>SUM(B381:D381)</f>
        <v>1714</v>
      </c>
      <c r="F381" s="1">
        <v>1366</v>
      </c>
      <c r="G381" s="1">
        <v>1522</v>
      </c>
      <c r="H381" s="1">
        <v>4705</v>
      </c>
      <c r="I381" s="59">
        <f>SUM(F381:H381)</f>
        <v>7593</v>
      </c>
      <c r="J381" s="1">
        <v>3489</v>
      </c>
      <c r="K381" s="1">
        <v>1225</v>
      </c>
      <c r="L381" s="1">
        <v>194</v>
      </c>
      <c r="M381" s="59">
        <f>SUM(J381:L381)</f>
        <v>4908</v>
      </c>
      <c r="N381" s="1"/>
      <c r="O381" s="1"/>
      <c r="P381" s="1">
        <v>204</v>
      </c>
      <c r="Q381" s="59">
        <f>SUM(N381:P381)</f>
        <v>204</v>
      </c>
      <c r="R381" s="59">
        <f t="shared" ref="R381:R389" si="110">+E381+I381+M381+Q381</f>
        <v>14419</v>
      </c>
      <c r="T381" s="4" t="s">
        <v>305</v>
      </c>
      <c r="V381" s="129" t="s">
        <v>370</v>
      </c>
      <c r="W381" s="30" t="s">
        <v>36</v>
      </c>
      <c r="X381" s="2" t="s">
        <v>9</v>
      </c>
      <c r="Y381" s="2" t="s">
        <v>10</v>
      </c>
      <c r="Z381" s="130" t="s">
        <v>11</v>
      </c>
      <c r="AA381" s="2" t="s">
        <v>12</v>
      </c>
      <c r="AB381" s="2" t="s">
        <v>13</v>
      </c>
      <c r="AC381" s="2" t="s">
        <v>14</v>
      </c>
      <c r="AD381" s="130" t="s">
        <v>15</v>
      </c>
      <c r="AE381" s="2" t="s">
        <v>16</v>
      </c>
      <c r="AF381" s="2" t="s">
        <v>17</v>
      </c>
      <c r="AG381" s="2" t="s">
        <v>18</v>
      </c>
      <c r="AH381" s="130" t="s">
        <v>19</v>
      </c>
      <c r="AI381" s="2" t="s">
        <v>20</v>
      </c>
      <c r="AJ381" s="2" t="s">
        <v>21</v>
      </c>
      <c r="AK381" s="2" t="s">
        <v>22</v>
      </c>
      <c r="AL381" s="130" t="s">
        <v>23</v>
      </c>
      <c r="AM381" s="303" t="s">
        <v>24</v>
      </c>
    </row>
    <row r="382" spans="1:39" ht="15.75" customHeight="1" x14ac:dyDescent="0.3">
      <c r="A382" s="76" t="s">
        <v>371</v>
      </c>
      <c r="B382" s="1"/>
      <c r="C382" s="1"/>
      <c r="D382" s="1"/>
      <c r="E382" s="59">
        <f>SUM(B382:D382)</f>
        <v>0</v>
      </c>
      <c r="F382" s="1"/>
      <c r="G382" s="1"/>
      <c r="H382" s="1"/>
      <c r="I382" s="59">
        <f>SUM(F382:H382)</f>
        <v>0</v>
      </c>
      <c r="J382" s="1"/>
      <c r="K382" s="1"/>
      <c r="L382" s="1"/>
      <c r="M382" s="59">
        <f>SUM(J382:L382)</f>
        <v>0</v>
      </c>
      <c r="N382" s="1"/>
      <c r="O382" s="1"/>
      <c r="P382" s="1"/>
      <c r="Q382" s="59">
        <f>SUM(N382:P382)</f>
        <v>0</v>
      </c>
      <c r="R382" s="59">
        <f t="shared" si="110"/>
        <v>0</v>
      </c>
      <c r="T382" s="4" t="s">
        <v>331</v>
      </c>
      <c r="V382" s="95" t="s">
        <v>372</v>
      </c>
      <c r="W382" s="132">
        <v>1500</v>
      </c>
      <c r="X382" s="132">
        <v>1500</v>
      </c>
      <c r="Y382" s="132">
        <v>6800</v>
      </c>
      <c r="Z382" s="4">
        <f>+SUM(W382:Y382)</f>
        <v>9800</v>
      </c>
      <c r="AA382" s="132">
        <f>8000+1500</f>
        <v>9500</v>
      </c>
      <c r="AB382" s="132">
        <f>10000+2000</f>
        <v>12000</v>
      </c>
      <c r="AC382" s="132">
        <f>12000+1500</f>
        <v>13500</v>
      </c>
      <c r="AD382" s="4">
        <f>+SUM(AA382:AC382)</f>
        <v>35000</v>
      </c>
      <c r="AE382" s="132">
        <v>25500</v>
      </c>
      <c r="AF382" s="132">
        <v>19000</v>
      </c>
      <c r="AG382" s="132">
        <v>4000</v>
      </c>
      <c r="AH382" s="4">
        <f>+SUM(AE382:AG382)</f>
        <v>48500</v>
      </c>
      <c r="AI382" s="132">
        <v>1500</v>
      </c>
      <c r="AJ382" s="132">
        <v>1000</v>
      </c>
      <c r="AK382" s="132">
        <v>1069</v>
      </c>
      <c r="AL382" s="4">
        <f>+SUM(AI382:AK382)</f>
        <v>3569</v>
      </c>
      <c r="AM382" s="304">
        <f>+Z382+AD382+AH382+AL382</f>
        <v>96869</v>
      </c>
    </row>
    <row r="383" spans="1:39" ht="15.75" customHeight="1" x14ac:dyDescent="0.3">
      <c r="A383" s="76" t="s">
        <v>373</v>
      </c>
      <c r="B383" s="1">
        <v>78</v>
      </c>
      <c r="C383" s="1">
        <v>817</v>
      </c>
      <c r="D383" s="1">
        <v>3994</v>
      </c>
      <c r="E383" s="59">
        <f t="shared" ref="E383:E389" si="111">SUM(B383:D383)</f>
        <v>4889</v>
      </c>
      <c r="F383" s="1">
        <v>6970</v>
      </c>
      <c r="G383" s="1">
        <v>6499</v>
      </c>
      <c r="H383" s="1">
        <v>10352</v>
      </c>
      <c r="I383" s="59">
        <f t="shared" ref="I383:I389" si="112">SUM(F383:H383)</f>
        <v>23821</v>
      </c>
      <c r="J383" s="1">
        <v>1364</v>
      </c>
      <c r="K383" s="1">
        <v>1154</v>
      </c>
      <c r="L383" s="1"/>
      <c r="M383" s="59">
        <f t="shared" ref="M383:M389" si="113">SUM(J383:L383)</f>
        <v>2518</v>
      </c>
      <c r="N383" s="1"/>
      <c r="O383" s="1"/>
      <c r="P383" s="1"/>
      <c r="Q383" s="59">
        <f t="shared" ref="Q383:Q389" si="114">SUM(N383:P383)</f>
        <v>0</v>
      </c>
      <c r="R383" s="59">
        <f t="shared" si="110"/>
        <v>31228</v>
      </c>
      <c r="T383" s="4" t="s">
        <v>307</v>
      </c>
      <c r="V383" s="95" t="s">
        <v>305</v>
      </c>
      <c r="W383" s="4">
        <f>+$W$377*W382</f>
        <v>270</v>
      </c>
      <c r="X383" s="4">
        <f>+$W$377*X382</f>
        <v>270</v>
      </c>
      <c r="Y383" s="4">
        <f>+$W$377*Y382</f>
        <v>1224</v>
      </c>
      <c r="Z383" s="4">
        <f>+SUM(W383:Y383)</f>
        <v>1764</v>
      </c>
      <c r="AA383" s="4">
        <f>+$W$377*AA382</f>
        <v>1710</v>
      </c>
      <c r="AB383" s="4">
        <f>+$W$377*AB382</f>
        <v>2160</v>
      </c>
      <c r="AC383" s="4">
        <f>+$W$377*AC382</f>
        <v>2430</v>
      </c>
      <c r="AD383" s="4">
        <f>+SUM(AA383:AC383)</f>
        <v>6300</v>
      </c>
      <c r="AE383" s="4">
        <f>+$W$377*AE382</f>
        <v>4590</v>
      </c>
      <c r="AF383" s="4">
        <f>+$W$377*AF382</f>
        <v>3420</v>
      </c>
      <c r="AG383" s="4">
        <f>+$W$377*AG382</f>
        <v>720</v>
      </c>
      <c r="AH383" s="4">
        <f>+SUM(AE383:AG383)</f>
        <v>8730</v>
      </c>
      <c r="AI383" s="4">
        <f>+$W$377*AI382</f>
        <v>270</v>
      </c>
      <c r="AJ383" s="4">
        <f>+$W$377*AJ382</f>
        <v>180</v>
      </c>
      <c r="AK383" s="4">
        <f>+$W$377*AK382</f>
        <v>192.42</v>
      </c>
      <c r="AL383" s="4">
        <f>+SUM(AI383:AK383)</f>
        <v>642.41999999999996</v>
      </c>
      <c r="AM383" s="304">
        <f>+Z383+AD383+AH383+AL383</f>
        <v>17436.419999999998</v>
      </c>
    </row>
    <row r="384" spans="1:39" ht="15.75" customHeight="1" x14ac:dyDescent="0.3">
      <c r="A384" s="76" t="s">
        <v>374</v>
      </c>
      <c r="B384" s="1">
        <v>2174</v>
      </c>
      <c r="C384" s="1">
        <v>2974</v>
      </c>
      <c r="D384" s="1">
        <v>12789</v>
      </c>
      <c r="E384" s="59">
        <f t="shared" si="111"/>
        <v>17937</v>
      </c>
      <c r="F384" s="1">
        <v>12017</v>
      </c>
      <c r="G384" s="1">
        <v>11421</v>
      </c>
      <c r="H384" s="1">
        <v>18989</v>
      </c>
      <c r="I384" s="59">
        <f t="shared" si="112"/>
        <v>42427</v>
      </c>
      <c r="J384" s="1">
        <v>9024</v>
      </c>
      <c r="K384" s="1">
        <v>11429</v>
      </c>
      <c r="L384" s="1">
        <v>8341</v>
      </c>
      <c r="M384" s="59">
        <f t="shared" si="113"/>
        <v>28794</v>
      </c>
      <c r="N384" s="1">
        <v>1657</v>
      </c>
      <c r="O384" s="1">
        <v>1447</v>
      </c>
      <c r="P384" s="1">
        <v>3364</v>
      </c>
      <c r="Q384" s="59">
        <f t="shared" si="114"/>
        <v>6468</v>
      </c>
      <c r="R384" s="59">
        <f t="shared" si="110"/>
        <v>95626</v>
      </c>
      <c r="T384" s="4" t="s">
        <v>305</v>
      </c>
      <c r="V384" s="95" t="s">
        <v>366</v>
      </c>
      <c r="W384" s="4">
        <f>+$W$378*W382</f>
        <v>780</v>
      </c>
      <c r="X384" s="4">
        <f>+$W$378*X382</f>
        <v>780</v>
      </c>
      <c r="Y384" s="4">
        <f>+$W$378*Y382</f>
        <v>3536</v>
      </c>
      <c r="Z384" s="4">
        <f>+SUM(W384:Y384)</f>
        <v>5096</v>
      </c>
      <c r="AA384" s="4">
        <f>+$W$378*AA382</f>
        <v>4940</v>
      </c>
      <c r="AB384" s="4">
        <f>+$W$378*AB382</f>
        <v>6240</v>
      </c>
      <c r="AC384" s="4">
        <f>+$W$378*AC382</f>
        <v>7020</v>
      </c>
      <c r="AD384" s="4">
        <f>+SUM(AA384:AC384)</f>
        <v>18200</v>
      </c>
      <c r="AE384" s="4">
        <f>+$W$378*AE382</f>
        <v>13260</v>
      </c>
      <c r="AF384" s="4">
        <f>+$W$378*AF382</f>
        <v>9880</v>
      </c>
      <c r="AG384" s="4">
        <f>+$W$378*AG382</f>
        <v>2080</v>
      </c>
      <c r="AH384" s="4">
        <f>+SUM(AE384:AG384)</f>
        <v>25220</v>
      </c>
      <c r="AI384" s="4">
        <f>+$W$378*AI382</f>
        <v>780</v>
      </c>
      <c r="AJ384" s="4">
        <f>+$W$378*AJ382</f>
        <v>520</v>
      </c>
      <c r="AK384" s="4">
        <f>+$W$378*AK382</f>
        <v>555.88</v>
      </c>
      <c r="AL384" s="4">
        <f>+SUM(AI384:AK384)</f>
        <v>1855.88</v>
      </c>
      <c r="AM384" s="304">
        <f>+Z384+AD384+AH384+AL384</f>
        <v>50371.88</v>
      </c>
    </row>
    <row r="385" spans="1:39" ht="15.75" customHeight="1" x14ac:dyDescent="0.3">
      <c r="A385" s="76" t="s">
        <v>375</v>
      </c>
      <c r="B385" s="1"/>
      <c r="C385" s="1"/>
      <c r="D385" s="1"/>
      <c r="E385" s="59">
        <f t="shared" si="111"/>
        <v>0</v>
      </c>
      <c r="F385" s="1"/>
      <c r="G385" s="1"/>
      <c r="H385" s="1"/>
      <c r="I385" s="59">
        <f t="shared" si="112"/>
        <v>0</v>
      </c>
      <c r="J385" s="1"/>
      <c r="K385" s="1"/>
      <c r="L385" s="1"/>
      <c r="M385" s="59">
        <f t="shared" si="113"/>
        <v>0</v>
      </c>
      <c r="N385" s="1"/>
      <c r="O385" s="1"/>
      <c r="P385" s="1"/>
      <c r="Q385" s="59">
        <f t="shared" si="114"/>
        <v>0</v>
      </c>
      <c r="R385" s="59">
        <f t="shared" si="110"/>
        <v>0</v>
      </c>
      <c r="T385" s="4" t="s">
        <v>376</v>
      </c>
      <c r="V385" s="95" t="s">
        <v>368</v>
      </c>
      <c r="W385" s="4">
        <f>+$W$379*W382</f>
        <v>450</v>
      </c>
      <c r="X385" s="4">
        <f>+$W$379*X382</f>
        <v>450</v>
      </c>
      <c r="Y385" s="4">
        <f>+$W$379*Y382</f>
        <v>2040</v>
      </c>
      <c r="Z385" s="4">
        <f>+SUM(W385:Y385)</f>
        <v>2940</v>
      </c>
      <c r="AA385" s="4">
        <f>+$W$379*AA382</f>
        <v>2850</v>
      </c>
      <c r="AB385" s="4">
        <f>+$W$379*AB382</f>
        <v>3600</v>
      </c>
      <c r="AC385" s="4">
        <f>+$W$379*AC382</f>
        <v>4050</v>
      </c>
      <c r="AD385" s="4">
        <f>+SUM(AA385:AC385)</f>
        <v>10500</v>
      </c>
      <c r="AE385" s="4">
        <f>+$W$379*AE382</f>
        <v>7650</v>
      </c>
      <c r="AF385" s="4">
        <f>+$W$379*AF382</f>
        <v>5700</v>
      </c>
      <c r="AG385" s="4">
        <f>+$W$379*AG382</f>
        <v>1200</v>
      </c>
      <c r="AH385" s="4">
        <f>+SUM(AE385:AG385)</f>
        <v>14550</v>
      </c>
      <c r="AI385" s="4">
        <f>+$W$379*AI382</f>
        <v>450</v>
      </c>
      <c r="AJ385" s="4">
        <f>+$W$379*AJ382</f>
        <v>300</v>
      </c>
      <c r="AK385" s="4">
        <f>+$W$379*AK382</f>
        <v>320.7</v>
      </c>
      <c r="AL385" s="4">
        <f>+$W$379*AL382</f>
        <v>1070.7</v>
      </c>
      <c r="AM385" s="304">
        <f>+Z385+AD385+AH385+AL385</f>
        <v>29060.7</v>
      </c>
    </row>
    <row r="386" spans="1:39" ht="15.75" customHeight="1" thickBot="1" x14ac:dyDescent="0.35">
      <c r="A386" s="76" t="s">
        <v>377</v>
      </c>
      <c r="B386" s="1">
        <v>261</v>
      </c>
      <c r="C386" s="1">
        <v>984</v>
      </c>
      <c r="D386" s="1">
        <v>2255</v>
      </c>
      <c r="E386" s="59">
        <f t="shared" si="111"/>
        <v>3500</v>
      </c>
      <c r="F386" s="1"/>
      <c r="G386" s="1"/>
      <c r="H386" s="1"/>
      <c r="I386" s="59">
        <f t="shared" si="112"/>
        <v>0</v>
      </c>
      <c r="J386" s="1"/>
      <c r="K386" s="1"/>
      <c r="L386" s="1"/>
      <c r="M386" s="59">
        <f t="shared" si="113"/>
        <v>0</v>
      </c>
      <c r="N386" s="1"/>
      <c r="O386" s="1"/>
      <c r="P386" s="1"/>
      <c r="Q386" s="59">
        <f t="shared" si="114"/>
        <v>0</v>
      </c>
      <c r="R386" s="59">
        <f t="shared" si="110"/>
        <v>3500</v>
      </c>
      <c r="T386" s="4" t="s">
        <v>331</v>
      </c>
      <c r="V386" s="134"/>
      <c r="W386" s="135"/>
      <c r="X386" s="135"/>
      <c r="Y386" s="135"/>
      <c r="Z386" s="135"/>
      <c r="AA386" s="135"/>
      <c r="AB386" s="135"/>
      <c r="AC386" s="135"/>
      <c r="AD386" s="135"/>
      <c r="AE386" s="135"/>
      <c r="AF386" s="135"/>
      <c r="AG386" s="135"/>
      <c r="AH386" s="135"/>
      <c r="AI386" s="135"/>
      <c r="AJ386" s="135"/>
      <c r="AK386" s="135"/>
      <c r="AL386" s="135"/>
      <c r="AM386" s="136"/>
    </row>
    <row r="387" spans="1:39" s="20" customFormat="1" ht="15.75" customHeight="1" x14ac:dyDescent="0.3">
      <c r="A387" s="104" t="s">
        <v>378</v>
      </c>
      <c r="B387" s="92"/>
      <c r="C387" s="92"/>
      <c r="D387" s="92"/>
      <c r="E387" s="93">
        <f t="shared" si="111"/>
        <v>0</v>
      </c>
      <c r="F387" s="92"/>
      <c r="G387" s="92"/>
      <c r="H387" s="92"/>
      <c r="I387" s="93">
        <f t="shared" si="112"/>
        <v>0</v>
      </c>
      <c r="J387" s="92"/>
      <c r="K387" s="92"/>
      <c r="L387" s="92"/>
      <c r="M387" s="93">
        <f t="shared" si="113"/>
        <v>0</v>
      </c>
      <c r="N387" s="92"/>
      <c r="O387" s="92"/>
      <c r="P387" s="92"/>
      <c r="Q387" s="93">
        <f t="shared" ref="Q387" si="115">SUM(N387:P387)</f>
        <v>0</v>
      </c>
      <c r="R387" s="93">
        <f t="shared" si="110"/>
        <v>0</v>
      </c>
    </row>
    <row r="388" spans="1:39" ht="15.75" customHeight="1" x14ac:dyDescent="0.3">
      <c r="A388" s="76" t="s">
        <v>379</v>
      </c>
      <c r="B388" s="1"/>
      <c r="C388" s="1"/>
      <c r="D388" s="1"/>
      <c r="E388" s="59">
        <f t="shared" si="111"/>
        <v>0</v>
      </c>
      <c r="F388" s="1"/>
      <c r="G388" s="1"/>
      <c r="H388" s="1"/>
      <c r="I388" s="59">
        <f t="shared" si="112"/>
        <v>0</v>
      </c>
      <c r="J388" s="1"/>
      <c r="K388" s="1"/>
      <c r="L388" s="1"/>
      <c r="M388" s="59">
        <f t="shared" si="113"/>
        <v>0</v>
      </c>
      <c r="N388" s="1"/>
      <c r="O388" s="1"/>
      <c r="P388" s="1"/>
      <c r="Q388" s="59">
        <f t="shared" si="114"/>
        <v>0</v>
      </c>
      <c r="R388" s="59">
        <f t="shared" si="110"/>
        <v>0</v>
      </c>
      <c r="T388" s="4" t="s">
        <v>317</v>
      </c>
    </row>
    <row r="389" spans="1:39" ht="15.75" customHeight="1" x14ac:dyDescent="0.3">
      <c r="A389" s="76" t="s">
        <v>380</v>
      </c>
      <c r="B389" s="1"/>
      <c r="C389" s="1"/>
      <c r="D389" s="1"/>
      <c r="E389" s="59">
        <f t="shared" si="111"/>
        <v>0</v>
      </c>
      <c r="F389" s="1"/>
      <c r="G389" s="1"/>
      <c r="H389" s="1">
        <v>1386</v>
      </c>
      <c r="I389" s="59">
        <f t="shared" si="112"/>
        <v>1386</v>
      </c>
      <c r="J389" s="1"/>
      <c r="K389" s="1"/>
      <c r="L389" s="1"/>
      <c r="M389" s="59">
        <f t="shared" si="113"/>
        <v>0</v>
      </c>
      <c r="N389" s="1"/>
      <c r="O389" s="1"/>
      <c r="P389" s="1"/>
      <c r="Q389" s="59">
        <f t="shared" si="114"/>
        <v>0</v>
      </c>
      <c r="R389" s="59">
        <f t="shared" si="110"/>
        <v>1386</v>
      </c>
    </row>
    <row r="390" spans="1:39" ht="15.75" customHeight="1" thickBot="1" x14ac:dyDescent="0.35">
      <c r="A390" s="17" t="s">
        <v>56</v>
      </c>
      <c r="B390" s="1"/>
      <c r="C390" s="1"/>
      <c r="D390" s="1"/>
      <c r="E390" s="59" t="s">
        <v>7</v>
      </c>
      <c r="F390" s="1"/>
      <c r="G390" s="1"/>
      <c r="H390" s="1"/>
      <c r="I390" s="59" t="s">
        <v>7</v>
      </c>
      <c r="J390" s="1"/>
      <c r="K390" s="1"/>
      <c r="L390" s="1"/>
      <c r="M390" s="59" t="s">
        <v>7</v>
      </c>
      <c r="N390" s="1"/>
      <c r="O390" s="1"/>
      <c r="P390" s="1"/>
      <c r="Q390" s="59" t="s">
        <v>7</v>
      </c>
      <c r="R390" s="59" t="s">
        <v>7</v>
      </c>
    </row>
    <row r="391" spans="1:39" ht="16.5" customHeight="1" thickBot="1" x14ac:dyDescent="0.35">
      <c r="A391" s="62" t="s">
        <v>57</v>
      </c>
      <c r="B391" s="100">
        <f>SUM(B378:B390)</f>
        <v>2522</v>
      </c>
      <c r="C391" s="101">
        <f>SUM(C378:C390)</f>
        <v>4786</v>
      </c>
      <c r="D391" s="101">
        <f>SUM(D378:D390)</f>
        <v>20732</v>
      </c>
      <c r="E391" s="64">
        <f>SUM(B391:D391)</f>
        <v>28040</v>
      </c>
      <c r="F391" s="101">
        <f>SUM(F378:F390)</f>
        <v>20353</v>
      </c>
      <c r="G391" s="101">
        <f>SUM(G378:G390)</f>
        <v>19442</v>
      </c>
      <c r="H391" s="101">
        <f>SUM(H378:H390)</f>
        <v>35432</v>
      </c>
      <c r="I391" s="64">
        <f>SUM(F391:H391)</f>
        <v>75227</v>
      </c>
      <c r="J391" s="101">
        <f>SUM(J378:J390)</f>
        <v>13877</v>
      </c>
      <c r="K391" s="101">
        <f>SUM(K378:K390)</f>
        <v>13808</v>
      </c>
      <c r="L391" s="101">
        <f>SUM(L378:L390)</f>
        <v>8535</v>
      </c>
      <c r="M391" s="64">
        <f>SUM(J391:L391)</f>
        <v>36220</v>
      </c>
      <c r="N391" s="101">
        <f>SUM(N378:N390)</f>
        <v>1657</v>
      </c>
      <c r="O391" s="101">
        <f>SUM(O378:O390)</f>
        <v>1447</v>
      </c>
      <c r="P391" s="101">
        <f>SUM(P378:P390)</f>
        <v>3568</v>
      </c>
      <c r="Q391" s="64">
        <f>SUM(N391:P391)</f>
        <v>6672</v>
      </c>
      <c r="R391" s="64">
        <f>+E391+I391+M391+Q391</f>
        <v>146159</v>
      </c>
    </row>
    <row r="392" spans="1:39" ht="15.75" customHeight="1" x14ac:dyDescent="0.3">
      <c r="A392" s="17" t="s">
        <v>58</v>
      </c>
      <c r="B392" s="1"/>
      <c r="C392" s="1"/>
      <c r="D392" s="1"/>
      <c r="E392" s="59" t="s">
        <v>7</v>
      </c>
      <c r="F392" s="1"/>
      <c r="G392" s="1"/>
      <c r="H392" s="1"/>
      <c r="I392" s="59" t="s">
        <v>7</v>
      </c>
      <c r="J392" s="1"/>
      <c r="K392" s="1"/>
      <c r="L392" s="1"/>
      <c r="M392" s="59" t="s">
        <v>7</v>
      </c>
      <c r="N392" s="1"/>
      <c r="O392" s="1"/>
      <c r="P392" s="1"/>
      <c r="Q392" s="59" t="s">
        <v>7</v>
      </c>
      <c r="R392" s="59" t="s">
        <v>7</v>
      </c>
    </row>
    <row r="393" spans="1:39" ht="15.75" customHeight="1" x14ac:dyDescent="0.3">
      <c r="A393" s="17" t="s">
        <v>59</v>
      </c>
      <c r="B393" s="1"/>
      <c r="C393" s="1"/>
      <c r="D393" s="1"/>
      <c r="E393" s="59" t="s">
        <v>7</v>
      </c>
      <c r="F393" s="1"/>
      <c r="G393" s="1"/>
      <c r="H393" s="1"/>
      <c r="I393" s="59" t="s">
        <v>7</v>
      </c>
      <c r="J393" s="1"/>
      <c r="K393" s="1"/>
      <c r="L393" s="1"/>
      <c r="M393" s="59" t="s">
        <v>7</v>
      </c>
      <c r="N393" s="1"/>
      <c r="O393" s="1"/>
      <c r="P393" s="1"/>
      <c r="Q393" s="59" t="s">
        <v>7</v>
      </c>
      <c r="R393" s="59" t="s">
        <v>7</v>
      </c>
    </row>
    <row r="394" spans="1:39" ht="15.75" customHeight="1" x14ac:dyDescent="0.3">
      <c r="A394" s="76" t="s">
        <v>381</v>
      </c>
      <c r="B394" s="1">
        <v>1834</v>
      </c>
      <c r="C394" s="1">
        <v>3709</v>
      </c>
      <c r="D394" s="1">
        <v>9218</v>
      </c>
      <c r="E394" s="59">
        <f>SUM(B394:D394)</f>
        <v>14761</v>
      </c>
      <c r="F394" s="1">
        <v>8500</v>
      </c>
      <c r="G394" s="1">
        <v>11938</v>
      </c>
      <c r="H394" s="1">
        <v>12889</v>
      </c>
      <c r="I394" s="59">
        <f>SUM(F394:H394)</f>
        <v>33327</v>
      </c>
      <c r="J394" s="1">
        <v>7766</v>
      </c>
      <c r="K394" s="1">
        <v>8029</v>
      </c>
      <c r="L394" s="1">
        <v>4856</v>
      </c>
      <c r="M394" s="59">
        <f>SUM(J394:L394)</f>
        <v>20651</v>
      </c>
      <c r="N394" s="1">
        <v>1985</v>
      </c>
      <c r="O394" s="1">
        <v>828</v>
      </c>
      <c r="P394" s="1">
        <v>1273</v>
      </c>
      <c r="Q394" s="59">
        <f>SUM(N394:P394)</f>
        <v>4086</v>
      </c>
      <c r="R394" s="59">
        <f>+E394+I394+M394+Q394</f>
        <v>72825</v>
      </c>
      <c r="T394" s="4" t="s">
        <v>305</v>
      </c>
    </row>
    <row r="395" spans="1:39" ht="15.75" customHeight="1" x14ac:dyDescent="0.3">
      <c r="A395" s="76" t="s">
        <v>382</v>
      </c>
      <c r="B395" s="1">
        <f>106+164</f>
        <v>270</v>
      </c>
      <c r="C395" s="1">
        <f>726+120</f>
        <v>846</v>
      </c>
      <c r="D395" s="1">
        <f>1356+134</f>
        <v>1490</v>
      </c>
      <c r="E395" s="59">
        <f>SUM(B395:D395)</f>
        <v>2606</v>
      </c>
      <c r="F395" s="1">
        <f>1783+29</f>
        <v>1812</v>
      </c>
      <c r="G395" s="1">
        <f>1859+15</f>
        <v>1874</v>
      </c>
      <c r="H395" s="1">
        <f>817+1560</f>
        <v>2377</v>
      </c>
      <c r="I395" s="59">
        <f>SUM(F395:H395)</f>
        <v>6063</v>
      </c>
      <c r="J395" s="1">
        <f>1022+511</f>
        <v>1533</v>
      </c>
      <c r="K395" s="1">
        <f>703+197</f>
        <v>900</v>
      </c>
      <c r="L395" s="1">
        <v>958</v>
      </c>
      <c r="M395" s="59">
        <f>SUM(J395:L395)</f>
        <v>3391</v>
      </c>
      <c r="N395" s="1">
        <v>331</v>
      </c>
      <c r="O395" s="1">
        <f>250+170</f>
        <v>420</v>
      </c>
      <c r="P395" s="1">
        <f>448+1701</f>
        <v>2149</v>
      </c>
      <c r="Q395" s="59">
        <f>SUM(N395:P395)</f>
        <v>2900</v>
      </c>
      <c r="R395" s="59">
        <f>+E395+I395+M395+Q395</f>
        <v>14960</v>
      </c>
      <c r="T395" s="4" t="s">
        <v>336</v>
      </c>
    </row>
    <row r="396" spans="1:39" ht="15.75" customHeight="1" x14ac:dyDescent="0.3">
      <c r="A396" s="17" t="s">
        <v>60</v>
      </c>
      <c r="B396" s="1"/>
      <c r="C396" s="1"/>
      <c r="D396" s="1"/>
      <c r="E396" s="59" t="s">
        <v>7</v>
      </c>
      <c r="F396" s="1"/>
      <c r="G396" s="1"/>
      <c r="H396" s="1"/>
      <c r="I396" s="59" t="s">
        <v>7</v>
      </c>
      <c r="J396" s="1"/>
      <c r="K396" s="1"/>
      <c r="L396" s="1"/>
      <c r="M396" s="59" t="s">
        <v>7</v>
      </c>
      <c r="N396" s="1"/>
      <c r="O396" s="1"/>
      <c r="P396" s="1"/>
      <c r="Q396" s="59" t="s">
        <v>7</v>
      </c>
      <c r="R396" s="59" t="s">
        <v>7</v>
      </c>
    </row>
    <row r="397" spans="1:39" ht="15.75" customHeight="1" x14ac:dyDescent="0.3">
      <c r="A397" s="76" t="s">
        <v>385</v>
      </c>
      <c r="B397" s="1"/>
      <c r="C397" s="1"/>
      <c r="D397" s="1"/>
      <c r="E397" s="59">
        <f>SUM(B397:D397)</f>
        <v>0</v>
      </c>
      <c r="F397" s="1"/>
      <c r="G397" s="1"/>
      <c r="H397" s="1"/>
      <c r="I397" s="59">
        <f>SUM(F397:H397)</f>
        <v>0</v>
      </c>
      <c r="J397" s="1">
        <v>1000</v>
      </c>
      <c r="K397" s="1">
        <v>1000</v>
      </c>
      <c r="L397" s="1"/>
      <c r="M397" s="59">
        <f>SUM(J397:L397)</f>
        <v>2000</v>
      </c>
      <c r="N397" s="1"/>
      <c r="O397" s="1">
        <v>249</v>
      </c>
      <c r="P397" s="1">
        <v>557</v>
      </c>
      <c r="Q397" s="59">
        <f>SUM(N397:P397)</f>
        <v>806</v>
      </c>
      <c r="R397" s="59">
        <f t="shared" ref="R397:R438" si="116">+E397+I397+M397+Q397</f>
        <v>2806</v>
      </c>
    </row>
    <row r="398" spans="1:39" ht="15.75" customHeight="1" x14ac:dyDescent="0.3">
      <c r="A398" s="76" t="s">
        <v>388</v>
      </c>
      <c r="B398" s="1"/>
      <c r="C398" s="1"/>
      <c r="D398" s="1"/>
      <c r="E398" s="59">
        <f t="shared" ref="E398:E401" si="117">SUM(B398:D398)</f>
        <v>0</v>
      </c>
      <c r="F398" s="1"/>
      <c r="G398" s="1"/>
      <c r="H398" s="1"/>
      <c r="I398" s="59">
        <f t="shared" ref="I398:I438" si="118">SUM(F398:H398)</f>
        <v>0</v>
      </c>
      <c r="J398" s="1"/>
      <c r="K398" s="1"/>
      <c r="L398" s="1"/>
      <c r="M398" s="59">
        <f t="shared" ref="M398:M438" si="119">SUM(J398:L398)</f>
        <v>0</v>
      </c>
      <c r="N398" s="1"/>
      <c r="O398" s="1"/>
      <c r="P398" s="1"/>
      <c r="Q398" s="59">
        <f t="shared" ref="Q398:Q439" si="120">SUM(N398:P398)</f>
        <v>0</v>
      </c>
      <c r="R398" s="59">
        <f t="shared" si="116"/>
        <v>0</v>
      </c>
    </row>
    <row r="399" spans="1:39" ht="15.75" customHeight="1" x14ac:dyDescent="0.3">
      <c r="A399" s="76" t="s">
        <v>389</v>
      </c>
      <c r="B399" s="1"/>
      <c r="C399" s="1"/>
      <c r="D399" s="1">
        <v>270</v>
      </c>
      <c r="E399" s="59">
        <f t="shared" si="117"/>
        <v>270</v>
      </c>
      <c r="F399" s="1"/>
      <c r="G399" s="1"/>
      <c r="H399" s="1"/>
      <c r="I399" s="59">
        <f t="shared" si="118"/>
        <v>0</v>
      </c>
      <c r="J399" s="1"/>
      <c r="K399" s="1"/>
      <c r="L399" s="1"/>
      <c r="M399" s="59">
        <f t="shared" si="119"/>
        <v>0</v>
      </c>
      <c r="N399" s="1"/>
      <c r="O399" s="1"/>
      <c r="P399" s="1"/>
      <c r="Q399" s="59">
        <f t="shared" si="120"/>
        <v>0</v>
      </c>
      <c r="R399" s="59">
        <f t="shared" si="116"/>
        <v>270</v>
      </c>
      <c r="T399" s="4" t="s">
        <v>315</v>
      </c>
    </row>
    <row r="400" spans="1:39" ht="15.75" customHeight="1" x14ac:dyDescent="0.3">
      <c r="A400" s="76" t="s">
        <v>391</v>
      </c>
      <c r="B400" s="1">
        <v>416</v>
      </c>
      <c r="C400" s="1"/>
      <c r="D400" s="1"/>
      <c r="E400" s="59">
        <f t="shared" si="117"/>
        <v>416</v>
      </c>
      <c r="F400" s="1"/>
      <c r="G400" s="1"/>
      <c r="H400" s="1"/>
      <c r="I400" s="59">
        <f t="shared" si="118"/>
        <v>0</v>
      </c>
      <c r="J400" s="1"/>
      <c r="K400" s="1"/>
      <c r="L400" s="1"/>
      <c r="M400" s="59">
        <f t="shared" si="119"/>
        <v>0</v>
      </c>
      <c r="N400" s="1"/>
      <c r="O400" s="1"/>
      <c r="P400" s="1"/>
      <c r="Q400" s="59">
        <f t="shared" si="120"/>
        <v>0</v>
      </c>
      <c r="R400" s="59">
        <f t="shared" si="116"/>
        <v>416</v>
      </c>
      <c r="T400" s="4" t="s">
        <v>217</v>
      </c>
    </row>
    <row r="401" spans="1:20" ht="15.75" customHeight="1" x14ac:dyDescent="0.3">
      <c r="A401" s="76" t="s">
        <v>392</v>
      </c>
      <c r="B401" s="1"/>
      <c r="C401" s="1"/>
      <c r="D401" s="1">
        <v>286</v>
      </c>
      <c r="E401" s="59">
        <f t="shared" si="117"/>
        <v>286</v>
      </c>
      <c r="F401" s="1"/>
      <c r="G401" s="1"/>
      <c r="H401" s="1"/>
      <c r="I401" s="59">
        <f t="shared" si="118"/>
        <v>0</v>
      </c>
      <c r="J401" s="1"/>
      <c r="K401" s="1"/>
      <c r="L401" s="1"/>
      <c r="M401" s="59">
        <f t="shared" si="119"/>
        <v>0</v>
      </c>
      <c r="N401" s="1"/>
      <c r="O401" s="1"/>
      <c r="P401" s="1"/>
      <c r="Q401" s="59">
        <f t="shared" si="120"/>
        <v>0</v>
      </c>
      <c r="R401" s="59">
        <f t="shared" si="116"/>
        <v>286</v>
      </c>
      <c r="T401" s="4" t="s">
        <v>315</v>
      </c>
    </row>
    <row r="402" spans="1:20" ht="15.75" customHeight="1" x14ac:dyDescent="0.3">
      <c r="A402" s="76" t="s">
        <v>393</v>
      </c>
      <c r="B402" s="1"/>
      <c r="C402" s="1"/>
      <c r="D402" s="1"/>
      <c r="E402" s="59">
        <f t="shared" ref="E402:E438" si="121">SUM(B402:D402)</f>
        <v>0</v>
      </c>
      <c r="F402" s="1">
        <v>627</v>
      </c>
      <c r="G402" s="1"/>
      <c r="H402" s="1"/>
      <c r="I402" s="59">
        <f t="shared" si="118"/>
        <v>627</v>
      </c>
      <c r="J402" s="1"/>
      <c r="K402" s="1"/>
      <c r="L402" s="1"/>
      <c r="M402" s="59">
        <f t="shared" si="119"/>
        <v>0</v>
      </c>
      <c r="N402" s="1"/>
      <c r="O402" s="1"/>
      <c r="P402" s="1"/>
      <c r="Q402" s="59">
        <f t="shared" si="120"/>
        <v>0</v>
      </c>
      <c r="R402" s="59">
        <f t="shared" si="116"/>
        <v>627</v>
      </c>
    </row>
    <row r="403" spans="1:20" ht="15.75" customHeight="1" x14ac:dyDescent="0.3">
      <c r="A403" s="76" t="s">
        <v>395</v>
      </c>
      <c r="B403" s="1"/>
      <c r="C403" s="1"/>
      <c r="D403" s="1"/>
      <c r="E403" s="59">
        <f t="shared" si="121"/>
        <v>0</v>
      </c>
      <c r="F403" s="1"/>
      <c r="G403" s="1"/>
      <c r="H403" s="1"/>
      <c r="I403" s="59">
        <f t="shared" si="118"/>
        <v>0</v>
      </c>
      <c r="J403" s="1"/>
      <c r="K403" s="1"/>
      <c r="L403" s="1"/>
      <c r="M403" s="59">
        <f t="shared" si="119"/>
        <v>0</v>
      </c>
      <c r="N403" s="1"/>
      <c r="O403" s="1"/>
      <c r="P403" s="1"/>
      <c r="Q403" s="59">
        <f t="shared" si="120"/>
        <v>0</v>
      </c>
      <c r="R403" s="59">
        <f>+E403+I403+M403+Q403</f>
        <v>0</v>
      </c>
      <c r="T403" s="4" t="s">
        <v>317</v>
      </c>
    </row>
    <row r="404" spans="1:20" ht="15.75" customHeight="1" x14ac:dyDescent="0.3">
      <c r="A404" s="76" t="s">
        <v>396</v>
      </c>
      <c r="B404" s="1"/>
      <c r="C404" s="1"/>
      <c r="D404" s="1"/>
      <c r="E404" s="59">
        <f t="shared" si="121"/>
        <v>0</v>
      </c>
      <c r="F404" s="1"/>
      <c r="G404" s="1"/>
      <c r="H404" s="1"/>
      <c r="I404" s="59">
        <f t="shared" si="118"/>
        <v>0</v>
      </c>
      <c r="J404" s="1"/>
      <c r="K404" s="1"/>
      <c r="L404" s="1">
        <v>1950</v>
      </c>
      <c r="M404" s="59">
        <f t="shared" si="119"/>
        <v>1950</v>
      </c>
      <c r="N404" s="1">
        <v>1865</v>
      </c>
      <c r="O404" s="1">
        <v>100</v>
      </c>
      <c r="P404" s="1"/>
      <c r="Q404" s="59">
        <f t="shared" si="120"/>
        <v>1965</v>
      </c>
      <c r="R404" s="59">
        <f t="shared" si="116"/>
        <v>3915</v>
      </c>
      <c r="T404" s="4" t="s">
        <v>305</v>
      </c>
    </row>
    <row r="405" spans="1:20" ht="15.75" customHeight="1" x14ac:dyDescent="0.3">
      <c r="A405" s="76" t="s">
        <v>397</v>
      </c>
      <c r="B405" s="1"/>
      <c r="C405" s="1"/>
      <c r="D405" s="1">
        <v>2200</v>
      </c>
      <c r="E405" s="59">
        <f t="shared" si="121"/>
        <v>2200</v>
      </c>
      <c r="F405" s="1">
        <v>1500</v>
      </c>
      <c r="G405" s="1">
        <v>1430</v>
      </c>
      <c r="H405" s="1">
        <v>2380</v>
      </c>
      <c r="I405" s="59">
        <f t="shared" si="118"/>
        <v>5310</v>
      </c>
      <c r="J405" s="1">
        <v>1000</v>
      </c>
      <c r="K405" s="1">
        <v>2000</v>
      </c>
      <c r="L405" s="1">
        <v>3867</v>
      </c>
      <c r="M405" s="59">
        <f t="shared" si="119"/>
        <v>6867</v>
      </c>
      <c r="N405" s="1">
        <v>2662</v>
      </c>
      <c r="O405" s="1">
        <v>1634</v>
      </c>
      <c r="P405" s="1">
        <v>3298</v>
      </c>
      <c r="Q405" s="59">
        <f t="shared" si="120"/>
        <v>7594</v>
      </c>
      <c r="R405" s="59">
        <f t="shared" si="116"/>
        <v>21971</v>
      </c>
    </row>
    <row r="406" spans="1:20" ht="15.75" customHeight="1" x14ac:dyDescent="0.3">
      <c r="A406" s="76" t="s">
        <v>398</v>
      </c>
      <c r="B406" s="1">
        <v>200</v>
      </c>
      <c r="C406" s="1">
        <v>1670</v>
      </c>
      <c r="D406" s="1">
        <v>3000</v>
      </c>
      <c r="E406" s="59">
        <f t="shared" si="121"/>
        <v>4870</v>
      </c>
      <c r="F406" s="1">
        <v>4000</v>
      </c>
      <c r="G406" s="1">
        <v>5290</v>
      </c>
      <c r="H406" s="1">
        <v>5590</v>
      </c>
      <c r="I406" s="59">
        <f t="shared" si="118"/>
        <v>14880</v>
      </c>
      <c r="J406" s="1">
        <v>4900</v>
      </c>
      <c r="K406" s="1">
        <v>2450</v>
      </c>
      <c r="L406" s="1">
        <v>3400</v>
      </c>
      <c r="M406" s="59">
        <f t="shared" si="119"/>
        <v>10750</v>
      </c>
      <c r="N406" s="1">
        <v>4400</v>
      </c>
      <c r="O406" s="1">
        <v>2100</v>
      </c>
      <c r="P406" s="1">
        <v>1000</v>
      </c>
      <c r="Q406" s="59">
        <f t="shared" si="120"/>
        <v>7500</v>
      </c>
      <c r="R406" s="59">
        <f t="shared" si="116"/>
        <v>38000</v>
      </c>
      <c r="T406" s="4" t="s">
        <v>305</v>
      </c>
    </row>
    <row r="407" spans="1:20" ht="15.75" customHeight="1" x14ac:dyDescent="0.3">
      <c r="A407" s="76" t="s">
        <v>399</v>
      </c>
      <c r="B407" s="1"/>
      <c r="C407" s="1"/>
      <c r="D407" s="1"/>
      <c r="E407" s="59">
        <f t="shared" si="121"/>
        <v>0</v>
      </c>
      <c r="F407" s="1"/>
      <c r="G407" s="1"/>
      <c r="H407" s="1"/>
      <c r="I407" s="59">
        <f t="shared" si="118"/>
        <v>0</v>
      </c>
      <c r="J407" s="1">
        <v>667</v>
      </c>
      <c r="K407" s="1">
        <v>7377</v>
      </c>
      <c r="L407" s="1">
        <v>7610</v>
      </c>
      <c r="M407" s="59">
        <f t="shared" si="119"/>
        <v>15654</v>
      </c>
      <c r="N407" s="1">
        <v>4211</v>
      </c>
      <c r="O407" s="1">
        <v>2928</v>
      </c>
      <c r="P407" s="1">
        <v>4114</v>
      </c>
      <c r="Q407" s="59">
        <f t="shared" si="120"/>
        <v>11253</v>
      </c>
      <c r="R407" s="59">
        <f t="shared" si="116"/>
        <v>26907</v>
      </c>
    </row>
    <row r="408" spans="1:20" ht="15.75" customHeight="1" x14ac:dyDescent="0.3">
      <c r="A408" s="76" t="s">
        <v>404</v>
      </c>
      <c r="B408" s="1">
        <v>232</v>
      </c>
      <c r="C408" s="1">
        <v>1930</v>
      </c>
      <c r="D408" s="1">
        <v>3557</v>
      </c>
      <c r="E408" s="59">
        <f t="shared" si="121"/>
        <v>5719</v>
      </c>
      <c r="F408" s="1">
        <v>3467</v>
      </c>
      <c r="G408" s="1">
        <v>2814</v>
      </c>
      <c r="H408" s="1"/>
      <c r="I408" s="59">
        <f t="shared" si="118"/>
        <v>6281</v>
      </c>
      <c r="J408" s="1"/>
      <c r="K408" s="1"/>
      <c r="L408" s="1"/>
      <c r="M408" s="59">
        <f t="shared" si="119"/>
        <v>0</v>
      </c>
      <c r="N408" s="1"/>
      <c r="O408" s="1"/>
      <c r="P408" s="1"/>
      <c r="Q408" s="59">
        <f t="shared" si="120"/>
        <v>0</v>
      </c>
      <c r="R408" s="59">
        <f t="shared" si="116"/>
        <v>12000</v>
      </c>
    </row>
    <row r="409" spans="1:20" ht="15.75" customHeight="1" x14ac:dyDescent="0.3">
      <c r="A409" s="76" t="s">
        <v>405</v>
      </c>
      <c r="B409" s="1"/>
      <c r="C409" s="1"/>
      <c r="D409" s="1"/>
      <c r="E409" s="59">
        <f t="shared" si="121"/>
        <v>0</v>
      </c>
      <c r="F409" s="1"/>
      <c r="G409" s="1"/>
      <c r="H409" s="1"/>
      <c r="I409" s="59">
        <f t="shared" si="118"/>
        <v>0</v>
      </c>
      <c r="J409" s="1"/>
      <c r="K409" s="1"/>
      <c r="L409" s="1"/>
      <c r="M409" s="59">
        <f t="shared" si="119"/>
        <v>0</v>
      </c>
      <c r="N409" s="1"/>
      <c r="O409" s="1"/>
      <c r="P409" s="1"/>
      <c r="Q409" s="59">
        <f t="shared" ref="Q409" si="122">SUM(N409:P409)</f>
        <v>0</v>
      </c>
      <c r="R409" s="59">
        <f t="shared" si="116"/>
        <v>0</v>
      </c>
    </row>
    <row r="410" spans="1:20" ht="15.75" customHeight="1" x14ac:dyDescent="0.3">
      <c r="A410" s="76" t="s">
        <v>406</v>
      </c>
      <c r="B410" s="1">
        <v>99</v>
      </c>
      <c r="C410" s="1">
        <v>85</v>
      </c>
      <c r="D410" s="1">
        <v>95</v>
      </c>
      <c r="E410" s="59">
        <f t="shared" si="121"/>
        <v>279</v>
      </c>
      <c r="F410" s="1">
        <v>100</v>
      </c>
      <c r="G410" s="1">
        <v>107</v>
      </c>
      <c r="H410" s="1">
        <v>99</v>
      </c>
      <c r="I410" s="59">
        <f t="shared" si="118"/>
        <v>306</v>
      </c>
      <c r="J410" s="1">
        <v>76</v>
      </c>
      <c r="K410" s="1">
        <v>85</v>
      </c>
      <c r="L410" s="1">
        <v>86</v>
      </c>
      <c r="M410" s="59">
        <f t="shared" si="119"/>
        <v>247</v>
      </c>
      <c r="N410" s="1">
        <v>96</v>
      </c>
      <c r="O410" s="1">
        <v>72</v>
      </c>
      <c r="P410" s="1"/>
      <c r="Q410" s="59">
        <f t="shared" si="120"/>
        <v>168</v>
      </c>
      <c r="R410" s="59">
        <f t="shared" si="116"/>
        <v>1000</v>
      </c>
    </row>
    <row r="411" spans="1:20" ht="15.75" customHeight="1" x14ac:dyDescent="0.3">
      <c r="A411" s="76" t="s">
        <v>407</v>
      </c>
      <c r="B411" s="1"/>
      <c r="C411" s="1"/>
      <c r="D411" s="1"/>
      <c r="E411" s="59">
        <f t="shared" si="121"/>
        <v>0</v>
      </c>
      <c r="F411" s="1"/>
      <c r="G411" s="1"/>
      <c r="H411" s="1"/>
      <c r="I411" s="59">
        <f t="shared" si="118"/>
        <v>0</v>
      </c>
      <c r="J411" s="1"/>
      <c r="K411" s="1"/>
      <c r="L411" s="1"/>
      <c r="M411" s="59">
        <f t="shared" si="119"/>
        <v>0</v>
      </c>
      <c r="N411" s="1"/>
      <c r="O411" s="1"/>
      <c r="P411" s="1"/>
      <c r="Q411" s="59">
        <f t="shared" si="120"/>
        <v>0</v>
      </c>
      <c r="R411" s="59">
        <f t="shared" si="116"/>
        <v>0</v>
      </c>
      <c r="T411" s="4" t="s">
        <v>315</v>
      </c>
    </row>
    <row r="412" spans="1:20" ht="15.75" customHeight="1" x14ac:dyDescent="0.3">
      <c r="A412" s="76" t="s">
        <v>408</v>
      </c>
      <c r="B412" s="1">
        <v>8</v>
      </c>
      <c r="C412" s="1">
        <v>17</v>
      </c>
      <c r="D412" s="1">
        <v>24</v>
      </c>
      <c r="E412" s="59">
        <f t="shared" si="121"/>
        <v>49</v>
      </c>
      <c r="F412" s="1">
        <v>18</v>
      </c>
      <c r="G412" s="1"/>
      <c r="H412" s="1">
        <v>12</v>
      </c>
      <c r="I412" s="59">
        <f t="shared" si="118"/>
        <v>30</v>
      </c>
      <c r="J412" s="1">
        <v>36</v>
      </c>
      <c r="K412" s="1">
        <v>18</v>
      </c>
      <c r="L412" s="1">
        <v>36</v>
      </c>
      <c r="M412" s="59">
        <f t="shared" si="119"/>
        <v>90</v>
      </c>
      <c r="N412" s="1">
        <v>18</v>
      </c>
      <c r="O412" s="1">
        <v>18</v>
      </c>
      <c r="P412" s="1">
        <v>36</v>
      </c>
      <c r="Q412" s="59">
        <f t="shared" si="120"/>
        <v>72</v>
      </c>
      <c r="R412" s="59">
        <f t="shared" si="116"/>
        <v>241</v>
      </c>
      <c r="T412" s="4" t="s">
        <v>348</v>
      </c>
    </row>
    <row r="413" spans="1:20" ht="15.75" customHeight="1" x14ac:dyDescent="0.3">
      <c r="A413" s="76" t="s">
        <v>409</v>
      </c>
      <c r="B413" s="1">
        <v>418</v>
      </c>
      <c r="C413" s="1"/>
      <c r="D413" s="1">
        <v>11</v>
      </c>
      <c r="E413" s="59">
        <f t="shared" si="121"/>
        <v>429</v>
      </c>
      <c r="F413" s="1">
        <v>1009</v>
      </c>
      <c r="G413" s="1">
        <v>1091</v>
      </c>
      <c r="H413" s="1">
        <v>1097</v>
      </c>
      <c r="I413" s="59">
        <f t="shared" si="118"/>
        <v>3197</v>
      </c>
      <c r="J413" s="1">
        <v>1152</v>
      </c>
      <c r="K413" s="1">
        <v>790</v>
      </c>
      <c r="L413" s="1"/>
      <c r="M413" s="59">
        <f t="shared" si="119"/>
        <v>1942</v>
      </c>
      <c r="N413" s="1"/>
      <c r="O413" s="1"/>
      <c r="P413" s="1"/>
      <c r="Q413" s="59">
        <f t="shared" si="120"/>
        <v>0</v>
      </c>
      <c r="R413" s="59">
        <f t="shared" si="116"/>
        <v>5568</v>
      </c>
      <c r="T413" s="4" t="s">
        <v>217</v>
      </c>
    </row>
    <row r="414" spans="1:20" ht="15.75" customHeight="1" x14ac:dyDescent="0.3">
      <c r="A414" s="76" t="s">
        <v>410</v>
      </c>
      <c r="B414" s="1">
        <v>1970</v>
      </c>
      <c r="C414" s="1">
        <v>1970</v>
      </c>
      <c r="D414" s="1">
        <v>1970</v>
      </c>
      <c r="E414" s="59">
        <f t="shared" si="121"/>
        <v>5910</v>
      </c>
      <c r="F414" s="1">
        <v>1970</v>
      </c>
      <c r="G414" s="1"/>
      <c r="H414" s="1"/>
      <c r="I414" s="59">
        <f t="shared" si="118"/>
        <v>1970</v>
      </c>
      <c r="J414" s="1"/>
      <c r="K414" s="1"/>
      <c r="L414" s="1"/>
      <c r="M414" s="59">
        <f t="shared" si="119"/>
        <v>0</v>
      </c>
      <c r="N414" s="1"/>
      <c r="O414" s="1"/>
      <c r="P414" s="1"/>
      <c r="Q414" s="59">
        <f t="shared" si="120"/>
        <v>0</v>
      </c>
      <c r="R414" s="59">
        <f>+E414+I414+M414+Q414</f>
        <v>7880</v>
      </c>
    </row>
    <row r="415" spans="1:20" ht="15.75" customHeight="1" x14ac:dyDescent="0.3">
      <c r="A415" s="76" t="s">
        <v>411</v>
      </c>
      <c r="B415" s="1"/>
      <c r="C415" s="1"/>
      <c r="D415" s="1"/>
      <c r="E415" s="59">
        <f t="shared" si="121"/>
        <v>0</v>
      </c>
      <c r="F415" s="1"/>
      <c r="G415" s="1"/>
      <c r="H415" s="1"/>
      <c r="I415" s="59">
        <f t="shared" si="118"/>
        <v>0</v>
      </c>
      <c r="J415" s="1"/>
      <c r="K415" s="1"/>
      <c r="L415" s="1"/>
      <c r="M415" s="59">
        <f t="shared" si="119"/>
        <v>0</v>
      </c>
      <c r="N415" s="1"/>
      <c r="O415" s="1"/>
      <c r="P415" s="1"/>
      <c r="Q415" s="59">
        <f t="shared" si="120"/>
        <v>0</v>
      </c>
      <c r="R415" s="59">
        <f>+E415+I415+M415+Q415</f>
        <v>0</v>
      </c>
    </row>
    <row r="416" spans="1:20" ht="15.75" customHeight="1" x14ac:dyDescent="0.3">
      <c r="A416" s="76" t="s">
        <v>412</v>
      </c>
      <c r="B416" s="1"/>
      <c r="C416" s="1"/>
      <c r="D416" s="1"/>
      <c r="E416" s="59">
        <f t="shared" si="121"/>
        <v>0</v>
      </c>
      <c r="F416" s="1"/>
      <c r="G416" s="1"/>
      <c r="H416" s="1"/>
      <c r="I416" s="59">
        <f t="shared" si="118"/>
        <v>0</v>
      </c>
      <c r="J416" s="1"/>
      <c r="K416" s="1"/>
      <c r="L416" s="1"/>
      <c r="M416" s="59">
        <f t="shared" si="119"/>
        <v>0</v>
      </c>
      <c r="N416" s="1"/>
      <c r="O416" s="1"/>
      <c r="P416" s="1"/>
      <c r="Q416" s="59">
        <f t="shared" si="120"/>
        <v>0</v>
      </c>
      <c r="R416" s="59">
        <f>+E416+I416+M416+Q416</f>
        <v>0</v>
      </c>
    </row>
    <row r="417" spans="1:20" ht="15.75" customHeight="1" x14ac:dyDescent="0.3">
      <c r="A417" s="76" t="s">
        <v>413</v>
      </c>
      <c r="B417" s="1"/>
      <c r="C417" s="1"/>
      <c r="D417" s="1"/>
      <c r="E417" s="59">
        <f t="shared" si="121"/>
        <v>0</v>
      </c>
      <c r="F417" s="1"/>
      <c r="G417" s="1"/>
      <c r="H417" s="1"/>
      <c r="I417" s="59">
        <f t="shared" si="118"/>
        <v>0</v>
      </c>
      <c r="J417" s="1"/>
      <c r="K417" s="1"/>
      <c r="L417" s="1"/>
      <c r="M417" s="59">
        <f t="shared" si="119"/>
        <v>0</v>
      </c>
      <c r="N417" s="1"/>
      <c r="O417" s="1"/>
      <c r="P417" s="1"/>
      <c r="Q417" s="59">
        <f t="shared" si="120"/>
        <v>0</v>
      </c>
      <c r="R417" s="59">
        <f>+E417+I417+M417+Q417</f>
        <v>0</v>
      </c>
      <c r="T417" s="4" t="s">
        <v>315</v>
      </c>
    </row>
    <row r="418" spans="1:20" ht="15.75" customHeight="1" x14ac:dyDescent="0.3">
      <c r="A418" s="76" t="s">
        <v>414</v>
      </c>
      <c r="B418" s="1"/>
      <c r="C418" s="1"/>
      <c r="D418" s="1"/>
      <c r="E418" s="59">
        <f t="shared" ref="E418" si="123">SUM(B418:D418)</f>
        <v>0</v>
      </c>
      <c r="F418" s="1"/>
      <c r="G418" s="1"/>
      <c r="H418" s="1"/>
      <c r="I418" s="59">
        <f t="shared" ref="I418" si="124">SUM(F418:H418)</f>
        <v>0</v>
      </c>
      <c r="J418" s="1"/>
      <c r="K418" s="1"/>
      <c r="L418" s="1">
        <v>496</v>
      </c>
      <c r="M418" s="59">
        <f t="shared" ref="M418" si="125">SUM(J418:L418)</f>
        <v>496</v>
      </c>
      <c r="N418" s="1">
        <v>1504</v>
      </c>
      <c r="O418" s="1"/>
      <c r="P418" s="1"/>
      <c r="Q418" s="59">
        <f t="shared" ref="Q418" si="126">SUM(N418:P418)</f>
        <v>1504</v>
      </c>
      <c r="R418" s="59">
        <f t="shared" ref="R418:R419" si="127">+E418+I418+M418+Q418</f>
        <v>2000</v>
      </c>
      <c r="T418" s="4" t="s">
        <v>137</v>
      </c>
    </row>
    <row r="419" spans="1:20" ht="16.5" customHeight="1" x14ac:dyDescent="0.3">
      <c r="A419" s="76" t="s">
        <v>861</v>
      </c>
      <c r="B419" s="1"/>
      <c r="C419" s="1"/>
      <c r="D419" s="1"/>
      <c r="E419" s="59">
        <f t="shared" si="121"/>
        <v>0</v>
      </c>
      <c r="F419" s="1"/>
      <c r="G419" s="1"/>
      <c r="H419" s="1"/>
      <c r="I419" s="59">
        <f t="shared" si="118"/>
        <v>0</v>
      </c>
      <c r="J419" s="1"/>
      <c r="K419" s="1"/>
      <c r="L419" s="1"/>
      <c r="M419" s="59">
        <f t="shared" si="119"/>
        <v>0</v>
      </c>
      <c r="N419" s="1"/>
      <c r="O419" s="1"/>
      <c r="P419" s="1"/>
      <c r="Q419" s="59">
        <f t="shared" ref="Q419" si="128">SUM(N419:P419)</f>
        <v>0</v>
      </c>
      <c r="R419" s="59">
        <f t="shared" si="127"/>
        <v>0</v>
      </c>
      <c r="T419" s="4" t="s">
        <v>376</v>
      </c>
    </row>
    <row r="420" spans="1:20" ht="15.75" customHeight="1" x14ac:dyDescent="0.3">
      <c r="A420" s="76" t="s">
        <v>416</v>
      </c>
      <c r="B420" s="1"/>
      <c r="C420" s="1"/>
      <c r="D420" s="1">
        <v>320</v>
      </c>
      <c r="E420" s="59">
        <f t="shared" si="121"/>
        <v>320</v>
      </c>
      <c r="F420" s="1">
        <v>2533</v>
      </c>
      <c r="G420" s="1">
        <v>525</v>
      </c>
      <c r="H420" s="1">
        <v>3746</v>
      </c>
      <c r="I420" s="59">
        <f t="shared" si="118"/>
        <v>6804</v>
      </c>
      <c r="J420" s="1">
        <v>2607</v>
      </c>
      <c r="K420" s="1">
        <v>1957</v>
      </c>
      <c r="L420" s="1">
        <v>1681</v>
      </c>
      <c r="M420" s="59">
        <f t="shared" si="119"/>
        <v>6245</v>
      </c>
      <c r="N420" s="1">
        <v>564</v>
      </c>
      <c r="O420" s="1"/>
      <c r="P420" s="1"/>
      <c r="Q420" s="59">
        <f t="shared" ref="Q420" si="129">SUM(N420:P420)</f>
        <v>564</v>
      </c>
      <c r="R420" s="59">
        <f t="shared" si="116"/>
        <v>13933</v>
      </c>
      <c r="T420" s="4" t="s">
        <v>331</v>
      </c>
    </row>
    <row r="421" spans="1:20" ht="15.75" customHeight="1" x14ac:dyDescent="0.3">
      <c r="A421" s="76" t="s">
        <v>862</v>
      </c>
      <c r="B421" s="1"/>
      <c r="C421" s="1"/>
      <c r="D421" s="1"/>
      <c r="E421" s="59">
        <f t="shared" si="121"/>
        <v>0</v>
      </c>
      <c r="F421" s="1"/>
      <c r="G421" s="1"/>
      <c r="H421" s="1"/>
      <c r="I421" s="59">
        <f t="shared" si="118"/>
        <v>0</v>
      </c>
      <c r="J421" s="1"/>
      <c r="K421" s="1"/>
      <c r="L421" s="1"/>
      <c r="M421" s="59">
        <f t="shared" si="119"/>
        <v>0</v>
      </c>
      <c r="N421" s="1"/>
      <c r="O421" s="1"/>
      <c r="P421" s="1"/>
      <c r="Q421" s="59">
        <f t="shared" si="120"/>
        <v>0</v>
      </c>
      <c r="R421" s="59">
        <f t="shared" si="116"/>
        <v>0</v>
      </c>
      <c r="T421" s="4" t="s">
        <v>331</v>
      </c>
    </row>
    <row r="422" spans="1:20" ht="15.75" customHeight="1" x14ac:dyDescent="0.3">
      <c r="A422" s="76" t="s">
        <v>863</v>
      </c>
      <c r="B422" s="1"/>
      <c r="C422" s="1"/>
      <c r="D422" s="1"/>
      <c r="E422" s="59">
        <f t="shared" si="121"/>
        <v>0</v>
      </c>
      <c r="F422" s="1"/>
      <c r="G422" s="1"/>
      <c r="H422" s="1"/>
      <c r="I422" s="59">
        <f t="shared" si="118"/>
        <v>0</v>
      </c>
      <c r="J422" s="1"/>
      <c r="K422" s="1"/>
      <c r="L422" s="1"/>
      <c r="M422" s="59">
        <f t="shared" si="119"/>
        <v>0</v>
      </c>
      <c r="N422" s="1"/>
      <c r="O422" s="1"/>
      <c r="P422" s="1"/>
      <c r="Q422" s="59">
        <f t="shared" si="120"/>
        <v>0</v>
      </c>
      <c r="R422" s="59">
        <f t="shared" si="116"/>
        <v>0</v>
      </c>
      <c r="T422" s="4" t="s">
        <v>217</v>
      </c>
    </row>
    <row r="423" spans="1:20" ht="15.75" customHeight="1" x14ac:dyDescent="0.3">
      <c r="A423" s="76" t="s">
        <v>864</v>
      </c>
      <c r="B423" s="1"/>
      <c r="C423" s="1"/>
      <c r="D423" s="1">
        <v>2000</v>
      </c>
      <c r="E423" s="59">
        <f t="shared" si="121"/>
        <v>2000</v>
      </c>
      <c r="F423" s="1">
        <v>2000</v>
      </c>
      <c r="G423" s="1">
        <v>2500</v>
      </c>
      <c r="H423" s="1">
        <v>2500</v>
      </c>
      <c r="I423" s="59">
        <f t="shared" si="118"/>
        <v>7000</v>
      </c>
      <c r="J423" s="1">
        <v>2000</v>
      </c>
      <c r="K423" s="1">
        <v>3184</v>
      </c>
      <c r="L423" s="1">
        <v>316</v>
      </c>
      <c r="M423" s="59">
        <f t="shared" si="119"/>
        <v>5500</v>
      </c>
      <c r="N423" s="1"/>
      <c r="O423" s="1"/>
      <c r="P423" s="1"/>
      <c r="Q423" s="59">
        <f t="shared" si="120"/>
        <v>0</v>
      </c>
      <c r="R423" s="59">
        <f t="shared" si="116"/>
        <v>14500</v>
      </c>
    </row>
    <row r="424" spans="1:20" ht="15.75" customHeight="1" x14ac:dyDescent="0.3">
      <c r="A424" s="76" t="s">
        <v>865</v>
      </c>
      <c r="B424" s="1"/>
      <c r="C424" s="1"/>
      <c r="D424" s="1"/>
      <c r="E424" s="59">
        <f t="shared" si="121"/>
        <v>0</v>
      </c>
      <c r="F424" s="1"/>
      <c r="G424" s="1"/>
      <c r="H424" s="1"/>
      <c r="I424" s="59">
        <f t="shared" si="118"/>
        <v>0</v>
      </c>
      <c r="J424" s="1">
        <v>648</v>
      </c>
      <c r="K424" s="1">
        <v>5875</v>
      </c>
      <c r="L424" s="1">
        <v>790</v>
      </c>
      <c r="M424" s="59">
        <f t="shared" si="119"/>
        <v>7313</v>
      </c>
      <c r="N424" s="1"/>
      <c r="O424" s="1"/>
      <c r="P424" s="1"/>
      <c r="Q424" s="59">
        <f t="shared" si="120"/>
        <v>0</v>
      </c>
      <c r="R424" s="59">
        <f t="shared" si="116"/>
        <v>7313</v>
      </c>
      <c r="T424" s="4" t="s">
        <v>315</v>
      </c>
    </row>
    <row r="425" spans="1:20" ht="15.75" customHeight="1" x14ac:dyDescent="0.3">
      <c r="A425" s="76" t="s">
        <v>428</v>
      </c>
      <c r="B425" s="1"/>
      <c r="C425" s="1"/>
      <c r="D425" s="1"/>
      <c r="E425" s="59">
        <f t="shared" si="121"/>
        <v>0</v>
      </c>
      <c r="F425" s="1">
        <v>2695</v>
      </c>
      <c r="G425" s="1">
        <v>3775</v>
      </c>
      <c r="H425" s="1"/>
      <c r="I425" s="59">
        <f t="shared" si="118"/>
        <v>6470</v>
      </c>
      <c r="J425" s="1"/>
      <c r="K425" s="1"/>
      <c r="L425" s="1"/>
      <c r="M425" s="59">
        <f t="shared" si="119"/>
        <v>0</v>
      </c>
      <c r="N425" s="1"/>
      <c r="O425" s="1"/>
      <c r="P425" s="1"/>
      <c r="Q425" s="59">
        <f>SUM(N425:P425)</f>
        <v>0</v>
      </c>
      <c r="R425" s="59">
        <f t="shared" si="116"/>
        <v>6470</v>
      </c>
    </row>
    <row r="426" spans="1:20" ht="15.75" customHeight="1" x14ac:dyDescent="0.3">
      <c r="A426" s="76" t="s">
        <v>429</v>
      </c>
      <c r="B426" s="1"/>
      <c r="C426" s="1">
        <v>39</v>
      </c>
      <c r="D426" s="1">
        <v>1915</v>
      </c>
      <c r="E426" s="59">
        <f t="shared" si="121"/>
        <v>1954</v>
      </c>
      <c r="F426" s="1"/>
      <c r="G426" s="1"/>
      <c r="H426" s="1"/>
      <c r="I426" s="59">
        <f t="shared" si="118"/>
        <v>0</v>
      </c>
      <c r="J426" s="1"/>
      <c r="K426" s="1"/>
      <c r="L426" s="1"/>
      <c r="M426" s="59">
        <f t="shared" si="119"/>
        <v>0</v>
      </c>
      <c r="N426" s="1"/>
      <c r="O426" s="1"/>
      <c r="P426" s="1"/>
      <c r="Q426" s="59">
        <f t="shared" si="120"/>
        <v>0</v>
      </c>
      <c r="R426" s="59">
        <f t="shared" si="116"/>
        <v>1954</v>
      </c>
    </row>
    <row r="427" spans="1:20" ht="15.75" customHeight="1" x14ac:dyDescent="0.3">
      <c r="A427" s="76" t="s">
        <v>433</v>
      </c>
      <c r="B427" s="1"/>
      <c r="C427" s="1"/>
      <c r="D427" s="1"/>
      <c r="E427" s="59">
        <f t="shared" si="121"/>
        <v>0</v>
      </c>
      <c r="F427" s="1"/>
      <c r="G427" s="1"/>
      <c r="H427" s="1"/>
      <c r="I427" s="59">
        <f t="shared" si="118"/>
        <v>0</v>
      </c>
      <c r="J427" s="1"/>
      <c r="K427" s="1"/>
      <c r="L427" s="1"/>
      <c r="M427" s="59">
        <f t="shared" si="119"/>
        <v>0</v>
      </c>
      <c r="N427" s="1"/>
      <c r="O427" s="1"/>
      <c r="P427" s="1"/>
      <c r="Q427" s="59">
        <f t="shared" si="120"/>
        <v>0</v>
      </c>
      <c r="R427" s="59">
        <f t="shared" si="116"/>
        <v>0</v>
      </c>
      <c r="T427" s="4" t="s">
        <v>217</v>
      </c>
    </row>
    <row r="428" spans="1:20" ht="15.75" customHeight="1" x14ac:dyDescent="0.3">
      <c r="A428" s="76" t="s">
        <v>434</v>
      </c>
      <c r="B428" s="1"/>
      <c r="C428" s="1"/>
      <c r="D428" s="1"/>
      <c r="E428" s="59">
        <f t="shared" si="121"/>
        <v>0</v>
      </c>
      <c r="F428" s="1"/>
      <c r="G428" s="1"/>
      <c r="H428" s="1">
        <v>1108</v>
      </c>
      <c r="I428" s="59">
        <f t="shared" si="118"/>
        <v>1108</v>
      </c>
      <c r="J428" s="1">
        <v>1113</v>
      </c>
      <c r="K428" s="1">
        <v>431</v>
      </c>
      <c r="L428" s="1"/>
      <c r="M428" s="59">
        <f t="shared" si="119"/>
        <v>1544</v>
      </c>
      <c r="N428" s="1"/>
      <c r="O428" s="1"/>
      <c r="P428" s="1"/>
      <c r="Q428" s="59">
        <f t="shared" si="120"/>
        <v>0</v>
      </c>
      <c r="R428" s="59">
        <f t="shared" si="116"/>
        <v>2652</v>
      </c>
      <c r="T428" s="4" t="s">
        <v>217</v>
      </c>
    </row>
    <row r="429" spans="1:20" ht="15.75" customHeight="1" x14ac:dyDescent="0.3">
      <c r="A429" s="76" t="s">
        <v>435</v>
      </c>
      <c r="B429" s="1"/>
      <c r="C429" s="1"/>
      <c r="D429" s="1"/>
      <c r="E429" s="59">
        <f t="shared" si="121"/>
        <v>0</v>
      </c>
      <c r="F429" s="1"/>
      <c r="G429" s="1"/>
      <c r="H429" s="1"/>
      <c r="I429" s="59">
        <f t="shared" si="118"/>
        <v>0</v>
      </c>
      <c r="J429" s="1"/>
      <c r="K429" s="1"/>
      <c r="L429" s="1"/>
      <c r="M429" s="59">
        <f t="shared" si="119"/>
        <v>0</v>
      </c>
      <c r="N429" s="1"/>
      <c r="O429" s="1"/>
      <c r="P429" s="1"/>
      <c r="Q429" s="59">
        <f t="shared" si="120"/>
        <v>0</v>
      </c>
      <c r="R429" s="59">
        <f t="shared" si="116"/>
        <v>0</v>
      </c>
      <c r="T429" s="4" t="s">
        <v>315</v>
      </c>
    </row>
    <row r="430" spans="1:20" ht="15.75" customHeight="1" x14ac:dyDescent="0.3">
      <c r="A430" s="76" t="s">
        <v>436</v>
      </c>
      <c r="B430" s="1"/>
      <c r="C430" s="1"/>
      <c r="D430" s="1"/>
      <c r="E430" s="59">
        <f t="shared" si="121"/>
        <v>0</v>
      </c>
      <c r="F430" s="1">
        <v>1148</v>
      </c>
      <c r="G430" s="1">
        <v>521</v>
      </c>
      <c r="H430" s="1"/>
      <c r="I430" s="59">
        <f t="shared" si="118"/>
        <v>1669</v>
      </c>
      <c r="J430" s="1"/>
      <c r="K430" s="1"/>
      <c r="L430" s="1"/>
      <c r="M430" s="59">
        <f t="shared" si="119"/>
        <v>0</v>
      </c>
      <c r="N430" s="1"/>
      <c r="O430" s="1"/>
      <c r="P430" s="1"/>
      <c r="Q430" s="59">
        <f t="shared" si="120"/>
        <v>0</v>
      </c>
      <c r="R430" s="59">
        <f t="shared" si="116"/>
        <v>1669</v>
      </c>
    </row>
    <row r="431" spans="1:20" ht="15.75" customHeight="1" x14ac:dyDescent="0.3">
      <c r="A431" s="76" t="s">
        <v>867</v>
      </c>
      <c r="B431" s="1"/>
      <c r="C431" s="1"/>
      <c r="D431" s="1"/>
      <c r="E431" s="59">
        <f t="shared" si="121"/>
        <v>0</v>
      </c>
      <c r="F431" s="1">
        <v>1337</v>
      </c>
      <c r="G431" s="1"/>
      <c r="H431" s="1"/>
      <c r="I431" s="59">
        <f t="shared" si="118"/>
        <v>1337</v>
      </c>
      <c r="J431" s="1"/>
      <c r="K431" s="1"/>
      <c r="L431" s="1"/>
      <c r="M431" s="59">
        <f t="shared" si="119"/>
        <v>0</v>
      </c>
      <c r="N431" s="1"/>
      <c r="O431" s="1"/>
      <c r="P431" s="1"/>
      <c r="Q431" s="59">
        <f t="shared" si="120"/>
        <v>0</v>
      </c>
      <c r="R431" s="59">
        <f t="shared" si="116"/>
        <v>1337</v>
      </c>
      <c r="T431" s="4" t="s">
        <v>315</v>
      </c>
    </row>
    <row r="432" spans="1:20" ht="15.75" customHeight="1" x14ac:dyDescent="0.3">
      <c r="A432" s="76" t="s">
        <v>888</v>
      </c>
      <c r="B432" s="1"/>
      <c r="C432" s="1"/>
      <c r="D432" s="1"/>
      <c r="E432" s="59">
        <f t="shared" si="121"/>
        <v>0</v>
      </c>
      <c r="F432" s="1"/>
      <c r="G432" s="1"/>
      <c r="H432" s="1"/>
      <c r="I432" s="59">
        <f t="shared" si="118"/>
        <v>0</v>
      </c>
      <c r="J432" s="1"/>
      <c r="K432" s="1">
        <v>376</v>
      </c>
      <c r="L432" s="1"/>
      <c r="M432" s="59">
        <f t="shared" si="119"/>
        <v>376</v>
      </c>
      <c r="N432" s="1"/>
      <c r="O432" s="1"/>
      <c r="P432" s="1"/>
      <c r="Q432" s="59">
        <f t="shared" si="120"/>
        <v>0</v>
      </c>
      <c r="R432" s="59">
        <f t="shared" si="116"/>
        <v>376</v>
      </c>
      <c r="T432" s="4" t="s">
        <v>217</v>
      </c>
    </row>
    <row r="433" spans="1:21" ht="15.75" customHeight="1" x14ac:dyDescent="0.3">
      <c r="A433" s="76" t="s">
        <v>889</v>
      </c>
      <c r="B433" s="1"/>
      <c r="C433" s="1"/>
      <c r="D433" s="1"/>
      <c r="E433" s="59">
        <f t="shared" si="121"/>
        <v>0</v>
      </c>
      <c r="F433" s="1"/>
      <c r="G433" s="1"/>
      <c r="H433" s="1">
        <v>119</v>
      </c>
      <c r="I433" s="59">
        <f t="shared" si="118"/>
        <v>119</v>
      </c>
      <c r="J433" s="1"/>
      <c r="K433" s="1"/>
      <c r="L433" s="1"/>
      <c r="M433" s="59">
        <f t="shared" si="119"/>
        <v>0</v>
      </c>
      <c r="N433" s="1"/>
      <c r="O433" s="1"/>
      <c r="P433" s="1"/>
      <c r="Q433" s="59">
        <f t="shared" si="120"/>
        <v>0</v>
      </c>
      <c r="R433" s="59">
        <f>+E433+I433+M433+Q433</f>
        <v>119</v>
      </c>
    </row>
    <row r="434" spans="1:21" ht="15.75" customHeight="1" x14ac:dyDescent="0.3">
      <c r="A434" s="76" t="s">
        <v>890</v>
      </c>
      <c r="B434" s="1"/>
      <c r="C434" s="1"/>
      <c r="D434" s="1"/>
      <c r="E434" s="59">
        <f t="shared" si="121"/>
        <v>0</v>
      </c>
      <c r="F434" s="1"/>
      <c r="G434" s="1"/>
      <c r="H434" s="1"/>
      <c r="I434" s="59">
        <f t="shared" si="118"/>
        <v>0</v>
      </c>
      <c r="J434" s="1"/>
      <c r="K434" s="1"/>
      <c r="L434" s="1"/>
      <c r="M434" s="59">
        <f t="shared" si="119"/>
        <v>0</v>
      </c>
      <c r="N434" s="1"/>
      <c r="O434" s="1"/>
      <c r="P434" s="1"/>
      <c r="Q434" s="59">
        <f t="shared" si="120"/>
        <v>0</v>
      </c>
      <c r="R434" s="59">
        <f>+E434+I434+M434+Q434</f>
        <v>0</v>
      </c>
      <c r="T434" s="4" t="s">
        <v>315</v>
      </c>
    </row>
    <row r="435" spans="1:21" ht="15.75" customHeight="1" x14ac:dyDescent="0.3">
      <c r="A435" s="76" t="s">
        <v>891</v>
      </c>
      <c r="B435" s="1"/>
      <c r="C435" s="1"/>
      <c r="D435" s="1">
        <v>134</v>
      </c>
      <c r="E435" s="59">
        <f t="shared" si="121"/>
        <v>134</v>
      </c>
      <c r="F435" s="1">
        <v>1101</v>
      </c>
      <c r="G435" s="1">
        <v>1111</v>
      </c>
      <c r="H435" s="1"/>
      <c r="I435" s="59">
        <f t="shared" si="118"/>
        <v>2212</v>
      </c>
      <c r="J435" s="1"/>
      <c r="K435" s="1"/>
      <c r="L435" s="1"/>
      <c r="M435" s="59">
        <f t="shared" si="119"/>
        <v>0</v>
      </c>
      <c r="N435" s="1"/>
      <c r="O435" s="1"/>
      <c r="P435" s="1"/>
      <c r="Q435" s="59">
        <f t="shared" si="120"/>
        <v>0</v>
      </c>
      <c r="R435" s="59">
        <f t="shared" si="116"/>
        <v>2346</v>
      </c>
      <c r="T435" s="4" t="s">
        <v>217</v>
      </c>
    </row>
    <row r="436" spans="1:21" ht="15.75" customHeight="1" x14ac:dyDescent="0.3">
      <c r="A436" s="76" t="s">
        <v>892</v>
      </c>
      <c r="B436" s="1"/>
      <c r="C436" s="1"/>
      <c r="D436" s="1">
        <v>72</v>
      </c>
      <c r="E436" s="59">
        <f t="shared" si="121"/>
        <v>72</v>
      </c>
      <c r="F436" s="1">
        <v>1337</v>
      </c>
      <c r="G436" s="1"/>
      <c r="H436" s="1"/>
      <c r="I436" s="59">
        <f t="shared" si="118"/>
        <v>1337</v>
      </c>
      <c r="J436" s="1"/>
      <c r="K436" s="1"/>
      <c r="L436" s="1"/>
      <c r="M436" s="59">
        <f t="shared" si="119"/>
        <v>0</v>
      </c>
      <c r="N436" s="1"/>
      <c r="O436" s="1"/>
      <c r="P436" s="1"/>
      <c r="Q436" s="59">
        <f t="shared" si="120"/>
        <v>0</v>
      </c>
      <c r="R436" s="59">
        <f t="shared" si="116"/>
        <v>1409</v>
      </c>
      <c r="T436" s="4" t="s">
        <v>315</v>
      </c>
    </row>
    <row r="437" spans="1:21" ht="15.75" customHeight="1" x14ac:dyDescent="0.3">
      <c r="A437" s="76" t="s">
        <v>883</v>
      </c>
      <c r="B437" s="1"/>
      <c r="C437" s="1"/>
      <c r="D437" s="1"/>
      <c r="E437" s="59">
        <f t="shared" si="121"/>
        <v>0</v>
      </c>
      <c r="F437" s="1"/>
      <c r="G437" s="1">
        <v>2622</v>
      </c>
      <c r="H437" s="1"/>
      <c r="I437" s="59">
        <f t="shared" si="118"/>
        <v>2622</v>
      </c>
      <c r="J437" s="1"/>
      <c r="K437" s="1"/>
      <c r="L437" s="1"/>
      <c r="M437" s="59">
        <f t="shared" si="119"/>
        <v>0</v>
      </c>
      <c r="N437" s="1"/>
      <c r="O437" s="1"/>
      <c r="P437" s="1"/>
      <c r="Q437" s="59">
        <f t="shared" si="120"/>
        <v>0</v>
      </c>
      <c r="R437" s="59">
        <f t="shared" si="116"/>
        <v>2622</v>
      </c>
    </row>
    <row r="438" spans="1:21" ht="15.75" customHeight="1" thickBot="1" x14ac:dyDescent="0.35">
      <c r="A438" s="76" t="s">
        <v>450</v>
      </c>
      <c r="B438" s="1">
        <v>374</v>
      </c>
      <c r="C438" s="1">
        <v>1015</v>
      </c>
      <c r="D438" s="1">
        <v>2166</v>
      </c>
      <c r="E438" s="59">
        <f t="shared" si="121"/>
        <v>3555</v>
      </c>
      <c r="F438" s="1">
        <v>3571</v>
      </c>
      <c r="G438" s="1">
        <v>1375</v>
      </c>
      <c r="H438" s="1">
        <v>2000</v>
      </c>
      <c r="I438" s="59">
        <f t="shared" si="118"/>
        <v>6946</v>
      </c>
      <c r="J438" s="1">
        <v>1602</v>
      </c>
      <c r="K438" s="1">
        <v>3000</v>
      </c>
      <c r="L438" s="1">
        <v>3867</v>
      </c>
      <c r="M438" s="59">
        <f t="shared" si="119"/>
        <v>8469</v>
      </c>
      <c r="N438" s="1">
        <v>2663</v>
      </c>
      <c r="O438" s="1">
        <v>1635</v>
      </c>
      <c r="P438" s="1">
        <v>1732</v>
      </c>
      <c r="Q438" s="59">
        <f t="shared" si="120"/>
        <v>6030</v>
      </c>
      <c r="R438" s="59">
        <f t="shared" si="116"/>
        <v>25000</v>
      </c>
    </row>
    <row r="439" spans="1:21" ht="16.5" customHeight="1" thickBot="1" x14ac:dyDescent="0.35">
      <c r="A439" s="137" t="s">
        <v>61</v>
      </c>
      <c r="B439" s="107">
        <f>SUM(B392:B438)</f>
        <v>5821</v>
      </c>
      <c r="C439" s="63">
        <f>SUM(C392:C438)</f>
        <v>11281</v>
      </c>
      <c r="D439" s="63">
        <f>SUM(D392:D438)</f>
        <v>28728</v>
      </c>
      <c r="E439" s="64">
        <f t="shared" ref="E439" si="130">SUM(B439:D439)</f>
        <v>45830</v>
      </c>
      <c r="F439" s="63">
        <f>SUM(F392:F438)</f>
        <v>38725</v>
      </c>
      <c r="G439" s="63">
        <f>SUM(G392:G438)</f>
        <v>36973</v>
      </c>
      <c r="H439" s="63">
        <f>SUM(H392:H438)</f>
        <v>33917</v>
      </c>
      <c r="I439" s="64">
        <f t="shared" ref="I439" si="131">SUM(F439:H439)</f>
        <v>109615</v>
      </c>
      <c r="J439" s="63">
        <f>SUM(J392:J438)</f>
        <v>26100</v>
      </c>
      <c r="K439" s="63">
        <f>SUM(K392:K438)</f>
        <v>37472</v>
      </c>
      <c r="L439" s="63">
        <f>SUM(L392:L438)</f>
        <v>29913</v>
      </c>
      <c r="M439" s="64">
        <f t="shared" ref="M439" si="132">SUM(J439:L439)</f>
        <v>93485</v>
      </c>
      <c r="N439" s="63">
        <f>SUM(N392:N438)</f>
        <v>20299</v>
      </c>
      <c r="O439" s="63">
        <f>SUM(O392:O438)</f>
        <v>9984</v>
      </c>
      <c r="P439" s="63">
        <f>SUM(P392:P438)</f>
        <v>14159</v>
      </c>
      <c r="Q439" s="64">
        <f t="shared" si="120"/>
        <v>44442</v>
      </c>
      <c r="R439" s="64">
        <f>+E439+I439+M439+Q439</f>
        <v>293372</v>
      </c>
      <c r="T439" s="106"/>
    </row>
    <row r="440" spans="1:21" ht="15.75" customHeight="1" x14ac:dyDescent="0.3">
      <c r="A440" s="17" t="s">
        <v>62</v>
      </c>
      <c r="B440" s="1"/>
      <c r="C440" s="1"/>
      <c r="D440" s="1"/>
      <c r="E440" s="59" t="s">
        <v>7</v>
      </c>
      <c r="F440" s="1"/>
      <c r="G440" s="1"/>
      <c r="H440" s="1"/>
      <c r="I440" s="59" t="s">
        <v>7</v>
      </c>
      <c r="J440" s="1"/>
      <c r="K440" s="1"/>
      <c r="L440" s="1"/>
      <c r="M440" s="59" t="s">
        <v>7</v>
      </c>
      <c r="N440" s="1"/>
      <c r="O440" s="1"/>
      <c r="P440" s="1"/>
      <c r="Q440" s="59" t="s">
        <v>7</v>
      </c>
      <c r="R440" s="59" t="s">
        <v>7</v>
      </c>
    </row>
    <row r="441" spans="1:21" ht="15.75" customHeight="1" x14ac:dyDescent="0.3">
      <c r="A441" s="17" t="s">
        <v>63</v>
      </c>
      <c r="B441" s="1"/>
      <c r="C441" s="1"/>
      <c r="D441" s="1"/>
      <c r="E441" s="59" t="s">
        <v>7</v>
      </c>
      <c r="F441" s="1"/>
      <c r="G441" s="1"/>
      <c r="H441" s="1"/>
      <c r="I441" s="59" t="s">
        <v>7</v>
      </c>
      <c r="J441" s="1"/>
      <c r="K441" s="1"/>
      <c r="L441" s="1"/>
      <c r="M441" s="59" t="s">
        <v>7</v>
      </c>
      <c r="N441" s="1"/>
      <c r="O441" s="1"/>
      <c r="P441" s="1"/>
      <c r="Q441" s="59" t="s">
        <v>7</v>
      </c>
      <c r="R441" s="59" t="s">
        <v>7</v>
      </c>
    </row>
    <row r="442" spans="1:21" ht="15.75" customHeight="1" x14ac:dyDescent="0.3">
      <c r="A442" s="76" t="s">
        <v>919</v>
      </c>
      <c r="B442" s="1"/>
      <c r="C442" s="1"/>
      <c r="D442" s="1"/>
      <c r="E442" s="59">
        <f>SUM(B442:D442)</f>
        <v>0</v>
      </c>
      <c r="F442" s="1"/>
      <c r="G442" s="1"/>
      <c r="H442" s="1"/>
      <c r="I442" s="59">
        <f>SUM(F442:H442)</f>
        <v>0</v>
      </c>
      <c r="J442" s="1"/>
      <c r="K442" s="1"/>
      <c r="L442" s="1"/>
      <c r="M442" s="59">
        <f>SUM(J442:L442)</f>
        <v>0</v>
      </c>
      <c r="N442" s="1"/>
      <c r="O442" s="1"/>
      <c r="P442" s="1"/>
      <c r="Q442" s="59">
        <f>SUM(N442:P442)</f>
        <v>0</v>
      </c>
      <c r="R442" s="59">
        <f>+E442+I442+M442+Q442</f>
        <v>0</v>
      </c>
      <c r="U442" s="20"/>
    </row>
    <row r="443" spans="1:21" ht="15.75" customHeight="1" x14ac:dyDescent="0.3">
      <c r="A443" s="17" t="s">
        <v>64</v>
      </c>
      <c r="B443" s="1"/>
      <c r="C443" s="1"/>
      <c r="D443" s="1"/>
      <c r="E443" s="59" t="s">
        <v>7</v>
      </c>
      <c r="F443" s="1"/>
      <c r="G443" s="1"/>
      <c r="H443" s="1"/>
      <c r="I443" s="59" t="s">
        <v>7</v>
      </c>
      <c r="J443" s="1"/>
      <c r="K443" s="1"/>
      <c r="L443" s="1"/>
      <c r="M443" s="59" t="s">
        <v>7</v>
      </c>
      <c r="N443" s="1"/>
      <c r="O443" s="1"/>
      <c r="P443" s="1"/>
      <c r="Q443" s="59" t="s">
        <v>7</v>
      </c>
      <c r="R443" s="59" t="s">
        <v>7</v>
      </c>
    </row>
    <row r="444" spans="1:21" ht="15.75" customHeight="1" x14ac:dyDescent="0.3">
      <c r="A444" s="76" t="s">
        <v>452</v>
      </c>
      <c r="B444" s="1"/>
      <c r="C444" s="1"/>
      <c r="D444" s="1"/>
      <c r="E444" s="59">
        <f>SUM(B444:D444)</f>
        <v>0</v>
      </c>
      <c r="F444" s="1"/>
      <c r="G444" s="1"/>
      <c r="H444" s="1"/>
      <c r="I444" s="59">
        <f>SUM(F444:H444)</f>
        <v>0</v>
      </c>
      <c r="J444" s="1"/>
      <c r="K444" s="1"/>
      <c r="L444" s="1"/>
      <c r="M444" s="59">
        <f>SUM(J444:L444)</f>
        <v>0</v>
      </c>
      <c r="N444" s="1"/>
      <c r="O444" s="1"/>
      <c r="P444" s="1"/>
      <c r="Q444" s="59">
        <f>SUM(N444:P444)</f>
        <v>0</v>
      </c>
      <c r="R444" s="59">
        <f>+E444+I444+M444+Q444</f>
        <v>0</v>
      </c>
    </row>
    <row r="445" spans="1:21" ht="15.75" customHeight="1" x14ac:dyDescent="0.3">
      <c r="A445" s="76" t="s">
        <v>453</v>
      </c>
      <c r="B445" s="1"/>
      <c r="C445" s="1"/>
      <c r="D445" s="1"/>
      <c r="E445" s="59">
        <f>SUM(B445:D445)</f>
        <v>0</v>
      </c>
      <c r="F445" s="1"/>
      <c r="G445" s="1"/>
      <c r="H445" s="1"/>
      <c r="I445" s="59">
        <f>SUM(F445:H445)</f>
        <v>0</v>
      </c>
      <c r="J445" s="1"/>
      <c r="K445" s="1"/>
      <c r="L445" s="1"/>
      <c r="M445" s="59">
        <f>SUM(J445:L445)</f>
        <v>0</v>
      </c>
      <c r="N445" s="1"/>
      <c r="O445" s="1"/>
      <c r="P445" s="1"/>
      <c r="Q445" s="59">
        <f>SUM(N445:P445)</f>
        <v>0</v>
      </c>
      <c r="R445" s="59">
        <f>+E445+I445+M445+Q445</f>
        <v>0</v>
      </c>
    </row>
    <row r="446" spans="1:21" ht="15.75" customHeight="1" x14ac:dyDescent="0.3">
      <c r="A446" s="17" t="s">
        <v>66</v>
      </c>
      <c r="B446" s="1"/>
      <c r="C446" s="1"/>
      <c r="D446" s="1"/>
      <c r="E446" s="59" t="s">
        <v>7</v>
      </c>
      <c r="F446" s="1"/>
      <c r="G446" s="1"/>
      <c r="H446" s="1"/>
      <c r="I446" s="59" t="s">
        <v>7</v>
      </c>
      <c r="J446" s="1"/>
      <c r="K446" s="1"/>
      <c r="L446" s="1"/>
      <c r="M446" s="59" t="s">
        <v>7</v>
      </c>
      <c r="N446" s="1"/>
      <c r="O446" s="1"/>
      <c r="P446" s="1"/>
      <c r="Q446" s="59" t="s">
        <v>7</v>
      </c>
      <c r="R446" s="59" t="s">
        <v>7</v>
      </c>
    </row>
    <row r="447" spans="1:21" ht="15.75" customHeight="1" x14ac:dyDescent="0.3">
      <c r="A447" s="76" t="s">
        <v>454</v>
      </c>
      <c r="B447" s="1"/>
      <c r="C447" s="1"/>
      <c r="D447" s="1"/>
      <c r="E447" s="59">
        <f t="shared" ref="E447:E452" si="133">SUM(B447:D447)</f>
        <v>0</v>
      </c>
      <c r="F447" s="1"/>
      <c r="G447" s="1"/>
      <c r="H447" s="1"/>
      <c r="I447" s="59">
        <f t="shared" ref="I447:I452" si="134">SUM(F447:H447)</f>
        <v>0</v>
      </c>
      <c r="J447" s="1"/>
      <c r="K447" s="1"/>
      <c r="L447" s="1"/>
      <c r="M447" s="59">
        <f t="shared" ref="M447:M452" si="135">SUM(J447:L447)</f>
        <v>0</v>
      </c>
      <c r="N447" s="1"/>
      <c r="O447" s="1"/>
      <c r="P447" s="1"/>
      <c r="Q447" s="59">
        <f t="shared" ref="Q447:Q452" si="136">SUM(N447:P447)</f>
        <v>0</v>
      </c>
      <c r="R447" s="59">
        <f t="shared" ref="R447:R452" si="137">+E447+I447+M447+Q447</f>
        <v>0</v>
      </c>
      <c r="T447" s="4" t="s">
        <v>317</v>
      </c>
    </row>
    <row r="448" spans="1:21" ht="15.75" customHeight="1" x14ac:dyDescent="0.3">
      <c r="A448" s="76" t="s">
        <v>455</v>
      </c>
      <c r="B448" s="1"/>
      <c r="C448" s="1"/>
      <c r="D448" s="1"/>
      <c r="E448" s="59">
        <f t="shared" si="133"/>
        <v>0</v>
      </c>
      <c r="F448" s="1"/>
      <c r="G448" s="1">
        <v>1000</v>
      </c>
      <c r="H448" s="1"/>
      <c r="I448" s="59">
        <f t="shared" si="134"/>
        <v>1000</v>
      </c>
      <c r="J448" s="1"/>
      <c r="K448" s="1"/>
      <c r="L448" s="1"/>
      <c r="M448" s="59">
        <f t="shared" si="135"/>
        <v>0</v>
      </c>
      <c r="N448" s="1"/>
      <c r="O448" s="1"/>
      <c r="P448" s="1"/>
      <c r="Q448" s="59">
        <f t="shared" si="136"/>
        <v>0</v>
      </c>
      <c r="R448" s="59">
        <f t="shared" si="137"/>
        <v>1000</v>
      </c>
      <c r="T448" s="4" t="s">
        <v>317</v>
      </c>
    </row>
    <row r="449" spans="1:21" ht="15.75" customHeight="1" x14ac:dyDescent="0.3">
      <c r="A449" s="76" t="s">
        <v>920</v>
      </c>
      <c r="B449" s="1"/>
      <c r="C449" s="1"/>
      <c r="D449" s="1"/>
      <c r="E449" s="59">
        <f t="shared" si="133"/>
        <v>0</v>
      </c>
      <c r="F449" s="1"/>
      <c r="G449" s="1"/>
      <c r="H449" s="1"/>
      <c r="I449" s="59">
        <f t="shared" si="134"/>
        <v>0</v>
      </c>
      <c r="J449" s="1"/>
      <c r="K449" s="1"/>
      <c r="L449" s="1"/>
      <c r="M449" s="59">
        <f t="shared" si="135"/>
        <v>0</v>
      </c>
      <c r="N449" s="1"/>
      <c r="O449" s="1"/>
      <c r="P449" s="1"/>
      <c r="Q449" s="59">
        <f t="shared" si="136"/>
        <v>0</v>
      </c>
      <c r="R449" s="59">
        <f t="shared" si="137"/>
        <v>0</v>
      </c>
      <c r="T449" s="4" t="s">
        <v>331</v>
      </c>
    </row>
    <row r="450" spans="1:21" ht="15.75" customHeight="1" x14ac:dyDescent="0.3">
      <c r="A450" s="76" t="s">
        <v>921</v>
      </c>
      <c r="B450" s="1"/>
      <c r="C450" s="1"/>
      <c r="D450" s="1"/>
      <c r="E450" s="59">
        <f t="shared" si="133"/>
        <v>0</v>
      </c>
      <c r="F450" s="1"/>
      <c r="G450" s="1"/>
      <c r="H450" s="1"/>
      <c r="I450" s="59">
        <f t="shared" si="134"/>
        <v>0</v>
      </c>
      <c r="J450" s="1"/>
      <c r="K450" s="1"/>
      <c r="L450" s="1"/>
      <c r="M450" s="59">
        <f t="shared" si="135"/>
        <v>0</v>
      </c>
      <c r="N450" s="1"/>
      <c r="O450" s="1"/>
      <c r="P450" s="1"/>
      <c r="Q450" s="59">
        <f t="shared" si="136"/>
        <v>0</v>
      </c>
      <c r="R450" s="59">
        <f t="shared" si="137"/>
        <v>0</v>
      </c>
    </row>
    <row r="451" spans="1:21" ht="15.75" customHeight="1" x14ac:dyDescent="0.3">
      <c r="A451" s="76" t="s">
        <v>458</v>
      </c>
      <c r="B451" s="1"/>
      <c r="C451" s="1"/>
      <c r="D451" s="1"/>
      <c r="E451" s="59">
        <f t="shared" si="133"/>
        <v>0</v>
      </c>
      <c r="F451" s="1"/>
      <c r="G451" s="1"/>
      <c r="H451" s="1"/>
      <c r="I451" s="59">
        <f t="shared" si="134"/>
        <v>0</v>
      </c>
      <c r="J451" s="1"/>
      <c r="K451" s="1"/>
      <c r="L451" s="1"/>
      <c r="M451" s="59">
        <f t="shared" si="135"/>
        <v>0</v>
      </c>
      <c r="N451" s="1"/>
      <c r="O451" s="1"/>
      <c r="P451" s="1"/>
      <c r="Q451" s="59">
        <f t="shared" si="136"/>
        <v>0</v>
      </c>
      <c r="R451" s="59">
        <f t="shared" si="137"/>
        <v>0</v>
      </c>
    </row>
    <row r="452" spans="1:21" ht="15.75" customHeight="1" x14ac:dyDescent="0.3">
      <c r="A452" s="76" t="s">
        <v>459</v>
      </c>
      <c r="B452" s="1"/>
      <c r="C452" s="1"/>
      <c r="D452" s="1"/>
      <c r="E452" s="59">
        <f t="shared" si="133"/>
        <v>0</v>
      </c>
      <c r="F452" s="1"/>
      <c r="G452" s="1"/>
      <c r="H452" s="1"/>
      <c r="I452" s="59">
        <f t="shared" si="134"/>
        <v>0</v>
      </c>
      <c r="J452" s="1"/>
      <c r="K452" s="1"/>
      <c r="L452" s="1"/>
      <c r="M452" s="59">
        <f t="shared" si="135"/>
        <v>0</v>
      </c>
      <c r="N452" s="1"/>
      <c r="O452" s="1"/>
      <c r="P452" s="1"/>
      <c r="Q452" s="59">
        <f t="shared" si="136"/>
        <v>0</v>
      </c>
      <c r="R452" s="59">
        <f t="shared" si="137"/>
        <v>0</v>
      </c>
      <c r="T452" s="4" t="s">
        <v>317</v>
      </c>
    </row>
    <row r="453" spans="1:21" ht="15.75" customHeight="1" x14ac:dyDescent="0.3">
      <c r="A453" s="17" t="s">
        <v>67</v>
      </c>
      <c r="B453" s="1"/>
      <c r="C453" s="1"/>
      <c r="D453" s="1"/>
      <c r="E453" s="59" t="s">
        <v>7</v>
      </c>
      <c r="F453" s="1"/>
      <c r="G453" s="1"/>
      <c r="H453" s="1"/>
      <c r="I453" s="59" t="s">
        <v>7</v>
      </c>
      <c r="J453" s="1"/>
      <c r="K453" s="1"/>
      <c r="L453" s="1"/>
      <c r="M453" s="59" t="s">
        <v>7</v>
      </c>
      <c r="N453" s="1"/>
      <c r="O453" s="1"/>
      <c r="P453" s="1"/>
      <c r="Q453" s="59" t="s">
        <v>7</v>
      </c>
      <c r="R453" s="59" t="s">
        <v>7</v>
      </c>
    </row>
    <row r="454" spans="1:21" ht="15.75" customHeight="1" x14ac:dyDescent="0.3">
      <c r="A454" s="76" t="s">
        <v>460</v>
      </c>
      <c r="B454" s="1"/>
      <c r="C454" s="1"/>
      <c r="D454" s="1"/>
      <c r="E454" s="59">
        <f>SUM(B454:D454)</f>
        <v>0</v>
      </c>
      <c r="F454" s="1"/>
      <c r="G454" s="1"/>
      <c r="H454" s="1"/>
      <c r="I454" s="59">
        <f>SUM(F454:H454)</f>
        <v>0</v>
      </c>
      <c r="J454" s="1"/>
      <c r="K454" s="1"/>
      <c r="L454" s="1"/>
      <c r="M454" s="59">
        <f>SUM(J454:L454)</f>
        <v>0</v>
      </c>
      <c r="N454" s="1"/>
      <c r="O454" s="1">
        <v>1120</v>
      </c>
      <c r="P454" s="1"/>
      <c r="Q454" s="59">
        <f>SUM(N454:P454)</f>
        <v>1120</v>
      </c>
      <c r="R454" s="59">
        <f>+E454+I454+M454+Q454</f>
        <v>1120</v>
      </c>
      <c r="T454" s="4" t="s">
        <v>305</v>
      </c>
    </row>
    <row r="455" spans="1:21" ht="15.75" customHeight="1" x14ac:dyDescent="0.3">
      <c r="A455" s="76" t="s">
        <v>461</v>
      </c>
      <c r="B455" s="1"/>
      <c r="C455" s="1"/>
      <c r="D455" s="1"/>
      <c r="E455" s="59">
        <f>SUM(B455:D455)</f>
        <v>0</v>
      </c>
      <c r="F455" s="1"/>
      <c r="G455" s="1"/>
      <c r="H455" s="1"/>
      <c r="I455" s="59">
        <f>SUM(F455:H455)</f>
        <v>0</v>
      </c>
      <c r="J455" s="1"/>
      <c r="K455" s="1"/>
      <c r="L455" s="1"/>
      <c r="M455" s="59">
        <f>SUM(J455:L455)</f>
        <v>0</v>
      </c>
      <c r="N455" s="1"/>
      <c r="O455" s="1"/>
      <c r="P455" s="1"/>
      <c r="Q455" s="59">
        <f>SUM(N455:P455)</f>
        <v>0</v>
      </c>
      <c r="R455" s="59">
        <f>+E455+I455+M455+Q455</f>
        <v>0</v>
      </c>
      <c r="T455" s="4" t="s">
        <v>305</v>
      </c>
    </row>
    <row r="456" spans="1:21" ht="15.75" customHeight="1" x14ac:dyDescent="0.3">
      <c r="A456" s="76" t="s">
        <v>463</v>
      </c>
      <c r="B456" s="1"/>
      <c r="C456" s="1"/>
      <c r="D456" s="1"/>
      <c r="E456" s="59">
        <f>SUM(B456:D456)</f>
        <v>0</v>
      </c>
      <c r="F456" s="1"/>
      <c r="G456" s="1"/>
      <c r="H456" s="1"/>
      <c r="I456" s="59">
        <f>SUM(F456:H456)</f>
        <v>0</v>
      </c>
      <c r="J456" s="1"/>
      <c r="K456" s="1"/>
      <c r="L456" s="1"/>
      <c r="M456" s="59">
        <f>SUM(J456:L456)</f>
        <v>0</v>
      </c>
      <c r="N456" s="1"/>
      <c r="O456" s="1"/>
      <c r="P456" s="1"/>
      <c r="Q456" s="59">
        <f>SUM(N456:P456)</f>
        <v>0</v>
      </c>
      <c r="R456" s="59">
        <f>+E456+I456+M456+Q456</f>
        <v>0</v>
      </c>
    </row>
    <row r="457" spans="1:21" ht="15.75" customHeight="1" x14ac:dyDescent="0.3">
      <c r="A457" s="76" t="s">
        <v>464</v>
      </c>
      <c r="B457" s="1"/>
      <c r="C457" s="1"/>
      <c r="D457" s="1"/>
      <c r="E457" s="59">
        <f t="shared" ref="E457" si="138">SUM(B457:D457)</f>
        <v>0</v>
      </c>
      <c r="F457" s="1"/>
      <c r="G457" s="1"/>
      <c r="H457" s="1"/>
      <c r="I457" s="59">
        <f t="shared" ref="I457" si="139">SUM(F457:H457)</f>
        <v>0</v>
      </c>
      <c r="J457" s="1">
        <v>3800</v>
      </c>
      <c r="K457" s="1"/>
      <c r="L457" s="1"/>
      <c r="M457" s="59">
        <f t="shared" ref="M457" si="140">SUM(J457:L457)</f>
        <v>3800</v>
      </c>
      <c r="N457" s="1"/>
      <c r="O457" s="1"/>
      <c r="P457" s="1"/>
      <c r="Q457" s="59">
        <f t="shared" ref="Q457:Q467" si="141">SUM(N457:P457)</f>
        <v>0</v>
      </c>
      <c r="R457" s="59">
        <f t="shared" ref="R457:R467" si="142">+E457+I457+M457+Q457</f>
        <v>3800</v>
      </c>
    </row>
    <row r="458" spans="1:21" ht="15.75" customHeight="1" x14ac:dyDescent="0.3">
      <c r="A458" s="76" t="s">
        <v>465</v>
      </c>
      <c r="B458" s="1"/>
      <c r="C458" s="1"/>
      <c r="D458" s="1"/>
      <c r="E458" s="59">
        <f>SUM(B458:D458)</f>
        <v>0</v>
      </c>
      <c r="F458" s="1"/>
      <c r="G458" s="1"/>
      <c r="H458" s="1"/>
      <c r="I458" s="59">
        <f>SUM(F458:H458)</f>
        <v>0</v>
      </c>
      <c r="J458" s="1"/>
      <c r="K458" s="1"/>
      <c r="L458" s="1"/>
      <c r="M458" s="59">
        <f>SUM(J458:L458)</f>
        <v>0</v>
      </c>
      <c r="N458" s="1"/>
      <c r="O458" s="1"/>
      <c r="P458" s="1"/>
      <c r="Q458" s="59">
        <f>SUM(N458:P458)</f>
        <v>0</v>
      </c>
      <c r="R458" s="59">
        <f>+E458+I458+M458+Q458</f>
        <v>0</v>
      </c>
    </row>
    <row r="459" spans="1:21" ht="15.75" customHeight="1" x14ac:dyDescent="0.3">
      <c r="A459" s="76" t="s">
        <v>466</v>
      </c>
      <c r="B459" s="1">
        <v>300</v>
      </c>
      <c r="C459" s="1">
        <v>410</v>
      </c>
      <c r="D459" s="1">
        <v>710</v>
      </c>
      <c r="E459" s="59">
        <f>SUM(B459:D459)</f>
        <v>1420</v>
      </c>
      <c r="F459" s="1">
        <v>610</v>
      </c>
      <c r="G459" s="1">
        <v>740</v>
      </c>
      <c r="H459" s="1">
        <v>410</v>
      </c>
      <c r="I459" s="59">
        <f>SUM(F459:H459)</f>
        <v>1760</v>
      </c>
      <c r="J459" s="1">
        <v>310</v>
      </c>
      <c r="K459" s="1">
        <v>310</v>
      </c>
      <c r="L459" s="1"/>
      <c r="M459" s="59">
        <f>SUM(J459:L459)</f>
        <v>620</v>
      </c>
      <c r="N459" s="1"/>
      <c r="O459" s="1"/>
      <c r="P459" s="1"/>
      <c r="Q459" s="59">
        <f>SUM(N459:P459)</f>
        <v>0</v>
      </c>
      <c r="R459" s="59">
        <f>+E459+I459+M459+Q459</f>
        <v>3800</v>
      </c>
      <c r="T459" s="4" t="s">
        <v>305</v>
      </c>
      <c r="U459" s="20"/>
    </row>
    <row r="460" spans="1:21" ht="15.75" customHeight="1" x14ac:dyDescent="0.3">
      <c r="A460" s="76" t="s">
        <v>467</v>
      </c>
      <c r="B460" s="1"/>
      <c r="C460" s="1"/>
      <c r="D460" s="1"/>
      <c r="E460" s="59">
        <f>SUM(B460:D460)</f>
        <v>0</v>
      </c>
      <c r="F460" s="1"/>
      <c r="G460" s="1"/>
      <c r="H460" s="1"/>
      <c r="I460" s="59">
        <f>SUM(F460:H460)</f>
        <v>0</v>
      </c>
      <c r="J460" s="1"/>
      <c r="K460" s="1"/>
      <c r="L460" s="1"/>
      <c r="M460" s="59">
        <f>SUM(J460:L460)</f>
        <v>0</v>
      </c>
      <c r="N460" s="1"/>
      <c r="O460" s="1"/>
      <c r="P460" s="1"/>
      <c r="Q460" s="59">
        <f>SUM(N460:P460)</f>
        <v>0</v>
      </c>
      <c r="R460" s="59">
        <f>+E460+I460+M460+Q460</f>
        <v>0</v>
      </c>
    </row>
    <row r="461" spans="1:21" ht="15.75" customHeight="1" thickBot="1" x14ac:dyDescent="0.35">
      <c r="A461" s="76" t="s">
        <v>469</v>
      </c>
      <c r="B461" s="1"/>
      <c r="C461" s="1"/>
      <c r="D461" s="1"/>
      <c r="E461" s="59">
        <f>SUM(B461:D461)</f>
        <v>0</v>
      </c>
      <c r="F461" s="1"/>
      <c r="G461" s="1"/>
      <c r="H461" s="1"/>
      <c r="I461" s="59">
        <f>SUM(F461:H461)</f>
        <v>0</v>
      </c>
      <c r="J461" s="1"/>
      <c r="K461" s="1"/>
      <c r="L461" s="1"/>
      <c r="M461" s="59">
        <f>SUM(J461:L461)</f>
        <v>0</v>
      </c>
      <c r="N461" s="1">
        <v>715</v>
      </c>
      <c r="O461" s="1">
        <v>1209</v>
      </c>
      <c r="P461" s="1">
        <v>306</v>
      </c>
      <c r="Q461" s="59">
        <f>SUM(N461:P461)</f>
        <v>2230</v>
      </c>
      <c r="R461" s="59">
        <f>+E461+I461+M461+Q461</f>
        <v>2230</v>
      </c>
      <c r="T461" s="4" t="s">
        <v>331</v>
      </c>
    </row>
    <row r="462" spans="1:21" ht="16.5" customHeight="1" thickBot="1" x14ac:dyDescent="0.35">
      <c r="A462" s="62" t="s">
        <v>68</v>
      </c>
      <c r="B462" s="63">
        <f>SUM(B446:B461)</f>
        <v>300</v>
      </c>
      <c r="C462" s="63">
        <f>SUM(C446:C461)</f>
        <v>410</v>
      </c>
      <c r="D462" s="63">
        <f>SUM(D446:D461)</f>
        <v>710</v>
      </c>
      <c r="E462" s="334">
        <f t="shared" ref="E462:E467" si="143">SUM(B462:D462)</f>
        <v>1420</v>
      </c>
      <c r="F462" s="63">
        <f>SUM(F446:F461)</f>
        <v>610</v>
      </c>
      <c r="G462" s="63">
        <f>SUM(G446:G461)</f>
        <v>1740</v>
      </c>
      <c r="H462" s="63">
        <f>SUM(H446:H461)</f>
        <v>410</v>
      </c>
      <c r="I462" s="334">
        <f t="shared" ref="I462:I467" si="144">SUM(F462:H462)</f>
        <v>2760</v>
      </c>
      <c r="J462" s="63">
        <f>SUM(J446:J461)</f>
        <v>4110</v>
      </c>
      <c r="K462" s="63">
        <f>SUM(K446:K461)</f>
        <v>310</v>
      </c>
      <c r="L462" s="63">
        <f>SUM(L446:L461)</f>
        <v>0</v>
      </c>
      <c r="M462" s="334">
        <f t="shared" ref="M462:M467" si="145">SUM(J462:L462)</f>
        <v>4420</v>
      </c>
      <c r="N462" s="63">
        <f>SUM(N446:N461)</f>
        <v>715</v>
      </c>
      <c r="O462" s="63">
        <f>SUM(O446:O461)</f>
        <v>2329</v>
      </c>
      <c r="P462" s="63">
        <f>SUM(P446:P461)</f>
        <v>306</v>
      </c>
      <c r="Q462" s="334">
        <f t="shared" si="141"/>
        <v>3350</v>
      </c>
      <c r="R462" s="64">
        <f t="shared" si="142"/>
        <v>11950</v>
      </c>
    </row>
    <row r="463" spans="1:21" ht="16.5" customHeight="1" thickBot="1" x14ac:dyDescent="0.35">
      <c r="A463" s="137" t="s">
        <v>69</v>
      </c>
      <c r="B463" s="100">
        <f>SUM(B440:B461)</f>
        <v>300</v>
      </c>
      <c r="C463" s="101">
        <f>SUM(C440:C461)</f>
        <v>410</v>
      </c>
      <c r="D463" s="138">
        <f>SUM(D440:D461)</f>
        <v>710</v>
      </c>
      <c r="E463" s="334">
        <f t="shared" si="143"/>
        <v>1420</v>
      </c>
      <c r="F463" s="101">
        <f>SUM(F440:F461)</f>
        <v>610</v>
      </c>
      <c r="G463" s="101">
        <f>SUM(G440:G461)</f>
        <v>1740</v>
      </c>
      <c r="H463" s="101">
        <f>SUM(H440:H461)</f>
        <v>410</v>
      </c>
      <c r="I463" s="334">
        <f t="shared" si="144"/>
        <v>2760</v>
      </c>
      <c r="J463" s="101">
        <f>SUM(J440:J461)</f>
        <v>4110</v>
      </c>
      <c r="K463" s="101">
        <f>SUM(K440:K461)</f>
        <v>310</v>
      </c>
      <c r="L463" s="101">
        <f>SUM(L440:L461)</f>
        <v>0</v>
      </c>
      <c r="M463" s="334">
        <f t="shared" si="145"/>
        <v>4420</v>
      </c>
      <c r="N463" s="101">
        <f>SUM(N440:N461)</f>
        <v>715</v>
      </c>
      <c r="O463" s="101">
        <f>SUM(O440:O461)</f>
        <v>2329</v>
      </c>
      <c r="P463" s="101">
        <f>SUM(P440:P461)</f>
        <v>306</v>
      </c>
      <c r="Q463" s="334">
        <f t="shared" si="141"/>
        <v>3350</v>
      </c>
      <c r="R463" s="64">
        <f t="shared" si="142"/>
        <v>11950</v>
      </c>
    </row>
    <row r="464" spans="1:21" ht="16.5" customHeight="1" thickBot="1" x14ac:dyDescent="0.35">
      <c r="A464" s="62" t="s">
        <v>70</v>
      </c>
      <c r="B464" s="107">
        <f>+B377+B391+B439+B463</f>
        <v>9936</v>
      </c>
      <c r="C464" s="63">
        <f>+C377+C391+C439+C463</f>
        <v>19109</v>
      </c>
      <c r="D464" s="63">
        <f>+D377+D391+D439+D463</f>
        <v>53594</v>
      </c>
      <c r="E464" s="64">
        <f t="shared" si="143"/>
        <v>82639</v>
      </c>
      <c r="F464" s="63">
        <f>+F377+F391+F439+F463</f>
        <v>66440</v>
      </c>
      <c r="G464" s="63">
        <f>+G377+G391+G439+G463</f>
        <v>68048</v>
      </c>
      <c r="H464" s="63">
        <f>+H377+H391+H439+H463</f>
        <v>91000</v>
      </c>
      <c r="I464" s="64">
        <f t="shared" si="144"/>
        <v>225488</v>
      </c>
      <c r="J464" s="63">
        <f>+J377+J391+J439+J463</f>
        <v>60086</v>
      </c>
      <c r="K464" s="63">
        <f>+K377+K391+K439+K463</f>
        <v>64171</v>
      </c>
      <c r="L464" s="63">
        <f>+L377+L391+L439+L463</f>
        <v>52304</v>
      </c>
      <c r="M464" s="64">
        <f t="shared" si="145"/>
        <v>176561</v>
      </c>
      <c r="N464" s="63">
        <f>+N377+N391+N439+N463</f>
        <v>31350</v>
      </c>
      <c r="O464" s="63">
        <f>+O377+O391+O439+O463</f>
        <v>20963</v>
      </c>
      <c r="P464" s="63">
        <f>+P377+P391+P439+P463</f>
        <v>25582</v>
      </c>
      <c r="Q464" s="64">
        <f t="shared" si="141"/>
        <v>77895</v>
      </c>
      <c r="R464" s="88">
        <f t="shared" si="142"/>
        <v>562583</v>
      </c>
    </row>
    <row r="465" spans="1:18" ht="15.75" customHeight="1" x14ac:dyDescent="0.3">
      <c r="A465" s="74" t="s">
        <v>470</v>
      </c>
      <c r="B465" s="1"/>
      <c r="C465" s="1"/>
      <c r="D465" s="1"/>
      <c r="E465" s="59">
        <f t="shared" si="143"/>
        <v>0</v>
      </c>
      <c r="F465" s="1"/>
      <c r="G465" s="1"/>
      <c r="H465" s="1"/>
      <c r="I465" s="59">
        <f t="shared" si="144"/>
        <v>0</v>
      </c>
      <c r="J465" s="1"/>
      <c r="K465" s="1"/>
      <c r="L465" s="1"/>
      <c r="M465" s="59">
        <f t="shared" si="145"/>
        <v>0</v>
      </c>
      <c r="N465" s="1"/>
      <c r="O465" s="1"/>
      <c r="P465" s="1"/>
      <c r="Q465" s="59">
        <f t="shared" si="141"/>
        <v>0</v>
      </c>
      <c r="R465" s="59">
        <f t="shared" si="142"/>
        <v>0</v>
      </c>
    </row>
    <row r="466" spans="1:18" ht="15.75" customHeight="1" x14ac:dyDescent="0.3">
      <c r="A466" s="74" t="s">
        <v>471</v>
      </c>
      <c r="B466" s="1"/>
      <c r="C466" s="1"/>
      <c r="D466" s="1"/>
      <c r="E466" s="59">
        <f t="shared" si="143"/>
        <v>0</v>
      </c>
      <c r="F466" s="1"/>
      <c r="G466" s="1"/>
      <c r="H466" s="1"/>
      <c r="I466" s="59">
        <f t="shared" si="144"/>
        <v>0</v>
      </c>
      <c r="J466" s="1"/>
      <c r="K466" s="1"/>
      <c r="L466" s="1"/>
      <c r="M466" s="59">
        <f t="shared" si="145"/>
        <v>0</v>
      </c>
      <c r="N466" s="1"/>
      <c r="O466" s="1"/>
      <c r="P466" s="1"/>
      <c r="Q466" s="59">
        <f t="shared" si="141"/>
        <v>0</v>
      </c>
      <c r="R466" s="59">
        <f t="shared" si="142"/>
        <v>0</v>
      </c>
    </row>
    <row r="467" spans="1:18" ht="16.5" customHeight="1" thickBot="1" x14ac:dyDescent="0.35">
      <c r="A467" s="79" t="s">
        <v>37</v>
      </c>
      <c r="B467" s="25">
        <v>155</v>
      </c>
      <c r="C467" s="25">
        <v>283</v>
      </c>
      <c r="D467" s="25">
        <v>435</v>
      </c>
      <c r="E467" s="88">
        <f t="shared" si="143"/>
        <v>873</v>
      </c>
      <c r="F467" s="25">
        <v>602</v>
      </c>
      <c r="G467" s="25">
        <v>711</v>
      </c>
      <c r="H467" s="25">
        <v>722</v>
      </c>
      <c r="I467" s="88">
        <f t="shared" si="144"/>
        <v>2035</v>
      </c>
      <c r="J467" s="25">
        <v>686</v>
      </c>
      <c r="K467" s="25">
        <v>519</v>
      </c>
      <c r="L467" s="25">
        <v>531</v>
      </c>
      <c r="M467" s="88">
        <f t="shared" si="145"/>
        <v>1736</v>
      </c>
      <c r="N467" s="25">
        <v>489</v>
      </c>
      <c r="O467" s="25">
        <v>389</v>
      </c>
      <c r="P467" s="25">
        <v>275</v>
      </c>
      <c r="Q467" s="88">
        <f t="shared" si="141"/>
        <v>1153</v>
      </c>
      <c r="R467" s="59">
        <f t="shared" si="142"/>
        <v>5797</v>
      </c>
    </row>
    <row r="468" spans="1:18" ht="16.5" customHeight="1" thickBot="1" x14ac:dyDescent="0.35">
      <c r="A468" s="80"/>
      <c r="B468" s="81"/>
      <c r="C468" s="81"/>
      <c r="D468" s="81"/>
      <c r="E468" s="64"/>
      <c r="F468" s="81"/>
      <c r="G468" s="81"/>
      <c r="H468" s="81"/>
      <c r="I468" s="64"/>
      <c r="J468" s="81"/>
      <c r="K468" s="81"/>
      <c r="L468" s="81"/>
      <c r="M468" s="64"/>
      <c r="N468" s="81"/>
      <c r="O468" s="81"/>
      <c r="P468" s="81"/>
      <c r="Q468" s="64"/>
      <c r="R468" s="64" t="s">
        <v>7</v>
      </c>
    </row>
    <row r="469" spans="1:18" ht="15.75" customHeight="1" x14ac:dyDescent="0.3">
      <c r="A469" s="335" t="s">
        <v>38</v>
      </c>
      <c r="B469" s="336">
        <f>SUM(B464:B467)</f>
        <v>10091</v>
      </c>
      <c r="C469" s="336">
        <f>SUM(C464:C467)</f>
        <v>19392</v>
      </c>
      <c r="D469" s="336">
        <f>SUM(D464:D467)</f>
        <v>54029</v>
      </c>
      <c r="E469" s="334">
        <f>SUM(B469:D469)</f>
        <v>83512</v>
      </c>
      <c r="F469" s="336">
        <f>SUM(F464:F467)</f>
        <v>67042</v>
      </c>
      <c r="G469" s="336">
        <f>SUM(G464:G467)</f>
        <v>68759</v>
      </c>
      <c r="H469" s="336">
        <f>SUM(H464:H467)</f>
        <v>91722</v>
      </c>
      <c r="I469" s="334">
        <f>SUM(F469:H469)</f>
        <v>227523</v>
      </c>
      <c r="J469" s="336">
        <f>SUM(J464:J467)</f>
        <v>60772</v>
      </c>
      <c r="K469" s="336">
        <f>SUM(K464:K467)</f>
        <v>64690</v>
      </c>
      <c r="L469" s="336">
        <f>SUM(L464:L467)</f>
        <v>52835</v>
      </c>
      <c r="M469" s="334">
        <f>SUM(J469:L469)</f>
        <v>178297</v>
      </c>
      <c r="N469" s="336">
        <f>SUM(N464:N467)</f>
        <v>31839</v>
      </c>
      <c r="O469" s="336">
        <f>SUM(O464:O467)</f>
        <v>21352</v>
      </c>
      <c r="P469" s="336">
        <f>SUM(P464:P467)</f>
        <v>25857</v>
      </c>
      <c r="Q469" s="334">
        <f>SUM(N469:P469)</f>
        <v>79048</v>
      </c>
      <c r="R469" s="334">
        <f>+E469+I469+M469+Q469</f>
        <v>568380</v>
      </c>
    </row>
    <row r="470" spans="1:18" ht="15.75" customHeight="1" x14ac:dyDescent="0.3">
      <c r="A470" s="85" t="s">
        <v>39</v>
      </c>
      <c r="B470" s="1">
        <f>(B469/B10)/1.983</f>
        <v>164.15336814536462</v>
      </c>
      <c r="C470" s="1">
        <f>(C469/C10)/1.983</f>
        <v>349.25437648584392</v>
      </c>
      <c r="D470" s="1">
        <f>(D469/D10)/1.983</f>
        <v>878.90618645584232</v>
      </c>
      <c r="E470" s="59" t="s">
        <v>7</v>
      </c>
      <c r="F470" s="1">
        <f>(F469/F10)/1.983</f>
        <v>1126.9457051605311</v>
      </c>
      <c r="G470" s="1">
        <f>(G469/G10)/1.983</f>
        <v>1118.5235794576481</v>
      </c>
      <c r="H470" s="1">
        <f>(H469/H10)/1.983</f>
        <v>1541.8053454362077</v>
      </c>
      <c r="I470" s="59" t="s">
        <v>7</v>
      </c>
      <c r="J470" s="1">
        <f>(J469/J10)/1.983</f>
        <v>988.59661965415717</v>
      </c>
      <c r="K470" s="1">
        <f>(K469/K10)/1.983</f>
        <v>1052.3319180778553</v>
      </c>
      <c r="L470" s="1">
        <f>(L469/L10)/1.983</f>
        <v>888.13245923684656</v>
      </c>
      <c r="M470" s="59" t="s">
        <v>7</v>
      </c>
      <c r="N470" s="1">
        <f>(N469/N10)/1.983</f>
        <v>517.93470304035918</v>
      </c>
      <c r="O470" s="1">
        <f>(O469/O10)/1.983</f>
        <v>358.91746512018824</v>
      </c>
      <c r="P470" s="1">
        <f>(P469/P10)/1.983</f>
        <v>420.62368844858719</v>
      </c>
      <c r="Q470" s="59" t="s">
        <v>7</v>
      </c>
      <c r="R470" s="59" t="s">
        <v>7</v>
      </c>
    </row>
    <row r="471" spans="1:18" ht="15.75" customHeight="1" x14ac:dyDescent="0.3">
      <c r="A471" s="85" t="s">
        <v>472</v>
      </c>
      <c r="B471" s="1">
        <f>B469+B519</f>
        <v>25358</v>
      </c>
      <c r="C471" s="1">
        <f>C469+C519</f>
        <v>32816</v>
      </c>
      <c r="D471" s="1">
        <f>D469+D519</f>
        <v>87447</v>
      </c>
      <c r="E471" s="59">
        <f>SUM(B471:D471)</f>
        <v>145621</v>
      </c>
      <c r="F471" s="1">
        <f>F469+F519</f>
        <v>107093</v>
      </c>
      <c r="G471" s="1">
        <f>G469+G519</f>
        <v>103835</v>
      </c>
      <c r="H471" s="1">
        <f>H469+H519</f>
        <v>141266</v>
      </c>
      <c r="I471" s="59">
        <f>SUM(F471:H471)</f>
        <v>352194</v>
      </c>
      <c r="J471" s="1">
        <f>J469+J519</f>
        <v>112905</v>
      </c>
      <c r="K471" s="1">
        <f>K469+K519</f>
        <v>111677</v>
      </c>
      <c r="L471" s="1">
        <f>L469+L519</f>
        <v>86648</v>
      </c>
      <c r="M471" s="59">
        <f>SUM(J471:L471)</f>
        <v>311230</v>
      </c>
      <c r="N471" s="1">
        <f>N469+N519</f>
        <v>44582</v>
      </c>
      <c r="O471" s="1">
        <f>O469+O519</f>
        <v>25365</v>
      </c>
      <c r="P471" s="1">
        <f>P469+P519</f>
        <v>38540</v>
      </c>
      <c r="Q471" s="59">
        <f>SUM(N471:P471)</f>
        <v>108487</v>
      </c>
      <c r="R471" s="59">
        <f>+E471+I471+M471+Q471</f>
        <v>917532</v>
      </c>
    </row>
    <row r="472" spans="1:18" s="50" customFormat="1" ht="16.5" customHeight="1" thickBot="1" x14ac:dyDescent="0.35">
      <c r="A472" s="139" t="s">
        <v>473</v>
      </c>
      <c r="B472" s="140">
        <f>(B471/B10)/1.983</f>
        <v>412.50630358043367</v>
      </c>
      <c r="C472" s="140">
        <f>(C471/C10)/1.983</f>
        <v>591.02370146243061</v>
      </c>
      <c r="D472" s="140">
        <f>(D471/D10)/1.983</f>
        <v>1422.5269630569519</v>
      </c>
      <c r="E472" s="141" t="s">
        <v>7</v>
      </c>
      <c r="F472" s="140">
        <f>(F471/F10)/1.983</f>
        <v>1800.1849050260548</v>
      </c>
      <c r="G472" s="140">
        <f>(G471/G10)/1.983</f>
        <v>1689.1155466627624</v>
      </c>
      <c r="H472" s="140">
        <f>(H471/H10)/1.983</f>
        <v>2374.6175827870229</v>
      </c>
      <c r="I472" s="141" t="s">
        <v>7</v>
      </c>
      <c r="J472" s="140">
        <f>(J471/J10)/1.983</f>
        <v>1836.6599970718851</v>
      </c>
      <c r="K472" s="140">
        <f>(K471/K10)/1.983</f>
        <v>1816.6837473362289</v>
      </c>
      <c r="L472" s="140">
        <f>(L471/L10)/1.983</f>
        <v>1456.5136997814759</v>
      </c>
      <c r="M472" s="141" t="s">
        <v>7</v>
      </c>
      <c r="N472" s="140">
        <f>(N471/N10)/1.983</f>
        <v>725.22896230865581</v>
      </c>
      <c r="O472" s="140">
        <f>(O471/O10)/1.983</f>
        <v>426.3741805345436</v>
      </c>
      <c r="P472" s="140">
        <f>(P471/P10)/1.983</f>
        <v>626.94190945618402</v>
      </c>
      <c r="Q472" s="141" t="s">
        <v>7</v>
      </c>
      <c r="R472" s="141" t="s">
        <v>7</v>
      </c>
    </row>
    <row r="473" spans="1:18" ht="15.75" customHeight="1" x14ac:dyDescent="0.3">
      <c r="A473" s="142" t="s">
        <v>474</v>
      </c>
      <c r="B473" s="143">
        <f>B$474+(SUMIF($T$317:$T$450,"FLG",B$324:B$466)/B10/1.98)+(SUMIF($T$317:$T$450,"FCA",B$324:B$466)/B10/1.98)+(SUMIF($T$317:$T$450,"NSC",B$324:B$466)/B10/1.98)</f>
        <v>296.46306902907361</v>
      </c>
      <c r="C473" s="143">
        <f>C$474+(SUMIF($T$317:$T$450,"FLG",C$324:C$466)/C10/1.98)+(SUMIF($T$317:$T$450,"FCA",C$324:C$466)/C10/1.98)+(SUMIF($T$317:$T$450,"NSC",C$324:C$466)/C10/1.98)</f>
        <v>337.54854575580748</v>
      </c>
      <c r="D473" s="143">
        <f>D$474+(SUMIF($T$317:$T$450,"FLG",D$324:D$466)/D10/1.98)+(SUMIF($T$317:$T$450,"FCA",D$324:D$466)/D10/1.98)+(SUMIF($T$317:$T$450,"NSC",D$324:D$466)/D10/1.98)</f>
        <v>897.77522430394424</v>
      </c>
      <c r="E473" s="144"/>
      <c r="F473" s="143">
        <f>F$474+(SUMIF($T$317:$T$450,"FLG",F$324:F$466)/F10/1.98)+(SUMIF($T$317:$T$450,"FCA",F$324:F$466)/F10/1.98)+(SUMIF($T$317:$T$450,"NSC",F$324:F$466)/F10/1.98)</f>
        <v>1045.5287621550858</v>
      </c>
      <c r="G473" s="143">
        <f>G$474+(SUMIF($T$317:$T$450,"FLG",G$324:G$466)/G10/1.98)+(SUMIF($T$317:$T$450,"FCA",G$324:G$466)/G10/1.98)+(SUMIF($T$317:$T$450,"NSC",G$324:G$466)/G10/1.98)</f>
        <v>907.5095299291288</v>
      </c>
      <c r="H473" s="143">
        <f>H$474+(SUMIF($T$317:$T$450,"FLG",H$324:H$466)/H10/1.98)+(SUMIF($T$317:$T$450,"FCA",H$324:H$466)/H10/1.98)+(SUMIF($T$317:$T$450,"NSC",H$324:H$466)/H10/1.98)</f>
        <v>1449.9166144551923</v>
      </c>
      <c r="I473" s="52"/>
      <c r="J473" s="143">
        <f>J$474+(SUMIF($T$317:$T$450,"FLG",J$324:J$466)/J10/1.98)+(SUMIF($T$317:$T$450,"FCA",J$324:J$466)/J10/1.98)+(SUMIF($T$317:$T$450,"NSC",J$324:J$466)/J10/1.98)</f>
        <v>1094.7886951107878</v>
      </c>
      <c r="K473" s="143">
        <f>K$474+(SUMIF($T$317:$T$450,"FLG",K$324:K$466)/K10/1.98)+(SUMIF($T$317:$T$450,"FCA",K$324:K$466)/K10/1.98)+(SUMIF($T$317:$T$450,"NSC",K$324:K$466)/K10/1.98)</f>
        <v>1003.5013893756756</v>
      </c>
      <c r="L473" s="143">
        <f>L$474+(SUMIF($T$317:$T$450,"FLG",L$324:L$466)/L10/1.98)+(SUMIF($T$317:$T$450,"FCA",L$324:L$466)/L10/1.98)+(SUMIF($T$317:$T$450,"NSC",L$324:L$466)/L10/1.98)</f>
        <v>712.94353010691873</v>
      </c>
      <c r="M473" s="52"/>
      <c r="N473" s="143">
        <f>N$474+(SUMIF($T$317:$T$450,"FLG",N$324:N$466)/N10/1.98)+(SUMIF($T$317:$T$450,"FCA",N$324:N$466)/N10/1.98)+(SUMIF($T$317:$T$450,"NSC",N$324:N$466)/N10/1.98)</f>
        <v>235.41416803336671</v>
      </c>
      <c r="O473" s="143">
        <f>O$474+(SUMIF($T$317:$T$450,"FLG",O$324:O$466)/O10/1.98)+(SUMIF($T$317:$T$450,"FCA",O$324:O$466)/O10/1.98)+(SUMIF($T$317:$T$450,"NSC",O$324:O$466)/O10/1.98)</f>
        <v>93.045941003580936</v>
      </c>
      <c r="P473" s="143">
        <f>P$474+(SUMIF($T$317:$T$450,"FLG",P$324:P$466)/P10/1.98)+(SUMIF($T$317:$T$450,"FCA",P$324:P$466)/P10/1.98)+(SUMIF($T$317:$T$450,"NSC",P$324:P$466)/P10/1.98)</f>
        <v>265.27879448429934</v>
      </c>
      <c r="Q473" s="52"/>
      <c r="R473" s="52"/>
    </row>
    <row r="474" spans="1:18" ht="15.75" customHeight="1" x14ac:dyDescent="0.3">
      <c r="A474" s="142" t="s">
        <v>475</v>
      </c>
      <c r="B474" s="143">
        <f>B$475+(SUMIF($T$317:$T$450,"FCI",B$324:B$466)/B10/1.98)+(SUMIF($T$317:$T$450,"FCC",B$324:B$466)/B10/1.98)</f>
        <v>296.46306902907361</v>
      </c>
      <c r="C474" s="143">
        <f>C$475+(SUMIF($T$317:$T$450,"FCI",C$324:C$466)/C10/1.98)+(SUMIF($T$317:$T$450,"FCC",C$324:C$466)/C10/1.98)</f>
        <v>337.54854575580748</v>
      </c>
      <c r="D474" s="143">
        <f>D$475+(SUMIF($T$317:$T$450,"FCI",D$324:D$466)/D10/1.98)+(SUMIF($T$317:$T$450,"FCC",D$324:D$466)/D10/1.98)</f>
        <v>897.77522430394424</v>
      </c>
      <c r="E474" s="144"/>
      <c r="F474" s="143">
        <f>F$475+(SUMIF($T$317:$T$450,"FCI",F$324:F$466)/F10/1.98)+(SUMIF($T$317:$T$450,"FCC",F$324:F$466)/F10/1.98)</f>
        <v>1045.5287621550858</v>
      </c>
      <c r="G474" s="143">
        <f>G$475+(SUMIF($T$317:$T$450,"FCI",G$324:G$466)/G10/1.98)+(SUMIF($T$317:$T$450,"FCC",G$324:G$466)/G10/1.98)</f>
        <v>907.5095299291288</v>
      </c>
      <c r="H474" s="143">
        <f>H$475+(SUMIF($T$317:$T$450,"FCI",H$324:H$466)/H10/1.98)+(SUMIF($T$317:$T$450,"FCC",H$324:H$466)/H10/1.98)</f>
        <v>1449.9166144551923</v>
      </c>
      <c r="I474" s="52"/>
      <c r="J474" s="143">
        <f>J$475+(SUMIF($T$317:$T$450,"FCI",J$324:J$466)/J10/1.98)+(SUMIF($T$317:$T$450,"FCC",J$324:J$466)/J10/1.98)</f>
        <v>1094.7886951107878</v>
      </c>
      <c r="K474" s="143">
        <f>K$475+(SUMIF($T$317:$T$450,"FCI",K$324:K$466)/K10/1.98)+(SUMIF($T$317:$T$450,"FCC",K$324:K$466)/K10/1.98)</f>
        <v>1003.5013893756756</v>
      </c>
      <c r="L474" s="143">
        <f>L$475+(SUMIF($T$317:$T$450,"FCI",L$324:L$466)/L10/1.98)+(SUMIF($T$317:$T$450,"FCC",L$324:L$466)/L10/1.98)</f>
        <v>712.94353010691873</v>
      </c>
      <c r="M474" s="52"/>
      <c r="N474" s="143">
        <f>N$475+(SUMIF($T$317:$T$450,"FCI",N$324:N$466)/N10/1.98)+(SUMIF($T$317:$T$450,"FCC",N$324:N$466)/N10/1.98)</f>
        <v>235.41416803336671</v>
      </c>
      <c r="O474" s="143">
        <f>O$475+(SUMIF($T$317:$T$450,"FCI",O$324:O$466)/O10/1.98)+(SUMIF($T$317:$T$450,"FCC",O$324:O$466)/O10/1.98)</f>
        <v>93.045941003580936</v>
      </c>
      <c r="P474" s="143">
        <f>P$475+(SUMIF($T$317:$T$450,"FCI",P$324:P$466)/P10/1.98)+(SUMIF($T$317:$T$450,"FCC",P$324:P$466)/P10/1.98)</f>
        <v>265.27879448429934</v>
      </c>
      <c r="Q474" s="52"/>
      <c r="R474" s="52"/>
    </row>
    <row r="475" spans="1:18" ht="15.75" customHeight="1" x14ac:dyDescent="0.3">
      <c r="A475" s="142" t="s">
        <v>476</v>
      </c>
      <c r="B475" s="143">
        <f>B$476+(SUMIF($T$317:$T$450,"PIL",B$324:B$466)/B10/1.98)+(SUMIF($T$317:$T$450,"KLK",B$324:B$466)/B10/1.98)</f>
        <v>296.46306902907361</v>
      </c>
      <c r="C475" s="143">
        <f>C$476+(SUMIF($T$317:$T$450,"PIL",C$324:C$466)/C10/1.98)+(SUMIF($T$317:$T$450,"KLK",C$324:C$466)/C10/1.98)</f>
        <v>337.54854575580748</v>
      </c>
      <c r="D475" s="143">
        <f>D$476+(SUMIF($T$317:$T$450,"PIL",D$324:D$466)/D10/1.98)+(SUMIF($T$317:$T$450,"KLK",D$324:D$466)/D10/1.98)</f>
        <v>897.77522430394424</v>
      </c>
      <c r="E475" s="144"/>
      <c r="F475" s="143">
        <f>F$476+(SUMIF($T$317:$T$450,"PIL",F$324:F$466)/F10/1.98)+(SUMIF($T$317:$T$450,"KLK",F$324:F$466)/F10/1.98)</f>
        <v>1045.5287621550858</v>
      </c>
      <c r="G475" s="143">
        <f>G$476+(SUMIF($T$317:$T$450,"PIL",G$324:G$466)/G10/1.98)+(SUMIF($T$317:$T$450,"KLK",G$324:G$466)/G10/1.98)</f>
        <v>907.5095299291288</v>
      </c>
      <c r="H475" s="143">
        <f>H$476+(SUMIF($T$317:$T$450,"PIL",H$324:H$466)/H10/1.98)+(SUMIF($T$317:$T$450,"KLK",H$324:H$466)/H10/1.98)</f>
        <v>1449.9166144551923</v>
      </c>
      <c r="I475" s="52"/>
      <c r="J475" s="143">
        <f>J$476+(SUMIF($T$317:$T$450,"PIL",J$324:J$466)/J10/1.98)+(SUMIF($T$317:$T$450,"KLK",J$324:J$466)/J10/1.98)</f>
        <v>1094.7886951107878</v>
      </c>
      <c r="K475" s="143">
        <f>K$476+(SUMIF($T$317:$T$450,"PIL",K$324:K$466)/K10/1.98)+(SUMIF($T$317:$T$450,"KLK",K$324:K$466)/K10/1.98)</f>
        <v>1003.5013893756756</v>
      </c>
      <c r="L475" s="143">
        <f>L$476+(SUMIF($T$317:$T$450,"PIL",L$324:L$466)/L10/1.98)+(SUMIF($T$317:$T$450,"KLK",L$324:L$466)/L10/1.98)</f>
        <v>712.94353010691873</v>
      </c>
      <c r="M475" s="52"/>
      <c r="N475" s="143">
        <f>N$476+(SUMIF($T$317:$T$450,"PIL",N$324:N$466)/N10/1.98)+(SUMIF($T$317:$T$450,"KLK",N$324:N$466)/N10/1.98)</f>
        <v>235.41416803336671</v>
      </c>
      <c r="O475" s="143">
        <f>O$476+(SUMIF($T$317:$T$450,"PIL",O$324:O$466)/O10/1.98)+(SUMIF($T$317:$T$450,"KLK",O$324:O$466)/O10/1.98)</f>
        <v>93.045941003580936</v>
      </c>
      <c r="P475" s="143">
        <f>P$476+(SUMIF($T$317:$T$450,"PIL",P$324:P$466)/P10/1.98)+(SUMIF($T$317:$T$450,"KLK",P$324:P$466)/P10/1.98)</f>
        <v>265.27879448429934</v>
      </c>
      <c r="Q475" s="52"/>
      <c r="R475" s="52"/>
    </row>
    <row r="476" spans="1:18" ht="15.75" customHeight="1" x14ac:dyDescent="0.3">
      <c r="A476" s="142" t="s">
        <v>477</v>
      </c>
      <c r="B476" s="143">
        <f>B$477+(SUMIF($T$317:$T$450,"CGE",B$324:B$466)/B10/1.98)</f>
        <v>296.36531731841865</v>
      </c>
      <c r="C476" s="143">
        <f>C$477+(SUMIF($T$317:$T$450,"CGE",C$324:C$466)/C10/1.98)</f>
        <v>337.3862080934698</v>
      </c>
      <c r="D476" s="143">
        <f>D$477+(SUMIF($T$317:$T$450,"CGE",D$324:D$466)/D10/1.98)</f>
        <v>897.33534160599697</v>
      </c>
      <c r="E476" s="144"/>
      <c r="F476" s="143">
        <f>F$477+(SUMIF($T$317:$T$450,"CGE",F$324:F$466)/F10/1.98)</f>
        <v>1033.9799406062643</v>
      </c>
      <c r="G476" s="143">
        <f>G$477+(SUMIF($T$317:$T$450,"CGE",G$324:G$466)/G10/1.98)</f>
        <v>906.30392549771796</v>
      </c>
      <c r="H476" s="143">
        <f>H$477+(SUMIF($T$317:$T$450,"CGE",H$324:H$466)/H10/1.98)</f>
        <v>1448.8896784282563</v>
      </c>
      <c r="I476" s="52"/>
      <c r="J476" s="143">
        <f>J$477+(SUMIF($T$317:$T$450,"CGE",J$324:J$466)/J10/1.98)</f>
        <v>1093.5505067758252</v>
      </c>
      <c r="K476" s="143">
        <f>K$477+(SUMIF($T$317:$T$450,"CGE",K$324:K$466)/K10/1.98)</f>
        <v>1002.5238722691262</v>
      </c>
      <c r="L476" s="143">
        <f>L$477+(SUMIF($T$317:$T$450,"CGE",L$324:L$466)/L10/1.98)</f>
        <v>712.10177926516792</v>
      </c>
      <c r="M476" s="52"/>
      <c r="N476" s="143">
        <f>N$477+(SUMIF($T$317:$T$450,"CGE",N$324:N$466)/N10/1.98)</f>
        <v>234.35519116793822</v>
      </c>
      <c r="O476" s="143">
        <f>O$477+(SUMIF($T$317:$T$450,"CGE",O$324:O$466)/O10/1.98)</f>
        <v>92.237860195500133</v>
      </c>
      <c r="P476" s="143">
        <f>P$477+(SUMIF($T$317:$T$450,"CGE",P$324:P$466)/P10/1.98)</f>
        <v>264.83891178635213</v>
      </c>
      <c r="Q476" s="52"/>
      <c r="R476" s="52"/>
    </row>
    <row r="477" spans="1:18" ht="15.75" customHeight="1" x14ac:dyDescent="0.3">
      <c r="A477" s="142" t="s">
        <v>478</v>
      </c>
      <c r="B477" s="143">
        <f>B$478+(SUMIF($T$317:$T$450,"SRO",B$324:B$466)/B10/1.98)</f>
        <v>296.36531731841865</v>
      </c>
      <c r="C477" s="143">
        <f>C$478+(SUMIF($T$317:$T$450,"SRO",C$324:C$466)/C10/1.98)</f>
        <v>337.3862080934698</v>
      </c>
      <c r="D477" s="143">
        <f>D$478+(SUMIF($T$317:$T$450,"SRO",D$324:D$466)/D10/1.98)</f>
        <v>897.33534160599697</v>
      </c>
      <c r="E477" s="144"/>
      <c r="F477" s="143">
        <f>F$478+(SUMIF($T$317:$T$450,"SRO",F$324:F$466)/F10/1.98)</f>
        <v>1033.9799406062643</v>
      </c>
      <c r="G477" s="143">
        <f>G$478+(SUMIF($T$317:$T$450,"SRO",G$324:G$466)/G10/1.98)</f>
        <v>906.30392549771796</v>
      </c>
      <c r="H477" s="143">
        <f>H$478+(SUMIF($T$317:$T$450,"SRO",H$324:H$466)/H10/1.98)</f>
        <v>1448.8896784282563</v>
      </c>
      <c r="I477" s="52"/>
      <c r="J477" s="143">
        <f>J$478+(SUMIF($T$317:$T$450,"SRO",J$324:J$466)/J10/1.98)</f>
        <v>1093.5505067758252</v>
      </c>
      <c r="K477" s="143">
        <f>K$478+(SUMIF($T$317:$T$450,"SRO",K$324:K$466)/K10/1.98)</f>
        <v>1002.5238722691262</v>
      </c>
      <c r="L477" s="143">
        <f>L$478+(SUMIF($T$317:$T$450,"SRO",L$324:L$466)/L10/1.98)</f>
        <v>712.10177926516792</v>
      </c>
      <c r="M477" s="52"/>
      <c r="N477" s="143">
        <f>N$478+(SUMIF($T$317:$T$450,"SRO",N$324:N$466)/N10/1.98)</f>
        <v>234.35519116793822</v>
      </c>
      <c r="O477" s="143">
        <f>O$478+(SUMIF($T$317:$T$450,"SRO",O$324:O$466)/O10/1.98)</f>
        <v>92.237860195500133</v>
      </c>
      <c r="P477" s="143">
        <f>P$478+(SUMIF($T$317:$T$450,"SRO",P$324:P$466)/P10/1.98)</f>
        <v>264.83891178635213</v>
      </c>
      <c r="Q477" s="52"/>
      <c r="R477" s="52"/>
    </row>
    <row r="478" spans="1:18" ht="15.75" customHeight="1" x14ac:dyDescent="0.3">
      <c r="A478" s="142" t="s">
        <v>479</v>
      </c>
      <c r="B478" s="143">
        <f>B$519/B10/1.983</f>
        <v>248.35293543506904</v>
      </c>
      <c r="C478" s="143">
        <f>C$519/C10/1.983</f>
        <v>241.76932497658669</v>
      </c>
      <c r="D478" s="143">
        <f>D$519/D10/1.983</f>
        <v>543.62077660110936</v>
      </c>
      <c r="E478" s="98"/>
      <c r="F478" s="143">
        <f>F$519/F10/1.983</f>
        <v>673.23919986552357</v>
      </c>
      <c r="G478" s="143">
        <f>G$519/G10/1.983</f>
        <v>570.59196720511443</v>
      </c>
      <c r="H478" s="143">
        <f>H$519/H10/1.983</f>
        <v>832.81223735081528</v>
      </c>
      <c r="I478" s="1"/>
      <c r="J478" s="143">
        <f>J$519/J10/1.983</f>
        <v>848.06337741772813</v>
      </c>
      <c r="K478" s="143">
        <f>K$519/K10/1.983</f>
        <v>764.35182925837353</v>
      </c>
      <c r="L478" s="143">
        <f>L$519/L10/1.983</f>
        <v>568.38124054462924</v>
      </c>
      <c r="N478" s="143">
        <f>N$519/N10/1.983</f>
        <v>207.29425926829663</v>
      </c>
      <c r="O478" s="143">
        <f>O$519/O10/1.983</f>
        <v>67.456715414355358</v>
      </c>
      <c r="P478" s="143">
        <f>P$519/P10/1.983</f>
        <v>206.31822100759683</v>
      </c>
      <c r="R478" s="52"/>
    </row>
    <row r="479" spans="1:18" ht="15.75" customHeight="1" x14ac:dyDescent="0.3">
      <c r="A479" s="142"/>
      <c r="B479" s="143"/>
      <c r="C479" s="143"/>
      <c r="D479" s="143"/>
      <c r="E479" s="98"/>
      <c r="F479" s="143"/>
      <c r="G479" s="143"/>
      <c r="H479" s="143"/>
      <c r="I479" s="1"/>
      <c r="J479" s="143"/>
      <c r="K479" s="143"/>
      <c r="L479" s="143"/>
      <c r="N479" s="143"/>
      <c r="O479" s="143"/>
      <c r="P479" s="143"/>
      <c r="R479" s="52"/>
    </row>
    <row r="480" spans="1:18" ht="15.75" customHeight="1" thickBot="1" x14ac:dyDescent="0.35">
      <c r="A480" s="30"/>
      <c r="B480" s="1"/>
      <c r="C480" s="1"/>
      <c r="D480" s="1"/>
      <c r="E480" s="1"/>
      <c r="F480" s="1"/>
      <c r="G480" s="1"/>
      <c r="H480" s="1"/>
      <c r="I480" s="1"/>
      <c r="J480" s="1"/>
      <c r="K480" s="1"/>
      <c r="L480" s="1"/>
      <c r="M480" s="1"/>
      <c r="N480" s="1"/>
      <c r="O480" s="1"/>
      <c r="P480" s="1"/>
      <c r="Q480" s="1"/>
      <c r="R480" s="28"/>
    </row>
    <row r="481" spans="1:20" ht="16.5" customHeight="1" thickBot="1" x14ac:dyDescent="0.35">
      <c r="A481" s="31" t="s">
        <v>480</v>
      </c>
      <c r="B481" s="323" t="s">
        <v>36</v>
      </c>
      <c r="C481" s="324" t="s">
        <v>9</v>
      </c>
      <c r="D481" s="324" t="s">
        <v>10</v>
      </c>
      <c r="E481" s="325" t="s">
        <v>11</v>
      </c>
      <c r="F481" s="324" t="s">
        <v>12</v>
      </c>
      <c r="G481" s="324" t="s">
        <v>13</v>
      </c>
      <c r="H481" s="324" t="s">
        <v>14</v>
      </c>
      <c r="I481" s="34" t="s">
        <v>15</v>
      </c>
      <c r="J481" s="324" t="s">
        <v>16</v>
      </c>
      <c r="K481" s="324" t="s">
        <v>17</v>
      </c>
      <c r="L481" s="324" t="s">
        <v>18</v>
      </c>
      <c r="M481" s="34" t="s">
        <v>19</v>
      </c>
      <c r="N481" s="324" t="s">
        <v>20</v>
      </c>
      <c r="O481" s="324" t="s">
        <v>21</v>
      </c>
      <c r="P481" s="324" t="s">
        <v>22</v>
      </c>
      <c r="Q481" s="34" t="s">
        <v>23</v>
      </c>
      <c r="R481" s="326" t="s">
        <v>24</v>
      </c>
    </row>
    <row r="482" spans="1:20" ht="16.5" customHeight="1" thickBot="1" x14ac:dyDescent="0.35">
      <c r="A482" s="64"/>
      <c r="B482" s="81"/>
      <c r="C482" s="81"/>
      <c r="D482" s="81"/>
      <c r="E482" s="72"/>
      <c r="F482" s="81"/>
      <c r="G482" s="81"/>
      <c r="H482" s="81"/>
      <c r="I482" s="89"/>
      <c r="J482" s="81"/>
      <c r="K482" s="81"/>
      <c r="L482" s="81"/>
      <c r="M482" s="89"/>
      <c r="N482" s="81"/>
      <c r="O482" s="81"/>
      <c r="P482" s="81"/>
      <c r="Q482" s="89"/>
      <c r="R482" s="117"/>
    </row>
    <row r="483" spans="1:20" ht="15.75" customHeight="1" x14ac:dyDescent="0.3">
      <c r="A483" s="17" t="s">
        <v>45</v>
      </c>
      <c r="B483" s="1" t="s">
        <v>7</v>
      </c>
      <c r="C483" s="1" t="s">
        <v>7</v>
      </c>
      <c r="D483" s="1" t="s">
        <v>7</v>
      </c>
      <c r="E483" s="59" t="s">
        <v>7</v>
      </c>
      <c r="F483" s="1" t="s">
        <v>7</v>
      </c>
      <c r="G483" s="1" t="s">
        <v>7</v>
      </c>
      <c r="H483" s="1" t="s">
        <v>7</v>
      </c>
      <c r="I483" s="59" t="s">
        <v>7</v>
      </c>
      <c r="J483" s="1" t="s">
        <v>7</v>
      </c>
      <c r="K483" s="1" t="s">
        <v>7</v>
      </c>
      <c r="L483" s="1" t="s">
        <v>7</v>
      </c>
      <c r="M483" s="59" t="s">
        <v>7</v>
      </c>
      <c r="N483" s="1" t="s">
        <v>7</v>
      </c>
      <c r="O483" s="1" t="s">
        <v>7</v>
      </c>
      <c r="P483" s="1" t="s">
        <v>7</v>
      </c>
      <c r="Q483" s="59" t="s">
        <v>7</v>
      </c>
      <c r="R483" s="59" t="s">
        <v>7</v>
      </c>
    </row>
    <row r="484" spans="1:20" ht="15.75" customHeight="1" x14ac:dyDescent="0.3">
      <c r="A484" s="17" t="s">
        <v>46</v>
      </c>
      <c r="B484" s="1"/>
      <c r="C484" s="1"/>
      <c r="D484" s="1"/>
      <c r="E484" s="59" t="s">
        <v>7</v>
      </c>
      <c r="F484" s="1"/>
      <c r="G484" s="1"/>
      <c r="H484" s="1"/>
      <c r="I484" s="59" t="s">
        <v>7</v>
      </c>
      <c r="J484" s="1"/>
      <c r="K484" s="1"/>
      <c r="L484" s="1"/>
      <c r="M484" s="59" t="s">
        <v>7</v>
      </c>
      <c r="N484" s="1"/>
      <c r="O484" s="1"/>
      <c r="P484" s="1"/>
      <c r="Q484" s="59" t="s">
        <v>7</v>
      </c>
      <c r="R484" s="59" t="s">
        <v>7</v>
      </c>
    </row>
    <row r="485" spans="1:20" ht="15.75" customHeight="1" x14ac:dyDescent="0.3">
      <c r="A485" s="74" t="s">
        <v>481</v>
      </c>
      <c r="B485" s="1"/>
      <c r="C485" s="1"/>
      <c r="D485" s="1"/>
      <c r="E485" s="59">
        <f>SUM(B485:D485)</f>
        <v>0</v>
      </c>
      <c r="F485" s="1">
        <v>12</v>
      </c>
      <c r="G485" s="1">
        <v>14</v>
      </c>
      <c r="H485" s="1">
        <v>12</v>
      </c>
      <c r="I485" s="59">
        <f>SUM(F485:H485)</f>
        <v>38</v>
      </c>
      <c r="J485" s="1">
        <v>10</v>
      </c>
      <c r="K485" s="1">
        <v>5</v>
      </c>
      <c r="L485" s="1">
        <v>7</v>
      </c>
      <c r="M485" s="59">
        <f>SUM(J485:L485)</f>
        <v>22</v>
      </c>
      <c r="N485" s="1"/>
      <c r="O485" s="1">
        <v>1</v>
      </c>
      <c r="P485" s="1">
        <v>1</v>
      </c>
      <c r="Q485" s="59">
        <f>SUM(N485:P485)</f>
        <v>2</v>
      </c>
      <c r="R485" s="59">
        <f>+E485+I485+M485+Q485</f>
        <v>62</v>
      </c>
      <c r="T485" s="4" t="s">
        <v>366</v>
      </c>
    </row>
    <row r="486" spans="1:20" ht="15.75" customHeight="1" x14ac:dyDescent="0.3">
      <c r="A486" s="74" t="s">
        <v>482</v>
      </c>
      <c r="B486" s="1"/>
      <c r="C486" s="1"/>
      <c r="D486" s="1"/>
      <c r="E486" s="59">
        <f>SUM(B486:D486)</f>
        <v>0</v>
      </c>
      <c r="F486" s="1"/>
      <c r="G486" s="1"/>
      <c r="H486" s="1">
        <v>1600</v>
      </c>
      <c r="I486" s="59">
        <f>SUM(F486:H486)</f>
        <v>1600</v>
      </c>
      <c r="J486" s="1"/>
      <c r="K486" s="1"/>
      <c r="L486" s="1"/>
      <c r="M486" s="59">
        <f>SUM(J486:L486)</f>
        <v>0</v>
      </c>
      <c r="N486" s="1"/>
      <c r="O486" s="1"/>
      <c r="P486" s="1"/>
      <c r="Q486" s="59">
        <f>SUM(N486:P486)</f>
        <v>0</v>
      </c>
      <c r="R486" s="59">
        <f>+E486+I486+M486+Q486</f>
        <v>1600</v>
      </c>
      <c r="T486" s="4" t="s">
        <v>366</v>
      </c>
    </row>
    <row r="487" spans="1:20" ht="15.75" customHeight="1" x14ac:dyDescent="0.3">
      <c r="A487" s="74" t="s">
        <v>484</v>
      </c>
      <c r="B487" s="1"/>
      <c r="C487" s="1"/>
      <c r="D487" s="1"/>
      <c r="E487" s="59">
        <f>SUM(B487:D487)</f>
        <v>0</v>
      </c>
      <c r="F487" s="1"/>
      <c r="G487" s="1">
        <v>1000</v>
      </c>
      <c r="H487" s="1"/>
      <c r="I487" s="59">
        <f>SUM(F487:H487)</f>
        <v>1000</v>
      </c>
      <c r="J487" s="1"/>
      <c r="K487" s="1"/>
      <c r="L487" s="1"/>
      <c r="M487" s="59">
        <f>SUM(J487:L487)</f>
        <v>0</v>
      </c>
      <c r="N487" s="1"/>
      <c r="O487" s="1"/>
      <c r="P487" s="1"/>
      <c r="Q487" s="59">
        <f>SUM(N487:P487)</f>
        <v>0</v>
      </c>
      <c r="R487" s="59">
        <f>+E487+I487+M487+Q487</f>
        <v>1000</v>
      </c>
      <c r="T487" s="4" t="s">
        <v>366</v>
      </c>
    </row>
    <row r="488" spans="1:20" ht="15.75" customHeight="1" x14ac:dyDescent="0.3">
      <c r="A488" s="76" t="s">
        <v>485</v>
      </c>
      <c r="B488" s="1"/>
      <c r="C488" s="1"/>
      <c r="D488" s="1"/>
      <c r="E488" s="59">
        <f>SUM(B488:D488)</f>
        <v>0</v>
      </c>
      <c r="F488" s="1"/>
      <c r="G488" s="1"/>
      <c r="H488" s="1"/>
      <c r="I488" s="59">
        <f>SUM(F488:H488)</f>
        <v>0</v>
      </c>
      <c r="J488" s="1"/>
      <c r="K488" s="1"/>
      <c r="L488" s="1"/>
      <c r="M488" s="59">
        <f>SUM(J488:L488)</f>
        <v>0</v>
      </c>
      <c r="N488" s="1"/>
      <c r="O488" s="1"/>
      <c r="P488" s="1"/>
      <c r="Q488" s="59">
        <f>SUM(N488:P488)</f>
        <v>0</v>
      </c>
      <c r="R488" s="59">
        <f>+E488+I488+M488+Q488</f>
        <v>0</v>
      </c>
      <c r="T488" s="4" t="s">
        <v>366</v>
      </c>
    </row>
    <row r="489" spans="1:20" ht="15.75" customHeight="1" x14ac:dyDescent="0.3">
      <c r="A489" s="17" t="s">
        <v>47</v>
      </c>
      <c r="B489" s="1"/>
      <c r="C489" s="1"/>
      <c r="D489" s="1"/>
      <c r="E489" s="59" t="s">
        <v>7</v>
      </c>
      <c r="F489" s="1"/>
      <c r="G489" s="1"/>
      <c r="H489" s="1"/>
      <c r="I489" s="59" t="s">
        <v>7</v>
      </c>
      <c r="J489" s="1"/>
      <c r="K489" s="1"/>
      <c r="L489" s="1"/>
      <c r="M489" s="59" t="s">
        <v>7</v>
      </c>
      <c r="N489" s="1"/>
      <c r="O489" s="1"/>
      <c r="P489" s="1"/>
      <c r="Q489" s="59" t="s">
        <v>7</v>
      </c>
      <c r="R489" s="59" t="s">
        <v>7</v>
      </c>
    </row>
    <row r="490" spans="1:20" ht="15.75" customHeight="1" x14ac:dyDescent="0.3">
      <c r="A490" s="74" t="s">
        <v>486</v>
      </c>
      <c r="B490" s="1"/>
      <c r="C490" s="1"/>
      <c r="D490" s="1"/>
      <c r="E490" s="59">
        <f>SUM(B490:D490)</f>
        <v>0</v>
      </c>
      <c r="F490" s="1"/>
      <c r="G490" s="1"/>
      <c r="H490" s="1"/>
      <c r="I490" s="59">
        <f>SUM(F490:H490)</f>
        <v>0</v>
      </c>
      <c r="J490" s="1"/>
      <c r="K490" s="1"/>
      <c r="L490" s="1"/>
      <c r="M490" s="59">
        <f>SUM(J490:L490)</f>
        <v>0</v>
      </c>
      <c r="N490" s="1"/>
      <c r="O490" s="1"/>
      <c r="P490" s="1"/>
      <c r="Q490" s="59">
        <f>SUM(N490:P490)</f>
        <v>0</v>
      </c>
      <c r="R490" s="59">
        <f>+E490+I490+M490+Q490</f>
        <v>0</v>
      </c>
    </row>
    <row r="491" spans="1:20" ht="15.75" customHeight="1" x14ac:dyDescent="0.3">
      <c r="A491" s="74" t="s">
        <v>487</v>
      </c>
      <c r="B491" s="1"/>
      <c r="C491" s="1"/>
      <c r="D491" s="1"/>
      <c r="E491" s="59">
        <f>SUM(B491:D491)</f>
        <v>0</v>
      </c>
      <c r="F491" s="1"/>
      <c r="G491" s="1"/>
      <c r="H491" s="1"/>
      <c r="I491" s="59">
        <f>SUM(F491:H491)</f>
        <v>0</v>
      </c>
      <c r="J491" s="1"/>
      <c r="K491" s="1"/>
      <c r="L491" s="1"/>
      <c r="M491" s="59">
        <f>SUM(J491:L491)</f>
        <v>0</v>
      </c>
      <c r="N491" s="1"/>
      <c r="O491" s="1"/>
      <c r="P491" s="1"/>
      <c r="Q491" s="59">
        <f>SUM(N491:P491)</f>
        <v>0</v>
      </c>
      <c r="R491" s="59">
        <f>+E491+I491+M491+Q491</f>
        <v>0</v>
      </c>
    </row>
    <row r="492" spans="1:20" ht="15.75" customHeight="1" x14ac:dyDescent="0.3">
      <c r="A492" s="17" t="s">
        <v>49</v>
      </c>
      <c r="B492" s="1"/>
      <c r="C492" s="1"/>
      <c r="D492" s="1"/>
      <c r="E492" s="59" t="s">
        <v>7</v>
      </c>
      <c r="F492" s="1"/>
      <c r="G492" s="1"/>
      <c r="H492" s="1"/>
      <c r="I492" s="59" t="s">
        <v>7</v>
      </c>
      <c r="J492" s="1"/>
      <c r="K492" s="1"/>
      <c r="L492" s="1"/>
      <c r="M492" s="59" t="s">
        <v>7</v>
      </c>
      <c r="N492" s="1"/>
      <c r="O492" s="1"/>
      <c r="P492" s="1"/>
      <c r="Q492" s="59" t="s">
        <v>7</v>
      </c>
      <c r="R492" s="59" t="s">
        <v>7</v>
      </c>
    </row>
    <row r="493" spans="1:20" ht="15.75" customHeight="1" thickBot="1" x14ac:dyDescent="0.35">
      <c r="A493" s="17" t="s">
        <v>51</v>
      </c>
      <c r="B493" s="1"/>
      <c r="C493" s="1"/>
      <c r="D493" s="1"/>
      <c r="E493" s="59" t="s">
        <v>7</v>
      </c>
      <c r="F493" s="1"/>
      <c r="G493" s="1"/>
      <c r="H493" s="1"/>
      <c r="I493" s="59" t="s">
        <v>7</v>
      </c>
      <c r="J493" s="1"/>
      <c r="K493" s="1"/>
      <c r="L493" s="1"/>
      <c r="M493" s="59" t="s">
        <v>7</v>
      </c>
      <c r="N493" s="1"/>
      <c r="O493" s="1"/>
      <c r="P493" s="1"/>
      <c r="Q493" s="59" t="s">
        <v>7</v>
      </c>
      <c r="R493" s="59" t="s">
        <v>7</v>
      </c>
    </row>
    <row r="494" spans="1:20" ht="16.5" customHeight="1" thickBot="1" x14ac:dyDescent="0.35">
      <c r="A494" s="126" t="s">
        <v>52</v>
      </c>
      <c r="B494" s="100">
        <f>SUM(B483:B493)</f>
        <v>0</v>
      </c>
      <c r="C494" s="101">
        <f>SUM(C483:C493)</f>
        <v>0</v>
      </c>
      <c r="D494" s="101">
        <f>SUM(D483:D493)</f>
        <v>0</v>
      </c>
      <c r="E494" s="64">
        <f>SUM(B494:D494)</f>
        <v>0</v>
      </c>
      <c r="F494" s="101">
        <f>SUM(F483:F493)</f>
        <v>12</v>
      </c>
      <c r="G494" s="101">
        <f>SUM(G483:G493)</f>
        <v>1014</v>
      </c>
      <c r="H494" s="101">
        <f>SUM(H483:H493)</f>
        <v>1612</v>
      </c>
      <c r="I494" s="64">
        <f>SUM(F494:H494)</f>
        <v>2638</v>
      </c>
      <c r="J494" s="101">
        <f>SUM(J483:J493)</f>
        <v>10</v>
      </c>
      <c r="K494" s="101">
        <f>SUM(K483:K493)</f>
        <v>5</v>
      </c>
      <c r="L494" s="101">
        <f>SUM(L483:L493)</f>
        <v>7</v>
      </c>
      <c r="M494" s="64">
        <f>SUM(J494:L494)</f>
        <v>22</v>
      </c>
      <c r="N494" s="101">
        <f>SUM(N483:N493)</f>
        <v>0</v>
      </c>
      <c r="O494" s="101">
        <f>SUM(O483:O493)</f>
        <v>1</v>
      </c>
      <c r="P494" s="101">
        <f>SUM(P483:P493)</f>
        <v>1</v>
      </c>
      <c r="Q494" s="64">
        <f>SUM(N494:P494)</f>
        <v>2</v>
      </c>
      <c r="R494" s="64">
        <f>+E494+I494+M494+Q494</f>
        <v>2662</v>
      </c>
    </row>
    <row r="495" spans="1:20" ht="15.75" customHeight="1" x14ac:dyDescent="0.3">
      <c r="A495" s="17" t="s">
        <v>53</v>
      </c>
      <c r="B495" s="1"/>
      <c r="C495" s="1"/>
      <c r="D495" s="1"/>
      <c r="E495" s="59" t="s">
        <v>7</v>
      </c>
      <c r="F495" s="1"/>
      <c r="G495" s="1"/>
      <c r="H495" s="1"/>
      <c r="I495" s="59" t="s">
        <v>7</v>
      </c>
      <c r="J495" s="1"/>
      <c r="K495" s="1"/>
      <c r="L495" s="1"/>
      <c r="M495" s="59" t="s">
        <v>7</v>
      </c>
      <c r="N495" s="1" t="s">
        <v>7</v>
      </c>
      <c r="O495" s="1"/>
      <c r="P495" s="1"/>
      <c r="Q495" s="59" t="s">
        <v>7</v>
      </c>
      <c r="R495" s="59" t="s">
        <v>7</v>
      </c>
    </row>
    <row r="496" spans="1:20" ht="15.75" customHeight="1" x14ac:dyDescent="0.3">
      <c r="A496" s="17" t="s">
        <v>55</v>
      </c>
      <c r="B496" s="1"/>
      <c r="C496" s="1"/>
      <c r="D496" s="1"/>
      <c r="E496" s="59" t="s">
        <v>7</v>
      </c>
      <c r="F496" s="1"/>
      <c r="G496" s="1"/>
      <c r="H496" s="1"/>
      <c r="I496" s="59" t="s">
        <v>7</v>
      </c>
      <c r="J496" s="1"/>
      <c r="K496" s="1"/>
      <c r="L496" s="1"/>
      <c r="M496" s="59" t="s">
        <v>7</v>
      </c>
      <c r="N496" s="1"/>
      <c r="O496" s="1"/>
      <c r="P496" s="1"/>
      <c r="Q496" s="59" t="s">
        <v>7</v>
      </c>
      <c r="R496" s="59" t="s">
        <v>7</v>
      </c>
    </row>
    <row r="497" spans="1:20" ht="15.75" customHeight="1" x14ac:dyDescent="0.3">
      <c r="A497" s="74" t="s">
        <v>488</v>
      </c>
      <c r="B497" s="1"/>
      <c r="C497" s="1">
        <v>64</v>
      </c>
      <c r="D497" s="1">
        <v>4247</v>
      </c>
      <c r="E497" s="59">
        <f>SUM(B497:D497)</f>
        <v>4311</v>
      </c>
      <c r="F497" s="1">
        <v>10259</v>
      </c>
      <c r="G497" s="1">
        <v>269</v>
      </c>
      <c r="H497" s="1">
        <v>14951</v>
      </c>
      <c r="I497" s="59">
        <f>SUM(F497:H497)</f>
        <v>25479</v>
      </c>
      <c r="J497" s="1">
        <v>15701</v>
      </c>
      <c r="K497" s="1">
        <v>14370</v>
      </c>
      <c r="L497" s="1">
        <v>6330</v>
      </c>
      <c r="M497" s="59">
        <f>SUM(J497:L497)</f>
        <v>36401</v>
      </c>
      <c r="N497" s="1"/>
      <c r="O497" s="1"/>
      <c r="P497" s="1">
        <v>50</v>
      </c>
      <c r="Q497" s="59">
        <f>SUM(N497:P497)</f>
        <v>50</v>
      </c>
      <c r="R497" s="59">
        <f>+E497+I497+M497+Q497</f>
        <v>66241</v>
      </c>
    </row>
    <row r="498" spans="1:20" ht="15.75" customHeight="1" thickBot="1" x14ac:dyDescent="0.35">
      <c r="A498" s="17" t="s">
        <v>56</v>
      </c>
      <c r="B498" s="1"/>
      <c r="C498" s="1"/>
      <c r="D498" s="1"/>
      <c r="E498" s="59" t="s">
        <v>7</v>
      </c>
      <c r="F498" s="1"/>
      <c r="G498" s="1"/>
      <c r="H498" s="1"/>
      <c r="I498" s="59" t="s">
        <v>7</v>
      </c>
      <c r="J498" s="1"/>
      <c r="K498" s="1"/>
      <c r="L498" s="1"/>
      <c r="M498" s="59" t="s">
        <v>7</v>
      </c>
      <c r="N498" s="1"/>
      <c r="O498" s="1"/>
      <c r="P498" s="1"/>
      <c r="Q498" s="59" t="s">
        <v>7</v>
      </c>
      <c r="R498" s="59" t="s">
        <v>7</v>
      </c>
    </row>
    <row r="499" spans="1:20" ht="16.5" customHeight="1" thickBot="1" x14ac:dyDescent="0.35">
      <c r="A499" s="62" t="s">
        <v>57</v>
      </c>
      <c r="B499" s="100">
        <f>SUM(B495:B498)</f>
        <v>0</v>
      </c>
      <c r="C499" s="101">
        <f>SUM(C495:C498)</f>
        <v>64</v>
      </c>
      <c r="D499" s="101">
        <f>SUM(D495:D498)</f>
        <v>4247</v>
      </c>
      <c r="E499" s="64">
        <f>SUM(B499:D499)</f>
        <v>4311</v>
      </c>
      <c r="F499" s="101">
        <f>SUM(F495:F498)</f>
        <v>10259</v>
      </c>
      <c r="G499" s="101">
        <f>SUM(G495:G498)</f>
        <v>269</v>
      </c>
      <c r="H499" s="101">
        <f>SUM(H495:H498)</f>
        <v>14951</v>
      </c>
      <c r="I499" s="64">
        <f>SUM(F499:H499)</f>
        <v>25479</v>
      </c>
      <c r="J499" s="101">
        <f>SUM(J495:J498)</f>
        <v>15701</v>
      </c>
      <c r="K499" s="101">
        <f>SUM(K495:K498)</f>
        <v>14370</v>
      </c>
      <c r="L499" s="101">
        <f>SUM(L495:L498)</f>
        <v>6330</v>
      </c>
      <c r="M499" s="64">
        <f>SUM(J499:L499)</f>
        <v>36401</v>
      </c>
      <c r="N499" s="101">
        <f>SUM(N495:N498)</f>
        <v>0</v>
      </c>
      <c r="O499" s="101">
        <f>SUM(O495:O498)</f>
        <v>0</v>
      </c>
      <c r="P499" s="101">
        <f>SUM(P495:P498)</f>
        <v>50</v>
      </c>
      <c r="Q499" s="64">
        <f>SUM(N499:P499)</f>
        <v>50</v>
      </c>
      <c r="R499" s="64">
        <f>+E499+I499+M499+Q499</f>
        <v>66241</v>
      </c>
    </row>
    <row r="500" spans="1:20" ht="15.75" customHeight="1" x14ac:dyDescent="0.3">
      <c r="A500" s="17" t="s">
        <v>58</v>
      </c>
      <c r="B500" s="1"/>
      <c r="C500" s="1"/>
      <c r="D500" s="1"/>
      <c r="E500" s="59" t="s">
        <v>7</v>
      </c>
      <c r="F500" s="1"/>
      <c r="G500" s="1"/>
      <c r="H500" s="1"/>
      <c r="I500" s="59" t="s">
        <v>7</v>
      </c>
      <c r="J500" s="1"/>
      <c r="K500" s="1"/>
      <c r="L500" s="1"/>
      <c r="M500" s="59" t="s">
        <v>7</v>
      </c>
      <c r="N500" s="1"/>
      <c r="O500" s="1"/>
      <c r="P500" s="1"/>
      <c r="Q500" s="59" t="s">
        <v>7</v>
      </c>
      <c r="R500" s="59" t="s">
        <v>7</v>
      </c>
    </row>
    <row r="501" spans="1:20" ht="15.75" customHeight="1" x14ac:dyDescent="0.3">
      <c r="A501" s="17" t="s">
        <v>59</v>
      </c>
      <c r="B501" s="1"/>
      <c r="C501" s="1"/>
      <c r="D501" s="1"/>
      <c r="E501" s="59" t="s">
        <v>7</v>
      </c>
      <c r="F501" s="1"/>
      <c r="G501" s="1"/>
      <c r="H501" s="1"/>
      <c r="I501" s="59" t="s">
        <v>7</v>
      </c>
      <c r="J501" s="1"/>
      <c r="K501" s="1"/>
      <c r="L501" s="1"/>
      <c r="M501" s="59" t="s">
        <v>7</v>
      </c>
      <c r="N501" s="1"/>
      <c r="O501" s="1"/>
      <c r="P501" s="1"/>
      <c r="Q501" s="59" t="s">
        <v>7</v>
      </c>
      <c r="R501" s="59" t="s">
        <v>7</v>
      </c>
    </row>
    <row r="502" spans="1:20" ht="15.75" customHeight="1" x14ac:dyDescent="0.3">
      <c r="A502" s="17" t="s">
        <v>60</v>
      </c>
      <c r="B502" s="1"/>
      <c r="C502" s="1"/>
      <c r="D502" s="1"/>
      <c r="E502" s="59" t="s">
        <v>7</v>
      </c>
      <c r="F502" s="1"/>
      <c r="G502" s="1"/>
      <c r="H502" s="1"/>
      <c r="I502" s="59" t="s">
        <v>7</v>
      </c>
      <c r="J502" s="1"/>
      <c r="K502" s="1"/>
      <c r="L502" s="1"/>
      <c r="M502" s="59" t="s">
        <v>7</v>
      </c>
      <c r="N502" s="1"/>
      <c r="O502" s="1"/>
      <c r="P502" s="1"/>
      <c r="Q502" s="59" t="s">
        <v>7</v>
      </c>
      <c r="R502" s="59" t="s">
        <v>7</v>
      </c>
    </row>
    <row r="503" spans="1:20" ht="15.75" customHeight="1" thickBot="1" x14ac:dyDescent="0.35">
      <c r="A503" s="103" t="s">
        <v>856</v>
      </c>
      <c r="B503" s="1"/>
      <c r="C503" s="1"/>
      <c r="D503" s="4">
        <v>2000</v>
      </c>
      <c r="E503" s="59">
        <f>SUM(B503:D503)</f>
        <v>2000</v>
      </c>
      <c r="F503" s="1"/>
      <c r="G503" s="1">
        <v>4000</v>
      </c>
      <c r="H503" s="1">
        <v>2000</v>
      </c>
      <c r="I503" s="59">
        <f>SUM(F503:H503)</f>
        <v>6000</v>
      </c>
      <c r="J503" s="1">
        <v>4500</v>
      </c>
      <c r="K503" s="1"/>
      <c r="L503" s="1"/>
      <c r="M503" s="59">
        <f>SUM(J503:L503)</f>
        <v>4500</v>
      </c>
      <c r="N503" s="1">
        <v>1233</v>
      </c>
      <c r="O503" s="1">
        <v>431</v>
      </c>
      <c r="P503" s="1"/>
      <c r="Q503" s="59">
        <f>SUM(N503:P503)</f>
        <v>1664</v>
      </c>
      <c r="R503" s="59">
        <f>+E503+I503+M503+Q503</f>
        <v>14164</v>
      </c>
      <c r="T503" s="4" t="s">
        <v>366</v>
      </c>
    </row>
    <row r="504" spans="1:20" ht="16.5" customHeight="1" thickBot="1" x14ac:dyDescent="0.35">
      <c r="A504" s="137" t="s">
        <v>61</v>
      </c>
      <c r="B504" s="100">
        <f>SUM(B500:B503)</f>
        <v>0</v>
      </c>
      <c r="C504" s="101">
        <f>SUM(C500:C503)</f>
        <v>0</v>
      </c>
      <c r="D504" s="101">
        <f>SUM(D500:D503)</f>
        <v>2000</v>
      </c>
      <c r="E504" s="64">
        <f>SUM(B504:D504)</f>
        <v>2000</v>
      </c>
      <c r="F504" s="101">
        <f>SUM(F500:F503)</f>
        <v>0</v>
      </c>
      <c r="G504" s="101">
        <f>SUM(G500:G503)</f>
        <v>4000</v>
      </c>
      <c r="H504" s="101">
        <f>SUM(H500:H503)</f>
        <v>2000</v>
      </c>
      <c r="I504" s="64">
        <f>SUM(F504:H504)</f>
        <v>6000</v>
      </c>
      <c r="J504" s="101">
        <f>SUM(J500:J503)</f>
        <v>4500</v>
      </c>
      <c r="K504" s="101">
        <f>SUM(K500:K503)</f>
        <v>0</v>
      </c>
      <c r="L504" s="101">
        <f>SUM(L500:L503)</f>
        <v>0</v>
      </c>
      <c r="M504" s="64">
        <f>SUM(J504:L504)</f>
        <v>4500</v>
      </c>
      <c r="N504" s="101">
        <f>SUM(N500:N503)</f>
        <v>1233</v>
      </c>
      <c r="O504" s="101">
        <f>SUM(O500:O503)</f>
        <v>431</v>
      </c>
      <c r="P504" s="101">
        <f>SUM(P500:P503)</f>
        <v>0</v>
      </c>
      <c r="Q504" s="64">
        <f>SUM(N504:P504)</f>
        <v>1664</v>
      </c>
      <c r="R504" s="64">
        <f>+E504+I504+M504+Q504</f>
        <v>14164</v>
      </c>
    </row>
    <row r="505" spans="1:20" ht="15.75" customHeight="1" x14ac:dyDescent="0.3">
      <c r="A505" s="17" t="s">
        <v>62</v>
      </c>
      <c r="B505" s="1"/>
      <c r="C505" s="1"/>
      <c r="D505" s="1"/>
      <c r="E505" s="59" t="s">
        <v>7</v>
      </c>
      <c r="F505" s="1"/>
      <c r="G505" s="1"/>
      <c r="H505" s="1"/>
      <c r="I505" s="59" t="s">
        <v>7</v>
      </c>
      <c r="J505" s="1"/>
      <c r="K505" s="1"/>
      <c r="L505" s="1"/>
      <c r="M505" s="59" t="s">
        <v>7</v>
      </c>
      <c r="N505" s="1"/>
      <c r="O505" s="1"/>
      <c r="P505" s="1"/>
      <c r="Q505" s="59" t="s">
        <v>7</v>
      </c>
      <c r="R505" s="59" t="s">
        <v>7</v>
      </c>
    </row>
    <row r="506" spans="1:20" ht="15.75" customHeight="1" x14ac:dyDescent="0.3">
      <c r="A506" s="17" t="s">
        <v>63</v>
      </c>
      <c r="B506" s="1"/>
      <c r="C506" s="1"/>
      <c r="D506" s="1"/>
      <c r="E506" s="59" t="s">
        <v>7</v>
      </c>
      <c r="F506" s="1"/>
      <c r="G506" s="1"/>
      <c r="H506" s="1"/>
      <c r="I506" s="59" t="s">
        <v>7</v>
      </c>
      <c r="J506" s="1"/>
      <c r="K506" s="1"/>
      <c r="L506" s="1"/>
      <c r="M506" s="59" t="s">
        <v>7</v>
      </c>
      <c r="N506" s="1"/>
      <c r="O506" s="1"/>
      <c r="P506" s="1"/>
      <c r="Q506" s="59" t="s">
        <v>7</v>
      </c>
      <c r="R506" s="59" t="s">
        <v>7</v>
      </c>
    </row>
    <row r="507" spans="1:20" ht="15.75" customHeight="1" x14ac:dyDescent="0.3">
      <c r="A507" s="17" t="s">
        <v>64</v>
      </c>
      <c r="B507" s="1"/>
      <c r="C507" s="1"/>
      <c r="D507" s="1"/>
      <c r="E507" s="59" t="s">
        <v>7</v>
      </c>
      <c r="F507" s="1"/>
      <c r="G507" s="1"/>
      <c r="H507" s="1"/>
      <c r="I507" s="59" t="s">
        <v>7</v>
      </c>
      <c r="J507" s="1"/>
      <c r="K507" s="1"/>
      <c r="L507" s="1"/>
      <c r="M507" s="59" t="s">
        <v>7</v>
      </c>
      <c r="N507" s="1"/>
      <c r="O507" s="1"/>
      <c r="P507" s="1"/>
      <c r="Q507" s="59" t="s">
        <v>7</v>
      </c>
      <c r="R507" s="59" t="s">
        <v>7</v>
      </c>
    </row>
    <row r="508" spans="1:20" ht="15.75" customHeight="1" x14ac:dyDescent="0.3">
      <c r="A508" s="17" t="s">
        <v>66</v>
      </c>
      <c r="B508" s="1"/>
      <c r="C508" s="1"/>
      <c r="D508" s="1"/>
      <c r="E508" s="59" t="s">
        <v>7</v>
      </c>
      <c r="F508" s="1"/>
      <c r="G508" s="1"/>
      <c r="H508" s="1"/>
      <c r="I508" s="59" t="s">
        <v>7</v>
      </c>
      <c r="J508" s="1"/>
      <c r="K508" s="1"/>
      <c r="L508" s="1"/>
      <c r="M508" s="59" t="s">
        <v>7</v>
      </c>
      <c r="N508" s="1"/>
      <c r="O508" s="1"/>
      <c r="P508" s="1"/>
      <c r="Q508" s="59" t="s">
        <v>7</v>
      </c>
      <c r="R508" s="59" t="s">
        <v>7</v>
      </c>
    </row>
    <row r="509" spans="1:20" ht="15.75" customHeight="1" x14ac:dyDescent="0.3">
      <c r="A509" s="17" t="s">
        <v>67</v>
      </c>
      <c r="B509" s="1"/>
      <c r="C509" s="1"/>
      <c r="D509" s="1"/>
      <c r="E509" s="59" t="s">
        <v>7</v>
      </c>
      <c r="F509" s="1"/>
      <c r="G509" s="1"/>
      <c r="H509" s="1"/>
      <c r="I509" s="59" t="s">
        <v>7</v>
      </c>
      <c r="J509" s="1"/>
      <c r="K509" s="1"/>
      <c r="L509" s="1"/>
      <c r="M509" s="59" t="s">
        <v>7</v>
      </c>
      <c r="N509" s="1"/>
      <c r="O509" s="1"/>
      <c r="P509" s="1"/>
      <c r="Q509" s="59" t="s">
        <v>7</v>
      </c>
      <c r="R509" s="59" t="s">
        <v>7</v>
      </c>
    </row>
    <row r="510" spans="1:20" ht="15.75" customHeight="1" x14ac:dyDescent="0.3">
      <c r="A510" s="74" t="s">
        <v>460</v>
      </c>
      <c r="B510" s="1"/>
      <c r="C510" s="1"/>
      <c r="D510" s="1"/>
      <c r="E510" s="59">
        <f t="shared" ref="E510:E511" si="146">SUM(B510:D510)</f>
        <v>0</v>
      </c>
      <c r="F510" s="1"/>
      <c r="G510" s="1"/>
      <c r="H510" s="1"/>
      <c r="I510" s="59">
        <f t="shared" ref="I510:I511" si="147">SUM(F510:H510)</f>
        <v>0</v>
      </c>
      <c r="J510" s="1"/>
      <c r="K510" s="1"/>
      <c r="L510" s="1"/>
      <c r="M510" s="59">
        <f t="shared" ref="M510:M511" si="148">SUM(J510:L510)</f>
        <v>0</v>
      </c>
      <c r="N510" s="1">
        <v>614</v>
      </c>
      <c r="O510" s="1"/>
      <c r="P510" s="1">
        <v>1133</v>
      </c>
      <c r="Q510" s="59">
        <f t="shared" ref="Q510:Q511" si="149">SUM(N510:P510)</f>
        <v>1747</v>
      </c>
      <c r="R510" s="59">
        <f t="shared" ref="R510:R515" si="150">+E510+I510+M510+Q510</f>
        <v>1747</v>
      </c>
      <c r="T510" s="4" t="s">
        <v>366</v>
      </c>
    </row>
    <row r="511" spans="1:20" ht="15.75" customHeight="1" thickBot="1" x14ac:dyDescent="0.35">
      <c r="A511" s="74" t="s">
        <v>491</v>
      </c>
      <c r="B511" s="1"/>
      <c r="C511" s="1"/>
      <c r="D511" s="1"/>
      <c r="E511" s="59">
        <f t="shared" si="146"/>
        <v>0</v>
      </c>
      <c r="F511" s="1"/>
      <c r="G511" s="1"/>
      <c r="H511" s="1"/>
      <c r="I511" s="59">
        <f t="shared" si="147"/>
        <v>0</v>
      </c>
      <c r="J511" s="1"/>
      <c r="K511" s="1"/>
      <c r="L511" s="1"/>
      <c r="M511" s="59">
        <f t="shared" si="148"/>
        <v>0</v>
      </c>
      <c r="N511" s="1"/>
      <c r="O511" s="1"/>
      <c r="P511" s="1"/>
      <c r="Q511" s="59">
        <f t="shared" si="149"/>
        <v>0</v>
      </c>
      <c r="R511" s="59">
        <f t="shared" si="150"/>
        <v>0</v>
      </c>
      <c r="T511" s="4" t="s">
        <v>366</v>
      </c>
    </row>
    <row r="512" spans="1:20" ht="16.5" customHeight="1" thickBot="1" x14ac:dyDescent="0.35">
      <c r="A512" s="62" t="s">
        <v>68</v>
      </c>
      <c r="B512" s="63">
        <f>SUM(B508:B511)</f>
        <v>0</v>
      </c>
      <c r="C512" s="63">
        <f>SUM(C508:C511)</f>
        <v>0</v>
      </c>
      <c r="D512" s="63">
        <f>SUM(D508:D511)</f>
        <v>0</v>
      </c>
      <c r="E512" s="334">
        <f t="shared" ref="E512:E515" si="151">SUM(B512:D512)</f>
        <v>0</v>
      </c>
      <c r="F512" s="63">
        <f>SUM(F508:F511)</f>
        <v>0</v>
      </c>
      <c r="G512" s="63">
        <f>SUM(G508:G511)</f>
        <v>0</v>
      </c>
      <c r="H512" s="63">
        <f>SUM(H508:H511)</f>
        <v>0</v>
      </c>
      <c r="I512" s="334">
        <f t="shared" ref="I512:I515" si="152">SUM(F512:H512)</f>
        <v>0</v>
      </c>
      <c r="J512" s="63">
        <f>SUM(J508:J511)</f>
        <v>0</v>
      </c>
      <c r="K512" s="63">
        <f>SUM(K508:K511)</f>
        <v>0</v>
      </c>
      <c r="L512" s="63">
        <f>SUM(L508:L511)</f>
        <v>0</v>
      </c>
      <c r="M512" s="334">
        <f t="shared" ref="M512:M515" si="153">SUM(J512:L512)</f>
        <v>0</v>
      </c>
      <c r="N512" s="63">
        <f>SUM(N508:N511)</f>
        <v>614</v>
      </c>
      <c r="O512" s="63">
        <f>SUM(O508:O511)</f>
        <v>0</v>
      </c>
      <c r="P512" s="63">
        <f>SUM(P508:P511)</f>
        <v>1133</v>
      </c>
      <c r="Q512" s="334">
        <f t="shared" ref="Q512:Q515" si="154">SUM(N512:P512)</f>
        <v>1747</v>
      </c>
      <c r="R512" s="64">
        <f t="shared" si="150"/>
        <v>1747</v>
      </c>
    </row>
    <row r="513" spans="1:20" ht="16.5" customHeight="1" thickBot="1" x14ac:dyDescent="0.35">
      <c r="A513" s="137" t="s">
        <v>69</v>
      </c>
      <c r="B513" s="100">
        <f>SUM(B505:B511)</f>
        <v>0</v>
      </c>
      <c r="C513" s="101">
        <f>SUM(C505:C511)</f>
        <v>0</v>
      </c>
      <c r="D513" s="138">
        <f>SUM(D505:D511)</f>
        <v>0</v>
      </c>
      <c r="E513" s="334">
        <f t="shared" si="151"/>
        <v>0</v>
      </c>
      <c r="F513" s="101">
        <f>SUM(F505:F511)</f>
        <v>0</v>
      </c>
      <c r="G513" s="101">
        <f>SUM(G505:G511)</f>
        <v>0</v>
      </c>
      <c r="H513" s="101">
        <f>SUM(H505:H511)</f>
        <v>0</v>
      </c>
      <c r="I513" s="334">
        <f t="shared" si="152"/>
        <v>0</v>
      </c>
      <c r="J513" s="101">
        <f>SUM(J505:J511)</f>
        <v>0</v>
      </c>
      <c r="K513" s="101">
        <f>SUM(K505:K511)</f>
        <v>0</v>
      </c>
      <c r="L513" s="101">
        <f>SUM(L505:L511)</f>
        <v>0</v>
      </c>
      <c r="M513" s="334">
        <f t="shared" si="153"/>
        <v>0</v>
      </c>
      <c r="N513" s="101">
        <f>SUM(N505:N511)</f>
        <v>614</v>
      </c>
      <c r="O513" s="101">
        <f>SUM(O505:O511)</f>
        <v>0</v>
      </c>
      <c r="P513" s="101">
        <f>SUM(P505:P511)</f>
        <v>1133</v>
      </c>
      <c r="Q513" s="334">
        <f t="shared" si="154"/>
        <v>1747</v>
      </c>
      <c r="R513" s="64">
        <f t="shared" si="150"/>
        <v>1747</v>
      </c>
    </row>
    <row r="514" spans="1:20" ht="16.5" customHeight="1" thickBot="1" x14ac:dyDescent="0.35">
      <c r="A514" s="62" t="s">
        <v>70</v>
      </c>
      <c r="B514" s="107">
        <f>+B494+B499+B504+B513</f>
        <v>0</v>
      </c>
      <c r="C514" s="63">
        <f>+C494+C499+C504+C513</f>
        <v>64</v>
      </c>
      <c r="D514" s="63">
        <f>+D494+D499+D504+D513</f>
        <v>6247</v>
      </c>
      <c r="E514" s="64">
        <f t="shared" si="151"/>
        <v>6311</v>
      </c>
      <c r="F514" s="63">
        <f>+F494+F499+F504+F513</f>
        <v>10271</v>
      </c>
      <c r="G514" s="63">
        <f>+G494+G499+G504+G513</f>
        <v>5283</v>
      </c>
      <c r="H514" s="63">
        <f>+H494+H499+H504+H513</f>
        <v>18563</v>
      </c>
      <c r="I514" s="64">
        <f t="shared" si="152"/>
        <v>34117</v>
      </c>
      <c r="J514" s="63">
        <f>+J494+J499+J504+J513</f>
        <v>20211</v>
      </c>
      <c r="K514" s="63">
        <f>+K494+K499+K504+K513</f>
        <v>14375</v>
      </c>
      <c r="L514" s="63">
        <f>+L494+L499+L504+L513</f>
        <v>6337</v>
      </c>
      <c r="M514" s="64">
        <f t="shared" si="153"/>
        <v>40923</v>
      </c>
      <c r="N514" s="63">
        <f>+N494+N499+N504+N513</f>
        <v>1847</v>
      </c>
      <c r="O514" s="63">
        <f>+O494+O499+O504+O513</f>
        <v>432</v>
      </c>
      <c r="P514" s="63">
        <f>+P494+P499+P504+P513</f>
        <v>1184</v>
      </c>
      <c r="Q514" s="64">
        <f t="shared" si="154"/>
        <v>3463</v>
      </c>
      <c r="R514" s="88">
        <f t="shared" si="150"/>
        <v>84814</v>
      </c>
    </row>
    <row r="515" spans="1:20" ht="16.5" customHeight="1" thickBot="1" x14ac:dyDescent="0.35">
      <c r="A515" s="40" t="s">
        <v>37</v>
      </c>
      <c r="B515" s="25">
        <v>9</v>
      </c>
      <c r="C515" s="25">
        <v>16</v>
      </c>
      <c r="D515" s="25">
        <v>25</v>
      </c>
      <c r="E515" s="59">
        <f t="shared" si="151"/>
        <v>50</v>
      </c>
      <c r="F515" s="25">
        <v>34</v>
      </c>
      <c r="G515" s="25">
        <v>41</v>
      </c>
      <c r="H515" s="25">
        <v>41</v>
      </c>
      <c r="I515" s="59">
        <f t="shared" si="152"/>
        <v>116</v>
      </c>
      <c r="J515" s="25">
        <v>39</v>
      </c>
      <c r="K515" s="25">
        <v>30</v>
      </c>
      <c r="L515" s="25">
        <v>30</v>
      </c>
      <c r="M515" s="59">
        <f t="shared" si="153"/>
        <v>99</v>
      </c>
      <c r="N515" s="25">
        <v>28</v>
      </c>
      <c r="O515" s="25">
        <v>22</v>
      </c>
      <c r="P515" s="25">
        <v>16</v>
      </c>
      <c r="Q515" s="59">
        <f t="shared" si="154"/>
        <v>66</v>
      </c>
      <c r="R515" s="59">
        <f t="shared" si="150"/>
        <v>331</v>
      </c>
    </row>
    <row r="516" spans="1:20" ht="16.5" customHeight="1" thickBot="1" x14ac:dyDescent="0.35">
      <c r="A516" s="80"/>
      <c r="B516" s="81"/>
      <c r="C516" s="81"/>
      <c r="D516" s="81"/>
      <c r="E516" s="64"/>
      <c r="F516" s="81"/>
      <c r="G516" s="81"/>
      <c r="H516" s="81"/>
      <c r="I516" s="64"/>
      <c r="J516" s="81"/>
      <c r="K516" s="81"/>
      <c r="L516" s="81"/>
      <c r="M516" s="64"/>
      <c r="N516" s="81"/>
      <c r="O516" s="81"/>
      <c r="P516" s="81"/>
      <c r="Q516" s="64"/>
      <c r="R516" s="64" t="s">
        <v>7</v>
      </c>
    </row>
    <row r="517" spans="1:20" ht="15.75" customHeight="1" x14ac:dyDescent="0.3">
      <c r="A517" s="335" t="s">
        <v>38</v>
      </c>
      <c r="B517" s="336">
        <f>SUM(B514:B515)</f>
        <v>9</v>
      </c>
      <c r="C517" s="336">
        <f>SUM(C514:C515)</f>
        <v>80</v>
      </c>
      <c r="D517" s="336">
        <f>SUM(D514:D515)</f>
        <v>6272</v>
      </c>
      <c r="E517" s="334">
        <f>SUM(B517:D517)</f>
        <v>6361</v>
      </c>
      <c r="F517" s="336">
        <f>SUM(F514:F515)</f>
        <v>10305</v>
      </c>
      <c r="G517" s="336">
        <f>SUM(G514:G515)</f>
        <v>5324</v>
      </c>
      <c r="H517" s="336">
        <f>SUM(H514:H515)</f>
        <v>18604</v>
      </c>
      <c r="I517" s="334">
        <f>SUM(F517:H517)</f>
        <v>34233</v>
      </c>
      <c r="J517" s="336">
        <f>SUM(J514:J515)</f>
        <v>20250</v>
      </c>
      <c r="K517" s="336">
        <f>SUM(K514:K515)</f>
        <v>14405</v>
      </c>
      <c r="L517" s="336">
        <f>SUM(L514:L515)</f>
        <v>6367</v>
      </c>
      <c r="M517" s="334">
        <f>SUM(J517:L517)</f>
        <v>41022</v>
      </c>
      <c r="N517" s="336">
        <f>SUM(N514:N515)</f>
        <v>1875</v>
      </c>
      <c r="O517" s="336">
        <f>SUM(O514:O515)</f>
        <v>454</v>
      </c>
      <c r="P517" s="336">
        <f>SUM(P514:P515)</f>
        <v>1200</v>
      </c>
      <c r="Q517" s="334">
        <f>SUM(N517:P517)</f>
        <v>3529</v>
      </c>
      <c r="R517" s="334">
        <f>+E517+I517+M517+Q517</f>
        <v>85145</v>
      </c>
    </row>
    <row r="518" spans="1:20" ht="15.75" customHeight="1" x14ac:dyDescent="0.3">
      <c r="A518" s="85" t="s">
        <v>39</v>
      </c>
      <c r="B518" s="1">
        <f>(B517/B10)/1.983</f>
        <v>0.14640573910497293</v>
      </c>
      <c r="C518" s="1">
        <f>(C517/C10)/1.983</f>
        <v>1.4408183848425906</v>
      </c>
      <c r="D518" s="1">
        <f>(D517/D10)/1.983</f>
        <v>102.02853285182111</v>
      </c>
      <c r="E518" s="59" t="s">
        <v>7</v>
      </c>
      <c r="F518" s="1">
        <f>(F517/F10)/1.983</f>
        <v>173.22239031770044</v>
      </c>
      <c r="G518" s="1">
        <f>(G517/G10)/1.983</f>
        <v>86.607128332763978</v>
      </c>
      <c r="H518" s="1">
        <f>(H517/H10)/1.983</f>
        <v>312.7248277021348</v>
      </c>
      <c r="I518" s="59" t="s">
        <v>7</v>
      </c>
      <c r="J518" s="1">
        <f>(J517/J10)/1.983</f>
        <v>329.41291298618904</v>
      </c>
      <c r="K518" s="1">
        <f>(K517/K10)/1.983</f>
        <v>234.33051908968164</v>
      </c>
      <c r="L518" s="1">
        <f>(L517/L10)/1.983</f>
        <v>107.02639099008236</v>
      </c>
      <c r="M518" s="59" t="s">
        <v>7</v>
      </c>
      <c r="N518" s="1">
        <f>(N517/N10)/1.983</f>
        <v>30.501195646869355</v>
      </c>
      <c r="O518" s="1">
        <f>(O517/O10)/1.983</f>
        <v>7.6315347117162542</v>
      </c>
      <c r="P518" s="1">
        <f>(P517/P10)/1.983</f>
        <v>19.520765213996388</v>
      </c>
      <c r="Q518" s="59" t="s">
        <v>7</v>
      </c>
      <c r="R518" s="59" t="s">
        <v>7</v>
      </c>
    </row>
    <row r="519" spans="1:20" ht="15.75" customHeight="1" x14ac:dyDescent="0.3">
      <c r="A519" s="85" t="s">
        <v>492</v>
      </c>
      <c r="B519" s="1">
        <f>B517+B563</f>
        <v>15267</v>
      </c>
      <c r="C519" s="1">
        <f>C517+C563</f>
        <v>13424</v>
      </c>
      <c r="D519" s="1">
        <f>D517+D563</f>
        <v>33418</v>
      </c>
      <c r="E519" s="59">
        <f>SUM(B519:D519)</f>
        <v>62109</v>
      </c>
      <c r="F519" s="1">
        <f>F517+F563</f>
        <v>40051</v>
      </c>
      <c r="G519" s="1">
        <f>G517+G563</f>
        <v>35076</v>
      </c>
      <c r="H519" s="1">
        <f>H517+H563</f>
        <v>49544</v>
      </c>
      <c r="I519" s="59">
        <f>SUM(F519:H519)</f>
        <v>124671</v>
      </c>
      <c r="J519" s="1">
        <f>J517+J563</f>
        <v>52133</v>
      </c>
      <c r="K519" s="1">
        <f>K517+K563</f>
        <v>46987</v>
      </c>
      <c r="L519" s="1">
        <f>L517+L563</f>
        <v>33813</v>
      </c>
      <c r="M519" s="59">
        <f>SUM(J519:L519)</f>
        <v>132933</v>
      </c>
      <c r="N519" s="1">
        <f>N517+N563</f>
        <v>12743</v>
      </c>
      <c r="O519" s="1">
        <f>O517+O563</f>
        <v>4013</v>
      </c>
      <c r="P519" s="1">
        <f>P517+P563</f>
        <v>12683</v>
      </c>
      <c r="Q519" s="59">
        <f>SUM(N519:P519)</f>
        <v>29439</v>
      </c>
      <c r="R519" s="59">
        <f>+E519+I519+M519+Q519</f>
        <v>349152</v>
      </c>
    </row>
    <row r="520" spans="1:20" ht="16.5" customHeight="1" thickBot="1" x14ac:dyDescent="0.35">
      <c r="A520" s="86" t="s">
        <v>493</v>
      </c>
      <c r="B520" s="87">
        <f>(B519/B10)/1.983</f>
        <v>248.35293543506904</v>
      </c>
      <c r="C520" s="87">
        <f>(C519/C10)/1.983</f>
        <v>241.76932497658669</v>
      </c>
      <c r="D520" s="87">
        <f>(D519/D10)/1.983</f>
        <v>543.62077660110936</v>
      </c>
      <c r="E520" s="88" t="s">
        <v>7</v>
      </c>
      <c r="F520" s="87">
        <f>(F519/F10)/1.983</f>
        <v>673.23919986552357</v>
      </c>
      <c r="G520" s="87">
        <f>(G519/G10)/1.983</f>
        <v>570.59196720511443</v>
      </c>
      <c r="H520" s="87">
        <f>(H519/H10)/1.983</f>
        <v>832.81223735081528</v>
      </c>
      <c r="I520" s="88" t="s">
        <v>7</v>
      </c>
      <c r="J520" s="87">
        <f>(J519/J10)/1.983</f>
        <v>848.06337741772813</v>
      </c>
      <c r="K520" s="87">
        <f>(K519/K10)/1.983</f>
        <v>764.35182925837353</v>
      </c>
      <c r="L520" s="87">
        <f>(L519/L10)/1.983</f>
        <v>568.38124054462924</v>
      </c>
      <c r="M520" s="88" t="s">
        <v>7</v>
      </c>
      <c r="N520" s="87">
        <f>(N519/N10)/1.983</f>
        <v>207.29425926829663</v>
      </c>
      <c r="O520" s="87">
        <f>(O519/O10)/1.983</f>
        <v>67.456715414355358</v>
      </c>
      <c r="P520" s="87">
        <f>(P519/P10)/1.983</f>
        <v>206.31822100759683</v>
      </c>
      <c r="Q520" s="88" t="s">
        <v>7</v>
      </c>
      <c r="R520" s="88" t="s">
        <v>7</v>
      </c>
    </row>
    <row r="521" spans="1:20" ht="15.75" customHeight="1" x14ac:dyDescent="0.3">
      <c r="A521" s="28"/>
      <c r="B521" s="1"/>
      <c r="C521" s="1"/>
      <c r="D521" s="1"/>
      <c r="E521" s="1"/>
      <c r="F521" s="1"/>
      <c r="G521" s="1"/>
      <c r="H521" s="1"/>
      <c r="I521" s="1"/>
      <c r="J521" s="1"/>
      <c r="K521" s="1"/>
      <c r="L521" s="1"/>
      <c r="M521" s="1"/>
      <c r="N521" s="1"/>
      <c r="O521" s="1"/>
      <c r="P521" s="1"/>
      <c r="Q521" s="1"/>
      <c r="R521" s="28"/>
    </row>
    <row r="522" spans="1:20" ht="15.75" customHeight="1" thickBot="1" x14ac:dyDescent="0.35">
      <c r="A522" s="28"/>
      <c r="B522" s="1"/>
      <c r="C522" s="1"/>
      <c r="D522" s="1"/>
      <c r="E522" s="1"/>
      <c r="F522" s="1"/>
      <c r="G522" s="1"/>
      <c r="H522" s="1"/>
      <c r="I522" s="1"/>
      <c r="J522" s="1"/>
      <c r="K522" s="1"/>
      <c r="L522" s="1"/>
      <c r="M522" s="1"/>
      <c r="N522" s="1"/>
      <c r="O522" s="1"/>
      <c r="P522" s="1"/>
      <c r="Q522" s="1"/>
      <c r="R522" s="28"/>
    </row>
    <row r="523" spans="1:20" ht="16.5" customHeight="1" thickBot="1" x14ac:dyDescent="0.35">
      <c r="A523" s="343" t="s">
        <v>494</v>
      </c>
      <c r="B523" s="323" t="s">
        <v>36</v>
      </c>
      <c r="C523" s="324" t="s">
        <v>9</v>
      </c>
      <c r="D523" s="324" t="s">
        <v>10</v>
      </c>
      <c r="E523" s="325" t="s">
        <v>11</v>
      </c>
      <c r="F523" s="324" t="s">
        <v>12</v>
      </c>
      <c r="G523" s="324" t="s">
        <v>13</v>
      </c>
      <c r="H523" s="324" t="s">
        <v>14</v>
      </c>
      <c r="I523" s="34" t="s">
        <v>15</v>
      </c>
      <c r="J523" s="324" t="s">
        <v>16</v>
      </c>
      <c r="K523" s="324" t="s">
        <v>17</v>
      </c>
      <c r="L523" s="324" t="s">
        <v>18</v>
      </c>
      <c r="M523" s="34" t="s">
        <v>19</v>
      </c>
      <c r="N523" s="324" t="s">
        <v>20</v>
      </c>
      <c r="O523" s="324" t="s">
        <v>21</v>
      </c>
      <c r="P523" s="324" t="s">
        <v>22</v>
      </c>
      <c r="Q523" s="34" t="s">
        <v>23</v>
      </c>
      <c r="R523" s="326" t="s">
        <v>24</v>
      </c>
    </row>
    <row r="524" spans="1:20" ht="16.5" customHeight="1" thickBot="1" x14ac:dyDescent="0.35">
      <c r="A524" s="64"/>
      <c r="B524" s="81"/>
      <c r="C524" s="81"/>
      <c r="D524" s="81"/>
      <c r="E524" s="72"/>
      <c r="F524" s="81"/>
      <c r="G524" s="81"/>
      <c r="H524" s="81"/>
      <c r="I524" s="89"/>
      <c r="J524" s="81"/>
      <c r="K524" s="81"/>
      <c r="L524" s="81"/>
      <c r="M524" s="89"/>
      <c r="N524" s="81"/>
      <c r="O524" s="81"/>
      <c r="P524" s="81"/>
      <c r="Q524" s="89"/>
      <c r="R524" s="117"/>
    </row>
    <row r="525" spans="1:20" ht="15.75" customHeight="1" x14ac:dyDescent="0.3">
      <c r="A525" s="17" t="s">
        <v>45</v>
      </c>
      <c r="B525" s="1" t="s">
        <v>7</v>
      </c>
      <c r="C525" s="1" t="s">
        <v>7</v>
      </c>
      <c r="D525" s="1" t="s">
        <v>7</v>
      </c>
      <c r="E525" s="59" t="s">
        <v>7</v>
      </c>
      <c r="F525" s="1"/>
      <c r="G525" s="1"/>
      <c r="H525" s="1"/>
      <c r="I525" s="59" t="s">
        <v>7</v>
      </c>
      <c r="J525" s="1" t="s">
        <v>7</v>
      </c>
      <c r="K525" s="1" t="s">
        <v>7</v>
      </c>
      <c r="L525" s="1" t="s">
        <v>7</v>
      </c>
      <c r="M525" s="59" t="s">
        <v>7</v>
      </c>
      <c r="N525" s="1" t="s">
        <v>7</v>
      </c>
      <c r="O525" s="1" t="s">
        <v>7</v>
      </c>
      <c r="P525" s="1" t="s">
        <v>7</v>
      </c>
      <c r="Q525" s="59" t="s">
        <v>7</v>
      </c>
      <c r="R525" s="59" t="s">
        <v>7</v>
      </c>
    </row>
    <row r="526" spans="1:20" ht="15.75" customHeight="1" x14ac:dyDescent="0.3">
      <c r="A526" s="17" t="s">
        <v>46</v>
      </c>
      <c r="B526" s="1"/>
      <c r="C526" s="1"/>
      <c r="D526" s="1"/>
      <c r="E526" s="59" t="s">
        <v>7</v>
      </c>
      <c r="F526" s="1"/>
      <c r="G526" s="1"/>
      <c r="H526" s="1"/>
      <c r="I526" s="59" t="s">
        <v>7</v>
      </c>
      <c r="J526" s="1"/>
      <c r="K526" s="1"/>
      <c r="L526" s="1"/>
      <c r="M526" s="59" t="s">
        <v>7</v>
      </c>
      <c r="N526" s="1"/>
      <c r="O526" s="1"/>
      <c r="P526" s="1"/>
      <c r="Q526" s="59" t="s">
        <v>7</v>
      </c>
      <c r="R526" s="59" t="s">
        <v>7</v>
      </c>
    </row>
    <row r="527" spans="1:20" ht="15.75" customHeight="1" x14ac:dyDescent="0.3">
      <c r="A527" s="17" t="s">
        <v>495</v>
      </c>
      <c r="B527" s="1"/>
      <c r="C527" s="1"/>
      <c r="D527" s="1"/>
      <c r="E527" s="59">
        <f>SUM(B527:D527)</f>
        <v>0</v>
      </c>
      <c r="F527" s="1"/>
      <c r="G527" s="1">
        <v>1400</v>
      </c>
      <c r="H527" s="1"/>
      <c r="I527" s="59">
        <f>SUM(F527:H527)</f>
        <v>1400</v>
      </c>
      <c r="J527" s="1"/>
      <c r="K527" s="1"/>
      <c r="L527" s="1"/>
      <c r="M527" s="59">
        <f>SUM(J527:L527)</f>
        <v>0</v>
      </c>
      <c r="N527" s="1"/>
      <c r="O527" s="1"/>
      <c r="P527" s="1"/>
      <c r="Q527" s="59">
        <f>SUM(N527:P527)</f>
        <v>0</v>
      </c>
      <c r="R527" s="59">
        <f>+E527+I527+M527+Q527</f>
        <v>1400</v>
      </c>
      <c r="T527" s="4" t="s">
        <v>368</v>
      </c>
    </row>
    <row r="528" spans="1:20" ht="15.75" customHeight="1" x14ac:dyDescent="0.3">
      <c r="A528" s="74" t="s">
        <v>496</v>
      </c>
      <c r="B528" s="1"/>
      <c r="C528" s="1"/>
      <c r="D528" s="1">
        <v>350</v>
      </c>
      <c r="E528" s="59">
        <f>SUM(B528:D528)</f>
        <v>350</v>
      </c>
      <c r="F528" s="1">
        <v>585</v>
      </c>
      <c r="G528" s="1">
        <v>265</v>
      </c>
      <c r="H528" s="1"/>
      <c r="I528" s="59">
        <f>SUM(F528:H528)</f>
        <v>850</v>
      </c>
      <c r="J528" s="1"/>
      <c r="K528" s="1"/>
      <c r="L528" s="1"/>
      <c r="M528" s="59">
        <f>SUM(J528:L528)</f>
        <v>0</v>
      </c>
      <c r="N528" s="1"/>
      <c r="O528" s="1"/>
      <c r="P528" s="1"/>
      <c r="Q528" s="59">
        <f>SUM(N528:P528)</f>
        <v>0</v>
      </c>
      <c r="R528" s="59">
        <f>+E528+I528+M528+Q528</f>
        <v>1200</v>
      </c>
    </row>
    <row r="529" spans="1:20" ht="15.75" customHeight="1" x14ac:dyDescent="0.3">
      <c r="A529" s="74" t="s">
        <v>497</v>
      </c>
      <c r="B529" s="1"/>
      <c r="C529" s="1"/>
      <c r="D529" s="1">
        <v>69</v>
      </c>
      <c r="E529" s="59">
        <f>SUM(B529:D529)</f>
        <v>69</v>
      </c>
      <c r="F529" s="1"/>
      <c r="G529" s="1">
        <v>763</v>
      </c>
      <c r="H529" s="1">
        <v>1250</v>
      </c>
      <c r="I529" s="59">
        <f>SUM(F529:H529)</f>
        <v>2013</v>
      </c>
      <c r="J529" s="1">
        <v>1000</v>
      </c>
      <c r="K529" s="1">
        <v>918</v>
      </c>
      <c r="L529" s="1"/>
      <c r="M529" s="59">
        <f>SUM(J529:L529)</f>
        <v>1918</v>
      </c>
      <c r="N529" s="1"/>
      <c r="O529" s="1"/>
      <c r="P529" s="1"/>
      <c r="Q529" s="59">
        <f>SUM(N529:P529)</f>
        <v>0</v>
      </c>
      <c r="R529" s="59">
        <f>+E529+I529+M529+Q529</f>
        <v>4000</v>
      </c>
    </row>
    <row r="530" spans="1:20" ht="15.75" customHeight="1" x14ac:dyDescent="0.3">
      <c r="A530" s="74" t="s">
        <v>498</v>
      </c>
      <c r="B530" s="1"/>
      <c r="C530" s="1"/>
      <c r="D530" s="1"/>
      <c r="E530" s="59">
        <f>SUM(B530:D530)</f>
        <v>0</v>
      </c>
      <c r="F530" s="1"/>
      <c r="G530" s="1">
        <v>150</v>
      </c>
      <c r="H530" s="1">
        <v>53</v>
      </c>
      <c r="I530" s="59">
        <f>SUM(F530:H530)</f>
        <v>203</v>
      </c>
      <c r="J530" s="1">
        <v>287</v>
      </c>
      <c r="K530" s="1"/>
      <c r="L530" s="1">
        <v>911</v>
      </c>
      <c r="M530" s="59">
        <f>SUM(J530:L530)</f>
        <v>1198</v>
      </c>
      <c r="N530" s="1">
        <v>266</v>
      </c>
      <c r="O530" s="1"/>
      <c r="P530" s="1">
        <v>10</v>
      </c>
      <c r="Q530" s="59">
        <f>SUM(N530:P530)</f>
        <v>276</v>
      </c>
      <c r="R530" s="59">
        <f>+E530+I530+M530+Q530</f>
        <v>1677</v>
      </c>
    </row>
    <row r="531" spans="1:20" ht="15.75" customHeight="1" x14ac:dyDescent="0.3">
      <c r="A531" s="74" t="s">
        <v>499</v>
      </c>
      <c r="B531" s="1"/>
      <c r="C531" s="1"/>
      <c r="D531" s="1"/>
      <c r="E531" s="59">
        <f>SUM(B531:D531)</f>
        <v>0</v>
      </c>
      <c r="F531" s="1"/>
      <c r="G531" s="1"/>
      <c r="H531" s="1"/>
      <c r="I531" s="59">
        <f>SUM(F531:H531)</f>
        <v>0</v>
      </c>
      <c r="J531" s="1"/>
      <c r="K531" s="1">
        <v>423</v>
      </c>
      <c r="L531" s="1">
        <v>334</v>
      </c>
      <c r="M531" s="59">
        <f>SUM(J531:L531)</f>
        <v>757</v>
      </c>
      <c r="N531" s="1"/>
      <c r="O531" s="1"/>
      <c r="P531" s="1"/>
      <c r="Q531" s="59">
        <f>SUM(N531:P531)</f>
        <v>0</v>
      </c>
      <c r="R531" s="59">
        <f>+E531+I531+M531+Q531</f>
        <v>757</v>
      </c>
    </row>
    <row r="532" spans="1:20" ht="15.75" customHeight="1" x14ac:dyDescent="0.3">
      <c r="A532" s="17" t="s">
        <v>47</v>
      </c>
      <c r="B532" s="1"/>
      <c r="C532" s="1"/>
      <c r="D532" s="1"/>
      <c r="E532" s="59" t="s">
        <v>7</v>
      </c>
      <c r="F532" s="1"/>
      <c r="G532" s="1"/>
      <c r="H532" s="1"/>
      <c r="I532" s="59" t="s">
        <v>7</v>
      </c>
      <c r="J532" s="1"/>
      <c r="K532" s="1"/>
      <c r="L532" s="1"/>
      <c r="M532" s="59" t="s">
        <v>7</v>
      </c>
      <c r="N532" s="1"/>
      <c r="O532" s="1"/>
      <c r="P532" s="1"/>
      <c r="Q532" s="59" t="s">
        <v>7</v>
      </c>
      <c r="R532" s="59" t="s">
        <v>7</v>
      </c>
    </row>
    <row r="533" spans="1:20" ht="15.75" customHeight="1" x14ac:dyDescent="0.3">
      <c r="A533" s="17" t="s">
        <v>49</v>
      </c>
      <c r="B533" s="1"/>
      <c r="C533" s="1"/>
      <c r="D533" s="1"/>
      <c r="E533" s="59" t="s">
        <v>7</v>
      </c>
      <c r="F533" s="1"/>
      <c r="G533" s="1"/>
      <c r="H533" s="1"/>
      <c r="I533" s="59" t="s">
        <v>7</v>
      </c>
      <c r="J533" s="1"/>
      <c r="K533" s="1"/>
      <c r="L533" s="1"/>
      <c r="M533" s="59" t="s">
        <v>7</v>
      </c>
      <c r="N533" s="1"/>
      <c r="O533" s="1"/>
      <c r="P533" s="1"/>
      <c r="Q533" s="59" t="s">
        <v>7</v>
      </c>
      <c r="R533" s="59" t="s">
        <v>7</v>
      </c>
    </row>
    <row r="534" spans="1:20" ht="15.75" customHeight="1" thickBot="1" x14ac:dyDescent="0.35">
      <c r="A534" s="17" t="s">
        <v>51</v>
      </c>
      <c r="B534" s="1"/>
      <c r="C534" s="1"/>
      <c r="D534" s="1"/>
      <c r="E534" s="59" t="s">
        <v>7</v>
      </c>
      <c r="F534" s="1"/>
      <c r="G534" s="1"/>
      <c r="H534" s="1"/>
      <c r="I534" s="59" t="s">
        <v>7</v>
      </c>
      <c r="J534" s="1"/>
      <c r="K534" s="1"/>
      <c r="L534" s="1"/>
      <c r="M534" s="59" t="s">
        <v>7</v>
      </c>
      <c r="N534" s="1"/>
      <c r="O534" s="1"/>
      <c r="P534" s="1"/>
      <c r="Q534" s="59" t="s">
        <v>7</v>
      </c>
      <c r="R534" s="59" t="s">
        <v>7</v>
      </c>
    </row>
    <row r="535" spans="1:20" ht="16.5" customHeight="1" thickBot="1" x14ac:dyDescent="0.35">
      <c r="A535" s="126" t="s">
        <v>52</v>
      </c>
      <c r="B535" s="100">
        <f>SUM(B525:B534)</f>
        <v>0</v>
      </c>
      <c r="C535" s="101">
        <f>SUM(C525:C534)</f>
        <v>0</v>
      </c>
      <c r="D535" s="101">
        <f>SUM(D525:D534)</f>
        <v>419</v>
      </c>
      <c r="E535" s="64">
        <f>SUM(B535:D535)</f>
        <v>419</v>
      </c>
      <c r="F535" s="101">
        <f>SUM(F525:F534)</f>
        <v>585</v>
      </c>
      <c r="G535" s="101">
        <f>SUM(G525:G534)</f>
        <v>2578</v>
      </c>
      <c r="H535" s="101">
        <f>SUM(H525:H534)</f>
        <v>1303</v>
      </c>
      <c r="I535" s="64">
        <f>SUM(F535:H535)</f>
        <v>4466</v>
      </c>
      <c r="J535" s="101">
        <f>SUM(J525:J534)</f>
        <v>1287</v>
      </c>
      <c r="K535" s="101">
        <f>SUM(K525:K534)</f>
        <v>1341</v>
      </c>
      <c r="L535" s="101">
        <f>SUM(L525:L534)</f>
        <v>1245</v>
      </c>
      <c r="M535" s="64">
        <f>SUM(J535:L535)</f>
        <v>3873</v>
      </c>
      <c r="N535" s="101">
        <f>SUM(N525:N534)</f>
        <v>266</v>
      </c>
      <c r="O535" s="101">
        <f>SUM(O525:O534)</f>
        <v>0</v>
      </c>
      <c r="P535" s="101">
        <f>SUM(P525:P534)</f>
        <v>10</v>
      </c>
      <c r="Q535" s="64">
        <f>SUM(N535:P535)</f>
        <v>276</v>
      </c>
      <c r="R535" s="64">
        <f>+E535+I535+M535+Q535</f>
        <v>9034</v>
      </c>
    </row>
    <row r="536" spans="1:20" ht="15.75" customHeight="1" x14ac:dyDescent="0.3">
      <c r="A536" s="17" t="s">
        <v>53</v>
      </c>
      <c r="B536" s="1"/>
      <c r="C536" s="1"/>
      <c r="D536" s="1"/>
      <c r="E536" s="334" t="s">
        <v>7</v>
      </c>
      <c r="F536" s="1"/>
      <c r="G536" s="1"/>
      <c r="H536" s="1"/>
      <c r="I536" s="334" t="s">
        <v>7</v>
      </c>
      <c r="J536" s="1"/>
      <c r="K536" s="1"/>
      <c r="L536" s="1"/>
      <c r="M536" s="334" t="s">
        <v>7</v>
      </c>
      <c r="N536" s="1"/>
      <c r="O536" s="1"/>
      <c r="P536" s="1"/>
      <c r="Q536" s="334" t="s">
        <v>7</v>
      </c>
      <c r="R536" s="305" t="s">
        <v>7</v>
      </c>
    </row>
    <row r="537" spans="1:20" ht="15.75" customHeight="1" x14ac:dyDescent="0.3">
      <c r="A537" s="17" t="s">
        <v>55</v>
      </c>
      <c r="B537" s="1"/>
      <c r="C537" s="1"/>
      <c r="D537" s="1"/>
      <c r="E537" s="59" t="s">
        <v>7</v>
      </c>
      <c r="F537" s="1"/>
      <c r="G537" s="1"/>
      <c r="H537" s="1"/>
      <c r="I537" s="59" t="s">
        <v>7</v>
      </c>
      <c r="J537" s="1"/>
      <c r="K537" s="1"/>
      <c r="L537" s="1"/>
      <c r="M537" s="59" t="s">
        <v>7</v>
      </c>
      <c r="N537" s="1"/>
      <c r="O537" s="1"/>
      <c r="P537" s="1"/>
      <c r="Q537" s="59" t="s">
        <v>7</v>
      </c>
      <c r="R537" s="305" t="s">
        <v>7</v>
      </c>
    </row>
    <row r="538" spans="1:20" ht="15.75" customHeight="1" x14ac:dyDescent="0.3">
      <c r="A538" s="74" t="s">
        <v>500</v>
      </c>
      <c r="B538" s="1">
        <v>108</v>
      </c>
      <c r="C538" s="1">
        <v>136</v>
      </c>
      <c r="D538" s="1">
        <v>2055</v>
      </c>
      <c r="E538" s="59">
        <f>SUM(B538:D538)</f>
        <v>2299</v>
      </c>
      <c r="F538" s="1">
        <v>80</v>
      </c>
      <c r="G538" s="1">
        <v>3154</v>
      </c>
      <c r="H538" s="1">
        <v>4508</v>
      </c>
      <c r="I538" s="59">
        <f>SUM(F538:H538)</f>
        <v>7742</v>
      </c>
      <c r="J538" s="1">
        <v>5734</v>
      </c>
      <c r="K538" s="1">
        <v>1104</v>
      </c>
      <c r="L538" s="1">
        <v>346</v>
      </c>
      <c r="M538" s="59">
        <f>SUM(J538:L538)</f>
        <v>7184</v>
      </c>
      <c r="N538" s="1"/>
      <c r="O538" s="1"/>
      <c r="P538" s="1"/>
      <c r="Q538" s="59">
        <f>SUM(N538:P538)</f>
        <v>0</v>
      </c>
      <c r="R538" s="59">
        <f>+E538+I538+M538+Q538</f>
        <v>17225</v>
      </c>
      <c r="S538" s="4">
        <f>+SUM(R538,R497,R381)</f>
        <v>97885</v>
      </c>
      <c r="T538" s="4" t="s">
        <v>501</v>
      </c>
    </row>
    <row r="539" spans="1:20" ht="15.75" customHeight="1" x14ac:dyDescent="0.3">
      <c r="A539" s="74" t="s">
        <v>502</v>
      </c>
      <c r="B539" s="1"/>
      <c r="C539" s="1"/>
      <c r="D539" s="1"/>
      <c r="E539" s="59">
        <f>SUM(B539:D539)</f>
        <v>0</v>
      </c>
      <c r="F539" s="1"/>
      <c r="G539" s="1"/>
      <c r="H539" s="1"/>
      <c r="I539" s="59">
        <f>SUM(F539:H539)</f>
        <v>0</v>
      </c>
      <c r="J539" s="1"/>
      <c r="K539" s="1"/>
      <c r="L539" s="1"/>
      <c r="M539" s="59">
        <f>SUM(J539:L539)</f>
        <v>0</v>
      </c>
      <c r="N539" s="1"/>
      <c r="O539" s="1"/>
      <c r="P539" s="1"/>
      <c r="Q539" s="59">
        <f>SUM(N539:P539)</f>
        <v>0</v>
      </c>
      <c r="R539" s="59">
        <f>+E539+I539+M539+Q539</f>
        <v>0</v>
      </c>
    </row>
    <row r="540" spans="1:20" ht="15.75" customHeight="1" thickBot="1" x14ac:dyDescent="0.35">
      <c r="A540" s="17" t="s">
        <v>56</v>
      </c>
      <c r="B540" s="1"/>
      <c r="C540" s="1"/>
      <c r="D540" s="1"/>
      <c r="E540" s="59" t="s">
        <v>7</v>
      </c>
      <c r="F540" s="1"/>
      <c r="G540" s="1"/>
      <c r="H540" s="1"/>
      <c r="I540" s="59" t="s">
        <v>7</v>
      </c>
      <c r="J540" s="1"/>
      <c r="K540" s="1"/>
      <c r="L540" s="1"/>
      <c r="M540" s="59" t="s">
        <v>7</v>
      </c>
      <c r="N540" s="1"/>
      <c r="O540" s="1"/>
      <c r="P540" s="1"/>
      <c r="Q540" s="59" t="s">
        <v>7</v>
      </c>
      <c r="R540" s="305" t="s">
        <v>7</v>
      </c>
    </row>
    <row r="541" spans="1:20" ht="16.5" customHeight="1" thickBot="1" x14ac:dyDescent="0.35">
      <c r="A541" s="62" t="s">
        <v>57</v>
      </c>
      <c r="B541" s="100">
        <f>SUM(B536:B540)</f>
        <v>108</v>
      </c>
      <c r="C541" s="101">
        <f>SUM(C536:C540)</f>
        <v>136</v>
      </c>
      <c r="D541" s="101">
        <f>SUM(D536:D540)</f>
        <v>2055</v>
      </c>
      <c r="E541" s="64">
        <f>SUM(B541:D541)</f>
        <v>2299</v>
      </c>
      <c r="F541" s="101">
        <f>SUM(F536:F540)</f>
        <v>80</v>
      </c>
      <c r="G541" s="101">
        <f>SUM(G536:G540)</f>
        <v>3154</v>
      </c>
      <c r="H541" s="101">
        <f>SUM(H536:H540)</f>
        <v>4508</v>
      </c>
      <c r="I541" s="64">
        <f>SUM(F541:H541)</f>
        <v>7742</v>
      </c>
      <c r="J541" s="101">
        <f>SUM(J536:J540)</f>
        <v>5734</v>
      </c>
      <c r="K541" s="101">
        <f>SUM(K536:K540)</f>
        <v>1104</v>
      </c>
      <c r="L541" s="101">
        <f>SUM(L536:L540)</f>
        <v>346</v>
      </c>
      <c r="M541" s="64">
        <f>SUM(J541:L541)</f>
        <v>7184</v>
      </c>
      <c r="N541" s="101">
        <f>SUM(N536:N540)</f>
        <v>0</v>
      </c>
      <c r="O541" s="101">
        <f>SUM(O536:O540)</f>
        <v>0</v>
      </c>
      <c r="P541" s="101">
        <f>SUM(P536:P540)</f>
        <v>0</v>
      </c>
      <c r="Q541" s="64">
        <f>SUM(N541:P541)</f>
        <v>0</v>
      </c>
      <c r="R541" s="64">
        <f>+E541+I541+M541+Q541</f>
        <v>17225</v>
      </c>
    </row>
    <row r="542" spans="1:20" ht="15.75" customHeight="1" x14ac:dyDescent="0.3">
      <c r="A542" s="17" t="s">
        <v>58</v>
      </c>
      <c r="B542" s="1"/>
      <c r="C542" s="1"/>
      <c r="D542" s="1"/>
      <c r="E542" s="59" t="s">
        <v>7</v>
      </c>
      <c r="F542" s="1"/>
      <c r="G542" s="1"/>
      <c r="H542" s="1"/>
      <c r="I542" s="59" t="s">
        <v>7</v>
      </c>
      <c r="J542" s="1"/>
      <c r="K542" s="1"/>
      <c r="L542" s="1"/>
      <c r="M542" s="59" t="s">
        <v>7</v>
      </c>
      <c r="N542" s="1"/>
      <c r="O542" s="1"/>
      <c r="P542" s="1"/>
      <c r="Q542" s="59" t="s">
        <v>7</v>
      </c>
      <c r="R542" s="59" t="s">
        <v>7</v>
      </c>
    </row>
    <row r="543" spans="1:20" ht="15.75" customHeight="1" x14ac:dyDescent="0.3">
      <c r="A543" s="17" t="s">
        <v>59</v>
      </c>
      <c r="B543" s="1"/>
      <c r="C543" s="1"/>
      <c r="D543" s="1"/>
      <c r="E543" s="59" t="s">
        <v>7</v>
      </c>
      <c r="F543" s="1"/>
      <c r="G543" s="1"/>
      <c r="H543" s="1"/>
      <c r="I543" s="59" t="s">
        <v>7</v>
      </c>
      <c r="J543" s="1"/>
      <c r="K543" s="1"/>
      <c r="L543" s="1"/>
      <c r="M543" s="59" t="s">
        <v>7</v>
      </c>
      <c r="N543" s="1"/>
      <c r="O543" s="1"/>
      <c r="P543" s="1"/>
      <c r="Q543" s="59" t="s">
        <v>7</v>
      </c>
      <c r="R543" s="59" t="s">
        <v>7</v>
      </c>
    </row>
    <row r="544" spans="1:20" ht="15.75" customHeight="1" x14ac:dyDescent="0.3">
      <c r="A544" s="17" t="s">
        <v>60</v>
      </c>
      <c r="B544" s="1"/>
      <c r="C544" s="1"/>
      <c r="D544" s="1"/>
      <c r="E544" s="59" t="s">
        <v>7</v>
      </c>
      <c r="F544" s="1"/>
      <c r="G544" s="1"/>
      <c r="H544" s="1"/>
      <c r="I544" s="59" t="s">
        <v>7</v>
      </c>
      <c r="J544" s="1"/>
      <c r="K544" s="1"/>
      <c r="L544" s="1"/>
      <c r="M544" s="59" t="s">
        <v>7</v>
      </c>
      <c r="N544" s="1"/>
      <c r="O544" s="1"/>
      <c r="P544" s="1"/>
      <c r="Q544" s="59" t="s">
        <v>7</v>
      </c>
      <c r="R544" s="59" t="s">
        <v>7</v>
      </c>
    </row>
    <row r="545" spans="1:20" ht="15.75" customHeight="1" thickBot="1" x14ac:dyDescent="0.35">
      <c r="A545" s="103" t="s">
        <v>856</v>
      </c>
      <c r="B545" s="1"/>
      <c r="C545" s="1"/>
      <c r="D545" s="1"/>
      <c r="E545" s="59">
        <f>SUM(B545:D545)</f>
        <v>0</v>
      </c>
      <c r="F545" s="1">
        <v>4000</v>
      </c>
      <c r="G545" s="1"/>
      <c r="H545" s="1"/>
      <c r="I545" s="59">
        <f>SUM(F545:H545)</f>
        <v>4000</v>
      </c>
      <c r="J545" s="1"/>
      <c r="K545" s="1">
        <v>4000</v>
      </c>
      <c r="L545" s="1">
        <v>2200</v>
      </c>
      <c r="M545" s="59">
        <f>SUM(J545:L545)</f>
        <v>6200</v>
      </c>
      <c r="N545" s="1"/>
      <c r="O545" s="1">
        <v>421</v>
      </c>
      <c r="P545" s="1"/>
      <c r="Q545" s="59">
        <f>SUM(N545:P545)</f>
        <v>421</v>
      </c>
      <c r="R545" s="59">
        <f>+E545+I545+M545+Q545</f>
        <v>10621</v>
      </c>
      <c r="T545" s="4" t="s">
        <v>368</v>
      </c>
    </row>
    <row r="546" spans="1:20" ht="16.5" customHeight="1" thickBot="1" x14ac:dyDescent="0.35">
      <c r="A546" s="137" t="s">
        <v>61</v>
      </c>
      <c r="B546" s="100">
        <f>SUM(B542:B545)</f>
        <v>0</v>
      </c>
      <c r="C546" s="101">
        <f>SUM(C542:C545)</f>
        <v>0</v>
      </c>
      <c r="D546" s="101">
        <f>SUM(D542:D545)</f>
        <v>0</v>
      </c>
      <c r="E546" s="64">
        <f>SUM(B546:D546)</f>
        <v>0</v>
      </c>
      <c r="F546" s="101">
        <f>SUM(F542:F545)</f>
        <v>4000</v>
      </c>
      <c r="G546" s="101">
        <f>SUM(G542:G545)</f>
        <v>0</v>
      </c>
      <c r="H546" s="101">
        <f>SUM(H542:H545)</f>
        <v>0</v>
      </c>
      <c r="I546" s="64">
        <f>SUM(F546:H546)</f>
        <v>4000</v>
      </c>
      <c r="J546" s="101">
        <f>SUM(J542:J545)</f>
        <v>0</v>
      </c>
      <c r="K546" s="101">
        <f>SUM(K542:K545)</f>
        <v>4000</v>
      </c>
      <c r="L546" s="101">
        <f>SUM(L542:L545)</f>
        <v>2200</v>
      </c>
      <c r="M546" s="64">
        <f>SUM(J546:L546)</f>
        <v>6200</v>
      </c>
      <c r="N546" s="101">
        <f>SUM(N542:N545)</f>
        <v>0</v>
      </c>
      <c r="O546" s="101">
        <f>SUM(O542:O545)</f>
        <v>421</v>
      </c>
      <c r="P546" s="101">
        <f>SUM(P542:P545)</f>
        <v>0</v>
      </c>
      <c r="Q546" s="64">
        <f>SUM(N546:P546)</f>
        <v>421</v>
      </c>
      <c r="R546" s="64">
        <f>+E546+I546+M546+Q546</f>
        <v>10621</v>
      </c>
    </row>
    <row r="547" spans="1:20" ht="15.75" customHeight="1" x14ac:dyDescent="0.3">
      <c r="A547" s="17" t="s">
        <v>62</v>
      </c>
      <c r="B547" s="1"/>
      <c r="C547" s="1"/>
      <c r="D547" s="1"/>
      <c r="E547" s="59" t="s">
        <v>7</v>
      </c>
      <c r="F547" s="1"/>
      <c r="G547" s="1"/>
      <c r="H547" s="1"/>
      <c r="I547" s="59" t="s">
        <v>7</v>
      </c>
      <c r="J547" s="1"/>
      <c r="K547" s="1"/>
      <c r="L547" s="1"/>
      <c r="M547" s="59" t="s">
        <v>7</v>
      </c>
      <c r="N547" s="1"/>
      <c r="O547" s="1"/>
      <c r="P547" s="1"/>
      <c r="Q547" s="59" t="s">
        <v>7</v>
      </c>
      <c r="R547" s="59" t="s">
        <v>7</v>
      </c>
    </row>
    <row r="548" spans="1:20" ht="15.75" customHeight="1" x14ac:dyDescent="0.3">
      <c r="A548" s="17" t="s">
        <v>63</v>
      </c>
      <c r="B548" s="1"/>
      <c r="C548" s="1"/>
      <c r="D548" s="1"/>
      <c r="E548" s="59" t="s">
        <v>7</v>
      </c>
      <c r="F548" s="1"/>
      <c r="G548" s="1"/>
      <c r="H548" s="1"/>
      <c r="I548" s="59" t="s">
        <v>7</v>
      </c>
      <c r="J548" s="1"/>
      <c r="K548" s="1"/>
      <c r="L548" s="1"/>
      <c r="M548" s="59" t="s">
        <v>7</v>
      </c>
      <c r="N548" s="1"/>
      <c r="O548" s="1"/>
      <c r="P548" s="1"/>
      <c r="Q548" s="59" t="s">
        <v>7</v>
      </c>
      <c r="R548" s="59" t="s">
        <v>7</v>
      </c>
    </row>
    <row r="549" spans="1:20" ht="15.75" customHeight="1" x14ac:dyDescent="0.3">
      <c r="A549" s="17" t="s">
        <v>64</v>
      </c>
      <c r="B549" s="1"/>
      <c r="C549" s="1"/>
      <c r="D549" s="1"/>
      <c r="E549" s="59" t="s">
        <v>7</v>
      </c>
      <c r="F549" s="1"/>
      <c r="G549" s="1"/>
      <c r="H549" s="1"/>
      <c r="I549" s="59" t="s">
        <v>7</v>
      </c>
      <c r="J549" s="1"/>
      <c r="K549" s="1"/>
      <c r="L549" s="1"/>
      <c r="M549" s="59" t="s">
        <v>7</v>
      </c>
      <c r="N549" s="1"/>
      <c r="O549" s="1"/>
      <c r="P549" s="1"/>
      <c r="Q549" s="59" t="s">
        <v>7</v>
      </c>
      <c r="R549" s="59" t="s">
        <v>7</v>
      </c>
    </row>
    <row r="550" spans="1:20" ht="15.75" customHeight="1" x14ac:dyDescent="0.3">
      <c r="A550" s="17" t="s">
        <v>66</v>
      </c>
      <c r="B550" s="1"/>
      <c r="C550" s="1"/>
      <c r="D550" s="1"/>
      <c r="E550" s="59" t="s">
        <v>7</v>
      </c>
      <c r="F550" s="1"/>
      <c r="G550" s="1"/>
      <c r="H550" s="1"/>
      <c r="I550" s="59" t="s">
        <v>7</v>
      </c>
      <c r="J550" s="1"/>
      <c r="K550" s="1"/>
      <c r="L550" s="1"/>
      <c r="M550" s="59" t="s">
        <v>7</v>
      </c>
      <c r="N550" s="1"/>
      <c r="O550" s="1"/>
      <c r="P550" s="1"/>
      <c r="Q550" s="59" t="s">
        <v>7</v>
      </c>
      <c r="R550" s="59" t="s">
        <v>7</v>
      </c>
    </row>
    <row r="551" spans="1:20" ht="15.75" customHeight="1" x14ac:dyDescent="0.3">
      <c r="A551" s="74" t="s">
        <v>922</v>
      </c>
      <c r="B551" s="1"/>
      <c r="C551" s="1"/>
      <c r="D551" s="1"/>
      <c r="E551" s="59">
        <f>SUM(B551:D551)</f>
        <v>0</v>
      </c>
      <c r="F551" s="1"/>
      <c r="G551" s="1"/>
      <c r="H551" s="1"/>
      <c r="I551" s="59">
        <f>SUM(F551:H551)</f>
        <v>0</v>
      </c>
      <c r="J551" s="1"/>
      <c r="K551" s="1"/>
      <c r="L551" s="1"/>
      <c r="M551" s="59">
        <f>SUM(J551:L551)</f>
        <v>0</v>
      </c>
      <c r="N551" s="1"/>
      <c r="O551" s="1"/>
      <c r="P551" s="1"/>
      <c r="Q551" s="59">
        <f>SUM(N551:P551)</f>
        <v>0</v>
      </c>
      <c r="R551" s="59">
        <f>+E551+I551+M551+Q551</f>
        <v>0</v>
      </c>
    </row>
    <row r="552" spans="1:20" ht="15.75" customHeight="1" x14ac:dyDescent="0.3">
      <c r="A552" s="17" t="s">
        <v>67</v>
      </c>
      <c r="B552" s="1"/>
      <c r="C552" s="1"/>
      <c r="D552" s="1"/>
      <c r="E552" s="59"/>
      <c r="F552" s="1"/>
      <c r="G552" s="1"/>
      <c r="H552" s="1"/>
      <c r="I552" s="59"/>
      <c r="J552" s="1"/>
      <c r="K552" s="1"/>
      <c r="L552" s="1"/>
      <c r="M552" s="59"/>
      <c r="N552" s="1"/>
      <c r="O552" s="1"/>
      <c r="P552" s="1"/>
      <c r="Q552" s="59"/>
      <c r="R552" s="59" t="s">
        <v>7</v>
      </c>
    </row>
    <row r="553" spans="1:20" ht="15.75" customHeight="1" x14ac:dyDescent="0.3">
      <c r="A553" s="74" t="s">
        <v>460</v>
      </c>
      <c r="B553" s="1"/>
      <c r="C553" s="1"/>
      <c r="D553" s="1"/>
      <c r="E553" s="59">
        <f t="shared" ref="E553:E559" si="155">SUM(B553:D553)</f>
        <v>0</v>
      </c>
      <c r="F553" s="1"/>
      <c r="G553" s="1"/>
      <c r="H553" s="1"/>
      <c r="I553" s="59">
        <f t="shared" ref="I553:I559" si="156">SUM(F553:H553)</f>
        <v>0</v>
      </c>
      <c r="J553" s="1"/>
      <c r="K553" s="1"/>
      <c r="L553" s="1"/>
      <c r="M553" s="59">
        <f t="shared" ref="M553:M559" si="157">SUM(J553:L553)</f>
        <v>0</v>
      </c>
      <c r="N553" s="1">
        <v>808</v>
      </c>
      <c r="O553" s="1"/>
      <c r="P553" s="1">
        <v>125</v>
      </c>
      <c r="Q553" s="59">
        <f t="shared" ref="Q553:Q559" si="158">SUM(N553:P553)</f>
        <v>933</v>
      </c>
      <c r="R553" s="59">
        <f t="shared" ref="R553:R559" si="159">+E553+I553+M553+Q553</f>
        <v>933</v>
      </c>
      <c r="T553" s="4" t="s">
        <v>368</v>
      </c>
    </row>
    <row r="554" spans="1:20" ht="15.75" customHeight="1" x14ac:dyDescent="0.3">
      <c r="A554" s="74" t="s">
        <v>504</v>
      </c>
      <c r="B554" s="1"/>
      <c r="C554" s="1"/>
      <c r="D554" s="1"/>
      <c r="E554" s="59">
        <f>SUM(B554:D554)</f>
        <v>0</v>
      </c>
      <c r="F554" s="1"/>
      <c r="G554" s="1"/>
      <c r="H554" s="1"/>
      <c r="I554" s="59">
        <f>SUM(F554:H554)</f>
        <v>0</v>
      </c>
      <c r="J554" s="1"/>
      <c r="K554" s="1"/>
      <c r="L554" s="1"/>
      <c r="M554" s="59">
        <f>SUM(J554:L554)</f>
        <v>0</v>
      </c>
      <c r="N554" s="1"/>
      <c r="O554" s="1"/>
      <c r="P554" s="1"/>
      <c r="Q554" s="59">
        <f>SUM(N554:P554)</f>
        <v>0</v>
      </c>
      <c r="R554" s="59">
        <f>+E554+I554+M554+Q554</f>
        <v>0</v>
      </c>
      <c r="T554" s="4" t="s">
        <v>368</v>
      </c>
    </row>
    <row r="555" spans="1:20" ht="15.75" customHeight="1" thickBot="1" x14ac:dyDescent="0.35">
      <c r="A555" s="74" t="s">
        <v>506</v>
      </c>
      <c r="B555" s="1"/>
      <c r="C555" s="1"/>
      <c r="D555" s="1"/>
      <c r="E555" s="59">
        <f t="shared" si="155"/>
        <v>0</v>
      </c>
      <c r="F555" s="1"/>
      <c r="G555" s="1"/>
      <c r="H555" s="1"/>
      <c r="I555" s="59">
        <f t="shared" si="156"/>
        <v>0</v>
      </c>
      <c r="J555" s="1"/>
      <c r="K555" s="1"/>
      <c r="L555" s="1"/>
      <c r="M555" s="59">
        <f t="shared" si="157"/>
        <v>0</v>
      </c>
      <c r="N555" s="1"/>
      <c r="O555" s="1"/>
      <c r="P555" s="1"/>
      <c r="Q555" s="59">
        <f t="shared" si="158"/>
        <v>0</v>
      </c>
      <c r="R555" s="59">
        <f t="shared" si="159"/>
        <v>0</v>
      </c>
    </row>
    <row r="556" spans="1:20" ht="16.5" customHeight="1" thickBot="1" x14ac:dyDescent="0.35">
      <c r="A556" s="62" t="s">
        <v>68</v>
      </c>
      <c r="B556" s="63">
        <f>SUM(B550:B555)</f>
        <v>0</v>
      </c>
      <c r="C556" s="63">
        <f>SUM(C550:C555)</f>
        <v>0</v>
      </c>
      <c r="D556" s="63">
        <f>SUM(D550:D555)</f>
        <v>0</v>
      </c>
      <c r="E556" s="334">
        <f t="shared" si="155"/>
        <v>0</v>
      </c>
      <c r="F556" s="63">
        <f>SUM(F550:F555)</f>
        <v>0</v>
      </c>
      <c r="G556" s="63">
        <f>SUM(G550:G555)</f>
        <v>0</v>
      </c>
      <c r="H556" s="63">
        <f>SUM(H550:H555)</f>
        <v>0</v>
      </c>
      <c r="I556" s="334">
        <f t="shared" si="156"/>
        <v>0</v>
      </c>
      <c r="J556" s="63">
        <f>SUM(J550:J555)</f>
        <v>0</v>
      </c>
      <c r="K556" s="63">
        <f>SUM(K550:K555)</f>
        <v>0</v>
      </c>
      <c r="L556" s="63">
        <f>SUM(L550:L555)</f>
        <v>0</v>
      </c>
      <c r="M556" s="334">
        <f t="shared" si="157"/>
        <v>0</v>
      </c>
      <c r="N556" s="63">
        <f>SUM(N550:N555)</f>
        <v>808</v>
      </c>
      <c r="O556" s="63">
        <f>SUM(O550:O555)</f>
        <v>0</v>
      </c>
      <c r="P556" s="63">
        <f>SUM(P550:P555)</f>
        <v>125</v>
      </c>
      <c r="Q556" s="334">
        <f t="shared" si="158"/>
        <v>933</v>
      </c>
      <c r="R556" s="64">
        <f t="shared" si="159"/>
        <v>933</v>
      </c>
    </row>
    <row r="557" spans="1:20" ht="16.5" customHeight="1" thickBot="1" x14ac:dyDescent="0.35">
      <c r="A557" s="137" t="s">
        <v>69</v>
      </c>
      <c r="B557" s="100">
        <f>SUM(B547:B555)</f>
        <v>0</v>
      </c>
      <c r="C557" s="101">
        <f>SUM(C547:C555)</f>
        <v>0</v>
      </c>
      <c r="D557" s="138">
        <f>SUM(D547:D555)</f>
        <v>0</v>
      </c>
      <c r="E557" s="334">
        <f t="shared" si="155"/>
        <v>0</v>
      </c>
      <c r="F557" s="101">
        <f>SUM(F547:F555)</f>
        <v>0</v>
      </c>
      <c r="G557" s="101">
        <f>SUM(G547:G555)</f>
        <v>0</v>
      </c>
      <c r="H557" s="101">
        <f>SUM(H547:H555)</f>
        <v>0</v>
      </c>
      <c r="I557" s="334">
        <f t="shared" si="156"/>
        <v>0</v>
      </c>
      <c r="J557" s="101">
        <f>SUM(J547:J555)</f>
        <v>0</v>
      </c>
      <c r="K557" s="101">
        <f>SUM(K547:K555)</f>
        <v>0</v>
      </c>
      <c r="L557" s="101">
        <f>SUM(L547:L555)</f>
        <v>0</v>
      </c>
      <c r="M557" s="334">
        <f t="shared" si="157"/>
        <v>0</v>
      </c>
      <c r="N557" s="101">
        <f>SUM(N547:N555)</f>
        <v>808</v>
      </c>
      <c r="O557" s="101">
        <f>SUM(O547:O555)</f>
        <v>0</v>
      </c>
      <c r="P557" s="101">
        <f>SUM(P547:P555)</f>
        <v>125</v>
      </c>
      <c r="Q557" s="334">
        <f t="shared" si="158"/>
        <v>933</v>
      </c>
      <c r="R557" s="64">
        <f t="shared" si="159"/>
        <v>933</v>
      </c>
    </row>
    <row r="558" spans="1:20" ht="16.5" customHeight="1" thickBot="1" x14ac:dyDescent="0.35">
      <c r="A558" s="62" t="s">
        <v>70</v>
      </c>
      <c r="B558" s="107">
        <f>+B535+B541+B546+B557</f>
        <v>108</v>
      </c>
      <c r="C558" s="63">
        <f>+C535+C541+C546+C557</f>
        <v>136</v>
      </c>
      <c r="D558" s="63">
        <f>+D535+D541+D546+D557</f>
        <v>2474</v>
      </c>
      <c r="E558" s="64">
        <f t="shared" si="155"/>
        <v>2718</v>
      </c>
      <c r="F558" s="63">
        <f>+F535+F541+F546+F557</f>
        <v>4665</v>
      </c>
      <c r="G558" s="63">
        <f>+G535+G541+G546+G557</f>
        <v>5732</v>
      </c>
      <c r="H558" s="63">
        <f>+H535+H541+H546+H557</f>
        <v>5811</v>
      </c>
      <c r="I558" s="64">
        <f t="shared" si="156"/>
        <v>16208</v>
      </c>
      <c r="J558" s="63">
        <f>+J535+J541+J546+J557</f>
        <v>7021</v>
      </c>
      <c r="K558" s="63">
        <f>+K535+K541+K546+K557</f>
        <v>6445</v>
      </c>
      <c r="L558" s="63">
        <f>+L535+L541+L546+L557</f>
        <v>3791</v>
      </c>
      <c r="M558" s="64">
        <f t="shared" si="157"/>
        <v>17257</v>
      </c>
      <c r="N558" s="63">
        <f>+N535+N541+N546+N557</f>
        <v>1074</v>
      </c>
      <c r="O558" s="63">
        <f>+O535+O541+O546+O557</f>
        <v>421</v>
      </c>
      <c r="P558" s="63">
        <f>+P535+P541+P546+P557</f>
        <v>135</v>
      </c>
      <c r="Q558" s="64">
        <f t="shared" si="158"/>
        <v>1630</v>
      </c>
      <c r="R558" s="88">
        <f t="shared" si="159"/>
        <v>37813</v>
      </c>
    </row>
    <row r="559" spans="1:20" ht="16.5" customHeight="1" thickBot="1" x14ac:dyDescent="0.35">
      <c r="A559" s="40" t="s">
        <v>37</v>
      </c>
      <c r="B559" s="25">
        <v>23</v>
      </c>
      <c r="C559" s="25">
        <v>43</v>
      </c>
      <c r="D559" s="25">
        <v>66</v>
      </c>
      <c r="E559" s="88">
        <f t="shared" si="155"/>
        <v>132</v>
      </c>
      <c r="F559" s="25">
        <v>91</v>
      </c>
      <c r="G559" s="25">
        <v>108</v>
      </c>
      <c r="H559" s="25">
        <v>109</v>
      </c>
      <c r="I559" s="88">
        <f t="shared" si="156"/>
        <v>308</v>
      </c>
      <c r="J559" s="25">
        <v>104</v>
      </c>
      <c r="K559" s="25">
        <v>79</v>
      </c>
      <c r="L559" s="25">
        <v>80</v>
      </c>
      <c r="M559" s="88">
        <f t="shared" si="157"/>
        <v>263</v>
      </c>
      <c r="N559" s="25">
        <v>74</v>
      </c>
      <c r="O559" s="25">
        <v>58</v>
      </c>
      <c r="P559" s="25">
        <v>42</v>
      </c>
      <c r="Q559" s="88">
        <f t="shared" si="158"/>
        <v>174</v>
      </c>
      <c r="R559" s="59">
        <f t="shared" si="159"/>
        <v>877</v>
      </c>
    </row>
    <row r="560" spans="1:20" ht="16.5" customHeight="1" thickBot="1" x14ac:dyDescent="0.35">
      <c r="A560" s="42"/>
      <c r="B560" s="37"/>
      <c r="C560" s="37"/>
      <c r="D560" s="37"/>
      <c r="E560" s="43"/>
      <c r="F560" s="37"/>
      <c r="G560" s="37"/>
      <c r="H560" s="37"/>
      <c r="I560" s="147"/>
      <c r="J560" s="37"/>
      <c r="K560" s="37"/>
      <c r="L560" s="37"/>
      <c r="M560" s="147"/>
      <c r="N560" s="37"/>
      <c r="O560" s="37"/>
      <c r="P560" s="37"/>
      <c r="Q560" s="147"/>
      <c r="R560" s="43"/>
    </row>
    <row r="561" spans="1:20" ht="15.75" customHeight="1" x14ac:dyDescent="0.3">
      <c r="A561" s="17" t="s">
        <v>507</v>
      </c>
      <c r="B561" s="336">
        <f>SUM(B558:B559)</f>
        <v>131</v>
      </c>
      <c r="C561" s="336">
        <f>SUM(C558:C559)</f>
        <v>179</v>
      </c>
      <c r="D561" s="336">
        <f>SUM(D558:D559)</f>
        <v>2540</v>
      </c>
      <c r="E561" s="334">
        <f>SUM(B561:D561)</f>
        <v>2850</v>
      </c>
      <c r="F561" s="336">
        <f>SUM(F558:F559)</f>
        <v>4756</v>
      </c>
      <c r="G561" s="336">
        <f>SUM(G558:G559)</f>
        <v>5840</v>
      </c>
      <c r="H561" s="336">
        <f>SUM(H558:H559)</f>
        <v>5920</v>
      </c>
      <c r="I561" s="334">
        <f>SUM(F561:H561)</f>
        <v>16516</v>
      </c>
      <c r="J561" s="336">
        <f>SUM(J558:J559)</f>
        <v>7125</v>
      </c>
      <c r="K561" s="336">
        <f>SUM(K558:K559)</f>
        <v>6524</v>
      </c>
      <c r="L561" s="336">
        <f>SUM(L558:L559)</f>
        <v>3871</v>
      </c>
      <c r="M561" s="334">
        <f>SUM(J561:L561)</f>
        <v>17520</v>
      </c>
      <c r="N561" s="336">
        <f>SUM(N558:N559)</f>
        <v>1148</v>
      </c>
      <c r="O561" s="336">
        <f>SUM(O558:O559)</f>
        <v>479</v>
      </c>
      <c r="P561" s="336">
        <f>SUM(P558:P559)</f>
        <v>177</v>
      </c>
      <c r="Q561" s="334">
        <f>SUM(N561:P561)</f>
        <v>1804</v>
      </c>
      <c r="R561" s="334">
        <f>+E561+I561+M561+Q561</f>
        <v>38690</v>
      </c>
    </row>
    <row r="562" spans="1:20" ht="15.75" customHeight="1" x14ac:dyDescent="0.3">
      <c r="A562" s="17" t="s">
        <v>39</v>
      </c>
      <c r="B562" s="1">
        <f>(B561/B10)/1.983</f>
        <v>2.1310168691946054</v>
      </c>
      <c r="C562" s="1">
        <f>(C561/C10)/1.983</f>
        <v>3.2238311360852965</v>
      </c>
      <c r="D562" s="1">
        <f>(D561/D10)/1.983</f>
        <v>41.318953036292356</v>
      </c>
      <c r="E562" s="59" t="s">
        <v>7</v>
      </c>
      <c r="F562" s="1">
        <f>(F561/F10)/1.983</f>
        <v>79.946209446965867</v>
      </c>
      <c r="G562" s="1">
        <f>(G561/G10)/1.983</f>
        <v>95.00105737478242</v>
      </c>
      <c r="H562" s="1">
        <f>(H561/H10)/1.983</f>
        <v>99.512523113128253</v>
      </c>
      <c r="I562" s="59" t="s">
        <v>7</v>
      </c>
      <c r="J562" s="1">
        <f>(J561/J10)/1.983</f>
        <v>115.90454345810356</v>
      </c>
      <c r="K562" s="1">
        <f>(K561/K10)/1.983</f>
        <v>106.12789354676036</v>
      </c>
      <c r="L562" s="1">
        <f>(L561/L10)/1.983</f>
        <v>65.069759623466126</v>
      </c>
      <c r="M562" s="59" t="s">
        <v>7</v>
      </c>
      <c r="N562" s="1">
        <f>(N561/N10)/1.983</f>
        <v>18.674865388056542</v>
      </c>
      <c r="O562" s="1">
        <f>(O561/O10)/1.983</f>
        <v>8.0517734072953431</v>
      </c>
      <c r="P562" s="1">
        <f>(P561/P10)/1.983</f>
        <v>2.8793128690644672</v>
      </c>
      <c r="Q562" s="59" t="s">
        <v>7</v>
      </c>
      <c r="R562" s="59" t="s">
        <v>7</v>
      </c>
    </row>
    <row r="563" spans="1:20" ht="15.75" customHeight="1" x14ac:dyDescent="0.3">
      <c r="A563" s="17" t="s">
        <v>508</v>
      </c>
      <c r="B563" s="1">
        <f>B561+B621</f>
        <v>15258</v>
      </c>
      <c r="C563" s="1">
        <f>C561+C621</f>
        <v>13344</v>
      </c>
      <c r="D563" s="1">
        <f>D561+D621</f>
        <v>27146</v>
      </c>
      <c r="E563" s="59">
        <f>SUM(B563:D563)</f>
        <v>55748</v>
      </c>
      <c r="F563" s="1">
        <f>F561+F621</f>
        <v>29746</v>
      </c>
      <c r="G563" s="1">
        <f>G561+G621</f>
        <v>29752</v>
      </c>
      <c r="H563" s="1">
        <f>H561+H621</f>
        <v>30940</v>
      </c>
      <c r="I563" s="59">
        <f>SUM(F563:H563)</f>
        <v>90438</v>
      </c>
      <c r="J563" s="1">
        <f>J561+J621</f>
        <v>31883</v>
      </c>
      <c r="K563" s="1">
        <f>K561+K621</f>
        <v>32582</v>
      </c>
      <c r="L563" s="1">
        <f>L561+L621</f>
        <v>27446</v>
      </c>
      <c r="M563" s="59">
        <f>SUM(J563:L563)</f>
        <v>91911</v>
      </c>
      <c r="N563" s="1">
        <f>N561+N621</f>
        <v>10868</v>
      </c>
      <c r="O563" s="1">
        <f>O561+O621</f>
        <v>3559</v>
      </c>
      <c r="P563" s="1">
        <f>P561+P621</f>
        <v>11483</v>
      </c>
      <c r="Q563" s="59">
        <f>SUM(N563:P563)</f>
        <v>25910</v>
      </c>
      <c r="R563" s="59">
        <f>+E563+I563+M563+Q563</f>
        <v>264007</v>
      </c>
    </row>
    <row r="564" spans="1:20" ht="16.5" customHeight="1" thickBot="1" x14ac:dyDescent="0.35">
      <c r="A564" s="24" t="s">
        <v>509</v>
      </c>
      <c r="B564" s="87">
        <f>(B563/B10)/1.983</f>
        <v>248.20652969596406</v>
      </c>
      <c r="C564" s="87">
        <f>(C563/C10)/1.983</f>
        <v>240.32850659174409</v>
      </c>
      <c r="D564" s="87">
        <f>(D563/D10)/1.983</f>
        <v>441.59224374928829</v>
      </c>
      <c r="E564" s="88" t="s">
        <v>7</v>
      </c>
      <c r="F564" s="87">
        <f>(F563/F10)/1.983</f>
        <v>500.01680954782313</v>
      </c>
      <c r="G564" s="87">
        <f>(G563/G10)/1.983</f>
        <v>483.98483887235045</v>
      </c>
      <c r="H564" s="87">
        <f>(H563/H10)/1.983</f>
        <v>520.08740964868036</v>
      </c>
      <c r="I564" s="88" t="s">
        <v>7</v>
      </c>
      <c r="J564" s="87">
        <f>(J563/J10)/1.983</f>
        <v>518.65046443153904</v>
      </c>
      <c r="K564" s="87">
        <f>(K563/K10)/1.983</f>
        <v>530.02131016869191</v>
      </c>
      <c r="L564" s="87">
        <f>(L563/L10)/1.983</f>
        <v>461.35484955454695</v>
      </c>
      <c r="M564" s="88" t="s">
        <v>7</v>
      </c>
      <c r="N564" s="87">
        <f>(N563/N10)/1.983</f>
        <v>176.79306362142728</v>
      </c>
      <c r="O564" s="87">
        <f>(O563/O10)/1.983</f>
        <v>59.825180702639102</v>
      </c>
      <c r="P564" s="87">
        <f>(P563/P10)/1.983</f>
        <v>186.79745579360045</v>
      </c>
      <c r="Q564" s="88" t="s">
        <v>7</v>
      </c>
      <c r="R564" s="88" t="s">
        <v>7</v>
      </c>
    </row>
    <row r="565" spans="1:20" ht="15.75" customHeight="1" x14ac:dyDescent="0.3">
      <c r="A565" s="28"/>
      <c r="B565" s="1"/>
      <c r="C565" s="1"/>
      <c r="D565" s="1"/>
      <c r="E565" s="1"/>
      <c r="F565" s="1"/>
      <c r="G565" s="1"/>
      <c r="H565" s="1"/>
      <c r="I565" s="1"/>
      <c r="J565" s="1"/>
      <c r="K565" s="1"/>
      <c r="L565" s="1"/>
      <c r="M565" s="1"/>
      <c r="N565" s="1"/>
      <c r="O565" s="1"/>
      <c r="P565" s="1"/>
      <c r="Q565" s="1"/>
      <c r="R565" s="28"/>
    </row>
    <row r="566" spans="1:20" ht="15.75" customHeight="1" thickBot="1" x14ac:dyDescent="0.35">
      <c r="A566" s="28"/>
      <c r="B566" s="1"/>
      <c r="C566" s="1"/>
      <c r="D566" s="1"/>
      <c r="E566" s="1"/>
      <c r="F566" s="1"/>
      <c r="G566" s="1"/>
      <c r="H566" s="1"/>
      <c r="I566" s="1"/>
      <c r="J566" s="1"/>
      <c r="K566" s="1"/>
      <c r="L566" s="1"/>
      <c r="M566" s="1"/>
      <c r="N566" s="1"/>
      <c r="O566" s="1"/>
      <c r="P566" s="1"/>
      <c r="Q566" s="1"/>
      <c r="R566" s="28"/>
    </row>
    <row r="567" spans="1:20" ht="16.5" customHeight="1" thickBot="1" x14ac:dyDescent="0.35">
      <c r="A567" s="343" t="s">
        <v>510</v>
      </c>
      <c r="B567" s="323" t="s">
        <v>36</v>
      </c>
      <c r="C567" s="324" t="s">
        <v>9</v>
      </c>
      <c r="D567" s="324" t="s">
        <v>10</v>
      </c>
      <c r="E567" s="325" t="s">
        <v>11</v>
      </c>
      <c r="F567" s="324" t="s">
        <v>12</v>
      </c>
      <c r="G567" s="324" t="s">
        <v>13</v>
      </c>
      <c r="H567" s="324" t="s">
        <v>14</v>
      </c>
      <c r="I567" s="34" t="s">
        <v>15</v>
      </c>
      <c r="J567" s="324" t="s">
        <v>16</v>
      </c>
      <c r="K567" s="324" t="s">
        <v>17</v>
      </c>
      <c r="L567" s="324" t="s">
        <v>18</v>
      </c>
      <c r="M567" s="34" t="s">
        <v>19</v>
      </c>
      <c r="N567" s="324" t="s">
        <v>20</v>
      </c>
      <c r="O567" s="324" t="s">
        <v>21</v>
      </c>
      <c r="P567" s="324" t="s">
        <v>22</v>
      </c>
      <c r="Q567" s="34" t="s">
        <v>23</v>
      </c>
      <c r="R567" s="326" t="s">
        <v>24</v>
      </c>
    </row>
    <row r="568" spans="1:20" ht="16.5" customHeight="1" thickBot="1" x14ac:dyDescent="0.35">
      <c r="A568" s="64"/>
      <c r="B568" s="81"/>
      <c r="C568" s="81"/>
      <c r="D568" s="81"/>
      <c r="E568" s="72"/>
      <c r="F568" s="81"/>
      <c r="G568" s="81"/>
      <c r="H568" s="81"/>
      <c r="I568" s="89"/>
      <c r="J568" s="81"/>
      <c r="K568" s="81"/>
      <c r="L568" s="81"/>
      <c r="M568" s="89"/>
      <c r="N568" s="81"/>
      <c r="O568" s="81"/>
      <c r="P568" s="81"/>
      <c r="Q568" s="89"/>
      <c r="R568" s="117"/>
    </row>
    <row r="569" spans="1:20" ht="15.75" customHeight="1" x14ac:dyDescent="0.3">
      <c r="A569" s="17" t="s">
        <v>45</v>
      </c>
      <c r="B569" s="1"/>
      <c r="C569" s="1"/>
      <c r="D569" s="1"/>
      <c r="E569" s="59" t="s">
        <v>7</v>
      </c>
      <c r="F569" s="1" t="s">
        <v>7</v>
      </c>
      <c r="G569" s="1" t="s">
        <v>7</v>
      </c>
      <c r="H569" s="1" t="s">
        <v>7</v>
      </c>
      <c r="I569" s="59" t="s">
        <v>7</v>
      </c>
      <c r="J569" s="1" t="s">
        <v>7</v>
      </c>
      <c r="K569" s="1" t="s">
        <v>7</v>
      </c>
      <c r="L569" s="1" t="s">
        <v>7</v>
      </c>
      <c r="M569" s="59" t="s">
        <v>7</v>
      </c>
      <c r="N569" s="1" t="s">
        <v>7</v>
      </c>
      <c r="O569" s="1" t="s">
        <v>7</v>
      </c>
      <c r="P569" s="1" t="s">
        <v>7</v>
      </c>
      <c r="Q569" s="59" t="s">
        <v>7</v>
      </c>
      <c r="R569" s="59" t="s">
        <v>7</v>
      </c>
    </row>
    <row r="570" spans="1:20" ht="15.75" customHeight="1" x14ac:dyDescent="0.3">
      <c r="A570" s="17" t="s">
        <v>46</v>
      </c>
      <c r="B570" s="1"/>
      <c r="C570" s="1"/>
      <c r="D570" s="1"/>
      <c r="E570" s="59" t="s">
        <v>7</v>
      </c>
      <c r="F570" s="1"/>
      <c r="G570" s="1"/>
      <c r="H570" s="1"/>
      <c r="I570" s="59" t="s">
        <v>7</v>
      </c>
      <c r="J570" s="1"/>
      <c r="K570" s="1"/>
      <c r="L570" s="1"/>
      <c r="M570" s="59" t="s">
        <v>7</v>
      </c>
      <c r="N570" s="1"/>
      <c r="O570" s="1"/>
      <c r="P570" s="1"/>
      <c r="Q570" s="59" t="s">
        <v>7</v>
      </c>
      <c r="R570" s="59" t="s">
        <v>7</v>
      </c>
    </row>
    <row r="571" spans="1:20" ht="15.75" customHeight="1" x14ac:dyDescent="0.3">
      <c r="A571" s="74" t="s">
        <v>511</v>
      </c>
      <c r="B571" s="1">
        <v>317</v>
      </c>
      <c r="C571" s="1">
        <v>454</v>
      </c>
      <c r="D571" s="1">
        <v>373</v>
      </c>
      <c r="E571" s="59">
        <f t="shared" ref="E571:E580" si="160">SUM(B571:D571)</f>
        <v>1144</v>
      </c>
      <c r="F571" s="1">
        <v>373</v>
      </c>
      <c r="G571" s="1">
        <v>505</v>
      </c>
      <c r="H571" s="1"/>
      <c r="I571" s="59">
        <f t="shared" ref="I571:I580" si="161">SUM(F571:H571)</f>
        <v>878</v>
      </c>
      <c r="J571" s="1">
        <v>310</v>
      </c>
      <c r="K571" s="1"/>
      <c r="L571" s="1"/>
      <c r="M571" s="59">
        <f t="shared" ref="M571:M580" si="162">SUM(J571:L571)</f>
        <v>310</v>
      </c>
      <c r="N571" s="1">
        <v>324</v>
      </c>
      <c r="O571" s="1"/>
      <c r="P571" s="1">
        <v>295</v>
      </c>
      <c r="Q571" s="59">
        <f t="shared" ref="Q571:Q580" si="163">SUM(N571:P571)</f>
        <v>619</v>
      </c>
      <c r="R571" s="59">
        <f t="shared" ref="R571:R580" si="164">+E571+I571+M571+Q571</f>
        <v>2951</v>
      </c>
    </row>
    <row r="572" spans="1:20" ht="15.75" customHeight="1" x14ac:dyDescent="0.3">
      <c r="A572" s="74" t="s">
        <v>512</v>
      </c>
      <c r="B572" s="1"/>
      <c r="C572" s="1">
        <v>500</v>
      </c>
      <c r="D572" s="1">
        <v>500</v>
      </c>
      <c r="E572" s="59">
        <f>SUM(B572:D572)</f>
        <v>1000</v>
      </c>
      <c r="F572" s="1">
        <v>200</v>
      </c>
      <c r="G572" s="1">
        <v>200</v>
      </c>
      <c r="H572" s="1">
        <v>200</v>
      </c>
      <c r="I572" s="59">
        <f>SUM(F572:H572)</f>
        <v>600</v>
      </c>
      <c r="J572" s="1">
        <v>200</v>
      </c>
      <c r="K572" s="1">
        <v>200</v>
      </c>
      <c r="L572" s="1"/>
      <c r="M572" s="59">
        <f>SUM(J572:L572)</f>
        <v>400</v>
      </c>
      <c r="N572" s="1"/>
      <c r="O572" s="1">
        <v>199</v>
      </c>
      <c r="P572" s="1"/>
      <c r="Q572" s="59">
        <f>SUM(N572:P572)</f>
        <v>199</v>
      </c>
      <c r="R572" s="59">
        <f>+E572+I572+M572+Q572</f>
        <v>2199</v>
      </c>
    </row>
    <row r="573" spans="1:20" ht="15.75" customHeight="1" x14ac:dyDescent="0.3">
      <c r="A573" s="74" t="s">
        <v>513</v>
      </c>
      <c r="B573" s="1"/>
      <c r="C573" s="1"/>
      <c r="D573" s="1">
        <v>704</v>
      </c>
      <c r="E573" s="59">
        <f t="shared" si="160"/>
        <v>704</v>
      </c>
      <c r="F573" s="1">
        <v>1672</v>
      </c>
      <c r="G573" s="1">
        <v>2055</v>
      </c>
      <c r="H573" s="1">
        <v>1370</v>
      </c>
      <c r="I573" s="59">
        <f t="shared" si="161"/>
        <v>5097</v>
      </c>
      <c r="J573" s="1"/>
      <c r="K573" s="1"/>
      <c r="L573" s="1"/>
      <c r="M573" s="59">
        <f t="shared" si="162"/>
        <v>0</v>
      </c>
      <c r="N573" s="1"/>
      <c r="O573" s="1"/>
      <c r="P573" s="1"/>
      <c r="Q573" s="59">
        <f t="shared" si="163"/>
        <v>0</v>
      </c>
      <c r="R573" s="59">
        <f t="shared" si="164"/>
        <v>5801</v>
      </c>
      <c r="T573" s="4" t="s">
        <v>514</v>
      </c>
    </row>
    <row r="574" spans="1:20" ht="15.75" customHeight="1" x14ac:dyDescent="0.3">
      <c r="A574" s="74" t="s">
        <v>515</v>
      </c>
      <c r="B574" s="1"/>
      <c r="C574" s="1"/>
      <c r="D574" s="1">
        <v>500</v>
      </c>
      <c r="E574" s="59">
        <f>SUM(B574:D574)</f>
        <v>500</v>
      </c>
      <c r="F574" s="1"/>
      <c r="G574" s="1"/>
      <c r="H574" s="1">
        <v>500</v>
      </c>
      <c r="I574" s="59">
        <f>SUM(F574:H574)</f>
        <v>500</v>
      </c>
      <c r="J574" s="1"/>
      <c r="K574" s="1"/>
      <c r="L574" s="1"/>
      <c r="M574" s="59">
        <f>SUM(J574:L574)</f>
        <v>0</v>
      </c>
      <c r="N574" s="1"/>
      <c r="O574" s="1"/>
      <c r="P574" s="1"/>
      <c r="Q574" s="59">
        <f>SUM(N574:P574)</f>
        <v>0</v>
      </c>
      <c r="R574" s="59">
        <f>+E574+I574+M574+Q574</f>
        <v>1000</v>
      </c>
      <c r="T574" s="4" t="s">
        <v>516</v>
      </c>
    </row>
    <row r="575" spans="1:20" ht="15.75" customHeight="1" x14ac:dyDescent="0.3">
      <c r="A575" s="74" t="s">
        <v>517</v>
      </c>
      <c r="B575" s="1">
        <v>9</v>
      </c>
      <c r="C575" s="1"/>
      <c r="D575" s="1">
        <v>686</v>
      </c>
      <c r="E575" s="59">
        <f t="shared" si="160"/>
        <v>695</v>
      </c>
      <c r="F575" s="1"/>
      <c r="G575" s="1"/>
      <c r="H575" s="1">
        <v>310</v>
      </c>
      <c r="I575" s="59">
        <f t="shared" si="161"/>
        <v>310</v>
      </c>
      <c r="J575" s="1">
        <v>350</v>
      </c>
      <c r="K575" s="1">
        <v>1141</v>
      </c>
      <c r="L575" s="1">
        <v>1509</v>
      </c>
      <c r="M575" s="59">
        <f t="shared" si="162"/>
        <v>3000</v>
      </c>
      <c r="N575" s="1"/>
      <c r="O575" s="1"/>
      <c r="P575" s="1"/>
      <c r="Q575" s="59">
        <f t="shared" si="163"/>
        <v>0</v>
      </c>
      <c r="R575" s="59">
        <f t="shared" si="164"/>
        <v>4005</v>
      </c>
      <c r="T575" s="4" t="s">
        <v>516</v>
      </c>
    </row>
    <row r="576" spans="1:20" ht="15.75" customHeight="1" x14ac:dyDescent="0.3">
      <c r="A576" s="74" t="s">
        <v>518</v>
      </c>
      <c r="B576" s="1">
        <v>320</v>
      </c>
      <c r="C576" s="1">
        <v>320</v>
      </c>
      <c r="D576" s="1">
        <v>320</v>
      </c>
      <c r="E576" s="59">
        <f>SUM(B576:D576)</f>
        <v>960</v>
      </c>
      <c r="F576" s="1">
        <v>320</v>
      </c>
      <c r="G576" s="1"/>
      <c r="H576" s="1">
        <v>89</v>
      </c>
      <c r="I576" s="59">
        <f>SUM(F576:H576)</f>
        <v>409</v>
      </c>
      <c r="J576" s="1">
        <v>348</v>
      </c>
      <c r="K576" s="1">
        <v>676</v>
      </c>
      <c r="L576" s="1">
        <v>682</v>
      </c>
      <c r="M576" s="59">
        <f>SUM(J576:L576)</f>
        <v>1706</v>
      </c>
      <c r="N576" s="1">
        <v>105</v>
      </c>
      <c r="O576" s="1"/>
      <c r="P576" s="1"/>
      <c r="Q576" s="59">
        <f>SUM(N576:P576)</f>
        <v>105</v>
      </c>
      <c r="R576" s="59">
        <f t="shared" si="164"/>
        <v>3180</v>
      </c>
    </row>
    <row r="577" spans="1:20" ht="15.75" customHeight="1" x14ac:dyDescent="0.3">
      <c r="A577" s="74" t="s">
        <v>519</v>
      </c>
      <c r="B577" s="1"/>
      <c r="C577" s="1"/>
      <c r="D577" s="1"/>
      <c r="E577" s="59">
        <f t="shared" si="160"/>
        <v>0</v>
      </c>
      <c r="F577" s="1"/>
      <c r="G577" s="1"/>
      <c r="H577" s="1"/>
      <c r="I577" s="59">
        <f t="shared" si="161"/>
        <v>0</v>
      </c>
      <c r="J577" s="1">
        <v>350</v>
      </c>
      <c r="K577" s="1">
        <v>1140</v>
      </c>
      <c r="L577" s="1">
        <v>1310</v>
      </c>
      <c r="M577" s="59">
        <f t="shared" si="162"/>
        <v>2800</v>
      </c>
      <c r="N577" s="1"/>
      <c r="O577" s="1"/>
      <c r="P577" s="1"/>
      <c r="Q577" s="59">
        <f t="shared" si="163"/>
        <v>0</v>
      </c>
      <c r="R577" s="59">
        <f t="shared" si="164"/>
        <v>2800</v>
      </c>
      <c r="T577" s="4" t="s">
        <v>516</v>
      </c>
    </row>
    <row r="578" spans="1:20" ht="15.75" customHeight="1" x14ac:dyDescent="0.3">
      <c r="A578" s="74" t="s">
        <v>520</v>
      </c>
      <c r="B578" s="1"/>
      <c r="C578" s="1"/>
      <c r="D578" s="1">
        <v>405</v>
      </c>
      <c r="E578" s="59">
        <f t="shared" si="160"/>
        <v>405</v>
      </c>
      <c r="F578" s="1">
        <v>654</v>
      </c>
      <c r="G578" s="1">
        <v>400</v>
      </c>
      <c r="H578" s="1">
        <v>400</v>
      </c>
      <c r="I578" s="59">
        <f t="shared" si="161"/>
        <v>1454</v>
      </c>
      <c r="J578" s="1">
        <v>400</v>
      </c>
      <c r="K578" s="1">
        <v>77</v>
      </c>
      <c r="L578" s="1"/>
      <c r="M578" s="59">
        <f t="shared" si="162"/>
        <v>477</v>
      </c>
      <c r="N578" s="1"/>
      <c r="O578" s="1"/>
      <c r="P578" s="1"/>
      <c r="Q578" s="59">
        <f>SUM(N578:P578)</f>
        <v>0</v>
      </c>
      <c r="R578" s="59">
        <f>+E578+I578+M578+Q578</f>
        <v>2336</v>
      </c>
    </row>
    <row r="579" spans="1:20" ht="15.75" customHeight="1" x14ac:dyDescent="0.3">
      <c r="A579" s="74" t="s">
        <v>521</v>
      </c>
      <c r="B579" s="1"/>
      <c r="C579" s="1"/>
      <c r="D579" s="1"/>
      <c r="E579" s="59">
        <f t="shared" si="160"/>
        <v>0</v>
      </c>
      <c r="F579" s="1"/>
      <c r="G579" s="1"/>
      <c r="H579" s="1"/>
      <c r="I579" s="59">
        <f t="shared" si="161"/>
        <v>0</v>
      </c>
      <c r="J579" s="1"/>
      <c r="K579" s="1"/>
      <c r="L579" s="1"/>
      <c r="M579" s="59">
        <f t="shared" si="162"/>
        <v>0</v>
      </c>
      <c r="N579" s="1"/>
      <c r="O579" s="1"/>
      <c r="P579" s="1"/>
      <c r="Q579" s="59">
        <f t="shared" si="163"/>
        <v>0</v>
      </c>
      <c r="R579" s="59">
        <f t="shared" si="164"/>
        <v>0</v>
      </c>
      <c r="T579" s="4" t="s">
        <v>516</v>
      </c>
    </row>
    <row r="580" spans="1:20" ht="15.75" customHeight="1" x14ac:dyDescent="0.3">
      <c r="A580" s="74" t="s">
        <v>959</v>
      </c>
      <c r="B580" s="1"/>
      <c r="C580" s="1"/>
      <c r="D580" s="1"/>
      <c r="E580" s="59">
        <f t="shared" si="160"/>
        <v>0</v>
      </c>
      <c r="F580" s="1">
        <v>544</v>
      </c>
      <c r="G580" s="1">
        <v>458</v>
      </c>
      <c r="H580" s="1">
        <v>249</v>
      </c>
      <c r="I580" s="59">
        <f t="shared" si="161"/>
        <v>1251</v>
      </c>
      <c r="J580" s="1">
        <v>323</v>
      </c>
      <c r="K580" s="1">
        <v>139</v>
      </c>
      <c r="L580" s="1">
        <v>78</v>
      </c>
      <c r="M580" s="59">
        <f t="shared" si="162"/>
        <v>540</v>
      </c>
      <c r="N580" s="1">
        <v>37</v>
      </c>
      <c r="O580" s="1"/>
      <c r="P580" s="1"/>
      <c r="Q580" s="59">
        <f t="shared" si="163"/>
        <v>37</v>
      </c>
      <c r="R580" s="59">
        <f t="shared" si="164"/>
        <v>1828</v>
      </c>
      <c r="T580" s="4" t="s">
        <v>516</v>
      </c>
    </row>
    <row r="581" spans="1:20" ht="15.75" customHeight="1" x14ac:dyDescent="0.3">
      <c r="A581" s="74" t="s">
        <v>895</v>
      </c>
      <c r="B581" s="1"/>
      <c r="C581" s="1">
        <v>440</v>
      </c>
      <c r="D581" s="1">
        <v>900</v>
      </c>
      <c r="E581" s="59">
        <f>SUM(B581:D581)</f>
        <v>1340</v>
      </c>
      <c r="F581" s="1">
        <v>1597</v>
      </c>
      <c r="G581" s="1"/>
      <c r="H581" s="1"/>
      <c r="I581" s="59">
        <f>SUM(F581:H581)</f>
        <v>1597</v>
      </c>
      <c r="J581" s="1"/>
      <c r="K581" s="1"/>
      <c r="L581" s="1"/>
      <c r="M581" s="59">
        <f>SUM(J581:L581)</f>
        <v>0</v>
      </c>
      <c r="N581" s="1"/>
      <c r="O581" s="1"/>
      <c r="P581" s="1"/>
      <c r="Q581" s="59">
        <f>SUM(N581:P581)</f>
        <v>0</v>
      </c>
      <c r="R581" s="59">
        <f>+E581+I581+M581+Q581</f>
        <v>2937</v>
      </c>
      <c r="T581" s="4" t="s">
        <v>514</v>
      </c>
    </row>
    <row r="582" spans="1:20" ht="15.75" customHeight="1" x14ac:dyDescent="0.3">
      <c r="A582" s="17" t="s">
        <v>47</v>
      </c>
      <c r="B582" s="1"/>
      <c r="C582" s="1"/>
      <c r="D582" s="1"/>
      <c r="E582" s="59" t="s">
        <v>7</v>
      </c>
      <c r="F582" s="1"/>
      <c r="G582" s="1"/>
      <c r="H582" s="1"/>
      <c r="I582" s="59" t="s">
        <v>7</v>
      </c>
      <c r="J582" s="1"/>
      <c r="K582" s="1"/>
      <c r="L582" s="1"/>
      <c r="M582" s="59" t="s">
        <v>7</v>
      </c>
      <c r="N582" s="1"/>
      <c r="O582" s="1"/>
      <c r="P582" s="1"/>
      <c r="Q582" s="59" t="s">
        <v>7</v>
      </c>
      <c r="R582" s="59" t="s">
        <v>7</v>
      </c>
    </row>
    <row r="583" spans="1:20" ht="15.75" customHeight="1" x14ac:dyDescent="0.3">
      <c r="A583" s="74" t="s">
        <v>521</v>
      </c>
      <c r="B583" s="1"/>
      <c r="C583" s="1"/>
      <c r="D583" s="1"/>
      <c r="E583" s="59">
        <f>SUM(B583:D583)</f>
        <v>0</v>
      </c>
      <c r="F583" s="1"/>
      <c r="G583" s="1"/>
      <c r="H583" s="1"/>
      <c r="I583" s="59">
        <f>SUM(F583:H583)</f>
        <v>0</v>
      </c>
      <c r="J583" s="1"/>
      <c r="K583" s="1"/>
      <c r="L583" s="1"/>
      <c r="M583" s="59">
        <f>SUM(J583:L583)</f>
        <v>0</v>
      </c>
      <c r="N583" s="1"/>
      <c r="O583" s="1"/>
      <c r="P583" s="1"/>
      <c r="Q583" s="59">
        <f>SUM(N583:P583)</f>
        <v>0</v>
      </c>
      <c r="R583" s="59">
        <f>+E583+I583+M583+Q583</f>
        <v>0</v>
      </c>
      <c r="T583" s="4" t="s">
        <v>516</v>
      </c>
    </row>
    <row r="584" spans="1:20" ht="15.75" customHeight="1" x14ac:dyDescent="0.3">
      <c r="A584" s="17" t="s">
        <v>49</v>
      </c>
      <c r="B584" s="1"/>
      <c r="C584" s="1"/>
      <c r="D584" s="1"/>
      <c r="E584" s="59" t="s">
        <v>7</v>
      </c>
      <c r="F584" s="1"/>
      <c r="G584" s="1"/>
      <c r="H584" s="1"/>
      <c r="I584" s="59" t="s">
        <v>7</v>
      </c>
      <c r="J584" s="1"/>
      <c r="K584" s="1"/>
      <c r="L584" s="1"/>
      <c r="M584" s="59" t="s">
        <v>7</v>
      </c>
      <c r="N584" s="1"/>
      <c r="O584" s="1"/>
      <c r="P584" s="1"/>
      <c r="Q584" s="59" t="s">
        <v>7</v>
      </c>
      <c r="R584" s="59" t="s">
        <v>7</v>
      </c>
    </row>
    <row r="585" spans="1:20" ht="15.75" customHeight="1" x14ac:dyDescent="0.3">
      <c r="A585" s="74" t="s">
        <v>923</v>
      </c>
      <c r="B585" s="1"/>
      <c r="C585" s="1"/>
      <c r="D585" s="1"/>
      <c r="E585" s="59">
        <f>SUM(B585:D585)</f>
        <v>0</v>
      </c>
      <c r="F585" s="1"/>
      <c r="G585" s="1"/>
      <c r="H585" s="1"/>
      <c r="I585" s="59">
        <f>SUM(F585:H585)</f>
        <v>0</v>
      </c>
      <c r="J585" s="1"/>
      <c r="K585" s="1"/>
      <c r="L585" s="1"/>
      <c r="M585" s="59">
        <f>SUM(J585:L585)</f>
        <v>0</v>
      </c>
      <c r="N585" s="1">
        <v>608</v>
      </c>
      <c r="O585" s="1">
        <v>966</v>
      </c>
      <c r="P585" s="1">
        <v>334</v>
      </c>
      <c r="Q585" s="59">
        <f>SUM(N585:P585)</f>
        <v>1908</v>
      </c>
      <c r="R585" s="59">
        <f>+E585+I585+M585+Q585</f>
        <v>1908</v>
      </c>
      <c r="T585" s="4" t="s">
        <v>516</v>
      </c>
    </row>
    <row r="586" spans="1:20" ht="15.75" customHeight="1" thickBot="1" x14ac:dyDescent="0.35">
      <c r="A586" s="17" t="s">
        <v>51</v>
      </c>
      <c r="B586" s="1"/>
      <c r="C586" s="1"/>
      <c r="D586" s="1"/>
      <c r="E586" s="59" t="s">
        <v>7</v>
      </c>
      <c r="F586" s="1"/>
      <c r="G586" s="1"/>
      <c r="H586" s="1"/>
      <c r="I586" s="59" t="s">
        <v>7</v>
      </c>
      <c r="J586" s="1"/>
      <c r="K586" s="1"/>
      <c r="L586" s="1"/>
      <c r="M586" s="59" t="s">
        <v>7</v>
      </c>
      <c r="N586" s="1"/>
      <c r="O586" s="1"/>
      <c r="P586" s="1"/>
      <c r="Q586" s="59" t="s">
        <v>7</v>
      </c>
      <c r="R586" s="59" t="s">
        <v>7</v>
      </c>
    </row>
    <row r="587" spans="1:20" ht="16.5" customHeight="1" thickBot="1" x14ac:dyDescent="0.35">
      <c r="A587" s="126" t="s">
        <v>52</v>
      </c>
      <c r="B587" s="100">
        <f>SUM(B569:B586)</f>
        <v>646</v>
      </c>
      <c r="C587" s="101">
        <f>SUM(C569:C586)</f>
        <v>1714</v>
      </c>
      <c r="D587" s="101">
        <f>SUM(D569:D586)</f>
        <v>4388</v>
      </c>
      <c r="E587" s="64">
        <f>SUM(B587:D587)</f>
        <v>6748</v>
      </c>
      <c r="F587" s="101">
        <f>SUM(F569:F586)</f>
        <v>5360</v>
      </c>
      <c r="G587" s="101">
        <f>SUM(G569:G586)</f>
        <v>3618</v>
      </c>
      <c r="H587" s="101">
        <f>SUM(H569:H586)</f>
        <v>3118</v>
      </c>
      <c r="I587" s="64">
        <f>SUM(F587:H587)</f>
        <v>12096</v>
      </c>
      <c r="J587" s="101">
        <f>SUM(J569:J586)</f>
        <v>2281</v>
      </c>
      <c r="K587" s="101">
        <f>SUM(K569:K586)</f>
        <v>3373</v>
      </c>
      <c r="L587" s="101">
        <f>SUM(L569:L586)</f>
        <v>3579</v>
      </c>
      <c r="M587" s="64">
        <f>SUM(J587:L587)</f>
        <v>9233</v>
      </c>
      <c r="N587" s="101">
        <f>SUM(N569:N586)</f>
        <v>1074</v>
      </c>
      <c r="O587" s="101">
        <f>SUM(O569:O586)</f>
        <v>1165</v>
      </c>
      <c r="P587" s="101">
        <f>SUM(P569:P586)</f>
        <v>629</v>
      </c>
      <c r="Q587" s="64">
        <f>SUM(N587:P587)</f>
        <v>2868</v>
      </c>
      <c r="R587" s="64">
        <f>+E587+I587+M587+Q587</f>
        <v>30945</v>
      </c>
    </row>
    <row r="588" spans="1:20" ht="15.75" customHeight="1" x14ac:dyDescent="0.3">
      <c r="A588" s="17" t="s">
        <v>53</v>
      </c>
      <c r="B588" s="1"/>
      <c r="C588" s="1"/>
      <c r="D588" s="1"/>
      <c r="E588" s="59" t="s">
        <v>7</v>
      </c>
      <c r="F588" s="1"/>
      <c r="G588" s="1"/>
      <c r="H588" s="1"/>
      <c r="I588" s="59" t="s">
        <v>7</v>
      </c>
      <c r="J588" s="1"/>
      <c r="K588" s="1"/>
      <c r="L588" s="1"/>
      <c r="M588" s="59" t="s">
        <v>7</v>
      </c>
      <c r="N588" s="1"/>
      <c r="O588" s="1"/>
      <c r="P588" s="1"/>
      <c r="Q588" s="59" t="s">
        <v>7</v>
      </c>
      <c r="R588" s="59" t="s">
        <v>7</v>
      </c>
    </row>
    <row r="589" spans="1:20" ht="15.75" customHeight="1" x14ac:dyDescent="0.3">
      <c r="A589" s="17" t="s">
        <v>55</v>
      </c>
      <c r="B589" s="1"/>
      <c r="C589" s="1"/>
      <c r="D589" s="1"/>
      <c r="E589" s="59" t="s">
        <v>7</v>
      </c>
      <c r="F589" s="1"/>
      <c r="G589" s="1"/>
      <c r="H589" s="1"/>
      <c r="I589" s="59" t="s">
        <v>7</v>
      </c>
      <c r="J589" s="1"/>
      <c r="K589" s="1"/>
      <c r="L589" s="1"/>
      <c r="M589" s="59" t="s">
        <v>7</v>
      </c>
      <c r="N589" s="1"/>
      <c r="O589" s="1"/>
      <c r="P589" s="1"/>
      <c r="Q589" s="59" t="s">
        <v>7</v>
      </c>
      <c r="R589" s="59" t="s">
        <v>7</v>
      </c>
    </row>
    <row r="590" spans="1:20" ht="15.75" customHeight="1" x14ac:dyDescent="0.3">
      <c r="A590" s="74" t="s">
        <v>526</v>
      </c>
      <c r="B590" s="1"/>
      <c r="C590" s="1"/>
      <c r="D590" s="1"/>
      <c r="E590" s="59">
        <f>SUM(B590:D590)</f>
        <v>0</v>
      </c>
      <c r="F590" s="1"/>
      <c r="G590" s="1"/>
      <c r="H590" s="1"/>
      <c r="I590" s="59">
        <f>SUM(F590:H590)</f>
        <v>0</v>
      </c>
      <c r="J590" s="1"/>
      <c r="K590" s="1"/>
      <c r="L590" s="1"/>
      <c r="M590" s="59">
        <f>SUM(J590:L590)</f>
        <v>0</v>
      </c>
      <c r="N590" s="1"/>
      <c r="O590" s="1"/>
      <c r="P590" s="1">
        <v>4</v>
      </c>
      <c r="Q590" s="59">
        <f>SUM(N590:P590)</f>
        <v>4</v>
      </c>
      <c r="R590" s="59">
        <f>+E590+I590+M590+Q590</f>
        <v>4</v>
      </c>
    </row>
    <row r="591" spans="1:20" ht="15.75" customHeight="1" x14ac:dyDescent="0.3">
      <c r="A591" s="74" t="s">
        <v>527</v>
      </c>
      <c r="B591" s="1"/>
      <c r="C591" s="1"/>
      <c r="D591" s="1"/>
      <c r="E591" s="59">
        <f>SUM(B591:D591)</f>
        <v>0</v>
      </c>
      <c r="F591" s="1"/>
      <c r="G591" s="1"/>
      <c r="H591" s="1"/>
      <c r="I591" s="59">
        <f>SUM(F591:H591)</f>
        <v>0</v>
      </c>
      <c r="J591" s="1"/>
      <c r="K591" s="1"/>
      <c r="L591" s="1"/>
      <c r="M591" s="59">
        <f>SUM(J591:L591)</f>
        <v>0</v>
      </c>
      <c r="N591" s="1"/>
      <c r="O591" s="1"/>
      <c r="P591" s="1"/>
      <c r="Q591" s="59">
        <f>SUM(N591:P591)</f>
        <v>0</v>
      </c>
      <c r="R591" s="59">
        <f>+E591+I591+M591+Q591</f>
        <v>0</v>
      </c>
    </row>
    <row r="592" spans="1:20" ht="15.75" customHeight="1" thickBot="1" x14ac:dyDescent="0.35">
      <c r="A592" s="17" t="s">
        <v>56</v>
      </c>
      <c r="B592" s="1"/>
      <c r="C592" s="1"/>
      <c r="D592" s="1"/>
      <c r="E592" s="59" t="s">
        <v>7</v>
      </c>
      <c r="F592" s="1"/>
      <c r="G592" s="1"/>
      <c r="H592" s="1"/>
      <c r="I592" s="59" t="s">
        <v>7</v>
      </c>
      <c r="J592" s="1"/>
      <c r="K592" s="1"/>
      <c r="L592" s="1"/>
      <c r="M592" s="59" t="s">
        <v>7</v>
      </c>
      <c r="N592" s="1"/>
      <c r="O592" s="1"/>
      <c r="P592" s="1"/>
      <c r="Q592" s="59" t="s">
        <v>7</v>
      </c>
      <c r="R592" s="59" t="s">
        <v>7</v>
      </c>
    </row>
    <row r="593" spans="1:20" ht="16.5" customHeight="1" thickBot="1" x14ac:dyDescent="0.35">
      <c r="A593" s="62" t="s">
        <v>57</v>
      </c>
      <c r="B593" s="100">
        <f>SUM(B588:B592)</f>
        <v>0</v>
      </c>
      <c r="C593" s="101">
        <f>SUM(C588:C592)</f>
        <v>0</v>
      </c>
      <c r="D593" s="101">
        <f>SUM(D588:D592)</f>
        <v>0</v>
      </c>
      <c r="E593" s="64">
        <f>SUM(B593:D593)</f>
        <v>0</v>
      </c>
      <c r="F593" s="101">
        <f>SUM(F588:F592)</f>
        <v>0</v>
      </c>
      <c r="G593" s="101">
        <f>SUM(G588:G592)</f>
        <v>0</v>
      </c>
      <c r="H593" s="101">
        <f>SUM(H588:H592)</f>
        <v>0</v>
      </c>
      <c r="I593" s="64">
        <f>SUM(F593:H593)</f>
        <v>0</v>
      </c>
      <c r="J593" s="101">
        <f>SUM(J588:J592)</f>
        <v>0</v>
      </c>
      <c r="K593" s="101">
        <f>SUM(K588:K592)</f>
        <v>0</v>
      </c>
      <c r="L593" s="101">
        <f>SUM(L588:L592)</f>
        <v>0</v>
      </c>
      <c r="M593" s="64">
        <f>SUM(J593:L593)</f>
        <v>0</v>
      </c>
      <c r="N593" s="101">
        <f>SUM(N588:N592)</f>
        <v>0</v>
      </c>
      <c r="O593" s="101">
        <f>SUM(O588:O592)</f>
        <v>0</v>
      </c>
      <c r="P593" s="101">
        <f>SUM(P588:P592)</f>
        <v>4</v>
      </c>
      <c r="Q593" s="64">
        <f>SUM(N593:P593)</f>
        <v>4</v>
      </c>
      <c r="R593" s="64">
        <f>+E593+I593+M593+Q593</f>
        <v>4</v>
      </c>
    </row>
    <row r="594" spans="1:20" ht="15.75" customHeight="1" x14ac:dyDescent="0.3">
      <c r="A594" s="17" t="s">
        <v>58</v>
      </c>
      <c r="B594" s="1"/>
      <c r="C594" s="1"/>
      <c r="D594" s="1"/>
      <c r="E594" s="59" t="s">
        <v>7</v>
      </c>
      <c r="F594" s="1"/>
      <c r="G594" s="1"/>
      <c r="H594" s="1"/>
      <c r="I594" s="59" t="s">
        <v>7</v>
      </c>
      <c r="J594" s="1"/>
      <c r="K594" s="1"/>
      <c r="L594" s="1"/>
      <c r="M594" s="59" t="s">
        <v>7</v>
      </c>
      <c r="N594" s="1"/>
      <c r="O594" s="1"/>
      <c r="P594" s="1"/>
      <c r="Q594" s="59" t="s">
        <v>7</v>
      </c>
      <c r="R594" s="59" t="s">
        <v>7</v>
      </c>
    </row>
    <row r="595" spans="1:20" ht="15.75" customHeight="1" x14ac:dyDescent="0.3">
      <c r="A595" s="17" t="s">
        <v>59</v>
      </c>
      <c r="B595" s="1"/>
      <c r="C595" s="1"/>
      <c r="D595" s="1"/>
      <c r="E595" s="59" t="s">
        <v>7</v>
      </c>
      <c r="F595" s="1"/>
      <c r="G595" s="1"/>
      <c r="H595" s="1"/>
      <c r="I595" s="59" t="s">
        <v>7</v>
      </c>
      <c r="J595" s="1"/>
      <c r="K595" s="1"/>
      <c r="L595" s="1"/>
      <c r="M595" s="59" t="s">
        <v>7</v>
      </c>
      <c r="N595" s="1"/>
      <c r="O595" s="1"/>
      <c r="P595" s="1"/>
      <c r="Q595" s="59" t="s">
        <v>7</v>
      </c>
      <c r="R595" s="59" t="s">
        <v>7</v>
      </c>
    </row>
    <row r="596" spans="1:20" ht="15.75" customHeight="1" x14ac:dyDescent="0.3">
      <c r="A596" s="17" t="s">
        <v>60</v>
      </c>
      <c r="B596" s="1"/>
      <c r="C596" s="1"/>
      <c r="D596" s="1"/>
      <c r="E596" s="59" t="s">
        <v>7</v>
      </c>
      <c r="F596" s="1"/>
      <c r="G596" s="1"/>
      <c r="H596" s="1"/>
      <c r="I596" s="59" t="s">
        <v>7</v>
      </c>
      <c r="J596" s="1"/>
      <c r="K596" s="1"/>
      <c r="L596" s="1"/>
      <c r="M596" s="59" t="s">
        <v>7</v>
      </c>
      <c r="N596" s="1"/>
      <c r="O596" s="1"/>
      <c r="P596" s="1"/>
      <c r="Q596" s="59" t="s">
        <v>7</v>
      </c>
      <c r="R596" s="59" t="s">
        <v>7</v>
      </c>
    </row>
    <row r="597" spans="1:20" ht="15.75" customHeight="1" x14ac:dyDescent="0.3">
      <c r="A597" s="74" t="s">
        <v>528</v>
      </c>
      <c r="B597" s="1"/>
      <c r="C597" s="1"/>
      <c r="D597" s="1"/>
      <c r="E597" s="59">
        <f>SUM(B597:D597)</f>
        <v>0</v>
      </c>
      <c r="F597" s="1"/>
      <c r="G597" s="1"/>
      <c r="H597" s="1"/>
      <c r="I597" s="59">
        <f>SUM(F597:H597)</f>
        <v>0</v>
      </c>
      <c r="J597" s="1"/>
      <c r="K597" s="1"/>
      <c r="L597" s="1">
        <v>604</v>
      </c>
      <c r="M597" s="59">
        <f>SUM(J597:L597)</f>
        <v>604</v>
      </c>
      <c r="N597" s="1">
        <v>1477</v>
      </c>
      <c r="O597" s="1">
        <v>454</v>
      </c>
      <c r="P597" s="1"/>
      <c r="Q597" s="59">
        <f>SUM(N597:P597)</f>
        <v>1931</v>
      </c>
      <c r="R597" s="59">
        <f>+E597+I597+M597+Q597</f>
        <v>2535</v>
      </c>
      <c r="T597" s="4" t="s">
        <v>516</v>
      </c>
    </row>
    <row r="598" spans="1:20" ht="15.75" customHeight="1" x14ac:dyDescent="0.3">
      <c r="A598" s="74" t="s">
        <v>960</v>
      </c>
      <c r="B598" s="1"/>
      <c r="C598" s="1"/>
      <c r="D598" s="1"/>
      <c r="E598" s="59">
        <f>SUM(B598:D598)</f>
        <v>0</v>
      </c>
      <c r="F598" s="1"/>
      <c r="G598" s="1">
        <v>320</v>
      </c>
      <c r="H598" s="1"/>
      <c r="I598" s="59">
        <f>SUM(F598:H598)</f>
        <v>320</v>
      </c>
      <c r="J598" s="1"/>
      <c r="K598" s="1"/>
      <c r="L598" s="1"/>
      <c r="M598" s="59">
        <f>SUM(J598:L598)</f>
        <v>0</v>
      </c>
      <c r="N598" s="1"/>
      <c r="O598" s="1"/>
      <c r="P598" s="1"/>
      <c r="Q598" s="59">
        <f>SUM(N598:P598)</f>
        <v>0</v>
      </c>
      <c r="R598" s="59">
        <f>+E598+I598+M598+Q598</f>
        <v>320</v>
      </c>
    </row>
    <row r="599" spans="1:20" ht="15.75" customHeight="1" thickBot="1" x14ac:dyDescent="0.35">
      <c r="A599" s="74" t="s">
        <v>534</v>
      </c>
      <c r="B599" s="1"/>
      <c r="C599" s="1"/>
      <c r="D599" s="1"/>
      <c r="E599" s="59">
        <f>SUM(B599:D599)</f>
        <v>0</v>
      </c>
      <c r="F599" s="1"/>
      <c r="G599" s="1"/>
      <c r="H599" s="1"/>
      <c r="I599" s="59">
        <f>SUM(F599:H599)</f>
        <v>0</v>
      </c>
      <c r="J599" s="1"/>
      <c r="K599" s="1"/>
      <c r="L599" s="1"/>
      <c r="M599" s="59">
        <f>SUM(J599:L599)</f>
        <v>0</v>
      </c>
      <c r="N599" s="1"/>
      <c r="O599" s="1"/>
      <c r="P599" s="1">
        <v>3500</v>
      </c>
      <c r="Q599" s="59">
        <f>SUM(N599:P599)</f>
        <v>3500</v>
      </c>
      <c r="R599" s="59">
        <f>+E599+I599+M599+Q599</f>
        <v>3500</v>
      </c>
      <c r="T599" s="4" t="s">
        <v>516</v>
      </c>
    </row>
    <row r="600" spans="1:20" ht="16.5" customHeight="1" thickBot="1" x14ac:dyDescent="0.35">
      <c r="A600" s="137" t="s">
        <v>61</v>
      </c>
      <c r="B600" s="100">
        <f>SUM(B594:B599)</f>
        <v>0</v>
      </c>
      <c r="C600" s="101">
        <f>SUM(C594:C599)</f>
        <v>0</v>
      </c>
      <c r="D600" s="101">
        <f>SUM(D594:D599)</f>
        <v>0</v>
      </c>
      <c r="E600" s="64">
        <f>SUM(B600:D600)</f>
        <v>0</v>
      </c>
      <c r="F600" s="101">
        <f>SUM(F594:F599)</f>
        <v>0</v>
      </c>
      <c r="G600" s="101">
        <f>SUM(G594:G599)</f>
        <v>320</v>
      </c>
      <c r="H600" s="101">
        <f>SUM(H594:H599)</f>
        <v>0</v>
      </c>
      <c r="I600" s="64">
        <f>SUM(F600:H600)</f>
        <v>320</v>
      </c>
      <c r="J600" s="101">
        <f>SUM(J594:J599)</f>
        <v>0</v>
      </c>
      <c r="K600" s="101">
        <f>SUM(K594:K599)</f>
        <v>0</v>
      </c>
      <c r="L600" s="101">
        <f>SUM(L594:L599)</f>
        <v>604</v>
      </c>
      <c r="M600" s="64">
        <f>SUM(J600:L600)</f>
        <v>604</v>
      </c>
      <c r="N600" s="101">
        <f>SUM(N594:N599)</f>
        <v>1477</v>
      </c>
      <c r="O600" s="101">
        <f>SUM(O594:O599)</f>
        <v>454</v>
      </c>
      <c r="P600" s="101">
        <f>SUM(P594:P599)</f>
        <v>3500</v>
      </c>
      <c r="Q600" s="64">
        <f>SUM(N600:P600)</f>
        <v>5431</v>
      </c>
      <c r="R600" s="64">
        <f>+E600+I600+M600+Q600</f>
        <v>6355</v>
      </c>
    </row>
    <row r="601" spans="1:20" ht="15.75" customHeight="1" x14ac:dyDescent="0.3">
      <c r="A601" s="17" t="s">
        <v>62</v>
      </c>
      <c r="B601" s="1"/>
      <c r="C601" s="1"/>
      <c r="D601" s="1"/>
      <c r="E601" s="59" t="s">
        <v>7</v>
      </c>
      <c r="F601" s="1"/>
      <c r="G601" s="1"/>
      <c r="H601" s="1"/>
      <c r="I601" s="59" t="s">
        <v>7</v>
      </c>
      <c r="J601" s="1"/>
      <c r="K601" s="1"/>
      <c r="L601" s="1"/>
      <c r="M601" s="59" t="s">
        <v>7</v>
      </c>
      <c r="N601" s="1"/>
      <c r="O601" s="1"/>
      <c r="P601" s="1"/>
      <c r="Q601" s="59" t="s">
        <v>7</v>
      </c>
      <c r="R601" s="59" t="s">
        <v>7</v>
      </c>
    </row>
    <row r="602" spans="1:20" ht="15.75" customHeight="1" x14ac:dyDescent="0.3">
      <c r="A602" s="17" t="s">
        <v>63</v>
      </c>
      <c r="B602" s="1"/>
      <c r="C602" s="1"/>
      <c r="D602" s="1"/>
      <c r="E602" s="59" t="s">
        <v>7</v>
      </c>
      <c r="F602" s="1"/>
      <c r="G602" s="1"/>
      <c r="H602" s="1"/>
      <c r="I602" s="59" t="s">
        <v>7</v>
      </c>
      <c r="J602" s="1"/>
      <c r="K602" s="1"/>
      <c r="L602" s="1"/>
      <c r="M602" s="59" t="s">
        <v>7</v>
      </c>
      <c r="N602" s="1"/>
      <c r="O602" s="1"/>
      <c r="P602" s="1"/>
      <c r="Q602" s="59" t="s">
        <v>7</v>
      </c>
      <c r="R602" s="59" t="s">
        <v>7</v>
      </c>
    </row>
    <row r="603" spans="1:20" ht="15.75" customHeight="1" x14ac:dyDescent="0.3">
      <c r="A603" s="74" t="s">
        <v>923</v>
      </c>
      <c r="B603" s="1"/>
      <c r="C603" s="1"/>
      <c r="D603" s="1"/>
      <c r="E603" s="59">
        <f>SUM(B603:D603)</f>
        <v>0</v>
      </c>
      <c r="F603" s="1"/>
      <c r="G603" s="1"/>
      <c r="H603" s="1"/>
      <c r="I603" s="59">
        <f>SUM(F603:H603)</f>
        <v>0</v>
      </c>
      <c r="J603" s="1"/>
      <c r="K603" s="1"/>
      <c r="L603" s="1"/>
      <c r="M603" s="59">
        <f>SUM(J603:L603)</f>
        <v>0</v>
      </c>
      <c r="N603" s="1"/>
      <c r="O603" s="1"/>
      <c r="P603" s="1"/>
      <c r="Q603" s="59">
        <f>SUM(N603:P603)</f>
        <v>0</v>
      </c>
      <c r="R603" s="59">
        <f>+E603+I603+M603+Q603</f>
        <v>0</v>
      </c>
      <c r="T603" s="4" t="s">
        <v>516</v>
      </c>
    </row>
    <row r="604" spans="1:20" ht="15.75" customHeight="1" x14ac:dyDescent="0.3">
      <c r="A604" s="74" t="s">
        <v>536</v>
      </c>
      <c r="B604" s="1"/>
      <c r="C604" s="1"/>
      <c r="D604" s="1"/>
      <c r="E604" s="59">
        <f>SUM(B604:D604)</f>
        <v>0</v>
      </c>
      <c r="F604" s="1"/>
      <c r="G604" s="1"/>
      <c r="H604" s="1"/>
      <c r="I604" s="59">
        <f>SUM(F604:H604)</f>
        <v>0</v>
      </c>
      <c r="J604" s="1"/>
      <c r="K604" s="1"/>
      <c r="L604" s="1"/>
      <c r="M604" s="59">
        <f>SUM(J604:L604)</f>
        <v>0</v>
      </c>
      <c r="N604" s="1"/>
      <c r="O604" s="1"/>
      <c r="P604" s="1"/>
      <c r="Q604" s="59">
        <f>SUM(N604:P604)</f>
        <v>0</v>
      </c>
      <c r="R604" s="59">
        <f>+E604+I604+M604+Q604</f>
        <v>0</v>
      </c>
      <c r="T604" s="4" t="s">
        <v>516</v>
      </c>
    </row>
    <row r="605" spans="1:20" ht="15.75" customHeight="1" x14ac:dyDescent="0.3">
      <c r="A605" s="17" t="s">
        <v>64</v>
      </c>
      <c r="B605" s="1"/>
      <c r="C605" s="1"/>
      <c r="D605" s="1"/>
      <c r="E605" s="59" t="s">
        <v>7</v>
      </c>
      <c r="F605" s="1"/>
      <c r="G605" s="1"/>
      <c r="H605" s="1"/>
      <c r="I605" s="59" t="s">
        <v>7</v>
      </c>
      <c r="J605" s="1"/>
      <c r="K605" s="1"/>
      <c r="L605" s="1"/>
      <c r="M605" s="59" t="s">
        <v>7</v>
      </c>
      <c r="N605" s="1"/>
      <c r="O605" s="1"/>
      <c r="P605" s="1"/>
      <c r="Q605" s="59" t="s">
        <v>7</v>
      </c>
      <c r="R605" s="59" t="s">
        <v>7</v>
      </c>
    </row>
    <row r="606" spans="1:20" ht="15.75" customHeight="1" x14ac:dyDescent="0.3">
      <c r="A606" s="74" t="s">
        <v>537</v>
      </c>
      <c r="B606" s="1"/>
      <c r="C606" s="1"/>
      <c r="D606" s="1"/>
      <c r="E606" s="59">
        <f>SUM(B606:D606)</f>
        <v>0</v>
      </c>
      <c r="F606" s="1"/>
      <c r="G606" s="1"/>
      <c r="H606" s="1"/>
      <c r="I606" s="59">
        <f>SUM(F606:H606)</f>
        <v>0</v>
      </c>
      <c r="J606" s="1"/>
      <c r="K606" s="1"/>
      <c r="L606" s="1"/>
      <c r="M606" s="59">
        <f>SUM(J606:L606)</f>
        <v>0</v>
      </c>
      <c r="N606" s="1"/>
      <c r="O606" s="1"/>
      <c r="P606" s="1"/>
      <c r="Q606" s="59">
        <f>SUM(N606:P606)</f>
        <v>0</v>
      </c>
      <c r="R606" s="59">
        <f>+E606+I606+M606+Q606</f>
        <v>0</v>
      </c>
    </row>
    <row r="607" spans="1:20" ht="15.75" customHeight="1" x14ac:dyDescent="0.3">
      <c r="A607" s="74" t="s">
        <v>538</v>
      </c>
      <c r="B607" s="1"/>
      <c r="C607" s="1"/>
      <c r="D607" s="1"/>
      <c r="E607" s="59">
        <f>SUM(B607:D607)</f>
        <v>0</v>
      </c>
      <c r="F607" s="1"/>
      <c r="G607" s="1"/>
      <c r="H607" s="1"/>
      <c r="I607" s="59">
        <f>SUM(F607:H607)</f>
        <v>0</v>
      </c>
      <c r="J607" s="1"/>
      <c r="K607" s="1"/>
      <c r="L607" s="1"/>
      <c r="M607" s="59">
        <f>SUM(J607:L607)</f>
        <v>0</v>
      </c>
      <c r="N607" s="1"/>
      <c r="O607" s="1"/>
      <c r="P607" s="1"/>
      <c r="Q607" s="59">
        <f>SUM(N607:P607)</f>
        <v>0</v>
      </c>
      <c r="R607" s="59">
        <f>+E607+I607+M607+Q607</f>
        <v>0</v>
      </c>
    </row>
    <row r="608" spans="1:20" ht="15.75" customHeight="1" x14ac:dyDescent="0.3">
      <c r="A608" s="74" t="s">
        <v>539</v>
      </c>
      <c r="B608" s="1"/>
      <c r="C608" s="1"/>
      <c r="D608" s="1"/>
      <c r="E608" s="59">
        <f>SUM(B608:D608)</f>
        <v>0</v>
      </c>
      <c r="F608" s="1"/>
      <c r="G608" s="1"/>
      <c r="H608" s="1"/>
      <c r="I608" s="59">
        <f>SUM(F608:H608)</f>
        <v>0</v>
      </c>
      <c r="J608" s="1"/>
      <c r="K608" s="1"/>
      <c r="L608" s="1"/>
      <c r="M608" s="59">
        <f>SUM(J608:L608)</f>
        <v>0</v>
      </c>
      <c r="N608" s="1"/>
      <c r="O608" s="1"/>
      <c r="P608" s="1">
        <v>1</v>
      </c>
      <c r="Q608" s="59">
        <f>SUM(N608:P608)</f>
        <v>1</v>
      </c>
      <c r="R608" s="59">
        <f>+E608+I608+M608+Q608</f>
        <v>1</v>
      </c>
      <c r="T608" s="4" t="s">
        <v>516</v>
      </c>
    </row>
    <row r="609" spans="1:20" ht="15.75" customHeight="1" x14ac:dyDescent="0.3">
      <c r="A609" s="74" t="s">
        <v>540</v>
      </c>
      <c r="B609" s="1"/>
      <c r="C609" s="1"/>
      <c r="D609" s="1"/>
      <c r="E609" s="59">
        <f>SUM(B609:D609)</f>
        <v>0</v>
      </c>
      <c r="F609" s="1"/>
      <c r="G609" s="1"/>
      <c r="H609" s="1"/>
      <c r="I609" s="59">
        <f>SUM(F609:H609)</f>
        <v>0</v>
      </c>
      <c r="J609" s="1"/>
      <c r="K609" s="1"/>
      <c r="L609" s="1"/>
      <c r="M609" s="59">
        <f>SUM(J609:L609)</f>
        <v>0</v>
      </c>
      <c r="N609" s="1"/>
      <c r="O609" s="1"/>
      <c r="P609" s="1"/>
      <c r="Q609" s="59">
        <f>SUM(N609:P609)</f>
        <v>0</v>
      </c>
      <c r="R609" s="59">
        <f>+E609+I609+M609+Q609</f>
        <v>0</v>
      </c>
      <c r="T609" s="4" t="s">
        <v>516</v>
      </c>
    </row>
    <row r="610" spans="1:20" ht="15.75" customHeight="1" x14ac:dyDescent="0.3">
      <c r="A610" s="17" t="s">
        <v>66</v>
      </c>
      <c r="B610" s="1"/>
      <c r="C610" s="1"/>
      <c r="D610" s="1"/>
      <c r="E610" s="59" t="s">
        <v>7</v>
      </c>
      <c r="F610" s="1"/>
      <c r="G610" s="1"/>
      <c r="H610" s="1"/>
      <c r="I610" s="59" t="s">
        <v>7</v>
      </c>
      <c r="J610" s="1"/>
      <c r="K610" s="1"/>
      <c r="L610" s="1"/>
      <c r="M610" s="59" t="s">
        <v>7</v>
      </c>
      <c r="N610" s="1"/>
      <c r="O610" s="1"/>
      <c r="P610" s="1"/>
      <c r="Q610" s="59" t="s">
        <v>7</v>
      </c>
      <c r="R610" s="59" t="s">
        <v>7</v>
      </c>
    </row>
    <row r="611" spans="1:20" ht="15.75" customHeight="1" x14ac:dyDescent="0.3">
      <c r="A611" s="17" t="s">
        <v>67</v>
      </c>
      <c r="B611" s="1"/>
      <c r="C611" s="1"/>
      <c r="D611" s="1"/>
      <c r="E611" s="59" t="s">
        <v>7</v>
      </c>
      <c r="F611" s="1"/>
      <c r="G611" s="1"/>
      <c r="H611" s="1"/>
      <c r="I611" s="59" t="s">
        <v>7</v>
      </c>
      <c r="J611" s="1"/>
      <c r="K611" s="1"/>
      <c r="L611" s="1"/>
      <c r="M611" s="59" t="s">
        <v>7</v>
      </c>
      <c r="N611" s="1"/>
      <c r="O611" s="1"/>
      <c r="P611" s="1"/>
      <c r="Q611" s="59" t="s">
        <v>7</v>
      </c>
      <c r="R611" s="59" t="s">
        <v>7</v>
      </c>
    </row>
    <row r="612" spans="1:20" ht="15.75" customHeight="1" x14ac:dyDescent="0.3">
      <c r="A612" s="74" t="s">
        <v>543</v>
      </c>
      <c r="B612" s="1"/>
      <c r="C612" s="1"/>
      <c r="D612" s="1"/>
      <c r="E612" s="59">
        <f t="shared" ref="E612:E613" si="165">SUM(B612:D612)</f>
        <v>0</v>
      </c>
      <c r="F612" s="1"/>
      <c r="G612" s="1"/>
      <c r="H612" s="1"/>
      <c r="I612" s="59">
        <f t="shared" ref="I612:I613" si="166">SUM(F612:H612)</f>
        <v>0</v>
      </c>
      <c r="J612" s="1"/>
      <c r="K612" s="1"/>
      <c r="L612" s="1"/>
      <c r="M612" s="59">
        <f t="shared" ref="M612:M613" si="167">SUM(J612:L612)</f>
        <v>0</v>
      </c>
      <c r="N612" s="1"/>
      <c r="O612" s="1"/>
      <c r="P612" s="1"/>
      <c r="Q612" s="59">
        <f t="shared" ref="Q612:Q617" si="168">SUM(N612:P612)</f>
        <v>0</v>
      </c>
      <c r="R612" s="59">
        <f t="shared" ref="R612:R617" si="169">+E612+I612+M612+Q612</f>
        <v>0</v>
      </c>
    </row>
    <row r="613" spans="1:20" ht="15.75" customHeight="1" thickBot="1" x14ac:dyDescent="0.35">
      <c r="A613" s="74" t="s">
        <v>545</v>
      </c>
      <c r="B613" s="1"/>
      <c r="C613" s="1"/>
      <c r="D613" s="1"/>
      <c r="E613" s="59">
        <f t="shared" si="165"/>
        <v>0</v>
      </c>
      <c r="F613" s="1"/>
      <c r="G613" s="1"/>
      <c r="H613" s="1">
        <v>356</v>
      </c>
      <c r="I613" s="59">
        <f t="shared" si="166"/>
        <v>356</v>
      </c>
      <c r="J613" s="1">
        <v>634</v>
      </c>
      <c r="K613" s="1">
        <v>909</v>
      </c>
      <c r="L613" s="1">
        <v>200</v>
      </c>
      <c r="M613" s="59">
        <f t="shared" si="167"/>
        <v>1743</v>
      </c>
      <c r="N613" s="1"/>
      <c r="O613" s="1"/>
      <c r="P613" s="1"/>
      <c r="Q613" s="59">
        <f t="shared" si="168"/>
        <v>0</v>
      </c>
      <c r="R613" s="59">
        <f t="shared" si="169"/>
        <v>2099</v>
      </c>
    </row>
    <row r="614" spans="1:20" ht="16.5" customHeight="1" thickBot="1" x14ac:dyDescent="0.35">
      <c r="A614" s="62" t="s">
        <v>68</v>
      </c>
      <c r="B614" s="344">
        <f>SUM(B610:B613)</f>
        <v>0</v>
      </c>
      <c r="C614" s="344">
        <f>SUM(C610:C613)</f>
        <v>0</v>
      </c>
      <c r="D614" s="344">
        <f>SUM(D610:D613)</f>
        <v>0</v>
      </c>
      <c r="E614" s="334">
        <f t="shared" ref="E614:E617" si="170">SUM(B614:D614)</f>
        <v>0</v>
      </c>
      <c r="F614" s="344">
        <f>SUM(F610:F613)</f>
        <v>0</v>
      </c>
      <c r="G614" s="344">
        <f>SUM(G610:G613)</f>
        <v>0</v>
      </c>
      <c r="H614" s="344">
        <f>SUM(H610:H613)</f>
        <v>356</v>
      </c>
      <c r="I614" s="334">
        <f t="shared" ref="I614:I617" si="171">SUM(F614:H614)</f>
        <v>356</v>
      </c>
      <c r="J614" s="344">
        <f>SUM(J610:J613)</f>
        <v>634</v>
      </c>
      <c r="K614" s="344">
        <f>SUM(K610:K613)</f>
        <v>909</v>
      </c>
      <c r="L614" s="344">
        <f>SUM(L610:L613)</f>
        <v>200</v>
      </c>
      <c r="M614" s="334">
        <f t="shared" ref="M614:M617" si="172">SUM(J614:L614)</f>
        <v>1743</v>
      </c>
      <c r="N614" s="344">
        <f>SUM(N610:N613)</f>
        <v>0</v>
      </c>
      <c r="O614" s="344">
        <f>SUM(O610:O613)</f>
        <v>0</v>
      </c>
      <c r="P614" s="344">
        <f>SUM(P610:P613)</f>
        <v>0</v>
      </c>
      <c r="Q614" s="334">
        <f t="shared" si="168"/>
        <v>0</v>
      </c>
      <c r="R614" s="64">
        <f t="shared" si="169"/>
        <v>2099</v>
      </c>
    </row>
    <row r="615" spans="1:20" ht="16.5" customHeight="1" thickBot="1" x14ac:dyDescent="0.35">
      <c r="A615" s="137" t="s">
        <v>69</v>
      </c>
      <c r="B615" s="100">
        <f>SUM(B601:B613)</f>
        <v>0</v>
      </c>
      <c r="C615" s="101">
        <f>SUM(C601:C613)</f>
        <v>0</v>
      </c>
      <c r="D615" s="138">
        <f>SUM(D601:D613)</f>
        <v>0</v>
      </c>
      <c r="E615" s="334">
        <f t="shared" si="170"/>
        <v>0</v>
      </c>
      <c r="F615" s="100">
        <f>SUM(F601:F613)</f>
        <v>0</v>
      </c>
      <c r="G615" s="101">
        <f>SUM(G601:G613)</f>
        <v>0</v>
      </c>
      <c r="H615" s="138">
        <f>SUM(H601:H613)</f>
        <v>356</v>
      </c>
      <c r="I615" s="334">
        <f t="shared" si="171"/>
        <v>356</v>
      </c>
      <c r="J615" s="100">
        <f>SUM(J601:J613)</f>
        <v>634</v>
      </c>
      <c r="K615" s="101">
        <f>SUM(K601:K613)</f>
        <v>909</v>
      </c>
      <c r="L615" s="138">
        <f>SUM(L601:L613)</f>
        <v>200</v>
      </c>
      <c r="M615" s="334">
        <f t="shared" si="172"/>
        <v>1743</v>
      </c>
      <c r="N615" s="100">
        <f>SUM(N601:N613)</f>
        <v>0</v>
      </c>
      <c r="O615" s="101">
        <f>SUM(O601:O613)</f>
        <v>0</v>
      </c>
      <c r="P615" s="138">
        <f>SUM(P601:P613)</f>
        <v>1</v>
      </c>
      <c r="Q615" s="334">
        <f t="shared" si="168"/>
        <v>1</v>
      </c>
      <c r="R615" s="64">
        <f t="shared" si="169"/>
        <v>2100</v>
      </c>
    </row>
    <row r="616" spans="1:20" ht="16.5" customHeight="1" thickBot="1" x14ac:dyDescent="0.35">
      <c r="A616" s="62" t="s">
        <v>70</v>
      </c>
      <c r="B616" s="149">
        <f>+B587+B593+B600+B615</f>
        <v>646</v>
      </c>
      <c r="C616" s="150">
        <f>+C587+C593+C600+C615</f>
        <v>1714</v>
      </c>
      <c r="D616" s="150">
        <f>+D587+D593+D600+D615</f>
        <v>4388</v>
      </c>
      <c r="E616" s="64">
        <f t="shared" si="170"/>
        <v>6748</v>
      </c>
      <c r="F616" s="63">
        <f>+F587+F593+F600+F615</f>
        <v>5360</v>
      </c>
      <c r="G616" s="63">
        <f>+G587+G593+G600+G615</f>
        <v>3938</v>
      </c>
      <c r="H616" s="63">
        <f>+H587+H593+H600+H615</f>
        <v>3474</v>
      </c>
      <c r="I616" s="64">
        <f t="shared" si="171"/>
        <v>12772</v>
      </c>
      <c r="J616" s="63">
        <f>+J587+J593+J600+J615</f>
        <v>2915</v>
      </c>
      <c r="K616" s="63">
        <f>+K587+K593+K600+K615</f>
        <v>4282</v>
      </c>
      <c r="L616" s="63">
        <f>+L587+L593+L600+L615</f>
        <v>4383</v>
      </c>
      <c r="M616" s="64">
        <f t="shared" si="172"/>
        <v>11580</v>
      </c>
      <c r="N616" s="63">
        <f>+N587+N593+N600+N615</f>
        <v>2551</v>
      </c>
      <c r="O616" s="63">
        <f>+O587+O593+O600+O615</f>
        <v>1619</v>
      </c>
      <c r="P616" s="63">
        <f>+P587+P593+P600+P615</f>
        <v>4134</v>
      </c>
      <c r="Q616" s="64">
        <f t="shared" si="168"/>
        <v>8304</v>
      </c>
      <c r="R616" s="88">
        <f t="shared" si="169"/>
        <v>39404</v>
      </c>
    </row>
    <row r="617" spans="1:20" ht="16.5" customHeight="1" thickBot="1" x14ac:dyDescent="0.35">
      <c r="A617" s="40" t="s">
        <v>37</v>
      </c>
      <c r="B617" s="25">
        <v>17</v>
      </c>
      <c r="C617" s="25">
        <v>47</v>
      </c>
      <c r="D617" s="25">
        <v>84</v>
      </c>
      <c r="E617" s="59">
        <f t="shared" si="170"/>
        <v>148</v>
      </c>
      <c r="F617" s="25">
        <v>116</v>
      </c>
      <c r="G617" s="25">
        <v>132</v>
      </c>
      <c r="H617" s="25">
        <v>138</v>
      </c>
      <c r="I617" s="59">
        <f t="shared" si="171"/>
        <v>386</v>
      </c>
      <c r="J617" s="25">
        <v>126</v>
      </c>
      <c r="K617" s="25">
        <v>95</v>
      </c>
      <c r="L617" s="25">
        <v>99</v>
      </c>
      <c r="M617" s="59">
        <f t="shared" si="172"/>
        <v>320</v>
      </c>
      <c r="N617" s="25">
        <v>91</v>
      </c>
      <c r="O617" s="25">
        <v>67</v>
      </c>
      <c r="P617" s="25">
        <v>38</v>
      </c>
      <c r="Q617" s="59">
        <f t="shared" si="168"/>
        <v>196</v>
      </c>
      <c r="R617" s="59">
        <f t="shared" si="169"/>
        <v>1050</v>
      </c>
    </row>
    <row r="618" spans="1:20" ht="16.5" customHeight="1" thickBot="1" x14ac:dyDescent="0.35">
      <c r="A618" s="42"/>
      <c r="B618" s="37"/>
      <c r="C618" s="37"/>
      <c r="D618" s="37"/>
      <c r="E618" s="43"/>
      <c r="F618" s="37"/>
      <c r="G618" s="37"/>
      <c r="H618" s="37"/>
      <c r="I618" s="43"/>
      <c r="J618" s="37"/>
      <c r="K618" s="37"/>
      <c r="L618" s="37"/>
      <c r="M618" s="43"/>
      <c r="N618" s="37"/>
      <c r="O618" s="37"/>
      <c r="P618" s="37"/>
      <c r="Q618" s="43"/>
      <c r="R618" s="43"/>
    </row>
    <row r="619" spans="1:20" ht="15.75" customHeight="1" x14ac:dyDescent="0.3">
      <c r="A619" s="335" t="s">
        <v>507</v>
      </c>
      <c r="B619" s="336">
        <f>SUM(B616:B617)</f>
        <v>663</v>
      </c>
      <c r="C619" s="336">
        <f>SUM(C616:C617)</f>
        <v>1761</v>
      </c>
      <c r="D619" s="336">
        <f>SUM(D616:D617)</f>
        <v>4472</v>
      </c>
      <c r="E619" s="334">
        <f>SUM(B619:D619)</f>
        <v>6896</v>
      </c>
      <c r="F619" s="336">
        <f>SUM(F616:F617)</f>
        <v>5476</v>
      </c>
      <c r="G619" s="336">
        <f>SUM(G616:G617)</f>
        <v>4070</v>
      </c>
      <c r="H619" s="336">
        <f>SUM(H616:H617)</f>
        <v>3612</v>
      </c>
      <c r="I619" s="334">
        <f>SUM(F619:H619)</f>
        <v>13158</v>
      </c>
      <c r="J619" s="336">
        <f>SUM(J616:J617)</f>
        <v>3041</v>
      </c>
      <c r="K619" s="336">
        <f>SUM(K616:K617)</f>
        <v>4377</v>
      </c>
      <c r="L619" s="336">
        <f>SUM(L616:L617)</f>
        <v>4482</v>
      </c>
      <c r="M619" s="334">
        <f>SUM(J619:L619)</f>
        <v>11900</v>
      </c>
      <c r="N619" s="336">
        <f>SUM(N616:N617)</f>
        <v>2642</v>
      </c>
      <c r="O619" s="336">
        <f>SUM(O616:O617)</f>
        <v>1686</v>
      </c>
      <c r="P619" s="336">
        <f>SUM(P616:P617)</f>
        <v>4172</v>
      </c>
      <c r="Q619" s="334">
        <f>SUM(N619:P619)</f>
        <v>8500</v>
      </c>
      <c r="R619" s="334">
        <f>+E619+I619+M619+Q619</f>
        <v>40454</v>
      </c>
    </row>
    <row r="620" spans="1:20" ht="15.75" customHeight="1" x14ac:dyDescent="0.3">
      <c r="A620" s="85" t="s">
        <v>39</v>
      </c>
      <c r="B620" s="1">
        <f>(B619/B10)/1.983</f>
        <v>10.785222780733005</v>
      </c>
      <c r="C620" s="1">
        <f>(C619/C10)/1.983</f>
        <v>31.716014696347525</v>
      </c>
      <c r="D620" s="1">
        <f>(D619/D10)/1.983</f>
        <v>72.747385030826536</v>
      </c>
      <c r="E620" s="59" t="s">
        <v>7</v>
      </c>
      <c r="F620" s="1">
        <f>(F619/F10)/1.983</f>
        <v>92.049083879643632</v>
      </c>
      <c r="G620" s="1">
        <f>(G619/G10)/1.983</f>
        <v>66.207928684137741</v>
      </c>
      <c r="H620" s="1">
        <f>(H619/H10)/1.983</f>
        <v>60.716086737266771</v>
      </c>
      <c r="I620" s="59" t="s">
        <v>7</v>
      </c>
      <c r="J620" s="1">
        <f>(J619/J10)/1.983</f>
        <v>49.468872513135842</v>
      </c>
      <c r="K620" s="1">
        <f>(K619/K10)/1.983</f>
        <v>71.201991118051822</v>
      </c>
      <c r="L620" s="1">
        <f>(L619/L10)/1.983</f>
        <v>75.340393343419066</v>
      </c>
      <c r="M620" s="59" t="s">
        <v>7</v>
      </c>
      <c r="N620" s="1">
        <f>(N619/N10)/1.983</f>
        <v>42.978218079482041</v>
      </c>
      <c r="O620" s="1">
        <f>(O619/O10)/1.983</f>
        <v>28.340897629853757</v>
      </c>
      <c r="P620" s="1">
        <f>(P619/P10)/1.983</f>
        <v>67.867193727327447</v>
      </c>
      <c r="Q620" s="59" t="s">
        <v>7</v>
      </c>
      <c r="R620" s="59" t="s">
        <v>7</v>
      </c>
    </row>
    <row r="621" spans="1:20" ht="15.75" customHeight="1" x14ac:dyDescent="0.3">
      <c r="A621" s="85" t="s">
        <v>546</v>
      </c>
      <c r="B621" s="1">
        <f>B619+B631</f>
        <v>15127</v>
      </c>
      <c r="C621" s="1">
        <f>C619+C631</f>
        <v>13165</v>
      </c>
      <c r="D621" s="1">
        <f>D619+D631</f>
        <v>24606</v>
      </c>
      <c r="E621" s="59">
        <f>SUM(B621:D621)</f>
        <v>52898</v>
      </c>
      <c r="F621" s="1">
        <f>F619+F631</f>
        <v>24990</v>
      </c>
      <c r="G621" s="1">
        <f>G619+G631</f>
        <v>23912</v>
      </c>
      <c r="H621" s="1">
        <f>H619+H631</f>
        <v>25020</v>
      </c>
      <c r="I621" s="59">
        <f>SUM(F621:H621)</f>
        <v>73922</v>
      </c>
      <c r="J621" s="1">
        <f>J619+J631</f>
        <v>24758</v>
      </c>
      <c r="K621" s="1">
        <f>K619+K631</f>
        <v>26058</v>
      </c>
      <c r="L621" s="1">
        <f>L619+L631</f>
        <v>23575</v>
      </c>
      <c r="M621" s="59">
        <f>SUM(J621:L621)</f>
        <v>74391</v>
      </c>
      <c r="N621" s="1">
        <f>N619+N631</f>
        <v>9720</v>
      </c>
      <c r="O621" s="1">
        <f>O619+O631</f>
        <v>3080</v>
      </c>
      <c r="P621" s="1">
        <f>P619+P631</f>
        <v>11306</v>
      </c>
      <c r="Q621" s="59">
        <f>SUM(N621:P621)</f>
        <v>24106</v>
      </c>
      <c r="R621" s="59">
        <f>+E621+I621+M621+Q621</f>
        <v>225317</v>
      </c>
    </row>
    <row r="622" spans="1:20" ht="16.5" customHeight="1" thickBot="1" x14ac:dyDescent="0.35">
      <c r="A622" s="86" t="s">
        <v>547</v>
      </c>
      <c r="B622" s="87">
        <f>(B621/B10)/1.983</f>
        <v>246.07551282676945</v>
      </c>
      <c r="C622" s="87">
        <f>(C621/C10)/1.983</f>
        <v>237.10467545565882</v>
      </c>
      <c r="D622" s="87">
        <f>(D621/D10)/1.983</f>
        <v>400.27329071299596</v>
      </c>
      <c r="E622" s="88" t="s">
        <v>7</v>
      </c>
      <c r="F622" s="87">
        <f>(F621/F10)/1.983</f>
        <v>420.07060010085729</v>
      </c>
      <c r="G622" s="87">
        <f>(G621/G10)/1.983</f>
        <v>388.98378149756803</v>
      </c>
      <c r="H622" s="87">
        <f>(H621/H10)/1.983</f>
        <v>420.5748865355522</v>
      </c>
      <c r="I622" s="88" t="s">
        <v>7</v>
      </c>
      <c r="J622" s="87">
        <f>(J621/J10)/1.983</f>
        <v>402.74592097343549</v>
      </c>
      <c r="K622" s="87">
        <f>(K621/K10)/1.983</f>
        <v>423.89341662193158</v>
      </c>
      <c r="L622" s="87">
        <f>(L621/L10)/1.983</f>
        <v>396.28508993108085</v>
      </c>
      <c r="M622" s="88" t="s">
        <v>7</v>
      </c>
      <c r="N622" s="87">
        <f>(N621/N10)/1.983</f>
        <v>158.11819823337075</v>
      </c>
      <c r="O622" s="87">
        <f>(O621/O10)/1.983</f>
        <v>51.773407295343752</v>
      </c>
      <c r="P622" s="87">
        <f>(P621/P10)/1.983</f>
        <v>183.91814292453594</v>
      </c>
      <c r="Q622" s="88" t="s">
        <v>7</v>
      </c>
      <c r="R622" s="88" t="s">
        <v>7</v>
      </c>
    </row>
    <row r="623" spans="1:20" ht="15.75" customHeight="1" x14ac:dyDescent="0.3">
      <c r="A623" s="28"/>
      <c r="B623" s="1"/>
      <c r="C623" s="1"/>
      <c r="D623" s="1"/>
      <c r="E623" s="1"/>
      <c r="F623" s="1"/>
      <c r="G623" s="1"/>
      <c r="H623" s="1"/>
      <c r="I623" s="1"/>
      <c r="J623" s="1"/>
      <c r="K623" s="1"/>
      <c r="L623" s="1"/>
      <c r="M623" s="1"/>
      <c r="N623" s="1"/>
      <c r="O623" s="1"/>
      <c r="P623" s="1"/>
      <c r="Q623" s="1"/>
      <c r="R623" s="28"/>
    </row>
    <row r="624" spans="1:20" ht="16.5" customHeight="1" thickBot="1" x14ac:dyDescent="0.35">
      <c r="A624" s="123"/>
      <c r="B624" s="25"/>
      <c r="C624" s="25"/>
      <c r="D624" s="25"/>
      <c r="E624" s="25"/>
      <c r="F624" s="25"/>
      <c r="G624" s="25"/>
      <c r="H624" s="25"/>
      <c r="I624" s="25"/>
      <c r="J624" s="25"/>
      <c r="K624" s="25"/>
      <c r="L624" s="25"/>
      <c r="M624" s="25"/>
      <c r="N624" s="25"/>
      <c r="O624" s="25"/>
      <c r="P624" s="25"/>
      <c r="Q624" s="25"/>
      <c r="R624" s="123"/>
    </row>
    <row r="625" spans="1:18" ht="16.5" customHeight="1" thickBot="1" x14ac:dyDescent="0.35">
      <c r="A625" s="343" t="s">
        <v>548</v>
      </c>
      <c r="B625" s="323" t="s">
        <v>36</v>
      </c>
      <c r="C625" s="324" t="s">
        <v>9</v>
      </c>
      <c r="D625" s="324" t="s">
        <v>10</v>
      </c>
      <c r="E625" s="325" t="s">
        <v>11</v>
      </c>
      <c r="F625" s="324" t="s">
        <v>12</v>
      </c>
      <c r="G625" s="324" t="s">
        <v>13</v>
      </c>
      <c r="H625" s="324" t="s">
        <v>14</v>
      </c>
      <c r="I625" s="34" t="s">
        <v>15</v>
      </c>
      <c r="J625" s="324" t="s">
        <v>16</v>
      </c>
      <c r="K625" s="324" t="s">
        <v>17</v>
      </c>
      <c r="L625" s="324" t="s">
        <v>18</v>
      </c>
      <c r="M625" s="34" t="s">
        <v>19</v>
      </c>
      <c r="N625" s="324" t="s">
        <v>20</v>
      </c>
      <c r="O625" s="324" t="s">
        <v>21</v>
      </c>
      <c r="P625" s="324" t="s">
        <v>22</v>
      </c>
      <c r="Q625" s="325" t="s">
        <v>23</v>
      </c>
      <c r="R625" s="332" t="s">
        <v>24</v>
      </c>
    </row>
    <row r="626" spans="1:18" ht="16.5" customHeight="1" thickBot="1" x14ac:dyDescent="0.35">
      <c r="A626" s="42"/>
      <c r="B626" s="37"/>
      <c r="C626" s="37"/>
      <c r="D626" s="37"/>
      <c r="E626" s="38"/>
      <c r="F626" s="37"/>
      <c r="G626" s="37"/>
      <c r="H626" s="37"/>
      <c r="I626" s="38"/>
      <c r="J626" s="37"/>
      <c r="K626" s="37"/>
      <c r="L626" s="37"/>
      <c r="M626" s="38"/>
      <c r="N626" s="37"/>
      <c r="O626" s="37"/>
      <c r="P626" s="37"/>
      <c r="Q626" s="151"/>
      <c r="R626" s="152"/>
    </row>
    <row r="627" spans="1:18" ht="16.5" customHeight="1" thickBot="1" x14ac:dyDescent="0.35">
      <c r="A627" s="40" t="s">
        <v>37</v>
      </c>
      <c r="B627" s="25">
        <v>20</v>
      </c>
      <c r="C627" s="25">
        <v>22</v>
      </c>
      <c r="D627" s="25">
        <v>28</v>
      </c>
      <c r="E627" s="59">
        <f>SUM(B627:D627)</f>
        <v>70</v>
      </c>
      <c r="F627" s="25">
        <v>37</v>
      </c>
      <c r="G627" s="25">
        <v>42</v>
      </c>
      <c r="H627" s="25">
        <v>44</v>
      </c>
      <c r="I627" s="59">
        <f>SUM(F627:H627)</f>
        <v>123</v>
      </c>
      <c r="J627" s="25">
        <v>39</v>
      </c>
      <c r="K627" s="25">
        <v>36</v>
      </c>
      <c r="L627" s="25">
        <v>34</v>
      </c>
      <c r="M627" s="59">
        <f>SUM(J627:L627)</f>
        <v>109</v>
      </c>
      <c r="N627" s="25">
        <v>29</v>
      </c>
      <c r="O627" s="25">
        <v>23</v>
      </c>
      <c r="P627" s="25">
        <v>19</v>
      </c>
      <c r="Q627" s="59">
        <f>SUM(N627:P627)</f>
        <v>71</v>
      </c>
      <c r="R627" s="59">
        <f>+E627+I627+M627+Q627</f>
        <v>373</v>
      </c>
    </row>
    <row r="628" spans="1:18" ht="16.5" customHeight="1" thickBot="1" x14ac:dyDescent="0.35">
      <c r="A628" s="42"/>
      <c r="B628" s="37"/>
      <c r="C628" s="37"/>
      <c r="D628" s="37"/>
      <c r="E628" s="16"/>
      <c r="F628" s="37"/>
      <c r="G628" s="37"/>
      <c r="H628" s="37"/>
      <c r="I628" s="16"/>
      <c r="J628" s="37"/>
      <c r="K628" s="37"/>
      <c r="L628" s="37"/>
      <c r="M628" s="16"/>
      <c r="N628" s="37"/>
      <c r="O628" s="37"/>
      <c r="P628" s="37"/>
      <c r="Q628" s="16"/>
      <c r="R628" s="43"/>
    </row>
    <row r="629" spans="1:18" ht="15.75" customHeight="1" x14ac:dyDescent="0.3">
      <c r="A629" s="335" t="s">
        <v>507</v>
      </c>
      <c r="B629" s="336">
        <f>B627</f>
        <v>20</v>
      </c>
      <c r="C629" s="336">
        <f>C627</f>
        <v>22</v>
      </c>
      <c r="D629" s="336">
        <f>D627</f>
        <v>28</v>
      </c>
      <c r="E629" s="334">
        <f>SUM(B629:D629)</f>
        <v>70</v>
      </c>
      <c r="F629" s="336">
        <f>F627</f>
        <v>37</v>
      </c>
      <c r="G629" s="336">
        <f>G627</f>
        <v>42</v>
      </c>
      <c r="H629" s="336">
        <f>H627</f>
        <v>44</v>
      </c>
      <c r="I629" s="334">
        <f>SUM(F629:H629)</f>
        <v>123</v>
      </c>
      <c r="J629" s="336">
        <f>J627</f>
        <v>39</v>
      </c>
      <c r="K629" s="336">
        <f>K627</f>
        <v>36</v>
      </c>
      <c r="L629" s="336">
        <f>L627</f>
        <v>34</v>
      </c>
      <c r="M629" s="334">
        <f>SUM(J629:L629)</f>
        <v>109</v>
      </c>
      <c r="N629" s="336">
        <f>N627</f>
        <v>29</v>
      </c>
      <c r="O629" s="336">
        <f>O627</f>
        <v>23</v>
      </c>
      <c r="P629" s="336">
        <f>P627</f>
        <v>19</v>
      </c>
      <c r="Q629" s="334">
        <f>SUM(N629:P629)</f>
        <v>71</v>
      </c>
      <c r="R629" s="334">
        <f>+E629+I629+M629+Q629</f>
        <v>373</v>
      </c>
    </row>
    <row r="630" spans="1:18" ht="15.75" customHeight="1" x14ac:dyDescent="0.3">
      <c r="A630" s="85" t="s">
        <v>39</v>
      </c>
      <c r="B630" s="1">
        <f>(B629/B10)/1.983</f>
        <v>0.32534608689993977</v>
      </c>
      <c r="C630" s="1">
        <f>(C629/C10)/1.983</f>
        <v>0.39622505583171236</v>
      </c>
      <c r="D630" s="1">
        <f>(D629/D10)/1.983</f>
        <v>0.45548452165991571</v>
      </c>
      <c r="E630" s="59" t="s">
        <v>7</v>
      </c>
      <c r="F630" s="1">
        <f>(F629/F10)/1.983</f>
        <v>0.62195326945705165</v>
      </c>
      <c r="G630" s="1">
        <f>(G629/G10)/1.983</f>
        <v>0.68322678248987356</v>
      </c>
      <c r="H630" s="1">
        <f>(H629/H10)/1.983</f>
        <v>0.73962010421919644</v>
      </c>
      <c r="I630" s="59" t="s">
        <v>7</v>
      </c>
      <c r="J630" s="1">
        <f>(J629/J10)/1.983</f>
        <v>0.63442486945488263</v>
      </c>
      <c r="K630" s="1">
        <f>(K629/K10)/1.983</f>
        <v>0.5856229564198917</v>
      </c>
      <c r="L630" s="1">
        <f>(L629/L10)/1.983</f>
        <v>0.57152462598756093</v>
      </c>
      <c r="M630" s="59" t="s">
        <v>7</v>
      </c>
      <c r="N630" s="1">
        <f>(N629/N10)/1.983</f>
        <v>0.47175182600491267</v>
      </c>
      <c r="O630" s="1">
        <f>(O629/O10)/1.983</f>
        <v>0.38661959993276179</v>
      </c>
      <c r="P630" s="1">
        <f>(P629/P10)/1.983</f>
        <v>0.30907878255494281</v>
      </c>
      <c r="Q630" s="59" t="s">
        <v>7</v>
      </c>
      <c r="R630" s="59" t="s">
        <v>7</v>
      </c>
    </row>
    <row r="631" spans="1:18" ht="15.75" customHeight="1" x14ac:dyDescent="0.3">
      <c r="A631" s="85" t="s">
        <v>549</v>
      </c>
      <c r="B631" s="1">
        <f>B629+B667</f>
        <v>14464</v>
      </c>
      <c r="C631" s="1">
        <f>C629+C667</f>
        <v>11404</v>
      </c>
      <c r="D631" s="1">
        <f>D629+D667</f>
        <v>20134</v>
      </c>
      <c r="E631" s="59">
        <f>SUM(B631:D631)</f>
        <v>46002</v>
      </c>
      <c r="F631" s="1">
        <f>F629+F667</f>
        <v>19514</v>
      </c>
      <c r="G631" s="1">
        <f>G629+G667</f>
        <v>19842</v>
      </c>
      <c r="H631" s="1">
        <f>H629+H667</f>
        <v>21408</v>
      </c>
      <c r="I631" s="59">
        <f>SUM(F631:H631)</f>
        <v>60764</v>
      </c>
      <c r="J631" s="1">
        <f>J629+J667</f>
        <v>21717</v>
      </c>
      <c r="K631" s="1">
        <f>K629+K667</f>
        <v>21681</v>
      </c>
      <c r="L631" s="1">
        <f>L629+L667</f>
        <v>19093</v>
      </c>
      <c r="M631" s="59">
        <f>SUM(J631:L631)</f>
        <v>62491</v>
      </c>
      <c r="N631" s="1">
        <f>N629+N667</f>
        <v>7078</v>
      </c>
      <c r="O631" s="1">
        <f>O629+O667</f>
        <v>1394</v>
      </c>
      <c r="P631" s="1">
        <f>P629+P667</f>
        <v>7134</v>
      </c>
      <c r="Q631" s="59">
        <f>SUM(N631:P631)</f>
        <v>15606</v>
      </c>
      <c r="R631" s="59">
        <f>+E631+I631+M631+Q631</f>
        <v>184863</v>
      </c>
    </row>
    <row r="632" spans="1:18" ht="16.5" customHeight="1" thickBot="1" x14ac:dyDescent="0.35">
      <c r="A632" s="86" t="s">
        <v>550</v>
      </c>
      <c r="B632" s="87">
        <f>(B631/B10)/1.983</f>
        <v>235.29029004603646</v>
      </c>
      <c r="C632" s="87">
        <f>(C631/C10)/1.983</f>
        <v>205.38866075931128</v>
      </c>
      <c r="D632" s="87">
        <f>(D631/D10)/1.983</f>
        <v>327.52590568216942</v>
      </c>
      <c r="E632" s="88" t="s">
        <v>7</v>
      </c>
      <c r="F632" s="87">
        <f>(F631/F10)/1.983</f>
        <v>328.02151622121363</v>
      </c>
      <c r="G632" s="87">
        <f>(G631/G10)/1.983</f>
        <v>322.77585281343028</v>
      </c>
      <c r="H632" s="87">
        <f>(H631/H10)/1.983</f>
        <v>359.85879979828542</v>
      </c>
      <c r="I632" s="88" t="s">
        <v>7</v>
      </c>
      <c r="J632" s="87">
        <f>(J631/J10)/1.983</f>
        <v>353.27704846029962</v>
      </c>
      <c r="K632" s="87">
        <f>(K631/K10)/1.983</f>
        <v>352.69142550387971</v>
      </c>
      <c r="L632" s="87">
        <f>(L631/L10)/1.983</f>
        <v>320.94469658766172</v>
      </c>
      <c r="M632" s="88" t="s">
        <v>7</v>
      </c>
      <c r="N632" s="87">
        <f>(N631/N10)/1.983</f>
        <v>115.13998015388869</v>
      </c>
      <c r="O632" s="87">
        <f>(O631/O10)/1.983</f>
        <v>23.432509665489999</v>
      </c>
      <c r="P632" s="87">
        <f>(P631/P10)/1.983</f>
        <v>116.05094919720852</v>
      </c>
      <c r="Q632" s="88" t="s">
        <v>7</v>
      </c>
      <c r="R632" s="88" t="s">
        <v>7</v>
      </c>
    </row>
    <row r="633" spans="1:18" ht="15.75" customHeight="1" x14ac:dyDescent="0.3">
      <c r="A633" s="30"/>
      <c r="B633" s="1"/>
      <c r="C633" s="1"/>
      <c r="D633" s="1"/>
      <c r="E633" s="1"/>
      <c r="F633" s="1"/>
      <c r="G633" s="1"/>
      <c r="H633" s="1"/>
      <c r="I633" s="1"/>
      <c r="J633" s="1"/>
      <c r="K633" s="1"/>
      <c r="L633" s="1"/>
      <c r="M633" s="1"/>
      <c r="N633" s="1"/>
      <c r="O633" s="1"/>
      <c r="P633" s="1"/>
      <c r="Q633" s="1"/>
      <c r="R633" s="28"/>
    </row>
    <row r="634" spans="1:18" ht="15.75" customHeight="1" thickBot="1" x14ac:dyDescent="0.35">
      <c r="A634" s="30"/>
      <c r="B634" s="1"/>
      <c r="C634" s="1"/>
      <c r="D634" s="1"/>
      <c r="E634" s="1"/>
      <c r="F634" s="1"/>
      <c r="G634" s="1"/>
      <c r="H634" s="1"/>
      <c r="I634" s="1"/>
      <c r="J634" s="1"/>
      <c r="K634" s="1"/>
      <c r="L634" s="1"/>
      <c r="M634" s="1"/>
      <c r="N634" s="1"/>
      <c r="O634" s="1"/>
      <c r="P634" s="1"/>
      <c r="Q634" s="1"/>
      <c r="R634" s="28"/>
    </row>
    <row r="635" spans="1:18" ht="16.5" customHeight="1" thickBot="1" x14ac:dyDescent="0.35">
      <c r="A635" s="31" t="s">
        <v>551</v>
      </c>
      <c r="B635" s="323" t="s">
        <v>36</v>
      </c>
      <c r="C635" s="324" t="s">
        <v>9</v>
      </c>
      <c r="D635" s="324" t="s">
        <v>10</v>
      </c>
      <c r="E635" s="325" t="s">
        <v>11</v>
      </c>
      <c r="F635" s="324" t="s">
        <v>12</v>
      </c>
      <c r="G635" s="324" t="s">
        <v>13</v>
      </c>
      <c r="H635" s="324" t="s">
        <v>14</v>
      </c>
      <c r="I635" s="34" t="s">
        <v>15</v>
      </c>
      <c r="J635" s="324" t="s">
        <v>16</v>
      </c>
      <c r="K635" s="324" t="s">
        <v>17</v>
      </c>
      <c r="L635" s="324" t="s">
        <v>18</v>
      </c>
      <c r="M635" s="34" t="s">
        <v>19</v>
      </c>
      <c r="N635" s="324" t="s">
        <v>20</v>
      </c>
      <c r="O635" s="324" t="s">
        <v>21</v>
      </c>
      <c r="P635" s="324" t="s">
        <v>22</v>
      </c>
      <c r="Q635" s="34" t="s">
        <v>23</v>
      </c>
      <c r="R635" s="326" t="s">
        <v>24</v>
      </c>
    </row>
    <row r="636" spans="1:18" ht="16.5" customHeight="1" thickBot="1" x14ac:dyDescent="0.35">
      <c r="A636" s="42"/>
      <c r="B636" s="37"/>
      <c r="C636" s="37"/>
      <c r="D636" s="37"/>
      <c r="E636" s="16"/>
      <c r="F636" s="37"/>
      <c r="G636" s="37"/>
      <c r="H636" s="37"/>
      <c r="I636" s="16"/>
      <c r="J636" s="37"/>
      <c r="K636" s="37"/>
      <c r="L636" s="37"/>
      <c r="M636" s="16"/>
      <c r="N636" s="37"/>
      <c r="O636" s="37"/>
      <c r="P636" s="37"/>
      <c r="Q636" s="16"/>
      <c r="R636" s="39"/>
    </row>
    <row r="637" spans="1:18" ht="15.75" customHeight="1" x14ac:dyDescent="0.3">
      <c r="A637" s="17" t="s">
        <v>45</v>
      </c>
      <c r="B637" s="1" t="s">
        <v>7</v>
      </c>
      <c r="C637" s="1" t="s">
        <v>7</v>
      </c>
      <c r="D637" s="1" t="s">
        <v>7</v>
      </c>
      <c r="E637" s="59" t="s">
        <v>7</v>
      </c>
      <c r="F637" s="1" t="s">
        <v>7</v>
      </c>
      <c r="G637" s="1" t="s">
        <v>7</v>
      </c>
      <c r="H637" s="1" t="s">
        <v>7</v>
      </c>
      <c r="I637" s="59" t="s">
        <v>7</v>
      </c>
      <c r="J637" s="1" t="s">
        <v>7</v>
      </c>
      <c r="K637" s="1" t="s">
        <v>7</v>
      </c>
      <c r="L637" s="1" t="s">
        <v>7</v>
      </c>
      <c r="M637" s="59" t="s">
        <v>7</v>
      </c>
      <c r="N637" s="1" t="s">
        <v>7</v>
      </c>
      <c r="O637" s="1" t="s">
        <v>7</v>
      </c>
      <c r="P637" s="1" t="s">
        <v>7</v>
      </c>
      <c r="Q637" s="59" t="s">
        <v>7</v>
      </c>
      <c r="R637" s="59" t="s">
        <v>7</v>
      </c>
    </row>
    <row r="638" spans="1:18" ht="15.75" customHeight="1" x14ac:dyDescent="0.3">
      <c r="A638" s="17" t="s">
        <v>46</v>
      </c>
      <c r="B638" s="1"/>
      <c r="C638" s="1"/>
      <c r="D638" s="1"/>
      <c r="E638" s="59" t="s">
        <v>7</v>
      </c>
      <c r="F638" s="1"/>
      <c r="G638" s="1"/>
      <c r="H638" s="1"/>
      <c r="I638" s="59" t="s">
        <v>7</v>
      </c>
      <c r="J638" s="1"/>
      <c r="K638" s="1"/>
      <c r="L638" s="1"/>
      <c r="M638" s="59" t="s">
        <v>7</v>
      </c>
      <c r="N638" s="1"/>
      <c r="O638" s="1"/>
      <c r="P638" s="1"/>
      <c r="Q638" s="59" t="s">
        <v>7</v>
      </c>
      <c r="R638" s="59" t="s">
        <v>7</v>
      </c>
    </row>
    <row r="639" spans="1:18" ht="15.75" customHeight="1" x14ac:dyDescent="0.3">
      <c r="A639" s="74" t="s">
        <v>552</v>
      </c>
      <c r="B639" s="1"/>
      <c r="C639" s="1">
        <v>495</v>
      </c>
      <c r="D639" s="1">
        <v>590</v>
      </c>
      <c r="E639" s="59">
        <f>SUM(B639:D639)</f>
        <v>1085</v>
      </c>
      <c r="F639" s="1">
        <v>500</v>
      </c>
      <c r="G639" s="1">
        <v>1232</v>
      </c>
      <c r="H639" s="1">
        <v>490</v>
      </c>
      <c r="I639" s="59">
        <f>SUM(F639:H639)</f>
        <v>2222</v>
      </c>
      <c r="J639" s="1">
        <v>1501</v>
      </c>
      <c r="K639" s="1">
        <v>850</v>
      </c>
      <c r="L639" s="1">
        <v>1217</v>
      </c>
      <c r="M639" s="59">
        <f>SUM(J639:L639)</f>
        <v>3568</v>
      </c>
      <c r="N639" s="1">
        <v>896</v>
      </c>
      <c r="O639" s="1">
        <v>99</v>
      </c>
      <c r="P639" s="1"/>
      <c r="Q639" s="59">
        <f>SUM(N639:P639)</f>
        <v>995</v>
      </c>
      <c r="R639" s="59">
        <f>+E639+I639+M639+Q639</f>
        <v>7870</v>
      </c>
    </row>
    <row r="640" spans="1:18" ht="15.75" customHeight="1" x14ac:dyDescent="0.3">
      <c r="A640" s="74" t="s">
        <v>553</v>
      </c>
      <c r="B640" s="1">
        <v>303</v>
      </c>
      <c r="C640" s="1"/>
      <c r="D640" s="1">
        <v>312</v>
      </c>
      <c r="E640" s="59">
        <f>SUM(B640:D640)</f>
        <v>615</v>
      </c>
      <c r="F640" s="1">
        <v>516</v>
      </c>
      <c r="G640" s="1">
        <v>765</v>
      </c>
      <c r="H640" s="1">
        <v>118</v>
      </c>
      <c r="I640" s="59">
        <f>SUM(F640:H640)</f>
        <v>1399</v>
      </c>
      <c r="J640" s="1"/>
      <c r="K640" s="1"/>
      <c r="L640" s="1"/>
      <c r="M640" s="59">
        <f>SUM(J640:L640)</f>
        <v>0</v>
      </c>
      <c r="N640" s="1"/>
      <c r="O640" s="1"/>
      <c r="P640" s="1"/>
      <c r="Q640" s="59">
        <f>SUM(N640:P640)</f>
        <v>0</v>
      </c>
      <c r="R640" s="59">
        <f>+E640+I640+M640+Q640</f>
        <v>2014</v>
      </c>
    </row>
    <row r="641" spans="1:18" ht="15.75" customHeight="1" x14ac:dyDescent="0.3">
      <c r="A641" s="74" t="s">
        <v>554</v>
      </c>
      <c r="B641" s="1"/>
      <c r="C641" s="1"/>
      <c r="D641" s="1"/>
      <c r="E641" s="59">
        <f>SUM(B641:D641)</f>
        <v>0</v>
      </c>
      <c r="F641" s="1"/>
      <c r="G641" s="1"/>
      <c r="H641" s="1"/>
      <c r="I641" s="59">
        <f>SUM(F641:H641)</f>
        <v>0</v>
      </c>
      <c r="J641" s="1"/>
      <c r="K641" s="1"/>
      <c r="L641" s="1"/>
      <c r="M641" s="59">
        <f>SUM(J641:L641)</f>
        <v>0</v>
      </c>
      <c r="N641" s="1"/>
      <c r="O641" s="1"/>
      <c r="P641" s="1"/>
      <c r="Q641" s="59">
        <f>SUM(N641:P641)</f>
        <v>0</v>
      </c>
      <c r="R641" s="59">
        <f>+E641+I641+M641+Q641</f>
        <v>0</v>
      </c>
    </row>
    <row r="642" spans="1:18" ht="15.75" customHeight="1" x14ac:dyDescent="0.3">
      <c r="A642" s="17" t="s">
        <v>47</v>
      </c>
      <c r="B642" s="1"/>
      <c r="C642" s="1"/>
      <c r="D642" s="1"/>
      <c r="E642" s="59" t="s">
        <v>7</v>
      </c>
      <c r="F642" s="1"/>
      <c r="G642" s="1"/>
      <c r="H642" s="1"/>
      <c r="I642" s="59" t="s">
        <v>7</v>
      </c>
      <c r="J642" s="1"/>
      <c r="K642" s="1"/>
      <c r="L642" s="1"/>
      <c r="M642" s="59" t="s">
        <v>7</v>
      </c>
      <c r="N642" s="1"/>
      <c r="O642" s="1"/>
      <c r="P642" s="1"/>
      <c r="Q642" s="59" t="s">
        <v>7</v>
      </c>
      <c r="R642" s="59" t="s">
        <v>7</v>
      </c>
    </row>
    <row r="643" spans="1:18" ht="15.75" customHeight="1" x14ac:dyDescent="0.3">
      <c r="A643" s="17" t="s">
        <v>49</v>
      </c>
      <c r="B643" s="1"/>
      <c r="C643" s="1"/>
      <c r="D643" s="1"/>
      <c r="E643" s="59" t="s">
        <v>7</v>
      </c>
      <c r="F643" s="1"/>
      <c r="G643" s="1"/>
      <c r="H643" s="1"/>
      <c r="I643" s="59" t="s">
        <v>7</v>
      </c>
      <c r="J643" s="1"/>
      <c r="K643" s="1"/>
      <c r="L643" s="1"/>
      <c r="M643" s="59" t="s">
        <v>7</v>
      </c>
      <c r="N643" s="1"/>
      <c r="O643" s="1"/>
      <c r="P643" s="1"/>
      <c r="Q643" s="59" t="s">
        <v>7</v>
      </c>
      <c r="R643" s="59" t="s">
        <v>7</v>
      </c>
    </row>
    <row r="644" spans="1:18" ht="15.75" customHeight="1" thickBot="1" x14ac:dyDescent="0.35">
      <c r="A644" s="17" t="s">
        <v>51</v>
      </c>
      <c r="B644" s="1"/>
      <c r="C644" s="1"/>
      <c r="D644" s="1"/>
      <c r="E644" s="59" t="s">
        <v>7</v>
      </c>
      <c r="F644" s="1"/>
      <c r="G644" s="1"/>
      <c r="H644" s="1"/>
      <c r="I644" s="59" t="s">
        <v>7</v>
      </c>
      <c r="J644" s="1"/>
      <c r="K644" s="1"/>
      <c r="L644" s="1"/>
      <c r="M644" s="59" t="s">
        <v>7</v>
      </c>
      <c r="N644" s="1"/>
      <c r="O644" s="1"/>
      <c r="P644" s="1"/>
      <c r="Q644" s="59" t="s">
        <v>7</v>
      </c>
      <c r="R644" s="59" t="s">
        <v>7</v>
      </c>
    </row>
    <row r="645" spans="1:18" ht="16.5" customHeight="1" thickBot="1" x14ac:dyDescent="0.35">
      <c r="A645" s="126" t="s">
        <v>52</v>
      </c>
      <c r="B645" s="100">
        <f>SUM(B637:B644)</f>
        <v>303</v>
      </c>
      <c r="C645" s="101">
        <f>SUM(C637:C644)</f>
        <v>495</v>
      </c>
      <c r="D645" s="101">
        <f>SUM(D637:D644)</f>
        <v>902</v>
      </c>
      <c r="E645" s="64">
        <f>SUM(B645:D645)</f>
        <v>1700</v>
      </c>
      <c r="F645" s="101">
        <f>SUM(F637:F644)</f>
        <v>1016</v>
      </c>
      <c r="G645" s="101">
        <f>SUM(G637:G644)</f>
        <v>1997</v>
      </c>
      <c r="H645" s="101">
        <f>SUM(H637:H644)</f>
        <v>608</v>
      </c>
      <c r="I645" s="64">
        <f>SUM(F645:H645)</f>
        <v>3621</v>
      </c>
      <c r="J645" s="101">
        <f>SUM(J637:J644)</f>
        <v>1501</v>
      </c>
      <c r="K645" s="101">
        <f>SUM(K637:K644)</f>
        <v>850</v>
      </c>
      <c r="L645" s="101">
        <f>SUM(L637:L644)</f>
        <v>1217</v>
      </c>
      <c r="M645" s="64">
        <f>SUM(J645:L645)</f>
        <v>3568</v>
      </c>
      <c r="N645" s="101">
        <f>SUM(N637:N644)</f>
        <v>896</v>
      </c>
      <c r="O645" s="101">
        <f>SUM(O637:O644)</f>
        <v>99</v>
      </c>
      <c r="P645" s="101">
        <f>SUM(P637:P644)</f>
        <v>0</v>
      </c>
      <c r="Q645" s="64">
        <f>SUM(N645:P645)</f>
        <v>995</v>
      </c>
      <c r="R645" s="64">
        <f>+E645+I645+M645+Q645</f>
        <v>9884</v>
      </c>
    </row>
    <row r="646" spans="1:18" ht="15.75" customHeight="1" x14ac:dyDescent="0.3">
      <c r="A646" s="17" t="s">
        <v>53</v>
      </c>
      <c r="B646" s="1"/>
      <c r="C646" s="1"/>
      <c r="D646" s="1"/>
      <c r="E646" s="59" t="s">
        <v>7</v>
      </c>
      <c r="F646" s="1"/>
      <c r="G646" s="1"/>
      <c r="H646" s="1"/>
      <c r="I646" s="59" t="s">
        <v>7</v>
      </c>
      <c r="J646" s="1"/>
      <c r="K646" s="1"/>
      <c r="L646" s="1"/>
      <c r="M646" s="59" t="s">
        <v>7</v>
      </c>
      <c r="N646" s="1"/>
      <c r="O646" s="1"/>
      <c r="P646" s="1"/>
      <c r="Q646" s="59" t="s">
        <v>7</v>
      </c>
      <c r="R646" s="59" t="s">
        <v>7</v>
      </c>
    </row>
    <row r="647" spans="1:18" ht="15.75" customHeight="1" x14ac:dyDescent="0.3">
      <c r="A647" s="17" t="s">
        <v>55</v>
      </c>
      <c r="B647" s="1"/>
      <c r="C647" s="1"/>
      <c r="D647" s="1"/>
      <c r="E647" s="59" t="s">
        <v>7</v>
      </c>
      <c r="F647" s="1"/>
      <c r="G647" s="1"/>
      <c r="H647" s="1"/>
      <c r="I647" s="59" t="s">
        <v>7</v>
      </c>
      <c r="J647" s="1"/>
      <c r="K647" s="1"/>
      <c r="L647" s="1"/>
      <c r="M647" s="59" t="s">
        <v>7</v>
      </c>
      <c r="N647" s="1"/>
      <c r="O647" s="1"/>
      <c r="P647" s="1"/>
      <c r="Q647" s="59" t="s">
        <v>7</v>
      </c>
      <c r="R647" s="59" t="s">
        <v>7</v>
      </c>
    </row>
    <row r="648" spans="1:18" ht="15.75" customHeight="1" thickBot="1" x14ac:dyDescent="0.35">
      <c r="A648" s="17" t="s">
        <v>56</v>
      </c>
      <c r="B648" s="1"/>
      <c r="C648" s="1"/>
      <c r="D648" s="1"/>
      <c r="E648" s="59" t="s">
        <v>7</v>
      </c>
      <c r="F648" s="1"/>
      <c r="G648" s="1"/>
      <c r="H648" s="1"/>
      <c r="I648" s="59" t="s">
        <v>7</v>
      </c>
      <c r="J648" s="1"/>
      <c r="K648" s="1"/>
      <c r="L648" s="1"/>
      <c r="M648" s="59" t="s">
        <v>7</v>
      </c>
      <c r="N648" s="1"/>
      <c r="O648" s="1"/>
      <c r="P648" s="1"/>
      <c r="Q648" s="59" t="s">
        <v>7</v>
      </c>
      <c r="R648" s="59" t="s">
        <v>7</v>
      </c>
    </row>
    <row r="649" spans="1:18" ht="16.5" customHeight="1" thickBot="1" x14ac:dyDescent="0.35">
      <c r="A649" s="62" t="s">
        <v>57</v>
      </c>
      <c r="B649" s="100">
        <f>SUM(B646:B648)</f>
        <v>0</v>
      </c>
      <c r="C649" s="101">
        <f>SUM(C646:C648)</f>
        <v>0</v>
      </c>
      <c r="D649" s="101">
        <f>SUM(D646:D648)</f>
        <v>0</v>
      </c>
      <c r="E649" s="64">
        <f>SUM(B649:D649)</f>
        <v>0</v>
      </c>
      <c r="F649" s="101">
        <f>SUM(F646:F648)</f>
        <v>0</v>
      </c>
      <c r="G649" s="101">
        <f>SUM(G646:G648)</f>
        <v>0</v>
      </c>
      <c r="H649" s="101">
        <f>SUM(H646:H648)</f>
        <v>0</v>
      </c>
      <c r="I649" s="64">
        <f>SUM(F649:H649)</f>
        <v>0</v>
      </c>
      <c r="J649" s="101">
        <f>SUM(J646:J648)</f>
        <v>0</v>
      </c>
      <c r="K649" s="101">
        <f>SUM(K646:K648)</f>
        <v>0</v>
      </c>
      <c r="L649" s="101">
        <f>SUM(L646:L648)</f>
        <v>0</v>
      </c>
      <c r="M649" s="64">
        <f>SUM(J649:L649)</f>
        <v>0</v>
      </c>
      <c r="N649" s="101">
        <f>SUM(N646:N648)</f>
        <v>0</v>
      </c>
      <c r="O649" s="101">
        <f>SUM(O646:O648)</f>
        <v>0</v>
      </c>
      <c r="P649" s="101">
        <f>SUM(P646:P648)</f>
        <v>0</v>
      </c>
      <c r="Q649" s="64">
        <f>SUM(N649:P649)</f>
        <v>0</v>
      </c>
      <c r="R649" s="64">
        <f>+E649+I649+M649+Q649</f>
        <v>0</v>
      </c>
    </row>
    <row r="650" spans="1:18" ht="15.75" customHeight="1" x14ac:dyDescent="0.3">
      <c r="A650" s="17" t="s">
        <v>58</v>
      </c>
      <c r="B650" s="1"/>
      <c r="C650" s="1"/>
      <c r="D650" s="1"/>
      <c r="E650" s="59" t="s">
        <v>7</v>
      </c>
      <c r="F650" s="1"/>
      <c r="G650" s="1"/>
      <c r="H650" s="1"/>
      <c r="I650" s="59" t="s">
        <v>7</v>
      </c>
      <c r="J650" s="1"/>
      <c r="K650" s="1"/>
      <c r="L650" s="1"/>
      <c r="M650" s="59" t="s">
        <v>7</v>
      </c>
      <c r="N650" s="1"/>
      <c r="O650" s="1"/>
      <c r="P650" s="1"/>
      <c r="Q650" s="59" t="s">
        <v>7</v>
      </c>
      <c r="R650" s="59" t="s">
        <v>7</v>
      </c>
    </row>
    <row r="651" spans="1:18" ht="15.75" customHeight="1" x14ac:dyDescent="0.3">
      <c r="A651" s="17" t="s">
        <v>59</v>
      </c>
      <c r="B651" s="1"/>
      <c r="C651" s="1"/>
      <c r="D651" s="1"/>
      <c r="E651" s="59" t="s">
        <v>7</v>
      </c>
      <c r="F651" s="1"/>
      <c r="G651" s="1"/>
      <c r="H651" s="1"/>
      <c r="I651" s="59" t="s">
        <v>7</v>
      </c>
      <c r="J651" s="1"/>
      <c r="K651" s="1"/>
      <c r="L651" s="1"/>
      <c r="M651" s="59" t="s">
        <v>7</v>
      </c>
      <c r="N651" s="1"/>
      <c r="O651" s="1"/>
      <c r="P651" s="1"/>
      <c r="Q651" s="59" t="s">
        <v>7</v>
      </c>
      <c r="R651" s="59" t="s">
        <v>7</v>
      </c>
    </row>
    <row r="652" spans="1:18" ht="15.75" customHeight="1" thickBot="1" x14ac:dyDescent="0.35">
      <c r="A652" s="17" t="s">
        <v>60</v>
      </c>
      <c r="B652" s="1"/>
      <c r="C652" s="1"/>
      <c r="D652" s="1"/>
      <c r="E652" s="59" t="s">
        <v>7</v>
      </c>
      <c r="F652" s="1"/>
      <c r="G652" s="1"/>
      <c r="H652" s="1"/>
      <c r="I652" s="59" t="s">
        <v>7</v>
      </c>
      <c r="J652" s="1"/>
      <c r="K652" s="1"/>
      <c r="L652" s="1"/>
      <c r="M652" s="59" t="s">
        <v>7</v>
      </c>
      <c r="N652" s="1"/>
      <c r="O652" s="1"/>
      <c r="P652" s="1"/>
      <c r="Q652" s="59" t="s">
        <v>7</v>
      </c>
      <c r="R652" s="59" t="s">
        <v>7</v>
      </c>
    </row>
    <row r="653" spans="1:18" ht="16.5" customHeight="1" thickBot="1" x14ac:dyDescent="0.35">
      <c r="A653" s="137" t="s">
        <v>61</v>
      </c>
      <c r="B653" s="100">
        <f>SUM(B650:B652)</f>
        <v>0</v>
      </c>
      <c r="C653" s="101">
        <f>SUM(C650:C652)</f>
        <v>0</v>
      </c>
      <c r="D653" s="101">
        <f>SUM(D650:D652)</f>
        <v>0</v>
      </c>
      <c r="E653" s="64">
        <f>SUM(B653:D653)</f>
        <v>0</v>
      </c>
      <c r="F653" s="101">
        <f>SUM(F650:F652)</f>
        <v>0</v>
      </c>
      <c r="G653" s="101">
        <f>SUM(G650:G652)</f>
        <v>0</v>
      </c>
      <c r="H653" s="101">
        <f>SUM(H650:H652)</f>
        <v>0</v>
      </c>
      <c r="I653" s="64">
        <f>SUM(F653:H653)</f>
        <v>0</v>
      </c>
      <c r="J653" s="101">
        <f>SUM(J650:J652)</f>
        <v>0</v>
      </c>
      <c r="K653" s="101">
        <f>SUM(K650:K652)</f>
        <v>0</v>
      </c>
      <c r="L653" s="101">
        <f>SUM(L650:L652)</f>
        <v>0</v>
      </c>
      <c r="M653" s="64">
        <f>SUM(J653:L653)</f>
        <v>0</v>
      </c>
      <c r="N653" s="101">
        <f>SUM(N650:N652)</f>
        <v>0</v>
      </c>
      <c r="O653" s="101">
        <f>SUM(O650:O652)</f>
        <v>0</v>
      </c>
      <c r="P653" s="101">
        <f>SUM(P650:P652)</f>
        <v>0</v>
      </c>
      <c r="Q653" s="64">
        <f>SUM(N653:P653)</f>
        <v>0</v>
      </c>
      <c r="R653" s="64">
        <f>+E653+I653+M653+Q653</f>
        <v>0</v>
      </c>
    </row>
    <row r="654" spans="1:18" ht="15.75" customHeight="1" x14ac:dyDescent="0.3">
      <c r="A654" s="17" t="s">
        <v>62</v>
      </c>
      <c r="B654" s="1"/>
      <c r="C654" s="1"/>
      <c r="D654" s="1"/>
      <c r="E654" s="59" t="s">
        <v>7</v>
      </c>
      <c r="F654" s="1"/>
      <c r="G654" s="1"/>
      <c r="H654" s="1"/>
      <c r="I654" s="59" t="s">
        <v>7</v>
      </c>
      <c r="J654" s="1"/>
      <c r="K654" s="1"/>
      <c r="L654" s="1"/>
      <c r="M654" s="59" t="s">
        <v>7</v>
      </c>
      <c r="N654" s="1"/>
      <c r="O654" s="1"/>
      <c r="P654" s="1"/>
      <c r="Q654" s="59" t="s">
        <v>7</v>
      </c>
      <c r="R654" s="59" t="s">
        <v>7</v>
      </c>
    </row>
    <row r="655" spans="1:18" ht="15.75" customHeight="1" x14ac:dyDescent="0.3">
      <c r="A655" s="17" t="s">
        <v>63</v>
      </c>
      <c r="B655" s="1"/>
      <c r="C655" s="1"/>
      <c r="D655" s="1"/>
      <c r="E655" s="59" t="s">
        <v>7</v>
      </c>
      <c r="F655" s="1"/>
      <c r="G655" s="1"/>
      <c r="H655" s="1"/>
      <c r="I655" s="59" t="s">
        <v>7</v>
      </c>
      <c r="J655" s="1"/>
      <c r="K655" s="1"/>
      <c r="L655" s="1"/>
      <c r="M655" s="59" t="s">
        <v>7</v>
      </c>
      <c r="N655" s="1"/>
      <c r="O655" s="1"/>
      <c r="P655" s="1"/>
      <c r="Q655" s="59" t="s">
        <v>7</v>
      </c>
      <c r="R655" s="59" t="s">
        <v>7</v>
      </c>
    </row>
    <row r="656" spans="1:18" ht="15.75" customHeight="1" x14ac:dyDescent="0.3">
      <c r="A656" s="17" t="s">
        <v>64</v>
      </c>
      <c r="B656" s="1"/>
      <c r="C656" s="1"/>
      <c r="D656" s="1"/>
      <c r="E656" s="59" t="s">
        <v>7</v>
      </c>
      <c r="F656" s="1"/>
      <c r="G656" s="1"/>
      <c r="H656" s="1"/>
      <c r="I656" s="59" t="s">
        <v>7</v>
      </c>
      <c r="J656" s="1"/>
      <c r="K656" s="1"/>
      <c r="L656" s="1"/>
      <c r="M656" s="59" t="s">
        <v>7</v>
      </c>
      <c r="N656" s="1"/>
      <c r="O656" s="1"/>
      <c r="P656" s="1"/>
      <c r="Q656" s="59" t="s">
        <v>7</v>
      </c>
      <c r="R656" s="59" t="s">
        <v>7</v>
      </c>
    </row>
    <row r="657" spans="1:18" ht="15.75" customHeight="1" x14ac:dyDescent="0.3">
      <c r="A657" s="74" t="s">
        <v>555</v>
      </c>
      <c r="B657" s="1"/>
      <c r="C657" s="1"/>
      <c r="D657" s="1"/>
      <c r="E657" s="59">
        <f>SUM(B657:D657)</f>
        <v>0</v>
      </c>
      <c r="F657" s="1"/>
      <c r="G657" s="1"/>
      <c r="H657" s="1"/>
      <c r="I657" s="59">
        <f>SUM(F657:H657)</f>
        <v>0</v>
      </c>
      <c r="J657" s="1"/>
      <c r="K657" s="1"/>
      <c r="L657" s="1"/>
      <c r="M657" s="59">
        <f>SUM(J657:L657)</f>
        <v>0</v>
      </c>
      <c r="N657" s="1"/>
      <c r="O657" s="1"/>
      <c r="P657" s="1"/>
      <c r="Q657" s="59">
        <f>SUM(N657:P657)</f>
        <v>0</v>
      </c>
      <c r="R657" s="59">
        <f>+E657+I657+M657+Q657</f>
        <v>0</v>
      </c>
    </row>
    <row r="658" spans="1:18" ht="15.75" customHeight="1" x14ac:dyDescent="0.3">
      <c r="A658" s="17" t="s">
        <v>66</v>
      </c>
      <c r="B658" s="1"/>
      <c r="C658" s="1"/>
      <c r="D658" s="1"/>
      <c r="E658" s="59" t="s">
        <v>7</v>
      </c>
      <c r="F658" s="1"/>
      <c r="G658" s="1"/>
      <c r="H658" s="1"/>
      <c r="I658" s="59" t="s">
        <v>7</v>
      </c>
      <c r="J658" s="1"/>
      <c r="K658" s="1"/>
      <c r="L658" s="1"/>
      <c r="M658" s="59" t="s">
        <v>7</v>
      </c>
      <c r="N658" s="1"/>
      <c r="O658" s="1"/>
      <c r="P658" s="1"/>
      <c r="Q658" s="59" t="s">
        <v>7</v>
      </c>
      <c r="R658" s="59" t="s">
        <v>7</v>
      </c>
    </row>
    <row r="659" spans="1:18" ht="15.75" customHeight="1" thickBot="1" x14ac:dyDescent="0.35">
      <c r="A659" s="17" t="s">
        <v>67</v>
      </c>
      <c r="B659" s="1"/>
      <c r="C659" s="1"/>
      <c r="D659" s="1"/>
      <c r="E659" s="59" t="s">
        <v>7</v>
      </c>
      <c r="F659" s="1"/>
      <c r="G659" s="1"/>
      <c r="H659" s="1"/>
      <c r="I659" s="59" t="s">
        <v>7</v>
      </c>
      <c r="J659" s="1"/>
      <c r="K659" s="1"/>
      <c r="L659" s="1"/>
      <c r="M659" s="59" t="s">
        <v>7</v>
      </c>
      <c r="N659" s="1"/>
      <c r="O659" s="1"/>
      <c r="P659" s="1"/>
      <c r="Q659" s="59" t="s">
        <v>7</v>
      </c>
      <c r="R659" s="59" t="s">
        <v>7</v>
      </c>
    </row>
    <row r="660" spans="1:18" ht="16.5" customHeight="1" thickBot="1" x14ac:dyDescent="0.35">
      <c r="A660" s="62" t="s">
        <v>68</v>
      </c>
      <c r="B660" s="63">
        <f>SUM(B658:B659)</f>
        <v>0</v>
      </c>
      <c r="C660" s="63">
        <f>SUM(C658:C659)</f>
        <v>0</v>
      </c>
      <c r="D660" s="63">
        <f>SUM(D658:D659)</f>
        <v>0</v>
      </c>
      <c r="E660" s="334">
        <f>SUM(B660:D660)</f>
        <v>0</v>
      </c>
      <c r="F660" s="63">
        <f>SUM(F658:F659)</f>
        <v>0</v>
      </c>
      <c r="G660" s="63">
        <f>SUM(G658:G659)</f>
        <v>0</v>
      </c>
      <c r="H660" s="63">
        <f>SUM(H658:H659)</f>
        <v>0</v>
      </c>
      <c r="I660" s="334">
        <f>SUM(F660:H660)</f>
        <v>0</v>
      </c>
      <c r="J660" s="63">
        <f>SUM(J658:J659)</f>
        <v>0</v>
      </c>
      <c r="K660" s="63">
        <f>SUM(K658:K659)</f>
        <v>0</v>
      </c>
      <c r="L660" s="63">
        <f>SUM(L658:L659)</f>
        <v>0</v>
      </c>
      <c r="M660" s="334">
        <f>SUM(J660:L660)</f>
        <v>0</v>
      </c>
      <c r="N660" s="63">
        <f>SUM(N658:N659)</f>
        <v>0</v>
      </c>
      <c r="O660" s="63">
        <f>SUM(O658:O659)</f>
        <v>0</v>
      </c>
      <c r="P660" s="63">
        <f>SUM(P658:P659)</f>
        <v>0</v>
      </c>
      <c r="Q660" s="334">
        <f>SUM(N660:P660)</f>
        <v>0</v>
      </c>
      <c r="R660" s="64">
        <f>+E660+I660+M660+Q660</f>
        <v>0</v>
      </c>
    </row>
    <row r="661" spans="1:18" ht="16.5" customHeight="1" thickBot="1" x14ac:dyDescent="0.35">
      <c r="A661" s="137" t="s">
        <v>69</v>
      </c>
      <c r="B661" s="100">
        <f>SUM(B654:B659)</f>
        <v>0</v>
      </c>
      <c r="C661" s="101">
        <f>SUM(C654:C659)</f>
        <v>0</v>
      </c>
      <c r="D661" s="138">
        <f>SUM(D654:D659)</f>
        <v>0</v>
      </c>
      <c r="E661" s="334">
        <f>SUM(B661:D661)</f>
        <v>0</v>
      </c>
      <c r="F661" s="101">
        <f>SUM(F654:F659)</f>
        <v>0</v>
      </c>
      <c r="G661" s="101">
        <f>SUM(G654:G659)</f>
        <v>0</v>
      </c>
      <c r="H661" s="101">
        <f>SUM(H654:H659)</f>
        <v>0</v>
      </c>
      <c r="I661" s="334">
        <f>SUM(F661:H661)</f>
        <v>0</v>
      </c>
      <c r="J661" s="101">
        <f>SUM(J654:J659)</f>
        <v>0</v>
      </c>
      <c r="K661" s="101">
        <f>SUM(K654:K659)</f>
        <v>0</v>
      </c>
      <c r="L661" s="101">
        <f>SUM(L654:L659)</f>
        <v>0</v>
      </c>
      <c r="M661" s="334">
        <f>SUM(J661:L661)</f>
        <v>0</v>
      </c>
      <c r="N661" s="101">
        <f>SUM(N654:N659)</f>
        <v>0</v>
      </c>
      <c r="O661" s="101">
        <f>SUM(O654:O659)</f>
        <v>0</v>
      </c>
      <c r="P661" s="101">
        <f>SUM(P654:P659)</f>
        <v>0</v>
      </c>
      <c r="Q661" s="334">
        <f>SUM(N661:P661)</f>
        <v>0</v>
      </c>
      <c r="R661" s="64">
        <f>+E661+I661+M661+Q661</f>
        <v>0</v>
      </c>
    </row>
    <row r="662" spans="1:18" ht="16.5" customHeight="1" thickBot="1" x14ac:dyDescent="0.35">
      <c r="A662" s="62" t="s">
        <v>70</v>
      </c>
      <c r="B662" s="107">
        <f>+B645+B649+B653+B661</f>
        <v>303</v>
      </c>
      <c r="C662" s="63">
        <f>+C645+C649+C653+C661</f>
        <v>495</v>
      </c>
      <c r="D662" s="63">
        <f>+D645+D649+D653+D661</f>
        <v>902</v>
      </c>
      <c r="E662" s="64">
        <f>SUM(B662:D662)</f>
        <v>1700</v>
      </c>
      <c r="F662" s="63">
        <f>+F645+F649+F653+F661</f>
        <v>1016</v>
      </c>
      <c r="G662" s="63">
        <f>+G645+G649+G653+G661</f>
        <v>1997</v>
      </c>
      <c r="H662" s="63">
        <f>+H645+H649+H653+H661</f>
        <v>608</v>
      </c>
      <c r="I662" s="64">
        <f>SUM(F662:H662)</f>
        <v>3621</v>
      </c>
      <c r="J662" s="63">
        <f>+J645+J649+J653+J661</f>
        <v>1501</v>
      </c>
      <c r="K662" s="63">
        <f>+K645+K649+K653+K661</f>
        <v>850</v>
      </c>
      <c r="L662" s="63">
        <f>+L645+L649+L653+L661</f>
        <v>1217</v>
      </c>
      <c r="M662" s="64">
        <f>SUM(J662:L662)</f>
        <v>3568</v>
      </c>
      <c r="N662" s="63">
        <f>+N645+N649+N653+N661</f>
        <v>896</v>
      </c>
      <c r="O662" s="63">
        <f>+O645+O649+O653+O661</f>
        <v>99</v>
      </c>
      <c r="P662" s="63">
        <f>+P645+P649+P653+P661</f>
        <v>0</v>
      </c>
      <c r="Q662" s="64">
        <f>SUM(N662:P662)</f>
        <v>995</v>
      </c>
      <c r="R662" s="88">
        <f>+E662+I662+M662+Q662</f>
        <v>9884</v>
      </c>
    </row>
    <row r="663" spans="1:18" ht="16.5" customHeight="1" thickBot="1" x14ac:dyDescent="0.35">
      <c r="A663" s="40" t="s">
        <v>37</v>
      </c>
      <c r="B663" s="25">
        <v>10</v>
      </c>
      <c r="C663" s="25">
        <v>11</v>
      </c>
      <c r="D663" s="25">
        <v>14</v>
      </c>
      <c r="E663" s="59">
        <f>SUM(B663:D663)</f>
        <v>35</v>
      </c>
      <c r="F663" s="25">
        <v>18</v>
      </c>
      <c r="G663" s="25">
        <v>21</v>
      </c>
      <c r="H663" s="25">
        <v>22</v>
      </c>
      <c r="I663" s="59">
        <f>SUM(F663:H663)</f>
        <v>61</v>
      </c>
      <c r="J663" s="25">
        <v>19</v>
      </c>
      <c r="K663" s="25">
        <v>17</v>
      </c>
      <c r="L663" s="25">
        <v>17</v>
      </c>
      <c r="M663" s="59">
        <f>SUM(J663:L663)</f>
        <v>53</v>
      </c>
      <c r="N663" s="25">
        <v>14</v>
      </c>
      <c r="O663" s="25">
        <v>11</v>
      </c>
      <c r="P663" s="25">
        <v>9</v>
      </c>
      <c r="Q663" s="59">
        <f>SUM(N663:P663)</f>
        <v>34</v>
      </c>
      <c r="R663" s="59">
        <f>+E663+I663+M663+Q663</f>
        <v>183</v>
      </c>
    </row>
    <row r="664" spans="1:18" ht="16.5" customHeight="1" thickBot="1" x14ac:dyDescent="0.35">
      <c r="A664" s="42"/>
      <c r="B664" s="37"/>
      <c r="C664" s="37"/>
      <c r="D664" s="37"/>
      <c r="E664" s="16"/>
      <c r="F664" s="37"/>
      <c r="G664" s="37"/>
      <c r="H664" s="37"/>
      <c r="I664" s="16"/>
      <c r="J664" s="37"/>
      <c r="K664" s="37"/>
      <c r="L664" s="37"/>
      <c r="M664" s="345"/>
      <c r="N664" s="37"/>
      <c r="O664" s="37"/>
      <c r="P664" s="37"/>
      <c r="Q664" s="345"/>
      <c r="R664" s="327"/>
    </row>
    <row r="665" spans="1:18" ht="15.75" customHeight="1" x14ac:dyDescent="0.3">
      <c r="A665" s="17" t="s">
        <v>507</v>
      </c>
      <c r="B665" s="1">
        <f>SUM(B662:B663)</f>
        <v>313</v>
      </c>
      <c r="C665" s="1">
        <f>SUM(C662:C663)</f>
        <v>506</v>
      </c>
      <c r="D665" s="1">
        <f>SUM(D662:D663)</f>
        <v>916</v>
      </c>
      <c r="E665" s="59">
        <f>SUM(B665:D665)</f>
        <v>1735</v>
      </c>
      <c r="F665" s="1">
        <f>SUM(F662:F663)</f>
        <v>1034</v>
      </c>
      <c r="G665" s="1">
        <f>SUM(G662:G663)</f>
        <v>2018</v>
      </c>
      <c r="H665" s="1">
        <f>SUM(H662:H663)</f>
        <v>630</v>
      </c>
      <c r="I665" s="334">
        <f>SUM(F665:H665)</f>
        <v>3682</v>
      </c>
      <c r="J665" s="1">
        <f>SUM(J662:J663)</f>
        <v>1520</v>
      </c>
      <c r="K665" s="1">
        <f>SUM(K662:K663)</f>
        <v>867</v>
      </c>
      <c r="L665" s="1">
        <f>SUM(L662:L663)</f>
        <v>1234</v>
      </c>
      <c r="M665" s="334">
        <f>SUM(J665:L665)</f>
        <v>3621</v>
      </c>
      <c r="N665" s="1">
        <f>SUM(N662:N663)</f>
        <v>910</v>
      </c>
      <c r="O665" s="1">
        <f>SUM(O662:O663)</f>
        <v>110</v>
      </c>
      <c r="P665" s="1">
        <f>SUM(P662:P663)</f>
        <v>9</v>
      </c>
      <c r="Q665" s="334">
        <f>SUM(N665:P665)</f>
        <v>1029</v>
      </c>
      <c r="R665" s="334">
        <f>+E665+I665+M665+Q665</f>
        <v>10067</v>
      </c>
    </row>
    <row r="666" spans="1:18" ht="15.75" customHeight="1" x14ac:dyDescent="0.3">
      <c r="A666" s="17" t="s">
        <v>39</v>
      </c>
      <c r="B666" s="1">
        <f>(B665/B10)/1.983</f>
        <v>5.0916662599840583</v>
      </c>
      <c r="C666" s="1">
        <f>(C665/C10)/1.983</f>
        <v>9.113176284129386</v>
      </c>
      <c r="D666" s="1">
        <f>(D665/D10)/1.983</f>
        <v>14.900850780017242</v>
      </c>
      <c r="E666" s="59" t="s">
        <v>7</v>
      </c>
      <c r="F666" s="1">
        <f>(F665/F10)/1.983</f>
        <v>17.381072449151119</v>
      </c>
      <c r="G666" s="1">
        <f>(G665/G10)/1.983</f>
        <v>32.827420168203922</v>
      </c>
      <c r="H666" s="1">
        <f>(H665/H10)/1.983</f>
        <v>10.59001512859304</v>
      </c>
      <c r="I666" s="59" t="s">
        <v>7</v>
      </c>
      <c r="J666" s="1">
        <f>(J665/J10)/1.983</f>
        <v>24.726302604395425</v>
      </c>
      <c r="K666" s="1">
        <f>(K665/K10)/1.983</f>
        <v>14.103752867112391</v>
      </c>
      <c r="L666" s="1">
        <f>(L665/L10)/1.983</f>
        <v>20.742982013783827</v>
      </c>
      <c r="M666" s="59" t="s">
        <v>7</v>
      </c>
      <c r="N666" s="1">
        <f>(N665/N10)/1.983</f>
        <v>14.80324695394726</v>
      </c>
      <c r="O666" s="1">
        <f>(O665/O10)/1.983</f>
        <v>1.849050260547991</v>
      </c>
      <c r="P666" s="1">
        <f>(P665/P10)/1.983</f>
        <v>0.14640573910497293</v>
      </c>
      <c r="Q666" s="59" t="s">
        <v>7</v>
      </c>
      <c r="R666" s="59" t="s">
        <v>7</v>
      </c>
    </row>
    <row r="667" spans="1:18" ht="15.75" customHeight="1" x14ac:dyDescent="0.3">
      <c r="A667" s="17" t="s">
        <v>556</v>
      </c>
      <c r="B667" s="1">
        <f>B665+B715</f>
        <v>14444</v>
      </c>
      <c r="C667" s="1">
        <f>C665+C715</f>
        <v>11382</v>
      </c>
      <c r="D667" s="1">
        <f>D665+D715</f>
        <v>20106</v>
      </c>
      <c r="E667" s="59">
        <f>SUM(B667:D667)</f>
        <v>45932</v>
      </c>
      <c r="F667" s="1">
        <f>F665+F715</f>
        <v>19477</v>
      </c>
      <c r="G667" s="1">
        <f>G665+G715</f>
        <v>19800</v>
      </c>
      <c r="H667" s="1">
        <f>H665+H715</f>
        <v>21364</v>
      </c>
      <c r="I667" s="59">
        <f>SUM(F667:H667)</f>
        <v>60641</v>
      </c>
      <c r="J667" s="1">
        <f>J665+J715</f>
        <v>21678</v>
      </c>
      <c r="K667" s="1">
        <f>K665+K715</f>
        <v>21645</v>
      </c>
      <c r="L667" s="1">
        <f>L665+L715</f>
        <v>19059</v>
      </c>
      <c r="M667" s="59">
        <f>SUM(J667:L667)</f>
        <v>62382</v>
      </c>
      <c r="N667" s="1">
        <f>N665+N715</f>
        <v>7049</v>
      </c>
      <c r="O667" s="1">
        <f>O665+O715</f>
        <v>1371</v>
      </c>
      <c r="P667" s="1">
        <f>P665+P715</f>
        <v>7115</v>
      </c>
      <c r="Q667" s="59">
        <f>SUM(N667:P667)</f>
        <v>15535</v>
      </c>
      <c r="R667" s="59">
        <f>+E667+I667+M667+Q667</f>
        <v>184490</v>
      </c>
    </row>
    <row r="668" spans="1:18" ht="16.5" customHeight="1" thickBot="1" x14ac:dyDescent="0.35">
      <c r="A668" s="24" t="s">
        <v>557</v>
      </c>
      <c r="B668" s="25">
        <f>(B667/B10)/1.983</f>
        <v>234.96494395913652</v>
      </c>
      <c r="C668" s="25">
        <f>(C667/C10)/1.983</f>
        <v>204.99243570347957</v>
      </c>
      <c r="D668" s="25">
        <f>(D667/D10)/1.983</f>
        <v>327.07042116050951</v>
      </c>
      <c r="E668" s="88" t="s">
        <v>7</v>
      </c>
      <c r="F668" s="25">
        <f>(F667/F10)/1.983</f>
        <v>327.39956295175659</v>
      </c>
      <c r="G668" s="25">
        <f>(G667/G10)/1.983</f>
        <v>322.09262603094044</v>
      </c>
      <c r="H668" s="25">
        <f>(H667/H10)/1.983</f>
        <v>359.11917969406619</v>
      </c>
      <c r="I668" s="88" t="s">
        <v>7</v>
      </c>
      <c r="J668" s="25">
        <f>(J667/J10)/1.983</f>
        <v>352.64262359084472</v>
      </c>
      <c r="K668" s="25">
        <f>(K667/K10)/1.983</f>
        <v>352.10580254745986</v>
      </c>
      <c r="L668" s="25">
        <f>(L667/L10)/1.983</f>
        <v>320.37317196167419</v>
      </c>
      <c r="M668" s="88" t="s">
        <v>7</v>
      </c>
      <c r="N668" s="25">
        <f>(N667/N10)/1.983</f>
        <v>114.66822832788378</v>
      </c>
      <c r="O668" s="25">
        <f>(O667/O10)/1.983</f>
        <v>23.045890065557238</v>
      </c>
      <c r="P668" s="25">
        <f>(P667/P10)/1.983</f>
        <v>115.74187041465359</v>
      </c>
      <c r="Q668" s="88" t="s">
        <v>7</v>
      </c>
      <c r="R668" s="88" t="s">
        <v>7</v>
      </c>
    </row>
    <row r="669" spans="1:18" ht="15.75" customHeight="1" x14ac:dyDescent="0.3">
      <c r="A669" s="28"/>
      <c r="B669" s="1"/>
      <c r="C669" s="1"/>
      <c r="D669" s="1"/>
      <c r="E669" s="1"/>
      <c r="F669" s="1"/>
      <c r="G669" s="1"/>
      <c r="H669" s="1"/>
      <c r="I669" s="1"/>
      <c r="J669" s="1"/>
      <c r="K669" s="1"/>
      <c r="L669" s="1"/>
      <c r="M669" s="1"/>
      <c r="N669" s="1"/>
      <c r="O669" s="1"/>
      <c r="P669" s="1"/>
      <c r="Q669" s="1"/>
      <c r="R669" s="28"/>
    </row>
    <row r="670" spans="1:18" ht="16.5" customHeight="1" thickBot="1" x14ac:dyDescent="0.35">
      <c r="A670" s="123"/>
      <c r="B670" s="25"/>
      <c r="C670" s="25"/>
      <c r="D670" s="25"/>
      <c r="E670" s="25"/>
      <c r="F670" s="25"/>
      <c r="G670" s="25"/>
      <c r="H670" s="25"/>
      <c r="I670" s="25"/>
      <c r="J670" s="25"/>
      <c r="K670" s="25"/>
      <c r="L670" s="25"/>
      <c r="M670" s="25"/>
      <c r="N670" s="25"/>
      <c r="O670" s="25"/>
      <c r="P670" s="25"/>
      <c r="Q670" s="25"/>
      <c r="R670" s="123"/>
    </row>
    <row r="671" spans="1:18" ht="15.75" customHeight="1" thickBot="1" x14ac:dyDescent="0.35">
      <c r="A671" s="342" t="s">
        <v>558</v>
      </c>
      <c r="B671" s="330" t="s">
        <v>36</v>
      </c>
      <c r="C671" s="331" t="s">
        <v>9</v>
      </c>
      <c r="D671" s="331" t="s">
        <v>10</v>
      </c>
      <c r="E671" s="325" t="s">
        <v>11</v>
      </c>
      <c r="F671" s="331" t="s">
        <v>12</v>
      </c>
      <c r="G671" s="331" t="s">
        <v>13</v>
      </c>
      <c r="H671" s="331" t="s">
        <v>14</v>
      </c>
      <c r="I671" s="325" t="s">
        <v>15</v>
      </c>
      <c r="J671" s="331" t="s">
        <v>16</v>
      </c>
      <c r="K671" s="331" t="s">
        <v>17</v>
      </c>
      <c r="L671" s="331" t="s">
        <v>18</v>
      </c>
      <c r="M671" s="325" t="s">
        <v>19</v>
      </c>
      <c r="N671" s="331" t="s">
        <v>20</v>
      </c>
      <c r="O671" s="331" t="s">
        <v>21</v>
      </c>
      <c r="P671" s="331" t="s">
        <v>22</v>
      </c>
      <c r="Q671" s="325" t="s">
        <v>23</v>
      </c>
      <c r="R671" s="332" t="s">
        <v>24</v>
      </c>
    </row>
    <row r="672" spans="1:18" ht="16.5" customHeight="1" thickBot="1" x14ac:dyDescent="0.35">
      <c r="A672" s="154"/>
      <c r="B672" s="56"/>
      <c r="C672" s="56"/>
      <c r="D672" s="56"/>
      <c r="E672" s="16"/>
      <c r="F672" s="56"/>
      <c r="G672" s="56"/>
      <c r="H672" s="56"/>
      <c r="I672" s="16"/>
      <c r="J672" s="56"/>
      <c r="K672" s="56"/>
      <c r="L672" s="56"/>
      <c r="M672" s="16"/>
      <c r="N672" s="56"/>
      <c r="O672" s="56"/>
      <c r="P672" s="56"/>
      <c r="Q672" s="16"/>
      <c r="R672" s="57"/>
    </row>
    <row r="673" spans="1:19" ht="15.75" customHeight="1" x14ac:dyDescent="0.3">
      <c r="A673" s="17" t="s">
        <v>45</v>
      </c>
      <c r="B673" s="1" t="s">
        <v>7</v>
      </c>
      <c r="C673" s="1" t="s">
        <v>7</v>
      </c>
      <c r="D673" s="1" t="s">
        <v>7</v>
      </c>
      <c r="E673" s="59" t="s">
        <v>7</v>
      </c>
      <c r="F673" s="1" t="s">
        <v>7</v>
      </c>
      <c r="G673" s="1" t="s">
        <v>7</v>
      </c>
      <c r="H673" s="1" t="s">
        <v>7</v>
      </c>
      <c r="I673" s="59" t="s">
        <v>7</v>
      </c>
      <c r="J673" s="1" t="s">
        <v>7</v>
      </c>
      <c r="K673" s="1" t="s">
        <v>7</v>
      </c>
      <c r="L673" s="1" t="s">
        <v>7</v>
      </c>
      <c r="M673" s="59" t="s">
        <v>7</v>
      </c>
      <c r="N673" s="1" t="s">
        <v>7</v>
      </c>
      <c r="O673" s="1" t="s">
        <v>7</v>
      </c>
      <c r="P673" s="1" t="s">
        <v>7</v>
      </c>
      <c r="Q673" s="59" t="s">
        <v>7</v>
      </c>
      <c r="R673" s="59" t="s">
        <v>7</v>
      </c>
    </row>
    <row r="674" spans="1:19" ht="15.75" customHeight="1" x14ac:dyDescent="0.3">
      <c r="A674" s="17" t="s">
        <v>46</v>
      </c>
      <c r="B674" s="1"/>
      <c r="C674" s="1"/>
      <c r="D674" s="1"/>
      <c r="E674" s="59" t="s">
        <v>7</v>
      </c>
      <c r="F674" s="1"/>
      <c r="G674" s="1"/>
      <c r="H674" s="1"/>
      <c r="I674" s="59" t="s">
        <v>7</v>
      </c>
      <c r="J674" s="1"/>
      <c r="K674" s="1"/>
      <c r="L674" s="1"/>
      <c r="M674" s="59" t="s">
        <v>7</v>
      </c>
      <c r="N674" s="1"/>
      <c r="O674" s="1"/>
      <c r="P674" s="1"/>
      <c r="Q674" s="59" t="s">
        <v>7</v>
      </c>
      <c r="R674" s="59" t="s">
        <v>7</v>
      </c>
    </row>
    <row r="675" spans="1:19" ht="15.75" customHeight="1" x14ac:dyDescent="0.3">
      <c r="A675" s="74" t="s">
        <v>559</v>
      </c>
      <c r="B675" s="1">
        <v>5515</v>
      </c>
      <c r="C675" s="1">
        <v>4169</v>
      </c>
      <c r="D675" s="1">
        <v>7680</v>
      </c>
      <c r="E675" s="59">
        <f t="shared" ref="E675:E680" si="173">SUM(B675:D675)</f>
        <v>17364</v>
      </c>
      <c r="F675" s="1">
        <v>6052</v>
      </c>
      <c r="G675" s="1">
        <v>6048</v>
      </c>
      <c r="H675" s="1">
        <v>7364</v>
      </c>
      <c r="I675" s="59">
        <f t="shared" ref="I675:I680" si="174">SUM(F675:H675)</f>
        <v>19464</v>
      </c>
      <c r="J675" s="1">
        <v>7715</v>
      </c>
      <c r="K675" s="1">
        <v>7803</v>
      </c>
      <c r="L675" s="1">
        <v>6184</v>
      </c>
      <c r="M675" s="59">
        <f t="shared" ref="M675:M680" si="175">SUM(J675:L675)</f>
        <v>21702</v>
      </c>
      <c r="N675" s="1">
        <v>1059</v>
      </c>
      <c r="O675" s="1"/>
      <c r="P675" s="1"/>
      <c r="Q675" s="59">
        <f t="shared" ref="Q675:Q680" si="176">SUM(N675:P675)</f>
        <v>1059</v>
      </c>
      <c r="R675" s="59">
        <f t="shared" ref="R675:R680" si="177">+E675+I675+M675+Q675</f>
        <v>59589</v>
      </c>
    </row>
    <row r="676" spans="1:19" ht="15.75" customHeight="1" x14ac:dyDescent="0.3">
      <c r="A676" s="74" t="s">
        <v>560</v>
      </c>
      <c r="B676" s="1">
        <v>709</v>
      </c>
      <c r="C676" s="1">
        <v>37</v>
      </c>
      <c r="D676" s="1">
        <v>1325</v>
      </c>
      <c r="E676" s="59">
        <f t="shared" si="173"/>
        <v>2071</v>
      </c>
      <c r="F676" s="1">
        <v>2547</v>
      </c>
      <c r="G676" s="1">
        <v>3240</v>
      </c>
      <c r="H676" s="1">
        <v>2975</v>
      </c>
      <c r="I676" s="59">
        <f t="shared" si="174"/>
        <v>8762</v>
      </c>
      <c r="J676" s="1">
        <v>3289</v>
      </c>
      <c r="K676" s="1">
        <v>3344</v>
      </c>
      <c r="L676" s="1">
        <v>1814</v>
      </c>
      <c r="M676" s="59">
        <f t="shared" si="175"/>
        <v>8447</v>
      </c>
      <c r="N676" s="1">
        <v>1379</v>
      </c>
      <c r="O676" s="1"/>
      <c r="P676" s="1">
        <v>12</v>
      </c>
      <c r="Q676" s="59">
        <f t="shared" si="176"/>
        <v>1391</v>
      </c>
      <c r="R676" s="59">
        <f t="shared" si="177"/>
        <v>20671</v>
      </c>
    </row>
    <row r="677" spans="1:19" ht="15.75" customHeight="1" x14ac:dyDescent="0.3">
      <c r="A677" s="74" t="s">
        <v>561</v>
      </c>
      <c r="B677" s="1">
        <v>9</v>
      </c>
      <c r="C677" s="1"/>
      <c r="D677" s="1"/>
      <c r="E677" s="59">
        <f t="shared" si="173"/>
        <v>9</v>
      </c>
      <c r="F677" s="1"/>
      <c r="G677" s="1"/>
      <c r="H677" s="1"/>
      <c r="I677" s="59">
        <f t="shared" si="174"/>
        <v>0</v>
      </c>
      <c r="J677" s="1"/>
      <c r="K677" s="1"/>
      <c r="L677" s="1"/>
      <c r="M677" s="59">
        <f t="shared" si="175"/>
        <v>0</v>
      </c>
      <c r="N677" s="1"/>
      <c r="O677" s="1"/>
      <c r="P677" s="1">
        <v>300</v>
      </c>
      <c r="Q677" s="59">
        <f t="shared" si="176"/>
        <v>300</v>
      </c>
      <c r="R677" s="59">
        <f t="shared" si="177"/>
        <v>309</v>
      </c>
    </row>
    <row r="678" spans="1:19" ht="15.75" customHeight="1" x14ac:dyDescent="0.3">
      <c r="A678" s="74" t="s">
        <v>562</v>
      </c>
      <c r="B678" s="1">
        <v>3500</v>
      </c>
      <c r="C678" s="1">
        <v>3500</v>
      </c>
      <c r="D678" s="1">
        <v>4500</v>
      </c>
      <c r="E678" s="59">
        <f t="shared" si="173"/>
        <v>11500</v>
      </c>
      <c r="F678" s="1">
        <v>3500</v>
      </c>
      <c r="G678" s="1"/>
      <c r="H678" s="1">
        <v>2662</v>
      </c>
      <c r="I678" s="59">
        <f t="shared" si="174"/>
        <v>6162</v>
      </c>
      <c r="J678" s="1">
        <v>3500</v>
      </c>
      <c r="K678" s="1">
        <v>3500</v>
      </c>
      <c r="L678" s="1">
        <v>4500</v>
      </c>
      <c r="M678" s="59">
        <f t="shared" si="175"/>
        <v>11500</v>
      </c>
      <c r="N678" s="1"/>
      <c r="O678" s="1"/>
      <c r="P678" s="1">
        <v>3000</v>
      </c>
      <c r="Q678" s="59">
        <f t="shared" si="176"/>
        <v>3000</v>
      </c>
      <c r="R678" s="59">
        <f t="shared" si="177"/>
        <v>32162</v>
      </c>
      <c r="S678" s="1"/>
    </row>
    <row r="679" spans="1:19" ht="15.75" customHeight="1" x14ac:dyDescent="0.3">
      <c r="A679" s="74" t="s">
        <v>563</v>
      </c>
      <c r="B679" s="1">
        <v>250</v>
      </c>
      <c r="C679" s="1">
        <v>250</v>
      </c>
      <c r="D679" s="1">
        <v>250</v>
      </c>
      <c r="E679" s="59">
        <f t="shared" si="173"/>
        <v>750</v>
      </c>
      <c r="F679" s="1">
        <v>250</v>
      </c>
      <c r="G679" s="1">
        <v>250</v>
      </c>
      <c r="H679" s="1">
        <v>250</v>
      </c>
      <c r="I679" s="59">
        <f t="shared" si="174"/>
        <v>750</v>
      </c>
      <c r="J679" s="1">
        <v>250</v>
      </c>
      <c r="K679" s="1">
        <v>250</v>
      </c>
      <c r="L679" s="1">
        <v>300</v>
      </c>
      <c r="M679" s="59">
        <f t="shared" si="175"/>
        <v>800</v>
      </c>
      <c r="N679" s="1"/>
      <c r="O679" s="1"/>
      <c r="P679" s="1"/>
      <c r="Q679" s="59">
        <f t="shared" si="176"/>
        <v>0</v>
      </c>
      <c r="R679" s="59">
        <f t="shared" si="177"/>
        <v>2300</v>
      </c>
    </row>
    <row r="680" spans="1:19" ht="15.75" customHeight="1" x14ac:dyDescent="0.3">
      <c r="A680" s="74" t="s">
        <v>564</v>
      </c>
      <c r="B680" s="1">
        <v>100</v>
      </c>
      <c r="C680" s="1">
        <v>100</v>
      </c>
      <c r="D680" s="1">
        <v>100</v>
      </c>
      <c r="E680" s="59">
        <f t="shared" si="173"/>
        <v>300</v>
      </c>
      <c r="F680" s="1">
        <v>100</v>
      </c>
      <c r="G680" s="1">
        <v>100</v>
      </c>
      <c r="H680" s="1">
        <v>200</v>
      </c>
      <c r="I680" s="59">
        <f t="shared" si="174"/>
        <v>400</v>
      </c>
      <c r="J680" s="1">
        <v>100</v>
      </c>
      <c r="K680" s="1">
        <v>100</v>
      </c>
      <c r="L680" s="1">
        <v>100</v>
      </c>
      <c r="M680" s="59">
        <f t="shared" si="175"/>
        <v>300</v>
      </c>
      <c r="N680" s="1"/>
      <c r="O680" s="1"/>
      <c r="P680" s="1">
        <v>100</v>
      </c>
      <c r="Q680" s="59">
        <f t="shared" si="176"/>
        <v>100</v>
      </c>
      <c r="R680" s="59">
        <f t="shared" si="177"/>
        <v>1100</v>
      </c>
    </row>
    <row r="681" spans="1:19" ht="15.75" customHeight="1" x14ac:dyDescent="0.3">
      <c r="A681" s="17" t="s">
        <v>47</v>
      </c>
      <c r="B681" s="1"/>
      <c r="C681" s="1"/>
      <c r="D681" s="1"/>
      <c r="E681" s="59" t="s">
        <v>7</v>
      </c>
      <c r="F681" s="1"/>
      <c r="G681" s="1"/>
      <c r="H681" s="1"/>
      <c r="I681" s="59" t="s">
        <v>7</v>
      </c>
      <c r="J681" s="1"/>
      <c r="K681" s="1"/>
      <c r="L681" s="1"/>
      <c r="M681" s="59" t="s">
        <v>7</v>
      </c>
      <c r="N681" s="1"/>
      <c r="O681" s="1"/>
      <c r="P681" s="1"/>
      <c r="Q681" s="59" t="s">
        <v>7</v>
      </c>
      <c r="R681" s="59" t="s">
        <v>7</v>
      </c>
    </row>
    <row r="682" spans="1:19" ht="15.75" customHeight="1" x14ac:dyDescent="0.3">
      <c r="A682" s="17" t="s">
        <v>49</v>
      </c>
      <c r="B682" s="1"/>
      <c r="C682" s="1"/>
      <c r="D682" s="1"/>
      <c r="E682" s="59" t="s">
        <v>7</v>
      </c>
      <c r="F682" s="1"/>
      <c r="G682" s="1"/>
      <c r="H682" s="1"/>
      <c r="I682" s="59" t="s">
        <v>7</v>
      </c>
      <c r="J682" s="1"/>
      <c r="K682" s="1"/>
      <c r="L682" s="1"/>
      <c r="M682" s="59" t="s">
        <v>7</v>
      </c>
      <c r="N682" s="1"/>
      <c r="O682" s="1"/>
      <c r="P682" s="1"/>
      <c r="Q682" s="59" t="s">
        <v>7</v>
      </c>
      <c r="R682" s="59" t="s">
        <v>7</v>
      </c>
    </row>
    <row r="683" spans="1:19" ht="15.75" customHeight="1" thickBot="1" x14ac:dyDescent="0.35">
      <c r="A683" s="17" t="s">
        <v>51</v>
      </c>
      <c r="B683" s="1"/>
      <c r="C683" s="1"/>
      <c r="D683" s="1"/>
      <c r="E683" s="59" t="s">
        <v>7</v>
      </c>
      <c r="F683" s="1"/>
      <c r="G683" s="1"/>
      <c r="H683" s="1"/>
      <c r="I683" s="59" t="s">
        <v>7</v>
      </c>
      <c r="J683" s="1"/>
      <c r="K683" s="1"/>
      <c r="L683" s="1"/>
      <c r="M683" s="59" t="s">
        <v>7</v>
      </c>
      <c r="N683" s="1"/>
      <c r="O683" s="1"/>
      <c r="P683" s="1"/>
      <c r="Q683" s="59" t="s">
        <v>7</v>
      </c>
      <c r="R683" s="59" t="s">
        <v>7</v>
      </c>
    </row>
    <row r="684" spans="1:19" ht="16.5" customHeight="1" thickBot="1" x14ac:dyDescent="0.35">
      <c r="A684" s="126" t="s">
        <v>52</v>
      </c>
      <c r="B684" s="100">
        <f>SUM(B673:B683)</f>
        <v>10083</v>
      </c>
      <c r="C684" s="101">
        <f>SUM(C673:C683)</f>
        <v>8056</v>
      </c>
      <c r="D684" s="101">
        <f>SUM(D673:D683)</f>
        <v>13855</v>
      </c>
      <c r="E684" s="64">
        <f>SUM(B684:D684)</f>
        <v>31994</v>
      </c>
      <c r="F684" s="101">
        <f>SUM(F673:F683)</f>
        <v>12449</v>
      </c>
      <c r="G684" s="101">
        <f>SUM(G673:G683)</f>
        <v>9638</v>
      </c>
      <c r="H684" s="101">
        <f>SUM(H673:H683)</f>
        <v>13451</v>
      </c>
      <c r="I684" s="64">
        <f>SUM(F684:H684)</f>
        <v>35538</v>
      </c>
      <c r="J684" s="101">
        <f>SUM(J673:J683)</f>
        <v>14854</v>
      </c>
      <c r="K684" s="101">
        <f>SUM(K673:K683)</f>
        <v>14997</v>
      </c>
      <c r="L684" s="101">
        <f>SUM(L673:L683)</f>
        <v>12898</v>
      </c>
      <c r="M684" s="64">
        <f>SUM(J684:L684)</f>
        <v>42749</v>
      </c>
      <c r="N684" s="101">
        <f>SUM(N673:N683)</f>
        <v>2438</v>
      </c>
      <c r="O684" s="101">
        <f>SUM(O673:O683)</f>
        <v>0</v>
      </c>
      <c r="P684" s="101">
        <f>SUM(P673:P683)</f>
        <v>3412</v>
      </c>
      <c r="Q684" s="64">
        <f>SUM(N684:P684)</f>
        <v>5850</v>
      </c>
      <c r="R684" s="64">
        <f>+E684+I684+M684+Q684</f>
        <v>116131</v>
      </c>
    </row>
    <row r="685" spans="1:19" ht="15.75" customHeight="1" x14ac:dyDescent="0.3">
      <c r="A685" s="17" t="s">
        <v>53</v>
      </c>
      <c r="B685" s="1"/>
      <c r="C685" s="1"/>
      <c r="D685" s="1"/>
      <c r="E685" s="59" t="s">
        <v>7</v>
      </c>
      <c r="F685" s="1"/>
      <c r="G685" s="1"/>
      <c r="H685" s="1"/>
      <c r="I685" s="59" t="s">
        <v>7</v>
      </c>
      <c r="J685" s="1"/>
      <c r="K685" s="1"/>
      <c r="L685" s="1"/>
      <c r="M685" s="59" t="s">
        <v>7</v>
      </c>
      <c r="N685" s="1"/>
      <c r="O685" s="1"/>
      <c r="P685" s="1"/>
      <c r="Q685" s="59" t="s">
        <v>7</v>
      </c>
      <c r="R685" s="59" t="s">
        <v>7</v>
      </c>
    </row>
    <row r="686" spans="1:19" ht="15.75" customHeight="1" x14ac:dyDescent="0.3">
      <c r="A686" s="17" t="s">
        <v>55</v>
      </c>
      <c r="B686" s="1"/>
      <c r="C686" s="1"/>
      <c r="D686" s="1"/>
      <c r="E686" s="59" t="s">
        <v>7</v>
      </c>
      <c r="F686" s="1"/>
      <c r="G686" s="1"/>
      <c r="H686" s="1"/>
      <c r="I686" s="59" t="s">
        <v>7</v>
      </c>
      <c r="J686" s="1"/>
      <c r="K686" s="1"/>
      <c r="L686" s="1"/>
      <c r="M686" s="59" t="s">
        <v>7</v>
      </c>
      <c r="N686" s="1"/>
      <c r="O686" s="1"/>
      <c r="P686" s="1"/>
      <c r="Q686" s="59" t="s">
        <v>7</v>
      </c>
      <c r="R686" s="59" t="s">
        <v>7</v>
      </c>
    </row>
    <row r="687" spans="1:19" ht="15.75" customHeight="1" thickBot="1" x14ac:dyDescent="0.35">
      <c r="A687" s="17" t="s">
        <v>56</v>
      </c>
      <c r="B687" s="1"/>
      <c r="C687" s="1"/>
      <c r="D687" s="1"/>
      <c r="E687" s="59" t="s">
        <v>7</v>
      </c>
      <c r="F687" s="1"/>
      <c r="G687" s="1"/>
      <c r="H687" s="1"/>
      <c r="I687" s="59" t="s">
        <v>7</v>
      </c>
      <c r="J687" s="1"/>
      <c r="K687" s="1"/>
      <c r="L687" s="1"/>
      <c r="M687" s="59" t="s">
        <v>7</v>
      </c>
      <c r="N687" s="1"/>
      <c r="O687" s="1"/>
      <c r="P687" s="1"/>
      <c r="Q687" s="59" t="s">
        <v>7</v>
      </c>
      <c r="R687" s="59" t="s">
        <v>7</v>
      </c>
    </row>
    <row r="688" spans="1:19" ht="16.5" customHeight="1" thickBot="1" x14ac:dyDescent="0.35">
      <c r="A688" s="62" t="s">
        <v>57</v>
      </c>
      <c r="B688" s="100">
        <f>SUM(B685:B687)</f>
        <v>0</v>
      </c>
      <c r="C688" s="101">
        <f>SUM(C685:C687)</f>
        <v>0</v>
      </c>
      <c r="D688" s="101">
        <f>SUM(D685:D687)</f>
        <v>0</v>
      </c>
      <c r="E688" s="64">
        <f>SUM(B688:D688)</f>
        <v>0</v>
      </c>
      <c r="F688" s="101">
        <f>SUM(F685:F687)</f>
        <v>0</v>
      </c>
      <c r="G688" s="101">
        <f>SUM(G685:G687)</f>
        <v>0</v>
      </c>
      <c r="H688" s="101">
        <f>SUM(H685:H687)</f>
        <v>0</v>
      </c>
      <c r="I688" s="64">
        <f>SUM(F688:H688)</f>
        <v>0</v>
      </c>
      <c r="J688" s="101">
        <f>SUM(J685:J687)</f>
        <v>0</v>
      </c>
      <c r="K688" s="101">
        <f>SUM(K685:K687)</f>
        <v>0</v>
      </c>
      <c r="L688" s="101">
        <f>SUM(L685:L687)</f>
        <v>0</v>
      </c>
      <c r="M688" s="64">
        <f>SUM(J688:L688)</f>
        <v>0</v>
      </c>
      <c r="N688" s="101">
        <f>SUM(N685:N687)</f>
        <v>0</v>
      </c>
      <c r="O688" s="101">
        <f>SUM(O685:O687)</f>
        <v>0</v>
      </c>
      <c r="P688" s="101">
        <f>SUM(P685:P687)</f>
        <v>0</v>
      </c>
      <c r="Q688" s="64">
        <f>SUM(N688:P688)</f>
        <v>0</v>
      </c>
      <c r="R688" s="64">
        <f>+E688+I688+M688+Q688</f>
        <v>0</v>
      </c>
    </row>
    <row r="689" spans="1:20" ht="15.75" customHeight="1" x14ac:dyDescent="0.3">
      <c r="A689" s="17" t="s">
        <v>58</v>
      </c>
      <c r="B689" s="1"/>
      <c r="C689" s="1"/>
      <c r="D689" s="1"/>
      <c r="E689" s="59" t="s">
        <v>7</v>
      </c>
      <c r="F689" s="1"/>
      <c r="G689" s="1"/>
      <c r="H689" s="1"/>
      <c r="I689" s="59" t="s">
        <v>7</v>
      </c>
      <c r="J689" s="1"/>
      <c r="K689" s="1"/>
      <c r="L689" s="1"/>
      <c r="M689" s="59" t="s">
        <v>7</v>
      </c>
      <c r="N689" s="1"/>
      <c r="O689" s="1"/>
      <c r="P689" s="1"/>
      <c r="Q689" s="59" t="s">
        <v>7</v>
      </c>
      <c r="R689" s="59" t="s">
        <v>7</v>
      </c>
    </row>
    <row r="690" spans="1:20" ht="15.75" customHeight="1" x14ac:dyDescent="0.3">
      <c r="A690" s="17" t="s">
        <v>59</v>
      </c>
      <c r="B690" s="1"/>
      <c r="C690" s="1"/>
      <c r="D690" s="1"/>
      <c r="E690" s="59" t="s">
        <v>7</v>
      </c>
      <c r="F690" s="1"/>
      <c r="G690" s="1"/>
      <c r="H690" s="1"/>
      <c r="I690" s="59" t="s">
        <v>7</v>
      </c>
      <c r="J690" s="1"/>
      <c r="K690" s="1"/>
      <c r="L690" s="1"/>
      <c r="M690" s="59" t="s">
        <v>7</v>
      </c>
      <c r="N690" s="1"/>
      <c r="O690" s="1"/>
      <c r="P690" s="1"/>
      <c r="Q690" s="59" t="s">
        <v>7</v>
      </c>
      <c r="R690" s="59" t="s">
        <v>7</v>
      </c>
    </row>
    <row r="691" spans="1:20" ht="15.75" customHeight="1" x14ac:dyDescent="0.3">
      <c r="A691" s="74" t="s">
        <v>565</v>
      </c>
      <c r="B691" s="1">
        <v>270</v>
      </c>
      <c r="C691" s="1">
        <v>400</v>
      </c>
      <c r="D691" s="1">
        <v>726</v>
      </c>
      <c r="E691" s="59">
        <f>SUM(B691:D691)</f>
        <v>1396</v>
      </c>
      <c r="F691" s="1">
        <v>1672</v>
      </c>
      <c r="G691" s="1">
        <v>1187</v>
      </c>
      <c r="H691" s="1">
        <v>1318</v>
      </c>
      <c r="I691" s="59">
        <f>SUM(F691:H691)</f>
        <v>4177</v>
      </c>
      <c r="J691" s="1">
        <v>956</v>
      </c>
      <c r="K691" s="1">
        <v>1699</v>
      </c>
      <c r="L691" s="1">
        <v>1054</v>
      </c>
      <c r="M691" s="59">
        <f>SUM(J691:L691)</f>
        <v>3709</v>
      </c>
      <c r="N691" s="1">
        <v>295</v>
      </c>
      <c r="O691" s="1">
        <v>193</v>
      </c>
      <c r="P691" s="1">
        <v>454</v>
      </c>
      <c r="Q691" s="59">
        <f>SUM(N691:P691)</f>
        <v>942</v>
      </c>
      <c r="R691" s="59">
        <f>+E691+I691+M691+Q691</f>
        <v>10224</v>
      </c>
      <c r="T691" s="4" t="s">
        <v>566</v>
      </c>
    </row>
    <row r="692" spans="1:20" ht="15.75" customHeight="1" x14ac:dyDescent="0.3">
      <c r="A692" s="17" t="s">
        <v>60</v>
      </c>
      <c r="B692" s="1"/>
      <c r="C692" s="1"/>
      <c r="D692" s="1"/>
      <c r="E692" s="59" t="s">
        <v>7</v>
      </c>
      <c r="F692" s="1"/>
      <c r="G692" s="1"/>
      <c r="H692" s="1"/>
      <c r="I692" s="59" t="s">
        <v>7</v>
      </c>
      <c r="J692" s="1"/>
      <c r="K692" s="1"/>
      <c r="L692" s="1"/>
      <c r="M692" s="59" t="s">
        <v>7</v>
      </c>
      <c r="N692" s="1"/>
      <c r="O692" s="1"/>
      <c r="P692" s="1"/>
      <c r="Q692" s="59" t="s">
        <v>7</v>
      </c>
      <c r="R692" s="59" t="s">
        <v>7</v>
      </c>
    </row>
    <row r="693" spans="1:20" ht="15.75" customHeight="1" x14ac:dyDescent="0.3">
      <c r="A693" s="74" t="s">
        <v>961</v>
      </c>
      <c r="B693" s="1"/>
      <c r="C693" s="1"/>
      <c r="D693" s="1"/>
      <c r="E693" s="59">
        <f t="shared" ref="E693:E698" si="178">SUM(B693:D693)</f>
        <v>0</v>
      </c>
      <c r="F693" s="1"/>
      <c r="G693" s="1">
        <v>3500</v>
      </c>
      <c r="H693" s="1">
        <v>838</v>
      </c>
      <c r="I693" s="59">
        <f t="shared" ref="I693:I698" si="179">SUM(F693:H693)</f>
        <v>4338</v>
      </c>
      <c r="J693" s="1"/>
      <c r="K693" s="1"/>
      <c r="L693" s="1"/>
      <c r="M693" s="59">
        <f t="shared" ref="M693:M698" si="180">SUM(J693:L693)</f>
        <v>0</v>
      </c>
      <c r="N693" s="1"/>
      <c r="O693" s="1"/>
      <c r="P693" s="1"/>
      <c r="Q693" s="59">
        <f t="shared" ref="Q693:Q698" si="181">SUM(N693:P693)</f>
        <v>0</v>
      </c>
      <c r="R693" s="59">
        <f t="shared" ref="R693:R698" si="182">+E693+I693+M693+Q693</f>
        <v>4338</v>
      </c>
      <c r="T693" s="4" t="s">
        <v>568</v>
      </c>
    </row>
    <row r="694" spans="1:20" ht="15.75" customHeight="1" x14ac:dyDescent="0.3">
      <c r="A694" s="74" t="s">
        <v>567</v>
      </c>
      <c r="B694" s="1"/>
      <c r="C694" s="1"/>
      <c r="D694" s="1"/>
      <c r="E694" s="59">
        <f t="shared" si="178"/>
        <v>0</v>
      </c>
      <c r="F694" s="1"/>
      <c r="G694" s="1"/>
      <c r="H694" s="1"/>
      <c r="I694" s="59">
        <f t="shared" si="179"/>
        <v>0</v>
      </c>
      <c r="J694" s="1"/>
      <c r="K694" s="1"/>
      <c r="L694" s="1"/>
      <c r="M694" s="59">
        <f t="shared" si="180"/>
        <v>0</v>
      </c>
      <c r="N694" s="1"/>
      <c r="O694" s="1"/>
      <c r="P694" s="1"/>
      <c r="Q694" s="59">
        <f t="shared" si="181"/>
        <v>0</v>
      </c>
      <c r="R694" s="59">
        <f t="shared" si="182"/>
        <v>0</v>
      </c>
    </row>
    <row r="695" spans="1:20" ht="15.75" customHeight="1" x14ac:dyDescent="0.3">
      <c r="A695" s="74" t="s">
        <v>569</v>
      </c>
      <c r="B695" s="1">
        <v>300</v>
      </c>
      <c r="C695" s="1">
        <v>300</v>
      </c>
      <c r="D695" s="1">
        <v>170</v>
      </c>
      <c r="E695" s="59">
        <f t="shared" si="178"/>
        <v>770</v>
      </c>
      <c r="F695" s="1"/>
      <c r="G695" s="1"/>
      <c r="H695" s="1"/>
      <c r="I695" s="59">
        <f t="shared" si="179"/>
        <v>0</v>
      </c>
      <c r="J695" s="1"/>
      <c r="K695" s="1"/>
      <c r="L695" s="1"/>
      <c r="M695" s="59">
        <f t="shared" si="180"/>
        <v>0</v>
      </c>
      <c r="N695" s="1"/>
      <c r="O695" s="1"/>
      <c r="P695" s="1"/>
      <c r="Q695" s="59">
        <f t="shared" si="181"/>
        <v>0</v>
      </c>
      <c r="R695" s="59">
        <f t="shared" si="182"/>
        <v>770</v>
      </c>
      <c r="T695" s="4" t="s">
        <v>568</v>
      </c>
    </row>
    <row r="696" spans="1:20" ht="15.75" customHeight="1" x14ac:dyDescent="0.3">
      <c r="A696" s="74" t="s">
        <v>570</v>
      </c>
      <c r="B696" s="1"/>
      <c r="C696" s="1"/>
      <c r="D696" s="1">
        <v>130</v>
      </c>
      <c r="E696" s="59">
        <f t="shared" si="178"/>
        <v>130</v>
      </c>
      <c r="F696" s="1">
        <v>300</v>
      </c>
      <c r="G696" s="1">
        <v>300</v>
      </c>
      <c r="H696" s="1">
        <v>300</v>
      </c>
      <c r="I696" s="59">
        <f t="shared" si="179"/>
        <v>900</v>
      </c>
      <c r="J696" s="1">
        <v>300</v>
      </c>
      <c r="K696" s="1">
        <v>300</v>
      </c>
      <c r="L696" s="1">
        <v>300</v>
      </c>
      <c r="M696" s="59">
        <f t="shared" si="180"/>
        <v>900</v>
      </c>
      <c r="N696" s="1"/>
      <c r="O696" s="1"/>
      <c r="P696" s="1">
        <v>300</v>
      </c>
      <c r="Q696" s="59">
        <f t="shared" si="181"/>
        <v>300</v>
      </c>
      <c r="R696" s="59">
        <f t="shared" si="182"/>
        <v>2230</v>
      </c>
      <c r="T696" s="4" t="s">
        <v>568</v>
      </c>
    </row>
    <row r="697" spans="1:20" ht="15.75" customHeight="1" thickBot="1" x14ac:dyDescent="0.35">
      <c r="A697" s="74" t="s">
        <v>576</v>
      </c>
      <c r="B697" s="1"/>
      <c r="C697" s="1"/>
      <c r="D697" s="1"/>
      <c r="E697" s="59">
        <f t="shared" si="178"/>
        <v>0</v>
      </c>
      <c r="F697" s="1"/>
      <c r="G697" s="1"/>
      <c r="H697" s="1"/>
      <c r="I697" s="59">
        <f t="shared" si="179"/>
        <v>0</v>
      </c>
      <c r="J697" s="1"/>
      <c r="K697" s="1"/>
      <c r="L697" s="1"/>
      <c r="M697" s="59">
        <f t="shared" si="180"/>
        <v>0</v>
      </c>
      <c r="N697" s="1"/>
      <c r="O697" s="1"/>
      <c r="P697" s="1"/>
      <c r="Q697" s="59">
        <f t="shared" si="181"/>
        <v>0</v>
      </c>
      <c r="R697" s="59">
        <f t="shared" si="182"/>
        <v>0</v>
      </c>
      <c r="T697" s="4" t="s">
        <v>568</v>
      </c>
    </row>
    <row r="698" spans="1:20" ht="16.5" customHeight="1" thickBot="1" x14ac:dyDescent="0.35">
      <c r="A698" s="62" t="s">
        <v>61</v>
      </c>
      <c r="B698" s="100">
        <f>SUM(B689:B697)</f>
        <v>570</v>
      </c>
      <c r="C698" s="101">
        <f>SUM(C689:C697)</f>
        <v>700</v>
      </c>
      <c r="D698" s="101">
        <f>SUM(D689:D697)</f>
        <v>1026</v>
      </c>
      <c r="E698" s="64">
        <f t="shared" si="178"/>
        <v>2296</v>
      </c>
      <c r="F698" s="101">
        <f>SUM(F689:F697)</f>
        <v>1972</v>
      </c>
      <c r="G698" s="101">
        <f>SUM(G689:G697)</f>
        <v>4987</v>
      </c>
      <c r="H698" s="101">
        <f>SUM(H689:H697)</f>
        <v>2456</v>
      </c>
      <c r="I698" s="64">
        <f t="shared" si="179"/>
        <v>9415</v>
      </c>
      <c r="J698" s="101">
        <f>SUM(J689:J697)</f>
        <v>1256</v>
      </c>
      <c r="K698" s="101">
        <f>SUM(K689:K697)</f>
        <v>1999</v>
      </c>
      <c r="L698" s="101">
        <f>SUM(L689:L697)</f>
        <v>1354</v>
      </c>
      <c r="M698" s="64">
        <f t="shared" si="180"/>
        <v>4609</v>
      </c>
      <c r="N698" s="101">
        <f>SUM(N689:N697)</f>
        <v>295</v>
      </c>
      <c r="O698" s="101">
        <f>SUM(O689:O697)</f>
        <v>193</v>
      </c>
      <c r="P698" s="101">
        <f>SUM(P689:P697)</f>
        <v>754</v>
      </c>
      <c r="Q698" s="64">
        <f t="shared" si="181"/>
        <v>1242</v>
      </c>
      <c r="R698" s="138">
        <f t="shared" si="182"/>
        <v>17562</v>
      </c>
    </row>
    <row r="699" spans="1:20" ht="15.75" customHeight="1" x14ac:dyDescent="0.3">
      <c r="A699" s="17" t="s">
        <v>62</v>
      </c>
      <c r="B699" s="1"/>
      <c r="C699" s="1"/>
      <c r="D699" s="1"/>
      <c r="E699" s="59" t="s">
        <v>7</v>
      </c>
      <c r="F699" s="1"/>
      <c r="G699" s="1"/>
      <c r="H699" s="1"/>
      <c r="I699" s="59" t="s">
        <v>7</v>
      </c>
      <c r="J699" s="1"/>
      <c r="K699" s="1"/>
      <c r="L699" s="1"/>
      <c r="M699" s="59" t="s">
        <v>7</v>
      </c>
      <c r="N699" s="1"/>
      <c r="O699" s="1"/>
      <c r="P699" s="1"/>
      <c r="Q699" s="59" t="s">
        <v>7</v>
      </c>
      <c r="R699" s="59" t="s">
        <v>7</v>
      </c>
    </row>
    <row r="700" spans="1:20" ht="15.75" customHeight="1" x14ac:dyDescent="0.3">
      <c r="A700" s="17" t="s">
        <v>63</v>
      </c>
      <c r="B700" s="1"/>
      <c r="C700" s="1"/>
      <c r="D700" s="1"/>
      <c r="E700" s="59" t="s">
        <v>7</v>
      </c>
      <c r="F700" s="1"/>
      <c r="G700" s="1"/>
      <c r="H700" s="1"/>
      <c r="I700" s="59" t="s">
        <v>7</v>
      </c>
      <c r="J700" s="1"/>
      <c r="K700" s="1"/>
      <c r="L700" s="1"/>
      <c r="M700" s="59" t="s">
        <v>7</v>
      </c>
      <c r="N700" s="1"/>
      <c r="O700" s="1"/>
      <c r="P700" s="1"/>
      <c r="Q700" s="59" t="s">
        <v>7</v>
      </c>
      <c r="R700" s="59" t="s">
        <v>7</v>
      </c>
    </row>
    <row r="701" spans="1:20" ht="15.75" customHeight="1" x14ac:dyDescent="0.3">
      <c r="A701" s="17" t="s">
        <v>64</v>
      </c>
      <c r="B701" s="1"/>
      <c r="C701" s="1"/>
      <c r="D701" s="1"/>
      <c r="E701" s="59" t="s">
        <v>7</v>
      </c>
      <c r="F701" s="1"/>
      <c r="G701" s="1"/>
      <c r="H701" s="1"/>
      <c r="I701" s="59" t="s">
        <v>7</v>
      </c>
      <c r="J701" s="1"/>
      <c r="K701" s="1"/>
      <c r="L701" s="1"/>
      <c r="M701" s="59" t="s">
        <v>7</v>
      </c>
      <c r="N701" s="1"/>
      <c r="O701" s="1"/>
      <c r="P701" s="1"/>
      <c r="Q701" s="59" t="s">
        <v>7</v>
      </c>
      <c r="R701" s="59" t="s">
        <v>7</v>
      </c>
    </row>
    <row r="702" spans="1:20" ht="15.75" customHeight="1" x14ac:dyDescent="0.3">
      <c r="A702" s="74" t="s">
        <v>577</v>
      </c>
      <c r="B702" s="1"/>
      <c r="C702" s="1"/>
      <c r="D702" s="1"/>
      <c r="E702" s="59">
        <f>SUM(B702:D702)</f>
        <v>0</v>
      </c>
      <c r="F702" s="1"/>
      <c r="G702" s="1"/>
      <c r="H702" s="1"/>
      <c r="I702" s="59">
        <f>SUM(F702:H702)</f>
        <v>0</v>
      </c>
      <c r="J702" s="1"/>
      <c r="K702" s="1"/>
      <c r="L702" s="1"/>
      <c r="M702" s="59">
        <f>SUM(J702:L702)</f>
        <v>0</v>
      </c>
      <c r="N702" s="1"/>
      <c r="O702" s="1"/>
      <c r="P702" s="1"/>
      <c r="Q702" s="59">
        <f>SUM(N702:P702)</f>
        <v>0</v>
      </c>
      <c r="R702" s="59">
        <f>+E702+I702+M702+Q702</f>
        <v>0</v>
      </c>
    </row>
    <row r="703" spans="1:20" ht="15.75" customHeight="1" x14ac:dyDescent="0.3">
      <c r="A703" s="74" t="s">
        <v>578</v>
      </c>
      <c r="B703" s="1"/>
      <c r="C703" s="1"/>
      <c r="D703" s="1"/>
      <c r="E703" s="59">
        <f>SUM(B703:D703)</f>
        <v>0</v>
      </c>
      <c r="F703" s="1"/>
      <c r="G703" s="1"/>
      <c r="H703" s="1"/>
      <c r="I703" s="59">
        <f>SUM(F703:H703)</f>
        <v>0</v>
      </c>
      <c r="J703" s="1"/>
      <c r="K703" s="1"/>
      <c r="L703" s="1"/>
      <c r="M703" s="59">
        <f>SUM(J703:L703)</f>
        <v>0</v>
      </c>
      <c r="N703" s="1"/>
      <c r="O703" s="1"/>
      <c r="P703" s="1"/>
      <c r="Q703" s="59">
        <f>SUM(N703:P703)</f>
        <v>0</v>
      </c>
      <c r="R703" s="59">
        <f>+E703+I703+M703+Q703</f>
        <v>0</v>
      </c>
    </row>
    <row r="704" spans="1:20" ht="15.75" customHeight="1" x14ac:dyDescent="0.3">
      <c r="A704" s="74" t="s">
        <v>579</v>
      </c>
      <c r="B704" s="1"/>
      <c r="C704" s="1"/>
      <c r="D704" s="1"/>
      <c r="E704" s="59">
        <f>SUM(B704:D704)</f>
        <v>0</v>
      </c>
      <c r="F704" s="1"/>
      <c r="G704" s="1"/>
      <c r="H704" s="1"/>
      <c r="I704" s="59">
        <f>SUM(F704:H704)</f>
        <v>0</v>
      </c>
      <c r="J704" s="1"/>
      <c r="K704" s="1"/>
      <c r="L704" s="1"/>
      <c r="M704" s="59">
        <f>SUM(J704:L704)</f>
        <v>0</v>
      </c>
      <c r="N704" s="1"/>
      <c r="O704" s="1"/>
      <c r="P704" s="1"/>
      <c r="Q704" s="59">
        <f>SUM(N704:P704)</f>
        <v>0</v>
      </c>
      <c r="R704" s="59">
        <f>+E704+I704+M704+Q704</f>
        <v>0</v>
      </c>
    </row>
    <row r="705" spans="1:18" ht="15.75" customHeight="1" x14ac:dyDescent="0.3">
      <c r="A705" s="74" t="s">
        <v>580</v>
      </c>
      <c r="B705" s="1"/>
      <c r="C705" s="1"/>
      <c r="D705" s="1"/>
      <c r="E705" s="59">
        <f>SUM(B705:D705)</f>
        <v>0</v>
      </c>
      <c r="F705" s="1"/>
      <c r="G705" s="1"/>
      <c r="H705" s="1"/>
      <c r="I705" s="59">
        <f>SUM(F705:H705)</f>
        <v>0</v>
      </c>
      <c r="J705" s="1"/>
      <c r="K705" s="1"/>
      <c r="L705" s="1"/>
      <c r="M705" s="59">
        <f>SUM(J705:L705)</f>
        <v>0</v>
      </c>
      <c r="N705" s="1"/>
      <c r="O705" s="1"/>
      <c r="P705" s="1"/>
      <c r="Q705" s="59">
        <f>SUM(N705:P705)</f>
        <v>0</v>
      </c>
      <c r="R705" s="59">
        <f>+E705+I705+M705+Q705</f>
        <v>0</v>
      </c>
    </row>
    <row r="706" spans="1:18" ht="15.75" customHeight="1" x14ac:dyDescent="0.3">
      <c r="A706" s="17" t="s">
        <v>66</v>
      </c>
      <c r="B706" s="1"/>
      <c r="C706" s="1"/>
      <c r="D706" s="1"/>
      <c r="E706" s="59" t="s">
        <v>7</v>
      </c>
      <c r="F706" s="1"/>
      <c r="G706" s="1"/>
      <c r="H706" s="1"/>
      <c r="I706" s="59" t="s">
        <v>7</v>
      </c>
      <c r="J706" s="1"/>
      <c r="K706" s="1"/>
      <c r="L706" s="1"/>
      <c r="M706" s="59" t="s">
        <v>7</v>
      </c>
      <c r="N706" s="1"/>
      <c r="O706" s="1"/>
      <c r="P706" s="1"/>
      <c r="Q706" s="59" t="s">
        <v>7</v>
      </c>
      <c r="R706" s="59" t="s">
        <v>7</v>
      </c>
    </row>
    <row r="707" spans="1:18" ht="15.75" customHeight="1" thickBot="1" x14ac:dyDescent="0.35">
      <c r="A707" s="17" t="s">
        <v>67</v>
      </c>
      <c r="B707" s="1"/>
      <c r="C707" s="1"/>
      <c r="D707" s="1"/>
      <c r="E707" s="59" t="s">
        <v>7</v>
      </c>
      <c r="F707" s="1"/>
      <c r="G707" s="1"/>
      <c r="H707" s="1"/>
      <c r="I707" s="59" t="s">
        <v>7</v>
      </c>
      <c r="J707" s="1"/>
      <c r="K707" s="1"/>
      <c r="L707" s="1"/>
      <c r="M707" s="59" t="s">
        <v>7</v>
      </c>
      <c r="N707" s="1"/>
      <c r="O707" s="1"/>
      <c r="P707" s="1"/>
      <c r="Q707" s="59" t="s">
        <v>7</v>
      </c>
      <c r="R707" s="59" t="s">
        <v>7</v>
      </c>
    </row>
    <row r="708" spans="1:18" ht="16.5" customHeight="1" thickBot="1" x14ac:dyDescent="0.35">
      <c r="A708" s="62" t="s">
        <v>68</v>
      </c>
      <c r="B708" s="63">
        <f>SUM(B706:B707)</f>
        <v>0</v>
      </c>
      <c r="C708" s="63">
        <f>SUM(C706:C707)</f>
        <v>0</v>
      </c>
      <c r="D708" s="63">
        <f>SUM(D706:D707)</f>
        <v>0</v>
      </c>
      <c r="E708" s="334">
        <f>SUM(B708:D708)</f>
        <v>0</v>
      </c>
      <c r="F708" s="63">
        <f>SUM(F706:F707)</f>
        <v>0</v>
      </c>
      <c r="G708" s="63">
        <f>SUM(G706:G707)</f>
        <v>0</v>
      </c>
      <c r="H708" s="63">
        <f>SUM(H706:H707)</f>
        <v>0</v>
      </c>
      <c r="I708" s="334">
        <f>SUM(F708:H708)</f>
        <v>0</v>
      </c>
      <c r="J708" s="63">
        <f>SUM(J706:J707)</f>
        <v>0</v>
      </c>
      <c r="K708" s="63">
        <f>SUM(K706:K707)</f>
        <v>0</v>
      </c>
      <c r="L708" s="63">
        <f>SUM(L706:L707)</f>
        <v>0</v>
      </c>
      <c r="M708" s="334">
        <f>SUM(J708:L708)</f>
        <v>0</v>
      </c>
      <c r="N708" s="63">
        <f>SUM(N706:N707)</f>
        <v>0</v>
      </c>
      <c r="O708" s="63">
        <f>SUM(O706:O707)</f>
        <v>0</v>
      </c>
      <c r="P708" s="63">
        <f>SUM(P706:P707)</f>
        <v>0</v>
      </c>
      <c r="Q708" s="334">
        <f>SUM(N708:P708)</f>
        <v>0</v>
      </c>
      <c r="R708" s="64">
        <f>+E708+I708+M708+Q708</f>
        <v>0</v>
      </c>
    </row>
    <row r="709" spans="1:18" ht="16.5" customHeight="1" thickBot="1" x14ac:dyDescent="0.35">
      <c r="A709" s="137" t="s">
        <v>69</v>
      </c>
      <c r="B709" s="100">
        <f>SUM(B699:B707)</f>
        <v>0</v>
      </c>
      <c r="C709" s="101">
        <f>SUM(C699:C707)</f>
        <v>0</v>
      </c>
      <c r="D709" s="138">
        <f>SUM(D699:D707)</f>
        <v>0</v>
      </c>
      <c r="E709" s="334">
        <f>SUM(B709:D709)</f>
        <v>0</v>
      </c>
      <c r="F709" s="101">
        <f>SUM(F699:F707)</f>
        <v>0</v>
      </c>
      <c r="G709" s="101">
        <f>SUM(G699:G707)</f>
        <v>0</v>
      </c>
      <c r="H709" s="101">
        <f>SUM(H699:H707)</f>
        <v>0</v>
      </c>
      <c r="I709" s="334">
        <f>SUM(F709:H709)</f>
        <v>0</v>
      </c>
      <c r="J709" s="101">
        <f>SUM(J699:J707)</f>
        <v>0</v>
      </c>
      <c r="K709" s="101">
        <f>SUM(K699:K707)</f>
        <v>0</v>
      </c>
      <c r="L709" s="101">
        <f>SUM(L699:L707)</f>
        <v>0</v>
      </c>
      <c r="M709" s="334">
        <f>SUM(J709:L709)</f>
        <v>0</v>
      </c>
      <c r="N709" s="101">
        <f>SUM(N699:N707)</f>
        <v>0</v>
      </c>
      <c r="O709" s="101">
        <f>SUM(O699:O707)</f>
        <v>0</v>
      </c>
      <c r="P709" s="101">
        <f>SUM(P699:P707)</f>
        <v>0</v>
      </c>
      <c r="Q709" s="334">
        <f>SUM(N709:P709)</f>
        <v>0</v>
      </c>
      <c r="R709" s="64">
        <f>+E709+I709+M709+Q709</f>
        <v>0</v>
      </c>
    </row>
    <row r="710" spans="1:18" ht="16.5" customHeight="1" thickBot="1" x14ac:dyDescent="0.35">
      <c r="A710" s="62" t="s">
        <v>70</v>
      </c>
      <c r="B710" s="107">
        <f>+B684+B688+B698+B709</f>
        <v>10653</v>
      </c>
      <c r="C710" s="63">
        <f>+C684+C688+C698+C709</f>
        <v>8756</v>
      </c>
      <c r="D710" s="63">
        <f>+D684+D688+D698+D709</f>
        <v>14881</v>
      </c>
      <c r="E710" s="64">
        <f>SUM(B710:D710)</f>
        <v>34290</v>
      </c>
      <c r="F710" s="63">
        <f>+F684+F688+F698+F709</f>
        <v>14421</v>
      </c>
      <c r="G710" s="63">
        <f>+G684+G688+G698+G709</f>
        <v>14625</v>
      </c>
      <c r="H710" s="63">
        <f>+H684+H688+H698+H709</f>
        <v>15907</v>
      </c>
      <c r="I710" s="64">
        <f>SUM(F710:H710)</f>
        <v>44953</v>
      </c>
      <c r="J710" s="63">
        <f>+J684+J688+J698+J709</f>
        <v>16110</v>
      </c>
      <c r="K710" s="63">
        <f>+K684+K688+K698+K709</f>
        <v>16996</v>
      </c>
      <c r="L710" s="63">
        <f>+L684+L688+L698+L709</f>
        <v>14252</v>
      </c>
      <c r="M710" s="64">
        <f>SUM(J710:L710)</f>
        <v>47358</v>
      </c>
      <c r="N710" s="63">
        <f>+N684+N688+N698+N709</f>
        <v>2733</v>
      </c>
      <c r="O710" s="63">
        <f>+O684+O688+O698+O709</f>
        <v>193</v>
      </c>
      <c r="P710" s="63">
        <f>+P684+P688+P698+P709</f>
        <v>4166</v>
      </c>
      <c r="Q710" s="64">
        <f>SUM(N710:P710)</f>
        <v>7092</v>
      </c>
      <c r="R710" s="88">
        <f>+E710+I710+M710+Q710</f>
        <v>133693</v>
      </c>
    </row>
    <row r="711" spans="1:18" ht="16.5" customHeight="1" thickBot="1" x14ac:dyDescent="0.35">
      <c r="A711" s="66" t="s">
        <v>37</v>
      </c>
      <c r="B711" s="25">
        <v>22</v>
      </c>
      <c r="C711" s="25">
        <v>24</v>
      </c>
      <c r="D711" s="25">
        <v>31</v>
      </c>
      <c r="E711" s="64">
        <f>SUM(B711:D711)</f>
        <v>77</v>
      </c>
      <c r="F711" s="25">
        <v>40</v>
      </c>
      <c r="G711" s="25">
        <v>45</v>
      </c>
      <c r="H711" s="25">
        <v>48</v>
      </c>
      <c r="I711" s="64">
        <f>SUM(F711:H711)</f>
        <v>133</v>
      </c>
      <c r="J711" s="25">
        <v>42</v>
      </c>
      <c r="K711" s="25">
        <v>39</v>
      </c>
      <c r="L711" s="25">
        <v>38</v>
      </c>
      <c r="M711" s="64">
        <f>SUM(J711:L711)</f>
        <v>119</v>
      </c>
      <c r="N711" s="25">
        <v>32</v>
      </c>
      <c r="O711" s="25">
        <v>25</v>
      </c>
      <c r="P711" s="25">
        <v>21</v>
      </c>
      <c r="Q711" s="64">
        <f>SUM(N711:P711)</f>
        <v>78</v>
      </c>
      <c r="R711" s="334">
        <f>+E711+I711+M711+Q711</f>
        <v>407</v>
      </c>
    </row>
    <row r="712" spans="1:18" ht="16.5" customHeight="1" thickBot="1" x14ac:dyDescent="0.35">
      <c r="A712" s="42"/>
      <c r="B712" s="37"/>
      <c r="C712" s="37"/>
      <c r="D712" s="37"/>
      <c r="E712" s="16"/>
      <c r="F712" s="37"/>
      <c r="G712" s="37"/>
      <c r="H712" s="37"/>
      <c r="I712" s="16"/>
      <c r="J712" s="37"/>
      <c r="K712" s="37"/>
      <c r="L712" s="37"/>
      <c r="M712" s="16"/>
      <c r="N712" s="37"/>
      <c r="O712" s="37"/>
      <c r="P712" s="37"/>
      <c r="Q712" s="16"/>
      <c r="R712" s="43"/>
    </row>
    <row r="713" spans="1:18" ht="15.75" customHeight="1" x14ac:dyDescent="0.3">
      <c r="A713" s="17" t="s">
        <v>507</v>
      </c>
      <c r="B713" s="1">
        <f>+SUM(B710:B711)</f>
        <v>10675</v>
      </c>
      <c r="C713" s="1">
        <f>+SUM(C710:C711)</f>
        <v>8780</v>
      </c>
      <c r="D713" s="1">
        <f>+SUM(D710:D711)</f>
        <v>14912</v>
      </c>
      <c r="E713" s="334">
        <f>SUM(B713:D713)</f>
        <v>34367</v>
      </c>
      <c r="F713" s="1">
        <f>+SUM(F710:F711)</f>
        <v>14461</v>
      </c>
      <c r="G713" s="1">
        <f>+SUM(G710:G711)</f>
        <v>14670</v>
      </c>
      <c r="H713" s="1">
        <f>+SUM(H710:H711)</f>
        <v>15955</v>
      </c>
      <c r="I713" s="334">
        <f>SUM(F713:H713)</f>
        <v>45086</v>
      </c>
      <c r="J713" s="1">
        <f>+SUM(J710:J711)</f>
        <v>16152</v>
      </c>
      <c r="K713" s="1">
        <f>+SUM(K710:K711)</f>
        <v>17035</v>
      </c>
      <c r="L713" s="1">
        <f>+SUM(L710:L711)</f>
        <v>14290</v>
      </c>
      <c r="M713" s="334">
        <f>SUM(J713:L713)</f>
        <v>47477</v>
      </c>
      <c r="N713" s="1">
        <f>+SUM(N710:N711)</f>
        <v>2765</v>
      </c>
      <c r="O713" s="1">
        <f>+SUM(O710:O711)</f>
        <v>218</v>
      </c>
      <c r="P713" s="1">
        <f>+SUM(P710:P711)</f>
        <v>4187</v>
      </c>
      <c r="Q713" s="334">
        <f>SUM(N713:P713)</f>
        <v>7170</v>
      </c>
      <c r="R713" s="334">
        <f>+E713+I713+M713+Q713</f>
        <v>134100</v>
      </c>
    </row>
    <row r="714" spans="1:18" ht="15.75" customHeight="1" x14ac:dyDescent="0.3">
      <c r="A714" s="17" t="s">
        <v>39</v>
      </c>
      <c r="B714" s="1">
        <f>(B713/B10)/1.983</f>
        <v>173.65347388284289</v>
      </c>
      <c r="C714" s="1">
        <f>(C713/C10)/1.983</f>
        <v>158.12981773647431</v>
      </c>
      <c r="D714" s="1">
        <f>(D713/D10)/1.983</f>
        <v>242.57804239259514</v>
      </c>
      <c r="E714" s="59" t="s">
        <v>7</v>
      </c>
      <c r="F714" s="1">
        <f>(F713/F10)/1.983</f>
        <v>243.08287107076819</v>
      </c>
      <c r="G714" s="1">
        <f>(G713/G10)/1.983</f>
        <v>238.64135474110586</v>
      </c>
      <c r="H714" s="1">
        <f>(H713/H10)/1.983</f>
        <v>268.19633551857453</v>
      </c>
      <c r="I714" s="59" t="s">
        <v>7</v>
      </c>
      <c r="J714" s="1">
        <f>(J713/J10)/1.983</f>
        <v>262.74949978039137</v>
      </c>
      <c r="K714" s="1">
        <f>(K713/K10)/1.983</f>
        <v>277.11352951702372</v>
      </c>
      <c r="L714" s="1">
        <f>(L713/L10)/1.983</f>
        <v>240.20843839300721</v>
      </c>
      <c r="M714" s="59" t="s">
        <v>7</v>
      </c>
      <c r="N714" s="1">
        <f>(N713/N10)/1.983</f>
        <v>44.979096513916673</v>
      </c>
      <c r="O714" s="1">
        <f>(O713/O10)/1.983</f>
        <v>3.6644814254496554</v>
      </c>
      <c r="P714" s="1">
        <f>(P713/P10)/1.983</f>
        <v>68.111203292502395</v>
      </c>
      <c r="Q714" s="59" t="s">
        <v>7</v>
      </c>
      <c r="R714" s="59" t="s">
        <v>7</v>
      </c>
    </row>
    <row r="715" spans="1:18" ht="15.75" customHeight="1" x14ac:dyDescent="0.3">
      <c r="A715" s="17" t="s">
        <v>581</v>
      </c>
      <c r="B715" s="1">
        <f>B713+B725</f>
        <v>14131</v>
      </c>
      <c r="C715" s="1">
        <f>C713+C725</f>
        <v>10876</v>
      </c>
      <c r="D715" s="1">
        <f>D713+D725</f>
        <v>19190</v>
      </c>
      <c r="E715" s="59">
        <f>SUM(B715:D715)</f>
        <v>44197</v>
      </c>
      <c r="F715" s="1">
        <f>F713+F725</f>
        <v>18443</v>
      </c>
      <c r="G715" s="1">
        <f>G713+G725</f>
        <v>17782</v>
      </c>
      <c r="H715" s="1">
        <f>H713+H725</f>
        <v>20734</v>
      </c>
      <c r="I715" s="59">
        <f>SUM(F715:H715)</f>
        <v>56959</v>
      </c>
      <c r="J715" s="1">
        <f>J713+J725</f>
        <v>20158</v>
      </c>
      <c r="K715" s="1">
        <f>K713+K725</f>
        <v>20778</v>
      </c>
      <c r="L715" s="1">
        <f>L713+L725</f>
        <v>17825</v>
      </c>
      <c r="M715" s="59">
        <f>SUM(J715:L715)</f>
        <v>58761</v>
      </c>
      <c r="N715" s="1">
        <f>N713+N725</f>
        <v>6139</v>
      </c>
      <c r="O715" s="1">
        <f>O713+O725</f>
        <v>1261</v>
      </c>
      <c r="P715" s="1">
        <f>P713+P725</f>
        <v>7106</v>
      </c>
      <c r="Q715" s="59">
        <f>SUM(N715:P715)</f>
        <v>14506</v>
      </c>
      <c r="R715" s="59">
        <f>+E715+I715+M715+Q715</f>
        <v>174423</v>
      </c>
    </row>
    <row r="716" spans="1:18" ht="16.5" customHeight="1" thickBot="1" x14ac:dyDescent="0.35">
      <c r="A716" s="24" t="s">
        <v>582</v>
      </c>
      <c r="B716" s="25">
        <f>(B715/B10)/1.983</f>
        <v>229.87327769915245</v>
      </c>
      <c r="C716" s="25">
        <f>(C715/C10)/1.983</f>
        <v>195.87925941935018</v>
      </c>
      <c r="D716" s="25">
        <f>(D715/D10)/1.983</f>
        <v>312.16957038049225</v>
      </c>
      <c r="E716" s="88" t="s">
        <v>7</v>
      </c>
      <c r="F716" s="25">
        <f>(F715/F10)/1.983</f>
        <v>310.01849050260546</v>
      </c>
      <c r="G716" s="25">
        <f>(G715/G10)/1.983</f>
        <v>289.26520586273648</v>
      </c>
      <c r="H716" s="25">
        <f>(H715/H10)/1.983</f>
        <v>348.5291645654732</v>
      </c>
      <c r="I716" s="88" t="s">
        <v>7</v>
      </c>
      <c r="J716" s="25">
        <f>(J715/J10)/1.983</f>
        <v>327.91632098644931</v>
      </c>
      <c r="K716" s="25">
        <f>(K715/K10)/1.983</f>
        <v>338.00204968034745</v>
      </c>
      <c r="L716" s="25">
        <f>(L715/L10)/1.983</f>
        <v>299.63018994789036</v>
      </c>
      <c r="M716" s="88" t="s">
        <v>7</v>
      </c>
      <c r="N716" s="25">
        <f>(N715/N10)/1.983</f>
        <v>99.864981373936516</v>
      </c>
      <c r="O716" s="25">
        <f>(O715/O10)/1.983</f>
        <v>21.196839805009244</v>
      </c>
      <c r="P716" s="25">
        <f>(P715/P10)/1.983</f>
        <v>115.59546467554861</v>
      </c>
      <c r="Q716" s="88" t="s">
        <v>7</v>
      </c>
      <c r="R716" s="88" t="s">
        <v>7</v>
      </c>
    </row>
    <row r="717" spans="1:18" ht="15.75" customHeight="1" x14ac:dyDescent="0.3">
      <c r="A717" s="28"/>
      <c r="B717" s="1"/>
      <c r="C717" s="1"/>
      <c r="D717" s="1"/>
      <c r="E717" s="1"/>
      <c r="F717" s="1"/>
      <c r="G717" s="1"/>
      <c r="H717" s="1"/>
      <c r="I717" s="1"/>
      <c r="J717" s="1"/>
      <c r="K717" s="1"/>
      <c r="L717" s="1"/>
      <c r="M717" s="1"/>
      <c r="N717" s="1"/>
      <c r="O717" s="1"/>
      <c r="P717" s="1"/>
      <c r="Q717" s="1"/>
      <c r="R717" s="28"/>
    </row>
    <row r="718" spans="1:18" ht="15.75" customHeight="1" thickBot="1" x14ac:dyDescent="0.35">
      <c r="A718" s="28"/>
      <c r="B718" s="1"/>
      <c r="C718" s="1"/>
      <c r="D718" s="1"/>
      <c r="E718" s="1"/>
      <c r="F718" s="1"/>
      <c r="G718" s="1"/>
      <c r="H718" s="1"/>
      <c r="I718" s="1"/>
      <c r="J718" s="1"/>
      <c r="K718" s="1"/>
      <c r="L718" s="1"/>
      <c r="M718" s="1"/>
      <c r="N718" s="1"/>
      <c r="O718" s="1"/>
      <c r="P718" s="1"/>
      <c r="Q718" s="1"/>
      <c r="R718" s="28"/>
    </row>
    <row r="719" spans="1:18" ht="16.5" customHeight="1" thickBot="1" x14ac:dyDescent="0.35">
      <c r="A719" s="343" t="s">
        <v>583</v>
      </c>
      <c r="B719" s="323" t="s">
        <v>36</v>
      </c>
      <c r="C719" s="324" t="s">
        <v>9</v>
      </c>
      <c r="D719" s="324" t="s">
        <v>10</v>
      </c>
      <c r="E719" s="325" t="s">
        <v>11</v>
      </c>
      <c r="F719" s="324" t="s">
        <v>12</v>
      </c>
      <c r="G719" s="324" t="s">
        <v>13</v>
      </c>
      <c r="H719" s="324" t="s">
        <v>14</v>
      </c>
      <c r="I719" s="34" t="s">
        <v>15</v>
      </c>
      <c r="J719" s="324" t="s">
        <v>16</v>
      </c>
      <c r="K719" s="324" t="s">
        <v>17</v>
      </c>
      <c r="L719" s="324" t="s">
        <v>18</v>
      </c>
      <c r="M719" s="34" t="s">
        <v>19</v>
      </c>
      <c r="N719" s="324" t="s">
        <v>20</v>
      </c>
      <c r="O719" s="324" t="s">
        <v>21</v>
      </c>
      <c r="P719" s="324" t="s">
        <v>22</v>
      </c>
      <c r="Q719" s="34" t="s">
        <v>23</v>
      </c>
      <c r="R719" s="326" t="s">
        <v>24</v>
      </c>
    </row>
    <row r="720" spans="1:18" ht="16.5" customHeight="1" thickBot="1" x14ac:dyDescent="0.35">
      <c r="A720" s="42"/>
      <c r="B720" s="37"/>
      <c r="C720" s="37"/>
      <c r="D720" s="37"/>
      <c r="E720" s="38"/>
      <c r="F720" s="37"/>
      <c r="G720" s="37"/>
      <c r="H720" s="37"/>
      <c r="I720" s="38"/>
      <c r="J720" s="37"/>
      <c r="K720" s="37"/>
      <c r="L720" s="37"/>
      <c r="M720" s="38"/>
      <c r="N720" s="37"/>
      <c r="O720" s="37"/>
      <c r="P720" s="37"/>
      <c r="Q720" s="38"/>
      <c r="R720" s="42"/>
    </row>
    <row r="721" spans="1:18" ht="16.5" customHeight="1" thickBot="1" x14ac:dyDescent="0.35">
      <c r="A721" s="40" t="s">
        <v>37</v>
      </c>
      <c r="B721" s="25">
        <v>2</v>
      </c>
      <c r="C721" s="25">
        <v>3</v>
      </c>
      <c r="D721" s="25">
        <v>5</v>
      </c>
      <c r="E721" s="59">
        <f>SUM(B721:D721)</f>
        <v>10</v>
      </c>
      <c r="F721" s="25">
        <v>7</v>
      </c>
      <c r="G721" s="25">
        <v>8</v>
      </c>
      <c r="H721" s="25">
        <v>9</v>
      </c>
      <c r="I721" s="59">
        <f>SUM(F721:H721)</f>
        <v>24</v>
      </c>
      <c r="J721" s="25">
        <v>7</v>
      </c>
      <c r="K721" s="25">
        <v>6</v>
      </c>
      <c r="L721" s="25">
        <v>6</v>
      </c>
      <c r="M721" s="59">
        <f>SUM(J721:L721)</f>
        <v>19</v>
      </c>
      <c r="N721" s="25">
        <v>5</v>
      </c>
      <c r="O721" s="25">
        <v>3</v>
      </c>
      <c r="P721" s="25">
        <v>2</v>
      </c>
      <c r="Q721" s="59">
        <f>SUM(N721:P721)</f>
        <v>10</v>
      </c>
      <c r="R721" s="334">
        <f>+E721+I721+M721+Q721</f>
        <v>63</v>
      </c>
    </row>
    <row r="722" spans="1:18" ht="16.5" customHeight="1" thickBot="1" x14ac:dyDescent="0.35">
      <c r="A722" s="42"/>
      <c r="B722" s="37"/>
      <c r="C722" s="37"/>
      <c r="D722" s="37"/>
      <c r="E722" s="16"/>
      <c r="F722" s="37"/>
      <c r="G722" s="37"/>
      <c r="H722" s="37"/>
      <c r="I722" s="16"/>
      <c r="J722" s="37"/>
      <c r="K722" s="37"/>
      <c r="L722" s="37"/>
      <c r="M722" s="16"/>
      <c r="N722" s="37"/>
      <c r="O722" s="37"/>
      <c r="P722" s="37"/>
      <c r="Q722" s="16"/>
      <c r="R722" s="43"/>
    </row>
    <row r="723" spans="1:18" ht="15.75" customHeight="1" x14ac:dyDescent="0.3">
      <c r="A723" s="17" t="s">
        <v>507</v>
      </c>
      <c r="B723" s="1">
        <f>B721</f>
        <v>2</v>
      </c>
      <c r="C723" s="1">
        <f>C721</f>
        <v>3</v>
      </c>
      <c r="D723" s="1">
        <f>D721</f>
        <v>5</v>
      </c>
      <c r="E723" s="334">
        <f>SUM(B723:D723)</f>
        <v>10</v>
      </c>
      <c r="F723" s="1">
        <f>F721</f>
        <v>7</v>
      </c>
      <c r="G723" s="1">
        <f>G721</f>
        <v>8</v>
      </c>
      <c r="H723" s="1">
        <f>H721</f>
        <v>9</v>
      </c>
      <c r="I723" s="334">
        <f>SUM(F723:H723)</f>
        <v>24</v>
      </c>
      <c r="J723" s="1">
        <f>J721</f>
        <v>7</v>
      </c>
      <c r="K723" s="1">
        <f>K721</f>
        <v>6</v>
      </c>
      <c r="L723" s="1">
        <f>L721</f>
        <v>6</v>
      </c>
      <c r="M723" s="334">
        <f>SUM(J723:L723)</f>
        <v>19</v>
      </c>
      <c r="N723" s="1">
        <f>N721</f>
        <v>5</v>
      </c>
      <c r="O723" s="1">
        <f>O721</f>
        <v>3</v>
      </c>
      <c r="P723" s="1">
        <f>P721</f>
        <v>2</v>
      </c>
      <c r="Q723" s="334">
        <f>SUM(N723:P723)</f>
        <v>10</v>
      </c>
      <c r="R723" s="334">
        <f>+E723+I723+M723+Q723</f>
        <v>63</v>
      </c>
    </row>
    <row r="724" spans="1:18" ht="15.75" customHeight="1" x14ac:dyDescent="0.3">
      <c r="A724" s="17" t="s">
        <v>39</v>
      </c>
      <c r="B724" s="1">
        <f>(B723/B10)/1.983</f>
        <v>3.2534608689993978E-2</v>
      </c>
      <c r="C724" s="1">
        <f>(C723/C10)/1.983</f>
        <v>5.403068943159714E-2</v>
      </c>
      <c r="D724" s="1">
        <f>(D723/D10)/1.983</f>
        <v>8.1336521724984942E-2</v>
      </c>
      <c r="E724" s="59" t="s">
        <v>7</v>
      </c>
      <c r="F724" s="1">
        <f>(F723/F10)/1.983</f>
        <v>0.1176668347621449</v>
      </c>
      <c r="G724" s="1">
        <f>(G723/G10)/1.983</f>
        <v>0.13013843475997591</v>
      </c>
      <c r="H724" s="1">
        <f>(H723/H10)/1.983</f>
        <v>0.15128593040847199</v>
      </c>
      <c r="I724" s="59" t="s">
        <v>7</v>
      </c>
      <c r="J724" s="1">
        <f>(J723/J10)/1.983</f>
        <v>0.11387113041497893</v>
      </c>
      <c r="K724" s="1">
        <f>(K723/K10)/1.983</f>
        <v>9.7603826069981942E-2</v>
      </c>
      <c r="L724" s="1">
        <f>(L723/L10)/1.983</f>
        <v>0.10085728693898134</v>
      </c>
      <c r="M724" s="59" t="s">
        <v>7</v>
      </c>
      <c r="N724" s="1">
        <f>(N723/N10)/1.983</f>
        <v>8.1336521724984942E-2</v>
      </c>
      <c r="O724" s="1">
        <f>(O723/O10)/1.983</f>
        <v>5.0428643469490671E-2</v>
      </c>
      <c r="P724" s="1">
        <f>(P723/P10)/1.983</f>
        <v>3.2534608689993978E-2</v>
      </c>
      <c r="Q724" s="59" t="s">
        <v>7</v>
      </c>
      <c r="R724" s="59" t="s">
        <v>7</v>
      </c>
    </row>
    <row r="725" spans="1:18" ht="15.75" customHeight="1" x14ac:dyDescent="0.3">
      <c r="A725" s="17" t="s">
        <v>584</v>
      </c>
      <c r="B725" s="1">
        <f>B723+B759+B808-B754</f>
        <v>3456</v>
      </c>
      <c r="C725" s="1">
        <f>C723+C759+C808-C754</f>
        <v>2096</v>
      </c>
      <c r="D725" s="1">
        <f>D723+D759+D808-D754</f>
        <v>4278</v>
      </c>
      <c r="E725" s="59">
        <f>SUM(B725:D725)</f>
        <v>9830</v>
      </c>
      <c r="F725" s="1">
        <f>F723+F759+F808-F754</f>
        <v>3982</v>
      </c>
      <c r="G725" s="1">
        <f>G723+G759+G808-G754</f>
        <v>3112</v>
      </c>
      <c r="H725" s="1">
        <f>H723+H759+H808-H754</f>
        <v>4779</v>
      </c>
      <c r="I725" s="59">
        <f>SUM(F725:H725)</f>
        <v>11873</v>
      </c>
      <c r="J725" s="1">
        <f>J723+J759+J808-J754</f>
        <v>4006</v>
      </c>
      <c r="K725" s="1">
        <f>K723+K759+K808-K754</f>
        <v>3743</v>
      </c>
      <c r="L725" s="1">
        <f>L723+L759+L808-L754</f>
        <v>3535</v>
      </c>
      <c r="M725" s="59">
        <f>SUM(J725:L725)</f>
        <v>11284</v>
      </c>
      <c r="N725" s="1">
        <f>N723+N759+N808-N754</f>
        <v>3374</v>
      </c>
      <c r="O725" s="1">
        <f>O723+O759+O808-O754</f>
        <v>1043</v>
      </c>
      <c r="P725" s="1">
        <f>P723+P759+P808-P754</f>
        <v>2919</v>
      </c>
      <c r="Q725" s="59">
        <f>SUM(N725:P725)</f>
        <v>7336</v>
      </c>
      <c r="R725" s="59">
        <f>+E725+I725+M725+Q725</f>
        <v>40323</v>
      </c>
    </row>
    <row r="726" spans="1:18" ht="16.5" customHeight="1" thickBot="1" x14ac:dyDescent="0.35">
      <c r="A726" s="24" t="s">
        <v>585</v>
      </c>
      <c r="B726" s="25">
        <f>(B725/B10)/1.983</f>
        <v>56.2198038163096</v>
      </c>
      <c r="C726" s="25">
        <f>(C725/C10)/1.983</f>
        <v>37.749441682875876</v>
      </c>
      <c r="D726" s="25">
        <f>(D725/D10)/1.983</f>
        <v>69.591527987897123</v>
      </c>
      <c r="E726" s="88" t="s">
        <v>7</v>
      </c>
      <c r="F726" s="25">
        <f>(F725/F10)/1.983</f>
        <v>66.935619431837267</v>
      </c>
      <c r="G726" s="25">
        <f>(G725/G10)/1.983</f>
        <v>50.623851121630636</v>
      </c>
      <c r="H726" s="25">
        <f>(H725/H10)/1.983</f>
        <v>80.332829046898638</v>
      </c>
      <c r="I726" s="88" t="s">
        <v>7</v>
      </c>
      <c r="J726" s="25">
        <f>(J725/J10)/1.983</f>
        <v>65.166821206057932</v>
      </c>
      <c r="K726" s="25">
        <f>(K725/K10)/1.983</f>
        <v>60.888520163323726</v>
      </c>
      <c r="L726" s="25">
        <f>(L725/L10)/1.983</f>
        <v>59.421751554883166</v>
      </c>
      <c r="M726" s="88" t="s">
        <v>7</v>
      </c>
      <c r="N726" s="25">
        <f>(N725/N10)/1.983</f>
        <v>54.885884860019843</v>
      </c>
      <c r="O726" s="25">
        <f>(O725/O10)/1.983</f>
        <v>17.532358379559589</v>
      </c>
      <c r="P726" s="25">
        <f>(P725/P10)/1.983</f>
        <v>47.48426138304621</v>
      </c>
      <c r="Q726" s="88" t="s">
        <v>7</v>
      </c>
      <c r="R726" s="88" t="s">
        <v>7</v>
      </c>
    </row>
    <row r="727" spans="1:18" ht="15.75" customHeight="1" x14ac:dyDescent="0.3">
      <c r="A727" s="28"/>
      <c r="B727" s="1"/>
      <c r="C727" s="1"/>
      <c r="D727" s="1"/>
      <c r="E727" s="1"/>
      <c r="F727" s="1"/>
      <c r="G727" s="1"/>
      <c r="H727" s="1"/>
      <c r="I727" s="1"/>
      <c r="J727" s="1"/>
      <c r="K727" s="1"/>
      <c r="L727" s="1"/>
      <c r="M727" s="1"/>
      <c r="N727" s="1"/>
      <c r="O727" s="1"/>
      <c r="P727" s="1"/>
      <c r="Q727" s="1"/>
      <c r="R727" s="28"/>
    </row>
    <row r="728" spans="1:18" ht="15.75" customHeight="1" thickBot="1" x14ac:dyDescent="0.35">
      <c r="A728" s="28"/>
      <c r="B728" s="1"/>
      <c r="C728" s="1"/>
      <c r="D728" s="1"/>
      <c r="E728" s="1"/>
      <c r="F728" s="1"/>
      <c r="G728" s="1"/>
      <c r="H728" s="1"/>
      <c r="I728" s="1"/>
      <c r="J728" s="1"/>
      <c r="K728" s="1"/>
      <c r="L728" s="1"/>
      <c r="M728" s="1"/>
      <c r="N728" s="1"/>
      <c r="O728" s="1"/>
      <c r="P728" s="1"/>
      <c r="Q728" s="1"/>
      <c r="R728" s="28"/>
    </row>
    <row r="729" spans="1:18" ht="16.5" customHeight="1" thickBot="1" x14ac:dyDescent="0.35">
      <c r="A729" s="343" t="s">
        <v>586</v>
      </c>
      <c r="B729" s="323" t="s">
        <v>36</v>
      </c>
      <c r="C729" s="324" t="s">
        <v>9</v>
      </c>
      <c r="D729" s="324" t="s">
        <v>10</v>
      </c>
      <c r="E729" s="34" t="s">
        <v>11</v>
      </c>
      <c r="F729" s="324" t="s">
        <v>12</v>
      </c>
      <c r="G729" s="324" t="s">
        <v>13</v>
      </c>
      <c r="H729" s="324" t="s">
        <v>14</v>
      </c>
      <c r="I729" s="34" t="s">
        <v>15</v>
      </c>
      <c r="J729" s="324" t="s">
        <v>16</v>
      </c>
      <c r="K729" s="324" t="s">
        <v>17</v>
      </c>
      <c r="L729" s="324" t="s">
        <v>18</v>
      </c>
      <c r="M729" s="34" t="s">
        <v>19</v>
      </c>
      <c r="N729" s="324" t="s">
        <v>20</v>
      </c>
      <c r="O729" s="324" t="s">
        <v>21</v>
      </c>
      <c r="P729" s="324" t="s">
        <v>22</v>
      </c>
      <c r="Q729" s="34" t="s">
        <v>23</v>
      </c>
      <c r="R729" s="346" t="s">
        <v>24</v>
      </c>
    </row>
    <row r="730" spans="1:18" ht="16.5" customHeight="1" thickBot="1" x14ac:dyDescent="0.35">
      <c r="A730" s="42"/>
      <c r="B730" s="37"/>
      <c r="C730" s="37"/>
      <c r="D730" s="37"/>
      <c r="E730" s="156"/>
      <c r="F730" s="37"/>
      <c r="G730" s="37"/>
      <c r="H730" s="37"/>
      <c r="I730" s="156"/>
      <c r="J730" s="37"/>
      <c r="K730" s="37"/>
      <c r="L730" s="37"/>
      <c r="M730" s="156"/>
      <c r="N730" s="37"/>
      <c r="O730" s="37"/>
      <c r="P730" s="37"/>
      <c r="Q730" s="156"/>
      <c r="R730" s="39"/>
    </row>
    <row r="731" spans="1:18" ht="15.75" customHeight="1" x14ac:dyDescent="0.3">
      <c r="A731" s="17" t="s">
        <v>45</v>
      </c>
      <c r="B731" s="1" t="s">
        <v>7</v>
      </c>
      <c r="C731" s="1" t="s">
        <v>7</v>
      </c>
      <c r="D731" s="1" t="s">
        <v>7</v>
      </c>
      <c r="E731" s="59" t="s">
        <v>7</v>
      </c>
      <c r="F731" s="1" t="s">
        <v>7</v>
      </c>
      <c r="G731" s="1" t="s">
        <v>7</v>
      </c>
      <c r="H731" s="1" t="s">
        <v>7</v>
      </c>
      <c r="I731" s="59" t="s">
        <v>7</v>
      </c>
      <c r="J731" s="1" t="s">
        <v>7</v>
      </c>
      <c r="K731" s="1" t="s">
        <v>7</v>
      </c>
      <c r="L731" s="1" t="s">
        <v>7</v>
      </c>
      <c r="M731" s="59" t="s">
        <v>7</v>
      </c>
      <c r="N731" s="1" t="s">
        <v>7</v>
      </c>
      <c r="O731" s="1" t="s">
        <v>7</v>
      </c>
      <c r="P731" s="1" t="s">
        <v>7</v>
      </c>
      <c r="Q731" s="59" t="s">
        <v>7</v>
      </c>
      <c r="R731" s="59" t="s">
        <v>7</v>
      </c>
    </row>
    <row r="732" spans="1:18" ht="15.75" customHeight="1" x14ac:dyDescent="0.3">
      <c r="A732" s="17" t="s">
        <v>46</v>
      </c>
      <c r="B732" s="1"/>
      <c r="C732" s="1"/>
      <c r="D732" s="1"/>
      <c r="E732" s="59" t="s">
        <v>7</v>
      </c>
      <c r="F732" s="1"/>
      <c r="G732" s="1"/>
      <c r="H732" s="1"/>
      <c r="I732" s="59" t="s">
        <v>7</v>
      </c>
      <c r="J732" s="1"/>
      <c r="K732" s="1"/>
      <c r="L732" s="1"/>
      <c r="M732" s="59" t="s">
        <v>7</v>
      </c>
      <c r="N732" s="1"/>
      <c r="O732" s="1"/>
      <c r="P732" s="1"/>
      <c r="Q732" s="59" t="s">
        <v>7</v>
      </c>
      <c r="R732" s="59" t="s">
        <v>7</v>
      </c>
    </row>
    <row r="733" spans="1:18" ht="15.75" customHeight="1" x14ac:dyDescent="0.3">
      <c r="A733" s="74" t="s">
        <v>587</v>
      </c>
      <c r="B733" s="1"/>
      <c r="C733" s="1"/>
      <c r="D733" s="1"/>
      <c r="E733" s="59">
        <f>SUM(B733:D733)</f>
        <v>0</v>
      </c>
      <c r="F733" s="1"/>
      <c r="G733" s="1"/>
      <c r="H733" s="1"/>
      <c r="I733" s="59">
        <f>SUM(F733:H733)</f>
        <v>0</v>
      </c>
      <c r="J733" s="1"/>
      <c r="K733" s="1"/>
      <c r="L733" s="1">
        <v>47</v>
      </c>
      <c r="M733" s="59">
        <f>SUM(J733:L733)</f>
        <v>47</v>
      </c>
      <c r="N733" s="1"/>
      <c r="O733" s="1"/>
      <c r="P733" s="1"/>
      <c r="Q733" s="59">
        <f>SUM(N733:P733)</f>
        <v>0</v>
      </c>
      <c r="R733" s="59">
        <f>+E733+I733+M733+Q733</f>
        <v>47</v>
      </c>
    </row>
    <row r="734" spans="1:18" ht="15.75" customHeight="1" x14ac:dyDescent="0.3">
      <c r="A734" s="17" t="s">
        <v>47</v>
      </c>
      <c r="B734" s="1"/>
      <c r="C734" s="1"/>
      <c r="D734" s="1"/>
      <c r="E734" s="59" t="s">
        <v>7</v>
      </c>
      <c r="F734" s="1"/>
      <c r="G734" s="1"/>
      <c r="H734" s="1"/>
      <c r="I734" s="59" t="s">
        <v>7</v>
      </c>
      <c r="J734" s="1"/>
      <c r="K734" s="1"/>
      <c r="L734" s="1"/>
      <c r="M734" s="59" t="s">
        <v>7</v>
      </c>
      <c r="N734" s="1"/>
      <c r="O734" s="1"/>
      <c r="P734" s="1"/>
      <c r="Q734" s="59" t="s">
        <v>7</v>
      </c>
      <c r="R734" s="59" t="s">
        <v>7</v>
      </c>
    </row>
    <row r="735" spans="1:18" ht="15.75" customHeight="1" x14ac:dyDescent="0.3">
      <c r="A735" s="17" t="s">
        <v>49</v>
      </c>
      <c r="B735" s="1"/>
      <c r="C735" s="1"/>
      <c r="D735" s="1"/>
      <c r="E735" s="59" t="s">
        <v>7</v>
      </c>
      <c r="F735" s="1"/>
      <c r="G735" s="1"/>
      <c r="H735" s="1"/>
      <c r="I735" s="59" t="s">
        <v>7</v>
      </c>
      <c r="J735" s="1"/>
      <c r="K735" s="1"/>
      <c r="L735" s="1"/>
      <c r="M735" s="59" t="s">
        <v>7</v>
      </c>
      <c r="N735" s="1"/>
      <c r="O735" s="1"/>
      <c r="P735" s="1"/>
      <c r="Q735" s="59" t="s">
        <v>7</v>
      </c>
      <c r="R735" s="59" t="s">
        <v>7</v>
      </c>
    </row>
    <row r="736" spans="1:18" ht="15.75" customHeight="1" thickBot="1" x14ac:dyDescent="0.35">
      <c r="A736" s="17" t="s">
        <v>51</v>
      </c>
      <c r="B736" s="1"/>
      <c r="C736" s="1"/>
      <c r="D736" s="1"/>
      <c r="E736" s="59" t="s">
        <v>7</v>
      </c>
      <c r="F736" s="1"/>
      <c r="G736" s="1"/>
      <c r="H736" s="1"/>
      <c r="I736" s="59" t="s">
        <v>7</v>
      </c>
      <c r="J736" s="1"/>
      <c r="K736" s="1"/>
      <c r="L736" s="1"/>
      <c r="M736" s="59" t="s">
        <v>7</v>
      </c>
      <c r="N736" s="1"/>
      <c r="O736" s="1"/>
      <c r="P736" s="1"/>
      <c r="Q736" s="59" t="s">
        <v>7</v>
      </c>
      <c r="R736" s="59" t="s">
        <v>7</v>
      </c>
    </row>
    <row r="737" spans="1:18" ht="16.5" customHeight="1" thickBot="1" x14ac:dyDescent="0.35">
      <c r="A737" s="62" t="s">
        <v>52</v>
      </c>
      <c r="B737" s="100">
        <f>SUM(B731:B736)</f>
        <v>0</v>
      </c>
      <c r="C737" s="101">
        <f>SUM(C731:C736)</f>
        <v>0</v>
      </c>
      <c r="D737" s="101">
        <f>SUM(D731:D736)</f>
        <v>0</v>
      </c>
      <c r="E737" s="64">
        <f>SUM(B737:D737)</f>
        <v>0</v>
      </c>
      <c r="F737" s="101">
        <f>SUM(F731:F736)</f>
        <v>0</v>
      </c>
      <c r="G737" s="101">
        <f>SUM(G731:G736)</f>
        <v>0</v>
      </c>
      <c r="H737" s="101">
        <f>SUM(H731:H736)</f>
        <v>0</v>
      </c>
      <c r="I737" s="64">
        <f>SUM(F737:H737)</f>
        <v>0</v>
      </c>
      <c r="J737" s="101">
        <f>SUM(J731:J736)</f>
        <v>0</v>
      </c>
      <c r="K737" s="101">
        <f>SUM(K731:K736)</f>
        <v>0</v>
      </c>
      <c r="L737" s="101">
        <f>SUM(L731:L736)</f>
        <v>47</v>
      </c>
      <c r="M737" s="64">
        <f>SUM(J737:L737)</f>
        <v>47</v>
      </c>
      <c r="N737" s="101">
        <f>SUM(N731:N736)</f>
        <v>0</v>
      </c>
      <c r="O737" s="101">
        <f>SUM(O731:O736)</f>
        <v>0</v>
      </c>
      <c r="P737" s="101">
        <f>SUM(P731:P736)</f>
        <v>0</v>
      </c>
      <c r="Q737" s="64">
        <f>SUM(N737:P737)</f>
        <v>0</v>
      </c>
      <c r="R737" s="64">
        <f>+E737+I737+M737+Q737</f>
        <v>47</v>
      </c>
    </row>
    <row r="738" spans="1:18" ht="15.75" customHeight="1" x14ac:dyDescent="0.3">
      <c r="A738" s="17" t="s">
        <v>53</v>
      </c>
      <c r="B738" s="1"/>
      <c r="C738" s="1"/>
      <c r="D738" s="1"/>
      <c r="E738" s="59" t="s">
        <v>7</v>
      </c>
      <c r="F738" s="1"/>
      <c r="G738" s="1"/>
      <c r="H738" s="1"/>
      <c r="I738" s="59" t="s">
        <v>7</v>
      </c>
      <c r="J738" s="1"/>
      <c r="K738" s="1"/>
      <c r="L738" s="1"/>
      <c r="M738" s="59" t="s">
        <v>7</v>
      </c>
      <c r="N738" s="1"/>
      <c r="O738" s="1"/>
      <c r="P738" s="1"/>
      <c r="Q738" s="59" t="s">
        <v>7</v>
      </c>
      <c r="R738" s="59" t="s">
        <v>7</v>
      </c>
    </row>
    <row r="739" spans="1:18" ht="15.75" customHeight="1" x14ac:dyDescent="0.3">
      <c r="A739" s="17" t="s">
        <v>55</v>
      </c>
      <c r="B739" s="1"/>
      <c r="C739" s="1"/>
      <c r="D739" s="1"/>
      <c r="E739" s="59" t="s">
        <v>7</v>
      </c>
      <c r="F739" s="1"/>
      <c r="G739" s="1"/>
      <c r="H739" s="1"/>
      <c r="I739" s="59" t="s">
        <v>7</v>
      </c>
      <c r="J739" s="1"/>
      <c r="K739" s="1"/>
      <c r="L739" s="1"/>
      <c r="M739" s="59" t="s">
        <v>7</v>
      </c>
      <c r="N739" s="1"/>
      <c r="O739" s="1"/>
      <c r="P739" s="1"/>
      <c r="Q739" s="59" t="s">
        <v>7</v>
      </c>
      <c r="R739" s="59" t="s">
        <v>7</v>
      </c>
    </row>
    <row r="740" spans="1:18" ht="15.75" customHeight="1" thickBot="1" x14ac:dyDescent="0.35">
      <c r="A740" s="17" t="s">
        <v>56</v>
      </c>
      <c r="B740" s="1"/>
      <c r="C740" s="1"/>
      <c r="D740" s="1"/>
      <c r="E740" s="59" t="s">
        <v>7</v>
      </c>
      <c r="F740" s="1"/>
      <c r="G740" s="1"/>
      <c r="H740" s="1"/>
      <c r="I740" s="59" t="s">
        <v>7</v>
      </c>
      <c r="J740" s="1"/>
      <c r="K740" s="1"/>
      <c r="L740" s="1"/>
      <c r="M740" s="59" t="s">
        <v>7</v>
      </c>
      <c r="N740" s="1"/>
      <c r="O740" s="1"/>
      <c r="P740" s="1"/>
      <c r="Q740" s="59" t="s">
        <v>7</v>
      </c>
      <c r="R740" s="59" t="s">
        <v>7</v>
      </c>
    </row>
    <row r="741" spans="1:18" ht="16.5" customHeight="1" thickBot="1" x14ac:dyDescent="0.35">
      <c r="A741" s="62" t="s">
        <v>57</v>
      </c>
      <c r="B741" s="100">
        <f>SUM(B738:B740)</f>
        <v>0</v>
      </c>
      <c r="C741" s="101">
        <f>SUM(C738:C740)</f>
        <v>0</v>
      </c>
      <c r="D741" s="101">
        <f>SUM(D738:D740)</f>
        <v>0</v>
      </c>
      <c r="E741" s="64">
        <f>SUM(B741:D741)</f>
        <v>0</v>
      </c>
      <c r="F741" s="101">
        <f>SUM(F738:F740)</f>
        <v>0</v>
      </c>
      <c r="G741" s="101">
        <f>SUM(G738:G740)</f>
        <v>0</v>
      </c>
      <c r="H741" s="101">
        <f>SUM(H738:H740)</f>
        <v>0</v>
      </c>
      <c r="I741" s="64">
        <f>SUM(F741:H741)</f>
        <v>0</v>
      </c>
      <c r="J741" s="101">
        <f>SUM(J738:J740)</f>
        <v>0</v>
      </c>
      <c r="K741" s="101">
        <f>SUM(K738:K740)</f>
        <v>0</v>
      </c>
      <c r="L741" s="101">
        <f>SUM(L738:L740)</f>
        <v>0</v>
      </c>
      <c r="M741" s="64">
        <f>SUM(J741:L741)</f>
        <v>0</v>
      </c>
      <c r="N741" s="101">
        <f>SUM(N738:N740)</f>
        <v>0</v>
      </c>
      <c r="O741" s="101">
        <f>SUM(O738:O740)</f>
        <v>0</v>
      </c>
      <c r="P741" s="101">
        <f>SUM(P738:P740)</f>
        <v>0</v>
      </c>
      <c r="Q741" s="64">
        <f>SUM(N741:P741)</f>
        <v>0</v>
      </c>
      <c r="R741" s="64">
        <f>+E741+I741+M741+Q741</f>
        <v>0</v>
      </c>
    </row>
    <row r="742" spans="1:18" ht="15.75" customHeight="1" x14ac:dyDescent="0.3">
      <c r="A742" s="17" t="s">
        <v>58</v>
      </c>
      <c r="B742" s="1"/>
      <c r="C742" s="1"/>
      <c r="D742" s="1"/>
      <c r="E742" s="59" t="s">
        <v>7</v>
      </c>
      <c r="F742" s="1"/>
      <c r="G742" s="1"/>
      <c r="H742" s="1"/>
      <c r="I742" s="59" t="s">
        <v>7</v>
      </c>
      <c r="J742" s="1"/>
      <c r="K742" s="1"/>
      <c r="L742" s="1"/>
      <c r="M742" s="59" t="s">
        <v>7</v>
      </c>
      <c r="N742" s="1"/>
      <c r="O742" s="1"/>
      <c r="P742" s="1"/>
      <c r="Q742" s="59" t="s">
        <v>7</v>
      </c>
      <c r="R742" s="59" t="s">
        <v>7</v>
      </c>
    </row>
    <row r="743" spans="1:18" ht="15.75" customHeight="1" x14ac:dyDescent="0.3">
      <c r="A743" s="17" t="s">
        <v>59</v>
      </c>
      <c r="B743" s="1"/>
      <c r="C743" s="1"/>
      <c r="D743" s="1"/>
      <c r="E743" s="59" t="s">
        <v>7</v>
      </c>
      <c r="F743" s="1"/>
      <c r="G743" s="1"/>
      <c r="H743" s="1"/>
      <c r="I743" s="59" t="s">
        <v>7</v>
      </c>
      <c r="J743" s="1"/>
      <c r="K743" s="1"/>
      <c r="L743" s="1"/>
      <c r="M743" s="59" t="s">
        <v>7</v>
      </c>
      <c r="N743" s="1"/>
      <c r="O743" s="1"/>
      <c r="P743" s="1"/>
      <c r="Q743" s="59" t="s">
        <v>7</v>
      </c>
      <c r="R743" s="59" t="s">
        <v>7</v>
      </c>
    </row>
    <row r="744" spans="1:18" ht="15.75" customHeight="1" thickBot="1" x14ac:dyDescent="0.35">
      <c r="A744" s="17" t="s">
        <v>60</v>
      </c>
      <c r="B744" s="1"/>
      <c r="C744" s="1"/>
      <c r="D744" s="1"/>
      <c r="E744" s="59" t="s">
        <v>7</v>
      </c>
      <c r="F744" s="1"/>
      <c r="G744" s="1"/>
      <c r="H744" s="1"/>
      <c r="I744" s="59" t="s">
        <v>7</v>
      </c>
      <c r="J744" s="1"/>
      <c r="K744" s="1"/>
      <c r="L744" s="1"/>
      <c r="M744" s="59" t="s">
        <v>7</v>
      </c>
      <c r="N744" s="1"/>
      <c r="O744" s="1"/>
      <c r="P744" s="1"/>
      <c r="Q744" s="59" t="s">
        <v>7</v>
      </c>
      <c r="R744" s="59" t="s">
        <v>7</v>
      </c>
    </row>
    <row r="745" spans="1:18" ht="16.5" customHeight="1" thickBot="1" x14ac:dyDescent="0.35">
      <c r="A745" s="62" t="s">
        <v>61</v>
      </c>
      <c r="B745" s="100">
        <f>SUM(B742:B744)</f>
        <v>0</v>
      </c>
      <c r="C745" s="101">
        <f>SUM(C742:C744)</f>
        <v>0</v>
      </c>
      <c r="D745" s="101">
        <f>SUM(D742:D744)</f>
        <v>0</v>
      </c>
      <c r="E745" s="64">
        <f>SUM(B745:D745)</f>
        <v>0</v>
      </c>
      <c r="F745" s="101">
        <f>SUM(F742:F744)</f>
        <v>0</v>
      </c>
      <c r="G745" s="101">
        <f>SUM(G742:G744)</f>
        <v>0</v>
      </c>
      <c r="H745" s="101">
        <f>SUM(H742:H744)</f>
        <v>0</v>
      </c>
      <c r="I745" s="64">
        <f>SUM(F745:H745)</f>
        <v>0</v>
      </c>
      <c r="J745" s="101">
        <f>SUM(J742:J744)</f>
        <v>0</v>
      </c>
      <c r="K745" s="101">
        <f>SUM(K742:K744)</f>
        <v>0</v>
      </c>
      <c r="L745" s="101">
        <f>SUM(L742:L744)</f>
        <v>0</v>
      </c>
      <c r="M745" s="64">
        <f>SUM(J745:L745)</f>
        <v>0</v>
      </c>
      <c r="N745" s="101">
        <f>SUM(N742:N744)</f>
        <v>0</v>
      </c>
      <c r="O745" s="101">
        <f>SUM(O742:O744)</f>
        <v>0</v>
      </c>
      <c r="P745" s="101">
        <f>SUM(P742:P744)</f>
        <v>0</v>
      </c>
      <c r="Q745" s="64">
        <f>SUM(N745:P745)</f>
        <v>0</v>
      </c>
      <c r="R745" s="64">
        <f>+E745+I745+M745+Q745</f>
        <v>0</v>
      </c>
    </row>
    <row r="746" spans="1:18" ht="15.75" customHeight="1" x14ac:dyDescent="0.3">
      <c r="A746" s="17" t="s">
        <v>62</v>
      </c>
      <c r="B746" s="1"/>
      <c r="C746" s="1"/>
      <c r="D746" s="1"/>
      <c r="E746" s="59" t="s">
        <v>7</v>
      </c>
      <c r="F746" s="1"/>
      <c r="G746" s="1"/>
      <c r="H746" s="1"/>
      <c r="I746" s="59" t="s">
        <v>7</v>
      </c>
      <c r="J746" s="1"/>
      <c r="K746" s="1"/>
      <c r="L746" s="1"/>
      <c r="M746" s="59" t="s">
        <v>7</v>
      </c>
      <c r="N746" s="1"/>
      <c r="O746" s="1"/>
      <c r="P746" s="1"/>
      <c r="Q746" s="59" t="s">
        <v>7</v>
      </c>
      <c r="R746" s="59" t="s">
        <v>7</v>
      </c>
    </row>
    <row r="747" spans="1:18" ht="15.75" customHeight="1" x14ac:dyDescent="0.3">
      <c r="A747" s="17" t="s">
        <v>63</v>
      </c>
      <c r="B747" s="1"/>
      <c r="C747" s="1"/>
      <c r="D747" s="1"/>
      <c r="E747" s="59" t="s">
        <v>7</v>
      </c>
      <c r="F747" s="1"/>
      <c r="G747" s="1"/>
      <c r="H747" s="1"/>
      <c r="I747" s="59" t="s">
        <v>7</v>
      </c>
      <c r="J747" s="1"/>
      <c r="K747" s="1"/>
      <c r="L747" s="1"/>
      <c r="M747" s="59" t="s">
        <v>7</v>
      </c>
      <c r="N747" s="1"/>
      <c r="O747" s="1"/>
      <c r="P747" s="1"/>
      <c r="Q747" s="59" t="s">
        <v>7</v>
      </c>
      <c r="R747" s="59" t="s">
        <v>7</v>
      </c>
    </row>
    <row r="748" spans="1:18" ht="15.75" customHeight="1" x14ac:dyDescent="0.3">
      <c r="A748" s="17" t="s">
        <v>64</v>
      </c>
      <c r="B748" s="1"/>
      <c r="C748" s="1"/>
      <c r="D748" s="1"/>
      <c r="E748" s="59" t="s">
        <v>7</v>
      </c>
      <c r="F748" s="1"/>
      <c r="G748" s="1"/>
      <c r="H748" s="1"/>
      <c r="I748" s="59" t="s">
        <v>7</v>
      </c>
      <c r="J748" s="1"/>
      <c r="K748" s="1"/>
      <c r="L748" s="1"/>
      <c r="M748" s="59" t="s">
        <v>7</v>
      </c>
      <c r="N748" s="1"/>
      <c r="O748" s="1"/>
      <c r="P748" s="1"/>
      <c r="Q748" s="59" t="s">
        <v>7</v>
      </c>
      <c r="R748" s="59" t="s">
        <v>7</v>
      </c>
    </row>
    <row r="749" spans="1:18" ht="15.75" customHeight="1" x14ac:dyDescent="0.3">
      <c r="A749" s="17" t="s">
        <v>66</v>
      </c>
      <c r="B749" s="1"/>
      <c r="C749" s="1"/>
      <c r="D749" s="1"/>
      <c r="E749" s="59" t="s">
        <v>7</v>
      </c>
      <c r="F749" s="1"/>
      <c r="G749" s="1"/>
      <c r="H749" s="1"/>
      <c r="I749" s="59" t="s">
        <v>7</v>
      </c>
      <c r="J749" s="1"/>
      <c r="K749" s="1"/>
      <c r="L749" s="1"/>
      <c r="M749" s="59" t="s">
        <v>7</v>
      </c>
      <c r="N749" s="1"/>
      <c r="O749" s="1"/>
      <c r="P749" s="1"/>
      <c r="Q749" s="59" t="s">
        <v>7</v>
      </c>
      <c r="R749" s="59" t="s">
        <v>7</v>
      </c>
    </row>
    <row r="750" spans="1:18" ht="15.75" customHeight="1" thickBot="1" x14ac:dyDescent="0.35">
      <c r="A750" s="17" t="s">
        <v>67</v>
      </c>
      <c r="B750" s="1"/>
      <c r="C750" s="1"/>
      <c r="D750" s="1"/>
      <c r="E750" s="59" t="s">
        <v>7</v>
      </c>
      <c r="F750" s="1"/>
      <c r="G750" s="1"/>
      <c r="H750" s="1"/>
      <c r="I750" s="59" t="s">
        <v>7</v>
      </c>
      <c r="J750" s="1"/>
      <c r="K750" s="1"/>
      <c r="L750" s="1"/>
      <c r="M750" s="59" t="s">
        <v>7</v>
      </c>
      <c r="N750" s="1"/>
      <c r="O750" s="1"/>
      <c r="P750" s="1"/>
      <c r="Q750" s="59" t="s">
        <v>7</v>
      </c>
      <c r="R750" s="59" t="s">
        <v>7</v>
      </c>
    </row>
    <row r="751" spans="1:18" ht="16.5" customHeight="1" thickBot="1" x14ac:dyDescent="0.35">
      <c r="A751" s="62" t="s">
        <v>68</v>
      </c>
      <c r="B751" s="63">
        <f>SUM(B749:B750)</f>
        <v>0</v>
      </c>
      <c r="C751" s="63">
        <f>SUM(C749:C750)</f>
        <v>0</v>
      </c>
      <c r="D751" s="63">
        <f>SUM(D749:D750)</f>
        <v>0</v>
      </c>
      <c r="E751" s="334">
        <f>SUM(B751:D751)</f>
        <v>0</v>
      </c>
      <c r="F751" s="63">
        <f>SUM(F749:F750)</f>
        <v>0</v>
      </c>
      <c r="G751" s="63">
        <f>SUM(G749:G750)</f>
        <v>0</v>
      </c>
      <c r="H751" s="63">
        <f>SUM(H749:H750)</f>
        <v>0</v>
      </c>
      <c r="I751" s="334">
        <f>SUM(F751:H751)</f>
        <v>0</v>
      </c>
      <c r="J751" s="63">
        <f>SUM(J749:J750)</f>
        <v>0</v>
      </c>
      <c r="K751" s="63">
        <f>SUM(K749:K750)</f>
        <v>0</v>
      </c>
      <c r="L751" s="63">
        <f>SUM(L749:L750)</f>
        <v>0</v>
      </c>
      <c r="M751" s="334">
        <f>SUM(J751:L751)</f>
        <v>0</v>
      </c>
      <c r="N751" s="63">
        <f>SUM(N749:N750)</f>
        <v>0</v>
      </c>
      <c r="O751" s="63">
        <f>SUM(O749:O750)</f>
        <v>0</v>
      </c>
      <c r="P751" s="63">
        <f>SUM(P749:P750)</f>
        <v>0</v>
      </c>
      <c r="Q751" s="334">
        <f>SUM(N751:P751)</f>
        <v>0</v>
      </c>
      <c r="R751" s="64">
        <f>+E751+I751+M751+Q751</f>
        <v>0</v>
      </c>
    </row>
    <row r="752" spans="1:18" ht="16.5" customHeight="1" thickBot="1" x14ac:dyDescent="0.35">
      <c r="A752" s="62" t="s">
        <v>69</v>
      </c>
      <c r="B752" s="100">
        <f>SUM(B746:B750)</f>
        <v>0</v>
      </c>
      <c r="C752" s="101">
        <f>SUM(C746:C750)</f>
        <v>0</v>
      </c>
      <c r="D752" s="138">
        <f>SUM(D746:D750)</f>
        <v>0</v>
      </c>
      <c r="E752" s="334">
        <f>SUM(B752:D752)</f>
        <v>0</v>
      </c>
      <c r="F752" s="101">
        <f>SUM(F746:F750)</f>
        <v>0</v>
      </c>
      <c r="G752" s="101">
        <f>SUM(G746:G750)</f>
        <v>0</v>
      </c>
      <c r="H752" s="101">
        <f>SUM(H746:H750)</f>
        <v>0</v>
      </c>
      <c r="I752" s="334">
        <f>SUM(F752:H752)</f>
        <v>0</v>
      </c>
      <c r="J752" s="101">
        <f>SUM(J746:J750)</f>
        <v>0</v>
      </c>
      <c r="K752" s="101">
        <f>SUM(K746:K750)</f>
        <v>0</v>
      </c>
      <c r="L752" s="101">
        <f>SUM(L746:L750)</f>
        <v>0</v>
      </c>
      <c r="M752" s="334">
        <f>SUM(J752:L752)</f>
        <v>0</v>
      </c>
      <c r="N752" s="101">
        <f>SUM(N746:N750)</f>
        <v>0</v>
      </c>
      <c r="O752" s="101">
        <f>SUM(O746:O750)</f>
        <v>0</v>
      </c>
      <c r="P752" s="101">
        <f>SUM(P746:P750)</f>
        <v>0</v>
      </c>
      <c r="Q752" s="334">
        <f>SUM(N752:P752)</f>
        <v>0</v>
      </c>
      <c r="R752" s="64">
        <f>+E752+I752+M752+Q752</f>
        <v>0</v>
      </c>
    </row>
    <row r="753" spans="1:20" ht="16.5" customHeight="1" thickBot="1" x14ac:dyDescent="0.35">
      <c r="A753" s="62" t="s">
        <v>70</v>
      </c>
      <c r="B753" s="107">
        <f>+B737+B741+B745+B752</f>
        <v>0</v>
      </c>
      <c r="C753" s="63">
        <f>+C737+C741+C745+C752</f>
        <v>0</v>
      </c>
      <c r="D753" s="63">
        <f>+D737+D741+D745+D752</f>
        <v>0</v>
      </c>
      <c r="E753" s="64">
        <f>SUM(B753:D753)</f>
        <v>0</v>
      </c>
      <c r="F753" s="63">
        <f>+F737+F741+F745+F752</f>
        <v>0</v>
      </c>
      <c r="G753" s="63">
        <f>+G737+G741+G745+G752</f>
        <v>0</v>
      </c>
      <c r="H753" s="63">
        <f>+H737+H741+H745+H752</f>
        <v>0</v>
      </c>
      <c r="I753" s="64">
        <f>SUM(F753:H753)</f>
        <v>0</v>
      </c>
      <c r="J753" s="63">
        <f>+J737+J741+J745+J752</f>
        <v>0</v>
      </c>
      <c r="K753" s="63">
        <f>+K737+K741+K745+K752</f>
        <v>0</v>
      </c>
      <c r="L753" s="63">
        <f>+L737+L741+L745+L752</f>
        <v>47</v>
      </c>
      <c r="M753" s="64">
        <f>SUM(J753:L753)</f>
        <v>47</v>
      </c>
      <c r="N753" s="63">
        <f>+N737+N741+N745+N752</f>
        <v>0</v>
      </c>
      <c r="O753" s="63">
        <f>+O737+O741+O745+O752</f>
        <v>0</v>
      </c>
      <c r="P753" s="63">
        <f>+P737+P741+P745+P752</f>
        <v>0</v>
      </c>
      <c r="Q753" s="64">
        <f>SUM(N753:P753)</f>
        <v>0</v>
      </c>
      <c r="R753" s="88">
        <f>+E753+I753+M753+Q753</f>
        <v>47</v>
      </c>
    </row>
    <row r="754" spans="1:20" ht="15.75" customHeight="1" x14ac:dyDescent="0.3">
      <c r="A754" s="74" t="s">
        <v>588</v>
      </c>
      <c r="B754" s="1">
        <v>243</v>
      </c>
      <c r="C754" s="1">
        <v>1092</v>
      </c>
      <c r="D754" s="1">
        <v>1211</v>
      </c>
      <c r="E754" s="59">
        <f>SUM(B754:D754)</f>
        <v>2546</v>
      </c>
      <c r="F754" s="1">
        <v>3139</v>
      </c>
      <c r="G754" s="1">
        <v>5336</v>
      </c>
      <c r="H754" s="1">
        <v>6668</v>
      </c>
      <c r="I754" s="59">
        <f>SUM(F754:H754)</f>
        <v>15143</v>
      </c>
      <c r="J754" s="1">
        <v>5553</v>
      </c>
      <c r="K754" s="1">
        <v>5238</v>
      </c>
      <c r="L754" s="1">
        <v>4980</v>
      </c>
      <c r="M754" s="59">
        <f>SUM(J754:L754)</f>
        <v>15771</v>
      </c>
      <c r="N754" s="1">
        <v>4749</v>
      </c>
      <c r="O754" s="1">
        <v>2363</v>
      </c>
      <c r="P754" s="1">
        <v>3355</v>
      </c>
      <c r="Q754" s="59">
        <f>SUM(N754:P754)</f>
        <v>10467</v>
      </c>
      <c r="R754" s="59">
        <f>+E754+I754+M754+Q754</f>
        <v>43927</v>
      </c>
    </row>
    <row r="755" spans="1:20" ht="15.75" customHeight="1" thickBot="1" x14ac:dyDescent="0.35">
      <c r="A755" s="74" t="s">
        <v>37</v>
      </c>
      <c r="B755" s="1">
        <v>0</v>
      </c>
      <c r="C755" s="1">
        <v>0</v>
      </c>
      <c r="D755" s="1">
        <v>0</v>
      </c>
      <c r="E755" s="59">
        <f>SUM(B755:D755)</f>
        <v>0</v>
      </c>
      <c r="F755" s="1">
        <v>0</v>
      </c>
      <c r="G755" s="1">
        <v>0</v>
      </c>
      <c r="H755" s="1">
        <v>0</v>
      </c>
      <c r="I755" s="59">
        <f>SUM(F755:H755)</f>
        <v>0</v>
      </c>
      <c r="J755" s="1">
        <v>0</v>
      </c>
      <c r="K755" s="1">
        <v>0</v>
      </c>
      <c r="L755" s="1">
        <v>0</v>
      </c>
      <c r="M755" s="59">
        <f>SUM(J755:L755)</f>
        <v>0</v>
      </c>
      <c r="N755" s="1">
        <v>0</v>
      </c>
      <c r="O755" s="1">
        <v>0</v>
      </c>
      <c r="P755" s="1">
        <v>0</v>
      </c>
      <c r="Q755" s="59">
        <f>SUM(N755:P755)</f>
        <v>0</v>
      </c>
      <c r="R755" s="59">
        <f>+E755+I755+M755+Q755</f>
        <v>0</v>
      </c>
    </row>
    <row r="756" spans="1:20" ht="16.5" customHeight="1" thickBot="1" x14ac:dyDescent="0.35">
      <c r="A756" s="154"/>
      <c r="B756" s="56"/>
      <c r="C756" s="56"/>
      <c r="D756" s="56"/>
      <c r="E756" s="64" t="s">
        <v>7</v>
      </c>
      <c r="F756" s="56"/>
      <c r="G756" s="56"/>
      <c r="H756" s="56"/>
      <c r="I756" s="64" t="s">
        <v>7</v>
      </c>
      <c r="J756" s="56"/>
      <c r="K756" s="56"/>
      <c r="L756" s="56"/>
      <c r="M756" s="64" t="s">
        <v>7</v>
      </c>
      <c r="N756" s="56"/>
      <c r="O756" s="56"/>
      <c r="P756" s="56"/>
      <c r="Q756" s="64"/>
      <c r="R756" s="64"/>
    </row>
    <row r="757" spans="1:20" ht="15.75" customHeight="1" x14ac:dyDescent="0.3">
      <c r="A757" s="17" t="s">
        <v>38</v>
      </c>
      <c r="B757" s="1">
        <f>SUM(B753:B755)</f>
        <v>243</v>
      </c>
      <c r="C757" s="1">
        <f>SUM(C753:C755)</f>
        <v>1092</v>
      </c>
      <c r="D757" s="1">
        <f>SUM(D753:D755)</f>
        <v>1211</v>
      </c>
      <c r="E757" s="334">
        <f>SUM(B757:D757)</f>
        <v>2546</v>
      </c>
      <c r="F757" s="1">
        <f>SUM(F753:F755)</f>
        <v>3139</v>
      </c>
      <c r="G757" s="1">
        <f>SUM(G753:G755)</f>
        <v>5336</v>
      </c>
      <c r="H757" s="1">
        <f>SUM(H753:H755)</f>
        <v>6668</v>
      </c>
      <c r="I757" s="334">
        <f>SUM(F757:H757)</f>
        <v>15143</v>
      </c>
      <c r="J757" s="1">
        <f>SUM(J753:J755)</f>
        <v>5553</v>
      </c>
      <c r="K757" s="1">
        <f>SUM(K753:K755)</f>
        <v>5238</v>
      </c>
      <c r="L757" s="1">
        <f>SUM(L753:L755)</f>
        <v>5027</v>
      </c>
      <c r="M757" s="334">
        <f>SUM(J757:L757)</f>
        <v>15818</v>
      </c>
      <c r="N757" s="1">
        <f>SUM(N753:N755)</f>
        <v>4749</v>
      </c>
      <c r="O757" s="1">
        <f>SUM(O753:O755)</f>
        <v>2363</v>
      </c>
      <c r="P757" s="1">
        <f>SUM(P753:P755)</f>
        <v>3355</v>
      </c>
      <c r="Q757" s="334">
        <f>SUM(N757:P757)</f>
        <v>10467</v>
      </c>
      <c r="R757" s="334">
        <f>+E757+I757+M757+Q757</f>
        <v>43974</v>
      </c>
    </row>
    <row r="758" spans="1:20" ht="15.75" customHeight="1" x14ac:dyDescent="0.3">
      <c r="A758" s="17" t="s">
        <v>39</v>
      </c>
      <c r="B758" s="1">
        <f>(B757/B10)/1.983</f>
        <v>3.9529549558342687</v>
      </c>
      <c r="C758" s="1">
        <f>(C757/C10)/1.983</f>
        <v>19.667170953101362</v>
      </c>
      <c r="D758" s="1">
        <f>(D757/D10)/1.983</f>
        <v>19.699705561791355</v>
      </c>
      <c r="E758" s="59" t="s">
        <v>7</v>
      </c>
      <c r="F758" s="1">
        <f>(F757/F10)/1.983</f>
        <v>52.765170616910403</v>
      </c>
      <c r="G758" s="1">
        <f>(G757/G10)/1.983</f>
        <v>86.802335984903934</v>
      </c>
      <c r="H758" s="1">
        <f>(H757/H10)/1.983</f>
        <v>112.08606488485459</v>
      </c>
      <c r="I758" s="59" t="s">
        <v>7</v>
      </c>
      <c r="J758" s="1">
        <f>(J757/J10)/1.983</f>
        <v>90.33234102776828</v>
      </c>
      <c r="K758" s="1">
        <f>(K757/K10)/1.983</f>
        <v>85.208140159094228</v>
      </c>
      <c r="L758" s="1">
        <f>(L757/L10)/1.983</f>
        <v>84.501596907043194</v>
      </c>
      <c r="M758" s="59" t="s">
        <v>7</v>
      </c>
      <c r="N758" s="1">
        <f>(N757/N10)/1.983</f>
        <v>77.253428334390705</v>
      </c>
      <c r="O758" s="1">
        <f>(O757/O10)/1.983</f>
        <v>39.720961506135481</v>
      </c>
      <c r="P758" s="1">
        <f>(P757/P10)/1.983</f>
        <v>54.576806077464894</v>
      </c>
      <c r="Q758" s="59" t="s">
        <v>7</v>
      </c>
      <c r="R758" s="59" t="s">
        <v>7</v>
      </c>
    </row>
    <row r="759" spans="1:20" ht="15.75" customHeight="1" x14ac:dyDescent="0.3">
      <c r="A759" s="17" t="s">
        <v>589</v>
      </c>
      <c r="B759" s="1">
        <f>B757</f>
        <v>243</v>
      </c>
      <c r="C759" s="1">
        <f>C757</f>
        <v>1092</v>
      </c>
      <c r="D759" s="1">
        <f>D757</f>
        <v>1211</v>
      </c>
      <c r="E759" s="59">
        <f>SUM(B759:D759)</f>
        <v>2546</v>
      </c>
      <c r="F759" s="1">
        <f>F757</f>
        <v>3139</v>
      </c>
      <c r="G759" s="1">
        <f>G757</f>
        <v>5336</v>
      </c>
      <c r="H759" s="1">
        <f>H757</f>
        <v>6668</v>
      </c>
      <c r="I759" s="59">
        <f>SUM(F759:H759)</f>
        <v>15143</v>
      </c>
      <c r="J759" s="1">
        <f>J757</f>
        <v>5553</v>
      </c>
      <c r="K759" s="1">
        <f>K757</f>
        <v>5238</v>
      </c>
      <c r="L759" s="1">
        <f>L757</f>
        <v>5027</v>
      </c>
      <c r="M759" s="59">
        <f>SUM(J759:L759)</f>
        <v>15818</v>
      </c>
      <c r="N759" s="1">
        <f>N757</f>
        <v>4749</v>
      </c>
      <c r="O759" s="1">
        <f>O757</f>
        <v>2363</v>
      </c>
      <c r="P759" s="1">
        <f>P757</f>
        <v>3355</v>
      </c>
      <c r="Q759" s="59">
        <f>SUM(N759:P759)</f>
        <v>10467</v>
      </c>
      <c r="R759" s="59">
        <f>+E759+I759+M759+Q759</f>
        <v>43974</v>
      </c>
    </row>
    <row r="760" spans="1:20" ht="16.5" customHeight="1" thickBot="1" x14ac:dyDescent="0.35">
      <c r="A760" s="24" t="s">
        <v>590</v>
      </c>
      <c r="B760" s="25">
        <f>(B759/B10)/1.983</f>
        <v>3.9529549558342687</v>
      </c>
      <c r="C760" s="25">
        <f>(C759/C10)/1.983</f>
        <v>19.667170953101362</v>
      </c>
      <c r="D760" s="25">
        <f>(D759/D10)/1.983</f>
        <v>19.699705561791355</v>
      </c>
      <c r="E760" s="88" t="s">
        <v>7</v>
      </c>
      <c r="F760" s="25">
        <f>(F759/F10)/1.983</f>
        <v>52.765170616910403</v>
      </c>
      <c r="G760" s="25">
        <f>(G759/G10)/1.983</f>
        <v>86.802335984903934</v>
      </c>
      <c r="H760" s="25">
        <f>(H759/H10)/1.983</f>
        <v>112.08606488485459</v>
      </c>
      <c r="I760" s="88" t="s">
        <v>7</v>
      </c>
      <c r="J760" s="25">
        <f>(J759/J10)/1.983</f>
        <v>90.33234102776828</v>
      </c>
      <c r="K760" s="25">
        <f>(K759/K10)/1.983</f>
        <v>85.208140159094228</v>
      </c>
      <c r="L760" s="25">
        <f>(L759/L10)/1.983</f>
        <v>84.501596907043194</v>
      </c>
      <c r="M760" s="88" t="s">
        <v>7</v>
      </c>
      <c r="N760" s="25">
        <f>(N759/N10)/1.983</f>
        <v>77.253428334390705</v>
      </c>
      <c r="O760" s="25">
        <f>(O759/O10)/1.983</f>
        <v>39.720961506135481</v>
      </c>
      <c r="P760" s="25">
        <f>(P759/P10)/1.983</f>
        <v>54.576806077464894</v>
      </c>
      <c r="Q760" s="88" t="s">
        <v>7</v>
      </c>
      <c r="R760" s="88" t="s">
        <v>7</v>
      </c>
    </row>
    <row r="761" spans="1:20" ht="15.75" customHeight="1" x14ac:dyDescent="0.3">
      <c r="A761" s="28"/>
      <c r="B761" s="1"/>
      <c r="C761" s="1"/>
      <c r="D761" s="1"/>
      <c r="E761" s="1"/>
      <c r="F761" s="1"/>
      <c r="G761" s="1"/>
      <c r="H761" s="1"/>
      <c r="I761" s="1"/>
      <c r="J761" s="1"/>
      <c r="K761" s="1"/>
      <c r="L761" s="1"/>
      <c r="M761" s="1"/>
      <c r="N761" s="1"/>
      <c r="O761" s="1"/>
      <c r="P761" s="1"/>
      <c r="Q761" s="1"/>
      <c r="R761" s="28"/>
    </row>
    <row r="762" spans="1:20" ht="15.75" customHeight="1" thickBot="1" x14ac:dyDescent="0.35">
      <c r="A762" s="28"/>
      <c r="B762" s="1"/>
      <c r="C762" s="1"/>
      <c r="D762" s="1"/>
      <c r="E762" s="1"/>
      <c r="F762" s="1"/>
      <c r="G762" s="1"/>
      <c r="H762" s="1"/>
      <c r="I762" s="1"/>
      <c r="J762" s="1"/>
      <c r="K762" s="1"/>
      <c r="L762" s="1"/>
      <c r="M762" s="1"/>
      <c r="N762" s="1"/>
      <c r="O762" s="1"/>
      <c r="P762" s="1"/>
      <c r="Q762" s="1"/>
      <c r="R762" s="28"/>
    </row>
    <row r="763" spans="1:20" ht="16.5" customHeight="1" thickBot="1" x14ac:dyDescent="0.35">
      <c r="A763" s="343" t="s">
        <v>591</v>
      </c>
      <c r="B763" s="323" t="s">
        <v>36</v>
      </c>
      <c r="C763" s="324" t="s">
        <v>9</v>
      </c>
      <c r="D763" s="324" t="s">
        <v>10</v>
      </c>
      <c r="E763" s="325" t="s">
        <v>11</v>
      </c>
      <c r="F763" s="324" t="s">
        <v>12</v>
      </c>
      <c r="G763" s="324" t="s">
        <v>13</v>
      </c>
      <c r="H763" s="324" t="s">
        <v>14</v>
      </c>
      <c r="I763" s="34" t="s">
        <v>15</v>
      </c>
      <c r="J763" s="324" t="s">
        <v>16</v>
      </c>
      <c r="K763" s="324" t="s">
        <v>17</v>
      </c>
      <c r="L763" s="324" t="s">
        <v>18</v>
      </c>
      <c r="M763" s="34" t="s">
        <v>19</v>
      </c>
      <c r="N763" s="324" t="s">
        <v>20</v>
      </c>
      <c r="O763" s="324" t="s">
        <v>21</v>
      </c>
      <c r="P763" s="324" t="s">
        <v>22</v>
      </c>
      <c r="Q763" s="34" t="s">
        <v>23</v>
      </c>
      <c r="R763" s="157" t="s">
        <v>24</v>
      </c>
    </row>
    <row r="764" spans="1:20" ht="16.5" customHeight="1" thickBot="1" x14ac:dyDescent="0.35">
      <c r="A764" s="42"/>
      <c r="B764" s="37"/>
      <c r="C764" s="37"/>
      <c r="D764" s="37"/>
      <c r="E764" s="16"/>
      <c r="F764" s="37"/>
      <c r="G764" s="37"/>
      <c r="H764" s="37"/>
      <c r="I764" s="156"/>
      <c r="J764" s="37"/>
      <c r="K764" s="37"/>
      <c r="L764" s="37"/>
      <c r="M764" s="156"/>
      <c r="N764" s="37"/>
      <c r="O764" s="37"/>
      <c r="P764" s="37"/>
      <c r="Q764" s="158"/>
      <c r="R764" s="159"/>
    </row>
    <row r="765" spans="1:20" ht="15.75" customHeight="1" x14ac:dyDescent="0.3">
      <c r="A765" s="17" t="s">
        <v>45</v>
      </c>
      <c r="B765" s="1" t="s">
        <v>7</v>
      </c>
      <c r="C765" s="1" t="s">
        <v>7</v>
      </c>
      <c r="D765" s="1" t="s">
        <v>7</v>
      </c>
      <c r="E765" s="160"/>
      <c r="F765" s="1" t="s">
        <v>7</v>
      </c>
      <c r="G765" s="1" t="s">
        <v>7</v>
      </c>
      <c r="H765" s="1" t="s">
        <v>7</v>
      </c>
      <c r="I765" s="160"/>
      <c r="J765" s="1" t="s">
        <v>7</v>
      </c>
      <c r="K765" s="1" t="s">
        <v>7</v>
      </c>
      <c r="L765" s="1" t="s">
        <v>7</v>
      </c>
      <c r="M765" s="160"/>
      <c r="N765" s="1" t="s">
        <v>7</v>
      </c>
      <c r="O765" s="1" t="s">
        <v>7</v>
      </c>
      <c r="P765" s="1" t="s">
        <v>7</v>
      </c>
      <c r="Q765" s="161"/>
      <c r="R765" s="162" t="s">
        <v>7</v>
      </c>
    </row>
    <row r="766" spans="1:20" ht="15.75" customHeight="1" x14ac:dyDescent="0.3">
      <c r="A766" s="17" t="s">
        <v>46</v>
      </c>
      <c r="B766" s="1"/>
      <c r="C766" s="1"/>
      <c r="D766" s="1"/>
      <c r="E766" s="59" t="s">
        <v>7</v>
      </c>
      <c r="F766" s="1"/>
      <c r="G766" s="1"/>
      <c r="H766" s="1"/>
      <c r="I766" s="59" t="s">
        <v>7</v>
      </c>
      <c r="J766" s="1"/>
      <c r="K766" s="1"/>
      <c r="L766" s="1"/>
      <c r="M766" s="59" t="s">
        <v>7</v>
      </c>
      <c r="N766" s="1"/>
      <c r="O766" s="1"/>
      <c r="P766" s="1"/>
      <c r="Q766" s="59" t="s">
        <v>7</v>
      </c>
      <c r="R766" s="59" t="s">
        <v>7</v>
      </c>
    </row>
    <row r="767" spans="1:20" ht="15.75" customHeight="1" x14ac:dyDescent="0.3">
      <c r="A767" s="74" t="s">
        <v>592</v>
      </c>
      <c r="B767" s="1"/>
      <c r="C767" s="1"/>
      <c r="D767" s="1"/>
      <c r="E767" s="59">
        <f>SUM(B767:D767)</f>
        <v>0</v>
      </c>
      <c r="F767" s="1"/>
      <c r="G767" s="1"/>
      <c r="H767" s="1"/>
      <c r="I767" s="59">
        <f>SUM(F767:H767)</f>
        <v>0</v>
      </c>
      <c r="J767" s="1"/>
      <c r="K767" s="1"/>
      <c r="L767" s="1"/>
      <c r="M767" s="59">
        <f>SUM(J767:L767)</f>
        <v>0</v>
      </c>
      <c r="N767" s="1"/>
      <c r="O767" s="1"/>
      <c r="P767" s="1"/>
      <c r="Q767" s="59">
        <f>SUM(N767:P767)</f>
        <v>0</v>
      </c>
      <c r="R767" s="59">
        <f>+E767+I767+M767+Q767</f>
        <v>0</v>
      </c>
      <c r="T767" s="4" t="s">
        <v>593</v>
      </c>
    </row>
    <row r="768" spans="1:20" ht="15.75" customHeight="1" x14ac:dyDescent="0.3">
      <c r="A768" s="74" t="s">
        <v>594</v>
      </c>
      <c r="B768" s="1"/>
      <c r="C768" s="1"/>
      <c r="D768" s="1"/>
      <c r="E768" s="59">
        <f>SUM(B768:D768)</f>
        <v>0</v>
      </c>
      <c r="F768" s="1"/>
      <c r="G768" s="1"/>
      <c r="H768" s="1"/>
      <c r="I768" s="59">
        <f>SUM(F768:H768)</f>
        <v>0</v>
      </c>
      <c r="J768" s="1"/>
      <c r="K768" s="1"/>
      <c r="L768" s="1"/>
      <c r="M768" s="59">
        <f>SUM(J768:L768)</f>
        <v>0</v>
      </c>
      <c r="N768" s="1"/>
      <c r="O768" s="1"/>
      <c r="P768" s="1"/>
      <c r="Q768" s="59">
        <f>SUM(N768:P768)</f>
        <v>0</v>
      </c>
      <c r="R768" s="59">
        <f>+E768+I768+M768+Q768</f>
        <v>0</v>
      </c>
    </row>
    <row r="769" spans="1:20" ht="15.75" customHeight="1" x14ac:dyDescent="0.3">
      <c r="A769" s="74" t="s">
        <v>595</v>
      </c>
      <c r="B769" s="1"/>
      <c r="C769" s="1"/>
      <c r="D769" s="1"/>
      <c r="E769" s="59">
        <f>SUM(B769:D769)</f>
        <v>0</v>
      </c>
      <c r="F769" s="1"/>
      <c r="G769" s="1"/>
      <c r="H769" s="1"/>
      <c r="I769" s="59">
        <f>SUM(F769:H769)</f>
        <v>0</v>
      </c>
      <c r="J769" s="1"/>
      <c r="K769" s="1"/>
      <c r="L769" s="1"/>
      <c r="M769" s="59">
        <f>SUM(J769:L769)</f>
        <v>0</v>
      </c>
      <c r="N769" s="1"/>
      <c r="O769" s="1"/>
      <c r="P769" s="1"/>
      <c r="Q769" s="59">
        <f>SUM(N769:P769)</f>
        <v>0</v>
      </c>
      <c r="R769" s="59">
        <f>+E769+I769+M769+Q769</f>
        <v>0</v>
      </c>
    </row>
    <row r="770" spans="1:20" ht="15.75" customHeight="1" x14ac:dyDescent="0.3">
      <c r="A770" s="74" t="s">
        <v>596</v>
      </c>
      <c r="B770" s="1">
        <v>100</v>
      </c>
      <c r="C770" s="1"/>
      <c r="D770" s="1"/>
      <c r="E770" s="59">
        <f>SUM(B770:D770)</f>
        <v>100</v>
      </c>
      <c r="F770" s="1"/>
      <c r="G770" s="1"/>
      <c r="H770" s="1"/>
      <c r="I770" s="59">
        <f>SUM(F770:H770)</f>
        <v>0</v>
      </c>
      <c r="J770" s="1"/>
      <c r="K770" s="1"/>
      <c r="L770" s="1"/>
      <c r="M770" s="59">
        <f>SUM(J770:L770)</f>
        <v>0</v>
      </c>
      <c r="N770" s="1"/>
      <c r="O770" s="1"/>
      <c r="P770" s="1"/>
      <c r="Q770" s="59">
        <f>SUM(N770:P770)</f>
        <v>0</v>
      </c>
      <c r="R770" s="59">
        <f>+E770+I770+M770+Q770</f>
        <v>100</v>
      </c>
    </row>
    <row r="771" spans="1:20" ht="15.75" customHeight="1" x14ac:dyDescent="0.3">
      <c r="A771" s="74" t="s">
        <v>598</v>
      </c>
      <c r="B771" s="1">
        <v>2553</v>
      </c>
      <c r="C771" s="1">
        <v>1307</v>
      </c>
      <c r="D771" s="1">
        <v>2773</v>
      </c>
      <c r="E771" s="59">
        <f>SUM(B771:D771)</f>
        <v>6633</v>
      </c>
      <c r="F771" s="1">
        <v>2497</v>
      </c>
      <c r="G771" s="1">
        <v>1477</v>
      </c>
      <c r="H771" s="1">
        <v>2886</v>
      </c>
      <c r="I771" s="59">
        <f>SUM(F771:H771)</f>
        <v>6860</v>
      </c>
      <c r="J771" s="1">
        <v>2775</v>
      </c>
      <c r="K771" s="1">
        <v>2617</v>
      </c>
      <c r="L771" s="1">
        <v>2064</v>
      </c>
      <c r="M771" s="59">
        <f>SUM(J771:L771)</f>
        <v>7456</v>
      </c>
      <c r="N771" s="1">
        <v>2194</v>
      </c>
      <c r="O771" s="1">
        <v>516</v>
      </c>
      <c r="P771" s="1">
        <v>325</v>
      </c>
      <c r="Q771" s="59">
        <f>SUM(N771:P771)</f>
        <v>3035</v>
      </c>
      <c r="R771" s="59">
        <f>+E771+I771+M771+Q771</f>
        <v>23984</v>
      </c>
    </row>
    <row r="772" spans="1:20" ht="15.75" customHeight="1" x14ac:dyDescent="0.3">
      <c r="A772" s="17" t="s">
        <v>47</v>
      </c>
      <c r="B772" s="1"/>
      <c r="C772" s="1"/>
      <c r="D772" s="1"/>
      <c r="E772" s="59" t="s">
        <v>7</v>
      </c>
      <c r="F772" s="1"/>
      <c r="G772" s="1"/>
      <c r="H772" s="1"/>
      <c r="I772" s="59" t="s">
        <v>7</v>
      </c>
      <c r="J772" s="1"/>
      <c r="K772" s="1"/>
      <c r="L772" s="1"/>
      <c r="M772" s="59" t="s">
        <v>7</v>
      </c>
      <c r="N772" s="1"/>
      <c r="O772" s="1"/>
      <c r="P772" s="1"/>
      <c r="Q772" s="59" t="s">
        <v>7</v>
      </c>
      <c r="R772" s="59" t="s">
        <v>7</v>
      </c>
    </row>
    <row r="773" spans="1:20" ht="15.75" customHeight="1" x14ac:dyDescent="0.3">
      <c r="A773" s="17" t="s">
        <v>49</v>
      </c>
      <c r="B773" s="1"/>
      <c r="C773" s="1"/>
      <c r="D773" s="1"/>
      <c r="E773" s="59" t="s">
        <v>7</v>
      </c>
      <c r="F773" s="1"/>
      <c r="G773" s="1"/>
      <c r="H773" s="1"/>
      <c r="I773" s="59" t="s">
        <v>7</v>
      </c>
      <c r="J773" s="1"/>
      <c r="K773" s="1"/>
      <c r="L773" s="1"/>
      <c r="M773" s="59" t="s">
        <v>7</v>
      </c>
      <c r="N773" s="1"/>
      <c r="O773" s="1"/>
      <c r="P773" s="1"/>
      <c r="Q773" s="59" t="s">
        <v>7</v>
      </c>
      <c r="R773" s="59" t="s">
        <v>7</v>
      </c>
    </row>
    <row r="774" spans="1:20" ht="15.75" customHeight="1" x14ac:dyDescent="0.3">
      <c r="A774" s="74" t="s">
        <v>926</v>
      </c>
      <c r="B774" s="1"/>
      <c r="C774" s="1"/>
      <c r="D774" s="1"/>
      <c r="E774" s="59">
        <f>SUM(B774:D774)</f>
        <v>0</v>
      </c>
      <c r="F774" s="1"/>
      <c r="G774" s="1"/>
      <c r="H774" s="1"/>
      <c r="I774" s="59">
        <f>SUM(F774:H774)</f>
        <v>0</v>
      </c>
      <c r="J774" s="1"/>
      <c r="K774" s="1"/>
      <c r="L774" s="1"/>
      <c r="M774" s="59">
        <f>SUM(J774:L774)</f>
        <v>0</v>
      </c>
      <c r="N774" s="1"/>
      <c r="O774" s="1"/>
      <c r="P774" s="1">
        <v>1490</v>
      </c>
      <c r="Q774" s="59">
        <f>SUM(N774:P774)</f>
        <v>1490</v>
      </c>
      <c r="R774" s="59">
        <f>+E774+I774+M774+Q774</f>
        <v>1490</v>
      </c>
    </row>
    <row r="775" spans="1:20" ht="15.75" customHeight="1" thickBot="1" x14ac:dyDescent="0.35">
      <c r="A775" s="17" t="s">
        <v>51</v>
      </c>
      <c r="B775" s="1"/>
      <c r="C775" s="1"/>
      <c r="D775" s="1"/>
      <c r="E775" s="59" t="s">
        <v>7</v>
      </c>
      <c r="F775" s="1"/>
      <c r="G775" s="1"/>
      <c r="H775" s="1"/>
      <c r="I775" s="59" t="s">
        <v>7</v>
      </c>
      <c r="J775" s="1"/>
      <c r="K775" s="1"/>
      <c r="L775" s="1"/>
      <c r="M775" s="59" t="s">
        <v>7</v>
      </c>
      <c r="N775" s="1"/>
      <c r="O775" s="1"/>
      <c r="P775" s="1"/>
      <c r="Q775" s="59" t="s">
        <v>7</v>
      </c>
      <c r="R775" s="59" t="s">
        <v>7</v>
      </c>
    </row>
    <row r="776" spans="1:20" ht="16.5" customHeight="1" thickBot="1" x14ac:dyDescent="0.35">
      <c r="A776" s="62" t="s">
        <v>52</v>
      </c>
      <c r="B776" s="100">
        <f>SUM(B765:B775)</f>
        <v>2653</v>
      </c>
      <c r="C776" s="101">
        <f>SUM(C765:C775)</f>
        <v>1307</v>
      </c>
      <c r="D776" s="101">
        <f>SUM(D765:D775)</f>
        <v>2773</v>
      </c>
      <c r="E776" s="64">
        <f>SUM(B776:D776)</f>
        <v>6733</v>
      </c>
      <c r="F776" s="101">
        <f>SUM(F765:F775)</f>
        <v>2497</v>
      </c>
      <c r="G776" s="101">
        <f>SUM(G765:G775)</f>
        <v>1477</v>
      </c>
      <c r="H776" s="101">
        <f>SUM(H765:H775)</f>
        <v>2886</v>
      </c>
      <c r="I776" s="64">
        <f>SUM(F776:H776)</f>
        <v>6860</v>
      </c>
      <c r="J776" s="101">
        <f>SUM(J765:J775)</f>
        <v>2775</v>
      </c>
      <c r="K776" s="101">
        <f>SUM(K765:K775)</f>
        <v>2617</v>
      </c>
      <c r="L776" s="101">
        <f>SUM(L765:L775)</f>
        <v>2064</v>
      </c>
      <c r="M776" s="64">
        <f>SUM(J776:L776)</f>
        <v>7456</v>
      </c>
      <c r="N776" s="101">
        <f>SUM(N765:N775)</f>
        <v>2194</v>
      </c>
      <c r="O776" s="101">
        <f>SUM(O765:O775)</f>
        <v>516</v>
      </c>
      <c r="P776" s="101">
        <f>SUM(P765:P775)</f>
        <v>1815</v>
      </c>
      <c r="Q776" s="64">
        <f>SUM(N776:P776)</f>
        <v>4525</v>
      </c>
      <c r="R776" s="64">
        <f>+E776+I776+M776+Q776</f>
        <v>25574</v>
      </c>
    </row>
    <row r="777" spans="1:20" ht="15.75" customHeight="1" x14ac:dyDescent="0.3">
      <c r="A777" s="17" t="s">
        <v>53</v>
      </c>
      <c r="B777" s="1"/>
      <c r="C777" s="1"/>
      <c r="D777" s="1"/>
      <c r="E777" s="59" t="s">
        <v>7</v>
      </c>
      <c r="F777" s="1"/>
      <c r="G777" s="1"/>
      <c r="H777" s="1"/>
      <c r="I777" s="59" t="s">
        <v>7</v>
      </c>
      <c r="J777" s="1"/>
      <c r="K777" s="1"/>
      <c r="L777" s="1"/>
      <c r="M777" s="59" t="s">
        <v>7</v>
      </c>
      <c r="N777" s="1"/>
      <c r="O777" s="1"/>
      <c r="P777" s="1"/>
      <c r="Q777" s="59" t="s">
        <v>7</v>
      </c>
      <c r="R777" s="59" t="s">
        <v>7</v>
      </c>
    </row>
    <row r="778" spans="1:20" ht="15.75" customHeight="1" x14ac:dyDescent="0.3">
      <c r="A778" s="17" t="s">
        <v>55</v>
      </c>
      <c r="B778" s="1"/>
      <c r="C778" s="1"/>
      <c r="D778" s="1"/>
      <c r="E778" s="59" t="s">
        <v>7</v>
      </c>
      <c r="F778" s="1"/>
      <c r="G778" s="1"/>
      <c r="H778" s="1"/>
      <c r="I778" s="59" t="s">
        <v>7</v>
      </c>
      <c r="J778" s="1"/>
      <c r="K778" s="1"/>
      <c r="L778" s="1"/>
      <c r="M778" s="59" t="s">
        <v>7</v>
      </c>
      <c r="N778" s="1"/>
      <c r="O778" s="1"/>
      <c r="P778" s="1"/>
      <c r="Q778" s="59" t="s">
        <v>7</v>
      </c>
      <c r="R778" s="59" t="s">
        <v>7</v>
      </c>
    </row>
    <row r="779" spans="1:20" ht="15.75" customHeight="1" x14ac:dyDescent="0.3">
      <c r="A779" s="74" t="s">
        <v>600</v>
      </c>
      <c r="B779" s="1"/>
      <c r="C779" s="1"/>
      <c r="D779" s="1"/>
      <c r="E779" s="59">
        <f>SUM(B779:D779)</f>
        <v>0</v>
      </c>
      <c r="F779" s="1"/>
      <c r="G779" s="1"/>
      <c r="H779" s="1"/>
      <c r="I779" s="59">
        <f>SUM(F779:H779)</f>
        <v>0</v>
      </c>
      <c r="J779" s="1"/>
      <c r="K779" s="1"/>
      <c r="L779" s="1"/>
      <c r="M779" s="59">
        <f>SUM(J779:L779)</f>
        <v>0</v>
      </c>
      <c r="N779" s="1"/>
      <c r="O779" s="1"/>
      <c r="P779" s="1"/>
      <c r="Q779" s="59">
        <f>SUM(N779:P779)</f>
        <v>0</v>
      </c>
      <c r="R779" s="59">
        <f>+E779+I779+M779+Q779</f>
        <v>0</v>
      </c>
    </row>
    <row r="780" spans="1:20" ht="15.75" customHeight="1" thickBot="1" x14ac:dyDescent="0.35">
      <c r="A780" s="17" t="s">
        <v>56</v>
      </c>
      <c r="B780" s="1"/>
      <c r="C780" s="1"/>
      <c r="D780" s="1"/>
      <c r="E780" s="59" t="s">
        <v>7</v>
      </c>
      <c r="F780" s="1"/>
      <c r="G780" s="1"/>
      <c r="H780" s="1"/>
      <c r="I780" s="59" t="s">
        <v>7</v>
      </c>
      <c r="J780" s="1"/>
      <c r="K780" s="1"/>
      <c r="L780" s="1"/>
      <c r="M780" s="59" t="s">
        <v>7</v>
      </c>
      <c r="N780" s="1"/>
      <c r="O780" s="1"/>
      <c r="P780" s="1"/>
      <c r="Q780" s="59" t="s">
        <v>7</v>
      </c>
      <c r="R780" s="59" t="s">
        <v>7</v>
      </c>
    </row>
    <row r="781" spans="1:20" ht="16.5" customHeight="1" thickBot="1" x14ac:dyDescent="0.35">
      <c r="A781" s="62" t="s">
        <v>57</v>
      </c>
      <c r="B781" s="100">
        <f>SUM(B777:B780)</f>
        <v>0</v>
      </c>
      <c r="C781" s="101">
        <f>SUM(C777:C780)</f>
        <v>0</v>
      </c>
      <c r="D781" s="101">
        <f>SUM(D777:D780)</f>
        <v>0</v>
      </c>
      <c r="E781" s="64">
        <f>SUM(B781:D781)</f>
        <v>0</v>
      </c>
      <c r="F781" s="101">
        <f>SUM(F777:F780)</f>
        <v>0</v>
      </c>
      <c r="G781" s="101">
        <f>SUM(G777:G780)</f>
        <v>0</v>
      </c>
      <c r="H781" s="101">
        <f>SUM(H777:H780)</f>
        <v>0</v>
      </c>
      <c r="I781" s="64">
        <f>SUM(F781:H781)</f>
        <v>0</v>
      </c>
      <c r="J781" s="101">
        <f>SUM(J777:J780)</f>
        <v>0</v>
      </c>
      <c r="K781" s="101">
        <f>SUM(K777:K780)</f>
        <v>0</v>
      </c>
      <c r="L781" s="101">
        <f>SUM(L777:L780)</f>
        <v>0</v>
      </c>
      <c r="M781" s="64">
        <f>SUM(J781:L781)</f>
        <v>0</v>
      </c>
      <c r="N781" s="101">
        <f>SUM(N777:N780)</f>
        <v>0</v>
      </c>
      <c r="O781" s="101">
        <f>SUM(O777:O780)</f>
        <v>0</v>
      </c>
      <c r="P781" s="101">
        <f>SUM(P777:P780)</f>
        <v>0</v>
      </c>
      <c r="Q781" s="64">
        <f>SUM(N781:P781)</f>
        <v>0</v>
      </c>
      <c r="R781" s="64">
        <f>+E781+I781+M781+Q781</f>
        <v>0</v>
      </c>
    </row>
    <row r="782" spans="1:20" ht="15.75" customHeight="1" x14ac:dyDescent="0.3">
      <c r="A782" s="17" t="s">
        <v>58</v>
      </c>
      <c r="B782" s="1"/>
      <c r="C782" s="1"/>
      <c r="D782" s="1"/>
      <c r="E782" s="59" t="s">
        <v>7</v>
      </c>
      <c r="F782" s="1"/>
      <c r="G782" s="1"/>
      <c r="H782" s="1"/>
      <c r="I782" s="59" t="s">
        <v>7</v>
      </c>
      <c r="J782" s="1" t="s">
        <v>7</v>
      </c>
      <c r="K782" s="1"/>
      <c r="L782" s="1"/>
      <c r="M782" s="59" t="s">
        <v>7</v>
      </c>
      <c r="N782" s="1"/>
      <c r="O782" s="1"/>
      <c r="P782" s="1"/>
      <c r="Q782" s="59" t="s">
        <v>7</v>
      </c>
      <c r="R782" s="59" t="s">
        <v>7</v>
      </c>
    </row>
    <row r="783" spans="1:20" ht="18" customHeight="1" x14ac:dyDescent="0.3">
      <c r="A783" s="17" t="s">
        <v>59</v>
      </c>
      <c r="B783" s="1"/>
      <c r="C783" s="1"/>
      <c r="D783" s="1"/>
      <c r="E783" s="59" t="s">
        <v>7</v>
      </c>
      <c r="F783" s="1"/>
      <c r="G783" s="1"/>
      <c r="H783" s="1"/>
      <c r="I783" s="59" t="s">
        <v>7</v>
      </c>
      <c r="J783" s="1"/>
      <c r="K783" s="1"/>
      <c r="L783" s="1"/>
      <c r="M783" s="59" t="s">
        <v>7</v>
      </c>
      <c r="N783" s="1"/>
      <c r="O783" s="1"/>
      <c r="P783" s="1"/>
      <c r="Q783" s="59" t="s">
        <v>7</v>
      </c>
      <c r="R783" s="59" t="s">
        <v>7</v>
      </c>
    </row>
    <row r="784" spans="1:20" ht="15.75" customHeight="1" x14ac:dyDescent="0.3">
      <c r="A784" s="74" t="s">
        <v>601</v>
      </c>
      <c r="B784" s="1">
        <v>4</v>
      </c>
      <c r="C784" s="1">
        <v>4</v>
      </c>
      <c r="D784" s="1">
        <v>662</v>
      </c>
      <c r="E784" s="59">
        <f>SUM(B784:D784)</f>
        <v>670</v>
      </c>
      <c r="F784" s="1">
        <v>614</v>
      </c>
      <c r="G784" s="1">
        <v>774</v>
      </c>
      <c r="H784" s="1">
        <v>948</v>
      </c>
      <c r="I784" s="59">
        <f>SUM(F784:H784)</f>
        <v>2336</v>
      </c>
      <c r="J784" s="1">
        <v>348</v>
      </c>
      <c r="K784" s="1">
        <v>314</v>
      </c>
      <c r="L784" s="1">
        <v>540</v>
      </c>
      <c r="M784" s="59">
        <f>SUM(J784:L784)</f>
        <v>1202</v>
      </c>
      <c r="N784" s="1">
        <v>601</v>
      </c>
      <c r="O784" s="1">
        <v>223</v>
      </c>
      <c r="P784" s="1">
        <v>375</v>
      </c>
      <c r="Q784" s="59">
        <f>SUM(N784:P784)</f>
        <v>1199</v>
      </c>
      <c r="R784" s="59">
        <f>+E784+I784+M784+Q784</f>
        <v>5407</v>
      </c>
      <c r="T784" s="4" t="s">
        <v>602</v>
      </c>
    </row>
    <row r="785" spans="1:20" ht="15.75" customHeight="1" x14ac:dyDescent="0.3">
      <c r="A785" s="74" t="s">
        <v>603</v>
      </c>
      <c r="B785" s="1">
        <v>9</v>
      </c>
      <c r="C785" s="1">
        <v>30</v>
      </c>
      <c r="D785" s="1">
        <v>65</v>
      </c>
      <c r="E785" s="59">
        <f>SUM(B785:D785)</f>
        <v>104</v>
      </c>
      <c r="F785" s="1">
        <v>86</v>
      </c>
      <c r="G785" s="1">
        <v>88</v>
      </c>
      <c r="H785" s="1">
        <v>120</v>
      </c>
      <c r="I785" s="59">
        <f>SUM(F785:H785)</f>
        <v>294</v>
      </c>
      <c r="J785" s="1">
        <v>36</v>
      </c>
      <c r="K785" s="1">
        <v>66</v>
      </c>
      <c r="L785" s="1"/>
      <c r="M785" s="59">
        <f>SUM(J785:L785)</f>
        <v>102</v>
      </c>
      <c r="N785" s="1"/>
      <c r="O785" s="1"/>
      <c r="P785" s="1"/>
      <c r="Q785" s="59">
        <f>SUM(N785:P785)</f>
        <v>0</v>
      </c>
      <c r="R785" s="59">
        <f>+E785+I785+M785+Q785</f>
        <v>500</v>
      </c>
      <c r="T785" s="4" t="s">
        <v>604</v>
      </c>
    </row>
    <row r="786" spans="1:20" ht="15.75" customHeight="1" x14ac:dyDescent="0.3">
      <c r="A786" s="17" t="s">
        <v>60</v>
      </c>
      <c r="B786" s="1"/>
      <c r="C786" s="1"/>
      <c r="D786" s="1"/>
      <c r="E786" s="59" t="s">
        <v>7</v>
      </c>
      <c r="F786" s="1"/>
      <c r="G786" s="1"/>
      <c r="H786" s="1"/>
      <c r="I786" s="59" t="s">
        <v>7</v>
      </c>
      <c r="J786" s="1"/>
      <c r="K786" s="1"/>
      <c r="L786" s="1"/>
      <c r="M786" s="59" t="s">
        <v>7</v>
      </c>
      <c r="N786" s="1"/>
      <c r="O786" s="1"/>
      <c r="P786" s="1"/>
      <c r="Q786" s="59" t="s">
        <v>7</v>
      </c>
      <c r="R786" s="59" t="s">
        <v>7</v>
      </c>
    </row>
    <row r="787" spans="1:20" ht="15.75" customHeight="1" x14ac:dyDescent="0.3">
      <c r="A787" s="74" t="s">
        <v>606</v>
      </c>
      <c r="B787" s="1"/>
      <c r="C787" s="1"/>
      <c r="D787" s="1"/>
      <c r="E787" s="59">
        <f>SUM(B787:D787)</f>
        <v>0</v>
      </c>
      <c r="F787" s="1"/>
      <c r="G787" s="1"/>
      <c r="H787" s="1"/>
      <c r="I787" s="59">
        <f>SUM(F787:H787)</f>
        <v>0</v>
      </c>
      <c r="J787" s="1"/>
      <c r="K787" s="1">
        <v>6</v>
      </c>
      <c r="L787" s="1">
        <v>80</v>
      </c>
      <c r="M787" s="59">
        <f>SUM(J787:L787)</f>
        <v>86</v>
      </c>
      <c r="N787" s="1">
        <v>81</v>
      </c>
      <c r="O787" s="1">
        <v>25</v>
      </c>
      <c r="P787" s="1">
        <v>23</v>
      </c>
      <c r="Q787" s="59">
        <f>SUM(N787:P787)</f>
        <v>129</v>
      </c>
      <c r="R787" s="59">
        <f>+E787+I787+M787+Q787</f>
        <v>215</v>
      </c>
      <c r="T787" s="4" t="s">
        <v>604</v>
      </c>
    </row>
    <row r="788" spans="1:20" ht="15.75" customHeight="1" x14ac:dyDescent="0.3">
      <c r="A788" s="74" t="s">
        <v>607</v>
      </c>
      <c r="B788" s="1"/>
      <c r="C788" s="1"/>
      <c r="D788" s="1"/>
      <c r="E788" s="59">
        <f>SUM(B788:D788)</f>
        <v>0</v>
      </c>
      <c r="F788" s="1"/>
      <c r="G788" s="1"/>
      <c r="H788" s="1"/>
      <c r="I788" s="59">
        <f>SUM(F788:H788)</f>
        <v>0</v>
      </c>
      <c r="J788" s="1"/>
      <c r="K788" s="1"/>
      <c r="L788" s="1"/>
      <c r="M788" s="59">
        <f>SUM(J788:L788)</f>
        <v>0</v>
      </c>
      <c r="N788" s="1"/>
      <c r="O788" s="1"/>
      <c r="P788" s="1"/>
      <c r="Q788" s="59">
        <f>SUM(N788:P788)</f>
        <v>0</v>
      </c>
      <c r="R788" s="59">
        <f>+E788+I788+M788+Q788</f>
        <v>0</v>
      </c>
    </row>
    <row r="789" spans="1:20" ht="15.75" customHeight="1" x14ac:dyDescent="0.3">
      <c r="A789" s="74" t="s">
        <v>609</v>
      </c>
      <c r="B789" s="1"/>
      <c r="C789" s="1"/>
      <c r="D789" s="1"/>
      <c r="E789" s="59">
        <f>SUM(B789:D789)</f>
        <v>0</v>
      </c>
      <c r="F789" s="1"/>
      <c r="G789" s="1"/>
      <c r="H789" s="1"/>
      <c r="I789" s="59">
        <f>SUM(F789:H789)</f>
        <v>0</v>
      </c>
      <c r="J789" s="1"/>
      <c r="K789" s="1"/>
      <c r="L789" s="1"/>
      <c r="M789" s="59">
        <f>SUM(J789:L789)</f>
        <v>0</v>
      </c>
      <c r="N789" s="1"/>
      <c r="O789" s="1"/>
      <c r="P789" s="1"/>
      <c r="Q789" s="59">
        <f>SUM(N789:P789)</f>
        <v>0</v>
      </c>
      <c r="R789" s="59">
        <f>+E789+I789+M789+Q789</f>
        <v>0</v>
      </c>
      <c r="T789" s="4" t="s">
        <v>593</v>
      </c>
    </row>
    <row r="790" spans="1:20" ht="15.75" customHeight="1" thickBot="1" x14ac:dyDescent="0.35">
      <c r="A790" s="74" t="s">
        <v>610</v>
      </c>
      <c r="B790" s="1">
        <v>777</v>
      </c>
      <c r="C790" s="1">
        <v>739</v>
      </c>
      <c r="D790" s="1">
        <v>756</v>
      </c>
      <c r="E790" s="59">
        <f>SUM(B790:D790)</f>
        <v>2272</v>
      </c>
      <c r="F790" s="1">
        <v>757</v>
      </c>
      <c r="G790" s="1">
        <v>742</v>
      </c>
      <c r="H790" s="1">
        <v>791</v>
      </c>
      <c r="I790" s="59">
        <f>SUM(F790:H790)</f>
        <v>2290</v>
      </c>
      <c r="J790" s="1">
        <v>815</v>
      </c>
      <c r="K790" s="1">
        <v>713</v>
      </c>
      <c r="L790" s="1">
        <v>779</v>
      </c>
      <c r="M790" s="59">
        <f>SUM(J790:L790)</f>
        <v>2307</v>
      </c>
      <c r="N790" s="1">
        <v>476</v>
      </c>
      <c r="O790" s="1">
        <v>263</v>
      </c>
      <c r="P790" s="1">
        <v>693</v>
      </c>
      <c r="Q790" s="59">
        <f>SUM(N790:P790)</f>
        <v>1432</v>
      </c>
      <c r="R790" s="59">
        <f>+E790+I790+M790+Q790</f>
        <v>8301</v>
      </c>
      <c r="T790" s="4" t="s">
        <v>611</v>
      </c>
    </row>
    <row r="791" spans="1:20" ht="16.5" customHeight="1" thickBot="1" x14ac:dyDescent="0.35">
      <c r="A791" s="62" t="s">
        <v>61</v>
      </c>
      <c r="B791" s="100">
        <f>SUM(B782:B790)</f>
        <v>790</v>
      </c>
      <c r="C791" s="101">
        <f>SUM(C782:C790)</f>
        <v>773</v>
      </c>
      <c r="D791" s="101">
        <f>SUM(D782:D790)</f>
        <v>1483</v>
      </c>
      <c r="E791" s="64">
        <f>SUM(B791:D791)</f>
        <v>3046</v>
      </c>
      <c r="F791" s="101">
        <f>SUM(F782:F790)</f>
        <v>1457</v>
      </c>
      <c r="G791" s="101">
        <f>SUM(G782:G790)</f>
        <v>1604</v>
      </c>
      <c r="H791" s="101">
        <f>SUM(H782:H790)</f>
        <v>1859</v>
      </c>
      <c r="I791" s="64">
        <f>SUM(F791:H791)</f>
        <v>4920</v>
      </c>
      <c r="J791" s="101">
        <f>SUM(J782:J790)</f>
        <v>1199</v>
      </c>
      <c r="K791" s="101">
        <f>SUM(K782:K790)</f>
        <v>1099</v>
      </c>
      <c r="L791" s="101">
        <f>SUM(L782:L790)</f>
        <v>1399</v>
      </c>
      <c r="M791" s="64">
        <f>SUM(J791:L791)</f>
        <v>3697</v>
      </c>
      <c r="N791" s="101">
        <f>SUM(N782:N790)</f>
        <v>1158</v>
      </c>
      <c r="O791" s="101">
        <f>SUM(O782:O790)</f>
        <v>511</v>
      </c>
      <c r="P791" s="101">
        <f>SUM(P782:P790)</f>
        <v>1091</v>
      </c>
      <c r="Q791" s="64">
        <f>SUM(N791:P791)</f>
        <v>2760</v>
      </c>
      <c r="R791" s="64">
        <f>+E791+I791+M791+Q791</f>
        <v>14423</v>
      </c>
    </row>
    <row r="792" spans="1:20" ht="15.75" customHeight="1" x14ac:dyDescent="0.3">
      <c r="A792" s="17" t="s">
        <v>62</v>
      </c>
      <c r="B792" s="1"/>
      <c r="C792" s="1"/>
      <c r="D792" s="1"/>
      <c r="E792" s="59" t="s">
        <v>7</v>
      </c>
      <c r="F792" s="1"/>
      <c r="G792" s="1"/>
      <c r="H792" s="1"/>
      <c r="I792" s="59" t="s">
        <v>7</v>
      </c>
      <c r="J792" s="1"/>
      <c r="K792" s="1"/>
      <c r="L792" s="1"/>
      <c r="M792" s="59" t="s">
        <v>7</v>
      </c>
      <c r="N792" s="1"/>
      <c r="O792" s="1"/>
      <c r="P792" s="1"/>
      <c r="Q792" s="59" t="s">
        <v>7</v>
      </c>
      <c r="R792" s="59" t="s">
        <v>7</v>
      </c>
    </row>
    <row r="793" spans="1:20" ht="15.75" customHeight="1" x14ac:dyDescent="0.3">
      <c r="A793" s="17" t="s">
        <v>63</v>
      </c>
      <c r="B793" s="1"/>
      <c r="C793" s="1"/>
      <c r="D793" s="1"/>
      <c r="E793" s="59" t="s">
        <v>7</v>
      </c>
      <c r="F793" s="1"/>
      <c r="G793" s="1"/>
      <c r="H793" s="1"/>
      <c r="I793" s="59" t="s">
        <v>7</v>
      </c>
      <c r="J793" s="1"/>
      <c r="K793" s="1"/>
      <c r="L793" s="1"/>
      <c r="M793" s="59" t="s">
        <v>7</v>
      </c>
      <c r="N793" s="1"/>
      <c r="O793" s="1"/>
      <c r="P793" s="1"/>
      <c r="Q793" s="59" t="s">
        <v>7</v>
      </c>
      <c r="R793" s="59" t="s">
        <v>7</v>
      </c>
    </row>
    <row r="794" spans="1:20" ht="15.75" customHeight="1" x14ac:dyDescent="0.3">
      <c r="A794" s="74" t="s">
        <v>926</v>
      </c>
      <c r="B794" s="1"/>
      <c r="C794" s="1"/>
      <c r="D794" s="1"/>
      <c r="E794" s="59">
        <f>SUM(B794:D794)</f>
        <v>0</v>
      </c>
      <c r="F794" s="1"/>
      <c r="G794" s="1"/>
      <c r="H794" s="1"/>
      <c r="I794" s="59">
        <f>SUM(F794:H794)</f>
        <v>0</v>
      </c>
      <c r="J794" s="1"/>
      <c r="K794" s="1"/>
      <c r="L794" s="1"/>
      <c r="M794" s="59">
        <f>SUM(J794:L794)</f>
        <v>0</v>
      </c>
      <c r="N794" s="1"/>
      <c r="O794" s="1"/>
      <c r="P794" s="1"/>
      <c r="Q794" s="59">
        <f>SUM(N794:P794)</f>
        <v>0</v>
      </c>
      <c r="R794" s="59">
        <f>+E794+I794+M794+Q794</f>
        <v>0</v>
      </c>
    </row>
    <row r="795" spans="1:20" ht="15.75" customHeight="1" x14ac:dyDescent="0.3">
      <c r="A795" s="74" t="s">
        <v>613</v>
      </c>
      <c r="B795" s="1"/>
      <c r="C795" s="1"/>
      <c r="D795" s="1"/>
      <c r="E795" s="59">
        <f>SUM(B795:D795)</f>
        <v>0</v>
      </c>
      <c r="F795" s="1"/>
      <c r="G795" s="1"/>
      <c r="H795" s="1"/>
      <c r="I795" s="59">
        <f>SUM(F795:H795)</f>
        <v>0</v>
      </c>
      <c r="J795" s="1"/>
      <c r="K795" s="1"/>
      <c r="L795" s="1"/>
      <c r="M795" s="59">
        <f>SUM(J795:L795)</f>
        <v>0</v>
      </c>
      <c r="N795" s="1"/>
      <c r="O795" s="1"/>
      <c r="P795" s="1"/>
      <c r="Q795" s="59">
        <f>SUM(N795:P795)</f>
        <v>0</v>
      </c>
      <c r="R795" s="59">
        <f>+E795+I795+M795+Q795</f>
        <v>0</v>
      </c>
    </row>
    <row r="796" spans="1:20" ht="15.75" customHeight="1" x14ac:dyDescent="0.3">
      <c r="A796" s="17" t="s">
        <v>64</v>
      </c>
      <c r="B796" s="1"/>
      <c r="C796" s="1"/>
      <c r="D796" s="1"/>
      <c r="E796" s="59" t="s">
        <v>7</v>
      </c>
      <c r="F796" s="1"/>
      <c r="G796" s="1"/>
      <c r="H796" s="1"/>
      <c r="I796" s="59" t="s">
        <v>7</v>
      </c>
      <c r="J796" s="1"/>
      <c r="K796" s="1"/>
      <c r="L796" s="1"/>
      <c r="M796" s="59" t="s">
        <v>7</v>
      </c>
      <c r="N796" s="1"/>
      <c r="O796" s="1"/>
      <c r="P796" s="1"/>
      <c r="Q796" s="59" t="s">
        <v>7</v>
      </c>
      <c r="R796" s="59" t="s">
        <v>7</v>
      </c>
    </row>
    <row r="797" spans="1:20" ht="15.75" customHeight="1" x14ac:dyDescent="0.3">
      <c r="A797" s="74" t="s">
        <v>614</v>
      </c>
      <c r="B797" s="1"/>
      <c r="C797" s="1"/>
      <c r="D797" s="1"/>
      <c r="E797" s="59">
        <f>SUM(B797:D797)</f>
        <v>0</v>
      </c>
      <c r="F797" s="1"/>
      <c r="G797" s="1"/>
      <c r="H797" s="1"/>
      <c r="I797" s="59">
        <f>SUM(F797:H797)</f>
        <v>0</v>
      </c>
      <c r="J797" s="1"/>
      <c r="K797" s="1"/>
      <c r="L797" s="1"/>
      <c r="M797" s="59">
        <f>SUM(J797:L797)</f>
        <v>0</v>
      </c>
      <c r="N797" s="1"/>
      <c r="O797" s="1"/>
      <c r="P797" s="1"/>
      <c r="Q797" s="59">
        <f>SUM(N797:P797)</f>
        <v>0</v>
      </c>
      <c r="R797" s="59">
        <f>+E797+I797+M797+Q797</f>
        <v>0</v>
      </c>
    </row>
    <row r="798" spans="1:20" ht="15.75" customHeight="1" x14ac:dyDescent="0.3">
      <c r="A798" s="74" t="s">
        <v>615</v>
      </c>
      <c r="B798" s="1"/>
      <c r="C798" s="1"/>
      <c r="D798" s="1"/>
      <c r="E798" s="59">
        <f>SUM(B798:D798)</f>
        <v>0</v>
      </c>
      <c r="F798" s="1"/>
      <c r="G798" s="1"/>
      <c r="H798" s="1"/>
      <c r="I798" s="59">
        <f>SUM(F798:H798)</f>
        <v>0</v>
      </c>
      <c r="J798" s="1"/>
      <c r="K798" s="1"/>
      <c r="L798" s="1"/>
      <c r="M798" s="59">
        <f>SUM(J798:L798)</f>
        <v>0</v>
      </c>
      <c r="N798" s="1"/>
      <c r="O798" s="1"/>
      <c r="P798" s="1"/>
      <c r="Q798" s="59">
        <f>SUM(N798:P798)</f>
        <v>0</v>
      </c>
      <c r="R798" s="59">
        <f>+E798+I798+M798+Q798</f>
        <v>0</v>
      </c>
    </row>
    <row r="799" spans="1:20" ht="15.75" customHeight="1" x14ac:dyDescent="0.3">
      <c r="A799" s="17" t="s">
        <v>66</v>
      </c>
      <c r="B799" s="1"/>
      <c r="C799" s="1"/>
      <c r="D799" s="1"/>
      <c r="E799" s="59" t="s">
        <v>7</v>
      </c>
      <c r="F799" s="1"/>
      <c r="G799" s="1"/>
      <c r="H799" s="1"/>
      <c r="I799" s="59" t="s">
        <v>7</v>
      </c>
      <c r="J799" s="1"/>
      <c r="K799" s="1"/>
      <c r="L799" s="1"/>
      <c r="M799" s="59" t="s">
        <v>7</v>
      </c>
      <c r="N799" s="1"/>
      <c r="O799" s="1"/>
      <c r="P799" s="1"/>
      <c r="Q799" s="59" t="s">
        <v>7</v>
      </c>
      <c r="R799" s="59" t="s">
        <v>7</v>
      </c>
    </row>
    <row r="800" spans="1:20" ht="15.75" customHeight="1" thickBot="1" x14ac:dyDescent="0.35">
      <c r="A800" s="17" t="s">
        <v>67</v>
      </c>
      <c r="B800" s="1"/>
      <c r="C800" s="1"/>
      <c r="D800" s="1"/>
      <c r="E800" s="59" t="s">
        <v>7</v>
      </c>
      <c r="F800" s="1"/>
      <c r="G800" s="1"/>
      <c r="H800" s="1"/>
      <c r="I800" s="59" t="s">
        <v>7</v>
      </c>
      <c r="J800" s="1"/>
      <c r="K800" s="1"/>
      <c r="L800" s="1"/>
      <c r="M800" s="59" t="s">
        <v>7</v>
      </c>
      <c r="N800" s="1"/>
      <c r="O800" s="1"/>
      <c r="P800" s="1"/>
      <c r="Q800" s="59" t="s">
        <v>7</v>
      </c>
      <c r="R800" s="59" t="s">
        <v>7</v>
      </c>
    </row>
    <row r="801" spans="1:18" ht="16.5" customHeight="1" thickBot="1" x14ac:dyDescent="0.35">
      <c r="A801" s="62" t="s">
        <v>68</v>
      </c>
      <c r="B801" s="63">
        <f>SUM(B799:B800)</f>
        <v>0</v>
      </c>
      <c r="C801" s="63">
        <f>SUM(C799:C800)</f>
        <v>0</v>
      </c>
      <c r="D801" s="63">
        <f>SUM(D799:D800)</f>
        <v>0</v>
      </c>
      <c r="E801" s="334">
        <f>SUM(B801:D801)</f>
        <v>0</v>
      </c>
      <c r="F801" s="63">
        <f>SUM(F799:F800)</f>
        <v>0</v>
      </c>
      <c r="G801" s="63">
        <f>SUM(G799:G800)</f>
        <v>0</v>
      </c>
      <c r="H801" s="63">
        <f>SUM(H799:H800)</f>
        <v>0</v>
      </c>
      <c r="I801" s="334">
        <f>SUM(F801:H801)</f>
        <v>0</v>
      </c>
      <c r="J801" s="63">
        <f>SUM(J799:J800)</f>
        <v>0</v>
      </c>
      <c r="K801" s="63">
        <f>SUM(K799:K800)</f>
        <v>0</v>
      </c>
      <c r="L801" s="63">
        <f>SUM(L799:L800)</f>
        <v>0</v>
      </c>
      <c r="M801" s="334">
        <f>SUM(J801:L801)</f>
        <v>0</v>
      </c>
      <c r="N801" s="63">
        <f>SUM(N799:N800)</f>
        <v>0</v>
      </c>
      <c r="O801" s="63">
        <f>SUM(O799:O800)</f>
        <v>0</v>
      </c>
      <c r="P801" s="63">
        <f>SUM(P799:P800)</f>
        <v>0</v>
      </c>
      <c r="Q801" s="334">
        <f>SUM(N801:P801)</f>
        <v>0</v>
      </c>
      <c r="R801" s="64">
        <f>+E801+I801+M801+Q801</f>
        <v>0</v>
      </c>
    </row>
    <row r="802" spans="1:18" ht="16.5" customHeight="1" thickBot="1" x14ac:dyDescent="0.35">
      <c r="A802" s="62" t="s">
        <v>69</v>
      </c>
      <c r="B802" s="100">
        <f>SUM(B792:B800)</f>
        <v>0</v>
      </c>
      <c r="C802" s="101">
        <f>SUM(C792:C800)</f>
        <v>0</v>
      </c>
      <c r="D802" s="138">
        <f>SUM(D792:D800)</f>
        <v>0</v>
      </c>
      <c r="E802" s="334">
        <f>SUM(B802:D802)</f>
        <v>0</v>
      </c>
      <c r="F802" s="101">
        <f>SUM(F792:F800)</f>
        <v>0</v>
      </c>
      <c r="G802" s="101">
        <f>SUM(G792:G800)</f>
        <v>0</v>
      </c>
      <c r="H802" s="101">
        <f>SUM(H792:H800)</f>
        <v>0</v>
      </c>
      <c r="I802" s="334">
        <f>SUM(F802:H802)</f>
        <v>0</v>
      </c>
      <c r="J802" s="101">
        <f>SUM(J792:J800)</f>
        <v>0</v>
      </c>
      <c r="K802" s="101">
        <f>SUM(K792:K800)</f>
        <v>0</v>
      </c>
      <c r="L802" s="101">
        <f>SUM(L792:L800)</f>
        <v>0</v>
      </c>
      <c r="M802" s="334">
        <f>SUM(J802:L802)</f>
        <v>0</v>
      </c>
      <c r="N802" s="101">
        <f>SUM(N792:N800)</f>
        <v>0</v>
      </c>
      <c r="O802" s="101">
        <f>SUM(O792:O800)</f>
        <v>0</v>
      </c>
      <c r="P802" s="101">
        <f>SUM(P792:P800)</f>
        <v>0</v>
      </c>
      <c r="Q802" s="334">
        <f>SUM(N802:P802)</f>
        <v>0</v>
      </c>
      <c r="R802" s="64">
        <f>+E802+I802+M802+Q802</f>
        <v>0</v>
      </c>
    </row>
    <row r="803" spans="1:18" ht="16.5" customHeight="1" thickBot="1" x14ac:dyDescent="0.35">
      <c r="A803" s="62" t="s">
        <v>70</v>
      </c>
      <c r="B803" s="107">
        <f>+B776+B781+B791+B802</f>
        <v>3443</v>
      </c>
      <c r="C803" s="63">
        <f>+C776+C781+C791+C802</f>
        <v>2080</v>
      </c>
      <c r="D803" s="63">
        <f>+D776+D781+D791+D802</f>
        <v>4256</v>
      </c>
      <c r="E803" s="64">
        <f>SUM(B803:D803)</f>
        <v>9779</v>
      </c>
      <c r="F803" s="63">
        <f>+F776+F781+F791+F802</f>
        <v>3954</v>
      </c>
      <c r="G803" s="63">
        <f>+G776+G781+G791+G802</f>
        <v>3081</v>
      </c>
      <c r="H803" s="63">
        <f>+H776+H781+H791+H802</f>
        <v>4745</v>
      </c>
      <c r="I803" s="64">
        <f>SUM(F803:H803)</f>
        <v>11780</v>
      </c>
      <c r="J803" s="63">
        <f>+J776+J781+J791+J802</f>
        <v>3974</v>
      </c>
      <c r="K803" s="63">
        <f>+K776+K781+K791+K802</f>
        <v>3716</v>
      </c>
      <c r="L803" s="63">
        <f>+L776+L781+L791+L802</f>
        <v>3463</v>
      </c>
      <c r="M803" s="64">
        <f>SUM(J803:L803)</f>
        <v>11153</v>
      </c>
      <c r="N803" s="63">
        <f>+N776+N781+N791+N802</f>
        <v>3352</v>
      </c>
      <c r="O803" s="63">
        <f>+O776+O781+O791+O802</f>
        <v>1027</v>
      </c>
      <c r="P803" s="63">
        <f>+P776+P781+P791+P802</f>
        <v>2906</v>
      </c>
      <c r="Q803" s="64">
        <f>SUM(N803:P803)</f>
        <v>7285</v>
      </c>
      <c r="R803" s="88">
        <f>+E803+I803+M803+Q803</f>
        <v>39997</v>
      </c>
    </row>
    <row r="804" spans="1:18" ht="16.5" customHeight="1" thickBot="1" x14ac:dyDescent="0.35">
      <c r="A804" s="40" t="s">
        <v>37</v>
      </c>
      <c r="B804" s="25">
        <v>11</v>
      </c>
      <c r="C804" s="25">
        <v>13</v>
      </c>
      <c r="D804" s="25">
        <v>17</v>
      </c>
      <c r="E804" s="59">
        <f>SUM(B804:D804)</f>
        <v>41</v>
      </c>
      <c r="F804" s="25">
        <v>21</v>
      </c>
      <c r="G804" s="25">
        <v>23</v>
      </c>
      <c r="H804" s="25">
        <v>25</v>
      </c>
      <c r="I804" s="59">
        <f>SUM(F804:H804)</f>
        <v>69</v>
      </c>
      <c r="J804" s="25">
        <v>25</v>
      </c>
      <c r="K804" s="25">
        <v>21</v>
      </c>
      <c r="L804" s="25">
        <v>19</v>
      </c>
      <c r="M804" s="59">
        <f>SUM(J804:L804)</f>
        <v>65</v>
      </c>
      <c r="N804" s="25">
        <v>17</v>
      </c>
      <c r="O804" s="25">
        <v>13</v>
      </c>
      <c r="P804" s="25">
        <v>11</v>
      </c>
      <c r="Q804" s="59">
        <f>SUM(N804:P804)</f>
        <v>41</v>
      </c>
      <c r="R804" s="59">
        <f>+E804+I804+M804+Q804</f>
        <v>216</v>
      </c>
    </row>
    <row r="805" spans="1:18" ht="16.5" customHeight="1" thickBot="1" x14ac:dyDescent="0.35">
      <c r="A805" s="42"/>
      <c r="B805" s="37"/>
      <c r="C805" s="37"/>
      <c r="D805" s="37"/>
      <c r="E805" s="64" t="s">
        <v>7</v>
      </c>
      <c r="F805" s="37"/>
      <c r="G805" s="37"/>
      <c r="H805" s="37"/>
      <c r="I805" s="64" t="s">
        <v>7</v>
      </c>
      <c r="J805" s="37"/>
      <c r="K805" s="37"/>
      <c r="L805" s="37"/>
      <c r="M805" s="64" t="s">
        <v>7</v>
      </c>
      <c r="N805" s="37"/>
      <c r="O805" s="37"/>
      <c r="P805" s="37"/>
      <c r="Q805" s="64" t="s">
        <v>7</v>
      </c>
      <c r="R805" s="64" t="s">
        <v>7</v>
      </c>
    </row>
    <row r="806" spans="1:18" ht="15.75" customHeight="1" x14ac:dyDescent="0.3">
      <c r="A806" s="17" t="s">
        <v>38</v>
      </c>
      <c r="B806" s="1">
        <f>SUM(B803:B804)</f>
        <v>3454</v>
      </c>
      <c r="C806" s="1">
        <f>SUM(C803:C804)</f>
        <v>2093</v>
      </c>
      <c r="D806" s="1">
        <f>SUM(D803:D804)</f>
        <v>4273</v>
      </c>
      <c r="E806" s="334">
        <f>SUM(B806:D806)</f>
        <v>9820</v>
      </c>
      <c r="F806" s="1">
        <f>SUM(F803:F804)</f>
        <v>3975</v>
      </c>
      <c r="G806" s="1">
        <f>SUM(G803:G804)</f>
        <v>3104</v>
      </c>
      <c r="H806" s="1">
        <f>SUM(H803:H804)</f>
        <v>4770</v>
      </c>
      <c r="I806" s="334">
        <f>SUM(F806:H806)</f>
        <v>11849</v>
      </c>
      <c r="J806" s="1">
        <f>SUM(J803:J804)</f>
        <v>3999</v>
      </c>
      <c r="K806" s="1">
        <f>SUM(K803:K804)</f>
        <v>3737</v>
      </c>
      <c r="L806" s="1">
        <f>SUM(L803:L804)</f>
        <v>3482</v>
      </c>
      <c r="M806" s="334">
        <f>SUM(J806:L806)</f>
        <v>11218</v>
      </c>
      <c r="N806" s="1">
        <f>SUM(N803:N804)</f>
        <v>3369</v>
      </c>
      <c r="O806" s="1">
        <f>SUM(O803:O804)</f>
        <v>1040</v>
      </c>
      <c r="P806" s="1">
        <f>SUM(P803:P804)</f>
        <v>2917</v>
      </c>
      <c r="Q806" s="334">
        <f>SUM(N806:P806)</f>
        <v>7326</v>
      </c>
      <c r="R806" s="334">
        <f>+E806+I806+M806+Q806</f>
        <v>40213</v>
      </c>
    </row>
    <row r="807" spans="1:18" ht="15.75" customHeight="1" x14ac:dyDescent="0.3">
      <c r="A807" s="17" t="s">
        <v>39</v>
      </c>
      <c r="B807" s="1">
        <f>(B806/B10)/1.983</f>
        <v>56.1872692076196</v>
      </c>
      <c r="C807" s="1">
        <f>(C806/C10)/1.983</f>
        <v>37.695410993444277</v>
      </c>
      <c r="D807" s="1">
        <f>(D806/D10)/1.983</f>
        <v>69.510191466172145</v>
      </c>
      <c r="E807" s="59" t="s">
        <v>7</v>
      </c>
      <c r="F807" s="1">
        <f>(F806/F10)/1.983</f>
        <v>66.817952597075134</v>
      </c>
      <c r="G807" s="1">
        <f>(G806/G10)/1.983</f>
        <v>50.493712686870651</v>
      </c>
      <c r="H807" s="1">
        <f>(H806/H10)/1.983</f>
        <v>80.181543116490161</v>
      </c>
      <c r="I807" s="59" t="s">
        <v>7</v>
      </c>
      <c r="J807" s="1">
        <f>(J806/J10)/1.983</f>
        <v>65.052950075642968</v>
      </c>
      <c r="K807" s="1">
        <f>(K806/K10)/1.983</f>
        <v>60.790916337253748</v>
      </c>
      <c r="L807" s="1">
        <f>(L806/L10)/1.983</f>
        <v>58.530845520255504</v>
      </c>
      <c r="M807" s="59" t="s">
        <v>7</v>
      </c>
      <c r="N807" s="1">
        <f>(N806/N10)/1.983</f>
        <v>54.804548338294858</v>
      </c>
      <c r="O807" s="1">
        <f>(O806/O10)/1.983</f>
        <v>17.481929736090098</v>
      </c>
      <c r="P807" s="1">
        <f>(P806/P10)/1.983</f>
        <v>47.451726774356217</v>
      </c>
      <c r="Q807" s="59" t="s">
        <v>7</v>
      </c>
      <c r="R807" s="59" t="s">
        <v>7</v>
      </c>
    </row>
    <row r="808" spans="1:18" ht="15.75" customHeight="1" x14ac:dyDescent="0.3">
      <c r="A808" s="17" t="s">
        <v>616</v>
      </c>
      <c r="B808" s="1">
        <f>B806</f>
        <v>3454</v>
      </c>
      <c r="C808" s="1">
        <f>C806</f>
        <v>2093</v>
      </c>
      <c r="D808" s="1">
        <f>D806</f>
        <v>4273</v>
      </c>
      <c r="E808" s="59">
        <f>SUM(B808:D808)</f>
        <v>9820</v>
      </c>
      <c r="F808" s="1">
        <f>F806</f>
        <v>3975</v>
      </c>
      <c r="G808" s="1">
        <f>G806</f>
        <v>3104</v>
      </c>
      <c r="H808" s="1">
        <f>H806</f>
        <v>4770</v>
      </c>
      <c r="I808" s="59">
        <f>SUM(F808:H808)</f>
        <v>11849</v>
      </c>
      <c r="J808" s="1">
        <f>J806</f>
        <v>3999</v>
      </c>
      <c r="K808" s="1">
        <f>K806</f>
        <v>3737</v>
      </c>
      <c r="L808" s="1">
        <f>L806</f>
        <v>3482</v>
      </c>
      <c r="M808" s="59">
        <f>SUM(J808:L808)</f>
        <v>11218</v>
      </c>
      <c r="N808" s="1">
        <f>N806</f>
        <v>3369</v>
      </c>
      <c r="O808" s="1">
        <f>O806</f>
        <v>1040</v>
      </c>
      <c r="P808" s="1">
        <f>P806</f>
        <v>2917</v>
      </c>
      <c r="Q808" s="59">
        <f>SUM(N808:P808)</f>
        <v>7326</v>
      </c>
      <c r="R808" s="59">
        <f>+E808+I808+M808+Q808</f>
        <v>40213</v>
      </c>
    </row>
    <row r="809" spans="1:18" ht="16.5" customHeight="1" thickBot="1" x14ac:dyDescent="0.35">
      <c r="A809" s="24" t="s">
        <v>617</v>
      </c>
      <c r="B809" s="25">
        <f>(B808/B10)/1.983</f>
        <v>56.1872692076196</v>
      </c>
      <c r="C809" s="25">
        <f>(C808/C10)/1.983</f>
        <v>37.695410993444277</v>
      </c>
      <c r="D809" s="25">
        <f>(D808/D10)/1.983</f>
        <v>69.510191466172145</v>
      </c>
      <c r="E809" s="88" t="s">
        <v>7</v>
      </c>
      <c r="F809" s="25">
        <f>(F808/F10)/1.983</f>
        <v>66.817952597075134</v>
      </c>
      <c r="G809" s="25">
        <f>(G808/G10)/1.983</f>
        <v>50.493712686870651</v>
      </c>
      <c r="H809" s="25">
        <f>(H808/H10)/1.983</f>
        <v>80.181543116490161</v>
      </c>
      <c r="I809" s="88" t="s">
        <v>7</v>
      </c>
      <c r="J809" s="25">
        <f>(J808/J10)/1.983</f>
        <v>65.052950075642968</v>
      </c>
      <c r="K809" s="25">
        <f>(K808/K10)/1.983</f>
        <v>60.790916337253748</v>
      </c>
      <c r="L809" s="25">
        <f>(L808/L10)/1.983</f>
        <v>58.530845520255504</v>
      </c>
      <c r="M809" s="88" t="s">
        <v>7</v>
      </c>
      <c r="N809" s="25">
        <f>(N808/N10)/1.983</f>
        <v>54.804548338294858</v>
      </c>
      <c r="O809" s="25">
        <f>(O808/O10)/1.983</f>
        <v>17.481929736090098</v>
      </c>
      <c r="P809" s="25">
        <f>(P808/P10)/1.983</f>
        <v>47.451726774356217</v>
      </c>
      <c r="Q809" s="88" t="s">
        <v>7</v>
      </c>
      <c r="R809" s="88" t="s">
        <v>7</v>
      </c>
    </row>
    <row r="810" spans="1:18" ht="15.75" customHeight="1" x14ac:dyDescent="0.3">
      <c r="A810" s="30"/>
      <c r="B810" s="1"/>
      <c r="C810" s="1"/>
      <c r="D810" s="1"/>
      <c r="E810" s="28"/>
      <c r="F810" s="1"/>
      <c r="G810" s="1"/>
      <c r="H810" s="1"/>
      <c r="I810" s="28"/>
      <c r="J810" s="1"/>
      <c r="K810" s="1"/>
      <c r="L810" s="1"/>
      <c r="M810" s="28"/>
      <c r="N810" s="1"/>
      <c r="O810" s="1"/>
      <c r="P810" s="1"/>
      <c r="Q810" s="28"/>
      <c r="R810" s="28"/>
    </row>
    <row r="811" spans="1:18" ht="15.75" customHeight="1" x14ac:dyDescent="0.3">
      <c r="A811" s="30"/>
      <c r="B811" s="1"/>
      <c r="C811" s="1"/>
      <c r="D811" s="1"/>
      <c r="E811" s="1"/>
      <c r="F811" s="1"/>
      <c r="G811" s="1"/>
      <c r="H811" s="1"/>
      <c r="I811" s="1"/>
      <c r="J811" s="1"/>
      <c r="K811" s="1"/>
      <c r="L811" s="1"/>
      <c r="M811" s="1"/>
      <c r="N811" s="1"/>
      <c r="O811" s="1"/>
      <c r="P811" s="1"/>
      <c r="Q811" s="2" t="str">
        <f>+Q1</f>
        <v xml:space="preserve">PRINTED:  </v>
      </c>
      <c r="R811" s="163">
        <f ca="1">+R1</f>
        <v>44894.658168402777</v>
      </c>
    </row>
    <row r="812" spans="1:18" ht="15.75" customHeight="1" x14ac:dyDescent="0.3">
      <c r="A812" s="383" t="s">
        <v>1</v>
      </c>
      <c r="B812" s="383"/>
      <c r="C812" s="383"/>
      <c r="D812" s="383"/>
      <c r="E812" s="383"/>
      <c r="F812" s="383"/>
      <c r="G812" s="383"/>
      <c r="H812" s="383"/>
      <c r="I812" s="383"/>
      <c r="J812" s="383"/>
      <c r="K812" s="383"/>
      <c r="L812" s="383"/>
      <c r="M812" s="383"/>
      <c r="N812" s="383"/>
      <c r="O812" s="383"/>
      <c r="P812" s="383"/>
      <c r="Q812" s="383"/>
      <c r="R812" s="383"/>
    </row>
    <row r="813" spans="1:18" ht="15.75" customHeight="1" x14ac:dyDescent="0.3">
      <c r="A813" s="383" t="s">
        <v>2</v>
      </c>
      <c r="B813" s="383"/>
      <c r="C813" s="383"/>
      <c r="D813" s="383"/>
      <c r="E813" s="383"/>
      <c r="F813" s="383"/>
      <c r="G813" s="383"/>
      <c r="H813" s="383"/>
      <c r="I813" s="383"/>
      <c r="J813" s="383"/>
      <c r="K813" s="383"/>
      <c r="L813" s="383"/>
      <c r="M813" s="383"/>
      <c r="N813" s="383"/>
      <c r="O813" s="383"/>
      <c r="P813" s="383"/>
      <c r="Q813" s="383"/>
      <c r="R813" s="383"/>
    </row>
    <row r="814" spans="1:18" ht="15.75" customHeight="1" x14ac:dyDescent="0.3">
      <c r="A814" s="383" t="s">
        <v>3</v>
      </c>
      <c r="B814" s="383"/>
      <c r="C814" s="383"/>
      <c r="D814" s="383"/>
      <c r="E814" s="383"/>
      <c r="F814" s="383"/>
      <c r="G814" s="383"/>
      <c r="H814" s="383"/>
      <c r="I814" s="383"/>
      <c r="J814" s="383"/>
      <c r="K814" s="383"/>
      <c r="L814" s="383"/>
      <c r="M814" s="383"/>
      <c r="N814" s="383"/>
      <c r="O814" s="383"/>
      <c r="P814" s="383"/>
      <c r="Q814" s="383"/>
      <c r="R814" s="383"/>
    </row>
    <row r="815" spans="1:18" ht="15.75" customHeight="1" x14ac:dyDescent="0.3">
      <c r="A815" s="391">
        <f>+A5</f>
        <v>2017</v>
      </c>
      <c r="B815" s="391"/>
      <c r="C815" s="391"/>
      <c r="D815" s="391"/>
      <c r="E815" s="391"/>
      <c r="F815" s="391"/>
      <c r="G815" s="391"/>
      <c r="H815" s="391"/>
      <c r="I815" s="391"/>
      <c r="J815" s="391"/>
      <c r="K815" s="391"/>
      <c r="L815" s="391"/>
      <c r="M815" s="391"/>
      <c r="N815" s="391"/>
      <c r="O815" s="391"/>
      <c r="P815" s="391"/>
      <c r="Q815" s="391"/>
      <c r="R815" s="391"/>
    </row>
    <row r="816" spans="1:18" ht="15.75" customHeight="1" x14ac:dyDescent="0.3">
      <c r="A816" s="1"/>
      <c r="B816" s="1"/>
      <c r="C816" s="1"/>
      <c r="D816" s="7"/>
      <c r="E816" s="7"/>
      <c r="F816" s="7"/>
      <c r="G816" s="8"/>
      <c r="H816" s="7"/>
      <c r="I816" s="7"/>
      <c r="J816" s="8"/>
      <c r="K816" s="8"/>
      <c r="L816" s="8"/>
      <c r="M816" s="8"/>
      <c r="N816" s="1"/>
      <c r="O816" s="8"/>
      <c r="P816" s="8"/>
      <c r="Q816" s="8"/>
      <c r="R816" s="8"/>
    </row>
    <row r="817" spans="1:20" ht="15.75" customHeight="1" x14ac:dyDescent="0.3">
      <c r="A817" s="383" t="str">
        <f>+A8</f>
        <v>Revised:  1/18/2018</v>
      </c>
      <c r="B817" s="383"/>
      <c r="C817" s="383"/>
      <c r="D817" s="383"/>
      <c r="E817" s="383"/>
      <c r="F817" s="383"/>
      <c r="G817" s="383"/>
      <c r="H817" s="383"/>
      <c r="I817" s="383"/>
      <c r="J817" s="383"/>
      <c r="K817" s="383"/>
      <c r="L817" s="383"/>
      <c r="M817" s="383"/>
      <c r="N817" s="383"/>
      <c r="O817" s="383"/>
      <c r="P817" s="383"/>
      <c r="Q817" s="383"/>
      <c r="R817" s="383"/>
    </row>
    <row r="818" spans="1:20" ht="15.75" customHeight="1" x14ac:dyDescent="0.3">
      <c r="A818" s="6"/>
      <c r="B818" s="6"/>
      <c r="C818" s="6"/>
      <c r="D818" s="6"/>
      <c r="E818" s="6"/>
      <c r="F818" s="6"/>
      <c r="G818" s="6"/>
      <c r="H818" s="6"/>
      <c r="I818" s="6"/>
      <c r="J818" s="6"/>
      <c r="K818" s="6"/>
      <c r="L818" s="6"/>
      <c r="M818" s="6"/>
      <c r="N818" s="6"/>
      <c r="O818" s="6"/>
      <c r="P818" s="6"/>
      <c r="Q818" s="6"/>
      <c r="R818" s="6"/>
    </row>
    <row r="819" spans="1:20" ht="15.75" customHeight="1" x14ac:dyDescent="0.3">
      <c r="A819" s="6"/>
      <c r="B819" s="6"/>
      <c r="C819" s="6"/>
      <c r="D819" s="6"/>
      <c r="E819" s="6"/>
      <c r="F819" s="6"/>
      <c r="G819" s="6"/>
      <c r="H819" s="6"/>
      <c r="I819" s="6"/>
      <c r="J819" s="6"/>
      <c r="K819" s="6"/>
      <c r="L819" s="6"/>
      <c r="M819" s="6"/>
      <c r="N819" s="6"/>
      <c r="O819" s="6"/>
      <c r="P819" s="6"/>
      <c r="Q819" s="6"/>
      <c r="R819" s="6"/>
    </row>
    <row r="820" spans="1:20" ht="15.75" customHeight="1" thickBot="1" x14ac:dyDescent="0.35">
      <c r="A820" s="30"/>
      <c r="B820" s="1"/>
      <c r="C820" s="1"/>
      <c r="D820" s="1"/>
      <c r="E820" s="1"/>
      <c r="F820" s="1"/>
      <c r="G820" s="1"/>
      <c r="H820" s="1"/>
      <c r="I820" s="1"/>
      <c r="J820" s="1"/>
      <c r="K820" s="1"/>
      <c r="L820" s="1"/>
      <c r="M820" s="1"/>
      <c r="N820" s="1"/>
      <c r="O820" s="1"/>
      <c r="P820" s="1"/>
      <c r="Q820" s="1"/>
      <c r="R820" s="28"/>
    </row>
    <row r="821" spans="1:20" ht="16.5" customHeight="1" thickBot="1" x14ac:dyDescent="0.35">
      <c r="A821" s="343" t="s">
        <v>618</v>
      </c>
      <c r="B821" s="323" t="s">
        <v>36</v>
      </c>
      <c r="C821" s="324" t="s">
        <v>9</v>
      </c>
      <c r="D821" s="324" t="s">
        <v>10</v>
      </c>
      <c r="E821" s="325" t="s">
        <v>11</v>
      </c>
      <c r="F821" s="324" t="s">
        <v>12</v>
      </c>
      <c r="G821" s="324" t="s">
        <v>13</v>
      </c>
      <c r="H821" s="324" t="s">
        <v>14</v>
      </c>
      <c r="I821" s="34" t="s">
        <v>15</v>
      </c>
      <c r="J821" s="324" t="s">
        <v>16</v>
      </c>
      <c r="K821" s="324" t="s">
        <v>17</v>
      </c>
      <c r="L821" s="324" t="s">
        <v>18</v>
      </c>
      <c r="M821" s="34" t="s">
        <v>19</v>
      </c>
      <c r="N821" s="324" t="s">
        <v>20</v>
      </c>
      <c r="O821" s="324" t="s">
        <v>21</v>
      </c>
      <c r="P821" s="324" t="s">
        <v>22</v>
      </c>
      <c r="Q821" s="34" t="s">
        <v>23</v>
      </c>
      <c r="R821" s="157" t="s">
        <v>24</v>
      </c>
    </row>
    <row r="822" spans="1:20" ht="16.5" customHeight="1" thickBot="1" x14ac:dyDescent="0.35">
      <c r="A822" s="42"/>
      <c r="B822" s="37"/>
      <c r="C822" s="37"/>
      <c r="D822" s="37"/>
      <c r="E822" s="16"/>
      <c r="F822" s="37"/>
      <c r="G822" s="37"/>
      <c r="H822" s="37"/>
      <c r="I822" s="156"/>
      <c r="J822" s="37"/>
      <c r="K822" s="37"/>
      <c r="L822" s="37"/>
      <c r="M822" s="156"/>
      <c r="N822" s="37"/>
      <c r="O822" s="37"/>
      <c r="P822" s="37"/>
      <c r="Q822" s="158"/>
      <c r="R822" s="159"/>
    </row>
    <row r="823" spans="1:20" ht="15.75" customHeight="1" x14ac:dyDescent="0.3">
      <c r="A823" s="17" t="s">
        <v>45</v>
      </c>
      <c r="B823" s="1" t="s">
        <v>7</v>
      </c>
      <c r="C823" s="1" t="s">
        <v>7</v>
      </c>
      <c r="D823" s="1" t="s">
        <v>7</v>
      </c>
      <c r="E823" s="160"/>
      <c r="F823" s="1" t="s">
        <v>7</v>
      </c>
      <c r="G823" s="1" t="s">
        <v>7</v>
      </c>
      <c r="H823" s="1" t="s">
        <v>7</v>
      </c>
      <c r="I823" s="160"/>
      <c r="J823" s="1" t="s">
        <v>7</v>
      </c>
      <c r="K823" s="1" t="s">
        <v>7</v>
      </c>
      <c r="L823" s="1" t="s">
        <v>7</v>
      </c>
      <c r="M823" s="160"/>
      <c r="N823" s="1" t="s">
        <v>7</v>
      </c>
      <c r="O823" s="1" t="s">
        <v>7</v>
      </c>
      <c r="P823" s="1" t="s">
        <v>7</v>
      </c>
      <c r="Q823" s="161"/>
      <c r="R823" s="162" t="s">
        <v>7</v>
      </c>
    </row>
    <row r="824" spans="1:20" ht="15.75" customHeight="1" x14ac:dyDescent="0.3">
      <c r="A824" s="164" t="s">
        <v>46</v>
      </c>
      <c r="B824" s="1">
        <f>+SUM(B71:B82)+SUM(B138:B187)+SUM(B325:B356)+SUM(B484:B488)+SUM(B526:B531)+SUM(B570:B581)+SUM(B638:B641)+SUM(B674:B680)+SUM(B732:B733)+SUM(B766:B771)</f>
        <v>27318</v>
      </c>
      <c r="C824" s="1">
        <f>+SUM(C71:C82)+SUM(C138:C187)+SUM(C325:C356)+SUM(C484:C488)+SUM(C526:C531)+SUM(C570:C581)+SUM(C638:C641)+SUM(C674:C680)+SUM(C732:C733)+SUM(C766:C771)</f>
        <v>22062</v>
      </c>
      <c r="D824" s="1">
        <f>+SUM(D71:D82)+SUM(D138:D187)+SUM(D325:D356)+SUM(D484:D488)+SUM(D526:D531)+SUM(D570:D581)+SUM(D638:D641)+SUM(D674:D680)+SUM(D732:D733)+SUM(D766:D771)</f>
        <v>35761</v>
      </c>
      <c r="E824" s="59">
        <f t="shared" ref="E824:E830" si="183">SUM(B824:D824)</f>
        <v>85141</v>
      </c>
      <c r="F824" s="1">
        <f>+SUM(F71:F82)+SUM(F138:F187)+SUM(F325:F356)+SUM(F484:F488)+SUM(F526:F531)+SUM(F570:F581)+SUM(F638:F641)+SUM(F674:F680)+SUM(F732:F733)+SUM(F766:F771)</f>
        <v>40871</v>
      </c>
      <c r="G824" s="1">
        <f>+SUM(G71:G82)+SUM(G138:G187)+SUM(G325:G356)+SUM(G484:G488)+SUM(G526:G531)+SUM(G570:G581)+SUM(G638:G641)+SUM(G674:G680)+SUM(G732:G733)+SUM(G766:G771)</f>
        <v>42381</v>
      </c>
      <c r="H824" s="1">
        <f>+SUM(H71:H82)+SUM(H138:H187)+SUM(H325:H356)+SUM(H484:H488)+SUM(H526:H531)+SUM(H570:H581)+SUM(H638:H641)+SUM(H674:H680)+SUM(H732:H733)+SUM(H766:H771)</f>
        <v>77760</v>
      </c>
      <c r="I824" s="59">
        <f t="shared" ref="I824:I830" si="184">SUM(F824:H824)</f>
        <v>161012</v>
      </c>
      <c r="J824" s="1">
        <f>+SUM(J71:J82)+SUM(J138:J187)+SUM(J325:J356)+SUM(J484:J488)+SUM(J526:J531)+SUM(J570:J581)+SUM(J638:J641)+SUM(J674:J680)+SUM(J732:J733)+SUM(J766:J771)</f>
        <v>74704</v>
      </c>
      <c r="K824" s="1">
        <f>+SUM(K71:K82)+SUM(K138:K187)+SUM(K325:K356)+SUM(K484:K488)+SUM(K526:K531)+SUM(K570:K581)+SUM(K638:K641)+SUM(K674:K680)+SUM(K732:K733)+SUM(K766:K771)</f>
        <v>69276</v>
      </c>
      <c r="L824" s="1">
        <f>+SUM(L71:L82)+SUM(L138:L187)+SUM(L325:L356)+SUM(L484:L488)+SUM(L526:L531)+SUM(L570:L581)+SUM(L638:L641)+SUM(L674:L680)+SUM(L732:L733)+SUM(L766:L771)</f>
        <v>66314</v>
      </c>
      <c r="M824" s="59">
        <f t="shared" ref="M824:M830" si="185">SUM(J824:L824)</f>
        <v>210294</v>
      </c>
      <c r="N824" s="1">
        <f>+SUM(N71:N82)+SUM(N138:N187)+SUM(N325:N356)+SUM(N484:N488)+SUM(N526:N531)+SUM(N570:N581)+SUM(N638:N641)+SUM(N674:N680)+SUM(N732:N733)+SUM(N766:N771)</f>
        <v>44798</v>
      </c>
      <c r="O824" s="1">
        <f>+SUM(O71:O82)+SUM(O138:O187)+SUM(O325:O356)+SUM(O484:O488)+SUM(O526:O531)+SUM(O570:O581)+SUM(O638:O641)+SUM(O674:O680)+SUM(O732:O733)+SUM(O766:O771)</f>
        <v>28636</v>
      </c>
      <c r="P824" s="1">
        <f>+SUM(P71:P82)+SUM(P138:P187)+SUM(P325:P356)+SUM(P484:P488)+SUM(P526:P531)+SUM(P570:P581)+SUM(P638:P641)+SUM(P674:P680)+SUM(P732:P733)+SUM(P766:P771)</f>
        <v>31123</v>
      </c>
      <c r="Q824" s="59">
        <f t="shared" ref="Q824:Q830" si="186">SUM(N824:P824)</f>
        <v>104557</v>
      </c>
      <c r="R824" s="59">
        <f t="shared" ref="R824:R830" si="187">+E824+I824+M824+Q824</f>
        <v>561004</v>
      </c>
    </row>
    <row r="825" spans="1:20" ht="15.75" customHeight="1" x14ac:dyDescent="0.3">
      <c r="A825" s="17" t="s">
        <v>619</v>
      </c>
      <c r="B825" s="1">
        <f>+B38+SUM(B83:B84)+SUM(B189:B200)+SUM(B358:B370)+SUM(B490:B491)+B532+SUM(B582:B583)+B642+B681+B734+SUM(B772:B772)</f>
        <v>0</v>
      </c>
      <c r="C825" s="1">
        <f>+C38+SUM(C83:C84)+SUM(C189:C200)+SUM(C358:C370)+SUM(C490:C491)+C532+SUM(C582:C583)+C642+C681+C734+SUM(C772:C772)</f>
        <v>0</v>
      </c>
      <c r="D825" s="1">
        <f>+D38+SUM(D83:D84)+SUM(D189:D200)+SUM(D358:D370)+SUM(D490:D491)+D532+SUM(D582:D583)+D642+D681+D734+SUM(D772:D772)</f>
        <v>0</v>
      </c>
      <c r="E825" s="59">
        <f t="shared" si="183"/>
        <v>0</v>
      </c>
      <c r="F825" s="1">
        <f>+F38+SUM(F83:F84)+SUM(F189:F200)+SUM(F358:F370)+SUM(F490:F491)+F532+SUM(F582:F583)+F642+F681+F734+SUM(F772:F772)</f>
        <v>0</v>
      </c>
      <c r="G825" s="1">
        <f>+G38+SUM(G83:G84)+SUM(G189:G200)+SUM(G358:G370)+SUM(G490:G491)+G532+SUM(G582:G583)+G642+G681+G734+SUM(G772:G772)</f>
        <v>0</v>
      </c>
      <c r="H825" s="1">
        <f>+H38+SUM(H83:H84)+SUM(H189:H200)+SUM(H358:H370)+SUM(H490:H491)+H532+SUM(H582:H583)+H642+H681+H734+SUM(H772:H772)</f>
        <v>0</v>
      </c>
      <c r="I825" s="59">
        <f t="shared" si="184"/>
        <v>0</v>
      </c>
      <c r="J825" s="1">
        <f>+J38+SUM(J83:J84)+SUM(J189:J200)+SUM(J358:J370)+SUM(J490:J491)+J532+SUM(J582:J583)+J642+J681+J734+SUM(J772:J772)</f>
        <v>0</v>
      </c>
      <c r="K825" s="1">
        <f>+K38+SUM(K83:K84)+SUM(K189:K200)+SUM(K358:K370)+SUM(K490:K491)+K532+SUM(K582:K583)+K642+K681+K734+SUM(K772:K772)</f>
        <v>0</v>
      </c>
      <c r="L825" s="1">
        <f>+L38+SUM(L83:L84)+SUM(L189:L200)+SUM(L358:L370)+SUM(L490:L491)+L532+SUM(L582:L583)+L642+L681+L734+SUM(L772:L772)</f>
        <v>0</v>
      </c>
      <c r="M825" s="59">
        <f t="shared" si="185"/>
        <v>0</v>
      </c>
      <c r="N825" s="1">
        <f>+N38+SUM(N83:N84)+SUM(N189:N200)+SUM(N358:N370)+SUM(N490:N491)+N532+SUM(N582:N583)+N642+N681+N734+SUM(N772:N772)</f>
        <v>0</v>
      </c>
      <c r="O825" s="1">
        <f>+O38+SUM(O83:O84)+SUM(O189:O200)+SUM(O358:O370)+SUM(O490:O491)+O532+SUM(O582:O583)+O642+O681+O734+SUM(O772:O772)</f>
        <v>0</v>
      </c>
      <c r="P825" s="1">
        <f>+P38+SUM(P83:P84)+SUM(P189:P200)+SUM(P358:P370)+SUM(P490:P491)+P532+SUM(P582:P583)+P642+P681+P734+SUM(P772:P772)</f>
        <v>96</v>
      </c>
      <c r="Q825" s="59">
        <f t="shared" si="186"/>
        <v>96</v>
      </c>
      <c r="R825" s="59">
        <f t="shared" si="187"/>
        <v>96</v>
      </c>
    </row>
    <row r="826" spans="1:20" ht="15.75" customHeight="1" x14ac:dyDescent="0.3">
      <c r="A826" s="164" t="s">
        <v>620</v>
      </c>
      <c r="B826" s="1">
        <f>+SUM(B85:B87)+SUM(B201:B204)+SUM(B371:B375)+B492+B533+SUM(B584:B585)+B643+B682+B735+SUM(B773:B774)</f>
        <v>0</v>
      </c>
      <c r="C826" s="1">
        <f>+SUM(C85:C87)+SUM(C201:C204)+SUM(C371:C375)+C492+C533+SUM(C584:C585)+C643+C682+C735+SUM(C773:C774)</f>
        <v>13</v>
      </c>
      <c r="D826" s="1">
        <f>+SUM(D85:D87)+SUM(D201:D204)+SUM(D371:D375)+D492+D533+SUM(D584:D585)+D643+D682+D735+SUM(D773:D774)</f>
        <v>63</v>
      </c>
      <c r="E826" s="59">
        <f t="shared" si="183"/>
        <v>76</v>
      </c>
      <c r="F826" s="1">
        <f>+SUM(F85:F87)+SUM(F201:F204)+SUM(F371:F375)+F492+F533+SUM(F584:F585)+F643+F682+F735+SUM(F773:F774)</f>
        <v>1314</v>
      </c>
      <c r="G826" s="1">
        <f>+SUM(G85:G87)+SUM(G201:G204)+SUM(G371:G375)+G492+G533+SUM(G584:G585)+G643+G682+G735+SUM(G773:G774)</f>
        <v>7755</v>
      </c>
      <c r="H826" s="1">
        <f>+SUM(H85:H87)+SUM(H201:H204)+SUM(H371:H375)+H492+H533+SUM(H584:H585)+H643+H682+H735+SUM(H773:H774)</f>
        <v>5014</v>
      </c>
      <c r="I826" s="59">
        <f t="shared" si="184"/>
        <v>14083</v>
      </c>
      <c r="J826" s="1">
        <f>+SUM(J85:J87)+SUM(J201:J204)+SUM(J371:J375)+J492+J533+SUM(J584:J585)+J643+J682+J735+SUM(J773:J774)</f>
        <v>3467</v>
      </c>
      <c r="K826" s="1">
        <f>+SUM(K85:K87)+SUM(K201:K204)+SUM(K371:K375)+K492+K533+SUM(K584:K585)+K643+K682+K735+SUM(K773:K774)</f>
        <v>1060</v>
      </c>
      <c r="L826" s="1">
        <f>+SUM(L85:L87)+SUM(L201:L204)+SUM(L371:L375)+L492+L533+SUM(L584:L585)+L643+L682+L735+SUM(L773:L774)</f>
        <v>866</v>
      </c>
      <c r="M826" s="59">
        <f t="shared" si="185"/>
        <v>5393</v>
      </c>
      <c r="N826" s="1">
        <f>+SUM(N85:N87)+SUM(N201:N204)+SUM(N371:N375)+N492+N533+SUM(N584:N585)+N643+N682+N735+SUM(N773:N774)</f>
        <v>804</v>
      </c>
      <c r="O826" s="1">
        <f>+SUM(O85:O87)+SUM(O201:O204)+SUM(O371:O375)+O492+O533+SUM(O584:O585)+O643+O682+O735+SUM(O773:O774)</f>
        <v>3805</v>
      </c>
      <c r="P826" s="1">
        <f>+SUM(P85:P87)+SUM(P201:P204)+SUM(P371:P375)+P492+P533+SUM(P584:P585)+P643+P682+P735+SUM(P773:P774)</f>
        <v>4222</v>
      </c>
      <c r="Q826" s="59">
        <f t="shared" si="186"/>
        <v>8831</v>
      </c>
      <c r="R826" s="59">
        <f>+E826+I826+M826+Q826</f>
        <v>28383</v>
      </c>
    </row>
    <row r="827" spans="1:20" ht="15.75" customHeight="1" x14ac:dyDescent="0.3">
      <c r="A827" s="17" t="s">
        <v>621</v>
      </c>
      <c r="B827" s="1">
        <f>+B302+B465+B466</f>
        <v>0</v>
      </c>
      <c r="C827" s="1">
        <f>+C302+C465+C466</f>
        <v>0</v>
      </c>
      <c r="D827" s="1">
        <f>+D302+D465+D466</f>
        <v>0</v>
      </c>
      <c r="E827" s="59">
        <f t="shared" si="183"/>
        <v>0</v>
      </c>
      <c r="F827" s="1">
        <f>+F302+F465+F466</f>
        <v>0</v>
      </c>
      <c r="G827" s="1">
        <f>+G302+G465+G466</f>
        <v>0</v>
      </c>
      <c r="H827" s="1">
        <f>+H302+H465+H466</f>
        <v>0</v>
      </c>
      <c r="I827" s="59">
        <f t="shared" si="184"/>
        <v>0</v>
      </c>
      <c r="J827" s="1">
        <f>+J302+J465+J466</f>
        <v>0</v>
      </c>
      <c r="K827" s="1">
        <f>+K302+K465+K466</f>
        <v>0</v>
      </c>
      <c r="L827" s="1">
        <f>+L302+L465+L466</f>
        <v>0</v>
      </c>
      <c r="M827" s="59">
        <f t="shared" si="185"/>
        <v>0</v>
      </c>
      <c r="N827" s="1">
        <f>+N302+N465+N466</f>
        <v>0</v>
      </c>
      <c r="O827" s="1">
        <f>+O302+O465+O466</f>
        <v>0</v>
      </c>
      <c r="P827" s="1">
        <f>+P302+P465+P466</f>
        <v>0</v>
      </c>
      <c r="Q827" s="59">
        <f t="shared" si="186"/>
        <v>0</v>
      </c>
      <c r="R827" s="59">
        <f t="shared" si="187"/>
        <v>0</v>
      </c>
    </row>
    <row r="828" spans="1:20" ht="15.75" customHeight="1" x14ac:dyDescent="0.3">
      <c r="A828" s="164" t="s">
        <v>622</v>
      </c>
      <c r="B828" s="1">
        <f>+B303</f>
        <v>9</v>
      </c>
      <c r="C828" s="1">
        <f>+C303</f>
        <v>214</v>
      </c>
      <c r="D828" s="1">
        <f>+D303</f>
        <v>37</v>
      </c>
      <c r="E828" s="59">
        <f>SUM(B828:D828)</f>
        <v>260</v>
      </c>
      <c r="F828" s="1">
        <f>+F303</f>
        <v>57</v>
      </c>
      <c r="G828" s="1">
        <f>+G303</f>
        <v>45</v>
      </c>
      <c r="H828" s="1">
        <f>+H303</f>
        <v>30</v>
      </c>
      <c r="I828" s="59">
        <f>SUM(F828:H828)</f>
        <v>132</v>
      </c>
      <c r="J828" s="1">
        <f>+J303</f>
        <v>57</v>
      </c>
      <c r="K828" s="1">
        <f>+K303</f>
        <v>62</v>
      </c>
      <c r="L828" s="1">
        <f>+L303</f>
        <v>65</v>
      </c>
      <c r="M828" s="59">
        <f>SUM(J828:L828)</f>
        <v>184</v>
      </c>
      <c r="N828" s="1">
        <f>+N303</f>
        <v>76</v>
      </c>
      <c r="O828" s="1">
        <f>+O303</f>
        <v>56</v>
      </c>
      <c r="P828" s="1">
        <v>118</v>
      </c>
      <c r="Q828" s="59">
        <f t="shared" si="186"/>
        <v>250</v>
      </c>
      <c r="R828" s="59">
        <f>+E828+I828+M828+Q828</f>
        <v>826</v>
      </c>
    </row>
    <row r="829" spans="1:20" ht="15.75" customHeight="1" thickBot="1" x14ac:dyDescent="0.35">
      <c r="A829" s="17" t="s">
        <v>51</v>
      </c>
      <c r="B829" s="1">
        <f>+B88+B493+B534+B586+B644+B683+B736+B775</f>
        <v>0</v>
      </c>
      <c r="C829" s="1">
        <f>+C88+C493+C534+C586+C644+C683+C736+C775</f>
        <v>0</v>
      </c>
      <c r="D829" s="1">
        <f>+D88+D493+D534+D586+D644+D683+D736+D775</f>
        <v>0</v>
      </c>
      <c r="E829" s="59">
        <f t="shared" si="183"/>
        <v>0</v>
      </c>
      <c r="F829" s="1">
        <f>+F88+F493+F534+F586+F644+F683+F736+F775</f>
        <v>0</v>
      </c>
      <c r="G829" s="1">
        <f>+G88+G493+G534+G586+G644+G683+G736+G775</f>
        <v>0</v>
      </c>
      <c r="H829" s="1">
        <f>+H88+H493+H534+H586+H644+H683+H736+H775</f>
        <v>0</v>
      </c>
      <c r="I829" s="59">
        <f t="shared" si="184"/>
        <v>0</v>
      </c>
      <c r="J829" s="1">
        <f>+J88+J493+J534+J586+J644+J683+J736+J775</f>
        <v>0</v>
      </c>
      <c r="K829" s="1">
        <f>+K88+K493+K534+K586+K644+K683+K736+K775</f>
        <v>0</v>
      </c>
      <c r="L829" s="1">
        <f>+L88+L493+L534+L586+L644+L683+L736+L775</f>
        <v>0</v>
      </c>
      <c r="M829" s="59">
        <f t="shared" si="185"/>
        <v>0</v>
      </c>
      <c r="N829" s="1">
        <f>+N88+N493+N534+N586+N644+N683+N736+N775</f>
        <v>0</v>
      </c>
      <c r="O829" s="1">
        <f>+O88+O493+O534+O586+O644+O683+O736+O775</f>
        <v>0</v>
      </c>
      <c r="P829" s="1">
        <f>+P88+P493+P534+P586+P644+P683+P736+P775</f>
        <v>0</v>
      </c>
      <c r="Q829" s="59">
        <f t="shared" si="186"/>
        <v>0</v>
      </c>
      <c r="R829" s="59">
        <f t="shared" si="187"/>
        <v>0</v>
      </c>
    </row>
    <row r="830" spans="1:20" ht="16.5" customHeight="1" thickBot="1" x14ac:dyDescent="0.35">
      <c r="A830" s="62" t="s">
        <v>52</v>
      </c>
      <c r="B830" s="100">
        <f>SUM(B823:B829)</f>
        <v>27327</v>
      </c>
      <c r="C830" s="101">
        <f>SUM(C823:C829)</f>
        <v>22289</v>
      </c>
      <c r="D830" s="101">
        <f>SUM(D823:D829)</f>
        <v>35861</v>
      </c>
      <c r="E830" s="64">
        <f t="shared" si="183"/>
        <v>85477</v>
      </c>
      <c r="F830" s="101">
        <f>SUM(F823:F829)</f>
        <v>42242</v>
      </c>
      <c r="G830" s="101">
        <f>SUM(G823:G829)</f>
        <v>50181</v>
      </c>
      <c r="H830" s="101">
        <f>SUM(H823:H829)</f>
        <v>82804</v>
      </c>
      <c r="I830" s="64">
        <f t="shared" si="184"/>
        <v>175227</v>
      </c>
      <c r="J830" s="101">
        <f>SUM(J823:J829)</f>
        <v>78228</v>
      </c>
      <c r="K830" s="101">
        <f>SUM(K823:K829)</f>
        <v>70398</v>
      </c>
      <c r="L830" s="101">
        <f>SUM(L823:L829)</f>
        <v>67245</v>
      </c>
      <c r="M830" s="64">
        <f t="shared" si="185"/>
        <v>215871</v>
      </c>
      <c r="N830" s="101">
        <f>SUM(N823:N829)</f>
        <v>45678</v>
      </c>
      <c r="O830" s="101">
        <f>SUM(O823:O829)</f>
        <v>32497</v>
      </c>
      <c r="P830" s="101">
        <f>SUM(P823:P829)</f>
        <v>35559</v>
      </c>
      <c r="Q830" s="64">
        <f t="shared" si="186"/>
        <v>113734</v>
      </c>
      <c r="R830" s="64">
        <f t="shared" si="187"/>
        <v>590309</v>
      </c>
      <c r="T830" s="4">
        <f>+R830-R827-R826</f>
        <v>561926</v>
      </c>
    </row>
    <row r="831" spans="1:20" ht="15.75" customHeight="1" x14ac:dyDescent="0.3">
      <c r="A831" s="17" t="s">
        <v>53</v>
      </c>
      <c r="B831" s="1"/>
      <c r="C831" s="1"/>
      <c r="D831" s="1"/>
      <c r="E831" s="59" t="s">
        <v>7</v>
      </c>
      <c r="F831" s="1"/>
      <c r="G831" s="1"/>
      <c r="H831" s="1"/>
      <c r="I831" s="59" t="s">
        <v>7</v>
      </c>
      <c r="J831" s="1"/>
      <c r="K831" s="1"/>
      <c r="L831" s="1"/>
      <c r="M831" s="59" t="s">
        <v>7</v>
      </c>
      <c r="N831" s="1"/>
      <c r="O831" s="1"/>
      <c r="P831" s="1"/>
      <c r="Q831" s="59" t="s">
        <v>7</v>
      </c>
      <c r="R831" s="59" t="s">
        <v>7</v>
      </c>
    </row>
    <row r="832" spans="1:20" ht="15.75" customHeight="1" x14ac:dyDescent="0.3">
      <c r="A832" s="17" t="s">
        <v>54</v>
      </c>
      <c r="B832" s="1">
        <f>SUM(B43:B43)+SUM(B208:B208)+SUM(B91:B91)+SUM(B379:B379)</f>
        <v>0</v>
      </c>
      <c r="C832" s="1">
        <f>SUM(C43:C43)+SUM(C208:C208)+SUM(C91:C91)+SUM(C379:C379)</f>
        <v>0</v>
      </c>
      <c r="D832" s="1">
        <f>SUM(D43:D43)+SUM(D208:D208)+SUM(D91:D91)+SUM(D379:D379)</f>
        <v>0</v>
      </c>
      <c r="E832" s="59">
        <f>SUM(B832:D832)</f>
        <v>0</v>
      </c>
      <c r="F832" s="1">
        <f>SUM(F43:F43)+SUM(F208:F208)+SUM(F91:F91)+SUM(F379:F379)</f>
        <v>0</v>
      </c>
      <c r="G832" s="1">
        <f>SUM(G43:G43)+SUM(G208:G208)+SUM(G91:G91)+SUM(G379:G379)</f>
        <v>0</v>
      </c>
      <c r="H832" s="1">
        <f>SUM(H43:H43)+SUM(H208:H208)+SUM(H91:H91)+SUM(H379:H379)</f>
        <v>0</v>
      </c>
      <c r="I832" s="59">
        <f>SUM(F832:H832)</f>
        <v>0</v>
      </c>
      <c r="J832" s="1">
        <f>SUM(J43:J43)+SUM(J208:J208)+SUM(J91:J91)+SUM(J379:J379)</f>
        <v>0</v>
      </c>
      <c r="K832" s="1">
        <f>SUM(K43:K43)+SUM(K208:K208)+SUM(K91:K91)+SUM(K379:K379)</f>
        <v>0</v>
      </c>
      <c r="L832" s="1">
        <f>SUM(L43:L43)+SUM(L208:L208)+SUM(L91:L91)+SUM(L379:L379)</f>
        <v>0</v>
      </c>
      <c r="M832" s="59">
        <f>SUM(J832:L832)</f>
        <v>0</v>
      </c>
      <c r="N832" s="1">
        <f>SUM(N43:N43)+SUM(N208:N208)+SUM(N91:N91)+SUM(N379:N379)</f>
        <v>0</v>
      </c>
      <c r="O832" s="1">
        <f>SUM(O43:O43)+SUM(O208:O208)+SUM(O91:O91)+SUM(O379:O379)</f>
        <v>0</v>
      </c>
      <c r="P832" s="1">
        <f>SUM(P43:P43)+SUM(P208:P208)+SUM(P91:P91)+SUM(P379:P379)</f>
        <v>0</v>
      </c>
      <c r="Q832" s="59">
        <f>SUM(N832:P832)</f>
        <v>0</v>
      </c>
      <c r="R832" s="59">
        <f>+E832+I832+M832+Q832</f>
        <v>0</v>
      </c>
    </row>
    <row r="833" spans="1:20" ht="15.75" customHeight="1" x14ac:dyDescent="0.3">
      <c r="A833" s="164" t="s">
        <v>55</v>
      </c>
      <c r="B833" s="1">
        <f>+SUM(B93:B94)+SUM(B209:B211)+SUM(B380:B389)+B497+SUM(B537:B539)+SUM(B589:B591)+SUM(B647:B647)+B686+B739+SUM(B778:B779)</f>
        <v>2634</v>
      </c>
      <c r="C833" s="1">
        <f>+SUM(C93:C94)+SUM(C209:C211)+SUM(C380:C389)+C497+SUM(C537:C539)+SUM(C589:C591)+SUM(C647:C647)+C686+C739+SUM(C778:C779)</f>
        <v>5612</v>
      </c>
      <c r="D833" s="1">
        <f>+SUM(D93:D94)+SUM(D209:D211)+SUM(D380:D389)+D497+SUM(D537:D539)+SUM(D589:D591)+SUM(D647:D647)+D686+D739+SUM(D778:D779)</f>
        <v>28344</v>
      </c>
      <c r="E833" s="59">
        <f>SUM(B833:D833)</f>
        <v>36590</v>
      </c>
      <c r="F833" s="1">
        <f>+SUM(F93:F94)+SUM(F209:F211)+SUM(F380:F389)+F497+SUM(F537:F539)+SUM(F589:F591)+SUM(F647:F647)+F686+F739+SUM(F778:F779)</f>
        <v>33634</v>
      </c>
      <c r="G833" s="1">
        <f>+SUM(G93:G94)+SUM(G209:G211)+SUM(G380:G389)+G497+SUM(G537:G539)+SUM(G589:G591)+SUM(G647:G647)+G686+G739+SUM(G778:G779)</f>
        <v>26572</v>
      </c>
      <c r="H833" s="1">
        <f>+SUM(H93:H94)+SUM(H209:H211)+SUM(H380:H389)+H497+SUM(H537:H539)+SUM(H589:H591)+SUM(H647:H647)+H686+H739+SUM(H778:H779)</f>
        <v>58483</v>
      </c>
      <c r="I833" s="59">
        <f>SUM(F833:H833)</f>
        <v>118689</v>
      </c>
      <c r="J833" s="1">
        <f>+SUM(J93:J94)+SUM(J209:J211)+SUM(J380:J389)+J497+SUM(J537:J539)+SUM(J589:J591)+SUM(J647:J647)+J686+J739+SUM(J778:J779)</f>
        <v>39696</v>
      </c>
      <c r="K833" s="1">
        <f>+SUM(K93:K94)+SUM(K209:K211)+SUM(K380:K389)+K497+SUM(K537:K539)+SUM(K589:K591)+SUM(K647:K647)+K686+K739+SUM(K778:K779)</f>
        <v>32903</v>
      </c>
      <c r="L833" s="1">
        <f>+SUM(L93:L94)+SUM(L209:L211)+SUM(L380:L389)+L497+SUM(L537:L539)+SUM(L589:L591)+SUM(L647:L647)+L686+L739+SUM(L778:L779)</f>
        <v>18081</v>
      </c>
      <c r="M833" s="59">
        <f>SUM(J833:L833)</f>
        <v>90680</v>
      </c>
      <c r="N833" s="1">
        <f>+SUM(N93:N94)+SUM(N209:N211)+SUM(N380:N389)+N497+SUM(N537:N539)+SUM(N589:N591)+SUM(N647:N647)+N686+N739+SUM(N778:N779)</f>
        <v>4004</v>
      </c>
      <c r="O833" s="1">
        <f>+SUM(O93:O94)+SUM(O209:O211)+SUM(O380:O389)+O497+SUM(O537:O539)+SUM(O589:O591)+SUM(O647:O647)+O686+O739+SUM(O778:O779)</f>
        <v>2556</v>
      </c>
      <c r="P833" s="1">
        <f>+SUM(P93:P94)+SUM(P209:P211)+SUM(P380:P389)+P497+SUM(P537:P539)+SUM(P589:P591)+SUM(P647:P647)+P686+P739+SUM(P778:P779)</f>
        <v>5332</v>
      </c>
      <c r="Q833" s="59">
        <f>SUM(N833:P833)</f>
        <v>11892</v>
      </c>
      <c r="R833" s="59">
        <f>+E833+I833+M833+Q833</f>
        <v>257851</v>
      </c>
    </row>
    <row r="834" spans="1:20" ht="15.75" customHeight="1" thickBot="1" x14ac:dyDescent="0.35">
      <c r="A834" s="17" t="s">
        <v>56</v>
      </c>
      <c r="B834" s="1">
        <f>+B95+B498+B540+B592+B648+B687+B740+B780</f>
        <v>0</v>
      </c>
      <c r="C834" s="1">
        <f>+C95+C498+C540+C592+C648+C687+C740+C780</f>
        <v>0</v>
      </c>
      <c r="D834" s="1">
        <f>+D95+D498+D540+D592+D648+D687+D740+D780</f>
        <v>0</v>
      </c>
      <c r="E834" s="59">
        <f>SUM(B834:D834)</f>
        <v>0</v>
      </c>
      <c r="F834" s="1">
        <f>+F95+F498+F540+F592+F648+F687+F740+F780</f>
        <v>0</v>
      </c>
      <c r="G834" s="1">
        <f>+G95+G498+G540+G592+G648+G687+G740+G780</f>
        <v>0</v>
      </c>
      <c r="H834" s="1">
        <f>+H95+H498+H540+H592+H648+H687+H740+H780</f>
        <v>0</v>
      </c>
      <c r="I834" s="59">
        <f>SUM(F834:H834)</f>
        <v>0</v>
      </c>
      <c r="J834" s="1">
        <f>+J95+J498+J540+J592+J648+J687+J740+J780</f>
        <v>0</v>
      </c>
      <c r="K834" s="1">
        <f>+K95+K498+K540+K592+K648+K687+K740+K780</f>
        <v>0</v>
      </c>
      <c r="L834" s="1">
        <f>+L95+L498+L540+L592+L648+L687+L740+L780</f>
        <v>0</v>
      </c>
      <c r="M834" s="59">
        <f>SUM(J834:L834)</f>
        <v>0</v>
      </c>
      <c r="N834" s="1">
        <f>+N95+N498+N540+N592+N648+N687+N740+N780</f>
        <v>0</v>
      </c>
      <c r="O834" s="1">
        <f>+O95+O498+O540+O592+O648+O687+O740+O780</f>
        <v>0</v>
      </c>
      <c r="P834" s="1">
        <f>+P95+P498+P540+P592+P648+P687+P740+P780</f>
        <v>0</v>
      </c>
      <c r="Q834" s="59">
        <f>SUM(N834:P834)</f>
        <v>0</v>
      </c>
      <c r="R834" s="59">
        <f>+E834+I834+M834+Q834</f>
        <v>0</v>
      </c>
    </row>
    <row r="835" spans="1:20" ht="16.5" customHeight="1" thickBot="1" x14ac:dyDescent="0.35">
      <c r="A835" s="62" t="s">
        <v>57</v>
      </c>
      <c r="B835" s="100">
        <f>SUM(B831:B834)</f>
        <v>2634</v>
      </c>
      <c r="C835" s="101">
        <f>SUM(C831:C834)</f>
        <v>5612</v>
      </c>
      <c r="D835" s="101">
        <f>SUM(D831:D834)</f>
        <v>28344</v>
      </c>
      <c r="E835" s="64">
        <f>SUM(B835:D835)</f>
        <v>36590</v>
      </c>
      <c r="F835" s="101">
        <f>SUM(F831:F834)</f>
        <v>33634</v>
      </c>
      <c r="G835" s="101">
        <f>SUM(G831:G834)</f>
        <v>26572</v>
      </c>
      <c r="H835" s="101">
        <f>SUM(H831:H834)</f>
        <v>58483</v>
      </c>
      <c r="I835" s="64">
        <f>SUM(F835:H835)</f>
        <v>118689</v>
      </c>
      <c r="J835" s="101">
        <f>SUM(J831:J834)</f>
        <v>39696</v>
      </c>
      <c r="K835" s="101">
        <f>SUM(K831:K834)</f>
        <v>32903</v>
      </c>
      <c r="L835" s="101">
        <f>SUM(L831:L834)</f>
        <v>18081</v>
      </c>
      <c r="M835" s="64">
        <f>SUM(J835:L835)</f>
        <v>90680</v>
      </c>
      <c r="N835" s="101">
        <f>SUM(N831:N834)</f>
        <v>4004</v>
      </c>
      <c r="O835" s="101">
        <f>SUM(O831:O834)</f>
        <v>2556</v>
      </c>
      <c r="P835" s="101">
        <f>SUM(P831:P834)</f>
        <v>5332</v>
      </c>
      <c r="Q835" s="64">
        <f>SUM(N835:P835)</f>
        <v>11892</v>
      </c>
      <c r="R835" s="64">
        <f>+E835+I835+M835+Q835</f>
        <v>257851</v>
      </c>
    </row>
    <row r="836" spans="1:20" ht="15.75" customHeight="1" x14ac:dyDescent="0.3">
      <c r="A836" s="17" t="s">
        <v>58</v>
      </c>
      <c r="B836" s="1"/>
      <c r="C836" s="1"/>
      <c r="D836" s="1"/>
      <c r="E836" s="59" t="s">
        <v>7</v>
      </c>
      <c r="F836" s="1"/>
      <c r="G836" s="1"/>
      <c r="H836" s="1"/>
      <c r="I836" s="59" t="s">
        <v>7</v>
      </c>
      <c r="J836" s="1"/>
      <c r="K836" s="1"/>
      <c r="L836" s="1"/>
      <c r="M836" s="59" t="s">
        <v>7</v>
      </c>
      <c r="N836" s="1"/>
      <c r="O836" s="1"/>
      <c r="P836" s="1"/>
      <c r="Q836" s="59" t="s">
        <v>7</v>
      </c>
      <c r="R836" s="59" t="s">
        <v>7</v>
      </c>
    </row>
    <row r="837" spans="1:20" ht="15.75" customHeight="1" x14ac:dyDescent="0.3">
      <c r="A837" s="164" t="s">
        <v>59</v>
      </c>
      <c r="B837" s="1">
        <f>+B48+B98+B215+SUM(B393:B395)+B501+B543+B595+B651+SUM(B690:B691)+B743+SUM(B783:B785)</f>
        <v>2387</v>
      </c>
      <c r="C837" s="1">
        <f>+C48+C98+C215+SUM(C393:C395)+C501+C543+C595+C651+SUM(C690:C691)+C743+SUM(C783:C785)</f>
        <v>4989</v>
      </c>
      <c r="D837" s="1">
        <f>+D48+D98+D215+SUM(D393:D395)+D501+D543+D595+D651+SUM(D690:D691)+D743+SUM(D783:D785)</f>
        <v>12161</v>
      </c>
      <c r="E837" s="59">
        <f>SUM(B837:D837)</f>
        <v>19537</v>
      </c>
      <c r="F837" s="1">
        <f>+F48+F98+F215+SUM(F393:F395)+F501+F543+F595+F651+SUM(F690:F691)+F743+SUM(F783:F785)</f>
        <v>12684</v>
      </c>
      <c r="G837" s="1">
        <f>+G48+G98+G215+SUM(G393:G395)+G501+G543+G595+G651+SUM(G690:G691)+G743+SUM(G783:G785)</f>
        <v>15861</v>
      </c>
      <c r="H837" s="1">
        <f>+H48+H98+H215+SUM(H393:H395)+H501+H543+H595+H651+SUM(H690:H691)+H743+SUM(H783:H785)</f>
        <v>17652</v>
      </c>
      <c r="I837" s="59">
        <f>SUM(F837:H837)</f>
        <v>46197</v>
      </c>
      <c r="J837" s="1">
        <f>+J48+J98+J215+SUM(J393:J395)+J501+J543+J595+J651+SUM(J690:J691)+J743+SUM(J783:J785)</f>
        <v>10639</v>
      </c>
      <c r="K837" s="1">
        <f>+K48+K98+K215+SUM(K393:K395)+K501+K543+K595+K651+SUM(K690:K691)+K743+SUM(K783:K785)</f>
        <v>11008</v>
      </c>
      <c r="L837" s="1">
        <f>+L48+L98+L215+SUM(L393:L395)+L501+L543+L595+L651+SUM(L690:L691)+L743+SUM(L783:L785)</f>
        <v>7408</v>
      </c>
      <c r="M837" s="59">
        <f>SUM(J837:L837)</f>
        <v>29055</v>
      </c>
      <c r="N837" s="1">
        <f>+N48+N98+N215+SUM(N393:N395)+N501+N543+N595+N651+SUM(N690:N691)+N743+SUM(N783:N785)</f>
        <v>3212</v>
      </c>
      <c r="O837" s="1">
        <f>+O48+O98+O215+SUM(O393:O395)+O501+O543+O595+O651+SUM(O690:O691)+O743+SUM(O783:O785)</f>
        <v>1664</v>
      </c>
      <c r="P837" s="1">
        <f>+P48+P98+P215+SUM(P393:P395)+P501+P543+P595+P651+SUM(P690:P691)+P743+SUM(P783:P785)</f>
        <v>4251</v>
      </c>
      <c r="Q837" s="59">
        <f>SUM(N837:P837)</f>
        <v>9127</v>
      </c>
      <c r="R837" s="59">
        <f>+E837+I837+M837+Q837</f>
        <v>103916</v>
      </c>
    </row>
    <row r="838" spans="1:20" ht="15.75" customHeight="1" thickBot="1" x14ac:dyDescent="0.35">
      <c r="A838" s="164" t="s">
        <v>60</v>
      </c>
      <c r="B838" s="1">
        <f>+B49+SUM(B99:B106)+SUM(B216:B277)+SUM(B396:B438)+SUM(B502:B503)+SUM(B544:B545)+SUM(B596:B599)+B652+SUM(B692:B697)+B744+SUM(B786:B790)</f>
        <v>11493</v>
      </c>
      <c r="C838" s="1">
        <f>+C49+SUM(C99:C106)+SUM(C216:C277)+SUM(C396:C438)+SUM(C502:C503)+SUM(C544:C545)+SUM(C596:C599)+C652+SUM(C692:C697)+C744+SUM(C786:C790)</f>
        <v>16045</v>
      </c>
      <c r="D838" s="1">
        <f>+D49+SUM(D99:D106)+SUM(D216:D277)+SUM(D396:D438)+SUM(D502:D503)+SUM(D544:D545)+SUM(D596:D599)+D652+SUM(D692:D697)+D744+SUM(D786:D790)</f>
        <v>32568</v>
      </c>
      <c r="E838" s="59">
        <f>SUM(B838:D838)</f>
        <v>60106</v>
      </c>
      <c r="F838" s="1">
        <f>+F49+SUM(F99:F106)+SUM(F216:F277)+SUM(F396:F438)+SUM(F502:F503)+SUM(F544:F545)+SUM(F596:F599)+F652+SUM(F692:F697)+F744+SUM(F786:F790)</f>
        <v>58461</v>
      </c>
      <c r="G838" s="1">
        <f>+G49+SUM(G99:G106)+SUM(G216:G277)+SUM(G396:G438)+SUM(G502:G503)+SUM(G544:G545)+SUM(G596:G599)+G652+SUM(G692:G697)+G744+SUM(G786:G790)</f>
        <v>52872</v>
      </c>
      <c r="H838" s="1">
        <f>+H49+SUM(H99:H106)+SUM(H216:H277)+SUM(H396:H438)+SUM(H502:H503)+SUM(H544:H545)+SUM(H596:H599)+H652+SUM(H692:H697)+H744+SUM(H786:H790)</f>
        <v>33419</v>
      </c>
      <c r="I838" s="59">
        <f>SUM(F838:H838)</f>
        <v>144752</v>
      </c>
      <c r="J838" s="1">
        <f>+J49+SUM(J99:J106)+SUM(J216:J277)+SUM(J396:J438)+SUM(J502:J503)+SUM(J544:J545)+SUM(J596:J599)+J652+SUM(J692:J697)+J744+SUM(J786:J790)</f>
        <v>36932</v>
      </c>
      <c r="K838" s="1">
        <f>+K49+SUM(K99:K106)+SUM(K216:K277)+SUM(K396:K438)+SUM(K502:K503)+SUM(K544:K545)+SUM(K596:K599)+K652+SUM(K692:K697)+K744+SUM(K786:K790)</f>
        <v>47440</v>
      </c>
      <c r="L838" s="1">
        <f>+L49+SUM(L99:L106)+SUM(L216:L277)+SUM(L396:L438)+SUM(L502:L503)+SUM(L544:L545)+SUM(L596:L599)+L652+SUM(L692:L697)+L744+SUM(L786:L790)</f>
        <v>37386</v>
      </c>
      <c r="M838" s="59">
        <f>SUM(J838:L838)</f>
        <v>121758</v>
      </c>
      <c r="N838" s="1">
        <f>+N49+SUM(N99:N106)+SUM(N216:N277)+SUM(N396:N438)+SUM(N502:N503)+SUM(N544:N545)+SUM(N596:N599)+N652+SUM(N692:N697)+N744+SUM(N786:N790)</f>
        <v>23555</v>
      </c>
      <c r="O838" s="1">
        <f>+O49+SUM(O99:O106)+SUM(O216:O277)+SUM(O396:O438)+SUM(O502:O503)+SUM(O544:O545)+SUM(O596:O599)+O652+SUM(O692:O697)+O744+SUM(O786:O790)</f>
        <v>15284</v>
      </c>
      <c r="P838" s="1">
        <f>+P49+SUM(P99:P106)+SUM(P216:P277)+SUM(P396:P438)+SUM(P502:P503)+SUM(P544:P545)+SUM(P596:P599)+P652+SUM(P692:P697)+P744+SUM(P786:P790)</f>
        <v>21154</v>
      </c>
      <c r="Q838" s="59">
        <f>SUM(N838:P838)</f>
        <v>59993</v>
      </c>
      <c r="R838" s="59">
        <f>+E838+I838+M838+Q838</f>
        <v>386609</v>
      </c>
    </row>
    <row r="839" spans="1:20" ht="16.5" customHeight="1" thickBot="1" x14ac:dyDescent="0.35">
      <c r="A839" s="62" t="s">
        <v>61</v>
      </c>
      <c r="B839" s="100">
        <f>SUM(B836:B838)</f>
        <v>13880</v>
      </c>
      <c r="C839" s="101">
        <f>SUM(C836:C838)</f>
        <v>21034</v>
      </c>
      <c r="D839" s="138">
        <f>SUM(D836:D838)</f>
        <v>44729</v>
      </c>
      <c r="E839" s="64">
        <f>SUM(B839:D839)</f>
        <v>79643</v>
      </c>
      <c r="F839" s="101">
        <f>SUM(F836:F838)</f>
        <v>71145</v>
      </c>
      <c r="G839" s="101">
        <f>SUM(G836:G838)</f>
        <v>68733</v>
      </c>
      <c r="H839" s="101">
        <f>SUM(H836:H838)</f>
        <v>51071</v>
      </c>
      <c r="I839" s="64">
        <f>SUM(F839:H839)</f>
        <v>190949</v>
      </c>
      <c r="J839" s="101">
        <f>SUM(J836:J838)</f>
        <v>47571</v>
      </c>
      <c r="K839" s="101">
        <f>SUM(K836:K838)</f>
        <v>58448</v>
      </c>
      <c r="L839" s="101">
        <f>SUM(L836:L838)</f>
        <v>44794</v>
      </c>
      <c r="M839" s="64">
        <f>SUM(J839:L839)</f>
        <v>150813</v>
      </c>
      <c r="N839" s="101">
        <f>SUM(N836:N838)</f>
        <v>26767</v>
      </c>
      <c r="O839" s="101">
        <f>SUM(O836:O838)</f>
        <v>16948</v>
      </c>
      <c r="P839" s="101">
        <f>SUM(P836:P838)</f>
        <v>25405</v>
      </c>
      <c r="Q839" s="64">
        <f>SUM(N839:P839)</f>
        <v>69120</v>
      </c>
      <c r="R839" s="64">
        <f>+E839+I839+M839+Q839</f>
        <v>490525</v>
      </c>
      <c r="T839" s="4">
        <v>1600000</v>
      </c>
    </row>
    <row r="840" spans="1:20" ht="20.25" customHeight="1" x14ac:dyDescent="0.3">
      <c r="A840" s="17" t="s">
        <v>623</v>
      </c>
      <c r="B840" s="1"/>
      <c r="C840" s="1"/>
      <c r="D840" s="1"/>
      <c r="E840" s="59" t="s">
        <v>7</v>
      </c>
      <c r="F840" s="1"/>
      <c r="G840" s="1"/>
      <c r="H840" s="1"/>
      <c r="I840" s="59" t="s">
        <v>7</v>
      </c>
      <c r="J840" s="1"/>
      <c r="K840" s="1"/>
      <c r="L840" s="1"/>
      <c r="M840" s="59" t="s">
        <v>7</v>
      </c>
      <c r="N840" s="1"/>
      <c r="O840" s="1"/>
      <c r="P840" s="1"/>
      <c r="Q840" s="59" t="s">
        <v>7</v>
      </c>
      <c r="R840" s="59" t="s">
        <v>7</v>
      </c>
      <c r="T840" s="4">
        <f>+T839-28000-R824-R825-400000-R837-R838+12000</f>
        <v>132375</v>
      </c>
    </row>
    <row r="841" spans="1:20" ht="15.75" customHeight="1" x14ac:dyDescent="0.3">
      <c r="A841" s="17" t="s">
        <v>624</v>
      </c>
      <c r="B841" s="1">
        <f>SUM(B52:B52)+SUM(B109:B117)+SUM(B280:B283)+SUM(B441:B442)+SUM(B506:B506)+B548+SUM(B602:B604)+B655+B700+B747+SUM(B793:B795)</f>
        <v>0</v>
      </c>
      <c r="C841" s="1">
        <f>SUM(C52:C52)+SUM(C109:C117)+SUM(C280:C283)+SUM(C441:C442)+SUM(C506:C506)+C548+SUM(C602:C604)+C655+C700+C747+SUM(C793:C795)</f>
        <v>0</v>
      </c>
      <c r="D841" s="1">
        <f>SUM(D52:D52)+SUM(D109:D117)+SUM(D280:D283)+SUM(D441:D442)+SUM(D506:D506)+D548+SUM(D602:D604)+D655+D700+D747+SUM(D793:D795)</f>
        <v>0</v>
      </c>
      <c r="E841" s="59">
        <f t="shared" ref="E841:E849" si="188">SUM(B841:D841)</f>
        <v>0</v>
      </c>
      <c r="F841" s="1">
        <f>SUM(F52:F52)+SUM(F109:F117)+SUM(F280:F283)+SUM(F441:F442)+SUM(F506:F506)+F548+SUM(F602:F604)+F655+F700+F747+SUM(F793:F795)</f>
        <v>0</v>
      </c>
      <c r="G841" s="1">
        <f>SUM(G52:G52)+SUM(G109:G117)+SUM(G280:G283)+SUM(G441:G442)+SUM(G506:G506)+G548+SUM(G602:G604)+G655+G700+G747+SUM(G793:G795)</f>
        <v>0</v>
      </c>
      <c r="H841" s="1">
        <f>SUM(H52:H52)+SUM(H109:H117)+SUM(H280:H283)+SUM(H441:H442)+SUM(H506:H506)+H548+SUM(H602:H604)+H655+H700+H747+SUM(H793:H795)</f>
        <v>0</v>
      </c>
      <c r="I841" s="59">
        <f t="shared" ref="I841:I849" si="189">SUM(F841:H841)</f>
        <v>0</v>
      </c>
      <c r="J841" s="1">
        <f>SUM(J52:J52)+SUM(J109:J117)+SUM(J280:J283)+SUM(J441:J442)+SUM(J506:J506)+J548+SUM(J602:J604)+J655+J700+J747+SUM(J793:J795)</f>
        <v>0</v>
      </c>
      <c r="K841" s="1">
        <f>SUM(K52:K52)+SUM(K109:K117)+SUM(K280:K283)+SUM(K441:K442)+SUM(K506:K506)+K548+SUM(K602:K604)+K655+K700+K747+SUM(K793:K795)</f>
        <v>0</v>
      </c>
      <c r="L841" s="1">
        <f>SUM(L52:L52)+SUM(L109:L117)+SUM(L280:L283)+SUM(L441:L442)+SUM(L506:L506)+L548+SUM(L602:L604)+L655+L700+L747+SUM(L793:L795)</f>
        <v>0</v>
      </c>
      <c r="M841" s="59">
        <f t="shared" ref="M841:M849" si="190">SUM(J841:L841)</f>
        <v>0</v>
      </c>
      <c r="N841" s="1">
        <f>SUM(N52:N52)+SUM(N109:N117)+SUM(N280:N283)+SUM(N441:N442)+SUM(N506:N506)+N548+SUM(N602:N604)+N655+N700+N747+SUM(N793:N795)</f>
        <v>0</v>
      </c>
      <c r="O841" s="1">
        <f>SUM(O52:O52)+SUM(O109:O117)+SUM(O280:O283)+SUM(O441:O442)+SUM(O506:O506)+O548+SUM(O602:O604)+O655+O700+O747+SUM(O793:O795)</f>
        <v>0</v>
      </c>
      <c r="P841" s="1">
        <f>SUM(P52:P52)+SUM(P109:P117)+SUM(P280:P283)+SUM(P441:P442)+SUM(P506:P506)+P548+SUM(P602:P604)+P655+P700+P747+SUM(P793:P795)</f>
        <v>0</v>
      </c>
      <c r="Q841" s="59">
        <f t="shared" ref="Q841:Q849" si="191">SUM(N841:P841)</f>
        <v>0</v>
      </c>
      <c r="R841" s="59">
        <f>+E841+I841+M841+Q841</f>
        <v>0</v>
      </c>
    </row>
    <row r="842" spans="1:20" ht="15.75" customHeight="1" x14ac:dyDescent="0.3">
      <c r="A842" s="17" t="s">
        <v>64</v>
      </c>
      <c r="B842" s="1">
        <f>SUM(B53:B54)+SUM(B118:B119)+SUM(B284:B285)+B287+B289+B291+B292+SUM(B443:B445)+B507+B549+SUM(B605:B606)+B608+SUM(B656:B657)+B702+B704+B748+SUM(B796:B797)</f>
        <v>0</v>
      </c>
      <c r="C842" s="1">
        <f>SUM(C53:C54)+SUM(C118:C119)+SUM(C284:C285)+C287+C289+C291+C292+SUM(C443:C445)+C507+C549+SUM(C605:C606)+C608+SUM(C656:C657)+C702+C704+C748+SUM(C796:C797)</f>
        <v>0</v>
      </c>
      <c r="D842" s="1">
        <f>SUM(D53:D54)+SUM(D118:D119)+SUM(D284:D285)+D287+D289+D291+D292+SUM(D443:D445)+D507+D549+SUM(D605:D606)+D608+SUM(D656:D657)+D702+D704+D748+SUM(D796:D797)</f>
        <v>0</v>
      </c>
      <c r="E842" s="59">
        <f t="shared" si="188"/>
        <v>0</v>
      </c>
      <c r="F842" s="1">
        <f>SUM(F53:F54)+SUM(F118:F119)+SUM(F284:F285)+F287+F289+F291+F292+SUM(F443:F445)+F507+F549+SUM(F605:F606)+F608+SUM(F656:F657)+F702+F704+F748+SUM(F796:F797)</f>
        <v>0</v>
      </c>
      <c r="G842" s="1">
        <f>SUM(G53:G54)+SUM(G118:G119)+SUM(G284:G285)+G287+G289+G291+G292+SUM(G443:G445)+G507+G549+SUM(G605:G606)+G608+SUM(G656:G657)+G702+G704+G748+SUM(G796:G797)</f>
        <v>0</v>
      </c>
      <c r="H842" s="1">
        <f>SUM(H53:H54)+SUM(H118:H119)+SUM(H284:H285)+H287+H289+H291+H292+SUM(H443:H445)+H507+H549+SUM(H605:H606)+H608+SUM(H656:H657)+H702+H704+H748+SUM(H796:H797)</f>
        <v>0</v>
      </c>
      <c r="I842" s="59">
        <f t="shared" si="189"/>
        <v>0</v>
      </c>
      <c r="J842" s="1">
        <f>SUM(J53:J54)+SUM(J118:J119)+SUM(J284:J285)+J287+J289+J291+J292+SUM(J443:J445)+J507+J549+SUM(J605:J606)+J608+SUM(J656:J657)+J702+J704+J748+SUM(J796:J797)</f>
        <v>0</v>
      </c>
      <c r="K842" s="1">
        <f>SUM(K53:K54)+SUM(K118:K119)+SUM(K284:K285)+K287+K289+K291+K292+SUM(K443:K445)+K507+K549+SUM(K605:K606)+K608+SUM(K656:K657)+K702+K704+K748+SUM(K796:K797)</f>
        <v>0</v>
      </c>
      <c r="L842" s="1">
        <f>SUM(L53:L54)+SUM(L118:L119)+SUM(L284:L285)+L287+L289+L291+L292+SUM(L443:L445)+L507+L549+SUM(L605:L606)+L608+SUM(L656:L657)+L702+L704+L748+SUM(L796:L797)</f>
        <v>850</v>
      </c>
      <c r="M842" s="59">
        <f t="shared" si="190"/>
        <v>850</v>
      </c>
      <c r="N842" s="1">
        <f>SUM(N53:N54)+SUM(N118:N119)+SUM(N284:N285)+N287+N289+N291+N292+SUM(N443:N445)+N507+N549+SUM(N605:N606)+N608+SUM(N656:N657)+N702+N704+N748+SUM(N796:N797)</f>
        <v>1050</v>
      </c>
      <c r="O842" s="1">
        <f>SUM(O53:O54)+SUM(O118:O119)+SUM(O284:O285)+O287+O289+O291+O292+SUM(O443:O445)+O507+O549+SUM(O605:O606)+O608+SUM(O656:O657)+O702+O704+O748+SUM(O796:O797)</f>
        <v>0</v>
      </c>
      <c r="P842" s="1">
        <f>SUM(P53:P54)+SUM(P118:P119)+SUM(P284:P285)+P287+P289+P291+P292+SUM(P443:P445)+P507+P549+SUM(P605:P606)+P608+SUM(P656:P657)+P702+P704+P748+SUM(P796:P797)</f>
        <v>1</v>
      </c>
      <c r="Q842" s="59">
        <f t="shared" si="191"/>
        <v>1051</v>
      </c>
      <c r="R842" s="59">
        <f t="shared" ref="R842:R849" si="192">+E842+I842+M842+Q842</f>
        <v>1901</v>
      </c>
    </row>
    <row r="843" spans="1:20" ht="15.75" customHeight="1" x14ac:dyDescent="0.3">
      <c r="A843" s="74" t="s">
        <v>927</v>
      </c>
      <c r="B843" s="1">
        <f>B120+B286+B288+B290+B607+B609+B703+B705+B798</f>
        <v>0</v>
      </c>
      <c r="C843" s="1">
        <f>C120+C286+C288+C290+C607+C609+C703+C705+C798</f>
        <v>0</v>
      </c>
      <c r="D843" s="1">
        <f>D120+D286+D288+D290+D607+D609+D703+D705+D798</f>
        <v>0</v>
      </c>
      <c r="E843" s="59">
        <f t="shared" si="188"/>
        <v>0</v>
      </c>
      <c r="F843" s="1">
        <f>F120+F286+F288+F290+F607+F609+F703+F705+F798</f>
        <v>0</v>
      </c>
      <c r="G843" s="1">
        <f>G120+G286+G288+G290+G607+G609+G703+G705+G798</f>
        <v>0</v>
      </c>
      <c r="H843" s="1">
        <f>H120+H286+H288+H290+H607+H609+H703+H705+H798</f>
        <v>0</v>
      </c>
      <c r="I843" s="59">
        <f t="shared" si="189"/>
        <v>0</v>
      </c>
      <c r="J843" s="1">
        <f>J120+J286+J288+J290+J607+J609+J703+J705+J798</f>
        <v>0</v>
      </c>
      <c r="K843" s="1">
        <f>K120+K286+K288+K290+K607+K609+K703+K705+K798</f>
        <v>0</v>
      </c>
      <c r="L843" s="1">
        <f>L120+L286+L288+L290+L607+L609+L703+L705+L798</f>
        <v>0</v>
      </c>
      <c r="M843" s="59">
        <f t="shared" si="190"/>
        <v>0</v>
      </c>
      <c r="N843" s="1">
        <f>N120+N286+N288+N290+N607+N609+N703+N705+N798</f>
        <v>0</v>
      </c>
      <c r="O843" s="1">
        <f>O120+O286+O288+O290+O607+O609+O703+O705+O798</f>
        <v>0</v>
      </c>
      <c r="P843" s="1">
        <f>P120+P286+P288+P290+P607+P609+P703+P705+P798</f>
        <v>0</v>
      </c>
      <c r="Q843" s="59">
        <f t="shared" si="191"/>
        <v>0</v>
      </c>
      <c r="R843" s="59">
        <f t="shared" si="192"/>
        <v>0</v>
      </c>
    </row>
    <row r="844" spans="1:20" ht="15.75" customHeight="1" x14ac:dyDescent="0.3">
      <c r="A844" s="17" t="s">
        <v>626</v>
      </c>
      <c r="B844" s="1">
        <f>+B55+SUM(B121:B122)+SUM(B293:B294)+SUM(B446:B452)+SUM(B508:B508)+SUM(B550:B551)+B610+B658+B706+B799+B799</f>
        <v>0</v>
      </c>
      <c r="C844" s="1">
        <f>+C55+SUM(C121:C122)+SUM(C293:C294)+SUM(C446:C452)+SUM(C508:C508)+SUM(C550:C551)+C610+C658+C706+C799+C799</f>
        <v>0</v>
      </c>
      <c r="D844" s="1">
        <f>+D55+SUM(D121:D122)+SUM(D293:D294)+SUM(D446:D452)+SUM(D508:D508)+SUM(D550:D551)+D610+D658+D706+D799+D799</f>
        <v>0</v>
      </c>
      <c r="E844" s="59">
        <f t="shared" si="188"/>
        <v>0</v>
      </c>
      <c r="F844" s="1">
        <f>+F55+SUM(F121:F122)+SUM(F293:F294)+SUM(F446:F452)+SUM(F508:F508)+SUM(F550:F551)+F610+F658+F706+F799+F799</f>
        <v>0</v>
      </c>
      <c r="G844" s="1">
        <f>+G55+SUM(G121:G122)+SUM(G293:G294)+SUM(G446:G452)+SUM(G508:G508)+SUM(G550:G551)+G610+G658+G706+G799+G799</f>
        <v>1000</v>
      </c>
      <c r="H844" s="1">
        <f>+H55+SUM(H121:H122)+SUM(H293:H294)+SUM(H446:H452)+SUM(H508:H508)+SUM(H550:H551)+H610+H658+H706+H799+H799</f>
        <v>0</v>
      </c>
      <c r="I844" s="59">
        <f t="shared" si="189"/>
        <v>1000</v>
      </c>
      <c r="J844" s="1">
        <f>+J55+SUM(J121:J122)+SUM(J293:J294)+SUM(J446:J452)+SUM(J508:J508)+SUM(J550:J551)+J610+J658+J706+J799+J799</f>
        <v>0</v>
      </c>
      <c r="K844" s="1">
        <f>+K55+SUM(K121:K122)+SUM(K293:K294)+SUM(K446:K452)+SUM(K508:K508)+SUM(K550:K551)+K610+K658+K706+K799+K799</f>
        <v>0</v>
      </c>
      <c r="L844" s="1">
        <f>+L55+SUM(L121:L122)+SUM(L293:L294)+SUM(L446:L452)+SUM(L508:L508)+SUM(L550:L551)+L610+L658+L706+L799+L799</f>
        <v>0</v>
      </c>
      <c r="M844" s="59">
        <f t="shared" si="190"/>
        <v>0</v>
      </c>
      <c r="N844" s="1">
        <f>+N55+SUM(N121:N122)+SUM(N293:N294)+SUM(N446:N452)+SUM(N508:N508)+SUM(N550:N551)+N610+N658+N706+N799+N799</f>
        <v>0</v>
      </c>
      <c r="O844" s="1">
        <f>+O55+SUM(O121:O122)+SUM(O293:O294)+SUM(O446:O452)+SUM(O508:O508)+SUM(O550:O551)+O610+O658+O706+O799+O799</f>
        <v>0</v>
      </c>
      <c r="P844" s="1">
        <f>+P55+SUM(P121:P122)+SUM(P293:P294)+SUM(P446:P452)+SUM(P508:P508)+SUM(P550:P551)+P610+P658+P706+P799+P799</f>
        <v>0</v>
      </c>
      <c r="Q844" s="59">
        <f t="shared" si="191"/>
        <v>0</v>
      </c>
      <c r="R844" s="59">
        <f>+E844+I844+M844+Q844</f>
        <v>1000</v>
      </c>
    </row>
    <row r="845" spans="1:20" ht="22.5" customHeight="1" x14ac:dyDescent="0.3">
      <c r="A845" s="17" t="s">
        <v>928</v>
      </c>
      <c r="B845" s="1">
        <f>SUM(B123:B123)+SUM(B295:B296)+B454+B456+B457+B459+B461+SUM(B509:B510)+B553+B555+B611+SUM(B612:B613)+B659+B707+B750+B800</f>
        <v>300</v>
      </c>
      <c r="C845" s="1">
        <f>SUM(C123:C123)+SUM(C295:C296)+C454+C456+C457+C459+C461+SUM(C509:C510)+C553+C555+C611+SUM(C612:C613)+C659+C707+C750+C800</f>
        <v>410</v>
      </c>
      <c r="D845" s="1">
        <f>SUM(D123:D123)+SUM(D295:D296)+D454+D456+D457+D459+D461+SUM(D509:D510)+D553+D555+D611+SUM(D612:D613)+D659+D707+D750+D800</f>
        <v>710</v>
      </c>
      <c r="E845" s="59">
        <f t="shared" si="188"/>
        <v>1420</v>
      </c>
      <c r="F845" s="1">
        <f>SUM(F123:F123)+SUM(F295:F296)+F454+F456+F457+F459+F461+SUM(F509:F510)+F553+F555+F611+SUM(F612:F613)+F659+F707+F750+F800</f>
        <v>610</v>
      </c>
      <c r="G845" s="1">
        <f>SUM(G123:G123)+SUM(G295:G296)+G454+G456+G457+G459+G461+SUM(G509:G510)+G553+G555+G611+SUM(G612:G613)+G659+G707+G750+G800</f>
        <v>740</v>
      </c>
      <c r="H845" s="1">
        <f>SUM(H123:H123)+SUM(H295:H296)+H454+H456+H457+H459+H461+SUM(H509:H510)+H553+H555+H611+SUM(H612:H613)+H659+H707+H750+H800</f>
        <v>766</v>
      </c>
      <c r="I845" s="59">
        <f t="shared" si="189"/>
        <v>2116</v>
      </c>
      <c r="J845" s="1">
        <f>SUM(J123:J123)+SUM(J295:J296)+J454+J456+J457+J459+J461+SUM(J509:J510)+J553+J555+J611+SUM(J612:J613)+J659+J707+J750+J800</f>
        <v>4744</v>
      </c>
      <c r="K845" s="1">
        <f>SUM(K123:K123)+SUM(K295:K296)+K454+K456+K457+K459+K461+SUM(K509:K510)+K553+K555+K611+SUM(K612:K613)+K659+K707+K750+K800</f>
        <v>1219</v>
      </c>
      <c r="L845" s="1">
        <f>SUM(L123:L123)+SUM(L295:L296)+L454+L456+L457+L459+L461+SUM(L509:L510)+L553+L555+L611+SUM(L612:L613)+L659+L707+L750+L800</f>
        <v>200</v>
      </c>
      <c r="M845" s="59">
        <f t="shared" si="190"/>
        <v>6163</v>
      </c>
      <c r="N845" s="1">
        <f>SUM(N123:N123)+SUM(N295:N296)+N454+N456+N457+N459+N461+SUM(N509:N510)+N553+N555+N611+SUM(N612:N613)+N659+N707+N750+N800</f>
        <v>2137</v>
      </c>
      <c r="O845" s="1">
        <f>SUM(O123:O123)+SUM(O295:O296)+O454+O456+O457+O459+O461+SUM(O509:O510)+O553+O555+O611+SUM(O612:O613)+O659+O707+O750+O800</f>
        <v>2329</v>
      </c>
      <c r="P845" s="1">
        <f>SUM(P123:P123)+SUM(P295:P296)+P454+P456+P457+P459+P461+SUM(P509:P510)+P553+P555+P611+SUM(P612:P613)+P659+P707+P750+P800</f>
        <v>1564</v>
      </c>
      <c r="Q845" s="59">
        <f t="shared" si="191"/>
        <v>6030</v>
      </c>
      <c r="R845" s="59">
        <f t="shared" si="192"/>
        <v>15729</v>
      </c>
    </row>
    <row r="846" spans="1:20" ht="15.75" customHeight="1" thickBot="1" x14ac:dyDescent="0.35">
      <c r="A846" s="74" t="s">
        <v>929</v>
      </c>
      <c r="B846" s="1">
        <f>+B455+B458+B460+B511</f>
        <v>0</v>
      </c>
      <c r="C846" s="1">
        <f>+C455+C458+C460+C511</f>
        <v>0</v>
      </c>
      <c r="D846" s="1">
        <f>+D455+D458+D460+D511</f>
        <v>0</v>
      </c>
      <c r="E846" s="59">
        <f>SUM(B846:D846)</f>
        <v>0</v>
      </c>
      <c r="F846" s="1">
        <f>+F455+F458+F460+F511</f>
        <v>0</v>
      </c>
      <c r="G846" s="1">
        <f>+G455+G458+G460+G511</f>
        <v>0</v>
      </c>
      <c r="H846" s="1">
        <f>+H455+H458+H460+H511</f>
        <v>0</v>
      </c>
      <c r="I846" s="59">
        <f>SUM(F846:H846)</f>
        <v>0</v>
      </c>
      <c r="J846" s="1">
        <f>+J455+J458+J460+J511</f>
        <v>0</v>
      </c>
      <c r="K846" s="1">
        <f>+K455+K458+K460+K511</f>
        <v>0</v>
      </c>
      <c r="L846" s="1">
        <f>+L455+L458+L460+L511</f>
        <v>0</v>
      </c>
      <c r="M846" s="59">
        <f>SUM(J846:L846)</f>
        <v>0</v>
      </c>
      <c r="N846" s="1">
        <f>+N455+N458+N460+N511</f>
        <v>0</v>
      </c>
      <c r="O846" s="1">
        <f>+O455+O458+O460+O511</f>
        <v>0</v>
      </c>
      <c r="P846" s="1">
        <f>+P455+P458+P460+P511</f>
        <v>0</v>
      </c>
      <c r="Q846" s="59">
        <f>SUM(N846:P846)</f>
        <v>0</v>
      </c>
      <c r="R846" s="59">
        <f>+E846+I846+M846+Q846</f>
        <v>0</v>
      </c>
    </row>
    <row r="847" spans="1:20" ht="16.5" customHeight="1" thickBot="1" x14ac:dyDescent="0.35">
      <c r="A847" s="62" t="s">
        <v>68</v>
      </c>
      <c r="B847" s="344">
        <f>SUM(B844:B846)</f>
        <v>300</v>
      </c>
      <c r="C847" s="344">
        <f>SUM(C844:C846)</f>
        <v>410</v>
      </c>
      <c r="D847" s="344">
        <f>SUM(D844:D846)</f>
        <v>710</v>
      </c>
      <c r="E847" s="334">
        <f t="shared" si="188"/>
        <v>1420</v>
      </c>
      <c r="F847" s="344">
        <f>SUM(F844:F846)</f>
        <v>610</v>
      </c>
      <c r="G847" s="344">
        <f>SUM(G844:G846)</f>
        <v>1740</v>
      </c>
      <c r="H847" s="344">
        <f>SUM(H844:H846)</f>
        <v>766</v>
      </c>
      <c r="I847" s="334">
        <f t="shared" si="189"/>
        <v>3116</v>
      </c>
      <c r="J847" s="344">
        <f>SUM(J844:J846)</f>
        <v>4744</v>
      </c>
      <c r="K847" s="344">
        <f>SUM(K844:K846)</f>
        <v>1219</v>
      </c>
      <c r="L847" s="344">
        <f>SUM(L844:L846)</f>
        <v>200</v>
      </c>
      <c r="M847" s="334">
        <f t="shared" si="190"/>
        <v>6163</v>
      </c>
      <c r="N847" s="344">
        <f>SUM(N844:N846)</f>
        <v>2137</v>
      </c>
      <c r="O847" s="344">
        <f>SUM(O844:O846)</f>
        <v>2329</v>
      </c>
      <c r="P847" s="344">
        <f>SUM(P844:P846)</f>
        <v>1564</v>
      </c>
      <c r="Q847" s="334">
        <f t="shared" si="191"/>
        <v>6030</v>
      </c>
      <c r="R847" s="64">
        <f t="shared" si="192"/>
        <v>16729</v>
      </c>
    </row>
    <row r="848" spans="1:20" ht="16.5" customHeight="1" thickBot="1" x14ac:dyDescent="0.35">
      <c r="A848" s="137" t="s">
        <v>69</v>
      </c>
      <c r="B848" s="100">
        <f>SUM(B840:B846)</f>
        <v>300</v>
      </c>
      <c r="C848" s="101">
        <f>SUM(C840:C846)</f>
        <v>410</v>
      </c>
      <c r="D848" s="138">
        <f>SUM(D840:D846)</f>
        <v>710</v>
      </c>
      <c r="E848" s="347">
        <f t="shared" si="188"/>
        <v>1420</v>
      </c>
      <c r="F848" s="100">
        <f>SUM(F840:F846)</f>
        <v>610</v>
      </c>
      <c r="G848" s="101">
        <f>SUM(G840:G846)</f>
        <v>1740</v>
      </c>
      <c r="H848" s="138">
        <f>SUM(H840:H846)</f>
        <v>766</v>
      </c>
      <c r="I848" s="334">
        <f t="shared" si="189"/>
        <v>3116</v>
      </c>
      <c r="J848" s="100">
        <f>SUM(J840:J846)</f>
        <v>4744</v>
      </c>
      <c r="K848" s="101">
        <f>SUM(K840:K846)</f>
        <v>1219</v>
      </c>
      <c r="L848" s="138">
        <f>SUM(L840:L846)</f>
        <v>1050</v>
      </c>
      <c r="M848" s="334">
        <f t="shared" si="190"/>
        <v>7013</v>
      </c>
      <c r="N848" s="100">
        <f>SUM(N840:N846)</f>
        <v>3187</v>
      </c>
      <c r="O848" s="101">
        <f>SUM(O840:O846)</f>
        <v>2329</v>
      </c>
      <c r="P848" s="138">
        <f>SUM(P840:P846)</f>
        <v>1565</v>
      </c>
      <c r="Q848" s="334">
        <f t="shared" si="191"/>
        <v>7081</v>
      </c>
      <c r="R848" s="64">
        <f t="shared" si="192"/>
        <v>18630</v>
      </c>
    </row>
    <row r="849" spans="1:18" ht="16.5" customHeight="1" thickBot="1" x14ac:dyDescent="0.35">
      <c r="A849" s="62" t="s">
        <v>70</v>
      </c>
      <c r="B849" s="149">
        <f>+B830+B835+B839+B848</f>
        <v>44141</v>
      </c>
      <c r="C849" s="150">
        <f>+C830+C835+C839+C848</f>
        <v>49345</v>
      </c>
      <c r="D849" s="150">
        <f>+D830+D835+D839+D848</f>
        <v>109644</v>
      </c>
      <c r="E849" s="64">
        <f t="shared" si="188"/>
        <v>203130</v>
      </c>
      <c r="F849" s="63">
        <f>+F830+F835+F839+F848</f>
        <v>147631</v>
      </c>
      <c r="G849" s="63">
        <f>+G830+G835+G839+G848</f>
        <v>147226</v>
      </c>
      <c r="H849" s="63">
        <f>+H830+H835+H839+H848</f>
        <v>193124</v>
      </c>
      <c r="I849" s="64">
        <f t="shared" si="189"/>
        <v>487981</v>
      </c>
      <c r="J849" s="63">
        <f>+J830+J835+J839+J848</f>
        <v>170239</v>
      </c>
      <c r="K849" s="63">
        <f>+K830+K835+K839+K848</f>
        <v>162968</v>
      </c>
      <c r="L849" s="63">
        <f>+L830+L835+L839+L848</f>
        <v>131170</v>
      </c>
      <c r="M849" s="64">
        <f t="shared" si="190"/>
        <v>464377</v>
      </c>
      <c r="N849" s="63">
        <f>+N830+N835+N839+N848</f>
        <v>79636</v>
      </c>
      <c r="O849" s="63">
        <f>+O830+O835+O839+O848</f>
        <v>54330</v>
      </c>
      <c r="P849" s="63">
        <f>+P830+P835+P839+P848</f>
        <v>67861</v>
      </c>
      <c r="Q849" s="64">
        <f t="shared" si="191"/>
        <v>201827</v>
      </c>
      <c r="R849" s="88">
        <f t="shared" si="192"/>
        <v>1357315</v>
      </c>
    </row>
    <row r="850" spans="1:18" ht="15.75" customHeight="1" x14ac:dyDescent="0.3">
      <c r="A850" s="1" t="s">
        <v>930</v>
      </c>
      <c r="B850" s="1"/>
      <c r="C850" s="1"/>
      <c r="D850" s="1"/>
      <c r="E850" s="1"/>
      <c r="F850" s="1"/>
      <c r="G850" s="1"/>
      <c r="H850" s="1"/>
      <c r="I850" s="1"/>
      <c r="J850" s="1"/>
      <c r="K850" s="1"/>
      <c r="L850" s="1"/>
      <c r="M850" s="1"/>
      <c r="N850" s="1"/>
      <c r="O850" s="166"/>
      <c r="P850" s="1"/>
      <c r="Q850" s="1"/>
      <c r="R850" s="28"/>
    </row>
    <row r="851" spans="1:18" ht="15.75" customHeight="1" x14ac:dyDescent="0.3">
      <c r="A851" s="1" t="s">
        <v>931</v>
      </c>
      <c r="B851" s="1"/>
      <c r="C851" s="1"/>
      <c r="D851" s="1"/>
      <c r="E851" s="1"/>
      <c r="F851" s="1"/>
      <c r="G851" s="1"/>
      <c r="H851" s="1"/>
      <c r="I851" s="1"/>
      <c r="J851" s="1"/>
      <c r="K851" s="1"/>
      <c r="L851" s="1"/>
      <c r="M851" s="1"/>
      <c r="N851" s="1"/>
      <c r="O851" s="166"/>
      <c r="P851" s="1"/>
      <c r="Q851" s="1"/>
      <c r="R851" s="28"/>
    </row>
    <row r="852" spans="1:18" ht="15.75" customHeight="1" x14ac:dyDescent="0.3">
      <c r="A852" s="1"/>
      <c r="B852" s="1"/>
      <c r="C852" s="1"/>
      <c r="D852" s="1"/>
      <c r="E852" s="1"/>
      <c r="F852" s="1"/>
      <c r="G852" s="1"/>
      <c r="H852" s="1"/>
      <c r="I852" s="1"/>
      <c r="J852" s="1"/>
      <c r="K852" s="1"/>
      <c r="L852" s="1"/>
      <c r="M852" s="1"/>
      <c r="N852" s="1"/>
      <c r="O852" s="166"/>
      <c r="P852" s="1"/>
      <c r="Q852" s="2" t="str">
        <f>+Q1</f>
        <v xml:space="preserve">PRINTED:  </v>
      </c>
      <c r="R852" s="163">
        <f ca="1">+R1</f>
        <v>44894.658168402777</v>
      </c>
    </row>
    <row r="853" spans="1:18" ht="15.75" customHeight="1" x14ac:dyDescent="0.3">
      <c r="A853" s="383" t="s">
        <v>1</v>
      </c>
      <c r="B853" s="383"/>
      <c r="C853" s="383"/>
      <c r="D853" s="383"/>
      <c r="E853" s="383"/>
      <c r="F853" s="383"/>
      <c r="G853" s="383"/>
      <c r="H853" s="383"/>
      <c r="I853" s="383"/>
      <c r="J853" s="383"/>
      <c r="K853" s="383"/>
      <c r="L853" s="383"/>
      <c r="M853" s="383"/>
      <c r="N853" s="383"/>
      <c r="O853" s="383"/>
      <c r="P853" s="383"/>
      <c r="Q853" s="383"/>
      <c r="R853" s="383"/>
    </row>
    <row r="854" spans="1:18" ht="15.75" customHeight="1" x14ac:dyDescent="0.3">
      <c r="A854" s="383" t="s">
        <v>2</v>
      </c>
      <c r="B854" s="383"/>
      <c r="C854" s="383"/>
      <c r="D854" s="383"/>
      <c r="E854" s="383"/>
      <c r="F854" s="383"/>
      <c r="G854" s="383"/>
      <c r="H854" s="383"/>
      <c r="I854" s="383"/>
      <c r="J854" s="383"/>
      <c r="K854" s="383"/>
      <c r="L854" s="383"/>
      <c r="M854" s="383"/>
      <c r="N854" s="383"/>
      <c r="O854" s="383"/>
      <c r="P854" s="383"/>
      <c r="Q854" s="383"/>
      <c r="R854" s="383"/>
    </row>
    <row r="855" spans="1:18" ht="15.75" customHeight="1" x14ac:dyDescent="0.3">
      <c r="A855" s="383" t="s">
        <v>3</v>
      </c>
      <c r="B855" s="383"/>
      <c r="C855" s="383"/>
      <c r="D855" s="383"/>
      <c r="E855" s="383"/>
      <c r="F855" s="383"/>
      <c r="G855" s="383"/>
      <c r="H855" s="383"/>
      <c r="I855" s="383"/>
      <c r="J855" s="383"/>
      <c r="K855" s="383"/>
      <c r="L855" s="383"/>
      <c r="M855" s="383"/>
      <c r="N855" s="383"/>
      <c r="O855" s="383"/>
      <c r="P855" s="383"/>
      <c r="Q855" s="383"/>
      <c r="R855" s="383"/>
    </row>
    <row r="856" spans="1:18" ht="15.75" customHeight="1" x14ac:dyDescent="0.3">
      <c r="A856" s="392">
        <f>+A5</f>
        <v>2017</v>
      </c>
      <c r="B856" s="392"/>
      <c r="C856" s="392"/>
      <c r="D856" s="392"/>
      <c r="E856" s="392"/>
      <c r="F856" s="392"/>
      <c r="G856" s="392"/>
      <c r="H856" s="392"/>
      <c r="I856" s="392"/>
      <c r="J856" s="392"/>
      <c r="K856" s="392"/>
      <c r="L856" s="392"/>
      <c r="M856" s="392"/>
      <c r="N856" s="392"/>
      <c r="O856" s="392"/>
      <c r="P856" s="392"/>
      <c r="Q856" s="392"/>
      <c r="R856" s="392"/>
    </row>
    <row r="857" spans="1:18" ht="15.75" customHeight="1" x14ac:dyDescent="0.3">
      <c r="A857" s="1"/>
      <c r="B857" s="1"/>
      <c r="C857" s="1"/>
      <c r="D857" s="7"/>
      <c r="E857" s="7"/>
      <c r="F857" s="7"/>
      <c r="G857" s="8"/>
      <c r="H857" s="7"/>
      <c r="I857" s="7"/>
      <c r="J857" s="8"/>
      <c r="K857" s="8"/>
      <c r="L857" s="8"/>
      <c r="M857" s="8"/>
      <c r="N857" s="1"/>
      <c r="O857" s="8"/>
      <c r="P857" s="8"/>
      <c r="Q857" s="8"/>
      <c r="R857" s="8"/>
    </row>
    <row r="858" spans="1:18" ht="15.75" customHeight="1" x14ac:dyDescent="0.3">
      <c r="A858" s="383" t="str">
        <f>+A8</f>
        <v>Revised:  1/18/2018</v>
      </c>
      <c r="B858" s="383"/>
      <c r="C858" s="383"/>
      <c r="D858" s="383"/>
      <c r="E858" s="383"/>
      <c r="F858" s="383"/>
      <c r="G858" s="383"/>
      <c r="H858" s="383"/>
      <c r="I858" s="383"/>
      <c r="J858" s="383"/>
      <c r="K858" s="383"/>
      <c r="L858" s="383"/>
      <c r="M858" s="383"/>
      <c r="N858" s="383"/>
      <c r="O858" s="383"/>
      <c r="P858" s="383"/>
      <c r="Q858" s="383"/>
      <c r="R858" s="383"/>
    </row>
    <row r="859" spans="1:18" ht="15.75" customHeight="1" x14ac:dyDescent="0.3">
      <c r="A859" s="6"/>
      <c r="B859" s="6"/>
      <c r="C859" s="6"/>
      <c r="D859" s="6"/>
      <c r="E859" s="6"/>
      <c r="F859" s="6"/>
      <c r="G859" s="6"/>
      <c r="H859" s="6"/>
      <c r="I859" s="6"/>
      <c r="J859" s="6"/>
      <c r="K859" s="6"/>
      <c r="L859" s="6"/>
      <c r="M859" s="6"/>
      <c r="N859" s="6"/>
      <c r="O859" s="6"/>
      <c r="P859" s="6"/>
      <c r="Q859" s="6"/>
      <c r="R859" s="6"/>
    </row>
    <row r="860" spans="1:18" ht="15.75" customHeight="1" x14ac:dyDescent="0.3">
      <c r="A860" s="30"/>
      <c r="B860" s="1"/>
      <c r="C860" s="1"/>
      <c r="D860" s="1"/>
      <c r="E860" s="1"/>
      <c r="F860" s="1"/>
      <c r="G860" s="1"/>
      <c r="H860" s="1"/>
      <c r="I860" s="1"/>
      <c r="J860" s="1"/>
      <c r="K860" s="1"/>
      <c r="L860" s="1"/>
      <c r="M860" s="1"/>
      <c r="N860" s="1"/>
      <c r="O860" s="1"/>
      <c r="P860" s="1"/>
      <c r="Q860" s="1"/>
      <c r="R860" s="28"/>
    </row>
    <row r="861" spans="1:18" ht="15.75" customHeight="1" thickBot="1" x14ac:dyDescent="0.35">
      <c r="A861" s="1"/>
      <c r="B861" s="1"/>
      <c r="C861" s="1"/>
      <c r="D861" s="1"/>
      <c r="E861" s="1"/>
      <c r="F861" s="1"/>
      <c r="G861" s="1"/>
      <c r="H861" s="1"/>
      <c r="I861" s="1"/>
      <c r="J861" s="1"/>
      <c r="K861" s="1"/>
      <c r="L861" s="1"/>
      <c r="M861" s="1"/>
      <c r="N861" s="1"/>
      <c r="O861" s="166"/>
      <c r="P861" s="1"/>
      <c r="Q861" s="1"/>
      <c r="R861" s="28"/>
    </row>
    <row r="862" spans="1:18" ht="15.75" customHeight="1" thickBot="1" x14ac:dyDescent="0.35">
      <c r="A862" s="342" t="s">
        <v>630</v>
      </c>
      <c r="B862" s="330" t="s">
        <v>36</v>
      </c>
      <c r="C862" s="331" t="s">
        <v>9</v>
      </c>
      <c r="D862" s="331" t="s">
        <v>10</v>
      </c>
      <c r="E862" s="325" t="s">
        <v>11</v>
      </c>
      <c r="F862" s="331" t="s">
        <v>12</v>
      </c>
      <c r="G862" s="331" t="s">
        <v>13</v>
      </c>
      <c r="H862" s="331" t="s">
        <v>14</v>
      </c>
      <c r="I862" s="325" t="s">
        <v>15</v>
      </c>
      <c r="J862" s="331" t="s">
        <v>16</v>
      </c>
      <c r="K862" s="331" t="s">
        <v>17</v>
      </c>
      <c r="L862" s="331" t="s">
        <v>18</v>
      </c>
      <c r="M862" s="325" t="s">
        <v>19</v>
      </c>
      <c r="N862" s="331" t="s">
        <v>20</v>
      </c>
      <c r="O862" s="331" t="s">
        <v>21</v>
      </c>
      <c r="P862" s="331" t="s">
        <v>22</v>
      </c>
      <c r="Q862" s="325" t="s">
        <v>23</v>
      </c>
      <c r="R862" s="348" t="s">
        <v>24</v>
      </c>
    </row>
    <row r="863" spans="1:18" ht="16.5" customHeight="1" thickBot="1" x14ac:dyDescent="0.35">
      <c r="A863" s="168"/>
      <c r="B863" s="169"/>
      <c r="C863" s="169"/>
      <c r="D863" s="169"/>
      <c r="E863" s="16"/>
      <c r="F863" s="169"/>
      <c r="G863" s="169"/>
      <c r="H863" s="169"/>
      <c r="I863" s="38"/>
      <c r="J863" s="169"/>
      <c r="K863" s="169"/>
      <c r="L863" s="169"/>
      <c r="M863" s="38"/>
      <c r="N863" s="169"/>
      <c r="O863" s="169"/>
      <c r="P863" s="169"/>
      <c r="Q863" s="151"/>
      <c r="R863" s="349"/>
    </row>
    <row r="864" spans="1:18" ht="16.5" customHeight="1" thickBot="1" x14ac:dyDescent="0.35">
      <c r="A864" s="171" t="s">
        <v>26</v>
      </c>
      <c r="B864" s="172">
        <f>+B830</f>
        <v>27327</v>
      </c>
      <c r="C864" s="172">
        <f>+C830</f>
        <v>22289</v>
      </c>
      <c r="D864" s="172">
        <f>+D830</f>
        <v>35861</v>
      </c>
      <c r="E864" s="100">
        <f>+SUM(B864:D864)</f>
        <v>85477</v>
      </c>
      <c r="F864" s="172">
        <f>+F830</f>
        <v>42242</v>
      </c>
      <c r="G864" s="172">
        <f>+G830</f>
        <v>50181</v>
      </c>
      <c r="H864" s="172">
        <f>+H830</f>
        <v>82804</v>
      </c>
      <c r="I864" s="100">
        <f>+SUM(F864:H864)</f>
        <v>175227</v>
      </c>
      <c r="J864" s="172">
        <f>+J830</f>
        <v>78228</v>
      </c>
      <c r="K864" s="172">
        <f>+K830</f>
        <v>70398</v>
      </c>
      <c r="L864" s="172">
        <f>+L830</f>
        <v>67245</v>
      </c>
      <c r="M864" s="100">
        <f>+SUM(J864:L864)</f>
        <v>215871</v>
      </c>
      <c r="N864" s="172">
        <f>+N830</f>
        <v>45678</v>
      </c>
      <c r="O864" s="172">
        <f>+O830</f>
        <v>32497</v>
      </c>
      <c r="P864" s="172">
        <f>+P830</f>
        <v>35559</v>
      </c>
      <c r="Q864" s="100">
        <f>+SUM(N864:P864)</f>
        <v>113734</v>
      </c>
      <c r="R864" s="64">
        <f>+E864+I864+M864+Q864</f>
        <v>590309</v>
      </c>
    </row>
    <row r="865" spans="1:46" ht="16.5" customHeight="1" thickBot="1" x14ac:dyDescent="0.35">
      <c r="A865" s="34"/>
      <c r="B865" s="100"/>
      <c r="C865" s="100"/>
      <c r="D865" s="100"/>
      <c r="E865" s="100"/>
      <c r="F865" s="100"/>
      <c r="G865" s="100"/>
      <c r="H865" s="100"/>
      <c r="I865" s="100"/>
      <c r="J865" s="100"/>
      <c r="K865" s="100"/>
      <c r="L865" s="100"/>
      <c r="M865" s="100"/>
      <c r="N865" s="100"/>
      <c r="O865" s="100"/>
      <c r="P865" s="100"/>
      <c r="Q865" s="100"/>
      <c r="R865" s="64"/>
    </row>
    <row r="866" spans="1:46" ht="16.5" customHeight="1" thickBot="1" x14ac:dyDescent="0.35">
      <c r="A866" s="171" t="s">
        <v>631</v>
      </c>
      <c r="B866" s="172">
        <f>+B835</f>
        <v>2634</v>
      </c>
      <c r="C866" s="172">
        <f>+C835</f>
        <v>5612</v>
      </c>
      <c r="D866" s="172">
        <f>+D835</f>
        <v>28344</v>
      </c>
      <c r="E866" s="100">
        <f>+SUM(B866:D866)</f>
        <v>36590</v>
      </c>
      <c r="F866" s="172">
        <f>+F835</f>
        <v>33634</v>
      </c>
      <c r="G866" s="172">
        <f>+G835</f>
        <v>26572</v>
      </c>
      <c r="H866" s="172">
        <f>+H835</f>
        <v>58483</v>
      </c>
      <c r="I866" s="100">
        <f>+SUM(F866:H866)</f>
        <v>118689</v>
      </c>
      <c r="J866" s="172">
        <f>+J835</f>
        <v>39696</v>
      </c>
      <c r="K866" s="172">
        <f>+K835</f>
        <v>32903</v>
      </c>
      <c r="L866" s="172">
        <f>+L835</f>
        <v>18081</v>
      </c>
      <c r="M866" s="100">
        <f>+SUM(J866:L866)</f>
        <v>90680</v>
      </c>
      <c r="N866" s="172">
        <f>+N835</f>
        <v>4004</v>
      </c>
      <c r="O866" s="172">
        <f>+O835</f>
        <v>2556</v>
      </c>
      <c r="P866" s="172">
        <f>+P835</f>
        <v>5332</v>
      </c>
      <c r="Q866" s="100">
        <f>+SUM(N866:P866)</f>
        <v>11892</v>
      </c>
      <c r="R866" s="64">
        <f>+E866+I866+M866+Q866</f>
        <v>257851</v>
      </c>
    </row>
    <row r="867" spans="1:46" ht="16.5" customHeight="1" thickBot="1" x14ac:dyDescent="0.35">
      <c r="A867" s="34"/>
      <c r="B867" s="100"/>
      <c r="C867" s="100"/>
      <c r="D867" s="100"/>
      <c r="E867" s="100"/>
      <c r="F867" s="100"/>
      <c r="G867" s="100"/>
      <c r="H867" s="100"/>
      <c r="I867" s="100"/>
      <c r="J867" s="100"/>
      <c r="K867" s="100"/>
      <c r="L867" s="100"/>
      <c r="M867" s="100"/>
      <c r="N867" s="100"/>
      <c r="O867" s="100"/>
      <c r="P867" s="100"/>
      <c r="Q867" s="100"/>
      <c r="R867" s="64"/>
      <c r="AC867" s="350"/>
      <c r="AD867" s="351"/>
      <c r="AE867" s="352" t="s">
        <v>632</v>
      </c>
      <c r="AF867" s="351"/>
      <c r="AG867" s="351"/>
      <c r="AH867" s="351"/>
      <c r="AI867" s="351"/>
      <c r="AJ867" s="351"/>
      <c r="AK867" s="351" t="s">
        <v>633</v>
      </c>
      <c r="AL867" s="351"/>
      <c r="AM867" s="351" t="s">
        <v>7</v>
      </c>
      <c r="AN867" s="353" t="str">
        <f>+A8</f>
        <v>Revised:  1/18/2018</v>
      </c>
      <c r="AO867" s="351"/>
      <c r="AP867" s="351"/>
      <c r="AQ867" s="351"/>
      <c r="AR867" s="351"/>
      <c r="AS867" s="354" t="str">
        <f>+Q1</f>
        <v xml:space="preserve">PRINTED:  </v>
      </c>
      <c r="AT867" s="355">
        <f ca="1">+R1</f>
        <v>44894.658168402777</v>
      </c>
    </row>
    <row r="868" spans="1:46" ht="16.5" customHeight="1" thickBot="1" x14ac:dyDescent="0.35">
      <c r="A868" s="171" t="s">
        <v>28</v>
      </c>
      <c r="B868" s="172">
        <f>+B839</f>
        <v>13880</v>
      </c>
      <c r="C868" s="172">
        <f>+C839</f>
        <v>21034</v>
      </c>
      <c r="D868" s="172">
        <f>+D839</f>
        <v>44729</v>
      </c>
      <c r="E868" s="100">
        <f>+SUM(B868:D868)</f>
        <v>79643</v>
      </c>
      <c r="F868" s="172">
        <f>+F839</f>
        <v>71145</v>
      </c>
      <c r="G868" s="172">
        <f>+G839</f>
        <v>68733</v>
      </c>
      <c r="H868" s="172">
        <f>+H839</f>
        <v>51071</v>
      </c>
      <c r="I868" s="100">
        <f>+SUM(F868:H868)</f>
        <v>190949</v>
      </c>
      <c r="J868" s="172">
        <f>+J839</f>
        <v>47571</v>
      </c>
      <c r="K868" s="172">
        <f>+K839</f>
        <v>58448</v>
      </c>
      <c r="L868" s="172">
        <f>+L839</f>
        <v>44794</v>
      </c>
      <c r="M868" s="100">
        <f>+SUM(J868:L868)</f>
        <v>150813</v>
      </c>
      <c r="N868" s="172">
        <f>+N839</f>
        <v>26767</v>
      </c>
      <c r="O868" s="172">
        <f>+O839</f>
        <v>16948</v>
      </c>
      <c r="P868" s="172">
        <f>+P839</f>
        <v>25405</v>
      </c>
      <c r="Q868" s="100">
        <f>+SUM(N868:P868)</f>
        <v>69120</v>
      </c>
      <c r="R868" s="64">
        <f>+E868+I868+M868+Q868</f>
        <v>490525</v>
      </c>
      <c r="AC868" s="179"/>
      <c r="AD868" s="180"/>
      <c r="AE868" s="180"/>
      <c r="AF868" s="180">
        <f>++A5</f>
        <v>2017</v>
      </c>
      <c r="AG868" s="180"/>
      <c r="AH868" s="180"/>
      <c r="AI868" s="180"/>
      <c r="AJ868" s="180"/>
      <c r="AK868" s="180"/>
      <c r="AL868" s="180"/>
      <c r="AM868" s="180"/>
      <c r="AN868" s="180"/>
      <c r="AO868" s="180"/>
      <c r="AP868" s="180"/>
      <c r="AQ868" s="180"/>
      <c r="AR868" s="180"/>
      <c r="AS868" s="180"/>
      <c r="AT868" s="306"/>
    </row>
    <row r="869" spans="1:46" ht="16.5" customHeight="1" thickBot="1" x14ac:dyDescent="0.35">
      <c r="A869" s="34"/>
      <c r="B869" s="100"/>
      <c r="C869" s="100"/>
      <c r="D869" s="100"/>
      <c r="E869" s="100"/>
      <c r="F869" s="100"/>
      <c r="G869" s="100"/>
      <c r="H869" s="100"/>
      <c r="I869" s="100"/>
      <c r="J869" s="100"/>
      <c r="K869" s="100"/>
      <c r="L869" s="100"/>
      <c r="M869" s="100"/>
      <c r="N869" s="100"/>
      <c r="O869" s="100"/>
      <c r="P869" s="100"/>
      <c r="Q869" s="100"/>
      <c r="R869" s="64"/>
      <c r="AC869" s="179"/>
      <c r="AD869" s="180"/>
      <c r="AE869" s="180"/>
      <c r="AF869" s="180"/>
      <c r="AG869" s="180"/>
      <c r="AH869" s="180"/>
      <c r="AI869" s="180"/>
      <c r="AJ869" s="180"/>
      <c r="AK869" s="180"/>
      <c r="AL869" s="180"/>
      <c r="AM869" s="180"/>
      <c r="AN869" s="180"/>
      <c r="AO869" s="180"/>
      <c r="AP869" s="180"/>
      <c r="AQ869" s="180"/>
      <c r="AR869" s="180"/>
      <c r="AS869" s="180"/>
      <c r="AT869" s="306"/>
    </row>
    <row r="870" spans="1:46" ht="16.5" customHeight="1" thickBot="1" x14ac:dyDescent="0.35">
      <c r="A870" s="171" t="s">
        <v>634</v>
      </c>
      <c r="B870" s="172">
        <f>+B848</f>
        <v>300</v>
      </c>
      <c r="C870" s="172">
        <f>+C848</f>
        <v>410</v>
      </c>
      <c r="D870" s="172">
        <f>+D848</f>
        <v>710</v>
      </c>
      <c r="E870" s="100">
        <f>+SUM(B870:D870)</f>
        <v>1420</v>
      </c>
      <c r="F870" s="172">
        <f>+F848</f>
        <v>610</v>
      </c>
      <c r="G870" s="172">
        <f>+G848</f>
        <v>1740</v>
      </c>
      <c r="H870" s="172">
        <f>+H848</f>
        <v>766</v>
      </c>
      <c r="I870" s="100">
        <f>+SUM(F870:H870)</f>
        <v>3116</v>
      </c>
      <c r="J870" s="172">
        <f>+J848</f>
        <v>4744</v>
      </c>
      <c r="K870" s="172">
        <f>+K848</f>
        <v>1219</v>
      </c>
      <c r="L870" s="172">
        <f>+L848</f>
        <v>1050</v>
      </c>
      <c r="M870" s="100">
        <f>+SUM(J870:L870)</f>
        <v>7013</v>
      </c>
      <c r="N870" s="172">
        <f>+N848</f>
        <v>3187</v>
      </c>
      <c r="O870" s="172">
        <f>+O848</f>
        <v>2329</v>
      </c>
      <c r="P870" s="172">
        <f>+P848</f>
        <v>1565</v>
      </c>
      <c r="Q870" s="100">
        <f>+SUM(N870:P870)</f>
        <v>7081</v>
      </c>
      <c r="R870" s="64">
        <f>+E870+I870+M870+Q870</f>
        <v>18630</v>
      </c>
      <c r="AC870" s="179"/>
      <c r="AD870" s="180"/>
      <c r="AE870" s="180"/>
      <c r="AF870" s="180"/>
      <c r="AG870" s="180"/>
      <c r="AH870" s="180"/>
      <c r="AI870" s="182" t="s">
        <v>635</v>
      </c>
      <c r="AJ870" s="180"/>
      <c r="AK870" s="180"/>
      <c r="AL870" s="180"/>
      <c r="AM870" s="180"/>
      <c r="AN870" s="180"/>
      <c r="AO870" s="180"/>
      <c r="AP870" s="180"/>
      <c r="AQ870" s="180"/>
      <c r="AR870" s="180"/>
      <c r="AS870" s="180"/>
      <c r="AT870" s="306"/>
    </row>
    <row r="871" spans="1:46" ht="16.5" customHeight="1" thickBot="1" x14ac:dyDescent="0.35">
      <c r="A871" s="34"/>
      <c r="B871" s="100"/>
      <c r="C871" s="100"/>
      <c r="D871" s="100"/>
      <c r="E871" s="100"/>
      <c r="F871" s="100"/>
      <c r="G871" s="100"/>
      <c r="H871" s="100"/>
      <c r="I871" s="100"/>
      <c r="J871" s="100"/>
      <c r="K871" s="100"/>
      <c r="L871" s="100"/>
      <c r="M871" s="100"/>
      <c r="N871" s="100"/>
      <c r="O871" s="100"/>
      <c r="P871" s="100"/>
      <c r="Q871" s="100"/>
      <c r="R871" s="64"/>
      <c r="AC871" s="179"/>
      <c r="AD871" s="180" t="s">
        <v>633</v>
      </c>
      <c r="AE871" s="180"/>
      <c r="AF871" s="182" t="s">
        <v>636</v>
      </c>
      <c r="AG871" s="182" t="s">
        <v>636</v>
      </c>
      <c r="AH871" s="182" t="s">
        <v>637</v>
      </c>
      <c r="AI871" s="182" t="s">
        <v>638</v>
      </c>
      <c r="AJ871" s="182" t="s">
        <v>639</v>
      </c>
      <c r="AK871" s="182" t="s">
        <v>640</v>
      </c>
      <c r="AL871" s="182" t="s">
        <v>641</v>
      </c>
      <c r="AM871" s="180" t="s">
        <v>633</v>
      </c>
      <c r="AN871" s="182" t="s">
        <v>642</v>
      </c>
      <c r="AO871" s="182" t="s">
        <v>642</v>
      </c>
      <c r="AP871" s="182" t="s">
        <v>642</v>
      </c>
      <c r="AQ871" s="180"/>
      <c r="AR871" s="180"/>
      <c r="AS871" s="180"/>
      <c r="AT871" s="306"/>
    </row>
    <row r="872" spans="1:46" ht="16.5" customHeight="1" thickBot="1" x14ac:dyDescent="0.4">
      <c r="A872" s="34" t="s">
        <v>643</v>
      </c>
      <c r="B872" s="107">
        <f t="shared" ref="B872:R872" si="193">+SUM(B864:B870)</f>
        <v>44141</v>
      </c>
      <c r="C872" s="107">
        <f t="shared" si="193"/>
        <v>49345</v>
      </c>
      <c r="D872" s="107">
        <f t="shared" si="193"/>
        <v>109644</v>
      </c>
      <c r="E872" s="107">
        <f t="shared" si="193"/>
        <v>203130</v>
      </c>
      <c r="F872" s="107">
        <f t="shared" si="193"/>
        <v>147631</v>
      </c>
      <c r="G872" s="107">
        <f t="shared" si="193"/>
        <v>147226</v>
      </c>
      <c r="H872" s="107">
        <f t="shared" si="193"/>
        <v>193124</v>
      </c>
      <c r="I872" s="107">
        <f t="shared" si="193"/>
        <v>487981</v>
      </c>
      <c r="J872" s="107">
        <f t="shared" si="193"/>
        <v>170239</v>
      </c>
      <c r="K872" s="107">
        <f t="shared" si="193"/>
        <v>162968</v>
      </c>
      <c r="L872" s="107">
        <f t="shared" si="193"/>
        <v>131170</v>
      </c>
      <c r="M872" s="107">
        <f t="shared" si="193"/>
        <v>464377</v>
      </c>
      <c r="N872" s="107">
        <f t="shared" si="193"/>
        <v>79636</v>
      </c>
      <c r="O872" s="107">
        <f t="shared" si="193"/>
        <v>54330</v>
      </c>
      <c r="P872" s="107">
        <f t="shared" si="193"/>
        <v>67861</v>
      </c>
      <c r="Q872" s="107">
        <f t="shared" si="193"/>
        <v>201827</v>
      </c>
      <c r="R872" s="183">
        <f t="shared" si="193"/>
        <v>1357315</v>
      </c>
      <c r="AC872" s="179"/>
      <c r="AD872" s="182" t="s">
        <v>644</v>
      </c>
      <c r="AE872" s="182" t="s">
        <v>645</v>
      </c>
      <c r="AF872" s="182" t="s">
        <v>646</v>
      </c>
      <c r="AG872" s="182" t="s">
        <v>646</v>
      </c>
      <c r="AH872" s="182" t="s">
        <v>647</v>
      </c>
      <c r="AI872" s="184" t="s">
        <v>648</v>
      </c>
      <c r="AJ872" s="182" t="s">
        <v>649</v>
      </c>
      <c r="AK872" s="182" t="s">
        <v>650</v>
      </c>
      <c r="AL872" s="182" t="s">
        <v>651</v>
      </c>
      <c r="AM872" s="180" t="s">
        <v>633</v>
      </c>
      <c r="AN872" s="182" t="s">
        <v>652</v>
      </c>
      <c r="AO872" s="182" t="s">
        <v>648</v>
      </c>
      <c r="AP872" s="182" t="s">
        <v>653</v>
      </c>
      <c r="AQ872" s="180"/>
      <c r="AR872" s="180"/>
      <c r="AS872" s="180"/>
      <c r="AT872" s="306"/>
    </row>
    <row r="873" spans="1:46" ht="15.75" customHeight="1" x14ac:dyDescent="0.35">
      <c r="A873" s="185"/>
      <c r="B873" s="186"/>
      <c r="C873" s="186"/>
      <c r="D873" s="186"/>
      <c r="E873" s="186"/>
      <c r="F873" s="186"/>
      <c r="G873" s="186"/>
      <c r="H873" s="187" t="s">
        <v>654</v>
      </c>
      <c r="I873" s="186"/>
      <c r="J873" s="186"/>
      <c r="K873" s="186"/>
      <c r="L873" s="186"/>
      <c r="M873" s="186"/>
      <c r="N873" s="186"/>
      <c r="O873" s="186"/>
      <c r="P873" s="186"/>
      <c r="Q873" s="186"/>
      <c r="R873" s="186"/>
      <c r="AC873" s="179"/>
      <c r="AD873" s="182" t="s">
        <v>127</v>
      </c>
      <c r="AE873" s="182" t="s">
        <v>655</v>
      </c>
      <c r="AF873" s="182" t="s">
        <v>656</v>
      </c>
      <c r="AG873" s="182" t="s">
        <v>657</v>
      </c>
      <c r="AH873" s="182" t="s">
        <v>658</v>
      </c>
      <c r="AI873" s="182" t="s">
        <v>658</v>
      </c>
      <c r="AJ873" s="182" t="s">
        <v>658</v>
      </c>
      <c r="AK873" s="182" t="s">
        <v>658</v>
      </c>
      <c r="AL873" s="182" t="s">
        <v>659</v>
      </c>
      <c r="AM873" s="180" t="s">
        <v>633</v>
      </c>
      <c r="AN873" s="182" t="s">
        <v>660</v>
      </c>
      <c r="AO873" s="182" t="s">
        <v>661</v>
      </c>
      <c r="AP873" s="182" t="s">
        <v>661</v>
      </c>
      <c r="AQ873" s="180"/>
      <c r="AR873" s="180"/>
      <c r="AS873" s="180"/>
      <c r="AT873" s="306"/>
    </row>
    <row r="874" spans="1:46" ht="15.75" customHeight="1" x14ac:dyDescent="0.35">
      <c r="A874" s="185"/>
      <c r="B874" s="186"/>
      <c r="C874" s="186"/>
      <c r="D874" s="186"/>
      <c r="E874" s="186"/>
      <c r="F874" s="186"/>
      <c r="G874" s="1"/>
      <c r="H874" s="187"/>
      <c r="I874" s="186"/>
      <c r="J874" s="186"/>
      <c r="K874" s="186"/>
      <c r="L874" s="186"/>
      <c r="M874" s="186"/>
      <c r="N874" s="186"/>
      <c r="O874" s="186"/>
      <c r="P874" s="186"/>
      <c r="Q874" s="186"/>
      <c r="R874" s="186"/>
      <c r="AC874" s="179"/>
      <c r="AD874" s="182" t="s">
        <v>662</v>
      </c>
      <c r="AE874" s="182" t="s">
        <v>663</v>
      </c>
      <c r="AF874" s="182" t="s">
        <v>664</v>
      </c>
      <c r="AG874" s="182" t="s">
        <v>664</v>
      </c>
      <c r="AH874" s="182" t="s">
        <v>664</v>
      </c>
      <c r="AI874" s="182" t="s">
        <v>664</v>
      </c>
      <c r="AJ874" s="182" t="s">
        <v>664</v>
      </c>
      <c r="AK874" s="182" t="s">
        <v>664</v>
      </c>
      <c r="AL874" s="182" t="s">
        <v>664</v>
      </c>
      <c r="AM874" s="180" t="s">
        <v>633</v>
      </c>
      <c r="AN874" s="182" t="s">
        <v>665</v>
      </c>
      <c r="AO874" s="182" t="s">
        <v>665</v>
      </c>
      <c r="AP874" s="182" t="s">
        <v>665</v>
      </c>
      <c r="AQ874" s="180"/>
      <c r="AR874" s="180"/>
      <c r="AS874" s="180"/>
      <c r="AT874" s="306"/>
    </row>
    <row r="875" spans="1:46" ht="15.75" customHeight="1" thickBot="1" x14ac:dyDescent="0.4">
      <c r="A875" s="185"/>
      <c r="B875" s="186"/>
      <c r="C875" s="186"/>
      <c r="D875" s="186"/>
      <c r="E875" s="186"/>
      <c r="F875" s="186"/>
      <c r="G875" s="186"/>
      <c r="H875" s="187"/>
      <c r="I875" s="186"/>
      <c r="J875" s="186"/>
      <c r="K875" s="186"/>
      <c r="L875" s="186"/>
      <c r="M875" s="186"/>
      <c r="N875" s="186"/>
      <c r="O875" s="186"/>
      <c r="P875" s="186"/>
      <c r="Q875" s="186"/>
      <c r="R875" s="186"/>
      <c r="AC875" s="179"/>
      <c r="AD875" s="180" t="s">
        <v>666</v>
      </c>
      <c r="AE875" s="180" t="s">
        <v>666</v>
      </c>
      <c r="AF875" s="180" t="s">
        <v>666</v>
      </c>
      <c r="AG875" s="180" t="s">
        <v>666</v>
      </c>
      <c r="AH875" s="180" t="s">
        <v>666</v>
      </c>
      <c r="AI875" s="180" t="s">
        <v>666</v>
      </c>
      <c r="AJ875" s="180" t="s">
        <v>666</v>
      </c>
      <c r="AK875" s="180" t="s">
        <v>666</v>
      </c>
      <c r="AL875" s="180" t="s">
        <v>666</v>
      </c>
      <c r="AM875" s="180" t="s">
        <v>633</v>
      </c>
      <c r="AN875" s="180" t="s">
        <v>666</v>
      </c>
      <c r="AO875" s="180" t="s">
        <v>666</v>
      </c>
      <c r="AP875" s="180" t="s">
        <v>666</v>
      </c>
      <c r="AQ875" s="180"/>
      <c r="AR875" s="180"/>
      <c r="AS875" s="180"/>
      <c r="AT875" s="306"/>
    </row>
    <row r="876" spans="1:46" ht="15.75" customHeight="1" x14ac:dyDescent="0.3">
      <c r="A876" s="356"/>
      <c r="B876" s="423" t="s">
        <v>667</v>
      </c>
      <c r="C876" s="423"/>
      <c r="D876" s="423"/>
      <c r="E876" s="423"/>
      <c r="F876" s="423"/>
      <c r="G876" s="423"/>
      <c r="H876" s="423"/>
      <c r="I876" s="423"/>
      <c r="J876" s="423"/>
      <c r="K876" s="423"/>
      <c r="L876" s="423"/>
      <c r="M876" s="423"/>
      <c r="N876" s="423"/>
      <c r="O876" s="423"/>
      <c r="P876" s="423"/>
      <c r="Q876" s="354" t="str">
        <f>+Q1</f>
        <v xml:space="preserve">PRINTED:  </v>
      </c>
      <c r="R876" s="355">
        <f ca="1">+R1</f>
        <v>44894.658168402777</v>
      </c>
      <c r="AC876" s="189" t="s">
        <v>668</v>
      </c>
      <c r="AD876" s="180">
        <f t="shared" ref="AD876:AD887" si="194">(F885)</f>
        <v>83310</v>
      </c>
      <c r="AE876" s="180">
        <f t="shared" ref="AE876:AE887" si="195">SUM($B$940:$E$940)+(T885-1526.8)/0.7702</f>
        <v>1638.1524430019012</v>
      </c>
      <c r="AF876" s="180">
        <f>(AD876*AE876/1000)</f>
        <v>136474.4800264884</v>
      </c>
      <c r="AG876" s="180">
        <f t="shared" ref="AG876:AG887" si="196">(((B885-F885)*B$940)+((C885-F885)*C$940)+((D885-F885)*D$940)+((E885-F885)*E$940))/1000</f>
        <v>58675.872000000003</v>
      </c>
      <c r="AH876" s="180">
        <f>(AF876+AG876)</f>
        <v>195150.3520264884</v>
      </c>
      <c r="AI876" s="180">
        <f t="shared" ref="AI876:AI887" si="197">SUM(H942:Q942)</f>
        <v>21628</v>
      </c>
      <c r="AJ876" s="180">
        <f>+AH876+AI876</f>
        <v>216778.3520264884</v>
      </c>
      <c r="AK876" s="180">
        <f t="shared" ref="AK876:AK883" si="198">(G970)</f>
        <v>543.06392299236506</v>
      </c>
      <c r="AL876" s="180">
        <f t="shared" ref="AL876:AL887" si="199">(AJ876-AK876)</f>
        <v>216235.28810349604</v>
      </c>
      <c r="AM876" s="180" t="s">
        <v>633</v>
      </c>
      <c r="AN876" s="180">
        <f>+B885/31/1.98</f>
        <v>2029.048550016292</v>
      </c>
      <c r="AO876" s="180">
        <f>(AD876*43560/31/24/3600)</f>
        <v>1354.9072580645161</v>
      </c>
      <c r="AP876" s="180">
        <f>+B319</f>
        <v>-59.32685894620402</v>
      </c>
      <c r="AQ876" s="180"/>
      <c r="AR876" s="180"/>
      <c r="AS876" s="180"/>
      <c r="AT876" s="306"/>
    </row>
    <row r="877" spans="1:46" ht="15.75" customHeight="1" x14ac:dyDescent="0.3">
      <c r="A877" s="189"/>
      <c r="B877" s="394" t="str">
        <f>+A8</f>
        <v>Revised:  1/18/2018</v>
      </c>
      <c r="C877" s="394"/>
      <c r="D877" s="394"/>
      <c r="E877" s="394"/>
      <c r="F877" s="394"/>
      <c r="G877" s="394"/>
      <c r="H877" s="394"/>
      <c r="I877" s="394"/>
      <c r="J877" s="394"/>
      <c r="K877" s="394"/>
      <c r="L877" s="394"/>
      <c r="M877" s="394"/>
      <c r="N877" s="394"/>
      <c r="O877" s="394"/>
      <c r="P877" s="394"/>
      <c r="Q877" s="180"/>
      <c r="R877" s="306"/>
      <c r="AC877" s="189" t="s">
        <v>669</v>
      </c>
      <c r="AD877" s="180">
        <f t="shared" si="194"/>
        <v>16480</v>
      </c>
      <c r="AE877" s="180">
        <f t="shared" si="195"/>
        <v>1642.6450272656455</v>
      </c>
      <c r="AF877" s="180">
        <f>(AD877*AE877/1000)</f>
        <v>27070.790049337837</v>
      </c>
      <c r="AG877" s="180">
        <f t="shared" si="196"/>
        <v>61954.970999999998</v>
      </c>
      <c r="AH877" s="180">
        <f t="shared" ref="AH877:AH887" si="200">(AF877+AG877)</f>
        <v>89025.761049337831</v>
      </c>
      <c r="AI877" s="180">
        <f t="shared" si="197"/>
        <v>19003</v>
      </c>
      <c r="AJ877" s="180">
        <f t="shared" ref="AJ877:AJ887" si="201">+AH877+AI877</f>
        <v>108028.76104933783</v>
      </c>
      <c r="AK877" s="180">
        <f t="shared" si="198"/>
        <v>1212.3242803315748</v>
      </c>
      <c r="AL877" s="180">
        <f t="shared" si="199"/>
        <v>106816.43676900625</v>
      </c>
      <c r="AM877" s="180" t="s">
        <v>633</v>
      </c>
      <c r="AN877" s="180">
        <f>+B886/28/1.98</f>
        <v>1085.8946608946608</v>
      </c>
      <c r="AO877" s="180">
        <f>(AD877*43560/29/24/3600)</f>
        <v>286.5057471264368</v>
      </c>
      <c r="AP877" s="180">
        <f>+C319</f>
        <v>-141.66846768964771</v>
      </c>
      <c r="AQ877" s="180"/>
      <c r="AR877" s="180"/>
      <c r="AS877" s="180"/>
      <c r="AT877" s="306"/>
    </row>
    <row r="878" spans="1:46" ht="15.75" customHeight="1" x14ac:dyDescent="0.3">
      <c r="A878" s="189"/>
      <c r="B878" s="394" t="s">
        <v>670</v>
      </c>
      <c r="C878" s="394"/>
      <c r="D878" s="394"/>
      <c r="E878" s="394"/>
      <c r="F878" s="394"/>
      <c r="G878" s="394"/>
      <c r="H878" s="394"/>
      <c r="I878" s="394"/>
      <c r="J878" s="394"/>
      <c r="K878" s="394"/>
      <c r="L878" s="394"/>
      <c r="M878" s="394"/>
      <c r="N878" s="394"/>
      <c r="O878" s="394"/>
      <c r="P878" s="394"/>
      <c r="Q878" s="180"/>
      <c r="R878" s="306"/>
      <c r="AC878" s="189" t="s">
        <v>671</v>
      </c>
      <c r="AD878" s="180">
        <f t="shared" si="194"/>
        <v>20055</v>
      </c>
      <c r="AE878" s="180">
        <f t="shared" si="195"/>
        <v>1646.592054011945</v>
      </c>
      <c r="AF878" s="180">
        <f t="shared" ref="AF878:AF887" si="202">(AD878*AE878/1000)</f>
        <v>33022.40364320956</v>
      </c>
      <c r="AG878" s="180">
        <f t="shared" si="196"/>
        <v>163954.177</v>
      </c>
      <c r="AH878" s="180">
        <f t="shared" si="200"/>
        <v>196976.58064320957</v>
      </c>
      <c r="AI878" s="180">
        <f t="shared" si="197"/>
        <v>39346</v>
      </c>
      <c r="AJ878" s="180">
        <f t="shared" si="201"/>
        <v>236322.58064320957</v>
      </c>
      <c r="AK878" s="180">
        <f t="shared" si="198"/>
        <v>32.851695553880923</v>
      </c>
      <c r="AL878" s="180">
        <f t="shared" si="199"/>
        <v>236289.72894765568</v>
      </c>
      <c r="AM878" s="180" t="s">
        <v>633</v>
      </c>
      <c r="AN878" s="180">
        <f>+B887/31/1.98</f>
        <v>2209.9543825350279</v>
      </c>
      <c r="AO878" s="180">
        <f>(AD878*43560/31/24/3600)</f>
        <v>326.16330645161287</v>
      </c>
      <c r="AP878" s="180">
        <f>+D319</f>
        <v>-3.3673319994143771</v>
      </c>
      <c r="AQ878" s="180"/>
      <c r="AR878" s="180"/>
      <c r="AS878" s="180"/>
      <c r="AT878" s="306"/>
    </row>
    <row r="879" spans="1:46" ht="15.75" customHeight="1" x14ac:dyDescent="0.3">
      <c r="A879" s="189"/>
      <c r="B879" s="394"/>
      <c r="C879" s="394"/>
      <c r="D879" s="394"/>
      <c r="E879" s="394"/>
      <c r="F879" s="394"/>
      <c r="G879" s="394"/>
      <c r="H879" s="394"/>
      <c r="I879" s="394"/>
      <c r="J879" s="394"/>
      <c r="K879" s="394"/>
      <c r="L879" s="394"/>
      <c r="M879" s="394"/>
      <c r="N879" s="394"/>
      <c r="O879" s="394"/>
      <c r="P879" s="394"/>
      <c r="Q879" s="180"/>
      <c r="R879" s="306"/>
      <c r="AC879" s="189" t="s">
        <v>672</v>
      </c>
      <c r="AD879" s="180">
        <f t="shared" si="194"/>
        <v>9498</v>
      </c>
      <c r="AE879" s="180">
        <f t="shared" si="195"/>
        <v>1645.8271291131655</v>
      </c>
      <c r="AF879" s="180">
        <f t="shared" si="202"/>
        <v>15632.066072316846</v>
      </c>
      <c r="AG879" s="180">
        <f t="shared" si="196"/>
        <v>213382.60399999999</v>
      </c>
      <c r="AH879" s="180">
        <f t="shared" si="200"/>
        <v>229014.67007231683</v>
      </c>
      <c r="AI879" s="180">
        <f t="shared" si="197"/>
        <v>43203</v>
      </c>
      <c r="AJ879" s="180">
        <f t="shared" si="201"/>
        <v>272217.67007231683</v>
      </c>
      <c r="AK879" s="180">
        <f t="shared" si="198"/>
        <v>0.94689544695969718</v>
      </c>
      <c r="AL879" s="180">
        <f t="shared" si="199"/>
        <v>272216.72317686985</v>
      </c>
      <c r="AM879" s="180" t="s">
        <v>633</v>
      </c>
      <c r="AN879" s="180">
        <f>+B888/30/1.98</f>
        <v>2696.1784511784513</v>
      </c>
      <c r="AO879" s="180">
        <f>(AD879*43560/30/24/3600)</f>
        <v>159.61916666666667</v>
      </c>
      <c r="AP879" s="180">
        <f>+F319</f>
        <v>-0.10085728693898134</v>
      </c>
      <c r="AQ879" s="180"/>
      <c r="AR879" s="180"/>
      <c r="AS879" s="180"/>
      <c r="AT879" s="306"/>
    </row>
    <row r="880" spans="1:46" ht="15.75" customHeight="1" x14ac:dyDescent="0.3">
      <c r="A880" s="189"/>
      <c r="B880" s="395">
        <f>+A5</f>
        <v>2017</v>
      </c>
      <c r="C880" s="395"/>
      <c r="D880" s="395"/>
      <c r="E880" s="395"/>
      <c r="F880" s="395"/>
      <c r="G880" s="395"/>
      <c r="H880" s="395"/>
      <c r="I880" s="395"/>
      <c r="J880" s="395"/>
      <c r="K880" s="395"/>
      <c r="L880" s="395"/>
      <c r="M880" s="395"/>
      <c r="N880" s="395"/>
      <c r="O880" s="395"/>
      <c r="P880" s="395"/>
      <c r="Q880" s="180"/>
      <c r="R880" s="306"/>
      <c r="AC880" s="189" t="s">
        <v>673</v>
      </c>
      <c r="AD880" s="180">
        <f t="shared" si="194"/>
        <v>24625</v>
      </c>
      <c r="AE880" s="180">
        <f t="shared" si="195"/>
        <v>1642.8008309529996</v>
      </c>
      <c r="AF880" s="180">
        <f t="shared" si="202"/>
        <v>40453.970462217614</v>
      </c>
      <c r="AG880" s="180">
        <f t="shared" si="196"/>
        <v>214149.274</v>
      </c>
      <c r="AH880" s="180">
        <f t="shared" si="200"/>
        <v>254603.24446221761</v>
      </c>
      <c r="AI880" s="180">
        <f t="shared" si="197"/>
        <v>41907</v>
      </c>
      <c r="AJ880" s="180">
        <f t="shared" si="201"/>
        <v>296510.24446221761</v>
      </c>
      <c r="AK880" s="180">
        <f t="shared" si="198"/>
        <v>230.21998492841021</v>
      </c>
      <c r="AL880" s="180">
        <f t="shared" si="199"/>
        <v>296280.02447728917</v>
      </c>
      <c r="AM880" s="180" t="s">
        <v>633</v>
      </c>
      <c r="AN880" s="180">
        <f>+B889/31/1.98</f>
        <v>2867.6115998696646</v>
      </c>
      <c r="AO880" s="180">
        <f>(AD880*43560/31/24/3600)</f>
        <v>400.48723118279571</v>
      </c>
      <c r="AP880" s="180">
        <f>+G319</f>
        <v>-24.270818082735509</v>
      </c>
      <c r="AQ880" s="180"/>
      <c r="AR880" s="180"/>
      <c r="AS880" s="180"/>
      <c r="AT880" s="306"/>
    </row>
    <row r="881" spans="1:46" ht="15.75" customHeight="1" x14ac:dyDescent="0.3">
      <c r="A881" s="189"/>
      <c r="B881" s="394" t="s">
        <v>674</v>
      </c>
      <c r="C881" s="394"/>
      <c r="D881" s="394"/>
      <c r="E881" s="394"/>
      <c r="F881" s="394"/>
      <c r="G881" s="394"/>
      <c r="H881" s="394"/>
      <c r="I881" s="394"/>
      <c r="J881" s="394"/>
      <c r="K881" s="394"/>
      <c r="L881" s="394"/>
      <c r="M881" s="394"/>
      <c r="N881" s="394"/>
      <c r="O881" s="394"/>
      <c r="P881" s="394"/>
      <c r="Q881" s="180"/>
      <c r="R881" s="306"/>
      <c r="AC881" s="189" t="s">
        <v>675</v>
      </c>
      <c r="AD881" s="180">
        <f t="shared" si="194"/>
        <v>0</v>
      </c>
      <c r="AE881" s="180">
        <f t="shared" si="195"/>
        <v>1626.3375746559338</v>
      </c>
      <c r="AF881" s="180">
        <f t="shared" si="202"/>
        <v>0</v>
      </c>
      <c r="AG881" s="180">
        <f t="shared" si="196"/>
        <v>116323.198</v>
      </c>
      <c r="AH881" s="180">
        <f t="shared" si="200"/>
        <v>116323.198</v>
      </c>
      <c r="AI881" s="180">
        <f t="shared" si="197"/>
        <v>51038</v>
      </c>
      <c r="AJ881" s="180">
        <f t="shared" si="201"/>
        <v>167361.198</v>
      </c>
      <c r="AK881" s="180">
        <f t="shared" si="198"/>
        <v>15895.624114544094</v>
      </c>
      <c r="AL881" s="180">
        <f t="shared" si="199"/>
        <v>151465.5738854559</v>
      </c>
      <c r="AM881" s="180" t="s">
        <v>633</v>
      </c>
      <c r="AN881" s="180">
        <f>+B890/30/1.98</f>
        <v>1393.0976430976432</v>
      </c>
      <c r="AO881" s="180">
        <f t="shared" ref="AO881:AO886" si="203">(AD881*43560/30/24/3600)</f>
        <v>0</v>
      </c>
      <c r="AP881" s="180">
        <f>+H319</f>
        <v>-1976.4330139519247</v>
      </c>
      <c r="AQ881" s="180"/>
      <c r="AR881" s="180"/>
      <c r="AS881" s="180"/>
      <c r="AT881" s="306"/>
    </row>
    <row r="882" spans="1:46" ht="15.75" customHeight="1" x14ac:dyDescent="0.3">
      <c r="A882" s="189"/>
      <c r="B882" s="180"/>
      <c r="C882" s="180"/>
      <c r="D882" s="180"/>
      <c r="E882" s="180"/>
      <c r="F882" s="180"/>
      <c r="G882" s="180"/>
      <c r="H882" s="180"/>
      <c r="I882" s="180"/>
      <c r="J882" s="180"/>
      <c r="K882" s="180"/>
      <c r="L882" s="180"/>
      <c r="M882" s="180"/>
      <c r="N882" s="180"/>
      <c r="O882" s="180"/>
      <c r="P882" s="180"/>
      <c r="Q882" s="180"/>
      <c r="R882" s="306"/>
      <c r="AC882" s="189" t="s">
        <v>676</v>
      </c>
      <c r="AD882" s="180">
        <f t="shared" si="194"/>
        <v>0</v>
      </c>
      <c r="AE882" s="180">
        <f t="shared" si="195"/>
        <v>1614.093965893418</v>
      </c>
      <c r="AF882" s="180">
        <f t="shared" si="202"/>
        <v>0</v>
      </c>
      <c r="AG882" s="180">
        <f t="shared" si="196"/>
        <v>105884.64200000001</v>
      </c>
      <c r="AH882" s="180">
        <f t="shared" si="200"/>
        <v>105884.64200000001</v>
      </c>
      <c r="AI882" s="180">
        <f t="shared" si="197"/>
        <v>47920</v>
      </c>
      <c r="AJ882" s="180">
        <f t="shared" si="201"/>
        <v>153804.64199999999</v>
      </c>
      <c r="AK882" s="180">
        <f t="shared" si="198"/>
        <v>12136.795650781502</v>
      </c>
      <c r="AL882" s="180">
        <f t="shared" si="199"/>
        <v>141667.84634921848</v>
      </c>
      <c r="AM882" s="180" t="s">
        <v>633</v>
      </c>
      <c r="AN882" s="180">
        <f>+B891/31/1.98</f>
        <v>1228.3479960899315</v>
      </c>
      <c r="AO882" s="180">
        <f t="shared" si="203"/>
        <v>0</v>
      </c>
      <c r="AP882" s="180">
        <f>+J319</f>
        <v>-1631.9522391944429</v>
      </c>
      <c r="AQ882" s="180"/>
      <c r="AR882" s="180"/>
      <c r="AS882" s="180"/>
      <c r="AT882" s="306"/>
    </row>
    <row r="883" spans="1:46" ht="15.75" customHeight="1" thickBot="1" x14ac:dyDescent="0.35">
      <c r="A883" s="189" t="s">
        <v>647</v>
      </c>
      <c r="B883" s="191" t="s">
        <v>677</v>
      </c>
      <c r="C883" s="191" t="s">
        <v>678</v>
      </c>
      <c r="D883" s="191" t="s">
        <v>679</v>
      </c>
      <c r="E883" s="191" t="s">
        <v>680</v>
      </c>
      <c r="F883" s="191" t="s">
        <v>644</v>
      </c>
      <c r="G883" s="191" t="s">
        <v>644</v>
      </c>
      <c r="H883" s="191" t="s">
        <v>681</v>
      </c>
      <c r="I883" s="191" t="s">
        <v>682</v>
      </c>
      <c r="J883" s="191" t="s">
        <v>683</v>
      </c>
      <c r="K883" s="191" t="s">
        <v>684</v>
      </c>
      <c r="L883" s="191" t="s">
        <v>685</v>
      </c>
      <c r="M883" s="191" t="s">
        <v>686</v>
      </c>
      <c r="N883" s="191" t="s">
        <v>687</v>
      </c>
      <c r="O883" s="191" t="s">
        <v>688</v>
      </c>
      <c r="P883" s="191" t="s">
        <v>689</v>
      </c>
      <c r="Q883" s="191" t="s">
        <v>638</v>
      </c>
      <c r="R883" s="306"/>
      <c r="T883" s="52" t="s">
        <v>690</v>
      </c>
      <c r="AC883" s="189" t="s">
        <v>691</v>
      </c>
      <c r="AD883" s="180">
        <f t="shared" si="194"/>
        <v>0</v>
      </c>
      <c r="AE883" s="180">
        <f t="shared" si="195"/>
        <v>1600.6037637565339</v>
      </c>
      <c r="AF883" s="180">
        <f t="shared" si="202"/>
        <v>0</v>
      </c>
      <c r="AG883" s="180">
        <f t="shared" si="196"/>
        <v>101452.298</v>
      </c>
      <c r="AH883" s="180">
        <f t="shared" si="200"/>
        <v>101452.298</v>
      </c>
      <c r="AI883" s="180">
        <f t="shared" si="197"/>
        <v>47363</v>
      </c>
      <c r="AJ883" s="180">
        <f t="shared" si="201"/>
        <v>148815.29800000001</v>
      </c>
      <c r="AK883" s="180">
        <f t="shared" si="198"/>
        <v>9944.4195556750456</v>
      </c>
      <c r="AL883" s="180">
        <f t="shared" si="199"/>
        <v>138870.87844432498</v>
      </c>
      <c r="AM883" s="180" t="s">
        <v>633</v>
      </c>
      <c r="AN883" s="180">
        <f>+B892/31/1.98</f>
        <v>1176.197458455523</v>
      </c>
      <c r="AO883" s="180">
        <f t="shared" si="203"/>
        <v>0</v>
      </c>
      <c r="AP883" s="180">
        <f>+K319</f>
        <v>-1535.9751435589608</v>
      </c>
      <c r="AQ883" s="180"/>
      <c r="AR883" s="180"/>
      <c r="AS883" s="180"/>
      <c r="AT883" s="306"/>
    </row>
    <row r="884" spans="1:46" ht="15.75" customHeight="1" x14ac:dyDescent="0.3">
      <c r="A884" s="189"/>
      <c r="B884" s="180"/>
      <c r="C884" s="180"/>
      <c r="D884" s="180"/>
      <c r="E884" s="180"/>
      <c r="F884" s="182" t="s">
        <v>127</v>
      </c>
      <c r="G884" s="182" t="s">
        <v>653</v>
      </c>
      <c r="H884" s="180"/>
      <c r="I884" s="180"/>
      <c r="J884" s="180"/>
      <c r="K884" s="180"/>
      <c r="L884" s="180"/>
      <c r="M884" s="180"/>
      <c r="N884" s="180"/>
      <c r="O884" s="180"/>
      <c r="P884" s="180"/>
      <c r="Q884" s="180"/>
      <c r="R884" s="306"/>
      <c r="AC884" s="189" t="s">
        <v>692</v>
      </c>
      <c r="AD884" s="180">
        <f t="shared" si="194"/>
        <v>9609</v>
      </c>
      <c r="AE884" s="180">
        <f t="shared" si="195"/>
        <v>1598.5266164632565</v>
      </c>
      <c r="AF884" s="180">
        <f t="shared" si="202"/>
        <v>15360.242257595432</v>
      </c>
      <c r="AG884" s="180">
        <f t="shared" si="196"/>
        <v>174286.26800000001</v>
      </c>
      <c r="AH884" s="180">
        <f t="shared" si="200"/>
        <v>189646.51025759545</v>
      </c>
      <c r="AI884" s="180">
        <f t="shared" si="197"/>
        <v>39369</v>
      </c>
      <c r="AJ884" s="180">
        <f t="shared" si="201"/>
        <v>229015.51025759545</v>
      </c>
      <c r="AK884" s="180">
        <v>0</v>
      </c>
      <c r="AL884" s="180">
        <f t="shared" si="199"/>
        <v>229015.51025759545</v>
      </c>
      <c r="AM884" s="180" t="s">
        <v>633</v>
      </c>
      <c r="AN884" s="180">
        <f>+B893/30/1.98</f>
        <v>2234.3265993265991</v>
      </c>
      <c r="AO884" s="180">
        <f t="shared" si="203"/>
        <v>161.48458333333335</v>
      </c>
      <c r="AP884" s="180">
        <f>+L319</f>
        <v>-232.25752227265085</v>
      </c>
      <c r="AQ884" s="180"/>
      <c r="AR884" s="180"/>
      <c r="AS884" s="180"/>
      <c r="AT884" s="306"/>
    </row>
    <row r="885" spans="1:46" ht="15.75" customHeight="1" x14ac:dyDescent="0.3">
      <c r="A885" s="192" t="s">
        <v>8</v>
      </c>
      <c r="B885" s="180">
        <f>+B29</f>
        <v>124543</v>
      </c>
      <c r="C885" s="180">
        <f>+B64</f>
        <v>124446</v>
      </c>
      <c r="D885" s="180">
        <f>+B131</f>
        <v>124350</v>
      </c>
      <c r="E885" s="180">
        <f>+B309</f>
        <v>124151</v>
      </c>
      <c r="F885" s="180">
        <f>+B304</f>
        <v>83310</v>
      </c>
      <c r="G885" s="180">
        <f>+B316</f>
        <v>-3647</v>
      </c>
      <c r="H885" s="180">
        <f>+B471</f>
        <v>25358</v>
      </c>
      <c r="I885" s="180">
        <f>+B519</f>
        <v>15267</v>
      </c>
      <c r="J885" s="180">
        <f>+B563</f>
        <v>15258</v>
      </c>
      <c r="K885" s="180">
        <f>+B621</f>
        <v>15127</v>
      </c>
      <c r="L885" s="180">
        <f>+B631</f>
        <v>14464</v>
      </c>
      <c r="M885" s="180">
        <f>+B667</f>
        <v>14444</v>
      </c>
      <c r="N885" s="180">
        <f>+B715</f>
        <v>14131</v>
      </c>
      <c r="O885" s="180">
        <f>+B725</f>
        <v>3456</v>
      </c>
      <c r="P885" s="180">
        <f>+B759</f>
        <v>243</v>
      </c>
      <c r="Q885" s="180">
        <f>+B808</f>
        <v>3454</v>
      </c>
      <c r="R885" s="306"/>
      <c r="T885" s="193">
        <f>'[2]Lake Pleasant Forecast'!B35</f>
        <v>1690.1998116000643</v>
      </c>
      <c r="AC885" s="189" t="s">
        <v>693</v>
      </c>
      <c r="AD885" s="180">
        <f t="shared" si="194"/>
        <v>44152</v>
      </c>
      <c r="AE885" s="180">
        <f t="shared" si="195"/>
        <v>1607.0828356271095</v>
      </c>
      <c r="AF885" s="180">
        <f t="shared" si="202"/>
        <v>70955.921358608146</v>
      </c>
      <c r="AG885" s="180">
        <f t="shared" si="196"/>
        <v>120851.952</v>
      </c>
      <c r="AH885" s="180">
        <f t="shared" si="200"/>
        <v>191807.87335860817</v>
      </c>
      <c r="AI885" s="180">
        <f t="shared" si="197"/>
        <v>18454</v>
      </c>
      <c r="AJ885" s="180">
        <f t="shared" si="201"/>
        <v>210261.87335860817</v>
      </c>
      <c r="AK885" s="180">
        <v>0</v>
      </c>
      <c r="AL885" s="180">
        <f t="shared" si="199"/>
        <v>210261.87335860817</v>
      </c>
      <c r="AM885" s="180" t="s">
        <v>633</v>
      </c>
      <c r="AN885" s="180">
        <f>+B894/31/1.98</f>
        <v>2111.127403062887</v>
      </c>
      <c r="AO885" s="180">
        <f t="shared" si="203"/>
        <v>741.99888888888893</v>
      </c>
      <c r="AP885" s="180">
        <f>+N319</f>
        <v>0</v>
      </c>
      <c r="AQ885" s="180"/>
      <c r="AR885" s="180"/>
      <c r="AS885" s="180"/>
      <c r="AT885" s="306"/>
    </row>
    <row r="886" spans="1:46" ht="15.75" customHeight="1" x14ac:dyDescent="0.3">
      <c r="A886" s="192" t="s">
        <v>9</v>
      </c>
      <c r="B886" s="180">
        <f>+C29</f>
        <v>60202</v>
      </c>
      <c r="C886" s="180">
        <f>+C64</f>
        <v>60054</v>
      </c>
      <c r="D886" s="180">
        <f>+C131</f>
        <v>59909</v>
      </c>
      <c r="E886" s="180">
        <f>+C309</f>
        <v>58663</v>
      </c>
      <c r="F886" s="180">
        <f>+C304</f>
        <v>16480</v>
      </c>
      <c r="G886" s="180">
        <f>+C316</f>
        <v>-7866</v>
      </c>
      <c r="H886" s="180">
        <f>+C471</f>
        <v>32816</v>
      </c>
      <c r="I886" s="180">
        <f>+C519</f>
        <v>13424</v>
      </c>
      <c r="J886" s="180">
        <f>+C563</f>
        <v>13344</v>
      </c>
      <c r="K886" s="180">
        <f>+C621</f>
        <v>13165</v>
      </c>
      <c r="L886" s="180">
        <f>+C631</f>
        <v>11404</v>
      </c>
      <c r="M886" s="180">
        <f>+C667</f>
        <v>11382</v>
      </c>
      <c r="N886" s="180">
        <f>+C715</f>
        <v>10876</v>
      </c>
      <c r="O886" s="180">
        <f>+C725</f>
        <v>2096</v>
      </c>
      <c r="P886" s="180">
        <f>+C759</f>
        <v>1092</v>
      </c>
      <c r="Q886" s="180">
        <f>+C808</f>
        <v>2093</v>
      </c>
      <c r="R886" s="306"/>
      <c r="T886" s="193">
        <f>'[2]Lake Pleasant Forecast'!B37</f>
        <v>1693.66</v>
      </c>
      <c r="AC886" s="189" t="s">
        <v>694</v>
      </c>
      <c r="AD886" s="180">
        <f t="shared" si="194"/>
        <v>65541</v>
      </c>
      <c r="AE886" s="180">
        <f t="shared" si="195"/>
        <v>1617.5216826798235</v>
      </c>
      <c r="AF886" s="180">
        <f t="shared" si="202"/>
        <v>106013.98860451831</v>
      </c>
      <c r="AG886" s="180">
        <f t="shared" si="196"/>
        <v>86987.679000000004</v>
      </c>
      <c r="AH886" s="180">
        <f t="shared" si="200"/>
        <v>193001.6676045183</v>
      </c>
      <c r="AI886" s="180">
        <f t="shared" si="197"/>
        <v>6878</v>
      </c>
      <c r="AJ886" s="180">
        <f t="shared" si="201"/>
        <v>199879.6676045183</v>
      </c>
      <c r="AK886" s="180">
        <f>(G980)</f>
        <v>0</v>
      </c>
      <c r="AL886" s="180">
        <f t="shared" si="199"/>
        <v>199879.6676045183</v>
      </c>
      <c r="AM886" s="180" t="s">
        <v>633</v>
      </c>
      <c r="AN886" s="180">
        <f>+B895/30/1.98</f>
        <v>2137.7272727272725</v>
      </c>
      <c r="AO886" s="180">
        <f t="shared" si="203"/>
        <v>1101.4529166666666</v>
      </c>
      <c r="AP886" s="180">
        <f>+O319</f>
        <v>0</v>
      </c>
      <c r="AQ886" s="180"/>
      <c r="AR886" s="180"/>
      <c r="AS886" s="180"/>
      <c r="AT886" s="306"/>
    </row>
    <row r="887" spans="1:46" ht="15.75" customHeight="1" x14ac:dyDescent="0.3">
      <c r="A887" s="192" t="s">
        <v>10</v>
      </c>
      <c r="B887" s="180">
        <f>+D29</f>
        <v>135647</v>
      </c>
      <c r="C887" s="180">
        <f>+D64</f>
        <v>135373</v>
      </c>
      <c r="D887" s="180">
        <f>+D131</f>
        <v>135112</v>
      </c>
      <c r="E887" s="180">
        <f>+D309</f>
        <v>132094</v>
      </c>
      <c r="F887" s="180">
        <f>+D304</f>
        <v>20055</v>
      </c>
      <c r="G887" s="180">
        <f>+D316</f>
        <v>-207</v>
      </c>
      <c r="H887" s="180">
        <f>+D471</f>
        <v>87447</v>
      </c>
      <c r="I887" s="180">
        <f>+D519</f>
        <v>33418</v>
      </c>
      <c r="J887" s="180">
        <f>+D563</f>
        <v>27146</v>
      </c>
      <c r="K887" s="180">
        <f>+D621</f>
        <v>24606</v>
      </c>
      <c r="L887" s="180">
        <f>+D631</f>
        <v>20134</v>
      </c>
      <c r="M887" s="180">
        <f>+D667</f>
        <v>20106</v>
      </c>
      <c r="N887" s="180">
        <f>+D715</f>
        <v>19190</v>
      </c>
      <c r="O887" s="180">
        <f>+D725</f>
        <v>4278</v>
      </c>
      <c r="P887" s="180">
        <f>+D759</f>
        <v>1211</v>
      </c>
      <c r="Q887" s="180">
        <f>+D808</f>
        <v>4273</v>
      </c>
      <c r="R887" s="306"/>
      <c r="T887" s="193">
        <f>'[2]Lake Pleasant Forecast'!B39</f>
        <v>1696.7</v>
      </c>
      <c r="AC887" s="189" t="s">
        <v>695</v>
      </c>
      <c r="AD887" s="180">
        <f t="shared" si="194"/>
        <v>70977</v>
      </c>
      <c r="AE887" s="180">
        <f t="shared" si="195"/>
        <v>1621.0530797648637</v>
      </c>
      <c r="AF887" s="180">
        <f t="shared" si="202"/>
        <v>115057.48444247073</v>
      </c>
      <c r="AG887" s="180">
        <f t="shared" si="196"/>
        <v>99626.519</v>
      </c>
      <c r="AH887" s="180">
        <f t="shared" si="200"/>
        <v>214684.00344247074</v>
      </c>
      <c r="AI887" s="180">
        <f t="shared" si="197"/>
        <v>17917</v>
      </c>
      <c r="AJ887" s="180">
        <f t="shared" si="201"/>
        <v>232601.00344247074</v>
      </c>
      <c r="AK887" s="180">
        <f>(G981)</f>
        <v>9.8083964350448287</v>
      </c>
      <c r="AL887" s="180">
        <f t="shared" si="199"/>
        <v>232591.19504603569</v>
      </c>
      <c r="AM887" s="180" t="s">
        <v>633</v>
      </c>
      <c r="AN887" s="180">
        <f>+B896/31/1.98</f>
        <v>2303.1769305962853</v>
      </c>
      <c r="AO887" s="180">
        <f>(AD887*43560/31/24/3600)</f>
        <v>1154.3302419354839</v>
      </c>
      <c r="AP887" s="180">
        <f>+P319</f>
        <v>-1.2363151302197712</v>
      </c>
      <c r="AQ887" s="180"/>
      <c r="AR887" s="180"/>
      <c r="AS887" s="180"/>
      <c r="AT887" s="306"/>
    </row>
    <row r="888" spans="1:46" ht="15.75" customHeight="1" x14ac:dyDescent="0.3">
      <c r="A888" s="192" t="s">
        <v>12</v>
      </c>
      <c r="B888" s="180">
        <f>+F29</f>
        <v>160153</v>
      </c>
      <c r="C888" s="180">
        <f>+F64</f>
        <v>159786</v>
      </c>
      <c r="D888" s="180">
        <f>+F131</f>
        <v>159436</v>
      </c>
      <c r="E888" s="180">
        <f>+F309</f>
        <v>154149</v>
      </c>
      <c r="F888" s="180">
        <f>+F304</f>
        <v>9498</v>
      </c>
      <c r="G888" s="180">
        <f>+F316</f>
        <v>-6</v>
      </c>
      <c r="H888" s="180">
        <f>+F471</f>
        <v>107093</v>
      </c>
      <c r="I888" s="180">
        <f>+F519</f>
        <v>40051</v>
      </c>
      <c r="J888" s="180">
        <f>+F563</f>
        <v>29746</v>
      </c>
      <c r="K888" s="180">
        <f>+F621</f>
        <v>24990</v>
      </c>
      <c r="L888" s="180">
        <f>+F631</f>
        <v>19514</v>
      </c>
      <c r="M888" s="180">
        <f>+F667</f>
        <v>19477</v>
      </c>
      <c r="N888" s="180">
        <f>+F715</f>
        <v>18443</v>
      </c>
      <c r="O888" s="180">
        <f>+F725</f>
        <v>3982</v>
      </c>
      <c r="P888" s="180">
        <f>+F759</f>
        <v>3139</v>
      </c>
      <c r="Q888" s="180">
        <f>+F808</f>
        <v>3975</v>
      </c>
      <c r="R888" s="306"/>
      <c r="T888" s="193">
        <f>'[2]Lake Pleasant Forecast'!B41</f>
        <v>1696.11085484296</v>
      </c>
      <c r="AC888" s="179"/>
      <c r="AD888" s="180"/>
      <c r="AE888" s="180"/>
      <c r="AF888" s="180"/>
      <c r="AG888" s="180"/>
      <c r="AH888" s="180"/>
      <c r="AI888" s="180"/>
      <c r="AJ888" s="180"/>
      <c r="AK888" s="180"/>
      <c r="AL888" s="180"/>
      <c r="AM888" s="180" t="s">
        <v>633</v>
      </c>
      <c r="AN888" s="180"/>
      <c r="AO888" s="180"/>
      <c r="AP888" s="180"/>
      <c r="AQ888" s="180"/>
      <c r="AR888" s="180"/>
      <c r="AS888" s="180"/>
      <c r="AT888" s="306"/>
    </row>
    <row r="889" spans="1:46" ht="15.75" customHeight="1" x14ac:dyDescent="0.3">
      <c r="A889" s="192" t="s">
        <v>13</v>
      </c>
      <c r="B889" s="180">
        <f>+G29</f>
        <v>176014</v>
      </c>
      <c r="C889" s="180">
        <f>+G64</f>
        <v>175589</v>
      </c>
      <c r="D889" s="180">
        <f>+G131</f>
        <v>175187</v>
      </c>
      <c r="E889" s="180">
        <f>+G309</f>
        <v>168828</v>
      </c>
      <c r="F889" s="180">
        <f>+G304</f>
        <v>24625</v>
      </c>
      <c r="G889" s="180">
        <f>+G316</f>
        <v>-1492</v>
      </c>
      <c r="H889" s="180">
        <f>+G471</f>
        <v>103835</v>
      </c>
      <c r="I889" s="180">
        <f>+G519</f>
        <v>35076</v>
      </c>
      <c r="J889" s="180">
        <f>+G563</f>
        <v>29752</v>
      </c>
      <c r="K889" s="180">
        <f>+G621</f>
        <v>23912</v>
      </c>
      <c r="L889" s="180">
        <f>+G631</f>
        <v>19842</v>
      </c>
      <c r="M889" s="180">
        <f>+G667</f>
        <v>19800</v>
      </c>
      <c r="N889" s="180">
        <f>+G715</f>
        <v>17782</v>
      </c>
      <c r="O889" s="180">
        <f>+G725</f>
        <v>3112</v>
      </c>
      <c r="P889" s="180">
        <f>+G759</f>
        <v>5336</v>
      </c>
      <c r="Q889" s="180">
        <f>+G808</f>
        <v>3104</v>
      </c>
      <c r="R889" s="306"/>
      <c r="T889" s="193">
        <f>'[2]Lake Pleasant Forecast'!B43</f>
        <v>1693.7800000000002</v>
      </c>
      <c r="AC889" s="179" t="s">
        <v>641</v>
      </c>
      <c r="AD889" s="180">
        <f>SUM(AD876:AD887)</f>
        <v>344247</v>
      </c>
      <c r="AE889" s="180"/>
      <c r="AF889" s="180">
        <f t="shared" ref="AF889:AL889" si="204">SUM(AF876:AF887)</f>
        <v>560041.34691676288</v>
      </c>
      <c r="AG889" s="180">
        <f t="shared" si="204"/>
        <v>1517529.4540000001</v>
      </c>
      <c r="AH889" s="180">
        <f t="shared" si="204"/>
        <v>2077570.800916763</v>
      </c>
      <c r="AI889" s="180">
        <f t="shared" si="204"/>
        <v>394026</v>
      </c>
      <c r="AJ889" s="180">
        <f t="shared" si="204"/>
        <v>2471596.800916763</v>
      </c>
      <c r="AK889" s="180">
        <f t="shared" si="204"/>
        <v>40006.054496688877</v>
      </c>
      <c r="AL889" s="180">
        <f t="shared" si="204"/>
        <v>2431590.7464200738</v>
      </c>
      <c r="AM889" s="180"/>
      <c r="AN889" s="180"/>
      <c r="AO889" s="180"/>
      <c r="AP889" s="180"/>
      <c r="AQ889" s="180"/>
      <c r="AR889" s="180"/>
      <c r="AS889" s="180"/>
      <c r="AT889" s="306"/>
    </row>
    <row r="890" spans="1:46" ht="15.75" customHeight="1" x14ac:dyDescent="0.3">
      <c r="A890" s="192" t="s">
        <v>14</v>
      </c>
      <c r="B890" s="180">
        <f>+H29</f>
        <v>82750</v>
      </c>
      <c r="C890" s="180">
        <f>+H64</f>
        <v>82333</v>
      </c>
      <c r="D890" s="180">
        <f>+H131</f>
        <v>81937</v>
      </c>
      <c r="E890" s="180">
        <f>+H309</f>
        <v>75794</v>
      </c>
      <c r="F890" s="180">
        <f>+H304</f>
        <v>0</v>
      </c>
      <c r="G890" s="180">
        <f>+H316</f>
        <v>-117578</v>
      </c>
      <c r="H890" s="180">
        <f>+H471</f>
        <v>141266</v>
      </c>
      <c r="I890" s="180">
        <f>+H519</f>
        <v>49544</v>
      </c>
      <c r="J890" s="180">
        <f>+H563</f>
        <v>30940</v>
      </c>
      <c r="K890" s="180">
        <f>+H621</f>
        <v>25020</v>
      </c>
      <c r="L890" s="180">
        <f>+H631</f>
        <v>21408</v>
      </c>
      <c r="M890" s="180">
        <f>+H667</f>
        <v>21364</v>
      </c>
      <c r="N890" s="180">
        <f>+H715</f>
        <v>20734</v>
      </c>
      <c r="O890" s="180">
        <f>+H725</f>
        <v>4779</v>
      </c>
      <c r="P890" s="180">
        <f>+H759</f>
        <v>6668</v>
      </c>
      <c r="Q890" s="180">
        <f>+H808</f>
        <v>4770</v>
      </c>
      <c r="R890" s="306"/>
      <c r="T890" s="193">
        <f>'[2]Lake Pleasant Forecast'!B45</f>
        <v>1681.1000000000001</v>
      </c>
      <c r="AC890" s="179"/>
      <c r="AD890" s="180"/>
      <c r="AE890" s="180"/>
      <c r="AF890" s="180"/>
      <c r="AG890" s="180"/>
      <c r="AH890" s="180"/>
      <c r="AI890" s="180"/>
      <c r="AJ890" s="180"/>
      <c r="AK890" s="180"/>
      <c r="AL890" s="180"/>
      <c r="AM890" s="180"/>
      <c r="AN890" s="180"/>
      <c r="AO890" s="180"/>
      <c r="AP890" s="180"/>
      <c r="AQ890" s="180"/>
      <c r="AR890" s="180"/>
      <c r="AS890" s="180"/>
      <c r="AT890" s="306"/>
    </row>
    <row r="891" spans="1:46" ht="15.75" customHeight="1" x14ac:dyDescent="0.3">
      <c r="A891" s="192" t="s">
        <v>16</v>
      </c>
      <c r="B891" s="180">
        <f>+J29</f>
        <v>75396</v>
      </c>
      <c r="C891" s="180">
        <f>+J64</f>
        <v>74980</v>
      </c>
      <c r="D891" s="180">
        <f>+J131</f>
        <v>74586</v>
      </c>
      <c r="E891" s="180">
        <f>+J309</f>
        <v>68658</v>
      </c>
      <c r="F891" s="180">
        <f>+J304</f>
        <v>0</v>
      </c>
      <c r="G891" s="180">
        <f>+J316</f>
        <v>-100321</v>
      </c>
      <c r="H891" s="180">
        <f>+J471</f>
        <v>112905</v>
      </c>
      <c r="I891" s="180">
        <f>+J519</f>
        <v>52133</v>
      </c>
      <c r="J891" s="180">
        <f>+J563</f>
        <v>31883</v>
      </c>
      <c r="K891" s="180">
        <f>+J621</f>
        <v>24758</v>
      </c>
      <c r="L891" s="180">
        <f>+J631</f>
        <v>21717</v>
      </c>
      <c r="M891" s="180">
        <f>+J667</f>
        <v>21678</v>
      </c>
      <c r="N891" s="180">
        <f>+J715</f>
        <v>20158</v>
      </c>
      <c r="O891" s="180">
        <f>+J725</f>
        <v>4006</v>
      </c>
      <c r="P891" s="180">
        <f>+J759</f>
        <v>5553</v>
      </c>
      <c r="Q891" s="180">
        <f>+J808</f>
        <v>3999</v>
      </c>
      <c r="R891" s="306"/>
      <c r="T891" s="193">
        <f>'[2]Lake Pleasant Forecast'!B47</f>
        <v>1671.6699725311105</v>
      </c>
      <c r="AC891" s="179" t="s">
        <v>696</v>
      </c>
      <c r="AD891" s="180"/>
      <c r="AE891" s="180"/>
      <c r="AF891" s="180"/>
      <c r="AG891" s="180"/>
      <c r="AH891" s="180"/>
      <c r="AI891" s="180"/>
      <c r="AJ891" s="180"/>
      <c r="AK891" s="180"/>
      <c r="AL891" s="180"/>
      <c r="AM891" s="180"/>
      <c r="AN891" s="180"/>
      <c r="AO891" s="180"/>
      <c r="AP891" s="180"/>
      <c r="AQ891" s="180"/>
      <c r="AR891" s="180"/>
      <c r="AS891" s="180"/>
      <c r="AT891" s="306"/>
    </row>
    <row r="892" spans="1:46" ht="15.75" customHeight="1" x14ac:dyDescent="0.3">
      <c r="A892" s="192" t="s">
        <v>17</v>
      </c>
      <c r="B892" s="180">
        <f>+K29</f>
        <v>72195</v>
      </c>
      <c r="C892" s="180">
        <f>+K64</f>
        <v>71861</v>
      </c>
      <c r="D892" s="180">
        <f>+K131</f>
        <v>71543</v>
      </c>
      <c r="E892" s="180">
        <f>+K309</f>
        <v>65923</v>
      </c>
      <c r="F892" s="180">
        <f>+K304</f>
        <v>0</v>
      </c>
      <c r="G892" s="180">
        <f>+K316</f>
        <v>-94421</v>
      </c>
      <c r="H892" s="180">
        <f>+K471</f>
        <v>111677</v>
      </c>
      <c r="I892" s="180">
        <f>+K519</f>
        <v>46987</v>
      </c>
      <c r="J892" s="180">
        <f>+K563</f>
        <v>32582</v>
      </c>
      <c r="K892" s="180">
        <f>+K621</f>
        <v>26058</v>
      </c>
      <c r="L892" s="180">
        <f>+K631</f>
        <v>21681</v>
      </c>
      <c r="M892" s="180">
        <f>+K667</f>
        <v>21645</v>
      </c>
      <c r="N892" s="180">
        <f>+K715</f>
        <v>20778</v>
      </c>
      <c r="O892" s="180">
        <f>+K725</f>
        <v>3743</v>
      </c>
      <c r="P892" s="180">
        <f>+K759</f>
        <v>5238</v>
      </c>
      <c r="Q892" s="180">
        <f>+K808</f>
        <v>3737</v>
      </c>
      <c r="R892" s="306"/>
      <c r="T892" s="193">
        <f>'[2]Lake Pleasant Forecast'!B49</f>
        <v>1661.2798188452823</v>
      </c>
      <c r="AC892" s="179" t="s">
        <v>697</v>
      </c>
      <c r="AD892" s="180"/>
      <c r="AE892" s="180"/>
      <c r="AF892" s="180"/>
      <c r="AG892" s="180"/>
      <c r="AH892" s="180"/>
      <c r="AI892" s="180"/>
      <c r="AJ892" s="180"/>
      <c r="AK892" s="180"/>
      <c r="AL892" s="180"/>
      <c r="AM892" s="180"/>
      <c r="AN892" s="180"/>
      <c r="AO892" s="180"/>
      <c r="AP892" s="180"/>
      <c r="AQ892" s="180"/>
      <c r="AR892" s="180"/>
      <c r="AS892" s="180"/>
      <c r="AT892" s="306"/>
    </row>
    <row r="893" spans="1:46" ht="15.75" customHeight="1" x14ac:dyDescent="0.3">
      <c r="A893" s="192" t="s">
        <v>18</v>
      </c>
      <c r="B893" s="180">
        <f>+L29</f>
        <v>132719</v>
      </c>
      <c r="C893" s="180">
        <f>+L64</f>
        <v>132403</v>
      </c>
      <c r="D893" s="180">
        <f>+L131</f>
        <v>132102</v>
      </c>
      <c r="E893" s="180">
        <f>+L309</f>
        <v>127463</v>
      </c>
      <c r="F893" s="180">
        <f>+L304</f>
        <v>9609</v>
      </c>
      <c r="G893" s="180">
        <f>+L316</f>
        <v>-13817</v>
      </c>
      <c r="H893" s="180">
        <f>+L471</f>
        <v>86648</v>
      </c>
      <c r="I893" s="180">
        <f>+L519</f>
        <v>33813</v>
      </c>
      <c r="J893" s="180">
        <f>+L563</f>
        <v>27446</v>
      </c>
      <c r="K893" s="180">
        <f>+L621</f>
        <v>23575</v>
      </c>
      <c r="L893" s="180">
        <f>+L631</f>
        <v>19093</v>
      </c>
      <c r="M893" s="180">
        <f>+L667</f>
        <v>19059</v>
      </c>
      <c r="N893" s="180">
        <f>+L715</f>
        <v>17825</v>
      </c>
      <c r="O893" s="180">
        <f>+L725</f>
        <v>3535</v>
      </c>
      <c r="P893" s="180">
        <f>+L759</f>
        <v>5027</v>
      </c>
      <c r="Q893" s="180">
        <f>+L808</f>
        <v>3482</v>
      </c>
      <c r="R893" s="306"/>
      <c r="T893" s="193">
        <f>'[2]Lake Pleasant Forecast'!B51</f>
        <v>1659.68</v>
      </c>
      <c r="AC893" s="179"/>
      <c r="AD893" s="180"/>
      <c r="AE893" s="180"/>
      <c r="AF893" s="180"/>
      <c r="AG893" s="180"/>
      <c r="AH893" s="180"/>
      <c r="AI893" s="180"/>
      <c r="AJ893" s="180"/>
      <c r="AK893" s="180"/>
      <c r="AL893" s="180"/>
      <c r="AM893" s="180"/>
      <c r="AN893" s="180"/>
      <c r="AO893" s="180"/>
      <c r="AP893" s="180"/>
      <c r="AQ893" s="180"/>
      <c r="AR893" s="180"/>
      <c r="AS893" s="180"/>
      <c r="AT893" s="306"/>
    </row>
    <row r="894" spans="1:46" ht="15.75" customHeight="1" x14ac:dyDescent="0.3">
      <c r="A894" s="192" t="s">
        <v>20</v>
      </c>
      <c r="B894" s="180">
        <f>+N29</f>
        <v>129581</v>
      </c>
      <c r="C894" s="180">
        <f>+N64</f>
        <v>129296</v>
      </c>
      <c r="D894" s="180">
        <f>+N131</f>
        <v>129024</v>
      </c>
      <c r="E894" s="180">
        <f>+N309</f>
        <v>125637</v>
      </c>
      <c r="F894" s="180">
        <f>+N304</f>
        <v>44152</v>
      </c>
      <c r="G894" s="180">
        <f>+N316</f>
        <v>0</v>
      </c>
      <c r="H894" s="180">
        <f>+N471</f>
        <v>44582</v>
      </c>
      <c r="I894" s="180">
        <f>+N519</f>
        <v>12743</v>
      </c>
      <c r="J894" s="180">
        <f>+N563</f>
        <v>10868</v>
      </c>
      <c r="K894" s="180">
        <f>+N621</f>
        <v>9720</v>
      </c>
      <c r="L894" s="180">
        <f>+N631</f>
        <v>7078</v>
      </c>
      <c r="M894" s="180">
        <f>+N667</f>
        <v>7049</v>
      </c>
      <c r="N894" s="180">
        <f>+N715</f>
        <v>6139</v>
      </c>
      <c r="O894" s="180">
        <f>+N725</f>
        <v>3374</v>
      </c>
      <c r="P894" s="180">
        <f>+N759</f>
        <v>4749</v>
      </c>
      <c r="Q894" s="180">
        <f>+N808</f>
        <v>3369</v>
      </c>
      <c r="R894" s="306"/>
      <c r="T894" s="193">
        <f>'[2]Lake Pleasant Forecast'!B53</f>
        <v>1666.2699999999998</v>
      </c>
      <c r="AC894" s="179" t="s">
        <v>698</v>
      </c>
      <c r="AD894" s="180"/>
      <c r="AE894" s="180"/>
      <c r="AF894" s="180"/>
      <c r="AG894" s="180"/>
      <c r="AH894" s="180"/>
      <c r="AI894" s="180"/>
      <c r="AJ894" s="180"/>
      <c r="AK894" s="180"/>
      <c r="AL894" s="180"/>
      <c r="AM894" s="180"/>
      <c r="AN894" s="180"/>
      <c r="AO894" s="180"/>
      <c r="AP894" s="180"/>
      <c r="AQ894" s="180"/>
      <c r="AR894" s="180"/>
      <c r="AS894" s="180"/>
      <c r="AT894" s="306"/>
    </row>
    <row r="895" spans="1:46" ht="15.75" customHeight="1" x14ac:dyDescent="0.3">
      <c r="A895" s="192" t="s">
        <v>21</v>
      </c>
      <c r="B895" s="180">
        <f>+O29</f>
        <v>126981</v>
      </c>
      <c r="C895" s="180">
        <f>+O64</f>
        <v>126746</v>
      </c>
      <c r="D895" s="180">
        <f>+O131</f>
        <v>126520</v>
      </c>
      <c r="E895" s="180">
        <f>+O309</f>
        <v>124524</v>
      </c>
      <c r="F895" s="180">
        <f>+O304</f>
        <v>65541</v>
      </c>
      <c r="G895" s="180">
        <f>+O316</f>
        <v>0</v>
      </c>
      <c r="H895" s="180">
        <f>+O471</f>
        <v>25365</v>
      </c>
      <c r="I895" s="180">
        <f>+O519</f>
        <v>4013</v>
      </c>
      <c r="J895" s="180">
        <f>+O563</f>
        <v>3559</v>
      </c>
      <c r="K895" s="180">
        <f>+O621</f>
        <v>3080</v>
      </c>
      <c r="L895" s="180">
        <f>+O631</f>
        <v>1394</v>
      </c>
      <c r="M895" s="180">
        <f>+O667</f>
        <v>1371</v>
      </c>
      <c r="N895" s="180">
        <f>+O715</f>
        <v>1261</v>
      </c>
      <c r="O895" s="180">
        <f>+O725</f>
        <v>1043</v>
      </c>
      <c r="P895" s="180">
        <f>+O759</f>
        <v>2363</v>
      </c>
      <c r="Q895" s="180">
        <f>+O808</f>
        <v>1040</v>
      </c>
      <c r="R895" s="306"/>
      <c r="T895" s="193">
        <f>'[2]Lake Pleasant Forecast'!B55</f>
        <v>1674.31</v>
      </c>
      <c r="AC895" s="179"/>
      <c r="AD895" s="180"/>
      <c r="AE895" s="180"/>
      <c r="AF895" s="180"/>
      <c r="AG895" s="180"/>
      <c r="AH895" s="180"/>
      <c r="AI895" s="180"/>
      <c r="AJ895" s="180"/>
      <c r="AK895" s="180"/>
      <c r="AL895" s="180"/>
      <c r="AM895" s="180"/>
      <c r="AN895" s="180"/>
      <c r="AO895" s="180"/>
      <c r="AP895" s="180"/>
      <c r="AQ895" s="180"/>
      <c r="AR895" s="180"/>
      <c r="AS895" s="180"/>
      <c r="AT895" s="306"/>
    </row>
    <row r="896" spans="1:46" ht="15.75" customHeight="1" thickBot="1" x14ac:dyDescent="0.35">
      <c r="A896" s="192" t="s">
        <v>22</v>
      </c>
      <c r="B896" s="180">
        <f>+P29</f>
        <v>141369</v>
      </c>
      <c r="C896" s="180">
        <f>+P64</f>
        <v>141183</v>
      </c>
      <c r="D896" s="180">
        <f>+P131</f>
        <v>141004</v>
      </c>
      <c r="E896" s="180">
        <f>+P309</f>
        <v>138250</v>
      </c>
      <c r="F896" s="180">
        <f>+P304</f>
        <v>70977</v>
      </c>
      <c r="G896" s="180">
        <f>+P316</f>
        <v>-76</v>
      </c>
      <c r="H896" s="180">
        <f>+P471</f>
        <v>38540</v>
      </c>
      <c r="I896" s="180">
        <f>+P519</f>
        <v>12683</v>
      </c>
      <c r="J896" s="180">
        <f>+P563</f>
        <v>11483</v>
      </c>
      <c r="K896" s="180">
        <f>+P621</f>
        <v>11306</v>
      </c>
      <c r="L896" s="180">
        <f>+P631</f>
        <v>7134</v>
      </c>
      <c r="M896" s="180">
        <f>+P667</f>
        <v>7115</v>
      </c>
      <c r="N896" s="180">
        <f>+P715</f>
        <v>7106</v>
      </c>
      <c r="O896" s="180">
        <f>+P725</f>
        <v>2919</v>
      </c>
      <c r="P896" s="180">
        <f>+P759</f>
        <v>3355</v>
      </c>
      <c r="Q896" s="180">
        <f>+P808</f>
        <v>2917</v>
      </c>
      <c r="R896" s="306"/>
      <c r="T896" s="193">
        <f>'[2]Lake Pleasant Forecast'!B57</f>
        <v>1677.029882034898</v>
      </c>
      <c r="AC896" s="194" t="s">
        <v>699</v>
      </c>
      <c r="AD896" s="195"/>
      <c r="AE896" s="195"/>
      <c r="AF896" s="195"/>
      <c r="AG896" s="195"/>
      <c r="AH896" s="195"/>
      <c r="AI896" s="195"/>
      <c r="AJ896" s="195"/>
      <c r="AK896" s="195"/>
      <c r="AL896" s="195"/>
      <c r="AM896" s="195"/>
      <c r="AN896" s="195"/>
      <c r="AO896" s="195"/>
      <c r="AP896" s="195"/>
      <c r="AQ896" s="195"/>
      <c r="AR896" s="195"/>
      <c r="AS896" s="195"/>
      <c r="AT896" s="196"/>
    </row>
    <row r="897" spans="1:50" ht="15.75" customHeight="1" x14ac:dyDescent="0.3">
      <c r="A897" s="189"/>
      <c r="B897" s="180"/>
      <c r="C897" s="180"/>
      <c r="D897" s="180"/>
      <c r="E897" s="180"/>
      <c r="F897" s="180"/>
      <c r="G897" s="180"/>
      <c r="H897" s="180"/>
      <c r="I897" s="180"/>
      <c r="J897" s="180"/>
      <c r="K897" s="180"/>
      <c r="L897" s="180"/>
      <c r="M897" s="180"/>
      <c r="N897" s="180"/>
      <c r="O897" s="180"/>
      <c r="P897" s="180"/>
      <c r="Q897" s="180"/>
      <c r="R897" s="306"/>
    </row>
    <row r="898" spans="1:50" ht="15.75" customHeight="1" thickBot="1" x14ac:dyDescent="0.35">
      <c r="A898" s="189" t="s">
        <v>641</v>
      </c>
      <c r="B898" s="180">
        <f t="shared" ref="B898:Q898" si="205">SUM(B885:B896)</f>
        <v>1417550</v>
      </c>
      <c r="C898" s="180">
        <f t="shared" si="205"/>
        <v>1414050</v>
      </c>
      <c r="D898" s="180">
        <f t="shared" si="205"/>
        <v>1410710</v>
      </c>
      <c r="E898" s="180">
        <f t="shared" si="205"/>
        <v>1364134</v>
      </c>
      <c r="F898" s="180">
        <f t="shared" si="205"/>
        <v>344247</v>
      </c>
      <c r="G898" s="180">
        <f t="shared" si="205"/>
        <v>-339431</v>
      </c>
      <c r="H898" s="180">
        <f t="shared" si="205"/>
        <v>917532</v>
      </c>
      <c r="I898" s="180">
        <f t="shared" si="205"/>
        <v>349152</v>
      </c>
      <c r="J898" s="180">
        <f t="shared" si="205"/>
        <v>264007</v>
      </c>
      <c r="K898" s="180">
        <f t="shared" si="205"/>
        <v>225317</v>
      </c>
      <c r="L898" s="180">
        <f t="shared" si="205"/>
        <v>184863</v>
      </c>
      <c r="M898" s="180">
        <f t="shared" si="205"/>
        <v>184490</v>
      </c>
      <c r="N898" s="180">
        <f t="shared" si="205"/>
        <v>174423</v>
      </c>
      <c r="O898" s="180">
        <f t="shared" si="205"/>
        <v>40323</v>
      </c>
      <c r="P898" s="180">
        <f t="shared" si="205"/>
        <v>43974</v>
      </c>
      <c r="Q898" s="180">
        <f t="shared" si="205"/>
        <v>40213</v>
      </c>
      <c r="R898" s="306"/>
    </row>
    <row r="899" spans="1:50" ht="15.75" customHeight="1" thickBot="1" x14ac:dyDescent="0.35">
      <c r="A899" s="135"/>
      <c r="B899" s="135"/>
      <c r="C899" s="135"/>
      <c r="D899" s="135"/>
      <c r="E899" s="135"/>
      <c r="F899" s="135"/>
      <c r="G899" s="135"/>
      <c r="H899" s="135"/>
      <c r="I899" s="135"/>
      <c r="J899" s="135"/>
      <c r="K899" s="135"/>
      <c r="L899" s="135"/>
      <c r="M899" s="135"/>
      <c r="N899" s="135"/>
      <c r="O899" s="135"/>
      <c r="P899" s="135"/>
      <c r="Q899" s="135"/>
      <c r="R899" s="196"/>
      <c r="AC899" s="350"/>
      <c r="AD899" s="351"/>
      <c r="AE899" s="351"/>
      <c r="AF899" s="351"/>
      <c r="AG899" s="351"/>
      <c r="AH899" s="351"/>
      <c r="AI899" s="351"/>
      <c r="AJ899" s="351"/>
      <c r="AK899" s="351"/>
      <c r="AL899" s="351"/>
      <c r="AM899" s="351"/>
      <c r="AN899" s="351"/>
      <c r="AO899" s="351"/>
      <c r="AP899" s="351"/>
      <c r="AQ899" s="351"/>
      <c r="AR899" s="351"/>
      <c r="AS899" s="354" t="str">
        <f>+Q1</f>
        <v xml:space="preserve">PRINTED:  </v>
      </c>
      <c r="AT899" s="357">
        <f ca="1">+R1</f>
        <v>44894.658168402777</v>
      </c>
      <c r="AU899" s="358"/>
      <c r="AW899" s="199" t="s">
        <v>700</v>
      </c>
      <c r="AX899" s="180"/>
    </row>
    <row r="900" spans="1:50" ht="15.75" customHeight="1" x14ac:dyDescent="0.35">
      <c r="A900" s="359"/>
      <c r="B900" s="359"/>
      <c r="C900" s="359"/>
      <c r="D900" s="359"/>
      <c r="E900" s="359"/>
      <c r="F900" s="359"/>
      <c r="G900" s="359"/>
      <c r="H900" s="359"/>
      <c r="I900" s="359"/>
      <c r="J900" s="359"/>
      <c r="K900" s="359"/>
      <c r="L900" s="359"/>
      <c r="M900" s="359"/>
      <c r="N900" s="359"/>
      <c r="O900" s="359"/>
      <c r="P900" s="359"/>
      <c r="Q900" s="359"/>
      <c r="R900" s="351"/>
      <c r="AC900" s="179"/>
      <c r="AD900" s="180"/>
      <c r="AE900" s="199" t="s">
        <v>701</v>
      </c>
      <c r="AF900" s="180"/>
      <c r="AG900" s="180"/>
      <c r="AH900" s="180"/>
      <c r="AI900" s="180"/>
      <c r="AJ900" s="180"/>
      <c r="AK900" s="180"/>
      <c r="AL900" s="180"/>
      <c r="AM900" s="180"/>
      <c r="AN900" s="201"/>
      <c r="AO900" s="199" t="s">
        <v>702</v>
      </c>
      <c r="AP900" s="180"/>
      <c r="AQ900" s="180"/>
      <c r="AR900" s="180"/>
      <c r="AS900" s="180"/>
      <c r="AT900" s="180"/>
      <c r="AU900" s="304"/>
      <c r="AW900" s="180" t="s">
        <v>703</v>
      </c>
      <c r="AX900" s="180"/>
    </row>
    <row r="901" spans="1:50" ht="16.5" customHeight="1" x14ac:dyDescent="0.3">
      <c r="A901" s="189" t="s">
        <v>7</v>
      </c>
      <c r="B901" s="180"/>
      <c r="C901" s="180"/>
      <c r="D901" s="180"/>
      <c r="E901" s="180"/>
      <c r="F901" s="180"/>
      <c r="G901" s="180"/>
      <c r="H901" s="180"/>
      <c r="I901" s="180"/>
      <c r="J901" s="180"/>
      <c r="K901" s="180"/>
      <c r="L901" s="180"/>
      <c r="M901" s="180"/>
      <c r="N901" s="180"/>
      <c r="O901" s="180"/>
      <c r="P901" s="180"/>
      <c r="Q901" s="180"/>
      <c r="R901" s="180"/>
      <c r="AC901" s="179"/>
      <c r="AD901" s="180"/>
      <c r="AE901" s="180"/>
      <c r="AF901" s="180"/>
      <c r="AG901" s="180" t="s">
        <v>7</v>
      </c>
      <c r="AH901" s="202" t="str">
        <f>+A8</f>
        <v>Revised:  1/18/2018</v>
      </c>
      <c r="AI901" s="180"/>
      <c r="AJ901" s="180"/>
      <c r="AK901" s="180"/>
      <c r="AL901" s="180"/>
      <c r="AM901" s="180"/>
      <c r="AN901" s="180"/>
      <c r="AO901" s="180"/>
      <c r="AP901" s="180"/>
      <c r="AQ901" s="180"/>
      <c r="AR901" s="180" t="s">
        <v>7</v>
      </c>
      <c r="AS901" s="202" t="str">
        <f>+A8</f>
        <v>Revised:  1/18/2018</v>
      </c>
      <c r="AT901" s="180"/>
      <c r="AU901" s="304"/>
      <c r="AW901" s="180"/>
      <c r="AX901" s="180"/>
    </row>
    <row r="902" spans="1:50" ht="15.75" customHeight="1" x14ac:dyDescent="0.3">
      <c r="A902" s="182"/>
      <c r="B902" s="180"/>
      <c r="C902" s="180"/>
      <c r="D902" s="180"/>
      <c r="E902" s="180"/>
      <c r="F902" s="180"/>
      <c r="G902" s="180"/>
      <c r="H902" s="180"/>
      <c r="I902" s="180"/>
      <c r="J902" s="180"/>
      <c r="K902" s="180"/>
      <c r="L902" s="180"/>
      <c r="M902" s="180"/>
      <c r="N902" s="180"/>
      <c r="O902" s="180"/>
      <c r="P902" s="180"/>
      <c r="Q902" s="180"/>
      <c r="R902" s="180"/>
      <c r="AC902" s="179"/>
      <c r="AD902" s="180"/>
      <c r="AE902" s="180"/>
      <c r="AF902" s="180" t="s">
        <v>704</v>
      </c>
      <c r="AG902" s="180"/>
      <c r="AH902" s="180"/>
      <c r="AI902" s="180"/>
      <c r="AJ902" s="180"/>
      <c r="AK902" s="180"/>
      <c r="AL902" s="180"/>
      <c r="AM902" s="180"/>
      <c r="AN902" s="180"/>
      <c r="AO902" s="180"/>
      <c r="AP902" s="180" t="s">
        <v>704</v>
      </c>
      <c r="AQ902" s="180"/>
      <c r="AR902" s="180"/>
      <c r="AS902" s="180"/>
      <c r="AT902" s="180"/>
      <c r="AU902" s="304"/>
      <c r="AW902" s="180" t="s">
        <v>633</v>
      </c>
      <c r="AX902" s="182" t="s">
        <v>658</v>
      </c>
    </row>
    <row r="903" spans="1:50" ht="15.75" customHeight="1" x14ac:dyDescent="0.3">
      <c r="A903" s="192"/>
      <c r="AC903" s="179"/>
      <c r="AD903" s="180"/>
      <c r="AE903" s="180"/>
      <c r="AF903" s="180"/>
      <c r="AG903" s="180"/>
      <c r="AH903" s="180"/>
      <c r="AI903" s="180"/>
      <c r="AJ903" s="180"/>
      <c r="AK903" s="180"/>
      <c r="AL903" s="180"/>
      <c r="AM903" s="180"/>
      <c r="AN903" s="180"/>
      <c r="AO903" s="180"/>
      <c r="AP903" s="180"/>
      <c r="AQ903" s="180"/>
      <c r="AR903" s="180"/>
      <c r="AS903" s="180"/>
      <c r="AT903" s="180"/>
      <c r="AU903" s="304"/>
      <c r="AW903" s="182" t="s">
        <v>658</v>
      </c>
      <c r="AX903" s="182" t="s">
        <v>655</v>
      </c>
    </row>
    <row r="904" spans="1:50" ht="15.75" customHeight="1" thickBot="1" x14ac:dyDescent="0.35">
      <c r="A904" s="192"/>
      <c r="AC904" s="179"/>
      <c r="AD904" s="180"/>
      <c r="AE904" s="180"/>
      <c r="AF904" s="180"/>
      <c r="AG904" s="180">
        <f>+A5</f>
        <v>2017</v>
      </c>
      <c r="AH904" s="180"/>
      <c r="AI904" s="180"/>
      <c r="AJ904" s="180"/>
      <c r="AK904" s="180"/>
      <c r="AL904" s="180"/>
      <c r="AM904" s="180"/>
      <c r="AN904" s="180"/>
      <c r="AO904" s="180"/>
      <c r="AP904" s="180"/>
      <c r="AQ904" s="180"/>
      <c r="AR904" s="180">
        <f>+A5</f>
        <v>2017</v>
      </c>
      <c r="AS904" s="180"/>
      <c r="AT904" s="180"/>
      <c r="AU904" s="304"/>
      <c r="AW904" s="182" t="s">
        <v>705</v>
      </c>
      <c r="AX904" s="182" t="s">
        <v>706</v>
      </c>
    </row>
    <row r="905" spans="1:50" ht="15.75" customHeight="1" x14ac:dyDescent="0.3">
      <c r="A905" s="356"/>
      <c r="B905" s="423" t="s">
        <v>707</v>
      </c>
      <c r="C905" s="423"/>
      <c r="D905" s="423"/>
      <c r="E905" s="423"/>
      <c r="F905" s="423"/>
      <c r="G905" s="423"/>
      <c r="H905" s="423"/>
      <c r="I905" s="423"/>
      <c r="J905" s="423"/>
      <c r="K905" s="423"/>
      <c r="L905" s="423"/>
      <c r="M905" s="423"/>
      <c r="N905" s="423"/>
      <c r="O905" s="423"/>
      <c r="P905" s="423"/>
      <c r="Q905" s="354" t="str">
        <f>+Q1</f>
        <v xml:space="preserve">PRINTED:  </v>
      </c>
      <c r="R905" s="355">
        <f ca="1">+R1</f>
        <v>44894.658168402777</v>
      </c>
      <c r="AC905" s="179"/>
      <c r="AD905" s="180"/>
      <c r="AE905" s="180"/>
      <c r="AF905" s="180"/>
      <c r="AG905" s="180" t="s">
        <v>708</v>
      </c>
      <c r="AH905" s="180"/>
      <c r="AI905" s="180"/>
      <c r="AJ905" s="180"/>
      <c r="AK905" s="180"/>
      <c r="AL905" s="180"/>
      <c r="AM905" s="180"/>
      <c r="AN905" s="180"/>
      <c r="AO905" s="180"/>
      <c r="AP905" s="180"/>
      <c r="AQ905" s="180"/>
      <c r="AR905" s="180" t="s">
        <v>708</v>
      </c>
      <c r="AS905" s="180"/>
      <c r="AT905" s="180"/>
      <c r="AU905" s="304"/>
      <c r="AW905" s="182" t="s">
        <v>666</v>
      </c>
      <c r="AX905" s="182" t="s">
        <v>666</v>
      </c>
    </row>
    <row r="906" spans="1:50" ht="15.75" customHeight="1" x14ac:dyDescent="0.3">
      <c r="A906" s="189"/>
      <c r="B906" s="394" t="str">
        <f>+A8</f>
        <v>Revised:  1/18/2018</v>
      </c>
      <c r="C906" s="394"/>
      <c r="D906" s="394"/>
      <c r="E906" s="394"/>
      <c r="F906" s="394"/>
      <c r="G906" s="394"/>
      <c r="H906" s="394"/>
      <c r="I906" s="394"/>
      <c r="J906" s="394"/>
      <c r="K906" s="394"/>
      <c r="L906" s="394"/>
      <c r="M906" s="394"/>
      <c r="N906" s="394"/>
      <c r="O906" s="394"/>
      <c r="P906" s="394"/>
      <c r="Q906" s="180"/>
      <c r="R906" s="306"/>
      <c r="AC906" s="179"/>
      <c r="AD906" s="180"/>
      <c r="AE906" s="180"/>
      <c r="AF906" s="180"/>
      <c r="AG906" s="180"/>
      <c r="AH906" s="180"/>
      <c r="AI906" s="180"/>
      <c r="AJ906" s="180"/>
      <c r="AK906" s="180"/>
      <c r="AL906" s="180"/>
      <c r="AM906" s="180"/>
      <c r="AN906" s="180"/>
      <c r="AO906" s="180"/>
      <c r="AP906" s="180"/>
      <c r="AQ906" s="180"/>
      <c r="AR906" s="180"/>
      <c r="AS906" s="180"/>
      <c r="AT906" s="180"/>
      <c r="AU906" s="304"/>
      <c r="AW906" s="180">
        <f t="shared" ref="AW906:AW917" si="206">SUM(L942:Q942)</f>
        <v>8977</v>
      </c>
      <c r="AX906" s="203">
        <v>2.4700000000000002</v>
      </c>
    </row>
    <row r="907" spans="1:50" ht="15.75" customHeight="1" x14ac:dyDescent="0.3">
      <c r="A907" s="189"/>
      <c r="B907" s="394" t="s">
        <v>670</v>
      </c>
      <c r="C907" s="394"/>
      <c r="D907" s="394"/>
      <c r="E907" s="394"/>
      <c r="F907" s="394"/>
      <c r="G907" s="394"/>
      <c r="H907" s="394"/>
      <c r="I907" s="394"/>
      <c r="J907" s="394"/>
      <c r="K907" s="394"/>
      <c r="L907" s="394"/>
      <c r="M907" s="394"/>
      <c r="N907" s="394"/>
      <c r="O907" s="394"/>
      <c r="P907" s="394"/>
      <c r="Q907" s="180"/>
      <c r="R907" s="306"/>
      <c r="AC907" s="179" t="s">
        <v>709</v>
      </c>
      <c r="AD907" s="182" t="s">
        <v>677</v>
      </c>
      <c r="AE907" s="182" t="s">
        <v>678</v>
      </c>
      <c r="AF907" s="182" t="s">
        <v>679</v>
      </c>
      <c r="AG907" s="182" t="s">
        <v>680</v>
      </c>
      <c r="AH907" s="182" t="s">
        <v>644</v>
      </c>
      <c r="AI907" s="180"/>
      <c r="AJ907" s="182" t="s">
        <v>641</v>
      </c>
      <c r="AK907" s="180"/>
      <c r="AL907" s="180"/>
      <c r="AM907" s="180"/>
      <c r="AN907" s="180" t="s">
        <v>709</v>
      </c>
      <c r="AO907" s="182" t="s">
        <v>677</v>
      </c>
      <c r="AP907" s="182" t="s">
        <v>678</v>
      </c>
      <c r="AQ907" s="182" t="s">
        <v>679</v>
      </c>
      <c r="AR907" s="182" t="s">
        <v>680</v>
      </c>
      <c r="AS907" s="182" t="s">
        <v>644</v>
      </c>
      <c r="AT907" s="182" t="s">
        <v>641</v>
      </c>
      <c r="AU907" s="304"/>
      <c r="AW907" s="180">
        <f t="shared" si="206"/>
        <v>6913</v>
      </c>
      <c r="AX907" s="203">
        <v>2.4700000000000002</v>
      </c>
    </row>
    <row r="908" spans="1:50" ht="15.75" customHeight="1" x14ac:dyDescent="0.3">
      <c r="A908" s="189"/>
      <c r="B908" s="394"/>
      <c r="C908" s="394"/>
      <c r="D908" s="394"/>
      <c r="E908" s="394"/>
      <c r="F908" s="394"/>
      <c r="G908" s="394"/>
      <c r="H908" s="394"/>
      <c r="I908" s="394"/>
      <c r="J908" s="394"/>
      <c r="K908" s="394"/>
      <c r="L908" s="394"/>
      <c r="M908" s="394"/>
      <c r="N908" s="394"/>
      <c r="O908" s="394"/>
      <c r="P908" s="394"/>
      <c r="Q908" s="180"/>
      <c r="R908" s="306"/>
      <c r="AC908" s="179" t="s">
        <v>710</v>
      </c>
      <c r="AD908" s="180"/>
      <c r="AE908" s="180"/>
      <c r="AF908" s="180"/>
      <c r="AG908" s="180"/>
      <c r="AH908" s="182" t="s">
        <v>127</v>
      </c>
      <c r="AI908" s="180"/>
      <c r="AJ908" s="182" t="s">
        <v>711</v>
      </c>
      <c r="AK908" s="180"/>
      <c r="AL908" s="180"/>
      <c r="AM908" s="180"/>
      <c r="AN908" s="180" t="s">
        <v>710</v>
      </c>
      <c r="AO908" s="180"/>
      <c r="AP908" s="180"/>
      <c r="AQ908" s="180"/>
      <c r="AR908" s="180"/>
      <c r="AS908" s="182" t="s">
        <v>127</v>
      </c>
      <c r="AT908" s="182" t="s">
        <v>711</v>
      </c>
      <c r="AU908" s="304"/>
      <c r="AW908" s="180">
        <f t="shared" si="206"/>
        <v>12332</v>
      </c>
      <c r="AX908" s="203">
        <v>2.4700000000000002</v>
      </c>
    </row>
    <row r="909" spans="1:50" ht="15.75" customHeight="1" x14ac:dyDescent="0.3">
      <c r="A909" s="189"/>
      <c r="B909" s="395">
        <f>+A5</f>
        <v>2017</v>
      </c>
      <c r="C909" s="395"/>
      <c r="D909" s="395"/>
      <c r="E909" s="395"/>
      <c r="F909" s="395"/>
      <c r="G909" s="395"/>
      <c r="H909" s="395"/>
      <c r="I909" s="395"/>
      <c r="J909" s="395"/>
      <c r="K909" s="395"/>
      <c r="L909" s="395"/>
      <c r="M909" s="395"/>
      <c r="N909" s="395"/>
      <c r="O909" s="395"/>
      <c r="P909" s="395"/>
      <c r="Q909" s="180"/>
      <c r="R909" s="306"/>
      <c r="AC909" s="179" t="s">
        <v>712</v>
      </c>
      <c r="AD909" s="180">
        <f>+$B$940</f>
        <v>957</v>
      </c>
      <c r="AE909" s="180">
        <f>+C$940</f>
        <v>122</v>
      </c>
      <c r="AF909" s="180">
        <f>+D$940</f>
        <v>128</v>
      </c>
      <c r="AG909" s="180">
        <f>+E$940</f>
        <v>219</v>
      </c>
      <c r="AH909" s="180"/>
      <c r="AI909" s="180"/>
      <c r="AJ909" s="182" t="s">
        <v>658</v>
      </c>
      <c r="AK909" s="180"/>
      <c r="AL909" s="180"/>
      <c r="AM909" s="180"/>
      <c r="AN909" s="180" t="s">
        <v>712</v>
      </c>
      <c r="AO909" s="180">
        <f>+$B$940</f>
        <v>957</v>
      </c>
      <c r="AP909" s="180">
        <f>+C$940</f>
        <v>122</v>
      </c>
      <c r="AQ909" s="180">
        <f>+D$940</f>
        <v>128</v>
      </c>
      <c r="AR909" s="180">
        <f>+E$940</f>
        <v>219</v>
      </c>
      <c r="AS909" s="180"/>
      <c r="AT909" s="182" t="s">
        <v>658</v>
      </c>
      <c r="AU909" s="304"/>
      <c r="AW909" s="180">
        <f t="shared" si="206"/>
        <v>12473</v>
      </c>
      <c r="AX909" s="203">
        <v>2.4700000000000002</v>
      </c>
    </row>
    <row r="910" spans="1:50" ht="15.75" customHeight="1" x14ac:dyDescent="0.3">
      <c r="A910" s="189"/>
      <c r="B910" s="394" t="s">
        <v>713</v>
      </c>
      <c r="C910" s="394"/>
      <c r="D910" s="394"/>
      <c r="E910" s="394"/>
      <c r="F910" s="394"/>
      <c r="G910" s="394"/>
      <c r="H910" s="394"/>
      <c r="I910" s="394"/>
      <c r="J910" s="394"/>
      <c r="K910" s="394"/>
      <c r="L910" s="394"/>
      <c r="M910" s="394"/>
      <c r="N910" s="394"/>
      <c r="O910" s="394"/>
      <c r="P910" s="394"/>
      <c r="Q910" s="180"/>
      <c r="R910" s="306"/>
      <c r="AC910" s="179"/>
      <c r="AD910" s="180" t="s">
        <v>666</v>
      </c>
      <c r="AE910" s="180" t="s">
        <v>666</v>
      </c>
      <c r="AF910" s="180" t="s">
        <v>666</v>
      </c>
      <c r="AG910" s="180" t="s">
        <v>666</v>
      </c>
      <c r="AH910" s="180" t="s">
        <v>666</v>
      </c>
      <c r="AI910" s="180"/>
      <c r="AJ910" s="180" t="s">
        <v>714</v>
      </c>
      <c r="AK910" s="180"/>
      <c r="AL910" s="180"/>
      <c r="AM910" s="180"/>
      <c r="AN910" s="180"/>
      <c r="AO910" s="180" t="s">
        <v>666</v>
      </c>
      <c r="AP910" s="180" t="s">
        <v>666</v>
      </c>
      <c r="AQ910" s="180" t="s">
        <v>666</v>
      </c>
      <c r="AR910" s="180" t="s">
        <v>666</v>
      </c>
      <c r="AS910" s="180" t="s">
        <v>666</v>
      </c>
      <c r="AT910" s="180" t="s">
        <v>714</v>
      </c>
      <c r="AU910" s="304"/>
      <c r="AW910" s="180">
        <f t="shared" si="206"/>
        <v>12568</v>
      </c>
      <c r="AX910" s="203">
        <v>2.4700000000000002</v>
      </c>
    </row>
    <row r="911" spans="1:50" ht="15.75" customHeight="1" x14ac:dyDescent="0.3">
      <c r="A911" s="189"/>
      <c r="B911" s="180"/>
      <c r="C911" s="180"/>
      <c r="D911" s="180"/>
      <c r="E911" s="180"/>
      <c r="F911" s="180"/>
      <c r="G911" s="180"/>
      <c r="H911" s="180"/>
      <c r="I911" s="180"/>
      <c r="J911" s="180"/>
      <c r="K911" s="180"/>
      <c r="L911" s="180"/>
      <c r="M911" s="180"/>
      <c r="N911" s="180"/>
      <c r="O911" s="180"/>
      <c r="P911" s="180"/>
      <c r="Q911" s="180"/>
      <c r="R911" s="306"/>
      <c r="AC911" s="189" t="s">
        <v>668</v>
      </c>
      <c r="AD911" s="180">
        <f t="shared" ref="AD911:AD922" si="207">ROUND($F885*$AD$909/1000,0)</f>
        <v>79728</v>
      </c>
      <c r="AE911" s="180">
        <f t="shared" ref="AE911:AE922" si="208">ROUND($F885*$AE$909/1000,0)</f>
        <v>10164</v>
      </c>
      <c r="AF911" s="180">
        <f t="shared" ref="AF911:AF922" si="209">ROUND($F885*$AF$909/1000,0)</f>
        <v>10664</v>
      </c>
      <c r="AG911" s="180">
        <f t="shared" ref="AG911:AG922" si="210">ROUND($F885*$AG$909/1000,0)</f>
        <v>18245</v>
      </c>
      <c r="AH911" s="180">
        <f t="shared" ref="AH911:AH922" si="211">(F885*((T885-1526.8)/0.7702))/1000</f>
        <v>17674.420026488395</v>
      </c>
      <c r="AI911" s="180"/>
      <c r="AJ911" s="180">
        <f t="shared" ref="AJ911:AJ922" si="212">SUM(AD911:AH911)</f>
        <v>136475.4200264884</v>
      </c>
      <c r="AK911" s="180"/>
      <c r="AL911" s="180"/>
      <c r="AM911" s="180"/>
      <c r="AN911" s="182" t="s">
        <v>668</v>
      </c>
      <c r="AO911" s="180">
        <f t="shared" ref="AO911:AO922" si="213">ROUND((B885-$F885)*$AO$909/1000,0)</f>
        <v>39460</v>
      </c>
      <c r="AP911" s="180">
        <f t="shared" ref="AP911:AP922" si="214">ROUND((C885-$F885)*$AP$909/1000,0)</f>
        <v>5019</v>
      </c>
      <c r="AQ911" s="180">
        <f t="shared" ref="AQ911:AQ922" si="215">ROUND((D885-$F885)*$AQ$909/1000,0)</f>
        <v>5253</v>
      </c>
      <c r="AR911" s="180">
        <f t="shared" ref="AR911:AR922" si="216">ROUND((E885-$F885)*$AR$909/1000,0)</f>
        <v>8944</v>
      </c>
      <c r="AS911" s="180">
        <f>((F885-$F885)*(('[2]Lake Pleasant Forecast'!B35-1526.8)/0.7702))/1000</f>
        <v>0</v>
      </c>
      <c r="AT911" s="180">
        <f t="shared" ref="AT911:AT922" si="217">SUM(AN911:AR911)</f>
        <v>58676</v>
      </c>
      <c r="AU911" s="304"/>
      <c r="AW911" s="180">
        <f t="shared" si="206"/>
        <v>15168</v>
      </c>
      <c r="AX911" s="203">
        <v>2.4700000000000002</v>
      </c>
    </row>
    <row r="912" spans="1:50" ht="15.75" customHeight="1" thickBot="1" x14ac:dyDescent="0.35">
      <c r="A912" s="189" t="s">
        <v>647</v>
      </c>
      <c r="B912" s="191" t="s">
        <v>677</v>
      </c>
      <c r="C912" s="191" t="s">
        <v>678</v>
      </c>
      <c r="D912" s="191" t="s">
        <v>679</v>
      </c>
      <c r="E912" s="191" t="s">
        <v>680</v>
      </c>
      <c r="F912" s="191" t="s">
        <v>644</v>
      </c>
      <c r="G912" s="191" t="s">
        <v>644</v>
      </c>
      <c r="H912" s="191" t="s">
        <v>681</v>
      </c>
      <c r="I912" s="191" t="s">
        <v>682</v>
      </c>
      <c r="J912" s="191" t="s">
        <v>683</v>
      </c>
      <c r="K912" s="191" t="s">
        <v>684</v>
      </c>
      <c r="L912" s="191" t="s">
        <v>685</v>
      </c>
      <c r="M912" s="191" t="s">
        <v>686</v>
      </c>
      <c r="N912" s="191" t="s">
        <v>687</v>
      </c>
      <c r="O912" s="191" t="s">
        <v>688</v>
      </c>
      <c r="P912" s="191" t="s">
        <v>689</v>
      </c>
      <c r="Q912" s="191" t="s">
        <v>638</v>
      </c>
      <c r="R912" s="306"/>
      <c r="AC912" s="189" t="s">
        <v>669</v>
      </c>
      <c r="AD912" s="180">
        <f t="shared" si="207"/>
        <v>15771</v>
      </c>
      <c r="AE912" s="180">
        <f t="shared" si="208"/>
        <v>2011</v>
      </c>
      <c r="AF912" s="180">
        <f t="shared" si="209"/>
        <v>2109</v>
      </c>
      <c r="AG912" s="180">
        <f t="shared" si="210"/>
        <v>3609</v>
      </c>
      <c r="AH912" s="180">
        <f t="shared" si="211"/>
        <v>3570.3100493378374</v>
      </c>
      <c r="AI912" s="180"/>
      <c r="AJ912" s="180">
        <f t="shared" si="212"/>
        <v>27070.310049337837</v>
      </c>
      <c r="AK912" s="180"/>
      <c r="AL912" s="180"/>
      <c r="AM912" s="180"/>
      <c r="AN912" s="182" t="s">
        <v>669</v>
      </c>
      <c r="AO912" s="180">
        <f t="shared" si="213"/>
        <v>41842</v>
      </c>
      <c r="AP912" s="180">
        <f t="shared" si="214"/>
        <v>5316</v>
      </c>
      <c r="AQ912" s="180">
        <f t="shared" si="215"/>
        <v>5559</v>
      </c>
      <c r="AR912" s="180">
        <f t="shared" si="216"/>
        <v>9238</v>
      </c>
      <c r="AS912" s="180">
        <f>((F886-$F886)*(('[2]Lake Pleasant Forecast'!B37-1526.8)/0.7702))/1000</f>
        <v>0</v>
      </c>
      <c r="AT912" s="180">
        <f t="shared" si="217"/>
        <v>61955</v>
      </c>
      <c r="AU912" s="304"/>
      <c r="AW912" s="180">
        <f t="shared" si="206"/>
        <v>14219</v>
      </c>
      <c r="AX912" s="203">
        <v>2.4700000000000002</v>
      </c>
    </row>
    <row r="913" spans="1:50" ht="15.75" customHeight="1" x14ac:dyDescent="0.3">
      <c r="A913" s="189"/>
      <c r="B913" s="180"/>
      <c r="C913" s="180"/>
      <c r="D913" s="180"/>
      <c r="E913" s="180"/>
      <c r="F913" s="182" t="s">
        <v>127</v>
      </c>
      <c r="G913" s="182" t="s">
        <v>653</v>
      </c>
      <c r="H913" s="180"/>
      <c r="I913" s="180"/>
      <c r="J913" s="180"/>
      <c r="K913" s="180"/>
      <c r="L913" s="180"/>
      <c r="M913" s="180"/>
      <c r="N913" s="180"/>
      <c r="O913" s="180"/>
      <c r="P913" s="180"/>
      <c r="Q913" s="180"/>
      <c r="R913" s="306"/>
      <c r="AC913" s="189" t="s">
        <v>671</v>
      </c>
      <c r="AD913" s="180">
        <f t="shared" si="207"/>
        <v>19193</v>
      </c>
      <c r="AE913" s="180">
        <f t="shared" si="208"/>
        <v>2447</v>
      </c>
      <c r="AF913" s="180">
        <f t="shared" si="209"/>
        <v>2567</v>
      </c>
      <c r="AG913" s="180">
        <f t="shared" si="210"/>
        <v>4392</v>
      </c>
      <c r="AH913" s="180">
        <f t="shared" si="211"/>
        <v>4423.9736432095578</v>
      </c>
      <c r="AI913" s="180"/>
      <c r="AJ913" s="180">
        <f t="shared" si="212"/>
        <v>33022.97364320956</v>
      </c>
      <c r="AK913" s="180"/>
      <c r="AL913" s="180"/>
      <c r="AM913" s="180"/>
      <c r="AN913" s="182" t="s">
        <v>671</v>
      </c>
      <c r="AO913" s="180">
        <f t="shared" si="213"/>
        <v>110622</v>
      </c>
      <c r="AP913" s="180">
        <f t="shared" si="214"/>
        <v>14069</v>
      </c>
      <c r="AQ913" s="180">
        <f t="shared" si="215"/>
        <v>14727</v>
      </c>
      <c r="AR913" s="180">
        <f t="shared" si="216"/>
        <v>24537</v>
      </c>
      <c r="AS913" s="180">
        <f>((F887-$F887)*(('[2]Lake Pleasant Forecast'!B39-1526.8)/0.7702))/1000</f>
        <v>0</v>
      </c>
      <c r="AT913" s="180">
        <f t="shared" si="217"/>
        <v>163955</v>
      </c>
      <c r="AU913" s="304"/>
      <c r="AW913" s="180">
        <f t="shared" si="206"/>
        <v>14091</v>
      </c>
      <c r="AX913" s="203">
        <v>2.4700000000000002</v>
      </c>
    </row>
    <row r="914" spans="1:50" ht="15.75" customHeight="1" x14ac:dyDescent="0.3">
      <c r="A914" s="192" t="s">
        <v>8</v>
      </c>
      <c r="B914" s="180">
        <f t="shared" ref="B914:Q914" si="218">(B885/$B$10/1.983)</f>
        <v>2025.97888503896</v>
      </c>
      <c r="C914" s="180">
        <f t="shared" si="218"/>
        <v>2024.4009565174954</v>
      </c>
      <c r="D914" s="180">
        <f t="shared" si="218"/>
        <v>2022.8392953003759</v>
      </c>
      <c r="E914" s="180">
        <f t="shared" si="218"/>
        <v>2019.6021017357214</v>
      </c>
      <c r="F914" s="180">
        <f t="shared" si="218"/>
        <v>1355.2291249816992</v>
      </c>
      <c r="G914" s="180">
        <f t="shared" si="218"/>
        <v>-59.32685894620402</v>
      </c>
      <c r="H914" s="180">
        <f t="shared" si="218"/>
        <v>412.50630358043367</v>
      </c>
      <c r="I914" s="180">
        <f t="shared" si="218"/>
        <v>248.35293543506904</v>
      </c>
      <c r="J914" s="180">
        <f t="shared" si="218"/>
        <v>248.20652969596406</v>
      </c>
      <c r="K914" s="180">
        <f t="shared" si="218"/>
        <v>246.07551282676945</v>
      </c>
      <c r="L914" s="180">
        <f t="shared" si="218"/>
        <v>235.29029004603646</v>
      </c>
      <c r="M914" s="180">
        <f t="shared" si="218"/>
        <v>234.96494395913652</v>
      </c>
      <c r="N914" s="180">
        <f t="shared" si="218"/>
        <v>229.87327769915245</v>
      </c>
      <c r="O914" s="180">
        <f t="shared" si="218"/>
        <v>56.2198038163096</v>
      </c>
      <c r="P914" s="180">
        <f t="shared" si="218"/>
        <v>3.9529549558342687</v>
      </c>
      <c r="Q914" s="180">
        <f t="shared" si="218"/>
        <v>56.1872692076196</v>
      </c>
      <c r="R914" s="306"/>
      <c r="AC914" s="189" t="s">
        <v>672</v>
      </c>
      <c r="AD914" s="180">
        <f t="shared" si="207"/>
        <v>9090</v>
      </c>
      <c r="AE914" s="180">
        <f t="shared" si="208"/>
        <v>1159</v>
      </c>
      <c r="AF914" s="180">
        <f t="shared" si="209"/>
        <v>1216</v>
      </c>
      <c r="AG914" s="180">
        <f t="shared" si="210"/>
        <v>2080</v>
      </c>
      <c r="AH914" s="180">
        <f t="shared" si="211"/>
        <v>2087.9180723168452</v>
      </c>
      <c r="AI914" s="180"/>
      <c r="AJ914" s="180">
        <f t="shared" si="212"/>
        <v>15632.918072316845</v>
      </c>
      <c r="AK914" s="180"/>
      <c r="AL914" s="180"/>
      <c r="AM914" s="180"/>
      <c r="AN914" s="182" t="s">
        <v>672</v>
      </c>
      <c r="AO914" s="180">
        <f t="shared" si="213"/>
        <v>144177</v>
      </c>
      <c r="AP914" s="180">
        <f t="shared" si="214"/>
        <v>18335</v>
      </c>
      <c r="AQ914" s="180">
        <f t="shared" si="215"/>
        <v>19192</v>
      </c>
      <c r="AR914" s="180">
        <f t="shared" si="216"/>
        <v>31679</v>
      </c>
      <c r="AS914" s="180">
        <f>((F888-$F888)*(('[2]Lake Pleasant Forecast'!B41-1526.8)/0.7702))/1000</f>
        <v>0</v>
      </c>
      <c r="AT914" s="180">
        <f t="shared" si="217"/>
        <v>213383</v>
      </c>
      <c r="AU914" s="304"/>
      <c r="AW914" s="180">
        <f t="shared" si="206"/>
        <v>12562</v>
      </c>
      <c r="AX914" s="203">
        <v>2.4700000000000002</v>
      </c>
    </row>
    <row r="915" spans="1:50" ht="15.75" customHeight="1" x14ac:dyDescent="0.3">
      <c r="A915" s="192" t="s">
        <v>9</v>
      </c>
      <c r="B915" s="180">
        <f t="shared" ref="B915:Q915" si="219">(B886/$C$10/1.983)</f>
        <v>1084.2518550536704</v>
      </c>
      <c r="C915" s="180">
        <f t="shared" si="219"/>
        <v>1081.5863410417116</v>
      </c>
      <c r="D915" s="180">
        <f t="shared" si="219"/>
        <v>1078.9748577191845</v>
      </c>
      <c r="E915" s="180">
        <f t="shared" si="219"/>
        <v>1056.5341113752611</v>
      </c>
      <c r="F915" s="180">
        <f t="shared" si="219"/>
        <v>296.80858727757362</v>
      </c>
      <c r="G915" s="180">
        <f t="shared" si="219"/>
        <v>-141.66846768964771</v>
      </c>
      <c r="H915" s="180">
        <f t="shared" si="219"/>
        <v>591.02370146243061</v>
      </c>
      <c r="I915" s="180">
        <f t="shared" si="219"/>
        <v>241.76932497658669</v>
      </c>
      <c r="J915" s="180">
        <f t="shared" si="219"/>
        <v>240.32850659174409</v>
      </c>
      <c r="K915" s="180">
        <f t="shared" si="219"/>
        <v>237.10467545565882</v>
      </c>
      <c r="L915" s="180">
        <f t="shared" si="219"/>
        <v>205.38866075931128</v>
      </c>
      <c r="M915" s="180">
        <f t="shared" si="219"/>
        <v>204.99243570347957</v>
      </c>
      <c r="N915" s="180">
        <f t="shared" si="219"/>
        <v>195.87925941935018</v>
      </c>
      <c r="O915" s="180">
        <f t="shared" si="219"/>
        <v>37.749441682875876</v>
      </c>
      <c r="P915" s="180">
        <f t="shared" si="219"/>
        <v>19.667170953101362</v>
      </c>
      <c r="Q915" s="180">
        <f t="shared" si="219"/>
        <v>37.695410993444277</v>
      </c>
      <c r="R915" s="306"/>
      <c r="AC915" s="189" t="s">
        <v>673</v>
      </c>
      <c r="AD915" s="180">
        <f t="shared" si="207"/>
        <v>23566</v>
      </c>
      <c r="AE915" s="180">
        <f t="shared" si="208"/>
        <v>3004</v>
      </c>
      <c r="AF915" s="180">
        <f t="shared" si="209"/>
        <v>3152</v>
      </c>
      <c r="AG915" s="180">
        <f t="shared" si="210"/>
        <v>5393</v>
      </c>
      <c r="AH915" s="180">
        <f t="shared" si="211"/>
        <v>5338.7204622176141</v>
      </c>
      <c r="AI915" s="180"/>
      <c r="AJ915" s="180">
        <f t="shared" si="212"/>
        <v>40453.720462217614</v>
      </c>
      <c r="AK915" s="180"/>
      <c r="AL915" s="180"/>
      <c r="AM915" s="180"/>
      <c r="AN915" s="182" t="s">
        <v>673</v>
      </c>
      <c r="AO915" s="180">
        <f t="shared" si="213"/>
        <v>144879</v>
      </c>
      <c r="AP915" s="180">
        <f t="shared" si="214"/>
        <v>18418</v>
      </c>
      <c r="AQ915" s="180">
        <f t="shared" si="215"/>
        <v>19272</v>
      </c>
      <c r="AR915" s="180">
        <f t="shared" si="216"/>
        <v>31580</v>
      </c>
      <c r="AS915" s="180">
        <f>((F889-$F889)*(('[2]Lake Pleasant Forecast'!B43-1526.8)/0.7702))/1000</f>
        <v>0</v>
      </c>
      <c r="AT915" s="180">
        <f t="shared" si="217"/>
        <v>214149</v>
      </c>
      <c r="AU915" s="304"/>
      <c r="AW915" s="180">
        <f t="shared" si="206"/>
        <v>6847</v>
      </c>
      <c r="AX915" s="203">
        <v>2.4700000000000002</v>
      </c>
    </row>
    <row r="916" spans="1:50" ht="15.75" customHeight="1" x14ac:dyDescent="0.3">
      <c r="A916" s="192" t="s">
        <v>10</v>
      </c>
      <c r="B916" s="180">
        <f t="shared" ref="B916:Q916" si="220">(B887/$D$10/1.983)</f>
        <v>2206.6110324858068</v>
      </c>
      <c r="C916" s="180">
        <f t="shared" si="220"/>
        <v>2202.1537910952775</v>
      </c>
      <c r="D916" s="180">
        <f t="shared" si="220"/>
        <v>2197.908024661233</v>
      </c>
      <c r="E916" s="180">
        <f t="shared" si="220"/>
        <v>2148.8133001480323</v>
      </c>
      <c r="F916" s="180">
        <f t="shared" si="220"/>
        <v>326.24078863891458</v>
      </c>
      <c r="G916" s="180">
        <f t="shared" si="220"/>
        <v>-3.3673319994143771</v>
      </c>
      <c r="H916" s="180">
        <f t="shared" si="220"/>
        <v>1422.5269630569519</v>
      </c>
      <c r="I916" s="180">
        <f t="shared" si="220"/>
        <v>543.62077660110936</v>
      </c>
      <c r="J916" s="180">
        <f t="shared" si="220"/>
        <v>441.59224374928829</v>
      </c>
      <c r="K916" s="180">
        <f t="shared" si="220"/>
        <v>400.27329071299596</v>
      </c>
      <c r="L916" s="180">
        <f t="shared" si="220"/>
        <v>327.52590568216942</v>
      </c>
      <c r="M916" s="180">
        <f t="shared" si="220"/>
        <v>327.07042116050951</v>
      </c>
      <c r="N916" s="180">
        <f t="shared" si="220"/>
        <v>312.16957038049225</v>
      </c>
      <c r="O916" s="180">
        <f t="shared" si="220"/>
        <v>69.591527987897123</v>
      </c>
      <c r="P916" s="180">
        <f t="shared" si="220"/>
        <v>19.699705561791355</v>
      </c>
      <c r="Q916" s="180">
        <f t="shared" si="220"/>
        <v>69.510191466172145</v>
      </c>
      <c r="R916" s="306"/>
      <c r="AC916" s="189" t="s">
        <v>675</v>
      </c>
      <c r="AD916" s="180">
        <f t="shared" si="207"/>
        <v>0</v>
      </c>
      <c r="AE916" s="180">
        <f t="shared" si="208"/>
        <v>0</v>
      </c>
      <c r="AF916" s="180">
        <f t="shared" si="209"/>
        <v>0</v>
      </c>
      <c r="AG916" s="180">
        <f t="shared" si="210"/>
        <v>0</v>
      </c>
      <c r="AH916" s="180">
        <f t="shared" si="211"/>
        <v>0</v>
      </c>
      <c r="AI916" s="180"/>
      <c r="AJ916" s="180">
        <f t="shared" si="212"/>
        <v>0</v>
      </c>
      <c r="AK916" s="180"/>
      <c r="AL916" s="180"/>
      <c r="AM916" s="180"/>
      <c r="AN916" s="182" t="s">
        <v>675</v>
      </c>
      <c r="AO916" s="180">
        <f t="shared" si="213"/>
        <v>79192</v>
      </c>
      <c r="AP916" s="180">
        <f t="shared" si="214"/>
        <v>10045</v>
      </c>
      <c r="AQ916" s="180">
        <f t="shared" si="215"/>
        <v>10488</v>
      </c>
      <c r="AR916" s="180">
        <f t="shared" si="216"/>
        <v>16599</v>
      </c>
      <c r="AS916" s="180">
        <f>((F890-$F890)*(('[2]Lake Pleasant Forecast'!B45-1526.8)/0.7702))/1000</f>
        <v>0</v>
      </c>
      <c r="AT916" s="180">
        <f t="shared" si="217"/>
        <v>116324</v>
      </c>
      <c r="AU916" s="304"/>
      <c r="AW916" s="180">
        <f t="shared" si="206"/>
        <v>2085</v>
      </c>
      <c r="AX916" s="203">
        <v>2.4700000000000002</v>
      </c>
    </row>
    <row r="917" spans="1:50" ht="15.75" customHeight="1" x14ac:dyDescent="0.3">
      <c r="A917" s="192" t="s">
        <v>12</v>
      </c>
      <c r="B917" s="180">
        <f t="shared" ref="B917:Q917" si="221">(B888/$F$10/1.983)</f>
        <v>2692.0995125231129</v>
      </c>
      <c r="C917" s="180">
        <f t="shared" si="221"/>
        <v>2685.930408472012</v>
      </c>
      <c r="D917" s="180">
        <f t="shared" si="221"/>
        <v>2680.047066733905</v>
      </c>
      <c r="E917" s="180">
        <f t="shared" si="221"/>
        <v>2591.1749873928393</v>
      </c>
      <c r="F917" s="180">
        <f t="shared" si="221"/>
        <v>159.65708522440747</v>
      </c>
      <c r="G917" s="180">
        <f t="shared" si="221"/>
        <v>-0.10085728693898134</v>
      </c>
      <c r="H917" s="180">
        <f t="shared" si="221"/>
        <v>1800.1849050260548</v>
      </c>
      <c r="I917" s="180">
        <f t="shared" si="221"/>
        <v>673.23919986552357</v>
      </c>
      <c r="J917" s="180">
        <f t="shared" si="221"/>
        <v>500.01680954782313</v>
      </c>
      <c r="K917" s="180">
        <f t="shared" si="221"/>
        <v>420.07060010085729</v>
      </c>
      <c r="L917" s="180">
        <f t="shared" si="221"/>
        <v>328.02151622121363</v>
      </c>
      <c r="M917" s="180">
        <f t="shared" si="221"/>
        <v>327.39956295175659</v>
      </c>
      <c r="N917" s="180">
        <f t="shared" si="221"/>
        <v>310.01849050260546</v>
      </c>
      <c r="O917" s="180">
        <f t="shared" si="221"/>
        <v>66.935619431837267</v>
      </c>
      <c r="P917" s="180">
        <f t="shared" si="221"/>
        <v>52.765170616910403</v>
      </c>
      <c r="Q917" s="180">
        <f t="shared" si="221"/>
        <v>66.817952597075134</v>
      </c>
      <c r="R917" s="306"/>
      <c r="AC917" s="189" t="s">
        <v>676</v>
      </c>
      <c r="AD917" s="180">
        <f t="shared" si="207"/>
        <v>0</v>
      </c>
      <c r="AE917" s="180">
        <f t="shared" si="208"/>
        <v>0</v>
      </c>
      <c r="AF917" s="180">
        <f t="shared" si="209"/>
        <v>0</v>
      </c>
      <c r="AG917" s="180">
        <f t="shared" si="210"/>
        <v>0</v>
      </c>
      <c r="AH917" s="180">
        <f t="shared" si="211"/>
        <v>0</v>
      </c>
      <c r="AI917" s="180"/>
      <c r="AJ917" s="180">
        <f t="shared" si="212"/>
        <v>0</v>
      </c>
      <c r="AK917" s="180"/>
      <c r="AL917" s="180"/>
      <c r="AM917" s="180"/>
      <c r="AN917" s="182" t="s">
        <v>676</v>
      </c>
      <c r="AO917" s="180">
        <f t="shared" si="213"/>
        <v>72154</v>
      </c>
      <c r="AP917" s="180">
        <f t="shared" si="214"/>
        <v>9148</v>
      </c>
      <c r="AQ917" s="180">
        <f t="shared" si="215"/>
        <v>9547</v>
      </c>
      <c r="AR917" s="180">
        <f t="shared" si="216"/>
        <v>15036</v>
      </c>
      <c r="AS917" s="180">
        <f>((F891-$F891)*(('[2]Lake Pleasant Forecast'!B47-1526.8)/0.7702))/1000</f>
        <v>0</v>
      </c>
      <c r="AT917" s="180">
        <f t="shared" si="217"/>
        <v>105885</v>
      </c>
      <c r="AU917" s="304"/>
      <c r="AW917" s="180">
        <f t="shared" si="206"/>
        <v>6339</v>
      </c>
      <c r="AX917" s="203">
        <v>2.4700000000000002</v>
      </c>
    </row>
    <row r="918" spans="1:50" ht="15.75" customHeight="1" x14ac:dyDescent="0.3">
      <c r="A918" s="192" t="s">
        <v>13</v>
      </c>
      <c r="B918" s="180">
        <f t="shared" ref="B918:Q918" si="222">(B889/$G$10/1.983)</f>
        <v>2863.2733069803003</v>
      </c>
      <c r="C918" s="180">
        <f t="shared" si="222"/>
        <v>2856.3597026336765</v>
      </c>
      <c r="D918" s="180">
        <f t="shared" si="222"/>
        <v>2849.8202462869876</v>
      </c>
      <c r="E918" s="180">
        <f t="shared" si="222"/>
        <v>2746.3764579571516</v>
      </c>
      <c r="F918" s="180">
        <f t="shared" si="222"/>
        <v>400.58236949555089</v>
      </c>
      <c r="G918" s="180">
        <f>(G889/$G$10/1.983)</f>
        <v>-24.270818082735509</v>
      </c>
      <c r="H918" s="180">
        <f t="shared" si="222"/>
        <v>1689.1155466627624</v>
      </c>
      <c r="I918" s="180">
        <f t="shared" si="222"/>
        <v>570.59196720511443</v>
      </c>
      <c r="J918" s="180">
        <f t="shared" si="222"/>
        <v>483.98483887235045</v>
      </c>
      <c r="K918" s="180">
        <f t="shared" si="222"/>
        <v>388.98378149756803</v>
      </c>
      <c r="L918" s="180">
        <f t="shared" si="222"/>
        <v>322.77585281343028</v>
      </c>
      <c r="M918" s="180">
        <f t="shared" si="222"/>
        <v>322.09262603094044</v>
      </c>
      <c r="N918" s="180">
        <f t="shared" si="222"/>
        <v>289.26520586273648</v>
      </c>
      <c r="O918" s="180">
        <f t="shared" si="222"/>
        <v>50.623851121630636</v>
      </c>
      <c r="P918" s="180">
        <f t="shared" si="222"/>
        <v>86.802335984903934</v>
      </c>
      <c r="Q918" s="180">
        <f t="shared" si="222"/>
        <v>50.493712686870651</v>
      </c>
      <c r="R918" s="306"/>
      <c r="AC918" s="189" t="s">
        <v>691</v>
      </c>
      <c r="AD918" s="180">
        <f t="shared" si="207"/>
        <v>0</v>
      </c>
      <c r="AE918" s="180">
        <f t="shared" si="208"/>
        <v>0</v>
      </c>
      <c r="AF918" s="180">
        <f t="shared" si="209"/>
        <v>0</v>
      </c>
      <c r="AG918" s="180">
        <f t="shared" si="210"/>
        <v>0</v>
      </c>
      <c r="AH918" s="180">
        <f t="shared" si="211"/>
        <v>0</v>
      </c>
      <c r="AI918" s="180"/>
      <c r="AJ918" s="180">
        <f t="shared" si="212"/>
        <v>0</v>
      </c>
      <c r="AK918" s="180"/>
      <c r="AL918" s="180"/>
      <c r="AM918" s="180"/>
      <c r="AN918" s="182" t="s">
        <v>691</v>
      </c>
      <c r="AO918" s="180">
        <f t="shared" si="213"/>
        <v>69091</v>
      </c>
      <c r="AP918" s="180">
        <f t="shared" si="214"/>
        <v>8767</v>
      </c>
      <c r="AQ918" s="180">
        <f t="shared" si="215"/>
        <v>9158</v>
      </c>
      <c r="AR918" s="180">
        <f t="shared" si="216"/>
        <v>14437</v>
      </c>
      <c r="AS918" s="180">
        <f>((F892-$F892)*(('[2]Lake Pleasant Forecast'!B49-1526.8)/0.7702))/1000</f>
        <v>0</v>
      </c>
      <c r="AT918" s="180">
        <f t="shared" si="217"/>
        <v>101453</v>
      </c>
      <c r="AU918" s="304"/>
      <c r="AW918" s="180"/>
      <c r="AX918" s="203"/>
    </row>
    <row r="919" spans="1:50" ht="15.75" customHeight="1" x14ac:dyDescent="0.3">
      <c r="A919" s="192" t="s">
        <v>14</v>
      </c>
      <c r="B919" s="180">
        <f t="shared" ref="B919:Q919" si="223">(B890/$H$10/1.983)</f>
        <v>1390.9900823667842</v>
      </c>
      <c r="C919" s="180">
        <f t="shared" si="223"/>
        <v>1383.9805009245251</v>
      </c>
      <c r="D919" s="180">
        <f t="shared" si="223"/>
        <v>1377.3239199865523</v>
      </c>
      <c r="E919" s="180">
        <f t="shared" si="223"/>
        <v>1274.0628677088587</v>
      </c>
      <c r="F919" s="180">
        <f t="shared" si="223"/>
        <v>0</v>
      </c>
      <c r="G919" s="180">
        <f t="shared" si="223"/>
        <v>-1976.4330139519247</v>
      </c>
      <c r="H919" s="180">
        <f t="shared" si="223"/>
        <v>2374.6175827870229</v>
      </c>
      <c r="I919" s="180">
        <f t="shared" si="223"/>
        <v>832.81223735081528</v>
      </c>
      <c r="J919" s="180">
        <f t="shared" si="223"/>
        <v>520.08740964868036</v>
      </c>
      <c r="K919" s="180">
        <f t="shared" si="223"/>
        <v>420.5748865355522</v>
      </c>
      <c r="L919" s="180">
        <f t="shared" si="223"/>
        <v>359.85879979828542</v>
      </c>
      <c r="M919" s="180">
        <f t="shared" si="223"/>
        <v>359.11917969406619</v>
      </c>
      <c r="N919" s="180">
        <f t="shared" si="223"/>
        <v>348.5291645654732</v>
      </c>
      <c r="O919" s="180">
        <f t="shared" si="223"/>
        <v>80.332829046898638</v>
      </c>
      <c r="P919" s="180">
        <f t="shared" si="223"/>
        <v>112.08606488485459</v>
      </c>
      <c r="Q919" s="180">
        <f t="shared" si="223"/>
        <v>80.181543116490161</v>
      </c>
      <c r="R919" s="306"/>
      <c r="AC919" s="189" t="s">
        <v>692</v>
      </c>
      <c r="AD919" s="180">
        <f t="shared" si="207"/>
        <v>9196</v>
      </c>
      <c r="AE919" s="180">
        <f t="shared" si="208"/>
        <v>1172</v>
      </c>
      <c r="AF919" s="180">
        <f t="shared" si="209"/>
        <v>1230</v>
      </c>
      <c r="AG919" s="180">
        <f t="shared" si="210"/>
        <v>2104</v>
      </c>
      <c r="AH919" s="180">
        <f t="shared" si="211"/>
        <v>1657.8082575954311</v>
      </c>
      <c r="AI919" s="180"/>
      <c r="AJ919" s="180">
        <f t="shared" si="212"/>
        <v>15359.80825759543</v>
      </c>
      <c r="AK919" s="180"/>
      <c r="AL919" s="180"/>
      <c r="AM919" s="180"/>
      <c r="AN919" s="182" t="s">
        <v>692</v>
      </c>
      <c r="AO919" s="180">
        <f t="shared" si="213"/>
        <v>117816</v>
      </c>
      <c r="AP919" s="180">
        <f t="shared" si="214"/>
        <v>14981</v>
      </c>
      <c r="AQ919" s="180">
        <f t="shared" si="215"/>
        <v>15679</v>
      </c>
      <c r="AR919" s="180">
        <f t="shared" si="216"/>
        <v>25810</v>
      </c>
      <c r="AS919" s="180">
        <f>((F893-$F893)*(('[2]Lake Pleasant Forecast'!B51-1526.8)/0.7702))/1000</f>
        <v>0</v>
      </c>
      <c r="AT919" s="180">
        <f t="shared" si="217"/>
        <v>174286</v>
      </c>
      <c r="AU919" s="304"/>
      <c r="AW919" s="180">
        <f>(SUM(AW906:AW917))</f>
        <v>124574</v>
      </c>
      <c r="AX919" s="203"/>
    </row>
    <row r="920" spans="1:50" ht="15.75" customHeight="1" x14ac:dyDescent="0.3">
      <c r="A920" s="192" t="s">
        <v>16</v>
      </c>
      <c r="B920" s="180">
        <f t="shared" ref="B920:Q920" si="224">(B891/$J$10/1.983)</f>
        <v>1226.489678395393</v>
      </c>
      <c r="C920" s="180">
        <f t="shared" si="224"/>
        <v>1219.7224797878741</v>
      </c>
      <c r="D920" s="180">
        <f t="shared" si="224"/>
        <v>1213.3131618759455</v>
      </c>
      <c r="E920" s="180">
        <f t="shared" si="224"/>
        <v>1116.8805817188033</v>
      </c>
      <c r="F920" s="180">
        <f t="shared" si="224"/>
        <v>0</v>
      </c>
      <c r="G920" s="180">
        <f t="shared" si="224"/>
        <v>-1631.9522391944429</v>
      </c>
      <c r="H920" s="180">
        <f t="shared" si="224"/>
        <v>1836.6599970718851</v>
      </c>
      <c r="I920" s="180">
        <f t="shared" si="224"/>
        <v>848.06337741772813</v>
      </c>
      <c r="J920" s="180">
        <f t="shared" si="224"/>
        <v>518.65046443153904</v>
      </c>
      <c r="K920" s="180">
        <f t="shared" si="224"/>
        <v>402.74592097343549</v>
      </c>
      <c r="L920" s="180">
        <f t="shared" si="224"/>
        <v>353.27704846029962</v>
      </c>
      <c r="M920" s="180">
        <f t="shared" si="224"/>
        <v>352.64262359084472</v>
      </c>
      <c r="N920" s="180">
        <f t="shared" si="224"/>
        <v>327.91632098644931</v>
      </c>
      <c r="O920" s="180">
        <f t="shared" si="224"/>
        <v>65.166821206057932</v>
      </c>
      <c r="P920" s="180">
        <f t="shared" si="224"/>
        <v>90.33234102776828</v>
      </c>
      <c r="Q920" s="180">
        <f t="shared" si="224"/>
        <v>65.052950075642968</v>
      </c>
      <c r="R920" s="306"/>
      <c r="AC920" s="189" t="s">
        <v>693</v>
      </c>
      <c r="AD920" s="180">
        <f t="shared" si="207"/>
        <v>42253</v>
      </c>
      <c r="AE920" s="180">
        <f t="shared" si="208"/>
        <v>5387</v>
      </c>
      <c r="AF920" s="180">
        <f t="shared" si="209"/>
        <v>5651</v>
      </c>
      <c r="AG920" s="180">
        <f t="shared" si="210"/>
        <v>9669</v>
      </c>
      <c r="AH920" s="180">
        <f t="shared" si="211"/>
        <v>7995.1693586081419</v>
      </c>
      <c r="AI920" s="180"/>
      <c r="AJ920" s="180">
        <f t="shared" si="212"/>
        <v>70955.169358608138</v>
      </c>
      <c r="AK920" s="180"/>
      <c r="AL920" s="180"/>
      <c r="AM920" s="180"/>
      <c r="AN920" s="182" t="s">
        <v>693</v>
      </c>
      <c r="AO920" s="180">
        <f t="shared" si="213"/>
        <v>81756</v>
      </c>
      <c r="AP920" s="180">
        <f t="shared" si="214"/>
        <v>10388</v>
      </c>
      <c r="AQ920" s="180">
        <f t="shared" si="215"/>
        <v>10864</v>
      </c>
      <c r="AR920" s="180">
        <f t="shared" si="216"/>
        <v>17845</v>
      </c>
      <c r="AS920" s="180">
        <f>((F894-$F894)*(('[2]Lake Pleasant Forecast'!B53-1526.8)/0.7702))/1000</f>
        <v>0</v>
      </c>
      <c r="AT920" s="180">
        <f t="shared" si="217"/>
        <v>120853</v>
      </c>
      <c r="AU920" s="304"/>
    </row>
    <row r="921" spans="1:50" ht="15.75" customHeight="1" x14ac:dyDescent="0.3">
      <c r="A921" s="192" t="s">
        <v>17</v>
      </c>
      <c r="B921" s="180">
        <f t="shared" ref="B921:Q921" si="225">(B892/$K$10/1.983)</f>
        <v>1174.4180371870577</v>
      </c>
      <c r="C921" s="180">
        <f t="shared" si="225"/>
        <v>1168.9847575358287</v>
      </c>
      <c r="D921" s="180">
        <f t="shared" si="225"/>
        <v>1163.8117547541196</v>
      </c>
      <c r="E921" s="180">
        <f t="shared" si="225"/>
        <v>1072.3895043352366</v>
      </c>
      <c r="F921" s="180">
        <f t="shared" si="225"/>
        <v>0</v>
      </c>
      <c r="G921" s="180">
        <f t="shared" si="225"/>
        <v>-1535.9751435589608</v>
      </c>
      <c r="H921" s="180">
        <f t="shared" si="225"/>
        <v>1816.6837473362289</v>
      </c>
      <c r="I921" s="180">
        <f t="shared" si="225"/>
        <v>764.35182925837353</v>
      </c>
      <c r="J921" s="180">
        <f t="shared" si="225"/>
        <v>530.02131016869191</v>
      </c>
      <c r="K921" s="180">
        <f t="shared" si="225"/>
        <v>423.89341662193158</v>
      </c>
      <c r="L921" s="180">
        <f t="shared" si="225"/>
        <v>352.69142550387971</v>
      </c>
      <c r="M921" s="180">
        <f t="shared" si="225"/>
        <v>352.10580254745986</v>
      </c>
      <c r="N921" s="180">
        <f t="shared" si="225"/>
        <v>338.00204968034745</v>
      </c>
      <c r="O921" s="180">
        <f t="shared" si="225"/>
        <v>60.888520163323726</v>
      </c>
      <c r="P921" s="180">
        <f t="shared" si="225"/>
        <v>85.208140159094228</v>
      </c>
      <c r="Q921" s="180">
        <f t="shared" si="225"/>
        <v>60.790916337253748</v>
      </c>
      <c r="R921" s="306"/>
      <c r="AC921" s="189" t="s">
        <v>694</v>
      </c>
      <c r="AD921" s="180">
        <f t="shared" si="207"/>
        <v>62723</v>
      </c>
      <c r="AE921" s="180">
        <f t="shared" si="208"/>
        <v>7996</v>
      </c>
      <c r="AF921" s="180">
        <f t="shared" si="209"/>
        <v>8389</v>
      </c>
      <c r="AG921" s="180">
        <f t="shared" si="210"/>
        <v>14353</v>
      </c>
      <c r="AH921" s="180">
        <f t="shared" si="211"/>
        <v>12552.522604518306</v>
      </c>
      <c r="AI921" s="180"/>
      <c r="AJ921" s="180">
        <f t="shared" si="212"/>
        <v>106013.52260451831</v>
      </c>
      <c r="AK921" s="180"/>
      <c r="AL921" s="180"/>
      <c r="AM921" s="180"/>
      <c r="AN921" s="182" t="s">
        <v>694</v>
      </c>
      <c r="AO921" s="180">
        <f t="shared" si="213"/>
        <v>58798</v>
      </c>
      <c r="AP921" s="180">
        <f t="shared" si="214"/>
        <v>7467</v>
      </c>
      <c r="AQ921" s="180">
        <f t="shared" si="215"/>
        <v>7805</v>
      </c>
      <c r="AR921" s="180">
        <f t="shared" si="216"/>
        <v>12917</v>
      </c>
      <c r="AS921" s="180">
        <f>((F895-$F895)*(('[2]Lake Pleasant Forecast'!B55-1526.8)/0.7702))/1000</f>
        <v>0</v>
      </c>
      <c r="AT921" s="180">
        <f t="shared" si="217"/>
        <v>86987</v>
      </c>
      <c r="AU921" s="304"/>
    </row>
    <row r="922" spans="1:50" ht="15.75" customHeight="1" x14ac:dyDescent="0.3">
      <c r="A922" s="192" t="s">
        <v>18</v>
      </c>
      <c r="B922" s="180">
        <f t="shared" ref="B922:Q922" si="226">(B893/$L$10/1.983)</f>
        <v>2230.9463775424438</v>
      </c>
      <c r="C922" s="180">
        <f t="shared" si="226"/>
        <v>2225.6345604303242</v>
      </c>
      <c r="D922" s="180">
        <f t="shared" si="226"/>
        <v>2220.5748865355517</v>
      </c>
      <c r="E922" s="180">
        <f t="shared" si="226"/>
        <v>2142.5953941838961</v>
      </c>
      <c r="F922" s="180">
        <f t="shared" si="226"/>
        <v>161.52294503277861</v>
      </c>
      <c r="G922" s="180">
        <f t="shared" si="226"/>
        <v>-232.25752227265085</v>
      </c>
      <c r="H922" s="180">
        <f t="shared" si="226"/>
        <v>1456.5136997814759</v>
      </c>
      <c r="I922" s="180">
        <f t="shared" si="226"/>
        <v>568.38124054462924</v>
      </c>
      <c r="J922" s="180">
        <f t="shared" si="226"/>
        <v>461.35484955454695</v>
      </c>
      <c r="K922" s="180">
        <f t="shared" si="226"/>
        <v>396.28508993108085</v>
      </c>
      <c r="L922" s="180">
        <f t="shared" si="226"/>
        <v>320.94469658766172</v>
      </c>
      <c r="M922" s="180">
        <f t="shared" si="226"/>
        <v>320.37317196167419</v>
      </c>
      <c r="N922" s="180">
        <f t="shared" si="226"/>
        <v>299.63018994789036</v>
      </c>
      <c r="O922" s="180">
        <f t="shared" si="226"/>
        <v>59.421751554883166</v>
      </c>
      <c r="P922" s="180">
        <f t="shared" si="226"/>
        <v>84.501596907043194</v>
      </c>
      <c r="Q922" s="180">
        <f t="shared" si="226"/>
        <v>58.530845520255504</v>
      </c>
      <c r="R922" s="306"/>
      <c r="AC922" s="189" t="s">
        <v>695</v>
      </c>
      <c r="AD922" s="180">
        <f t="shared" si="207"/>
        <v>67925</v>
      </c>
      <c r="AE922" s="180">
        <f t="shared" si="208"/>
        <v>8659</v>
      </c>
      <c r="AF922" s="180">
        <f t="shared" si="209"/>
        <v>9085</v>
      </c>
      <c r="AG922" s="180">
        <f t="shared" si="210"/>
        <v>15544</v>
      </c>
      <c r="AH922" s="180">
        <f t="shared" si="211"/>
        <v>13844.282442470736</v>
      </c>
      <c r="AI922" s="180"/>
      <c r="AJ922" s="180">
        <f t="shared" si="212"/>
        <v>115057.28244247074</v>
      </c>
      <c r="AK922" s="180"/>
      <c r="AL922" s="180"/>
      <c r="AM922" s="180"/>
      <c r="AN922" s="182" t="s">
        <v>695</v>
      </c>
      <c r="AO922" s="180">
        <f t="shared" si="213"/>
        <v>67365</v>
      </c>
      <c r="AP922" s="180">
        <f t="shared" si="214"/>
        <v>8565</v>
      </c>
      <c r="AQ922" s="180">
        <f t="shared" si="215"/>
        <v>8963</v>
      </c>
      <c r="AR922" s="180">
        <f t="shared" si="216"/>
        <v>14733</v>
      </c>
      <c r="AS922" s="180">
        <f>((F896-$F896)*(('[2]Lake Pleasant Forecast'!B57-1526.8)/0.7702))/1000</f>
        <v>0</v>
      </c>
      <c r="AT922" s="180">
        <f t="shared" si="217"/>
        <v>99626</v>
      </c>
      <c r="AU922" s="304"/>
    </row>
    <row r="923" spans="1:50" ht="15.75" customHeight="1" x14ac:dyDescent="0.3">
      <c r="A923" s="192" t="s">
        <v>20</v>
      </c>
      <c r="B923" s="180">
        <f t="shared" ref="B923:Q923" si="227">(B894/$N$10/1.983)</f>
        <v>2107.9335643290551</v>
      </c>
      <c r="C923" s="180">
        <f t="shared" si="227"/>
        <v>2103.2973825907306</v>
      </c>
      <c r="D923" s="180">
        <f t="shared" si="227"/>
        <v>2098.8726758088915</v>
      </c>
      <c r="E923" s="180">
        <f t="shared" si="227"/>
        <v>2043.7753159923868</v>
      </c>
      <c r="F923" s="180">
        <f t="shared" si="227"/>
        <v>718.23402144030706</v>
      </c>
      <c r="G923" s="180">
        <f t="shared" si="227"/>
        <v>0</v>
      </c>
      <c r="H923" s="180">
        <f t="shared" si="227"/>
        <v>725.22896230865581</v>
      </c>
      <c r="I923" s="180">
        <f t="shared" si="227"/>
        <v>207.29425926829663</v>
      </c>
      <c r="J923" s="180">
        <f t="shared" si="227"/>
        <v>176.79306362142728</v>
      </c>
      <c r="K923" s="180">
        <f t="shared" si="227"/>
        <v>158.11819823337075</v>
      </c>
      <c r="L923" s="180">
        <f t="shared" si="227"/>
        <v>115.13998015388869</v>
      </c>
      <c r="M923" s="180">
        <f t="shared" si="227"/>
        <v>114.66822832788378</v>
      </c>
      <c r="N923" s="180">
        <f t="shared" si="227"/>
        <v>99.864981373936516</v>
      </c>
      <c r="O923" s="180">
        <f t="shared" si="227"/>
        <v>54.885884860019843</v>
      </c>
      <c r="P923" s="180">
        <f t="shared" si="227"/>
        <v>77.253428334390705</v>
      </c>
      <c r="Q923" s="180">
        <f t="shared" si="227"/>
        <v>54.804548338294858</v>
      </c>
      <c r="R923" s="306"/>
      <c r="AC923" s="179"/>
      <c r="AD923" s="180"/>
      <c r="AE923" s="180"/>
      <c r="AF923" s="180"/>
      <c r="AG923" s="180"/>
      <c r="AH923" s="180"/>
      <c r="AI923" s="180"/>
      <c r="AJ923" s="180"/>
      <c r="AK923" s="180"/>
      <c r="AL923" s="180"/>
      <c r="AM923" s="180"/>
      <c r="AN923" s="180"/>
      <c r="AO923" s="180"/>
      <c r="AP923" s="180"/>
      <c r="AQ923" s="180"/>
      <c r="AR923" s="180"/>
      <c r="AS923" s="180"/>
      <c r="AT923" s="180"/>
      <c r="AU923" s="304"/>
    </row>
    <row r="924" spans="1:50" ht="15.75" customHeight="1" thickBot="1" x14ac:dyDescent="0.35">
      <c r="A924" s="192" t="s">
        <v>21</v>
      </c>
      <c r="B924" s="180">
        <f t="shared" ref="B924:Q924" si="228">(B895/$O$10/1.983)</f>
        <v>2134.4931921331313</v>
      </c>
      <c r="C924" s="180">
        <f t="shared" si="228"/>
        <v>2130.5429483946882</v>
      </c>
      <c r="D924" s="180">
        <f t="shared" si="228"/>
        <v>2126.7439905866531</v>
      </c>
      <c r="E924" s="180">
        <f t="shared" si="228"/>
        <v>2093.1921331316189</v>
      </c>
      <c r="F924" s="180">
        <f t="shared" si="228"/>
        <v>1101.7145738779625</v>
      </c>
      <c r="G924" s="180">
        <f t="shared" si="228"/>
        <v>0</v>
      </c>
      <c r="H924" s="180">
        <f t="shared" si="228"/>
        <v>426.3741805345436</v>
      </c>
      <c r="I924" s="180">
        <f t="shared" si="228"/>
        <v>67.456715414355358</v>
      </c>
      <c r="J924" s="180">
        <f t="shared" si="228"/>
        <v>59.825180702639102</v>
      </c>
      <c r="K924" s="180">
        <f t="shared" si="228"/>
        <v>51.773407295343752</v>
      </c>
      <c r="L924" s="180">
        <f t="shared" si="228"/>
        <v>23.432509665489999</v>
      </c>
      <c r="M924" s="180">
        <f t="shared" si="228"/>
        <v>23.045890065557238</v>
      </c>
      <c r="N924" s="180">
        <f t="shared" si="228"/>
        <v>21.196839805009244</v>
      </c>
      <c r="O924" s="180">
        <f t="shared" si="228"/>
        <v>17.532358379559589</v>
      </c>
      <c r="P924" s="180">
        <f t="shared" si="228"/>
        <v>39.720961506135481</v>
      </c>
      <c r="Q924" s="180">
        <f t="shared" si="228"/>
        <v>17.481929736090098</v>
      </c>
      <c r="R924" s="306"/>
      <c r="AC924" s="204" t="s">
        <v>641</v>
      </c>
      <c r="AD924" s="195">
        <f>SUM(AD911:AD922)</f>
        <v>329445</v>
      </c>
      <c r="AE924" s="195">
        <f>SUM(AE911:AE922)</f>
        <v>41999</v>
      </c>
      <c r="AF924" s="195">
        <f>SUM(AF911:AF922)</f>
        <v>44063</v>
      </c>
      <c r="AG924" s="195">
        <f>SUM(AG911:AG922)</f>
        <v>75389</v>
      </c>
      <c r="AH924" s="195">
        <f>SUM(AH911:AH922)</f>
        <v>69145.12491676287</v>
      </c>
      <c r="AI924" s="195"/>
      <c r="AJ924" s="195">
        <f>SUM(AJ911:AJ922)</f>
        <v>560041.12491676293</v>
      </c>
      <c r="AK924" s="195"/>
      <c r="AL924" s="195"/>
      <c r="AM924" s="195"/>
      <c r="AN924" s="205" t="s">
        <v>641</v>
      </c>
      <c r="AO924" s="195">
        <f t="shared" ref="AO924:AT924" si="229">SUM(AO911:AO922)</f>
        <v>1027152</v>
      </c>
      <c r="AP924" s="195">
        <f t="shared" si="229"/>
        <v>130518</v>
      </c>
      <c r="AQ924" s="195">
        <f t="shared" si="229"/>
        <v>136507</v>
      </c>
      <c r="AR924" s="195">
        <f t="shared" si="229"/>
        <v>223355</v>
      </c>
      <c r="AS924" s="195">
        <f t="shared" si="229"/>
        <v>0</v>
      </c>
      <c r="AT924" s="195">
        <f t="shared" si="229"/>
        <v>1517532</v>
      </c>
      <c r="AU924" s="136"/>
    </row>
    <row r="925" spans="1:50" ht="15.75" customHeight="1" thickBot="1" x14ac:dyDescent="0.35">
      <c r="A925" s="206" t="s">
        <v>22</v>
      </c>
      <c r="B925" s="195">
        <f t="shared" ref="B925:Q925" si="230">(B896/$P$10/1.983)</f>
        <v>2299.6925479478791</v>
      </c>
      <c r="C925" s="195">
        <f t="shared" si="230"/>
        <v>2296.6668293397097</v>
      </c>
      <c r="D925" s="195">
        <f t="shared" si="230"/>
        <v>2293.7549818619559</v>
      </c>
      <c r="E925" s="195">
        <f t="shared" si="230"/>
        <v>2248.9548256958342</v>
      </c>
      <c r="F925" s="195">
        <f t="shared" si="230"/>
        <v>1154.6044604948513</v>
      </c>
      <c r="G925" s="195">
        <f t="shared" si="230"/>
        <v>-1.2363151302197712</v>
      </c>
      <c r="H925" s="195">
        <f t="shared" si="230"/>
        <v>626.94190945618402</v>
      </c>
      <c r="I925" s="195">
        <f t="shared" si="230"/>
        <v>206.31822100759683</v>
      </c>
      <c r="J925" s="195">
        <f t="shared" si="230"/>
        <v>186.79745579360045</v>
      </c>
      <c r="K925" s="195">
        <f t="shared" si="230"/>
        <v>183.91814292453594</v>
      </c>
      <c r="L925" s="195">
        <f t="shared" si="230"/>
        <v>116.05094919720852</v>
      </c>
      <c r="M925" s="195">
        <f t="shared" si="230"/>
        <v>115.74187041465359</v>
      </c>
      <c r="N925" s="195">
        <f t="shared" si="230"/>
        <v>115.59546467554861</v>
      </c>
      <c r="O925" s="195">
        <f t="shared" si="230"/>
        <v>47.48426138304621</v>
      </c>
      <c r="P925" s="195">
        <f t="shared" si="230"/>
        <v>54.576806077464894</v>
      </c>
      <c r="Q925" s="195">
        <f t="shared" si="230"/>
        <v>47.451726774356217</v>
      </c>
      <c r="R925" s="196"/>
    </row>
    <row r="926" spans="1:50" ht="15.75" customHeight="1" x14ac:dyDescent="0.3">
      <c r="R926" s="351"/>
      <c r="AC926" s="360"/>
      <c r="AD926" s="423" t="s">
        <v>715</v>
      </c>
      <c r="AE926" s="427"/>
      <c r="AF926" s="427"/>
      <c r="AG926" s="427"/>
      <c r="AH926" s="427"/>
      <c r="AI926" s="427"/>
      <c r="AJ926" s="427"/>
      <c r="AK926" s="427"/>
      <c r="AL926" s="427"/>
      <c r="AM926" s="427"/>
      <c r="AN926" s="427"/>
      <c r="AO926" s="427"/>
      <c r="AP926" s="427"/>
      <c r="AQ926" s="427"/>
      <c r="AR926" s="354" t="str">
        <f>$Q$1</f>
        <v xml:space="preserve">PRINTED:  </v>
      </c>
      <c r="AS926" s="361">
        <f ca="1">$R$1</f>
        <v>44894.658168402777</v>
      </c>
    </row>
    <row r="927" spans="1:50" ht="15.75" customHeight="1" x14ac:dyDescent="0.3">
      <c r="R927" s="180"/>
      <c r="AC927" s="95"/>
      <c r="AD927" s="394" t="str">
        <f>+$A$8</f>
        <v>Revised:  1/18/2018</v>
      </c>
      <c r="AE927" s="396"/>
      <c r="AF927" s="396"/>
      <c r="AG927" s="396"/>
      <c r="AH927" s="396"/>
      <c r="AI927" s="396"/>
      <c r="AJ927" s="396"/>
      <c r="AK927" s="396"/>
      <c r="AL927" s="396"/>
      <c r="AM927" s="396"/>
      <c r="AN927" s="396"/>
      <c r="AO927" s="396"/>
      <c r="AP927" s="396"/>
      <c r="AQ927" s="396"/>
      <c r="AR927" s="192"/>
      <c r="AS927" s="304"/>
    </row>
    <row r="928" spans="1:50" ht="15.75" customHeight="1" x14ac:dyDescent="0.3">
      <c r="A928" s="192"/>
      <c r="AC928" s="95"/>
      <c r="AD928" s="394" t="s">
        <v>670</v>
      </c>
      <c r="AE928" s="397"/>
      <c r="AF928" s="397"/>
      <c r="AG928" s="397"/>
      <c r="AH928" s="397"/>
      <c r="AI928" s="397"/>
      <c r="AJ928" s="397"/>
      <c r="AK928" s="397"/>
      <c r="AL928" s="397"/>
      <c r="AM928" s="397"/>
      <c r="AN928" s="397"/>
      <c r="AO928" s="397"/>
      <c r="AP928" s="397"/>
      <c r="AQ928" s="397"/>
      <c r="AS928" s="304"/>
    </row>
    <row r="929" spans="1:48" ht="15.75" customHeight="1" x14ac:dyDescent="0.3">
      <c r="A929" s="192"/>
      <c r="AC929" s="95"/>
      <c r="AS929" s="304"/>
    </row>
    <row r="930" spans="1:48" ht="15.75" customHeight="1" thickBot="1" x14ac:dyDescent="0.35">
      <c r="A930" s="192"/>
      <c r="AC930" s="95"/>
      <c r="AD930" s="395">
        <f>$A$5</f>
        <v>2017</v>
      </c>
      <c r="AE930" s="397"/>
      <c r="AF930" s="397"/>
      <c r="AG930" s="397"/>
      <c r="AH930" s="397"/>
      <c r="AI930" s="397"/>
      <c r="AJ930" s="397"/>
      <c r="AK930" s="397"/>
      <c r="AL930" s="397"/>
      <c r="AM930" s="397"/>
      <c r="AN930" s="397"/>
      <c r="AO930" s="397"/>
      <c r="AP930" s="397"/>
      <c r="AQ930" s="397"/>
      <c r="AS930" s="304"/>
    </row>
    <row r="931" spans="1:48" ht="15.75" customHeight="1" x14ac:dyDescent="0.3">
      <c r="A931" s="356"/>
      <c r="B931" s="423" t="s">
        <v>716</v>
      </c>
      <c r="C931" s="423"/>
      <c r="D931" s="423"/>
      <c r="E931" s="423"/>
      <c r="F931" s="423"/>
      <c r="G931" s="423"/>
      <c r="H931" s="423"/>
      <c r="I931" s="423"/>
      <c r="J931" s="423"/>
      <c r="K931" s="423"/>
      <c r="L931" s="423"/>
      <c r="M931" s="423"/>
      <c r="N931" s="423"/>
      <c r="O931" s="423"/>
      <c r="P931" s="423"/>
      <c r="Q931" s="354" t="str">
        <f>+Q1</f>
        <v xml:space="preserve">PRINTED:  </v>
      </c>
      <c r="R931" s="355">
        <f ca="1">+R1</f>
        <v>44894.658168402777</v>
      </c>
      <c r="AC931" s="95"/>
      <c r="AD931" s="394" t="s">
        <v>717</v>
      </c>
      <c r="AE931" s="396"/>
      <c r="AF931" s="396"/>
      <c r="AG931" s="396"/>
      <c r="AH931" s="396"/>
      <c r="AI931" s="396"/>
      <c r="AJ931" s="396"/>
      <c r="AK931" s="396"/>
      <c r="AL931" s="396"/>
      <c r="AM931" s="396"/>
      <c r="AN931" s="396"/>
      <c r="AO931" s="396"/>
      <c r="AP931" s="396"/>
      <c r="AQ931" s="396"/>
      <c r="AR931" s="182"/>
      <c r="AS931" s="304"/>
    </row>
    <row r="932" spans="1:48" ht="16.5" customHeight="1" x14ac:dyDescent="0.3">
      <c r="A932" s="189"/>
      <c r="B932" s="394" t="str">
        <f>+A8</f>
        <v>Revised:  1/18/2018</v>
      </c>
      <c r="C932" s="394"/>
      <c r="D932" s="394"/>
      <c r="E932" s="394"/>
      <c r="F932" s="394"/>
      <c r="G932" s="394"/>
      <c r="H932" s="394"/>
      <c r="I932" s="394"/>
      <c r="J932" s="394"/>
      <c r="K932" s="394"/>
      <c r="L932" s="394"/>
      <c r="M932" s="394"/>
      <c r="N932" s="394"/>
      <c r="O932" s="394"/>
      <c r="P932" s="394"/>
      <c r="Q932" s="180"/>
      <c r="R932" s="306"/>
      <c r="AC932" s="95"/>
      <c r="AK932" s="190"/>
      <c r="AS932" s="304"/>
    </row>
    <row r="933" spans="1:48" ht="15.75" customHeight="1" thickBot="1" x14ac:dyDescent="0.35">
      <c r="A933" s="189"/>
      <c r="B933" s="394" t="s">
        <v>670</v>
      </c>
      <c r="C933" s="394"/>
      <c r="D933" s="394"/>
      <c r="E933" s="394"/>
      <c r="F933" s="394"/>
      <c r="G933" s="394"/>
      <c r="H933" s="394"/>
      <c r="I933" s="394"/>
      <c r="J933" s="394"/>
      <c r="K933" s="394"/>
      <c r="L933" s="394"/>
      <c r="M933" s="394"/>
      <c r="N933" s="394"/>
      <c r="O933" s="394"/>
      <c r="P933" s="394"/>
      <c r="Q933" s="180"/>
      <c r="R933" s="306"/>
      <c r="AC933" s="95"/>
      <c r="AD933" s="191" t="s">
        <v>677</v>
      </c>
      <c r="AE933" s="191" t="s">
        <v>678</v>
      </c>
      <c r="AF933" s="191" t="s">
        <v>679</v>
      </c>
      <c r="AG933" s="191" t="s">
        <v>680</v>
      </c>
      <c r="AH933" s="191" t="s">
        <v>644</v>
      </c>
      <c r="AI933" s="191" t="s">
        <v>681</v>
      </c>
      <c r="AJ933" s="191" t="s">
        <v>682</v>
      </c>
      <c r="AK933" s="191" t="s">
        <v>683</v>
      </c>
      <c r="AL933" s="191" t="s">
        <v>684</v>
      </c>
      <c r="AM933" s="191" t="s">
        <v>685</v>
      </c>
      <c r="AN933" s="191" t="s">
        <v>686</v>
      </c>
      <c r="AO933" s="191" t="s">
        <v>687</v>
      </c>
      <c r="AP933" s="191" t="s">
        <v>688</v>
      </c>
      <c r="AQ933" s="191" t="s">
        <v>689</v>
      </c>
      <c r="AR933" s="191" t="s">
        <v>638</v>
      </c>
      <c r="AS933" s="209" t="s">
        <v>641</v>
      </c>
    </row>
    <row r="934" spans="1:48" ht="15.75" customHeight="1" x14ac:dyDescent="0.3">
      <c r="A934" s="189"/>
      <c r="B934" s="180"/>
      <c r="C934" s="180"/>
      <c r="D934" s="180"/>
      <c r="E934" s="180"/>
      <c r="F934" s="180"/>
      <c r="G934" s="180"/>
      <c r="H934" s="180"/>
      <c r="I934" s="180"/>
      <c r="J934" s="180"/>
      <c r="K934" s="180"/>
      <c r="L934" s="180"/>
      <c r="M934" s="180"/>
      <c r="N934" s="180"/>
      <c r="O934" s="180"/>
      <c r="P934" s="180"/>
      <c r="Q934" s="180"/>
      <c r="R934" s="306"/>
      <c r="AC934" s="95"/>
      <c r="AD934" s="180"/>
      <c r="AE934" s="180"/>
      <c r="AF934" s="180"/>
      <c r="AG934" s="180"/>
      <c r="AH934" s="182" t="s">
        <v>718</v>
      </c>
      <c r="AI934" s="180"/>
      <c r="AJ934" s="180"/>
      <c r="AK934" s="180"/>
      <c r="AL934" s="180"/>
      <c r="AM934" s="180"/>
      <c r="AN934" s="180"/>
      <c r="AO934" s="180"/>
      <c r="AP934" s="180"/>
      <c r="AQ934" s="180"/>
      <c r="AR934" s="180"/>
      <c r="AS934" s="210"/>
    </row>
    <row r="935" spans="1:48" ht="15.75" customHeight="1" x14ac:dyDescent="0.3">
      <c r="A935" s="189"/>
      <c r="B935" s="395">
        <f>A5</f>
        <v>2017</v>
      </c>
      <c r="C935" s="395"/>
      <c r="D935" s="395"/>
      <c r="E935" s="395"/>
      <c r="F935" s="395"/>
      <c r="G935" s="395"/>
      <c r="H935" s="395"/>
      <c r="I935" s="395"/>
      <c r="J935" s="395"/>
      <c r="K935" s="395"/>
      <c r="L935" s="395"/>
      <c r="M935" s="395"/>
      <c r="N935" s="395"/>
      <c r="O935" s="395"/>
      <c r="P935" s="395"/>
      <c r="Q935" s="180"/>
      <c r="R935" s="306"/>
      <c r="S935" s="180"/>
      <c r="AC935" s="211" t="s">
        <v>719</v>
      </c>
      <c r="AD935" s="212">
        <v>1.7000000000000001E-2</v>
      </c>
      <c r="AE935" s="212">
        <v>1.7000000000000001E-2</v>
      </c>
      <c r="AF935" s="212">
        <v>1.7000000000000001E-2</v>
      </c>
      <c r="AG935" s="212">
        <v>1.7000000000000001E-2</v>
      </c>
      <c r="AH935" s="212"/>
      <c r="AI935" s="212"/>
      <c r="AJ935" s="212"/>
      <c r="AK935" s="212"/>
      <c r="AL935" s="212"/>
      <c r="AM935" s="212"/>
      <c r="AN935" s="212"/>
      <c r="AO935" s="212"/>
      <c r="AP935" s="212"/>
      <c r="AQ935" s="212"/>
      <c r="AR935" s="212"/>
      <c r="AS935" s="213"/>
    </row>
    <row r="936" spans="1:48" ht="15.75" customHeight="1" x14ac:dyDescent="0.3">
      <c r="A936" s="189"/>
      <c r="B936" s="394" t="s">
        <v>717</v>
      </c>
      <c r="C936" s="394"/>
      <c r="D936" s="394"/>
      <c r="E936" s="394"/>
      <c r="F936" s="394"/>
      <c r="G936" s="394"/>
      <c r="H936" s="394"/>
      <c r="I936" s="394"/>
      <c r="J936" s="394"/>
      <c r="K936" s="394"/>
      <c r="L936" s="394"/>
      <c r="M936" s="394"/>
      <c r="N936" s="394"/>
      <c r="O936" s="394"/>
      <c r="P936" s="394"/>
      <c r="Q936" s="180"/>
      <c r="R936" s="306"/>
      <c r="S936" s="180"/>
      <c r="AC936" s="211" t="s">
        <v>720</v>
      </c>
      <c r="AD936" s="212"/>
      <c r="AE936" s="212">
        <v>0.03</v>
      </c>
      <c r="AF936" s="212"/>
      <c r="AG936" s="212"/>
      <c r="AH936" s="212"/>
      <c r="AI936" s="212"/>
      <c r="AJ936" s="212"/>
      <c r="AK936" s="212"/>
      <c r="AL936" s="212"/>
      <c r="AM936" s="212">
        <v>0.03</v>
      </c>
      <c r="AN936" s="212">
        <v>0.03</v>
      </c>
      <c r="AO936" s="212">
        <v>0.03</v>
      </c>
      <c r="AP936" s="212">
        <v>0.03</v>
      </c>
      <c r="AQ936" s="212">
        <v>0.03</v>
      </c>
      <c r="AR936" s="212">
        <v>0.03</v>
      </c>
      <c r="AS936" s="213"/>
    </row>
    <row r="937" spans="1:48" ht="15.75" customHeight="1" x14ac:dyDescent="0.3">
      <c r="A937" s="189"/>
      <c r="B937" s="180"/>
      <c r="C937" s="180"/>
      <c r="D937" s="180"/>
      <c r="E937" s="180"/>
      <c r="F937" s="180"/>
      <c r="G937" s="180"/>
      <c r="H937" s="180"/>
      <c r="I937" s="180"/>
      <c r="J937" s="180"/>
      <c r="K937" s="180"/>
      <c r="L937" s="180"/>
      <c r="M937" s="180"/>
      <c r="N937" s="180"/>
      <c r="O937" s="180"/>
      <c r="P937" s="180"/>
      <c r="Q937" s="180"/>
      <c r="R937" s="306"/>
      <c r="S937" s="180"/>
      <c r="AC937" s="211" t="s">
        <v>721</v>
      </c>
      <c r="AD937" s="212"/>
      <c r="AE937" s="212"/>
      <c r="AF937" s="212">
        <v>0.03</v>
      </c>
      <c r="AG937" s="212">
        <v>0.03</v>
      </c>
      <c r="AH937" s="212"/>
      <c r="AI937" s="212"/>
      <c r="AJ937" s="212"/>
      <c r="AK937" s="212"/>
      <c r="AL937" s="212"/>
      <c r="AM937" s="212"/>
      <c r="AN937" s="212"/>
      <c r="AO937" s="212"/>
      <c r="AP937" s="212"/>
      <c r="AQ937" s="212"/>
      <c r="AR937" s="212"/>
      <c r="AS937" s="213"/>
    </row>
    <row r="938" spans="1:48" ht="15.75" customHeight="1" thickBot="1" x14ac:dyDescent="0.35">
      <c r="A938" s="189" t="s">
        <v>647</v>
      </c>
      <c r="B938" s="191" t="s">
        <v>677</v>
      </c>
      <c r="C938" s="191" t="s">
        <v>678</v>
      </c>
      <c r="D938" s="191" t="s">
        <v>679</v>
      </c>
      <c r="E938" s="191" t="s">
        <v>680</v>
      </c>
      <c r="F938" s="191" t="s">
        <v>644</v>
      </c>
      <c r="G938" s="191" t="s">
        <v>644</v>
      </c>
      <c r="H938" s="191" t="s">
        <v>681</v>
      </c>
      <c r="I938" s="191" t="s">
        <v>682</v>
      </c>
      <c r="J938" s="191" t="s">
        <v>683</v>
      </c>
      <c r="K938" s="191" t="s">
        <v>684</v>
      </c>
      <c r="L938" s="191" t="s">
        <v>685</v>
      </c>
      <c r="M938" s="191" t="s">
        <v>686</v>
      </c>
      <c r="N938" s="191" t="s">
        <v>687</v>
      </c>
      <c r="O938" s="191" t="s">
        <v>688</v>
      </c>
      <c r="P938" s="191" t="s">
        <v>689</v>
      </c>
      <c r="Q938" s="191" t="s">
        <v>638</v>
      </c>
      <c r="R938" s="209" t="s">
        <v>641</v>
      </c>
      <c r="S938" s="182"/>
      <c r="AC938" s="211" t="s">
        <v>137</v>
      </c>
      <c r="AD938" s="212"/>
      <c r="AE938" s="212"/>
      <c r="AF938" s="212"/>
      <c r="AG938" s="212"/>
      <c r="AH938" s="212"/>
      <c r="AI938" s="212">
        <v>0.03</v>
      </c>
      <c r="AJ938" s="212"/>
      <c r="AK938" s="212"/>
      <c r="AL938" s="212"/>
      <c r="AM938" s="212"/>
      <c r="AN938" s="212"/>
      <c r="AO938" s="212"/>
      <c r="AP938" s="212"/>
      <c r="AQ938" s="212"/>
      <c r="AR938" s="212"/>
      <c r="AS938" s="213"/>
    </row>
    <row r="939" spans="1:48" ht="15.75" customHeight="1" x14ac:dyDescent="0.3">
      <c r="A939" s="189"/>
      <c r="B939" s="180"/>
      <c r="C939" s="180"/>
      <c r="D939" s="180"/>
      <c r="E939" s="180"/>
      <c r="F939" s="182" t="s">
        <v>127</v>
      </c>
      <c r="G939" s="182" t="s">
        <v>653</v>
      </c>
      <c r="H939" s="180"/>
      <c r="I939" s="180"/>
      <c r="J939" s="180"/>
      <c r="K939" s="180"/>
      <c r="L939" s="180"/>
      <c r="M939" s="180"/>
      <c r="N939" s="180"/>
      <c r="O939" s="180"/>
      <c r="P939" s="180"/>
      <c r="Q939" s="180"/>
      <c r="R939" s="213" t="s">
        <v>722</v>
      </c>
      <c r="S939" s="182"/>
      <c r="AC939" s="211" t="s">
        <v>723</v>
      </c>
      <c r="AD939" s="212">
        <v>0.03</v>
      </c>
      <c r="AE939" s="212"/>
      <c r="AF939" s="212"/>
      <c r="AG939" s="212"/>
      <c r="AH939" s="212"/>
      <c r="AI939" s="212"/>
      <c r="AJ939" s="212">
        <v>0.03</v>
      </c>
      <c r="AK939" s="212">
        <v>0.03</v>
      </c>
      <c r="AL939" s="212">
        <v>0.03</v>
      </c>
      <c r="AM939" s="212"/>
      <c r="AN939" s="212"/>
      <c r="AO939" s="212"/>
      <c r="AP939" s="212"/>
      <c r="AQ939" s="212"/>
      <c r="AR939" s="212"/>
      <c r="AS939" s="213"/>
    </row>
    <row r="940" spans="1:48" ht="15.75" customHeight="1" x14ac:dyDescent="0.3">
      <c r="A940" s="189" t="s">
        <v>724</v>
      </c>
      <c r="B940" s="214">
        <v>957</v>
      </c>
      <c r="C940" s="214">
        <v>122</v>
      </c>
      <c r="D940" s="214">
        <v>128</v>
      </c>
      <c r="E940" s="214">
        <v>219</v>
      </c>
      <c r="F940" s="214"/>
      <c r="G940" s="214"/>
      <c r="H940" s="214">
        <v>97</v>
      </c>
      <c r="I940" s="214">
        <v>160</v>
      </c>
      <c r="J940" s="214">
        <v>250</v>
      </c>
      <c r="K940" s="214">
        <v>260</v>
      </c>
      <c r="L940" s="214">
        <v>100</v>
      </c>
      <c r="M940" s="214">
        <v>118</v>
      </c>
      <c r="N940" s="214">
        <v>250</v>
      </c>
      <c r="O940" s="214">
        <v>190</v>
      </c>
      <c r="P940" s="214">
        <v>340</v>
      </c>
      <c r="Q940" s="214">
        <v>450</v>
      </c>
      <c r="R940" s="213" t="s">
        <v>658</v>
      </c>
      <c r="S940" s="182"/>
      <c r="AC940" s="211" t="s">
        <v>641</v>
      </c>
      <c r="AD940" s="215">
        <f>SUM(AD935:AD939)</f>
        <v>4.7E-2</v>
      </c>
      <c r="AE940" s="215">
        <f t="shared" ref="AE940:AR940" si="231">SUM(AE935:AE939)</f>
        <v>4.7E-2</v>
      </c>
      <c r="AF940" s="215">
        <f t="shared" si="231"/>
        <v>4.7E-2</v>
      </c>
      <c r="AG940" s="215">
        <f t="shared" si="231"/>
        <v>4.7E-2</v>
      </c>
      <c r="AH940" s="215">
        <f t="shared" si="231"/>
        <v>0</v>
      </c>
      <c r="AI940" s="215">
        <f t="shared" si="231"/>
        <v>0.03</v>
      </c>
      <c r="AJ940" s="215">
        <f t="shared" si="231"/>
        <v>0.03</v>
      </c>
      <c r="AK940" s="215">
        <f t="shared" si="231"/>
        <v>0.03</v>
      </c>
      <c r="AL940" s="215">
        <f t="shared" si="231"/>
        <v>0.03</v>
      </c>
      <c r="AM940" s="215">
        <f t="shared" si="231"/>
        <v>0.03</v>
      </c>
      <c r="AN940" s="215">
        <f t="shared" si="231"/>
        <v>0.03</v>
      </c>
      <c r="AO940" s="215">
        <f t="shared" si="231"/>
        <v>0.03</v>
      </c>
      <c r="AP940" s="215">
        <f t="shared" si="231"/>
        <v>0.03</v>
      </c>
      <c r="AQ940" s="215">
        <f t="shared" si="231"/>
        <v>0.03</v>
      </c>
      <c r="AR940" s="215">
        <f t="shared" si="231"/>
        <v>0.03</v>
      </c>
      <c r="AS940" s="213"/>
      <c r="AU940" s="192" t="s">
        <v>725</v>
      </c>
      <c r="AV940" s="4" t="s">
        <v>726</v>
      </c>
    </row>
    <row r="941" spans="1:48" ht="15.75" customHeight="1" x14ac:dyDescent="0.3">
      <c r="A941" s="189"/>
      <c r="B941" s="182" t="s">
        <v>666</v>
      </c>
      <c r="C941" s="182" t="s">
        <v>666</v>
      </c>
      <c r="D941" s="182" t="s">
        <v>666</v>
      </c>
      <c r="E941" s="182" t="s">
        <v>666</v>
      </c>
      <c r="F941" s="182" t="s">
        <v>666</v>
      </c>
      <c r="G941" s="182" t="s">
        <v>666</v>
      </c>
      <c r="H941" s="182" t="s">
        <v>666</v>
      </c>
      <c r="I941" s="182" t="s">
        <v>666</v>
      </c>
      <c r="J941" s="182" t="s">
        <v>666</v>
      </c>
      <c r="K941" s="182" t="s">
        <v>666</v>
      </c>
      <c r="L941" s="182" t="s">
        <v>666</v>
      </c>
      <c r="M941" s="182" t="s">
        <v>666</v>
      </c>
      <c r="N941" s="182" t="s">
        <v>666</v>
      </c>
      <c r="O941" s="182" t="s">
        <v>666</v>
      </c>
      <c r="P941" s="182" t="s">
        <v>666</v>
      </c>
      <c r="Q941" s="182" t="s">
        <v>666</v>
      </c>
      <c r="R941" s="213" t="s">
        <v>714</v>
      </c>
      <c r="S941" s="182"/>
      <c r="T941" s="182"/>
      <c r="AC941" s="189" t="s">
        <v>666</v>
      </c>
      <c r="AD941" s="182" t="s">
        <v>666</v>
      </c>
      <c r="AE941" s="182" t="s">
        <v>666</v>
      </c>
      <c r="AF941" s="182" t="s">
        <v>666</v>
      </c>
      <c r="AG941" s="182" t="s">
        <v>666</v>
      </c>
      <c r="AH941" s="182" t="s">
        <v>666</v>
      </c>
      <c r="AI941" s="182" t="s">
        <v>666</v>
      </c>
      <c r="AJ941" s="182" t="s">
        <v>666</v>
      </c>
      <c r="AK941" s="182" t="s">
        <v>666</v>
      </c>
      <c r="AL941" s="182" t="s">
        <v>666</v>
      </c>
      <c r="AM941" s="182" t="s">
        <v>666</v>
      </c>
      <c r="AN941" s="182" t="s">
        <v>666</v>
      </c>
      <c r="AO941" s="182" t="s">
        <v>666</v>
      </c>
      <c r="AP941" s="182" t="s">
        <v>666</v>
      </c>
      <c r="AQ941" s="182" t="s">
        <v>666</v>
      </c>
      <c r="AR941" s="182" t="s">
        <v>666</v>
      </c>
      <c r="AS941" s="213" t="s">
        <v>666</v>
      </c>
    </row>
    <row r="942" spans="1:48" ht="15.75" customHeight="1" x14ac:dyDescent="0.3">
      <c r="A942" s="192" t="s">
        <v>8</v>
      </c>
      <c r="B942" s="180">
        <f>ROUND((B885*$B$940)/1000,0)</f>
        <v>119188</v>
      </c>
      <c r="C942" s="180">
        <f t="shared" ref="C942:C953" si="232">ROUND((C885*$C$940)/1000,0)</f>
        <v>15182</v>
      </c>
      <c r="D942" s="180">
        <f t="shared" ref="D942:D953" si="233">ROUND((D885*$D$940)/1000,0)</f>
        <v>15917</v>
      </c>
      <c r="E942" s="180">
        <f t="shared" ref="E942:E953" si="234">ROUND((E885*$E$940)/1000,0)</f>
        <v>27189</v>
      </c>
      <c r="F942" s="180">
        <f>(F885*((T885-1526.8)/0.7702))/1000</f>
        <v>17674.420026488395</v>
      </c>
      <c r="G942" s="180">
        <f t="shared" ref="G942:G953" si="235">(G885*((T885-1591.4)/0.6635))/1000</f>
        <v>-543.06392299236506</v>
      </c>
      <c r="H942" s="180">
        <f t="shared" ref="H942:H953" si="236">ROUND((H885*$H$940)/1000,0)</f>
        <v>2460</v>
      </c>
      <c r="I942" s="180">
        <f t="shared" ref="I942:I953" si="237">ROUND((I885*$I$940)/1000,0)</f>
        <v>2443</v>
      </c>
      <c r="J942" s="180">
        <f t="shared" ref="J942:J953" si="238">ROUND((J885*$J$940)/1000,0)</f>
        <v>3815</v>
      </c>
      <c r="K942" s="180">
        <f t="shared" ref="K942:K953" si="239">ROUND((K885*$K$940)/1000,0)</f>
        <v>3933</v>
      </c>
      <c r="L942" s="180">
        <f t="shared" ref="L942:L953" si="240">ROUND((L885*$L$940)/1000,0)</f>
        <v>1446</v>
      </c>
      <c r="M942" s="180">
        <f t="shared" ref="M942:M953" si="241">ROUND((M885*$M$940)/1000,0)</f>
        <v>1704</v>
      </c>
      <c r="N942" s="180">
        <f t="shared" ref="N942:N953" si="242">ROUND((N885*$N$940)/1000,0)</f>
        <v>3533</v>
      </c>
      <c r="O942" s="180">
        <f t="shared" ref="O942:O953" si="243">ROUND((O885*$O$940)/1000,0)</f>
        <v>657</v>
      </c>
      <c r="P942" s="180">
        <f t="shared" ref="P942:P953" si="244">ROUND((P885*$P$940)/1000,0)</f>
        <v>83</v>
      </c>
      <c r="Q942" s="180">
        <f t="shared" ref="Q942:Q953" si="245">ROUND((Q885*$Q$940)/1000,0)</f>
        <v>1554</v>
      </c>
      <c r="R942" s="216">
        <f>(SUM(B942:Q942))</f>
        <v>216235.35610349604</v>
      </c>
      <c r="S942" s="217"/>
      <c r="AC942" s="211" t="s">
        <v>8</v>
      </c>
      <c r="AD942" s="180">
        <f>ROUND(B942*$AD$940, 0)</f>
        <v>5602</v>
      </c>
      <c r="AE942" s="180">
        <f>ROUND(C942*$AE$940,0)</f>
        <v>714</v>
      </c>
      <c r="AF942" s="180">
        <f>ROUND(D942*$AF$940,0)</f>
        <v>748</v>
      </c>
      <c r="AG942" s="180">
        <f>ROUND(E942*$AG$940,0)</f>
        <v>1278</v>
      </c>
      <c r="AH942" s="180">
        <f>ROUND(F942*$AH$940,0)</f>
        <v>0</v>
      </c>
      <c r="AI942" s="180">
        <f>ROUND(H942*$AI$940,0)</f>
        <v>74</v>
      </c>
      <c r="AJ942" s="180">
        <f>ROUND(I942*$AJ$940,0)</f>
        <v>73</v>
      </c>
      <c r="AK942" s="180">
        <f>ROUND(J942*$AK$940,0)</f>
        <v>114</v>
      </c>
      <c r="AL942" s="180">
        <f>ROUND(K942*$AL$940,0)</f>
        <v>118</v>
      </c>
      <c r="AM942" s="180">
        <f>ROUND(L942*$AM$940,0)</f>
        <v>43</v>
      </c>
      <c r="AN942" s="180">
        <f>ROUND(M942*$AN$940,0)</f>
        <v>51</v>
      </c>
      <c r="AO942" s="180">
        <f>ROUND(N942*$AO$940,0)</f>
        <v>106</v>
      </c>
      <c r="AP942" s="180">
        <f>ROUND(O942*$AP$940,0)</f>
        <v>20</v>
      </c>
      <c r="AQ942" s="180">
        <f>ROUND(P942*$AQ$940,0)</f>
        <v>2</v>
      </c>
      <c r="AR942" s="180">
        <f>ROUND(Q942*$AR$940,0)</f>
        <v>47</v>
      </c>
      <c r="AS942" s="210">
        <f>SUM(AD942:AR942)</f>
        <v>8990</v>
      </c>
      <c r="AU942" s="218">
        <f>AS942/R942</f>
        <v>4.1575069692567503E-2</v>
      </c>
    </row>
    <row r="943" spans="1:48" ht="15.75" customHeight="1" x14ac:dyDescent="0.3">
      <c r="A943" s="192" t="s">
        <v>9</v>
      </c>
      <c r="B943" s="180">
        <f t="shared" ref="B943:B953" si="246">ROUND((B886*$B$940)/1000,0)</f>
        <v>57613</v>
      </c>
      <c r="C943" s="180">
        <f t="shared" si="232"/>
        <v>7327</v>
      </c>
      <c r="D943" s="180">
        <f t="shared" si="233"/>
        <v>7668</v>
      </c>
      <c r="E943" s="180">
        <f t="shared" si="234"/>
        <v>12847</v>
      </c>
      <c r="F943" s="180">
        <f t="shared" ref="F943:F953" si="247">(F886*((T886-1526.8)/0.7702))/1000</f>
        <v>3570.3100493378374</v>
      </c>
      <c r="G943" s="180">
        <f>(G886*((T886-1591.4)/0.6635))/1000</f>
        <v>-1212.3242803315748</v>
      </c>
      <c r="H943" s="180">
        <f t="shared" si="236"/>
        <v>3183</v>
      </c>
      <c r="I943" s="180">
        <f t="shared" si="237"/>
        <v>2148</v>
      </c>
      <c r="J943" s="180">
        <f t="shared" si="238"/>
        <v>3336</v>
      </c>
      <c r="K943" s="180">
        <f t="shared" si="239"/>
        <v>3423</v>
      </c>
      <c r="L943" s="180">
        <f t="shared" si="240"/>
        <v>1140</v>
      </c>
      <c r="M943" s="180">
        <f t="shared" si="241"/>
        <v>1343</v>
      </c>
      <c r="N943" s="180">
        <f t="shared" si="242"/>
        <v>2719</v>
      </c>
      <c r="O943" s="180">
        <f t="shared" si="243"/>
        <v>398</v>
      </c>
      <c r="P943" s="180">
        <f t="shared" si="244"/>
        <v>371</v>
      </c>
      <c r="Q943" s="180">
        <f t="shared" si="245"/>
        <v>942</v>
      </c>
      <c r="R943" s="216">
        <f>(SUM(B943:Q943))</f>
        <v>106815.98576900626</v>
      </c>
      <c r="S943" s="217"/>
      <c r="AC943" s="211" t="s">
        <v>9</v>
      </c>
      <c r="AD943" s="180">
        <f t="shared" ref="AD943:AD953" si="248">ROUND(B943*$AD$940, 0)</f>
        <v>2708</v>
      </c>
      <c r="AE943" s="180">
        <f t="shared" ref="AE943:AE953" si="249">ROUND(C943*$AE$940,0)</f>
        <v>344</v>
      </c>
      <c r="AF943" s="180">
        <f t="shared" ref="AF943:AF953" si="250">ROUND(D943*$AF$940,0)</f>
        <v>360</v>
      </c>
      <c r="AG943" s="180">
        <f t="shared" ref="AG943:AG953" si="251">ROUND(E943*$AG$940,0)</f>
        <v>604</v>
      </c>
      <c r="AH943" s="180">
        <f t="shared" ref="AH943:AH953" si="252">ROUND(F943*$AH$940,0)</f>
        <v>0</v>
      </c>
      <c r="AI943" s="180">
        <f t="shared" ref="AI943:AI953" si="253">ROUND(H943*$AI$940,0)</f>
        <v>95</v>
      </c>
      <c r="AJ943" s="180">
        <f t="shared" ref="AJ943:AJ953" si="254">ROUND(I943*$AJ$940,0)</f>
        <v>64</v>
      </c>
      <c r="AK943" s="180">
        <f t="shared" ref="AK943:AK953" si="255">ROUND(J943*$AK$940,0)</f>
        <v>100</v>
      </c>
      <c r="AL943" s="180">
        <f t="shared" ref="AL943:AL953" si="256">ROUND(K943*$AL$940,0)</f>
        <v>103</v>
      </c>
      <c r="AM943" s="180">
        <f t="shared" ref="AM943:AM953" si="257">ROUND(L943*$AM$940,0)</f>
        <v>34</v>
      </c>
      <c r="AN943" s="180">
        <f t="shared" ref="AN943:AN953" si="258">ROUND(M943*$AN$940,0)</f>
        <v>40</v>
      </c>
      <c r="AO943" s="180">
        <f t="shared" ref="AO943:AO953" si="259">ROUND(N943*$AO$940,0)</f>
        <v>82</v>
      </c>
      <c r="AP943" s="180">
        <f t="shared" ref="AP943:AP953" si="260">ROUND(O943*$AP$940,0)</f>
        <v>12</v>
      </c>
      <c r="AQ943" s="180">
        <f t="shared" ref="AQ943:AQ953" si="261">ROUND(P943*$AQ$940,0)</f>
        <v>11</v>
      </c>
      <c r="AR943" s="180">
        <f t="shared" ref="AR943:AR953" si="262">ROUND(Q943*$AR$940,0)</f>
        <v>28</v>
      </c>
      <c r="AS943" s="210">
        <f t="shared" ref="AS943:AS953" si="263">SUM(AD943:AR943)</f>
        <v>4585</v>
      </c>
      <c r="AU943" s="218">
        <f t="shared" ref="AU943:AU955" si="264">AS943/R943</f>
        <v>4.2924286725352527E-2</v>
      </c>
    </row>
    <row r="944" spans="1:48" ht="15.75" customHeight="1" x14ac:dyDescent="0.3">
      <c r="A944" s="192" t="s">
        <v>10</v>
      </c>
      <c r="B944" s="180">
        <f t="shared" si="246"/>
        <v>129814</v>
      </c>
      <c r="C944" s="180">
        <f t="shared" si="232"/>
        <v>16516</v>
      </c>
      <c r="D944" s="180">
        <f t="shared" si="233"/>
        <v>17294</v>
      </c>
      <c r="E944" s="180">
        <f t="shared" si="234"/>
        <v>28929</v>
      </c>
      <c r="F944" s="180">
        <f t="shared" si="247"/>
        <v>4423.9736432095578</v>
      </c>
      <c r="G944" s="180">
        <f t="shared" si="235"/>
        <v>-32.851695553880923</v>
      </c>
      <c r="H944" s="180">
        <f t="shared" si="236"/>
        <v>8482</v>
      </c>
      <c r="I944" s="180">
        <f t="shared" si="237"/>
        <v>5347</v>
      </c>
      <c r="J944" s="180">
        <f t="shared" si="238"/>
        <v>6787</v>
      </c>
      <c r="K944" s="180">
        <f t="shared" si="239"/>
        <v>6398</v>
      </c>
      <c r="L944" s="180">
        <f t="shared" si="240"/>
        <v>2013</v>
      </c>
      <c r="M944" s="180">
        <f t="shared" si="241"/>
        <v>2373</v>
      </c>
      <c r="N944" s="180">
        <f t="shared" si="242"/>
        <v>4798</v>
      </c>
      <c r="O944" s="180">
        <f t="shared" si="243"/>
        <v>813</v>
      </c>
      <c r="P944" s="180">
        <f t="shared" si="244"/>
        <v>412</v>
      </c>
      <c r="Q944" s="180">
        <f t="shared" si="245"/>
        <v>1923</v>
      </c>
      <c r="R944" s="216">
        <f t="shared" ref="R944:R953" si="265">(SUM(B944:Q944))</f>
        <v>236290.12194765566</v>
      </c>
      <c r="S944" s="217"/>
      <c r="AC944" s="211" t="s">
        <v>10</v>
      </c>
      <c r="AD944" s="180">
        <f t="shared" si="248"/>
        <v>6101</v>
      </c>
      <c r="AE944" s="180">
        <f t="shared" si="249"/>
        <v>776</v>
      </c>
      <c r="AF944" s="180">
        <f t="shared" si="250"/>
        <v>813</v>
      </c>
      <c r="AG944" s="180">
        <f t="shared" si="251"/>
        <v>1360</v>
      </c>
      <c r="AH944" s="180">
        <f t="shared" si="252"/>
        <v>0</v>
      </c>
      <c r="AI944" s="180">
        <f t="shared" si="253"/>
        <v>254</v>
      </c>
      <c r="AJ944" s="180">
        <f t="shared" si="254"/>
        <v>160</v>
      </c>
      <c r="AK944" s="180">
        <f t="shared" si="255"/>
        <v>204</v>
      </c>
      <c r="AL944" s="180">
        <f t="shared" si="256"/>
        <v>192</v>
      </c>
      <c r="AM944" s="180">
        <f t="shared" si="257"/>
        <v>60</v>
      </c>
      <c r="AN944" s="180">
        <f t="shared" si="258"/>
        <v>71</v>
      </c>
      <c r="AO944" s="180">
        <f t="shared" si="259"/>
        <v>144</v>
      </c>
      <c r="AP944" s="180">
        <f t="shared" si="260"/>
        <v>24</v>
      </c>
      <c r="AQ944" s="180">
        <f t="shared" si="261"/>
        <v>12</v>
      </c>
      <c r="AR944" s="180">
        <f t="shared" si="262"/>
        <v>58</v>
      </c>
      <c r="AS944" s="210">
        <f t="shared" si="263"/>
        <v>10229</v>
      </c>
      <c r="AU944" s="218">
        <f t="shared" si="264"/>
        <v>4.3290002627642585E-2</v>
      </c>
    </row>
    <row r="945" spans="1:47" ht="15.75" customHeight="1" x14ac:dyDescent="0.3">
      <c r="A945" s="192" t="s">
        <v>12</v>
      </c>
      <c r="B945" s="180">
        <f t="shared" si="246"/>
        <v>153266</v>
      </c>
      <c r="C945" s="180">
        <f t="shared" si="232"/>
        <v>19494</v>
      </c>
      <c r="D945" s="180">
        <f t="shared" si="233"/>
        <v>20408</v>
      </c>
      <c r="E945" s="180">
        <f t="shared" si="234"/>
        <v>33759</v>
      </c>
      <c r="F945" s="180">
        <f t="shared" si="247"/>
        <v>2087.9180723168452</v>
      </c>
      <c r="G945" s="180">
        <f t="shared" si="235"/>
        <v>-0.94689544695969718</v>
      </c>
      <c r="H945" s="180">
        <f t="shared" si="236"/>
        <v>10388</v>
      </c>
      <c r="I945" s="180">
        <f t="shared" si="237"/>
        <v>6408</v>
      </c>
      <c r="J945" s="180">
        <f t="shared" si="238"/>
        <v>7437</v>
      </c>
      <c r="K945" s="180">
        <f t="shared" si="239"/>
        <v>6497</v>
      </c>
      <c r="L945" s="180">
        <f t="shared" si="240"/>
        <v>1951</v>
      </c>
      <c r="M945" s="180">
        <f t="shared" si="241"/>
        <v>2298</v>
      </c>
      <c r="N945" s="180">
        <f t="shared" si="242"/>
        <v>4611</v>
      </c>
      <c r="O945" s="180">
        <f t="shared" si="243"/>
        <v>757</v>
      </c>
      <c r="P945" s="180">
        <f t="shared" si="244"/>
        <v>1067</v>
      </c>
      <c r="Q945" s="180">
        <f t="shared" si="245"/>
        <v>1789</v>
      </c>
      <c r="R945" s="216">
        <f t="shared" si="265"/>
        <v>272216.97117686993</v>
      </c>
      <c r="S945" s="217"/>
      <c r="AC945" s="211" t="s">
        <v>12</v>
      </c>
      <c r="AD945" s="180">
        <f t="shared" si="248"/>
        <v>7204</v>
      </c>
      <c r="AE945" s="180">
        <f t="shared" si="249"/>
        <v>916</v>
      </c>
      <c r="AF945" s="180">
        <f t="shared" si="250"/>
        <v>959</v>
      </c>
      <c r="AG945" s="180">
        <f t="shared" si="251"/>
        <v>1587</v>
      </c>
      <c r="AH945" s="180">
        <f t="shared" si="252"/>
        <v>0</v>
      </c>
      <c r="AI945" s="180">
        <f t="shared" si="253"/>
        <v>312</v>
      </c>
      <c r="AJ945" s="180">
        <f t="shared" si="254"/>
        <v>192</v>
      </c>
      <c r="AK945" s="180">
        <f t="shared" si="255"/>
        <v>223</v>
      </c>
      <c r="AL945" s="180">
        <f t="shared" si="256"/>
        <v>195</v>
      </c>
      <c r="AM945" s="180">
        <f t="shared" si="257"/>
        <v>59</v>
      </c>
      <c r="AN945" s="180">
        <f t="shared" si="258"/>
        <v>69</v>
      </c>
      <c r="AO945" s="180">
        <f t="shared" si="259"/>
        <v>138</v>
      </c>
      <c r="AP945" s="180">
        <f t="shared" si="260"/>
        <v>23</v>
      </c>
      <c r="AQ945" s="180">
        <f t="shared" si="261"/>
        <v>32</v>
      </c>
      <c r="AR945" s="180">
        <f t="shared" si="262"/>
        <v>54</v>
      </c>
      <c r="AS945" s="210">
        <f t="shared" si="263"/>
        <v>11963</v>
      </c>
      <c r="AU945" s="218">
        <f t="shared" si="264"/>
        <v>4.3946561995310628E-2</v>
      </c>
    </row>
    <row r="946" spans="1:47" ht="15.75" customHeight="1" x14ac:dyDescent="0.3">
      <c r="A946" s="192" t="s">
        <v>13</v>
      </c>
      <c r="B946" s="180">
        <f t="shared" si="246"/>
        <v>168445</v>
      </c>
      <c r="C946" s="180">
        <f t="shared" si="232"/>
        <v>21422</v>
      </c>
      <c r="D946" s="180">
        <f t="shared" si="233"/>
        <v>22424</v>
      </c>
      <c r="E946" s="180">
        <f t="shared" si="234"/>
        <v>36973</v>
      </c>
      <c r="F946" s="180">
        <f t="shared" si="247"/>
        <v>5338.7204622176141</v>
      </c>
      <c r="G946" s="180">
        <f t="shared" si="235"/>
        <v>-230.21998492841021</v>
      </c>
      <c r="H946" s="180">
        <f t="shared" si="236"/>
        <v>10072</v>
      </c>
      <c r="I946" s="180">
        <f t="shared" si="237"/>
        <v>5612</v>
      </c>
      <c r="J946" s="180">
        <f t="shared" si="238"/>
        <v>7438</v>
      </c>
      <c r="K946" s="180">
        <f t="shared" si="239"/>
        <v>6217</v>
      </c>
      <c r="L946" s="180">
        <f t="shared" si="240"/>
        <v>1984</v>
      </c>
      <c r="M946" s="180">
        <f t="shared" si="241"/>
        <v>2336</v>
      </c>
      <c r="N946" s="180">
        <f t="shared" si="242"/>
        <v>4446</v>
      </c>
      <c r="O946" s="180">
        <f t="shared" si="243"/>
        <v>591</v>
      </c>
      <c r="P946" s="180">
        <f t="shared" si="244"/>
        <v>1814</v>
      </c>
      <c r="Q946" s="180">
        <f t="shared" si="245"/>
        <v>1397</v>
      </c>
      <c r="R946" s="216">
        <f t="shared" si="265"/>
        <v>296279.5004772892</v>
      </c>
      <c r="S946" s="217"/>
      <c r="AC946" s="211" t="s">
        <v>13</v>
      </c>
      <c r="AD946" s="180">
        <f t="shared" si="248"/>
        <v>7917</v>
      </c>
      <c r="AE946" s="180">
        <f t="shared" si="249"/>
        <v>1007</v>
      </c>
      <c r="AF946" s="180">
        <f t="shared" si="250"/>
        <v>1054</v>
      </c>
      <c r="AG946" s="180">
        <f t="shared" si="251"/>
        <v>1738</v>
      </c>
      <c r="AH946" s="180">
        <f t="shared" si="252"/>
        <v>0</v>
      </c>
      <c r="AI946" s="180">
        <f t="shared" si="253"/>
        <v>302</v>
      </c>
      <c r="AJ946" s="180">
        <f t="shared" si="254"/>
        <v>168</v>
      </c>
      <c r="AK946" s="180">
        <f t="shared" si="255"/>
        <v>223</v>
      </c>
      <c r="AL946" s="180">
        <f t="shared" si="256"/>
        <v>187</v>
      </c>
      <c r="AM946" s="180">
        <f t="shared" si="257"/>
        <v>60</v>
      </c>
      <c r="AN946" s="180">
        <f t="shared" si="258"/>
        <v>70</v>
      </c>
      <c r="AO946" s="180">
        <f t="shared" si="259"/>
        <v>133</v>
      </c>
      <c r="AP946" s="180">
        <f t="shared" si="260"/>
        <v>18</v>
      </c>
      <c r="AQ946" s="180">
        <f t="shared" si="261"/>
        <v>54</v>
      </c>
      <c r="AR946" s="180">
        <f t="shared" si="262"/>
        <v>42</v>
      </c>
      <c r="AS946" s="210">
        <f t="shared" si="263"/>
        <v>12973</v>
      </c>
      <c r="AU946" s="218">
        <f t="shared" si="264"/>
        <v>4.3786357068583026E-2</v>
      </c>
    </row>
    <row r="947" spans="1:47" ht="15.75" customHeight="1" x14ac:dyDescent="0.3">
      <c r="A947" s="192" t="s">
        <v>14</v>
      </c>
      <c r="B947" s="180">
        <f t="shared" si="246"/>
        <v>79192</v>
      </c>
      <c r="C947" s="180">
        <f t="shared" si="232"/>
        <v>10045</v>
      </c>
      <c r="D947" s="180">
        <f t="shared" si="233"/>
        <v>10488</v>
      </c>
      <c r="E947" s="180">
        <f t="shared" si="234"/>
        <v>16599</v>
      </c>
      <c r="F947" s="180">
        <f t="shared" si="247"/>
        <v>0</v>
      </c>
      <c r="G947" s="180">
        <f t="shared" si="235"/>
        <v>-15895.624114544094</v>
      </c>
      <c r="H947" s="180">
        <f t="shared" si="236"/>
        <v>13703</v>
      </c>
      <c r="I947" s="180">
        <f t="shared" si="237"/>
        <v>7927</v>
      </c>
      <c r="J947" s="180">
        <f t="shared" si="238"/>
        <v>7735</v>
      </c>
      <c r="K947" s="180">
        <f t="shared" si="239"/>
        <v>6505</v>
      </c>
      <c r="L947" s="180">
        <f t="shared" si="240"/>
        <v>2141</v>
      </c>
      <c r="M947" s="180">
        <f t="shared" si="241"/>
        <v>2521</v>
      </c>
      <c r="N947" s="180">
        <f t="shared" si="242"/>
        <v>5184</v>
      </c>
      <c r="O947" s="180">
        <f t="shared" si="243"/>
        <v>908</v>
      </c>
      <c r="P947" s="180">
        <f t="shared" si="244"/>
        <v>2267</v>
      </c>
      <c r="Q947" s="180">
        <f t="shared" si="245"/>
        <v>2147</v>
      </c>
      <c r="R947" s="216">
        <f>(SUM(B947:Q947))</f>
        <v>151466.3758854559</v>
      </c>
      <c r="S947" s="217"/>
      <c r="AC947" s="211" t="s">
        <v>14</v>
      </c>
      <c r="AD947" s="180">
        <f t="shared" si="248"/>
        <v>3722</v>
      </c>
      <c r="AE947" s="180">
        <f t="shared" si="249"/>
        <v>472</v>
      </c>
      <c r="AF947" s="180">
        <f t="shared" si="250"/>
        <v>493</v>
      </c>
      <c r="AG947" s="180">
        <f t="shared" si="251"/>
        <v>780</v>
      </c>
      <c r="AH947" s="180">
        <f t="shared" si="252"/>
        <v>0</v>
      </c>
      <c r="AI947" s="180">
        <f t="shared" si="253"/>
        <v>411</v>
      </c>
      <c r="AJ947" s="180">
        <f t="shared" si="254"/>
        <v>238</v>
      </c>
      <c r="AK947" s="180">
        <f t="shared" si="255"/>
        <v>232</v>
      </c>
      <c r="AL947" s="180">
        <f t="shared" si="256"/>
        <v>195</v>
      </c>
      <c r="AM947" s="180">
        <f t="shared" si="257"/>
        <v>64</v>
      </c>
      <c r="AN947" s="180">
        <f t="shared" si="258"/>
        <v>76</v>
      </c>
      <c r="AO947" s="180">
        <f t="shared" si="259"/>
        <v>156</v>
      </c>
      <c r="AP947" s="180">
        <f t="shared" si="260"/>
        <v>27</v>
      </c>
      <c r="AQ947" s="180">
        <f t="shared" si="261"/>
        <v>68</v>
      </c>
      <c r="AR947" s="180">
        <f t="shared" si="262"/>
        <v>64</v>
      </c>
      <c r="AS947" s="210">
        <f t="shared" si="263"/>
        <v>6998</v>
      </c>
      <c r="AU947" s="218">
        <f t="shared" si="264"/>
        <v>4.6201673203643094E-2</v>
      </c>
    </row>
    <row r="948" spans="1:47" ht="15.75" customHeight="1" x14ac:dyDescent="0.3">
      <c r="A948" s="192" t="s">
        <v>16</v>
      </c>
      <c r="B948" s="180">
        <f t="shared" si="246"/>
        <v>72154</v>
      </c>
      <c r="C948" s="180">
        <f t="shared" si="232"/>
        <v>9148</v>
      </c>
      <c r="D948" s="180">
        <f t="shared" si="233"/>
        <v>9547</v>
      </c>
      <c r="E948" s="180">
        <f t="shared" si="234"/>
        <v>15036</v>
      </c>
      <c r="F948" s="180">
        <f t="shared" si="247"/>
        <v>0</v>
      </c>
      <c r="G948" s="180">
        <f t="shared" si="235"/>
        <v>-12136.795650781502</v>
      </c>
      <c r="H948" s="180">
        <f t="shared" si="236"/>
        <v>10952</v>
      </c>
      <c r="I948" s="180">
        <f t="shared" si="237"/>
        <v>8341</v>
      </c>
      <c r="J948" s="180">
        <f t="shared" si="238"/>
        <v>7971</v>
      </c>
      <c r="K948" s="180">
        <f t="shared" si="239"/>
        <v>6437</v>
      </c>
      <c r="L948" s="180">
        <f t="shared" si="240"/>
        <v>2172</v>
      </c>
      <c r="M948" s="180">
        <f t="shared" si="241"/>
        <v>2558</v>
      </c>
      <c r="N948" s="180">
        <f t="shared" si="242"/>
        <v>5040</v>
      </c>
      <c r="O948" s="180">
        <f t="shared" si="243"/>
        <v>761</v>
      </c>
      <c r="P948" s="180">
        <f t="shared" si="244"/>
        <v>1888</v>
      </c>
      <c r="Q948" s="180">
        <f t="shared" si="245"/>
        <v>1800</v>
      </c>
      <c r="R948" s="216">
        <f t="shared" si="265"/>
        <v>141668.20434921852</v>
      </c>
      <c r="S948" s="217"/>
      <c r="AC948" s="211" t="s">
        <v>16</v>
      </c>
      <c r="AD948" s="180">
        <f t="shared" si="248"/>
        <v>3391</v>
      </c>
      <c r="AE948" s="180">
        <f t="shared" si="249"/>
        <v>430</v>
      </c>
      <c r="AF948" s="180">
        <f t="shared" si="250"/>
        <v>449</v>
      </c>
      <c r="AG948" s="180">
        <f t="shared" si="251"/>
        <v>707</v>
      </c>
      <c r="AH948" s="180">
        <f t="shared" si="252"/>
        <v>0</v>
      </c>
      <c r="AI948" s="180">
        <f t="shared" si="253"/>
        <v>329</v>
      </c>
      <c r="AJ948" s="180">
        <f t="shared" si="254"/>
        <v>250</v>
      </c>
      <c r="AK948" s="180">
        <f t="shared" si="255"/>
        <v>239</v>
      </c>
      <c r="AL948" s="180">
        <f t="shared" si="256"/>
        <v>193</v>
      </c>
      <c r="AM948" s="180">
        <f t="shared" si="257"/>
        <v>65</v>
      </c>
      <c r="AN948" s="180">
        <f t="shared" si="258"/>
        <v>77</v>
      </c>
      <c r="AO948" s="180">
        <f t="shared" si="259"/>
        <v>151</v>
      </c>
      <c r="AP948" s="180">
        <f t="shared" si="260"/>
        <v>23</v>
      </c>
      <c r="AQ948" s="180">
        <f t="shared" si="261"/>
        <v>57</v>
      </c>
      <c r="AR948" s="180">
        <f t="shared" si="262"/>
        <v>54</v>
      </c>
      <c r="AS948" s="210">
        <f t="shared" si="263"/>
        <v>6415</v>
      </c>
      <c r="AU948" s="218">
        <f t="shared" si="264"/>
        <v>4.5281861441447621E-2</v>
      </c>
    </row>
    <row r="949" spans="1:47" ht="15.75" customHeight="1" x14ac:dyDescent="0.3">
      <c r="A949" s="192" t="s">
        <v>17</v>
      </c>
      <c r="B949" s="180">
        <f t="shared" si="246"/>
        <v>69091</v>
      </c>
      <c r="C949" s="180">
        <f t="shared" si="232"/>
        <v>8767</v>
      </c>
      <c r="D949" s="180">
        <f t="shared" si="233"/>
        <v>9158</v>
      </c>
      <c r="E949" s="180">
        <f t="shared" si="234"/>
        <v>14437</v>
      </c>
      <c r="F949" s="180">
        <f t="shared" si="247"/>
        <v>0</v>
      </c>
      <c r="G949" s="180">
        <f t="shared" si="235"/>
        <v>-9944.4195556750456</v>
      </c>
      <c r="H949" s="180">
        <f t="shared" si="236"/>
        <v>10833</v>
      </c>
      <c r="I949" s="180">
        <f t="shared" si="237"/>
        <v>7518</v>
      </c>
      <c r="J949" s="180">
        <f t="shared" si="238"/>
        <v>8146</v>
      </c>
      <c r="K949" s="180">
        <f t="shared" si="239"/>
        <v>6775</v>
      </c>
      <c r="L949" s="180">
        <f t="shared" si="240"/>
        <v>2168</v>
      </c>
      <c r="M949" s="180">
        <f t="shared" si="241"/>
        <v>2554</v>
      </c>
      <c r="N949" s="180">
        <f t="shared" si="242"/>
        <v>5195</v>
      </c>
      <c r="O949" s="180">
        <f t="shared" si="243"/>
        <v>711</v>
      </c>
      <c r="P949" s="180">
        <f t="shared" si="244"/>
        <v>1781</v>
      </c>
      <c r="Q949" s="180">
        <f t="shared" si="245"/>
        <v>1682</v>
      </c>
      <c r="R949" s="216">
        <f t="shared" si="265"/>
        <v>138871.58044432494</v>
      </c>
      <c r="S949" s="217"/>
      <c r="AC949" s="211" t="s">
        <v>17</v>
      </c>
      <c r="AD949" s="180">
        <f t="shared" si="248"/>
        <v>3247</v>
      </c>
      <c r="AE949" s="180">
        <f t="shared" si="249"/>
        <v>412</v>
      </c>
      <c r="AF949" s="180">
        <f t="shared" si="250"/>
        <v>430</v>
      </c>
      <c r="AG949" s="180">
        <f t="shared" si="251"/>
        <v>679</v>
      </c>
      <c r="AH949" s="180">
        <f t="shared" si="252"/>
        <v>0</v>
      </c>
      <c r="AI949" s="180">
        <f t="shared" si="253"/>
        <v>325</v>
      </c>
      <c r="AJ949" s="180">
        <f t="shared" si="254"/>
        <v>226</v>
      </c>
      <c r="AK949" s="180">
        <f t="shared" si="255"/>
        <v>244</v>
      </c>
      <c r="AL949" s="180">
        <f t="shared" si="256"/>
        <v>203</v>
      </c>
      <c r="AM949" s="180">
        <f t="shared" si="257"/>
        <v>65</v>
      </c>
      <c r="AN949" s="180">
        <f t="shared" si="258"/>
        <v>77</v>
      </c>
      <c r="AO949" s="180">
        <f t="shared" si="259"/>
        <v>156</v>
      </c>
      <c r="AP949" s="180">
        <f t="shared" si="260"/>
        <v>21</v>
      </c>
      <c r="AQ949" s="180">
        <f t="shared" si="261"/>
        <v>53</v>
      </c>
      <c r="AR949" s="180">
        <f t="shared" si="262"/>
        <v>50</v>
      </c>
      <c r="AS949" s="210">
        <f t="shared" si="263"/>
        <v>6188</v>
      </c>
      <c r="AU949" s="218">
        <f t="shared" si="264"/>
        <v>4.4559152997332194E-2</v>
      </c>
    </row>
    <row r="950" spans="1:47" ht="15.75" customHeight="1" x14ac:dyDescent="0.3">
      <c r="A950" s="192" t="s">
        <v>18</v>
      </c>
      <c r="B950" s="180">
        <f t="shared" si="246"/>
        <v>127012</v>
      </c>
      <c r="C950" s="180">
        <f t="shared" si="232"/>
        <v>16153</v>
      </c>
      <c r="D950" s="180">
        <f t="shared" si="233"/>
        <v>16909</v>
      </c>
      <c r="E950" s="180">
        <f t="shared" si="234"/>
        <v>27914</v>
      </c>
      <c r="F950" s="180">
        <f t="shared" si="247"/>
        <v>1657.8082575954311</v>
      </c>
      <c r="G950" s="180">
        <f t="shared" si="235"/>
        <v>-1421.8911228334584</v>
      </c>
      <c r="H950" s="180">
        <f t="shared" si="236"/>
        <v>8405</v>
      </c>
      <c r="I950" s="180">
        <f t="shared" si="237"/>
        <v>5410</v>
      </c>
      <c r="J950" s="180">
        <f t="shared" si="238"/>
        <v>6862</v>
      </c>
      <c r="K950" s="180">
        <f t="shared" si="239"/>
        <v>6130</v>
      </c>
      <c r="L950" s="180">
        <f t="shared" si="240"/>
        <v>1909</v>
      </c>
      <c r="M950" s="180">
        <f t="shared" si="241"/>
        <v>2249</v>
      </c>
      <c r="N950" s="180">
        <f t="shared" si="242"/>
        <v>4456</v>
      </c>
      <c r="O950" s="180">
        <f t="shared" si="243"/>
        <v>672</v>
      </c>
      <c r="P950" s="180">
        <f t="shared" si="244"/>
        <v>1709</v>
      </c>
      <c r="Q950" s="180">
        <f t="shared" si="245"/>
        <v>1567</v>
      </c>
      <c r="R950" s="216">
        <f t="shared" si="265"/>
        <v>227592.91713476198</v>
      </c>
      <c r="S950" s="217"/>
      <c r="AC950" s="211" t="s">
        <v>18</v>
      </c>
      <c r="AD950" s="180">
        <f t="shared" si="248"/>
        <v>5970</v>
      </c>
      <c r="AE950" s="180">
        <f t="shared" si="249"/>
        <v>759</v>
      </c>
      <c r="AF950" s="180">
        <f t="shared" si="250"/>
        <v>795</v>
      </c>
      <c r="AG950" s="180">
        <f t="shared" si="251"/>
        <v>1312</v>
      </c>
      <c r="AH950" s="180">
        <f t="shared" si="252"/>
        <v>0</v>
      </c>
      <c r="AI950" s="180">
        <f t="shared" si="253"/>
        <v>252</v>
      </c>
      <c r="AJ950" s="180">
        <f t="shared" si="254"/>
        <v>162</v>
      </c>
      <c r="AK950" s="180">
        <f t="shared" si="255"/>
        <v>206</v>
      </c>
      <c r="AL950" s="180">
        <f t="shared" si="256"/>
        <v>184</v>
      </c>
      <c r="AM950" s="180">
        <f t="shared" si="257"/>
        <v>57</v>
      </c>
      <c r="AN950" s="180">
        <f t="shared" si="258"/>
        <v>67</v>
      </c>
      <c r="AO950" s="180">
        <f t="shared" si="259"/>
        <v>134</v>
      </c>
      <c r="AP950" s="180">
        <f t="shared" si="260"/>
        <v>20</v>
      </c>
      <c r="AQ950" s="180">
        <f t="shared" si="261"/>
        <v>51</v>
      </c>
      <c r="AR950" s="180">
        <f t="shared" si="262"/>
        <v>47</v>
      </c>
      <c r="AS950" s="210">
        <f t="shared" si="263"/>
        <v>10016</v>
      </c>
      <c r="AU950" s="218">
        <f t="shared" si="264"/>
        <v>4.4008399409324946E-2</v>
      </c>
    </row>
    <row r="951" spans="1:47" ht="15.75" customHeight="1" x14ac:dyDescent="0.3">
      <c r="A951" s="192" t="s">
        <v>20</v>
      </c>
      <c r="B951" s="180">
        <f t="shared" si="246"/>
        <v>124009</v>
      </c>
      <c r="C951" s="180">
        <f t="shared" si="232"/>
        <v>15774</v>
      </c>
      <c r="D951" s="180">
        <f t="shared" si="233"/>
        <v>16515</v>
      </c>
      <c r="E951" s="180">
        <f t="shared" si="234"/>
        <v>27515</v>
      </c>
      <c r="F951" s="180">
        <f t="shared" si="247"/>
        <v>7995.1693586081419</v>
      </c>
      <c r="G951" s="180">
        <f t="shared" si="235"/>
        <v>0</v>
      </c>
      <c r="H951" s="180">
        <f t="shared" si="236"/>
        <v>4324</v>
      </c>
      <c r="I951" s="180">
        <f t="shared" si="237"/>
        <v>2039</v>
      </c>
      <c r="J951" s="180">
        <f t="shared" si="238"/>
        <v>2717</v>
      </c>
      <c r="K951" s="180">
        <f t="shared" si="239"/>
        <v>2527</v>
      </c>
      <c r="L951" s="180">
        <f t="shared" si="240"/>
        <v>708</v>
      </c>
      <c r="M951" s="180">
        <f t="shared" si="241"/>
        <v>832</v>
      </c>
      <c r="N951" s="180">
        <f t="shared" si="242"/>
        <v>1535</v>
      </c>
      <c r="O951" s="180">
        <f t="shared" si="243"/>
        <v>641</v>
      </c>
      <c r="P951" s="180">
        <f t="shared" si="244"/>
        <v>1615</v>
      </c>
      <c r="Q951" s="180">
        <f t="shared" si="245"/>
        <v>1516</v>
      </c>
      <c r="R951" s="216">
        <f t="shared" si="265"/>
        <v>210262.16935860814</v>
      </c>
      <c r="S951" s="217"/>
      <c r="AC951" s="211" t="s">
        <v>20</v>
      </c>
      <c r="AD951" s="180">
        <f t="shared" si="248"/>
        <v>5828</v>
      </c>
      <c r="AE951" s="180">
        <f t="shared" si="249"/>
        <v>741</v>
      </c>
      <c r="AF951" s="180">
        <f t="shared" si="250"/>
        <v>776</v>
      </c>
      <c r="AG951" s="180">
        <f t="shared" si="251"/>
        <v>1293</v>
      </c>
      <c r="AH951" s="180">
        <f t="shared" si="252"/>
        <v>0</v>
      </c>
      <c r="AI951" s="180">
        <f t="shared" si="253"/>
        <v>130</v>
      </c>
      <c r="AJ951" s="180">
        <f t="shared" si="254"/>
        <v>61</v>
      </c>
      <c r="AK951" s="180">
        <f t="shared" si="255"/>
        <v>82</v>
      </c>
      <c r="AL951" s="180">
        <f t="shared" si="256"/>
        <v>76</v>
      </c>
      <c r="AM951" s="180">
        <f t="shared" si="257"/>
        <v>21</v>
      </c>
      <c r="AN951" s="180">
        <f t="shared" si="258"/>
        <v>25</v>
      </c>
      <c r="AO951" s="180">
        <f t="shared" si="259"/>
        <v>46</v>
      </c>
      <c r="AP951" s="180">
        <f t="shared" si="260"/>
        <v>19</v>
      </c>
      <c r="AQ951" s="180">
        <f t="shared" si="261"/>
        <v>48</v>
      </c>
      <c r="AR951" s="180">
        <f t="shared" si="262"/>
        <v>45</v>
      </c>
      <c r="AS951" s="210">
        <f t="shared" si="263"/>
        <v>9191</v>
      </c>
      <c r="AU951" s="218">
        <f t="shared" si="264"/>
        <v>4.3712095371395539E-2</v>
      </c>
    </row>
    <row r="952" spans="1:47" ht="15.75" customHeight="1" x14ac:dyDescent="0.3">
      <c r="A952" s="192" t="s">
        <v>21</v>
      </c>
      <c r="B952" s="180">
        <f t="shared" si="246"/>
        <v>121521</v>
      </c>
      <c r="C952" s="180">
        <f t="shared" si="232"/>
        <v>15463</v>
      </c>
      <c r="D952" s="180">
        <f t="shared" si="233"/>
        <v>16195</v>
      </c>
      <c r="E952" s="180">
        <f t="shared" si="234"/>
        <v>27271</v>
      </c>
      <c r="F952" s="180">
        <f t="shared" si="247"/>
        <v>12552.522604518306</v>
      </c>
      <c r="G952" s="180">
        <f t="shared" si="235"/>
        <v>0</v>
      </c>
      <c r="H952" s="180">
        <f t="shared" si="236"/>
        <v>2460</v>
      </c>
      <c r="I952" s="180">
        <f t="shared" si="237"/>
        <v>642</v>
      </c>
      <c r="J952" s="180">
        <f t="shared" si="238"/>
        <v>890</v>
      </c>
      <c r="K952" s="180">
        <f t="shared" si="239"/>
        <v>801</v>
      </c>
      <c r="L952" s="180">
        <f t="shared" si="240"/>
        <v>139</v>
      </c>
      <c r="M952" s="180">
        <f t="shared" si="241"/>
        <v>162</v>
      </c>
      <c r="N952" s="180">
        <f t="shared" si="242"/>
        <v>315</v>
      </c>
      <c r="O952" s="180">
        <f t="shared" si="243"/>
        <v>198</v>
      </c>
      <c r="P952" s="180">
        <f t="shared" si="244"/>
        <v>803</v>
      </c>
      <c r="Q952" s="180">
        <f t="shared" si="245"/>
        <v>468</v>
      </c>
      <c r="R952" s="216">
        <f t="shared" si="265"/>
        <v>199880.52260451831</v>
      </c>
      <c r="S952" s="217"/>
      <c r="AC952" s="211" t="s">
        <v>21</v>
      </c>
      <c r="AD952" s="180">
        <f t="shared" si="248"/>
        <v>5711</v>
      </c>
      <c r="AE952" s="180">
        <f t="shared" si="249"/>
        <v>727</v>
      </c>
      <c r="AF952" s="180">
        <f t="shared" si="250"/>
        <v>761</v>
      </c>
      <c r="AG952" s="180">
        <f t="shared" si="251"/>
        <v>1282</v>
      </c>
      <c r="AH952" s="180">
        <f t="shared" si="252"/>
        <v>0</v>
      </c>
      <c r="AI952" s="180">
        <f t="shared" si="253"/>
        <v>74</v>
      </c>
      <c r="AJ952" s="180">
        <f t="shared" si="254"/>
        <v>19</v>
      </c>
      <c r="AK952" s="180">
        <f t="shared" si="255"/>
        <v>27</v>
      </c>
      <c r="AL952" s="180">
        <f t="shared" si="256"/>
        <v>24</v>
      </c>
      <c r="AM952" s="180">
        <f t="shared" si="257"/>
        <v>4</v>
      </c>
      <c r="AN952" s="180">
        <f t="shared" si="258"/>
        <v>5</v>
      </c>
      <c r="AO952" s="180">
        <f t="shared" si="259"/>
        <v>9</v>
      </c>
      <c r="AP952" s="180">
        <f t="shared" si="260"/>
        <v>6</v>
      </c>
      <c r="AQ952" s="180">
        <f t="shared" si="261"/>
        <v>24</v>
      </c>
      <c r="AR952" s="180">
        <f t="shared" si="262"/>
        <v>14</v>
      </c>
      <c r="AS952" s="210">
        <f t="shared" si="263"/>
        <v>8687</v>
      </c>
      <c r="AU952" s="218">
        <f t="shared" si="264"/>
        <v>4.3460963013329794E-2</v>
      </c>
    </row>
    <row r="953" spans="1:47" ht="15.75" customHeight="1" x14ac:dyDescent="0.3">
      <c r="A953" s="192" t="s">
        <v>22</v>
      </c>
      <c r="B953" s="180">
        <f t="shared" si="246"/>
        <v>135290</v>
      </c>
      <c r="C953" s="180">
        <f t="shared" si="232"/>
        <v>17224</v>
      </c>
      <c r="D953" s="180">
        <f t="shared" si="233"/>
        <v>18049</v>
      </c>
      <c r="E953" s="180">
        <f t="shared" si="234"/>
        <v>30277</v>
      </c>
      <c r="F953" s="180">
        <f t="shared" si="247"/>
        <v>13844.282442470736</v>
      </c>
      <c r="G953" s="180">
        <f t="shared" si="235"/>
        <v>-9.8083964350448287</v>
      </c>
      <c r="H953" s="180">
        <f t="shared" si="236"/>
        <v>3738</v>
      </c>
      <c r="I953" s="180">
        <f t="shared" si="237"/>
        <v>2029</v>
      </c>
      <c r="J953" s="180">
        <f t="shared" si="238"/>
        <v>2871</v>
      </c>
      <c r="K953" s="180">
        <f t="shared" si="239"/>
        <v>2940</v>
      </c>
      <c r="L953" s="180">
        <f t="shared" si="240"/>
        <v>713</v>
      </c>
      <c r="M953" s="180">
        <f t="shared" si="241"/>
        <v>840</v>
      </c>
      <c r="N953" s="180">
        <f t="shared" si="242"/>
        <v>1777</v>
      </c>
      <c r="O953" s="180">
        <f t="shared" si="243"/>
        <v>555</v>
      </c>
      <c r="P953" s="180">
        <f t="shared" si="244"/>
        <v>1141</v>
      </c>
      <c r="Q953" s="180">
        <f t="shared" si="245"/>
        <v>1313</v>
      </c>
      <c r="R953" s="216">
        <f t="shared" si="265"/>
        <v>232591.47404603567</v>
      </c>
      <c r="S953" s="217"/>
      <c r="AC953" s="211" t="s">
        <v>22</v>
      </c>
      <c r="AD953" s="180">
        <f t="shared" si="248"/>
        <v>6359</v>
      </c>
      <c r="AE953" s="180">
        <f t="shared" si="249"/>
        <v>810</v>
      </c>
      <c r="AF953" s="180">
        <f t="shared" si="250"/>
        <v>848</v>
      </c>
      <c r="AG953" s="180">
        <f t="shared" si="251"/>
        <v>1423</v>
      </c>
      <c r="AH953" s="180">
        <f t="shared" si="252"/>
        <v>0</v>
      </c>
      <c r="AI953" s="180">
        <f t="shared" si="253"/>
        <v>112</v>
      </c>
      <c r="AJ953" s="180">
        <f t="shared" si="254"/>
        <v>61</v>
      </c>
      <c r="AK953" s="180">
        <f t="shared" si="255"/>
        <v>86</v>
      </c>
      <c r="AL953" s="180">
        <f t="shared" si="256"/>
        <v>88</v>
      </c>
      <c r="AM953" s="180">
        <f t="shared" si="257"/>
        <v>21</v>
      </c>
      <c r="AN953" s="180">
        <f t="shared" si="258"/>
        <v>25</v>
      </c>
      <c r="AO953" s="180">
        <f t="shared" si="259"/>
        <v>53</v>
      </c>
      <c r="AP953" s="180">
        <f t="shared" si="260"/>
        <v>17</v>
      </c>
      <c r="AQ953" s="180">
        <f t="shared" si="261"/>
        <v>34</v>
      </c>
      <c r="AR953" s="180">
        <f t="shared" si="262"/>
        <v>39</v>
      </c>
      <c r="AS953" s="210">
        <f t="shared" si="263"/>
        <v>9976</v>
      </c>
      <c r="AU953" s="218">
        <f t="shared" si="264"/>
        <v>4.2890652122637568E-2</v>
      </c>
    </row>
    <row r="954" spans="1:47" ht="15.75" customHeight="1" x14ac:dyDescent="0.3">
      <c r="A954" s="189"/>
      <c r="B954" s="180"/>
      <c r="C954" s="180"/>
      <c r="D954" s="180"/>
      <c r="E954" s="180"/>
      <c r="F954" s="180"/>
      <c r="G954" s="180"/>
      <c r="H954" s="180"/>
      <c r="I954" s="180"/>
      <c r="J954" s="180"/>
      <c r="K954" s="180"/>
      <c r="L954" s="180"/>
      <c r="M954" s="180"/>
      <c r="N954" s="180"/>
      <c r="O954" s="180"/>
      <c r="P954" s="180"/>
      <c r="Q954" s="180"/>
      <c r="R954" s="210"/>
      <c r="S954" s="217"/>
      <c r="AC954" s="95"/>
      <c r="AD954" s="180"/>
      <c r="AE954" s="180"/>
      <c r="AF954" s="180"/>
      <c r="AG954" s="180"/>
      <c r="AH954" s="180"/>
      <c r="AI954" s="180"/>
      <c r="AJ954" s="180"/>
      <c r="AK954" s="180"/>
      <c r="AL954" s="180"/>
      <c r="AM954" s="180"/>
      <c r="AN954" s="180"/>
      <c r="AO954" s="180"/>
      <c r="AP954" s="180"/>
      <c r="AQ954" s="180"/>
      <c r="AR954" s="180"/>
      <c r="AS954" s="210"/>
    </row>
    <row r="955" spans="1:47" ht="15.75" customHeight="1" thickBot="1" x14ac:dyDescent="0.35">
      <c r="A955" s="189" t="s">
        <v>641</v>
      </c>
      <c r="B955" s="180">
        <f>SUM(B942:B953)</f>
        <v>1356595</v>
      </c>
      <c r="C955" s="180">
        <f t="shared" ref="C955:Q955" si="266">SUM(C942:C953)</f>
        <v>172515</v>
      </c>
      <c r="D955" s="180">
        <f t="shared" si="266"/>
        <v>180572</v>
      </c>
      <c r="E955" s="180">
        <f t="shared" si="266"/>
        <v>298746</v>
      </c>
      <c r="F955" s="180">
        <f t="shared" si="266"/>
        <v>69145.12491676287</v>
      </c>
      <c r="G955" s="180">
        <f t="shared" si="266"/>
        <v>-41427.945619522339</v>
      </c>
      <c r="H955" s="180">
        <f t="shared" si="266"/>
        <v>89000</v>
      </c>
      <c r="I955" s="180">
        <f t="shared" si="266"/>
        <v>55864</v>
      </c>
      <c r="J955" s="180">
        <f t="shared" si="266"/>
        <v>66005</v>
      </c>
      <c r="K955" s="180">
        <f t="shared" si="266"/>
        <v>58583</v>
      </c>
      <c r="L955" s="180">
        <f t="shared" si="266"/>
        <v>18484</v>
      </c>
      <c r="M955" s="180">
        <f t="shared" si="266"/>
        <v>21770</v>
      </c>
      <c r="N955" s="180">
        <f t="shared" si="266"/>
        <v>43609</v>
      </c>
      <c r="O955" s="180">
        <f t="shared" si="266"/>
        <v>7662</v>
      </c>
      <c r="P955" s="180">
        <f t="shared" si="266"/>
        <v>14951</v>
      </c>
      <c r="Q955" s="180">
        <f t="shared" si="266"/>
        <v>18098</v>
      </c>
      <c r="R955" s="219">
        <f>SUM(R942:R953)</f>
        <v>2430171.1792972405</v>
      </c>
      <c r="S955" s="217"/>
      <c r="AC955" s="220" t="s">
        <v>641</v>
      </c>
      <c r="AD955" s="195">
        <f>SUM(AD942:AD953)</f>
        <v>63760</v>
      </c>
      <c r="AE955" s="195">
        <f t="shared" ref="AE955:AS955" si="267">SUM(AE942:AE953)</f>
        <v>8108</v>
      </c>
      <c r="AF955" s="195">
        <f t="shared" si="267"/>
        <v>8486</v>
      </c>
      <c r="AG955" s="195">
        <f t="shared" si="267"/>
        <v>14043</v>
      </c>
      <c r="AH955" s="195">
        <f t="shared" si="267"/>
        <v>0</v>
      </c>
      <c r="AI955" s="195">
        <f t="shared" si="267"/>
        <v>2670</v>
      </c>
      <c r="AJ955" s="195">
        <f t="shared" si="267"/>
        <v>1674</v>
      </c>
      <c r="AK955" s="195">
        <f t="shared" si="267"/>
        <v>1980</v>
      </c>
      <c r="AL955" s="195">
        <f t="shared" si="267"/>
        <v>1758</v>
      </c>
      <c r="AM955" s="195">
        <f t="shared" si="267"/>
        <v>553</v>
      </c>
      <c r="AN955" s="195">
        <f t="shared" si="267"/>
        <v>653</v>
      </c>
      <c r="AO955" s="195">
        <f t="shared" si="267"/>
        <v>1308</v>
      </c>
      <c r="AP955" s="195">
        <f t="shared" si="267"/>
        <v>230</v>
      </c>
      <c r="AQ955" s="195">
        <f t="shared" si="267"/>
        <v>446</v>
      </c>
      <c r="AR955" s="195">
        <f t="shared" si="267"/>
        <v>542</v>
      </c>
      <c r="AS955" s="221">
        <f t="shared" si="267"/>
        <v>106211</v>
      </c>
      <c r="AU955" s="218">
        <f t="shared" si="264"/>
        <v>4.3705151680185017E-2</v>
      </c>
    </row>
    <row r="956" spans="1:47" ht="16.5" customHeight="1" thickBot="1" x14ac:dyDescent="0.35">
      <c r="A956" s="204" t="s">
        <v>7</v>
      </c>
      <c r="B956" s="195"/>
      <c r="C956" s="195"/>
      <c r="D956" s="195"/>
      <c r="E956" s="195"/>
      <c r="F956" s="195"/>
      <c r="G956" s="195"/>
      <c r="H956" s="195"/>
      <c r="I956" s="195"/>
      <c r="J956" s="195"/>
      <c r="K956" s="195"/>
      <c r="L956" s="195"/>
      <c r="M956" s="195"/>
      <c r="N956" s="195"/>
      <c r="O956" s="195"/>
      <c r="P956" s="195"/>
      <c r="Q956" s="195"/>
      <c r="R956" s="221"/>
      <c r="S956" s="180"/>
    </row>
    <row r="957" spans="1:47" ht="15.75" customHeight="1" x14ac:dyDescent="0.3">
      <c r="A957" s="180"/>
      <c r="B957" s="180"/>
      <c r="C957" s="180"/>
      <c r="D957" s="180"/>
      <c r="E957" s="180"/>
      <c r="F957" s="180"/>
      <c r="G957" s="180"/>
      <c r="H957" s="180"/>
      <c r="I957" s="180"/>
      <c r="J957" s="180"/>
      <c r="K957" s="180"/>
      <c r="L957" s="180"/>
      <c r="M957" s="180"/>
      <c r="N957" s="180"/>
      <c r="O957" s="180"/>
      <c r="P957" s="180"/>
      <c r="Q957" s="180"/>
      <c r="R957" s="180"/>
    </row>
    <row r="958" spans="1:47" ht="15.75" customHeight="1" x14ac:dyDescent="0.3"/>
    <row r="959" spans="1:47" ht="15.75" customHeight="1" thickBot="1" x14ac:dyDescent="0.35"/>
    <row r="960" spans="1:47" ht="15.75" customHeight="1" thickBot="1" x14ac:dyDescent="0.35">
      <c r="B960" s="428" t="s">
        <v>727</v>
      </c>
      <c r="C960" s="423"/>
      <c r="D960" s="423"/>
      <c r="E960" s="423"/>
      <c r="F960" s="423"/>
      <c r="G960" s="423"/>
      <c r="H960" s="423"/>
      <c r="I960" s="423"/>
      <c r="J960" s="423"/>
      <c r="K960" s="423"/>
      <c r="L960" s="423"/>
      <c r="M960" s="423"/>
      <c r="N960" s="423"/>
      <c r="O960" s="423"/>
      <c r="P960" s="423"/>
      <c r="Q960" s="354" t="str">
        <f>+Q1</f>
        <v xml:space="preserve">PRINTED:  </v>
      </c>
      <c r="R960" s="357">
        <f ca="1">+R1</f>
        <v>44894.658168402777</v>
      </c>
      <c r="S960" s="351"/>
      <c r="T960" s="359"/>
      <c r="U960" s="359"/>
      <c r="V960" s="358"/>
    </row>
    <row r="961" spans="1:45" ht="15.75" customHeight="1" x14ac:dyDescent="0.3">
      <c r="B961" s="399">
        <f>+A5</f>
        <v>2017</v>
      </c>
      <c r="C961" s="395"/>
      <c r="D961" s="395"/>
      <c r="E961" s="395"/>
      <c r="F961" s="395"/>
      <c r="G961" s="395"/>
      <c r="H961" s="395"/>
      <c r="I961" s="395"/>
      <c r="J961" s="395"/>
      <c r="K961" s="395"/>
      <c r="L961" s="395"/>
      <c r="M961" s="395"/>
      <c r="N961" s="395"/>
      <c r="O961" s="395"/>
      <c r="P961" s="395"/>
      <c r="Q961" s="180"/>
      <c r="R961" s="180"/>
      <c r="S961" s="180"/>
      <c r="V961" s="304"/>
      <c r="AC961" s="360"/>
      <c r="AD961" s="423" t="s">
        <v>728</v>
      </c>
      <c r="AE961" s="427"/>
      <c r="AF961" s="427"/>
      <c r="AG961" s="427"/>
      <c r="AH961" s="427"/>
      <c r="AI961" s="427"/>
      <c r="AJ961" s="427"/>
      <c r="AK961" s="427"/>
      <c r="AL961" s="427"/>
      <c r="AM961" s="427"/>
      <c r="AN961" s="427"/>
      <c r="AO961" s="427"/>
      <c r="AP961" s="427"/>
      <c r="AQ961" s="427"/>
      <c r="AR961" s="354" t="str">
        <f>$Q$1</f>
        <v xml:space="preserve">PRINTED:  </v>
      </c>
      <c r="AS961" s="361">
        <f ca="1">$R$1</f>
        <v>44894.658168402777</v>
      </c>
    </row>
    <row r="962" spans="1:45" ht="15.75" customHeight="1" x14ac:dyDescent="0.3">
      <c r="B962" s="400" t="str">
        <f>+A8</f>
        <v>Revised:  1/18/2018</v>
      </c>
      <c r="C962" s="394"/>
      <c r="D962" s="394"/>
      <c r="E962" s="394"/>
      <c r="F962" s="394"/>
      <c r="G962" s="394"/>
      <c r="H962" s="394"/>
      <c r="I962" s="394"/>
      <c r="J962" s="394"/>
      <c r="K962" s="394"/>
      <c r="L962" s="394"/>
      <c r="M962" s="394"/>
      <c r="N962" s="394"/>
      <c r="O962" s="394"/>
      <c r="P962" s="394"/>
      <c r="Q962" s="180"/>
      <c r="R962" s="180"/>
      <c r="S962" s="180"/>
      <c r="V962" s="304"/>
      <c r="AC962" s="95"/>
      <c r="AD962" s="394" t="str">
        <f>+$A$8</f>
        <v>Revised:  1/18/2018</v>
      </c>
      <c r="AE962" s="396"/>
      <c r="AF962" s="396"/>
      <c r="AG962" s="396"/>
      <c r="AH962" s="396"/>
      <c r="AI962" s="396"/>
      <c r="AJ962" s="396"/>
      <c r="AK962" s="396"/>
      <c r="AL962" s="396"/>
      <c r="AM962" s="396"/>
      <c r="AN962" s="396"/>
      <c r="AO962" s="396"/>
      <c r="AP962" s="396"/>
      <c r="AQ962" s="396"/>
      <c r="AR962" s="192"/>
      <c r="AS962" s="304"/>
    </row>
    <row r="963" spans="1:45" ht="15.75" customHeight="1" thickBot="1" x14ac:dyDescent="0.35">
      <c r="B963" s="401" t="s">
        <v>729</v>
      </c>
      <c r="C963" s="402"/>
      <c r="D963" s="402"/>
      <c r="E963" s="402"/>
      <c r="F963" s="402"/>
      <c r="G963" s="402"/>
      <c r="H963" s="402"/>
      <c r="I963" s="402"/>
      <c r="J963" s="402"/>
      <c r="K963" s="402"/>
      <c r="L963" s="402"/>
      <c r="M963" s="402"/>
      <c r="N963" s="402"/>
      <c r="O963" s="402"/>
      <c r="P963" s="402"/>
      <c r="Q963" s="180"/>
      <c r="R963" s="180"/>
      <c r="S963" s="195"/>
      <c r="V963" s="304"/>
      <c r="AC963" s="95"/>
      <c r="AD963" s="394" t="s">
        <v>670</v>
      </c>
      <c r="AE963" s="397"/>
      <c r="AF963" s="397"/>
      <c r="AG963" s="397"/>
      <c r="AH963" s="397"/>
      <c r="AI963" s="397"/>
      <c r="AJ963" s="397"/>
      <c r="AK963" s="397"/>
      <c r="AL963" s="397"/>
      <c r="AM963" s="397"/>
      <c r="AN963" s="397"/>
      <c r="AO963" s="397"/>
      <c r="AP963" s="397"/>
      <c r="AQ963" s="397"/>
      <c r="AS963" s="304"/>
    </row>
    <row r="964" spans="1:45" ht="15.75" customHeight="1" thickBot="1" x14ac:dyDescent="0.35">
      <c r="A964" s="222"/>
      <c r="B964" s="403" t="s">
        <v>730</v>
      </c>
      <c r="C964" s="404"/>
      <c r="D964" s="404"/>
      <c r="E964" s="404"/>
      <c r="F964" s="405"/>
      <c r="G964" s="403" t="s">
        <v>731</v>
      </c>
      <c r="H964" s="404"/>
      <c r="I964" s="404"/>
      <c r="J964" s="404"/>
      <c r="K964" s="404"/>
      <c r="L964" s="404"/>
      <c r="M964" s="406" t="s">
        <v>732</v>
      </c>
      <c r="N964" s="429"/>
      <c r="O964" s="429"/>
      <c r="P964" s="429"/>
      <c r="Q964" s="429"/>
      <c r="R964" s="430"/>
      <c r="S964" s="403" t="s">
        <v>733</v>
      </c>
      <c r="T964" s="431"/>
      <c r="U964" s="432"/>
      <c r="V964" s="304"/>
      <c r="AC964" s="95"/>
      <c r="AS964" s="304"/>
    </row>
    <row r="965" spans="1:45" ht="15.75" customHeight="1" x14ac:dyDescent="0.3">
      <c r="A965" s="222"/>
      <c r="B965" s="189" t="s">
        <v>639</v>
      </c>
      <c r="C965" s="182"/>
      <c r="D965" s="182" t="s">
        <v>734</v>
      </c>
      <c r="E965" s="182" t="s">
        <v>735</v>
      </c>
      <c r="F965" s="307" t="s">
        <v>736</v>
      </c>
      <c r="G965" s="189" t="s">
        <v>737</v>
      </c>
      <c r="H965" s="182"/>
      <c r="I965" s="182"/>
      <c r="J965" s="182" t="s">
        <v>738</v>
      </c>
      <c r="K965" s="182" t="s">
        <v>739</v>
      </c>
      <c r="L965" s="182" t="s">
        <v>740</v>
      </c>
      <c r="M965" s="433" t="s">
        <v>741</v>
      </c>
      <c r="N965" s="442"/>
      <c r="O965" s="443"/>
      <c r="P965" s="226"/>
      <c r="Q965" s="227"/>
      <c r="R965" s="362"/>
      <c r="S965" s="182" t="s">
        <v>742</v>
      </c>
      <c r="T965" s="228" t="s">
        <v>743</v>
      </c>
      <c r="U965" s="308" t="s">
        <v>744</v>
      </c>
      <c r="V965" s="304"/>
      <c r="AC965" s="95"/>
      <c r="AD965" s="395">
        <f>$A$5</f>
        <v>2017</v>
      </c>
      <c r="AE965" s="397"/>
      <c r="AF965" s="397"/>
      <c r="AG965" s="397"/>
      <c r="AH965" s="397"/>
      <c r="AI965" s="397"/>
      <c r="AJ965" s="397"/>
      <c r="AK965" s="397"/>
      <c r="AL965" s="397"/>
      <c r="AM965" s="397"/>
      <c r="AN965" s="397"/>
      <c r="AO965" s="397"/>
      <c r="AP965" s="397"/>
      <c r="AQ965" s="397"/>
      <c r="AS965" s="304"/>
    </row>
    <row r="966" spans="1:45" ht="15.75" customHeight="1" x14ac:dyDescent="0.3">
      <c r="A966" s="222"/>
      <c r="B966" s="230" t="s">
        <v>745</v>
      </c>
      <c r="C966" s="231" t="s">
        <v>746</v>
      </c>
      <c r="D966" s="231" t="s">
        <v>747</v>
      </c>
      <c r="E966" s="182" t="s">
        <v>658</v>
      </c>
      <c r="F966" s="309" t="s">
        <v>748</v>
      </c>
      <c r="G966" s="189" t="s">
        <v>640</v>
      </c>
      <c r="H966" s="182" t="s">
        <v>749</v>
      </c>
      <c r="I966" s="182" t="s">
        <v>750</v>
      </c>
      <c r="J966" s="231" t="s">
        <v>751</v>
      </c>
      <c r="K966" s="182" t="s">
        <v>723</v>
      </c>
      <c r="L966" s="231" t="s">
        <v>752</v>
      </c>
      <c r="M966" s="233" t="s">
        <v>753</v>
      </c>
      <c r="N966" s="226" t="s">
        <v>754</v>
      </c>
      <c r="O966" s="310" t="s">
        <v>641</v>
      </c>
      <c r="P966" s="226" t="s">
        <v>755</v>
      </c>
      <c r="Q966" s="226" t="s">
        <v>755</v>
      </c>
      <c r="R966" s="310" t="s">
        <v>756</v>
      </c>
      <c r="S966" s="182" t="s">
        <v>757</v>
      </c>
      <c r="T966" s="182" t="s">
        <v>758</v>
      </c>
      <c r="U966" s="307" t="s">
        <v>759</v>
      </c>
      <c r="V966" s="304"/>
      <c r="AC966" s="95"/>
      <c r="AD966" s="394" t="s">
        <v>717</v>
      </c>
      <c r="AE966" s="396"/>
      <c r="AF966" s="396"/>
      <c r="AG966" s="396"/>
      <c r="AH966" s="396"/>
      <c r="AI966" s="396"/>
      <c r="AJ966" s="396"/>
      <c r="AK966" s="396"/>
      <c r="AL966" s="396"/>
      <c r="AM966" s="396"/>
      <c r="AN966" s="396"/>
      <c r="AO966" s="396"/>
      <c r="AP966" s="396"/>
      <c r="AQ966" s="396"/>
      <c r="AR966" s="182"/>
      <c r="AS966" s="304"/>
    </row>
    <row r="967" spans="1:45" ht="15.75" customHeight="1" x14ac:dyDescent="0.3">
      <c r="A967" s="222"/>
      <c r="B967" s="235" t="s">
        <v>760</v>
      </c>
      <c r="C967" s="215">
        <v>0</v>
      </c>
      <c r="D967" s="215"/>
      <c r="E967" s="182" t="s">
        <v>761</v>
      </c>
      <c r="F967" s="311" t="s">
        <v>762</v>
      </c>
      <c r="G967" s="189" t="s">
        <v>763</v>
      </c>
      <c r="H967" s="182" t="s">
        <v>658</v>
      </c>
      <c r="I967" s="182" t="s">
        <v>658</v>
      </c>
      <c r="J967" s="182" t="s">
        <v>658</v>
      </c>
      <c r="K967" s="182" t="s">
        <v>743</v>
      </c>
      <c r="L967" s="182" t="s">
        <v>764</v>
      </c>
      <c r="M967" s="237" t="s">
        <v>648</v>
      </c>
      <c r="N967" s="227" t="s">
        <v>765</v>
      </c>
      <c r="O967" s="310" t="s">
        <v>766</v>
      </c>
      <c r="P967" s="227" t="s">
        <v>767</v>
      </c>
      <c r="Q967" s="226" t="s">
        <v>767</v>
      </c>
      <c r="R967" s="310" t="s">
        <v>766</v>
      </c>
      <c r="S967" s="182" t="s">
        <v>658</v>
      </c>
      <c r="T967" s="182" t="s">
        <v>658</v>
      </c>
      <c r="U967" s="307" t="s">
        <v>658</v>
      </c>
      <c r="V967" s="304"/>
      <c r="AC967" s="95"/>
      <c r="AK967" s="190"/>
      <c r="AS967" s="304"/>
    </row>
    <row r="968" spans="1:45" ht="15.75" customHeight="1" thickBot="1" x14ac:dyDescent="0.35">
      <c r="A968" s="213" t="s">
        <v>768</v>
      </c>
      <c r="B968" s="189" t="s">
        <v>705</v>
      </c>
      <c r="C968" s="182" t="s">
        <v>705</v>
      </c>
      <c r="D968" s="182" t="s">
        <v>705</v>
      </c>
      <c r="E968" s="182" t="s">
        <v>705</v>
      </c>
      <c r="F968" s="307" t="s">
        <v>705</v>
      </c>
      <c r="G968" s="189" t="s">
        <v>705</v>
      </c>
      <c r="H968" s="182" t="s">
        <v>705</v>
      </c>
      <c r="I968" s="182" t="s">
        <v>705</v>
      </c>
      <c r="J968" s="182" t="s">
        <v>705</v>
      </c>
      <c r="K968" s="182" t="s">
        <v>705</v>
      </c>
      <c r="L968" s="182" t="s">
        <v>705</v>
      </c>
      <c r="M968" s="237" t="s">
        <v>705</v>
      </c>
      <c r="N968" s="227" t="s">
        <v>705</v>
      </c>
      <c r="O968" s="310" t="s">
        <v>705</v>
      </c>
      <c r="P968" s="227" t="s">
        <v>365</v>
      </c>
      <c r="Q968" s="226" t="s">
        <v>705</v>
      </c>
      <c r="R968" s="310" t="s">
        <v>705</v>
      </c>
      <c r="S968" s="182" t="s">
        <v>705</v>
      </c>
      <c r="T968" s="182" t="s">
        <v>705</v>
      </c>
      <c r="U968" s="307" t="s">
        <v>705</v>
      </c>
      <c r="V968" s="304"/>
      <c r="AC968" s="95"/>
      <c r="AD968" s="191" t="s">
        <v>677</v>
      </c>
      <c r="AE968" s="191" t="s">
        <v>678</v>
      </c>
      <c r="AF968" s="191" t="s">
        <v>679</v>
      </c>
      <c r="AG968" s="191" t="s">
        <v>680</v>
      </c>
      <c r="AH968" s="191" t="s">
        <v>644</v>
      </c>
      <c r="AI968" s="191" t="s">
        <v>681</v>
      </c>
      <c r="AJ968" s="191" t="s">
        <v>682</v>
      </c>
      <c r="AK968" s="191" t="s">
        <v>683</v>
      </c>
      <c r="AL968" s="191" t="s">
        <v>684</v>
      </c>
      <c r="AM968" s="191" t="s">
        <v>685</v>
      </c>
      <c r="AN968" s="191" t="s">
        <v>686</v>
      </c>
      <c r="AO968" s="191" t="s">
        <v>687</v>
      </c>
      <c r="AP968" s="191" t="s">
        <v>688</v>
      </c>
      <c r="AQ968" s="191" t="s">
        <v>689</v>
      </c>
      <c r="AR968" s="191" t="s">
        <v>638</v>
      </c>
      <c r="AS968" s="209" t="s">
        <v>641</v>
      </c>
    </row>
    <row r="969" spans="1:45" ht="15.75" customHeight="1" x14ac:dyDescent="0.3">
      <c r="A969" s="213" t="s">
        <v>666</v>
      </c>
      <c r="B969" s="189" t="s">
        <v>666</v>
      </c>
      <c r="C969" s="182" t="s">
        <v>666</v>
      </c>
      <c r="D969" s="182" t="s">
        <v>666</v>
      </c>
      <c r="E969" s="182" t="s">
        <v>769</v>
      </c>
      <c r="F969" s="307" t="s">
        <v>666</v>
      </c>
      <c r="G969" s="189" t="s">
        <v>666</v>
      </c>
      <c r="H969" s="182" t="s">
        <v>770</v>
      </c>
      <c r="I969" s="182" t="s">
        <v>770</v>
      </c>
      <c r="J969" s="182" t="s">
        <v>666</v>
      </c>
      <c r="K969" s="182" t="s">
        <v>666</v>
      </c>
      <c r="L969" s="182" t="s">
        <v>666</v>
      </c>
      <c r="M969" s="237" t="s">
        <v>666</v>
      </c>
      <c r="N969" s="227" t="s">
        <v>666</v>
      </c>
      <c r="O969" s="310" t="s">
        <v>666</v>
      </c>
      <c r="P969" s="237" t="s">
        <v>666</v>
      </c>
      <c r="Q969" s="227" t="s">
        <v>666</v>
      </c>
      <c r="R969" s="310" t="s">
        <v>666</v>
      </c>
      <c r="S969" s="182" t="s">
        <v>666</v>
      </c>
      <c r="T969" s="182" t="s">
        <v>666</v>
      </c>
      <c r="U969" s="307" t="s">
        <v>666</v>
      </c>
      <c r="V969" s="304"/>
      <c r="AC969" s="95"/>
      <c r="AD969" s="180"/>
      <c r="AE969" s="180"/>
      <c r="AF969" s="180"/>
      <c r="AG969" s="180"/>
      <c r="AH969" s="182" t="s">
        <v>718</v>
      </c>
      <c r="AI969" s="180"/>
      <c r="AJ969" s="180"/>
      <c r="AK969" s="180"/>
      <c r="AL969" s="180"/>
      <c r="AM969" s="180"/>
      <c r="AN969" s="180"/>
      <c r="AO969" s="180"/>
      <c r="AP969" s="180"/>
      <c r="AQ969" s="180"/>
      <c r="AR969" s="180"/>
      <c r="AS969" s="210"/>
    </row>
    <row r="970" spans="1:45" ht="15.75" customHeight="1" x14ac:dyDescent="0.3">
      <c r="A970" s="192" t="s">
        <v>8</v>
      </c>
      <c r="B970" s="189">
        <f>ROUND(R942-G942,0)</f>
        <v>216778</v>
      </c>
      <c r="C970" s="182">
        <f>+ROUND(B970*$C$967,0)</f>
        <v>0</v>
      </c>
      <c r="D970" s="182">
        <f>AS942</f>
        <v>8990</v>
      </c>
      <c r="E970" s="182">
        <f>+B970+C970</f>
        <v>216778</v>
      </c>
      <c r="F970" s="307">
        <f>(D970+E970)</f>
        <v>225768</v>
      </c>
      <c r="G970" s="189">
        <f>ABS(G942)</f>
        <v>543.06392299236506</v>
      </c>
      <c r="H970" s="238">
        <v>7492</v>
      </c>
      <c r="I970" s="238">
        <v>0</v>
      </c>
      <c r="J970" s="182">
        <f>(H970+I970)</f>
        <v>7492</v>
      </c>
      <c r="K970" s="238">
        <v>0</v>
      </c>
      <c r="L970" s="238">
        <v>0</v>
      </c>
      <c r="M970" s="239">
        <f>D970+E970-G970-J970-K970-L970</f>
        <v>217732.93607700765</v>
      </c>
      <c r="N970" s="240">
        <v>0</v>
      </c>
      <c r="O970" s="310">
        <f>+M970+N970</f>
        <v>217732.93607700765</v>
      </c>
      <c r="P970" s="241">
        <v>0</v>
      </c>
      <c r="Q970" s="227">
        <f>-O970*P970</f>
        <v>0</v>
      </c>
      <c r="R970" s="310">
        <v>256208</v>
      </c>
      <c r="S970" s="242">
        <f>(F970-G970-J970-K970-L970-R970)</f>
        <v>-38475.063922992354</v>
      </c>
      <c r="T970" s="182" t="str">
        <f>+IF(S970&gt;=0,ABS(S970),"")</f>
        <v/>
      </c>
      <c r="U970" s="307">
        <f>+IF(S970&lt;=0,ABS(S970),"")</f>
        <v>38475.063922992354</v>
      </c>
      <c r="V970" s="304"/>
      <c r="AC970" s="211" t="s">
        <v>771</v>
      </c>
      <c r="AD970" s="212"/>
      <c r="AE970" s="212"/>
      <c r="AF970" s="212"/>
      <c r="AG970" s="212"/>
      <c r="AH970" s="212">
        <v>1.6E-2</v>
      </c>
      <c r="AI970" s="212">
        <v>1.6E-2</v>
      </c>
      <c r="AJ970" s="212">
        <v>1.6E-2</v>
      </c>
      <c r="AK970" s="212">
        <v>1.6E-2</v>
      </c>
      <c r="AL970" s="212">
        <v>1.6E-2</v>
      </c>
      <c r="AM970" s="212">
        <v>1.6E-2</v>
      </c>
      <c r="AN970" s="212">
        <v>1.6E-2</v>
      </c>
      <c r="AO970" s="212">
        <v>1.6E-2</v>
      </c>
      <c r="AP970" s="212">
        <v>1.6E-2</v>
      </c>
      <c r="AQ970" s="212">
        <v>1.6E-2</v>
      </c>
      <c r="AR970" s="212">
        <v>1.6E-2</v>
      </c>
      <c r="AS970" s="213"/>
    </row>
    <row r="971" spans="1:45" ht="15.75" customHeight="1" x14ac:dyDescent="0.3">
      <c r="A971" s="192" t="s">
        <v>9</v>
      </c>
      <c r="B971" s="189">
        <f>ROUND(R943-G943,0)</f>
        <v>108028</v>
      </c>
      <c r="C971" s="182">
        <f t="shared" ref="C971:C981" si="268">+ROUND(B971*$C$967,0)</f>
        <v>0</v>
      </c>
      <c r="D971" s="182">
        <f t="shared" ref="D971:D981" si="269">AS943</f>
        <v>4585</v>
      </c>
      <c r="E971" s="182">
        <f t="shared" ref="E971:E983" si="270">+B971+C971</f>
        <v>108028</v>
      </c>
      <c r="F971" s="307">
        <f t="shared" ref="F971:F981" si="271">(D971+E971)</f>
        <v>112613</v>
      </c>
      <c r="G971" s="189">
        <f t="shared" ref="G971:G981" si="272">ABS(G943)</f>
        <v>1212.3242803315748</v>
      </c>
      <c r="H971" s="238">
        <v>7912</v>
      </c>
      <c r="I971" s="238">
        <v>0</v>
      </c>
      <c r="J971" s="182">
        <f t="shared" ref="J971:J980" si="273">(H971+I971)</f>
        <v>7912</v>
      </c>
      <c r="K971" s="238">
        <v>0</v>
      </c>
      <c r="L971" s="238">
        <v>0</v>
      </c>
      <c r="M971" s="239">
        <f t="shared" ref="M971:M981" si="274">D971+E971-G971-J971-K971-L971</f>
        <v>103488.67571966842</v>
      </c>
      <c r="N971" s="240">
        <v>0</v>
      </c>
      <c r="O971" s="310">
        <f t="shared" ref="O971:O983" si="275">+M971+N971</f>
        <v>103488.67571966842</v>
      </c>
      <c r="P971" s="241">
        <v>0.35</v>
      </c>
      <c r="Q971" s="227">
        <f t="shared" ref="Q971:Q981" si="276">-O971*P971</f>
        <v>-36221.036501883944</v>
      </c>
      <c r="R971" s="310">
        <v>158822</v>
      </c>
      <c r="S971" s="242">
        <f t="shared" ref="S971:S981" si="277">(F971-G971-J971-K971-L971-R971)</f>
        <v>-55333.324280331581</v>
      </c>
      <c r="T971" s="182" t="str">
        <f>+IF(S971&gt;=0,ABS(S971),"")</f>
        <v/>
      </c>
      <c r="U971" s="307">
        <f t="shared" ref="U971:U981" si="278">+IF(S971&lt;=0,ABS(S971),"")</f>
        <v>55333.324280331581</v>
      </c>
      <c r="V971" s="304"/>
      <c r="AC971" s="211" t="s">
        <v>720</v>
      </c>
      <c r="AD971" s="212"/>
      <c r="AE971" s="212"/>
      <c r="AF971" s="212"/>
      <c r="AG971" s="212"/>
      <c r="AH971" s="212"/>
      <c r="AI971" s="212"/>
      <c r="AJ971" s="212"/>
      <c r="AK971" s="212"/>
      <c r="AL971" s="212"/>
      <c r="AM971" s="212"/>
      <c r="AN971" s="212"/>
      <c r="AO971" s="212"/>
      <c r="AP971" s="212"/>
      <c r="AQ971" s="212"/>
      <c r="AR971" s="212"/>
      <c r="AS971" s="213"/>
    </row>
    <row r="972" spans="1:45" ht="15.75" customHeight="1" x14ac:dyDescent="0.3">
      <c r="A972" s="192" t="s">
        <v>10</v>
      </c>
      <c r="B972" s="189">
        <f t="shared" ref="B972:B981" si="279">ROUND(R944-G944,0)</f>
        <v>236323</v>
      </c>
      <c r="C972" s="182">
        <f t="shared" si="268"/>
        <v>0</v>
      </c>
      <c r="D972" s="182">
        <f t="shared" si="269"/>
        <v>10229</v>
      </c>
      <c r="E972" s="182">
        <f t="shared" si="270"/>
        <v>236323</v>
      </c>
      <c r="F972" s="307">
        <f t="shared" si="271"/>
        <v>246552</v>
      </c>
      <c r="G972" s="189">
        <f t="shared" si="272"/>
        <v>32.851695553880923</v>
      </c>
      <c r="H972" s="238">
        <v>15566</v>
      </c>
      <c r="I972" s="238">
        <v>0</v>
      </c>
      <c r="J972" s="182">
        <f t="shared" si="273"/>
        <v>15566</v>
      </c>
      <c r="K972" s="238">
        <v>0</v>
      </c>
      <c r="L972" s="238">
        <v>0</v>
      </c>
      <c r="M972" s="239">
        <f t="shared" si="274"/>
        <v>230953.14830444611</v>
      </c>
      <c r="N972" s="240">
        <v>0</v>
      </c>
      <c r="O972" s="310">
        <f t="shared" si="275"/>
        <v>230953.14830444611</v>
      </c>
      <c r="P972" s="241">
        <v>0.33</v>
      </c>
      <c r="Q972" s="227">
        <f t="shared" si="276"/>
        <v>-76214.538940467217</v>
      </c>
      <c r="R972" s="310">
        <v>321751</v>
      </c>
      <c r="S972" s="242">
        <f t="shared" si="277"/>
        <v>-90797.851695553894</v>
      </c>
      <c r="T972" s="182" t="str">
        <f t="shared" ref="T972:T981" si="280">+IF(S972&gt;=0,ABS(S972),"")</f>
        <v/>
      </c>
      <c r="U972" s="307">
        <f t="shared" si="278"/>
        <v>90797.851695553894</v>
      </c>
      <c r="V972" s="304"/>
      <c r="AC972" s="211" t="s">
        <v>721</v>
      </c>
      <c r="AD972" s="212"/>
      <c r="AE972" s="212"/>
      <c r="AF972" s="212"/>
      <c r="AG972" s="212"/>
      <c r="AH972" s="212"/>
      <c r="AI972" s="212"/>
      <c r="AJ972" s="212"/>
      <c r="AK972" s="212"/>
      <c r="AL972" s="212"/>
      <c r="AM972" s="212"/>
      <c r="AN972" s="212"/>
      <c r="AO972" s="212"/>
      <c r="AP972" s="212"/>
      <c r="AQ972" s="212"/>
      <c r="AR972" s="212"/>
      <c r="AS972" s="213"/>
    </row>
    <row r="973" spans="1:45" ht="15.75" customHeight="1" x14ac:dyDescent="0.3">
      <c r="A973" s="192" t="s">
        <v>12</v>
      </c>
      <c r="B973" s="189">
        <f t="shared" si="279"/>
        <v>272218</v>
      </c>
      <c r="C973" s="182">
        <f t="shared" si="268"/>
        <v>0</v>
      </c>
      <c r="D973" s="182">
        <f t="shared" si="269"/>
        <v>11963</v>
      </c>
      <c r="E973" s="182">
        <f t="shared" si="270"/>
        <v>272218</v>
      </c>
      <c r="F973" s="307">
        <f t="shared" si="271"/>
        <v>284181</v>
      </c>
      <c r="G973" s="189">
        <f t="shared" si="272"/>
        <v>0.94689544695969718</v>
      </c>
      <c r="H973" s="238">
        <v>15533</v>
      </c>
      <c r="I973" s="238">
        <v>0</v>
      </c>
      <c r="J973" s="182">
        <f t="shared" si="273"/>
        <v>15533</v>
      </c>
      <c r="K973" s="238">
        <v>0</v>
      </c>
      <c r="L973" s="238">
        <v>0</v>
      </c>
      <c r="M973" s="239">
        <f t="shared" si="274"/>
        <v>268647.05310455302</v>
      </c>
      <c r="N973" s="240">
        <v>0</v>
      </c>
      <c r="O973" s="310">
        <f t="shared" si="275"/>
        <v>268647.05310455302</v>
      </c>
      <c r="P973" s="241">
        <v>0.3</v>
      </c>
      <c r="Q973" s="227">
        <f t="shared" si="276"/>
        <v>-80594.115931365901</v>
      </c>
      <c r="R973" s="310">
        <v>309288</v>
      </c>
      <c r="S973" s="242">
        <f t="shared" si="277"/>
        <v>-40640.946895446978</v>
      </c>
      <c r="T973" s="182" t="str">
        <f t="shared" si="280"/>
        <v/>
      </c>
      <c r="U973" s="307">
        <f t="shared" si="278"/>
        <v>40640.946895446978</v>
      </c>
      <c r="V973" s="304"/>
      <c r="AC973" s="211" t="s">
        <v>137</v>
      </c>
      <c r="AD973" s="212"/>
      <c r="AE973" s="212"/>
      <c r="AF973" s="212"/>
      <c r="AG973" s="212"/>
      <c r="AH973" s="212"/>
      <c r="AI973" s="212"/>
      <c r="AJ973" s="212"/>
      <c r="AK973" s="212"/>
      <c r="AL973" s="212"/>
      <c r="AM973" s="212"/>
      <c r="AN973" s="212"/>
      <c r="AO973" s="212"/>
      <c r="AP973" s="212"/>
      <c r="AQ973" s="212"/>
      <c r="AR973" s="212"/>
      <c r="AS973" s="213"/>
    </row>
    <row r="974" spans="1:45" ht="15.75" customHeight="1" x14ac:dyDescent="0.3">
      <c r="A974" s="192" t="s">
        <v>13</v>
      </c>
      <c r="B974" s="189">
        <f t="shared" si="279"/>
        <v>296510</v>
      </c>
      <c r="C974" s="182">
        <f t="shared" si="268"/>
        <v>0</v>
      </c>
      <c r="D974" s="182">
        <f t="shared" si="269"/>
        <v>12973</v>
      </c>
      <c r="E974" s="182">
        <f t="shared" si="270"/>
        <v>296510</v>
      </c>
      <c r="F974" s="307">
        <f t="shared" si="271"/>
        <v>309483</v>
      </c>
      <c r="G974" s="189">
        <f t="shared" si="272"/>
        <v>230.21998492841021</v>
      </c>
      <c r="H974" s="238">
        <v>14182</v>
      </c>
      <c r="I974" s="238">
        <v>0</v>
      </c>
      <c r="J974" s="182">
        <f t="shared" si="273"/>
        <v>14182</v>
      </c>
      <c r="K974" s="238">
        <v>0</v>
      </c>
      <c r="L974" s="238">
        <v>0</v>
      </c>
      <c r="M974" s="239">
        <f t="shared" si="274"/>
        <v>295070.78001507156</v>
      </c>
      <c r="N974" s="240">
        <v>0</v>
      </c>
      <c r="O974" s="310">
        <f t="shared" si="275"/>
        <v>295070.78001507156</v>
      </c>
      <c r="P974" s="241">
        <v>0.09</v>
      </c>
      <c r="Q974" s="227">
        <f t="shared" si="276"/>
        <v>-26556.37020135644</v>
      </c>
      <c r="R974" s="310">
        <v>318497</v>
      </c>
      <c r="S974" s="242">
        <f t="shared" si="277"/>
        <v>-23426.219984928437</v>
      </c>
      <c r="T974" s="182" t="str">
        <f t="shared" si="280"/>
        <v/>
      </c>
      <c r="U974" s="307">
        <f t="shared" si="278"/>
        <v>23426.219984928437</v>
      </c>
      <c r="V974" s="304"/>
      <c r="AC974" s="211" t="s">
        <v>772</v>
      </c>
      <c r="AD974" s="212"/>
      <c r="AE974" s="212"/>
      <c r="AF974" s="212"/>
      <c r="AG974" s="212"/>
      <c r="AH974" s="212"/>
      <c r="AI974" s="212"/>
      <c r="AJ974" s="212">
        <v>2.5000000000000001E-2</v>
      </c>
      <c r="AK974" s="212">
        <v>2.5000000000000001E-2</v>
      </c>
      <c r="AL974" s="212">
        <v>2.5000000000000001E-2</v>
      </c>
      <c r="AM974" s="212">
        <v>2.5000000000000001E-2</v>
      </c>
      <c r="AN974" s="212">
        <v>2.5000000000000001E-2</v>
      </c>
      <c r="AO974" s="212">
        <v>2.5000000000000001E-2</v>
      </c>
      <c r="AP974" s="212">
        <v>2.5000000000000001E-2</v>
      </c>
      <c r="AQ974" s="212">
        <v>2.5000000000000001E-2</v>
      </c>
      <c r="AR974" s="212">
        <v>2.5000000000000001E-2</v>
      </c>
      <c r="AS974" s="213"/>
    </row>
    <row r="975" spans="1:45" ht="15.75" customHeight="1" x14ac:dyDescent="0.3">
      <c r="A975" s="192" t="s">
        <v>14</v>
      </c>
      <c r="B975" s="189">
        <f t="shared" si="279"/>
        <v>167362</v>
      </c>
      <c r="C975" s="182">
        <f t="shared" si="268"/>
        <v>0</v>
      </c>
      <c r="D975" s="182">
        <f t="shared" si="269"/>
        <v>6998</v>
      </c>
      <c r="E975" s="182">
        <f t="shared" si="270"/>
        <v>167362</v>
      </c>
      <c r="F975" s="307">
        <f t="shared" si="271"/>
        <v>174360</v>
      </c>
      <c r="G975" s="189">
        <f t="shared" si="272"/>
        <v>15895.624114544094</v>
      </c>
      <c r="H975" s="238">
        <v>13104</v>
      </c>
      <c r="I975" s="238">
        <v>0</v>
      </c>
      <c r="J975" s="182">
        <f t="shared" si="273"/>
        <v>13104</v>
      </c>
      <c r="K975" s="238">
        <v>0</v>
      </c>
      <c r="L975" s="238">
        <v>0</v>
      </c>
      <c r="M975" s="239">
        <f t="shared" si="274"/>
        <v>145360.3758854559</v>
      </c>
      <c r="N975" s="240">
        <v>23760</v>
      </c>
      <c r="O975" s="310">
        <f t="shared" si="275"/>
        <v>169120.3758854559</v>
      </c>
      <c r="P975" s="241">
        <v>7.0000000000000007E-2</v>
      </c>
      <c r="Q975" s="227">
        <f t="shared" si="276"/>
        <v>-11838.426311981913</v>
      </c>
      <c r="R975" s="310">
        <v>195101</v>
      </c>
      <c r="S975" s="242">
        <f t="shared" si="277"/>
        <v>-49740.624114544102</v>
      </c>
      <c r="T975" s="182" t="str">
        <f t="shared" si="280"/>
        <v/>
      </c>
      <c r="U975" s="307">
        <f t="shared" si="278"/>
        <v>49740.624114544102</v>
      </c>
      <c r="V975" s="304"/>
      <c r="AC975" s="211" t="s">
        <v>641</v>
      </c>
      <c r="AD975" s="215">
        <f>SUM(AD970:AD974)</f>
        <v>0</v>
      </c>
      <c r="AE975" s="215">
        <f t="shared" ref="AE975:AR975" si="281">SUM(AE970:AE974)</f>
        <v>0</v>
      </c>
      <c r="AF975" s="215">
        <f t="shared" si="281"/>
        <v>0</v>
      </c>
      <c r="AG975" s="215">
        <f t="shared" si="281"/>
        <v>0</v>
      </c>
      <c r="AH975" s="215">
        <f t="shared" si="281"/>
        <v>1.6E-2</v>
      </c>
      <c r="AI975" s="215">
        <f t="shared" si="281"/>
        <v>1.6E-2</v>
      </c>
      <c r="AJ975" s="215">
        <f t="shared" si="281"/>
        <v>4.1000000000000002E-2</v>
      </c>
      <c r="AK975" s="215">
        <f t="shared" si="281"/>
        <v>4.1000000000000002E-2</v>
      </c>
      <c r="AL975" s="215">
        <f t="shared" si="281"/>
        <v>4.1000000000000002E-2</v>
      </c>
      <c r="AM975" s="215">
        <f t="shared" si="281"/>
        <v>4.1000000000000002E-2</v>
      </c>
      <c r="AN975" s="215">
        <f t="shared" si="281"/>
        <v>4.1000000000000002E-2</v>
      </c>
      <c r="AO975" s="215">
        <f t="shared" si="281"/>
        <v>4.1000000000000002E-2</v>
      </c>
      <c r="AP975" s="215">
        <f t="shared" si="281"/>
        <v>4.1000000000000002E-2</v>
      </c>
      <c r="AQ975" s="215">
        <f t="shared" si="281"/>
        <v>4.1000000000000002E-2</v>
      </c>
      <c r="AR975" s="215">
        <f t="shared" si="281"/>
        <v>4.1000000000000002E-2</v>
      </c>
      <c r="AS975" s="213"/>
    </row>
    <row r="976" spans="1:45" ht="15.75" customHeight="1" x14ac:dyDescent="0.3">
      <c r="A976" s="192" t="s">
        <v>16</v>
      </c>
      <c r="B976" s="189">
        <f t="shared" si="279"/>
        <v>153805</v>
      </c>
      <c r="C976" s="182">
        <f t="shared" si="268"/>
        <v>0</v>
      </c>
      <c r="D976" s="182">
        <f t="shared" si="269"/>
        <v>6415</v>
      </c>
      <c r="E976" s="182">
        <f t="shared" si="270"/>
        <v>153805</v>
      </c>
      <c r="F976" s="307">
        <f t="shared" si="271"/>
        <v>160220</v>
      </c>
      <c r="G976" s="189">
        <f t="shared" si="272"/>
        <v>12136.795650781502</v>
      </c>
      <c r="H976" s="238">
        <v>13181</v>
      </c>
      <c r="I976" s="238">
        <v>0</v>
      </c>
      <c r="J976" s="182">
        <f t="shared" si="273"/>
        <v>13181</v>
      </c>
      <c r="K976" s="238">
        <v>0</v>
      </c>
      <c r="L976" s="238">
        <v>0</v>
      </c>
      <c r="M976" s="239">
        <f t="shared" si="274"/>
        <v>134902.20434921849</v>
      </c>
      <c r="N976" s="240">
        <v>48856</v>
      </c>
      <c r="O976" s="310">
        <f t="shared" si="275"/>
        <v>183758.20434921849</v>
      </c>
      <c r="P976" s="241">
        <v>7.4999999999999997E-2</v>
      </c>
      <c r="Q976" s="227">
        <f t="shared" si="276"/>
        <v>-13781.865326191386</v>
      </c>
      <c r="R976" s="310">
        <v>205864</v>
      </c>
      <c r="S976" s="242">
        <f t="shared" si="277"/>
        <v>-70961.795650781511</v>
      </c>
      <c r="T976" s="182" t="str">
        <f t="shared" si="280"/>
        <v/>
      </c>
      <c r="U976" s="307">
        <f t="shared" si="278"/>
        <v>70961.795650781511</v>
      </c>
      <c r="V976" s="304"/>
      <c r="AC976" s="189" t="s">
        <v>666</v>
      </c>
      <c r="AD976" s="182" t="s">
        <v>666</v>
      </c>
      <c r="AE976" s="182" t="s">
        <v>666</v>
      </c>
      <c r="AF976" s="182" t="s">
        <v>666</v>
      </c>
      <c r="AG976" s="182" t="s">
        <v>666</v>
      </c>
      <c r="AH976" s="182" t="s">
        <v>666</v>
      </c>
      <c r="AI976" s="182" t="s">
        <v>666</v>
      </c>
      <c r="AJ976" s="182" t="s">
        <v>666</v>
      </c>
      <c r="AK976" s="182" t="s">
        <v>666</v>
      </c>
      <c r="AL976" s="182" t="s">
        <v>666</v>
      </c>
      <c r="AM976" s="182" t="s">
        <v>666</v>
      </c>
      <c r="AN976" s="182" t="s">
        <v>666</v>
      </c>
      <c r="AO976" s="182" t="s">
        <v>666</v>
      </c>
      <c r="AP976" s="182" t="s">
        <v>666</v>
      </c>
      <c r="AQ976" s="182" t="s">
        <v>666</v>
      </c>
      <c r="AR976" s="182" t="s">
        <v>666</v>
      </c>
      <c r="AS976" s="213" t="s">
        <v>666</v>
      </c>
    </row>
    <row r="977" spans="1:45" ht="15.75" customHeight="1" x14ac:dyDescent="0.3">
      <c r="A977" s="192" t="s">
        <v>17</v>
      </c>
      <c r="B977" s="189">
        <f t="shared" si="279"/>
        <v>148816</v>
      </c>
      <c r="C977" s="182">
        <f t="shared" si="268"/>
        <v>0</v>
      </c>
      <c r="D977" s="182">
        <f t="shared" si="269"/>
        <v>6188</v>
      </c>
      <c r="E977" s="182">
        <f t="shared" si="270"/>
        <v>148816</v>
      </c>
      <c r="F977" s="307">
        <f t="shared" si="271"/>
        <v>155004</v>
      </c>
      <c r="G977" s="189">
        <f t="shared" si="272"/>
        <v>9944.4195556750456</v>
      </c>
      <c r="H977" s="238">
        <v>10304</v>
      </c>
      <c r="I977" s="238">
        <v>0</v>
      </c>
      <c r="J977" s="182">
        <f t="shared" si="273"/>
        <v>10304</v>
      </c>
      <c r="K977" s="238">
        <v>0</v>
      </c>
      <c r="L977" s="238">
        <v>0</v>
      </c>
      <c r="M977" s="239">
        <f t="shared" si="274"/>
        <v>134755.58044432497</v>
      </c>
      <c r="N977" s="240">
        <v>49600</v>
      </c>
      <c r="O977" s="310">
        <f t="shared" si="275"/>
        <v>184355.58044432497</v>
      </c>
      <c r="P977" s="241">
        <v>7.4999999999999997E-2</v>
      </c>
      <c r="Q977" s="227">
        <f t="shared" si="276"/>
        <v>-13826.668533324371</v>
      </c>
      <c r="R977" s="310">
        <v>201059</v>
      </c>
      <c r="S977" s="242">
        <f t="shared" si="277"/>
        <v>-66303.419555675035</v>
      </c>
      <c r="T977" s="182" t="str">
        <f t="shared" si="280"/>
        <v/>
      </c>
      <c r="U977" s="307">
        <f t="shared" si="278"/>
        <v>66303.419555675035</v>
      </c>
      <c r="V977" s="304"/>
      <c r="AC977" s="211" t="s">
        <v>8</v>
      </c>
      <c r="AD977" s="180">
        <f>ROUND(B942*$AD$975, 0)</f>
        <v>0</v>
      </c>
      <c r="AE977" s="180">
        <f>ROUND(C942*$AE$975,0)</f>
        <v>0</v>
      </c>
      <c r="AF977" s="180">
        <f>ROUND(D942*$AF$975,0)</f>
        <v>0</v>
      </c>
      <c r="AG977" s="180">
        <f>ROUND(E942*$AG$975,0)</f>
        <v>0</v>
      </c>
      <c r="AH977" s="180">
        <f>ROUND(F942*$AH$975,0)</f>
        <v>283</v>
      </c>
      <c r="AI977" s="180">
        <f>ROUND(H942*$AI$975,0)</f>
        <v>39</v>
      </c>
      <c r="AJ977" s="180">
        <f>ROUND(I942*$AJ$975,0)</f>
        <v>100</v>
      </c>
      <c r="AK977" s="180">
        <f>ROUND(J942*$AK$975,0)</f>
        <v>156</v>
      </c>
      <c r="AL977" s="180">
        <f>ROUND(K942*$AL$975,0)</f>
        <v>161</v>
      </c>
      <c r="AM977" s="180">
        <f>ROUND(L942*$AM$975,0)</f>
        <v>59</v>
      </c>
      <c r="AN977" s="180">
        <f>ROUND(M942*$AN$975,0)</f>
        <v>70</v>
      </c>
      <c r="AO977" s="180">
        <f>ROUND(N942*$AO$975,0)</f>
        <v>145</v>
      </c>
      <c r="AP977" s="180">
        <f>ROUND(O942*$AP$975,0)</f>
        <v>27</v>
      </c>
      <c r="AQ977" s="180">
        <f>ROUND(P942*$AQ$975,0)</f>
        <v>3</v>
      </c>
      <c r="AR977" s="180">
        <f>ROUND(Q942*$AR$975,0)</f>
        <v>64</v>
      </c>
      <c r="AS977" s="210">
        <f>SUM(AD977:AR977)</f>
        <v>1107</v>
      </c>
    </row>
    <row r="978" spans="1:45" ht="15.75" customHeight="1" x14ac:dyDescent="0.3">
      <c r="A978" s="192" t="s">
        <v>18</v>
      </c>
      <c r="B978" s="189">
        <f t="shared" si="279"/>
        <v>229015</v>
      </c>
      <c r="C978" s="182">
        <f t="shared" si="268"/>
        <v>0</v>
      </c>
      <c r="D978" s="182">
        <f t="shared" si="269"/>
        <v>10016</v>
      </c>
      <c r="E978" s="182">
        <f t="shared" si="270"/>
        <v>229015</v>
      </c>
      <c r="F978" s="307">
        <f t="shared" si="271"/>
        <v>239031</v>
      </c>
      <c r="G978" s="189">
        <f t="shared" si="272"/>
        <v>1421.8911228334584</v>
      </c>
      <c r="H978" s="238">
        <v>8964</v>
      </c>
      <c r="I978" s="238">
        <v>0</v>
      </c>
      <c r="J978" s="182">
        <f t="shared" si="273"/>
        <v>8964</v>
      </c>
      <c r="K978" s="238">
        <v>0</v>
      </c>
      <c r="L978" s="238">
        <v>0</v>
      </c>
      <c r="M978" s="239">
        <f t="shared" si="274"/>
        <v>228645.10887716655</v>
      </c>
      <c r="N978" s="240">
        <v>0</v>
      </c>
      <c r="O978" s="310">
        <f t="shared" si="275"/>
        <v>228645.10887716655</v>
      </c>
      <c r="P978" s="241">
        <v>7.4999999999999997E-2</v>
      </c>
      <c r="Q978" s="227">
        <f t="shared" si="276"/>
        <v>-17148.383165787491</v>
      </c>
      <c r="R978" s="310">
        <v>244687</v>
      </c>
      <c r="S978" s="242">
        <f t="shared" si="277"/>
        <v>-16041.891122833447</v>
      </c>
      <c r="T978" s="182" t="str">
        <f t="shared" si="280"/>
        <v/>
      </c>
      <c r="U978" s="307">
        <f t="shared" si="278"/>
        <v>16041.891122833447</v>
      </c>
      <c r="V978" s="304"/>
      <c r="AC978" s="211" t="s">
        <v>9</v>
      </c>
      <c r="AD978" s="180">
        <f t="shared" ref="AD978:AD988" si="282">ROUND(B943*$AD$975, 0)</f>
        <v>0</v>
      </c>
      <c r="AE978" s="180">
        <f t="shared" ref="AE978:AE988" si="283">ROUND(C943*$AE$975,0)</f>
        <v>0</v>
      </c>
      <c r="AF978" s="180">
        <f t="shared" ref="AF978:AF988" si="284">ROUND(D943*$AF$975,0)</f>
        <v>0</v>
      </c>
      <c r="AG978" s="180">
        <f t="shared" ref="AG978:AG988" si="285">ROUND(E943*$AG$975,0)</f>
        <v>0</v>
      </c>
      <c r="AH978" s="180">
        <f t="shared" ref="AH978:AH988" si="286">ROUND(F943*$AH$975,0)</f>
        <v>57</v>
      </c>
      <c r="AI978" s="180">
        <f t="shared" ref="AI978:AI988" si="287">ROUND(H943*$AI$975,0)</f>
        <v>51</v>
      </c>
      <c r="AJ978" s="180">
        <f t="shared" ref="AJ978:AJ988" si="288">ROUND(I943*$AJ$975,0)</f>
        <v>88</v>
      </c>
      <c r="AK978" s="180">
        <f t="shared" ref="AK978:AK988" si="289">ROUND(J943*$AK$975,0)</f>
        <v>137</v>
      </c>
      <c r="AL978" s="180">
        <f t="shared" ref="AL978:AL988" si="290">ROUND(K943*$AL$975,0)</f>
        <v>140</v>
      </c>
      <c r="AM978" s="180">
        <f t="shared" ref="AM978:AM988" si="291">ROUND(L943*$AM$975,0)</f>
        <v>47</v>
      </c>
      <c r="AN978" s="180">
        <f t="shared" ref="AN978:AN988" si="292">ROUND(M943*$AN$975,0)</f>
        <v>55</v>
      </c>
      <c r="AO978" s="180">
        <f t="shared" ref="AO978:AO988" si="293">ROUND(N943*$AO$975,0)</f>
        <v>111</v>
      </c>
      <c r="AP978" s="180">
        <f t="shared" ref="AP978:AP988" si="294">ROUND(O943*$AP$975,0)</f>
        <v>16</v>
      </c>
      <c r="AQ978" s="180">
        <f t="shared" ref="AQ978:AQ988" si="295">ROUND(P943*$AQ$975,0)</f>
        <v>15</v>
      </c>
      <c r="AR978" s="180">
        <f t="shared" ref="AR978:AR988" si="296">ROUND(Q943*$AR$975,0)</f>
        <v>39</v>
      </c>
      <c r="AS978" s="210">
        <f t="shared" ref="AS978:AS988" si="297">SUM(AD978:AR978)</f>
        <v>756</v>
      </c>
    </row>
    <row r="979" spans="1:45" ht="15.75" customHeight="1" x14ac:dyDescent="0.3">
      <c r="A979" s="192" t="s">
        <v>20</v>
      </c>
      <c r="B979" s="189">
        <f t="shared" si="279"/>
        <v>210262</v>
      </c>
      <c r="C979" s="182">
        <f t="shared" si="268"/>
        <v>0</v>
      </c>
      <c r="D979" s="182">
        <f t="shared" si="269"/>
        <v>9191</v>
      </c>
      <c r="E979" s="182">
        <f t="shared" si="270"/>
        <v>210262</v>
      </c>
      <c r="F979" s="307">
        <f t="shared" si="271"/>
        <v>219453</v>
      </c>
      <c r="G979" s="189">
        <f t="shared" si="272"/>
        <v>0</v>
      </c>
      <c r="H979" s="238">
        <v>7861</v>
      </c>
      <c r="I979" s="238">
        <v>0</v>
      </c>
      <c r="J979" s="182">
        <f t="shared" si="273"/>
        <v>7861</v>
      </c>
      <c r="K979" s="238">
        <v>0</v>
      </c>
      <c r="L979" s="238">
        <v>0</v>
      </c>
      <c r="M979" s="239">
        <f t="shared" si="274"/>
        <v>211592</v>
      </c>
      <c r="N979" s="240">
        <v>0</v>
      </c>
      <c r="O979" s="310">
        <f t="shared" si="275"/>
        <v>211592</v>
      </c>
      <c r="P979" s="241">
        <v>0.3</v>
      </c>
      <c r="Q979" s="227">
        <f t="shared" si="276"/>
        <v>-63477.599999999999</v>
      </c>
      <c r="R979" s="310">
        <v>207005</v>
      </c>
      <c r="S979" s="242">
        <f t="shared" si="277"/>
        <v>4587</v>
      </c>
      <c r="T979" s="182">
        <f t="shared" si="280"/>
        <v>4587</v>
      </c>
      <c r="U979" s="307" t="str">
        <f t="shared" si="278"/>
        <v/>
      </c>
      <c r="V979" s="304"/>
      <c r="AC979" s="211" t="s">
        <v>10</v>
      </c>
      <c r="AD979" s="180">
        <f t="shared" si="282"/>
        <v>0</v>
      </c>
      <c r="AE979" s="180">
        <f t="shared" si="283"/>
        <v>0</v>
      </c>
      <c r="AF979" s="180">
        <f t="shared" si="284"/>
        <v>0</v>
      </c>
      <c r="AG979" s="180">
        <f t="shared" si="285"/>
        <v>0</v>
      </c>
      <c r="AH979" s="180">
        <f t="shared" si="286"/>
        <v>71</v>
      </c>
      <c r="AI979" s="180">
        <f t="shared" si="287"/>
        <v>136</v>
      </c>
      <c r="AJ979" s="180">
        <f t="shared" si="288"/>
        <v>219</v>
      </c>
      <c r="AK979" s="180">
        <f t="shared" si="289"/>
        <v>278</v>
      </c>
      <c r="AL979" s="180">
        <f t="shared" si="290"/>
        <v>262</v>
      </c>
      <c r="AM979" s="180">
        <f t="shared" si="291"/>
        <v>83</v>
      </c>
      <c r="AN979" s="180">
        <f t="shared" si="292"/>
        <v>97</v>
      </c>
      <c r="AO979" s="180">
        <f t="shared" si="293"/>
        <v>197</v>
      </c>
      <c r="AP979" s="180">
        <f t="shared" si="294"/>
        <v>33</v>
      </c>
      <c r="AQ979" s="180">
        <f t="shared" si="295"/>
        <v>17</v>
      </c>
      <c r="AR979" s="180">
        <f t="shared" si="296"/>
        <v>79</v>
      </c>
      <c r="AS979" s="210">
        <f t="shared" si="297"/>
        <v>1472</v>
      </c>
    </row>
    <row r="980" spans="1:45" ht="15.75" customHeight="1" x14ac:dyDescent="0.3">
      <c r="A980" s="192" t="s">
        <v>21</v>
      </c>
      <c r="B980" s="189">
        <f t="shared" si="279"/>
        <v>199881</v>
      </c>
      <c r="C980" s="182">
        <f t="shared" si="268"/>
        <v>0</v>
      </c>
      <c r="D980" s="182">
        <f t="shared" si="269"/>
        <v>8687</v>
      </c>
      <c r="E980" s="182">
        <f t="shared" si="270"/>
        <v>199881</v>
      </c>
      <c r="F980" s="307">
        <f t="shared" si="271"/>
        <v>208568</v>
      </c>
      <c r="G980" s="189">
        <f t="shared" si="272"/>
        <v>0</v>
      </c>
      <c r="H980" s="238">
        <v>11207</v>
      </c>
      <c r="I980" s="238">
        <v>0</v>
      </c>
      <c r="J980" s="182">
        <f t="shared" si="273"/>
        <v>11207</v>
      </c>
      <c r="K980" s="238">
        <v>0</v>
      </c>
      <c r="L980" s="238">
        <v>0</v>
      </c>
      <c r="M980" s="239">
        <f t="shared" si="274"/>
        <v>197361</v>
      </c>
      <c r="N980" s="240">
        <v>0</v>
      </c>
      <c r="O980" s="310">
        <f t="shared" si="275"/>
        <v>197361</v>
      </c>
      <c r="P980" s="241">
        <v>0.3</v>
      </c>
      <c r="Q980" s="227">
        <f t="shared" si="276"/>
        <v>-59208.299999999996</v>
      </c>
      <c r="R980" s="310">
        <v>203927</v>
      </c>
      <c r="S980" s="242">
        <f t="shared" si="277"/>
        <v>-6566</v>
      </c>
      <c r="T980" s="182" t="str">
        <f t="shared" si="280"/>
        <v/>
      </c>
      <c r="U980" s="307">
        <f t="shared" si="278"/>
        <v>6566</v>
      </c>
      <c r="V980" s="304"/>
      <c r="AC980" s="211" t="s">
        <v>12</v>
      </c>
      <c r="AD980" s="180">
        <f t="shared" si="282"/>
        <v>0</v>
      </c>
      <c r="AE980" s="180">
        <f t="shared" si="283"/>
        <v>0</v>
      </c>
      <c r="AF980" s="180">
        <f t="shared" si="284"/>
        <v>0</v>
      </c>
      <c r="AG980" s="180">
        <f t="shared" si="285"/>
        <v>0</v>
      </c>
      <c r="AH980" s="180">
        <f t="shared" si="286"/>
        <v>33</v>
      </c>
      <c r="AI980" s="180">
        <f t="shared" si="287"/>
        <v>166</v>
      </c>
      <c r="AJ980" s="180">
        <f t="shared" si="288"/>
        <v>263</v>
      </c>
      <c r="AK980" s="180">
        <f t="shared" si="289"/>
        <v>305</v>
      </c>
      <c r="AL980" s="180">
        <f t="shared" si="290"/>
        <v>266</v>
      </c>
      <c r="AM980" s="180">
        <f t="shared" si="291"/>
        <v>80</v>
      </c>
      <c r="AN980" s="180">
        <f t="shared" si="292"/>
        <v>94</v>
      </c>
      <c r="AO980" s="180">
        <f t="shared" si="293"/>
        <v>189</v>
      </c>
      <c r="AP980" s="180">
        <f t="shared" si="294"/>
        <v>31</v>
      </c>
      <c r="AQ980" s="180">
        <f t="shared" si="295"/>
        <v>44</v>
      </c>
      <c r="AR980" s="180">
        <f t="shared" si="296"/>
        <v>73</v>
      </c>
      <c r="AS980" s="210">
        <f t="shared" si="297"/>
        <v>1544</v>
      </c>
    </row>
    <row r="981" spans="1:45" ht="15.75" customHeight="1" x14ac:dyDescent="0.3">
      <c r="A981" s="192" t="s">
        <v>22</v>
      </c>
      <c r="B981" s="189">
        <f t="shared" si="279"/>
        <v>232601</v>
      </c>
      <c r="C981" s="182">
        <f t="shared" si="268"/>
        <v>0</v>
      </c>
      <c r="D981" s="182">
        <f t="shared" si="269"/>
        <v>9976</v>
      </c>
      <c r="E981" s="182">
        <f t="shared" si="270"/>
        <v>232601</v>
      </c>
      <c r="F981" s="307">
        <f t="shared" si="271"/>
        <v>242577</v>
      </c>
      <c r="G981" s="189">
        <f t="shared" si="272"/>
        <v>9.8083964350448287</v>
      </c>
      <c r="H981" s="238">
        <v>7321</v>
      </c>
      <c r="I981" s="238">
        <v>0</v>
      </c>
      <c r="J981" s="182">
        <f>(H981+I981)</f>
        <v>7321</v>
      </c>
      <c r="K981" s="238">
        <v>0</v>
      </c>
      <c r="L981" s="238">
        <v>0</v>
      </c>
      <c r="M981" s="239">
        <f t="shared" si="274"/>
        <v>235246.19160356495</v>
      </c>
      <c r="N981" s="240">
        <v>0</v>
      </c>
      <c r="O981" s="310">
        <f t="shared" si="275"/>
        <v>235246.19160356495</v>
      </c>
      <c r="P981" s="241">
        <v>0.3</v>
      </c>
      <c r="Q981" s="227">
        <f t="shared" si="276"/>
        <v>-70573.857481069484</v>
      </c>
      <c r="R981" s="310">
        <v>210929</v>
      </c>
      <c r="S981" s="242">
        <f t="shared" si="277"/>
        <v>24317.191603564948</v>
      </c>
      <c r="T981" s="182">
        <f t="shared" si="280"/>
        <v>24317.191603564948</v>
      </c>
      <c r="U981" s="307" t="str">
        <f t="shared" si="278"/>
        <v/>
      </c>
      <c r="V981" s="304"/>
      <c r="AC981" s="211" t="s">
        <v>13</v>
      </c>
      <c r="AD981" s="180">
        <f t="shared" si="282"/>
        <v>0</v>
      </c>
      <c r="AE981" s="180">
        <f t="shared" si="283"/>
        <v>0</v>
      </c>
      <c r="AF981" s="180">
        <f t="shared" si="284"/>
        <v>0</v>
      </c>
      <c r="AG981" s="180">
        <f t="shared" si="285"/>
        <v>0</v>
      </c>
      <c r="AH981" s="180">
        <f t="shared" si="286"/>
        <v>85</v>
      </c>
      <c r="AI981" s="180">
        <f t="shared" si="287"/>
        <v>161</v>
      </c>
      <c r="AJ981" s="180">
        <f t="shared" si="288"/>
        <v>230</v>
      </c>
      <c r="AK981" s="180">
        <f t="shared" si="289"/>
        <v>305</v>
      </c>
      <c r="AL981" s="180">
        <f t="shared" si="290"/>
        <v>255</v>
      </c>
      <c r="AM981" s="180">
        <f t="shared" si="291"/>
        <v>81</v>
      </c>
      <c r="AN981" s="180">
        <f t="shared" si="292"/>
        <v>96</v>
      </c>
      <c r="AO981" s="180">
        <f t="shared" si="293"/>
        <v>182</v>
      </c>
      <c r="AP981" s="180">
        <f t="shared" si="294"/>
        <v>24</v>
      </c>
      <c r="AQ981" s="180">
        <f t="shared" si="295"/>
        <v>74</v>
      </c>
      <c r="AR981" s="180">
        <f t="shared" si="296"/>
        <v>57</v>
      </c>
      <c r="AS981" s="210">
        <f t="shared" si="297"/>
        <v>1550</v>
      </c>
    </row>
    <row r="982" spans="1:45" ht="15.75" customHeight="1" x14ac:dyDescent="0.3">
      <c r="A982" s="213" t="s">
        <v>633</v>
      </c>
      <c r="B982" s="189" t="s">
        <v>633</v>
      </c>
      <c r="C982" s="182"/>
      <c r="D982" s="182"/>
      <c r="E982" s="182" t="s">
        <v>7</v>
      </c>
      <c r="F982" s="307"/>
      <c r="G982" s="189"/>
      <c r="H982" s="182"/>
      <c r="I982" s="182" t="s">
        <v>7</v>
      </c>
      <c r="J982" s="182" t="s">
        <v>7</v>
      </c>
      <c r="K982" s="243"/>
      <c r="L982" s="182"/>
      <c r="M982" s="239"/>
      <c r="N982" s="240"/>
      <c r="O982" s="310"/>
      <c r="P982" s="241"/>
      <c r="Q982" s="240"/>
      <c r="R982" s="310"/>
      <c r="S982" s="242"/>
      <c r="T982" s="182"/>
      <c r="U982" s="307"/>
      <c r="V982" s="304"/>
      <c r="AC982" s="211" t="s">
        <v>14</v>
      </c>
      <c r="AD982" s="180">
        <f t="shared" si="282"/>
        <v>0</v>
      </c>
      <c r="AE982" s="180">
        <f t="shared" si="283"/>
        <v>0</v>
      </c>
      <c r="AF982" s="180">
        <f t="shared" si="284"/>
        <v>0</v>
      </c>
      <c r="AG982" s="180">
        <f t="shared" si="285"/>
        <v>0</v>
      </c>
      <c r="AH982" s="180">
        <f t="shared" si="286"/>
        <v>0</v>
      </c>
      <c r="AI982" s="180">
        <f t="shared" si="287"/>
        <v>219</v>
      </c>
      <c r="AJ982" s="180">
        <f t="shared" si="288"/>
        <v>325</v>
      </c>
      <c r="AK982" s="180">
        <f t="shared" si="289"/>
        <v>317</v>
      </c>
      <c r="AL982" s="180">
        <f t="shared" si="290"/>
        <v>267</v>
      </c>
      <c r="AM982" s="180">
        <f t="shared" si="291"/>
        <v>88</v>
      </c>
      <c r="AN982" s="180">
        <f t="shared" si="292"/>
        <v>103</v>
      </c>
      <c r="AO982" s="180">
        <f t="shared" si="293"/>
        <v>213</v>
      </c>
      <c r="AP982" s="180">
        <f t="shared" si="294"/>
        <v>37</v>
      </c>
      <c r="AQ982" s="180">
        <f t="shared" si="295"/>
        <v>93</v>
      </c>
      <c r="AR982" s="180">
        <f t="shared" si="296"/>
        <v>88</v>
      </c>
      <c r="AS982" s="210">
        <f t="shared" si="297"/>
        <v>1750</v>
      </c>
    </row>
    <row r="983" spans="1:45" ht="16.5" customHeight="1" thickBot="1" x14ac:dyDescent="0.35">
      <c r="A983" s="244" t="s">
        <v>641</v>
      </c>
      <c r="B983" s="204">
        <f>SUM(B970:B981)</f>
        <v>2471599</v>
      </c>
      <c r="C983" s="205">
        <f>+SUM(C970:C981)</f>
        <v>0</v>
      </c>
      <c r="D983" s="205">
        <f>SUM(D970:D981)</f>
        <v>106211</v>
      </c>
      <c r="E983" s="205">
        <f t="shared" si="270"/>
        <v>2471599</v>
      </c>
      <c r="F983" s="245">
        <f>SUM(F970:F981)</f>
        <v>2577810</v>
      </c>
      <c r="G983" s="204">
        <f>SUM(G970:G981)</f>
        <v>41427.945619522339</v>
      </c>
      <c r="H983" s="205">
        <f>SUM(H970:H981)</f>
        <v>132627</v>
      </c>
      <c r="I983" s="205">
        <f>SUM(I970:I981)</f>
        <v>0</v>
      </c>
      <c r="J983" s="205">
        <f>(H983+I983)</f>
        <v>132627</v>
      </c>
      <c r="K983" s="205">
        <f>SUM(K970:K981)</f>
        <v>0</v>
      </c>
      <c r="L983" s="205">
        <f>SUM(L970:L981)</f>
        <v>0</v>
      </c>
      <c r="M983" s="246">
        <f>SUM(M970:M981)</f>
        <v>2403755.0543804779</v>
      </c>
      <c r="N983" s="247">
        <f>SUM(N970:N981)</f>
        <v>122216</v>
      </c>
      <c r="O983" s="248">
        <f t="shared" si="275"/>
        <v>2525971.0543804779</v>
      </c>
      <c r="P983" s="249">
        <f>Q983/O983</f>
        <v>-0.18584582019629031</v>
      </c>
      <c r="Q983" s="250">
        <f>SUM(Q970:Q981)</f>
        <v>-469441.16239342815</v>
      </c>
      <c r="R983" s="248">
        <f>SUM(R970:R981)</f>
        <v>2833138</v>
      </c>
      <c r="S983" s="251">
        <f>(F983-G983-J983-K983-L983-R983)</f>
        <v>-429382.94561952213</v>
      </c>
      <c r="T983" s="205">
        <f>+SUM(T970:T981)</f>
        <v>28904.191603564948</v>
      </c>
      <c r="U983" s="245">
        <f>+SUM(U970:U981)</f>
        <v>458287.13722308737</v>
      </c>
      <c r="V983" s="304"/>
      <c r="AC983" s="211" t="s">
        <v>16</v>
      </c>
      <c r="AD983" s="180">
        <f t="shared" si="282"/>
        <v>0</v>
      </c>
      <c r="AE983" s="180">
        <f t="shared" si="283"/>
        <v>0</v>
      </c>
      <c r="AF983" s="180">
        <f t="shared" si="284"/>
        <v>0</v>
      </c>
      <c r="AG983" s="180">
        <f t="shared" si="285"/>
        <v>0</v>
      </c>
      <c r="AH983" s="180">
        <f t="shared" si="286"/>
        <v>0</v>
      </c>
      <c r="AI983" s="180">
        <f t="shared" si="287"/>
        <v>175</v>
      </c>
      <c r="AJ983" s="180">
        <f t="shared" si="288"/>
        <v>342</v>
      </c>
      <c r="AK983" s="180">
        <f t="shared" si="289"/>
        <v>327</v>
      </c>
      <c r="AL983" s="180">
        <f t="shared" si="290"/>
        <v>264</v>
      </c>
      <c r="AM983" s="180">
        <f t="shared" si="291"/>
        <v>89</v>
      </c>
      <c r="AN983" s="180">
        <f t="shared" si="292"/>
        <v>105</v>
      </c>
      <c r="AO983" s="180">
        <f t="shared" si="293"/>
        <v>207</v>
      </c>
      <c r="AP983" s="180">
        <f t="shared" si="294"/>
        <v>31</v>
      </c>
      <c r="AQ983" s="180">
        <f t="shared" si="295"/>
        <v>77</v>
      </c>
      <c r="AR983" s="180">
        <f t="shared" si="296"/>
        <v>74</v>
      </c>
      <c r="AS983" s="210">
        <f t="shared" si="297"/>
        <v>1691</v>
      </c>
    </row>
    <row r="984" spans="1:45" ht="15.75" customHeight="1" x14ac:dyDescent="0.3">
      <c r="A984" s="95"/>
      <c r="B984" s="180"/>
      <c r="C984" s="180"/>
      <c r="D984" s="180"/>
      <c r="E984" s="180"/>
      <c r="F984" s="180" t="s">
        <v>633</v>
      </c>
      <c r="G984" s="180"/>
      <c r="H984" s="180"/>
      <c r="I984" s="180"/>
      <c r="K984" s="180"/>
      <c r="L984" s="180"/>
      <c r="M984" s="252"/>
      <c r="O984" s="359"/>
      <c r="P984" s="351"/>
      <c r="V984" s="304"/>
      <c r="AC984" s="211" t="s">
        <v>17</v>
      </c>
      <c r="AD984" s="180">
        <f t="shared" si="282"/>
        <v>0</v>
      </c>
      <c r="AE984" s="180">
        <f t="shared" si="283"/>
        <v>0</v>
      </c>
      <c r="AF984" s="180">
        <f t="shared" si="284"/>
        <v>0</v>
      </c>
      <c r="AG984" s="180">
        <f t="shared" si="285"/>
        <v>0</v>
      </c>
      <c r="AH984" s="180">
        <f t="shared" si="286"/>
        <v>0</v>
      </c>
      <c r="AI984" s="180">
        <f t="shared" si="287"/>
        <v>173</v>
      </c>
      <c r="AJ984" s="180">
        <f t="shared" si="288"/>
        <v>308</v>
      </c>
      <c r="AK984" s="180">
        <f t="shared" si="289"/>
        <v>334</v>
      </c>
      <c r="AL984" s="180">
        <f t="shared" si="290"/>
        <v>278</v>
      </c>
      <c r="AM984" s="180">
        <f t="shared" si="291"/>
        <v>89</v>
      </c>
      <c r="AN984" s="180">
        <f t="shared" si="292"/>
        <v>105</v>
      </c>
      <c r="AO984" s="180">
        <f t="shared" si="293"/>
        <v>213</v>
      </c>
      <c r="AP984" s="180">
        <f t="shared" si="294"/>
        <v>29</v>
      </c>
      <c r="AQ984" s="180">
        <f t="shared" si="295"/>
        <v>73</v>
      </c>
      <c r="AR984" s="180">
        <f t="shared" si="296"/>
        <v>69</v>
      </c>
      <c r="AS984" s="210">
        <f t="shared" si="297"/>
        <v>1671</v>
      </c>
    </row>
    <row r="985" spans="1:45" ht="15.75" customHeight="1" x14ac:dyDescent="0.3">
      <c r="A985" s="179" t="s">
        <v>773</v>
      </c>
      <c r="P985" s="180"/>
      <c r="Q985" s="180"/>
      <c r="R985" s="180"/>
      <c r="V985" s="304"/>
      <c r="AC985" s="211" t="s">
        <v>18</v>
      </c>
      <c r="AD985" s="180">
        <f t="shared" si="282"/>
        <v>0</v>
      </c>
      <c r="AE985" s="180">
        <f t="shared" si="283"/>
        <v>0</v>
      </c>
      <c r="AF985" s="180">
        <f t="shared" si="284"/>
        <v>0</v>
      </c>
      <c r="AG985" s="180">
        <f t="shared" si="285"/>
        <v>0</v>
      </c>
      <c r="AH985" s="180">
        <f t="shared" si="286"/>
        <v>27</v>
      </c>
      <c r="AI985" s="180">
        <f t="shared" si="287"/>
        <v>134</v>
      </c>
      <c r="AJ985" s="180">
        <f t="shared" si="288"/>
        <v>222</v>
      </c>
      <c r="AK985" s="180">
        <f t="shared" si="289"/>
        <v>281</v>
      </c>
      <c r="AL985" s="180">
        <f t="shared" si="290"/>
        <v>251</v>
      </c>
      <c r="AM985" s="180">
        <f t="shared" si="291"/>
        <v>78</v>
      </c>
      <c r="AN985" s="180">
        <f t="shared" si="292"/>
        <v>92</v>
      </c>
      <c r="AO985" s="180">
        <f t="shared" si="293"/>
        <v>183</v>
      </c>
      <c r="AP985" s="180">
        <f t="shared" si="294"/>
        <v>28</v>
      </c>
      <c r="AQ985" s="180">
        <f t="shared" si="295"/>
        <v>70</v>
      </c>
      <c r="AR985" s="180">
        <f t="shared" si="296"/>
        <v>64</v>
      </c>
      <c r="AS985" s="210">
        <f t="shared" si="297"/>
        <v>1430</v>
      </c>
    </row>
    <row r="986" spans="1:45" ht="15.75" customHeight="1" x14ac:dyDescent="0.3">
      <c r="A986" s="179" t="s">
        <v>774</v>
      </c>
      <c r="D986" s="180"/>
      <c r="E986" s="180"/>
      <c r="F986" s="180"/>
      <c r="G986" s="180"/>
      <c r="H986" s="180"/>
      <c r="I986" s="180"/>
      <c r="J986" s="180"/>
      <c r="K986" s="180"/>
      <c r="L986" s="180"/>
      <c r="M986" s="180"/>
      <c r="N986" s="180"/>
      <c r="O986" s="180"/>
      <c r="P986" s="180"/>
      <c r="Q986" s="180"/>
      <c r="R986" s="180"/>
      <c r="V986" s="304"/>
      <c r="AC986" s="211" t="s">
        <v>20</v>
      </c>
      <c r="AD986" s="180">
        <f t="shared" si="282"/>
        <v>0</v>
      </c>
      <c r="AE986" s="180">
        <f t="shared" si="283"/>
        <v>0</v>
      </c>
      <c r="AF986" s="180">
        <f t="shared" si="284"/>
        <v>0</v>
      </c>
      <c r="AG986" s="180">
        <f t="shared" si="285"/>
        <v>0</v>
      </c>
      <c r="AH986" s="180">
        <f t="shared" si="286"/>
        <v>128</v>
      </c>
      <c r="AI986" s="180">
        <f t="shared" si="287"/>
        <v>69</v>
      </c>
      <c r="AJ986" s="180">
        <f t="shared" si="288"/>
        <v>84</v>
      </c>
      <c r="AK986" s="180">
        <f t="shared" si="289"/>
        <v>111</v>
      </c>
      <c r="AL986" s="180">
        <f t="shared" si="290"/>
        <v>104</v>
      </c>
      <c r="AM986" s="180">
        <f t="shared" si="291"/>
        <v>29</v>
      </c>
      <c r="AN986" s="180">
        <f t="shared" si="292"/>
        <v>34</v>
      </c>
      <c r="AO986" s="180">
        <f t="shared" si="293"/>
        <v>63</v>
      </c>
      <c r="AP986" s="180">
        <f t="shared" si="294"/>
        <v>26</v>
      </c>
      <c r="AQ986" s="180">
        <f t="shared" si="295"/>
        <v>66</v>
      </c>
      <c r="AR986" s="180">
        <f t="shared" si="296"/>
        <v>62</v>
      </c>
      <c r="AS986" s="210">
        <f t="shared" si="297"/>
        <v>776</v>
      </c>
    </row>
    <row r="987" spans="1:45" ht="15.75" customHeight="1" x14ac:dyDescent="0.3">
      <c r="A987" s="179" t="s">
        <v>775</v>
      </c>
      <c r="D987" s="180"/>
      <c r="E987" s="180"/>
      <c r="F987" s="180"/>
      <c r="G987" s="180"/>
      <c r="H987" s="180"/>
      <c r="I987" s="180"/>
      <c r="J987" s="180"/>
      <c r="K987" s="180"/>
      <c r="L987" s="180"/>
      <c r="M987" s="180"/>
      <c r="N987" s="180"/>
      <c r="O987" s="180"/>
      <c r="P987" s="180"/>
      <c r="Q987" s="180"/>
      <c r="R987" s="180"/>
      <c r="V987" s="304"/>
      <c r="AC987" s="211" t="s">
        <v>21</v>
      </c>
      <c r="AD987" s="180">
        <f t="shared" si="282"/>
        <v>0</v>
      </c>
      <c r="AE987" s="180">
        <f t="shared" si="283"/>
        <v>0</v>
      </c>
      <c r="AF987" s="180">
        <f t="shared" si="284"/>
        <v>0</v>
      </c>
      <c r="AG987" s="180">
        <f t="shared" si="285"/>
        <v>0</v>
      </c>
      <c r="AH987" s="180">
        <f t="shared" si="286"/>
        <v>201</v>
      </c>
      <c r="AI987" s="180">
        <f t="shared" si="287"/>
        <v>39</v>
      </c>
      <c r="AJ987" s="180">
        <f t="shared" si="288"/>
        <v>26</v>
      </c>
      <c r="AK987" s="180">
        <f t="shared" si="289"/>
        <v>36</v>
      </c>
      <c r="AL987" s="180">
        <f t="shared" si="290"/>
        <v>33</v>
      </c>
      <c r="AM987" s="180">
        <f t="shared" si="291"/>
        <v>6</v>
      </c>
      <c r="AN987" s="180">
        <f t="shared" si="292"/>
        <v>7</v>
      </c>
      <c r="AO987" s="180">
        <f t="shared" si="293"/>
        <v>13</v>
      </c>
      <c r="AP987" s="180">
        <f t="shared" si="294"/>
        <v>8</v>
      </c>
      <c r="AQ987" s="180">
        <f t="shared" si="295"/>
        <v>33</v>
      </c>
      <c r="AR987" s="180">
        <f t="shared" si="296"/>
        <v>19</v>
      </c>
      <c r="AS987" s="210">
        <f t="shared" si="297"/>
        <v>421</v>
      </c>
    </row>
    <row r="988" spans="1:45" ht="15.75" customHeight="1" thickBot="1" x14ac:dyDescent="0.35">
      <c r="A988" s="194" t="s">
        <v>776</v>
      </c>
      <c r="B988" s="135"/>
      <c r="C988" s="135"/>
      <c r="D988" s="195"/>
      <c r="E988" s="195"/>
      <c r="F988" s="195"/>
      <c r="G988" s="195"/>
      <c r="H988" s="195"/>
      <c r="I988" s="195"/>
      <c r="J988" s="195"/>
      <c r="K988" s="195"/>
      <c r="L988" s="195"/>
      <c r="M988" s="195"/>
      <c r="N988" s="195"/>
      <c r="O988" s="195"/>
      <c r="P988" s="195"/>
      <c r="Q988" s="195"/>
      <c r="R988" s="195"/>
      <c r="S988" s="135"/>
      <c r="T988" s="135"/>
      <c r="U988" s="135"/>
      <c r="V988" s="136"/>
      <c r="AC988" s="211" t="s">
        <v>22</v>
      </c>
      <c r="AD988" s="180">
        <f t="shared" si="282"/>
        <v>0</v>
      </c>
      <c r="AE988" s="180">
        <f t="shared" si="283"/>
        <v>0</v>
      </c>
      <c r="AF988" s="180">
        <f t="shared" si="284"/>
        <v>0</v>
      </c>
      <c r="AG988" s="180">
        <f t="shared" si="285"/>
        <v>0</v>
      </c>
      <c r="AH988" s="180">
        <f t="shared" si="286"/>
        <v>222</v>
      </c>
      <c r="AI988" s="180">
        <f t="shared" si="287"/>
        <v>60</v>
      </c>
      <c r="AJ988" s="180">
        <f t="shared" si="288"/>
        <v>83</v>
      </c>
      <c r="AK988" s="180">
        <f t="shared" si="289"/>
        <v>118</v>
      </c>
      <c r="AL988" s="180">
        <f t="shared" si="290"/>
        <v>121</v>
      </c>
      <c r="AM988" s="180">
        <f t="shared" si="291"/>
        <v>29</v>
      </c>
      <c r="AN988" s="180">
        <f t="shared" si="292"/>
        <v>34</v>
      </c>
      <c r="AO988" s="180">
        <f t="shared" si="293"/>
        <v>73</v>
      </c>
      <c r="AP988" s="180">
        <f t="shared" si="294"/>
        <v>23</v>
      </c>
      <c r="AQ988" s="180">
        <f t="shared" si="295"/>
        <v>47</v>
      </c>
      <c r="AR988" s="180">
        <f t="shared" si="296"/>
        <v>54</v>
      </c>
      <c r="AS988" s="210">
        <f t="shared" si="297"/>
        <v>864</v>
      </c>
    </row>
    <row r="989" spans="1:45" ht="15.75" customHeight="1" thickBot="1" x14ac:dyDescent="0.35">
      <c r="A989" s="179"/>
      <c r="D989" s="180"/>
      <c r="E989" s="180"/>
      <c r="F989" s="180"/>
      <c r="G989" s="180"/>
      <c r="H989" s="180"/>
      <c r="I989" s="180"/>
      <c r="J989" s="180"/>
      <c r="K989" s="180"/>
      <c r="L989" s="180"/>
      <c r="M989" s="180"/>
      <c r="N989" s="180"/>
      <c r="O989" s="180"/>
      <c r="P989" s="180"/>
      <c r="Q989" s="180"/>
      <c r="R989" s="180"/>
      <c r="S989" s="359"/>
      <c r="V989" s="223"/>
      <c r="AC989" s="95"/>
      <c r="AD989" s="180"/>
      <c r="AE989" s="180"/>
      <c r="AF989" s="180"/>
      <c r="AG989" s="180"/>
      <c r="AH989" s="180"/>
      <c r="AI989" s="180"/>
      <c r="AJ989" s="180"/>
      <c r="AK989" s="180"/>
      <c r="AL989" s="180"/>
      <c r="AM989" s="180"/>
      <c r="AN989" s="180"/>
      <c r="AO989" s="180"/>
      <c r="AP989" s="180"/>
      <c r="AQ989" s="180"/>
      <c r="AR989" s="180"/>
      <c r="AS989" s="210"/>
    </row>
    <row r="990" spans="1:45" ht="15.75" customHeight="1" thickBot="1" x14ac:dyDescent="0.35">
      <c r="A990" s="192"/>
      <c r="B990" s="412" t="s">
        <v>777</v>
      </c>
      <c r="C990" s="413"/>
      <c r="D990" s="413"/>
      <c r="E990" s="413"/>
      <c r="F990" s="413"/>
      <c r="G990" s="413"/>
      <c r="H990" s="413"/>
      <c r="I990" s="413"/>
      <c r="J990" s="413"/>
      <c r="K990" s="413"/>
      <c r="L990" s="413"/>
      <c r="M990" s="413"/>
      <c r="N990" s="413"/>
      <c r="O990" s="413"/>
      <c r="P990" s="413"/>
      <c r="Q990" s="351"/>
      <c r="R990" s="351"/>
      <c r="S990" s="223"/>
      <c r="T990" s="359"/>
      <c r="U990" s="359"/>
      <c r="V990" s="358"/>
      <c r="AC990" s="220" t="s">
        <v>641</v>
      </c>
      <c r="AD990" s="195">
        <f>SUM(AD977:AD988)</f>
        <v>0</v>
      </c>
      <c r="AE990" s="195">
        <f t="shared" ref="AE990:AS990" si="298">SUM(AE977:AE988)</f>
        <v>0</v>
      </c>
      <c r="AF990" s="195">
        <f t="shared" si="298"/>
        <v>0</v>
      </c>
      <c r="AG990" s="195">
        <f t="shared" si="298"/>
        <v>0</v>
      </c>
      <c r="AH990" s="195">
        <f t="shared" si="298"/>
        <v>1107</v>
      </c>
      <c r="AI990" s="195">
        <f t="shared" si="298"/>
        <v>1422</v>
      </c>
      <c r="AJ990" s="195">
        <f t="shared" si="298"/>
        <v>2290</v>
      </c>
      <c r="AK990" s="195">
        <f t="shared" si="298"/>
        <v>2705</v>
      </c>
      <c r="AL990" s="195">
        <f t="shared" si="298"/>
        <v>2402</v>
      </c>
      <c r="AM990" s="195">
        <f t="shared" si="298"/>
        <v>758</v>
      </c>
      <c r="AN990" s="195">
        <f t="shared" si="298"/>
        <v>892</v>
      </c>
      <c r="AO990" s="195">
        <f t="shared" si="298"/>
        <v>1789</v>
      </c>
      <c r="AP990" s="195">
        <f t="shared" si="298"/>
        <v>313</v>
      </c>
      <c r="AQ990" s="195">
        <f t="shared" si="298"/>
        <v>612</v>
      </c>
      <c r="AR990" s="195">
        <f t="shared" si="298"/>
        <v>742</v>
      </c>
      <c r="AS990" s="221">
        <f t="shared" si="298"/>
        <v>15032</v>
      </c>
    </row>
    <row r="991" spans="1:45" ht="15.75" customHeight="1" thickBot="1" x14ac:dyDescent="0.35">
      <c r="A991" s="192"/>
      <c r="B991" s="403" t="s">
        <v>730</v>
      </c>
      <c r="C991" s="404"/>
      <c r="D991" s="404"/>
      <c r="E991" s="404"/>
      <c r="F991" s="405"/>
      <c r="G991" s="403" t="s">
        <v>731</v>
      </c>
      <c r="H991" s="404"/>
      <c r="I991" s="404"/>
      <c r="J991" s="404"/>
      <c r="K991" s="404"/>
      <c r="L991" s="404"/>
      <c r="M991" s="406" t="s">
        <v>732</v>
      </c>
      <c r="N991" s="407"/>
      <c r="O991" s="407"/>
      <c r="P991" s="429"/>
      <c r="Q991" s="429"/>
      <c r="R991" s="430"/>
      <c r="S991" s="403" t="s">
        <v>733</v>
      </c>
      <c r="T991" s="431"/>
      <c r="U991" s="432"/>
      <c r="V991" s="304"/>
    </row>
    <row r="992" spans="1:45" ht="15.75" customHeight="1" x14ac:dyDescent="0.3">
      <c r="A992" s="213"/>
      <c r="B992" s="189" t="s">
        <v>639</v>
      </c>
      <c r="C992" s="182"/>
      <c r="D992" s="182" t="s">
        <v>734</v>
      </c>
      <c r="E992" s="182" t="s">
        <v>735</v>
      </c>
      <c r="F992" s="307" t="s">
        <v>736</v>
      </c>
      <c r="G992" s="189" t="s">
        <v>737</v>
      </c>
      <c r="H992" s="182"/>
      <c r="I992" s="182"/>
      <c r="J992" s="182" t="s">
        <v>738</v>
      </c>
      <c r="K992" s="182" t="s">
        <v>739</v>
      </c>
      <c r="L992" s="182" t="s">
        <v>740</v>
      </c>
      <c r="M992" s="409" t="str">
        <f>+M965</f>
        <v>(NE)* per WAPA</v>
      </c>
      <c r="N992" s="410"/>
      <c r="O992" s="410"/>
      <c r="P992" s="363"/>
      <c r="Q992" s="227"/>
      <c r="R992" s="310"/>
      <c r="S992" s="189" t="s">
        <v>742</v>
      </c>
      <c r="T992" s="228" t="s">
        <v>743</v>
      </c>
      <c r="U992" s="308" t="s">
        <v>744</v>
      </c>
      <c r="V992" s="304"/>
    </row>
    <row r="993" spans="1:22" ht="15.75" customHeight="1" x14ac:dyDescent="0.3">
      <c r="A993" s="213"/>
      <c r="B993" s="230" t="s">
        <v>745</v>
      </c>
      <c r="C993" s="231" t="s">
        <v>746</v>
      </c>
      <c r="D993" s="231" t="s">
        <v>747</v>
      </c>
      <c r="E993" s="182" t="s">
        <v>658</v>
      </c>
      <c r="F993" s="309" t="s">
        <v>748</v>
      </c>
      <c r="G993" s="189" t="s">
        <v>640</v>
      </c>
      <c r="H993" s="182" t="s">
        <v>749</v>
      </c>
      <c r="I993" s="182" t="s">
        <v>750</v>
      </c>
      <c r="J993" s="231" t="s">
        <v>751</v>
      </c>
      <c r="K993" s="182" t="s">
        <v>723</v>
      </c>
      <c r="L993" s="231" t="s">
        <v>752</v>
      </c>
      <c r="M993" s="233" t="s">
        <v>753</v>
      </c>
      <c r="N993" s="226" t="s">
        <v>754</v>
      </c>
      <c r="O993" s="227" t="s">
        <v>641</v>
      </c>
      <c r="P993" s="233" t="s">
        <v>755</v>
      </c>
      <c r="Q993" s="226" t="s">
        <v>755</v>
      </c>
      <c r="R993" s="310" t="s">
        <v>756</v>
      </c>
      <c r="S993" s="189" t="s">
        <v>757</v>
      </c>
      <c r="T993" s="182" t="s">
        <v>758</v>
      </c>
      <c r="U993" s="307" t="s">
        <v>759</v>
      </c>
      <c r="V993" s="304"/>
    </row>
    <row r="994" spans="1:22" ht="15.75" customHeight="1" x14ac:dyDescent="0.3">
      <c r="A994" s="213"/>
      <c r="B994" s="235" t="s">
        <v>760</v>
      </c>
      <c r="C994" s="215">
        <v>5.0000000000000001E-3</v>
      </c>
      <c r="D994" s="215">
        <v>4.2999999999999997E-2</v>
      </c>
      <c r="E994" s="182" t="s">
        <v>761</v>
      </c>
      <c r="F994" s="311" t="s">
        <v>762</v>
      </c>
      <c r="G994" s="189" t="s">
        <v>763</v>
      </c>
      <c r="H994" s="182" t="s">
        <v>658</v>
      </c>
      <c r="I994" s="182" t="s">
        <v>658</v>
      </c>
      <c r="J994" s="182" t="s">
        <v>658</v>
      </c>
      <c r="K994" s="182" t="s">
        <v>743</v>
      </c>
      <c r="L994" s="182" t="s">
        <v>764</v>
      </c>
      <c r="M994" s="237" t="s">
        <v>648</v>
      </c>
      <c r="N994" s="227" t="s">
        <v>765</v>
      </c>
      <c r="O994" s="227" t="s">
        <v>766</v>
      </c>
      <c r="P994" s="237" t="s">
        <v>767</v>
      </c>
      <c r="Q994" s="226" t="s">
        <v>767</v>
      </c>
      <c r="R994" s="310" t="s">
        <v>766</v>
      </c>
      <c r="S994" s="189" t="s">
        <v>658</v>
      </c>
      <c r="T994" s="182" t="s">
        <v>658</v>
      </c>
      <c r="U994" s="307" t="s">
        <v>658</v>
      </c>
      <c r="V994" s="304"/>
    </row>
    <row r="995" spans="1:22" ht="15.75" customHeight="1" x14ac:dyDescent="0.3">
      <c r="A995" s="213" t="s">
        <v>768</v>
      </c>
      <c r="B995" s="189" t="s">
        <v>778</v>
      </c>
      <c r="C995" s="182" t="s">
        <v>778</v>
      </c>
      <c r="D995" s="182" t="s">
        <v>778</v>
      </c>
      <c r="E995" s="182" t="s">
        <v>778</v>
      </c>
      <c r="F995" s="182" t="s">
        <v>778</v>
      </c>
      <c r="G995" s="189" t="s">
        <v>778</v>
      </c>
      <c r="H995" s="182" t="s">
        <v>778</v>
      </c>
      <c r="I995" s="182" t="s">
        <v>778</v>
      </c>
      <c r="J995" s="182" t="s">
        <v>778</v>
      </c>
      <c r="K995" s="182" t="s">
        <v>778</v>
      </c>
      <c r="L995" s="182" t="s">
        <v>778</v>
      </c>
      <c r="M995" s="237" t="s">
        <v>778</v>
      </c>
      <c r="N995" s="227" t="s">
        <v>779</v>
      </c>
      <c r="O995" s="227" t="s">
        <v>778</v>
      </c>
      <c r="P995" s="237" t="s">
        <v>365</v>
      </c>
      <c r="Q995" s="226" t="s">
        <v>705</v>
      </c>
      <c r="R995" s="310" t="s">
        <v>705</v>
      </c>
      <c r="S995" s="189" t="s">
        <v>778</v>
      </c>
      <c r="T995" s="182" t="s">
        <v>778</v>
      </c>
      <c r="U995" s="307" t="s">
        <v>778</v>
      </c>
      <c r="V995" s="304"/>
    </row>
    <row r="996" spans="1:22" ht="15.75" customHeight="1" x14ac:dyDescent="0.3">
      <c r="A996" s="213" t="s">
        <v>666</v>
      </c>
      <c r="B996" s="189" t="s">
        <v>666</v>
      </c>
      <c r="C996" s="182" t="s">
        <v>666</v>
      </c>
      <c r="D996" s="182" t="s">
        <v>666</v>
      </c>
      <c r="E996" s="182" t="s">
        <v>769</v>
      </c>
      <c r="F996" s="307" t="s">
        <v>666</v>
      </c>
      <c r="G996" s="189" t="s">
        <v>666</v>
      </c>
      <c r="H996" s="182" t="s">
        <v>770</v>
      </c>
      <c r="I996" s="182" t="s">
        <v>770</v>
      </c>
      <c r="J996" s="182" t="s">
        <v>666</v>
      </c>
      <c r="K996" s="182" t="s">
        <v>666</v>
      </c>
      <c r="L996" s="182" t="s">
        <v>666</v>
      </c>
      <c r="M996" s="237" t="s">
        <v>666</v>
      </c>
      <c r="N996" s="227" t="s">
        <v>666</v>
      </c>
      <c r="O996" s="227" t="s">
        <v>666</v>
      </c>
      <c r="P996" s="237" t="s">
        <v>666</v>
      </c>
      <c r="Q996" s="227" t="s">
        <v>666</v>
      </c>
      <c r="R996" s="310" t="s">
        <v>666</v>
      </c>
      <c r="S996" s="189" t="s">
        <v>666</v>
      </c>
      <c r="T996" s="182" t="s">
        <v>666</v>
      </c>
      <c r="U996" s="307" t="s">
        <v>666</v>
      </c>
      <c r="V996" s="304"/>
    </row>
    <row r="997" spans="1:22" ht="15.75" customHeight="1" x14ac:dyDescent="0.3">
      <c r="A997" s="192" t="s">
        <v>8</v>
      </c>
      <c r="B997" s="189">
        <f>+B970/($B$10*24)</f>
        <v>291.36827956989248</v>
      </c>
      <c r="C997" s="182">
        <f t="shared" ref="C997:L997" si="299">+C970/($B$10*24)</f>
        <v>0</v>
      </c>
      <c r="D997" s="182">
        <f t="shared" si="299"/>
        <v>12.083333333333334</v>
      </c>
      <c r="E997" s="182">
        <f t="shared" si="299"/>
        <v>291.36827956989248</v>
      </c>
      <c r="F997" s="307">
        <f t="shared" si="299"/>
        <v>303.45161290322579</v>
      </c>
      <c r="G997" s="182">
        <f t="shared" si="299"/>
        <v>0.72992462767791</v>
      </c>
      <c r="H997" s="182">
        <f t="shared" si="299"/>
        <v>10.06989247311828</v>
      </c>
      <c r="I997" s="182">
        <f t="shared" si="299"/>
        <v>0</v>
      </c>
      <c r="J997" s="182">
        <f t="shared" si="299"/>
        <v>10.06989247311828</v>
      </c>
      <c r="K997" s="182">
        <f t="shared" si="299"/>
        <v>0</v>
      </c>
      <c r="L997" s="182">
        <f t="shared" si="299"/>
        <v>0</v>
      </c>
      <c r="M997" s="237">
        <f>+M970/($B$10*24)</f>
        <v>292.6517958024296</v>
      </c>
      <c r="N997" s="227">
        <f t="shared" ref="N997" si="300">+N970/($B$10*24)</f>
        <v>0</v>
      </c>
      <c r="O997" s="227">
        <f>+O970/($B$10*24)</f>
        <v>292.6517958024296</v>
      </c>
      <c r="P997" s="254">
        <f>P970</f>
        <v>0</v>
      </c>
      <c r="Q997" s="227">
        <f>-O997*P997</f>
        <v>0</v>
      </c>
      <c r="R997" s="310">
        <f>O997+Q997</f>
        <v>292.6517958024296</v>
      </c>
      <c r="S997" s="255">
        <f>+S970/($B$10*24)</f>
        <v>-51.713795595419832</v>
      </c>
      <c r="T997" s="182" t="str">
        <f>+IF(S997&gt;=0,ABS(S997),"")</f>
        <v/>
      </c>
      <c r="U997" s="307">
        <f>+IF(S997&lt;=0,ABS(S997),"")</f>
        <v>51.713795595419832</v>
      </c>
      <c r="V997" s="304"/>
    </row>
    <row r="998" spans="1:22" ht="15.75" customHeight="1" x14ac:dyDescent="0.3">
      <c r="A998" s="192" t="s">
        <v>9</v>
      </c>
      <c r="B998" s="189">
        <f>+B971/($C$10*24)</f>
        <v>160.75595238095238</v>
      </c>
      <c r="C998" s="182">
        <f t="shared" ref="C998:N998" si="301">+C971/($C$10*24)</f>
        <v>0</v>
      </c>
      <c r="D998" s="182">
        <f t="shared" si="301"/>
        <v>6.822916666666667</v>
      </c>
      <c r="E998" s="182">
        <f t="shared" si="301"/>
        <v>160.75595238095238</v>
      </c>
      <c r="F998" s="307">
        <f t="shared" si="301"/>
        <v>167.57886904761904</v>
      </c>
      <c r="G998" s="182">
        <f t="shared" si="301"/>
        <v>1.8040539885886528</v>
      </c>
      <c r="H998" s="182">
        <f t="shared" si="301"/>
        <v>11.773809523809524</v>
      </c>
      <c r="I998" s="182">
        <f t="shared" si="301"/>
        <v>0</v>
      </c>
      <c r="J998" s="182">
        <f t="shared" si="301"/>
        <v>11.773809523809524</v>
      </c>
      <c r="K998" s="182">
        <f t="shared" si="301"/>
        <v>0</v>
      </c>
      <c r="L998" s="182">
        <f t="shared" si="301"/>
        <v>0</v>
      </c>
      <c r="M998" s="237">
        <f t="shared" si="301"/>
        <v>154.00100553522086</v>
      </c>
      <c r="N998" s="227">
        <f t="shared" si="301"/>
        <v>0</v>
      </c>
      <c r="O998" s="227">
        <f t="shared" ref="O998:O1008" si="302">+O971/($B$10*24)</f>
        <v>139.09768241890916</v>
      </c>
      <c r="P998" s="254">
        <f t="shared" ref="P998:P1008" si="303">P971</f>
        <v>0.35</v>
      </c>
      <c r="Q998" s="227">
        <f t="shared" ref="Q998:Q1008" si="304">-O998*P998</f>
        <v>-48.684188846618206</v>
      </c>
      <c r="R998" s="310">
        <f t="shared" ref="R998:R1008" si="305">O998+Q998</f>
        <v>90.413493572290946</v>
      </c>
      <c r="S998" s="255">
        <f>+S971/($C$10*24)</f>
        <v>-82.341256369541043</v>
      </c>
      <c r="T998" s="182" t="str">
        <f t="shared" ref="T998:T1008" si="306">+IF(S998&gt;=0,ABS(S998),"")</f>
        <v/>
      </c>
      <c r="U998" s="307">
        <f t="shared" ref="U998:U1008" si="307">+IF(S998&lt;=0,ABS(S998),"")</f>
        <v>82.341256369541043</v>
      </c>
      <c r="V998" s="304"/>
    </row>
    <row r="999" spans="1:22" ht="15.75" customHeight="1" x14ac:dyDescent="0.3">
      <c r="A999" s="192" t="s">
        <v>10</v>
      </c>
      <c r="B999" s="189">
        <f>+B972/($D$10*24)</f>
        <v>317.63844086021504</v>
      </c>
      <c r="C999" s="182">
        <f t="shared" ref="C999:N999" si="308">+C972/($D$10*24)</f>
        <v>0</v>
      </c>
      <c r="D999" s="182">
        <f t="shared" si="308"/>
        <v>13.748655913978494</v>
      </c>
      <c r="E999" s="182">
        <f t="shared" si="308"/>
        <v>317.63844086021504</v>
      </c>
      <c r="F999" s="307">
        <f t="shared" si="308"/>
        <v>331.38709677419354</v>
      </c>
      <c r="G999" s="182">
        <f t="shared" si="308"/>
        <v>4.4155504776721671E-2</v>
      </c>
      <c r="H999" s="182">
        <f t="shared" si="308"/>
        <v>20.922043010752688</v>
      </c>
      <c r="I999" s="182">
        <f t="shared" si="308"/>
        <v>0</v>
      </c>
      <c r="J999" s="182">
        <f t="shared" si="308"/>
        <v>20.922043010752688</v>
      </c>
      <c r="K999" s="182">
        <f t="shared" si="308"/>
        <v>0</v>
      </c>
      <c r="L999" s="182">
        <f t="shared" si="308"/>
        <v>0</v>
      </c>
      <c r="M999" s="237">
        <f t="shared" si="308"/>
        <v>310.42089825866412</v>
      </c>
      <c r="N999" s="227">
        <f t="shared" si="308"/>
        <v>0</v>
      </c>
      <c r="O999" s="227">
        <f t="shared" si="302"/>
        <v>310.42089825866412</v>
      </c>
      <c r="P999" s="254">
        <f t="shared" si="303"/>
        <v>0.33</v>
      </c>
      <c r="Q999" s="227">
        <f t="shared" si="304"/>
        <v>-102.43889642535916</v>
      </c>
      <c r="R999" s="310">
        <f t="shared" si="305"/>
        <v>207.98200183330496</v>
      </c>
      <c r="S999" s="255">
        <f>+S972/($D$10*24)</f>
        <v>-122.04012324671223</v>
      </c>
      <c r="T999" s="182" t="str">
        <f t="shared" si="306"/>
        <v/>
      </c>
      <c r="U999" s="307">
        <f t="shared" si="307"/>
        <v>122.04012324671223</v>
      </c>
      <c r="V999" s="304"/>
    </row>
    <row r="1000" spans="1:22" ht="15.75" customHeight="1" x14ac:dyDescent="0.3">
      <c r="A1000" s="192" t="s">
        <v>12</v>
      </c>
      <c r="B1000" s="189">
        <f>+B973/($F$10*24)</f>
        <v>378.08055555555558</v>
      </c>
      <c r="C1000" s="182">
        <f t="shared" ref="C1000:N1000" si="309">+C973/($F$10*24)</f>
        <v>0</v>
      </c>
      <c r="D1000" s="182">
        <f t="shared" si="309"/>
        <v>16.615277777777777</v>
      </c>
      <c r="E1000" s="182">
        <f t="shared" si="309"/>
        <v>378.08055555555558</v>
      </c>
      <c r="F1000" s="307">
        <f t="shared" si="309"/>
        <v>394.69583333333333</v>
      </c>
      <c r="G1000" s="182">
        <f t="shared" si="309"/>
        <v>1.3151325652218015E-3</v>
      </c>
      <c r="H1000" s="182">
        <f t="shared" si="309"/>
        <v>21.573611111111113</v>
      </c>
      <c r="I1000" s="182">
        <f t="shared" si="309"/>
        <v>0</v>
      </c>
      <c r="J1000" s="182">
        <f t="shared" si="309"/>
        <v>21.573611111111113</v>
      </c>
      <c r="K1000" s="182">
        <f t="shared" si="309"/>
        <v>0</v>
      </c>
      <c r="L1000" s="182">
        <f t="shared" si="309"/>
        <v>0</v>
      </c>
      <c r="M1000" s="237">
        <f t="shared" si="309"/>
        <v>373.12090708965695</v>
      </c>
      <c r="N1000" s="227">
        <f t="shared" si="309"/>
        <v>0</v>
      </c>
      <c r="O1000" s="227">
        <f t="shared" si="302"/>
        <v>361.08474879644223</v>
      </c>
      <c r="P1000" s="254">
        <f t="shared" si="303"/>
        <v>0.3</v>
      </c>
      <c r="Q1000" s="227">
        <f t="shared" si="304"/>
        <v>-108.32542463893266</v>
      </c>
      <c r="R1000" s="310">
        <f t="shared" si="305"/>
        <v>252.75932415750958</v>
      </c>
      <c r="S1000" s="255">
        <f>+S973/($F$10*24)</f>
        <v>-56.445759577009689</v>
      </c>
      <c r="T1000" s="182" t="str">
        <f t="shared" si="306"/>
        <v/>
      </c>
      <c r="U1000" s="307">
        <f t="shared" si="307"/>
        <v>56.445759577009689</v>
      </c>
      <c r="V1000" s="304"/>
    </row>
    <row r="1001" spans="1:22" ht="15.75" customHeight="1" x14ac:dyDescent="0.3">
      <c r="A1001" s="192" t="s">
        <v>13</v>
      </c>
      <c r="B1001" s="189">
        <f>+B974/($G$10*24)</f>
        <v>398.53494623655916</v>
      </c>
      <c r="C1001" s="182">
        <f t="shared" ref="C1001:N1001" si="310">+C974/($G$10*24)</f>
        <v>0</v>
      </c>
      <c r="D1001" s="182">
        <f t="shared" si="310"/>
        <v>17.436827956989248</v>
      </c>
      <c r="E1001" s="182">
        <f t="shared" si="310"/>
        <v>398.53494623655916</v>
      </c>
      <c r="F1001" s="307">
        <f t="shared" si="310"/>
        <v>415.97177419354841</v>
      </c>
      <c r="G1001" s="182">
        <f t="shared" si="310"/>
        <v>0.30943546361345459</v>
      </c>
      <c r="H1001" s="182">
        <f t="shared" si="310"/>
        <v>19.061827956989248</v>
      </c>
      <c r="I1001" s="182">
        <f t="shared" si="310"/>
        <v>0</v>
      </c>
      <c r="J1001" s="182">
        <f t="shared" si="310"/>
        <v>19.061827956989248</v>
      </c>
      <c r="K1001" s="182">
        <f t="shared" si="310"/>
        <v>0</v>
      </c>
      <c r="L1001" s="182">
        <f t="shared" si="310"/>
        <v>0</v>
      </c>
      <c r="M1001" s="237">
        <f t="shared" si="310"/>
        <v>396.60051077294565</v>
      </c>
      <c r="N1001" s="227">
        <f t="shared" si="310"/>
        <v>0</v>
      </c>
      <c r="O1001" s="227">
        <f t="shared" si="302"/>
        <v>396.60051077294565</v>
      </c>
      <c r="P1001" s="254">
        <f t="shared" si="303"/>
        <v>0.09</v>
      </c>
      <c r="Q1001" s="227">
        <f t="shared" si="304"/>
        <v>-35.69404596956511</v>
      </c>
      <c r="R1001" s="310">
        <f t="shared" si="305"/>
        <v>360.90646480338057</v>
      </c>
      <c r="S1001" s="255">
        <f>+S974/($G$10*24)</f>
        <v>-31.486854818452201</v>
      </c>
      <c r="T1001" s="182" t="str">
        <f t="shared" si="306"/>
        <v/>
      </c>
      <c r="U1001" s="307">
        <f t="shared" si="307"/>
        <v>31.486854818452201</v>
      </c>
      <c r="V1001" s="304"/>
    </row>
    <row r="1002" spans="1:22" ht="15.75" customHeight="1" x14ac:dyDescent="0.3">
      <c r="A1002" s="192" t="s">
        <v>14</v>
      </c>
      <c r="B1002" s="189">
        <f>+B975/($H$10*24)</f>
        <v>232.44722222222222</v>
      </c>
      <c r="C1002" s="182">
        <f t="shared" ref="C1002:N1002" si="311">+C975/($H$10*24)</f>
        <v>0</v>
      </c>
      <c r="D1002" s="182">
        <f t="shared" si="311"/>
        <v>9.719444444444445</v>
      </c>
      <c r="E1002" s="182">
        <f t="shared" si="311"/>
        <v>232.44722222222222</v>
      </c>
      <c r="F1002" s="307">
        <f t="shared" si="311"/>
        <v>242.16666666666666</v>
      </c>
      <c r="G1002" s="182">
        <f t="shared" si="311"/>
        <v>22.077255714644576</v>
      </c>
      <c r="H1002" s="182">
        <f t="shared" si="311"/>
        <v>18.2</v>
      </c>
      <c r="I1002" s="182">
        <f t="shared" si="311"/>
        <v>0</v>
      </c>
      <c r="J1002" s="182">
        <f t="shared" si="311"/>
        <v>18.2</v>
      </c>
      <c r="K1002" s="182">
        <f t="shared" si="311"/>
        <v>0</v>
      </c>
      <c r="L1002" s="182">
        <f t="shared" si="311"/>
        <v>0</v>
      </c>
      <c r="M1002" s="237">
        <f t="shared" si="311"/>
        <v>201.88941095202208</v>
      </c>
      <c r="N1002" s="227">
        <f t="shared" si="311"/>
        <v>33</v>
      </c>
      <c r="O1002" s="227">
        <f t="shared" si="302"/>
        <v>227.3123331793762</v>
      </c>
      <c r="P1002" s="254">
        <f t="shared" si="303"/>
        <v>7.0000000000000007E-2</v>
      </c>
      <c r="Q1002" s="227">
        <f t="shared" si="304"/>
        <v>-15.911863322556336</v>
      </c>
      <c r="R1002" s="310">
        <f t="shared" si="305"/>
        <v>211.40046985681985</v>
      </c>
      <c r="S1002" s="255">
        <f>+S975/($H$10*24)</f>
        <v>-69.084200159089036</v>
      </c>
      <c r="T1002" s="182" t="str">
        <f t="shared" si="306"/>
        <v/>
      </c>
      <c r="U1002" s="307">
        <f t="shared" si="307"/>
        <v>69.084200159089036</v>
      </c>
      <c r="V1002" s="304"/>
    </row>
    <row r="1003" spans="1:22" ht="15.75" customHeight="1" x14ac:dyDescent="0.3">
      <c r="A1003" s="192" t="s">
        <v>16</v>
      </c>
      <c r="B1003" s="189">
        <f>+B976/($J$10*24)</f>
        <v>206.7271505376344</v>
      </c>
      <c r="C1003" s="182">
        <f t="shared" ref="C1003:N1003" si="312">+C976/($J$10*24)</f>
        <v>0</v>
      </c>
      <c r="D1003" s="182">
        <f t="shared" si="312"/>
        <v>8.6223118279569899</v>
      </c>
      <c r="E1003" s="182">
        <f t="shared" si="312"/>
        <v>206.7271505376344</v>
      </c>
      <c r="F1003" s="307">
        <f t="shared" si="312"/>
        <v>215.34946236559139</v>
      </c>
      <c r="G1003" s="182">
        <f t="shared" si="312"/>
        <v>16.312897380082664</v>
      </c>
      <c r="H1003" s="182">
        <f t="shared" si="312"/>
        <v>17.716397849462364</v>
      </c>
      <c r="I1003" s="182">
        <f t="shared" si="312"/>
        <v>0</v>
      </c>
      <c r="J1003" s="182">
        <f t="shared" si="312"/>
        <v>17.716397849462364</v>
      </c>
      <c r="K1003" s="182">
        <f t="shared" si="312"/>
        <v>0</v>
      </c>
      <c r="L1003" s="182">
        <f t="shared" si="312"/>
        <v>0</v>
      </c>
      <c r="M1003" s="237">
        <f t="shared" si="312"/>
        <v>181.32016713604636</v>
      </c>
      <c r="N1003" s="227">
        <f t="shared" si="312"/>
        <v>65.666666666666671</v>
      </c>
      <c r="O1003" s="227">
        <f t="shared" si="302"/>
        <v>246.98683380271302</v>
      </c>
      <c r="P1003" s="254">
        <f t="shared" si="303"/>
        <v>7.4999999999999997E-2</v>
      </c>
      <c r="Q1003" s="227">
        <f t="shared" si="304"/>
        <v>-18.524012535203475</v>
      </c>
      <c r="R1003" s="310">
        <f t="shared" si="305"/>
        <v>228.46282126750955</v>
      </c>
      <c r="S1003" s="255">
        <f>+S976/($J$10*24)</f>
        <v>-95.378757595136435</v>
      </c>
      <c r="T1003" s="182" t="str">
        <f t="shared" si="306"/>
        <v/>
      </c>
      <c r="U1003" s="307">
        <f t="shared" si="307"/>
        <v>95.378757595136435</v>
      </c>
      <c r="V1003" s="304"/>
    </row>
    <row r="1004" spans="1:22" ht="15.75" customHeight="1" x14ac:dyDescent="0.3">
      <c r="A1004" s="192" t="s">
        <v>17</v>
      </c>
      <c r="B1004" s="189">
        <f>+B977/($K$10*24)</f>
        <v>200.02150537634409</v>
      </c>
      <c r="C1004" s="182">
        <f t="shared" ref="C1004:N1004" si="313">+C977/($K$10*24)</f>
        <v>0</v>
      </c>
      <c r="D1004" s="182">
        <f t="shared" si="313"/>
        <v>8.3172043010752681</v>
      </c>
      <c r="E1004" s="182">
        <f t="shared" si="313"/>
        <v>200.02150537634409</v>
      </c>
      <c r="F1004" s="307">
        <f t="shared" si="313"/>
        <v>208.33870967741936</v>
      </c>
      <c r="G1004" s="182">
        <f t="shared" si="313"/>
        <v>13.366155316767534</v>
      </c>
      <c r="H1004" s="182">
        <f t="shared" si="313"/>
        <v>13.849462365591398</v>
      </c>
      <c r="I1004" s="182">
        <f t="shared" si="313"/>
        <v>0</v>
      </c>
      <c r="J1004" s="182">
        <f t="shared" si="313"/>
        <v>13.849462365591398</v>
      </c>
      <c r="K1004" s="182">
        <f t="shared" si="313"/>
        <v>0</v>
      </c>
      <c r="L1004" s="182">
        <f t="shared" si="313"/>
        <v>0</v>
      </c>
      <c r="M1004" s="237">
        <f t="shared" si="313"/>
        <v>181.12309199506043</v>
      </c>
      <c r="N1004" s="227">
        <f t="shared" si="313"/>
        <v>66.666666666666671</v>
      </c>
      <c r="O1004" s="227">
        <f t="shared" si="302"/>
        <v>247.78975866172709</v>
      </c>
      <c r="P1004" s="254">
        <f t="shared" si="303"/>
        <v>7.4999999999999997E-2</v>
      </c>
      <c r="Q1004" s="227">
        <f t="shared" si="304"/>
        <v>-18.584231899629533</v>
      </c>
      <c r="R1004" s="310">
        <f t="shared" si="305"/>
        <v>229.20552676209755</v>
      </c>
      <c r="S1004" s="255">
        <f>+S977/($K$10*24)</f>
        <v>-89.117499402789022</v>
      </c>
      <c r="T1004" s="182" t="str">
        <f t="shared" si="306"/>
        <v/>
      </c>
      <c r="U1004" s="307">
        <f t="shared" si="307"/>
        <v>89.117499402789022</v>
      </c>
      <c r="V1004" s="304"/>
    </row>
    <row r="1005" spans="1:22" ht="15.75" customHeight="1" x14ac:dyDescent="0.3">
      <c r="A1005" s="192" t="s">
        <v>18</v>
      </c>
      <c r="B1005" s="189">
        <f>+B978/($L$10*24)</f>
        <v>318.07638888888891</v>
      </c>
      <c r="C1005" s="182">
        <f t="shared" ref="C1005:N1005" si="314">+C978/($L$10*24)</f>
        <v>0</v>
      </c>
      <c r="D1005" s="182">
        <f t="shared" si="314"/>
        <v>13.911111111111111</v>
      </c>
      <c r="E1005" s="182">
        <f t="shared" si="314"/>
        <v>318.07638888888891</v>
      </c>
      <c r="F1005" s="307">
        <f t="shared" si="314"/>
        <v>331.98750000000001</v>
      </c>
      <c r="G1005" s="182">
        <f t="shared" si="314"/>
        <v>1.9748487817131368</v>
      </c>
      <c r="H1005" s="182">
        <f t="shared" si="314"/>
        <v>12.45</v>
      </c>
      <c r="I1005" s="182">
        <f t="shared" si="314"/>
        <v>0</v>
      </c>
      <c r="J1005" s="182">
        <f t="shared" si="314"/>
        <v>12.45</v>
      </c>
      <c r="K1005" s="182">
        <f t="shared" si="314"/>
        <v>0</v>
      </c>
      <c r="L1005" s="182">
        <f t="shared" si="314"/>
        <v>0</v>
      </c>
      <c r="M1005" s="237">
        <f t="shared" si="314"/>
        <v>317.56265121828687</v>
      </c>
      <c r="N1005" s="227">
        <f t="shared" si="314"/>
        <v>0</v>
      </c>
      <c r="O1005" s="227">
        <f t="shared" si="302"/>
        <v>307.31869472737441</v>
      </c>
      <c r="P1005" s="254">
        <f t="shared" si="303"/>
        <v>7.4999999999999997E-2</v>
      </c>
      <c r="Q1005" s="227">
        <f t="shared" si="304"/>
        <v>-23.048902104553079</v>
      </c>
      <c r="R1005" s="310">
        <f t="shared" si="305"/>
        <v>284.26979262282134</v>
      </c>
      <c r="S1005" s="255">
        <f>+S978/($L$10*24)</f>
        <v>-22.280404337268678</v>
      </c>
      <c r="T1005" s="182" t="str">
        <f t="shared" si="306"/>
        <v/>
      </c>
      <c r="U1005" s="307">
        <f t="shared" si="307"/>
        <v>22.280404337268678</v>
      </c>
      <c r="V1005" s="304"/>
    </row>
    <row r="1006" spans="1:22" ht="15.75" customHeight="1" x14ac:dyDescent="0.3">
      <c r="A1006" s="192" t="s">
        <v>20</v>
      </c>
      <c r="B1006" s="189">
        <f>+B979/($N$10*24)</f>
        <v>282.61021505376345</v>
      </c>
      <c r="C1006" s="182">
        <f t="shared" ref="C1006:N1006" si="315">+C979/($N$10*24)</f>
        <v>0</v>
      </c>
      <c r="D1006" s="182">
        <f t="shared" si="315"/>
        <v>12.353494623655914</v>
      </c>
      <c r="E1006" s="182">
        <f t="shared" si="315"/>
        <v>282.61021505376345</v>
      </c>
      <c r="F1006" s="307">
        <f t="shared" si="315"/>
        <v>294.96370967741933</v>
      </c>
      <c r="G1006" s="182">
        <f t="shared" si="315"/>
        <v>0</v>
      </c>
      <c r="H1006" s="182">
        <f t="shared" si="315"/>
        <v>10.565860215053764</v>
      </c>
      <c r="I1006" s="182">
        <f t="shared" si="315"/>
        <v>0</v>
      </c>
      <c r="J1006" s="182">
        <f t="shared" si="315"/>
        <v>10.565860215053764</v>
      </c>
      <c r="K1006" s="182">
        <f t="shared" si="315"/>
        <v>0</v>
      </c>
      <c r="L1006" s="182">
        <f t="shared" si="315"/>
        <v>0</v>
      </c>
      <c r="M1006" s="237">
        <f t="shared" si="315"/>
        <v>284.39784946236557</v>
      </c>
      <c r="N1006" s="227">
        <f t="shared" si="315"/>
        <v>0</v>
      </c>
      <c r="O1006" s="227">
        <f t="shared" si="302"/>
        <v>284.39784946236557</v>
      </c>
      <c r="P1006" s="254">
        <f t="shared" si="303"/>
        <v>0.3</v>
      </c>
      <c r="Q1006" s="227">
        <f t="shared" si="304"/>
        <v>-85.319354838709671</v>
      </c>
      <c r="R1006" s="310">
        <f t="shared" si="305"/>
        <v>199.0784946236559</v>
      </c>
      <c r="S1006" s="255">
        <f>+S979/($N$10*24)</f>
        <v>6.165322580645161</v>
      </c>
      <c r="T1006" s="182">
        <f t="shared" si="306"/>
        <v>6.165322580645161</v>
      </c>
      <c r="U1006" s="307" t="str">
        <f t="shared" si="307"/>
        <v/>
      </c>
      <c r="V1006" s="304"/>
    </row>
    <row r="1007" spans="1:22" ht="15.75" customHeight="1" x14ac:dyDescent="0.3">
      <c r="A1007" s="192" t="s">
        <v>21</v>
      </c>
      <c r="B1007" s="189">
        <f>+B980/($O$10*24)</f>
        <v>277.61250000000001</v>
      </c>
      <c r="C1007" s="182">
        <f t="shared" ref="C1007:N1007" si="316">+C980/($O$10*24)</f>
        <v>0</v>
      </c>
      <c r="D1007" s="182">
        <f t="shared" si="316"/>
        <v>12.065277777777778</v>
      </c>
      <c r="E1007" s="182">
        <f t="shared" si="316"/>
        <v>277.61250000000001</v>
      </c>
      <c r="F1007" s="307">
        <f t="shared" si="316"/>
        <v>289.67777777777781</v>
      </c>
      <c r="G1007" s="182">
        <f t="shared" si="316"/>
        <v>0</v>
      </c>
      <c r="H1007" s="182">
        <f t="shared" si="316"/>
        <v>15.565277777777778</v>
      </c>
      <c r="I1007" s="182">
        <f t="shared" si="316"/>
        <v>0</v>
      </c>
      <c r="J1007" s="182">
        <f t="shared" si="316"/>
        <v>15.565277777777778</v>
      </c>
      <c r="K1007" s="182">
        <f t="shared" si="316"/>
        <v>0</v>
      </c>
      <c r="L1007" s="182">
        <f t="shared" si="316"/>
        <v>0</v>
      </c>
      <c r="M1007" s="237">
        <f t="shared" si="316"/>
        <v>274.11250000000001</v>
      </c>
      <c r="N1007" s="227">
        <f t="shared" si="316"/>
        <v>0</v>
      </c>
      <c r="O1007" s="227">
        <f t="shared" si="302"/>
        <v>265.27016129032256</v>
      </c>
      <c r="P1007" s="254">
        <f t="shared" si="303"/>
        <v>0.3</v>
      </c>
      <c r="Q1007" s="227">
        <f t="shared" si="304"/>
        <v>-79.581048387096772</v>
      </c>
      <c r="R1007" s="310">
        <f t="shared" si="305"/>
        <v>185.6891129032258</v>
      </c>
      <c r="S1007" s="255">
        <f>+S980/($O$10*24)</f>
        <v>-9.1194444444444436</v>
      </c>
      <c r="T1007" s="182" t="str">
        <f t="shared" si="306"/>
        <v/>
      </c>
      <c r="U1007" s="307">
        <f t="shared" si="307"/>
        <v>9.1194444444444436</v>
      </c>
      <c r="V1007" s="304"/>
    </row>
    <row r="1008" spans="1:22" ht="15.75" customHeight="1" thickBot="1" x14ac:dyDescent="0.35">
      <c r="A1008" s="192" t="s">
        <v>22</v>
      </c>
      <c r="B1008" s="204">
        <f>+B981/($P$10*24)</f>
        <v>312.63575268817203</v>
      </c>
      <c r="C1008" s="205">
        <f t="shared" ref="C1008:N1008" si="317">+C981/($P$10*24)</f>
        <v>0</v>
      </c>
      <c r="D1008" s="205">
        <f t="shared" si="317"/>
        <v>13.408602150537634</v>
      </c>
      <c r="E1008" s="205">
        <f t="shared" si="317"/>
        <v>312.63575268817203</v>
      </c>
      <c r="F1008" s="245">
        <f t="shared" si="317"/>
        <v>326.04435483870969</v>
      </c>
      <c r="G1008" s="205">
        <f t="shared" si="317"/>
        <v>1.318332854172692E-2</v>
      </c>
      <c r="H1008" s="205">
        <f t="shared" si="317"/>
        <v>9.84005376344086</v>
      </c>
      <c r="I1008" s="205">
        <f t="shared" si="317"/>
        <v>0</v>
      </c>
      <c r="J1008" s="205">
        <f t="shared" si="317"/>
        <v>9.84005376344086</v>
      </c>
      <c r="K1008" s="205">
        <f t="shared" si="317"/>
        <v>0</v>
      </c>
      <c r="L1008" s="205">
        <f t="shared" si="317"/>
        <v>0</v>
      </c>
      <c r="M1008" s="246">
        <f t="shared" si="317"/>
        <v>316.19111774672706</v>
      </c>
      <c r="N1008" s="247">
        <f t="shared" si="317"/>
        <v>0</v>
      </c>
      <c r="O1008" s="248">
        <f t="shared" si="302"/>
        <v>316.19111774672706</v>
      </c>
      <c r="P1008" s="249">
        <f t="shared" si="303"/>
        <v>0.3</v>
      </c>
      <c r="Q1008" s="247">
        <f t="shared" si="304"/>
        <v>-94.857335324018109</v>
      </c>
      <c r="R1008" s="248">
        <f t="shared" si="305"/>
        <v>221.33378242270896</v>
      </c>
      <c r="S1008" s="256">
        <f>+S981/($P$10*24)</f>
        <v>32.684397316619552</v>
      </c>
      <c r="T1008" s="205">
        <f t="shared" si="306"/>
        <v>32.684397316619552</v>
      </c>
      <c r="U1008" s="245" t="str">
        <f t="shared" si="307"/>
        <v/>
      </c>
      <c r="V1008" s="304"/>
    </row>
    <row r="1009" spans="1:50" ht="15.75" customHeight="1" x14ac:dyDescent="0.3">
      <c r="A1009" s="257"/>
      <c r="V1009" s="304"/>
    </row>
    <row r="1010" spans="1:50" ht="16.5" customHeight="1" thickBot="1" x14ac:dyDescent="0.35">
      <c r="A1010" s="258"/>
      <c r="B1010" s="135"/>
      <c r="C1010" s="135"/>
      <c r="D1010" s="135"/>
      <c r="E1010" s="135"/>
      <c r="F1010" s="135"/>
      <c r="G1010" s="135"/>
      <c r="H1010" s="135"/>
      <c r="I1010" s="135"/>
      <c r="J1010" s="135"/>
      <c r="K1010" s="135"/>
      <c r="L1010" s="135"/>
      <c r="M1010" s="135"/>
      <c r="N1010" s="135"/>
      <c r="O1010" s="135"/>
      <c r="P1010" s="135"/>
      <c r="Q1010" s="135"/>
      <c r="R1010" s="135"/>
      <c r="S1010" s="135"/>
      <c r="T1010" s="135"/>
      <c r="U1010" s="135"/>
      <c r="V1010" s="136"/>
    </row>
    <row r="1011" spans="1:50" ht="15.75" customHeight="1" x14ac:dyDescent="0.3">
      <c r="A1011" s="259"/>
      <c r="B1011" s="180"/>
      <c r="C1011" s="180"/>
      <c r="D1011" s="180"/>
      <c r="E1011" s="180"/>
      <c r="F1011" s="180"/>
      <c r="G1011" s="180"/>
      <c r="H1011" s="180"/>
      <c r="I1011" s="180"/>
      <c r="J1011" s="180"/>
      <c r="K1011" s="180"/>
      <c r="L1011" s="180"/>
      <c r="M1011" s="180"/>
      <c r="N1011" s="180"/>
      <c r="O1011" s="180"/>
      <c r="P1011" s="180"/>
      <c r="Q1011" s="180"/>
      <c r="R1011" s="180"/>
    </row>
    <row r="1012" spans="1:50" ht="15.75" customHeight="1" x14ac:dyDescent="0.3">
      <c r="A1012" s="260"/>
    </row>
    <row r="1013" spans="1:50" ht="15.75" customHeight="1" thickBot="1" x14ac:dyDescent="0.35">
      <c r="A1013" s="260"/>
    </row>
    <row r="1014" spans="1:50" ht="15.75" customHeight="1" x14ac:dyDescent="0.3">
      <c r="A1014" s="364"/>
      <c r="B1014" s="423" t="s">
        <v>780</v>
      </c>
      <c r="C1014" s="423"/>
      <c r="D1014" s="423"/>
      <c r="E1014" s="423"/>
      <c r="F1014" s="423"/>
      <c r="G1014" s="423"/>
      <c r="H1014" s="423"/>
      <c r="I1014" s="423"/>
      <c r="J1014" s="423"/>
      <c r="K1014" s="423"/>
      <c r="L1014" s="423"/>
      <c r="M1014" s="423"/>
      <c r="N1014" s="423"/>
      <c r="O1014" s="423"/>
      <c r="P1014" s="423"/>
      <c r="Q1014" s="354" t="str">
        <f>+Q1</f>
        <v xml:space="preserve">PRINTED:  </v>
      </c>
      <c r="R1014" s="357">
        <f ca="1">+R1</f>
        <v>44894.658168402777</v>
      </c>
      <c r="S1014" s="358"/>
    </row>
    <row r="1015" spans="1:50" ht="15.75" customHeight="1" x14ac:dyDescent="0.3">
      <c r="A1015" s="262"/>
      <c r="B1015" s="394" t="str">
        <f>+A8</f>
        <v>Revised:  1/18/2018</v>
      </c>
      <c r="C1015" s="394"/>
      <c r="D1015" s="394"/>
      <c r="E1015" s="394"/>
      <c r="F1015" s="394"/>
      <c r="G1015" s="394"/>
      <c r="H1015" s="394"/>
      <c r="I1015" s="394"/>
      <c r="J1015" s="394"/>
      <c r="K1015" s="394"/>
      <c r="L1015" s="394"/>
      <c r="M1015" s="394"/>
      <c r="N1015" s="394"/>
      <c r="O1015" s="394"/>
      <c r="P1015" s="394"/>
      <c r="Q1015" s="180"/>
      <c r="R1015" s="180"/>
      <c r="S1015" s="304"/>
    </row>
    <row r="1016" spans="1:50" ht="16.5" customHeight="1" x14ac:dyDescent="0.3">
      <c r="A1016" s="262"/>
      <c r="B1016" s="394" t="s">
        <v>670</v>
      </c>
      <c r="C1016" s="394"/>
      <c r="D1016" s="394"/>
      <c r="E1016" s="394"/>
      <c r="F1016" s="394"/>
      <c r="G1016" s="394"/>
      <c r="H1016" s="394"/>
      <c r="I1016" s="394"/>
      <c r="J1016" s="394"/>
      <c r="K1016" s="394"/>
      <c r="L1016" s="394"/>
      <c r="M1016" s="394"/>
      <c r="N1016" s="394"/>
      <c r="O1016" s="394"/>
      <c r="P1016" s="394"/>
      <c r="Q1016" s="180"/>
      <c r="R1016" s="180"/>
      <c r="S1016" s="304"/>
    </row>
    <row r="1017" spans="1:50" ht="15.75" customHeight="1" x14ac:dyDescent="0.3">
      <c r="A1017" s="262"/>
      <c r="B1017" s="180"/>
      <c r="C1017" s="180"/>
      <c r="D1017" s="180"/>
      <c r="E1017" s="180"/>
      <c r="F1017" s="180"/>
      <c r="G1017" s="180"/>
      <c r="H1017" s="180"/>
      <c r="I1017" s="180"/>
      <c r="J1017" s="180"/>
      <c r="K1017" s="180"/>
      <c r="L1017" s="180"/>
      <c r="M1017" s="180"/>
      <c r="N1017" s="180"/>
      <c r="O1017" s="180"/>
      <c r="P1017" s="180"/>
      <c r="Q1017" s="180"/>
      <c r="R1017" s="180"/>
      <c r="S1017" s="304"/>
      <c r="AG1017" s="192"/>
    </row>
    <row r="1018" spans="1:50" ht="15.75" customHeight="1" x14ac:dyDescent="0.3">
      <c r="A1018" s="262"/>
      <c r="B1018" s="415">
        <f>+A5</f>
        <v>2017</v>
      </c>
      <c r="C1018" s="395"/>
      <c r="D1018" s="395"/>
      <c r="E1018" s="395"/>
      <c r="F1018" s="395"/>
      <c r="G1018" s="395"/>
      <c r="H1018" s="395"/>
      <c r="I1018" s="395"/>
      <c r="J1018" s="395"/>
      <c r="K1018" s="395"/>
      <c r="L1018" s="395"/>
      <c r="M1018" s="395"/>
      <c r="N1018" s="395"/>
      <c r="O1018" s="395"/>
      <c r="P1018" s="395"/>
      <c r="Q1018" s="180"/>
      <c r="R1018" s="180"/>
      <c r="S1018" s="304"/>
      <c r="AE1018" s="4" t="s">
        <v>781</v>
      </c>
      <c r="AF1018" s="4" t="s">
        <v>782</v>
      </c>
    </row>
    <row r="1019" spans="1:50" ht="15.75" customHeight="1" thickBot="1" x14ac:dyDescent="0.35">
      <c r="A1019" s="262"/>
      <c r="B1019" s="394" t="s">
        <v>708</v>
      </c>
      <c r="C1019" s="394"/>
      <c r="D1019" s="394"/>
      <c r="E1019" s="394"/>
      <c r="F1019" s="394"/>
      <c r="G1019" s="394"/>
      <c r="H1019" s="394"/>
      <c r="I1019" s="394"/>
      <c r="J1019" s="394"/>
      <c r="K1019" s="394"/>
      <c r="L1019" s="394"/>
      <c r="M1019" s="394"/>
      <c r="N1019" s="394"/>
      <c r="O1019" s="394"/>
      <c r="P1019" s="394"/>
      <c r="Q1019" s="180"/>
      <c r="R1019" s="180"/>
      <c r="S1019" s="304"/>
      <c r="V1019" s="4" t="s">
        <v>783</v>
      </c>
      <c r="AC1019" s="4" t="s">
        <v>784</v>
      </c>
      <c r="AD1019" s="263" t="s">
        <v>785</v>
      </c>
      <c r="AE1019" s="4">
        <f>DAY(DATE($A$5,MONTH(CONCATENATE(1,"-",AD1019,"-",$A$5))+1,1)-1)</f>
        <v>28</v>
      </c>
      <c r="AI1019" s="264"/>
      <c r="AJ1019" s="264"/>
    </row>
    <row r="1020" spans="1:50" ht="15.75" customHeight="1" x14ac:dyDescent="0.3">
      <c r="A1020" s="262"/>
      <c r="B1020" s="439" t="s">
        <v>786</v>
      </c>
      <c r="C1020" s="440"/>
      <c r="D1020" s="441"/>
      <c r="E1020" s="182"/>
      <c r="F1020" s="182"/>
      <c r="G1020" s="182"/>
      <c r="H1020" s="182"/>
      <c r="I1020" s="182"/>
      <c r="J1020" s="182"/>
      <c r="K1020" s="182"/>
      <c r="L1020" s="182"/>
      <c r="M1020" s="182"/>
      <c r="N1020" s="182"/>
      <c r="O1020" s="182"/>
      <c r="P1020" s="182"/>
      <c r="Q1020" s="180"/>
      <c r="R1020" s="180"/>
      <c r="S1020" s="265"/>
      <c r="T1020" s="444" t="s">
        <v>787</v>
      </c>
      <c r="U1020" s="445"/>
      <c r="V1020" s="445" t="s">
        <v>788</v>
      </c>
      <c r="W1020" s="445"/>
      <c r="X1020" s="266" t="s">
        <v>640</v>
      </c>
      <c r="Y1020" s="266" t="s">
        <v>789</v>
      </c>
      <c r="Z1020" s="266" t="s">
        <v>790</v>
      </c>
    </row>
    <row r="1021" spans="1:50" ht="15.75" customHeight="1" thickBot="1" x14ac:dyDescent="0.35">
      <c r="A1021" s="191" t="s">
        <v>768</v>
      </c>
      <c r="B1021" s="267" t="s">
        <v>791</v>
      </c>
      <c r="C1021" s="268" t="s">
        <v>792</v>
      </c>
      <c r="D1021" s="269" t="s">
        <v>793</v>
      </c>
      <c r="E1021" s="268" t="s">
        <v>678</v>
      </c>
      <c r="F1021" s="268" t="s">
        <v>679</v>
      </c>
      <c r="G1021" s="268" t="s">
        <v>680</v>
      </c>
      <c r="H1021" s="268" t="s">
        <v>794</v>
      </c>
      <c r="I1021" s="268" t="s">
        <v>795</v>
      </c>
      <c r="J1021" s="268" t="s">
        <v>681</v>
      </c>
      <c r="K1021" s="268" t="s">
        <v>682</v>
      </c>
      <c r="L1021" s="268" t="s">
        <v>683</v>
      </c>
      <c r="M1021" s="268" t="s">
        <v>684</v>
      </c>
      <c r="N1021" s="268" t="s">
        <v>685</v>
      </c>
      <c r="O1021" s="268" t="s">
        <v>686</v>
      </c>
      <c r="P1021" s="268" t="s">
        <v>687</v>
      </c>
      <c r="Q1021" s="268" t="s">
        <v>688</v>
      </c>
      <c r="R1021" s="268" t="s">
        <v>689</v>
      </c>
      <c r="S1021" s="269" t="s">
        <v>638</v>
      </c>
      <c r="T1021" s="268" t="s">
        <v>796</v>
      </c>
      <c r="U1021" s="268" t="s">
        <v>792</v>
      </c>
      <c r="V1021" s="268" t="s">
        <v>797</v>
      </c>
      <c r="W1021" s="268" t="s">
        <v>792</v>
      </c>
      <c r="X1021" s="268" t="s">
        <v>127</v>
      </c>
      <c r="Y1021" s="268" t="s">
        <v>798</v>
      </c>
      <c r="Z1021" s="268" t="s">
        <v>799</v>
      </c>
      <c r="AD1021" s="191" t="s">
        <v>677</v>
      </c>
      <c r="AE1021" s="191" t="s">
        <v>678</v>
      </c>
      <c r="AF1021" s="191" t="s">
        <v>679</v>
      </c>
      <c r="AG1021" s="191" t="s">
        <v>680</v>
      </c>
      <c r="AH1021" s="191" t="s">
        <v>644</v>
      </c>
      <c r="AI1021" s="191" t="s">
        <v>681</v>
      </c>
      <c r="AJ1021" s="191" t="s">
        <v>682</v>
      </c>
      <c r="AK1021" s="191" t="s">
        <v>683</v>
      </c>
      <c r="AL1021" s="191" t="s">
        <v>684</v>
      </c>
      <c r="AM1021" s="191" t="s">
        <v>685</v>
      </c>
      <c r="AN1021" s="191" t="s">
        <v>686</v>
      </c>
      <c r="AO1021" s="191" t="s">
        <v>687</v>
      </c>
      <c r="AP1021" s="191" t="s">
        <v>688</v>
      </c>
      <c r="AQ1021" s="191" t="s">
        <v>689</v>
      </c>
      <c r="AR1021" s="191" t="s">
        <v>638</v>
      </c>
      <c r="AS1021" s="191" t="s">
        <v>641</v>
      </c>
      <c r="AT1021" s="191" t="s">
        <v>800</v>
      </c>
      <c r="AU1021" s="191" t="s">
        <v>641</v>
      </c>
      <c r="AW1021" s="270" t="s">
        <v>801</v>
      </c>
      <c r="AX1021" s="270" t="s">
        <v>802</v>
      </c>
    </row>
    <row r="1022" spans="1:50" ht="15.75" customHeight="1" x14ac:dyDescent="0.3">
      <c r="A1022" s="211" t="s">
        <v>8</v>
      </c>
      <c r="B1022" s="211">
        <f>+F1049</f>
        <v>196</v>
      </c>
      <c r="C1022" s="192">
        <f t="shared" ref="B1022:C1033" si="318">+G1049</f>
        <v>0</v>
      </c>
      <c r="D1022" s="312" t="s">
        <v>803</v>
      </c>
      <c r="E1022" s="192">
        <f>+C942/$B$10/24</f>
        <v>20.405913978494624</v>
      </c>
      <c r="F1022" s="192">
        <f t="shared" ref="F1022:S1022" si="319">+D942/$B$10/24</f>
        <v>21.393817204301076</v>
      </c>
      <c r="G1022" s="192">
        <f t="shared" si="319"/>
        <v>36.54435483870968</v>
      </c>
      <c r="H1022" s="192">
        <f t="shared" si="319"/>
        <v>23.755940895817734</v>
      </c>
      <c r="I1022" s="192">
        <f t="shared" si="319"/>
        <v>-0.72992462767791</v>
      </c>
      <c r="J1022" s="192">
        <f t="shared" si="319"/>
        <v>3.306451612903226</v>
      </c>
      <c r="K1022" s="192">
        <f t="shared" si="319"/>
        <v>3.2836021505376345</v>
      </c>
      <c r="L1022" s="192">
        <f t="shared" si="319"/>
        <v>5.127688172043011</v>
      </c>
      <c r="M1022" s="192">
        <f t="shared" si="319"/>
        <v>5.286290322580645</v>
      </c>
      <c r="N1022" s="192">
        <f t="shared" si="319"/>
        <v>1.9435483870967742</v>
      </c>
      <c r="O1022" s="192">
        <f t="shared" si="319"/>
        <v>2.2903225806451615</v>
      </c>
      <c r="P1022" s="192">
        <f t="shared" si="319"/>
        <v>4.748655913978495</v>
      </c>
      <c r="Q1022" s="192">
        <f t="shared" si="319"/>
        <v>0.88306451612903236</v>
      </c>
      <c r="R1022" s="192">
        <f t="shared" si="319"/>
        <v>0.11155913978494623</v>
      </c>
      <c r="S1022" s="312">
        <f t="shared" si="319"/>
        <v>2.088709677419355</v>
      </c>
      <c r="T1022" s="192">
        <f>+B1022+SUM(E1022:S1022)</f>
        <v>326.43999476276349</v>
      </c>
      <c r="U1022" s="192">
        <f t="shared" ref="U1022:U1033" si="320">+C1022+SUM(E1022:S1022)</f>
        <v>130.43999476276349</v>
      </c>
      <c r="V1022" s="192">
        <f>+B1022+SUM(E1022:G1022)</f>
        <v>274.3440860215054</v>
      </c>
      <c r="W1022" s="192">
        <f>+C1022+SUM(E1022:G1022)</f>
        <v>78.344086021505376</v>
      </c>
      <c r="X1022" s="192">
        <f>+H1022</f>
        <v>23.755940895817734</v>
      </c>
      <c r="Y1022" s="192">
        <f>+I1022</f>
        <v>-0.72992462767791</v>
      </c>
      <c r="Z1022" s="192">
        <f>+SUM(J1022:S1022)</f>
        <v>29.069892473118284</v>
      </c>
      <c r="AC1022" s="4">
        <v>1</v>
      </c>
      <c r="AD1022" s="192">
        <f>IF($AF$1019=1,VLOOKUP($AD$1019,$A$1049:$P$1060,12,FALSE),VLOOKUP($AD$1019,$A$1022:$S$1033,2,FALSE))</f>
        <v>98</v>
      </c>
      <c r="AE1022" s="192">
        <f>VLOOKUP($AD$1019,$A$1022:$S$1033,5,FALSE)</f>
        <v>10.90327380952381</v>
      </c>
      <c r="AF1022" s="192">
        <f>VLOOKUP($AD$1019,$A$1022:$S$1033,6,FALSE)</f>
        <v>11.410714285714285</v>
      </c>
      <c r="AG1022" s="192">
        <f>VLOOKUP($AD$1019,$A$1022:$S$1033,7,FALSE)</f>
        <v>19.117559523809522</v>
      </c>
      <c r="AH1022" s="192">
        <f>VLOOKUP($AD$1019,$A$1022:$S$1033,8,FALSE)</f>
        <v>5.3129613829432101</v>
      </c>
      <c r="AI1022" s="192">
        <f>VLOOKUP($AD$1019,$A$1022:$S$1033,10,FALSE)</f>
        <v>4.7366071428571432</v>
      </c>
      <c r="AJ1022" s="192">
        <f>VLOOKUP($AD$1019,$A$1022:$S$1033,11,FALSE)</f>
        <v>3.1964285714285712</v>
      </c>
      <c r="AK1022" s="192">
        <f>VLOOKUP($AD$1019,$A$1022:$S$1033,12,FALSE)</f>
        <v>4.9642857142857144</v>
      </c>
      <c r="AL1022" s="192">
        <f>VLOOKUP($AD$1019,$A$1022:$S$1033,13,FALSE)</f>
        <v>5.09375</v>
      </c>
      <c r="AM1022" s="192">
        <f>VLOOKUP($AD$1019,$A$1022:$S$1033,14,FALSE)</f>
        <v>1.6964285714285714</v>
      </c>
      <c r="AN1022" s="192">
        <f>VLOOKUP($AD$1019,$A$1022:$S$1033,15,FALSE)</f>
        <v>1.9985119047619049</v>
      </c>
      <c r="AO1022" s="192">
        <f>VLOOKUP($AD$1019,$A$1022:$S$1033,16,FALSE)</f>
        <v>4.0461309523809526</v>
      </c>
      <c r="AP1022" s="192">
        <f>VLOOKUP($AD$1019,$A$1022:$S$1033,17,FALSE)</f>
        <v>0.59226190476190477</v>
      </c>
      <c r="AQ1022" s="192">
        <f>VLOOKUP($AD$1019,$A$1022:$S$1033,18,FALSE)</f>
        <v>0.55208333333333337</v>
      </c>
      <c r="AR1022" s="192">
        <f>VLOOKUP($AD$1019,$A$1022:$S$1033,19,FALSE)</f>
        <v>1.4017857142857144</v>
      </c>
      <c r="AS1022" s="192">
        <f>SUM(AD1022:AR1022)</f>
        <v>173.02278281151467</v>
      </c>
      <c r="AT1022" s="192">
        <f>VLOOKUP($AD$1019,$AC$942:$AS$953,17,FALSE)/$AE$1019*(AS1022/$AS$1046)</f>
        <v>10.962262638336844</v>
      </c>
      <c r="AU1022" s="192">
        <f>AS1022+AT1022</f>
        <v>183.98504544985153</v>
      </c>
      <c r="AW1022" s="192">
        <f>VLOOKUP($AD$1019,$A$970:$O$983,15,FALSE)/$AE$1019/24</f>
        <v>154.00100553522086</v>
      </c>
      <c r="AX1022" s="192">
        <f>AU1022-AW1022</f>
        <v>29.984039914630671</v>
      </c>
    </row>
    <row r="1023" spans="1:50" ht="15.75" customHeight="1" x14ac:dyDescent="0.3">
      <c r="A1023" s="211" t="s">
        <v>9</v>
      </c>
      <c r="B1023" s="211">
        <f t="shared" si="318"/>
        <v>98</v>
      </c>
      <c r="C1023" s="192">
        <f t="shared" si="318"/>
        <v>0</v>
      </c>
      <c r="D1023" s="312" t="s">
        <v>803</v>
      </c>
      <c r="E1023" s="192">
        <f t="shared" ref="E1023:S1023" si="321">+C943/$C$10/24</f>
        <v>10.90327380952381</v>
      </c>
      <c r="F1023" s="192">
        <f t="shared" si="321"/>
        <v>11.410714285714285</v>
      </c>
      <c r="G1023" s="192">
        <f t="shared" si="321"/>
        <v>19.117559523809522</v>
      </c>
      <c r="H1023" s="192">
        <f t="shared" si="321"/>
        <v>5.3129613829432101</v>
      </c>
      <c r="I1023" s="192">
        <f t="shared" si="321"/>
        <v>-1.8040539885886531</v>
      </c>
      <c r="J1023" s="192">
        <f t="shared" si="321"/>
        <v>4.7366071428571432</v>
      </c>
      <c r="K1023" s="192">
        <f t="shared" si="321"/>
        <v>3.1964285714285712</v>
      </c>
      <c r="L1023" s="192">
        <f t="shared" si="321"/>
        <v>4.9642857142857144</v>
      </c>
      <c r="M1023" s="192">
        <f t="shared" si="321"/>
        <v>5.09375</v>
      </c>
      <c r="N1023" s="192">
        <f t="shared" si="321"/>
        <v>1.6964285714285714</v>
      </c>
      <c r="O1023" s="192">
        <f t="shared" si="321"/>
        <v>1.9985119047619049</v>
      </c>
      <c r="P1023" s="192">
        <f t="shared" si="321"/>
        <v>4.0461309523809526</v>
      </c>
      <c r="Q1023" s="192">
        <f t="shared" si="321"/>
        <v>0.59226190476190477</v>
      </c>
      <c r="R1023" s="192">
        <f t="shared" si="321"/>
        <v>0.55208333333333337</v>
      </c>
      <c r="S1023" s="312">
        <f t="shared" si="321"/>
        <v>1.4017857142857144</v>
      </c>
      <c r="T1023" s="192">
        <f t="shared" ref="T1023:T1033" si="322">+B1023+SUM(E1023:S1023)</f>
        <v>171.21872882292595</v>
      </c>
      <c r="U1023" s="192">
        <f t="shared" si="320"/>
        <v>73.218728822925954</v>
      </c>
      <c r="V1023" s="192">
        <f t="shared" ref="V1023:V1033" si="323">+B1023+SUM(E1023:G1023)</f>
        <v>139.43154761904762</v>
      </c>
      <c r="W1023" s="192">
        <f t="shared" ref="W1023:W1033" si="324">+C1023+SUM(E1023:G1023)</f>
        <v>41.43154761904762</v>
      </c>
      <c r="X1023" s="192">
        <f t="shared" ref="X1023:Y1033" si="325">+H1023</f>
        <v>5.3129613829432101</v>
      </c>
      <c r="Y1023" s="192">
        <f t="shared" si="325"/>
        <v>-1.8040539885886531</v>
      </c>
      <c r="Z1023" s="192">
        <f t="shared" ref="Z1023:Z1033" si="326">+SUM(J1023:S1023)</f>
        <v>28.278273809523814</v>
      </c>
      <c r="AC1023" s="4">
        <v>2</v>
      </c>
      <c r="AD1023" s="192">
        <f t="shared" ref="AD1023:AD1027" si="327">IF($AF$1019=1,VLOOKUP($AD$1019,$A$1049:$P$1060,12,FALSE),VLOOKUP($AD$1019,$A$1022:$S$1033,2,FALSE))</f>
        <v>98</v>
      </c>
      <c r="AE1023" s="192">
        <f t="shared" ref="AE1023:AE1045" si="328">VLOOKUP($AD$1019,$A$1022:$S$1033,5,FALSE)</f>
        <v>10.90327380952381</v>
      </c>
      <c r="AF1023" s="192">
        <f t="shared" ref="AF1023:AF1045" si="329">VLOOKUP($AD$1019,$A$1022:$S$1033,6,FALSE)</f>
        <v>11.410714285714285</v>
      </c>
      <c r="AG1023" s="192">
        <f t="shared" ref="AG1023:AG1045" si="330">VLOOKUP($AD$1019,$A$1022:$S$1033,7,FALSE)</f>
        <v>19.117559523809522</v>
      </c>
      <c r="AH1023" s="192">
        <f t="shared" ref="AH1023:AH1045" si="331">VLOOKUP($AD$1019,$A$1022:$S$1033,8,FALSE)</f>
        <v>5.3129613829432101</v>
      </c>
      <c r="AI1023" s="192">
        <f t="shared" ref="AI1023:AI1045" si="332">VLOOKUP($AD$1019,$A$1022:$S$1033,10,FALSE)</f>
        <v>4.7366071428571432</v>
      </c>
      <c r="AJ1023" s="192">
        <f t="shared" ref="AJ1023:AJ1045" si="333">VLOOKUP($AD$1019,$A$1022:$S$1033,11,FALSE)</f>
        <v>3.1964285714285712</v>
      </c>
      <c r="AK1023" s="192">
        <f t="shared" ref="AK1023:AK1045" si="334">VLOOKUP($AD$1019,$A$1022:$S$1033,12,FALSE)</f>
        <v>4.9642857142857144</v>
      </c>
      <c r="AL1023" s="192">
        <f t="shared" ref="AL1023:AL1045" si="335">VLOOKUP($AD$1019,$A$1022:$S$1033,13,FALSE)</f>
        <v>5.09375</v>
      </c>
      <c r="AM1023" s="192">
        <f t="shared" ref="AM1023:AM1045" si="336">VLOOKUP($AD$1019,$A$1022:$S$1033,14,FALSE)</f>
        <v>1.6964285714285714</v>
      </c>
      <c r="AN1023" s="192">
        <f t="shared" ref="AN1023:AN1045" si="337">VLOOKUP($AD$1019,$A$1022:$S$1033,15,FALSE)</f>
        <v>1.9985119047619049</v>
      </c>
      <c r="AO1023" s="192">
        <f t="shared" ref="AO1023:AO1045" si="338">VLOOKUP($AD$1019,$A$1022:$S$1033,16,FALSE)</f>
        <v>4.0461309523809526</v>
      </c>
      <c r="AP1023" s="192">
        <f t="shared" ref="AP1023:AP1045" si="339">VLOOKUP($AD$1019,$A$1022:$S$1033,17,FALSE)</f>
        <v>0.59226190476190477</v>
      </c>
      <c r="AQ1023" s="192">
        <f t="shared" ref="AQ1023:AQ1045" si="340">VLOOKUP($AD$1019,$A$1022:$S$1033,18,FALSE)</f>
        <v>0.55208333333333337</v>
      </c>
      <c r="AR1023" s="192">
        <f t="shared" ref="AR1023:AR1045" si="341">VLOOKUP($AD$1019,$A$1022:$S$1033,19,FALSE)</f>
        <v>1.4017857142857144</v>
      </c>
      <c r="AS1023" s="192">
        <f t="shared" ref="AS1023:AS1045" si="342">SUM(AD1023:AR1023)</f>
        <v>173.02278281151467</v>
      </c>
      <c r="AT1023" s="192">
        <f t="shared" ref="AT1023:AT1045" si="343">VLOOKUP($AD$1019,$AC$942:$AS$953,17,FALSE)/$AE$1019*(AS1023/$AS$1046)</f>
        <v>10.962262638336844</v>
      </c>
      <c r="AU1023" s="192">
        <f t="shared" ref="AU1023:AU1045" si="344">AS1023+AT1023</f>
        <v>183.98504544985153</v>
      </c>
      <c r="AW1023" s="192">
        <f t="shared" ref="AW1023:AW1045" si="345">VLOOKUP($AD$1019,$A$970:$O$983,15,FALSE)/$AE$1019/24</f>
        <v>154.00100553522086</v>
      </c>
      <c r="AX1023" s="192">
        <f t="shared" ref="AX1023:AX1045" si="346">AU1023-AW1023</f>
        <v>29.984039914630671</v>
      </c>
    </row>
    <row r="1024" spans="1:50" ht="15.75" customHeight="1" x14ac:dyDescent="0.3">
      <c r="A1024" s="211" t="s">
        <v>10</v>
      </c>
      <c r="B1024" s="211">
        <f t="shared" si="318"/>
        <v>294</v>
      </c>
      <c r="C1024" s="192">
        <f t="shared" si="318"/>
        <v>0</v>
      </c>
      <c r="D1024" s="312" t="s">
        <v>803</v>
      </c>
      <c r="E1024" s="192">
        <f t="shared" ref="E1024:S1024" si="347">+C944/$D$10/24</f>
        <v>22.198924731182796</v>
      </c>
      <c r="F1024" s="192">
        <f t="shared" si="347"/>
        <v>23.24462365591398</v>
      </c>
      <c r="G1024" s="192">
        <f t="shared" si="347"/>
        <v>38.883064516129032</v>
      </c>
      <c r="H1024" s="192">
        <f t="shared" si="347"/>
        <v>5.9462011333461797</v>
      </c>
      <c r="I1024" s="192">
        <f t="shared" si="347"/>
        <v>-4.4155504776721671E-2</v>
      </c>
      <c r="J1024" s="192">
        <f t="shared" si="347"/>
        <v>11.400537634408602</v>
      </c>
      <c r="K1024" s="192">
        <f t="shared" si="347"/>
        <v>7.186827956989247</v>
      </c>
      <c r="L1024" s="192">
        <f t="shared" si="347"/>
        <v>9.1223118279569899</v>
      </c>
      <c r="M1024" s="192">
        <f t="shared" si="347"/>
        <v>8.599462365591398</v>
      </c>
      <c r="N1024" s="192">
        <f t="shared" si="347"/>
        <v>2.7056451612903225</v>
      </c>
      <c r="O1024" s="192">
        <f t="shared" si="347"/>
        <v>3.189516129032258</v>
      </c>
      <c r="P1024" s="192">
        <f t="shared" si="347"/>
        <v>6.448924731182796</v>
      </c>
      <c r="Q1024" s="192">
        <f t="shared" si="347"/>
        <v>1.092741935483871</v>
      </c>
      <c r="R1024" s="192">
        <f t="shared" si="347"/>
        <v>0.55376344086021512</v>
      </c>
      <c r="S1024" s="312">
        <f t="shared" si="347"/>
        <v>2.5846774193548385</v>
      </c>
      <c r="T1024" s="192">
        <f t="shared" si="322"/>
        <v>437.11306713394583</v>
      </c>
      <c r="U1024" s="192">
        <f t="shared" si="320"/>
        <v>143.1130671339458</v>
      </c>
      <c r="V1024" s="192">
        <f t="shared" si="323"/>
        <v>378.32661290322579</v>
      </c>
      <c r="W1024" s="192">
        <f t="shared" si="324"/>
        <v>84.326612903225808</v>
      </c>
      <c r="X1024" s="192">
        <f t="shared" si="325"/>
        <v>5.9462011333461797</v>
      </c>
      <c r="Y1024" s="192">
        <f t="shared" si="325"/>
        <v>-4.4155504776721671E-2</v>
      </c>
      <c r="Z1024" s="192">
        <f t="shared" si="326"/>
        <v>52.884408602150543</v>
      </c>
      <c r="AC1024" s="4">
        <v>3</v>
      </c>
      <c r="AD1024" s="192">
        <f t="shared" si="327"/>
        <v>98</v>
      </c>
      <c r="AE1024" s="192">
        <f t="shared" si="328"/>
        <v>10.90327380952381</v>
      </c>
      <c r="AF1024" s="192">
        <f t="shared" si="329"/>
        <v>11.410714285714285</v>
      </c>
      <c r="AG1024" s="192">
        <f t="shared" si="330"/>
        <v>19.117559523809522</v>
      </c>
      <c r="AH1024" s="192">
        <f t="shared" si="331"/>
        <v>5.3129613829432101</v>
      </c>
      <c r="AI1024" s="192">
        <f t="shared" si="332"/>
        <v>4.7366071428571432</v>
      </c>
      <c r="AJ1024" s="192">
        <f t="shared" si="333"/>
        <v>3.1964285714285712</v>
      </c>
      <c r="AK1024" s="192">
        <f t="shared" si="334"/>
        <v>4.9642857142857144</v>
      </c>
      <c r="AL1024" s="192">
        <f t="shared" si="335"/>
        <v>5.09375</v>
      </c>
      <c r="AM1024" s="192">
        <f t="shared" si="336"/>
        <v>1.6964285714285714</v>
      </c>
      <c r="AN1024" s="192">
        <f t="shared" si="337"/>
        <v>1.9985119047619049</v>
      </c>
      <c r="AO1024" s="192">
        <f t="shared" si="338"/>
        <v>4.0461309523809526</v>
      </c>
      <c r="AP1024" s="192">
        <f t="shared" si="339"/>
        <v>0.59226190476190477</v>
      </c>
      <c r="AQ1024" s="192">
        <f t="shared" si="340"/>
        <v>0.55208333333333337</v>
      </c>
      <c r="AR1024" s="192">
        <f t="shared" si="341"/>
        <v>1.4017857142857144</v>
      </c>
      <c r="AS1024" s="192">
        <f t="shared" si="342"/>
        <v>173.02278281151467</v>
      </c>
      <c r="AT1024" s="192">
        <f t="shared" si="343"/>
        <v>10.962262638336844</v>
      </c>
      <c r="AU1024" s="192">
        <f t="shared" si="344"/>
        <v>183.98504544985153</v>
      </c>
      <c r="AW1024" s="192">
        <f t="shared" si="345"/>
        <v>154.00100553522086</v>
      </c>
      <c r="AX1024" s="192">
        <f t="shared" si="346"/>
        <v>29.984039914630671</v>
      </c>
    </row>
    <row r="1025" spans="1:50" ht="15.75" customHeight="1" x14ac:dyDescent="0.3">
      <c r="A1025" s="211" t="s">
        <v>12</v>
      </c>
      <c r="B1025" s="211">
        <f t="shared" si="318"/>
        <v>294</v>
      </c>
      <c r="C1025" s="192">
        <f t="shared" si="318"/>
        <v>0</v>
      </c>
      <c r="D1025" s="312" t="s">
        <v>803</v>
      </c>
      <c r="E1025" s="192">
        <f t="shared" ref="E1025:S1025" si="348">+C945/$F$10/24</f>
        <v>27.074999999999999</v>
      </c>
      <c r="F1025" s="192">
        <f t="shared" si="348"/>
        <v>28.344444444444445</v>
      </c>
      <c r="G1025" s="192">
        <f t="shared" si="348"/>
        <v>46.887499999999996</v>
      </c>
      <c r="H1025" s="192">
        <f t="shared" si="348"/>
        <v>2.8998862115511739</v>
      </c>
      <c r="I1025" s="192">
        <f t="shared" si="348"/>
        <v>-1.3151325652218018E-3</v>
      </c>
      <c r="J1025" s="192">
        <f t="shared" si="348"/>
        <v>14.427777777777777</v>
      </c>
      <c r="K1025" s="192">
        <f t="shared" si="348"/>
        <v>8.9</v>
      </c>
      <c r="L1025" s="192">
        <f t="shared" si="348"/>
        <v>10.329166666666667</v>
      </c>
      <c r="M1025" s="192">
        <f t="shared" si="348"/>
        <v>9.0236111111111104</v>
      </c>
      <c r="N1025" s="192">
        <f t="shared" si="348"/>
        <v>2.7097222222222221</v>
      </c>
      <c r="O1025" s="192">
        <f t="shared" si="348"/>
        <v>3.1916666666666664</v>
      </c>
      <c r="P1025" s="192">
        <f t="shared" si="348"/>
        <v>6.4041666666666659</v>
      </c>
      <c r="Q1025" s="192">
        <f t="shared" si="348"/>
        <v>1.0513888888888889</v>
      </c>
      <c r="R1025" s="192">
        <f t="shared" si="348"/>
        <v>1.4819444444444445</v>
      </c>
      <c r="S1025" s="312">
        <f t="shared" si="348"/>
        <v>2.4847222222222221</v>
      </c>
      <c r="T1025" s="192">
        <f t="shared" si="322"/>
        <v>459.20968219009706</v>
      </c>
      <c r="U1025" s="192">
        <f t="shared" si="320"/>
        <v>165.20968219009706</v>
      </c>
      <c r="V1025" s="192">
        <f t="shared" si="323"/>
        <v>396.30694444444441</v>
      </c>
      <c r="W1025" s="192">
        <f t="shared" si="324"/>
        <v>102.30694444444444</v>
      </c>
      <c r="X1025" s="192">
        <f t="shared" si="325"/>
        <v>2.8998862115511739</v>
      </c>
      <c r="Y1025" s="192">
        <f t="shared" si="325"/>
        <v>-1.3151325652218018E-3</v>
      </c>
      <c r="Z1025" s="192">
        <f t="shared" si="326"/>
        <v>60.004166666666656</v>
      </c>
      <c r="AC1025" s="4">
        <v>4</v>
      </c>
      <c r="AD1025" s="192">
        <f t="shared" si="327"/>
        <v>98</v>
      </c>
      <c r="AE1025" s="192">
        <f t="shared" si="328"/>
        <v>10.90327380952381</v>
      </c>
      <c r="AF1025" s="192">
        <f t="shared" si="329"/>
        <v>11.410714285714285</v>
      </c>
      <c r="AG1025" s="192">
        <f t="shared" si="330"/>
        <v>19.117559523809522</v>
      </c>
      <c r="AH1025" s="192">
        <f t="shared" si="331"/>
        <v>5.3129613829432101</v>
      </c>
      <c r="AI1025" s="192">
        <f t="shared" si="332"/>
        <v>4.7366071428571432</v>
      </c>
      <c r="AJ1025" s="192">
        <f t="shared" si="333"/>
        <v>3.1964285714285712</v>
      </c>
      <c r="AK1025" s="192">
        <f t="shared" si="334"/>
        <v>4.9642857142857144</v>
      </c>
      <c r="AL1025" s="192">
        <f t="shared" si="335"/>
        <v>5.09375</v>
      </c>
      <c r="AM1025" s="192">
        <f t="shared" si="336"/>
        <v>1.6964285714285714</v>
      </c>
      <c r="AN1025" s="192">
        <f t="shared" si="337"/>
        <v>1.9985119047619049</v>
      </c>
      <c r="AO1025" s="192">
        <f t="shared" si="338"/>
        <v>4.0461309523809526</v>
      </c>
      <c r="AP1025" s="192">
        <f t="shared" si="339"/>
        <v>0.59226190476190477</v>
      </c>
      <c r="AQ1025" s="192">
        <f t="shared" si="340"/>
        <v>0.55208333333333337</v>
      </c>
      <c r="AR1025" s="192">
        <f t="shared" si="341"/>
        <v>1.4017857142857144</v>
      </c>
      <c r="AS1025" s="192">
        <f t="shared" si="342"/>
        <v>173.02278281151467</v>
      </c>
      <c r="AT1025" s="192">
        <f t="shared" si="343"/>
        <v>10.962262638336844</v>
      </c>
      <c r="AU1025" s="192">
        <f t="shared" si="344"/>
        <v>183.98504544985153</v>
      </c>
      <c r="AW1025" s="192">
        <f t="shared" si="345"/>
        <v>154.00100553522086</v>
      </c>
      <c r="AX1025" s="192">
        <f t="shared" si="346"/>
        <v>29.984039914630671</v>
      </c>
    </row>
    <row r="1026" spans="1:50" ht="15.75" customHeight="1" x14ac:dyDescent="0.3">
      <c r="A1026" s="211" t="s">
        <v>13</v>
      </c>
      <c r="B1026" s="211">
        <f t="shared" si="318"/>
        <v>294</v>
      </c>
      <c r="C1026" s="192">
        <f t="shared" si="318"/>
        <v>0</v>
      </c>
      <c r="D1026" s="312" t="s">
        <v>803</v>
      </c>
      <c r="E1026" s="192">
        <f t="shared" ref="E1026:S1026" si="349">+C946/$G$10/24</f>
        <v>28.793010752688172</v>
      </c>
      <c r="F1026" s="192">
        <f t="shared" si="349"/>
        <v>30.13978494623656</v>
      </c>
      <c r="G1026" s="192">
        <f t="shared" si="349"/>
        <v>49.69489247311828</v>
      </c>
      <c r="H1026" s="192">
        <f t="shared" si="349"/>
        <v>7.1756995459914172</v>
      </c>
      <c r="I1026" s="192">
        <f t="shared" si="349"/>
        <v>-0.30943546361345459</v>
      </c>
      <c r="J1026" s="192">
        <f t="shared" si="349"/>
        <v>13.53763440860215</v>
      </c>
      <c r="K1026" s="192">
        <f t="shared" si="349"/>
        <v>7.543010752688172</v>
      </c>
      <c r="L1026" s="192">
        <f t="shared" si="349"/>
        <v>9.9973118279569899</v>
      </c>
      <c r="M1026" s="192">
        <f t="shared" si="349"/>
        <v>8.3561827956989259</v>
      </c>
      <c r="N1026" s="192">
        <f t="shared" si="349"/>
        <v>2.6666666666666665</v>
      </c>
      <c r="O1026" s="192">
        <f t="shared" si="349"/>
        <v>3.1397849462365595</v>
      </c>
      <c r="P1026" s="192">
        <f t="shared" si="349"/>
        <v>5.975806451612903</v>
      </c>
      <c r="Q1026" s="192">
        <f t="shared" si="349"/>
        <v>0.79435483870967749</v>
      </c>
      <c r="R1026" s="192">
        <f t="shared" si="349"/>
        <v>2.4381720430107525</v>
      </c>
      <c r="S1026" s="312">
        <f t="shared" si="349"/>
        <v>1.8776881720430108</v>
      </c>
      <c r="T1026" s="192">
        <f t="shared" si="322"/>
        <v>465.82056515764668</v>
      </c>
      <c r="U1026" s="192">
        <f t="shared" si="320"/>
        <v>171.82056515764671</v>
      </c>
      <c r="V1026" s="192">
        <f t="shared" si="323"/>
        <v>402.62768817204301</v>
      </c>
      <c r="W1026" s="192">
        <f t="shared" si="324"/>
        <v>108.62768817204301</v>
      </c>
      <c r="X1026" s="192">
        <f t="shared" si="325"/>
        <v>7.1756995459914172</v>
      </c>
      <c r="Y1026" s="192">
        <f t="shared" si="325"/>
        <v>-0.30943546361345459</v>
      </c>
      <c r="Z1026" s="192">
        <f t="shared" si="326"/>
        <v>56.326612903225808</v>
      </c>
      <c r="AC1026" s="4">
        <v>5</v>
      </c>
      <c r="AD1026" s="192">
        <f t="shared" si="327"/>
        <v>98</v>
      </c>
      <c r="AE1026" s="192">
        <f t="shared" si="328"/>
        <v>10.90327380952381</v>
      </c>
      <c r="AF1026" s="192">
        <f t="shared" si="329"/>
        <v>11.410714285714285</v>
      </c>
      <c r="AG1026" s="192">
        <f t="shared" si="330"/>
        <v>19.117559523809522</v>
      </c>
      <c r="AH1026" s="192">
        <f t="shared" si="331"/>
        <v>5.3129613829432101</v>
      </c>
      <c r="AI1026" s="192">
        <f t="shared" si="332"/>
        <v>4.7366071428571432</v>
      </c>
      <c r="AJ1026" s="192">
        <f t="shared" si="333"/>
        <v>3.1964285714285712</v>
      </c>
      <c r="AK1026" s="192">
        <f t="shared" si="334"/>
        <v>4.9642857142857144</v>
      </c>
      <c r="AL1026" s="192">
        <f t="shared" si="335"/>
        <v>5.09375</v>
      </c>
      <c r="AM1026" s="192">
        <f t="shared" si="336"/>
        <v>1.6964285714285714</v>
      </c>
      <c r="AN1026" s="192">
        <f t="shared" si="337"/>
        <v>1.9985119047619049</v>
      </c>
      <c r="AO1026" s="192">
        <f t="shared" si="338"/>
        <v>4.0461309523809526</v>
      </c>
      <c r="AP1026" s="192">
        <f t="shared" si="339"/>
        <v>0.59226190476190477</v>
      </c>
      <c r="AQ1026" s="192">
        <f t="shared" si="340"/>
        <v>0.55208333333333337</v>
      </c>
      <c r="AR1026" s="192">
        <f t="shared" si="341"/>
        <v>1.4017857142857144</v>
      </c>
      <c r="AS1026" s="192">
        <f t="shared" si="342"/>
        <v>173.02278281151467</v>
      </c>
      <c r="AT1026" s="192">
        <f t="shared" si="343"/>
        <v>10.962262638336844</v>
      </c>
      <c r="AU1026" s="192">
        <f t="shared" si="344"/>
        <v>183.98504544985153</v>
      </c>
      <c r="AW1026" s="192">
        <f t="shared" si="345"/>
        <v>154.00100553522086</v>
      </c>
      <c r="AX1026" s="192">
        <f t="shared" si="346"/>
        <v>29.984039914630671</v>
      </c>
    </row>
    <row r="1027" spans="1:50" ht="15.75" customHeight="1" x14ac:dyDescent="0.3">
      <c r="A1027" s="211" t="s">
        <v>14</v>
      </c>
      <c r="B1027" s="211">
        <f t="shared" si="318"/>
        <v>147</v>
      </c>
      <c r="C1027" s="192">
        <f t="shared" si="318"/>
        <v>0</v>
      </c>
      <c r="D1027" s="312" t="str">
        <f>H1054</f>
        <v>n/a</v>
      </c>
      <c r="E1027" s="192">
        <f t="shared" ref="E1027:S1027" si="350">+C947/$H$10/24</f>
        <v>13.951388888888888</v>
      </c>
      <c r="F1027" s="192">
        <f t="shared" si="350"/>
        <v>14.566666666666668</v>
      </c>
      <c r="G1027" s="192">
        <f t="shared" si="350"/>
        <v>23.054166666666664</v>
      </c>
      <c r="H1027" s="192">
        <f t="shared" si="350"/>
        <v>0</v>
      </c>
      <c r="I1027" s="192">
        <f t="shared" si="350"/>
        <v>-22.077255714644576</v>
      </c>
      <c r="J1027" s="192">
        <f t="shared" si="350"/>
        <v>19.031944444444445</v>
      </c>
      <c r="K1027" s="192">
        <f t="shared" si="350"/>
        <v>11.009722222222223</v>
      </c>
      <c r="L1027" s="192">
        <f t="shared" si="350"/>
        <v>10.743055555555555</v>
      </c>
      <c r="M1027" s="192">
        <f t="shared" si="350"/>
        <v>9.0347222222222232</v>
      </c>
      <c r="N1027" s="192">
        <f t="shared" si="350"/>
        <v>2.973611111111111</v>
      </c>
      <c r="O1027" s="192">
        <f t="shared" si="350"/>
        <v>3.5013888888888887</v>
      </c>
      <c r="P1027" s="192">
        <f t="shared" si="350"/>
        <v>7.2</v>
      </c>
      <c r="Q1027" s="192">
        <f t="shared" si="350"/>
        <v>1.2611111111111111</v>
      </c>
      <c r="R1027" s="192">
        <f t="shared" si="350"/>
        <v>3.1486111111111108</v>
      </c>
      <c r="S1027" s="312">
        <f t="shared" si="350"/>
        <v>2.9819444444444443</v>
      </c>
      <c r="T1027" s="192">
        <f t="shared" si="322"/>
        <v>247.38107761868875</v>
      </c>
      <c r="U1027" s="192">
        <f t="shared" si="320"/>
        <v>100.38107761868875</v>
      </c>
      <c r="V1027" s="192">
        <f t="shared" si="323"/>
        <v>198.57222222222222</v>
      </c>
      <c r="W1027" s="192">
        <f t="shared" si="324"/>
        <v>51.572222222222223</v>
      </c>
      <c r="X1027" s="192">
        <f t="shared" si="325"/>
        <v>0</v>
      </c>
      <c r="Y1027" s="192">
        <f t="shared" si="325"/>
        <v>-22.077255714644576</v>
      </c>
      <c r="Z1027" s="192">
        <f t="shared" si="326"/>
        <v>70.88611111111112</v>
      </c>
      <c r="AC1027" s="4">
        <v>6</v>
      </c>
      <c r="AD1027" s="192">
        <f t="shared" si="327"/>
        <v>98</v>
      </c>
      <c r="AE1027" s="192">
        <f t="shared" si="328"/>
        <v>10.90327380952381</v>
      </c>
      <c r="AF1027" s="192">
        <f t="shared" si="329"/>
        <v>11.410714285714285</v>
      </c>
      <c r="AG1027" s="192">
        <f t="shared" si="330"/>
        <v>19.117559523809522</v>
      </c>
      <c r="AH1027" s="192">
        <f t="shared" si="331"/>
        <v>5.3129613829432101</v>
      </c>
      <c r="AI1027" s="192">
        <f t="shared" si="332"/>
        <v>4.7366071428571432</v>
      </c>
      <c r="AJ1027" s="192">
        <f t="shared" si="333"/>
        <v>3.1964285714285712</v>
      </c>
      <c r="AK1027" s="192">
        <f t="shared" si="334"/>
        <v>4.9642857142857144</v>
      </c>
      <c r="AL1027" s="192">
        <f t="shared" si="335"/>
        <v>5.09375</v>
      </c>
      <c r="AM1027" s="192">
        <f t="shared" si="336"/>
        <v>1.6964285714285714</v>
      </c>
      <c r="AN1027" s="192">
        <f t="shared" si="337"/>
        <v>1.9985119047619049</v>
      </c>
      <c r="AO1027" s="192">
        <f t="shared" si="338"/>
        <v>4.0461309523809526</v>
      </c>
      <c r="AP1027" s="192">
        <f t="shared" si="339"/>
        <v>0.59226190476190477</v>
      </c>
      <c r="AQ1027" s="192">
        <f t="shared" si="340"/>
        <v>0.55208333333333337</v>
      </c>
      <c r="AR1027" s="192">
        <f t="shared" si="341"/>
        <v>1.4017857142857144</v>
      </c>
      <c r="AS1027" s="192">
        <f t="shared" si="342"/>
        <v>173.02278281151467</v>
      </c>
      <c r="AT1027" s="192">
        <f t="shared" si="343"/>
        <v>10.962262638336844</v>
      </c>
      <c r="AU1027" s="192">
        <f t="shared" si="344"/>
        <v>183.98504544985153</v>
      </c>
      <c r="AW1027" s="192">
        <f t="shared" si="345"/>
        <v>154.00100553522086</v>
      </c>
      <c r="AX1027" s="192">
        <f t="shared" si="346"/>
        <v>29.984039914630671</v>
      </c>
    </row>
    <row r="1028" spans="1:50" ht="15.75" customHeight="1" x14ac:dyDescent="0.3">
      <c r="A1028" s="211" t="s">
        <v>16</v>
      </c>
      <c r="B1028" s="211">
        <f t="shared" si="318"/>
        <v>147</v>
      </c>
      <c r="C1028" s="192">
        <f t="shared" si="318"/>
        <v>0</v>
      </c>
      <c r="D1028" s="312" t="str">
        <f>H1055</f>
        <v>n/a</v>
      </c>
      <c r="E1028" s="192">
        <f t="shared" ref="E1028:S1028" si="351">+C948/$J$10/24</f>
        <v>12.295698924731184</v>
      </c>
      <c r="F1028" s="192">
        <f t="shared" si="351"/>
        <v>12.831989247311826</v>
      </c>
      <c r="G1028" s="192">
        <f t="shared" si="351"/>
        <v>20.20967741935484</v>
      </c>
      <c r="H1028" s="192">
        <f t="shared" si="351"/>
        <v>0</v>
      </c>
      <c r="I1028" s="192">
        <f t="shared" si="351"/>
        <v>-16.312897380082664</v>
      </c>
      <c r="J1028" s="192">
        <f t="shared" si="351"/>
        <v>14.720430107526882</v>
      </c>
      <c r="K1028" s="192">
        <f t="shared" si="351"/>
        <v>11.211021505376344</v>
      </c>
      <c r="L1028" s="192">
        <f t="shared" si="351"/>
        <v>10.713709677419354</v>
      </c>
      <c r="M1028" s="192">
        <f t="shared" si="351"/>
        <v>8.6518817204301079</v>
      </c>
      <c r="N1028" s="192">
        <f t="shared" si="351"/>
        <v>2.9193548387096775</v>
      </c>
      <c r="O1028" s="192">
        <f t="shared" si="351"/>
        <v>3.4381720430107525</v>
      </c>
      <c r="P1028" s="192">
        <f t="shared" si="351"/>
        <v>6.774193548387097</v>
      </c>
      <c r="Q1028" s="192">
        <f t="shared" si="351"/>
        <v>1.0228494623655913</v>
      </c>
      <c r="R1028" s="192">
        <f t="shared" si="351"/>
        <v>2.5376344086021505</v>
      </c>
      <c r="S1028" s="312">
        <f t="shared" si="351"/>
        <v>2.4193548387096775</v>
      </c>
      <c r="T1028" s="192">
        <f t="shared" si="322"/>
        <v>240.43307036185283</v>
      </c>
      <c r="U1028" s="192">
        <f t="shared" si="320"/>
        <v>93.433070361852828</v>
      </c>
      <c r="V1028" s="192">
        <f t="shared" si="323"/>
        <v>192.33736559139786</v>
      </c>
      <c r="W1028" s="192">
        <f t="shared" si="324"/>
        <v>45.337365591397848</v>
      </c>
      <c r="X1028" s="192">
        <f t="shared" si="325"/>
        <v>0</v>
      </c>
      <c r="Y1028" s="192">
        <f t="shared" si="325"/>
        <v>-16.312897380082664</v>
      </c>
      <c r="Z1028" s="192">
        <f t="shared" si="326"/>
        <v>64.408602150537632</v>
      </c>
      <c r="AC1028" s="4">
        <v>7</v>
      </c>
      <c r="AD1028" s="192">
        <f>IF($AF$1019=1,VLOOKUP($AD$1019,$A$1049:$P$1060,12,FALSE),IF(OR($AD$1019="JAN",$AD$1019="FEB",$AD$1019="NOV",$AD$1019="DEC"),VLOOKUP($AD$1019,$A$1022:$S$1033,2,FALSE),VLOOKUP($AD$1019,$A$1022:$S$1033,3,FALSE)))</f>
        <v>98</v>
      </c>
      <c r="AE1028" s="192">
        <f t="shared" si="328"/>
        <v>10.90327380952381</v>
      </c>
      <c r="AF1028" s="192">
        <f t="shared" si="329"/>
        <v>11.410714285714285</v>
      </c>
      <c r="AG1028" s="192">
        <f t="shared" si="330"/>
        <v>19.117559523809522</v>
      </c>
      <c r="AH1028" s="192">
        <f t="shared" si="331"/>
        <v>5.3129613829432101</v>
      </c>
      <c r="AI1028" s="192">
        <f t="shared" si="332"/>
        <v>4.7366071428571432</v>
      </c>
      <c r="AJ1028" s="192">
        <f t="shared" si="333"/>
        <v>3.1964285714285712</v>
      </c>
      <c r="AK1028" s="192">
        <f t="shared" si="334"/>
        <v>4.9642857142857144</v>
      </c>
      <c r="AL1028" s="192">
        <f t="shared" si="335"/>
        <v>5.09375</v>
      </c>
      <c r="AM1028" s="192">
        <f t="shared" si="336"/>
        <v>1.6964285714285714</v>
      </c>
      <c r="AN1028" s="192">
        <f t="shared" si="337"/>
        <v>1.9985119047619049</v>
      </c>
      <c r="AO1028" s="192">
        <f t="shared" si="338"/>
        <v>4.0461309523809526</v>
      </c>
      <c r="AP1028" s="192">
        <f t="shared" si="339"/>
        <v>0.59226190476190477</v>
      </c>
      <c r="AQ1028" s="192">
        <f t="shared" si="340"/>
        <v>0.55208333333333337</v>
      </c>
      <c r="AR1028" s="192">
        <f t="shared" si="341"/>
        <v>1.4017857142857144</v>
      </c>
      <c r="AS1028" s="192">
        <f t="shared" si="342"/>
        <v>173.02278281151467</v>
      </c>
      <c r="AT1028" s="192">
        <f t="shared" si="343"/>
        <v>10.962262638336844</v>
      </c>
      <c r="AU1028" s="192">
        <f t="shared" si="344"/>
        <v>183.98504544985153</v>
      </c>
      <c r="AW1028" s="192">
        <f t="shared" si="345"/>
        <v>154.00100553522086</v>
      </c>
      <c r="AX1028" s="192">
        <f t="shared" si="346"/>
        <v>29.984039914630671</v>
      </c>
    </row>
    <row r="1029" spans="1:50" ht="15.75" customHeight="1" x14ac:dyDescent="0.3">
      <c r="A1029" s="211" t="s">
        <v>17</v>
      </c>
      <c r="B1029" s="211">
        <f t="shared" si="318"/>
        <v>147</v>
      </c>
      <c r="C1029" s="192">
        <f t="shared" si="318"/>
        <v>0</v>
      </c>
      <c r="D1029" s="312" t="str">
        <f>H1056</f>
        <v>n/a</v>
      </c>
      <c r="E1029" s="192">
        <f t="shared" ref="E1029:S1029" si="352">+C949/$K$10/24</f>
        <v>11.783602150537634</v>
      </c>
      <c r="F1029" s="192">
        <f t="shared" si="352"/>
        <v>12.309139784946238</v>
      </c>
      <c r="G1029" s="192">
        <f t="shared" si="352"/>
        <v>19.404569892473116</v>
      </c>
      <c r="H1029" s="192">
        <f t="shared" si="352"/>
        <v>0</v>
      </c>
      <c r="I1029" s="192">
        <f t="shared" si="352"/>
        <v>-13.366155316767534</v>
      </c>
      <c r="J1029" s="192">
        <f t="shared" si="352"/>
        <v>14.560483870967742</v>
      </c>
      <c r="K1029" s="192">
        <f t="shared" si="352"/>
        <v>10.10483870967742</v>
      </c>
      <c r="L1029" s="192">
        <f t="shared" si="352"/>
        <v>10.948924731182794</v>
      </c>
      <c r="M1029" s="192">
        <f t="shared" si="352"/>
        <v>9.1061827956989259</v>
      </c>
      <c r="N1029" s="192">
        <f t="shared" si="352"/>
        <v>2.913978494623656</v>
      </c>
      <c r="O1029" s="192">
        <f t="shared" si="352"/>
        <v>3.4327956989247315</v>
      </c>
      <c r="P1029" s="192">
        <f t="shared" si="352"/>
        <v>6.9825268817204309</v>
      </c>
      <c r="Q1029" s="192">
        <f t="shared" si="352"/>
        <v>0.95564516129032251</v>
      </c>
      <c r="R1029" s="192">
        <f t="shared" si="352"/>
        <v>2.3938172043010755</v>
      </c>
      <c r="S1029" s="312">
        <f t="shared" si="352"/>
        <v>2.260752688172043</v>
      </c>
      <c r="T1029" s="192">
        <f t="shared" si="322"/>
        <v>240.79110274774862</v>
      </c>
      <c r="U1029" s="192">
        <f t="shared" si="320"/>
        <v>93.791102747748624</v>
      </c>
      <c r="V1029" s="192">
        <f t="shared" si="323"/>
        <v>190.49731182795699</v>
      </c>
      <c r="W1029" s="192">
        <f t="shared" si="324"/>
        <v>43.497311827956992</v>
      </c>
      <c r="X1029" s="192">
        <f t="shared" si="325"/>
        <v>0</v>
      </c>
      <c r="Y1029" s="192">
        <f t="shared" si="325"/>
        <v>-13.366155316767534</v>
      </c>
      <c r="Z1029" s="192">
        <f t="shared" si="326"/>
        <v>63.659946236559129</v>
      </c>
      <c r="AC1029" s="4">
        <v>8</v>
      </c>
      <c r="AD1029" s="192">
        <f>IF($AF$1019=1,VLOOKUP($AD$1019,$A$1049:$P$1060,12,FALSE),VLOOKUP($AD$1019,$A$1022:$S$1033,3,FALSE))</f>
        <v>0</v>
      </c>
      <c r="AE1029" s="192">
        <f t="shared" si="328"/>
        <v>10.90327380952381</v>
      </c>
      <c r="AF1029" s="192">
        <f t="shared" si="329"/>
        <v>11.410714285714285</v>
      </c>
      <c r="AG1029" s="192">
        <f t="shared" si="330"/>
        <v>19.117559523809522</v>
      </c>
      <c r="AH1029" s="192">
        <f t="shared" si="331"/>
        <v>5.3129613829432101</v>
      </c>
      <c r="AI1029" s="192">
        <f t="shared" si="332"/>
        <v>4.7366071428571432</v>
      </c>
      <c r="AJ1029" s="192">
        <f t="shared" si="333"/>
        <v>3.1964285714285712</v>
      </c>
      <c r="AK1029" s="192">
        <f t="shared" si="334"/>
        <v>4.9642857142857144</v>
      </c>
      <c r="AL1029" s="192">
        <f t="shared" si="335"/>
        <v>5.09375</v>
      </c>
      <c r="AM1029" s="192">
        <f t="shared" si="336"/>
        <v>1.6964285714285714</v>
      </c>
      <c r="AN1029" s="192">
        <f t="shared" si="337"/>
        <v>1.9985119047619049</v>
      </c>
      <c r="AO1029" s="192">
        <f t="shared" si="338"/>
        <v>4.0461309523809526</v>
      </c>
      <c r="AP1029" s="192">
        <f t="shared" si="339"/>
        <v>0.59226190476190477</v>
      </c>
      <c r="AQ1029" s="192">
        <f t="shared" si="340"/>
        <v>0.55208333333333337</v>
      </c>
      <c r="AR1029" s="192">
        <f t="shared" si="341"/>
        <v>1.4017857142857144</v>
      </c>
      <c r="AS1029" s="192">
        <f t="shared" si="342"/>
        <v>75.022782811514617</v>
      </c>
      <c r="AT1029" s="192">
        <f t="shared" si="343"/>
        <v>4.7532436808315754</v>
      </c>
      <c r="AU1029" s="192">
        <f t="shared" si="344"/>
        <v>79.77602649234619</v>
      </c>
      <c r="AW1029" s="192">
        <f t="shared" si="345"/>
        <v>154.00100553522086</v>
      </c>
      <c r="AX1029" s="192">
        <f t="shared" si="346"/>
        <v>-74.224979042874665</v>
      </c>
    </row>
    <row r="1030" spans="1:50" ht="15.75" customHeight="1" x14ac:dyDescent="0.3">
      <c r="A1030" s="211" t="s">
        <v>18</v>
      </c>
      <c r="B1030" s="211">
        <f t="shared" si="318"/>
        <v>245</v>
      </c>
      <c r="C1030" s="192">
        <f t="shared" si="318"/>
        <v>0</v>
      </c>
      <c r="D1030" s="312" t="s">
        <v>803</v>
      </c>
      <c r="E1030" s="192">
        <f t="shared" ref="E1030:S1030" si="353">+C950/$L$10/24</f>
        <v>22.43472222222222</v>
      </c>
      <c r="F1030" s="192">
        <f t="shared" si="353"/>
        <v>23.484722222222221</v>
      </c>
      <c r="G1030" s="192">
        <f t="shared" si="353"/>
        <v>38.769444444444446</v>
      </c>
      <c r="H1030" s="192">
        <f t="shared" si="353"/>
        <v>2.302511468882543</v>
      </c>
      <c r="I1030" s="192">
        <f t="shared" si="353"/>
        <v>-1.9748487817131366</v>
      </c>
      <c r="J1030" s="192">
        <f t="shared" si="353"/>
        <v>11.673611111111112</v>
      </c>
      <c r="K1030" s="192">
        <f t="shared" si="353"/>
        <v>7.5138888888888893</v>
      </c>
      <c r="L1030" s="192">
        <f t="shared" si="353"/>
        <v>9.530555555555555</v>
      </c>
      <c r="M1030" s="192">
        <f t="shared" si="353"/>
        <v>8.5138888888888893</v>
      </c>
      <c r="N1030" s="192">
        <f t="shared" si="353"/>
        <v>2.651388888888889</v>
      </c>
      <c r="O1030" s="192">
        <f t="shared" si="353"/>
        <v>3.1236111111111113</v>
      </c>
      <c r="P1030" s="192">
        <f t="shared" si="353"/>
        <v>6.1888888888888891</v>
      </c>
      <c r="Q1030" s="192">
        <f t="shared" si="353"/>
        <v>0.93333333333333324</v>
      </c>
      <c r="R1030" s="192">
        <f t="shared" si="353"/>
        <v>2.3736111111111113</v>
      </c>
      <c r="S1030" s="312">
        <f t="shared" si="353"/>
        <v>2.1763888888888889</v>
      </c>
      <c r="T1030" s="192">
        <f t="shared" si="322"/>
        <v>384.69571824272498</v>
      </c>
      <c r="U1030" s="192">
        <f t="shared" si="320"/>
        <v>139.69571824272495</v>
      </c>
      <c r="V1030" s="192">
        <f t="shared" si="323"/>
        <v>329.68888888888887</v>
      </c>
      <c r="W1030" s="192">
        <f t="shared" si="324"/>
        <v>84.688888888888883</v>
      </c>
      <c r="X1030" s="192">
        <f t="shared" si="325"/>
        <v>2.302511468882543</v>
      </c>
      <c r="Y1030" s="192">
        <f t="shared" si="325"/>
        <v>-1.9748487817131366</v>
      </c>
      <c r="Z1030" s="192">
        <f t="shared" si="326"/>
        <v>54.67916666666666</v>
      </c>
      <c r="AC1030" s="4">
        <v>9</v>
      </c>
      <c r="AD1030" s="192">
        <f>IF($AF$1019=1,VLOOKUP($AD$1019,$A$1049:$P$1060,12,FALSE),VLOOKUP($AD$1019,$A$1022:$S$1033,3,FALSE))</f>
        <v>0</v>
      </c>
      <c r="AE1030" s="192">
        <f t="shared" si="328"/>
        <v>10.90327380952381</v>
      </c>
      <c r="AF1030" s="192">
        <f t="shared" si="329"/>
        <v>11.410714285714285</v>
      </c>
      <c r="AG1030" s="192">
        <f t="shared" si="330"/>
        <v>19.117559523809522</v>
      </c>
      <c r="AH1030" s="192">
        <f t="shared" si="331"/>
        <v>5.3129613829432101</v>
      </c>
      <c r="AI1030" s="192">
        <f t="shared" si="332"/>
        <v>4.7366071428571432</v>
      </c>
      <c r="AJ1030" s="192">
        <f t="shared" si="333"/>
        <v>3.1964285714285712</v>
      </c>
      <c r="AK1030" s="192">
        <f t="shared" si="334"/>
        <v>4.9642857142857144</v>
      </c>
      <c r="AL1030" s="192">
        <f t="shared" si="335"/>
        <v>5.09375</v>
      </c>
      <c r="AM1030" s="192">
        <f t="shared" si="336"/>
        <v>1.6964285714285714</v>
      </c>
      <c r="AN1030" s="192">
        <f t="shared" si="337"/>
        <v>1.9985119047619049</v>
      </c>
      <c r="AO1030" s="192">
        <f t="shared" si="338"/>
        <v>4.0461309523809526</v>
      </c>
      <c r="AP1030" s="192">
        <f t="shared" si="339"/>
        <v>0.59226190476190477</v>
      </c>
      <c r="AQ1030" s="192">
        <f t="shared" si="340"/>
        <v>0.55208333333333337</v>
      </c>
      <c r="AR1030" s="192">
        <f t="shared" si="341"/>
        <v>1.4017857142857144</v>
      </c>
      <c r="AS1030" s="192">
        <f t="shared" si="342"/>
        <v>75.022782811514617</v>
      </c>
      <c r="AT1030" s="192">
        <f t="shared" si="343"/>
        <v>4.7532436808315754</v>
      </c>
      <c r="AU1030" s="192">
        <f t="shared" si="344"/>
        <v>79.77602649234619</v>
      </c>
      <c r="AW1030" s="192">
        <f t="shared" si="345"/>
        <v>154.00100553522086</v>
      </c>
      <c r="AX1030" s="192">
        <f t="shared" si="346"/>
        <v>-74.224979042874665</v>
      </c>
    </row>
    <row r="1031" spans="1:50" ht="15.75" customHeight="1" x14ac:dyDescent="0.3">
      <c r="A1031" s="211" t="s">
        <v>20</v>
      </c>
      <c r="B1031" s="211">
        <f t="shared" si="318"/>
        <v>245</v>
      </c>
      <c r="C1031" s="192">
        <f t="shared" si="318"/>
        <v>0</v>
      </c>
      <c r="D1031" s="312" t="s">
        <v>803</v>
      </c>
      <c r="E1031" s="192">
        <f t="shared" ref="E1031:S1031" si="354">+C951/$N$10/24</f>
        <v>21.201612903225804</v>
      </c>
      <c r="F1031" s="192">
        <f t="shared" si="354"/>
        <v>22.197580645161292</v>
      </c>
      <c r="G1031" s="192">
        <f t="shared" si="354"/>
        <v>36.982526881720432</v>
      </c>
      <c r="H1031" s="192">
        <f t="shared" si="354"/>
        <v>10.746195374473309</v>
      </c>
      <c r="I1031" s="192">
        <f t="shared" si="354"/>
        <v>0</v>
      </c>
      <c r="J1031" s="192">
        <f t="shared" si="354"/>
        <v>5.811827956989247</v>
      </c>
      <c r="K1031" s="192">
        <f t="shared" si="354"/>
        <v>2.7405913978494625</v>
      </c>
      <c r="L1031" s="192">
        <f t="shared" si="354"/>
        <v>3.6518817204301075</v>
      </c>
      <c r="M1031" s="192">
        <f t="shared" si="354"/>
        <v>3.396505376344086</v>
      </c>
      <c r="N1031" s="192">
        <f t="shared" si="354"/>
        <v>0.95161290322580649</v>
      </c>
      <c r="O1031" s="192">
        <f t="shared" si="354"/>
        <v>1.1182795698924732</v>
      </c>
      <c r="P1031" s="192">
        <f t="shared" si="354"/>
        <v>2.0631720430107525</v>
      </c>
      <c r="Q1031" s="192">
        <f t="shared" si="354"/>
        <v>0.86155913978494614</v>
      </c>
      <c r="R1031" s="192">
        <f t="shared" si="354"/>
        <v>2.1706989247311825</v>
      </c>
      <c r="S1031" s="312">
        <f t="shared" si="354"/>
        <v>2.0376344086021505</v>
      </c>
      <c r="T1031" s="192">
        <f t="shared" si="322"/>
        <v>360.93167924544105</v>
      </c>
      <c r="U1031" s="192">
        <f t="shared" si="320"/>
        <v>115.93167924544103</v>
      </c>
      <c r="V1031" s="192">
        <f t="shared" si="323"/>
        <v>325.38172043010752</v>
      </c>
      <c r="W1031" s="192">
        <f t="shared" si="324"/>
        <v>80.381720430107521</v>
      </c>
      <c r="X1031" s="192">
        <f t="shared" si="325"/>
        <v>10.746195374473309</v>
      </c>
      <c r="Y1031" s="192">
        <f t="shared" si="325"/>
        <v>0</v>
      </c>
      <c r="Z1031" s="192">
        <f t="shared" si="326"/>
        <v>24.803763440860219</v>
      </c>
      <c r="AC1031" s="4">
        <v>10</v>
      </c>
      <c r="AD1031" s="192">
        <f>IF($AF$1019=1,VLOOKUP($AD$1019,$A$1049:$P$1060,12,FALSE),VLOOKUP($AD$1019,$A$1022:$S$1033,3,FALSE))</f>
        <v>0</v>
      </c>
      <c r="AE1031" s="192">
        <f t="shared" si="328"/>
        <v>10.90327380952381</v>
      </c>
      <c r="AF1031" s="192">
        <f t="shared" si="329"/>
        <v>11.410714285714285</v>
      </c>
      <c r="AG1031" s="192">
        <f t="shared" si="330"/>
        <v>19.117559523809522</v>
      </c>
      <c r="AH1031" s="192">
        <f t="shared" si="331"/>
        <v>5.3129613829432101</v>
      </c>
      <c r="AI1031" s="192">
        <f t="shared" si="332"/>
        <v>4.7366071428571432</v>
      </c>
      <c r="AJ1031" s="192">
        <f t="shared" si="333"/>
        <v>3.1964285714285712</v>
      </c>
      <c r="AK1031" s="192">
        <f t="shared" si="334"/>
        <v>4.9642857142857144</v>
      </c>
      <c r="AL1031" s="192">
        <f t="shared" si="335"/>
        <v>5.09375</v>
      </c>
      <c r="AM1031" s="192">
        <f t="shared" si="336"/>
        <v>1.6964285714285714</v>
      </c>
      <c r="AN1031" s="192">
        <f t="shared" si="337"/>
        <v>1.9985119047619049</v>
      </c>
      <c r="AO1031" s="192">
        <f t="shared" si="338"/>
        <v>4.0461309523809526</v>
      </c>
      <c r="AP1031" s="192">
        <f t="shared" si="339"/>
        <v>0.59226190476190477</v>
      </c>
      <c r="AQ1031" s="192">
        <f t="shared" si="340"/>
        <v>0.55208333333333337</v>
      </c>
      <c r="AR1031" s="192">
        <f t="shared" si="341"/>
        <v>1.4017857142857144</v>
      </c>
      <c r="AS1031" s="192">
        <f t="shared" si="342"/>
        <v>75.022782811514617</v>
      </c>
      <c r="AT1031" s="192">
        <f t="shared" si="343"/>
        <v>4.7532436808315754</v>
      </c>
      <c r="AU1031" s="192">
        <f t="shared" si="344"/>
        <v>79.77602649234619</v>
      </c>
      <c r="AW1031" s="192">
        <f t="shared" si="345"/>
        <v>154.00100553522086</v>
      </c>
      <c r="AX1031" s="192">
        <f t="shared" si="346"/>
        <v>-74.224979042874665</v>
      </c>
    </row>
    <row r="1032" spans="1:50" ht="15.75" customHeight="1" x14ac:dyDescent="0.3">
      <c r="A1032" s="211" t="s">
        <v>21</v>
      </c>
      <c r="B1032" s="211">
        <f t="shared" si="318"/>
        <v>245</v>
      </c>
      <c r="C1032" s="192">
        <f t="shared" si="318"/>
        <v>0</v>
      </c>
      <c r="D1032" s="312" t="s">
        <v>803</v>
      </c>
      <c r="E1032" s="192">
        <f t="shared" ref="E1032:S1032" si="355">+C952/$O$10/24</f>
        <v>21.476388888888888</v>
      </c>
      <c r="F1032" s="192">
        <f t="shared" si="355"/>
        <v>22.493055555555557</v>
      </c>
      <c r="G1032" s="192">
        <f t="shared" si="355"/>
        <v>37.87638888888889</v>
      </c>
      <c r="H1032" s="192">
        <f t="shared" si="355"/>
        <v>17.434059172942092</v>
      </c>
      <c r="I1032" s="192">
        <f t="shared" si="355"/>
        <v>0</v>
      </c>
      <c r="J1032" s="192">
        <f t="shared" si="355"/>
        <v>3.4166666666666665</v>
      </c>
      <c r="K1032" s="192">
        <f t="shared" si="355"/>
        <v>0.89166666666666661</v>
      </c>
      <c r="L1032" s="192">
        <f t="shared" si="355"/>
        <v>1.2361111111111112</v>
      </c>
      <c r="M1032" s="192">
        <f t="shared" si="355"/>
        <v>1.1125</v>
      </c>
      <c r="N1032" s="192">
        <f t="shared" si="355"/>
        <v>0.19305555555555556</v>
      </c>
      <c r="O1032" s="192">
        <f t="shared" si="355"/>
        <v>0.22500000000000001</v>
      </c>
      <c r="P1032" s="192">
        <f t="shared" si="355"/>
        <v>0.4375</v>
      </c>
      <c r="Q1032" s="192">
        <f t="shared" si="355"/>
        <v>0.27499999999999997</v>
      </c>
      <c r="R1032" s="192">
        <f t="shared" si="355"/>
        <v>1.1152777777777778</v>
      </c>
      <c r="S1032" s="312">
        <f t="shared" si="355"/>
        <v>0.65</v>
      </c>
      <c r="T1032" s="192">
        <f t="shared" si="322"/>
        <v>353.83267028405322</v>
      </c>
      <c r="U1032" s="192">
        <f t="shared" si="320"/>
        <v>108.83267028405321</v>
      </c>
      <c r="V1032" s="192">
        <f t="shared" si="323"/>
        <v>326.8458333333333</v>
      </c>
      <c r="W1032" s="192">
        <f t="shared" si="324"/>
        <v>81.845833333333331</v>
      </c>
      <c r="X1032" s="192">
        <f t="shared" si="325"/>
        <v>17.434059172942092</v>
      </c>
      <c r="Y1032" s="192">
        <f t="shared" si="325"/>
        <v>0</v>
      </c>
      <c r="Z1032" s="192">
        <f t="shared" si="326"/>
        <v>9.5527777777777771</v>
      </c>
      <c r="AC1032" s="4">
        <v>11</v>
      </c>
      <c r="AD1032" s="192">
        <f>IF($AF$1019=1,VLOOKUP($AD$1019,$A$1049:$P$1060,12,FALSE),VLOOKUP($AD$1019,$A$1022:$S$1033,3,FALSE))</f>
        <v>0</v>
      </c>
      <c r="AE1032" s="192">
        <f t="shared" si="328"/>
        <v>10.90327380952381</v>
      </c>
      <c r="AF1032" s="192">
        <f t="shared" si="329"/>
        <v>11.410714285714285</v>
      </c>
      <c r="AG1032" s="192">
        <f t="shared" si="330"/>
        <v>19.117559523809522</v>
      </c>
      <c r="AH1032" s="192">
        <f t="shared" si="331"/>
        <v>5.3129613829432101</v>
      </c>
      <c r="AI1032" s="192">
        <f t="shared" si="332"/>
        <v>4.7366071428571432</v>
      </c>
      <c r="AJ1032" s="192">
        <f t="shared" si="333"/>
        <v>3.1964285714285712</v>
      </c>
      <c r="AK1032" s="192">
        <f t="shared" si="334"/>
        <v>4.9642857142857144</v>
      </c>
      <c r="AL1032" s="192">
        <f t="shared" si="335"/>
        <v>5.09375</v>
      </c>
      <c r="AM1032" s="192">
        <f t="shared" si="336"/>
        <v>1.6964285714285714</v>
      </c>
      <c r="AN1032" s="192">
        <f t="shared" si="337"/>
        <v>1.9985119047619049</v>
      </c>
      <c r="AO1032" s="192">
        <f t="shared" si="338"/>
        <v>4.0461309523809526</v>
      </c>
      <c r="AP1032" s="192">
        <f t="shared" si="339"/>
        <v>0.59226190476190477</v>
      </c>
      <c r="AQ1032" s="192">
        <f t="shared" si="340"/>
        <v>0.55208333333333337</v>
      </c>
      <c r="AR1032" s="192">
        <f t="shared" si="341"/>
        <v>1.4017857142857144</v>
      </c>
      <c r="AS1032" s="192">
        <f t="shared" si="342"/>
        <v>75.022782811514617</v>
      </c>
      <c r="AT1032" s="192">
        <f t="shared" si="343"/>
        <v>4.7532436808315754</v>
      </c>
      <c r="AU1032" s="192">
        <f t="shared" si="344"/>
        <v>79.77602649234619</v>
      </c>
      <c r="AW1032" s="192">
        <f t="shared" si="345"/>
        <v>154.00100553522086</v>
      </c>
      <c r="AX1032" s="192">
        <f t="shared" si="346"/>
        <v>-74.224979042874665</v>
      </c>
    </row>
    <row r="1033" spans="1:50" ht="15.75" customHeight="1" thickBot="1" x14ac:dyDescent="0.35">
      <c r="A1033" s="220" t="s">
        <v>22</v>
      </c>
      <c r="B1033" s="220">
        <f t="shared" si="318"/>
        <v>245</v>
      </c>
      <c r="C1033" s="206">
        <f t="shared" si="318"/>
        <v>0</v>
      </c>
      <c r="D1033" s="272" t="s">
        <v>803</v>
      </c>
      <c r="E1033" s="206">
        <f t="shared" ref="E1033:S1033" si="356">+C953/$P$10/24</f>
        <v>23.150537634408604</v>
      </c>
      <c r="F1033" s="206">
        <f t="shared" si="356"/>
        <v>24.25940860215054</v>
      </c>
      <c r="G1033" s="206">
        <f t="shared" si="356"/>
        <v>40.69489247311828</v>
      </c>
      <c r="H1033" s="206">
        <f t="shared" si="356"/>
        <v>18.607906508697226</v>
      </c>
      <c r="I1033" s="206">
        <f t="shared" si="356"/>
        <v>-1.3183328541726921E-2</v>
      </c>
      <c r="J1033" s="206">
        <f t="shared" si="356"/>
        <v>5.024193548387097</v>
      </c>
      <c r="K1033" s="206">
        <f t="shared" si="356"/>
        <v>2.7271505376344085</v>
      </c>
      <c r="L1033" s="206">
        <f t="shared" si="356"/>
        <v>3.8588709677419355</v>
      </c>
      <c r="M1033" s="206">
        <f t="shared" si="356"/>
        <v>3.9516129032258065</v>
      </c>
      <c r="N1033" s="206">
        <f t="shared" si="356"/>
        <v>0.95833333333333337</v>
      </c>
      <c r="O1033" s="206">
        <f t="shared" si="356"/>
        <v>1.1290322580645162</v>
      </c>
      <c r="P1033" s="206">
        <f t="shared" si="356"/>
        <v>2.3884408602150535</v>
      </c>
      <c r="Q1033" s="206">
        <f t="shared" si="356"/>
        <v>0.74596774193548387</v>
      </c>
      <c r="R1033" s="206">
        <f t="shared" si="356"/>
        <v>1.5336021505376343</v>
      </c>
      <c r="S1033" s="272">
        <f t="shared" si="356"/>
        <v>1.764784946236559</v>
      </c>
      <c r="T1033" s="192">
        <f t="shared" si="322"/>
        <v>375.78155113714479</v>
      </c>
      <c r="U1033" s="192">
        <f t="shared" si="320"/>
        <v>130.78155113714476</v>
      </c>
      <c r="V1033" s="192">
        <f t="shared" si="323"/>
        <v>333.10483870967744</v>
      </c>
      <c r="W1033" s="192">
        <f t="shared" si="324"/>
        <v>88.104838709677423</v>
      </c>
      <c r="X1033" s="192">
        <f t="shared" si="325"/>
        <v>18.607906508697226</v>
      </c>
      <c r="Y1033" s="192">
        <f t="shared" si="325"/>
        <v>-1.3183328541726921E-2</v>
      </c>
      <c r="Z1033" s="192">
        <f t="shared" si="326"/>
        <v>24.081989247311828</v>
      </c>
      <c r="AC1033" s="4">
        <v>12</v>
      </c>
      <c r="AD1033" s="192">
        <f>IF($AF$1019=1,VLOOKUP($AD$1019,$A$1049:$P$1060,12,FALSE),VLOOKUP($AD$1019,$A$1022:$S$1033,3,FALSE))</f>
        <v>0</v>
      </c>
      <c r="AE1033" s="192">
        <f t="shared" si="328"/>
        <v>10.90327380952381</v>
      </c>
      <c r="AF1033" s="192">
        <f t="shared" si="329"/>
        <v>11.410714285714285</v>
      </c>
      <c r="AG1033" s="192">
        <f t="shared" si="330"/>
        <v>19.117559523809522</v>
      </c>
      <c r="AH1033" s="192">
        <f t="shared" si="331"/>
        <v>5.3129613829432101</v>
      </c>
      <c r="AI1033" s="192">
        <f t="shared" si="332"/>
        <v>4.7366071428571432</v>
      </c>
      <c r="AJ1033" s="192">
        <f t="shared" si="333"/>
        <v>3.1964285714285712</v>
      </c>
      <c r="AK1033" s="192">
        <f t="shared" si="334"/>
        <v>4.9642857142857144</v>
      </c>
      <c r="AL1033" s="192">
        <f t="shared" si="335"/>
        <v>5.09375</v>
      </c>
      <c r="AM1033" s="192">
        <f t="shared" si="336"/>
        <v>1.6964285714285714</v>
      </c>
      <c r="AN1033" s="192">
        <f t="shared" si="337"/>
        <v>1.9985119047619049</v>
      </c>
      <c r="AO1033" s="192">
        <f t="shared" si="338"/>
        <v>4.0461309523809526</v>
      </c>
      <c r="AP1033" s="192">
        <f t="shared" si="339"/>
        <v>0.59226190476190477</v>
      </c>
      <c r="AQ1033" s="192">
        <f t="shared" si="340"/>
        <v>0.55208333333333337</v>
      </c>
      <c r="AR1033" s="192">
        <f t="shared" si="341"/>
        <v>1.4017857142857144</v>
      </c>
      <c r="AS1033" s="192">
        <f t="shared" si="342"/>
        <v>75.022782811514617</v>
      </c>
      <c r="AT1033" s="192">
        <f t="shared" si="343"/>
        <v>4.7532436808315754</v>
      </c>
      <c r="AU1033" s="192">
        <f t="shared" si="344"/>
        <v>79.77602649234619</v>
      </c>
      <c r="AW1033" s="192">
        <f t="shared" si="345"/>
        <v>154.00100553522086</v>
      </c>
      <c r="AX1033" s="192">
        <f t="shared" si="346"/>
        <v>-74.224979042874665</v>
      </c>
    </row>
    <row r="1034" spans="1:50" ht="15.75" customHeight="1" x14ac:dyDescent="0.3">
      <c r="A1034" s="260"/>
      <c r="AC1034" s="4">
        <v>13</v>
      </c>
      <c r="AD1034" s="192">
        <f>IF($AF$1019=1,VLOOKUP($AD$1019,$A$1049:$P$1060,12,FALSE),IF(OR($AD$1019="JUN",$AD$1019="JUL",$AD$1019="AUG"),VLOOKUP($AD$1019,$A$1022:$S$1033,4,FALSE),VLOOKUP($AD$1019,$A$1022:$S$1033,3,FALSE)))</f>
        <v>0</v>
      </c>
      <c r="AE1034" s="192">
        <f t="shared" si="328"/>
        <v>10.90327380952381</v>
      </c>
      <c r="AF1034" s="192">
        <f t="shared" si="329"/>
        <v>11.410714285714285</v>
      </c>
      <c r="AG1034" s="192">
        <f t="shared" si="330"/>
        <v>19.117559523809522</v>
      </c>
      <c r="AH1034" s="192">
        <f t="shared" si="331"/>
        <v>5.3129613829432101</v>
      </c>
      <c r="AI1034" s="192">
        <f t="shared" si="332"/>
        <v>4.7366071428571432</v>
      </c>
      <c r="AJ1034" s="192">
        <f t="shared" si="333"/>
        <v>3.1964285714285712</v>
      </c>
      <c r="AK1034" s="192">
        <f t="shared" si="334"/>
        <v>4.9642857142857144</v>
      </c>
      <c r="AL1034" s="192">
        <f t="shared" si="335"/>
        <v>5.09375</v>
      </c>
      <c r="AM1034" s="192">
        <f t="shared" si="336"/>
        <v>1.6964285714285714</v>
      </c>
      <c r="AN1034" s="192">
        <f t="shared" si="337"/>
        <v>1.9985119047619049</v>
      </c>
      <c r="AO1034" s="192">
        <f t="shared" si="338"/>
        <v>4.0461309523809526</v>
      </c>
      <c r="AP1034" s="192">
        <f t="shared" si="339"/>
        <v>0.59226190476190477</v>
      </c>
      <c r="AQ1034" s="192">
        <f t="shared" si="340"/>
        <v>0.55208333333333337</v>
      </c>
      <c r="AR1034" s="192">
        <f t="shared" si="341"/>
        <v>1.4017857142857144</v>
      </c>
      <c r="AS1034" s="192">
        <f t="shared" si="342"/>
        <v>75.022782811514617</v>
      </c>
      <c r="AT1034" s="192">
        <f t="shared" si="343"/>
        <v>4.7532436808315754</v>
      </c>
      <c r="AU1034" s="192">
        <f t="shared" si="344"/>
        <v>79.77602649234619</v>
      </c>
      <c r="AW1034" s="192">
        <f t="shared" si="345"/>
        <v>154.00100553522086</v>
      </c>
      <c r="AX1034" s="192">
        <f t="shared" si="346"/>
        <v>-74.224979042874665</v>
      </c>
    </row>
    <row r="1035" spans="1:50" ht="27.75" customHeight="1" x14ac:dyDescent="0.3">
      <c r="A1035" s="260" t="s">
        <v>804</v>
      </c>
      <c r="AC1035" s="4">
        <v>14</v>
      </c>
      <c r="AD1035" s="192">
        <f t="shared" ref="AD1035:AD1041" si="357">IF($AF$1019=1,VLOOKUP($AD$1019,$A$1049:$P$1060,12,FALSE),IF(OR($AD$1019="JUN",$AD$1019="JUL",$AD$1019="AUG"),VLOOKUP($AD$1019,$A$1022:$S$1033,4,FALSE),VLOOKUP($AD$1019,$A$1022:$S$1033,3,FALSE)))</f>
        <v>0</v>
      </c>
      <c r="AE1035" s="192">
        <f t="shared" si="328"/>
        <v>10.90327380952381</v>
      </c>
      <c r="AF1035" s="192">
        <f t="shared" si="329"/>
        <v>11.410714285714285</v>
      </c>
      <c r="AG1035" s="192">
        <f t="shared" si="330"/>
        <v>19.117559523809522</v>
      </c>
      <c r="AH1035" s="192">
        <f t="shared" si="331"/>
        <v>5.3129613829432101</v>
      </c>
      <c r="AI1035" s="192">
        <f t="shared" si="332"/>
        <v>4.7366071428571432</v>
      </c>
      <c r="AJ1035" s="192">
        <f t="shared" si="333"/>
        <v>3.1964285714285712</v>
      </c>
      <c r="AK1035" s="192">
        <f t="shared" si="334"/>
        <v>4.9642857142857144</v>
      </c>
      <c r="AL1035" s="192">
        <f t="shared" si="335"/>
        <v>5.09375</v>
      </c>
      <c r="AM1035" s="192">
        <f t="shared" si="336"/>
        <v>1.6964285714285714</v>
      </c>
      <c r="AN1035" s="192">
        <f t="shared" si="337"/>
        <v>1.9985119047619049</v>
      </c>
      <c r="AO1035" s="192">
        <f t="shared" si="338"/>
        <v>4.0461309523809526</v>
      </c>
      <c r="AP1035" s="192">
        <f t="shared" si="339"/>
        <v>0.59226190476190477</v>
      </c>
      <c r="AQ1035" s="192">
        <f t="shared" si="340"/>
        <v>0.55208333333333337</v>
      </c>
      <c r="AR1035" s="192">
        <f t="shared" si="341"/>
        <v>1.4017857142857144</v>
      </c>
      <c r="AS1035" s="192">
        <f t="shared" si="342"/>
        <v>75.022782811514617</v>
      </c>
      <c r="AT1035" s="192">
        <f t="shared" si="343"/>
        <v>4.7532436808315754</v>
      </c>
      <c r="AU1035" s="192">
        <f t="shared" si="344"/>
        <v>79.77602649234619</v>
      </c>
      <c r="AW1035" s="192">
        <f t="shared" si="345"/>
        <v>154.00100553522086</v>
      </c>
      <c r="AX1035" s="192">
        <f t="shared" si="346"/>
        <v>-74.224979042874665</v>
      </c>
    </row>
    <row r="1036" spans="1:50" ht="15.75" customHeight="1" x14ac:dyDescent="0.3">
      <c r="A1036" s="260"/>
      <c r="AC1036" s="4">
        <v>15</v>
      </c>
      <c r="AD1036" s="192">
        <f t="shared" si="357"/>
        <v>0</v>
      </c>
      <c r="AE1036" s="192">
        <f t="shared" si="328"/>
        <v>10.90327380952381</v>
      </c>
      <c r="AF1036" s="192">
        <f t="shared" si="329"/>
        <v>11.410714285714285</v>
      </c>
      <c r="AG1036" s="192">
        <f t="shared" si="330"/>
        <v>19.117559523809522</v>
      </c>
      <c r="AH1036" s="192">
        <f t="shared" si="331"/>
        <v>5.3129613829432101</v>
      </c>
      <c r="AI1036" s="192">
        <f t="shared" si="332"/>
        <v>4.7366071428571432</v>
      </c>
      <c r="AJ1036" s="192">
        <f t="shared" si="333"/>
        <v>3.1964285714285712</v>
      </c>
      <c r="AK1036" s="192">
        <f t="shared" si="334"/>
        <v>4.9642857142857144</v>
      </c>
      <c r="AL1036" s="192">
        <f t="shared" si="335"/>
        <v>5.09375</v>
      </c>
      <c r="AM1036" s="192">
        <f t="shared" si="336"/>
        <v>1.6964285714285714</v>
      </c>
      <c r="AN1036" s="192">
        <f t="shared" si="337"/>
        <v>1.9985119047619049</v>
      </c>
      <c r="AO1036" s="192">
        <f t="shared" si="338"/>
        <v>4.0461309523809526</v>
      </c>
      <c r="AP1036" s="192">
        <f t="shared" si="339"/>
        <v>0.59226190476190477</v>
      </c>
      <c r="AQ1036" s="192">
        <f t="shared" si="340"/>
        <v>0.55208333333333337</v>
      </c>
      <c r="AR1036" s="192">
        <f t="shared" si="341"/>
        <v>1.4017857142857144</v>
      </c>
      <c r="AS1036" s="192">
        <f t="shared" si="342"/>
        <v>75.022782811514617</v>
      </c>
      <c r="AT1036" s="192">
        <f t="shared" si="343"/>
        <v>4.7532436808315754</v>
      </c>
      <c r="AU1036" s="192">
        <f t="shared" si="344"/>
        <v>79.77602649234619</v>
      </c>
      <c r="AW1036" s="192">
        <f t="shared" si="345"/>
        <v>154.00100553522086</v>
      </c>
      <c r="AX1036" s="192">
        <f t="shared" si="346"/>
        <v>-74.224979042874665</v>
      </c>
    </row>
    <row r="1037" spans="1:50" ht="15.75" customHeight="1" x14ac:dyDescent="0.3">
      <c r="A1037" s="260"/>
      <c r="AC1037" s="4">
        <v>16</v>
      </c>
      <c r="AD1037" s="192">
        <f t="shared" si="357"/>
        <v>0</v>
      </c>
      <c r="AE1037" s="192">
        <f t="shared" si="328"/>
        <v>10.90327380952381</v>
      </c>
      <c r="AF1037" s="192">
        <f t="shared" si="329"/>
        <v>11.410714285714285</v>
      </c>
      <c r="AG1037" s="192">
        <f t="shared" si="330"/>
        <v>19.117559523809522</v>
      </c>
      <c r="AH1037" s="192">
        <f t="shared" si="331"/>
        <v>5.3129613829432101</v>
      </c>
      <c r="AI1037" s="192">
        <f t="shared" si="332"/>
        <v>4.7366071428571432</v>
      </c>
      <c r="AJ1037" s="192">
        <f t="shared" si="333"/>
        <v>3.1964285714285712</v>
      </c>
      <c r="AK1037" s="192">
        <f t="shared" si="334"/>
        <v>4.9642857142857144</v>
      </c>
      <c r="AL1037" s="192">
        <f t="shared" si="335"/>
        <v>5.09375</v>
      </c>
      <c r="AM1037" s="192">
        <f t="shared" si="336"/>
        <v>1.6964285714285714</v>
      </c>
      <c r="AN1037" s="192">
        <f t="shared" si="337"/>
        <v>1.9985119047619049</v>
      </c>
      <c r="AO1037" s="192">
        <f t="shared" si="338"/>
        <v>4.0461309523809526</v>
      </c>
      <c r="AP1037" s="192">
        <f t="shared" si="339"/>
        <v>0.59226190476190477</v>
      </c>
      <c r="AQ1037" s="192">
        <f t="shared" si="340"/>
        <v>0.55208333333333337</v>
      </c>
      <c r="AR1037" s="192">
        <f t="shared" si="341"/>
        <v>1.4017857142857144</v>
      </c>
      <c r="AS1037" s="192">
        <f t="shared" si="342"/>
        <v>75.022782811514617</v>
      </c>
      <c r="AT1037" s="192">
        <f t="shared" si="343"/>
        <v>4.7532436808315754</v>
      </c>
      <c r="AU1037" s="192">
        <f t="shared" si="344"/>
        <v>79.77602649234619</v>
      </c>
      <c r="AW1037" s="192">
        <f t="shared" si="345"/>
        <v>154.00100553522086</v>
      </c>
      <c r="AX1037" s="192">
        <f t="shared" si="346"/>
        <v>-74.224979042874665</v>
      </c>
    </row>
    <row r="1038" spans="1:50" ht="15.75" customHeight="1" thickBot="1" x14ac:dyDescent="0.35">
      <c r="A1038" s="260"/>
      <c r="AC1038" s="4">
        <v>17</v>
      </c>
      <c r="AD1038" s="192">
        <f t="shared" si="357"/>
        <v>0</v>
      </c>
      <c r="AE1038" s="192">
        <f t="shared" si="328"/>
        <v>10.90327380952381</v>
      </c>
      <c r="AF1038" s="192">
        <f t="shared" si="329"/>
        <v>11.410714285714285</v>
      </c>
      <c r="AG1038" s="192">
        <f t="shared" si="330"/>
        <v>19.117559523809522</v>
      </c>
      <c r="AH1038" s="192">
        <f t="shared" si="331"/>
        <v>5.3129613829432101</v>
      </c>
      <c r="AI1038" s="192">
        <f t="shared" si="332"/>
        <v>4.7366071428571432</v>
      </c>
      <c r="AJ1038" s="192">
        <f t="shared" si="333"/>
        <v>3.1964285714285712</v>
      </c>
      <c r="AK1038" s="192">
        <f t="shared" si="334"/>
        <v>4.9642857142857144</v>
      </c>
      <c r="AL1038" s="192">
        <f t="shared" si="335"/>
        <v>5.09375</v>
      </c>
      <c r="AM1038" s="192">
        <f t="shared" si="336"/>
        <v>1.6964285714285714</v>
      </c>
      <c r="AN1038" s="192">
        <f t="shared" si="337"/>
        <v>1.9985119047619049</v>
      </c>
      <c r="AO1038" s="192">
        <f t="shared" si="338"/>
        <v>4.0461309523809526</v>
      </c>
      <c r="AP1038" s="192">
        <f t="shared" si="339"/>
        <v>0.59226190476190477</v>
      </c>
      <c r="AQ1038" s="192">
        <f t="shared" si="340"/>
        <v>0.55208333333333337</v>
      </c>
      <c r="AR1038" s="192">
        <f t="shared" si="341"/>
        <v>1.4017857142857144</v>
      </c>
      <c r="AS1038" s="192">
        <f t="shared" si="342"/>
        <v>75.022782811514617</v>
      </c>
      <c r="AT1038" s="192">
        <f t="shared" si="343"/>
        <v>4.7532436808315754</v>
      </c>
      <c r="AU1038" s="192">
        <f t="shared" si="344"/>
        <v>79.77602649234619</v>
      </c>
      <c r="AW1038" s="192">
        <f t="shared" si="345"/>
        <v>154.00100553522086</v>
      </c>
      <c r="AX1038" s="192">
        <f t="shared" si="346"/>
        <v>-74.224979042874665</v>
      </c>
    </row>
    <row r="1039" spans="1:50" ht="15.75" customHeight="1" x14ac:dyDescent="0.3">
      <c r="A1039" s="365"/>
      <c r="B1039" s="423" t="s">
        <v>805</v>
      </c>
      <c r="C1039" s="423"/>
      <c r="D1039" s="423"/>
      <c r="E1039" s="423"/>
      <c r="F1039" s="423"/>
      <c r="G1039" s="423"/>
      <c r="H1039" s="423"/>
      <c r="I1039" s="423"/>
      <c r="J1039" s="423"/>
      <c r="K1039" s="423"/>
      <c r="L1039" s="423"/>
      <c r="M1039" s="423"/>
      <c r="N1039" s="423"/>
      <c r="O1039" s="423"/>
      <c r="P1039" s="423"/>
      <c r="Q1039" s="354" t="str">
        <f>+Q1</f>
        <v xml:space="preserve">PRINTED:  </v>
      </c>
      <c r="R1039" s="355">
        <f ca="1">+R1</f>
        <v>44894.658168402777</v>
      </c>
      <c r="AC1039" s="4">
        <v>18</v>
      </c>
      <c r="AD1039" s="192">
        <f t="shared" si="357"/>
        <v>0</v>
      </c>
      <c r="AE1039" s="192">
        <f t="shared" si="328"/>
        <v>10.90327380952381</v>
      </c>
      <c r="AF1039" s="192">
        <f t="shared" si="329"/>
        <v>11.410714285714285</v>
      </c>
      <c r="AG1039" s="192">
        <f t="shared" si="330"/>
        <v>19.117559523809522</v>
      </c>
      <c r="AH1039" s="192">
        <f t="shared" si="331"/>
        <v>5.3129613829432101</v>
      </c>
      <c r="AI1039" s="192">
        <f t="shared" si="332"/>
        <v>4.7366071428571432</v>
      </c>
      <c r="AJ1039" s="192">
        <f t="shared" si="333"/>
        <v>3.1964285714285712</v>
      </c>
      <c r="AK1039" s="192">
        <f t="shared" si="334"/>
        <v>4.9642857142857144</v>
      </c>
      <c r="AL1039" s="192">
        <f t="shared" si="335"/>
        <v>5.09375</v>
      </c>
      <c r="AM1039" s="192">
        <f t="shared" si="336"/>
        <v>1.6964285714285714</v>
      </c>
      <c r="AN1039" s="192">
        <f t="shared" si="337"/>
        <v>1.9985119047619049</v>
      </c>
      <c r="AO1039" s="192">
        <f t="shared" si="338"/>
        <v>4.0461309523809526</v>
      </c>
      <c r="AP1039" s="192">
        <f t="shared" si="339"/>
        <v>0.59226190476190477</v>
      </c>
      <c r="AQ1039" s="192">
        <f t="shared" si="340"/>
        <v>0.55208333333333337</v>
      </c>
      <c r="AR1039" s="192">
        <f t="shared" si="341"/>
        <v>1.4017857142857144</v>
      </c>
      <c r="AS1039" s="192">
        <f t="shared" si="342"/>
        <v>75.022782811514617</v>
      </c>
      <c r="AT1039" s="192">
        <f t="shared" si="343"/>
        <v>4.7532436808315754</v>
      </c>
      <c r="AU1039" s="192">
        <f t="shared" si="344"/>
        <v>79.77602649234619</v>
      </c>
      <c r="AW1039" s="192">
        <f t="shared" si="345"/>
        <v>154.00100553522086</v>
      </c>
      <c r="AX1039" s="192">
        <f t="shared" si="346"/>
        <v>-74.224979042874665</v>
      </c>
    </row>
    <row r="1040" spans="1:50" ht="16.5" customHeight="1" x14ac:dyDescent="0.3">
      <c r="A1040" s="257"/>
      <c r="B1040" s="394" t="str">
        <f>+A8</f>
        <v>Revised:  1/18/2018</v>
      </c>
      <c r="C1040" s="394"/>
      <c r="D1040" s="394"/>
      <c r="E1040" s="394"/>
      <c r="F1040" s="394"/>
      <c r="G1040" s="394"/>
      <c r="H1040" s="394"/>
      <c r="I1040" s="394"/>
      <c r="J1040" s="394"/>
      <c r="K1040" s="394"/>
      <c r="L1040" s="394"/>
      <c r="M1040" s="394"/>
      <c r="N1040" s="394"/>
      <c r="O1040" s="394"/>
      <c r="P1040" s="394"/>
      <c r="R1040" s="304"/>
      <c r="AC1040" s="4">
        <v>19</v>
      </c>
      <c r="AD1040" s="192">
        <f t="shared" si="357"/>
        <v>0</v>
      </c>
      <c r="AE1040" s="192">
        <f t="shared" si="328"/>
        <v>10.90327380952381</v>
      </c>
      <c r="AF1040" s="192">
        <f t="shared" si="329"/>
        <v>11.410714285714285</v>
      </c>
      <c r="AG1040" s="192">
        <f t="shared" si="330"/>
        <v>19.117559523809522</v>
      </c>
      <c r="AH1040" s="192">
        <f t="shared" si="331"/>
        <v>5.3129613829432101</v>
      </c>
      <c r="AI1040" s="192">
        <f t="shared" si="332"/>
        <v>4.7366071428571432</v>
      </c>
      <c r="AJ1040" s="192">
        <f t="shared" si="333"/>
        <v>3.1964285714285712</v>
      </c>
      <c r="AK1040" s="192">
        <f t="shared" si="334"/>
        <v>4.9642857142857144</v>
      </c>
      <c r="AL1040" s="192">
        <f t="shared" si="335"/>
        <v>5.09375</v>
      </c>
      <c r="AM1040" s="192">
        <f t="shared" si="336"/>
        <v>1.6964285714285714</v>
      </c>
      <c r="AN1040" s="192">
        <f t="shared" si="337"/>
        <v>1.9985119047619049</v>
      </c>
      <c r="AO1040" s="192">
        <f t="shared" si="338"/>
        <v>4.0461309523809526</v>
      </c>
      <c r="AP1040" s="192">
        <f t="shared" si="339"/>
        <v>0.59226190476190477</v>
      </c>
      <c r="AQ1040" s="192">
        <f t="shared" si="340"/>
        <v>0.55208333333333337</v>
      </c>
      <c r="AR1040" s="192">
        <f t="shared" si="341"/>
        <v>1.4017857142857144</v>
      </c>
      <c r="AS1040" s="192">
        <f t="shared" si="342"/>
        <v>75.022782811514617</v>
      </c>
      <c r="AT1040" s="192">
        <f t="shared" si="343"/>
        <v>4.7532436808315754</v>
      </c>
      <c r="AU1040" s="192">
        <f t="shared" si="344"/>
        <v>79.77602649234619</v>
      </c>
      <c r="AW1040" s="192">
        <f t="shared" si="345"/>
        <v>154.00100553522086</v>
      </c>
      <c r="AX1040" s="192">
        <f t="shared" si="346"/>
        <v>-74.224979042874665</v>
      </c>
    </row>
    <row r="1041" spans="1:50" ht="16.5" customHeight="1" x14ac:dyDescent="0.3">
      <c r="A1041" s="257"/>
      <c r="B1041" s="394" t="s">
        <v>670</v>
      </c>
      <c r="C1041" s="394"/>
      <c r="D1041" s="394"/>
      <c r="E1041" s="394"/>
      <c r="F1041" s="394"/>
      <c r="G1041" s="394"/>
      <c r="H1041" s="394"/>
      <c r="I1041" s="394"/>
      <c r="J1041" s="394"/>
      <c r="K1041" s="394"/>
      <c r="L1041" s="394"/>
      <c r="M1041" s="394"/>
      <c r="N1041" s="394"/>
      <c r="O1041" s="394"/>
      <c r="P1041" s="394"/>
      <c r="R1041" s="304"/>
      <c r="AC1041" s="4">
        <v>20</v>
      </c>
      <c r="AD1041" s="192">
        <f t="shared" si="357"/>
        <v>0</v>
      </c>
      <c r="AE1041" s="192">
        <f t="shared" si="328"/>
        <v>10.90327380952381</v>
      </c>
      <c r="AF1041" s="192">
        <f t="shared" si="329"/>
        <v>11.410714285714285</v>
      </c>
      <c r="AG1041" s="192">
        <f t="shared" si="330"/>
        <v>19.117559523809522</v>
      </c>
      <c r="AH1041" s="192">
        <f t="shared" si="331"/>
        <v>5.3129613829432101</v>
      </c>
      <c r="AI1041" s="192">
        <f t="shared" si="332"/>
        <v>4.7366071428571432</v>
      </c>
      <c r="AJ1041" s="192">
        <f t="shared" si="333"/>
        <v>3.1964285714285712</v>
      </c>
      <c r="AK1041" s="192">
        <f t="shared" si="334"/>
        <v>4.9642857142857144</v>
      </c>
      <c r="AL1041" s="192">
        <f t="shared" si="335"/>
        <v>5.09375</v>
      </c>
      <c r="AM1041" s="192">
        <f t="shared" si="336"/>
        <v>1.6964285714285714</v>
      </c>
      <c r="AN1041" s="192">
        <f t="shared" si="337"/>
        <v>1.9985119047619049</v>
      </c>
      <c r="AO1041" s="192">
        <f t="shared" si="338"/>
        <v>4.0461309523809526</v>
      </c>
      <c r="AP1041" s="192">
        <f t="shared" si="339"/>
        <v>0.59226190476190477</v>
      </c>
      <c r="AQ1041" s="192">
        <f t="shared" si="340"/>
        <v>0.55208333333333337</v>
      </c>
      <c r="AR1041" s="192">
        <f t="shared" si="341"/>
        <v>1.4017857142857144</v>
      </c>
      <c r="AS1041" s="192">
        <f t="shared" si="342"/>
        <v>75.022782811514617</v>
      </c>
      <c r="AT1041" s="192">
        <f t="shared" si="343"/>
        <v>4.7532436808315754</v>
      </c>
      <c r="AU1041" s="192">
        <f t="shared" si="344"/>
        <v>79.77602649234619</v>
      </c>
      <c r="AW1041" s="192">
        <f t="shared" si="345"/>
        <v>154.00100553522086</v>
      </c>
      <c r="AX1041" s="192">
        <f t="shared" si="346"/>
        <v>-74.224979042874665</v>
      </c>
    </row>
    <row r="1042" spans="1:50" ht="16.5" customHeight="1" x14ac:dyDescent="0.3">
      <c r="A1042" s="257"/>
      <c r="B1042" s="180"/>
      <c r="C1042" s="180"/>
      <c r="D1042" s="180"/>
      <c r="E1042" s="180"/>
      <c r="F1042" s="180"/>
      <c r="G1042" s="180"/>
      <c r="H1042" s="180"/>
      <c r="I1042" s="180"/>
      <c r="J1042" s="180"/>
      <c r="K1042" s="180"/>
      <c r="L1042" s="180"/>
      <c r="M1042" s="180"/>
      <c r="N1042" s="180"/>
      <c r="O1042" s="180"/>
      <c r="P1042" s="180"/>
      <c r="R1042" s="304"/>
      <c r="AC1042" s="4">
        <v>21</v>
      </c>
      <c r="AD1042" s="192">
        <f>IF($AF$1019=1,VLOOKUP($AD$1019,$A$1049:$P$1060,12,FALSE),VLOOKUP($AD$1019,$A$1022:$S$1033,3,FALSE))</f>
        <v>0</v>
      </c>
      <c r="AE1042" s="192">
        <f t="shared" si="328"/>
        <v>10.90327380952381</v>
      </c>
      <c r="AF1042" s="192">
        <f t="shared" si="329"/>
        <v>11.410714285714285</v>
      </c>
      <c r="AG1042" s="192">
        <f t="shared" si="330"/>
        <v>19.117559523809522</v>
      </c>
      <c r="AH1042" s="192">
        <f t="shared" si="331"/>
        <v>5.3129613829432101</v>
      </c>
      <c r="AI1042" s="192">
        <f t="shared" si="332"/>
        <v>4.7366071428571432</v>
      </c>
      <c r="AJ1042" s="192">
        <f t="shared" si="333"/>
        <v>3.1964285714285712</v>
      </c>
      <c r="AK1042" s="192">
        <f t="shared" si="334"/>
        <v>4.9642857142857144</v>
      </c>
      <c r="AL1042" s="192">
        <f t="shared" si="335"/>
        <v>5.09375</v>
      </c>
      <c r="AM1042" s="192">
        <f t="shared" si="336"/>
        <v>1.6964285714285714</v>
      </c>
      <c r="AN1042" s="192">
        <f t="shared" si="337"/>
        <v>1.9985119047619049</v>
      </c>
      <c r="AO1042" s="192">
        <f t="shared" si="338"/>
        <v>4.0461309523809526</v>
      </c>
      <c r="AP1042" s="192">
        <f t="shared" si="339"/>
        <v>0.59226190476190477</v>
      </c>
      <c r="AQ1042" s="192">
        <f t="shared" si="340"/>
        <v>0.55208333333333337</v>
      </c>
      <c r="AR1042" s="192">
        <f t="shared" si="341"/>
        <v>1.4017857142857144</v>
      </c>
      <c r="AS1042" s="192">
        <f t="shared" si="342"/>
        <v>75.022782811514617</v>
      </c>
      <c r="AT1042" s="192">
        <f t="shared" si="343"/>
        <v>4.7532436808315754</v>
      </c>
      <c r="AU1042" s="192">
        <f t="shared" si="344"/>
        <v>79.77602649234619</v>
      </c>
      <c r="AW1042" s="192">
        <f t="shared" si="345"/>
        <v>154.00100553522086</v>
      </c>
      <c r="AX1042" s="192">
        <f t="shared" si="346"/>
        <v>-74.224979042874665</v>
      </c>
    </row>
    <row r="1043" spans="1:50" ht="16.5" customHeight="1" x14ac:dyDescent="0.3">
      <c r="A1043" s="257"/>
      <c r="B1043" s="415">
        <f>+A5</f>
        <v>2017</v>
      </c>
      <c r="C1043" s="395"/>
      <c r="D1043" s="395"/>
      <c r="E1043" s="395"/>
      <c r="F1043" s="395"/>
      <c r="G1043" s="395"/>
      <c r="H1043" s="395"/>
      <c r="I1043" s="395"/>
      <c r="J1043" s="395"/>
      <c r="K1043" s="395"/>
      <c r="L1043" s="395"/>
      <c r="M1043" s="395"/>
      <c r="N1043" s="395"/>
      <c r="O1043" s="395"/>
      <c r="P1043" s="395"/>
      <c r="R1043" s="304"/>
      <c r="AC1043" s="4">
        <v>22</v>
      </c>
      <c r="AD1043" s="192">
        <f>IF($AF$1019=1,VLOOKUP($AD$1019,$A$1049:$P$1060,12,FALSE),VLOOKUP($AD$1019,$A$1022:$S$1033,3,FALSE))</f>
        <v>0</v>
      </c>
      <c r="AE1043" s="192">
        <f t="shared" si="328"/>
        <v>10.90327380952381</v>
      </c>
      <c r="AF1043" s="192">
        <f t="shared" si="329"/>
        <v>11.410714285714285</v>
      </c>
      <c r="AG1043" s="192">
        <f t="shared" si="330"/>
        <v>19.117559523809522</v>
      </c>
      <c r="AH1043" s="192">
        <f t="shared" si="331"/>
        <v>5.3129613829432101</v>
      </c>
      <c r="AI1043" s="192">
        <f t="shared" si="332"/>
        <v>4.7366071428571432</v>
      </c>
      <c r="AJ1043" s="192">
        <f t="shared" si="333"/>
        <v>3.1964285714285712</v>
      </c>
      <c r="AK1043" s="192">
        <f t="shared" si="334"/>
        <v>4.9642857142857144</v>
      </c>
      <c r="AL1043" s="192">
        <f t="shared" si="335"/>
        <v>5.09375</v>
      </c>
      <c r="AM1043" s="192">
        <f t="shared" si="336"/>
        <v>1.6964285714285714</v>
      </c>
      <c r="AN1043" s="192">
        <f t="shared" si="337"/>
        <v>1.9985119047619049</v>
      </c>
      <c r="AO1043" s="192">
        <f t="shared" si="338"/>
        <v>4.0461309523809526</v>
      </c>
      <c r="AP1043" s="192">
        <f t="shared" si="339"/>
        <v>0.59226190476190477</v>
      </c>
      <c r="AQ1043" s="192">
        <f t="shared" si="340"/>
        <v>0.55208333333333337</v>
      </c>
      <c r="AR1043" s="192">
        <f t="shared" si="341"/>
        <v>1.4017857142857144</v>
      </c>
      <c r="AS1043" s="192">
        <f t="shared" si="342"/>
        <v>75.022782811514617</v>
      </c>
      <c r="AT1043" s="192">
        <f t="shared" si="343"/>
        <v>4.7532436808315754</v>
      </c>
      <c r="AU1043" s="192">
        <f t="shared" si="344"/>
        <v>79.77602649234619</v>
      </c>
      <c r="AW1043" s="192">
        <f t="shared" si="345"/>
        <v>154.00100553522086</v>
      </c>
      <c r="AX1043" s="192">
        <f t="shared" si="346"/>
        <v>-74.224979042874665</v>
      </c>
    </row>
    <row r="1044" spans="1:50" ht="15.75" customHeight="1" x14ac:dyDescent="0.3">
      <c r="A1044" s="257"/>
      <c r="B1044" s="394" t="s">
        <v>708</v>
      </c>
      <c r="C1044" s="394"/>
      <c r="D1044" s="394"/>
      <c r="E1044" s="394"/>
      <c r="F1044" s="394"/>
      <c r="G1044" s="394"/>
      <c r="H1044" s="394"/>
      <c r="I1044" s="394"/>
      <c r="J1044" s="394"/>
      <c r="K1044" s="394"/>
      <c r="L1044" s="394"/>
      <c r="M1044" s="394"/>
      <c r="N1044" s="394"/>
      <c r="O1044" s="394"/>
      <c r="P1044" s="394"/>
      <c r="R1044" s="304"/>
      <c r="AC1044" s="4">
        <v>23</v>
      </c>
      <c r="AD1044" s="192">
        <f>IF($AF$1019=1,VLOOKUP($AD$1019,$A$1049:$P$1060,12,FALSE),IF(OR($AD$1019="JAN",$AD$1019="FEB",$AD$1019="NOV",$AD$1019="DEC"),VLOOKUP($AD$1019,$A$1022:$S$1033,3,FALSE),VLOOKUP($AD$1019,$A$1022:$S$1033,2,FALSE)))</f>
        <v>0</v>
      </c>
      <c r="AE1044" s="192">
        <f t="shared" si="328"/>
        <v>10.90327380952381</v>
      </c>
      <c r="AF1044" s="192">
        <f t="shared" si="329"/>
        <v>11.410714285714285</v>
      </c>
      <c r="AG1044" s="192">
        <f t="shared" si="330"/>
        <v>19.117559523809522</v>
      </c>
      <c r="AH1044" s="192">
        <f t="shared" si="331"/>
        <v>5.3129613829432101</v>
      </c>
      <c r="AI1044" s="192">
        <f t="shared" si="332"/>
        <v>4.7366071428571432</v>
      </c>
      <c r="AJ1044" s="192">
        <f t="shared" si="333"/>
        <v>3.1964285714285712</v>
      </c>
      <c r="AK1044" s="192">
        <f t="shared" si="334"/>
        <v>4.9642857142857144</v>
      </c>
      <c r="AL1044" s="192">
        <f t="shared" si="335"/>
        <v>5.09375</v>
      </c>
      <c r="AM1044" s="192">
        <f t="shared" si="336"/>
        <v>1.6964285714285714</v>
      </c>
      <c r="AN1044" s="192">
        <f t="shared" si="337"/>
        <v>1.9985119047619049</v>
      </c>
      <c r="AO1044" s="192">
        <f t="shared" si="338"/>
        <v>4.0461309523809526</v>
      </c>
      <c r="AP1044" s="192">
        <f t="shared" si="339"/>
        <v>0.59226190476190477</v>
      </c>
      <c r="AQ1044" s="192">
        <f t="shared" si="340"/>
        <v>0.55208333333333337</v>
      </c>
      <c r="AR1044" s="192">
        <f t="shared" si="341"/>
        <v>1.4017857142857144</v>
      </c>
      <c r="AS1044" s="192">
        <f t="shared" si="342"/>
        <v>75.022782811514617</v>
      </c>
      <c r="AT1044" s="192">
        <f t="shared" si="343"/>
        <v>4.7532436808315754</v>
      </c>
      <c r="AU1044" s="192">
        <f t="shared" si="344"/>
        <v>79.77602649234619</v>
      </c>
      <c r="AW1044" s="192">
        <f t="shared" si="345"/>
        <v>154.00100553522086</v>
      </c>
      <c r="AX1044" s="192">
        <f t="shared" si="346"/>
        <v>-74.224979042874665</v>
      </c>
    </row>
    <row r="1045" spans="1:50" ht="15.75" customHeight="1" thickBot="1" x14ac:dyDescent="0.35">
      <c r="A1045" s="257"/>
      <c r="R1045" s="304"/>
      <c r="AC1045" s="4">
        <v>24</v>
      </c>
      <c r="AD1045" s="192">
        <f>IF($AF$1019=1,VLOOKUP($AD$1019,$A$1049:$P$1060,12,FALSE),VLOOKUP($AD$1019,$A$1022:$S$1033,2,FALSE))</f>
        <v>98</v>
      </c>
      <c r="AE1045" s="192">
        <f t="shared" si="328"/>
        <v>10.90327380952381</v>
      </c>
      <c r="AF1045" s="192">
        <f t="shared" si="329"/>
        <v>11.410714285714285</v>
      </c>
      <c r="AG1045" s="192">
        <f t="shared" si="330"/>
        <v>19.117559523809522</v>
      </c>
      <c r="AH1045" s="192">
        <f t="shared" si="331"/>
        <v>5.3129613829432101</v>
      </c>
      <c r="AI1045" s="192">
        <f t="shared" si="332"/>
        <v>4.7366071428571432</v>
      </c>
      <c r="AJ1045" s="192">
        <f t="shared" si="333"/>
        <v>3.1964285714285712</v>
      </c>
      <c r="AK1045" s="192">
        <f t="shared" si="334"/>
        <v>4.9642857142857144</v>
      </c>
      <c r="AL1045" s="192">
        <f t="shared" si="335"/>
        <v>5.09375</v>
      </c>
      <c r="AM1045" s="192">
        <f t="shared" si="336"/>
        <v>1.6964285714285714</v>
      </c>
      <c r="AN1045" s="192">
        <f t="shared" si="337"/>
        <v>1.9985119047619049</v>
      </c>
      <c r="AO1045" s="192">
        <f t="shared" si="338"/>
        <v>4.0461309523809526</v>
      </c>
      <c r="AP1045" s="192">
        <f t="shared" si="339"/>
        <v>0.59226190476190477</v>
      </c>
      <c r="AQ1045" s="192">
        <f t="shared" si="340"/>
        <v>0.55208333333333337</v>
      </c>
      <c r="AR1045" s="192">
        <f t="shared" si="341"/>
        <v>1.4017857142857144</v>
      </c>
      <c r="AS1045" s="192">
        <f t="shared" si="342"/>
        <v>173.02278281151467</v>
      </c>
      <c r="AT1045" s="192">
        <f t="shared" si="343"/>
        <v>10.962262638336844</v>
      </c>
      <c r="AU1045" s="192">
        <f t="shared" si="344"/>
        <v>183.98504544985153</v>
      </c>
      <c r="AW1045" s="192">
        <f t="shared" si="345"/>
        <v>154.00100553522086</v>
      </c>
      <c r="AX1045" s="192">
        <f t="shared" si="346"/>
        <v>29.984039914630671</v>
      </c>
    </row>
    <row r="1046" spans="1:50" ht="15.75" customHeight="1" x14ac:dyDescent="0.3">
      <c r="A1046" s="257"/>
      <c r="B1046" s="435" t="s">
        <v>806</v>
      </c>
      <c r="C1046" s="436"/>
      <c r="D1046" s="436"/>
      <c r="E1046" s="436"/>
      <c r="F1046" s="436"/>
      <c r="G1046" s="436"/>
      <c r="H1046" s="436"/>
      <c r="I1046" s="436"/>
      <c r="J1046" s="436"/>
      <c r="K1046" s="436"/>
      <c r="L1046" s="437"/>
      <c r="M1046" s="438" t="s">
        <v>807</v>
      </c>
      <c r="N1046" s="436"/>
      <c r="O1046" s="436"/>
      <c r="P1046" s="436"/>
      <c r="Q1046" s="192" t="s">
        <v>808</v>
      </c>
      <c r="R1046" s="312" t="s">
        <v>809</v>
      </c>
      <c r="S1046" s="192" t="s">
        <v>810</v>
      </c>
      <c r="T1046" s="192" t="s">
        <v>782</v>
      </c>
      <c r="AC1046" s="4" t="s">
        <v>641</v>
      </c>
      <c r="AD1046" s="192">
        <f>SUM(AD1022:AD1045)</f>
        <v>784</v>
      </c>
      <c r="AE1046" s="192">
        <f>SUM(AE1022:AE1045)</f>
        <v>261.67857142857127</v>
      </c>
      <c r="AF1046" s="192">
        <f t="shared" ref="AF1046:AW1046" si="358">SUM(AF1022:AF1045)</f>
        <v>273.85714285714272</v>
      </c>
      <c r="AG1046" s="192">
        <f t="shared" si="358"/>
        <v>458.8214285714285</v>
      </c>
      <c r="AH1046" s="192">
        <f t="shared" si="358"/>
        <v>127.51107319063708</v>
      </c>
      <c r="AI1046" s="192">
        <f t="shared" si="358"/>
        <v>113.6785714285714</v>
      </c>
      <c r="AJ1046" s="192">
        <f t="shared" si="358"/>
        <v>76.71428571428568</v>
      </c>
      <c r="AK1046" s="192">
        <f t="shared" si="358"/>
        <v>119.14285714285708</v>
      </c>
      <c r="AL1046" s="192">
        <f t="shared" si="358"/>
        <v>122.25</v>
      </c>
      <c r="AM1046" s="192">
        <f t="shared" si="358"/>
        <v>40.714285714285715</v>
      </c>
      <c r="AN1046" s="192">
        <f t="shared" si="358"/>
        <v>47.964285714285715</v>
      </c>
      <c r="AO1046" s="192">
        <f t="shared" si="358"/>
        <v>97.107142857142804</v>
      </c>
      <c r="AP1046" s="192">
        <f t="shared" si="358"/>
        <v>14.214285714285719</v>
      </c>
      <c r="AQ1046" s="192">
        <f t="shared" si="358"/>
        <v>13.250000000000004</v>
      </c>
      <c r="AR1046" s="192">
        <f t="shared" si="358"/>
        <v>33.64285714285716</v>
      </c>
      <c r="AS1046" s="192">
        <f t="shared" si="358"/>
        <v>2584.5467874763517</v>
      </c>
      <c r="AT1046" s="192">
        <f t="shared" si="358"/>
        <v>163.75</v>
      </c>
      <c r="AU1046" s="192">
        <f t="shared" si="358"/>
        <v>2748.2967874763508</v>
      </c>
      <c r="AW1046" s="192">
        <f t="shared" si="358"/>
        <v>3696.0241328453008</v>
      </c>
      <c r="AX1046" s="192">
        <f>SUMIF(AX1022:AX1045,"&gt;0")</f>
        <v>239.87231931704537</v>
      </c>
    </row>
    <row r="1047" spans="1:50" ht="15.75" customHeight="1" thickBot="1" x14ac:dyDescent="0.35">
      <c r="A1047" s="257" t="s">
        <v>768</v>
      </c>
      <c r="B1047" s="274" t="s">
        <v>811</v>
      </c>
      <c r="C1047" s="275" t="s">
        <v>791</v>
      </c>
      <c r="D1047" s="275" t="s">
        <v>792</v>
      </c>
      <c r="E1047" s="275" t="s">
        <v>812</v>
      </c>
      <c r="F1047" s="275" t="s">
        <v>791</v>
      </c>
      <c r="G1047" s="275" t="s">
        <v>792</v>
      </c>
      <c r="H1047" s="275" t="s">
        <v>793</v>
      </c>
      <c r="I1047" s="275" t="s">
        <v>791</v>
      </c>
      <c r="J1047" s="275" t="s">
        <v>792</v>
      </c>
      <c r="K1047" s="275" t="s">
        <v>793</v>
      </c>
      <c r="L1047" s="276" t="s">
        <v>813</v>
      </c>
      <c r="M1047" s="274" t="s">
        <v>814</v>
      </c>
      <c r="N1047" s="275" t="s">
        <v>791</v>
      </c>
      <c r="O1047" s="275" t="s">
        <v>791</v>
      </c>
      <c r="P1047" s="276" t="s">
        <v>813</v>
      </c>
      <c r="Q1047" s="277" t="s">
        <v>641</v>
      </c>
      <c r="R1047" s="313" t="s">
        <v>815</v>
      </c>
      <c r="S1047" s="275" t="s">
        <v>816</v>
      </c>
      <c r="T1047" s="275" t="s">
        <v>816</v>
      </c>
      <c r="AU1047" s="192"/>
      <c r="AW1047" s="192"/>
      <c r="AX1047" s="192"/>
    </row>
    <row r="1048" spans="1:50" ht="15.75" customHeight="1" thickTop="1" thickBot="1" x14ac:dyDescent="0.35">
      <c r="A1048" s="257"/>
      <c r="B1048" s="279"/>
      <c r="C1048" s="280" t="s">
        <v>817</v>
      </c>
      <c r="D1048" s="280" t="s">
        <v>817</v>
      </c>
      <c r="E1048" s="280" t="s">
        <v>817</v>
      </c>
      <c r="F1048" s="281" t="s">
        <v>779</v>
      </c>
      <c r="G1048" s="281" t="s">
        <v>779</v>
      </c>
      <c r="H1048" s="281" t="s">
        <v>779</v>
      </c>
      <c r="I1048" s="281" t="s">
        <v>818</v>
      </c>
      <c r="J1048" s="281" t="s">
        <v>818</v>
      </c>
      <c r="K1048" s="281" t="s">
        <v>818</v>
      </c>
      <c r="L1048" s="314" t="s">
        <v>819</v>
      </c>
      <c r="M1048" s="283"/>
      <c r="N1048" s="280" t="s">
        <v>817</v>
      </c>
      <c r="O1048" s="281" t="s">
        <v>779</v>
      </c>
      <c r="P1048" s="314" t="s">
        <v>818</v>
      </c>
      <c r="Q1048" s="277" t="s">
        <v>818</v>
      </c>
      <c r="R1048" s="313" t="s">
        <v>818</v>
      </c>
      <c r="S1048" s="281" t="s">
        <v>820</v>
      </c>
      <c r="T1048" s="281" t="s">
        <v>820</v>
      </c>
    </row>
    <row r="1049" spans="1:50" ht="15.75" customHeight="1" x14ac:dyDescent="0.3">
      <c r="A1049" s="257" t="s">
        <v>8</v>
      </c>
      <c r="B1049" s="211" t="e">
        <f ca="1">+$B$10-M1049</f>
        <v>#NAME?</v>
      </c>
      <c r="C1049" s="284">
        <v>4</v>
      </c>
      <c r="D1049" s="284">
        <v>0</v>
      </c>
      <c r="E1049" s="284" t="s">
        <v>803</v>
      </c>
      <c r="F1049" s="192">
        <f>+I1049/(24-S1049)</f>
        <v>196</v>
      </c>
      <c r="G1049" s="192">
        <f>+J1049/S1049</f>
        <v>0</v>
      </c>
      <c r="H1049" s="192" t="s">
        <v>803</v>
      </c>
      <c r="I1049" s="192">
        <f>+C1049*49*(24-S1049)</f>
        <v>3724</v>
      </c>
      <c r="J1049" s="192">
        <f>+D1049*49*S1049</f>
        <v>0</v>
      </c>
      <c r="K1049" s="192" t="s">
        <v>803</v>
      </c>
      <c r="L1049" s="312">
        <f>+J1049+I1049</f>
        <v>3724</v>
      </c>
      <c r="M1049" s="211" t="e">
        <f ca="1">SUMPRODUCT(--(WEEKDAY(ROW(INDIRECT(DATE($B$1043,MonthFromText(A1049),1)&amp;":"&amp;DATE($B$1043,MonthFromText(A1049),$B$10))),1)=1))</f>
        <v>#NAME?</v>
      </c>
      <c r="N1049" s="284">
        <v>4</v>
      </c>
      <c r="O1049" s="4">
        <f>+P1049/(24-T1049)</f>
        <v>196</v>
      </c>
      <c r="P1049" s="312">
        <f>+N1049*49*(24-T1049)</f>
        <v>3724</v>
      </c>
      <c r="Q1049" s="192" t="e">
        <f ca="1">+(L1049*B1049)+(M1049*P1049)</f>
        <v>#NAME?</v>
      </c>
      <c r="R1049" s="312" t="e">
        <f ca="1">+Q1049-B942</f>
        <v>#NAME?</v>
      </c>
      <c r="S1049" s="285">
        <v>5</v>
      </c>
      <c r="T1049" s="285">
        <v>5</v>
      </c>
      <c r="AD1049" s="360"/>
      <c r="AE1049" s="359"/>
      <c r="AF1049" s="366" t="s">
        <v>821</v>
      </c>
      <c r="AG1049" s="367" t="s">
        <v>822</v>
      </c>
      <c r="AH1049" s="367" t="s">
        <v>823</v>
      </c>
      <c r="AI1049" s="367" t="s">
        <v>824</v>
      </c>
      <c r="AJ1049" s="358"/>
    </row>
    <row r="1050" spans="1:50" ht="15.75" customHeight="1" x14ac:dyDescent="0.3">
      <c r="A1050" s="257" t="s">
        <v>9</v>
      </c>
      <c r="B1050" s="211" t="e">
        <f ca="1">+$C$10-M1050</f>
        <v>#NAME?</v>
      </c>
      <c r="C1050" s="284">
        <v>2</v>
      </c>
      <c r="D1050" s="284">
        <v>0</v>
      </c>
      <c r="E1050" s="284" t="s">
        <v>803</v>
      </c>
      <c r="F1050" s="192">
        <f t="shared" ref="F1050:F1060" si="359">+I1050/(24-S1050)</f>
        <v>98</v>
      </c>
      <c r="G1050" s="192">
        <f t="shared" ref="G1050:G1060" si="360">+J1050/S1050</f>
        <v>0</v>
      </c>
      <c r="H1050" s="192" t="s">
        <v>803</v>
      </c>
      <c r="I1050" s="192">
        <f t="shared" ref="I1050:I1060" si="361">+C1050*49*(24-S1050)</f>
        <v>1862</v>
      </c>
      <c r="J1050" s="192">
        <f t="shared" ref="J1050:J1060" si="362">+D1050*49*S1050</f>
        <v>0</v>
      </c>
      <c r="K1050" s="192" t="s">
        <v>803</v>
      </c>
      <c r="L1050" s="312">
        <f t="shared" ref="L1050:L1060" si="363">+J1050+I1050</f>
        <v>1862</v>
      </c>
      <c r="M1050" s="211" t="e">
        <f ca="1">SUMPRODUCT(--(WEEKDAY(ROW(INDIRECT(DATE($B$1043,MonthFromText(A1050),1)&amp;":"&amp;DATE($B$1043,MonthFromText(A1050),$C$10))),1)=1))</f>
        <v>#NAME?</v>
      </c>
      <c r="N1050" s="284">
        <f t="shared" ref="N1050:N1058" si="364">+C1050</f>
        <v>2</v>
      </c>
      <c r="O1050" s="4">
        <f t="shared" ref="O1050:O1060" si="365">+P1050/24</f>
        <v>98</v>
      </c>
      <c r="P1050" s="312">
        <f t="shared" ref="P1050:P1060" si="366">+N1050*49*24</f>
        <v>2352</v>
      </c>
      <c r="Q1050" s="192" t="e">
        <f ca="1">+(L1050*B1050)+(M1050*P1050)</f>
        <v>#NAME?</v>
      </c>
      <c r="R1050" s="312" t="e">
        <f t="shared" ref="R1050:R1060" ca="1" si="367">+Q1050-B943</f>
        <v>#NAME?</v>
      </c>
      <c r="S1050" s="285">
        <v>5</v>
      </c>
      <c r="T1050" s="285">
        <v>5</v>
      </c>
      <c r="AD1050" s="288" t="s">
        <v>668</v>
      </c>
      <c r="AE1050" s="289" t="s">
        <v>825</v>
      </c>
      <c r="AF1050" s="4">
        <f>V1022</f>
        <v>274.3440860215054</v>
      </c>
      <c r="AG1050" s="4">
        <f>X1022</f>
        <v>23.755940895817734</v>
      </c>
      <c r="AH1050" s="4">
        <f>Y1022</f>
        <v>-0.72992462767791</v>
      </c>
      <c r="AI1050" s="4">
        <f>Z1022</f>
        <v>29.069892473118284</v>
      </c>
      <c r="AJ1050" s="304"/>
    </row>
    <row r="1051" spans="1:50" ht="16.5" customHeight="1" x14ac:dyDescent="0.3">
      <c r="A1051" s="257" t="s">
        <v>10</v>
      </c>
      <c r="B1051" s="211" t="e">
        <f ca="1">+$D$10-M1051</f>
        <v>#NAME?</v>
      </c>
      <c r="C1051" s="284">
        <v>6</v>
      </c>
      <c r="D1051" s="284">
        <v>0</v>
      </c>
      <c r="E1051" s="284" t="s">
        <v>803</v>
      </c>
      <c r="F1051" s="192">
        <f t="shared" si="359"/>
        <v>294</v>
      </c>
      <c r="G1051" s="192">
        <f t="shared" si="360"/>
        <v>0</v>
      </c>
      <c r="H1051" s="192" t="s">
        <v>803</v>
      </c>
      <c r="I1051" s="192">
        <f t="shared" si="361"/>
        <v>5586</v>
      </c>
      <c r="J1051" s="192">
        <f t="shared" si="362"/>
        <v>0</v>
      </c>
      <c r="K1051" s="192" t="s">
        <v>803</v>
      </c>
      <c r="L1051" s="312">
        <f t="shared" si="363"/>
        <v>5586</v>
      </c>
      <c r="M1051" s="211" t="e">
        <f ca="1">SUMPRODUCT(--(WEEKDAY(ROW(INDIRECT(DATE($B$1043,MonthFromText(A1051),1)&amp;":"&amp;DATE($B$1043,MonthFromText(A1051),$D$10))),1)=1))</f>
        <v>#NAME?</v>
      </c>
      <c r="N1051" s="284">
        <v>3</v>
      </c>
      <c r="O1051" s="4">
        <f t="shared" si="365"/>
        <v>147</v>
      </c>
      <c r="P1051" s="312">
        <f t="shared" si="366"/>
        <v>3528</v>
      </c>
      <c r="Q1051" s="192" t="e">
        <f t="shared" ref="Q1051:Q1060" ca="1" si="368">+(L1051*B1051)+(M1051*P1051)</f>
        <v>#NAME?</v>
      </c>
      <c r="R1051" s="312" t="e">
        <f t="shared" ca="1" si="367"/>
        <v>#NAME?</v>
      </c>
      <c r="S1051" s="285">
        <v>5</v>
      </c>
      <c r="T1051" s="285">
        <v>5</v>
      </c>
      <c r="AD1051" s="288"/>
      <c r="AE1051" s="289" t="s">
        <v>816</v>
      </c>
      <c r="AF1051" s="4">
        <f>W1022</f>
        <v>78.344086021505376</v>
      </c>
      <c r="AG1051" s="4">
        <f>X1022</f>
        <v>23.755940895817734</v>
      </c>
      <c r="AH1051" s="4">
        <f>Y1022</f>
        <v>-0.72992462767791</v>
      </c>
      <c r="AI1051" s="4">
        <f>Z1022</f>
        <v>29.069892473118284</v>
      </c>
      <c r="AJ1051" s="304"/>
    </row>
    <row r="1052" spans="1:50" ht="16.5" customHeight="1" x14ac:dyDescent="0.3">
      <c r="A1052" s="257" t="s">
        <v>12</v>
      </c>
      <c r="B1052" s="211" t="e">
        <f ca="1">+$F$10-M1052</f>
        <v>#NAME?</v>
      </c>
      <c r="C1052" s="284">
        <v>6</v>
      </c>
      <c r="D1052" s="284">
        <v>0</v>
      </c>
      <c r="E1052" s="284" t="s">
        <v>803</v>
      </c>
      <c r="F1052" s="192">
        <f t="shared" si="359"/>
        <v>294</v>
      </c>
      <c r="G1052" s="192">
        <f t="shared" si="360"/>
        <v>0</v>
      </c>
      <c r="H1052" s="192" t="s">
        <v>803</v>
      </c>
      <c r="I1052" s="192">
        <f t="shared" si="361"/>
        <v>5586</v>
      </c>
      <c r="J1052" s="192">
        <f t="shared" si="362"/>
        <v>0</v>
      </c>
      <c r="K1052" s="192" t="s">
        <v>803</v>
      </c>
      <c r="L1052" s="312">
        <f t="shared" si="363"/>
        <v>5586</v>
      </c>
      <c r="M1052" s="211" t="e">
        <f ca="1">SUMPRODUCT(--(WEEKDAY(ROW(INDIRECT(DATE($B$1043,MonthFromText(A1052),1)&amp;":"&amp;DATE($B$1043,MonthFromText(A1052),$F$10))),1)=1))</f>
        <v>#NAME?</v>
      </c>
      <c r="N1052" s="284">
        <v>5</v>
      </c>
      <c r="O1052" s="4">
        <f t="shared" si="365"/>
        <v>245</v>
      </c>
      <c r="P1052" s="312">
        <f t="shared" si="366"/>
        <v>5880</v>
      </c>
      <c r="Q1052" s="192" t="e">
        <f t="shared" ca="1" si="368"/>
        <v>#NAME?</v>
      </c>
      <c r="R1052" s="312" t="e">
        <f t="shared" ca="1" si="367"/>
        <v>#NAME?</v>
      </c>
      <c r="S1052" s="285">
        <v>5</v>
      </c>
      <c r="T1052" s="285">
        <v>5</v>
      </c>
      <c r="AD1052" s="288" t="s">
        <v>826</v>
      </c>
      <c r="AE1052" s="289" t="s">
        <v>7</v>
      </c>
      <c r="AJ1052" s="304"/>
    </row>
    <row r="1053" spans="1:50" ht="15.75" customHeight="1" x14ac:dyDescent="0.3">
      <c r="A1053" s="257" t="s">
        <v>13</v>
      </c>
      <c r="B1053" s="211" t="e">
        <f ca="1">+$G$10-M1053</f>
        <v>#NAME?</v>
      </c>
      <c r="C1053" s="284">
        <v>6</v>
      </c>
      <c r="D1053" s="284">
        <v>0</v>
      </c>
      <c r="E1053" s="284" t="s">
        <v>803</v>
      </c>
      <c r="F1053" s="192">
        <f t="shared" si="359"/>
        <v>294</v>
      </c>
      <c r="G1053" s="192">
        <f t="shared" si="360"/>
        <v>0</v>
      </c>
      <c r="H1053" s="192" t="s">
        <v>803</v>
      </c>
      <c r="I1053" s="192">
        <f t="shared" si="361"/>
        <v>5586</v>
      </c>
      <c r="J1053" s="192">
        <f t="shared" si="362"/>
        <v>0</v>
      </c>
      <c r="K1053" s="192" t="s">
        <v>803</v>
      </c>
      <c r="L1053" s="312">
        <f t="shared" si="363"/>
        <v>5586</v>
      </c>
      <c r="M1053" s="211" t="e">
        <f ca="1">SUMPRODUCT(--(WEEKDAY(ROW(INDIRECT(DATE($B$1043,MonthFromText(A1053),1)&amp;":"&amp;DATE($B$1043,MonthFromText(A1053),$G$10))),1)=1))</f>
        <v>#NAME?</v>
      </c>
      <c r="N1053" s="284">
        <f t="shared" si="364"/>
        <v>6</v>
      </c>
      <c r="O1053" s="4">
        <f t="shared" si="365"/>
        <v>294</v>
      </c>
      <c r="P1053" s="312">
        <f t="shared" si="366"/>
        <v>7056</v>
      </c>
      <c r="Q1053" s="192" t="e">
        <f t="shared" ca="1" si="368"/>
        <v>#NAME?</v>
      </c>
      <c r="R1053" s="312" t="e">
        <f t="shared" ca="1" si="367"/>
        <v>#NAME?</v>
      </c>
      <c r="S1053" s="285">
        <v>5</v>
      </c>
      <c r="T1053" s="285">
        <v>5</v>
      </c>
      <c r="AD1053" s="288" t="s">
        <v>669</v>
      </c>
      <c r="AE1053" s="289" t="s">
        <v>825</v>
      </c>
      <c r="AF1053" s="4">
        <f>V1023</f>
        <v>139.43154761904762</v>
      </c>
      <c r="AG1053" s="4">
        <f>X1023</f>
        <v>5.3129613829432101</v>
      </c>
      <c r="AH1053" s="4">
        <f>Y1023</f>
        <v>-1.8040539885886531</v>
      </c>
      <c r="AI1053" s="4">
        <f>Z1023</f>
        <v>28.278273809523814</v>
      </c>
      <c r="AJ1053" s="304"/>
    </row>
    <row r="1054" spans="1:50" ht="15.75" customHeight="1" x14ac:dyDescent="0.3">
      <c r="A1054" s="257" t="s">
        <v>14</v>
      </c>
      <c r="B1054" s="211" t="e">
        <f ca="1">+$H$10-M1054</f>
        <v>#NAME?</v>
      </c>
      <c r="C1054" s="284">
        <v>3</v>
      </c>
      <c r="D1054" s="284">
        <v>0</v>
      </c>
      <c r="E1054" s="284">
        <v>0</v>
      </c>
      <c r="F1054" s="192">
        <f t="shared" si="359"/>
        <v>147</v>
      </c>
      <c r="G1054" s="192">
        <f t="shared" si="360"/>
        <v>0</v>
      </c>
      <c r="H1054" s="192" t="s">
        <v>803</v>
      </c>
      <c r="I1054" s="192">
        <f t="shared" si="361"/>
        <v>2205</v>
      </c>
      <c r="J1054" s="192">
        <f t="shared" si="362"/>
        <v>0</v>
      </c>
      <c r="K1054" s="192" t="s">
        <v>803</v>
      </c>
      <c r="L1054" s="312">
        <f t="shared" si="363"/>
        <v>2205</v>
      </c>
      <c r="M1054" s="211" t="e">
        <f ca="1">SUMPRODUCT(--(WEEKDAY(ROW(INDIRECT(DATE($B$1043,MonthFromText(A1054),1)&amp;":"&amp;DATE($B$1043,MonthFromText(A1054),$H$10))),1)=1))</f>
        <v>#NAME?</v>
      </c>
      <c r="N1054" s="284">
        <f t="shared" si="364"/>
        <v>3</v>
      </c>
      <c r="O1054" s="4">
        <f t="shared" si="365"/>
        <v>147</v>
      </c>
      <c r="P1054" s="312">
        <f t="shared" si="366"/>
        <v>3528</v>
      </c>
      <c r="Q1054" s="192" t="e">
        <f ca="1">+(L1054*B1054)+(M1054*P1054)</f>
        <v>#NAME?</v>
      </c>
      <c r="R1054" s="312" t="e">
        <f t="shared" ca="1" si="367"/>
        <v>#NAME?</v>
      </c>
      <c r="S1054" s="285">
        <v>9</v>
      </c>
      <c r="T1054" s="285">
        <v>9</v>
      </c>
      <c r="AD1054" s="288"/>
      <c r="AE1054" s="289" t="s">
        <v>816</v>
      </c>
      <c r="AF1054" s="4">
        <f>W1023</f>
        <v>41.43154761904762</v>
      </c>
      <c r="AG1054" s="4">
        <f>X1023</f>
        <v>5.3129613829432101</v>
      </c>
      <c r="AH1054" s="4">
        <f>Y1023</f>
        <v>-1.8040539885886531</v>
      </c>
      <c r="AI1054" s="4">
        <f>Z1023</f>
        <v>28.278273809523814</v>
      </c>
      <c r="AJ1054" s="304"/>
    </row>
    <row r="1055" spans="1:50" ht="15.75" customHeight="1" x14ac:dyDescent="0.3">
      <c r="A1055" s="257" t="s">
        <v>16</v>
      </c>
      <c r="B1055" s="211" t="e">
        <f ca="1">+$J$10-M1055</f>
        <v>#NAME?</v>
      </c>
      <c r="C1055" s="284">
        <v>3</v>
      </c>
      <c r="D1055" s="284">
        <v>0</v>
      </c>
      <c r="E1055" s="284">
        <v>0</v>
      </c>
      <c r="F1055" s="192">
        <f t="shared" si="359"/>
        <v>147</v>
      </c>
      <c r="G1055" s="192">
        <f t="shared" si="360"/>
        <v>0</v>
      </c>
      <c r="H1055" s="192" t="s">
        <v>803</v>
      </c>
      <c r="I1055" s="192">
        <f t="shared" si="361"/>
        <v>2205</v>
      </c>
      <c r="J1055" s="192">
        <f t="shared" si="362"/>
        <v>0</v>
      </c>
      <c r="K1055" s="192" t="s">
        <v>803</v>
      </c>
      <c r="L1055" s="312">
        <f t="shared" si="363"/>
        <v>2205</v>
      </c>
      <c r="M1055" s="211" t="e">
        <f ca="1">SUMPRODUCT(--(WEEKDAY(ROW(INDIRECT(DATE($B$1043,MonthFromText(A1055),1)&amp;":"&amp;DATE($B$1043,MonthFromText(A1055),$J$10))),1)=1))</f>
        <v>#NAME?</v>
      </c>
      <c r="N1055" s="284">
        <f t="shared" si="364"/>
        <v>3</v>
      </c>
      <c r="O1055" s="4">
        <f t="shared" si="365"/>
        <v>147</v>
      </c>
      <c r="P1055" s="312">
        <f t="shared" si="366"/>
        <v>3528</v>
      </c>
      <c r="Q1055" s="192" t="e">
        <f t="shared" ca="1" si="368"/>
        <v>#NAME?</v>
      </c>
      <c r="R1055" s="312" t="e">
        <f t="shared" ca="1" si="367"/>
        <v>#NAME?</v>
      </c>
      <c r="S1055" s="285">
        <v>9</v>
      </c>
      <c r="T1055" s="285">
        <v>9</v>
      </c>
      <c r="AD1055" s="288" t="s">
        <v>826</v>
      </c>
      <c r="AE1055" s="289" t="s">
        <v>7</v>
      </c>
      <c r="AJ1055" s="304"/>
    </row>
    <row r="1056" spans="1:50" ht="15.75" customHeight="1" x14ac:dyDescent="0.3">
      <c r="A1056" s="257" t="s">
        <v>17</v>
      </c>
      <c r="B1056" s="211" t="e">
        <f ca="1">+$K$10-M1056</f>
        <v>#NAME?</v>
      </c>
      <c r="C1056" s="284">
        <v>3</v>
      </c>
      <c r="D1056" s="284">
        <v>0</v>
      </c>
      <c r="E1056" s="284">
        <v>0</v>
      </c>
      <c r="F1056" s="192">
        <f t="shared" si="359"/>
        <v>147</v>
      </c>
      <c r="G1056" s="192">
        <f t="shared" si="360"/>
        <v>0</v>
      </c>
      <c r="H1056" s="192" t="s">
        <v>803</v>
      </c>
      <c r="I1056" s="192">
        <f t="shared" si="361"/>
        <v>2205</v>
      </c>
      <c r="J1056" s="192">
        <f t="shared" si="362"/>
        <v>0</v>
      </c>
      <c r="K1056" s="192" t="s">
        <v>803</v>
      </c>
      <c r="L1056" s="312">
        <f t="shared" si="363"/>
        <v>2205</v>
      </c>
      <c r="M1056" s="211" t="e">
        <f ca="1">SUMPRODUCT(--(WEEKDAY(ROW(INDIRECT(DATE($B$1043,MonthFromText(A1056),1)&amp;":"&amp;DATE($B$1043,MonthFromText(A1056),$K$10))),1)=1))</f>
        <v>#NAME?</v>
      </c>
      <c r="N1056" s="284">
        <f t="shared" si="364"/>
        <v>3</v>
      </c>
      <c r="O1056" s="4">
        <f t="shared" si="365"/>
        <v>147</v>
      </c>
      <c r="P1056" s="312">
        <f t="shared" si="366"/>
        <v>3528</v>
      </c>
      <c r="Q1056" s="192" t="e">
        <f t="shared" ca="1" si="368"/>
        <v>#NAME?</v>
      </c>
      <c r="R1056" s="312" t="e">
        <f t="shared" ca="1" si="367"/>
        <v>#NAME?</v>
      </c>
      <c r="S1056" s="285">
        <v>9</v>
      </c>
      <c r="T1056" s="285">
        <v>9</v>
      </c>
      <c r="AD1056" s="288" t="s">
        <v>671</v>
      </c>
      <c r="AE1056" s="289" t="s">
        <v>825</v>
      </c>
      <c r="AF1056" s="4">
        <f>V1024</f>
        <v>378.32661290322579</v>
      </c>
      <c r="AG1056" s="4">
        <f>X1024</f>
        <v>5.9462011333461797</v>
      </c>
      <c r="AH1056" s="4">
        <f>Y1024</f>
        <v>-4.4155504776721671E-2</v>
      </c>
      <c r="AI1056" s="4">
        <f>Z1024</f>
        <v>52.884408602150543</v>
      </c>
      <c r="AJ1056" s="304"/>
    </row>
    <row r="1057" spans="1:36" ht="15.75" customHeight="1" x14ac:dyDescent="0.3">
      <c r="A1057" s="257" t="s">
        <v>18</v>
      </c>
      <c r="B1057" s="211" t="e">
        <f ca="1">+$L$10-M1057</f>
        <v>#NAME?</v>
      </c>
      <c r="C1057" s="284">
        <v>5</v>
      </c>
      <c r="D1057" s="284">
        <v>0</v>
      </c>
      <c r="E1057" s="284" t="s">
        <v>803</v>
      </c>
      <c r="F1057" s="192">
        <f t="shared" si="359"/>
        <v>245</v>
      </c>
      <c r="G1057" s="192">
        <f t="shared" si="360"/>
        <v>0</v>
      </c>
      <c r="H1057" s="192" t="s">
        <v>803</v>
      </c>
      <c r="I1057" s="192">
        <f t="shared" si="361"/>
        <v>4410</v>
      </c>
      <c r="J1057" s="192">
        <f t="shared" si="362"/>
        <v>0</v>
      </c>
      <c r="K1057" s="192" t="s">
        <v>803</v>
      </c>
      <c r="L1057" s="312">
        <f t="shared" si="363"/>
        <v>4410</v>
      </c>
      <c r="M1057" s="211" t="e">
        <f ca="1">SUMPRODUCT(--(WEEKDAY(ROW(INDIRECT(DATE($B$1043,MonthFromText(A1057),1)&amp;":"&amp;DATE($B$1043,MonthFromText(A1057),$L$10))),1)=1))</f>
        <v>#NAME?</v>
      </c>
      <c r="N1057" s="284">
        <f t="shared" si="364"/>
        <v>5</v>
      </c>
      <c r="O1057" s="4">
        <f t="shared" si="365"/>
        <v>245</v>
      </c>
      <c r="P1057" s="312">
        <f t="shared" si="366"/>
        <v>5880</v>
      </c>
      <c r="Q1057" s="192" t="e">
        <f t="shared" ca="1" si="368"/>
        <v>#NAME?</v>
      </c>
      <c r="R1057" s="312" t="e">
        <f t="shared" ca="1" si="367"/>
        <v>#NAME?</v>
      </c>
      <c r="S1057" s="285">
        <v>6</v>
      </c>
      <c r="T1057" s="285">
        <v>4</v>
      </c>
      <c r="AD1057" s="288"/>
      <c r="AE1057" s="289" t="s">
        <v>816</v>
      </c>
      <c r="AF1057" s="4">
        <f>W1024</f>
        <v>84.326612903225808</v>
      </c>
      <c r="AG1057" s="4">
        <f>X1024</f>
        <v>5.9462011333461797</v>
      </c>
      <c r="AH1057" s="4">
        <f>Y1024</f>
        <v>-4.4155504776721671E-2</v>
      </c>
      <c r="AI1057" s="4">
        <f>Z1024</f>
        <v>52.884408602150543</v>
      </c>
      <c r="AJ1057" s="304"/>
    </row>
    <row r="1058" spans="1:36" ht="15.75" customHeight="1" x14ac:dyDescent="0.3">
      <c r="A1058" s="257" t="s">
        <v>20</v>
      </c>
      <c r="B1058" s="211" t="e">
        <f ca="1">+$N$10-M1058</f>
        <v>#NAME?</v>
      </c>
      <c r="C1058" s="284">
        <v>5</v>
      </c>
      <c r="D1058" s="284">
        <v>0</v>
      </c>
      <c r="E1058" s="284" t="s">
        <v>803</v>
      </c>
      <c r="F1058" s="192">
        <f t="shared" si="359"/>
        <v>245</v>
      </c>
      <c r="G1058" s="192">
        <f t="shared" si="360"/>
        <v>0</v>
      </c>
      <c r="H1058" s="192" t="s">
        <v>803</v>
      </c>
      <c r="I1058" s="192">
        <f t="shared" si="361"/>
        <v>4410</v>
      </c>
      <c r="J1058" s="192">
        <f t="shared" si="362"/>
        <v>0</v>
      </c>
      <c r="K1058" s="192" t="s">
        <v>803</v>
      </c>
      <c r="L1058" s="312">
        <f t="shared" si="363"/>
        <v>4410</v>
      </c>
      <c r="M1058" s="211" t="e">
        <f ca="1">SUMPRODUCT(--(WEEKDAY(ROW(INDIRECT(DATE($B$1043,MonthFromText(A1058),1)&amp;":"&amp;DATE($B$1043,MonthFromText(A1058),$N$10))),1)=1))</f>
        <v>#NAME?</v>
      </c>
      <c r="N1058" s="284">
        <f t="shared" si="364"/>
        <v>5</v>
      </c>
      <c r="O1058" s="4">
        <f t="shared" si="365"/>
        <v>245</v>
      </c>
      <c r="P1058" s="312">
        <f t="shared" si="366"/>
        <v>5880</v>
      </c>
      <c r="Q1058" s="192" t="e">
        <f t="shared" ca="1" si="368"/>
        <v>#NAME?</v>
      </c>
      <c r="R1058" s="312" t="e">
        <f t="shared" ca="1" si="367"/>
        <v>#NAME?</v>
      </c>
      <c r="S1058" s="285">
        <v>6</v>
      </c>
      <c r="T1058" s="285">
        <v>4</v>
      </c>
      <c r="AD1058" s="288" t="s">
        <v>826</v>
      </c>
      <c r="AE1058" s="289" t="s">
        <v>7</v>
      </c>
      <c r="AJ1058" s="304"/>
    </row>
    <row r="1059" spans="1:36" ht="15.75" customHeight="1" x14ac:dyDescent="0.3">
      <c r="A1059" s="257" t="s">
        <v>21</v>
      </c>
      <c r="B1059" s="211" t="e">
        <f ca="1">+$O$10-M1059</f>
        <v>#NAME?</v>
      </c>
      <c r="C1059" s="284">
        <v>5</v>
      </c>
      <c r="D1059" s="284">
        <v>0</v>
      </c>
      <c r="E1059" s="284" t="s">
        <v>803</v>
      </c>
      <c r="F1059" s="192">
        <f t="shared" si="359"/>
        <v>245</v>
      </c>
      <c r="G1059" s="192">
        <f t="shared" si="360"/>
        <v>0</v>
      </c>
      <c r="H1059" s="192" t="s">
        <v>803</v>
      </c>
      <c r="I1059" s="192">
        <f t="shared" si="361"/>
        <v>4410</v>
      </c>
      <c r="J1059" s="192">
        <f t="shared" si="362"/>
        <v>0</v>
      </c>
      <c r="K1059" s="192" t="s">
        <v>803</v>
      </c>
      <c r="L1059" s="312">
        <f t="shared" si="363"/>
        <v>4410</v>
      </c>
      <c r="M1059" s="211" t="e">
        <f ca="1">SUMPRODUCT(--(WEEKDAY(ROW(INDIRECT(DATE($B$1043,MonthFromText(A1059),1)&amp;":"&amp;DATE($B$1043,MonthFromText(A1059),$O$10))),1)=1))</f>
        <v>#NAME?</v>
      </c>
      <c r="N1059" s="284">
        <v>3</v>
      </c>
      <c r="O1059" s="4">
        <f t="shared" si="365"/>
        <v>147</v>
      </c>
      <c r="P1059" s="312">
        <f t="shared" si="366"/>
        <v>3528</v>
      </c>
      <c r="Q1059" s="192" t="e">
        <f t="shared" ca="1" si="368"/>
        <v>#NAME?</v>
      </c>
      <c r="R1059" s="312" t="e">
        <f t="shared" ca="1" si="367"/>
        <v>#NAME?</v>
      </c>
      <c r="S1059" s="285">
        <v>6</v>
      </c>
      <c r="T1059" s="285">
        <v>4</v>
      </c>
      <c r="AD1059" s="288" t="s">
        <v>672</v>
      </c>
      <c r="AE1059" s="289" t="s">
        <v>825</v>
      </c>
      <c r="AF1059" s="4">
        <f>V1025</f>
        <v>396.30694444444441</v>
      </c>
      <c r="AG1059" s="4">
        <f>X1025</f>
        <v>2.8998862115511739</v>
      </c>
      <c r="AH1059" s="4">
        <f>Y1025</f>
        <v>-1.3151325652218018E-3</v>
      </c>
      <c r="AI1059" s="4">
        <f>Z1025</f>
        <v>60.004166666666656</v>
      </c>
      <c r="AJ1059" s="304"/>
    </row>
    <row r="1060" spans="1:36" ht="15.75" customHeight="1" thickBot="1" x14ac:dyDescent="0.35">
      <c r="A1060" s="257" t="s">
        <v>22</v>
      </c>
      <c r="B1060" s="220" t="e">
        <f ca="1">+$P$10-M1060</f>
        <v>#NAME?</v>
      </c>
      <c r="C1060" s="290">
        <v>5</v>
      </c>
      <c r="D1060" s="290">
        <v>0</v>
      </c>
      <c r="E1060" s="284" t="s">
        <v>803</v>
      </c>
      <c r="F1060" s="192">
        <f t="shared" si="359"/>
        <v>245</v>
      </c>
      <c r="G1060" s="192">
        <f t="shared" si="360"/>
        <v>0</v>
      </c>
      <c r="H1060" s="192" t="s">
        <v>803</v>
      </c>
      <c r="I1060" s="192">
        <f t="shared" si="361"/>
        <v>4410</v>
      </c>
      <c r="J1060" s="192">
        <f t="shared" si="362"/>
        <v>0</v>
      </c>
      <c r="K1060" s="192" t="s">
        <v>803</v>
      </c>
      <c r="L1060" s="312">
        <f t="shared" si="363"/>
        <v>4410</v>
      </c>
      <c r="M1060" s="220" t="e">
        <f ca="1">SUMPRODUCT(--(WEEKDAY(ROW(INDIRECT(DATE($B$1043,MonthFromText(A1060),1)&amp;":"&amp;DATE($B$1043,MonthFromText(A1060),$P$10))),1)=1))</f>
        <v>#NAME?</v>
      </c>
      <c r="N1060" s="284">
        <v>3</v>
      </c>
      <c r="O1060" s="135">
        <f t="shared" si="365"/>
        <v>147</v>
      </c>
      <c r="P1060" s="272">
        <f t="shared" si="366"/>
        <v>3528</v>
      </c>
      <c r="Q1060" s="291" t="e">
        <f t="shared" ca="1" si="368"/>
        <v>#NAME?</v>
      </c>
      <c r="R1060" s="292" t="e">
        <f t="shared" ca="1" si="367"/>
        <v>#NAME?</v>
      </c>
      <c r="S1060" s="285">
        <v>6</v>
      </c>
      <c r="T1060" s="285">
        <v>4</v>
      </c>
      <c r="AD1060" s="288"/>
      <c r="AE1060" s="289" t="s">
        <v>816</v>
      </c>
      <c r="AF1060" s="4">
        <f>W1025</f>
        <v>102.30694444444444</v>
      </c>
      <c r="AG1060" s="4">
        <f>X1025</f>
        <v>2.8998862115511739</v>
      </c>
      <c r="AH1060" s="4">
        <f>Y1025</f>
        <v>-1.3151325652218018E-3</v>
      </c>
      <c r="AI1060" s="4">
        <f>Z1025</f>
        <v>60.004166666666656</v>
      </c>
      <c r="AJ1060" s="304"/>
    </row>
    <row r="1061" spans="1:36" ht="15.75" customHeight="1" thickBot="1" x14ac:dyDescent="0.35">
      <c r="A1061" s="134"/>
      <c r="B1061" s="135"/>
      <c r="C1061" s="135"/>
      <c r="D1061" s="135"/>
      <c r="E1061" s="368"/>
      <c r="F1061" s="368"/>
      <c r="G1061" s="368"/>
      <c r="H1061" s="368"/>
      <c r="I1061" s="368"/>
      <c r="J1061" s="368"/>
      <c r="K1061" s="368"/>
      <c r="L1061" s="368"/>
      <c r="M1061" s="135"/>
      <c r="N1061" s="135"/>
      <c r="O1061" s="135"/>
      <c r="P1061" s="135"/>
      <c r="Q1061" s="206" t="e">
        <f ca="1">+SUM(Q1049:Q1060)</f>
        <v>#NAME?</v>
      </c>
      <c r="R1061" s="272" t="e">
        <f ca="1">+Q1061-B955</f>
        <v>#NAME?</v>
      </c>
      <c r="AD1061" s="288" t="s">
        <v>826</v>
      </c>
      <c r="AE1061" s="289" t="s">
        <v>7</v>
      </c>
      <c r="AJ1061" s="304"/>
    </row>
    <row r="1062" spans="1:36" ht="15.75" customHeight="1" x14ac:dyDescent="0.3">
      <c r="A1062" s="260" t="s">
        <v>827</v>
      </c>
      <c r="J1062" s="192"/>
      <c r="AD1062" s="288" t="s">
        <v>673</v>
      </c>
      <c r="AE1062" s="289" t="s">
        <v>825</v>
      </c>
      <c r="AF1062" s="4">
        <f>V1026</f>
        <v>402.62768817204301</v>
      </c>
      <c r="AG1062" s="4">
        <f>X1026</f>
        <v>7.1756995459914172</v>
      </c>
      <c r="AH1062" s="4">
        <f>Y1026</f>
        <v>-0.30943546361345459</v>
      </c>
      <c r="AI1062" s="4">
        <f>Z1026</f>
        <v>56.326612903225808</v>
      </c>
      <c r="AJ1062" s="304"/>
    </row>
    <row r="1063" spans="1:36" ht="15.75" customHeight="1" x14ac:dyDescent="0.3">
      <c r="A1063" s="260" t="s">
        <v>828</v>
      </c>
      <c r="AD1063" s="288"/>
      <c r="AE1063" s="289" t="s">
        <v>816</v>
      </c>
      <c r="AF1063" s="4">
        <f>W1026</f>
        <v>108.62768817204301</v>
      </c>
      <c r="AG1063" s="4">
        <f>X1026</f>
        <v>7.1756995459914172</v>
      </c>
      <c r="AH1063" s="4">
        <f>Y1026</f>
        <v>-0.30943546361345459</v>
      </c>
      <c r="AI1063" s="4">
        <f>Z1026</f>
        <v>56.326612903225808</v>
      </c>
      <c r="AJ1063" s="304"/>
    </row>
    <row r="1064" spans="1:36" ht="15.75" customHeight="1" x14ac:dyDescent="0.3">
      <c r="A1064" s="260" t="s">
        <v>829</v>
      </c>
      <c r="AD1064" s="288" t="s">
        <v>826</v>
      </c>
      <c r="AE1064" s="289" t="s">
        <v>7</v>
      </c>
      <c r="AJ1064" s="304"/>
    </row>
    <row r="1065" spans="1:36" ht="15.75" customHeight="1" x14ac:dyDescent="0.3">
      <c r="AD1065" s="288" t="s">
        <v>675</v>
      </c>
      <c r="AE1065" s="289" t="s">
        <v>825</v>
      </c>
      <c r="AF1065" s="4">
        <f>V1027</f>
        <v>198.57222222222222</v>
      </c>
      <c r="AG1065" s="4">
        <f>X1027</f>
        <v>0</v>
      </c>
      <c r="AH1065" s="4">
        <f>Y1027</f>
        <v>-22.077255714644576</v>
      </c>
      <c r="AI1065" s="4">
        <f>Z1027</f>
        <v>70.88611111111112</v>
      </c>
      <c r="AJ1065" s="304"/>
    </row>
    <row r="1066" spans="1:36" ht="15.75" customHeight="1" x14ac:dyDescent="0.3">
      <c r="A1066" s="4" t="s">
        <v>830</v>
      </c>
      <c r="AD1066" s="288"/>
      <c r="AE1066" s="289" t="s">
        <v>816</v>
      </c>
      <c r="AF1066" s="4">
        <f>W1027</f>
        <v>51.572222222222223</v>
      </c>
      <c r="AG1066" s="4">
        <f>X1027</f>
        <v>0</v>
      </c>
      <c r="AH1066" s="4">
        <f>Y1027</f>
        <v>-22.077255714644576</v>
      </c>
      <c r="AI1066" s="4">
        <f>Z1027</f>
        <v>70.88611111111112</v>
      </c>
      <c r="AJ1066" s="304"/>
    </row>
    <row r="1067" spans="1:36" ht="15.75" customHeight="1" x14ac:dyDescent="0.3">
      <c r="AD1067" s="288" t="s">
        <v>826</v>
      </c>
      <c r="AE1067" s="289" t="s">
        <v>7</v>
      </c>
      <c r="AJ1067" s="304"/>
    </row>
    <row r="1068" spans="1:36" ht="15.75" customHeight="1" x14ac:dyDescent="0.3">
      <c r="AD1068" s="288" t="s">
        <v>676</v>
      </c>
      <c r="AE1068" s="289" t="s">
        <v>825</v>
      </c>
      <c r="AF1068" s="4">
        <f>V1028</f>
        <v>192.33736559139786</v>
      </c>
      <c r="AG1068" s="4">
        <f>X1028</f>
        <v>0</v>
      </c>
      <c r="AH1068" s="4">
        <f>Y1028</f>
        <v>-16.312897380082664</v>
      </c>
      <c r="AI1068" s="4">
        <f>Z1028</f>
        <v>64.408602150537632</v>
      </c>
      <c r="AJ1068" s="304"/>
    </row>
    <row r="1069" spans="1:36" ht="16.5" customHeight="1" x14ac:dyDescent="0.3">
      <c r="AD1069" s="288"/>
      <c r="AE1069" s="289" t="s">
        <v>816</v>
      </c>
      <c r="AF1069" s="4">
        <f>W1028</f>
        <v>45.337365591397848</v>
      </c>
      <c r="AG1069" s="4">
        <f>X1028</f>
        <v>0</v>
      </c>
      <c r="AH1069" s="4">
        <f>Y1028</f>
        <v>-16.312897380082664</v>
      </c>
      <c r="AI1069" s="4">
        <f>Z1028</f>
        <v>64.408602150537632</v>
      </c>
      <c r="AJ1069" s="304"/>
    </row>
    <row r="1070" spans="1:36" ht="15.75" customHeight="1" x14ac:dyDescent="0.3">
      <c r="AD1070" s="288" t="s">
        <v>826</v>
      </c>
      <c r="AE1070" s="289" t="s">
        <v>7</v>
      </c>
      <c r="AJ1070" s="304"/>
    </row>
    <row r="1071" spans="1:36" ht="16.5" customHeight="1" x14ac:dyDescent="0.3">
      <c r="AD1071" s="288" t="s">
        <v>691</v>
      </c>
      <c r="AE1071" s="289" t="s">
        <v>825</v>
      </c>
      <c r="AF1071" s="4">
        <f>V1029</f>
        <v>190.49731182795699</v>
      </c>
      <c r="AG1071" s="4">
        <f>X1029</f>
        <v>0</v>
      </c>
      <c r="AH1071" s="4">
        <f>Y1029</f>
        <v>-13.366155316767534</v>
      </c>
      <c r="AI1071" s="4">
        <f>Z1029</f>
        <v>63.659946236559129</v>
      </c>
      <c r="AJ1071" s="304"/>
    </row>
    <row r="1072" spans="1:36" ht="15.75" customHeight="1" x14ac:dyDescent="0.3">
      <c r="AD1072" s="288"/>
      <c r="AE1072" s="289" t="s">
        <v>816</v>
      </c>
      <c r="AF1072" s="4">
        <f>W1029</f>
        <v>43.497311827956992</v>
      </c>
      <c r="AG1072" s="4">
        <f>X1029</f>
        <v>0</v>
      </c>
      <c r="AH1072" s="4">
        <f>Y1029</f>
        <v>-13.366155316767534</v>
      </c>
      <c r="AI1072" s="4">
        <f>Z1029</f>
        <v>63.659946236559129</v>
      </c>
      <c r="AJ1072" s="304"/>
    </row>
    <row r="1073" spans="1:36" ht="15.75" customHeight="1" x14ac:dyDescent="0.3">
      <c r="AD1073" s="288" t="s">
        <v>826</v>
      </c>
      <c r="AE1073" s="289" t="s">
        <v>7</v>
      </c>
      <c r="AJ1073" s="304"/>
    </row>
    <row r="1074" spans="1:36" ht="15.75" customHeight="1" x14ac:dyDescent="0.3">
      <c r="AD1074" s="288" t="s">
        <v>831</v>
      </c>
      <c r="AE1074" s="289" t="s">
        <v>825</v>
      </c>
      <c r="AF1074" s="4">
        <f>V1030</f>
        <v>329.68888888888887</v>
      </c>
      <c r="AG1074" s="4">
        <f>X1030</f>
        <v>2.302511468882543</v>
      </c>
      <c r="AH1074" s="4">
        <f>Y1030</f>
        <v>-1.9748487817131366</v>
      </c>
      <c r="AI1074" s="4">
        <f>Z1030</f>
        <v>54.67916666666666</v>
      </c>
      <c r="AJ1074" s="304"/>
    </row>
    <row r="1075" spans="1:36" ht="15.75" customHeight="1" x14ac:dyDescent="0.3">
      <c r="AD1075" s="288"/>
      <c r="AE1075" s="289" t="s">
        <v>816</v>
      </c>
      <c r="AF1075" s="4">
        <f>W1030</f>
        <v>84.688888888888883</v>
      </c>
      <c r="AG1075" s="4">
        <f>X1030</f>
        <v>2.302511468882543</v>
      </c>
      <c r="AH1075" s="4">
        <f>Y1030</f>
        <v>-1.9748487817131366</v>
      </c>
      <c r="AI1075" s="4">
        <f>Z1030</f>
        <v>54.67916666666666</v>
      </c>
      <c r="AJ1075" s="304"/>
    </row>
    <row r="1076" spans="1:36" ht="15.75" customHeight="1" x14ac:dyDescent="0.3">
      <c r="I1076" s="192"/>
      <c r="J1076" s="192"/>
      <c r="AD1076" s="288" t="s">
        <v>826</v>
      </c>
      <c r="AE1076" s="289" t="s">
        <v>7</v>
      </c>
      <c r="AJ1076" s="304"/>
    </row>
    <row r="1077" spans="1:36" ht="15.75" customHeight="1" x14ac:dyDescent="0.3">
      <c r="AD1077" s="288" t="s">
        <v>693</v>
      </c>
      <c r="AE1077" s="289" t="s">
        <v>825</v>
      </c>
      <c r="AF1077" s="4">
        <f>V1031</f>
        <v>325.38172043010752</v>
      </c>
      <c r="AG1077" s="4">
        <f>X1031</f>
        <v>10.746195374473309</v>
      </c>
      <c r="AH1077" s="4">
        <f>Y1031</f>
        <v>0</v>
      </c>
      <c r="AI1077" s="4">
        <f>Z1031</f>
        <v>24.803763440860219</v>
      </c>
      <c r="AJ1077" s="304"/>
    </row>
    <row r="1078" spans="1:36" ht="15.75" customHeight="1" x14ac:dyDescent="0.3">
      <c r="AD1078" s="288"/>
      <c r="AE1078" s="289" t="s">
        <v>816</v>
      </c>
      <c r="AF1078" s="4">
        <f>W1031</f>
        <v>80.381720430107521</v>
      </c>
      <c r="AG1078" s="4">
        <f>X1031</f>
        <v>10.746195374473309</v>
      </c>
      <c r="AH1078" s="4">
        <f>Y1031</f>
        <v>0</v>
      </c>
      <c r="AI1078" s="4">
        <f>Z1031</f>
        <v>24.803763440860219</v>
      </c>
      <c r="AJ1078" s="304"/>
    </row>
    <row r="1079" spans="1:36" ht="15.75" customHeight="1" x14ac:dyDescent="0.3">
      <c r="AD1079" s="288" t="s">
        <v>826</v>
      </c>
      <c r="AE1079" s="289" t="s">
        <v>7</v>
      </c>
      <c r="AJ1079" s="304"/>
    </row>
    <row r="1080" spans="1:36" ht="15.75" customHeight="1" x14ac:dyDescent="0.3">
      <c r="AD1080" s="288" t="s">
        <v>694</v>
      </c>
      <c r="AE1080" s="289" t="s">
        <v>825</v>
      </c>
      <c r="AF1080" s="4">
        <f>V1032</f>
        <v>326.8458333333333</v>
      </c>
      <c r="AG1080" s="4">
        <f>X1032</f>
        <v>17.434059172942092</v>
      </c>
      <c r="AH1080" s="4">
        <f>Y1032</f>
        <v>0</v>
      </c>
      <c r="AI1080" s="4">
        <f>Z1032</f>
        <v>9.5527777777777771</v>
      </c>
      <c r="AJ1080" s="304"/>
    </row>
    <row r="1081" spans="1:36" ht="15.75" customHeight="1" x14ac:dyDescent="0.3">
      <c r="AD1081" s="288"/>
      <c r="AE1081" s="289" t="s">
        <v>816</v>
      </c>
      <c r="AF1081" s="4">
        <f>W1032</f>
        <v>81.845833333333331</v>
      </c>
      <c r="AG1081" s="4">
        <f>X1032</f>
        <v>17.434059172942092</v>
      </c>
      <c r="AH1081" s="4">
        <f>Y1032</f>
        <v>0</v>
      </c>
      <c r="AI1081" s="4">
        <f>Z1032</f>
        <v>9.5527777777777771</v>
      </c>
      <c r="AJ1081" s="304"/>
    </row>
    <row r="1082" spans="1:36" ht="15.75" customHeight="1" x14ac:dyDescent="0.3">
      <c r="AD1082" s="288" t="s">
        <v>826</v>
      </c>
      <c r="AE1082" s="289" t="s">
        <v>7</v>
      </c>
      <c r="AJ1082" s="304"/>
    </row>
    <row r="1083" spans="1:36" ht="15.75" customHeight="1" thickBot="1" x14ac:dyDescent="0.35">
      <c r="AD1083" s="288" t="s">
        <v>695</v>
      </c>
      <c r="AE1083" s="289" t="s">
        <v>825</v>
      </c>
      <c r="AF1083" s="4">
        <f>V1033</f>
        <v>333.10483870967744</v>
      </c>
      <c r="AG1083" s="4">
        <f>X1033</f>
        <v>18.607906508697226</v>
      </c>
      <c r="AH1083" s="4">
        <f>Y1033</f>
        <v>-1.3183328541726921E-2</v>
      </c>
      <c r="AI1083" s="4">
        <f>Z1033</f>
        <v>24.081989247311828</v>
      </c>
      <c r="AJ1083" s="304"/>
    </row>
    <row r="1084" spans="1:36" ht="15.75" customHeight="1" x14ac:dyDescent="0.35">
      <c r="A1084" s="350"/>
      <c r="B1084" s="351"/>
      <c r="C1084" s="369"/>
      <c r="D1084" s="369"/>
      <c r="E1084" s="369"/>
      <c r="F1084" s="369"/>
      <c r="G1084" s="369"/>
      <c r="H1084" s="352" t="s">
        <v>832</v>
      </c>
      <c r="I1084" s="351"/>
      <c r="J1084" s="351"/>
      <c r="K1084" s="351"/>
      <c r="L1084" s="351"/>
      <c r="M1084" s="351"/>
      <c r="N1084" s="351"/>
      <c r="O1084" s="351"/>
      <c r="P1084" s="351"/>
      <c r="Q1084" s="354" t="str">
        <f>+Q1</f>
        <v xml:space="preserve">PRINTED:  </v>
      </c>
      <c r="R1084" s="357">
        <f ca="1">+R1</f>
        <v>44894.658168402777</v>
      </c>
      <c r="S1084" s="358"/>
      <c r="AD1084" s="288"/>
      <c r="AE1084" s="289" t="s">
        <v>816</v>
      </c>
      <c r="AF1084" s="4">
        <f>W1033</f>
        <v>88.104838709677423</v>
      </c>
      <c r="AG1084" s="4">
        <f>X1033</f>
        <v>18.607906508697226</v>
      </c>
      <c r="AH1084" s="4">
        <f>Y1033</f>
        <v>-1.3183328541726921E-2</v>
      </c>
      <c r="AI1084" s="4">
        <f>Z1033</f>
        <v>24.081989247311828</v>
      </c>
      <c r="AJ1084" s="304"/>
    </row>
    <row r="1085" spans="1:36" ht="15.75" customHeight="1" thickBot="1" x14ac:dyDescent="0.4">
      <c r="A1085" s="179"/>
      <c r="B1085" s="180"/>
      <c r="C1085" s="201"/>
      <c r="D1085" s="201"/>
      <c r="E1085" s="201"/>
      <c r="F1085" s="201"/>
      <c r="G1085" s="201"/>
      <c r="H1085" s="180" t="s">
        <v>633</v>
      </c>
      <c r="I1085" s="180" t="s">
        <v>7</v>
      </c>
      <c r="J1085" s="202" t="str">
        <f>+A8</f>
        <v>Revised:  1/18/2018</v>
      </c>
      <c r="K1085" s="180"/>
      <c r="L1085" s="180"/>
      <c r="M1085" s="180"/>
      <c r="N1085" s="180"/>
      <c r="O1085" s="180"/>
      <c r="P1085" s="180"/>
      <c r="Q1085" s="180"/>
      <c r="R1085" s="180"/>
      <c r="S1085" s="304"/>
      <c r="AD1085" s="295" t="s">
        <v>826</v>
      </c>
      <c r="AE1085" s="296" t="s">
        <v>7</v>
      </c>
      <c r="AF1085" s="135"/>
      <c r="AG1085" s="135"/>
      <c r="AH1085" s="135"/>
      <c r="AI1085" s="135"/>
      <c r="AJ1085" s="136"/>
    </row>
    <row r="1086" spans="1:36" ht="15.75" customHeight="1" x14ac:dyDescent="0.35">
      <c r="A1086" s="179"/>
      <c r="B1086" s="180"/>
      <c r="C1086" s="201"/>
      <c r="D1086" s="201"/>
      <c r="E1086" s="201"/>
      <c r="F1086" s="201"/>
      <c r="G1086" s="201"/>
      <c r="H1086" s="180" t="s">
        <v>833</v>
      </c>
      <c r="I1086" s="180"/>
      <c r="J1086" s="180"/>
      <c r="K1086" s="180"/>
      <c r="L1086" s="180"/>
      <c r="M1086" s="180"/>
      <c r="N1086" s="180"/>
      <c r="O1086" s="180"/>
      <c r="P1086" s="180"/>
      <c r="Q1086" s="180"/>
      <c r="R1086" s="180"/>
      <c r="S1086" s="304"/>
    </row>
    <row r="1087" spans="1:36" ht="15.75" customHeight="1" x14ac:dyDescent="0.35">
      <c r="A1087" s="179"/>
      <c r="B1087" s="180"/>
      <c r="C1087" s="201"/>
      <c r="D1087" s="201"/>
      <c r="E1087" s="201"/>
      <c r="F1087" s="201"/>
      <c r="G1087" s="201"/>
      <c r="H1087" s="180"/>
      <c r="I1087" s="180"/>
      <c r="J1087" s="180"/>
      <c r="K1087" s="180"/>
      <c r="L1087" s="180"/>
      <c r="M1087" s="180"/>
      <c r="N1087" s="180"/>
      <c r="O1087" s="180"/>
      <c r="P1087" s="180"/>
      <c r="Q1087" s="180"/>
      <c r="R1087" s="180"/>
      <c r="S1087" s="304"/>
    </row>
    <row r="1088" spans="1:36" ht="15.75" customHeight="1" x14ac:dyDescent="0.35">
      <c r="A1088" s="179"/>
      <c r="B1088" s="180"/>
      <c r="C1088" s="201"/>
      <c r="D1088" s="201"/>
      <c r="E1088" s="201"/>
      <c r="F1088" s="201"/>
      <c r="G1088" s="201"/>
      <c r="H1088" s="180" t="s">
        <v>633</v>
      </c>
      <c r="I1088" s="297">
        <f>+A5</f>
        <v>2017</v>
      </c>
      <c r="J1088" s="180"/>
      <c r="K1088" s="180"/>
      <c r="L1088" s="180"/>
      <c r="M1088" s="180"/>
      <c r="N1088" s="180"/>
      <c r="O1088" s="180"/>
      <c r="P1088" s="180"/>
      <c r="Q1088" s="180"/>
      <c r="R1088" s="180"/>
      <c r="S1088" s="304"/>
    </row>
    <row r="1089" spans="1:19" ht="15.75" customHeight="1" x14ac:dyDescent="0.3">
      <c r="A1089" s="179"/>
      <c r="B1089" s="180"/>
      <c r="C1089" s="180"/>
      <c r="D1089" s="180"/>
      <c r="E1089" s="180"/>
      <c r="F1089" s="180"/>
      <c r="G1089" s="180"/>
      <c r="H1089" s="180"/>
      <c r="I1089" s="180"/>
      <c r="J1089" s="180"/>
      <c r="K1089" s="180"/>
      <c r="L1089" s="180"/>
      <c r="M1089" s="180"/>
      <c r="N1089" s="180"/>
      <c r="O1089" s="180"/>
      <c r="P1089" s="180"/>
      <c r="Q1089" s="180"/>
      <c r="R1089" s="180"/>
      <c r="S1089" s="304"/>
    </row>
    <row r="1090" spans="1:19" ht="15.75" customHeight="1" x14ac:dyDescent="0.3">
      <c r="A1090" s="179"/>
      <c r="B1090" s="180"/>
      <c r="C1090" s="199" t="s">
        <v>834</v>
      </c>
      <c r="D1090" s="180"/>
      <c r="E1090" s="180"/>
      <c r="F1090" s="180"/>
      <c r="G1090" s="199" t="s">
        <v>835</v>
      </c>
      <c r="H1090" s="180"/>
      <c r="I1090" s="180"/>
      <c r="J1090" s="180"/>
      <c r="K1090" s="298" t="s">
        <v>836</v>
      </c>
      <c r="L1090" s="180"/>
      <c r="M1090" s="180"/>
      <c r="N1090" s="180"/>
      <c r="O1090" s="298" t="s">
        <v>837</v>
      </c>
      <c r="P1090" s="180"/>
      <c r="Q1090" s="180"/>
      <c r="R1090" s="180"/>
      <c r="S1090" s="304"/>
    </row>
    <row r="1091" spans="1:19" ht="15.75" customHeight="1" x14ac:dyDescent="0.3">
      <c r="A1091" s="179"/>
      <c r="B1091" s="180"/>
      <c r="C1091" s="180">
        <f>+A5</f>
        <v>2017</v>
      </c>
      <c r="D1091" s="180"/>
      <c r="E1091" s="180"/>
      <c r="F1091" s="180" t="s">
        <v>838</v>
      </c>
      <c r="G1091" s="180"/>
      <c r="H1091" s="180"/>
      <c r="I1091" s="180"/>
      <c r="J1091" s="180"/>
      <c r="K1091" s="180">
        <f>+A5</f>
        <v>2017</v>
      </c>
      <c r="L1091" s="180"/>
      <c r="M1091" s="180"/>
      <c r="N1091" s="180"/>
      <c r="O1091" s="180">
        <f>+A5</f>
        <v>2017</v>
      </c>
      <c r="P1091" s="180"/>
      <c r="Q1091" s="180"/>
      <c r="R1091" s="180"/>
      <c r="S1091" s="304"/>
    </row>
    <row r="1092" spans="1:19" ht="15.75" customHeight="1" x14ac:dyDescent="0.3">
      <c r="A1092" s="179"/>
      <c r="B1092" s="180"/>
      <c r="C1092" s="180"/>
      <c r="D1092" s="180"/>
      <c r="E1092" s="180"/>
      <c r="F1092" s="180"/>
      <c r="G1092" s="180">
        <f>+A5</f>
        <v>2017</v>
      </c>
      <c r="H1092" s="180"/>
      <c r="I1092" s="180"/>
      <c r="J1092" s="180"/>
      <c r="K1092" s="180"/>
      <c r="L1092" s="180"/>
      <c r="M1092" s="180"/>
      <c r="N1092" s="180"/>
      <c r="O1092" s="180"/>
      <c r="P1092" s="180"/>
      <c r="Q1092" s="180"/>
      <c r="R1092" s="180"/>
      <c r="S1092" s="304"/>
    </row>
    <row r="1093" spans="1:19" ht="15.75" customHeight="1" x14ac:dyDescent="0.3">
      <c r="A1093" s="179"/>
      <c r="B1093" s="180"/>
      <c r="C1093" s="182" t="s">
        <v>839</v>
      </c>
      <c r="D1093" s="182" t="s">
        <v>840</v>
      </c>
      <c r="E1093" s="182" t="s">
        <v>841</v>
      </c>
      <c r="F1093" s="180"/>
      <c r="G1093" s="182" t="s">
        <v>842</v>
      </c>
      <c r="H1093" s="182" t="s">
        <v>840</v>
      </c>
      <c r="I1093" s="182" t="s">
        <v>843</v>
      </c>
      <c r="J1093" s="180"/>
      <c r="K1093" s="182" t="s">
        <v>738</v>
      </c>
      <c r="L1093" s="182" t="s">
        <v>840</v>
      </c>
      <c r="M1093" s="182" t="s">
        <v>844</v>
      </c>
      <c r="N1093" s="180"/>
      <c r="O1093" s="182" t="s">
        <v>738</v>
      </c>
      <c r="P1093" s="182" t="s">
        <v>840</v>
      </c>
      <c r="Q1093" s="182" t="s">
        <v>844</v>
      </c>
      <c r="R1093" s="180"/>
      <c r="S1093" s="304"/>
    </row>
    <row r="1094" spans="1:19" ht="15.75" customHeight="1" x14ac:dyDescent="0.3">
      <c r="A1094" s="179"/>
      <c r="B1094" s="180"/>
      <c r="C1094" s="182" t="s">
        <v>845</v>
      </c>
      <c r="D1094" s="182" t="s">
        <v>658</v>
      </c>
      <c r="E1094" s="182" t="s">
        <v>846</v>
      </c>
      <c r="F1094" s="180"/>
      <c r="G1094" s="182" t="s">
        <v>847</v>
      </c>
      <c r="H1094" s="182" t="s">
        <v>658</v>
      </c>
      <c r="I1094" s="182" t="s">
        <v>846</v>
      </c>
      <c r="J1094" s="180"/>
      <c r="K1094" s="182" t="s">
        <v>848</v>
      </c>
      <c r="L1094" s="182" t="s">
        <v>658</v>
      </c>
      <c r="M1094" s="182" t="s">
        <v>846</v>
      </c>
      <c r="N1094" s="180"/>
      <c r="O1094" s="182" t="s">
        <v>848</v>
      </c>
      <c r="P1094" s="182" t="s">
        <v>658</v>
      </c>
      <c r="Q1094" s="182" t="s">
        <v>846</v>
      </c>
      <c r="R1094" s="180"/>
      <c r="S1094" s="304"/>
    </row>
    <row r="1095" spans="1:19" ht="15.75" customHeight="1" x14ac:dyDescent="0.3">
      <c r="A1095" s="179"/>
      <c r="B1095" s="180"/>
      <c r="C1095" s="182" t="s">
        <v>658</v>
      </c>
      <c r="D1095" s="182" t="s">
        <v>655</v>
      </c>
      <c r="E1095" s="182" t="s">
        <v>849</v>
      </c>
      <c r="F1095" s="180"/>
      <c r="G1095" s="182" t="s">
        <v>743</v>
      </c>
      <c r="H1095" s="182" t="s">
        <v>655</v>
      </c>
      <c r="I1095" s="182" t="s">
        <v>849</v>
      </c>
      <c r="J1095" s="180"/>
      <c r="K1095" s="182" t="s">
        <v>658</v>
      </c>
      <c r="L1095" s="182" t="s">
        <v>655</v>
      </c>
      <c r="M1095" s="182" t="s">
        <v>849</v>
      </c>
      <c r="N1095" s="180"/>
      <c r="O1095" s="182" t="s">
        <v>658</v>
      </c>
      <c r="P1095" s="182" t="s">
        <v>655</v>
      </c>
      <c r="Q1095" s="182" t="s">
        <v>849</v>
      </c>
      <c r="R1095" s="180"/>
      <c r="S1095" s="304"/>
    </row>
    <row r="1096" spans="1:19" ht="15.75" customHeight="1" x14ac:dyDescent="0.3">
      <c r="A1096" s="179"/>
      <c r="B1096" s="180"/>
      <c r="C1096" s="182" t="s">
        <v>664</v>
      </c>
      <c r="D1096" s="182" t="s">
        <v>850</v>
      </c>
      <c r="E1096" s="182" t="s">
        <v>851</v>
      </c>
      <c r="F1096" s="180"/>
      <c r="G1096" s="182" t="s">
        <v>664</v>
      </c>
      <c r="H1096" s="182" t="s">
        <v>850</v>
      </c>
      <c r="I1096" s="182" t="s">
        <v>851</v>
      </c>
      <c r="J1096" s="180"/>
      <c r="K1096" s="182" t="s">
        <v>664</v>
      </c>
      <c r="L1096" s="182" t="s">
        <v>850</v>
      </c>
      <c r="M1096" s="182" t="s">
        <v>851</v>
      </c>
      <c r="N1096" s="180"/>
      <c r="O1096" s="182" t="s">
        <v>664</v>
      </c>
      <c r="P1096" s="182" t="s">
        <v>850</v>
      </c>
      <c r="Q1096" s="182" t="s">
        <v>851</v>
      </c>
      <c r="R1096" s="180"/>
      <c r="S1096" s="304"/>
    </row>
    <row r="1097" spans="1:19" ht="15.75" customHeight="1" x14ac:dyDescent="0.3">
      <c r="A1097" s="179"/>
      <c r="B1097" s="180"/>
      <c r="C1097" s="180" t="s">
        <v>666</v>
      </c>
      <c r="D1097" s="180" t="s">
        <v>666</v>
      </c>
      <c r="E1097" s="180" t="s">
        <v>666</v>
      </c>
      <c r="F1097" s="180"/>
      <c r="G1097" s="182" t="s">
        <v>666</v>
      </c>
      <c r="H1097" s="182" t="s">
        <v>666</v>
      </c>
      <c r="I1097" s="182" t="s">
        <v>666</v>
      </c>
      <c r="J1097" s="180"/>
      <c r="K1097" s="180" t="s">
        <v>666</v>
      </c>
      <c r="L1097" s="180" t="s">
        <v>666</v>
      </c>
      <c r="M1097" s="180" t="s">
        <v>666</v>
      </c>
      <c r="N1097" s="180"/>
      <c r="O1097" s="180" t="s">
        <v>666</v>
      </c>
      <c r="P1097" s="180" t="s">
        <v>666</v>
      </c>
      <c r="Q1097" s="180" t="s">
        <v>666</v>
      </c>
      <c r="R1097" s="180"/>
      <c r="S1097" s="304"/>
    </row>
    <row r="1098" spans="1:19" ht="15.75" customHeight="1" x14ac:dyDescent="0.3">
      <c r="A1098" s="189" t="s">
        <v>668</v>
      </c>
      <c r="B1098" s="180"/>
      <c r="C1098" s="180">
        <f t="shared" ref="C1098:C1109" si="369">(P970)</f>
        <v>0</v>
      </c>
      <c r="D1098" s="203">
        <v>0</v>
      </c>
      <c r="E1098" s="217">
        <f t="shared" ref="E1098:E1109" si="370">(P970*D1098/1000)</f>
        <v>0</v>
      </c>
      <c r="F1098" s="180"/>
      <c r="G1098" s="180">
        <v>0</v>
      </c>
      <c r="H1098" s="203">
        <v>0</v>
      </c>
      <c r="I1098" s="217">
        <f t="shared" ref="I1098:I1109" si="371">(G1098*H1098/1000)</f>
        <v>0</v>
      </c>
      <c r="J1098" s="180"/>
      <c r="K1098" s="299">
        <v>11848</v>
      </c>
      <c r="L1098" s="300">
        <v>0</v>
      </c>
      <c r="M1098" s="217">
        <f t="shared" ref="M1098:M1109" si="372">(K1098*L1098/1000)</f>
        <v>0</v>
      </c>
      <c r="N1098" s="180"/>
      <c r="O1098" s="299">
        <v>0</v>
      </c>
      <c r="P1098" s="203">
        <v>0</v>
      </c>
      <c r="Q1098" s="217">
        <f t="shared" ref="Q1098:Q1109" si="373">(O1098*P1098/1000)</f>
        <v>0</v>
      </c>
      <c r="R1098" s="180"/>
      <c r="S1098" s="304"/>
    </row>
    <row r="1099" spans="1:19" ht="15.75" customHeight="1" x14ac:dyDescent="0.3">
      <c r="A1099" s="189" t="s">
        <v>669</v>
      </c>
      <c r="B1099" s="180"/>
      <c r="C1099" s="180">
        <f t="shared" si="369"/>
        <v>0.35</v>
      </c>
      <c r="D1099" s="203">
        <v>0</v>
      </c>
      <c r="E1099" s="217">
        <f t="shared" si="370"/>
        <v>0</v>
      </c>
      <c r="F1099" s="180"/>
      <c r="G1099" s="180" t="e">
        <f>#REF!</f>
        <v>#REF!</v>
      </c>
      <c r="H1099" s="203">
        <v>0</v>
      </c>
      <c r="I1099" s="217" t="e">
        <f t="shared" si="371"/>
        <v>#REF!</v>
      </c>
      <c r="J1099" s="180"/>
      <c r="K1099" s="299">
        <v>11489</v>
      </c>
      <c r="L1099" s="300">
        <v>0</v>
      </c>
      <c r="M1099" s="217">
        <f t="shared" si="372"/>
        <v>0</v>
      </c>
      <c r="N1099" s="180"/>
      <c r="O1099" s="299">
        <v>0</v>
      </c>
      <c r="P1099" s="203">
        <v>0</v>
      </c>
      <c r="Q1099" s="217">
        <f t="shared" si="373"/>
        <v>0</v>
      </c>
      <c r="R1099" s="180"/>
      <c r="S1099" s="304"/>
    </row>
    <row r="1100" spans="1:19" ht="15.75" customHeight="1" x14ac:dyDescent="0.3">
      <c r="A1100" s="189" t="s">
        <v>671</v>
      </c>
      <c r="B1100" s="180"/>
      <c r="C1100" s="180">
        <f t="shared" si="369"/>
        <v>0.33</v>
      </c>
      <c r="D1100" s="203">
        <v>0</v>
      </c>
      <c r="E1100" s="217">
        <f t="shared" si="370"/>
        <v>0</v>
      </c>
      <c r="F1100" s="180">
        <f>SUM(E1098:E1100)</f>
        <v>0</v>
      </c>
      <c r="G1100" s="180" t="e">
        <f>#REF!</f>
        <v>#REF!</v>
      </c>
      <c r="H1100" s="203">
        <v>0</v>
      </c>
      <c r="I1100" s="217" t="e">
        <f t="shared" si="371"/>
        <v>#REF!</v>
      </c>
      <c r="J1100" s="180" t="e">
        <f>SUM(I1098:I1100)</f>
        <v>#REF!</v>
      </c>
      <c r="K1100" s="299">
        <v>16247</v>
      </c>
      <c r="L1100" s="300">
        <v>0</v>
      </c>
      <c r="M1100" s="217">
        <f t="shared" si="372"/>
        <v>0</v>
      </c>
      <c r="N1100" s="180">
        <f>SUM(M1098:M1100)</f>
        <v>0</v>
      </c>
      <c r="O1100" s="299">
        <v>0</v>
      </c>
      <c r="P1100" s="203">
        <v>0</v>
      </c>
      <c r="Q1100" s="217">
        <f t="shared" si="373"/>
        <v>0</v>
      </c>
      <c r="R1100" s="180">
        <f>SUM(Q1098:Q1100)</f>
        <v>0</v>
      </c>
      <c r="S1100" s="304"/>
    </row>
    <row r="1101" spans="1:19" ht="15.75" customHeight="1" x14ac:dyDescent="0.3">
      <c r="A1101" s="189" t="s">
        <v>672</v>
      </c>
      <c r="B1101" s="180"/>
      <c r="C1101" s="180">
        <f t="shared" si="369"/>
        <v>0.3</v>
      </c>
      <c r="D1101" s="203">
        <v>0</v>
      </c>
      <c r="E1101" s="217">
        <f t="shared" si="370"/>
        <v>0</v>
      </c>
      <c r="F1101" s="180"/>
      <c r="G1101" s="180" t="e">
        <f>#REF!</f>
        <v>#REF!</v>
      </c>
      <c r="H1101" s="203">
        <v>0</v>
      </c>
      <c r="I1101" s="217" t="e">
        <f t="shared" si="371"/>
        <v>#REF!</v>
      </c>
      <c r="J1101" s="180"/>
      <c r="K1101" s="299">
        <v>17740</v>
      </c>
      <c r="L1101" s="300">
        <v>0</v>
      </c>
      <c r="M1101" s="217">
        <f t="shared" si="372"/>
        <v>0</v>
      </c>
      <c r="N1101" s="180"/>
      <c r="O1101" s="299">
        <v>0</v>
      </c>
      <c r="P1101" s="203">
        <v>0</v>
      </c>
      <c r="Q1101" s="217">
        <f t="shared" si="373"/>
        <v>0</v>
      </c>
      <c r="R1101" s="180"/>
      <c r="S1101" s="304"/>
    </row>
    <row r="1102" spans="1:19" ht="15.75" customHeight="1" x14ac:dyDescent="0.3">
      <c r="A1102" s="189" t="s">
        <v>673</v>
      </c>
      <c r="B1102" s="180"/>
      <c r="C1102" s="180">
        <f t="shared" si="369"/>
        <v>0.09</v>
      </c>
      <c r="D1102" s="203">
        <v>0</v>
      </c>
      <c r="E1102" s="217">
        <f t="shared" si="370"/>
        <v>0</v>
      </c>
      <c r="F1102" s="180"/>
      <c r="G1102" s="180" t="e">
        <f>#REF!</f>
        <v>#REF!</v>
      </c>
      <c r="H1102" s="203">
        <v>0</v>
      </c>
      <c r="I1102" s="217" t="e">
        <f t="shared" si="371"/>
        <v>#REF!</v>
      </c>
      <c r="J1102" s="180"/>
      <c r="K1102" s="299">
        <v>15434</v>
      </c>
      <c r="L1102" s="300">
        <v>0</v>
      </c>
      <c r="M1102" s="217">
        <f t="shared" si="372"/>
        <v>0</v>
      </c>
      <c r="N1102" s="180"/>
      <c r="O1102" s="299">
        <v>0</v>
      </c>
      <c r="P1102" s="203">
        <v>0</v>
      </c>
      <c r="Q1102" s="217">
        <f t="shared" si="373"/>
        <v>0</v>
      </c>
      <c r="R1102" s="180"/>
      <c r="S1102" s="304"/>
    </row>
    <row r="1103" spans="1:19" ht="15.75" customHeight="1" x14ac:dyDescent="0.3">
      <c r="A1103" s="189" t="s">
        <v>675</v>
      </c>
      <c r="B1103" s="180"/>
      <c r="C1103" s="180">
        <f t="shared" si="369"/>
        <v>7.0000000000000007E-2</v>
      </c>
      <c r="D1103" s="203">
        <v>0</v>
      </c>
      <c r="E1103" s="217">
        <f t="shared" si="370"/>
        <v>0</v>
      </c>
      <c r="F1103" s="180">
        <f>SUM(E1101:E1103)</f>
        <v>0</v>
      </c>
      <c r="G1103" s="180" t="e">
        <f>#REF!</f>
        <v>#REF!</v>
      </c>
      <c r="H1103" s="203">
        <v>0</v>
      </c>
      <c r="I1103" s="217" t="e">
        <f t="shared" si="371"/>
        <v>#REF!</v>
      </c>
      <c r="J1103" s="180" t="e">
        <f>SUM(I1101:I1103)</f>
        <v>#REF!</v>
      </c>
      <c r="K1103" s="299">
        <v>14355</v>
      </c>
      <c r="L1103" s="300">
        <v>0</v>
      </c>
      <c r="M1103" s="217">
        <f t="shared" si="372"/>
        <v>0</v>
      </c>
      <c r="N1103" s="180">
        <f>SUM(M1101:M1103)</f>
        <v>0</v>
      </c>
      <c r="O1103" s="299">
        <v>0</v>
      </c>
      <c r="P1103" s="203">
        <v>0</v>
      </c>
      <c r="Q1103" s="217">
        <f t="shared" si="373"/>
        <v>0</v>
      </c>
      <c r="R1103" s="180">
        <f>SUM(Q1101:Q1103)</f>
        <v>0</v>
      </c>
      <c r="S1103" s="304"/>
    </row>
    <row r="1104" spans="1:19" ht="15.75" customHeight="1" x14ac:dyDescent="0.3">
      <c r="A1104" s="189" t="s">
        <v>676</v>
      </c>
      <c r="B1104" s="180"/>
      <c r="C1104" s="180">
        <f t="shared" si="369"/>
        <v>7.4999999999999997E-2</v>
      </c>
      <c r="D1104" s="203">
        <v>0</v>
      </c>
      <c r="E1104" s="217">
        <f t="shared" si="370"/>
        <v>0</v>
      </c>
      <c r="F1104" s="180"/>
      <c r="G1104" s="180" t="e">
        <f>#REF!</f>
        <v>#REF!</v>
      </c>
      <c r="H1104" s="203">
        <v>0</v>
      </c>
      <c r="I1104" s="217" t="e">
        <f t="shared" si="371"/>
        <v>#REF!</v>
      </c>
      <c r="J1104" s="180"/>
      <c r="K1104" s="299">
        <v>13129</v>
      </c>
      <c r="L1104" s="300">
        <v>0</v>
      </c>
      <c r="M1104" s="217">
        <f t="shared" si="372"/>
        <v>0</v>
      </c>
      <c r="N1104" s="180"/>
      <c r="O1104" s="299">
        <v>0</v>
      </c>
      <c r="P1104" s="203">
        <v>0</v>
      </c>
      <c r="Q1104" s="217">
        <f t="shared" si="373"/>
        <v>0</v>
      </c>
      <c r="R1104" s="180"/>
      <c r="S1104" s="304"/>
    </row>
    <row r="1105" spans="1:19" ht="15.75" customHeight="1" x14ac:dyDescent="0.3">
      <c r="A1105" s="189" t="s">
        <v>691</v>
      </c>
      <c r="B1105" s="180"/>
      <c r="C1105" s="180">
        <f t="shared" si="369"/>
        <v>7.4999999999999997E-2</v>
      </c>
      <c r="D1105" s="203">
        <v>0</v>
      </c>
      <c r="E1105" s="217">
        <f t="shared" si="370"/>
        <v>0</v>
      </c>
      <c r="F1105" s="180"/>
      <c r="G1105" s="180" t="e">
        <f>#REF!</f>
        <v>#REF!</v>
      </c>
      <c r="H1105" s="203">
        <v>0</v>
      </c>
      <c r="I1105" s="217" t="e">
        <f t="shared" si="371"/>
        <v>#REF!</v>
      </c>
      <c r="J1105" s="180"/>
      <c r="K1105" s="299">
        <v>12545</v>
      </c>
      <c r="L1105" s="300">
        <v>0</v>
      </c>
      <c r="M1105" s="217">
        <f t="shared" si="372"/>
        <v>0</v>
      </c>
      <c r="N1105" s="180"/>
      <c r="O1105" s="299">
        <v>0</v>
      </c>
      <c r="P1105" s="203">
        <v>0</v>
      </c>
      <c r="Q1105" s="217">
        <f t="shared" si="373"/>
        <v>0</v>
      </c>
      <c r="R1105" s="180"/>
      <c r="S1105" s="304"/>
    </row>
    <row r="1106" spans="1:19" ht="15.75" customHeight="1" x14ac:dyDescent="0.3">
      <c r="A1106" s="189" t="s">
        <v>692</v>
      </c>
      <c r="B1106" s="180"/>
      <c r="C1106" s="180">
        <f t="shared" si="369"/>
        <v>7.4999999999999997E-2</v>
      </c>
      <c r="D1106" s="203">
        <v>0</v>
      </c>
      <c r="E1106" s="217">
        <f t="shared" si="370"/>
        <v>0</v>
      </c>
      <c r="F1106" s="180">
        <f>SUM(E1104:E1106)</f>
        <v>0</v>
      </c>
      <c r="G1106" s="180" t="e">
        <f>#REF!</f>
        <v>#REF!</v>
      </c>
      <c r="H1106" s="203">
        <v>0</v>
      </c>
      <c r="I1106" s="217" t="e">
        <f t="shared" si="371"/>
        <v>#REF!</v>
      </c>
      <c r="J1106" s="180" t="e">
        <f>SUM(I1104:I1106)</f>
        <v>#REF!</v>
      </c>
      <c r="K1106" s="299">
        <v>9350</v>
      </c>
      <c r="L1106" s="300">
        <v>0</v>
      </c>
      <c r="M1106" s="217">
        <f t="shared" si="372"/>
        <v>0</v>
      </c>
      <c r="N1106" s="180">
        <f>SUM(M1104:M1106)</f>
        <v>0</v>
      </c>
      <c r="O1106" s="299">
        <v>0</v>
      </c>
      <c r="P1106" s="203">
        <v>0</v>
      </c>
      <c r="Q1106" s="217">
        <f t="shared" si="373"/>
        <v>0</v>
      </c>
      <c r="R1106" s="180">
        <f>SUM(Q1104:Q1106)</f>
        <v>0</v>
      </c>
      <c r="S1106" s="304"/>
    </row>
    <row r="1107" spans="1:19" ht="15.75" customHeight="1" x14ac:dyDescent="0.3">
      <c r="A1107" s="189" t="s">
        <v>693</v>
      </c>
      <c r="B1107" s="180"/>
      <c r="C1107" s="180">
        <f t="shared" si="369"/>
        <v>0.3</v>
      </c>
      <c r="D1107" s="203">
        <v>0</v>
      </c>
      <c r="E1107" s="217">
        <f t="shared" si="370"/>
        <v>0</v>
      </c>
      <c r="F1107" s="180"/>
      <c r="G1107" s="180" t="e">
        <f>#REF!</f>
        <v>#REF!</v>
      </c>
      <c r="H1107" s="203">
        <v>0</v>
      </c>
      <c r="I1107" s="217" t="e">
        <f t="shared" si="371"/>
        <v>#REF!</v>
      </c>
      <c r="J1107" s="180"/>
      <c r="K1107" s="299">
        <v>11649</v>
      </c>
      <c r="L1107" s="300">
        <v>0</v>
      </c>
      <c r="M1107" s="217">
        <f t="shared" si="372"/>
        <v>0</v>
      </c>
      <c r="N1107" s="180"/>
      <c r="O1107" s="299">
        <v>0</v>
      </c>
      <c r="P1107" s="203">
        <v>0</v>
      </c>
      <c r="Q1107" s="217">
        <f t="shared" si="373"/>
        <v>0</v>
      </c>
      <c r="R1107" s="180"/>
      <c r="S1107" s="304"/>
    </row>
    <row r="1108" spans="1:19" ht="15.75" customHeight="1" x14ac:dyDescent="0.3">
      <c r="A1108" s="189" t="s">
        <v>694</v>
      </c>
      <c r="B1108" s="180"/>
      <c r="C1108" s="180">
        <f t="shared" si="369"/>
        <v>0.3</v>
      </c>
      <c r="D1108" s="203">
        <v>0</v>
      </c>
      <c r="E1108" s="217">
        <f t="shared" si="370"/>
        <v>0</v>
      </c>
      <c r="F1108" s="180"/>
      <c r="G1108" s="180" t="e">
        <f>#REF!</f>
        <v>#REF!</v>
      </c>
      <c r="H1108" s="203">
        <v>0</v>
      </c>
      <c r="I1108" s="217" t="e">
        <f t="shared" si="371"/>
        <v>#REF!</v>
      </c>
      <c r="J1108" s="180"/>
      <c r="K1108" s="299">
        <v>8035</v>
      </c>
      <c r="L1108" s="300">
        <v>0</v>
      </c>
      <c r="M1108" s="217">
        <f t="shared" si="372"/>
        <v>0</v>
      </c>
      <c r="N1108" s="180"/>
      <c r="O1108" s="299">
        <v>0</v>
      </c>
      <c r="P1108" s="203">
        <v>0</v>
      </c>
      <c r="Q1108" s="217">
        <f t="shared" si="373"/>
        <v>0</v>
      </c>
      <c r="R1108" s="180"/>
      <c r="S1108" s="304"/>
    </row>
    <row r="1109" spans="1:19" ht="15.75" customHeight="1" x14ac:dyDescent="0.3">
      <c r="A1109" s="189" t="s">
        <v>695</v>
      </c>
      <c r="B1109" s="180"/>
      <c r="C1109" s="180">
        <f t="shared" si="369"/>
        <v>0.3</v>
      </c>
      <c r="D1109" s="203">
        <v>0</v>
      </c>
      <c r="E1109" s="217">
        <f t="shared" si="370"/>
        <v>0</v>
      </c>
      <c r="F1109" s="180">
        <f>SUM(E1107:E1109)</f>
        <v>0</v>
      </c>
      <c r="G1109" s="180" t="e">
        <f>#REF!</f>
        <v>#REF!</v>
      </c>
      <c r="H1109" s="203">
        <v>0</v>
      </c>
      <c r="I1109" s="217" t="e">
        <f t="shared" si="371"/>
        <v>#REF!</v>
      </c>
      <c r="J1109" s="180" t="e">
        <f>SUM(I1107:I1109)</f>
        <v>#REF!</v>
      </c>
      <c r="K1109" s="299">
        <v>8092</v>
      </c>
      <c r="L1109" s="300">
        <v>0</v>
      </c>
      <c r="M1109" s="217">
        <f t="shared" si="372"/>
        <v>0</v>
      </c>
      <c r="N1109" s="180">
        <f>SUM(M1107:M1109)</f>
        <v>0</v>
      </c>
      <c r="O1109" s="299">
        <v>0</v>
      </c>
      <c r="P1109" s="203">
        <v>0</v>
      </c>
      <c r="Q1109" s="217">
        <f t="shared" si="373"/>
        <v>0</v>
      </c>
      <c r="R1109" s="180">
        <f>SUM(Q1107:Q1109)</f>
        <v>0</v>
      </c>
      <c r="S1109" s="304"/>
    </row>
    <row r="1110" spans="1:19" ht="15.75" customHeight="1" x14ac:dyDescent="0.3">
      <c r="A1110" s="179"/>
      <c r="B1110" s="180"/>
      <c r="C1110" s="180"/>
      <c r="D1110" s="180"/>
      <c r="E1110" s="180"/>
      <c r="F1110" s="180"/>
      <c r="G1110" s="180"/>
      <c r="H1110" s="180"/>
      <c r="I1110" s="180"/>
      <c r="J1110" s="180"/>
      <c r="K1110" s="180"/>
      <c r="L1110" s="180"/>
      <c r="M1110" s="180"/>
      <c r="N1110" s="180"/>
      <c r="O1110" s="180"/>
      <c r="P1110" s="180"/>
      <c r="Q1110" s="180"/>
      <c r="R1110" s="180"/>
      <c r="S1110" s="304"/>
    </row>
    <row r="1111" spans="1:19" ht="15.75" customHeight="1" x14ac:dyDescent="0.3">
      <c r="A1111" s="179"/>
      <c r="B1111" s="180"/>
      <c r="C1111" s="180"/>
      <c r="D1111" s="180"/>
      <c r="E1111" s="180"/>
      <c r="F1111" s="180"/>
      <c r="G1111" s="180"/>
      <c r="H1111" s="180"/>
      <c r="I1111" s="180"/>
      <c r="J1111" s="180"/>
      <c r="K1111" s="180"/>
      <c r="L1111" s="180"/>
      <c r="M1111" s="180"/>
      <c r="N1111" s="180"/>
      <c r="O1111" s="180"/>
      <c r="P1111" s="180"/>
      <c r="Q1111" s="180"/>
      <c r="R1111" s="180"/>
      <c r="S1111" s="304"/>
    </row>
    <row r="1112" spans="1:19" ht="16.5" customHeight="1" thickBot="1" x14ac:dyDescent="0.35">
      <c r="A1112" s="194" t="s">
        <v>641</v>
      </c>
      <c r="B1112" s="195"/>
      <c r="C1112" s="195">
        <f>SUM(C1098:C1109)</f>
        <v>2.2650000000000001</v>
      </c>
      <c r="D1112" s="195"/>
      <c r="E1112" s="301">
        <f>SUM(E1098:E1109)</f>
        <v>0</v>
      </c>
      <c r="F1112" s="195"/>
      <c r="G1112" s="195" t="e">
        <f>SUM(G1098:G1109)</f>
        <v>#REF!</v>
      </c>
      <c r="H1112" s="195" t="s">
        <v>633</v>
      </c>
      <c r="I1112" s="301" t="e">
        <f>SUM(I1098:I1109)</f>
        <v>#REF!</v>
      </c>
      <c r="J1112" s="195"/>
      <c r="K1112" s="195">
        <f>SUM(K1098:K1109)</f>
        <v>149913</v>
      </c>
      <c r="L1112" s="195" t="s">
        <v>633</v>
      </c>
      <c r="M1112" s="301">
        <f>SUM(M1098:M1109)</f>
        <v>0</v>
      </c>
      <c r="N1112" s="195"/>
      <c r="O1112" s="195">
        <f>(SUM(O1098:O1109))</f>
        <v>0</v>
      </c>
      <c r="P1112" s="195" t="s">
        <v>633</v>
      </c>
      <c r="Q1112" s="301">
        <f>SUM(Q1098:Q1109)</f>
        <v>0</v>
      </c>
      <c r="R1112" s="195"/>
      <c r="S1112" s="136"/>
    </row>
  </sheetData>
  <scenarios current="0">
    <scenario name="Jan" count="1" user="Windows User" comment="Created by Windows User on 4/11/2013">
      <inputCells r="B304" val="57771.3688407242" numFmtId="37"/>
    </scenario>
  </scenarios>
  <autoFilter ref="A31:R873" xr:uid="{00000000-0009-0000-0000-000000000000}"/>
  <mergeCells count="73">
    <mergeCell ref="B1043:P1043"/>
    <mergeCell ref="B1044:P1044"/>
    <mergeCell ref="B1046:L1046"/>
    <mergeCell ref="M1046:P1046"/>
    <mergeCell ref="B1020:D1020"/>
    <mergeCell ref="T1020:U1020"/>
    <mergeCell ref="V1020:W1020"/>
    <mergeCell ref="B1039:P1039"/>
    <mergeCell ref="B1040:P1040"/>
    <mergeCell ref="B1041:P1041"/>
    <mergeCell ref="B1019:P1019"/>
    <mergeCell ref="M965:O965"/>
    <mergeCell ref="AD965:AQ965"/>
    <mergeCell ref="AD966:AQ966"/>
    <mergeCell ref="B990:P990"/>
    <mergeCell ref="B991:F991"/>
    <mergeCell ref="G991:L991"/>
    <mergeCell ref="M991:R991"/>
    <mergeCell ref="S991:U991"/>
    <mergeCell ref="M992:O992"/>
    <mergeCell ref="B1014:P1014"/>
    <mergeCell ref="B1015:P1015"/>
    <mergeCell ref="B1016:P1016"/>
    <mergeCell ref="B1018:P1018"/>
    <mergeCell ref="B963:P963"/>
    <mergeCell ref="AD963:AQ963"/>
    <mergeCell ref="B964:F964"/>
    <mergeCell ref="G964:L964"/>
    <mergeCell ref="M964:R964"/>
    <mergeCell ref="S964:U964"/>
    <mergeCell ref="B962:P962"/>
    <mergeCell ref="AD962:AQ962"/>
    <mergeCell ref="AD928:AQ928"/>
    <mergeCell ref="AD930:AQ930"/>
    <mergeCell ref="B931:P931"/>
    <mergeCell ref="AD931:AQ931"/>
    <mergeCell ref="B932:P932"/>
    <mergeCell ref="B933:P933"/>
    <mergeCell ref="B935:P935"/>
    <mergeCell ref="B936:P936"/>
    <mergeCell ref="B960:P960"/>
    <mergeCell ref="B961:P961"/>
    <mergeCell ref="AD961:AQ961"/>
    <mergeCell ref="AD927:AQ927"/>
    <mergeCell ref="B878:P878"/>
    <mergeCell ref="B879:P879"/>
    <mergeCell ref="B880:P880"/>
    <mergeCell ref="B881:P881"/>
    <mergeCell ref="B905:P905"/>
    <mergeCell ref="B906:P906"/>
    <mergeCell ref="B907:P907"/>
    <mergeCell ref="B908:P908"/>
    <mergeCell ref="B909:P909"/>
    <mergeCell ref="B910:P910"/>
    <mergeCell ref="AD926:AQ926"/>
    <mergeCell ref="B877:P877"/>
    <mergeCell ref="A812:R812"/>
    <mergeCell ref="A813:R813"/>
    <mergeCell ref="A814:R814"/>
    <mergeCell ref="A815:R815"/>
    <mergeCell ref="A817:R817"/>
    <mergeCell ref="A853:R853"/>
    <mergeCell ref="A854:R854"/>
    <mergeCell ref="A855:R855"/>
    <mergeCell ref="A856:R856"/>
    <mergeCell ref="A858:R858"/>
    <mergeCell ref="B876:P876"/>
    <mergeCell ref="A8:R8"/>
    <mergeCell ref="A2:R2"/>
    <mergeCell ref="A3:R3"/>
    <mergeCell ref="A4:R4"/>
    <mergeCell ref="A5:R5"/>
    <mergeCell ref="A6:R6"/>
  </mergeCells>
  <conditionalFormatting sqref="S970:S981 S983">
    <cfRule type="cellIs" dxfId="35" priority="3" operator="lessThan">
      <formula>0</formula>
    </cfRule>
    <cfRule type="cellIs" dxfId="34" priority="4" operator="greaterThan">
      <formula>0</formula>
    </cfRule>
  </conditionalFormatting>
  <conditionalFormatting sqref="S997:S1008">
    <cfRule type="cellIs" dxfId="33" priority="1" operator="lessThan">
      <formula>0</formula>
    </cfRule>
    <cfRule type="cellIs" dxfId="32" priority="2" operator="greaterThan">
      <formula>0</formula>
    </cfRule>
  </conditionalFormatting>
  <printOptions horizontalCentered="1"/>
  <pageMargins left="0.25" right="0.25" top="0.25" bottom="0.25" header="0" footer="0"/>
  <pageSetup paperSize="17" scale="81" orientation="landscape" r:id="rId1"/>
  <headerFooter alignWithMargins="0"/>
  <rowBreaks count="5" manualBreakCount="5">
    <brk id="809" max="17" man="1"/>
    <brk id="849" max="17" man="1"/>
    <brk id="902" max="18" man="1"/>
    <brk id="930" max="18" man="1"/>
    <brk id="898" min="28" max="46"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0DCA1-6E4E-41F6-BD3D-9290DFE9BB40}">
  <sheetPr codeName="Sheet21">
    <pageSetUpPr fitToPage="1"/>
  </sheetPr>
  <dimension ref="A1:AX1098"/>
  <sheetViews>
    <sheetView zoomScale="90" zoomScaleNormal="90" workbookViewId="0">
      <selection activeCell="B10" sqref="B10:P10"/>
    </sheetView>
  </sheetViews>
  <sheetFormatPr defaultColWidth="8.77734375" defaultRowHeight="15.6" x14ac:dyDescent="0.3"/>
  <cols>
    <col min="1" max="1" width="48.21875" style="4" customWidth="1"/>
    <col min="2" max="3" width="11.21875" style="4" customWidth="1"/>
    <col min="4" max="4" width="12.44140625" style="4" customWidth="1"/>
    <col min="5" max="5" width="13.88671875" style="4" customWidth="1"/>
    <col min="6" max="7" width="11.21875" style="4" customWidth="1"/>
    <col min="8" max="8" width="11.77734375" style="4" bestFit="1" customWidth="1"/>
    <col min="9" max="9" width="13.109375" style="4" customWidth="1"/>
    <col min="10" max="10" width="11.77734375" style="4" bestFit="1" customWidth="1"/>
    <col min="11" max="12" width="11.21875" style="4" bestFit="1" customWidth="1"/>
    <col min="13" max="13" width="15" style="4" customWidth="1"/>
    <col min="14" max="14" width="11.21875" style="4" bestFit="1" customWidth="1"/>
    <col min="15" max="15" width="11.77734375" style="4" bestFit="1" customWidth="1"/>
    <col min="16" max="16" width="11.21875" style="4" bestFit="1" customWidth="1"/>
    <col min="17" max="17" width="13" style="4" customWidth="1"/>
    <col min="18" max="18" width="14.21875" style="4" customWidth="1"/>
    <col min="19" max="19" width="12.33203125" style="4" bestFit="1" customWidth="1"/>
    <col min="20" max="20" width="11.21875" style="4" bestFit="1" customWidth="1"/>
    <col min="21" max="21" width="8.77734375" style="4"/>
    <col min="22" max="22" width="10.33203125" style="4" customWidth="1"/>
    <col min="23" max="28" width="8.77734375" style="4"/>
    <col min="29" max="29" width="13.6640625" style="4" customWidth="1"/>
    <col min="30" max="48" width="8.77734375" style="4"/>
    <col min="49" max="49" width="21.5546875" style="4" customWidth="1"/>
    <col min="50" max="50" width="20.88671875" style="4" bestFit="1" customWidth="1"/>
    <col min="51" max="16384" width="8.77734375" style="4"/>
  </cols>
  <sheetData>
    <row r="1" spans="1:36" x14ac:dyDescent="0.3">
      <c r="A1" s="1"/>
      <c r="B1" s="1"/>
      <c r="C1" s="1"/>
      <c r="D1" s="1"/>
      <c r="E1" s="1"/>
      <c r="F1" s="1"/>
      <c r="G1" s="1"/>
      <c r="H1" s="1"/>
      <c r="I1" s="1"/>
      <c r="J1" s="1"/>
      <c r="K1" s="1"/>
      <c r="L1" s="1"/>
      <c r="M1" s="1"/>
      <c r="N1" s="1"/>
      <c r="O1" s="1"/>
      <c r="P1" s="1"/>
      <c r="Q1" s="2" t="s">
        <v>0</v>
      </c>
      <c r="R1" s="3">
        <f ca="1">NOW()</f>
        <v>44894.658168518516</v>
      </c>
    </row>
    <row r="2" spans="1:36" ht="19.5" customHeight="1" x14ac:dyDescent="0.35">
      <c r="A2" s="384" t="s">
        <v>1</v>
      </c>
      <c r="B2" s="384"/>
      <c r="C2" s="384"/>
      <c r="D2" s="384"/>
      <c r="E2" s="384"/>
      <c r="F2" s="384"/>
      <c r="G2" s="384"/>
      <c r="H2" s="384"/>
      <c r="I2" s="384"/>
      <c r="J2" s="384"/>
      <c r="K2" s="384"/>
      <c r="L2" s="384"/>
      <c r="M2" s="384"/>
      <c r="N2" s="384"/>
      <c r="O2" s="384"/>
      <c r="P2" s="384"/>
      <c r="Q2" s="384"/>
      <c r="R2" s="384"/>
    </row>
    <row r="3" spans="1:36" ht="19.5" customHeight="1" x14ac:dyDescent="0.35">
      <c r="A3" s="384" t="s">
        <v>2</v>
      </c>
      <c r="B3" s="384"/>
      <c r="C3" s="384"/>
      <c r="D3" s="384"/>
      <c r="E3" s="384"/>
      <c r="F3" s="384"/>
      <c r="G3" s="384"/>
      <c r="H3" s="384"/>
      <c r="I3" s="384"/>
      <c r="J3" s="384"/>
      <c r="K3" s="384"/>
      <c r="L3" s="384"/>
      <c r="M3" s="384"/>
      <c r="N3" s="384"/>
      <c r="O3" s="384"/>
      <c r="P3" s="384"/>
      <c r="Q3" s="384"/>
      <c r="R3" s="384"/>
    </row>
    <row r="4" spans="1:36" ht="19.5" customHeight="1" x14ac:dyDescent="0.35">
      <c r="A4" s="385" t="s">
        <v>3</v>
      </c>
      <c r="B4" s="385"/>
      <c r="C4" s="385"/>
      <c r="D4" s="385"/>
      <c r="E4" s="385"/>
      <c r="F4" s="385"/>
      <c r="G4" s="385"/>
      <c r="H4" s="385"/>
      <c r="I4" s="385"/>
      <c r="J4" s="385"/>
      <c r="K4" s="385"/>
      <c r="L4" s="385"/>
      <c r="M4" s="385"/>
      <c r="N4" s="385"/>
      <c r="O4" s="385"/>
      <c r="P4" s="385"/>
      <c r="Q4" s="385"/>
      <c r="R4" s="385"/>
    </row>
    <row r="5" spans="1:36" ht="19.5" customHeight="1" x14ac:dyDescent="0.35">
      <c r="A5" s="386">
        <v>2017</v>
      </c>
      <c r="B5" s="386"/>
      <c r="C5" s="386"/>
      <c r="D5" s="386"/>
      <c r="E5" s="386"/>
      <c r="F5" s="386"/>
      <c r="G5" s="386"/>
      <c r="H5" s="386"/>
      <c r="I5" s="386"/>
      <c r="J5" s="386"/>
      <c r="K5" s="386"/>
      <c r="L5" s="386"/>
      <c r="M5" s="386"/>
      <c r="N5" s="386"/>
      <c r="O5" s="386"/>
      <c r="P5" s="386"/>
      <c r="Q5" s="386"/>
      <c r="R5" s="386"/>
    </row>
    <row r="6" spans="1:36" ht="19.5" customHeight="1" x14ac:dyDescent="0.35">
      <c r="A6" s="385" t="s">
        <v>873</v>
      </c>
      <c r="B6" s="385"/>
      <c r="C6" s="385"/>
      <c r="D6" s="385"/>
      <c r="E6" s="385"/>
      <c r="F6" s="385"/>
      <c r="G6" s="385"/>
      <c r="H6" s="385"/>
      <c r="I6" s="385"/>
      <c r="J6" s="385"/>
      <c r="K6" s="385"/>
      <c r="L6" s="385"/>
      <c r="M6" s="385"/>
      <c r="N6" s="385"/>
      <c r="O6" s="385"/>
      <c r="P6" s="385"/>
      <c r="Q6" s="385"/>
      <c r="R6" s="385"/>
    </row>
    <row r="7" spans="1:36" ht="19.5" customHeight="1" x14ac:dyDescent="0.35">
      <c r="A7" s="5"/>
      <c r="B7" s="5"/>
      <c r="C7" s="5"/>
      <c r="D7" s="5"/>
      <c r="E7" s="5"/>
      <c r="F7" s="5"/>
      <c r="G7" s="5"/>
      <c r="H7" s="5"/>
      <c r="I7" s="5"/>
      <c r="J7" s="5"/>
      <c r="K7" s="5"/>
      <c r="L7" s="5"/>
      <c r="M7" s="5"/>
      <c r="N7" s="5"/>
      <c r="O7" s="5"/>
      <c r="P7" s="5"/>
      <c r="Q7" s="5"/>
      <c r="R7" s="5"/>
    </row>
    <row r="8" spans="1:36" ht="15.75" customHeight="1" x14ac:dyDescent="0.3">
      <c r="A8" s="383" t="s">
        <v>896</v>
      </c>
      <c r="B8" s="383"/>
      <c r="C8" s="383"/>
      <c r="D8" s="383"/>
      <c r="E8" s="383"/>
      <c r="F8" s="383"/>
      <c r="G8" s="383"/>
      <c r="H8" s="383"/>
      <c r="I8" s="383"/>
      <c r="J8" s="383"/>
      <c r="K8" s="383"/>
      <c r="L8" s="383"/>
      <c r="M8" s="383"/>
      <c r="N8" s="383"/>
      <c r="O8" s="383"/>
      <c r="P8" s="383"/>
      <c r="Q8" s="383"/>
      <c r="R8" s="383"/>
    </row>
    <row r="9" spans="1:36" ht="15.75" customHeight="1" x14ac:dyDescent="0.3">
      <c r="A9" s="7"/>
      <c r="B9" s="8"/>
      <c r="C9" s="8"/>
      <c r="D9" s="8"/>
      <c r="E9" s="8"/>
      <c r="F9" s="8"/>
      <c r="G9" s="8"/>
      <c r="H9" s="8"/>
      <c r="I9" s="8"/>
      <c r="J9" s="8"/>
      <c r="K9" s="8"/>
      <c r="L9" s="8"/>
      <c r="M9" s="8"/>
      <c r="N9" s="8"/>
      <c r="O9" s="8"/>
      <c r="P9" s="8"/>
      <c r="Q9" s="8"/>
      <c r="R9" s="8"/>
    </row>
    <row r="10" spans="1:36" ht="16.2" thickBot="1" x14ac:dyDescent="0.35">
      <c r="A10" s="1" t="s">
        <v>6</v>
      </c>
      <c r="B10" s="1">
        <v>31</v>
      </c>
      <c r="C10" s="1">
        <v>28</v>
      </c>
      <c r="D10" s="1">
        <v>31</v>
      </c>
      <c r="E10" s="1"/>
      <c r="F10" s="1">
        <v>30</v>
      </c>
      <c r="G10" s="1">
        <v>31</v>
      </c>
      <c r="H10" s="1">
        <v>30</v>
      </c>
      <c r="I10" s="1"/>
      <c r="J10" s="1">
        <v>31</v>
      </c>
      <c r="K10" s="1">
        <v>31</v>
      </c>
      <c r="L10" s="1">
        <v>30</v>
      </c>
      <c r="M10" s="1"/>
      <c r="N10" s="1">
        <v>31</v>
      </c>
      <c r="O10" s="1">
        <v>30</v>
      </c>
      <c r="P10" s="1">
        <v>31</v>
      </c>
      <c r="Q10" s="1"/>
      <c r="R10" s="1"/>
    </row>
    <row r="11" spans="1:36" ht="15.75" customHeight="1" thickBot="1" x14ac:dyDescent="0.35">
      <c r="A11" s="9" t="s">
        <v>7</v>
      </c>
      <c r="B11" s="10" t="s">
        <v>8</v>
      </c>
      <c r="C11" s="11" t="s">
        <v>9</v>
      </c>
      <c r="D11" s="11" t="s">
        <v>10</v>
      </c>
      <c r="E11" s="12" t="s">
        <v>11</v>
      </c>
      <c r="F11" s="11" t="s">
        <v>12</v>
      </c>
      <c r="G11" s="11" t="s">
        <v>13</v>
      </c>
      <c r="H11" s="11" t="s">
        <v>14</v>
      </c>
      <c r="I11" s="12" t="s">
        <v>15</v>
      </c>
      <c r="J11" s="11" t="s">
        <v>16</v>
      </c>
      <c r="K11" s="11" t="s">
        <v>17</v>
      </c>
      <c r="L11" s="11" t="s">
        <v>18</v>
      </c>
      <c r="M11" s="12" t="s">
        <v>19</v>
      </c>
      <c r="N11" s="11" t="s">
        <v>20</v>
      </c>
      <c r="O11" s="11" t="s">
        <v>21</v>
      </c>
      <c r="P11" s="11" t="s">
        <v>22</v>
      </c>
      <c r="Q11" s="12" t="s">
        <v>23</v>
      </c>
      <c r="R11" s="13" t="s">
        <v>24</v>
      </c>
    </row>
    <row r="12" spans="1:36" ht="16.5" customHeight="1" thickBot="1" x14ac:dyDescent="0.35">
      <c r="A12" s="14"/>
      <c r="B12" s="56"/>
      <c r="C12" s="56"/>
      <c r="D12" s="56"/>
      <c r="E12" s="16"/>
      <c r="F12" s="56"/>
      <c r="G12" s="56"/>
      <c r="H12" s="56"/>
      <c r="I12" s="16"/>
      <c r="J12" s="56"/>
      <c r="K12" s="56"/>
      <c r="L12" s="56"/>
      <c r="M12" s="16"/>
      <c r="N12" s="56"/>
      <c r="O12" s="56"/>
      <c r="P12" s="56"/>
      <c r="Q12" s="16"/>
      <c r="R12" s="16"/>
    </row>
    <row r="13" spans="1:36" ht="15.75" customHeight="1" x14ac:dyDescent="0.3">
      <c r="A13" s="17" t="s">
        <v>25</v>
      </c>
      <c r="B13" s="1">
        <f>+B858</f>
        <v>66067</v>
      </c>
      <c r="C13" s="1">
        <f>+C858</f>
        <v>72345</v>
      </c>
      <c r="D13" s="1">
        <f>+D858</f>
        <v>119760</v>
      </c>
      <c r="E13" s="18">
        <f>SUM(B13:D13)</f>
        <v>258172</v>
      </c>
      <c r="F13" s="1">
        <f>+F858</f>
        <v>150026</v>
      </c>
      <c r="G13" s="1">
        <f>+G858</f>
        <v>164983</v>
      </c>
      <c r="H13" s="1">
        <f>+H858</f>
        <v>190046</v>
      </c>
      <c r="I13" s="18">
        <f t="shared" ref="I13:I19" si="0">SUM(F13:H13)</f>
        <v>505055</v>
      </c>
      <c r="J13" s="1">
        <f>+J858</f>
        <v>181834</v>
      </c>
      <c r="K13" s="1">
        <f>+K858</f>
        <v>166151</v>
      </c>
      <c r="L13" s="1">
        <f>+L858</f>
        <v>133758</v>
      </c>
      <c r="M13" s="18">
        <f t="shared" ref="M13:M20" si="1">SUM(J13:L13)</f>
        <v>481743</v>
      </c>
      <c r="N13" s="1">
        <f>+N858</f>
        <v>88306</v>
      </c>
      <c r="O13" s="1">
        <f>+O858</f>
        <v>52638</v>
      </c>
      <c r="P13" s="1">
        <f>+P858</f>
        <v>66117</v>
      </c>
      <c r="Q13" s="19">
        <f t="shared" ref="Q13:Q19" si="2">SUM(N13:P13)</f>
        <v>207061</v>
      </c>
      <c r="R13" s="18">
        <f t="shared" ref="R13:R20" si="3">+E13+I13+M13+Q13</f>
        <v>1452031</v>
      </c>
      <c r="S13" s="4">
        <f>1495413+25265</f>
        <v>1520678</v>
      </c>
      <c r="T13" s="4">
        <f>+R13-S13</f>
        <v>-68647</v>
      </c>
      <c r="U13" s="4">
        <f>+R13-1478209</f>
        <v>-26178</v>
      </c>
      <c r="V13" s="21"/>
      <c r="W13" s="21"/>
      <c r="X13" s="21"/>
      <c r="Z13" s="21"/>
      <c r="AA13" s="21"/>
      <c r="AB13" s="21"/>
      <c r="AD13" s="21"/>
      <c r="AE13" s="21"/>
      <c r="AF13" s="21"/>
      <c r="AH13" s="21"/>
      <c r="AI13" s="21"/>
      <c r="AJ13" s="21"/>
    </row>
    <row r="14" spans="1:36" ht="15.75" customHeight="1" x14ac:dyDescent="0.3">
      <c r="A14" s="17" t="s">
        <v>27</v>
      </c>
      <c r="B14" s="1">
        <f>B25+B60+B127+B298+B456+B504+B548+B604+B614+B650+B697+B707+B741+B790</f>
        <v>739</v>
      </c>
      <c r="C14" s="1">
        <f>C25+C60+C127+C298+C456+C504+C548+C604+C614+C650+C697+C707+C741+C790</f>
        <v>1283</v>
      </c>
      <c r="D14" s="1">
        <f>D25+D60+D127+D298+D456+D504+D548+D604+D614+D650+D697+D707+D741+D790</f>
        <v>2185</v>
      </c>
      <c r="E14" s="18">
        <f t="shared" ref="E14:E19" si="4">SUM(B14:D14)</f>
        <v>4207</v>
      </c>
      <c r="F14" s="1">
        <f>F25+F60+F127+F298+F456+F504+F548+F604+F614+F650+F697+F707+F741+F790</f>
        <v>2959</v>
      </c>
      <c r="G14" s="1">
        <f>G25+G60+G127+G298+G456+G504+G548+G604+G614+G650+G697+G707+G741+G790</f>
        <v>3425</v>
      </c>
      <c r="H14" s="1">
        <f>H25+H60+H127+H298+H456+H504+H548+H604+H614+H650+H697+H707+H741+H790</f>
        <v>3464</v>
      </c>
      <c r="I14" s="18">
        <f t="shared" si="0"/>
        <v>9848</v>
      </c>
      <c r="J14" s="1">
        <f>J25+J60+J127+J298+J456+J504+J548+J604+J614+J650+J697+J707+J741+J790</f>
        <v>3382</v>
      </c>
      <c r="K14" s="1">
        <f>K25+K60+K127+K298+K456+K504+K548+K604+K614+K650+K697+K707+K741+K790</f>
        <v>2663</v>
      </c>
      <c r="L14" s="1">
        <f>L25+L60+L127+L298+L456+L504+L548+L604+L614+L650+L697+L707+L741+L790</f>
        <v>2559</v>
      </c>
      <c r="M14" s="18">
        <f t="shared" si="1"/>
        <v>8604</v>
      </c>
      <c r="N14" s="1">
        <f>N25+N60+N127+N298+N456+N504+N548+N604+N614+N650+N697+N707+N741+N790</f>
        <v>2343</v>
      </c>
      <c r="O14" s="1">
        <f>O25+O60+O127+O298+O456+O504+O548+O604+O614+O650+O697+O707+O741+O790</f>
        <v>1892</v>
      </c>
      <c r="P14" s="1">
        <f>P25+P60+P127+P298+P456+P504+P548+P604+P614+P650+P697+P707+P741+P790</f>
        <v>1423</v>
      </c>
      <c r="Q14" s="19">
        <f t="shared" si="2"/>
        <v>5658</v>
      </c>
      <c r="R14" s="18">
        <f t="shared" si="3"/>
        <v>28317</v>
      </c>
    </row>
    <row r="15" spans="1:36" ht="15.75" customHeight="1" x14ac:dyDescent="0.3">
      <c r="A15" s="17" t="s">
        <v>29</v>
      </c>
      <c r="B15" s="1">
        <f>B293</f>
        <v>0</v>
      </c>
      <c r="C15" s="1">
        <f>C293</f>
        <v>1647</v>
      </c>
      <c r="D15" s="1">
        <f>D293</f>
        <v>2938</v>
      </c>
      <c r="E15" s="18">
        <f t="shared" si="4"/>
        <v>4585</v>
      </c>
      <c r="F15" s="1">
        <f>F293</f>
        <v>2468</v>
      </c>
      <c r="G15" s="1">
        <f>G293</f>
        <v>1648</v>
      </c>
      <c r="H15" s="1">
        <f>H293</f>
        <v>1747</v>
      </c>
      <c r="I15" s="18">
        <f t="shared" si="0"/>
        <v>5863</v>
      </c>
      <c r="J15" s="1">
        <f>J293</f>
        <v>2124</v>
      </c>
      <c r="K15" s="1">
        <f>K293</f>
        <v>1510</v>
      </c>
      <c r="L15" s="1">
        <f>L293</f>
        <v>1729</v>
      </c>
      <c r="M15" s="18">
        <f t="shared" si="1"/>
        <v>5363</v>
      </c>
      <c r="N15" s="1">
        <f>N293</f>
        <v>2380</v>
      </c>
      <c r="O15" s="1">
        <f>O293</f>
        <v>4823</v>
      </c>
      <c r="P15" s="1">
        <f>P293</f>
        <v>1358</v>
      </c>
      <c r="Q15" s="19">
        <f t="shared" si="2"/>
        <v>8561</v>
      </c>
      <c r="R15" s="18">
        <f t="shared" si="3"/>
        <v>24372</v>
      </c>
    </row>
    <row r="16" spans="1:36" ht="15.75" customHeight="1" x14ac:dyDescent="0.3">
      <c r="A16" s="22" t="s">
        <v>30</v>
      </c>
      <c r="B16" s="1">
        <f>+B294</f>
        <v>0</v>
      </c>
      <c r="C16" s="1">
        <f>+C294</f>
        <v>0</v>
      </c>
      <c r="D16" s="1">
        <f>+D294</f>
        <v>0</v>
      </c>
      <c r="E16" s="18">
        <f t="shared" si="4"/>
        <v>0</v>
      </c>
      <c r="F16" s="1">
        <f>+F294</f>
        <v>0</v>
      </c>
      <c r="G16" s="1">
        <f>+G294</f>
        <v>0</v>
      </c>
      <c r="H16" s="1">
        <f>+H294</f>
        <v>0</v>
      </c>
      <c r="I16" s="18">
        <f t="shared" si="0"/>
        <v>0</v>
      </c>
      <c r="J16" s="1">
        <f>+J294</f>
        <v>0</v>
      </c>
      <c r="K16" s="1">
        <f>+K294</f>
        <v>0</v>
      </c>
      <c r="L16" s="1">
        <f>+L294</f>
        <v>0</v>
      </c>
      <c r="M16" s="18">
        <f t="shared" si="1"/>
        <v>0</v>
      </c>
      <c r="N16" s="1">
        <f>+N294</f>
        <v>0</v>
      </c>
      <c r="O16" s="1">
        <f>+O294</f>
        <v>0</v>
      </c>
      <c r="P16" s="1">
        <f>+P294</f>
        <v>0</v>
      </c>
      <c r="Q16" s="19">
        <f t="shared" si="2"/>
        <v>0</v>
      </c>
      <c r="R16" s="18">
        <f t="shared" si="3"/>
        <v>0</v>
      </c>
    </row>
    <row r="17" spans="1:20" ht="15.75" customHeight="1" x14ac:dyDescent="0.3">
      <c r="A17" s="23" t="s">
        <v>31</v>
      </c>
      <c r="B17" s="1">
        <f>B297</f>
        <v>72000</v>
      </c>
      <c r="C17" s="1">
        <f>C297</f>
        <v>0</v>
      </c>
      <c r="D17" s="1">
        <f>D297</f>
        <v>56000</v>
      </c>
      <c r="E17" s="18">
        <f t="shared" si="4"/>
        <v>128000</v>
      </c>
      <c r="F17" s="1">
        <f>F297</f>
        <v>20000</v>
      </c>
      <c r="G17" s="1">
        <f>G297</f>
        <v>11000</v>
      </c>
      <c r="H17" s="1">
        <f>H297</f>
        <v>0</v>
      </c>
      <c r="I17" s="18">
        <f t="shared" si="0"/>
        <v>31000</v>
      </c>
      <c r="J17" s="1">
        <f>J297</f>
        <v>0</v>
      </c>
      <c r="K17" s="1">
        <f>K297</f>
        <v>0</v>
      </c>
      <c r="L17" s="1">
        <f>L297</f>
        <v>0</v>
      </c>
      <c r="M17" s="18">
        <f t="shared" si="1"/>
        <v>0</v>
      </c>
      <c r="N17" s="1">
        <f>N297</f>
        <v>39000</v>
      </c>
      <c r="O17" s="1">
        <f>O297</f>
        <v>68000</v>
      </c>
      <c r="P17" s="1">
        <f>P297</f>
        <v>63000</v>
      </c>
      <c r="Q17" s="19">
        <f t="shared" si="2"/>
        <v>170000</v>
      </c>
      <c r="R17" s="18">
        <f t="shared" si="3"/>
        <v>329000</v>
      </c>
    </row>
    <row r="18" spans="1:20" ht="15.75" customHeight="1" x14ac:dyDescent="0.3">
      <c r="A18" s="23" t="s">
        <v>32</v>
      </c>
      <c r="B18" s="1">
        <f>B309</f>
        <v>0</v>
      </c>
      <c r="C18" s="1">
        <f>C309</f>
        <v>-8000</v>
      </c>
      <c r="D18" s="1">
        <f>D309</f>
        <v>0</v>
      </c>
      <c r="E18" s="18">
        <f t="shared" si="4"/>
        <v>-8000</v>
      </c>
      <c r="F18" s="1">
        <f>F309</f>
        <v>0</v>
      </c>
      <c r="G18" s="1">
        <f>G309</f>
        <v>0</v>
      </c>
      <c r="H18" s="1">
        <f>H309</f>
        <v>-111000</v>
      </c>
      <c r="I18" s="18">
        <f t="shared" si="0"/>
        <v>-111000</v>
      </c>
      <c r="J18" s="1">
        <f>J309</f>
        <v>-115000</v>
      </c>
      <c r="K18" s="1">
        <f>K309</f>
        <v>-99000</v>
      </c>
      <c r="L18" s="1">
        <f>L309</f>
        <v>0</v>
      </c>
      <c r="M18" s="18">
        <f t="shared" si="1"/>
        <v>-214000</v>
      </c>
      <c r="N18" s="1">
        <f>N309</f>
        <v>0</v>
      </c>
      <c r="O18" s="1">
        <f>O309</f>
        <v>0</v>
      </c>
      <c r="P18" s="1">
        <f>P309</f>
        <v>0</v>
      </c>
      <c r="Q18" s="19">
        <f t="shared" si="2"/>
        <v>0</v>
      </c>
      <c r="R18" s="18">
        <f t="shared" si="3"/>
        <v>-333000</v>
      </c>
    </row>
    <row r="19" spans="1:20" ht="16.5" customHeight="1" thickBot="1" x14ac:dyDescent="0.35">
      <c r="A19" s="24" t="s">
        <v>33</v>
      </c>
      <c r="B19" s="25">
        <f>(B29)</f>
        <v>138806</v>
      </c>
      <c r="C19" s="25">
        <f>(C29)</f>
        <v>67275</v>
      </c>
      <c r="D19" s="25">
        <f>(D29)</f>
        <v>180883</v>
      </c>
      <c r="E19" s="26">
        <f t="shared" si="4"/>
        <v>386964</v>
      </c>
      <c r="F19" s="25">
        <f>(F29)</f>
        <v>175453</v>
      </c>
      <c r="G19" s="25">
        <f>(G29)</f>
        <v>181056</v>
      </c>
      <c r="H19" s="25">
        <f>(H29)</f>
        <v>84257</v>
      </c>
      <c r="I19" s="26">
        <f t="shared" si="0"/>
        <v>440766</v>
      </c>
      <c r="J19" s="25">
        <f>(J29)</f>
        <v>72340</v>
      </c>
      <c r="K19" s="25">
        <f>(K29)</f>
        <v>71324</v>
      </c>
      <c r="L19" s="25">
        <f>(L29)</f>
        <v>138046</v>
      </c>
      <c r="M19" s="26">
        <f t="shared" si="1"/>
        <v>281710</v>
      </c>
      <c r="N19" s="25">
        <f>(N29)</f>
        <v>132029</v>
      </c>
      <c r="O19" s="25">
        <f>(O29)</f>
        <v>127353</v>
      </c>
      <c r="P19" s="25">
        <f>(P29)</f>
        <v>131898</v>
      </c>
      <c r="Q19" s="27">
        <f t="shared" si="2"/>
        <v>391280</v>
      </c>
      <c r="R19" s="26">
        <f t="shared" si="3"/>
        <v>1500720</v>
      </c>
      <c r="S19" s="4">
        <v>1472000</v>
      </c>
      <c r="T19" s="4" t="s">
        <v>897</v>
      </c>
    </row>
    <row r="20" spans="1:20" ht="16.5" customHeight="1" thickBot="1" x14ac:dyDescent="0.35">
      <c r="A20" s="24" t="s">
        <v>34</v>
      </c>
      <c r="B20" s="25">
        <f>+B19</f>
        <v>138806</v>
      </c>
      <c r="C20" s="25">
        <f>+C19</f>
        <v>67275</v>
      </c>
      <c r="D20" s="25">
        <f>+D19</f>
        <v>180883</v>
      </c>
      <c r="E20" s="26">
        <f>SUM(B20:D20)</f>
        <v>386964</v>
      </c>
      <c r="F20" s="25">
        <f>+F19</f>
        <v>175453</v>
      </c>
      <c r="G20" s="25">
        <f>+G19</f>
        <v>181056</v>
      </c>
      <c r="H20" s="25">
        <f>+H19</f>
        <v>84257</v>
      </c>
      <c r="I20" s="26">
        <f>SUM(F20:H20)</f>
        <v>440766</v>
      </c>
      <c r="J20" s="25">
        <f>+J19</f>
        <v>72340</v>
      </c>
      <c r="K20" s="25">
        <f>+K19</f>
        <v>71324</v>
      </c>
      <c r="L20" s="25">
        <f>+L19</f>
        <v>138046</v>
      </c>
      <c r="M20" s="26">
        <f t="shared" si="1"/>
        <v>281710</v>
      </c>
      <c r="N20" s="25">
        <f>+N19</f>
        <v>132029</v>
      </c>
      <c r="O20" s="25">
        <f>+O19</f>
        <v>127353</v>
      </c>
      <c r="P20" s="25">
        <f>+P19</f>
        <v>131898</v>
      </c>
      <c r="Q20" s="27">
        <f>SUM(N20:P20)</f>
        <v>391280</v>
      </c>
      <c r="R20" s="26">
        <f t="shared" si="3"/>
        <v>1500720</v>
      </c>
    </row>
    <row r="21" spans="1:20" ht="15.75" customHeight="1" x14ac:dyDescent="0.3">
      <c r="A21" s="1"/>
      <c r="B21" s="1"/>
      <c r="C21" s="1"/>
      <c r="D21" s="1"/>
      <c r="E21" s="1"/>
      <c r="F21" s="1"/>
      <c r="G21" s="1"/>
      <c r="H21" s="1"/>
      <c r="I21" s="1"/>
      <c r="J21" s="1"/>
      <c r="K21" s="1"/>
      <c r="L21" s="1"/>
      <c r="M21" s="1"/>
      <c r="N21" s="1"/>
      <c r="O21" s="1"/>
      <c r="P21" s="1"/>
      <c r="Q21" s="1"/>
      <c r="R21" s="28"/>
    </row>
    <row r="22" spans="1:20" ht="15.75" customHeight="1" thickBot="1" x14ac:dyDescent="0.35">
      <c r="A22" s="1"/>
      <c r="B22" s="1"/>
      <c r="C22" s="1"/>
      <c r="D22" s="1"/>
      <c r="E22" s="1"/>
      <c r="F22" s="29" t="s">
        <v>7</v>
      </c>
      <c r="G22" s="29" t="s">
        <v>7</v>
      </c>
      <c r="H22" s="1"/>
      <c r="I22" s="1"/>
      <c r="J22" s="1"/>
      <c r="K22" s="1"/>
      <c r="L22" s="1"/>
      <c r="M22" s="1"/>
      <c r="N22" s="29" t="s">
        <v>7</v>
      </c>
      <c r="O22" s="29" t="s">
        <v>7</v>
      </c>
      <c r="P22" s="29" t="s">
        <v>7</v>
      </c>
      <c r="Q22" s="29"/>
      <c r="R22" s="30" t="s">
        <v>7</v>
      </c>
    </row>
    <row r="23" spans="1:20" ht="16.5" customHeight="1" thickBot="1" x14ac:dyDescent="0.35">
      <c r="A23" s="31" t="s">
        <v>35</v>
      </c>
      <c r="B23" s="32" t="s">
        <v>36</v>
      </c>
      <c r="C23" s="33" t="s">
        <v>9</v>
      </c>
      <c r="D23" s="33" t="s">
        <v>10</v>
      </c>
      <c r="E23" s="12" t="s">
        <v>11</v>
      </c>
      <c r="F23" s="33" t="s">
        <v>12</v>
      </c>
      <c r="G23" s="33" t="s">
        <v>13</v>
      </c>
      <c r="H23" s="33" t="s">
        <v>14</v>
      </c>
      <c r="I23" s="34" t="s">
        <v>15</v>
      </c>
      <c r="J23" s="33" t="s">
        <v>16</v>
      </c>
      <c r="K23" s="33" t="s">
        <v>17</v>
      </c>
      <c r="L23" s="33" t="s">
        <v>18</v>
      </c>
      <c r="M23" s="34" t="s">
        <v>19</v>
      </c>
      <c r="N23" s="33" t="s">
        <v>20</v>
      </c>
      <c r="O23" s="33" t="s">
        <v>21</v>
      </c>
      <c r="P23" s="33" t="s">
        <v>22</v>
      </c>
      <c r="Q23" s="34" t="s">
        <v>23</v>
      </c>
      <c r="R23" s="35" t="s">
        <v>24</v>
      </c>
    </row>
    <row r="24" spans="1:20" ht="16.5" customHeight="1" thickBot="1" x14ac:dyDescent="0.35">
      <c r="A24" s="36"/>
      <c r="B24" s="37"/>
      <c r="C24" s="37"/>
      <c r="D24" s="37"/>
      <c r="E24" s="38"/>
      <c r="F24" s="37"/>
      <c r="G24" s="37"/>
      <c r="H24" s="37"/>
      <c r="I24" s="38"/>
      <c r="J24" s="37"/>
      <c r="K24" s="37"/>
      <c r="L24" s="37"/>
      <c r="M24" s="38"/>
      <c r="N24" s="37"/>
      <c r="O24" s="37"/>
      <c r="P24" s="37"/>
      <c r="Q24" s="38"/>
      <c r="R24" s="39"/>
    </row>
    <row r="25" spans="1:20" ht="16.5" customHeight="1" thickBot="1" x14ac:dyDescent="0.35">
      <c r="A25" s="40" t="s">
        <v>37</v>
      </c>
      <c r="B25" s="25">
        <v>97</v>
      </c>
      <c r="C25" s="25">
        <v>148</v>
      </c>
      <c r="D25" s="25">
        <v>274</v>
      </c>
      <c r="E25" s="41">
        <f>SUM(B25:D25)</f>
        <v>519</v>
      </c>
      <c r="F25" s="25">
        <v>367</v>
      </c>
      <c r="G25" s="25">
        <v>425</v>
      </c>
      <c r="H25" s="25">
        <v>417</v>
      </c>
      <c r="I25" s="41">
        <f>SUM(F25:H25)</f>
        <v>1209</v>
      </c>
      <c r="J25" s="25">
        <v>416</v>
      </c>
      <c r="K25" s="25">
        <v>334</v>
      </c>
      <c r="L25" s="25">
        <v>316</v>
      </c>
      <c r="M25" s="41">
        <f>SUM(J25:L25)</f>
        <v>1066</v>
      </c>
      <c r="N25" s="25">
        <v>285</v>
      </c>
      <c r="O25" s="25">
        <v>235</v>
      </c>
      <c r="P25" s="25">
        <v>186</v>
      </c>
      <c r="Q25" s="41">
        <f>SUM(N25:P25)</f>
        <v>706</v>
      </c>
      <c r="R25" s="26">
        <f>+E25+I25+M25+Q25</f>
        <v>3500</v>
      </c>
    </row>
    <row r="26" spans="1:20" ht="16.5" customHeight="1" thickBot="1" x14ac:dyDescent="0.35">
      <c r="A26" s="42"/>
      <c r="B26" s="37"/>
      <c r="C26" s="37"/>
      <c r="D26" s="37"/>
      <c r="E26" s="43"/>
      <c r="F26" s="37"/>
      <c r="G26" s="37"/>
      <c r="H26" s="37"/>
      <c r="I26" s="43"/>
      <c r="J26" s="37"/>
      <c r="K26" s="37"/>
      <c r="L26" s="37"/>
      <c r="M26" s="43"/>
      <c r="N26" s="37"/>
      <c r="O26" s="37"/>
      <c r="P26" s="37"/>
      <c r="Q26" s="43"/>
      <c r="R26" s="44"/>
    </row>
    <row r="27" spans="1:20" ht="15.75" customHeight="1" x14ac:dyDescent="0.3">
      <c r="A27" s="17" t="s">
        <v>38</v>
      </c>
      <c r="B27" s="1">
        <f>B25</f>
        <v>97</v>
      </c>
      <c r="C27" s="1">
        <f>C25</f>
        <v>148</v>
      </c>
      <c r="D27" s="1">
        <f>D25</f>
        <v>274</v>
      </c>
      <c r="E27" s="41">
        <f>SUM(B27:D27)</f>
        <v>519</v>
      </c>
      <c r="F27" s="1">
        <f>F25</f>
        <v>367</v>
      </c>
      <c r="G27" s="1">
        <f>G25</f>
        <v>425</v>
      </c>
      <c r="H27" s="1">
        <f>H25</f>
        <v>417</v>
      </c>
      <c r="I27" s="41">
        <f>SUM(F27:H27)</f>
        <v>1209</v>
      </c>
      <c r="J27" s="1">
        <f>J25</f>
        <v>416</v>
      </c>
      <c r="K27" s="1">
        <f>K25</f>
        <v>334</v>
      </c>
      <c r="L27" s="1">
        <f>L25</f>
        <v>316</v>
      </c>
      <c r="M27" s="41">
        <f>SUM(J27:L27)</f>
        <v>1066</v>
      </c>
      <c r="N27" s="1">
        <f>N25</f>
        <v>285</v>
      </c>
      <c r="O27" s="1">
        <f>O25</f>
        <v>235</v>
      </c>
      <c r="P27" s="1">
        <f>P25</f>
        <v>186</v>
      </c>
      <c r="Q27" s="45">
        <f>SUM(N27:P27)</f>
        <v>706</v>
      </c>
      <c r="R27" s="41">
        <f>+E27+I27+M27+Q27</f>
        <v>3500</v>
      </c>
    </row>
    <row r="28" spans="1:20" ht="15.75" customHeight="1" x14ac:dyDescent="0.3">
      <c r="A28" s="17" t="s">
        <v>39</v>
      </c>
      <c r="B28" s="1">
        <f>(B27/B10)/1.983</f>
        <v>1.5779285214647079</v>
      </c>
      <c r="C28" s="1">
        <f>(C27/C10)/1.983</f>
        <v>2.6655140119587926</v>
      </c>
      <c r="D28" s="1">
        <f>(D27/D10)/1.983</f>
        <v>4.457241390529175</v>
      </c>
      <c r="E28" s="18"/>
      <c r="F28" s="1">
        <f>(F27/F10)/1.983</f>
        <v>6.1691040511010247</v>
      </c>
      <c r="G28" s="1">
        <f>(G27/G10)/1.983</f>
        <v>6.9136043466237203</v>
      </c>
      <c r="H28" s="1">
        <f>(H27/H10)/1.983</f>
        <v>7.0095814422592033</v>
      </c>
      <c r="I28" s="18"/>
      <c r="J28" s="1">
        <f>(J27/J10)/1.983</f>
        <v>6.7671986075187478</v>
      </c>
      <c r="K28" s="1">
        <f>(K27/K10)/1.983</f>
        <v>5.433279651228994</v>
      </c>
      <c r="L28" s="1">
        <f>(L27/L10)/1.983</f>
        <v>5.3118171121196838</v>
      </c>
      <c r="M28" s="18"/>
      <c r="N28" s="1">
        <f>(N27/N10)/1.983</f>
        <v>4.6361817383241419</v>
      </c>
      <c r="O28" s="1">
        <f>(O27/O10)/1.983</f>
        <v>3.9502437384434357</v>
      </c>
      <c r="P28" s="1">
        <f>(P27/P10)/1.983</f>
        <v>3.02571860816944</v>
      </c>
      <c r="Q28" s="19"/>
      <c r="R28" s="18"/>
    </row>
    <row r="29" spans="1:20" ht="15.75" customHeight="1" x14ac:dyDescent="0.3">
      <c r="A29" s="17" t="s">
        <v>40</v>
      </c>
      <c r="B29" s="1">
        <f>B27+B64</f>
        <v>138806</v>
      </c>
      <c r="C29" s="1">
        <f>C27+C64</f>
        <v>67275</v>
      </c>
      <c r="D29" s="1">
        <f>D27+D64</f>
        <v>180883</v>
      </c>
      <c r="E29" s="18">
        <f>SUM(B29:D29)</f>
        <v>386964</v>
      </c>
      <c r="F29" s="1">
        <f>F27+F64</f>
        <v>175453</v>
      </c>
      <c r="G29" s="1">
        <f>G27+G64</f>
        <v>181056</v>
      </c>
      <c r="H29" s="1">
        <f>H27+H64</f>
        <v>84257</v>
      </c>
      <c r="I29" s="18">
        <f>SUM(F29:H29)</f>
        <v>440766</v>
      </c>
      <c r="J29" s="1">
        <f>J27+J64</f>
        <v>72340</v>
      </c>
      <c r="K29" s="1">
        <f>K27+K64</f>
        <v>71324</v>
      </c>
      <c r="L29" s="1">
        <f>L27+L64</f>
        <v>138046</v>
      </c>
      <c r="M29" s="18">
        <f>SUM(J29:L29)</f>
        <v>281710</v>
      </c>
      <c r="N29" s="1">
        <f>N27+N64</f>
        <v>132029</v>
      </c>
      <c r="O29" s="1">
        <f>O27+O64</f>
        <v>127353</v>
      </c>
      <c r="P29" s="1">
        <f>P27+P64</f>
        <v>131898</v>
      </c>
      <c r="Q29" s="19">
        <f>SUM(N29:P29)</f>
        <v>391280</v>
      </c>
      <c r="R29" s="18">
        <f>+E29+I29+M29+Q29</f>
        <v>1500720</v>
      </c>
    </row>
    <row r="30" spans="1:20" s="50" customFormat="1" ht="16.5" customHeight="1" thickBot="1" x14ac:dyDescent="0.35">
      <c r="A30" s="46" t="s">
        <v>41</v>
      </c>
      <c r="B30" s="47">
        <f>(B29/B10)/1.983</f>
        <v>2257.9994469116523</v>
      </c>
      <c r="C30" s="47">
        <f>(C29/C10)/1.983</f>
        <v>1211.6382105035661</v>
      </c>
      <c r="D30" s="47">
        <f>(D29/D10)/1.983</f>
        <v>2942.4788118360907</v>
      </c>
      <c r="E30" s="48"/>
      <c r="F30" s="47">
        <f>(F29/F10)/1.983</f>
        <v>2949.2855942175156</v>
      </c>
      <c r="G30" s="47">
        <f>(G29/G10)/1.983</f>
        <v>2945.2930554877753</v>
      </c>
      <c r="H30" s="47">
        <f>(H29/H10)/1.983</f>
        <v>1416.3220709362918</v>
      </c>
      <c r="I30" s="48"/>
      <c r="J30" s="47">
        <f>(J29/J10)/1.983</f>
        <v>1176.7767963170822</v>
      </c>
      <c r="K30" s="47">
        <f>(K29/K10)/1.983</f>
        <v>1160.2492151025654</v>
      </c>
      <c r="L30" s="47">
        <f>(L29/L10)/1.983</f>
        <v>2320.4908387964365</v>
      </c>
      <c r="M30" s="48"/>
      <c r="N30" s="47">
        <f>(N29/N10)/1.983</f>
        <v>2147.7559253656077</v>
      </c>
      <c r="O30" s="47">
        <f>(O29/O10)/1.983</f>
        <v>2140.7463439233484</v>
      </c>
      <c r="P30" s="47">
        <f>(P29/P10)/1.983</f>
        <v>2145.6249084964129</v>
      </c>
      <c r="Q30" s="49"/>
      <c r="R30" s="48"/>
      <c r="T30" s="51" t="s">
        <v>42</v>
      </c>
    </row>
    <row r="31" spans="1:20" ht="15.75" customHeight="1" x14ac:dyDescent="0.3">
      <c r="A31" s="28"/>
      <c r="B31" s="1"/>
      <c r="C31" s="1"/>
      <c r="D31" s="1"/>
      <c r="E31" s="1"/>
      <c r="F31" s="1"/>
      <c r="G31" s="1"/>
      <c r="H31" s="1"/>
      <c r="I31" s="1"/>
      <c r="J31" s="1"/>
      <c r="K31" s="1"/>
      <c r="L31" s="1"/>
      <c r="M31" s="1"/>
      <c r="N31" s="1"/>
      <c r="O31" s="1"/>
      <c r="P31" s="1"/>
      <c r="Q31" s="1"/>
      <c r="R31" s="28"/>
      <c r="T31" s="52" t="s">
        <v>43</v>
      </c>
    </row>
    <row r="32" spans="1:20" ht="15.75" customHeight="1" thickBot="1" x14ac:dyDescent="0.35">
      <c r="A32" s="28"/>
      <c r="B32" s="1"/>
      <c r="C32" s="1"/>
      <c r="D32" s="1"/>
      <c r="E32" s="1"/>
      <c r="F32" s="1"/>
      <c r="G32" s="1"/>
      <c r="H32" s="1"/>
      <c r="I32" s="1"/>
      <c r="J32" s="1"/>
      <c r="K32" s="1"/>
      <c r="L32" s="1"/>
      <c r="M32" s="1"/>
      <c r="N32" s="1"/>
      <c r="O32" s="1"/>
      <c r="P32" s="1"/>
      <c r="Q32" s="1"/>
      <c r="R32" s="28"/>
    </row>
    <row r="33" spans="1:18" ht="15.75" customHeight="1" thickBot="1" x14ac:dyDescent="0.35">
      <c r="A33" s="53" t="s">
        <v>44</v>
      </c>
      <c r="B33" s="54" t="s">
        <v>36</v>
      </c>
      <c r="C33" s="11" t="s">
        <v>9</v>
      </c>
      <c r="D33" s="11" t="s">
        <v>10</v>
      </c>
      <c r="E33" s="12" t="s">
        <v>11</v>
      </c>
      <c r="F33" s="11" t="s">
        <v>12</v>
      </c>
      <c r="G33" s="11" t="s">
        <v>13</v>
      </c>
      <c r="H33" s="11" t="s">
        <v>14</v>
      </c>
      <c r="I33" s="12" t="s">
        <v>15</v>
      </c>
      <c r="J33" s="11" t="s">
        <v>16</v>
      </c>
      <c r="K33" s="11" t="s">
        <v>17</v>
      </c>
      <c r="L33" s="11" t="s">
        <v>18</v>
      </c>
      <c r="M33" s="12" t="s">
        <v>19</v>
      </c>
      <c r="N33" s="11" t="s">
        <v>20</v>
      </c>
      <c r="O33" s="11" t="s">
        <v>21</v>
      </c>
      <c r="P33" s="11" t="s">
        <v>22</v>
      </c>
      <c r="Q33" s="12" t="s">
        <v>23</v>
      </c>
      <c r="R33" s="13" t="s">
        <v>24</v>
      </c>
    </row>
    <row r="34" spans="1:18" ht="16.5" customHeight="1" thickBot="1" x14ac:dyDescent="0.35">
      <c r="A34" s="43"/>
      <c r="B34" s="55"/>
      <c r="C34" s="56"/>
      <c r="D34" s="56"/>
      <c r="E34" s="16"/>
      <c r="F34" s="56"/>
      <c r="G34" s="56"/>
      <c r="H34" s="56"/>
      <c r="I34" s="16"/>
      <c r="J34" s="56"/>
      <c r="K34" s="56"/>
      <c r="L34" s="56"/>
      <c r="M34" s="16"/>
      <c r="N34" s="56"/>
      <c r="O34" s="56"/>
      <c r="P34" s="56"/>
      <c r="Q34" s="16"/>
      <c r="R34" s="57"/>
    </row>
    <row r="35" spans="1:18" ht="15.75" customHeight="1" x14ac:dyDescent="0.3">
      <c r="A35" s="58" t="s">
        <v>45</v>
      </c>
      <c r="B35" s="30"/>
      <c r="C35" s="30"/>
      <c r="D35" s="30"/>
      <c r="E35" s="59" t="s">
        <v>7</v>
      </c>
      <c r="F35" s="30"/>
      <c r="G35" s="30"/>
      <c r="H35" s="30"/>
      <c r="I35" s="59" t="s">
        <v>7</v>
      </c>
      <c r="J35" s="30"/>
      <c r="K35" s="30"/>
      <c r="L35" s="30"/>
      <c r="M35" s="59" t="s">
        <v>7</v>
      </c>
      <c r="N35" s="30"/>
      <c r="O35" s="30"/>
      <c r="P35" s="30"/>
      <c r="Q35" s="59" t="s">
        <v>7</v>
      </c>
      <c r="R35" s="59" t="s">
        <v>7</v>
      </c>
    </row>
    <row r="36" spans="1:18" ht="15.75" customHeight="1" x14ac:dyDescent="0.3">
      <c r="A36" s="22" t="s">
        <v>46</v>
      </c>
      <c r="B36" s="30" t="s">
        <v>7</v>
      </c>
      <c r="C36" s="60"/>
      <c r="D36" s="60"/>
      <c r="E36" s="59" t="s">
        <v>7</v>
      </c>
      <c r="F36" s="60"/>
      <c r="G36" s="60"/>
      <c r="H36" s="60"/>
      <c r="I36" s="59" t="s">
        <v>7</v>
      </c>
      <c r="J36" s="60"/>
      <c r="K36" s="60"/>
      <c r="L36" s="60"/>
      <c r="M36" s="59" t="s">
        <v>7</v>
      </c>
      <c r="N36" s="60"/>
      <c r="O36" s="60"/>
      <c r="P36" s="60"/>
      <c r="Q36" s="59" t="s">
        <v>7</v>
      </c>
      <c r="R36" s="59" t="s">
        <v>7</v>
      </c>
    </row>
    <row r="37" spans="1:18" ht="15.75" customHeight="1" x14ac:dyDescent="0.3">
      <c r="A37" s="22" t="s">
        <v>47</v>
      </c>
      <c r="B37" s="30"/>
      <c r="C37" s="30"/>
      <c r="D37" s="30"/>
      <c r="E37" s="59" t="s">
        <v>7</v>
      </c>
      <c r="F37" s="30"/>
      <c r="G37" s="30"/>
      <c r="H37" s="30"/>
      <c r="I37" s="59" t="s">
        <v>7</v>
      </c>
      <c r="J37" s="30"/>
      <c r="K37" s="30"/>
      <c r="L37" s="30"/>
      <c r="M37" s="59" t="s">
        <v>7</v>
      </c>
      <c r="N37" s="30"/>
      <c r="O37" s="30"/>
      <c r="P37" s="30"/>
      <c r="Q37" s="59" t="s">
        <v>7</v>
      </c>
      <c r="R37" s="59" t="s">
        <v>7</v>
      </c>
    </row>
    <row r="38" spans="1:18" ht="15.75" customHeight="1" x14ac:dyDescent="0.3">
      <c r="A38" s="61" t="s">
        <v>48</v>
      </c>
      <c r="B38" s="1"/>
      <c r="C38" s="1"/>
      <c r="D38" s="1"/>
      <c r="E38" s="59">
        <f>SUM(B38:D38)</f>
        <v>0</v>
      </c>
      <c r="F38" s="1"/>
      <c r="G38" s="1"/>
      <c r="H38" s="1"/>
      <c r="I38" s="59">
        <f>SUM(F38:H38)</f>
        <v>0</v>
      </c>
      <c r="J38" s="1"/>
      <c r="K38" s="1"/>
      <c r="L38" s="1"/>
      <c r="M38" s="59">
        <f>SUM(J38:L38)</f>
        <v>0</v>
      </c>
      <c r="N38" s="1"/>
      <c r="O38" s="1"/>
      <c r="P38" s="1"/>
      <c r="Q38" s="59">
        <f>SUM(N38:P38)</f>
        <v>0</v>
      </c>
      <c r="R38" s="59">
        <f>+E38+I38+M38+Q38</f>
        <v>0</v>
      </c>
    </row>
    <row r="39" spans="1:18" ht="15.75" customHeight="1" x14ac:dyDescent="0.3">
      <c r="A39" s="22" t="s">
        <v>898</v>
      </c>
      <c r="B39" s="30"/>
      <c r="C39" s="30"/>
      <c r="D39" s="30"/>
      <c r="E39" s="59" t="s">
        <v>50</v>
      </c>
      <c r="F39" s="30"/>
      <c r="G39" s="30"/>
      <c r="H39" s="30"/>
      <c r="I39" s="59" t="s">
        <v>50</v>
      </c>
      <c r="J39" s="30"/>
      <c r="K39" s="30"/>
      <c r="L39" s="30"/>
      <c r="M39" s="59" t="s">
        <v>50</v>
      </c>
      <c r="N39" s="30"/>
      <c r="O39" s="30"/>
      <c r="P39" s="30"/>
      <c r="Q39" s="59" t="s">
        <v>50</v>
      </c>
      <c r="R39" s="59" t="s">
        <v>50</v>
      </c>
    </row>
    <row r="40" spans="1:18" ht="15.75" customHeight="1" thickBot="1" x14ac:dyDescent="0.35">
      <c r="A40" s="22" t="s">
        <v>51</v>
      </c>
      <c r="B40" s="60"/>
      <c r="C40" s="60"/>
      <c r="D40" s="60"/>
      <c r="E40" s="59" t="s">
        <v>7</v>
      </c>
      <c r="F40" s="60"/>
      <c r="G40" s="60"/>
      <c r="H40" s="60"/>
      <c r="I40" s="59" t="s">
        <v>7</v>
      </c>
      <c r="J40" s="60"/>
      <c r="K40" s="60"/>
      <c r="L40" s="60"/>
      <c r="M40" s="59" t="s">
        <v>7</v>
      </c>
      <c r="N40" s="60"/>
      <c r="O40" s="60"/>
      <c r="P40" s="60"/>
      <c r="Q40" s="59" t="s">
        <v>7</v>
      </c>
      <c r="R40" s="59" t="s">
        <v>7</v>
      </c>
    </row>
    <row r="41" spans="1:18" ht="16.5" customHeight="1" thickBot="1" x14ac:dyDescent="0.35">
      <c r="A41" s="62" t="s">
        <v>52</v>
      </c>
      <c r="B41" s="63">
        <f>SUM(B35:B40)</f>
        <v>0</v>
      </c>
      <c r="C41" s="63">
        <f>SUM(C35:C40)</f>
        <v>0</v>
      </c>
      <c r="D41" s="63">
        <f>SUM(D35:D40)</f>
        <v>0</v>
      </c>
      <c r="E41" s="64">
        <f>SUM(B41:D41)</f>
        <v>0</v>
      </c>
      <c r="F41" s="63">
        <f>SUM(F35:F40)</f>
        <v>0</v>
      </c>
      <c r="G41" s="63">
        <f>SUM(G35:G40)</f>
        <v>0</v>
      </c>
      <c r="H41" s="63">
        <f>SUM(H35:H40)</f>
        <v>0</v>
      </c>
      <c r="I41" s="64">
        <f>SUM(F41:H41)</f>
        <v>0</v>
      </c>
      <c r="J41" s="63">
        <f>SUM(J35:J40)</f>
        <v>0</v>
      </c>
      <c r="K41" s="63">
        <f>SUM(K35:K40)</f>
        <v>0</v>
      </c>
      <c r="L41" s="63">
        <f>SUM(L35:L40)</f>
        <v>0</v>
      </c>
      <c r="M41" s="64">
        <f>SUM(J41:L41)</f>
        <v>0</v>
      </c>
      <c r="N41" s="63">
        <f>SUM(N35:N40)</f>
        <v>0</v>
      </c>
      <c r="O41" s="63">
        <f>SUM(O35:O40)</f>
        <v>0</v>
      </c>
      <c r="P41" s="63">
        <f>SUM(P35:P40)</f>
        <v>0</v>
      </c>
      <c r="Q41" s="64">
        <f>SUM(N41:P41)</f>
        <v>0</v>
      </c>
      <c r="R41" s="64">
        <f>+E41+I41+M41+Q41</f>
        <v>0</v>
      </c>
    </row>
    <row r="42" spans="1:18" ht="15.75" customHeight="1" x14ac:dyDescent="0.3">
      <c r="A42" s="22" t="s">
        <v>53</v>
      </c>
      <c r="B42" s="60"/>
      <c r="C42" s="60"/>
      <c r="D42" s="60"/>
      <c r="E42" s="59" t="s">
        <v>7</v>
      </c>
      <c r="F42" s="60"/>
      <c r="G42" s="60"/>
      <c r="H42" s="60"/>
      <c r="I42" s="59" t="s">
        <v>7</v>
      </c>
      <c r="J42" s="60"/>
      <c r="K42" s="60"/>
      <c r="L42" s="60"/>
      <c r="M42" s="59" t="s">
        <v>7</v>
      </c>
      <c r="N42" s="60"/>
      <c r="O42" s="60"/>
      <c r="P42" s="60"/>
      <c r="Q42" s="59" t="s">
        <v>7</v>
      </c>
      <c r="R42" s="65" t="s">
        <v>7</v>
      </c>
    </row>
    <row r="43" spans="1:18" ht="15.75" customHeight="1" x14ac:dyDescent="0.3">
      <c r="A43" s="22" t="s">
        <v>54</v>
      </c>
      <c r="B43" s="60"/>
      <c r="C43" s="60"/>
      <c r="D43" s="60"/>
      <c r="E43" s="59"/>
      <c r="F43" s="60"/>
      <c r="G43" s="60"/>
      <c r="H43" s="60"/>
      <c r="I43" s="59"/>
      <c r="J43" s="60"/>
      <c r="K43" s="60"/>
      <c r="L43" s="60"/>
      <c r="M43" s="59"/>
      <c r="N43" s="60"/>
      <c r="O43" s="60"/>
      <c r="P43" s="60"/>
      <c r="Q43" s="59"/>
      <c r="R43" s="59"/>
    </row>
    <row r="44" spans="1:18" ht="15.75" customHeight="1" x14ac:dyDescent="0.3">
      <c r="A44" s="22" t="s">
        <v>55</v>
      </c>
      <c r="B44" s="60"/>
      <c r="C44" s="60"/>
      <c r="D44" s="60"/>
      <c r="E44" s="59" t="s">
        <v>7</v>
      </c>
      <c r="F44" s="60"/>
      <c r="G44" s="60"/>
      <c r="H44" s="60"/>
      <c r="I44" s="59" t="s">
        <v>7</v>
      </c>
      <c r="J44" s="60"/>
      <c r="K44" s="60"/>
      <c r="L44" s="60"/>
      <c r="M44" s="59" t="s">
        <v>7</v>
      </c>
      <c r="N44" s="60"/>
      <c r="O44" s="60"/>
      <c r="P44" s="60"/>
      <c r="Q44" s="59" t="s">
        <v>7</v>
      </c>
      <c r="R44" s="59" t="s">
        <v>7</v>
      </c>
    </row>
    <row r="45" spans="1:18" ht="15.75" customHeight="1" thickBot="1" x14ac:dyDescent="0.35">
      <c r="A45" s="22" t="s">
        <v>56</v>
      </c>
      <c r="B45" s="60"/>
      <c r="C45" s="60"/>
      <c r="D45" s="60"/>
      <c r="E45" s="59" t="s">
        <v>7</v>
      </c>
      <c r="F45" s="60"/>
      <c r="G45" s="60"/>
      <c r="H45" s="60"/>
      <c r="I45" s="59" t="s">
        <v>7</v>
      </c>
      <c r="J45" s="60"/>
      <c r="K45" s="60"/>
      <c r="L45" s="60"/>
      <c r="M45" s="59" t="s">
        <v>7</v>
      </c>
      <c r="N45" s="60"/>
      <c r="O45" s="60"/>
      <c r="P45" s="60"/>
      <c r="Q45" s="59" t="s">
        <v>7</v>
      </c>
      <c r="R45" s="59" t="s">
        <v>7</v>
      </c>
    </row>
    <row r="46" spans="1:18" ht="16.5" customHeight="1" thickBot="1" x14ac:dyDescent="0.35">
      <c r="A46" s="62" t="s">
        <v>57</v>
      </c>
      <c r="B46" s="63">
        <f>SUM(B42:B45)</f>
        <v>0</v>
      </c>
      <c r="C46" s="63">
        <f>SUM(C42:C45)</f>
        <v>0</v>
      </c>
      <c r="D46" s="63">
        <f>SUM(D42:D45)</f>
        <v>0</v>
      </c>
      <c r="E46" s="64">
        <f>SUM(B46:D46)</f>
        <v>0</v>
      </c>
      <c r="F46" s="63">
        <f>SUM(F42:F45)</f>
        <v>0</v>
      </c>
      <c r="G46" s="63">
        <f>SUM(G42:G45)</f>
        <v>0</v>
      </c>
      <c r="H46" s="63">
        <f>SUM(H42:H45)</f>
        <v>0</v>
      </c>
      <c r="I46" s="64">
        <f>SUM(F46:H46)</f>
        <v>0</v>
      </c>
      <c r="J46" s="63">
        <f>SUM(J42:J45)</f>
        <v>0</v>
      </c>
      <c r="K46" s="63">
        <f>SUM(K42:K45)</f>
        <v>0</v>
      </c>
      <c r="L46" s="63">
        <f>SUM(L42:L45)</f>
        <v>0</v>
      </c>
      <c r="M46" s="64">
        <f>SUM(J46:L46)</f>
        <v>0</v>
      </c>
      <c r="N46" s="63">
        <f>SUM(N42:N45)</f>
        <v>0</v>
      </c>
      <c r="O46" s="63">
        <f>SUM(O42:O45)</f>
        <v>0</v>
      </c>
      <c r="P46" s="63">
        <f>SUM(P42:P45)</f>
        <v>0</v>
      </c>
      <c r="Q46" s="64">
        <f>SUM(N46:P46)</f>
        <v>0</v>
      </c>
      <c r="R46" s="64">
        <f>+E46+I46+M46+Q46</f>
        <v>0</v>
      </c>
    </row>
    <row r="47" spans="1:18" ht="15.75" customHeight="1" x14ac:dyDescent="0.3">
      <c r="A47" s="22" t="s">
        <v>58</v>
      </c>
      <c r="B47" s="60"/>
      <c r="C47" s="60"/>
      <c r="D47" s="60"/>
      <c r="E47" s="59" t="s">
        <v>7</v>
      </c>
      <c r="F47" s="60"/>
      <c r="G47" s="60"/>
      <c r="H47" s="60"/>
      <c r="I47" s="59" t="s">
        <v>7</v>
      </c>
      <c r="J47" s="60"/>
      <c r="K47" s="60"/>
      <c r="L47" s="60"/>
      <c r="M47" s="59" t="s">
        <v>7</v>
      </c>
      <c r="N47" s="60"/>
      <c r="O47" s="60"/>
      <c r="P47" s="60"/>
      <c r="Q47" s="59" t="s">
        <v>7</v>
      </c>
      <c r="R47" s="59" t="s">
        <v>7</v>
      </c>
    </row>
    <row r="48" spans="1:18" ht="15.75" customHeight="1" x14ac:dyDescent="0.3">
      <c r="A48" s="22" t="s">
        <v>59</v>
      </c>
      <c r="B48" s="60"/>
      <c r="C48" s="60"/>
      <c r="D48" s="60"/>
      <c r="E48" s="59" t="s">
        <v>7</v>
      </c>
      <c r="F48" s="60"/>
      <c r="G48" s="60"/>
      <c r="H48" s="60"/>
      <c r="I48" s="59" t="s">
        <v>7</v>
      </c>
      <c r="J48" s="60"/>
      <c r="K48" s="60"/>
      <c r="L48" s="60"/>
      <c r="M48" s="59" t="s">
        <v>7</v>
      </c>
      <c r="N48" s="60"/>
      <c r="O48" s="60"/>
      <c r="P48" s="60"/>
      <c r="Q48" s="59" t="s">
        <v>7</v>
      </c>
      <c r="R48" s="59" t="s">
        <v>7</v>
      </c>
    </row>
    <row r="49" spans="1:18" ht="15.75" customHeight="1" thickBot="1" x14ac:dyDescent="0.35">
      <c r="A49" s="22" t="s">
        <v>60</v>
      </c>
      <c r="B49" s="60"/>
      <c r="C49" s="60"/>
      <c r="D49" s="60"/>
      <c r="E49" s="59"/>
      <c r="F49" s="60"/>
      <c r="G49" s="60"/>
      <c r="H49" s="60"/>
      <c r="I49" s="59"/>
      <c r="J49" s="60"/>
      <c r="K49" s="60"/>
      <c r="L49" s="60"/>
      <c r="M49" s="59"/>
      <c r="N49" s="60"/>
      <c r="O49" s="60"/>
      <c r="P49" s="60"/>
      <c r="Q49" s="59"/>
      <c r="R49" s="59"/>
    </row>
    <row r="50" spans="1:18" ht="16.5" customHeight="1" thickBot="1" x14ac:dyDescent="0.35">
      <c r="A50" s="62" t="s">
        <v>61</v>
      </c>
      <c r="B50" s="63">
        <f>SUM(B47:B49)</f>
        <v>0</v>
      </c>
      <c r="C50" s="63">
        <f>SUM(C47:C49)</f>
        <v>0</v>
      </c>
      <c r="D50" s="63">
        <f>SUM(D47:D49)</f>
        <v>0</v>
      </c>
      <c r="E50" s="64">
        <f>SUM(B50:D50)</f>
        <v>0</v>
      </c>
      <c r="F50" s="63">
        <f>SUM(F47:F49)</f>
        <v>0</v>
      </c>
      <c r="G50" s="63">
        <f>SUM(G47:G49)</f>
        <v>0</v>
      </c>
      <c r="H50" s="63">
        <f>SUM(H47:H49)</f>
        <v>0</v>
      </c>
      <c r="I50" s="64">
        <f>SUM(F50:H50)</f>
        <v>0</v>
      </c>
      <c r="J50" s="63">
        <f>SUM(J47:J49)</f>
        <v>0</v>
      </c>
      <c r="K50" s="63">
        <f>SUM(K47:K49)</f>
        <v>0</v>
      </c>
      <c r="L50" s="63">
        <f>SUM(L47:L49)</f>
        <v>0</v>
      </c>
      <c r="M50" s="64">
        <f>SUM(J50:L50)</f>
        <v>0</v>
      </c>
      <c r="N50" s="63">
        <f>SUM(N47:N49)</f>
        <v>0</v>
      </c>
      <c r="O50" s="63">
        <f>SUM(O47:O49)</f>
        <v>0</v>
      </c>
      <c r="P50" s="63">
        <f>SUM(P47:P49)</f>
        <v>0</v>
      </c>
      <c r="Q50" s="64">
        <f>SUM(N50:P50)</f>
        <v>0</v>
      </c>
      <c r="R50" s="64">
        <f>+E50+I50+M50+Q50</f>
        <v>0</v>
      </c>
    </row>
    <row r="51" spans="1:18" ht="15.75" customHeight="1" x14ac:dyDescent="0.3">
      <c r="A51" s="22" t="s">
        <v>62</v>
      </c>
      <c r="B51" s="60"/>
      <c r="C51" s="60"/>
      <c r="D51" s="60"/>
      <c r="E51" s="59" t="s">
        <v>7</v>
      </c>
      <c r="F51" s="60"/>
      <c r="G51" s="60"/>
      <c r="H51" s="60"/>
      <c r="I51" s="59" t="s">
        <v>7</v>
      </c>
      <c r="J51" s="60"/>
      <c r="K51" s="60"/>
      <c r="L51" s="60"/>
      <c r="M51" s="59" t="s">
        <v>7</v>
      </c>
      <c r="N51" s="60"/>
      <c r="O51" s="60"/>
      <c r="P51" s="60"/>
      <c r="Q51" s="59" t="s">
        <v>7</v>
      </c>
      <c r="R51" s="59" t="s">
        <v>7</v>
      </c>
    </row>
    <row r="52" spans="1:18" ht="15.75" customHeight="1" x14ac:dyDescent="0.3">
      <c r="A52" s="22" t="s">
        <v>63</v>
      </c>
      <c r="B52" s="60"/>
      <c r="C52" s="60"/>
      <c r="D52" s="60"/>
      <c r="E52" s="59" t="s">
        <v>7</v>
      </c>
      <c r="F52" s="60"/>
      <c r="G52" s="60"/>
      <c r="H52" s="60"/>
      <c r="I52" s="59" t="s">
        <v>7</v>
      </c>
      <c r="J52" s="60"/>
      <c r="K52" s="60"/>
      <c r="L52" s="60"/>
      <c r="M52" s="59" t="s">
        <v>7</v>
      </c>
      <c r="N52" s="60"/>
      <c r="O52" s="60"/>
      <c r="P52" s="60"/>
      <c r="Q52" s="59" t="s">
        <v>7</v>
      </c>
      <c r="R52" s="59" t="s">
        <v>7</v>
      </c>
    </row>
    <row r="53" spans="1:18" ht="15.75" customHeight="1" x14ac:dyDescent="0.3">
      <c r="A53" s="22" t="s">
        <v>64</v>
      </c>
      <c r="B53" s="60"/>
      <c r="C53" s="60"/>
      <c r="D53" s="60"/>
      <c r="E53" s="59" t="s">
        <v>7</v>
      </c>
      <c r="F53" s="60"/>
      <c r="G53" s="60"/>
      <c r="H53" s="60"/>
      <c r="I53" s="59" t="s">
        <v>7</v>
      </c>
      <c r="J53" s="60"/>
      <c r="K53" s="60"/>
      <c r="L53" s="60"/>
      <c r="M53" s="59" t="s">
        <v>7</v>
      </c>
      <c r="N53" s="60"/>
      <c r="O53" s="60"/>
      <c r="P53" s="60"/>
      <c r="Q53" s="59" t="s">
        <v>7</v>
      </c>
      <c r="R53" s="59" t="s">
        <v>7</v>
      </c>
    </row>
    <row r="54" spans="1:18" ht="15.75" customHeight="1" x14ac:dyDescent="0.3">
      <c r="A54" s="61" t="s">
        <v>65</v>
      </c>
      <c r="B54" s="1"/>
      <c r="C54" s="1"/>
      <c r="D54" s="1"/>
      <c r="E54" s="59">
        <f>SUM(B54:D54)</f>
        <v>0</v>
      </c>
      <c r="F54" s="1"/>
      <c r="G54" s="1"/>
      <c r="H54" s="1"/>
      <c r="I54" s="59">
        <f>SUM(F54:H54)</f>
        <v>0</v>
      </c>
      <c r="J54" s="1"/>
      <c r="K54" s="1"/>
      <c r="L54" s="1"/>
      <c r="M54" s="59">
        <f>SUM(J54:L54)</f>
        <v>0</v>
      </c>
      <c r="N54" s="1"/>
      <c r="O54" s="1"/>
      <c r="P54" s="1"/>
      <c r="Q54" s="59">
        <f>SUM(N54:P54)</f>
        <v>0</v>
      </c>
      <c r="R54" s="59">
        <f>+E54+I54+M54+Q54</f>
        <v>0</v>
      </c>
    </row>
    <row r="55" spans="1:18" ht="15.75" customHeight="1" x14ac:dyDescent="0.3">
      <c r="A55" s="22" t="s">
        <v>66</v>
      </c>
      <c r="B55" s="60"/>
      <c r="C55" s="60"/>
      <c r="D55" s="60"/>
      <c r="E55" s="59" t="s">
        <v>7</v>
      </c>
      <c r="F55" s="60"/>
      <c r="G55" s="60"/>
      <c r="H55" s="60"/>
      <c r="I55" s="59" t="s">
        <v>7</v>
      </c>
      <c r="J55" s="60"/>
      <c r="K55" s="60"/>
      <c r="L55" s="60"/>
      <c r="M55" s="59" t="s">
        <v>7</v>
      </c>
      <c r="N55" s="60"/>
      <c r="O55" s="60"/>
      <c r="P55" s="60"/>
      <c r="Q55" s="59" t="s">
        <v>7</v>
      </c>
      <c r="R55" s="59" t="s">
        <v>7</v>
      </c>
    </row>
    <row r="56" spans="1:18" ht="15.75" customHeight="1" thickBot="1" x14ac:dyDescent="0.35">
      <c r="A56" s="22" t="s">
        <v>67</v>
      </c>
      <c r="B56" s="60"/>
      <c r="C56" s="60"/>
      <c r="D56" s="60"/>
      <c r="E56" s="59" t="s">
        <v>7</v>
      </c>
      <c r="F56" s="60"/>
      <c r="G56" s="60"/>
      <c r="H56" s="60"/>
      <c r="I56" s="59" t="s">
        <v>7</v>
      </c>
      <c r="J56" s="60"/>
      <c r="K56" s="60"/>
      <c r="L56" s="60"/>
      <c r="M56" s="59" t="s">
        <v>7</v>
      </c>
      <c r="N56" s="60"/>
      <c r="O56" s="60"/>
      <c r="P56" s="60"/>
      <c r="Q56" s="59" t="s">
        <v>7</v>
      </c>
      <c r="R56" s="59" t="s">
        <v>7</v>
      </c>
    </row>
    <row r="57" spans="1:18" ht="16.5" customHeight="1" thickBot="1" x14ac:dyDescent="0.35">
      <c r="A57" s="62" t="s">
        <v>68</v>
      </c>
      <c r="B57" s="63">
        <f>SUM(B55:B56)</f>
        <v>0</v>
      </c>
      <c r="C57" s="63">
        <f>SUM(C55:C56)</f>
        <v>0</v>
      </c>
      <c r="D57" s="63">
        <f>SUM(D55:D56)</f>
        <v>0</v>
      </c>
      <c r="E57" s="65">
        <f>SUM(B57:D57)</f>
        <v>0</v>
      </c>
      <c r="F57" s="63">
        <f>SUM(F55:F56)</f>
        <v>0</v>
      </c>
      <c r="G57" s="63">
        <f>SUM(G55:G56)</f>
        <v>0</v>
      </c>
      <c r="H57" s="63">
        <f>SUM(H55:H56)</f>
        <v>0</v>
      </c>
      <c r="I57" s="65">
        <f>SUM(F57:H57)</f>
        <v>0</v>
      </c>
      <c r="J57" s="63">
        <f>SUM(J55:J56)</f>
        <v>0</v>
      </c>
      <c r="K57" s="63">
        <f>SUM(K55:K56)</f>
        <v>0</v>
      </c>
      <c r="L57" s="63">
        <f>SUM(L55:L56)</f>
        <v>0</v>
      </c>
      <c r="M57" s="65">
        <f>SUM(J57:L57)</f>
        <v>0</v>
      </c>
      <c r="N57" s="63">
        <f>SUM(N55:N56)</f>
        <v>0</v>
      </c>
      <c r="O57" s="63">
        <f>SUM(O55:O56)</f>
        <v>0</v>
      </c>
      <c r="P57" s="63">
        <f>SUM(P55:P56)</f>
        <v>0</v>
      </c>
      <c r="Q57" s="65">
        <f>SUM(N57:P57)</f>
        <v>0</v>
      </c>
      <c r="R57" s="64">
        <f>+E57+I57+M57+Q57</f>
        <v>0</v>
      </c>
    </row>
    <row r="58" spans="1:18" ht="16.5" customHeight="1" thickBot="1" x14ac:dyDescent="0.35">
      <c r="A58" s="62" t="s">
        <v>69</v>
      </c>
      <c r="B58" s="63">
        <f>SUM(B51:B56)</f>
        <v>0</v>
      </c>
      <c r="C58" s="63">
        <f>SUM(C51:C56)</f>
        <v>0</v>
      </c>
      <c r="D58" s="63">
        <f>SUM(D51:D56)</f>
        <v>0</v>
      </c>
      <c r="E58" s="65">
        <f>SUM(B58:D58)</f>
        <v>0</v>
      </c>
      <c r="F58" s="63">
        <f>SUM(F51:F56)</f>
        <v>0</v>
      </c>
      <c r="G58" s="63">
        <f>SUM(G51:G56)</f>
        <v>0</v>
      </c>
      <c r="H58" s="63">
        <f>SUM(H51:H56)</f>
        <v>0</v>
      </c>
      <c r="I58" s="65">
        <f>SUM(F58:H58)</f>
        <v>0</v>
      </c>
      <c r="J58" s="63">
        <f>SUM(J51:J56)</f>
        <v>0</v>
      </c>
      <c r="K58" s="63">
        <f>SUM(K51:K56)</f>
        <v>0</v>
      </c>
      <c r="L58" s="63">
        <f>SUM(L51:L56)</f>
        <v>0</v>
      </c>
      <c r="M58" s="65">
        <f>SUM(J58:L58)</f>
        <v>0</v>
      </c>
      <c r="N58" s="63">
        <f>SUM(N51:N56)</f>
        <v>0</v>
      </c>
      <c r="O58" s="63">
        <f>SUM(O51:O56)</f>
        <v>0</v>
      </c>
      <c r="P58" s="63">
        <f>SUM(P51:P56)</f>
        <v>0</v>
      </c>
      <c r="Q58" s="65">
        <f>SUM(N58:P58)</f>
        <v>0</v>
      </c>
      <c r="R58" s="64">
        <f>+E58+I58+M58+Q58</f>
        <v>0</v>
      </c>
    </row>
    <row r="59" spans="1:18" ht="16.5" customHeight="1" thickBot="1" x14ac:dyDescent="0.35">
      <c r="A59" s="62" t="s">
        <v>70</v>
      </c>
      <c r="B59" s="63">
        <f>+B41+B46+B50+B58</f>
        <v>0</v>
      </c>
      <c r="C59" s="63">
        <f>+C41+C46+C50+C58</f>
        <v>0</v>
      </c>
      <c r="D59" s="63">
        <f>+D41+D46+D50+D58</f>
        <v>0</v>
      </c>
      <c r="E59" s="64">
        <f>SUM(B59:D59)</f>
        <v>0</v>
      </c>
      <c r="F59" s="63">
        <f>+F41+F46+F50+F58</f>
        <v>0</v>
      </c>
      <c r="G59" s="63">
        <f>+G41+G46+G50+G58</f>
        <v>0</v>
      </c>
      <c r="H59" s="63">
        <f>+H41+H46+H50+H58</f>
        <v>0</v>
      </c>
      <c r="I59" s="64">
        <f>SUM(F59:H59)</f>
        <v>0</v>
      </c>
      <c r="J59" s="63">
        <f>+J41+J46+J50+J58</f>
        <v>0</v>
      </c>
      <c r="K59" s="63">
        <f>+K41+K46+K50+K58</f>
        <v>0</v>
      </c>
      <c r="L59" s="63">
        <f>+L41+L46+L50+L58</f>
        <v>0</v>
      </c>
      <c r="M59" s="64">
        <f>SUM(J59:L59)</f>
        <v>0</v>
      </c>
      <c r="N59" s="63">
        <f>+N41+N46+N50+N58</f>
        <v>0</v>
      </c>
      <c r="O59" s="63">
        <f>+O41+O46+O50+O58</f>
        <v>0</v>
      </c>
      <c r="P59" s="63">
        <f>+P41+P46+P50+P58</f>
        <v>0</v>
      </c>
      <c r="Q59" s="64">
        <f>SUM(N59:P59)</f>
        <v>0</v>
      </c>
      <c r="R59" s="64">
        <f>+E59+I59+M59+Q59</f>
        <v>0</v>
      </c>
    </row>
    <row r="60" spans="1:18" ht="16.5" customHeight="1" thickBot="1" x14ac:dyDescent="0.35">
      <c r="A60" s="66" t="s">
        <v>37</v>
      </c>
      <c r="B60" s="67">
        <v>96</v>
      </c>
      <c r="C60" s="67">
        <v>145</v>
      </c>
      <c r="D60" s="67">
        <v>261</v>
      </c>
      <c r="E60" s="43">
        <f>SUM(B60:D60)</f>
        <v>502</v>
      </c>
      <c r="F60" s="67">
        <v>350</v>
      </c>
      <c r="G60" s="67">
        <v>402</v>
      </c>
      <c r="H60" s="67">
        <v>396</v>
      </c>
      <c r="I60" s="43">
        <f>SUM(F60:H60)</f>
        <v>1148</v>
      </c>
      <c r="J60" s="67">
        <v>394</v>
      </c>
      <c r="K60" s="67">
        <v>318</v>
      </c>
      <c r="L60" s="67">
        <v>301</v>
      </c>
      <c r="M60" s="43">
        <f>SUM(J60:L60)</f>
        <v>1013</v>
      </c>
      <c r="N60" s="67">
        <v>272</v>
      </c>
      <c r="O60" s="67">
        <v>226</v>
      </c>
      <c r="P60" s="67">
        <v>179</v>
      </c>
      <c r="Q60" s="43">
        <f>SUM(N60:P60)</f>
        <v>677</v>
      </c>
      <c r="R60" s="43">
        <f>+E60+I60+M60+Q60</f>
        <v>3340</v>
      </c>
    </row>
    <row r="61" spans="1:18" ht="16.5" customHeight="1" thickBot="1" x14ac:dyDescent="0.35">
      <c r="A61" s="42"/>
      <c r="B61" s="37"/>
      <c r="C61" s="37"/>
      <c r="D61" s="37"/>
      <c r="E61" s="26"/>
      <c r="F61" s="37"/>
      <c r="G61" s="37"/>
      <c r="H61" s="37"/>
      <c r="I61" s="26"/>
      <c r="J61" s="37"/>
      <c r="K61" s="37"/>
      <c r="L61" s="37"/>
      <c r="M61" s="26"/>
      <c r="N61" s="37"/>
      <c r="O61" s="37"/>
      <c r="P61" s="37"/>
      <c r="Q61" s="26"/>
      <c r="R61" s="42"/>
    </row>
    <row r="62" spans="1:18" ht="15.75" customHeight="1" x14ac:dyDescent="0.3">
      <c r="A62" s="17" t="s">
        <v>38</v>
      </c>
      <c r="B62" s="1">
        <f>+B59+B60</f>
        <v>96</v>
      </c>
      <c r="C62" s="1">
        <f>+C59+C60</f>
        <v>145</v>
      </c>
      <c r="D62" s="1">
        <f>+D59+D60</f>
        <v>261</v>
      </c>
      <c r="E62" s="41">
        <f>SUM(B62:D62)</f>
        <v>502</v>
      </c>
      <c r="F62" s="1">
        <f>+F59+F60</f>
        <v>350</v>
      </c>
      <c r="G62" s="1">
        <f>+G59+G60</f>
        <v>402</v>
      </c>
      <c r="H62" s="1">
        <f>+H59+H60</f>
        <v>396</v>
      </c>
      <c r="I62" s="41">
        <f>SUM(F62:H62)</f>
        <v>1148</v>
      </c>
      <c r="J62" s="1">
        <f>+J59+J60</f>
        <v>394</v>
      </c>
      <c r="K62" s="1">
        <f>+K59+K60</f>
        <v>318</v>
      </c>
      <c r="L62" s="1">
        <f>+L59+L60</f>
        <v>301</v>
      </c>
      <c r="M62" s="41">
        <f>SUM(J62:L62)</f>
        <v>1013</v>
      </c>
      <c r="N62" s="1">
        <f>+N59+N60</f>
        <v>272</v>
      </c>
      <c r="O62" s="1">
        <f>+O59+O60</f>
        <v>226</v>
      </c>
      <c r="P62" s="1">
        <f>+P59+P60</f>
        <v>179</v>
      </c>
      <c r="Q62" s="45">
        <f>SUM(N62:P62)</f>
        <v>677</v>
      </c>
      <c r="R62" s="18">
        <f>+E62+I62+M62+Q62</f>
        <v>3340</v>
      </c>
    </row>
    <row r="63" spans="1:18" ht="15.75" customHeight="1" x14ac:dyDescent="0.3">
      <c r="A63" s="17" t="s">
        <v>39</v>
      </c>
      <c r="B63" s="1">
        <f>(B62/B10)/1.983</f>
        <v>1.5616612171197111</v>
      </c>
      <c r="C63" s="1">
        <f>(C62/C10)/1.983</f>
        <v>2.6114833225271954</v>
      </c>
      <c r="D63" s="1">
        <f>(D62/D10)/1.983</f>
        <v>4.2457664340442145</v>
      </c>
      <c r="E63" s="18"/>
      <c r="F63" s="1">
        <f>(F62/F10)/1.983</f>
        <v>5.8833417381072444</v>
      </c>
      <c r="G63" s="1">
        <f>(G62/G10)/1.983</f>
        <v>6.5394563466887892</v>
      </c>
      <c r="H63" s="1">
        <f>(H62/H10)/1.983</f>
        <v>6.6565809379727678</v>
      </c>
      <c r="I63" s="18"/>
      <c r="J63" s="1">
        <f>(J62/J10)/1.983</f>
        <v>6.4093179119288139</v>
      </c>
      <c r="K63" s="1">
        <f>(K62/K10)/1.983</f>
        <v>5.1730027817090427</v>
      </c>
      <c r="L63" s="1">
        <f>(L62/L10)/1.983</f>
        <v>5.0596738947722306</v>
      </c>
      <c r="M63" s="18"/>
      <c r="N63" s="1">
        <f>(N62/N10)/1.983</f>
        <v>4.4247067818391805</v>
      </c>
      <c r="O63" s="1">
        <f>(O62/O10)/1.983</f>
        <v>3.7989578080349635</v>
      </c>
      <c r="P63" s="1">
        <f>(P62/P10)/1.983</f>
        <v>2.9118474777544612</v>
      </c>
      <c r="Q63" s="19"/>
      <c r="R63" s="68"/>
    </row>
    <row r="64" spans="1:18" ht="15.75" customHeight="1" x14ac:dyDescent="0.3">
      <c r="A64" s="17" t="s">
        <v>71</v>
      </c>
      <c r="B64" s="1">
        <f>B62+B131</f>
        <v>138709</v>
      </c>
      <c r="C64" s="1">
        <f>C62+C131</f>
        <v>67127</v>
      </c>
      <c r="D64" s="1">
        <f>D62+D131</f>
        <v>180609</v>
      </c>
      <c r="E64" s="18">
        <f>SUM(B64:D64)</f>
        <v>386445</v>
      </c>
      <c r="F64" s="1">
        <f>F62+F131</f>
        <v>175086</v>
      </c>
      <c r="G64" s="1">
        <f>G62+G131</f>
        <v>180631</v>
      </c>
      <c r="H64" s="1">
        <f>H62+H131</f>
        <v>83840</v>
      </c>
      <c r="I64" s="18">
        <f>SUM(F64:H64)</f>
        <v>439557</v>
      </c>
      <c r="J64" s="1">
        <f>J62+J131</f>
        <v>71924</v>
      </c>
      <c r="K64" s="1">
        <f>K62+K131</f>
        <v>70990</v>
      </c>
      <c r="L64" s="1">
        <f>L62+L131</f>
        <v>137730</v>
      </c>
      <c r="M64" s="18">
        <f>SUM(J64:L64)</f>
        <v>280644</v>
      </c>
      <c r="N64" s="1">
        <f>N62+N131</f>
        <v>131744</v>
      </c>
      <c r="O64" s="1">
        <f>O62+O131</f>
        <v>127118</v>
      </c>
      <c r="P64" s="1">
        <f>P62+P131</f>
        <v>131712</v>
      </c>
      <c r="Q64" s="19">
        <f>SUM(N64:P64)</f>
        <v>390574</v>
      </c>
      <c r="R64" s="18">
        <f>+E64+I64+M64+Q64</f>
        <v>1497220</v>
      </c>
    </row>
    <row r="65" spans="1:20" ht="16.5" customHeight="1" thickBot="1" x14ac:dyDescent="0.35">
      <c r="A65" s="24" t="s">
        <v>72</v>
      </c>
      <c r="B65" s="25">
        <f>(B64/B10)/1.983</f>
        <v>2256.4215183901874</v>
      </c>
      <c r="C65" s="25">
        <f>(C64/C10)/1.983</f>
        <v>1208.9726964916072</v>
      </c>
      <c r="D65" s="25">
        <f>(D64/D10)/1.983</f>
        <v>2938.0215704455613</v>
      </c>
      <c r="E65" s="26"/>
      <c r="F65" s="25">
        <f>(F64/F10)/1.983</f>
        <v>2943.1164901664142</v>
      </c>
      <c r="G65" s="25">
        <f>(G64/G10)/1.983</f>
        <v>2938.3794511411515</v>
      </c>
      <c r="H65" s="25">
        <f>(H64/H10)/1.983</f>
        <v>1409.3124894940324</v>
      </c>
      <c r="I65" s="26"/>
      <c r="J65" s="25">
        <f>(J64/J10)/1.983</f>
        <v>1170.0095977095634</v>
      </c>
      <c r="K65" s="25">
        <f>(K64/K10)/1.983</f>
        <v>1154.8159354513364</v>
      </c>
      <c r="L65" s="25">
        <f>(L64/L10)/1.983</f>
        <v>2315.1790216843165</v>
      </c>
      <c r="M65" s="26"/>
      <c r="N65" s="25">
        <f>(N64/N10)/1.983</f>
        <v>2143.1197436272837</v>
      </c>
      <c r="O65" s="25">
        <f>(O64/O10)/1.983</f>
        <v>2136.7961001849048</v>
      </c>
      <c r="P65" s="25">
        <f>(P64/P10)/1.983</f>
        <v>2142.5991898882435</v>
      </c>
      <c r="Q65" s="27"/>
      <c r="R65" s="69" t="s">
        <v>7</v>
      </c>
    </row>
    <row r="66" spans="1:20" ht="15.75" customHeight="1" x14ac:dyDescent="0.3">
      <c r="A66" s="28"/>
      <c r="B66" s="1"/>
      <c r="C66" s="1"/>
      <c r="D66" s="1"/>
      <c r="E66" s="1"/>
      <c r="F66" s="1"/>
      <c r="G66" s="1"/>
      <c r="H66" s="1"/>
      <c r="I66" s="1"/>
      <c r="J66" s="1"/>
      <c r="K66" s="1"/>
      <c r="L66" s="1"/>
      <c r="M66" s="1"/>
      <c r="N66" s="1"/>
      <c r="O66" s="1"/>
      <c r="P66" s="1"/>
      <c r="Q66" s="1"/>
      <c r="R66" s="28"/>
    </row>
    <row r="67" spans="1:20" ht="15.75" customHeight="1" thickBot="1" x14ac:dyDescent="0.35">
      <c r="A67" s="28"/>
      <c r="B67" s="1"/>
      <c r="C67" s="1"/>
      <c r="D67" s="1"/>
      <c r="E67" s="1"/>
      <c r="F67" s="1"/>
      <c r="G67" s="1"/>
      <c r="H67" s="1"/>
      <c r="I67" s="1"/>
      <c r="J67" s="1"/>
      <c r="K67" s="1"/>
      <c r="L67" s="1"/>
      <c r="M67" s="1"/>
      <c r="N67" s="1"/>
      <c r="O67" s="1"/>
      <c r="P67" s="1"/>
      <c r="Q67" s="1"/>
      <c r="R67" s="28"/>
    </row>
    <row r="68" spans="1:20" ht="16.5" customHeight="1" thickBot="1" x14ac:dyDescent="0.35">
      <c r="A68" s="31" t="s">
        <v>73</v>
      </c>
      <c r="B68" s="32" t="s">
        <v>36</v>
      </c>
      <c r="C68" s="33" t="s">
        <v>9</v>
      </c>
      <c r="D68" s="33" t="s">
        <v>10</v>
      </c>
      <c r="E68" s="12" t="s">
        <v>11</v>
      </c>
      <c r="F68" s="33" t="s">
        <v>12</v>
      </c>
      <c r="G68" s="33" t="s">
        <v>13</v>
      </c>
      <c r="H68" s="33" t="s">
        <v>14</v>
      </c>
      <c r="I68" s="34" t="s">
        <v>15</v>
      </c>
      <c r="J68" s="33" t="s">
        <v>16</v>
      </c>
      <c r="K68" s="33" t="s">
        <v>17</v>
      </c>
      <c r="L68" s="33" t="s">
        <v>18</v>
      </c>
      <c r="M68" s="34" t="s">
        <v>19</v>
      </c>
      <c r="N68" s="33" t="s">
        <v>20</v>
      </c>
      <c r="O68" s="33" t="s">
        <v>21</v>
      </c>
      <c r="P68" s="33" t="s">
        <v>22</v>
      </c>
      <c r="Q68" s="34" t="s">
        <v>23</v>
      </c>
      <c r="R68" s="35" t="s">
        <v>24</v>
      </c>
    </row>
    <row r="69" spans="1:20" ht="16.5" customHeight="1" thickBot="1" x14ac:dyDescent="0.35">
      <c r="A69" s="70"/>
      <c r="B69" s="14"/>
      <c r="C69" s="71"/>
      <c r="D69" s="71"/>
      <c r="E69" s="72"/>
      <c r="F69" s="71"/>
      <c r="G69" s="71"/>
      <c r="H69" s="71"/>
      <c r="I69" s="72"/>
      <c r="J69" s="71"/>
      <c r="K69" s="71"/>
      <c r="L69" s="71"/>
      <c r="M69" s="72"/>
      <c r="N69" s="71"/>
      <c r="O69" s="71"/>
      <c r="P69" s="73"/>
      <c r="Q69" s="72"/>
      <c r="R69" s="64"/>
    </row>
    <row r="70" spans="1:20" ht="15.75" customHeight="1" x14ac:dyDescent="0.3">
      <c r="A70" s="58" t="s">
        <v>45</v>
      </c>
      <c r="B70" s="30"/>
      <c r="C70" s="30"/>
      <c r="D70" s="30"/>
      <c r="E70" s="59" t="s">
        <v>7</v>
      </c>
      <c r="F70" s="30"/>
      <c r="G70" s="30"/>
      <c r="H70" s="30"/>
      <c r="I70" s="59" t="s">
        <v>7</v>
      </c>
      <c r="J70" s="30"/>
      <c r="K70" s="30"/>
      <c r="L70" s="30"/>
      <c r="M70" s="59" t="s">
        <v>7</v>
      </c>
      <c r="N70" s="30"/>
      <c r="O70" s="30"/>
      <c r="P70" s="30"/>
      <c r="Q70" s="59" t="s">
        <v>7</v>
      </c>
      <c r="R70" s="59" t="s">
        <v>7</v>
      </c>
    </row>
    <row r="71" spans="1:20" ht="15.75" customHeight="1" x14ac:dyDescent="0.3">
      <c r="A71" s="22" t="s">
        <v>46</v>
      </c>
      <c r="B71" s="30"/>
      <c r="C71" s="60"/>
      <c r="D71" s="60"/>
      <c r="E71" s="59" t="s">
        <v>7</v>
      </c>
      <c r="F71" s="60"/>
      <c r="G71" s="60"/>
      <c r="H71" s="60"/>
      <c r="I71" s="59" t="s">
        <v>7</v>
      </c>
      <c r="J71" s="60"/>
      <c r="K71" s="60"/>
      <c r="L71" s="60"/>
      <c r="M71" s="59" t="s">
        <v>7</v>
      </c>
      <c r="N71" s="60"/>
      <c r="O71" s="60"/>
      <c r="P71" s="60"/>
      <c r="Q71" s="59" t="s">
        <v>7</v>
      </c>
      <c r="R71" s="59" t="s">
        <v>7</v>
      </c>
    </row>
    <row r="72" spans="1:20" ht="15.75" customHeight="1" x14ac:dyDescent="0.3">
      <c r="A72" s="74" t="s">
        <v>74</v>
      </c>
      <c r="B72" s="1"/>
      <c r="C72" s="1"/>
      <c r="D72" s="1"/>
      <c r="E72" s="59">
        <f t="shared" ref="E72:E82" si="5">SUM(B72:D72)</f>
        <v>0</v>
      </c>
      <c r="F72" s="1"/>
      <c r="G72" s="1"/>
      <c r="H72" s="1"/>
      <c r="I72" s="59">
        <f t="shared" ref="I72:I82" si="6">SUM(F72:H72)</f>
        <v>0</v>
      </c>
      <c r="J72" s="1"/>
      <c r="K72" s="1"/>
      <c r="L72" s="1"/>
      <c r="M72" s="59">
        <f t="shared" ref="M72:M82" si="7">SUM(J72:L72)</f>
        <v>0</v>
      </c>
      <c r="N72" s="1"/>
      <c r="O72" s="1"/>
      <c r="P72" s="1"/>
      <c r="Q72" s="59">
        <f t="shared" ref="Q72:Q82" si="8">SUM(N72:P72)</f>
        <v>0</v>
      </c>
      <c r="R72" s="59">
        <f t="shared" ref="R72:R82" si="9">+E72+I72+M72+Q72</f>
        <v>0</v>
      </c>
    </row>
    <row r="73" spans="1:20" ht="15.75" customHeight="1" x14ac:dyDescent="0.3">
      <c r="A73" s="74" t="s">
        <v>75</v>
      </c>
      <c r="B73" s="1"/>
      <c r="C73" s="1"/>
      <c r="D73" s="1"/>
      <c r="E73" s="59">
        <f>SUM(B73:D73)</f>
        <v>0</v>
      </c>
      <c r="F73" s="1"/>
      <c r="G73" s="1"/>
      <c r="H73" s="1"/>
      <c r="I73" s="59">
        <f>SUM(F73:H73)</f>
        <v>0</v>
      </c>
      <c r="J73" s="1"/>
      <c r="K73" s="1"/>
      <c r="L73" s="1"/>
      <c r="M73" s="59">
        <f>SUM(J73:L73)</f>
        <v>0</v>
      </c>
      <c r="N73" s="1"/>
      <c r="O73" s="1"/>
      <c r="P73" s="1"/>
      <c r="Q73" s="59">
        <f>SUM(N73:P73)</f>
        <v>0</v>
      </c>
      <c r="R73" s="59">
        <f>+E73+I73+M73+Q73</f>
        <v>0</v>
      </c>
    </row>
    <row r="74" spans="1:20" ht="15.75" customHeight="1" x14ac:dyDescent="0.3">
      <c r="A74" s="74" t="s">
        <v>76</v>
      </c>
      <c r="B74" s="1"/>
      <c r="C74" s="1"/>
      <c r="D74" s="1"/>
      <c r="E74" s="59">
        <f t="shared" si="5"/>
        <v>0</v>
      </c>
      <c r="F74" s="1"/>
      <c r="G74" s="1"/>
      <c r="H74" s="1"/>
      <c r="I74" s="59">
        <f t="shared" si="6"/>
        <v>0</v>
      </c>
      <c r="J74" s="1"/>
      <c r="K74" s="1"/>
      <c r="L74" s="1"/>
      <c r="M74" s="59">
        <f t="shared" si="7"/>
        <v>0</v>
      </c>
      <c r="N74" s="1"/>
      <c r="O74" s="1"/>
      <c r="P74" s="1"/>
      <c r="Q74" s="59">
        <f t="shared" si="8"/>
        <v>0</v>
      </c>
      <c r="R74" s="59">
        <f t="shared" si="9"/>
        <v>0</v>
      </c>
    </row>
    <row r="75" spans="1:20" ht="15.75" customHeight="1" x14ac:dyDescent="0.3">
      <c r="A75" s="74" t="s">
        <v>77</v>
      </c>
      <c r="B75" s="1"/>
      <c r="C75" s="1"/>
      <c r="D75" s="1"/>
      <c r="E75" s="59">
        <f t="shared" si="5"/>
        <v>0</v>
      </c>
      <c r="F75" s="1"/>
      <c r="G75" s="1"/>
      <c r="H75" s="1"/>
      <c r="I75" s="59">
        <f t="shared" si="6"/>
        <v>0</v>
      </c>
      <c r="J75" s="4">
        <v>308</v>
      </c>
      <c r="K75" s="1"/>
      <c r="L75" s="1"/>
      <c r="M75" s="59">
        <f t="shared" si="7"/>
        <v>308</v>
      </c>
      <c r="N75" s="1"/>
      <c r="O75" s="1"/>
      <c r="P75" s="1"/>
      <c r="Q75" s="59">
        <f t="shared" si="8"/>
        <v>0</v>
      </c>
      <c r="R75" s="59">
        <f t="shared" si="9"/>
        <v>308</v>
      </c>
      <c r="T75" s="4" t="s">
        <v>78</v>
      </c>
    </row>
    <row r="76" spans="1:20" ht="15.75" customHeight="1" x14ac:dyDescent="0.3">
      <c r="A76" s="74" t="s">
        <v>899</v>
      </c>
      <c r="B76" s="1">
        <v>295</v>
      </c>
      <c r="C76" s="1"/>
      <c r="D76" s="1">
        <v>300</v>
      </c>
      <c r="E76" s="59">
        <f t="shared" si="5"/>
        <v>595</v>
      </c>
      <c r="F76" s="1">
        <v>400</v>
      </c>
      <c r="G76" s="1">
        <v>500</v>
      </c>
      <c r="H76" s="1">
        <v>500</v>
      </c>
      <c r="I76" s="59">
        <f t="shared" si="6"/>
        <v>1400</v>
      </c>
      <c r="J76" s="1">
        <v>139</v>
      </c>
      <c r="K76" s="1"/>
      <c r="L76" s="1"/>
      <c r="M76" s="59">
        <f t="shared" si="7"/>
        <v>139</v>
      </c>
      <c r="N76" s="1"/>
      <c r="O76" s="1"/>
      <c r="P76" s="1"/>
      <c r="Q76" s="59">
        <f t="shared" si="8"/>
        <v>0</v>
      </c>
      <c r="R76" s="59">
        <f t="shared" si="9"/>
        <v>2134</v>
      </c>
      <c r="T76" s="4" t="s">
        <v>78</v>
      </c>
    </row>
    <row r="77" spans="1:20" ht="15.75" customHeight="1" x14ac:dyDescent="0.3">
      <c r="A77" s="74" t="s">
        <v>81</v>
      </c>
      <c r="B77" s="1"/>
      <c r="C77" s="1"/>
      <c r="D77" s="1"/>
      <c r="E77" s="59">
        <f t="shared" si="5"/>
        <v>0</v>
      </c>
      <c r="F77" s="1"/>
      <c r="G77" s="1"/>
      <c r="H77" s="1"/>
      <c r="I77" s="59">
        <f t="shared" si="6"/>
        <v>0</v>
      </c>
      <c r="J77" s="1"/>
      <c r="K77" s="1"/>
      <c r="L77" s="1"/>
      <c r="M77" s="59">
        <f t="shared" si="7"/>
        <v>0</v>
      </c>
      <c r="N77" s="1"/>
      <c r="O77" s="1"/>
      <c r="P77" s="1"/>
      <c r="Q77" s="59">
        <f t="shared" si="8"/>
        <v>0</v>
      </c>
      <c r="R77" s="59">
        <f t="shared" si="9"/>
        <v>0</v>
      </c>
    </row>
    <row r="78" spans="1:20" ht="15.75" customHeight="1" x14ac:dyDescent="0.3">
      <c r="A78" s="74" t="s">
        <v>82</v>
      </c>
      <c r="B78" s="1"/>
      <c r="C78" s="1"/>
      <c r="D78" s="1"/>
      <c r="E78" s="59">
        <f t="shared" si="5"/>
        <v>0</v>
      </c>
      <c r="F78" s="1"/>
      <c r="G78" s="1"/>
      <c r="H78" s="1"/>
      <c r="I78" s="59">
        <f t="shared" si="6"/>
        <v>0</v>
      </c>
      <c r="J78" s="1"/>
      <c r="K78" s="1"/>
      <c r="L78" s="1"/>
      <c r="M78" s="59">
        <f t="shared" si="7"/>
        <v>0</v>
      </c>
      <c r="N78" s="1"/>
      <c r="O78" s="1"/>
      <c r="P78" s="1"/>
      <c r="Q78" s="59">
        <f t="shared" si="8"/>
        <v>0</v>
      </c>
      <c r="R78" s="59">
        <f t="shared" si="9"/>
        <v>0</v>
      </c>
      <c r="T78" s="4" t="s">
        <v>83</v>
      </c>
    </row>
    <row r="79" spans="1:20" ht="15.75" customHeight="1" x14ac:dyDescent="0.3">
      <c r="A79" s="76" t="s">
        <v>84</v>
      </c>
      <c r="B79" s="1"/>
      <c r="C79" s="1"/>
      <c r="D79" s="1"/>
      <c r="E79" s="59">
        <f t="shared" si="5"/>
        <v>0</v>
      </c>
      <c r="F79" s="1"/>
      <c r="G79" s="1"/>
      <c r="H79" s="1"/>
      <c r="I79" s="59">
        <f t="shared" si="6"/>
        <v>0</v>
      </c>
      <c r="J79" s="1">
        <v>512</v>
      </c>
      <c r="K79" s="1">
        <v>512</v>
      </c>
      <c r="L79" s="1">
        <v>512</v>
      </c>
      <c r="M79" s="59">
        <f t="shared" si="7"/>
        <v>1536</v>
      </c>
      <c r="N79" s="1">
        <v>512</v>
      </c>
      <c r="O79" s="1"/>
      <c r="P79" s="1"/>
      <c r="Q79" s="59">
        <f t="shared" si="8"/>
        <v>512</v>
      </c>
      <c r="R79" s="59">
        <f t="shared" si="9"/>
        <v>2048</v>
      </c>
    </row>
    <row r="80" spans="1:20" ht="15.75" customHeight="1" x14ac:dyDescent="0.3">
      <c r="A80" s="76" t="s">
        <v>85</v>
      </c>
      <c r="B80" s="1"/>
      <c r="C80" s="1"/>
      <c r="D80" s="1"/>
      <c r="E80" s="59">
        <f t="shared" si="5"/>
        <v>0</v>
      </c>
      <c r="F80" s="1"/>
      <c r="G80" s="1"/>
      <c r="H80" s="1"/>
      <c r="I80" s="59">
        <f t="shared" si="6"/>
        <v>0</v>
      </c>
      <c r="J80" s="1"/>
      <c r="K80" s="1"/>
      <c r="L80" s="1"/>
      <c r="M80" s="59">
        <f t="shared" si="7"/>
        <v>0</v>
      </c>
      <c r="N80" s="1"/>
      <c r="O80" s="1"/>
      <c r="P80" s="1"/>
      <c r="Q80" s="59">
        <f t="shared" si="8"/>
        <v>0</v>
      </c>
      <c r="R80" s="59">
        <f t="shared" si="9"/>
        <v>0</v>
      </c>
    </row>
    <row r="81" spans="1:20" ht="15.75" customHeight="1" x14ac:dyDescent="0.3">
      <c r="A81" s="76" t="s">
        <v>86</v>
      </c>
      <c r="B81" s="1"/>
      <c r="C81" s="1"/>
      <c r="D81" s="1"/>
      <c r="E81" s="59">
        <f>SUM(B81:D81)</f>
        <v>0</v>
      </c>
      <c r="F81" s="1"/>
      <c r="G81" s="1"/>
      <c r="H81" s="1"/>
      <c r="I81" s="59">
        <f>SUM(F81:H81)</f>
        <v>0</v>
      </c>
      <c r="J81" s="1"/>
      <c r="K81" s="1"/>
      <c r="L81" s="1"/>
      <c r="M81" s="59">
        <f>SUM(J81:L81)</f>
        <v>0</v>
      </c>
      <c r="N81" s="1"/>
      <c r="O81" s="1"/>
      <c r="P81" s="1"/>
      <c r="Q81" s="59">
        <f>SUM(N81:P81)</f>
        <v>0</v>
      </c>
      <c r="R81" s="59">
        <f t="shared" si="9"/>
        <v>0</v>
      </c>
    </row>
    <row r="82" spans="1:20" ht="15.75" customHeight="1" x14ac:dyDescent="0.3">
      <c r="A82" s="76" t="s">
        <v>87</v>
      </c>
      <c r="B82" s="1"/>
      <c r="C82" s="1"/>
      <c r="D82" s="1"/>
      <c r="E82" s="59">
        <f t="shared" si="5"/>
        <v>0</v>
      </c>
      <c r="F82" s="1"/>
      <c r="G82" s="1"/>
      <c r="H82" s="1"/>
      <c r="I82" s="59">
        <f t="shared" si="6"/>
        <v>0</v>
      </c>
      <c r="J82" s="1"/>
      <c r="K82" s="1"/>
      <c r="L82" s="1"/>
      <c r="M82" s="59">
        <f t="shared" si="7"/>
        <v>0</v>
      </c>
      <c r="N82" s="1"/>
      <c r="O82" s="1"/>
      <c r="P82" s="1"/>
      <c r="Q82" s="59">
        <f t="shared" si="8"/>
        <v>0</v>
      </c>
      <c r="R82" s="59">
        <f t="shared" si="9"/>
        <v>0</v>
      </c>
      <c r="S82" s="4">
        <f>SUM(R72:R82)</f>
        <v>4490</v>
      </c>
    </row>
    <row r="83" spans="1:20" ht="15.75" customHeight="1" x14ac:dyDescent="0.3">
      <c r="A83" s="22" t="s">
        <v>47</v>
      </c>
      <c r="B83" s="30"/>
      <c r="C83" s="30"/>
      <c r="D83" s="30"/>
      <c r="E83" s="59" t="s">
        <v>7</v>
      </c>
      <c r="F83" s="30"/>
      <c r="G83" s="30"/>
      <c r="H83" s="30"/>
      <c r="I83" s="59" t="s">
        <v>7</v>
      </c>
      <c r="J83" s="30"/>
      <c r="K83" s="30"/>
      <c r="L83" s="30"/>
      <c r="M83" s="59" t="s">
        <v>7</v>
      </c>
      <c r="N83" s="30"/>
      <c r="O83" s="30"/>
      <c r="P83" s="30"/>
      <c r="Q83" s="59" t="s">
        <v>7</v>
      </c>
      <c r="R83" s="59" t="s">
        <v>7</v>
      </c>
    </row>
    <row r="84" spans="1:20" ht="15.75" customHeight="1" x14ac:dyDescent="0.3">
      <c r="A84" s="76" t="s">
        <v>88</v>
      </c>
      <c r="B84" s="1"/>
      <c r="C84" s="1"/>
      <c r="D84" s="1"/>
      <c r="E84" s="59">
        <f>SUM(B84:D84)</f>
        <v>0</v>
      </c>
      <c r="F84" s="1"/>
      <c r="G84" s="1"/>
      <c r="H84" s="1"/>
      <c r="I84" s="59">
        <f>SUM(F84:H84)</f>
        <v>0</v>
      </c>
      <c r="J84" s="1"/>
      <c r="K84" s="1"/>
      <c r="L84" s="1"/>
      <c r="M84" s="59">
        <f>SUM(J84:L84)</f>
        <v>0</v>
      </c>
      <c r="N84" s="1"/>
      <c r="O84" s="1"/>
      <c r="P84" s="1"/>
      <c r="Q84" s="59">
        <f>SUM(N84:P84)</f>
        <v>0</v>
      </c>
      <c r="R84" s="59">
        <f>+E84+I84+M84+Q84</f>
        <v>0</v>
      </c>
    </row>
    <row r="85" spans="1:20" ht="15.75" customHeight="1" x14ac:dyDescent="0.3">
      <c r="A85" s="22" t="s">
        <v>898</v>
      </c>
      <c r="B85" s="30"/>
      <c r="C85" s="30"/>
      <c r="D85" s="30"/>
      <c r="E85" s="59" t="s">
        <v>50</v>
      </c>
      <c r="F85" s="30"/>
      <c r="G85" s="30"/>
      <c r="H85" s="30"/>
      <c r="I85" s="59" t="s">
        <v>50</v>
      </c>
      <c r="J85" s="30"/>
      <c r="K85" s="30"/>
      <c r="L85" s="30"/>
      <c r="M85" s="59" t="s">
        <v>50</v>
      </c>
      <c r="N85" s="30"/>
      <c r="O85" s="30"/>
      <c r="P85" s="30"/>
      <c r="Q85" s="59" t="s">
        <v>50</v>
      </c>
      <c r="R85" s="59" t="s">
        <v>50</v>
      </c>
    </row>
    <row r="86" spans="1:20" ht="15.75" customHeight="1" x14ac:dyDescent="0.3">
      <c r="A86" s="61" t="s">
        <v>900</v>
      </c>
      <c r="B86" s="1"/>
      <c r="C86" s="1"/>
      <c r="D86" s="1"/>
      <c r="E86" s="59">
        <f>SUM(B86:D86)</f>
        <v>0</v>
      </c>
      <c r="F86" s="1"/>
      <c r="G86" s="1"/>
      <c r="H86" s="1"/>
      <c r="I86" s="59">
        <f>SUM(F86:H86)</f>
        <v>0</v>
      </c>
      <c r="J86" s="1"/>
      <c r="K86" s="1"/>
      <c r="L86" s="1"/>
      <c r="M86" s="59">
        <f>SUM(J86:L86)</f>
        <v>0</v>
      </c>
      <c r="N86" s="1"/>
      <c r="O86" s="1"/>
      <c r="P86" s="1"/>
      <c r="Q86" s="59">
        <f>SUM(N86:P86)</f>
        <v>0</v>
      </c>
      <c r="R86" s="59">
        <f>+E86+I86+M86+Q86</f>
        <v>0</v>
      </c>
    </row>
    <row r="87" spans="1:20" ht="15.75" customHeight="1" x14ac:dyDescent="0.3">
      <c r="A87" s="61" t="s">
        <v>901</v>
      </c>
      <c r="B87" s="1">
        <v>400</v>
      </c>
      <c r="C87" s="1">
        <v>500</v>
      </c>
      <c r="D87" s="1">
        <v>1000</v>
      </c>
      <c r="E87" s="59">
        <f>SUM(B87:D87)</f>
        <v>1900</v>
      </c>
      <c r="F87" s="1">
        <v>1300</v>
      </c>
      <c r="G87" s="1">
        <v>1100</v>
      </c>
      <c r="H87" s="1">
        <v>1100</v>
      </c>
      <c r="I87" s="59">
        <f>SUM(F87:H87)</f>
        <v>3500</v>
      </c>
      <c r="J87" s="1">
        <v>1400</v>
      </c>
      <c r="K87" s="1">
        <v>1550</v>
      </c>
      <c r="L87" s="1">
        <v>1200</v>
      </c>
      <c r="M87" s="59">
        <f>SUM(J87:L87)</f>
        <v>4150</v>
      </c>
      <c r="N87" s="1">
        <v>500</v>
      </c>
      <c r="O87" s="1">
        <v>111</v>
      </c>
      <c r="P87" s="1"/>
      <c r="Q87" s="59">
        <f>SUM(N87:P87)</f>
        <v>611</v>
      </c>
      <c r="R87" s="59">
        <f>+E87+I87+M87+Q87</f>
        <v>10161</v>
      </c>
      <c r="T87" s="4" t="s">
        <v>78</v>
      </c>
    </row>
    <row r="88" spans="1:20" ht="15.75" customHeight="1" thickBot="1" x14ac:dyDescent="0.35">
      <c r="A88" s="22" t="s">
        <v>51</v>
      </c>
      <c r="B88" s="60"/>
      <c r="C88" s="60"/>
      <c r="D88" s="60"/>
      <c r="E88" s="59" t="s">
        <v>7</v>
      </c>
      <c r="F88" s="60"/>
      <c r="G88" s="60"/>
      <c r="H88" s="60"/>
      <c r="I88" s="59" t="s">
        <v>7</v>
      </c>
      <c r="J88" s="60"/>
      <c r="K88" s="60"/>
      <c r="L88" s="60"/>
      <c r="M88" s="59" t="s">
        <v>7</v>
      </c>
      <c r="N88" s="60"/>
      <c r="O88" s="60"/>
      <c r="P88" s="60"/>
      <c r="Q88" s="59" t="s">
        <v>7</v>
      </c>
      <c r="R88" s="59" t="s">
        <v>7</v>
      </c>
    </row>
    <row r="89" spans="1:20" ht="16.5" customHeight="1" thickBot="1" x14ac:dyDescent="0.35">
      <c r="A89" s="62" t="s">
        <v>52</v>
      </c>
      <c r="B89" s="63">
        <f>SUM(B70:B88)</f>
        <v>695</v>
      </c>
      <c r="C89" s="63">
        <f>SUM(C70:C88)</f>
        <v>500</v>
      </c>
      <c r="D89" s="63">
        <f>SUM(D70:D88)</f>
        <v>1300</v>
      </c>
      <c r="E89" s="64">
        <f>SUM(B89:D89)</f>
        <v>2495</v>
      </c>
      <c r="F89" s="63">
        <f>SUM(F70:F88)</f>
        <v>1700</v>
      </c>
      <c r="G89" s="63">
        <f>SUM(G70:G88)</f>
        <v>1600</v>
      </c>
      <c r="H89" s="63">
        <f>SUM(H70:H88)</f>
        <v>1600</v>
      </c>
      <c r="I89" s="64">
        <f>SUM(F89:H89)</f>
        <v>4900</v>
      </c>
      <c r="J89" s="63">
        <f>SUM(J70:J88)</f>
        <v>2359</v>
      </c>
      <c r="K89" s="63">
        <f>SUM(K70:K88)</f>
        <v>2062</v>
      </c>
      <c r="L89" s="63">
        <f>SUM(L70:L88)</f>
        <v>1712</v>
      </c>
      <c r="M89" s="64">
        <f>SUM(J89:L89)</f>
        <v>6133</v>
      </c>
      <c r="N89" s="63">
        <f>SUM(N70:N88)</f>
        <v>1012</v>
      </c>
      <c r="O89" s="63">
        <f>SUM(O70:O88)</f>
        <v>111</v>
      </c>
      <c r="P89" s="63">
        <f>SUM(P70:P88)</f>
        <v>0</v>
      </c>
      <c r="Q89" s="64">
        <f>SUM(N89:P89)</f>
        <v>1123</v>
      </c>
      <c r="R89" s="64">
        <f>+E89+I89+M89+Q89</f>
        <v>14651</v>
      </c>
    </row>
    <row r="90" spans="1:20" ht="15.75" customHeight="1" x14ac:dyDescent="0.3">
      <c r="A90" s="22" t="s">
        <v>53</v>
      </c>
      <c r="B90" s="60"/>
      <c r="C90" s="60"/>
      <c r="D90" s="60"/>
      <c r="E90" s="59" t="s">
        <v>7</v>
      </c>
      <c r="F90" s="60"/>
      <c r="G90" s="60"/>
      <c r="H90" s="60"/>
      <c r="I90" s="59" t="s">
        <v>7</v>
      </c>
      <c r="J90" s="60"/>
      <c r="K90" s="60"/>
      <c r="L90" s="60"/>
      <c r="M90" s="59" t="s">
        <v>7</v>
      </c>
      <c r="N90" s="60"/>
      <c r="O90" s="60"/>
      <c r="P90" s="60"/>
      <c r="Q90" s="59" t="s">
        <v>7</v>
      </c>
      <c r="R90" s="65" t="s">
        <v>7</v>
      </c>
    </row>
    <row r="91" spans="1:20" ht="15.75" customHeight="1" x14ac:dyDescent="0.3">
      <c r="A91" s="22" t="s">
        <v>54</v>
      </c>
      <c r="B91" s="60"/>
      <c r="C91" s="60"/>
      <c r="D91" s="60"/>
      <c r="E91" s="59" t="s">
        <v>7</v>
      </c>
      <c r="F91" s="60"/>
      <c r="G91" s="60"/>
      <c r="H91" s="60"/>
      <c r="I91" s="59" t="s">
        <v>7</v>
      </c>
      <c r="J91" s="60"/>
      <c r="K91" s="60"/>
      <c r="L91" s="60"/>
      <c r="M91" s="59" t="s">
        <v>7</v>
      </c>
      <c r="N91" s="60"/>
      <c r="O91" s="60"/>
      <c r="P91" s="60"/>
      <c r="Q91" s="59" t="s">
        <v>7</v>
      </c>
      <c r="R91" s="59" t="s">
        <v>7</v>
      </c>
    </row>
    <row r="92" spans="1:20" ht="15.75" customHeight="1" x14ac:dyDescent="0.3">
      <c r="A92" s="22" t="s">
        <v>55</v>
      </c>
      <c r="B92" s="60"/>
      <c r="C92" s="60"/>
      <c r="D92" s="60"/>
      <c r="E92" s="59" t="s">
        <v>7</v>
      </c>
      <c r="F92" s="60"/>
      <c r="G92" s="60"/>
      <c r="H92" s="60"/>
      <c r="I92" s="59" t="s">
        <v>7</v>
      </c>
      <c r="J92" s="60"/>
      <c r="K92" s="60"/>
      <c r="L92" s="60"/>
      <c r="M92" s="59" t="s">
        <v>7</v>
      </c>
      <c r="N92" s="60"/>
      <c r="O92" s="60"/>
      <c r="P92" s="60"/>
      <c r="Q92" s="59" t="s">
        <v>7</v>
      </c>
      <c r="R92" s="59" t="s">
        <v>7</v>
      </c>
    </row>
    <row r="93" spans="1:20" ht="15.75" customHeight="1" x14ac:dyDescent="0.3">
      <c r="A93" s="76" t="s">
        <v>92</v>
      </c>
      <c r="B93" s="1">
        <v>500</v>
      </c>
      <c r="C93" s="1">
        <v>500</v>
      </c>
      <c r="D93" s="1">
        <v>3000</v>
      </c>
      <c r="E93" s="59">
        <f>SUM(B93:D93)</f>
        <v>4000</v>
      </c>
      <c r="F93" s="1">
        <v>4000</v>
      </c>
      <c r="G93" s="1">
        <v>4000</v>
      </c>
      <c r="H93" s="1">
        <v>3500</v>
      </c>
      <c r="I93" s="59">
        <f>SUM(F93:H93)</f>
        <v>11500</v>
      </c>
      <c r="J93" s="1">
        <v>3500</v>
      </c>
      <c r="K93" s="1">
        <v>3200</v>
      </c>
      <c r="L93" s="1">
        <v>1500</v>
      </c>
      <c r="M93" s="59">
        <f>SUM(J93:L93)</f>
        <v>8200</v>
      </c>
      <c r="N93" s="1">
        <v>400</v>
      </c>
      <c r="O93" s="1">
        <v>200</v>
      </c>
      <c r="P93" s="1">
        <v>821</v>
      </c>
      <c r="Q93" s="59">
        <f>SUM(N93:P93)</f>
        <v>1421</v>
      </c>
      <c r="R93" s="59">
        <f>+E93+I93+M93+Q93</f>
        <v>25121</v>
      </c>
      <c r="T93" s="4" t="s">
        <v>93</v>
      </c>
    </row>
    <row r="94" spans="1:20" ht="15.75" customHeight="1" x14ac:dyDescent="0.3">
      <c r="A94" s="76" t="s">
        <v>94</v>
      </c>
      <c r="B94" s="1"/>
      <c r="C94" s="1"/>
      <c r="D94" s="1"/>
      <c r="E94" s="59">
        <f>SUM(B94:D94)</f>
        <v>0</v>
      </c>
      <c r="F94" s="1"/>
      <c r="G94" s="1"/>
      <c r="H94" s="1"/>
      <c r="I94" s="59">
        <f>SUM(F94:H94)</f>
        <v>0</v>
      </c>
      <c r="J94" s="1">
        <v>435</v>
      </c>
      <c r="K94" s="1">
        <v>235</v>
      </c>
      <c r="L94" s="1">
        <v>715</v>
      </c>
      <c r="M94" s="59">
        <f>SUM(J94:L94)</f>
        <v>1385</v>
      </c>
      <c r="N94" s="1">
        <v>715</v>
      </c>
      <c r="O94" s="1">
        <v>200</v>
      </c>
      <c r="P94" s="1"/>
      <c r="Q94" s="59">
        <f>SUM(N94:P94)</f>
        <v>915</v>
      </c>
      <c r="R94" s="59">
        <f>+E94+I94+M94+Q94</f>
        <v>2300</v>
      </c>
      <c r="T94" s="4" t="s">
        <v>78</v>
      </c>
    </row>
    <row r="95" spans="1:20" ht="15.75" customHeight="1" thickBot="1" x14ac:dyDescent="0.35">
      <c r="A95" s="22" t="s">
        <v>56</v>
      </c>
      <c r="B95" s="60"/>
      <c r="C95" s="60"/>
      <c r="D95" s="60"/>
      <c r="E95" s="59" t="s">
        <v>7</v>
      </c>
      <c r="F95" s="60"/>
      <c r="G95" s="60"/>
      <c r="H95" s="60"/>
      <c r="I95" s="59" t="s">
        <v>7</v>
      </c>
      <c r="J95" s="60"/>
      <c r="K95" s="60"/>
      <c r="L95" s="60"/>
      <c r="M95" s="59" t="s">
        <v>7</v>
      </c>
      <c r="N95" s="60"/>
      <c r="O95" s="60"/>
      <c r="P95" s="60"/>
      <c r="Q95" s="59" t="s">
        <v>7</v>
      </c>
      <c r="R95" s="59" t="s">
        <v>7</v>
      </c>
    </row>
    <row r="96" spans="1:20" ht="16.5" customHeight="1" thickBot="1" x14ac:dyDescent="0.35">
      <c r="A96" s="62" t="s">
        <v>57</v>
      </c>
      <c r="B96" s="63">
        <f>SUM(B90:B95)</f>
        <v>500</v>
      </c>
      <c r="C96" s="63">
        <f>SUM(C90:C95)</f>
        <v>500</v>
      </c>
      <c r="D96" s="63">
        <f>SUM(D90:D95)</f>
        <v>3000</v>
      </c>
      <c r="E96" s="64">
        <f>SUM(B96:D96)</f>
        <v>4000</v>
      </c>
      <c r="F96" s="63">
        <f>SUM(F90:F95)</f>
        <v>4000</v>
      </c>
      <c r="G96" s="63">
        <f>SUM(G90:G95)</f>
        <v>4000</v>
      </c>
      <c r="H96" s="63">
        <f>SUM(H90:H95)</f>
        <v>3500</v>
      </c>
      <c r="I96" s="64">
        <f>SUM(F96:H96)</f>
        <v>11500</v>
      </c>
      <c r="J96" s="63">
        <f>SUM(J90:J95)</f>
        <v>3935</v>
      </c>
      <c r="K96" s="63">
        <f>SUM(K90:K95)</f>
        <v>3435</v>
      </c>
      <c r="L96" s="63">
        <f>SUM(L90:L95)</f>
        <v>2215</v>
      </c>
      <c r="M96" s="64">
        <f>SUM(J96:L96)</f>
        <v>9585</v>
      </c>
      <c r="N96" s="63">
        <f>SUM(N90:N95)</f>
        <v>1115</v>
      </c>
      <c r="O96" s="63">
        <f>SUM(O90:O95)</f>
        <v>400</v>
      </c>
      <c r="P96" s="63">
        <f>SUM(P90:P95)</f>
        <v>821</v>
      </c>
      <c r="Q96" s="64">
        <f>SUM(N96:P96)</f>
        <v>2336</v>
      </c>
      <c r="R96" s="64">
        <f>+E96+I96+M96+Q96</f>
        <v>27421</v>
      </c>
    </row>
    <row r="97" spans="1:20" ht="15.75" customHeight="1" x14ac:dyDescent="0.3">
      <c r="A97" s="22" t="s">
        <v>58</v>
      </c>
      <c r="B97" s="60"/>
      <c r="C97" s="60"/>
      <c r="D97" s="60"/>
      <c r="E97" s="59" t="s">
        <v>7</v>
      </c>
      <c r="F97" s="60"/>
      <c r="G97" s="60"/>
      <c r="H97" s="60"/>
      <c r="I97" s="59" t="s">
        <v>7</v>
      </c>
      <c r="J97" s="60"/>
      <c r="K97" s="60"/>
      <c r="L97" s="60"/>
      <c r="M97" s="59" t="s">
        <v>7</v>
      </c>
      <c r="N97" s="60"/>
      <c r="O97" s="60"/>
      <c r="P97" s="60"/>
      <c r="Q97" s="59" t="s">
        <v>7</v>
      </c>
      <c r="R97" s="59" t="s">
        <v>7</v>
      </c>
    </row>
    <row r="98" spans="1:20" ht="15.75" customHeight="1" x14ac:dyDescent="0.3">
      <c r="A98" s="22" t="s">
        <v>59</v>
      </c>
      <c r="B98" s="60"/>
      <c r="C98" s="60"/>
      <c r="D98" s="60"/>
      <c r="E98" s="59" t="s">
        <v>7</v>
      </c>
      <c r="F98" s="60"/>
      <c r="G98" s="60"/>
      <c r="H98" s="60"/>
      <c r="I98" s="59" t="s">
        <v>7</v>
      </c>
      <c r="J98" s="60"/>
      <c r="K98" s="60"/>
      <c r="L98" s="60"/>
      <c r="M98" s="59" t="s">
        <v>7</v>
      </c>
      <c r="N98" s="60"/>
      <c r="O98" s="60"/>
      <c r="P98" s="60"/>
      <c r="Q98" s="59" t="s">
        <v>7</v>
      </c>
      <c r="R98" s="59" t="s">
        <v>7</v>
      </c>
    </row>
    <row r="99" spans="1:20" ht="15.75" customHeight="1" x14ac:dyDescent="0.3">
      <c r="A99" s="22" t="s">
        <v>60</v>
      </c>
      <c r="B99" s="60"/>
      <c r="C99" s="60"/>
      <c r="D99" s="60"/>
      <c r="E99" s="59"/>
      <c r="F99" s="60"/>
      <c r="G99" s="60"/>
      <c r="H99" s="60"/>
      <c r="I99" s="59"/>
      <c r="J99" s="60"/>
      <c r="K99" s="60"/>
      <c r="L99" s="60"/>
      <c r="M99" s="59"/>
      <c r="N99" s="60"/>
      <c r="O99" s="60"/>
      <c r="P99" s="60"/>
      <c r="Q99" s="59"/>
      <c r="R99" s="59"/>
    </row>
    <row r="100" spans="1:20" ht="15.75" customHeight="1" x14ac:dyDescent="0.3">
      <c r="A100" s="76" t="s">
        <v>95</v>
      </c>
      <c r="B100" s="1"/>
      <c r="C100" s="1"/>
      <c r="D100" s="1"/>
      <c r="E100" s="59">
        <f t="shared" ref="E100:E107" si="10">SUM(B100:D100)</f>
        <v>0</v>
      </c>
      <c r="F100" s="1"/>
      <c r="G100" s="1"/>
      <c r="H100" s="1"/>
      <c r="I100" s="59">
        <f t="shared" ref="I100:I107" si="11">SUM(F100:H100)</f>
        <v>0</v>
      </c>
      <c r="J100" s="1"/>
      <c r="K100" s="1"/>
      <c r="L100" s="1"/>
      <c r="M100" s="59">
        <f t="shared" ref="M100:M107" si="12">SUM(J100:L100)</f>
        <v>0</v>
      </c>
      <c r="N100" s="1"/>
      <c r="O100" s="1"/>
      <c r="P100" s="1"/>
      <c r="Q100" s="59">
        <f t="shared" ref="Q100:Q107" si="13">SUM(N100:P100)</f>
        <v>0</v>
      </c>
      <c r="R100" s="59">
        <f t="shared" ref="R100:R107" si="14">+E100+I100+M100+Q100</f>
        <v>0</v>
      </c>
    </row>
    <row r="101" spans="1:20" ht="15.75" customHeight="1" x14ac:dyDescent="0.3">
      <c r="A101" s="76" t="s">
        <v>96</v>
      </c>
      <c r="B101" s="1"/>
      <c r="C101" s="1"/>
      <c r="D101" s="1"/>
      <c r="E101" s="59">
        <f t="shared" si="10"/>
        <v>0</v>
      </c>
      <c r="F101" s="1"/>
      <c r="G101" s="1"/>
      <c r="H101" s="1"/>
      <c r="I101" s="59">
        <f t="shared" si="11"/>
        <v>0</v>
      </c>
      <c r="J101" s="1"/>
      <c r="K101" s="1"/>
      <c r="L101" s="1"/>
      <c r="M101" s="59">
        <f t="shared" si="12"/>
        <v>0</v>
      </c>
      <c r="N101" s="1"/>
      <c r="O101" s="1"/>
      <c r="P101" s="1"/>
      <c r="Q101" s="59">
        <f t="shared" si="13"/>
        <v>0</v>
      </c>
      <c r="R101" s="59">
        <f t="shared" si="14"/>
        <v>0</v>
      </c>
    </row>
    <row r="102" spans="1:20" ht="15.75" customHeight="1" x14ac:dyDescent="0.3">
      <c r="A102" s="76" t="s">
        <v>875</v>
      </c>
      <c r="B102" s="1"/>
      <c r="C102" s="1"/>
      <c r="D102" s="1"/>
      <c r="E102" s="59">
        <f>SUM(B102:D102)</f>
        <v>0</v>
      </c>
      <c r="F102" s="1"/>
      <c r="G102" s="1"/>
      <c r="H102" s="1"/>
      <c r="I102" s="59">
        <f>SUM(F102:H102)</f>
        <v>0</v>
      </c>
      <c r="J102" s="1"/>
      <c r="K102" s="1"/>
      <c r="L102" s="1"/>
      <c r="M102" s="59">
        <f>SUM(J102:L102)</f>
        <v>0</v>
      </c>
      <c r="N102" s="1"/>
      <c r="O102" s="1"/>
      <c r="P102" s="1"/>
      <c r="Q102" s="59">
        <f>SUM(N102:P102)</f>
        <v>0</v>
      </c>
      <c r="R102" s="59">
        <f>+E102+I102+M102+Q102</f>
        <v>0</v>
      </c>
    </row>
    <row r="103" spans="1:20" ht="15.75" customHeight="1" x14ac:dyDescent="0.3">
      <c r="A103" s="76" t="s">
        <v>98</v>
      </c>
      <c r="B103" s="1"/>
      <c r="C103" s="1"/>
      <c r="D103" s="1"/>
      <c r="E103" s="59">
        <f>SUM(B103:D103)</f>
        <v>0</v>
      </c>
      <c r="F103" s="1"/>
      <c r="G103" s="1"/>
      <c r="H103" s="1"/>
      <c r="I103" s="59">
        <f>SUM(F103:H103)</f>
        <v>0</v>
      </c>
      <c r="J103" s="1"/>
      <c r="K103" s="1"/>
      <c r="L103" s="1"/>
      <c r="M103" s="59">
        <f>SUM(J103:L103)</f>
        <v>0</v>
      </c>
      <c r="N103" s="1"/>
      <c r="O103" s="1"/>
      <c r="P103" s="1"/>
      <c r="Q103" s="59">
        <f>SUM(N103:P103)</f>
        <v>0</v>
      </c>
      <c r="R103" s="59">
        <f>+E103+I103+M103+Q103</f>
        <v>0</v>
      </c>
      <c r="T103" s="4" t="s">
        <v>83</v>
      </c>
    </row>
    <row r="104" spans="1:20" ht="15.75" customHeight="1" x14ac:dyDescent="0.3">
      <c r="A104" s="76" t="s">
        <v>99</v>
      </c>
      <c r="B104" s="1"/>
      <c r="C104" s="1"/>
      <c r="D104" s="1"/>
      <c r="E104" s="59">
        <f>SUM(B104:D104)</f>
        <v>0</v>
      </c>
      <c r="F104" s="1"/>
      <c r="G104" s="1"/>
      <c r="H104" s="1"/>
      <c r="I104" s="59">
        <f>SUM(F104:H104)</f>
        <v>0</v>
      </c>
      <c r="J104" s="1"/>
      <c r="K104" s="1"/>
      <c r="L104" s="1"/>
      <c r="M104" s="59">
        <f>SUM(J104:L104)</f>
        <v>0</v>
      </c>
      <c r="N104" s="1"/>
      <c r="O104" s="1"/>
      <c r="P104" s="1"/>
      <c r="Q104" s="59">
        <f>SUM(N104:P104)</f>
        <v>0</v>
      </c>
      <c r="R104" s="59">
        <f>+E104+I104+M104+Q104</f>
        <v>0</v>
      </c>
    </row>
    <row r="105" spans="1:20" ht="15.75" customHeight="1" x14ac:dyDescent="0.3">
      <c r="A105" s="76" t="s">
        <v>876</v>
      </c>
      <c r="B105" s="1"/>
      <c r="C105" s="1"/>
      <c r="D105" s="1"/>
      <c r="E105" s="59">
        <f t="shared" si="10"/>
        <v>0</v>
      </c>
      <c r="F105" s="1"/>
      <c r="G105" s="1"/>
      <c r="H105" s="1"/>
      <c r="I105" s="59">
        <f t="shared" si="11"/>
        <v>0</v>
      </c>
      <c r="J105" s="1"/>
      <c r="K105" s="1"/>
      <c r="L105" s="1"/>
      <c r="M105" s="59">
        <f t="shared" si="12"/>
        <v>0</v>
      </c>
      <c r="N105" s="1"/>
      <c r="O105" s="1"/>
      <c r="P105" s="1"/>
      <c r="Q105" s="59">
        <f t="shared" si="13"/>
        <v>0</v>
      </c>
      <c r="R105" s="59">
        <f t="shared" si="14"/>
        <v>0</v>
      </c>
    </row>
    <row r="106" spans="1:20" ht="15.75" customHeight="1" thickBot="1" x14ac:dyDescent="0.35">
      <c r="A106" s="76" t="s">
        <v>101</v>
      </c>
      <c r="B106" s="1"/>
      <c r="C106" s="1"/>
      <c r="D106" s="1"/>
      <c r="E106" s="59">
        <f t="shared" si="10"/>
        <v>0</v>
      </c>
      <c r="F106" s="1"/>
      <c r="G106" s="1"/>
      <c r="H106" s="1"/>
      <c r="I106" s="59">
        <f t="shared" si="11"/>
        <v>0</v>
      </c>
      <c r="J106" s="1"/>
      <c r="K106" s="1"/>
      <c r="L106" s="1"/>
      <c r="M106" s="59">
        <f t="shared" si="12"/>
        <v>0</v>
      </c>
      <c r="N106" s="1"/>
      <c r="O106" s="1"/>
      <c r="P106" s="1"/>
      <c r="Q106" s="59">
        <f t="shared" si="13"/>
        <v>0</v>
      </c>
      <c r="R106" s="59">
        <f t="shared" si="14"/>
        <v>0</v>
      </c>
    </row>
    <row r="107" spans="1:20" ht="16.5" customHeight="1" thickBot="1" x14ac:dyDescent="0.35">
      <c r="A107" s="62" t="s">
        <v>61</v>
      </c>
      <c r="B107" s="63">
        <f>SUM(B97:B106)</f>
        <v>0</v>
      </c>
      <c r="C107" s="63">
        <f>SUM(C97:C106)</f>
        <v>0</v>
      </c>
      <c r="D107" s="63">
        <f>SUM(D97:D106)</f>
        <v>0</v>
      </c>
      <c r="E107" s="64">
        <f t="shared" si="10"/>
        <v>0</v>
      </c>
      <c r="F107" s="63">
        <f>SUM(F97:F106)</f>
        <v>0</v>
      </c>
      <c r="G107" s="63">
        <f>SUM(G97:G106)</f>
        <v>0</v>
      </c>
      <c r="H107" s="63">
        <f>SUM(H97:H106)</f>
        <v>0</v>
      </c>
      <c r="I107" s="64">
        <f t="shared" si="11"/>
        <v>0</v>
      </c>
      <c r="J107" s="63">
        <f>SUM(J97:J106)</f>
        <v>0</v>
      </c>
      <c r="K107" s="63">
        <f>SUM(K97:K106)</f>
        <v>0</v>
      </c>
      <c r="L107" s="63">
        <f>SUM(L97:L106)</f>
        <v>0</v>
      </c>
      <c r="M107" s="64">
        <f t="shared" si="12"/>
        <v>0</v>
      </c>
      <c r="N107" s="63">
        <f>SUM(N97:N106)</f>
        <v>0</v>
      </c>
      <c r="O107" s="63">
        <f>SUM(O97:O106)</f>
        <v>0</v>
      </c>
      <c r="P107" s="63">
        <f>SUM(P97:P106)</f>
        <v>0</v>
      </c>
      <c r="Q107" s="64">
        <f t="shared" si="13"/>
        <v>0</v>
      </c>
      <c r="R107" s="64">
        <f t="shared" si="14"/>
        <v>0</v>
      </c>
    </row>
    <row r="108" spans="1:20" ht="15.75" customHeight="1" x14ac:dyDescent="0.3">
      <c r="A108" s="22" t="s">
        <v>62</v>
      </c>
      <c r="B108" s="60"/>
      <c r="C108" s="60"/>
      <c r="D108" s="60"/>
      <c r="E108" s="59" t="s">
        <v>7</v>
      </c>
      <c r="F108" s="60"/>
      <c r="G108" s="60"/>
      <c r="H108" s="60"/>
      <c r="I108" s="59" t="s">
        <v>7</v>
      </c>
      <c r="J108" s="60"/>
      <c r="K108" s="60"/>
      <c r="L108" s="60"/>
      <c r="M108" s="59" t="s">
        <v>7</v>
      </c>
      <c r="N108" s="60"/>
      <c r="O108" s="60"/>
      <c r="P108" s="60"/>
      <c r="Q108" s="59" t="s">
        <v>7</v>
      </c>
      <c r="R108" s="59" t="s">
        <v>7</v>
      </c>
    </row>
    <row r="109" spans="1:20" ht="15.75" customHeight="1" x14ac:dyDescent="0.3">
      <c r="A109" s="22" t="s">
        <v>63</v>
      </c>
      <c r="B109" s="60"/>
      <c r="C109" s="60"/>
      <c r="D109" s="60"/>
      <c r="E109" s="59" t="s">
        <v>7</v>
      </c>
      <c r="F109" s="60"/>
      <c r="G109" s="60"/>
      <c r="H109" s="60"/>
      <c r="I109" s="59" t="s">
        <v>7</v>
      </c>
      <c r="J109" s="60"/>
      <c r="K109" s="60"/>
      <c r="L109" s="60"/>
      <c r="M109" s="59" t="s">
        <v>7</v>
      </c>
      <c r="N109" s="60"/>
      <c r="O109" s="60"/>
      <c r="P109" s="60"/>
      <c r="Q109" s="59" t="s">
        <v>7</v>
      </c>
      <c r="R109" s="59" t="s">
        <v>7</v>
      </c>
    </row>
    <row r="110" spans="1:20" ht="15.75" customHeight="1" x14ac:dyDescent="0.3">
      <c r="A110" s="61" t="s">
        <v>103</v>
      </c>
      <c r="B110" s="1"/>
      <c r="C110" s="1"/>
      <c r="D110" s="1"/>
      <c r="E110" s="59">
        <f t="shared" ref="E110:E115" si="15">SUM(B110:D110)</f>
        <v>0</v>
      </c>
      <c r="F110" s="1"/>
      <c r="G110" s="1"/>
      <c r="H110" s="1"/>
      <c r="I110" s="59">
        <f t="shared" ref="I110:I115" si="16">SUM(F110:H110)</f>
        <v>0</v>
      </c>
      <c r="J110" s="1"/>
      <c r="K110" s="1"/>
      <c r="L110" s="1"/>
      <c r="M110" s="59">
        <f t="shared" ref="M110:M115" si="17">SUM(J110:L110)</f>
        <v>0</v>
      </c>
      <c r="N110" s="1"/>
      <c r="O110" s="1"/>
      <c r="P110" s="1"/>
      <c r="Q110" s="59">
        <f t="shared" ref="Q110:Q115" si="18">SUM(N110:P110)</f>
        <v>0</v>
      </c>
      <c r="R110" s="59">
        <f t="shared" ref="R110:R115" si="19">+E110+I110+M110+Q110</f>
        <v>0</v>
      </c>
    </row>
    <row r="111" spans="1:20" ht="15.75" customHeight="1" x14ac:dyDescent="0.3">
      <c r="A111" s="61" t="s">
        <v>902</v>
      </c>
      <c r="B111" s="1"/>
      <c r="C111" s="1"/>
      <c r="D111" s="1"/>
      <c r="E111" s="59">
        <f t="shared" si="15"/>
        <v>0</v>
      </c>
      <c r="F111" s="1"/>
      <c r="G111" s="1"/>
      <c r="H111" s="1"/>
      <c r="I111" s="59">
        <f t="shared" si="16"/>
        <v>0</v>
      </c>
      <c r="J111" s="1"/>
      <c r="K111" s="1"/>
      <c r="L111" s="1"/>
      <c r="M111" s="59">
        <f t="shared" si="17"/>
        <v>0</v>
      </c>
      <c r="N111" s="1"/>
      <c r="O111" s="1"/>
      <c r="P111" s="1"/>
      <c r="Q111" s="59">
        <f t="shared" si="18"/>
        <v>0</v>
      </c>
      <c r="R111" s="59">
        <f t="shared" si="19"/>
        <v>0</v>
      </c>
    </row>
    <row r="112" spans="1:20" ht="15.75" customHeight="1" x14ac:dyDescent="0.3">
      <c r="A112" s="61" t="s">
        <v>105</v>
      </c>
      <c r="B112" s="1"/>
      <c r="C112" s="1"/>
      <c r="D112" s="1"/>
      <c r="E112" s="59">
        <f t="shared" si="15"/>
        <v>0</v>
      </c>
      <c r="F112" s="1"/>
      <c r="G112" s="1"/>
      <c r="H112" s="1"/>
      <c r="I112" s="59">
        <f t="shared" si="16"/>
        <v>0</v>
      </c>
      <c r="J112" s="1"/>
      <c r="K112" s="1"/>
      <c r="L112" s="1"/>
      <c r="M112" s="59">
        <f t="shared" si="17"/>
        <v>0</v>
      </c>
      <c r="N112" s="1"/>
      <c r="O112" s="1"/>
      <c r="P112" s="1"/>
      <c r="Q112" s="59">
        <f t="shared" si="18"/>
        <v>0</v>
      </c>
      <c r="R112" s="59">
        <f t="shared" si="19"/>
        <v>0</v>
      </c>
    </row>
    <row r="113" spans="1:20" ht="15.75" customHeight="1" x14ac:dyDescent="0.3">
      <c r="A113" s="61" t="s">
        <v>106</v>
      </c>
      <c r="B113" s="1"/>
      <c r="C113" s="1"/>
      <c r="D113" s="1"/>
      <c r="E113" s="59">
        <f t="shared" si="15"/>
        <v>0</v>
      </c>
      <c r="F113" s="1"/>
      <c r="G113" s="1"/>
      <c r="H113" s="1"/>
      <c r="I113" s="59">
        <f t="shared" si="16"/>
        <v>0</v>
      </c>
      <c r="J113" s="1"/>
      <c r="K113" s="1"/>
      <c r="L113" s="1"/>
      <c r="M113" s="59">
        <f t="shared" si="17"/>
        <v>0</v>
      </c>
      <c r="N113" s="1"/>
      <c r="O113" s="1"/>
      <c r="P113" s="1"/>
      <c r="Q113" s="59">
        <f t="shared" si="18"/>
        <v>0</v>
      </c>
      <c r="R113" s="59">
        <f t="shared" si="19"/>
        <v>0</v>
      </c>
    </row>
    <row r="114" spans="1:20" ht="15.75" customHeight="1" x14ac:dyDescent="0.3">
      <c r="A114" s="61" t="s">
        <v>107</v>
      </c>
      <c r="B114" s="1"/>
      <c r="C114" s="1"/>
      <c r="D114" s="1"/>
      <c r="E114" s="59">
        <f t="shared" si="15"/>
        <v>0</v>
      </c>
      <c r="F114" s="1"/>
      <c r="G114" s="1"/>
      <c r="H114" s="1"/>
      <c r="I114" s="59">
        <f t="shared" si="16"/>
        <v>0</v>
      </c>
      <c r="J114" s="1"/>
      <c r="K114" s="1"/>
      <c r="L114" s="1"/>
      <c r="M114" s="59">
        <f t="shared" si="17"/>
        <v>0</v>
      </c>
      <c r="N114" s="1"/>
      <c r="O114" s="1"/>
      <c r="P114" s="1"/>
      <c r="Q114" s="59">
        <f t="shared" si="18"/>
        <v>0</v>
      </c>
      <c r="R114" s="59">
        <f t="shared" si="19"/>
        <v>0</v>
      </c>
    </row>
    <row r="115" spans="1:20" ht="15.75" customHeight="1" x14ac:dyDescent="0.3">
      <c r="A115" s="61" t="s">
        <v>108</v>
      </c>
      <c r="B115" s="1"/>
      <c r="C115" s="1"/>
      <c r="D115" s="1"/>
      <c r="E115" s="59">
        <f t="shared" si="15"/>
        <v>0</v>
      </c>
      <c r="F115" s="1"/>
      <c r="G115" s="1"/>
      <c r="H115" s="1"/>
      <c r="I115" s="59">
        <f t="shared" si="16"/>
        <v>0</v>
      </c>
      <c r="J115" s="1"/>
      <c r="K115" s="1"/>
      <c r="L115" s="1"/>
      <c r="M115" s="59">
        <f t="shared" si="17"/>
        <v>0</v>
      </c>
      <c r="N115" s="1"/>
      <c r="O115" s="1"/>
      <c r="P115" s="1"/>
      <c r="Q115" s="59">
        <f t="shared" si="18"/>
        <v>0</v>
      </c>
      <c r="R115" s="59">
        <f t="shared" si="19"/>
        <v>0</v>
      </c>
    </row>
    <row r="116" spans="1:20" ht="15.75" customHeight="1" x14ac:dyDescent="0.3">
      <c r="A116" s="61" t="s">
        <v>109</v>
      </c>
      <c r="B116" s="1"/>
      <c r="C116" s="1"/>
      <c r="D116" s="1"/>
      <c r="E116" s="59">
        <f>SUM(B116:D116)</f>
        <v>0</v>
      </c>
      <c r="F116" s="1"/>
      <c r="G116" s="1"/>
      <c r="H116" s="1"/>
      <c r="I116" s="59">
        <f>SUM(F116:H116)</f>
        <v>0</v>
      </c>
      <c r="J116" s="1"/>
      <c r="K116" s="1"/>
      <c r="L116" s="1"/>
      <c r="M116" s="59">
        <f>SUM(J116:L116)</f>
        <v>0</v>
      </c>
      <c r="N116" s="1"/>
      <c r="O116" s="1"/>
      <c r="P116" s="1"/>
      <c r="Q116" s="59">
        <f>SUM(N116:P116)</f>
        <v>0</v>
      </c>
      <c r="R116" s="59">
        <f>+E116+I116+M116+Q116</f>
        <v>0</v>
      </c>
    </row>
    <row r="117" spans="1:20" ht="15.75" customHeight="1" x14ac:dyDescent="0.3">
      <c r="A117" s="78" t="s">
        <v>110</v>
      </c>
      <c r="B117" s="1"/>
      <c r="C117" s="1"/>
      <c r="D117" s="1"/>
      <c r="E117" s="59">
        <f>SUM(B117:D117)</f>
        <v>0</v>
      </c>
      <c r="F117" s="1"/>
      <c r="G117" s="1"/>
      <c r="H117" s="1"/>
      <c r="I117" s="59">
        <f>SUM(F117:H117)</f>
        <v>0</v>
      </c>
      <c r="J117" s="1"/>
      <c r="K117" s="1"/>
      <c r="L117" s="1"/>
      <c r="M117" s="59">
        <f>SUM(J117:L117)</f>
        <v>0</v>
      </c>
      <c r="N117" s="1"/>
      <c r="O117" s="1"/>
      <c r="P117" s="1"/>
      <c r="Q117" s="59">
        <f>SUM(N117:P117)</f>
        <v>0</v>
      </c>
      <c r="R117" s="59">
        <f>+E117+I117+M117+Q117</f>
        <v>0</v>
      </c>
      <c r="T117" s="4" t="s">
        <v>111</v>
      </c>
    </row>
    <row r="118" spans="1:20" ht="15.75" customHeight="1" x14ac:dyDescent="0.3">
      <c r="A118" s="22" t="s">
        <v>64</v>
      </c>
      <c r="B118" s="60"/>
      <c r="C118" s="60"/>
      <c r="D118" s="60"/>
      <c r="E118" s="59" t="s">
        <v>7</v>
      </c>
      <c r="F118" s="60"/>
      <c r="G118" s="60"/>
      <c r="H118" s="60"/>
      <c r="I118" s="59" t="s">
        <v>7</v>
      </c>
      <c r="J118" s="60"/>
      <c r="K118" s="60"/>
      <c r="L118" s="60"/>
      <c r="M118" s="59" t="s">
        <v>7</v>
      </c>
      <c r="N118" s="60"/>
      <c r="O118" s="60"/>
      <c r="P118" s="60"/>
      <c r="Q118" s="59" t="s">
        <v>7</v>
      </c>
      <c r="R118" s="59" t="s">
        <v>7</v>
      </c>
    </row>
    <row r="119" spans="1:20" ht="15.75" customHeight="1" x14ac:dyDescent="0.3">
      <c r="A119" s="61" t="s">
        <v>112</v>
      </c>
      <c r="B119" s="1"/>
      <c r="C119" s="1"/>
      <c r="D119" s="1"/>
      <c r="E119" s="59">
        <f>SUM(B119:D119)</f>
        <v>0</v>
      </c>
      <c r="F119" s="1"/>
      <c r="G119" s="1"/>
      <c r="H119" s="1"/>
      <c r="I119" s="59">
        <f>SUM(F119:H119)</f>
        <v>0</v>
      </c>
      <c r="J119" s="1"/>
      <c r="K119" s="1"/>
      <c r="L119" s="1"/>
      <c r="M119" s="59">
        <f>SUM(J119:L119)</f>
        <v>0</v>
      </c>
      <c r="N119" s="1"/>
      <c r="O119" s="1"/>
      <c r="P119" s="1"/>
      <c r="Q119" s="59">
        <f>SUM(N119:P119)</f>
        <v>0</v>
      </c>
      <c r="R119" s="59">
        <f>+E119+I119+M119+Q119</f>
        <v>0</v>
      </c>
    </row>
    <row r="120" spans="1:20" ht="15.75" customHeight="1" x14ac:dyDescent="0.3">
      <c r="A120" s="61" t="s">
        <v>113</v>
      </c>
      <c r="B120" s="1"/>
      <c r="C120" s="1"/>
      <c r="D120" s="1"/>
      <c r="E120" s="59">
        <f>SUM(B120:D120)</f>
        <v>0</v>
      </c>
      <c r="F120" s="1"/>
      <c r="G120" s="1"/>
      <c r="H120" s="1"/>
      <c r="I120" s="59">
        <f>SUM(F120:H120)</f>
        <v>0</v>
      </c>
      <c r="J120" s="1"/>
      <c r="K120" s="1"/>
      <c r="L120" s="1"/>
      <c r="M120" s="59">
        <f>SUM(J120:L120)</f>
        <v>0</v>
      </c>
      <c r="N120" s="1"/>
      <c r="O120" s="1"/>
      <c r="P120" s="1"/>
      <c r="Q120" s="59">
        <f>SUM(N120:P120)</f>
        <v>0</v>
      </c>
      <c r="R120" s="59">
        <f>+E120+I120+M120+Q120</f>
        <v>0</v>
      </c>
    </row>
    <row r="121" spans="1:20" ht="15.75" customHeight="1" x14ac:dyDescent="0.3">
      <c r="A121" s="22" t="s">
        <v>66</v>
      </c>
      <c r="B121" s="60"/>
      <c r="C121" s="60"/>
      <c r="D121" s="60"/>
      <c r="E121" s="59" t="s">
        <v>7</v>
      </c>
      <c r="F121" s="60"/>
      <c r="G121" s="60"/>
      <c r="H121" s="60"/>
      <c r="I121" s="59" t="s">
        <v>7</v>
      </c>
      <c r="J121" s="60"/>
      <c r="K121" s="60"/>
      <c r="L121" s="60"/>
      <c r="M121" s="59" t="s">
        <v>7</v>
      </c>
      <c r="N121" s="60"/>
      <c r="O121" s="60"/>
      <c r="P121" s="60"/>
      <c r="Q121" s="59" t="s">
        <v>7</v>
      </c>
      <c r="R121" s="59" t="s">
        <v>7</v>
      </c>
    </row>
    <row r="122" spans="1:20" ht="15.75" customHeight="1" x14ac:dyDescent="0.3">
      <c r="A122" s="61" t="s">
        <v>903</v>
      </c>
      <c r="B122" s="1"/>
      <c r="C122" s="1"/>
      <c r="D122" s="1"/>
      <c r="E122" s="59">
        <f>SUM(B122:D122)</f>
        <v>0</v>
      </c>
      <c r="F122" s="1"/>
      <c r="G122" s="1"/>
      <c r="H122" s="1"/>
      <c r="I122" s="59">
        <f>SUM(F122:H122)</f>
        <v>0</v>
      </c>
      <c r="J122" s="1"/>
      <c r="K122" s="1"/>
      <c r="L122" s="1"/>
      <c r="M122" s="59">
        <f>SUM(J122:L122)</f>
        <v>0</v>
      </c>
      <c r="N122" s="1"/>
      <c r="O122" s="1"/>
      <c r="P122" s="1"/>
      <c r="Q122" s="59">
        <f>SUM(N122:P122)</f>
        <v>0</v>
      </c>
      <c r="R122" s="59">
        <f>+E122+I122+M122+Q122</f>
        <v>0</v>
      </c>
      <c r="T122" s="4" t="s">
        <v>78</v>
      </c>
    </row>
    <row r="123" spans="1:20" ht="15.75" customHeight="1" thickBot="1" x14ac:dyDescent="0.35">
      <c r="A123" s="22" t="s">
        <v>67</v>
      </c>
      <c r="B123" s="60"/>
      <c r="C123" s="60"/>
      <c r="D123" s="60"/>
      <c r="E123" s="59" t="s">
        <v>7</v>
      </c>
      <c r="F123" s="60"/>
      <c r="G123" s="60"/>
      <c r="H123" s="60"/>
      <c r="I123" s="59" t="s">
        <v>7</v>
      </c>
      <c r="J123" s="60"/>
      <c r="K123" s="60"/>
      <c r="L123" s="60"/>
      <c r="M123" s="59" t="s">
        <v>7</v>
      </c>
      <c r="N123" s="60"/>
      <c r="O123" s="60"/>
      <c r="P123" s="60"/>
      <c r="Q123" s="59" t="s">
        <v>7</v>
      </c>
      <c r="R123" s="59" t="s">
        <v>7</v>
      </c>
    </row>
    <row r="124" spans="1:20" ht="16.5" customHeight="1" thickBot="1" x14ac:dyDescent="0.35">
      <c r="A124" s="62" t="s">
        <v>68</v>
      </c>
      <c r="B124" s="63">
        <f>SUM(B121:B123)</f>
        <v>0</v>
      </c>
      <c r="C124" s="63">
        <f>SUM(C121:C123)</f>
        <v>0</v>
      </c>
      <c r="D124" s="63">
        <f>SUM(D121:D123)</f>
        <v>0</v>
      </c>
      <c r="E124" s="65">
        <f>SUM(B124:D124)</f>
        <v>0</v>
      </c>
      <c r="F124" s="63">
        <f>SUM(F121:F123)</f>
        <v>0</v>
      </c>
      <c r="G124" s="63">
        <f>SUM(G121:G123)</f>
        <v>0</v>
      </c>
      <c r="H124" s="63">
        <f>SUM(H121:H123)</f>
        <v>0</v>
      </c>
      <c r="I124" s="65">
        <f>SUM(F124:H124)</f>
        <v>0</v>
      </c>
      <c r="J124" s="63">
        <f>SUM(J121:J123)</f>
        <v>0</v>
      </c>
      <c r="K124" s="63">
        <f>SUM(K121:K123)</f>
        <v>0</v>
      </c>
      <c r="L124" s="63">
        <f>SUM(L121:L123)</f>
        <v>0</v>
      </c>
      <c r="M124" s="65">
        <f>SUM(J124:L124)</f>
        <v>0</v>
      </c>
      <c r="N124" s="63">
        <f>SUM(N121:N123)</f>
        <v>0</v>
      </c>
      <c r="O124" s="63">
        <f>SUM(O121:O123)</f>
        <v>0</v>
      </c>
      <c r="P124" s="63">
        <f>SUM(P121:P123)</f>
        <v>0</v>
      </c>
      <c r="Q124" s="65">
        <f>SUM(N124:P124)</f>
        <v>0</v>
      </c>
      <c r="R124" s="64">
        <f>+E124+I124+M124+Q124</f>
        <v>0</v>
      </c>
    </row>
    <row r="125" spans="1:20" ht="16.5" customHeight="1" thickBot="1" x14ac:dyDescent="0.35">
      <c r="A125" s="62" t="s">
        <v>69</v>
      </c>
      <c r="B125" s="63">
        <f>SUM(B108:B123)</f>
        <v>0</v>
      </c>
      <c r="C125" s="63">
        <f>SUM(C108:C123)</f>
        <v>0</v>
      </c>
      <c r="D125" s="63">
        <f>SUM(D108:D123)</f>
        <v>0</v>
      </c>
      <c r="E125" s="65">
        <f>SUM(B125:D125)</f>
        <v>0</v>
      </c>
      <c r="F125" s="63">
        <f>SUM(F108:F123)</f>
        <v>0</v>
      </c>
      <c r="G125" s="63">
        <f>SUM(G108:G123)</f>
        <v>0</v>
      </c>
      <c r="H125" s="63">
        <f>SUM(H108:H123)</f>
        <v>0</v>
      </c>
      <c r="I125" s="65">
        <f>SUM(F125:H125)</f>
        <v>0</v>
      </c>
      <c r="J125" s="63">
        <f>SUM(J108:J123)</f>
        <v>0</v>
      </c>
      <c r="K125" s="63">
        <f>SUM(K108:K123)</f>
        <v>0</v>
      </c>
      <c r="L125" s="63">
        <f>SUM(L108:L123)</f>
        <v>0</v>
      </c>
      <c r="M125" s="65">
        <f>SUM(J125:L125)</f>
        <v>0</v>
      </c>
      <c r="N125" s="63">
        <f>SUM(N108:N123)</f>
        <v>0</v>
      </c>
      <c r="O125" s="63">
        <f>SUM(O108:O123)</f>
        <v>0</v>
      </c>
      <c r="P125" s="63">
        <f>SUM(P108:P123)</f>
        <v>0</v>
      </c>
      <c r="Q125" s="65">
        <f>SUM(N125:P125)</f>
        <v>0</v>
      </c>
      <c r="R125" s="64">
        <f>+E125+I125+M125+Q125</f>
        <v>0</v>
      </c>
    </row>
    <row r="126" spans="1:20" ht="16.5" customHeight="1" thickBot="1" x14ac:dyDescent="0.35">
      <c r="A126" s="62" t="s">
        <v>70</v>
      </c>
      <c r="B126" s="63">
        <f>+B89+B96+B107+B125</f>
        <v>1195</v>
      </c>
      <c r="C126" s="63">
        <f>+C89+C96+C107+C125</f>
        <v>1000</v>
      </c>
      <c r="D126" s="63">
        <f>+D89+D96+D107+D125</f>
        <v>4300</v>
      </c>
      <c r="E126" s="64">
        <f>SUM(B126:D126)</f>
        <v>6495</v>
      </c>
      <c r="F126" s="63">
        <f>+F89+F96+F107+F125</f>
        <v>5700</v>
      </c>
      <c r="G126" s="63">
        <f>+G89+G96+G107+G125</f>
        <v>5600</v>
      </c>
      <c r="H126" s="63">
        <f>+H89+H96+H107+H125</f>
        <v>5100</v>
      </c>
      <c r="I126" s="64">
        <f>SUM(F126:H126)</f>
        <v>16400</v>
      </c>
      <c r="J126" s="63">
        <f>+J89+J96+J107+J125</f>
        <v>6294</v>
      </c>
      <c r="K126" s="63">
        <f>+K89+K96+K107+K125</f>
        <v>5497</v>
      </c>
      <c r="L126" s="63">
        <f>+L89+L96+L107+L125</f>
        <v>3927</v>
      </c>
      <c r="M126" s="64">
        <f>SUM(J126:L126)</f>
        <v>15718</v>
      </c>
      <c r="N126" s="63">
        <f>+N89+N96+N107+N125</f>
        <v>2127</v>
      </c>
      <c r="O126" s="63">
        <f>+O89+O96+O107+O125</f>
        <v>511</v>
      </c>
      <c r="P126" s="63">
        <f>+P89+P96+P107+P125</f>
        <v>821</v>
      </c>
      <c r="Q126" s="64">
        <f>SUM(N126:P126)</f>
        <v>3459</v>
      </c>
      <c r="R126" s="64">
        <f>+E126+I126+M126+Q126</f>
        <v>42072</v>
      </c>
    </row>
    <row r="127" spans="1:20" ht="16.5" customHeight="1" thickBot="1" x14ac:dyDescent="0.35">
      <c r="A127" s="79" t="s">
        <v>37</v>
      </c>
      <c r="B127" s="25">
        <v>173</v>
      </c>
      <c r="C127" s="25">
        <v>260</v>
      </c>
      <c r="D127" s="25">
        <v>471</v>
      </c>
      <c r="E127" s="59">
        <f>SUM(B127:D127)</f>
        <v>904</v>
      </c>
      <c r="F127" s="25">
        <v>629</v>
      </c>
      <c r="G127" s="25">
        <v>725</v>
      </c>
      <c r="H127" s="25">
        <v>712</v>
      </c>
      <c r="I127" s="59">
        <f>SUM(F127:H127)</f>
        <v>2066</v>
      </c>
      <c r="J127" s="25">
        <v>711</v>
      </c>
      <c r="K127" s="25">
        <v>573</v>
      </c>
      <c r="L127" s="25">
        <v>542</v>
      </c>
      <c r="M127" s="59">
        <f>SUM(J127:L127)</f>
        <v>1826</v>
      </c>
      <c r="N127" s="25">
        <v>490</v>
      </c>
      <c r="O127" s="25">
        <v>407</v>
      </c>
      <c r="P127" s="25">
        <v>323</v>
      </c>
      <c r="Q127" s="59">
        <f>SUM(N127:P127)</f>
        <v>1220</v>
      </c>
      <c r="R127" s="59">
        <f>+E127+I127+M127+Q127</f>
        <v>6016</v>
      </c>
    </row>
    <row r="128" spans="1:20" ht="16.5" customHeight="1" thickBot="1" x14ac:dyDescent="0.35">
      <c r="A128" s="80"/>
      <c r="B128" s="81"/>
      <c r="C128" s="81"/>
      <c r="D128" s="81"/>
      <c r="E128" s="64" t="s">
        <v>7</v>
      </c>
      <c r="F128" s="81"/>
      <c r="G128" s="81"/>
      <c r="H128" s="81"/>
      <c r="I128" s="64" t="s">
        <v>7</v>
      </c>
      <c r="J128" s="81"/>
      <c r="K128" s="81"/>
      <c r="L128" s="81"/>
      <c r="M128" s="64" t="s">
        <v>7</v>
      </c>
      <c r="N128" s="81"/>
      <c r="O128" s="81"/>
      <c r="P128" s="81"/>
      <c r="Q128" s="64" t="s">
        <v>7</v>
      </c>
      <c r="R128" s="64" t="s">
        <v>7</v>
      </c>
    </row>
    <row r="129" spans="1:20" ht="15.75" customHeight="1" x14ac:dyDescent="0.3">
      <c r="A129" s="82" t="s">
        <v>38</v>
      </c>
      <c r="B129" s="83">
        <f>+B126+B127</f>
        <v>1368</v>
      </c>
      <c r="C129" s="83">
        <f>+C126+C127</f>
        <v>1260</v>
      </c>
      <c r="D129" s="83">
        <f>+D126+D127</f>
        <v>4771</v>
      </c>
      <c r="E129" s="59">
        <f>SUM(B129:D129)</f>
        <v>7399</v>
      </c>
      <c r="F129" s="83">
        <f>+F126+F127</f>
        <v>6329</v>
      </c>
      <c r="G129" s="83">
        <f>+G126+G127</f>
        <v>6325</v>
      </c>
      <c r="H129" s="83">
        <f>+H126+H127</f>
        <v>5812</v>
      </c>
      <c r="I129" s="59">
        <f>SUM(F129:H129)</f>
        <v>18466</v>
      </c>
      <c r="J129" s="83">
        <f>+J126+J127</f>
        <v>7005</v>
      </c>
      <c r="K129" s="83">
        <f>+K126+K127</f>
        <v>6070</v>
      </c>
      <c r="L129" s="83">
        <f>+L126+L127</f>
        <v>4469</v>
      </c>
      <c r="M129" s="59">
        <f>SUM(J129:L129)</f>
        <v>17544</v>
      </c>
      <c r="N129" s="83">
        <f>+N126+N127</f>
        <v>2617</v>
      </c>
      <c r="O129" s="83">
        <f>+O126+O127</f>
        <v>918</v>
      </c>
      <c r="P129" s="83">
        <f>+P126+P127</f>
        <v>1144</v>
      </c>
      <c r="Q129" s="59">
        <f>SUM(N129:P129)</f>
        <v>4679</v>
      </c>
      <c r="R129" s="59">
        <f>+E129+I129+M129+Q129</f>
        <v>48088</v>
      </c>
    </row>
    <row r="130" spans="1:20" ht="15.75" customHeight="1" x14ac:dyDescent="0.3">
      <c r="A130" s="84" t="s">
        <v>39</v>
      </c>
      <c r="B130" s="1">
        <f>(B129/B10)/1.983</f>
        <v>22.253672343955884</v>
      </c>
      <c r="C130" s="1">
        <f>(C129/C10)/1.983</f>
        <v>22.6928895612708</v>
      </c>
      <c r="D130" s="1">
        <f>(D129/D10)/1.983</f>
        <v>77.611309029980646</v>
      </c>
      <c r="E130" s="59" t="s">
        <v>7</v>
      </c>
      <c r="F130" s="1">
        <f>(F129/F10)/1.983</f>
        <v>106.38762817280215</v>
      </c>
      <c r="G130" s="1">
        <f>(G129/G10)/1.983</f>
        <v>102.89069998210596</v>
      </c>
      <c r="H130" s="1">
        <f>(H129/H10)/1.983</f>
        <v>97.697091948226586</v>
      </c>
      <c r="I130" s="59" t="s">
        <v>7</v>
      </c>
      <c r="J130" s="1">
        <f>(J129/J10)/1.983</f>
        <v>113.95246693670391</v>
      </c>
      <c r="K130" s="1">
        <f>(K129/K10)/1.983</f>
        <v>98.742537374131729</v>
      </c>
      <c r="L130" s="1">
        <f>(L129/L10)/1.983</f>
        <v>75.12186922171793</v>
      </c>
      <c r="M130" s="59" t="s">
        <v>7</v>
      </c>
      <c r="N130" s="1">
        <f>(N129/N10)/1.983</f>
        <v>42.571535470857121</v>
      </c>
      <c r="O130" s="1">
        <f>(O129/O10)/1.983</f>
        <v>15.431164901664145</v>
      </c>
      <c r="P130" s="1">
        <f>(P129/P10)/1.983</f>
        <v>18.609796170676557</v>
      </c>
      <c r="Q130" s="59" t="s">
        <v>7</v>
      </c>
      <c r="R130" s="59" t="s">
        <v>7</v>
      </c>
    </row>
    <row r="131" spans="1:20" ht="15.75" customHeight="1" x14ac:dyDescent="0.3">
      <c r="A131" s="85" t="s">
        <v>117</v>
      </c>
      <c r="B131" s="1">
        <f>B129+B302</f>
        <v>138613</v>
      </c>
      <c r="C131" s="1">
        <f>C129+C302</f>
        <v>66982</v>
      </c>
      <c r="D131" s="1">
        <f>D129+D302</f>
        <v>180348</v>
      </c>
      <c r="E131" s="59">
        <f>SUM(B131:D131)</f>
        <v>385943</v>
      </c>
      <c r="F131" s="1">
        <f>F129+F302</f>
        <v>174736</v>
      </c>
      <c r="G131" s="1">
        <f>G129+G302</f>
        <v>180229</v>
      </c>
      <c r="H131" s="1">
        <f>H129+H302</f>
        <v>83444</v>
      </c>
      <c r="I131" s="59">
        <f>SUM(F131:H131)</f>
        <v>438409</v>
      </c>
      <c r="J131" s="1">
        <f>J129+J302</f>
        <v>71530</v>
      </c>
      <c r="K131" s="1">
        <f>K129+K302</f>
        <v>70672</v>
      </c>
      <c r="L131" s="1">
        <f>L129+L302</f>
        <v>137429</v>
      </c>
      <c r="M131" s="59">
        <f>SUM(J131:L131)</f>
        <v>279631</v>
      </c>
      <c r="N131" s="1">
        <f>N129+N302</f>
        <v>131472</v>
      </c>
      <c r="O131" s="1">
        <f>O129+O302</f>
        <v>126892</v>
      </c>
      <c r="P131" s="1">
        <f>P129+P302</f>
        <v>131533</v>
      </c>
      <c r="Q131" s="59">
        <f>SUM(N131:P131)</f>
        <v>389897</v>
      </c>
      <c r="R131" s="59">
        <f>+E131+I131+M131+Q131</f>
        <v>1493880</v>
      </c>
    </row>
    <row r="132" spans="1:20" ht="16.5" customHeight="1" thickBot="1" x14ac:dyDescent="0.35">
      <c r="A132" s="86" t="s">
        <v>118</v>
      </c>
      <c r="B132" s="87">
        <f>(B131/B10)/1.983</f>
        <v>2254.8598571730677</v>
      </c>
      <c r="C132" s="87">
        <f>(C131/C10)/1.983</f>
        <v>1206.36121316908</v>
      </c>
      <c r="D132" s="87">
        <f>(D131/D10)/1.983</f>
        <v>2933.7758040115173</v>
      </c>
      <c r="E132" s="88" t="s">
        <v>7</v>
      </c>
      <c r="F132" s="87">
        <f>(F131/F10)/1.983</f>
        <v>2937.2331484283072</v>
      </c>
      <c r="G132" s="87">
        <f>(G131/G10)/1.983</f>
        <v>2931.8399947944627</v>
      </c>
      <c r="H132" s="87">
        <f>(H131/H10)/1.983</f>
        <v>1402.6559085560598</v>
      </c>
      <c r="I132" s="88" t="s">
        <v>7</v>
      </c>
      <c r="J132" s="87">
        <f>(J131/J10)/1.983</f>
        <v>1163.6002797976348</v>
      </c>
      <c r="K132" s="87">
        <f>(K131/K10)/1.983</f>
        <v>1149.642932669627</v>
      </c>
      <c r="L132" s="87">
        <f>(L131/L10)/1.983</f>
        <v>2310.119347789544</v>
      </c>
      <c r="M132" s="88" t="s">
        <v>7</v>
      </c>
      <c r="N132" s="87">
        <f>(N131/N10)/1.983</f>
        <v>2138.6950368454441</v>
      </c>
      <c r="O132" s="87">
        <f>(O131/O10)/1.983</f>
        <v>2132.9971423768702</v>
      </c>
      <c r="P132" s="87">
        <f>(P131/P10)/1.983</f>
        <v>2139.6873424104892</v>
      </c>
      <c r="Q132" s="88" t="s">
        <v>7</v>
      </c>
      <c r="R132" s="88" t="s">
        <v>7</v>
      </c>
    </row>
    <row r="133" spans="1:20" ht="15.75" customHeight="1" x14ac:dyDescent="0.3">
      <c r="A133" s="30"/>
      <c r="B133" s="1"/>
      <c r="C133" s="1"/>
      <c r="D133" s="1"/>
      <c r="E133" s="1"/>
      <c r="F133" s="1"/>
      <c r="G133" s="1"/>
      <c r="H133" s="1"/>
      <c r="I133" s="1"/>
      <c r="J133" s="1"/>
      <c r="K133" s="1"/>
      <c r="L133" s="1"/>
      <c r="M133" s="1"/>
      <c r="N133" s="1"/>
      <c r="O133" s="1"/>
      <c r="P133" s="1"/>
      <c r="Q133" s="1"/>
      <c r="R133" s="28"/>
    </row>
    <row r="134" spans="1:20" ht="15.75" customHeight="1" thickBot="1" x14ac:dyDescent="0.35">
      <c r="A134" s="30" t="s">
        <v>7</v>
      </c>
      <c r="B134" s="1"/>
      <c r="C134" s="1"/>
      <c r="D134" s="1"/>
      <c r="E134" s="1"/>
      <c r="F134" s="1"/>
      <c r="G134" s="1"/>
      <c r="H134" s="1"/>
      <c r="I134" s="1"/>
      <c r="J134" s="1"/>
      <c r="K134" s="1"/>
      <c r="L134" s="1"/>
      <c r="M134" s="1"/>
      <c r="N134" s="1"/>
      <c r="O134" s="1"/>
      <c r="P134" s="1"/>
      <c r="Q134" s="1"/>
      <c r="R134" s="28"/>
    </row>
    <row r="135" spans="1:20" ht="16.5" customHeight="1" thickBot="1" x14ac:dyDescent="0.35">
      <c r="A135" s="31" t="s">
        <v>119</v>
      </c>
      <c r="B135" s="32" t="s">
        <v>36</v>
      </c>
      <c r="C135" s="33" t="s">
        <v>9</v>
      </c>
      <c r="D135" s="33" t="s">
        <v>10</v>
      </c>
      <c r="E135" s="12" t="s">
        <v>11</v>
      </c>
      <c r="F135" s="33" t="s">
        <v>12</v>
      </c>
      <c r="G135" s="33" t="s">
        <v>13</v>
      </c>
      <c r="H135" s="33" t="s">
        <v>14</v>
      </c>
      <c r="I135" s="34" t="s">
        <v>15</v>
      </c>
      <c r="J135" s="33" t="s">
        <v>16</v>
      </c>
      <c r="K135" s="33" t="s">
        <v>17</v>
      </c>
      <c r="L135" s="33" t="s">
        <v>18</v>
      </c>
      <c r="M135" s="34" t="s">
        <v>19</v>
      </c>
      <c r="N135" s="33" t="s">
        <v>20</v>
      </c>
      <c r="O135" s="33" t="s">
        <v>21</v>
      </c>
      <c r="P135" s="33" t="s">
        <v>22</v>
      </c>
      <c r="Q135" s="34" t="s">
        <v>23</v>
      </c>
      <c r="R135" s="35" t="s">
        <v>24</v>
      </c>
    </row>
    <row r="136" spans="1:20" ht="16.5" customHeight="1" thickBot="1" x14ac:dyDescent="0.35">
      <c r="A136" s="80"/>
      <c r="B136" s="81"/>
      <c r="C136" s="81"/>
      <c r="D136" s="81"/>
      <c r="E136" s="89"/>
      <c r="F136" s="81"/>
      <c r="G136" s="81"/>
      <c r="H136" s="81"/>
      <c r="I136" s="89"/>
      <c r="J136" s="81"/>
      <c r="K136" s="81"/>
      <c r="L136" s="81"/>
      <c r="M136" s="89"/>
      <c r="N136" s="81"/>
      <c r="O136" s="81"/>
      <c r="P136" s="81"/>
      <c r="Q136" s="89"/>
      <c r="R136" s="80"/>
    </row>
    <row r="137" spans="1:20" ht="15.75" customHeight="1" x14ac:dyDescent="0.3">
      <c r="A137" s="17" t="s">
        <v>45</v>
      </c>
      <c r="B137" s="1" t="s">
        <v>7</v>
      </c>
      <c r="C137" s="1" t="s">
        <v>7</v>
      </c>
      <c r="D137" s="1" t="s">
        <v>7</v>
      </c>
      <c r="E137" s="59" t="s">
        <v>7</v>
      </c>
      <c r="F137" s="1" t="s">
        <v>7</v>
      </c>
      <c r="G137" s="1" t="s">
        <v>7</v>
      </c>
      <c r="H137" s="1" t="s">
        <v>7</v>
      </c>
      <c r="I137" s="59" t="s">
        <v>7</v>
      </c>
      <c r="J137" s="1" t="s">
        <v>7</v>
      </c>
      <c r="K137" s="1" t="s">
        <v>7</v>
      </c>
      <c r="L137" s="1" t="s">
        <v>7</v>
      </c>
      <c r="M137" s="59" t="s">
        <v>7</v>
      </c>
      <c r="N137" s="1" t="s">
        <v>7</v>
      </c>
      <c r="O137" s="1" t="s">
        <v>7</v>
      </c>
      <c r="P137" s="1" t="s">
        <v>7</v>
      </c>
      <c r="Q137" s="59" t="s">
        <v>7</v>
      </c>
      <c r="R137" s="90" t="s">
        <v>7</v>
      </c>
    </row>
    <row r="138" spans="1:20" ht="15.75" customHeight="1" x14ac:dyDescent="0.3">
      <c r="A138" s="17" t="s">
        <v>46</v>
      </c>
      <c r="B138" s="1"/>
      <c r="C138" s="1"/>
      <c r="D138" s="1"/>
      <c r="E138" s="59" t="s">
        <v>7</v>
      </c>
      <c r="F138" s="1"/>
      <c r="G138" s="1"/>
      <c r="H138" s="1"/>
      <c r="I138" s="59" t="s">
        <v>7</v>
      </c>
      <c r="J138" s="1"/>
      <c r="K138" s="1"/>
      <c r="L138" s="1"/>
      <c r="M138" s="59" t="s">
        <v>7</v>
      </c>
      <c r="N138" s="1"/>
      <c r="O138" s="1"/>
      <c r="P138" s="1"/>
      <c r="Q138" s="59" t="s">
        <v>7</v>
      </c>
      <c r="R138" s="90"/>
    </row>
    <row r="139" spans="1:20" ht="15.75" customHeight="1" x14ac:dyDescent="0.3">
      <c r="A139" s="91" t="s">
        <v>120</v>
      </c>
      <c r="B139" s="1"/>
      <c r="C139" s="1"/>
      <c r="D139" s="1">
        <v>129</v>
      </c>
      <c r="E139" s="59">
        <f t="shared" ref="E139:E144" si="20">SUM(B139:D139)</f>
        <v>129</v>
      </c>
      <c r="F139" s="1">
        <v>433</v>
      </c>
      <c r="G139" s="1">
        <v>645</v>
      </c>
      <c r="H139" s="1">
        <v>617</v>
      </c>
      <c r="I139" s="59">
        <f t="shared" ref="I139:I144" si="21">SUM(F139:H139)</f>
        <v>1695</v>
      </c>
      <c r="J139" s="1">
        <v>693</v>
      </c>
      <c r="K139" s="1">
        <v>468</v>
      </c>
      <c r="L139" s="1">
        <v>742</v>
      </c>
      <c r="M139" s="59">
        <f t="shared" ref="M139:M144" si="22">SUM(J139:L139)</f>
        <v>1903</v>
      </c>
      <c r="N139" s="1">
        <v>462</v>
      </c>
      <c r="O139" s="1"/>
      <c r="P139" s="1"/>
      <c r="Q139" s="59">
        <f t="shared" ref="Q139:Q144" si="23">SUM(N139:P139)</f>
        <v>462</v>
      </c>
      <c r="R139" s="59">
        <f>+E139+I139+M139+Q139</f>
        <v>4189</v>
      </c>
      <c r="T139" s="4" t="s">
        <v>121</v>
      </c>
    </row>
    <row r="140" spans="1:20" ht="15.75" customHeight="1" x14ac:dyDescent="0.3">
      <c r="A140" s="91" t="s">
        <v>122</v>
      </c>
      <c r="B140" s="1"/>
      <c r="C140" s="1">
        <v>150</v>
      </c>
      <c r="D140" s="1">
        <v>600</v>
      </c>
      <c r="E140" s="59">
        <f t="shared" si="20"/>
        <v>750</v>
      </c>
      <c r="F140" s="1">
        <v>1400</v>
      </c>
      <c r="G140" s="1">
        <v>1600</v>
      </c>
      <c r="H140" s="1">
        <v>1650</v>
      </c>
      <c r="I140" s="59">
        <f t="shared" si="21"/>
        <v>4650</v>
      </c>
      <c r="J140" s="1">
        <v>1600</v>
      </c>
      <c r="K140" s="1">
        <v>1500</v>
      </c>
      <c r="L140" s="1">
        <v>1400</v>
      </c>
      <c r="M140" s="59">
        <f t="shared" si="22"/>
        <v>4500</v>
      </c>
      <c r="N140" s="1">
        <v>1193</v>
      </c>
      <c r="O140" s="1"/>
      <c r="P140" s="1"/>
      <c r="Q140" s="59">
        <f t="shared" si="23"/>
        <v>1193</v>
      </c>
      <c r="R140" s="59">
        <f t="shared" ref="R140:R182" si="24">+E140+I140+M140+Q140</f>
        <v>11093</v>
      </c>
      <c r="T140" s="4" t="s">
        <v>121</v>
      </c>
    </row>
    <row r="141" spans="1:20" ht="15.75" customHeight="1" x14ac:dyDescent="0.3">
      <c r="A141" s="91" t="s">
        <v>123</v>
      </c>
      <c r="B141" s="1"/>
      <c r="C141" s="1"/>
      <c r="D141" s="1">
        <v>72</v>
      </c>
      <c r="E141" s="59">
        <f t="shared" si="20"/>
        <v>72</v>
      </c>
      <c r="F141" s="1">
        <v>245</v>
      </c>
      <c r="G141" s="1">
        <v>365</v>
      </c>
      <c r="H141" s="1">
        <v>350</v>
      </c>
      <c r="I141" s="59">
        <f t="shared" si="21"/>
        <v>960</v>
      </c>
      <c r="J141" s="1">
        <v>392</v>
      </c>
      <c r="K141" s="1">
        <v>265</v>
      </c>
      <c r="L141" s="1">
        <v>420</v>
      </c>
      <c r="M141" s="59">
        <f t="shared" si="22"/>
        <v>1077</v>
      </c>
      <c r="N141" s="1">
        <v>263</v>
      </c>
      <c r="O141" s="1"/>
      <c r="P141" s="1"/>
      <c r="Q141" s="59">
        <f t="shared" si="23"/>
        <v>263</v>
      </c>
      <c r="R141" s="59">
        <f t="shared" si="24"/>
        <v>2372</v>
      </c>
      <c r="T141" s="4" t="s">
        <v>121</v>
      </c>
    </row>
    <row r="142" spans="1:20" ht="15.75" customHeight="1" x14ac:dyDescent="0.3">
      <c r="A142" s="91" t="s">
        <v>124</v>
      </c>
      <c r="B142" s="1"/>
      <c r="C142" s="1"/>
      <c r="D142" s="1">
        <v>99</v>
      </c>
      <c r="E142" s="59">
        <f t="shared" si="20"/>
        <v>99</v>
      </c>
      <c r="F142" s="1">
        <v>334</v>
      </c>
      <c r="G142" s="1">
        <v>498</v>
      </c>
      <c r="H142" s="1">
        <v>476</v>
      </c>
      <c r="I142" s="59">
        <f t="shared" si="21"/>
        <v>1308</v>
      </c>
      <c r="J142" s="1">
        <v>534</v>
      </c>
      <c r="K142" s="1">
        <v>361</v>
      </c>
      <c r="L142" s="1">
        <v>573</v>
      </c>
      <c r="M142" s="59">
        <f t="shared" si="22"/>
        <v>1468</v>
      </c>
      <c r="N142" s="1">
        <v>356</v>
      </c>
      <c r="O142" s="1"/>
      <c r="P142" s="1"/>
      <c r="Q142" s="59">
        <f t="shared" si="23"/>
        <v>356</v>
      </c>
      <c r="R142" s="59">
        <f t="shared" si="24"/>
        <v>3231</v>
      </c>
      <c r="T142" s="4" t="s">
        <v>121</v>
      </c>
    </row>
    <row r="143" spans="1:20" ht="15.75" customHeight="1" x14ac:dyDescent="0.3">
      <c r="A143" s="74" t="s">
        <v>126</v>
      </c>
      <c r="B143" s="1">
        <v>45</v>
      </c>
      <c r="C143" s="1">
        <v>45</v>
      </c>
      <c r="D143" s="1">
        <v>45</v>
      </c>
      <c r="E143" s="59">
        <f t="shared" si="20"/>
        <v>135</v>
      </c>
      <c r="F143" s="1">
        <v>45</v>
      </c>
      <c r="G143" s="1">
        <v>40</v>
      </c>
      <c r="H143" s="1">
        <v>40</v>
      </c>
      <c r="I143" s="59">
        <f t="shared" si="21"/>
        <v>125</v>
      </c>
      <c r="J143" s="1">
        <v>40</v>
      </c>
      <c r="K143" s="1">
        <v>40</v>
      </c>
      <c r="L143" s="1">
        <v>40</v>
      </c>
      <c r="M143" s="59">
        <f t="shared" si="22"/>
        <v>120</v>
      </c>
      <c r="N143" s="1">
        <v>40</v>
      </c>
      <c r="O143" s="1">
        <v>40</v>
      </c>
      <c r="P143" s="1">
        <v>40</v>
      </c>
      <c r="Q143" s="59">
        <f t="shared" si="23"/>
        <v>120</v>
      </c>
      <c r="R143" s="59">
        <f t="shared" si="24"/>
        <v>500</v>
      </c>
      <c r="T143" s="4" t="s">
        <v>127</v>
      </c>
    </row>
    <row r="144" spans="1:20" ht="15.75" customHeight="1" x14ac:dyDescent="0.3">
      <c r="A144" s="91" t="s">
        <v>129</v>
      </c>
      <c r="B144" s="1"/>
      <c r="C144" s="1"/>
      <c r="D144" s="1">
        <v>500</v>
      </c>
      <c r="E144" s="59">
        <f t="shared" si="20"/>
        <v>500</v>
      </c>
      <c r="F144" s="1"/>
      <c r="G144" s="1"/>
      <c r="H144" s="1"/>
      <c r="I144" s="59">
        <f t="shared" si="21"/>
        <v>0</v>
      </c>
      <c r="J144" s="1"/>
      <c r="K144" s="1"/>
      <c r="L144" s="1"/>
      <c r="M144" s="59">
        <f t="shared" si="22"/>
        <v>0</v>
      </c>
      <c r="N144" s="1"/>
      <c r="O144" s="1"/>
      <c r="P144" s="1"/>
      <c r="Q144" s="59">
        <f t="shared" si="23"/>
        <v>0</v>
      </c>
      <c r="R144" s="59">
        <f t="shared" si="24"/>
        <v>500</v>
      </c>
      <c r="T144" s="4" t="s">
        <v>121</v>
      </c>
    </row>
    <row r="145" spans="1:20" ht="15.75" customHeight="1" x14ac:dyDescent="0.3">
      <c r="A145" s="91" t="s">
        <v>131</v>
      </c>
      <c r="B145" s="1"/>
      <c r="C145" s="1"/>
      <c r="D145" s="1"/>
      <c r="E145" s="59">
        <f t="shared" ref="E145:E157" si="25">SUM(B145:D145)</f>
        <v>0</v>
      </c>
      <c r="F145" s="1"/>
      <c r="G145" s="1"/>
      <c r="H145" s="1"/>
      <c r="I145" s="59">
        <f t="shared" ref="I145:I179" si="26">SUM(F145:H145)</f>
        <v>0</v>
      </c>
      <c r="J145" s="1"/>
      <c r="K145" s="1"/>
      <c r="L145" s="1"/>
      <c r="M145" s="59">
        <f t="shared" ref="M145:M179" si="27">SUM(J145:L145)</f>
        <v>0</v>
      </c>
      <c r="N145" s="1"/>
      <c r="O145" s="1"/>
      <c r="P145" s="1"/>
      <c r="Q145" s="59">
        <f t="shared" ref="Q145:Q185" si="28">SUM(N145:P145)</f>
        <v>0</v>
      </c>
      <c r="R145" s="59">
        <f t="shared" si="24"/>
        <v>0</v>
      </c>
      <c r="T145" s="4" t="s">
        <v>132</v>
      </c>
    </row>
    <row r="146" spans="1:20" ht="15.75" customHeight="1" x14ac:dyDescent="0.3">
      <c r="A146" s="91" t="s">
        <v>133</v>
      </c>
      <c r="B146" s="1">
        <v>800</v>
      </c>
      <c r="C146" s="1">
        <v>800</v>
      </c>
      <c r="D146" s="1"/>
      <c r="E146" s="59">
        <f t="shared" si="25"/>
        <v>1600</v>
      </c>
      <c r="F146" s="1">
        <v>550</v>
      </c>
      <c r="G146" s="1"/>
      <c r="H146" s="1"/>
      <c r="I146" s="59">
        <f t="shared" si="26"/>
        <v>550</v>
      </c>
      <c r="J146" s="1"/>
      <c r="K146" s="1"/>
      <c r="L146" s="1"/>
      <c r="M146" s="59">
        <f t="shared" si="27"/>
        <v>0</v>
      </c>
      <c r="N146" s="1"/>
      <c r="O146" s="1"/>
      <c r="P146" s="1"/>
      <c r="Q146" s="59">
        <f t="shared" si="28"/>
        <v>0</v>
      </c>
      <c r="R146" s="59">
        <f t="shared" si="24"/>
        <v>2150</v>
      </c>
      <c r="T146" s="4" t="s">
        <v>134</v>
      </c>
    </row>
    <row r="147" spans="1:20" ht="15.75" customHeight="1" x14ac:dyDescent="0.3">
      <c r="A147" s="74" t="s">
        <v>135</v>
      </c>
      <c r="B147" s="1"/>
      <c r="C147" s="1"/>
      <c r="D147" s="1"/>
      <c r="E147" s="59">
        <f t="shared" si="25"/>
        <v>0</v>
      </c>
      <c r="F147" s="1"/>
      <c r="G147" s="1"/>
      <c r="H147" s="1">
        <v>3266</v>
      </c>
      <c r="I147" s="59">
        <f t="shared" si="26"/>
        <v>3266</v>
      </c>
      <c r="J147" s="1"/>
      <c r="K147" s="1"/>
      <c r="L147" s="1"/>
      <c r="M147" s="59">
        <f t="shared" si="27"/>
        <v>0</v>
      </c>
      <c r="N147" s="1"/>
      <c r="O147" s="1"/>
      <c r="P147" s="1"/>
      <c r="Q147" s="59">
        <f t="shared" si="28"/>
        <v>0</v>
      </c>
      <c r="R147" s="59">
        <f t="shared" si="24"/>
        <v>3266</v>
      </c>
      <c r="S147" s="4" t="s">
        <v>136</v>
      </c>
      <c r="T147" s="4" t="s">
        <v>137</v>
      </c>
    </row>
    <row r="148" spans="1:20" ht="15.75" customHeight="1" x14ac:dyDescent="0.3">
      <c r="A148" s="91" t="s">
        <v>904</v>
      </c>
      <c r="B148" s="1">
        <v>1000</v>
      </c>
      <c r="C148" s="1">
        <v>1000</v>
      </c>
      <c r="D148" s="1">
        <v>705</v>
      </c>
      <c r="E148" s="59">
        <f t="shared" si="25"/>
        <v>2705</v>
      </c>
      <c r="F148" s="1"/>
      <c r="G148" s="1"/>
      <c r="H148" s="1"/>
      <c r="I148" s="59">
        <f t="shared" si="26"/>
        <v>0</v>
      </c>
      <c r="J148" s="1"/>
      <c r="K148" s="1"/>
      <c r="L148" s="1"/>
      <c r="M148" s="59">
        <f t="shared" si="27"/>
        <v>0</v>
      </c>
      <c r="N148" s="1"/>
      <c r="O148" s="1"/>
      <c r="P148" s="1"/>
      <c r="Q148" s="59">
        <f t="shared" si="28"/>
        <v>0</v>
      </c>
      <c r="R148" s="59">
        <f t="shared" si="24"/>
        <v>2705</v>
      </c>
      <c r="T148" s="4" t="s">
        <v>132</v>
      </c>
    </row>
    <row r="149" spans="1:20" ht="15.75" customHeight="1" x14ac:dyDescent="0.3">
      <c r="A149" s="91" t="s">
        <v>905</v>
      </c>
      <c r="B149" s="1"/>
      <c r="C149" s="1"/>
      <c r="D149" s="1"/>
      <c r="E149" s="59">
        <f t="shared" si="25"/>
        <v>0</v>
      </c>
      <c r="F149" s="1"/>
      <c r="G149" s="1"/>
      <c r="H149" s="1"/>
      <c r="I149" s="59">
        <f t="shared" si="26"/>
        <v>0</v>
      </c>
      <c r="J149" s="1"/>
      <c r="K149" s="1"/>
      <c r="L149" s="1">
        <v>157</v>
      </c>
      <c r="M149" s="59">
        <f t="shared" si="27"/>
        <v>157</v>
      </c>
      <c r="N149" s="1"/>
      <c r="O149" s="1"/>
      <c r="P149" s="1"/>
      <c r="Q149" s="59">
        <f t="shared" si="28"/>
        <v>0</v>
      </c>
      <c r="R149" s="59">
        <f t="shared" si="24"/>
        <v>157</v>
      </c>
      <c r="T149" s="4" t="s">
        <v>134</v>
      </c>
    </row>
    <row r="150" spans="1:20" ht="15.75" customHeight="1" x14ac:dyDescent="0.3">
      <c r="A150" s="91" t="s">
        <v>906</v>
      </c>
      <c r="B150" s="1"/>
      <c r="C150" s="1"/>
      <c r="D150" s="1"/>
      <c r="E150" s="59">
        <f t="shared" si="25"/>
        <v>0</v>
      </c>
      <c r="F150" s="1">
        <v>1000</v>
      </c>
      <c r="G150" s="1">
        <v>1000</v>
      </c>
      <c r="H150" s="1">
        <v>1000</v>
      </c>
      <c r="I150" s="59">
        <f t="shared" si="26"/>
        <v>3000</v>
      </c>
      <c r="J150" s="1"/>
      <c r="K150" s="1"/>
      <c r="L150" s="1"/>
      <c r="M150" s="59">
        <f t="shared" si="27"/>
        <v>0</v>
      </c>
      <c r="N150" s="1"/>
      <c r="O150" s="1"/>
      <c r="P150" s="1"/>
      <c r="Q150" s="59">
        <f t="shared" si="28"/>
        <v>0</v>
      </c>
      <c r="R150" s="59">
        <f t="shared" si="24"/>
        <v>3000</v>
      </c>
      <c r="T150" s="4" t="s">
        <v>121</v>
      </c>
    </row>
    <row r="151" spans="1:20" ht="15.75" customHeight="1" x14ac:dyDescent="0.3">
      <c r="A151" s="74" t="s">
        <v>142</v>
      </c>
      <c r="B151" s="1">
        <v>47</v>
      </c>
      <c r="C151" s="1">
        <v>47</v>
      </c>
      <c r="D151" s="1">
        <v>56</v>
      </c>
      <c r="E151" s="59">
        <f t="shared" si="25"/>
        <v>150</v>
      </c>
      <c r="F151" s="1">
        <v>56</v>
      </c>
      <c r="G151" s="1">
        <v>56</v>
      </c>
      <c r="H151" s="1">
        <v>59</v>
      </c>
      <c r="I151" s="59">
        <f t="shared" si="26"/>
        <v>171</v>
      </c>
      <c r="J151" s="1">
        <v>59</v>
      </c>
      <c r="K151" s="1">
        <v>56</v>
      </c>
      <c r="L151" s="1">
        <v>56</v>
      </c>
      <c r="M151" s="59">
        <f t="shared" si="27"/>
        <v>171</v>
      </c>
      <c r="N151" s="1">
        <v>56</v>
      </c>
      <c r="O151" s="1">
        <v>47</v>
      </c>
      <c r="P151" s="1">
        <v>47</v>
      </c>
      <c r="Q151" s="59">
        <f t="shared" si="28"/>
        <v>150</v>
      </c>
      <c r="R151" s="59">
        <f t="shared" si="24"/>
        <v>642</v>
      </c>
      <c r="T151" s="4" t="s">
        <v>143</v>
      </c>
    </row>
    <row r="152" spans="1:20" ht="15.75" customHeight="1" x14ac:dyDescent="0.3">
      <c r="A152" s="74" t="s">
        <v>144</v>
      </c>
      <c r="B152" s="1">
        <v>128</v>
      </c>
      <c r="C152" s="1">
        <v>151</v>
      </c>
      <c r="D152" s="1">
        <v>157</v>
      </c>
      <c r="E152" s="59">
        <f t="shared" si="25"/>
        <v>436</v>
      </c>
      <c r="F152" s="1">
        <v>161</v>
      </c>
      <c r="G152" s="1">
        <v>180</v>
      </c>
      <c r="H152" s="1">
        <v>211</v>
      </c>
      <c r="I152" s="59">
        <f t="shared" si="26"/>
        <v>552</v>
      </c>
      <c r="J152" s="1">
        <v>228</v>
      </c>
      <c r="K152" s="1">
        <v>184</v>
      </c>
      <c r="L152" s="1">
        <v>205</v>
      </c>
      <c r="M152" s="59">
        <f t="shared" si="27"/>
        <v>617</v>
      </c>
      <c r="N152" s="1">
        <v>176</v>
      </c>
      <c r="O152" s="1">
        <v>174</v>
      </c>
      <c r="P152" s="1">
        <v>150</v>
      </c>
      <c r="Q152" s="59">
        <f t="shared" si="28"/>
        <v>500</v>
      </c>
      <c r="R152" s="59">
        <f t="shared" si="24"/>
        <v>2105</v>
      </c>
      <c r="T152" s="4" t="s">
        <v>145</v>
      </c>
    </row>
    <row r="153" spans="1:20" ht="15.75" customHeight="1" x14ac:dyDescent="0.3">
      <c r="A153" s="74" t="s">
        <v>147</v>
      </c>
      <c r="B153" s="1"/>
      <c r="C153" s="1">
        <v>628</v>
      </c>
      <c r="D153" s="1">
        <v>534</v>
      </c>
      <c r="E153" s="59">
        <f t="shared" si="25"/>
        <v>1162</v>
      </c>
      <c r="F153" s="1"/>
      <c r="G153" s="1"/>
      <c r="H153" s="1"/>
      <c r="I153" s="59">
        <f t="shared" si="26"/>
        <v>0</v>
      </c>
      <c r="J153" s="1">
        <v>216</v>
      </c>
      <c r="K153" s="1">
        <v>1100</v>
      </c>
      <c r="L153" s="1">
        <v>1200</v>
      </c>
      <c r="M153" s="59">
        <f t="shared" si="27"/>
        <v>2516</v>
      </c>
      <c r="N153" s="1">
        <v>1300</v>
      </c>
      <c r="O153" s="1">
        <v>500</v>
      </c>
      <c r="P153" s="1"/>
      <c r="Q153" s="59">
        <f t="shared" si="28"/>
        <v>1800</v>
      </c>
      <c r="R153" s="59">
        <f t="shared" si="24"/>
        <v>5478</v>
      </c>
      <c r="S153" s="4" t="s">
        <v>136</v>
      </c>
    </row>
    <row r="154" spans="1:20" ht="15.75" customHeight="1" x14ac:dyDescent="0.3">
      <c r="A154" s="91" t="s">
        <v>877</v>
      </c>
      <c r="B154" s="1"/>
      <c r="C154" s="1"/>
      <c r="D154" s="1">
        <v>28</v>
      </c>
      <c r="E154" s="59">
        <f t="shared" si="25"/>
        <v>28</v>
      </c>
      <c r="F154" s="1">
        <v>93</v>
      </c>
      <c r="G154" s="1">
        <v>139</v>
      </c>
      <c r="H154" s="1">
        <v>133</v>
      </c>
      <c r="I154" s="59">
        <f t="shared" si="26"/>
        <v>365</v>
      </c>
      <c r="J154" s="1">
        <v>149</v>
      </c>
      <c r="K154" s="1">
        <v>101</v>
      </c>
      <c r="L154" s="1">
        <v>160</v>
      </c>
      <c r="M154" s="59">
        <f t="shared" si="27"/>
        <v>410</v>
      </c>
      <c r="N154" s="1">
        <v>97</v>
      </c>
      <c r="O154" s="1"/>
      <c r="P154" s="1"/>
      <c r="Q154" s="59">
        <f t="shared" si="28"/>
        <v>97</v>
      </c>
      <c r="R154" s="59">
        <f t="shared" si="24"/>
        <v>900</v>
      </c>
      <c r="T154" s="4" t="s">
        <v>121</v>
      </c>
    </row>
    <row r="155" spans="1:20" ht="15.75" customHeight="1" x14ac:dyDescent="0.3">
      <c r="A155" s="74" t="s">
        <v>878</v>
      </c>
      <c r="B155" s="1">
        <v>391</v>
      </c>
      <c r="C155" s="1">
        <v>360</v>
      </c>
      <c r="D155" s="1">
        <v>455</v>
      </c>
      <c r="E155" s="59">
        <f t="shared" si="25"/>
        <v>1206</v>
      </c>
      <c r="F155" s="1">
        <v>475</v>
      </c>
      <c r="G155" s="1">
        <v>533</v>
      </c>
      <c r="H155" s="1">
        <v>579</v>
      </c>
      <c r="I155" s="59">
        <f t="shared" si="26"/>
        <v>1587</v>
      </c>
      <c r="J155" s="1">
        <v>607</v>
      </c>
      <c r="K155" s="1">
        <v>607</v>
      </c>
      <c r="L155" s="1">
        <v>551</v>
      </c>
      <c r="M155" s="59">
        <f t="shared" si="27"/>
        <v>1765</v>
      </c>
      <c r="N155" s="1">
        <v>576</v>
      </c>
      <c r="O155" s="1">
        <v>515</v>
      </c>
      <c r="P155" s="1">
        <v>402</v>
      </c>
      <c r="Q155" s="59">
        <f t="shared" si="28"/>
        <v>1493</v>
      </c>
      <c r="R155" s="59">
        <f t="shared" si="24"/>
        <v>6051</v>
      </c>
      <c r="T155" s="4" t="s">
        <v>150</v>
      </c>
    </row>
    <row r="156" spans="1:20" ht="15.75" customHeight="1" x14ac:dyDescent="0.3">
      <c r="A156" s="91" t="s">
        <v>152</v>
      </c>
      <c r="B156" s="1"/>
      <c r="C156" s="1"/>
      <c r="D156" s="1"/>
      <c r="E156" s="59">
        <f t="shared" si="25"/>
        <v>0</v>
      </c>
      <c r="F156" s="1"/>
      <c r="G156" s="1"/>
      <c r="H156" s="1"/>
      <c r="I156" s="59">
        <f t="shared" si="26"/>
        <v>0</v>
      </c>
      <c r="J156" s="1">
        <v>508</v>
      </c>
      <c r="K156" s="1"/>
      <c r="L156" s="1"/>
      <c r="M156" s="59">
        <f t="shared" si="27"/>
        <v>508</v>
      </c>
      <c r="N156" s="1"/>
      <c r="O156" s="1"/>
      <c r="P156" s="1"/>
      <c r="Q156" s="59">
        <f t="shared" si="28"/>
        <v>0</v>
      </c>
      <c r="R156" s="59">
        <f t="shared" si="24"/>
        <v>508</v>
      </c>
      <c r="T156" s="4" t="s">
        <v>134</v>
      </c>
    </row>
    <row r="157" spans="1:20" ht="15.75" customHeight="1" x14ac:dyDescent="0.3">
      <c r="A157" s="76" t="s">
        <v>858</v>
      </c>
      <c r="B157" s="1"/>
      <c r="C157" s="1"/>
      <c r="D157" s="1"/>
      <c r="E157" s="59">
        <f t="shared" si="25"/>
        <v>0</v>
      </c>
      <c r="F157" s="1"/>
      <c r="G157" s="1"/>
      <c r="H157" s="1"/>
      <c r="I157" s="59">
        <f t="shared" si="26"/>
        <v>0</v>
      </c>
      <c r="J157" s="1">
        <v>2906</v>
      </c>
      <c r="K157" s="1"/>
      <c r="L157" s="1"/>
      <c r="M157" s="59">
        <f t="shared" si="27"/>
        <v>2906</v>
      </c>
      <c r="N157" s="1"/>
      <c r="O157" s="1"/>
      <c r="P157" s="1"/>
      <c r="Q157" s="59">
        <f t="shared" si="28"/>
        <v>0</v>
      </c>
      <c r="R157" s="59">
        <f t="shared" si="24"/>
        <v>2906</v>
      </c>
    </row>
    <row r="158" spans="1:20" ht="15.75" customHeight="1" x14ac:dyDescent="0.3">
      <c r="A158" s="74" t="s">
        <v>155</v>
      </c>
      <c r="B158" s="1"/>
      <c r="C158" s="1"/>
      <c r="D158" s="1"/>
      <c r="E158" s="59">
        <f t="shared" ref="E158:E178" si="29">SUM(B158:D158)</f>
        <v>0</v>
      </c>
      <c r="F158" s="1"/>
      <c r="G158" s="1"/>
      <c r="H158" s="1"/>
      <c r="I158" s="59">
        <f t="shared" si="26"/>
        <v>0</v>
      </c>
      <c r="J158" s="1"/>
      <c r="K158" s="1">
        <v>1200</v>
      </c>
      <c r="L158" s="1">
        <v>800</v>
      </c>
      <c r="M158" s="59">
        <f t="shared" si="27"/>
        <v>2000</v>
      </c>
      <c r="N158" s="1">
        <v>700</v>
      </c>
      <c r="O158" s="1">
        <v>300</v>
      </c>
      <c r="P158" s="1"/>
      <c r="Q158" s="59">
        <f t="shared" si="28"/>
        <v>1000</v>
      </c>
      <c r="R158" s="59">
        <f t="shared" si="24"/>
        <v>3000</v>
      </c>
      <c r="S158" s="4" t="s">
        <v>136</v>
      </c>
      <c r="T158" s="4" t="s">
        <v>137</v>
      </c>
    </row>
    <row r="159" spans="1:20" s="98" customFormat="1" ht="15.75" customHeight="1" x14ac:dyDescent="0.3">
      <c r="A159" s="96" t="s">
        <v>156</v>
      </c>
      <c r="B159" s="1"/>
      <c r="C159" s="1"/>
      <c r="D159" s="1"/>
      <c r="E159" s="97">
        <f t="shared" si="29"/>
        <v>0</v>
      </c>
      <c r="F159" s="1"/>
      <c r="G159" s="1"/>
      <c r="H159" s="1"/>
      <c r="I159" s="97">
        <f t="shared" si="26"/>
        <v>0</v>
      </c>
      <c r="J159" s="1"/>
      <c r="K159" s="1"/>
      <c r="L159" s="1"/>
      <c r="M159" s="97">
        <f t="shared" si="27"/>
        <v>0</v>
      </c>
      <c r="N159" s="1"/>
      <c r="O159" s="1"/>
      <c r="P159" s="1"/>
      <c r="Q159" s="97">
        <f t="shared" si="28"/>
        <v>0</v>
      </c>
      <c r="R159" s="97">
        <f t="shared" si="24"/>
        <v>0</v>
      </c>
    </row>
    <row r="160" spans="1:20" ht="15.75" customHeight="1" x14ac:dyDescent="0.3">
      <c r="A160" s="74" t="s">
        <v>157</v>
      </c>
      <c r="B160" s="1"/>
      <c r="C160" s="1"/>
      <c r="D160" s="1">
        <v>1139</v>
      </c>
      <c r="E160" s="59">
        <f t="shared" si="29"/>
        <v>1139</v>
      </c>
      <c r="F160" s="1">
        <v>1430</v>
      </c>
      <c r="G160" s="1">
        <v>1325</v>
      </c>
      <c r="H160" s="1">
        <v>1535</v>
      </c>
      <c r="I160" s="59">
        <f t="shared" si="26"/>
        <v>4290</v>
      </c>
      <c r="J160" s="1">
        <v>1798</v>
      </c>
      <c r="K160" s="1">
        <v>1535</v>
      </c>
      <c r="L160" s="1">
        <v>1683</v>
      </c>
      <c r="M160" s="59">
        <f t="shared" si="27"/>
        <v>5016</v>
      </c>
      <c r="N160" s="1">
        <v>970</v>
      </c>
      <c r="O160" s="1">
        <v>1075</v>
      </c>
      <c r="P160" s="1">
        <v>970</v>
      </c>
      <c r="Q160" s="59">
        <f t="shared" si="28"/>
        <v>3015</v>
      </c>
      <c r="R160" s="59">
        <f>+E160+I160+M160+Q160</f>
        <v>13460</v>
      </c>
      <c r="T160" s="4" t="s">
        <v>158</v>
      </c>
    </row>
    <row r="161" spans="1:20" ht="15.75" customHeight="1" x14ac:dyDescent="0.3">
      <c r="A161" s="91" t="s">
        <v>159</v>
      </c>
      <c r="B161" s="1"/>
      <c r="C161" s="1"/>
      <c r="D161" s="1"/>
      <c r="E161" s="59">
        <f t="shared" si="29"/>
        <v>0</v>
      </c>
      <c r="F161" s="1"/>
      <c r="G161" s="1">
        <v>300</v>
      </c>
      <c r="H161" s="1">
        <v>500</v>
      </c>
      <c r="I161" s="59">
        <f t="shared" si="26"/>
        <v>800</v>
      </c>
      <c r="J161" s="1">
        <v>500</v>
      </c>
      <c r="K161" s="1">
        <v>500</v>
      </c>
      <c r="L161" s="1"/>
      <c r="M161" s="59">
        <f t="shared" si="27"/>
        <v>1000</v>
      </c>
      <c r="N161" s="1"/>
      <c r="O161" s="1"/>
      <c r="P161" s="1"/>
      <c r="Q161" s="59">
        <f t="shared" si="28"/>
        <v>0</v>
      </c>
      <c r="R161" s="59">
        <f t="shared" ref="R161:R166" si="30">+E161+I161+M161+Q161</f>
        <v>1800</v>
      </c>
      <c r="T161" s="4" t="s">
        <v>121</v>
      </c>
    </row>
    <row r="162" spans="1:20" ht="15.75" customHeight="1" x14ac:dyDescent="0.3">
      <c r="A162" s="91" t="s">
        <v>160</v>
      </c>
      <c r="B162" s="1"/>
      <c r="C162" s="1"/>
      <c r="D162" s="1"/>
      <c r="E162" s="59">
        <f t="shared" si="29"/>
        <v>0</v>
      </c>
      <c r="F162" s="1">
        <v>500</v>
      </c>
      <c r="G162" s="1"/>
      <c r="H162" s="1"/>
      <c r="I162" s="59">
        <f t="shared" si="26"/>
        <v>500</v>
      </c>
      <c r="J162" s="1"/>
      <c r="K162" s="1">
        <v>270</v>
      </c>
      <c r="L162" s="1"/>
      <c r="M162" s="59">
        <f t="shared" si="27"/>
        <v>270</v>
      </c>
      <c r="N162" s="1"/>
      <c r="O162" s="1"/>
      <c r="P162" s="1"/>
      <c r="Q162" s="59">
        <f t="shared" si="28"/>
        <v>0</v>
      </c>
      <c r="R162" s="59">
        <f t="shared" si="30"/>
        <v>770</v>
      </c>
      <c r="T162" s="4" t="s">
        <v>134</v>
      </c>
    </row>
    <row r="163" spans="1:20" ht="15.75" customHeight="1" x14ac:dyDescent="0.3">
      <c r="A163" s="74" t="s">
        <v>161</v>
      </c>
      <c r="B163" s="1"/>
      <c r="C163" s="1"/>
      <c r="D163" s="1"/>
      <c r="E163" s="59">
        <f t="shared" si="29"/>
        <v>0</v>
      </c>
      <c r="F163" s="1"/>
      <c r="G163" s="1"/>
      <c r="H163" s="1"/>
      <c r="I163" s="59">
        <f t="shared" si="26"/>
        <v>0</v>
      </c>
      <c r="J163" s="1">
        <v>1206</v>
      </c>
      <c r="K163" s="1"/>
      <c r="L163" s="1"/>
      <c r="M163" s="59">
        <f t="shared" si="27"/>
        <v>1206</v>
      </c>
      <c r="N163" s="1"/>
      <c r="O163" s="1"/>
      <c r="P163" s="1"/>
      <c r="Q163" s="59">
        <f t="shared" si="28"/>
        <v>0</v>
      </c>
      <c r="R163" s="59">
        <f t="shared" si="30"/>
        <v>1206</v>
      </c>
      <c r="S163" s="94" t="s">
        <v>136</v>
      </c>
      <c r="T163" s="4" t="s">
        <v>162</v>
      </c>
    </row>
    <row r="164" spans="1:20" ht="15.75" customHeight="1" x14ac:dyDescent="0.3">
      <c r="A164" s="91" t="s">
        <v>164</v>
      </c>
      <c r="B164" s="1"/>
      <c r="C164" s="1"/>
      <c r="D164" s="1"/>
      <c r="E164" s="59">
        <f t="shared" si="29"/>
        <v>0</v>
      </c>
      <c r="F164" s="1"/>
      <c r="G164" s="1"/>
      <c r="H164" s="1"/>
      <c r="I164" s="59">
        <f t="shared" si="26"/>
        <v>0</v>
      </c>
      <c r="J164" s="1"/>
      <c r="K164" s="1"/>
      <c r="L164" s="1"/>
      <c r="M164" s="59">
        <f t="shared" si="27"/>
        <v>0</v>
      </c>
      <c r="N164" s="1"/>
      <c r="O164" s="1"/>
      <c r="P164" s="1"/>
      <c r="Q164" s="59">
        <f t="shared" si="28"/>
        <v>0</v>
      </c>
      <c r="R164" s="59">
        <f t="shared" si="30"/>
        <v>0</v>
      </c>
      <c r="T164" s="4" t="s">
        <v>132</v>
      </c>
    </row>
    <row r="165" spans="1:20" ht="15.75" customHeight="1" x14ac:dyDescent="0.3">
      <c r="A165" s="91" t="s">
        <v>165</v>
      </c>
      <c r="B165" s="1"/>
      <c r="C165" s="1"/>
      <c r="D165" s="1"/>
      <c r="E165" s="59">
        <f t="shared" si="29"/>
        <v>0</v>
      </c>
      <c r="F165" s="1"/>
      <c r="G165" s="1"/>
      <c r="H165" s="1">
        <v>1744</v>
      </c>
      <c r="I165" s="59">
        <f t="shared" si="26"/>
        <v>1744</v>
      </c>
      <c r="J165" s="1"/>
      <c r="K165" s="1"/>
      <c r="L165" s="1"/>
      <c r="M165" s="59">
        <f t="shared" si="27"/>
        <v>0</v>
      </c>
      <c r="N165" s="1"/>
      <c r="O165" s="1"/>
      <c r="P165" s="1"/>
      <c r="Q165" s="59">
        <f t="shared" si="28"/>
        <v>0</v>
      </c>
      <c r="R165" s="59">
        <f t="shared" si="30"/>
        <v>1744</v>
      </c>
      <c r="T165" s="4" t="s">
        <v>134</v>
      </c>
    </row>
    <row r="166" spans="1:20" ht="15.75" customHeight="1" x14ac:dyDescent="0.3">
      <c r="A166" s="74" t="s">
        <v>166</v>
      </c>
      <c r="B166" s="1">
        <v>30</v>
      </c>
      <c r="C166" s="1">
        <v>30</v>
      </c>
      <c r="D166" s="1">
        <v>30</v>
      </c>
      <c r="E166" s="59">
        <f t="shared" si="29"/>
        <v>90</v>
      </c>
      <c r="F166" s="1">
        <v>50</v>
      </c>
      <c r="G166" s="1">
        <v>50</v>
      </c>
      <c r="H166" s="1">
        <v>60</v>
      </c>
      <c r="I166" s="59">
        <f t="shared" si="26"/>
        <v>160</v>
      </c>
      <c r="J166" s="1">
        <v>60</v>
      </c>
      <c r="K166" s="1">
        <v>60</v>
      </c>
      <c r="L166" s="1">
        <v>60</v>
      </c>
      <c r="M166" s="59">
        <f t="shared" si="27"/>
        <v>180</v>
      </c>
      <c r="N166" s="1">
        <v>75</v>
      </c>
      <c r="O166" s="1">
        <v>75</v>
      </c>
      <c r="P166" s="1">
        <v>85</v>
      </c>
      <c r="Q166" s="59">
        <f t="shared" si="28"/>
        <v>235</v>
      </c>
      <c r="R166" s="59">
        <f t="shared" si="30"/>
        <v>665</v>
      </c>
      <c r="T166" s="4" t="s">
        <v>127</v>
      </c>
    </row>
    <row r="167" spans="1:20" ht="15.75" customHeight="1" x14ac:dyDescent="0.3">
      <c r="A167" s="91" t="s">
        <v>167</v>
      </c>
      <c r="B167" s="1"/>
      <c r="C167" s="1"/>
      <c r="D167" s="1">
        <v>200</v>
      </c>
      <c r="E167" s="59">
        <f t="shared" si="29"/>
        <v>200</v>
      </c>
      <c r="F167" s="1">
        <v>200</v>
      </c>
      <c r="G167" s="1">
        <v>546</v>
      </c>
      <c r="H167" s="1">
        <v>700</v>
      </c>
      <c r="I167" s="59">
        <f t="shared" si="26"/>
        <v>1446</v>
      </c>
      <c r="J167" s="1">
        <v>700</v>
      </c>
      <c r="K167" s="1">
        <v>400</v>
      </c>
      <c r="L167" s="1">
        <v>300</v>
      </c>
      <c r="M167" s="59">
        <f t="shared" si="27"/>
        <v>1400</v>
      </c>
      <c r="N167" s="1">
        <v>254</v>
      </c>
      <c r="O167" s="1">
        <v>200</v>
      </c>
      <c r="P167" s="1"/>
      <c r="Q167" s="59">
        <f t="shared" si="28"/>
        <v>454</v>
      </c>
      <c r="R167" s="59">
        <f t="shared" si="24"/>
        <v>3500</v>
      </c>
      <c r="T167" s="4" t="s">
        <v>132</v>
      </c>
    </row>
    <row r="168" spans="1:20" ht="15.75" customHeight="1" x14ac:dyDescent="0.3">
      <c r="A168" s="91" t="s">
        <v>168</v>
      </c>
      <c r="B168" s="1"/>
      <c r="C168" s="1"/>
      <c r="D168" s="1">
        <v>200</v>
      </c>
      <c r="E168" s="59">
        <f t="shared" si="29"/>
        <v>200</v>
      </c>
      <c r="F168" s="1">
        <v>200</v>
      </c>
      <c r="G168" s="1">
        <v>200</v>
      </c>
      <c r="H168" s="1">
        <v>300</v>
      </c>
      <c r="I168" s="59">
        <f t="shared" si="26"/>
        <v>700</v>
      </c>
      <c r="J168" s="1">
        <v>77</v>
      </c>
      <c r="K168" s="1"/>
      <c r="L168" s="1"/>
      <c r="M168" s="59">
        <f t="shared" si="27"/>
        <v>77</v>
      </c>
      <c r="N168" s="1"/>
      <c r="O168" s="1"/>
      <c r="P168" s="1"/>
      <c r="Q168" s="59">
        <f t="shared" si="28"/>
        <v>0</v>
      </c>
      <c r="R168" s="59">
        <f t="shared" si="24"/>
        <v>977</v>
      </c>
      <c r="T168" s="4" t="s">
        <v>134</v>
      </c>
    </row>
    <row r="169" spans="1:20" ht="15.75" customHeight="1" x14ac:dyDescent="0.3">
      <c r="A169" s="91" t="s">
        <v>169</v>
      </c>
      <c r="B169" s="1"/>
      <c r="C169" s="1"/>
      <c r="D169" s="1"/>
      <c r="E169" s="59">
        <f t="shared" si="29"/>
        <v>0</v>
      </c>
      <c r="F169" s="1"/>
      <c r="G169" s="1"/>
      <c r="H169" s="1">
        <v>86</v>
      </c>
      <c r="I169" s="59">
        <f>SUM(F169:H169)</f>
        <v>86</v>
      </c>
      <c r="J169" s="1">
        <v>87</v>
      </c>
      <c r="K169" s="1">
        <v>56</v>
      </c>
      <c r="L169" s="1">
        <v>53</v>
      </c>
      <c r="M169" s="59">
        <f t="shared" si="27"/>
        <v>196</v>
      </c>
      <c r="N169" s="1">
        <v>87</v>
      </c>
      <c r="O169" s="1">
        <v>31</v>
      </c>
      <c r="P169" s="1">
        <v>14</v>
      </c>
      <c r="Q169" s="59">
        <f t="shared" si="28"/>
        <v>132</v>
      </c>
      <c r="R169" s="59">
        <f t="shared" si="24"/>
        <v>414</v>
      </c>
      <c r="T169" s="4" t="s">
        <v>170</v>
      </c>
    </row>
    <row r="170" spans="1:20" ht="15.75" customHeight="1" x14ac:dyDescent="0.3">
      <c r="A170" s="91" t="s">
        <v>171</v>
      </c>
      <c r="B170" s="1"/>
      <c r="C170" s="1"/>
      <c r="D170" s="1"/>
      <c r="E170" s="59">
        <f t="shared" si="29"/>
        <v>0</v>
      </c>
      <c r="F170" s="1"/>
      <c r="G170" s="1"/>
      <c r="H170" s="1">
        <v>80</v>
      </c>
      <c r="I170" s="59">
        <f t="shared" si="26"/>
        <v>80</v>
      </c>
      <c r="J170" s="1">
        <v>97</v>
      </c>
      <c r="K170" s="1">
        <v>50</v>
      </c>
      <c r="L170" s="1">
        <v>50</v>
      </c>
      <c r="M170" s="59">
        <f t="shared" si="27"/>
        <v>197</v>
      </c>
      <c r="N170" s="1">
        <v>70</v>
      </c>
      <c r="O170" s="1">
        <v>23</v>
      </c>
      <c r="P170" s="1">
        <v>13</v>
      </c>
      <c r="Q170" s="59">
        <f t="shared" si="28"/>
        <v>106</v>
      </c>
      <c r="R170" s="59">
        <f t="shared" si="24"/>
        <v>383</v>
      </c>
      <c r="T170" s="4" t="s">
        <v>127</v>
      </c>
    </row>
    <row r="171" spans="1:20" ht="15.75" customHeight="1" x14ac:dyDescent="0.3">
      <c r="A171" s="91" t="s">
        <v>172</v>
      </c>
      <c r="B171" s="1"/>
      <c r="C171" s="1"/>
      <c r="D171" s="1"/>
      <c r="E171" s="59">
        <f t="shared" si="29"/>
        <v>0</v>
      </c>
      <c r="F171" s="1"/>
      <c r="G171" s="1"/>
      <c r="H171" s="1">
        <v>20</v>
      </c>
      <c r="I171" s="59">
        <f t="shared" si="26"/>
        <v>20</v>
      </c>
      <c r="J171" s="1">
        <v>15</v>
      </c>
      <c r="K171" s="1">
        <v>15</v>
      </c>
      <c r="L171" s="1">
        <v>10</v>
      </c>
      <c r="M171" s="59">
        <f t="shared" si="27"/>
        <v>40</v>
      </c>
      <c r="N171" s="1">
        <v>10</v>
      </c>
      <c r="O171" s="1">
        <v>10</v>
      </c>
      <c r="P171" s="1"/>
      <c r="Q171" s="59">
        <f t="shared" si="28"/>
        <v>20</v>
      </c>
      <c r="R171" s="59">
        <f t="shared" si="24"/>
        <v>80</v>
      </c>
      <c r="T171" s="4" t="s">
        <v>121</v>
      </c>
    </row>
    <row r="172" spans="1:20" ht="15.75" customHeight="1" x14ac:dyDescent="0.3">
      <c r="A172" s="74" t="s">
        <v>173</v>
      </c>
      <c r="B172" s="1"/>
      <c r="C172" s="1"/>
      <c r="D172" s="1"/>
      <c r="E172" s="59">
        <f t="shared" si="29"/>
        <v>0</v>
      </c>
      <c r="F172" s="1"/>
      <c r="G172" s="1"/>
      <c r="H172" s="1">
        <v>191</v>
      </c>
      <c r="I172" s="59">
        <f t="shared" si="26"/>
        <v>191</v>
      </c>
      <c r="J172" s="1">
        <v>1040</v>
      </c>
      <c r="K172" s="1">
        <v>1040</v>
      </c>
      <c r="L172" s="1">
        <v>1040</v>
      </c>
      <c r="M172" s="59">
        <f t="shared" si="27"/>
        <v>3120</v>
      </c>
      <c r="N172" s="1">
        <v>1009</v>
      </c>
      <c r="O172" s="1">
        <v>1000</v>
      </c>
      <c r="P172" s="1">
        <v>803</v>
      </c>
      <c r="Q172" s="59">
        <f t="shared" si="28"/>
        <v>2812</v>
      </c>
      <c r="R172" s="59">
        <f t="shared" si="24"/>
        <v>6123</v>
      </c>
      <c r="T172" s="4" t="s">
        <v>158</v>
      </c>
    </row>
    <row r="173" spans="1:20" ht="15.75" customHeight="1" x14ac:dyDescent="0.3">
      <c r="A173" s="74" t="s">
        <v>174</v>
      </c>
      <c r="B173" s="1"/>
      <c r="C173" s="1"/>
      <c r="D173" s="1"/>
      <c r="E173" s="59">
        <f t="shared" si="29"/>
        <v>0</v>
      </c>
      <c r="F173" s="1"/>
      <c r="G173" s="1"/>
      <c r="H173" s="1"/>
      <c r="I173" s="59">
        <f t="shared" si="26"/>
        <v>0</v>
      </c>
      <c r="J173" s="1"/>
      <c r="K173" s="1"/>
      <c r="L173" s="1">
        <v>4523</v>
      </c>
      <c r="M173" s="59">
        <f t="shared" si="27"/>
        <v>4523</v>
      </c>
      <c r="N173" s="1"/>
      <c r="O173" s="1"/>
      <c r="P173" s="1"/>
      <c r="Q173" s="59">
        <f t="shared" si="28"/>
        <v>0</v>
      </c>
      <c r="R173" s="59">
        <f t="shared" si="24"/>
        <v>4523</v>
      </c>
      <c r="S173" s="94" t="s">
        <v>136</v>
      </c>
      <c r="T173" s="4" t="s">
        <v>137</v>
      </c>
    </row>
    <row r="174" spans="1:20" ht="15.75" customHeight="1" x14ac:dyDescent="0.3">
      <c r="A174" s="74" t="s">
        <v>175</v>
      </c>
      <c r="B174" s="1"/>
      <c r="C174" s="1"/>
      <c r="D174" s="1"/>
      <c r="E174" s="59">
        <f t="shared" si="29"/>
        <v>0</v>
      </c>
      <c r="F174" s="1"/>
      <c r="G174" s="1"/>
      <c r="H174" s="1"/>
      <c r="I174" s="59">
        <f t="shared" si="26"/>
        <v>0</v>
      </c>
      <c r="J174" s="1"/>
      <c r="K174" s="1"/>
      <c r="L174" s="1"/>
      <c r="M174" s="59">
        <f t="shared" si="27"/>
        <v>0</v>
      </c>
      <c r="N174" s="1"/>
      <c r="O174" s="1"/>
      <c r="P174" s="1"/>
      <c r="Q174" s="59">
        <f t="shared" si="28"/>
        <v>0</v>
      </c>
      <c r="R174" s="59">
        <f t="shared" si="24"/>
        <v>0</v>
      </c>
      <c r="T174" s="4" t="s">
        <v>137</v>
      </c>
    </row>
    <row r="175" spans="1:20" ht="15.75" customHeight="1" x14ac:dyDescent="0.3">
      <c r="A175" s="74" t="s">
        <v>176</v>
      </c>
      <c r="B175" s="1">
        <v>7918</v>
      </c>
      <c r="C175" s="1">
        <v>5312</v>
      </c>
      <c r="D175" s="1">
        <v>4746</v>
      </c>
      <c r="E175" s="59">
        <f t="shared" si="29"/>
        <v>17976</v>
      </c>
      <c r="F175" s="1">
        <v>6031</v>
      </c>
      <c r="G175" s="1">
        <v>1247</v>
      </c>
      <c r="H175" s="1">
        <v>3311</v>
      </c>
      <c r="I175" s="59">
        <f t="shared" si="26"/>
        <v>10589</v>
      </c>
      <c r="J175" s="1">
        <v>13575</v>
      </c>
      <c r="K175" s="1">
        <v>13565</v>
      </c>
      <c r="L175" s="1">
        <v>11742</v>
      </c>
      <c r="M175" s="59">
        <f t="shared" si="27"/>
        <v>38882</v>
      </c>
      <c r="N175" s="1">
        <v>7596</v>
      </c>
      <c r="O175" s="1">
        <v>8487</v>
      </c>
      <c r="P175" s="1">
        <v>10901</v>
      </c>
      <c r="Q175" s="59">
        <f t="shared" si="28"/>
        <v>26984</v>
      </c>
      <c r="R175" s="59">
        <f t="shared" si="24"/>
        <v>94431</v>
      </c>
      <c r="S175" s="4" t="s">
        <v>136</v>
      </c>
    </row>
    <row r="176" spans="1:20" ht="15.75" customHeight="1" x14ac:dyDescent="0.3">
      <c r="A176" s="74" t="s">
        <v>177</v>
      </c>
      <c r="B176" s="1">
        <v>2723</v>
      </c>
      <c r="C176" s="1">
        <v>2723</v>
      </c>
      <c r="D176" s="1">
        <v>2722</v>
      </c>
      <c r="E176" s="59">
        <f t="shared" si="29"/>
        <v>8168</v>
      </c>
      <c r="F176" s="1">
        <v>2722</v>
      </c>
      <c r="G176" s="1"/>
      <c r="H176" s="1"/>
      <c r="I176" s="59">
        <f t="shared" si="26"/>
        <v>2722</v>
      </c>
      <c r="J176" s="1">
        <v>409</v>
      </c>
      <c r="K176" s="1">
        <v>9950</v>
      </c>
      <c r="L176" s="1"/>
      <c r="M176" s="59">
        <f t="shared" si="27"/>
        <v>10359</v>
      </c>
      <c r="N176" s="1"/>
      <c r="O176" s="1"/>
      <c r="P176" s="1"/>
      <c r="Q176" s="59">
        <f t="shared" si="28"/>
        <v>0</v>
      </c>
      <c r="R176" s="59">
        <f>+E176+I176+M176+Q176</f>
        <v>21249</v>
      </c>
      <c r="S176" s="94"/>
      <c r="T176" s="4" t="s">
        <v>137</v>
      </c>
    </row>
    <row r="177" spans="1:20" ht="15.75" customHeight="1" x14ac:dyDescent="0.3">
      <c r="A177" s="74" t="s">
        <v>859</v>
      </c>
      <c r="B177" s="1">
        <v>30</v>
      </c>
      <c r="C177" s="1">
        <v>30</v>
      </c>
      <c r="D177" s="1">
        <v>30</v>
      </c>
      <c r="E177" s="59">
        <f t="shared" si="29"/>
        <v>90</v>
      </c>
      <c r="F177" s="1">
        <v>35</v>
      </c>
      <c r="G177" s="1">
        <v>35</v>
      </c>
      <c r="H177" s="1">
        <v>35</v>
      </c>
      <c r="I177" s="59">
        <f t="shared" si="26"/>
        <v>105</v>
      </c>
      <c r="J177" s="1">
        <v>35</v>
      </c>
      <c r="K177" s="1">
        <v>35</v>
      </c>
      <c r="L177" s="1">
        <v>35</v>
      </c>
      <c r="M177" s="59">
        <f t="shared" si="27"/>
        <v>105</v>
      </c>
      <c r="N177" s="1">
        <v>35</v>
      </c>
      <c r="O177" s="1">
        <v>35</v>
      </c>
      <c r="P177" s="1">
        <v>30</v>
      </c>
      <c r="Q177" s="59">
        <f t="shared" si="28"/>
        <v>100</v>
      </c>
      <c r="R177" s="59">
        <f t="shared" si="24"/>
        <v>400</v>
      </c>
      <c r="S177" s="4" t="s">
        <v>136</v>
      </c>
      <c r="T177" s="4" t="s">
        <v>137</v>
      </c>
    </row>
    <row r="178" spans="1:20" ht="15.75" customHeight="1" x14ac:dyDescent="0.3">
      <c r="A178" s="74" t="s">
        <v>180</v>
      </c>
      <c r="B178" s="316">
        <v>3283</v>
      </c>
      <c r="C178" s="1"/>
      <c r="D178" s="1"/>
      <c r="E178" s="59">
        <f t="shared" si="29"/>
        <v>3283</v>
      </c>
      <c r="F178" s="1"/>
      <c r="G178" s="1">
        <v>1502</v>
      </c>
      <c r="H178" s="1">
        <v>6284</v>
      </c>
      <c r="I178" s="59">
        <f t="shared" si="26"/>
        <v>7786</v>
      </c>
      <c r="J178" s="1">
        <v>6295</v>
      </c>
      <c r="K178" s="1">
        <v>5319</v>
      </c>
      <c r="L178" s="1">
        <v>5766</v>
      </c>
      <c r="M178" s="59">
        <f t="shared" si="27"/>
        <v>17380</v>
      </c>
      <c r="N178" s="1">
        <v>5916</v>
      </c>
      <c r="O178" s="1">
        <v>5694</v>
      </c>
      <c r="P178" s="1">
        <v>4845</v>
      </c>
      <c r="Q178" s="59">
        <f t="shared" si="28"/>
        <v>16455</v>
      </c>
      <c r="R178" s="59">
        <f>+E178+I178+M178+Q178</f>
        <v>44904</v>
      </c>
    </row>
    <row r="179" spans="1:20" ht="15.75" customHeight="1" x14ac:dyDescent="0.3">
      <c r="A179" s="74" t="s">
        <v>181</v>
      </c>
      <c r="B179" s="1"/>
      <c r="C179" s="1"/>
      <c r="D179" s="1"/>
      <c r="E179" s="59">
        <f t="shared" ref="E179:E185" si="31">SUM(B179:D179)</f>
        <v>0</v>
      </c>
      <c r="F179" s="1"/>
      <c r="G179" s="1"/>
      <c r="H179" s="1">
        <v>194</v>
      </c>
      <c r="I179" s="59">
        <f t="shared" si="26"/>
        <v>194</v>
      </c>
      <c r="J179" s="1">
        <v>194</v>
      </c>
      <c r="K179" s="1">
        <v>194</v>
      </c>
      <c r="L179" s="1">
        <v>6224</v>
      </c>
      <c r="M179" s="59">
        <f t="shared" si="27"/>
        <v>6612</v>
      </c>
      <c r="N179" s="1">
        <v>194</v>
      </c>
      <c r="O179" s="1">
        <v>194</v>
      </c>
      <c r="P179" s="1"/>
      <c r="Q179" s="59">
        <f t="shared" si="28"/>
        <v>388</v>
      </c>
      <c r="R179" s="59">
        <f t="shared" si="24"/>
        <v>7194</v>
      </c>
      <c r="S179" s="4" t="s">
        <v>136</v>
      </c>
    </row>
    <row r="180" spans="1:20" ht="15.75" customHeight="1" x14ac:dyDescent="0.3">
      <c r="A180" s="91" t="s">
        <v>182</v>
      </c>
      <c r="B180" s="1"/>
      <c r="C180" s="1"/>
      <c r="D180" s="1"/>
      <c r="E180" s="59">
        <f t="shared" si="31"/>
        <v>0</v>
      </c>
      <c r="F180" s="1"/>
      <c r="G180" s="1"/>
      <c r="H180" s="1"/>
      <c r="I180" s="59">
        <f t="shared" ref="I180:I185" si="32">SUM(F180:H180)</f>
        <v>0</v>
      </c>
      <c r="J180" s="1"/>
      <c r="K180" s="1"/>
      <c r="L180" s="1"/>
      <c r="M180" s="59">
        <f t="shared" ref="M180:M185" si="33">SUM(J180:L180)</f>
        <v>0</v>
      </c>
      <c r="N180" s="1"/>
      <c r="O180" s="1"/>
      <c r="P180" s="1"/>
      <c r="Q180" s="59">
        <f t="shared" si="28"/>
        <v>0</v>
      </c>
      <c r="R180" s="59">
        <f t="shared" si="24"/>
        <v>0</v>
      </c>
      <c r="T180" s="4" t="s">
        <v>132</v>
      </c>
    </row>
    <row r="181" spans="1:20" ht="15.75" customHeight="1" x14ac:dyDescent="0.3">
      <c r="A181" s="91" t="s">
        <v>183</v>
      </c>
      <c r="B181" s="1"/>
      <c r="C181" s="1"/>
      <c r="D181" s="1"/>
      <c r="E181" s="59">
        <f t="shared" si="31"/>
        <v>0</v>
      </c>
      <c r="F181" s="1"/>
      <c r="G181" s="1"/>
      <c r="H181" s="1"/>
      <c r="I181" s="59">
        <f t="shared" si="32"/>
        <v>0</v>
      </c>
      <c r="J181" s="1"/>
      <c r="K181" s="1"/>
      <c r="L181" s="1"/>
      <c r="M181" s="59">
        <f t="shared" si="33"/>
        <v>0</v>
      </c>
      <c r="N181" s="1"/>
      <c r="O181" s="1"/>
      <c r="P181" s="1"/>
      <c r="Q181" s="59">
        <f t="shared" si="28"/>
        <v>0</v>
      </c>
      <c r="R181" s="59">
        <f>+E181+I181+M181+Q181</f>
        <v>0</v>
      </c>
    </row>
    <row r="182" spans="1:20" ht="15.75" customHeight="1" x14ac:dyDescent="0.3">
      <c r="A182" s="91" t="s">
        <v>184</v>
      </c>
      <c r="B182" s="1"/>
      <c r="C182" s="1"/>
      <c r="D182" s="1">
        <v>500</v>
      </c>
      <c r="E182" s="59">
        <f t="shared" si="31"/>
        <v>500</v>
      </c>
      <c r="F182" s="1">
        <v>1000</v>
      </c>
      <c r="G182" s="1">
        <v>1500</v>
      </c>
      <c r="H182" s="1">
        <v>1000</v>
      </c>
      <c r="I182" s="59">
        <f t="shared" si="32"/>
        <v>3500</v>
      </c>
      <c r="J182" s="1">
        <v>725</v>
      </c>
      <c r="K182" s="1">
        <v>500</v>
      </c>
      <c r="L182" s="1"/>
      <c r="M182" s="59">
        <f t="shared" si="33"/>
        <v>1225</v>
      </c>
      <c r="N182" s="1">
        <v>500</v>
      </c>
      <c r="O182" s="1"/>
      <c r="P182" s="1"/>
      <c r="Q182" s="59">
        <f t="shared" si="28"/>
        <v>500</v>
      </c>
      <c r="R182" s="59">
        <f t="shared" si="24"/>
        <v>5725</v>
      </c>
    </row>
    <row r="183" spans="1:20" ht="15.75" customHeight="1" x14ac:dyDescent="0.3">
      <c r="A183" s="74" t="s">
        <v>185</v>
      </c>
      <c r="B183" s="1">
        <v>167</v>
      </c>
      <c r="C183" s="1">
        <v>345</v>
      </c>
      <c r="D183" s="1">
        <v>339</v>
      </c>
      <c r="E183" s="59">
        <f t="shared" si="31"/>
        <v>851</v>
      </c>
      <c r="F183" s="1">
        <v>339</v>
      </c>
      <c r="G183" s="1">
        <v>389</v>
      </c>
      <c r="H183" s="1">
        <v>439</v>
      </c>
      <c r="I183" s="59">
        <f t="shared" si="32"/>
        <v>1167</v>
      </c>
      <c r="J183" s="1">
        <v>439</v>
      </c>
      <c r="K183" s="1">
        <v>468</v>
      </c>
      <c r="L183" s="1">
        <v>445</v>
      </c>
      <c r="M183" s="59">
        <f t="shared" si="33"/>
        <v>1352</v>
      </c>
      <c r="N183" s="1">
        <v>445</v>
      </c>
      <c r="O183" s="1">
        <v>345</v>
      </c>
      <c r="P183" s="1">
        <v>155</v>
      </c>
      <c r="Q183" s="59">
        <f t="shared" si="28"/>
        <v>945</v>
      </c>
      <c r="R183" s="59">
        <f>+E183+I183+M183+Q183</f>
        <v>4315</v>
      </c>
      <c r="S183" s="4" t="s">
        <v>136</v>
      </c>
      <c r="T183" s="4" t="s">
        <v>137</v>
      </c>
    </row>
    <row r="184" spans="1:20" ht="15.75" customHeight="1" x14ac:dyDescent="0.3">
      <c r="A184" s="74" t="s">
        <v>186</v>
      </c>
      <c r="B184" s="1">
        <v>3</v>
      </c>
      <c r="C184" s="1">
        <v>2</v>
      </c>
      <c r="D184" s="1">
        <v>3</v>
      </c>
      <c r="E184" s="59">
        <f t="shared" si="31"/>
        <v>8</v>
      </c>
      <c r="F184" s="1">
        <v>3</v>
      </c>
      <c r="G184" s="1">
        <v>3</v>
      </c>
      <c r="H184" s="1">
        <v>3</v>
      </c>
      <c r="I184" s="59">
        <f t="shared" si="32"/>
        <v>9</v>
      </c>
      <c r="J184" s="1">
        <v>3</v>
      </c>
      <c r="K184" s="1">
        <v>3</v>
      </c>
      <c r="L184" s="1">
        <v>3</v>
      </c>
      <c r="M184" s="59">
        <f t="shared" si="33"/>
        <v>9</v>
      </c>
      <c r="N184" s="1">
        <v>3</v>
      </c>
      <c r="O184" s="1">
        <v>3</v>
      </c>
      <c r="P184" s="1">
        <v>2</v>
      </c>
      <c r="Q184" s="59">
        <f t="shared" si="28"/>
        <v>8</v>
      </c>
      <c r="R184" s="59">
        <f>+E184+I184+M184+Q184</f>
        <v>34</v>
      </c>
      <c r="S184" s="4">
        <f>SUM(R139:R184)</f>
        <v>268650</v>
      </c>
    </row>
    <row r="185" spans="1:20" ht="15.75" customHeight="1" x14ac:dyDescent="0.3">
      <c r="A185" s="74" t="s">
        <v>187</v>
      </c>
      <c r="B185" s="1"/>
      <c r="C185" s="1"/>
      <c r="D185" s="1"/>
      <c r="E185" s="59">
        <f t="shared" si="31"/>
        <v>0</v>
      </c>
      <c r="F185" s="1"/>
      <c r="G185" s="1"/>
      <c r="H185" s="1"/>
      <c r="I185" s="59">
        <f t="shared" si="32"/>
        <v>0</v>
      </c>
      <c r="J185" s="1"/>
      <c r="K185" s="1"/>
      <c r="L185" s="1"/>
      <c r="M185" s="59">
        <f t="shared" si="33"/>
        <v>0</v>
      </c>
      <c r="N185" s="1">
        <v>241</v>
      </c>
      <c r="O185" s="1"/>
      <c r="P185" s="1"/>
      <c r="Q185" s="59">
        <f t="shared" si="28"/>
        <v>241</v>
      </c>
      <c r="R185" s="59">
        <f>+E185+I185+M185+Q185</f>
        <v>241</v>
      </c>
      <c r="S185" s="94" t="s">
        <v>136</v>
      </c>
      <c r="T185" s="4" t="s">
        <v>137</v>
      </c>
    </row>
    <row r="186" spans="1:20" ht="15.75" customHeight="1" x14ac:dyDescent="0.3">
      <c r="A186" s="17" t="s">
        <v>47</v>
      </c>
      <c r="B186" s="1"/>
      <c r="C186" s="1"/>
      <c r="D186" s="1"/>
      <c r="E186" s="59" t="s">
        <v>7</v>
      </c>
      <c r="F186" s="1"/>
      <c r="G186" s="1"/>
      <c r="H186" s="1"/>
      <c r="I186" s="59" t="s">
        <v>7</v>
      </c>
      <c r="J186" s="1"/>
      <c r="K186" s="1"/>
      <c r="L186" s="1"/>
      <c r="M186" s="59" t="s">
        <v>7</v>
      </c>
      <c r="N186" s="1"/>
      <c r="O186" s="1"/>
      <c r="P186" s="1"/>
      <c r="Q186" s="59" t="s">
        <v>7</v>
      </c>
      <c r="R186" s="59" t="s">
        <v>7</v>
      </c>
    </row>
    <row r="187" spans="1:20" ht="15.75" customHeight="1" x14ac:dyDescent="0.3">
      <c r="A187" s="74" t="s">
        <v>188</v>
      </c>
      <c r="B187" s="1"/>
      <c r="C187" s="1"/>
      <c r="D187" s="1"/>
      <c r="E187" s="59">
        <f t="shared" ref="E187:E196" si="34">SUM(B187:D187)</f>
        <v>0</v>
      </c>
      <c r="F187" s="1"/>
      <c r="G187" s="1"/>
      <c r="H187" s="1"/>
      <c r="I187" s="59">
        <f t="shared" ref="I187:I196" si="35">SUM(F187:H187)</f>
        <v>0</v>
      </c>
      <c r="J187" s="1"/>
      <c r="K187" s="1"/>
      <c r="L187" s="1"/>
      <c r="M187" s="59">
        <f t="shared" ref="M187:M196" si="36">SUM(J187:L187)</f>
        <v>0</v>
      </c>
      <c r="N187" s="1"/>
      <c r="O187" s="1"/>
      <c r="P187" s="1"/>
      <c r="Q187" s="59">
        <f t="shared" ref="Q187:Q196" si="37">SUM(N187:P187)</f>
        <v>0</v>
      </c>
      <c r="R187" s="59">
        <f t="shared" ref="R187:R196" si="38">+E187+I187+M187+Q187</f>
        <v>0</v>
      </c>
    </row>
    <row r="188" spans="1:20" ht="15.75" customHeight="1" x14ac:dyDescent="0.3">
      <c r="A188" s="74" t="s">
        <v>189</v>
      </c>
      <c r="B188" s="1"/>
      <c r="C188" s="1"/>
      <c r="D188" s="1"/>
      <c r="E188" s="59">
        <f>SUM(B188:D188)</f>
        <v>0</v>
      </c>
      <c r="F188" s="1"/>
      <c r="G188" s="1"/>
      <c r="H188" s="1"/>
      <c r="I188" s="59">
        <f>SUM(F188:H188)</f>
        <v>0</v>
      </c>
      <c r="J188" s="1"/>
      <c r="K188" s="1"/>
      <c r="L188" s="1"/>
      <c r="M188" s="59">
        <f>SUM(J188:L188)</f>
        <v>0</v>
      </c>
      <c r="N188" s="1"/>
      <c r="O188" s="1"/>
      <c r="P188" s="1"/>
      <c r="Q188" s="59">
        <f>SUM(N188:P188)</f>
        <v>0</v>
      </c>
      <c r="R188" s="59">
        <f>+E188+I188+M188+Q188</f>
        <v>0</v>
      </c>
      <c r="T188" s="4" t="s">
        <v>127</v>
      </c>
    </row>
    <row r="189" spans="1:20" ht="15.75" customHeight="1" x14ac:dyDescent="0.3">
      <c r="A189" s="74" t="s">
        <v>190</v>
      </c>
      <c r="B189" s="1"/>
      <c r="C189" s="1"/>
      <c r="D189" s="1"/>
      <c r="E189" s="59">
        <f t="shared" si="34"/>
        <v>0</v>
      </c>
      <c r="F189" s="1"/>
      <c r="G189" s="1"/>
      <c r="H189" s="1"/>
      <c r="I189" s="59">
        <f t="shared" si="35"/>
        <v>0</v>
      </c>
      <c r="J189" s="1"/>
      <c r="K189" s="1"/>
      <c r="L189" s="1"/>
      <c r="M189" s="59">
        <f t="shared" si="36"/>
        <v>0</v>
      </c>
      <c r="N189" s="1"/>
      <c r="O189" s="1"/>
      <c r="P189" s="1"/>
      <c r="Q189" s="59">
        <f t="shared" si="37"/>
        <v>0</v>
      </c>
      <c r="R189" s="59">
        <f t="shared" si="38"/>
        <v>0</v>
      </c>
    </row>
    <row r="190" spans="1:20" ht="15.75" customHeight="1" x14ac:dyDescent="0.3">
      <c r="A190" s="74" t="s">
        <v>191</v>
      </c>
      <c r="B190" s="1"/>
      <c r="C190" s="1"/>
      <c r="D190" s="1"/>
      <c r="E190" s="59">
        <f t="shared" si="34"/>
        <v>0</v>
      </c>
      <c r="F190" s="1"/>
      <c r="G190" s="1"/>
      <c r="H190" s="1"/>
      <c r="I190" s="59">
        <f t="shared" si="35"/>
        <v>0</v>
      </c>
      <c r="J190" s="1"/>
      <c r="K190" s="1"/>
      <c r="L190" s="1"/>
      <c r="M190" s="59">
        <f t="shared" si="36"/>
        <v>0</v>
      </c>
      <c r="N190" s="1"/>
      <c r="O190" s="1"/>
      <c r="P190" s="1"/>
      <c r="Q190" s="59">
        <f t="shared" si="37"/>
        <v>0</v>
      </c>
      <c r="R190" s="59">
        <f t="shared" si="38"/>
        <v>0</v>
      </c>
      <c r="T190" s="4" t="s">
        <v>137</v>
      </c>
    </row>
    <row r="191" spans="1:20" ht="15.75" customHeight="1" x14ac:dyDescent="0.3">
      <c r="A191" s="74" t="s">
        <v>192</v>
      </c>
      <c r="B191" s="1"/>
      <c r="C191" s="1"/>
      <c r="D191" s="1"/>
      <c r="E191" s="59">
        <f t="shared" si="34"/>
        <v>0</v>
      </c>
      <c r="F191" s="1"/>
      <c r="G191" s="1"/>
      <c r="H191" s="1"/>
      <c r="I191" s="59">
        <f t="shared" si="35"/>
        <v>0</v>
      </c>
      <c r="J191" s="1"/>
      <c r="K191" s="1"/>
      <c r="L191" s="1"/>
      <c r="M191" s="59">
        <f t="shared" si="36"/>
        <v>0</v>
      </c>
      <c r="N191" s="1"/>
      <c r="O191" s="1"/>
      <c r="P191" s="1"/>
      <c r="Q191" s="59">
        <f t="shared" si="37"/>
        <v>0</v>
      </c>
      <c r="R191" s="59">
        <f t="shared" si="38"/>
        <v>0</v>
      </c>
    </row>
    <row r="192" spans="1:20" ht="15.75" customHeight="1" x14ac:dyDescent="0.3">
      <c r="A192" s="74" t="s">
        <v>193</v>
      </c>
      <c r="B192" s="1"/>
      <c r="C192" s="1"/>
      <c r="D192" s="1"/>
      <c r="E192" s="59">
        <f t="shared" si="34"/>
        <v>0</v>
      </c>
      <c r="F192" s="1"/>
      <c r="G192" s="1"/>
      <c r="H192" s="1"/>
      <c r="I192" s="59">
        <f t="shared" si="35"/>
        <v>0</v>
      </c>
      <c r="J192" s="1"/>
      <c r="K192" s="1"/>
      <c r="L192" s="1"/>
      <c r="M192" s="59">
        <f t="shared" si="36"/>
        <v>0</v>
      </c>
      <c r="N192" s="1"/>
      <c r="O192" s="1"/>
      <c r="P192" s="1"/>
      <c r="Q192" s="59">
        <f t="shared" si="37"/>
        <v>0</v>
      </c>
      <c r="R192" s="59">
        <f t="shared" si="38"/>
        <v>0</v>
      </c>
    </row>
    <row r="193" spans="1:20" ht="15.75" customHeight="1" x14ac:dyDescent="0.3">
      <c r="A193" s="91" t="s">
        <v>194</v>
      </c>
      <c r="B193" s="1"/>
      <c r="C193" s="1"/>
      <c r="D193" s="1"/>
      <c r="E193" s="59">
        <f t="shared" si="34"/>
        <v>0</v>
      </c>
      <c r="F193" s="1"/>
      <c r="G193" s="1"/>
      <c r="H193" s="1"/>
      <c r="I193" s="59">
        <f t="shared" si="35"/>
        <v>0</v>
      </c>
      <c r="J193" s="1"/>
      <c r="K193" s="1"/>
      <c r="L193" s="1"/>
      <c r="M193" s="59">
        <f t="shared" si="36"/>
        <v>0</v>
      </c>
      <c r="N193" s="1"/>
      <c r="O193" s="1"/>
      <c r="P193" s="1"/>
      <c r="Q193" s="59">
        <f t="shared" si="37"/>
        <v>0</v>
      </c>
      <c r="R193" s="59">
        <f t="shared" si="38"/>
        <v>0</v>
      </c>
      <c r="T193" s="4" t="s">
        <v>121</v>
      </c>
    </row>
    <row r="194" spans="1:20" ht="15.75" customHeight="1" x14ac:dyDescent="0.3">
      <c r="A194" s="74" t="s">
        <v>195</v>
      </c>
      <c r="B194" s="1"/>
      <c r="C194" s="1"/>
      <c r="D194" s="1"/>
      <c r="E194" s="59">
        <f t="shared" si="34"/>
        <v>0</v>
      </c>
      <c r="F194" s="1"/>
      <c r="G194" s="1"/>
      <c r="H194" s="1"/>
      <c r="I194" s="59">
        <f t="shared" si="35"/>
        <v>0</v>
      </c>
      <c r="J194" s="1"/>
      <c r="K194" s="1"/>
      <c r="L194" s="1"/>
      <c r="M194" s="59">
        <f t="shared" si="36"/>
        <v>0</v>
      </c>
      <c r="N194" s="1"/>
      <c r="O194" s="1"/>
      <c r="P194" s="1"/>
      <c r="Q194" s="59">
        <f t="shared" si="37"/>
        <v>0</v>
      </c>
      <c r="R194" s="59">
        <f t="shared" si="38"/>
        <v>0</v>
      </c>
      <c r="T194" s="4" t="s">
        <v>137</v>
      </c>
    </row>
    <row r="195" spans="1:20" ht="15.75" customHeight="1" x14ac:dyDescent="0.3">
      <c r="A195" s="74" t="s">
        <v>196</v>
      </c>
      <c r="B195" s="1"/>
      <c r="C195" s="1"/>
      <c r="D195" s="1"/>
      <c r="E195" s="59">
        <f t="shared" si="34"/>
        <v>0</v>
      </c>
      <c r="F195" s="1"/>
      <c r="G195" s="1"/>
      <c r="H195" s="1"/>
      <c r="I195" s="59">
        <f t="shared" si="35"/>
        <v>0</v>
      </c>
      <c r="J195" s="1"/>
      <c r="K195" s="1"/>
      <c r="L195" s="1"/>
      <c r="M195" s="59">
        <f t="shared" si="36"/>
        <v>0</v>
      </c>
      <c r="N195" s="1"/>
      <c r="O195" s="1"/>
      <c r="P195" s="1"/>
      <c r="Q195" s="59">
        <f t="shared" si="37"/>
        <v>0</v>
      </c>
      <c r="R195" s="59">
        <f t="shared" si="38"/>
        <v>0</v>
      </c>
      <c r="T195" s="4" t="s">
        <v>197</v>
      </c>
    </row>
    <row r="196" spans="1:20" ht="15.75" customHeight="1" x14ac:dyDescent="0.3">
      <c r="A196" s="91" t="s">
        <v>198</v>
      </c>
      <c r="B196" s="1"/>
      <c r="C196" s="1"/>
      <c r="D196" s="1"/>
      <c r="E196" s="59">
        <f t="shared" si="34"/>
        <v>0</v>
      </c>
      <c r="F196" s="1"/>
      <c r="G196" s="1"/>
      <c r="H196" s="1"/>
      <c r="I196" s="59">
        <f t="shared" si="35"/>
        <v>0</v>
      </c>
      <c r="J196" s="1"/>
      <c r="K196" s="1"/>
      <c r="L196" s="1"/>
      <c r="M196" s="59">
        <f t="shared" si="36"/>
        <v>0</v>
      </c>
      <c r="N196" s="1"/>
      <c r="O196" s="1"/>
      <c r="P196" s="1"/>
      <c r="Q196" s="59">
        <f t="shared" si="37"/>
        <v>0</v>
      </c>
      <c r="R196" s="59">
        <f t="shared" si="38"/>
        <v>0</v>
      </c>
    </row>
    <row r="197" spans="1:20" ht="15.75" customHeight="1" x14ac:dyDescent="0.3">
      <c r="A197" s="17" t="s">
        <v>898</v>
      </c>
      <c r="B197" s="1"/>
      <c r="C197" s="1"/>
      <c r="D197" s="1"/>
      <c r="E197" s="59" t="s">
        <v>7</v>
      </c>
      <c r="F197" s="1"/>
      <c r="G197" s="1"/>
      <c r="H197" s="1"/>
      <c r="I197" s="59" t="s">
        <v>7</v>
      </c>
      <c r="J197" s="1"/>
      <c r="K197" s="1"/>
      <c r="L197" s="1"/>
      <c r="M197" s="59" t="s">
        <v>7</v>
      </c>
      <c r="N197" s="1"/>
      <c r="O197" s="1"/>
      <c r="P197" s="1"/>
      <c r="Q197" s="59" t="s">
        <v>7</v>
      </c>
      <c r="R197" s="59" t="s">
        <v>7</v>
      </c>
    </row>
    <row r="198" spans="1:20" ht="15.75" customHeight="1" x14ac:dyDescent="0.3">
      <c r="A198" s="99" t="s">
        <v>907</v>
      </c>
      <c r="B198" s="1"/>
      <c r="C198" s="1"/>
      <c r="D198" s="1"/>
      <c r="E198" s="59">
        <f>SUM(B198:D198)</f>
        <v>0</v>
      </c>
      <c r="F198" s="1"/>
      <c r="G198" s="1"/>
      <c r="H198" s="1"/>
      <c r="I198" s="59">
        <f>SUM(F198:H198)</f>
        <v>0</v>
      </c>
      <c r="J198" s="1"/>
      <c r="K198" s="1"/>
      <c r="L198" s="1"/>
      <c r="M198" s="59">
        <f>SUM(J198:L198)</f>
        <v>0</v>
      </c>
      <c r="N198" s="1"/>
      <c r="O198" s="1"/>
      <c r="P198" s="1"/>
      <c r="Q198" s="59">
        <f>SUM(N198:P198)</f>
        <v>0</v>
      </c>
      <c r="R198" s="59">
        <f>+E198+I198+M198+Q198</f>
        <v>0</v>
      </c>
      <c r="T198" s="4" t="s">
        <v>132</v>
      </c>
    </row>
    <row r="199" spans="1:20" ht="15.75" customHeight="1" x14ac:dyDescent="0.3">
      <c r="A199" s="99" t="s">
        <v>908</v>
      </c>
      <c r="B199" s="1"/>
      <c r="C199" s="1"/>
      <c r="D199" s="1"/>
      <c r="E199" s="59">
        <f>SUM(B199:D199)</f>
        <v>0</v>
      </c>
      <c r="F199" s="1"/>
      <c r="G199" s="1"/>
      <c r="H199" s="1"/>
      <c r="I199" s="59">
        <f>SUM(F199:H199)</f>
        <v>0</v>
      </c>
      <c r="J199" s="1"/>
      <c r="K199" s="1"/>
      <c r="L199" s="1"/>
      <c r="M199" s="59">
        <f>SUM(J199:L199)</f>
        <v>0</v>
      </c>
      <c r="N199" s="1"/>
      <c r="O199" s="1"/>
      <c r="P199" s="1"/>
      <c r="Q199" s="59">
        <f>SUM(N199:P199)</f>
        <v>0</v>
      </c>
      <c r="R199" s="59">
        <f>+E199+I199+M199+Q199</f>
        <v>0</v>
      </c>
      <c r="T199" s="4" t="s">
        <v>134</v>
      </c>
    </row>
    <row r="200" spans="1:20" ht="15.75" customHeight="1" x14ac:dyDescent="0.3">
      <c r="A200" s="61" t="s">
        <v>909</v>
      </c>
      <c r="B200" s="1">
        <v>15</v>
      </c>
      <c r="C200" s="1">
        <v>20</v>
      </c>
      <c r="D200" s="1">
        <v>40</v>
      </c>
      <c r="E200" s="59">
        <f>SUM(B200:D200)</f>
        <v>75</v>
      </c>
      <c r="F200" s="1">
        <v>100</v>
      </c>
      <c r="G200" s="1">
        <v>150</v>
      </c>
      <c r="H200" s="1">
        <v>160</v>
      </c>
      <c r="I200" s="59">
        <f>SUM(F200:H200)</f>
        <v>410</v>
      </c>
      <c r="J200" s="1">
        <v>180</v>
      </c>
      <c r="K200" s="1">
        <v>180</v>
      </c>
      <c r="L200" s="1">
        <v>120</v>
      </c>
      <c r="M200" s="59">
        <f>SUM(J200:L200)</f>
        <v>480</v>
      </c>
      <c r="N200" s="1">
        <v>85</v>
      </c>
      <c r="O200" s="1">
        <v>30</v>
      </c>
      <c r="P200" s="1">
        <v>20</v>
      </c>
      <c r="Q200" s="59">
        <f>SUM(N200:P200)</f>
        <v>135</v>
      </c>
      <c r="R200" s="59">
        <f>+E200+I200+M200+Q200</f>
        <v>1100</v>
      </c>
      <c r="T200" s="4" t="s">
        <v>202</v>
      </c>
    </row>
    <row r="201" spans="1:20" ht="15.75" customHeight="1" thickBot="1" x14ac:dyDescent="0.35">
      <c r="A201" s="17" t="s">
        <v>51</v>
      </c>
      <c r="B201" s="1"/>
      <c r="C201" s="1"/>
      <c r="D201" s="1"/>
      <c r="E201" s="59" t="s">
        <v>7</v>
      </c>
      <c r="F201" s="1"/>
      <c r="G201" s="1"/>
      <c r="H201" s="1"/>
      <c r="I201" s="59" t="s">
        <v>7</v>
      </c>
      <c r="J201" s="1"/>
      <c r="K201" s="1"/>
      <c r="L201" s="1"/>
      <c r="M201" s="59" t="s">
        <v>7</v>
      </c>
      <c r="N201" s="1"/>
      <c r="O201" s="1"/>
      <c r="P201" s="1"/>
      <c r="Q201" s="59" t="s">
        <v>7</v>
      </c>
      <c r="R201" s="59" t="s">
        <v>7</v>
      </c>
    </row>
    <row r="202" spans="1:20" ht="16.5" customHeight="1" thickBot="1" x14ac:dyDescent="0.35">
      <c r="A202" s="62" t="s">
        <v>52</v>
      </c>
      <c r="B202" s="100">
        <f>SUM(B137:B201)</f>
        <v>16580</v>
      </c>
      <c r="C202" s="101">
        <f>SUM(C137:C201)</f>
        <v>11643</v>
      </c>
      <c r="D202" s="101">
        <f>SUM(D137:D201)</f>
        <v>13329</v>
      </c>
      <c r="E202" s="64">
        <f>SUM(B202:D202)</f>
        <v>41552</v>
      </c>
      <c r="F202" s="101">
        <f>SUM(F137:F201)</f>
        <v>17402</v>
      </c>
      <c r="G202" s="101">
        <f t="shared" ref="G202:H202" si="39">SUM(G137:G201)</f>
        <v>12303</v>
      </c>
      <c r="H202" s="101">
        <f t="shared" si="39"/>
        <v>25023</v>
      </c>
      <c r="I202" s="64">
        <f>SUM(F202:H202)</f>
        <v>54728</v>
      </c>
      <c r="J202" s="101">
        <f>SUM(J137:J201)</f>
        <v>35367</v>
      </c>
      <c r="K202" s="101">
        <f>SUM(K137:K201)</f>
        <v>40022</v>
      </c>
      <c r="L202" s="101">
        <f>SUM(L137:L201)</f>
        <v>38358</v>
      </c>
      <c r="M202" s="64">
        <f>SUM(J202:L202)</f>
        <v>113747</v>
      </c>
      <c r="N202" s="101">
        <f>SUM(N137:N201)</f>
        <v>22709</v>
      </c>
      <c r="O202" s="101">
        <f>SUM(O137:O201)</f>
        <v>18778</v>
      </c>
      <c r="P202" s="101">
        <f>SUM(P137:P201)</f>
        <v>18477</v>
      </c>
      <c r="Q202" s="64">
        <f>SUM(N202:P202)</f>
        <v>59964</v>
      </c>
      <c r="R202" s="64">
        <f>+E202+I202+M202+Q202</f>
        <v>269991</v>
      </c>
    </row>
    <row r="203" spans="1:20" ht="15.75" customHeight="1" x14ac:dyDescent="0.3">
      <c r="A203" s="17" t="s">
        <v>53</v>
      </c>
      <c r="B203" s="1"/>
      <c r="C203" s="1"/>
      <c r="D203" s="1"/>
      <c r="E203" s="59" t="s">
        <v>7</v>
      </c>
      <c r="F203" s="1"/>
      <c r="G203" s="1"/>
      <c r="H203" s="1"/>
      <c r="I203" s="59" t="s">
        <v>7</v>
      </c>
      <c r="J203" s="1"/>
      <c r="K203" s="1"/>
      <c r="L203" s="1"/>
      <c r="M203" s="59" t="s">
        <v>7</v>
      </c>
      <c r="N203" s="1"/>
      <c r="O203" s="1"/>
      <c r="P203" s="1"/>
      <c r="Q203" s="59" t="s">
        <v>7</v>
      </c>
      <c r="R203" s="59" t="s">
        <v>7</v>
      </c>
    </row>
    <row r="204" spans="1:20" ht="15.75" customHeight="1" x14ac:dyDescent="0.3">
      <c r="A204" s="17" t="s">
        <v>54</v>
      </c>
      <c r="B204" s="1"/>
      <c r="C204" s="1"/>
      <c r="D204" s="1"/>
      <c r="E204" s="59" t="s">
        <v>7</v>
      </c>
      <c r="F204" s="1"/>
      <c r="G204" s="1"/>
      <c r="H204" s="1"/>
      <c r="I204" s="59" t="s">
        <v>7</v>
      </c>
      <c r="J204" s="1"/>
      <c r="K204" s="1"/>
      <c r="L204" s="1"/>
      <c r="M204" s="59" t="s">
        <v>7</v>
      </c>
      <c r="N204" s="1"/>
      <c r="O204" s="1"/>
      <c r="P204" s="1"/>
      <c r="Q204" s="59" t="s">
        <v>7</v>
      </c>
      <c r="R204" s="59" t="s">
        <v>7</v>
      </c>
    </row>
    <row r="205" spans="1:20" ht="15.75" customHeight="1" x14ac:dyDescent="0.3">
      <c r="A205" s="17" t="s">
        <v>55</v>
      </c>
      <c r="B205" s="1"/>
      <c r="C205" s="1"/>
      <c r="D205" s="1"/>
      <c r="E205" s="59" t="s">
        <v>7</v>
      </c>
      <c r="F205" s="1"/>
      <c r="G205" s="1"/>
      <c r="H205" s="1"/>
      <c r="I205" s="59" t="s">
        <v>7</v>
      </c>
      <c r="J205" s="1"/>
      <c r="K205" s="1"/>
      <c r="L205" s="1"/>
      <c r="M205" s="59" t="s">
        <v>7</v>
      </c>
      <c r="N205" s="1"/>
      <c r="O205" s="1"/>
      <c r="P205" s="1"/>
      <c r="Q205" s="59" t="s">
        <v>7</v>
      </c>
      <c r="R205" s="59" t="s">
        <v>7</v>
      </c>
    </row>
    <row r="206" spans="1:20" ht="15.75" customHeight="1" x14ac:dyDescent="0.3">
      <c r="A206" s="99" t="s">
        <v>203</v>
      </c>
      <c r="B206" s="1"/>
      <c r="C206" s="1"/>
      <c r="D206" s="1"/>
      <c r="E206" s="59">
        <f>SUM(B206:D206)</f>
        <v>0</v>
      </c>
      <c r="F206" s="1"/>
      <c r="G206" s="1"/>
      <c r="H206" s="1"/>
      <c r="I206" s="59">
        <f>SUM(F206:H206)</f>
        <v>0</v>
      </c>
      <c r="J206" s="1"/>
      <c r="K206" s="1"/>
      <c r="L206" s="1"/>
      <c r="M206" s="59">
        <f>SUM(J206:L206)</f>
        <v>0</v>
      </c>
      <c r="N206" s="1"/>
      <c r="O206" s="1"/>
      <c r="P206" s="1"/>
      <c r="Q206" s="59">
        <f>SUM(N206:P206)</f>
        <v>0</v>
      </c>
      <c r="R206" s="59">
        <f>+E206+I206+M206+Q206</f>
        <v>0</v>
      </c>
      <c r="T206" s="4" t="s">
        <v>121</v>
      </c>
    </row>
    <row r="207" spans="1:20" ht="15.75" customHeight="1" x14ac:dyDescent="0.3">
      <c r="A207" s="76" t="s">
        <v>204</v>
      </c>
      <c r="B207" s="1"/>
      <c r="C207" s="1"/>
      <c r="D207" s="1"/>
      <c r="E207" s="59">
        <f>SUM(B207:D207)</f>
        <v>0</v>
      </c>
      <c r="F207" s="1"/>
      <c r="G207" s="1"/>
      <c r="H207" s="1"/>
      <c r="I207" s="59">
        <f>SUM(F207:H207)</f>
        <v>0</v>
      </c>
      <c r="J207" s="1"/>
      <c r="K207" s="1"/>
      <c r="L207" s="1"/>
      <c r="M207" s="59">
        <f>SUM(J207:L207)</f>
        <v>0</v>
      </c>
      <c r="N207" s="1"/>
      <c r="O207" s="1"/>
      <c r="P207" s="1"/>
      <c r="Q207" s="59">
        <f>SUM(N207:P207)</f>
        <v>0</v>
      </c>
      <c r="R207" s="59">
        <f>+E207+I207+M207+Q207</f>
        <v>0</v>
      </c>
      <c r="S207" s="4" t="s">
        <v>136</v>
      </c>
      <c r="T207" s="4" t="s">
        <v>137</v>
      </c>
    </row>
    <row r="208" spans="1:20" ht="15.75" customHeight="1" thickBot="1" x14ac:dyDescent="0.35">
      <c r="A208" s="17" t="s">
        <v>56</v>
      </c>
      <c r="B208" s="1"/>
      <c r="C208" s="1"/>
      <c r="D208" s="1"/>
      <c r="E208" s="59" t="s">
        <v>7</v>
      </c>
      <c r="F208" s="1"/>
      <c r="G208" s="1"/>
      <c r="H208" s="1"/>
      <c r="I208" s="59" t="s">
        <v>7</v>
      </c>
      <c r="J208" s="1"/>
      <c r="K208" s="1"/>
      <c r="L208" s="1"/>
      <c r="M208" s="59" t="s">
        <v>7</v>
      </c>
      <c r="N208" s="1"/>
      <c r="O208" s="1"/>
      <c r="P208" s="1"/>
      <c r="Q208" s="59" t="s">
        <v>7</v>
      </c>
      <c r="R208" s="59" t="s">
        <v>7</v>
      </c>
    </row>
    <row r="209" spans="1:20" ht="16.5" customHeight="1" thickBot="1" x14ac:dyDescent="0.35">
      <c r="A209" s="62" t="s">
        <v>57</v>
      </c>
      <c r="B209" s="100">
        <f>SUM(B203:B208)</f>
        <v>0</v>
      </c>
      <c r="C209" s="101">
        <f>SUM(C203:C208)</f>
        <v>0</v>
      </c>
      <c r="D209" s="101">
        <f>SUM(D203:D208)</f>
        <v>0</v>
      </c>
      <c r="E209" s="64">
        <f>SUM(B209:D209)</f>
        <v>0</v>
      </c>
      <c r="F209" s="101"/>
      <c r="G209" s="101"/>
      <c r="H209" s="101"/>
      <c r="I209" s="64">
        <f>SUM(F209:H209)</f>
        <v>0</v>
      </c>
      <c r="J209" s="101">
        <f>SUM(J203:J208)</f>
        <v>0</v>
      </c>
      <c r="K209" s="101">
        <f>SUM(K203:K208)</f>
        <v>0</v>
      </c>
      <c r="L209" s="101">
        <f>SUM(L203:L208)</f>
        <v>0</v>
      </c>
      <c r="M209" s="64">
        <f>SUM(J209:L209)</f>
        <v>0</v>
      </c>
      <c r="N209" s="101">
        <f>SUM(N203:N208)</f>
        <v>0</v>
      </c>
      <c r="O209" s="101">
        <f>SUM(O203:O208)</f>
        <v>0</v>
      </c>
      <c r="P209" s="101">
        <f>SUM(P203:P208)</f>
        <v>0</v>
      </c>
      <c r="Q209" s="64">
        <f>SUM(N209:P209)</f>
        <v>0</v>
      </c>
      <c r="R209" s="64">
        <f>+E209+I209+M209+Q209</f>
        <v>0</v>
      </c>
    </row>
    <row r="210" spans="1:20" ht="15.75" customHeight="1" x14ac:dyDescent="0.3">
      <c r="A210" s="17" t="s">
        <v>58</v>
      </c>
      <c r="B210" s="1"/>
      <c r="C210" s="1"/>
      <c r="D210" s="1"/>
      <c r="E210" s="59" t="s">
        <v>7</v>
      </c>
      <c r="F210" s="1"/>
      <c r="G210" s="1"/>
      <c r="H210" s="1"/>
      <c r="I210" s="59" t="s">
        <v>7</v>
      </c>
      <c r="J210" s="1"/>
      <c r="K210" s="1"/>
      <c r="L210" s="1"/>
      <c r="M210" s="59" t="s">
        <v>7</v>
      </c>
      <c r="N210" s="1"/>
      <c r="O210" s="1"/>
      <c r="P210" s="1"/>
      <c r="Q210" s="59" t="s">
        <v>7</v>
      </c>
      <c r="R210" s="59" t="s">
        <v>7</v>
      </c>
    </row>
    <row r="211" spans="1:20" ht="15.75" customHeight="1" x14ac:dyDescent="0.3">
      <c r="A211" s="17" t="s">
        <v>59</v>
      </c>
      <c r="B211" s="1"/>
      <c r="C211" s="1"/>
      <c r="D211" s="1"/>
      <c r="E211" s="59" t="s">
        <v>7</v>
      </c>
      <c r="F211" s="1"/>
      <c r="G211" s="1"/>
      <c r="H211" s="1"/>
      <c r="I211" s="59" t="s">
        <v>7</v>
      </c>
      <c r="J211" s="1"/>
      <c r="K211" s="1"/>
      <c r="L211" s="1"/>
      <c r="M211" s="59" t="s">
        <v>7</v>
      </c>
      <c r="N211" s="1"/>
      <c r="O211" s="1"/>
      <c r="P211" s="1"/>
      <c r="Q211" s="59" t="s">
        <v>7</v>
      </c>
      <c r="R211" s="59" t="s">
        <v>7</v>
      </c>
    </row>
    <row r="212" spans="1:20" ht="15.75" customHeight="1" x14ac:dyDescent="0.3">
      <c r="A212" s="17" t="s">
        <v>60</v>
      </c>
      <c r="B212" s="1"/>
      <c r="C212" s="1"/>
      <c r="D212" s="1"/>
      <c r="E212" s="59" t="s">
        <v>7</v>
      </c>
      <c r="F212" s="1"/>
      <c r="G212" s="1"/>
      <c r="H212" s="1"/>
      <c r="I212" s="59" t="s">
        <v>7</v>
      </c>
      <c r="J212" s="1"/>
      <c r="K212" s="1"/>
      <c r="L212" s="1"/>
      <c r="M212" s="59" t="s">
        <v>7</v>
      </c>
      <c r="N212" s="1"/>
      <c r="O212" s="1"/>
      <c r="P212" s="1"/>
      <c r="Q212" s="59" t="s">
        <v>7</v>
      </c>
      <c r="R212" s="59" t="s">
        <v>7</v>
      </c>
    </row>
    <row r="213" spans="1:20" ht="15.75" customHeight="1" x14ac:dyDescent="0.3">
      <c r="A213" s="102" t="s">
        <v>205</v>
      </c>
      <c r="B213" s="1">
        <v>326</v>
      </c>
      <c r="C213" s="1">
        <v>295</v>
      </c>
      <c r="D213" s="1">
        <v>354</v>
      </c>
      <c r="E213" s="59">
        <f t="shared" ref="E213:E218" si="40">SUM(B213:D213)</f>
        <v>975</v>
      </c>
      <c r="F213" s="1">
        <v>420</v>
      </c>
      <c r="G213" s="1">
        <v>557</v>
      </c>
      <c r="H213" s="1">
        <v>625</v>
      </c>
      <c r="I213" s="59">
        <f t="shared" ref="I213:I218" si="41">SUM(F213:H213)</f>
        <v>1602</v>
      </c>
      <c r="J213" s="1">
        <v>607</v>
      </c>
      <c r="K213" s="1">
        <v>562</v>
      </c>
      <c r="L213" s="1">
        <v>481</v>
      </c>
      <c r="M213" s="59">
        <f t="shared" ref="M213:M218" si="42">SUM(J213:L213)</f>
        <v>1650</v>
      </c>
      <c r="N213" s="1">
        <v>506</v>
      </c>
      <c r="O213" s="1">
        <v>381</v>
      </c>
      <c r="P213" s="1">
        <v>296</v>
      </c>
      <c r="Q213" s="59">
        <f t="shared" ref="Q213:Q218" si="43">SUM(N213:P213)</f>
        <v>1183</v>
      </c>
      <c r="R213" s="59">
        <f t="shared" ref="R213:R271" si="44">+E213+I213+M213+Q213</f>
        <v>5410</v>
      </c>
      <c r="T213" s="4" t="s">
        <v>206</v>
      </c>
    </row>
    <row r="214" spans="1:20" ht="15.75" customHeight="1" x14ac:dyDescent="0.3">
      <c r="A214" s="102" t="s">
        <v>207</v>
      </c>
      <c r="B214" s="1"/>
      <c r="C214" s="1"/>
      <c r="D214" s="1">
        <v>357</v>
      </c>
      <c r="E214" s="59">
        <f t="shared" si="40"/>
        <v>357</v>
      </c>
      <c r="F214" s="1">
        <v>926</v>
      </c>
      <c r="G214" s="1"/>
      <c r="H214" s="1"/>
      <c r="I214" s="59">
        <f t="shared" si="41"/>
        <v>926</v>
      </c>
      <c r="J214" s="1"/>
      <c r="K214" s="1"/>
      <c r="L214" s="1"/>
      <c r="M214" s="59">
        <f t="shared" si="42"/>
        <v>0</v>
      </c>
      <c r="N214" s="1"/>
      <c r="O214" s="1"/>
      <c r="P214" s="1"/>
      <c r="Q214" s="59">
        <f t="shared" si="43"/>
        <v>0</v>
      </c>
      <c r="R214" s="59">
        <f t="shared" si="44"/>
        <v>1283</v>
      </c>
      <c r="T214" s="4" t="s">
        <v>121</v>
      </c>
    </row>
    <row r="215" spans="1:20" ht="15.75" customHeight="1" x14ac:dyDescent="0.3">
      <c r="A215" s="76" t="s">
        <v>208</v>
      </c>
      <c r="B215" s="1">
        <v>33</v>
      </c>
      <c r="C215" s="1">
        <v>33</v>
      </c>
      <c r="D215" s="1">
        <v>33</v>
      </c>
      <c r="E215" s="59">
        <f t="shared" si="40"/>
        <v>99</v>
      </c>
      <c r="F215" s="1">
        <v>33</v>
      </c>
      <c r="G215" s="1">
        <v>33</v>
      </c>
      <c r="H215" s="1">
        <v>34</v>
      </c>
      <c r="I215" s="59">
        <f t="shared" si="41"/>
        <v>100</v>
      </c>
      <c r="J215" s="1">
        <v>34</v>
      </c>
      <c r="K215" s="1">
        <v>34</v>
      </c>
      <c r="L215" s="1">
        <v>34</v>
      </c>
      <c r="M215" s="59">
        <f t="shared" si="42"/>
        <v>102</v>
      </c>
      <c r="N215" s="1">
        <v>33</v>
      </c>
      <c r="O215" s="1">
        <v>33</v>
      </c>
      <c r="P215" s="1">
        <v>33</v>
      </c>
      <c r="Q215" s="59">
        <f t="shared" si="43"/>
        <v>99</v>
      </c>
      <c r="R215" s="59">
        <f t="shared" si="44"/>
        <v>400</v>
      </c>
    </row>
    <row r="216" spans="1:20" ht="15.75" customHeight="1" x14ac:dyDescent="0.3">
      <c r="A216" s="102" t="s">
        <v>879</v>
      </c>
      <c r="B216" s="1">
        <v>38</v>
      </c>
      <c r="C216" s="1">
        <v>38</v>
      </c>
      <c r="D216" s="1">
        <v>55</v>
      </c>
      <c r="E216" s="59">
        <f t="shared" si="40"/>
        <v>131</v>
      </c>
      <c r="F216" s="1">
        <v>73</v>
      </c>
      <c r="G216" s="1">
        <v>210</v>
      </c>
      <c r="H216" s="1">
        <v>241</v>
      </c>
      <c r="I216" s="59">
        <f t="shared" si="41"/>
        <v>524</v>
      </c>
      <c r="J216" s="1">
        <v>239</v>
      </c>
      <c r="K216" s="1">
        <v>229</v>
      </c>
      <c r="L216" s="1">
        <v>95</v>
      </c>
      <c r="M216" s="59">
        <f t="shared" si="42"/>
        <v>563</v>
      </c>
      <c r="N216" s="1">
        <v>90</v>
      </c>
      <c r="O216" s="1">
        <v>53</v>
      </c>
      <c r="P216" s="1">
        <v>39</v>
      </c>
      <c r="Q216" s="59">
        <f t="shared" si="43"/>
        <v>182</v>
      </c>
      <c r="R216" s="59">
        <f t="shared" si="44"/>
        <v>1400</v>
      </c>
      <c r="T216" s="4" t="s">
        <v>127</v>
      </c>
    </row>
    <row r="217" spans="1:20" ht="15.75" customHeight="1" x14ac:dyDescent="0.3">
      <c r="A217" s="102" t="s">
        <v>210</v>
      </c>
      <c r="B217" s="1"/>
      <c r="C217" s="1"/>
      <c r="D217" s="1"/>
      <c r="E217" s="59">
        <f t="shared" si="40"/>
        <v>0</v>
      </c>
      <c r="F217" s="1"/>
      <c r="G217" s="1"/>
      <c r="H217" s="1"/>
      <c r="I217" s="59">
        <f t="shared" si="41"/>
        <v>0</v>
      </c>
      <c r="J217" s="1"/>
      <c r="K217" s="1"/>
      <c r="L217" s="1"/>
      <c r="M217" s="59">
        <f t="shared" si="42"/>
        <v>0</v>
      </c>
      <c r="N217" s="1"/>
      <c r="O217" s="1"/>
      <c r="P217" s="1"/>
      <c r="Q217" s="59">
        <f t="shared" si="43"/>
        <v>0</v>
      </c>
      <c r="R217" s="59">
        <f>+E217+I217+M217+Q217</f>
        <v>0</v>
      </c>
      <c r="T217" s="4" t="s">
        <v>134</v>
      </c>
    </row>
    <row r="218" spans="1:20" ht="15.75" customHeight="1" x14ac:dyDescent="0.3">
      <c r="A218" s="76" t="s">
        <v>212</v>
      </c>
      <c r="B218" s="1"/>
      <c r="C218" s="1"/>
      <c r="D218" s="1"/>
      <c r="E218" s="59">
        <f t="shared" si="40"/>
        <v>0</v>
      </c>
      <c r="F218" s="1"/>
      <c r="G218" s="1"/>
      <c r="H218" s="1">
        <v>1407</v>
      </c>
      <c r="I218" s="59">
        <f t="shared" si="41"/>
        <v>1407</v>
      </c>
      <c r="J218" s="1"/>
      <c r="K218" s="1"/>
      <c r="L218" s="1"/>
      <c r="M218" s="59">
        <f t="shared" si="42"/>
        <v>0</v>
      </c>
      <c r="N218" s="1"/>
      <c r="O218" s="1"/>
      <c r="P218" s="1"/>
      <c r="Q218" s="59">
        <f t="shared" si="43"/>
        <v>0</v>
      </c>
      <c r="R218" s="59">
        <f>+E218+I218+M218+Q218</f>
        <v>1407</v>
      </c>
      <c r="S218" s="94"/>
      <c r="T218" s="4" t="s">
        <v>137</v>
      </c>
    </row>
    <row r="219" spans="1:20" ht="15.75" customHeight="1" x14ac:dyDescent="0.3">
      <c r="A219" s="76" t="s">
        <v>215</v>
      </c>
      <c r="B219" s="1">
        <v>300</v>
      </c>
      <c r="C219" s="1">
        <v>672</v>
      </c>
      <c r="D219" s="1"/>
      <c r="E219" s="59">
        <f t="shared" ref="E219:E269" si="45">SUM(B219:D219)</f>
        <v>972</v>
      </c>
      <c r="F219" s="1"/>
      <c r="G219" s="1"/>
      <c r="H219" s="1"/>
      <c r="I219" s="59">
        <f t="shared" ref="I219:I269" si="46">SUM(F219:H219)</f>
        <v>0</v>
      </c>
      <c r="J219" s="1"/>
      <c r="K219" s="1"/>
      <c r="L219" s="1"/>
      <c r="M219" s="59">
        <f t="shared" ref="M219:M269" si="47">SUM(J219:L219)</f>
        <v>0</v>
      </c>
      <c r="N219" s="1"/>
      <c r="O219" s="1"/>
      <c r="P219" s="1"/>
      <c r="Q219" s="59">
        <f t="shared" ref="Q219:Q269" si="48">SUM(N219:P219)</f>
        <v>0</v>
      </c>
      <c r="R219" s="59">
        <f t="shared" si="44"/>
        <v>972</v>
      </c>
      <c r="S219" s="4" t="s">
        <v>136</v>
      </c>
    </row>
    <row r="220" spans="1:20" ht="15.75" customHeight="1" x14ac:dyDescent="0.3">
      <c r="A220" s="103" t="s">
        <v>216</v>
      </c>
      <c r="B220" s="1">
        <v>600</v>
      </c>
      <c r="C220" s="1">
        <v>477</v>
      </c>
      <c r="D220" s="1"/>
      <c r="E220" s="59">
        <f t="shared" ref="E220" si="49">SUM(B220:D220)</f>
        <v>1077</v>
      </c>
      <c r="F220" s="1"/>
      <c r="G220" s="1"/>
      <c r="H220" s="1"/>
      <c r="I220" s="59">
        <f t="shared" si="46"/>
        <v>0</v>
      </c>
      <c r="J220" s="1"/>
      <c r="K220" s="1"/>
      <c r="L220" s="1"/>
      <c r="M220" s="59">
        <f t="shared" si="47"/>
        <v>0</v>
      </c>
      <c r="N220" s="1"/>
      <c r="O220" s="1"/>
      <c r="P220" s="1"/>
      <c r="Q220" s="59">
        <f t="shared" si="48"/>
        <v>0</v>
      </c>
      <c r="R220" s="59">
        <f>+E220+I220+M220+Q220</f>
        <v>1077</v>
      </c>
      <c r="T220" s="4" t="s">
        <v>217</v>
      </c>
    </row>
    <row r="221" spans="1:20" ht="15.75" customHeight="1" x14ac:dyDescent="0.3">
      <c r="A221" s="76" t="s">
        <v>218</v>
      </c>
      <c r="B221" s="1">
        <v>682</v>
      </c>
      <c r="C221" s="1"/>
      <c r="D221" s="1"/>
      <c r="E221" s="59">
        <f>SUM(B221:D221)</f>
        <v>682</v>
      </c>
      <c r="F221" s="1"/>
      <c r="G221" s="1"/>
      <c r="H221" s="1"/>
      <c r="I221" s="59">
        <f>SUM(F221:H221)</f>
        <v>0</v>
      </c>
      <c r="J221" s="1"/>
      <c r="K221" s="1"/>
      <c r="L221" s="1"/>
      <c r="M221" s="59">
        <f>SUM(J221:L221)</f>
        <v>0</v>
      </c>
      <c r="N221" s="1"/>
      <c r="O221" s="1"/>
      <c r="P221" s="1"/>
      <c r="Q221" s="59">
        <f>SUM(N221:P221)</f>
        <v>0</v>
      </c>
      <c r="R221" s="59">
        <f t="shared" si="44"/>
        <v>682</v>
      </c>
      <c r="T221" s="4" t="s">
        <v>158</v>
      </c>
    </row>
    <row r="222" spans="1:20" ht="15.75" customHeight="1" x14ac:dyDescent="0.3">
      <c r="A222" s="76" t="s">
        <v>393</v>
      </c>
      <c r="B222" s="1"/>
      <c r="C222" s="1"/>
      <c r="D222" s="1"/>
      <c r="E222" s="59">
        <f t="shared" si="45"/>
        <v>0</v>
      </c>
      <c r="F222" s="1"/>
      <c r="G222" s="1"/>
      <c r="H222" s="1"/>
      <c r="I222" s="59">
        <f t="shared" si="46"/>
        <v>0</v>
      </c>
      <c r="J222" s="1"/>
      <c r="K222" s="1"/>
      <c r="L222" s="1"/>
      <c r="M222" s="59">
        <f t="shared" si="47"/>
        <v>0</v>
      </c>
      <c r="N222" s="1"/>
      <c r="O222" s="1"/>
      <c r="P222" s="1"/>
      <c r="Q222" s="59">
        <f t="shared" si="48"/>
        <v>0</v>
      </c>
      <c r="R222" s="59">
        <f t="shared" si="44"/>
        <v>0</v>
      </c>
    </row>
    <row r="223" spans="1:20" ht="15.75" customHeight="1" x14ac:dyDescent="0.3">
      <c r="A223" s="76" t="s">
        <v>220</v>
      </c>
      <c r="B223" s="1">
        <v>1136</v>
      </c>
      <c r="C223" s="1"/>
      <c r="D223" s="1"/>
      <c r="E223" s="59">
        <f t="shared" si="45"/>
        <v>1136</v>
      </c>
      <c r="F223" s="1"/>
      <c r="G223" s="1"/>
      <c r="H223" s="1"/>
      <c r="I223" s="59">
        <f t="shared" si="46"/>
        <v>0</v>
      </c>
      <c r="J223" s="1"/>
      <c r="K223" s="1"/>
      <c r="L223" s="1"/>
      <c r="M223" s="59">
        <f t="shared" si="47"/>
        <v>0</v>
      </c>
      <c r="N223" s="1"/>
      <c r="O223" s="1"/>
      <c r="P223" s="1"/>
      <c r="Q223" s="59">
        <f t="shared" si="48"/>
        <v>0</v>
      </c>
      <c r="R223" s="59">
        <f t="shared" si="44"/>
        <v>1136</v>
      </c>
    </row>
    <row r="224" spans="1:20" ht="15.75" customHeight="1" x14ac:dyDescent="0.3">
      <c r="A224" s="76" t="s">
        <v>221</v>
      </c>
      <c r="B224" s="1">
        <v>23</v>
      </c>
      <c r="C224" s="1"/>
      <c r="D224" s="1"/>
      <c r="E224" s="59">
        <f t="shared" si="45"/>
        <v>23</v>
      </c>
      <c r="F224" s="1"/>
      <c r="G224" s="1"/>
      <c r="H224" s="1"/>
      <c r="I224" s="59">
        <f t="shared" si="46"/>
        <v>0</v>
      </c>
      <c r="J224" s="1"/>
      <c r="K224" s="1"/>
      <c r="L224" s="1"/>
      <c r="M224" s="59">
        <f t="shared" si="47"/>
        <v>0</v>
      </c>
      <c r="N224" s="1"/>
      <c r="O224" s="1"/>
      <c r="P224" s="1"/>
      <c r="Q224" s="59">
        <f t="shared" si="48"/>
        <v>0</v>
      </c>
      <c r="R224" s="59">
        <f t="shared" si="44"/>
        <v>23</v>
      </c>
    </row>
    <row r="225" spans="1:20" ht="15.75" customHeight="1" x14ac:dyDescent="0.3">
      <c r="A225" s="76" t="s">
        <v>222</v>
      </c>
      <c r="B225" s="1">
        <v>23</v>
      </c>
      <c r="C225" s="1"/>
      <c r="D225" s="1"/>
      <c r="E225" s="59">
        <f t="shared" si="45"/>
        <v>23</v>
      </c>
      <c r="F225" s="1"/>
      <c r="G225" s="1"/>
      <c r="H225" s="1"/>
      <c r="I225" s="59">
        <f t="shared" si="46"/>
        <v>0</v>
      </c>
      <c r="J225" s="1"/>
      <c r="K225" s="1"/>
      <c r="L225" s="1"/>
      <c r="M225" s="59">
        <f t="shared" si="47"/>
        <v>0</v>
      </c>
      <c r="N225" s="1"/>
      <c r="O225" s="1"/>
      <c r="P225" s="1"/>
      <c r="Q225" s="59">
        <f t="shared" si="48"/>
        <v>0</v>
      </c>
      <c r="R225" s="59">
        <f t="shared" si="44"/>
        <v>23</v>
      </c>
      <c r="S225" s="4" t="s">
        <v>136</v>
      </c>
      <c r="T225" s="4" t="s">
        <v>137</v>
      </c>
    </row>
    <row r="226" spans="1:20" ht="15.75" customHeight="1" x14ac:dyDescent="0.3">
      <c r="A226" s="76" t="s">
        <v>223</v>
      </c>
      <c r="B226" s="1"/>
      <c r="C226" s="1"/>
      <c r="D226" s="1"/>
      <c r="E226" s="59">
        <f t="shared" si="45"/>
        <v>0</v>
      </c>
      <c r="F226" s="1"/>
      <c r="G226" s="1"/>
      <c r="H226" s="1"/>
      <c r="I226" s="59">
        <f t="shared" si="46"/>
        <v>0</v>
      </c>
      <c r="J226" s="1"/>
      <c r="K226" s="1"/>
      <c r="L226" s="1"/>
      <c r="M226" s="59">
        <f t="shared" si="47"/>
        <v>0</v>
      </c>
      <c r="N226" s="1"/>
      <c r="O226" s="1"/>
      <c r="P226" s="1"/>
      <c r="Q226" s="59">
        <f t="shared" si="48"/>
        <v>0</v>
      </c>
      <c r="R226" s="59">
        <f t="shared" si="44"/>
        <v>0</v>
      </c>
      <c r="S226" s="4" t="s">
        <v>136</v>
      </c>
      <c r="T226" s="4" t="s">
        <v>137</v>
      </c>
    </row>
    <row r="227" spans="1:20" ht="15.75" customHeight="1" x14ac:dyDescent="0.3">
      <c r="A227" s="76" t="s">
        <v>224</v>
      </c>
      <c r="B227" s="1"/>
      <c r="C227" s="1"/>
      <c r="D227" s="1"/>
      <c r="E227" s="59">
        <f t="shared" ref="E227" si="50">SUM(B227:D227)</f>
        <v>0</v>
      </c>
      <c r="F227" s="1"/>
      <c r="G227" s="1">
        <v>1228</v>
      </c>
      <c r="H227" s="1"/>
      <c r="I227" s="59">
        <f t="shared" si="46"/>
        <v>1228</v>
      </c>
      <c r="J227" s="1"/>
      <c r="K227" s="1"/>
      <c r="L227" s="1"/>
      <c r="M227" s="59">
        <f t="shared" si="47"/>
        <v>0</v>
      </c>
      <c r="N227" s="1"/>
      <c r="O227" s="1"/>
      <c r="P227" s="1"/>
      <c r="Q227" s="59">
        <f t="shared" si="48"/>
        <v>0</v>
      </c>
      <c r="R227" s="59">
        <f t="shared" si="44"/>
        <v>1228</v>
      </c>
    </row>
    <row r="228" spans="1:20" ht="15.75" customHeight="1" x14ac:dyDescent="0.3">
      <c r="A228" s="76" t="s">
        <v>225</v>
      </c>
      <c r="B228" s="1"/>
      <c r="C228" s="1"/>
      <c r="D228" s="1"/>
      <c r="E228" s="59">
        <f t="shared" si="45"/>
        <v>0</v>
      </c>
      <c r="F228" s="1"/>
      <c r="G228" s="1">
        <v>3072</v>
      </c>
      <c r="H228" s="1"/>
      <c r="I228" s="59">
        <f t="shared" si="46"/>
        <v>3072</v>
      </c>
      <c r="J228" s="1"/>
      <c r="K228" s="1"/>
      <c r="L228" s="1"/>
      <c r="M228" s="59">
        <f t="shared" si="47"/>
        <v>0</v>
      </c>
      <c r="N228" s="1"/>
      <c r="O228" s="1"/>
      <c r="P228" s="1"/>
      <c r="Q228" s="59">
        <f t="shared" si="48"/>
        <v>0</v>
      </c>
      <c r="R228" s="59">
        <f t="shared" si="44"/>
        <v>3072</v>
      </c>
    </row>
    <row r="229" spans="1:20" ht="15.75" customHeight="1" x14ac:dyDescent="0.3">
      <c r="A229" s="102" t="s">
        <v>226</v>
      </c>
      <c r="B229" s="1"/>
      <c r="C229" s="1"/>
      <c r="D229" s="1"/>
      <c r="E229" s="59">
        <f t="shared" si="45"/>
        <v>0</v>
      </c>
      <c r="F229" s="1"/>
      <c r="G229" s="1"/>
      <c r="H229" s="1"/>
      <c r="I229" s="59">
        <f t="shared" si="46"/>
        <v>0</v>
      </c>
      <c r="J229" s="1"/>
      <c r="K229" s="1"/>
      <c r="L229" s="1"/>
      <c r="M229" s="59">
        <f t="shared" si="47"/>
        <v>0</v>
      </c>
      <c r="N229" s="1"/>
      <c r="O229" s="1"/>
      <c r="P229" s="1"/>
      <c r="Q229" s="59">
        <f t="shared" si="48"/>
        <v>0</v>
      </c>
      <c r="R229" s="59">
        <f t="shared" si="44"/>
        <v>0</v>
      </c>
      <c r="T229" s="4" t="s">
        <v>121</v>
      </c>
    </row>
    <row r="230" spans="1:20" ht="15.75" customHeight="1" x14ac:dyDescent="0.3">
      <c r="A230" s="76" t="s">
        <v>227</v>
      </c>
      <c r="B230" s="1"/>
      <c r="C230" s="1"/>
      <c r="D230" s="1"/>
      <c r="E230" s="59">
        <f t="shared" si="45"/>
        <v>0</v>
      </c>
      <c r="F230" s="1"/>
      <c r="G230" s="1"/>
      <c r="H230" s="1"/>
      <c r="I230" s="59">
        <f t="shared" si="46"/>
        <v>0</v>
      </c>
      <c r="J230" s="1"/>
      <c r="K230" s="1"/>
      <c r="L230" s="1"/>
      <c r="M230" s="59">
        <f t="shared" si="47"/>
        <v>0</v>
      </c>
      <c r="N230" s="1"/>
      <c r="O230" s="1"/>
      <c r="P230" s="1"/>
      <c r="Q230" s="59">
        <f>SUM(N230:P230)</f>
        <v>0</v>
      </c>
      <c r="R230" s="59">
        <f>+E230+I230+M230+Q230</f>
        <v>0</v>
      </c>
      <c r="S230" s="94"/>
      <c r="T230" s="4" t="s">
        <v>137</v>
      </c>
    </row>
    <row r="231" spans="1:20" ht="15.75" customHeight="1" x14ac:dyDescent="0.3">
      <c r="A231" s="102" t="s">
        <v>228</v>
      </c>
      <c r="B231" s="1"/>
      <c r="C231" s="1">
        <v>1500</v>
      </c>
      <c r="D231" s="1">
        <v>1750</v>
      </c>
      <c r="E231" s="59">
        <f t="shared" si="45"/>
        <v>3250</v>
      </c>
      <c r="F231" s="1">
        <v>1094</v>
      </c>
      <c r="G231" s="1">
        <v>2250</v>
      </c>
      <c r="H231" s="1">
        <v>406</v>
      </c>
      <c r="I231" s="59">
        <f t="shared" si="46"/>
        <v>3750</v>
      </c>
      <c r="J231" s="1"/>
      <c r="K231" s="1"/>
      <c r="L231" s="1"/>
      <c r="M231" s="59">
        <f t="shared" si="47"/>
        <v>0</v>
      </c>
      <c r="N231" s="1"/>
      <c r="O231" s="1"/>
      <c r="P231" s="1"/>
      <c r="Q231" s="59">
        <f t="shared" si="48"/>
        <v>0</v>
      </c>
      <c r="R231" s="59">
        <f t="shared" si="44"/>
        <v>7000</v>
      </c>
    </row>
    <row r="232" spans="1:20" ht="15.75" customHeight="1" x14ac:dyDescent="0.3">
      <c r="A232" s="102" t="s">
        <v>229</v>
      </c>
      <c r="B232" s="1"/>
      <c r="C232" s="1"/>
      <c r="D232" s="1"/>
      <c r="E232" s="59">
        <f t="shared" si="45"/>
        <v>0</v>
      </c>
      <c r="F232" s="1"/>
      <c r="G232" s="1"/>
      <c r="H232" s="1"/>
      <c r="I232" s="59">
        <f t="shared" si="46"/>
        <v>0</v>
      </c>
      <c r="J232" s="1"/>
      <c r="K232" s="1"/>
      <c r="L232" s="1"/>
      <c r="M232" s="59">
        <f t="shared" si="47"/>
        <v>0</v>
      </c>
      <c r="N232" s="1"/>
      <c r="O232" s="1"/>
      <c r="P232" s="1"/>
      <c r="Q232" s="59">
        <f t="shared" si="48"/>
        <v>0</v>
      </c>
      <c r="R232" s="59">
        <f t="shared" si="44"/>
        <v>0</v>
      </c>
    </row>
    <row r="233" spans="1:20" ht="15.75" customHeight="1" x14ac:dyDescent="0.3">
      <c r="A233" s="102" t="s">
        <v>231</v>
      </c>
      <c r="B233" s="1">
        <v>229</v>
      </c>
      <c r="C233" s="1">
        <v>500</v>
      </c>
      <c r="D233" s="1">
        <v>400</v>
      </c>
      <c r="E233" s="59">
        <f t="shared" si="45"/>
        <v>1129</v>
      </c>
      <c r="F233" s="1"/>
      <c r="G233" s="1"/>
      <c r="H233" s="1"/>
      <c r="I233" s="59">
        <f t="shared" si="46"/>
        <v>0</v>
      </c>
      <c r="J233" s="1"/>
      <c r="K233" s="1"/>
      <c r="L233" s="1"/>
      <c r="M233" s="59">
        <f t="shared" si="47"/>
        <v>0</v>
      </c>
      <c r="N233" s="1"/>
      <c r="O233" s="1"/>
      <c r="P233" s="1"/>
      <c r="Q233" s="59">
        <f t="shared" si="48"/>
        <v>0</v>
      </c>
      <c r="R233" s="59">
        <f t="shared" si="44"/>
        <v>1129</v>
      </c>
    </row>
    <row r="234" spans="1:20" ht="15.75" customHeight="1" x14ac:dyDescent="0.3">
      <c r="A234" s="102" t="s">
        <v>232</v>
      </c>
      <c r="B234" s="1">
        <v>130</v>
      </c>
      <c r="C234" s="1">
        <v>150</v>
      </c>
      <c r="D234" s="1"/>
      <c r="E234" s="59">
        <f t="shared" si="45"/>
        <v>280</v>
      </c>
      <c r="F234" s="1"/>
      <c r="G234" s="1"/>
      <c r="H234" s="1"/>
      <c r="I234" s="59">
        <f t="shared" si="46"/>
        <v>0</v>
      </c>
      <c r="J234" s="1"/>
      <c r="K234" s="1"/>
      <c r="L234" s="1"/>
      <c r="M234" s="59">
        <f t="shared" si="47"/>
        <v>0</v>
      </c>
      <c r="N234" s="1"/>
      <c r="O234" s="1"/>
      <c r="P234" s="1"/>
      <c r="Q234" s="59">
        <f t="shared" si="48"/>
        <v>0</v>
      </c>
      <c r="R234" s="59">
        <f t="shared" si="44"/>
        <v>280</v>
      </c>
    </row>
    <row r="235" spans="1:20" ht="15.75" customHeight="1" x14ac:dyDescent="0.3">
      <c r="A235" s="76" t="s">
        <v>233</v>
      </c>
      <c r="B235" s="1">
        <v>781</v>
      </c>
      <c r="C235" s="1">
        <v>735</v>
      </c>
      <c r="D235" s="1">
        <v>797</v>
      </c>
      <c r="E235" s="59">
        <f t="shared" si="45"/>
        <v>2313</v>
      </c>
      <c r="F235" s="1">
        <v>879</v>
      </c>
      <c r="G235" s="1">
        <v>1041</v>
      </c>
      <c r="H235" s="1">
        <v>846</v>
      </c>
      <c r="I235" s="59">
        <f t="shared" si="46"/>
        <v>2766</v>
      </c>
      <c r="J235" s="1"/>
      <c r="K235" s="1"/>
      <c r="L235" s="1"/>
      <c r="M235" s="59">
        <f t="shared" si="47"/>
        <v>0</v>
      </c>
      <c r="N235" s="1"/>
      <c r="O235" s="1"/>
      <c r="P235" s="1"/>
      <c r="Q235" s="59">
        <f t="shared" si="48"/>
        <v>0</v>
      </c>
      <c r="R235" s="59">
        <f t="shared" si="44"/>
        <v>5079</v>
      </c>
    </row>
    <row r="236" spans="1:20" ht="15.75" customHeight="1" x14ac:dyDescent="0.3">
      <c r="A236" s="91" t="s">
        <v>234</v>
      </c>
      <c r="B236" s="1">
        <v>26</v>
      </c>
      <c r="C236" s="1">
        <v>33</v>
      </c>
      <c r="D236" s="1">
        <v>48</v>
      </c>
      <c r="E236" s="59">
        <f>SUM(B236:D236)</f>
        <v>107</v>
      </c>
      <c r="F236" s="1">
        <v>19</v>
      </c>
      <c r="G236" s="1">
        <v>88</v>
      </c>
      <c r="H236" s="1"/>
      <c r="I236" s="59">
        <f t="shared" si="46"/>
        <v>107</v>
      </c>
      <c r="J236" s="1"/>
      <c r="K236" s="1"/>
      <c r="L236" s="1"/>
      <c r="M236" s="59">
        <f t="shared" si="47"/>
        <v>0</v>
      </c>
      <c r="N236" s="1"/>
      <c r="O236" s="1"/>
      <c r="P236" s="1"/>
      <c r="Q236" s="59">
        <f t="shared" si="48"/>
        <v>0</v>
      </c>
      <c r="R236" s="59">
        <f t="shared" si="44"/>
        <v>214</v>
      </c>
    </row>
    <row r="237" spans="1:20" ht="15.75" customHeight="1" x14ac:dyDescent="0.3">
      <c r="A237" s="91" t="s">
        <v>235</v>
      </c>
      <c r="B237" s="1">
        <v>18</v>
      </c>
      <c r="C237" s="1">
        <v>21</v>
      </c>
      <c r="D237" s="1">
        <v>38</v>
      </c>
      <c r="E237" s="59">
        <f>SUM(B237:D237)</f>
        <v>77</v>
      </c>
      <c r="F237" s="1">
        <v>78</v>
      </c>
      <c r="G237" s="1">
        <v>103</v>
      </c>
      <c r="H237" s="1"/>
      <c r="I237" s="59">
        <f t="shared" si="46"/>
        <v>181</v>
      </c>
      <c r="J237" s="1"/>
      <c r="K237" s="1"/>
      <c r="L237" s="1"/>
      <c r="M237" s="59">
        <f t="shared" si="47"/>
        <v>0</v>
      </c>
      <c r="N237" s="1"/>
      <c r="O237" s="1"/>
      <c r="P237" s="1"/>
      <c r="Q237" s="59">
        <f t="shared" si="48"/>
        <v>0</v>
      </c>
      <c r="R237" s="59">
        <f t="shared" si="44"/>
        <v>258</v>
      </c>
    </row>
    <row r="238" spans="1:20" ht="15.75" customHeight="1" x14ac:dyDescent="0.3">
      <c r="A238" s="91" t="s">
        <v>236</v>
      </c>
      <c r="B238" s="1"/>
      <c r="C238" s="1"/>
      <c r="D238" s="1"/>
      <c r="E238" s="59">
        <f>SUM(B238:D238)</f>
        <v>0</v>
      </c>
      <c r="F238" s="1">
        <v>10</v>
      </c>
      <c r="G238" s="1">
        <v>30</v>
      </c>
      <c r="H238" s="1"/>
      <c r="I238" s="59">
        <f t="shared" si="46"/>
        <v>40</v>
      </c>
      <c r="J238" s="1"/>
      <c r="K238" s="1"/>
      <c r="L238" s="1"/>
      <c r="M238" s="59">
        <f t="shared" si="47"/>
        <v>0</v>
      </c>
      <c r="N238" s="1"/>
      <c r="O238" s="1"/>
      <c r="P238" s="1"/>
      <c r="Q238" s="59">
        <f t="shared" si="48"/>
        <v>0</v>
      </c>
      <c r="R238" s="59">
        <f t="shared" si="44"/>
        <v>40</v>
      </c>
      <c r="T238" s="4" t="s">
        <v>121</v>
      </c>
    </row>
    <row r="239" spans="1:20" ht="15.75" customHeight="1" x14ac:dyDescent="0.3">
      <c r="A239" s="76" t="s">
        <v>237</v>
      </c>
      <c r="B239" s="1"/>
      <c r="C239" s="1"/>
      <c r="D239" s="1"/>
      <c r="E239" s="59">
        <f t="shared" ref="E239" si="51">SUM(B239:D239)</f>
        <v>0</v>
      </c>
      <c r="F239" s="1"/>
      <c r="G239" s="1">
        <v>1494</v>
      </c>
      <c r="H239" s="1">
        <v>2722</v>
      </c>
      <c r="I239" s="59">
        <f t="shared" ref="I239" si="52">SUM(F239:H239)</f>
        <v>4216</v>
      </c>
      <c r="J239" s="1"/>
      <c r="K239" s="1"/>
      <c r="L239" s="1"/>
      <c r="M239" s="59">
        <f t="shared" ref="M239" si="53">SUM(J239:L239)</f>
        <v>0</v>
      </c>
      <c r="N239" s="1"/>
      <c r="O239" s="1"/>
      <c r="P239" s="1"/>
      <c r="Q239" s="59">
        <f t="shared" ref="Q239" si="54">SUM(N239:P239)</f>
        <v>0</v>
      </c>
      <c r="R239" s="59">
        <f t="shared" si="44"/>
        <v>4216</v>
      </c>
      <c r="S239" s="105" t="s">
        <v>136</v>
      </c>
    </row>
    <row r="240" spans="1:20" ht="15.75" customHeight="1" x14ac:dyDescent="0.3">
      <c r="A240" s="76" t="s">
        <v>238</v>
      </c>
      <c r="B240" s="1"/>
      <c r="C240" s="1"/>
      <c r="D240" s="1"/>
      <c r="E240" s="59">
        <f t="shared" si="45"/>
        <v>0</v>
      </c>
      <c r="F240" s="1"/>
      <c r="G240" s="1"/>
      <c r="H240" s="1">
        <v>10784</v>
      </c>
      <c r="I240" s="59">
        <f t="shared" si="46"/>
        <v>10784</v>
      </c>
      <c r="J240" s="1"/>
      <c r="K240" s="1"/>
      <c r="L240" s="1"/>
      <c r="M240" s="59">
        <f t="shared" si="47"/>
        <v>0</v>
      </c>
      <c r="N240" s="1"/>
      <c r="O240" s="1"/>
      <c r="P240" s="1"/>
      <c r="Q240" s="59">
        <f t="shared" si="48"/>
        <v>0</v>
      </c>
      <c r="R240" s="59">
        <f t="shared" si="44"/>
        <v>10784</v>
      </c>
      <c r="S240" s="4" t="s">
        <v>136</v>
      </c>
    </row>
    <row r="241" spans="1:21" ht="15.75" customHeight="1" x14ac:dyDescent="0.3">
      <c r="A241" s="76" t="s">
        <v>239</v>
      </c>
      <c r="B241" s="1"/>
      <c r="C241" s="1"/>
      <c r="D241" s="1"/>
      <c r="E241" s="59">
        <f t="shared" si="45"/>
        <v>0</v>
      </c>
      <c r="F241" s="1">
        <v>5673</v>
      </c>
      <c r="G241" s="1">
        <v>3859</v>
      </c>
      <c r="H241" s="1"/>
      <c r="I241" s="59">
        <f t="shared" si="46"/>
        <v>9532</v>
      </c>
      <c r="J241" s="1"/>
      <c r="K241" s="1"/>
      <c r="L241" s="1"/>
      <c r="M241" s="59">
        <f t="shared" si="47"/>
        <v>0</v>
      </c>
      <c r="N241" s="1"/>
      <c r="O241" s="1"/>
      <c r="P241" s="1"/>
      <c r="Q241" s="59">
        <f t="shared" si="48"/>
        <v>0</v>
      </c>
      <c r="R241" s="59">
        <f t="shared" si="44"/>
        <v>9532</v>
      </c>
      <c r="S241" s="4" t="s">
        <v>136</v>
      </c>
    </row>
    <row r="242" spans="1:21" ht="15.75" customHeight="1" x14ac:dyDescent="0.3">
      <c r="A242" s="76" t="s">
        <v>240</v>
      </c>
      <c r="B242" s="1"/>
      <c r="C242" s="1"/>
      <c r="D242" s="1"/>
      <c r="E242" s="59">
        <f t="shared" si="45"/>
        <v>0</v>
      </c>
      <c r="F242" s="1"/>
      <c r="G242" s="1">
        <v>194</v>
      </c>
      <c r="H242" s="1"/>
      <c r="I242" s="59">
        <f t="shared" si="46"/>
        <v>194</v>
      </c>
      <c r="J242" s="1"/>
      <c r="K242" s="1"/>
      <c r="L242" s="1"/>
      <c r="M242" s="59">
        <f t="shared" si="47"/>
        <v>0</v>
      </c>
      <c r="N242" s="1"/>
      <c r="O242" s="1"/>
      <c r="P242" s="1"/>
      <c r="Q242" s="59">
        <f>SUM(N242:P242)</f>
        <v>0</v>
      </c>
      <c r="R242" s="59">
        <f t="shared" si="44"/>
        <v>194</v>
      </c>
    </row>
    <row r="243" spans="1:21" ht="15.75" customHeight="1" x14ac:dyDescent="0.3">
      <c r="A243" s="76" t="s">
        <v>241</v>
      </c>
      <c r="B243" s="1"/>
      <c r="C243" s="1"/>
      <c r="D243" s="1">
        <v>816</v>
      </c>
      <c r="E243" s="59">
        <f t="shared" si="45"/>
        <v>816</v>
      </c>
      <c r="F243" s="1">
        <v>1600</v>
      </c>
      <c r="G243" s="1">
        <v>170</v>
      </c>
      <c r="H243" s="1"/>
      <c r="I243" s="59">
        <f t="shared" si="46"/>
        <v>1770</v>
      </c>
      <c r="J243" s="1"/>
      <c r="K243" s="1"/>
      <c r="L243" s="1"/>
      <c r="M243" s="59">
        <f t="shared" si="47"/>
        <v>0</v>
      </c>
      <c r="N243" s="1"/>
      <c r="O243" s="1"/>
      <c r="P243" s="1"/>
      <c r="Q243" s="59">
        <f t="shared" si="48"/>
        <v>0</v>
      </c>
      <c r="R243" s="59">
        <f t="shared" si="44"/>
        <v>2586</v>
      </c>
      <c r="S243" s="4" t="s">
        <v>136</v>
      </c>
      <c r="T243" s="4" t="s">
        <v>137</v>
      </c>
    </row>
    <row r="244" spans="1:21" ht="15.75" customHeight="1" x14ac:dyDescent="0.3">
      <c r="A244" s="76" t="s">
        <v>242</v>
      </c>
      <c r="B244" s="1"/>
      <c r="C244" s="1"/>
      <c r="D244" s="1"/>
      <c r="E244" s="59">
        <f t="shared" si="45"/>
        <v>0</v>
      </c>
      <c r="F244" s="1"/>
      <c r="G244" s="1"/>
      <c r="H244" s="1">
        <v>911</v>
      </c>
      <c r="I244" s="59">
        <f t="shared" si="46"/>
        <v>911</v>
      </c>
      <c r="J244" s="1">
        <v>1207</v>
      </c>
      <c r="K244" s="1"/>
      <c r="L244" s="1"/>
      <c r="M244" s="59">
        <f t="shared" si="47"/>
        <v>1207</v>
      </c>
      <c r="N244" s="1"/>
      <c r="O244" s="1"/>
      <c r="P244" s="1"/>
      <c r="Q244" s="59">
        <f t="shared" si="48"/>
        <v>0</v>
      </c>
      <c r="R244" s="59">
        <f t="shared" si="44"/>
        <v>2118</v>
      </c>
      <c r="S244" s="106" t="s">
        <v>136</v>
      </c>
      <c r="T244" s="106" t="s">
        <v>137</v>
      </c>
      <c r="U244" s="106"/>
    </row>
    <row r="245" spans="1:21" ht="15.75" customHeight="1" x14ac:dyDescent="0.3">
      <c r="A245" s="76" t="s">
        <v>243</v>
      </c>
      <c r="B245" s="1"/>
      <c r="C245" s="1">
        <v>563</v>
      </c>
      <c r="D245" s="1">
        <v>751</v>
      </c>
      <c r="E245" s="59">
        <f>SUM(B245:D245)</f>
        <v>1314</v>
      </c>
      <c r="F245" s="1"/>
      <c r="G245" s="1"/>
      <c r="H245" s="1"/>
      <c r="I245" s="59">
        <f>SUM(F245:H245)</f>
        <v>0</v>
      </c>
      <c r="J245" s="1"/>
      <c r="K245" s="1"/>
      <c r="L245" s="1"/>
      <c r="M245" s="59">
        <f t="shared" si="47"/>
        <v>0</v>
      </c>
      <c r="N245" s="1"/>
      <c r="O245" s="1"/>
      <c r="P245" s="1"/>
      <c r="Q245" s="59">
        <f t="shared" si="48"/>
        <v>0</v>
      </c>
      <c r="R245" s="59">
        <f t="shared" si="44"/>
        <v>1314</v>
      </c>
      <c r="T245" s="4" t="s">
        <v>244</v>
      </c>
    </row>
    <row r="246" spans="1:21" ht="15.75" customHeight="1" x14ac:dyDescent="0.3">
      <c r="A246" s="91" t="s">
        <v>245</v>
      </c>
      <c r="B246" s="1"/>
      <c r="C246" s="1"/>
      <c r="D246" s="1">
        <v>500</v>
      </c>
      <c r="E246" s="59">
        <f>SUM(B246:D246)</f>
        <v>500</v>
      </c>
      <c r="F246" s="1"/>
      <c r="G246" s="1"/>
      <c r="H246" s="1"/>
      <c r="I246" s="59">
        <f>SUM(F246:H246)</f>
        <v>0</v>
      </c>
      <c r="J246" s="1"/>
      <c r="K246" s="1"/>
      <c r="L246" s="1"/>
      <c r="M246" s="59">
        <f t="shared" si="47"/>
        <v>0</v>
      </c>
      <c r="N246" s="1"/>
      <c r="O246" s="1"/>
      <c r="P246" s="1"/>
      <c r="Q246" s="59">
        <f>SUM(N246:P246)</f>
        <v>0</v>
      </c>
      <c r="R246" s="59">
        <f>+E246+I246+M246+Q246</f>
        <v>500</v>
      </c>
      <c r="T246" s="4" t="s">
        <v>134</v>
      </c>
    </row>
    <row r="247" spans="1:21" ht="15.75" customHeight="1" x14ac:dyDescent="0.3">
      <c r="A247" s="76" t="s">
        <v>436</v>
      </c>
      <c r="B247" s="1"/>
      <c r="C247" s="1"/>
      <c r="D247" s="1"/>
      <c r="E247" s="59">
        <f t="shared" si="45"/>
        <v>0</v>
      </c>
      <c r="F247" s="1"/>
      <c r="G247" s="1"/>
      <c r="H247" s="1"/>
      <c r="I247" s="59">
        <f t="shared" si="46"/>
        <v>0</v>
      </c>
      <c r="J247" s="1"/>
      <c r="K247" s="1"/>
      <c r="L247" s="1"/>
      <c r="M247" s="59">
        <f t="shared" si="47"/>
        <v>0</v>
      </c>
      <c r="N247" s="1"/>
      <c r="O247" s="1"/>
      <c r="P247" s="1"/>
      <c r="Q247" s="59">
        <f t="shared" si="48"/>
        <v>0</v>
      </c>
      <c r="R247" s="59">
        <f t="shared" si="44"/>
        <v>0</v>
      </c>
    </row>
    <row r="248" spans="1:21" ht="15.75" customHeight="1" x14ac:dyDescent="0.3">
      <c r="A248" s="76" t="s">
        <v>246</v>
      </c>
      <c r="B248" s="1"/>
      <c r="C248" s="1"/>
      <c r="D248" s="1"/>
      <c r="E248" s="59">
        <f t="shared" si="45"/>
        <v>0</v>
      </c>
      <c r="F248" s="1"/>
      <c r="G248" s="1">
        <v>3023</v>
      </c>
      <c r="H248" s="1"/>
      <c r="I248" s="59">
        <f t="shared" si="46"/>
        <v>3023</v>
      </c>
      <c r="J248" s="1"/>
      <c r="K248" s="1"/>
      <c r="L248" s="1"/>
      <c r="M248" s="59">
        <f t="shared" si="47"/>
        <v>0</v>
      </c>
      <c r="N248" s="1"/>
      <c r="O248" s="1"/>
      <c r="P248" s="1"/>
      <c r="Q248" s="59">
        <f t="shared" si="48"/>
        <v>0</v>
      </c>
      <c r="R248" s="59">
        <f t="shared" si="44"/>
        <v>3023</v>
      </c>
    </row>
    <row r="249" spans="1:21" ht="15.75" customHeight="1" x14ac:dyDescent="0.3">
      <c r="A249" s="76" t="s">
        <v>248</v>
      </c>
      <c r="B249" s="1"/>
      <c r="C249" s="1">
        <v>60</v>
      </c>
      <c r="D249" s="1"/>
      <c r="E249" s="59">
        <f t="shared" si="45"/>
        <v>60</v>
      </c>
      <c r="F249" s="1"/>
      <c r="G249" s="1"/>
      <c r="H249" s="1"/>
      <c r="I249" s="59">
        <f t="shared" si="46"/>
        <v>0</v>
      </c>
      <c r="J249" s="1"/>
      <c r="K249" s="1"/>
      <c r="L249" s="1"/>
      <c r="M249" s="59">
        <f t="shared" si="47"/>
        <v>0</v>
      </c>
      <c r="N249" s="1"/>
      <c r="O249" s="1"/>
      <c r="P249" s="1"/>
      <c r="Q249" s="59">
        <f t="shared" si="48"/>
        <v>0</v>
      </c>
      <c r="R249" s="59">
        <f t="shared" si="44"/>
        <v>60</v>
      </c>
    </row>
    <row r="250" spans="1:21" ht="15.75" customHeight="1" x14ac:dyDescent="0.3">
      <c r="A250" s="76" t="s">
        <v>249</v>
      </c>
      <c r="B250" s="1">
        <v>60</v>
      </c>
      <c r="C250" s="1"/>
      <c r="D250" s="1"/>
      <c r="E250" s="59">
        <f t="shared" si="45"/>
        <v>60</v>
      </c>
      <c r="F250" s="1"/>
      <c r="G250" s="1"/>
      <c r="H250" s="1"/>
      <c r="I250" s="59">
        <f t="shared" si="46"/>
        <v>0</v>
      </c>
      <c r="J250" s="1"/>
      <c r="K250" s="1"/>
      <c r="L250" s="1"/>
      <c r="M250" s="59">
        <f t="shared" si="47"/>
        <v>0</v>
      </c>
      <c r="N250" s="1"/>
      <c r="O250" s="1"/>
      <c r="P250" s="1"/>
      <c r="Q250" s="59">
        <f t="shared" si="48"/>
        <v>0</v>
      </c>
      <c r="R250" s="59">
        <f t="shared" si="44"/>
        <v>60</v>
      </c>
      <c r="S250" s="4" t="s">
        <v>136</v>
      </c>
      <c r="T250" s="4" t="s">
        <v>137</v>
      </c>
    </row>
    <row r="251" spans="1:21" ht="15.75" customHeight="1" x14ac:dyDescent="0.3">
      <c r="A251" s="76" t="s">
        <v>250</v>
      </c>
      <c r="B251" s="1"/>
      <c r="C251" s="1"/>
      <c r="D251" s="1"/>
      <c r="E251" s="59">
        <f t="shared" si="45"/>
        <v>0</v>
      </c>
      <c r="F251" s="1"/>
      <c r="G251" s="1"/>
      <c r="H251" s="1"/>
      <c r="I251" s="59">
        <f t="shared" si="46"/>
        <v>0</v>
      </c>
      <c r="J251" s="1"/>
      <c r="K251" s="1"/>
      <c r="L251" s="1"/>
      <c r="M251" s="59">
        <f t="shared" si="47"/>
        <v>0</v>
      </c>
      <c r="N251" s="1"/>
      <c r="O251" s="1"/>
      <c r="P251" s="1"/>
      <c r="Q251" s="59">
        <f t="shared" si="48"/>
        <v>0</v>
      </c>
      <c r="R251" s="59">
        <f t="shared" si="44"/>
        <v>0</v>
      </c>
      <c r="T251" s="4" t="s">
        <v>137</v>
      </c>
    </row>
    <row r="252" spans="1:21" ht="15.75" customHeight="1" x14ac:dyDescent="0.3">
      <c r="A252" s="317" t="s">
        <v>910</v>
      </c>
      <c r="B252" s="1"/>
      <c r="C252" s="1"/>
      <c r="D252" s="1"/>
      <c r="E252" s="59">
        <f t="shared" ref="E252" si="55">SUM(B252:D252)</f>
        <v>0</v>
      </c>
      <c r="F252" s="1"/>
      <c r="G252" s="1"/>
      <c r="H252" s="1"/>
      <c r="I252" s="59">
        <f t="shared" ref="I252" si="56">SUM(F252:H252)</f>
        <v>0</v>
      </c>
      <c r="J252" s="1"/>
      <c r="K252" s="1"/>
      <c r="L252" s="1"/>
      <c r="M252" s="59">
        <f t="shared" ref="M252" si="57">SUM(J252:L252)</f>
        <v>0</v>
      </c>
      <c r="N252" s="1"/>
      <c r="O252" s="1"/>
      <c r="P252" s="1"/>
      <c r="Q252" s="59">
        <f t="shared" ref="Q252" si="58">SUM(N252:P252)</f>
        <v>0</v>
      </c>
      <c r="R252" s="59">
        <f t="shared" si="44"/>
        <v>0</v>
      </c>
      <c r="S252" s="4" t="s">
        <v>136</v>
      </c>
      <c r="T252" s="4" t="s">
        <v>137</v>
      </c>
    </row>
    <row r="253" spans="1:21" ht="15.75" customHeight="1" x14ac:dyDescent="0.3">
      <c r="A253" s="317" t="s">
        <v>252</v>
      </c>
      <c r="B253" s="1"/>
      <c r="C253" s="1"/>
      <c r="D253" s="1">
        <v>5000</v>
      </c>
      <c r="E253" s="59">
        <f t="shared" si="45"/>
        <v>5000</v>
      </c>
      <c r="F253" s="1">
        <v>7000</v>
      </c>
      <c r="G253" s="1">
        <v>7951</v>
      </c>
      <c r="H253" s="1"/>
      <c r="I253" s="59">
        <f t="shared" si="46"/>
        <v>14951</v>
      </c>
      <c r="J253" s="1"/>
      <c r="K253" s="1"/>
      <c r="L253" s="1"/>
      <c r="M253" s="59">
        <f t="shared" si="47"/>
        <v>0</v>
      </c>
      <c r="N253" s="1"/>
      <c r="O253" s="1"/>
      <c r="P253" s="1"/>
      <c r="Q253" s="59">
        <f t="shared" si="48"/>
        <v>0</v>
      </c>
      <c r="R253" s="59">
        <f>+E253+I253+M253+Q253</f>
        <v>19951</v>
      </c>
      <c r="S253" s="94" t="s">
        <v>136</v>
      </c>
      <c r="T253" s="4" t="s">
        <v>137</v>
      </c>
    </row>
    <row r="254" spans="1:21" ht="15.75" customHeight="1" x14ac:dyDescent="0.3">
      <c r="A254" s="102" t="s">
        <v>253</v>
      </c>
      <c r="B254" s="1"/>
      <c r="C254" s="1"/>
      <c r="D254" s="1"/>
      <c r="E254" s="59">
        <f t="shared" si="45"/>
        <v>0</v>
      </c>
      <c r="F254" s="1">
        <v>920</v>
      </c>
      <c r="G254" s="1">
        <v>920</v>
      </c>
      <c r="H254" s="1">
        <v>920</v>
      </c>
      <c r="I254" s="59">
        <f t="shared" si="46"/>
        <v>2760</v>
      </c>
      <c r="J254" s="1">
        <v>185</v>
      </c>
      <c r="K254" s="1"/>
      <c r="L254" s="1"/>
      <c r="M254" s="59">
        <f t="shared" si="47"/>
        <v>185</v>
      </c>
      <c r="N254" s="1"/>
      <c r="O254" s="1"/>
      <c r="P254" s="1"/>
      <c r="Q254" s="59">
        <f t="shared" si="48"/>
        <v>0</v>
      </c>
      <c r="R254" s="59">
        <f t="shared" si="44"/>
        <v>2945</v>
      </c>
      <c r="T254" s="4" t="s">
        <v>132</v>
      </c>
    </row>
    <row r="255" spans="1:21" ht="15.75" customHeight="1" x14ac:dyDescent="0.3">
      <c r="A255" s="102" t="s">
        <v>254</v>
      </c>
      <c r="B255" s="1"/>
      <c r="C255" s="1"/>
      <c r="D255" s="1"/>
      <c r="E255" s="59">
        <f t="shared" si="45"/>
        <v>0</v>
      </c>
      <c r="F255" s="1"/>
      <c r="G255" s="1"/>
      <c r="H255" s="1"/>
      <c r="I255" s="59">
        <f t="shared" ref="I255" si="59">SUM(F255:H255)</f>
        <v>0</v>
      </c>
      <c r="J255" s="1">
        <v>925</v>
      </c>
      <c r="K255" s="1">
        <v>920</v>
      </c>
      <c r="L255" s="1">
        <v>1840</v>
      </c>
      <c r="M255" s="59">
        <f t="shared" ref="M255" si="60">SUM(J255:L255)</f>
        <v>3685</v>
      </c>
      <c r="N255" s="1">
        <v>1840</v>
      </c>
      <c r="O255" s="1">
        <v>1840</v>
      </c>
      <c r="P255" s="1">
        <v>735</v>
      </c>
      <c r="Q255" s="59">
        <f t="shared" si="48"/>
        <v>4415</v>
      </c>
      <c r="R255" s="59">
        <f t="shared" si="44"/>
        <v>8100</v>
      </c>
      <c r="T255" s="4" t="s">
        <v>134</v>
      </c>
    </row>
    <row r="256" spans="1:21" ht="15.75" customHeight="1" x14ac:dyDescent="0.3">
      <c r="A256" s="76" t="s">
        <v>880</v>
      </c>
      <c r="B256" s="1"/>
      <c r="C256" s="1"/>
      <c r="D256" s="1"/>
      <c r="E256" s="59">
        <f t="shared" si="45"/>
        <v>0</v>
      </c>
      <c r="F256" s="1"/>
      <c r="G256" s="1">
        <v>1930</v>
      </c>
      <c r="H256" s="1">
        <v>1300</v>
      </c>
      <c r="I256" s="59">
        <f t="shared" si="46"/>
        <v>3230</v>
      </c>
      <c r="J256" s="1">
        <v>834</v>
      </c>
      <c r="K256" s="1"/>
      <c r="L256" s="1"/>
      <c r="M256" s="59">
        <f>SUM(J256:L256)</f>
        <v>834</v>
      </c>
      <c r="N256" s="1"/>
      <c r="O256" s="1"/>
      <c r="P256" s="1"/>
      <c r="Q256" s="59">
        <f t="shared" si="48"/>
        <v>0</v>
      </c>
      <c r="R256" s="59">
        <f t="shared" si="44"/>
        <v>4064</v>
      </c>
      <c r="S256" s="4" t="s">
        <v>136</v>
      </c>
      <c r="T256" s="4" t="s">
        <v>137</v>
      </c>
    </row>
    <row r="257" spans="1:20" ht="15.75" customHeight="1" x14ac:dyDescent="0.3">
      <c r="A257" s="76" t="s">
        <v>881</v>
      </c>
      <c r="B257" s="1"/>
      <c r="C257" s="1">
        <v>123</v>
      </c>
      <c r="D257" s="1">
        <v>600</v>
      </c>
      <c r="E257" s="59">
        <f t="shared" si="45"/>
        <v>723</v>
      </c>
      <c r="F257" s="1">
        <v>700</v>
      </c>
      <c r="G257" s="1">
        <v>900</v>
      </c>
      <c r="H257" s="1">
        <v>289</v>
      </c>
      <c r="I257" s="59">
        <f t="shared" si="46"/>
        <v>1889</v>
      </c>
      <c r="J257" s="1"/>
      <c r="K257" s="1"/>
      <c r="L257" s="1"/>
      <c r="M257" s="59">
        <f t="shared" si="47"/>
        <v>0</v>
      </c>
      <c r="N257" s="1"/>
      <c r="O257" s="1"/>
      <c r="P257" s="1"/>
      <c r="Q257" s="59">
        <f t="shared" si="48"/>
        <v>0</v>
      </c>
      <c r="R257" s="59">
        <f t="shared" si="44"/>
        <v>2612</v>
      </c>
      <c r="T257" s="4" t="s">
        <v>137</v>
      </c>
    </row>
    <row r="258" spans="1:20" ht="15.75" customHeight="1" x14ac:dyDescent="0.3">
      <c r="A258" s="76" t="s">
        <v>882</v>
      </c>
      <c r="B258" s="1">
        <v>1313</v>
      </c>
      <c r="C258" s="1">
        <v>1537</v>
      </c>
      <c r="D258" s="1"/>
      <c r="E258" s="59">
        <f t="shared" si="45"/>
        <v>2850</v>
      </c>
      <c r="F258" s="1"/>
      <c r="G258" s="1"/>
      <c r="H258" s="1"/>
      <c r="I258" s="59">
        <f t="shared" si="46"/>
        <v>0</v>
      </c>
      <c r="J258" s="1"/>
      <c r="K258" s="1"/>
      <c r="L258" s="1"/>
      <c r="M258" s="59">
        <f t="shared" si="47"/>
        <v>0</v>
      </c>
      <c r="N258" s="1"/>
      <c r="O258" s="1"/>
      <c r="P258" s="1"/>
      <c r="Q258" s="59">
        <f t="shared" si="48"/>
        <v>0</v>
      </c>
      <c r="R258" s="59">
        <f t="shared" si="44"/>
        <v>2850</v>
      </c>
      <c r="T258" s="4" t="s">
        <v>158</v>
      </c>
    </row>
    <row r="259" spans="1:20" ht="15.75" customHeight="1" x14ac:dyDescent="0.3">
      <c r="A259" s="76" t="s">
        <v>883</v>
      </c>
      <c r="B259" s="1"/>
      <c r="C259" s="1"/>
      <c r="D259" s="1"/>
      <c r="E259" s="59">
        <f t="shared" si="45"/>
        <v>0</v>
      </c>
      <c r="F259" s="1"/>
      <c r="G259" s="1"/>
      <c r="H259" s="1"/>
      <c r="I259" s="59">
        <f t="shared" si="46"/>
        <v>0</v>
      </c>
      <c r="J259" s="1"/>
      <c r="K259" s="1"/>
      <c r="L259" s="1"/>
      <c r="M259" s="59">
        <f t="shared" si="47"/>
        <v>0</v>
      </c>
      <c r="N259" s="1"/>
      <c r="O259" s="1"/>
      <c r="P259" s="1"/>
      <c r="Q259" s="59">
        <f t="shared" si="48"/>
        <v>0</v>
      </c>
      <c r="R259" s="59">
        <f t="shared" si="44"/>
        <v>0</v>
      </c>
    </row>
    <row r="260" spans="1:20" ht="15.75" customHeight="1" x14ac:dyDescent="0.3">
      <c r="A260" s="76" t="s">
        <v>884</v>
      </c>
      <c r="B260" s="1"/>
      <c r="C260" s="1"/>
      <c r="D260" s="1"/>
      <c r="E260" s="59">
        <f t="shared" si="45"/>
        <v>0</v>
      </c>
      <c r="F260" s="1"/>
      <c r="G260" s="1">
        <v>4750</v>
      </c>
      <c r="H260" s="1"/>
      <c r="I260" s="59">
        <f>SUM(F260:H260)</f>
        <v>4750</v>
      </c>
      <c r="J260" s="1"/>
      <c r="K260" s="1"/>
      <c r="L260" s="1"/>
      <c r="M260" s="59">
        <f t="shared" si="47"/>
        <v>0</v>
      </c>
      <c r="N260" s="1"/>
      <c r="O260" s="1"/>
      <c r="P260" s="1"/>
      <c r="Q260" s="59">
        <f t="shared" si="48"/>
        <v>0</v>
      </c>
      <c r="R260" s="59">
        <f t="shared" si="44"/>
        <v>4750</v>
      </c>
      <c r="S260" s="4" t="s">
        <v>136</v>
      </c>
    </row>
    <row r="261" spans="1:20" ht="15.75" customHeight="1" x14ac:dyDescent="0.3">
      <c r="A261" s="76" t="s">
        <v>885</v>
      </c>
      <c r="B261" s="1"/>
      <c r="C261" s="1">
        <v>95</v>
      </c>
      <c r="D261" s="1"/>
      <c r="E261" s="59">
        <f t="shared" si="45"/>
        <v>95</v>
      </c>
      <c r="F261" s="1"/>
      <c r="G261" s="1"/>
      <c r="H261" s="1"/>
      <c r="I261" s="59">
        <f t="shared" si="46"/>
        <v>0</v>
      </c>
      <c r="J261" s="1"/>
      <c r="K261" s="1"/>
      <c r="L261" s="1"/>
      <c r="M261" s="59">
        <f t="shared" si="47"/>
        <v>0</v>
      </c>
      <c r="N261" s="1"/>
      <c r="O261" s="1"/>
      <c r="P261" s="1"/>
      <c r="Q261" s="59">
        <f t="shared" si="48"/>
        <v>0</v>
      </c>
      <c r="R261" s="59">
        <f t="shared" si="44"/>
        <v>95</v>
      </c>
    </row>
    <row r="262" spans="1:20" ht="15.75" customHeight="1" x14ac:dyDescent="0.3">
      <c r="A262" s="76" t="s">
        <v>886</v>
      </c>
      <c r="B262" s="1">
        <v>95</v>
      </c>
      <c r="C262" s="1"/>
      <c r="D262" s="1"/>
      <c r="E262" s="59">
        <f t="shared" si="45"/>
        <v>95</v>
      </c>
      <c r="F262" s="1"/>
      <c r="G262" s="1"/>
      <c r="H262" s="1"/>
      <c r="I262" s="59">
        <f t="shared" si="46"/>
        <v>0</v>
      </c>
      <c r="J262" s="1"/>
      <c r="K262" s="1"/>
      <c r="L262" s="1"/>
      <c r="M262" s="59">
        <f t="shared" si="47"/>
        <v>0</v>
      </c>
      <c r="N262" s="1"/>
      <c r="O262" s="1"/>
      <c r="P262" s="1"/>
      <c r="Q262" s="59">
        <f t="shared" si="48"/>
        <v>0</v>
      </c>
      <c r="R262" s="59">
        <f t="shared" si="44"/>
        <v>95</v>
      </c>
      <c r="S262" s="4" t="s">
        <v>136</v>
      </c>
      <c r="T262" s="4" t="s">
        <v>137</v>
      </c>
    </row>
    <row r="263" spans="1:20" ht="15.75" customHeight="1" x14ac:dyDescent="0.3">
      <c r="A263" s="76" t="s">
        <v>263</v>
      </c>
      <c r="B263" s="1">
        <v>1300</v>
      </c>
      <c r="C263" s="1">
        <v>1300</v>
      </c>
      <c r="D263" s="1">
        <v>1400</v>
      </c>
      <c r="E263" s="59">
        <f>SUM(B263:D263)</f>
        <v>4000</v>
      </c>
      <c r="F263" s="1">
        <v>1300</v>
      </c>
      <c r="G263" s="1">
        <v>900</v>
      </c>
      <c r="H263" s="1">
        <v>300</v>
      </c>
      <c r="I263" s="59">
        <f>SUM(F263:H263)</f>
        <v>2500</v>
      </c>
      <c r="J263" s="1">
        <f>300+2200</f>
        <v>2500</v>
      </c>
      <c r="K263" s="1">
        <v>600</v>
      </c>
      <c r="L263" s="1">
        <v>1100</v>
      </c>
      <c r="M263" s="59">
        <f>SUM(J263:L263)</f>
        <v>4200</v>
      </c>
      <c r="N263" s="1">
        <v>1100</v>
      </c>
      <c r="O263" s="1">
        <v>1100</v>
      </c>
      <c r="P263" s="1">
        <v>1100</v>
      </c>
      <c r="Q263" s="59">
        <f>SUM(N263:P263)</f>
        <v>3300</v>
      </c>
      <c r="R263" s="59">
        <f>+E263+I263+M263+Q263</f>
        <v>14000</v>
      </c>
      <c r="S263" s="4" t="s">
        <v>136</v>
      </c>
      <c r="T263" s="4" t="s">
        <v>137</v>
      </c>
    </row>
    <row r="264" spans="1:20" ht="15.75" customHeight="1" x14ac:dyDescent="0.3">
      <c r="A264" s="76" t="s">
        <v>266</v>
      </c>
      <c r="B264" s="1"/>
      <c r="C264" s="1"/>
      <c r="D264" s="1"/>
      <c r="E264" s="59">
        <f t="shared" ref="E264" si="61">SUM(B264:D264)</f>
        <v>0</v>
      </c>
      <c r="F264" s="1"/>
      <c r="G264" s="1"/>
      <c r="H264" s="1"/>
      <c r="I264" s="59">
        <f t="shared" ref="I264" si="62">SUM(F264:H264)</f>
        <v>0</v>
      </c>
      <c r="J264" s="1"/>
      <c r="K264" s="1">
        <v>172</v>
      </c>
      <c r="L264" s="1">
        <v>203</v>
      </c>
      <c r="M264" s="59">
        <f t="shared" ref="M264" si="63">SUM(J264:L264)</f>
        <v>375</v>
      </c>
      <c r="N264" s="1">
        <v>203</v>
      </c>
      <c r="O264" s="1">
        <v>203</v>
      </c>
      <c r="P264" s="1"/>
      <c r="Q264" s="59">
        <f t="shared" ref="Q264" si="64">SUM(N264:P264)</f>
        <v>406</v>
      </c>
      <c r="R264" s="59">
        <f>+E264+I264+M264+Q264</f>
        <v>781</v>
      </c>
      <c r="T264" s="4" t="s">
        <v>137</v>
      </c>
    </row>
    <row r="265" spans="1:20" ht="15.75" customHeight="1" x14ac:dyDescent="0.3">
      <c r="A265" s="76" t="s">
        <v>860</v>
      </c>
      <c r="B265" s="1"/>
      <c r="C265" s="1"/>
      <c r="D265" s="1"/>
      <c r="E265" s="59">
        <f t="shared" si="45"/>
        <v>0</v>
      </c>
      <c r="F265" s="1"/>
      <c r="G265" s="1">
        <v>1200</v>
      </c>
      <c r="H265" s="1"/>
      <c r="I265" s="59">
        <f t="shared" si="46"/>
        <v>1200</v>
      </c>
      <c r="J265" s="1">
        <v>800</v>
      </c>
      <c r="K265" s="1">
        <v>8060</v>
      </c>
      <c r="L265" s="1"/>
      <c r="M265" s="59">
        <f t="shared" si="47"/>
        <v>8860</v>
      </c>
      <c r="N265" s="1">
        <v>2000</v>
      </c>
      <c r="O265" s="1"/>
      <c r="P265" s="1"/>
      <c r="Q265" s="59">
        <f t="shared" si="48"/>
        <v>2000</v>
      </c>
      <c r="R265" s="59">
        <f t="shared" si="44"/>
        <v>12060</v>
      </c>
      <c r="S265" s="4" t="s">
        <v>136</v>
      </c>
    </row>
    <row r="266" spans="1:20" ht="15.75" customHeight="1" x14ac:dyDescent="0.3">
      <c r="A266" s="76" t="s">
        <v>270</v>
      </c>
      <c r="B266" s="1"/>
      <c r="C266" s="1">
        <v>2976</v>
      </c>
      <c r="D266" s="1">
        <v>5216</v>
      </c>
      <c r="E266" s="59">
        <f>SUM(B266:D266)</f>
        <v>8192</v>
      </c>
      <c r="F266" s="1"/>
      <c r="G266" s="1"/>
      <c r="H266" s="1"/>
      <c r="I266" s="59">
        <f>SUM(F266:H266)</f>
        <v>0</v>
      </c>
      <c r="J266" s="1"/>
      <c r="K266" s="1"/>
      <c r="L266" s="1"/>
      <c r="M266" s="59">
        <f>SUM(J266:L266)</f>
        <v>0</v>
      </c>
      <c r="N266" s="1"/>
      <c r="O266" s="1"/>
      <c r="P266" s="1"/>
      <c r="Q266" s="59">
        <f>SUM(N266:P266)</f>
        <v>0</v>
      </c>
      <c r="R266" s="59">
        <f>+E266+I266+M266+Q266</f>
        <v>8192</v>
      </c>
      <c r="S266" s="4" t="s">
        <v>136</v>
      </c>
    </row>
    <row r="267" spans="1:20" ht="15.75" customHeight="1" x14ac:dyDescent="0.3">
      <c r="A267" s="76" t="s">
        <v>271</v>
      </c>
      <c r="B267" s="1"/>
      <c r="C267" s="1">
        <v>194</v>
      </c>
      <c r="D267" s="1">
        <v>194</v>
      </c>
      <c r="E267" s="59">
        <f>SUM(B267:D267)</f>
        <v>388</v>
      </c>
      <c r="F267" s="1">
        <v>194</v>
      </c>
      <c r="G267" s="1"/>
      <c r="H267" s="1"/>
      <c r="I267" s="59">
        <f>SUM(F267:H267)</f>
        <v>194</v>
      </c>
      <c r="J267" s="1"/>
      <c r="K267" s="1"/>
      <c r="L267" s="1"/>
      <c r="M267" s="59">
        <f>SUM(J267:L267)</f>
        <v>0</v>
      </c>
      <c r="N267" s="1"/>
      <c r="O267" s="1"/>
      <c r="P267" s="1"/>
      <c r="Q267" s="59">
        <f>SUM(N267:P267)</f>
        <v>0</v>
      </c>
      <c r="R267" s="59">
        <f>+E267+I267+M267+Q267</f>
        <v>582</v>
      </c>
    </row>
    <row r="268" spans="1:20" ht="15.75" customHeight="1" x14ac:dyDescent="0.3">
      <c r="A268" s="76" t="s">
        <v>272</v>
      </c>
      <c r="B268" s="1">
        <v>194</v>
      </c>
      <c r="C268" s="1"/>
      <c r="D268" s="1"/>
      <c r="E268" s="59">
        <f t="shared" ref="E268" si="65">SUM(B268:D268)</f>
        <v>194</v>
      </c>
      <c r="F268" s="1"/>
      <c r="G268" s="1"/>
      <c r="H268" s="1"/>
      <c r="I268" s="59">
        <f t="shared" ref="I268" si="66">SUM(F268:H268)</f>
        <v>0</v>
      </c>
      <c r="J268" s="1"/>
      <c r="K268" s="1"/>
      <c r="L268" s="1"/>
      <c r="M268" s="59">
        <f t="shared" ref="M268" si="67">SUM(J268:L268)</f>
        <v>0</v>
      </c>
      <c r="N268" s="1"/>
      <c r="O268" s="1"/>
      <c r="P268" s="1"/>
      <c r="Q268" s="59">
        <f t="shared" ref="Q268" si="68">SUM(N268:P268)</f>
        <v>0</v>
      </c>
      <c r="R268" s="59">
        <f t="shared" ref="R268" si="69">+E268+I268+M268+Q268</f>
        <v>194</v>
      </c>
    </row>
    <row r="269" spans="1:20" ht="15.75" customHeight="1" x14ac:dyDescent="0.3">
      <c r="A269" s="76" t="s">
        <v>273</v>
      </c>
      <c r="B269" s="1">
        <v>153</v>
      </c>
      <c r="C269" s="1">
        <v>153</v>
      </c>
      <c r="D269" s="1"/>
      <c r="E269" s="59">
        <f t="shared" si="45"/>
        <v>306</v>
      </c>
      <c r="F269" s="1"/>
      <c r="G269" s="1"/>
      <c r="H269" s="1"/>
      <c r="I269" s="59">
        <f t="shared" si="46"/>
        <v>0</v>
      </c>
      <c r="J269" s="1"/>
      <c r="K269" s="1"/>
      <c r="L269" s="1"/>
      <c r="M269" s="59">
        <f t="shared" si="47"/>
        <v>0</v>
      </c>
      <c r="N269" s="1"/>
      <c r="O269" s="1"/>
      <c r="P269" s="1"/>
      <c r="Q269" s="59">
        <f t="shared" si="48"/>
        <v>0</v>
      </c>
      <c r="R269" s="59">
        <f t="shared" si="44"/>
        <v>306</v>
      </c>
    </row>
    <row r="270" spans="1:20" ht="15.75" customHeight="1" thickBot="1" x14ac:dyDescent="0.35">
      <c r="A270" s="76" t="s">
        <v>275</v>
      </c>
      <c r="B270" s="1"/>
      <c r="C270" s="1"/>
      <c r="D270" s="1"/>
      <c r="E270" s="59">
        <f>SUM(B270:D270)</f>
        <v>0</v>
      </c>
      <c r="F270" s="1"/>
      <c r="G270" s="1"/>
      <c r="H270" s="1"/>
      <c r="I270" s="59">
        <f>SUM(F270:H270)</f>
        <v>0</v>
      </c>
      <c r="J270" s="1"/>
      <c r="K270" s="1"/>
      <c r="L270" s="1"/>
      <c r="M270" s="59">
        <f>SUM(J270:L270)</f>
        <v>0</v>
      </c>
      <c r="N270" s="1">
        <v>128</v>
      </c>
      <c r="O270" s="1"/>
      <c r="P270" s="1"/>
      <c r="Q270" s="59">
        <f>SUM(N270:P270)</f>
        <v>128</v>
      </c>
      <c r="R270" s="59">
        <f t="shared" si="44"/>
        <v>128</v>
      </c>
      <c r="S270" s="94" t="s">
        <v>136</v>
      </c>
    </row>
    <row r="271" spans="1:20" ht="16.5" customHeight="1" thickBot="1" x14ac:dyDescent="0.35">
      <c r="A271" s="62" t="s">
        <v>61</v>
      </c>
      <c r="B271" s="100">
        <f>SUM(B210:B270)</f>
        <v>7460</v>
      </c>
      <c r="C271" s="101">
        <f>SUM(C210:C270)</f>
        <v>11455</v>
      </c>
      <c r="D271" s="101">
        <f>SUM(D210:D270)</f>
        <v>18309</v>
      </c>
      <c r="E271" s="64">
        <f t="shared" ref="E271" si="70">SUM(B271:D271)</f>
        <v>37224</v>
      </c>
      <c r="F271" s="101">
        <f>SUM(F210:F270)</f>
        <v>20919</v>
      </c>
      <c r="G271" s="101">
        <f>SUM(G210:G270)</f>
        <v>35903</v>
      </c>
      <c r="H271" s="101">
        <f>SUM(H210:H270)</f>
        <v>20785</v>
      </c>
      <c r="I271" s="64">
        <f t="shared" ref="I271" si="71">SUM(F271:H271)</f>
        <v>77607</v>
      </c>
      <c r="J271" s="101">
        <f>SUM(J210:J270)</f>
        <v>7331</v>
      </c>
      <c r="K271" s="101">
        <f>SUM(K210:K270)</f>
        <v>10577</v>
      </c>
      <c r="L271" s="101">
        <f>SUM(L210:L270)</f>
        <v>3753</v>
      </c>
      <c r="M271" s="64">
        <f t="shared" ref="M271" si="72">SUM(J271:L271)</f>
        <v>21661</v>
      </c>
      <c r="N271" s="101">
        <f>SUM(N210:N270)</f>
        <v>5900</v>
      </c>
      <c r="O271" s="101">
        <f>SUM(O210:O270)</f>
        <v>3610</v>
      </c>
      <c r="P271" s="101">
        <f>SUM(P210:P270)</f>
        <v>2203</v>
      </c>
      <c r="Q271" s="64">
        <f t="shared" ref="Q271" si="73">SUM(N271:P271)</f>
        <v>11713</v>
      </c>
      <c r="R271" s="64">
        <f t="shared" si="44"/>
        <v>148205</v>
      </c>
    </row>
    <row r="272" spans="1:20" ht="15.75" customHeight="1" x14ac:dyDescent="0.3">
      <c r="A272" s="17" t="s">
        <v>62</v>
      </c>
      <c r="B272" s="1"/>
      <c r="C272" s="1"/>
      <c r="D272" s="1"/>
      <c r="E272" s="59" t="s">
        <v>7</v>
      </c>
      <c r="F272" s="1"/>
      <c r="G272" s="1"/>
      <c r="H272" s="1"/>
      <c r="I272" s="59" t="s">
        <v>7</v>
      </c>
      <c r="J272" s="1"/>
      <c r="K272" s="1"/>
      <c r="L272" s="1"/>
      <c r="M272" s="59" t="s">
        <v>7</v>
      </c>
      <c r="N272" s="1"/>
      <c r="O272" s="1"/>
      <c r="P272" s="1"/>
      <c r="Q272" s="59" t="s">
        <v>7</v>
      </c>
      <c r="R272" s="59" t="s">
        <v>7</v>
      </c>
    </row>
    <row r="273" spans="1:20" ht="15.75" customHeight="1" x14ac:dyDescent="0.3">
      <c r="A273" s="17" t="s">
        <v>63</v>
      </c>
      <c r="B273" s="1"/>
      <c r="C273" s="1"/>
      <c r="D273" s="1"/>
      <c r="E273" s="59" t="s">
        <v>7</v>
      </c>
      <c r="F273" s="1"/>
      <c r="G273" s="1"/>
      <c r="H273" s="1"/>
      <c r="I273" s="59" t="s">
        <v>7</v>
      </c>
      <c r="J273" s="1"/>
      <c r="K273" s="1"/>
      <c r="L273" s="1"/>
      <c r="M273" s="59" t="s">
        <v>7</v>
      </c>
      <c r="N273" s="1"/>
      <c r="O273" s="1"/>
      <c r="P273" s="1"/>
      <c r="Q273" s="59" t="s">
        <v>7</v>
      </c>
      <c r="R273" s="59" t="s">
        <v>7</v>
      </c>
    </row>
    <row r="274" spans="1:20" ht="15.75" customHeight="1" x14ac:dyDescent="0.3">
      <c r="A274" s="78" t="s">
        <v>854</v>
      </c>
      <c r="B274" s="1"/>
      <c r="C274" s="1"/>
      <c r="D274" s="1"/>
      <c r="E274" s="59">
        <f>SUM(B274:D274)</f>
        <v>0</v>
      </c>
      <c r="F274" s="1"/>
      <c r="G274" s="1"/>
      <c r="H274" s="1"/>
      <c r="I274" s="59">
        <f>SUM(F274:H274)</f>
        <v>0</v>
      </c>
      <c r="J274" s="1"/>
      <c r="K274" s="1"/>
      <c r="L274" s="1"/>
      <c r="M274" s="59">
        <f>SUM(J274:L274)</f>
        <v>0</v>
      </c>
      <c r="N274" s="1"/>
      <c r="O274" s="1"/>
      <c r="P274" s="1"/>
      <c r="Q274" s="59">
        <f>SUM(N274:P274)</f>
        <v>0</v>
      </c>
      <c r="R274" s="59">
        <f>+E274+I274+M274+Q274</f>
        <v>0</v>
      </c>
      <c r="T274" s="4" t="s">
        <v>137</v>
      </c>
    </row>
    <row r="275" spans="1:20" ht="15.75" customHeight="1" x14ac:dyDescent="0.3">
      <c r="A275" s="99" t="s">
        <v>904</v>
      </c>
      <c r="B275" s="1"/>
      <c r="C275" s="1"/>
      <c r="D275" s="1"/>
      <c r="E275" s="59">
        <f>SUM(B275:D275)</f>
        <v>0</v>
      </c>
      <c r="F275" s="1"/>
      <c r="G275" s="1"/>
      <c r="H275" s="1"/>
      <c r="I275" s="59">
        <f>SUM(F275:H275)</f>
        <v>0</v>
      </c>
      <c r="J275" s="1"/>
      <c r="K275" s="1"/>
      <c r="L275" s="1"/>
      <c r="M275" s="59">
        <f>SUM(J275:L275)</f>
        <v>0</v>
      </c>
      <c r="N275" s="1"/>
      <c r="O275" s="1"/>
      <c r="P275" s="1"/>
      <c r="Q275" s="59">
        <f>SUM(N275:P275)</f>
        <v>0</v>
      </c>
      <c r="R275" s="59">
        <f>+E275+I275+M275+Q275</f>
        <v>0</v>
      </c>
      <c r="T275" s="4" t="s">
        <v>132</v>
      </c>
    </row>
    <row r="276" spans="1:20" ht="15.75" customHeight="1" x14ac:dyDescent="0.3">
      <c r="A276" s="99" t="s">
        <v>905</v>
      </c>
      <c r="B276" s="1"/>
      <c r="C276" s="1"/>
      <c r="D276" s="1"/>
      <c r="E276" s="59">
        <f>SUM(B276:D276)</f>
        <v>0</v>
      </c>
      <c r="F276" s="1"/>
      <c r="G276" s="1"/>
      <c r="H276" s="1"/>
      <c r="I276" s="59">
        <f>SUM(F276:H276)</f>
        <v>0</v>
      </c>
      <c r="J276" s="1"/>
      <c r="K276" s="1"/>
      <c r="L276" s="1"/>
      <c r="M276" s="59">
        <f>SUM(J276:L276)</f>
        <v>0</v>
      </c>
      <c r="N276" s="1"/>
      <c r="O276" s="1"/>
      <c r="P276" s="1"/>
      <c r="Q276" s="59">
        <f>SUM(N276:P276)</f>
        <v>0</v>
      </c>
      <c r="R276" s="59">
        <f>+E276+I276+M276+Q276</f>
        <v>0</v>
      </c>
      <c r="T276" s="4" t="s">
        <v>134</v>
      </c>
    </row>
    <row r="277" spans="1:20" ht="15.75" customHeight="1" x14ac:dyDescent="0.3">
      <c r="A277" s="17" t="s">
        <v>64</v>
      </c>
      <c r="B277" s="1"/>
      <c r="C277" s="1"/>
      <c r="D277" s="1"/>
      <c r="E277" s="59" t="s">
        <v>7</v>
      </c>
      <c r="F277" s="1"/>
      <c r="G277" s="1"/>
      <c r="H277" s="1"/>
      <c r="I277" s="59" t="s">
        <v>7</v>
      </c>
      <c r="J277" s="1"/>
      <c r="K277" s="1"/>
      <c r="L277" s="1"/>
      <c r="M277" s="59" t="s">
        <v>7</v>
      </c>
      <c r="N277" s="1"/>
      <c r="O277" s="1"/>
      <c r="P277" s="1"/>
      <c r="Q277" s="59" t="s">
        <v>7</v>
      </c>
      <c r="R277" s="59" t="s">
        <v>7</v>
      </c>
    </row>
    <row r="278" spans="1:20" ht="15.75" customHeight="1" x14ac:dyDescent="0.3">
      <c r="A278" s="99" t="s">
        <v>278</v>
      </c>
      <c r="B278" s="1"/>
      <c r="C278" s="1"/>
      <c r="D278" s="1"/>
      <c r="E278" s="59">
        <f>SUM(B278:D278)</f>
        <v>0</v>
      </c>
      <c r="F278" s="1"/>
      <c r="G278" s="1"/>
      <c r="H278" s="1"/>
      <c r="I278" s="59">
        <f>SUM(F278:H278)</f>
        <v>0</v>
      </c>
      <c r="J278" s="1"/>
      <c r="K278" s="1"/>
      <c r="L278" s="1"/>
      <c r="M278" s="59">
        <f>SUM(J278:L278)</f>
        <v>0</v>
      </c>
      <c r="N278" s="1"/>
      <c r="O278" s="1"/>
      <c r="P278" s="1"/>
      <c r="Q278" s="59">
        <f>SUM(N278:P278)</f>
        <v>0</v>
      </c>
      <c r="R278" s="59">
        <f>+E278+I278+M278+Q278</f>
        <v>0</v>
      </c>
    </row>
    <row r="279" spans="1:20" ht="15.75" customHeight="1" x14ac:dyDescent="0.3">
      <c r="A279" s="99" t="s">
        <v>279</v>
      </c>
      <c r="B279" s="1"/>
      <c r="C279" s="1"/>
      <c r="D279" s="1"/>
      <c r="E279" s="59">
        <f>SUM(B279:D279)</f>
        <v>0</v>
      </c>
      <c r="F279" s="1"/>
      <c r="G279" s="1"/>
      <c r="H279" s="1"/>
      <c r="I279" s="59">
        <f>SUM(F279:H279)</f>
        <v>0</v>
      </c>
      <c r="J279" s="1"/>
      <c r="K279" s="1"/>
      <c r="L279" s="1"/>
      <c r="M279" s="59">
        <f>SUM(J279:L279)</f>
        <v>0</v>
      </c>
      <c r="N279" s="1"/>
      <c r="O279" s="1"/>
      <c r="P279" s="1"/>
      <c r="Q279" s="59">
        <f>SUM(N279:P279)</f>
        <v>0</v>
      </c>
      <c r="R279" s="59">
        <f>+E279+I279+M279+Q279</f>
        <v>0</v>
      </c>
      <c r="T279" s="4">
        <f>24000-SUM(R145,R148,R164,R167,R180,R198,R232,R233,R254,R275,R278,R279)</f>
        <v>13721</v>
      </c>
    </row>
    <row r="280" spans="1:20" ht="15.75" customHeight="1" x14ac:dyDescent="0.3">
      <c r="A280" s="74" t="s">
        <v>280</v>
      </c>
      <c r="B280" s="1"/>
      <c r="C280" s="1"/>
      <c r="D280" s="1"/>
      <c r="E280" s="59">
        <f t="shared" ref="E280:E285" si="74">SUM(B280:D280)</f>
        <v>0</v>
      </c>
      <c r="F280" s="1"/>
      <c r="G280" s="1"/>
      <c r="H280" s="1"/>
      <c r="I280" s="59">
        <f t="shared" ref="I280:I285" si="75">SUM(F280:H280)</f>
        <v>0</v>
      </c>
      <c r="J280" s="1"/>
      <c r="K280" s="1"/>
      <c r="L280" s="1"/>
      <c r="M280" s="59">
        <f t="shared" ref="M280:M285" si="76">SUM(J280:L280)</f>
        <v>0</v>
      </c>
      <c r="N280" s="1"/>
      <c r="O280" s="1"/>
      <c r="P280" s="1"/>
      <c r="Q280" s="59">
        <f t="shared" ref="Q280:Q285" si="77">SUM(N280:P280)</f>
        <v>0</v>
      </c>
      <c r="R280" s="59">
        <f t="shared" ref="R280:R285" si="78">+E280+I280+M280+Q280</f>
        <v>0</v>
      </c>
      <c r="S280" s="4" t="s">
        <v>136</v>
      </c>
    </row>
    <row r="281" spans="1:20" ht="15.75" customHeight="1" x14ac:dyDescent="0.3">
      <c r="A281" s="74" t="s">
        <v>281</v>
      </c>
      <c r="B281" s="1"/>
      <c r="C281" s="1"/>
      <c r="D281" s="1"/>
      <c r="E281" s="59">
        <f t="shared" si="74"/>
        <v>0</v>
      </c>
      <c r="F281" s="1"/>
      <c r="G281" s="1"/>
      <c r="H281" s="1"/>
      <c r="I281" s="59">
        <f t="shared" si="75"/>
        <v>0</v>
      </c>
      <c r="J281" s="1"/>
      <c r="K281" s="1"/>
      <c r="L281" s="1"/>
      <c r="M281" s="59">
        <f t="shared" si="76"/>
        <v>0</v>
      </c>
      <c r="N281" s="1"/>
      <c r="O281" s="1"/>
      <c r="P281" s="1"/>
      <c r="Q281" s="59">
        <f t="shared" si="77"/>
        <v>0</v>
      </c>
      <c r="R281" s="59">
        <f t="shared" si="78"/>
        <v>0</v>
      </c>
    </row>
    <row r="282" spans="1:20" ht="15.75" customHeight="1" x14ac:dyDescent="0.3">
      <c r="A282" s="91" t="s">
        <v>282</v>
      </c>
      <c r="B282" s="1"/>
      <c r="C282" s="1"/>
      <c r="D282" s="1"/>
      <c r="E282" s="59">
        <f t="shared" si="74"/>
        <v>0</v>
      </c>
      <c r="F282" s="1"/>
      <c r="G282" s="1"/>
      <c r="H282" s="1"/>
      <c r="I282" s="59">
        <f t="shared" si="75"/>
        <v>0</v>
      </c>
      <c r="J282" s="1"/>
      <c r="K282" s="1"/>
      <c r="L282" s="1"/>
      <c r="M282" s="59">
        <f t="shared" si="76"/>
        <v>0</v>
      </c>
      <c r="N282" s="1"/>
      <c r="O282" s="1"/>
      <c r="P282" s="1"/>
      <c r="Q282" s="59">
        <f t="shared" si="77"/>
        <v>0</v>
      </c>
      <c r="R282" s="59">
        <f t="shared" si="78"/>
        <v>0</v>
      </c>
    </row>
    <row r="283" spans="1:20" ht="15.75" customHeight="1" x14ac:dyDescent="0.3">
      <c r="A283" s="91" t="s">
        <v>283</v>
      </c>
      <c r="B283" s="1"/>
      <c r="C283" s="1"/>
      <c r="D283" s="1"/>
      <c r="E283" s="59">
        <f t="shared" si="74"/>
        <v>0</v>
      </c>
      <c r="F283" s="1"/>
      <c r="G283" s="1"/>
      <c r="H283" s="1"/>
      <c r="I283" s="59">
        <f t="shared" si="75"/>
        <v>0</v>
      </c>
      <c r="J283" s="1"/>
      <c r="K283" s="1"/>
      <c r="L283" s="1"/>
      <c r="M283" s="59">
        <f t="shared" si="76"/>
        <v>0</v>
      </c>
      <c r="N283" s="1"/>
      <c r="O283" s="1"/>
      <c r="P283" s="1"/>
      <c r="Q283" s="59">
        <f t="shared" si="77"/>
        <v>0</v>
      </c>
      <c r="R283" s="59">
        <f t="shared" si="78"/>
        <v>0</v>
      </c>
    </row>
    <row r="284" spans="1:20" ht="15.75" customHeight="1" x14ac:dyDescent="0.3">
      <c r="A284" s="61" t="s">
        <v>284</v>
      </c>
      <c r="B284" s="1"/>
      <c r="C284" s="1"/>
      <c r="D284" s="1"/>
      <c r="E284" s="59">
        <f t="shared" si="74"/>
        <v>0</v>
      </c>
      <c r="F284" s="1"/>
      <c r="G284" s="1"/>
      <c r="H284" s="1"/>
      <c r="I284" s="59">
        <f t="shared" si="75"/>
        <v>0</v>
      </c>
      <c r="J284" s="1"/>
      <c r="K284" s="1"/>
      <c r="L284" s="1"/>
      <c r="M284" s="59">
        <f t="shared" si="76"/>
        <v>0</v>
      </c>
      <c r="N284" s="1"/>
      <c r="O284" s="1"/>
      <c r="P284" s="1"/>
      <c r="Q284" s="59">
        <f t="shared" si="77"/>
        <v>0</v>
      </c>
      <c r="R284" s="59">
        <f t="shared" si="78"/>
        <v>0</v>
      </c>
    </row>
    <row r="285" spans="1:20" ht="15.75" customHeight="1" x14ac:dyDescent="0.3">
      <c r="A285" s="61" t="s">
        <v>285</v>
      </c>
      <c r="B285" s="1"/>
      <c r="C285" s="1"/>
      <c r="D285" s="1"/>
      <c r="E285" s="59">
        <f t="shared" si="74"/>
        <v>0</v>
      </c>
      <c r="F285" s="1"/>
      <c r="G285" s="1"/>
      <c r="H285" s="1"/>
      <c r="I285" s="59">
        <f t="shared" si="75"/>
        <v>0</v>
      </c>
      <c r="J285" s="1"/>
      <c r="K285" s="1"/>
      <c r="L285" s="1"/>
      <c r="M285" s="59">
        <f t="shared" si="76"/>
        <v>0</v>
      </c>
      <c r="N285" s="1"/>
      <c r="O285" s="1"/>
      <c r="P285" s="1"/>
      <c r="Q285" s="59">
        <f t="shared" si="77"/>
        <v>0</v>
      </c>
      <c r="R285" s="59">
        <f t="shared" si="78"/>
        <v>0</v>
      </c>
    </row>
    <row r="286" spans="1:20" ht="15.75" customHeight="1" x14ac:dyDescent="0.3">
      <c r="A286" s="17" t="s">
        <v>66</v>
      </c>
      <c r="B286" s="1"/>
      <c r="C286" s="1"/>
      <c r="D286" s="1"/>
      <c r="E286" s="59" t="s">
        <v>7</v>
      </c>
      <c r="F286" s="1"/>
      <c r="G286" s="1"/>
      <c r="H286" s="1"/>
      <c r="I286" s="59" t="s">
        <v>7</v>
      </c>
      <c r="J286" s="1"/>
      <c r="K286" s="1"/>
      <c r="L286" s="1"/>
      <c r="M286" s="59" t="s">
        <v>7</v>
      </c>
      <c r="N286" s="1"/>
      <c r="O286" s="1"/>
      <c r="P286" s="1"/>
      <c r="Q286" s="59" t="s">
        <v>7</v>
      </c>
      <c r="R286" s="59" t="s">
        <v>7</v>
      </c>
    </row>
    <row r="287" spans="1:20" ht="15.75" customHeight="1" x14ac:dyDescent="0.3">
      <c r="A287" s="99" t="s">
        <v>911</v>
      </c>
      <c r="B287" s="1"/>
      <c r="C287" s="1"/>
      <c r="D287" s="1"/>
      <c r="E287" s="59">
        <f t="shared" ref="E287" si="79">SUM(B287:D287)</f>
        <v>0</v>
      </c>
      <c r="F287" s="1"/>
      <c r="G287" s="1"/>
      <c r="H287" s="1"/>
      <c r="I287" s="59">
        <f t="shared" ref="I287" si="80">SUM(F287:H287)</f>
        <v>0</v>
      </c>
      <c r="J287" s="1"/>
      <c r="K287" s="1"/>
      <c r="L287" s="1"/>
      <c r="M287" s="59">
        <f t="shared" ref="M287" si="81">SUM(J287:L287)</f>
        <v>0</v>
      </c>
      <c r="N287" s="1"/>
      <c r="O287" s="1"/>
      <c r="P287" s="1"/>
      <c r="Q287" s="59">
        <f t="shared" ref="Q287" si="82">SUM(N287:P287)</f>
        <v>0</v>
      </c>
      <c r="R287" s="59">
        <f t="shared" ref="R287" si="83">+E287+I287+M287+Q287</f>
        <v>0</v>
      </c>
    </row>
    <row r="288" spans="1:20" ht="15.75" customHeight="1" x14ac:dyDescent="0.3">
      <c r="A288" s="17" t="s">
        <v>67</v>
      </c>
      <c r="B288" s="1"/>
      <c r="C288" s="1"/>
      <c r="D288" s="1"/>
      <c r="E288" s="59" t="s">
        <v>7</v>
      </c>
      <c r="F288" s="1"/>
      <c r="G288" s="1"/>
      <c r="H288" s="1"/>
      <c r="I288" s="59" t="s">
        <v>7</v>
      </c>
      <c r="J288" s="1"/>
      <c r="K288" s="1"/>
      <c r="L288" s="1"/>
      <c r="M288" s="59" t="s">
        <v>7</v>
      </c>
      <c r="N288" s="1"/>
      <c r="O288" s="1"/>
      <c r="P288" s="1"/>
      <c r="Q288" s="59" t="s">
        <v>7</v>
      </c>
      <c r="R288" s="59" t="s">
        <v>7</v>
      </c>
    </row>
    <row r="289" spans="1:20" ht="15.75" customHeight="1" thickBot="1" x14ac:dyDescent="0.35">
      <c r="A289" s="74" t="s">
        <v>287</v>
      </c>
      <c r="B289" s="1"/>
      <c r="C289" s="1"/>
      <c r="D289" s="1"/>
      <c r="E289" s="59">
        <f t="shared" ref="E289" si="84">SUM(B289:D289)</f>
        <v>0</v>
      </c>
      <c r="F289" s="1"/>
      <c r="G289" s="1"/>
      <c r="H289" s="1"/>
      <c r="I289" s="59">
        <f t="shared" ref="I289:I298" si="85">SUM(F289:H289)</f>
        <v>0</v>
      </c>
      <c r="J289" s="1"/>
      <c r="K289" s="1"/>
      <c r="L289" s="1"/>
      <c r="M289" s="59">
        <f t="shared" ref="M289:M298" si="86">SUM(J289:L289)</f>
        <v>0</v>
      </c>
      <c r="N289" s="1"/>
      <c r="O289" s="1"/>
      <c r="P289" s="1"/>
      <c r="Q289" s="59">
        <f t="shared" ref="Q289:Q298" si="87">SUM(N289:P289)</f>
        <v>0</v>
      </c>
      <c r="R289" s="59">
        <f t="shared" ref="R289:R298" si="88">+E289+I289+M289+Q289</f>
        <v>0</v>
      </c>
      <c r="S289" s="4" t="s">
        <v>136</v>
      </c>
    </row>
    <row r="290" spans="1:20" ht="16.5" customHeight="1" thickBot="1" x14ac:dyDescent="0.35">
      <c r="A290" s="62" t="s">
        <v>68</v>
      </c>
      <c r="B290" s="63">
        <f>SUM(B286:B289)</f>
        <v>0</v>
      </c>
      <c r="C290" s="63">
        <f>SUM(C286:C289)</f>
        <v>0</v>
      </c>
      <c r="D290" s="63">
        <f>SUM(D286:D289)</f>
        <v>0</v>
      </c>
      <c r="E290" s="65">
        <f t="shared" ref="E290:E297" si="89">SUM(B290:D290)</f>
        <v>0</v>
      </c>
      <c r="F290" s="63">
        <f>SUM(F286:F289)</f>
        <v>0</v>
      </c>
      <c r="G290" s="63">
        <f>SUM(G286:G289)</f>
        <v>0</v>
      </c>
      <c r="H290" s="63">
        <f>SUM(H286:H289)</f>
        <v>0</v>
      </c>
      <c r="I290" s="65">
        <f t="shared" si="85"/>
        <v>0</v>
      </c>
      <c r="J290" s="63">
        <f>SUM(J286:J289)</f>
        <v>0</v>
      </c>
      <c r="K290" s="63">
        <f>SUM(K286:K289)</f>
        <v>0</v>
      </c>
      <c r="L290" s="63">
        <f>SUM(L286:L289)</f>
        <v>0</v>
      </c>
      <c r="M290" s="65">
        <f t="shared" si="86"/>
        <v>0</v>
      </c>
      <c r="N290" s="63">
        <f>SUM(N286:N289)</f>
        <v>0</v>
      </c>
      <c r="O290" s="63">
        <f>SUM(O286:O289)</f>
        <v>0</v>
      </c>
      <c r="P290" s="63">
        <f>SUM(P286:P289)</f>
        <v>0</v>
      </c>
      <c r="Q290" s="65">
        <f t="shared" si="87"/>
        <v>0</v>
      </c>
      <c r="R290" s="64">
        <f t="shared" si="88"/>
        <v>0</v>
      </c>
    </row>
    <row r="291" spans="1:20" ht="16.5" customHeight="1" thickBot="1" x14ac:dyDescent="0.35">
      <c r="A291" s="62" t="s">
        <v>69</v>
      </c>
      <c r="B291" s="100">
        <f>SUM(B272:B289)</f>
        <v>0</v>
      </c>
      <c r="C291" s="101">
        <f>SUM(C272:C289)</f>
        <v>0</v>
      </c>
      <c r="D291" s="101">
        <f>SUM(D272:D289)</f>
        <v>0</v>
      </c>
      <c r="E291" s="64">
        <f t="shared" si="89"/>
        <v>0</v>
      </c>
      <c r="F291" s="101">
        <f>SUM(F272:F289)</f>
        <v>0</v>
      </c>
      <c r="G291" s="101">
        <f>SUM(G272:G289)</f>
        <v>0</v>
      </c>
      <c r="H291" s="101">
        <f>SUM(H272:H289)</f>
        <v>0</v>
      </c>
      <c r="I291" s="64">
        <f t="shared" si="85"/>
        <v>0</v>
      </c>
      <c r="J291" s="101">
        <f>SUM(J272:J289)</f>
        <v>0</v>
      </c>
      <c r="K291" s="101">
        <f>SUM(K272:K289)</f>
        <v>0</v>
      </c>
      <c r="L291" s="101">
        <f>SUM(L272:L289)</f>
        <v>0</v>
      </c>
      <c r="M291" s="64">
        <f t="shared" si="86"/>
        <v>0</v>
      </c>
      <c r="N291" s="101">
        <f>SUM(N272:N289)</f>
        <v>0</v>
      </c>
      <c r="O291" s="101">
        <f>SUM(O272:O289)</f>
        <v>0</v>
      </c>
      <c r="P291" s="101">
        <f>SUM(P272:P289)</f>
        <v>0</v>
      </c>
      <c r="Q291" s="64">
        <f t="shared" si="87"/>
        <v>0</v>
      </c>
      <c r="R291" s="64">
        <f t="shared" si="88"/>
        <v>0</v>
      </c>
    </row>
    <row r="292" spans="1:20" ht="16.5" customHeight="1" thickBot="1" x14ac:dyDescent="0.35">
      <c r="A292" s="62" t="s">
        <v>70</v>
      </c>
      <c r="B292" s="107">
        <f>+B202+B209+B271+B291</f>
        <v>24040</v>
      </c>
      <c r="C292" s="63">
        <f>+C202+C209+C271+C291</f>
        <v>23098</v>
      </c>
      <c r="D292" s="63">
        <f>+D202+D209+D271+D291</f>
        <v>31638</v>
      </c>
      <c r="E292" s="88">
        <f t="shared" si="89"/>
        <v>78776</v>
      </c>
      <c r="F292" s="63">
        <f>+F202+F209+F271+F291</f>
        <v>38321</v>
      </c>
      <c r="G292" s="63">
        <f>+G202+G209+G271+G291</f>
        <v>48206</v>
      </c>
      <c r="H292" s="63">
        <f>+H202+H209+H271+H291</f>
        <v>45808</v>
      </c>
      <c r="I292" s="88">
        <f t="shared" si="85"/>
        <v>132335</v>
      </c>
      <c r="J292" s="63">
        <f>+J202+J209+J271+J291</f>
        <v>42698</v>
      </c>
      <c r="K292" s="63">
        <f>+K202+K209+K271+K291</f>
        <v>50599</v>
      </c>
      <c r="L292" s="63">
        <f>+L202+L209+L271+L291</f>
        <v>42111</v>
      </c>
      <c r="M292" s="88">
        <f t="shared" si="86"/>
        <v>135408</v>
      </c>
      <c r="N292" s="63">
        <f>+N202+N209+N271+N291</f>
        <v>28609</v>
      </c>
      <c r="O292" s="63">
        <f>+O202+O209+O271+O291</f>
        <v>22388</v>
      </c>
      <c r="P292" s="63">
        <f>+P202+P209+P271+P291</f>
        <v>20680</v>
      </c>
      <c r="Q292" s="88">
        <f t="shared" si="87"/>
        <v>71677</v>
      </c>
      <c r="R292" s="88">
        <f t="shared" si="88"/>
        <v>418196</v>
      </c>
    </row>
    <row r="293" spans="1:20" ht="15.75" customHeight="1" x14ac:dyDescent="0.3">
      <c r="A293" s="102" t="s">
        <v>288</v>
      </c>
      <c r="B293" s="1"/>
      <c r="C293" s="1">
        <v>1647</v>
      </c>
      <c r="D293" s="1">
        <v>2938</v>
      </c>
      <c r="E293" s="59">
        <f t="shared" si="89"/>
        <v>4585</v>
      </c>
      <c r="F293" s="1">
        <v>2468</v>
      </c>
      <c r="G293" s="1">
        <v>1648</v>
      </c>
      <c r="H293" s="1">
        <v>1747</v>
      </c>
      <c r="I293" s="59">
        <f t="shared" si="85"/>
        <v>5863</v>
      </c>
      <c r="J293" s="1">
        <v>2124</v>
      </c>
      <c r="K293" s="1">
        <v>1510</v>
      </c>
      <c r="L293" s="1">
        <v>1729</v>
      </c>
      <c r="M293" s="59">
        <f t="shared" si="86"/>
        <v>5363</v>
      </c>
      <c r="N293" s="1">
        <v>2380</v>
      </c>
      <c r="O293" s="1">
        <v>4823</v>
      </c>
      <c r="P293" s="1">
        <v>1358</v>
      </c>
      <c r="Q293" s="59">
        <f t="shared" si="87"/>
        <v>8561</v>
      </c>
      <c r="R293" s="59">
        <f t="shared" si="88"/>
        <v>24372</v>
      </c>
      <c r="T293" s="4" t="s">
        <v>121</v>
      </c>
    </row>
    <row r="294" spans="1:20" ht="15.75" customHeight="1" x14ac:dyDescent="0.3">
      <c r="A294" s="108" t="s">
        <v>289</v>
      </c>
      <c r="B294" s="1"/>
      <c r="C294" s="1"/>
      <c r="D294" s="1"/>
      <c r="E294" s="59">
        <f t="shared" si="89"/>
        <v>0</v>
      </c>
      <c r="F294" s="1"/>
      <c r="G294" s="1"/>
      <c r="H294" s="1"/>
      <c r="I294" s="59">
        <f t="shared" si="85"/>
        <v>0</v>
      </c>
      <c r="J294" s="1"/>
      <c r="K294" s="1"/>
      <c r="L294" s="1"/>
      <c r="M294" s="59">
        <f t="shared" si="86"/>
        <v>0</v>
      </c>
      <c r="N294" s="1"/>
      <c r="O294" s="1"/>
      <c r="P294" s="1"/>
      <c r="Q294" s="59">
        <f t="shared" si="87"/>
        <v>0</v>
      </c>
      <c r="R294" s="59">
        <f t="shared" si="88"/>
        <v>0</v>
      </c>
    </row>
    <row r="295" spans="1:20" ht="15.75" customHeight="1" x14ac:dyDescent="0.3">
      <c r="A295" s="74" t="s">
        <v>290</v>
      </c>
      <c r="B295" s="1"/>
      <c r="C295" s="1"/>
      <c r="D295" s="1"/>
      <c r="E295" s="59">
        <f t="shared" si="89"/>
        <v>0</v>
      </c>
      <c r="F295" s="1"/>
      <c r="G295" s="1"/>
      <c r="H295" s="1"/>
      <c r="I295" s="59">
        <f t="shared" si="85"/>
        <v>0</v>
      </c>
      <c r="J295" s="1"/>
      <c r="K295" s="1"/>
      <c r="L295" s="1"/>
      <c r="M295" s="59">
        <f t="shared" si="86"/>
        <v>0</v>
      </c>
      <c r="N295" s="1"/>
      <c r="O295" s="1"/>
      <c r="P295" s="1"/>
      <c r="Q295" s="59">
        <f t="shared" si="87"/>
        <v>0</v>
      </c>
      <c r="R295" s="59">
        <f t="shared" si="88"/>
        <v>0</v>
      </c>
    </row>
    <row r="296" spans="1:20" ht="15.75" customHeight="1" x14ac:dyDescent="0.3">
      <c r="A296" s="108" t="s">
        <v>291</v>
      </c>
      <c r="B296" s="1"/>
      <c r="C296" s="1"/>
      <c r="D296" s="1"/>
      <c r="E296" s="59">
        <f>SUM(B296:D296)</f>
        <v>0</v>
      </c>
      <c r="F296" s="1"/>
      <c r="G296" s="1"/>
      <c r="H296" s="1"/>
      <c r="I296" s="59">
        <f>SUM(F296:H296)</f>
        <v>0</v>
      </c>
      <c r="J296" s="1"/>
      <c r="K296" s="1"/>
      <c r="L296" s="1"/>
      <c r="M296" s="59">
        <f>SUM(J296:L296)</f>
        <v>0</v>
      </c>
      <c r="N296" s="1"/>
      <c r="O296" s="1"/>
      <c r="P296" s="1"/>
      <c r="Q296" s="59">
        <f>SUM(N296:P296)</f>
        <v>0</v>
      </c>
      <c r="R296" s="59">
        <f t="shared" si="88"/>
        <v>0</v>
      </c>
    </row>
    <row r="297" spans="1:20" ht="15.75" customHeight="1" x14ac:dyDescent="0.3">
      <c r="A297" s="91" t="s">
        <v>292</v>
      </c>
      <c r="B297" s="1">
        <v>72000</v>
      </c>
      <c r="C297" s="1"/>
      <c r="D297" s="1">
        <v>56000</v>
      </c>
      <c r="E297" s="59">
        <f t="shared" si="89"/>
        <v>128000</v>
      </c>
      <c r="F297" s="1">
        <v>20000</v>
      </c>
      <c r="G297" s="1">
        <v>11000</v>
      </c>
      <c r="H297" s="1"/>
      <c r="I297" s="59">
        <f t="shared" si="85"/>
        <v>31000</v>
      </c>
      <c r="J297" s="1"/>
      <c r="K297" s="1"/>
      <c r="L297" s="1">
        <v>0</v>
      </c>
      <c r="M297" s="59">
        <f t="shared" si="86"/>
        <v>0</v>
      </c>
      <c r="N297" s="1">
        <v>39000</v>
      </c>
      <c r="O297" s="1">
        <v>68000</v>
      </c>
      <c r="P297" s="1">
        <v>63000</v>
      </c>
      <c r="Q297" s="59">
        <f t="shared" si="87"/>
        <v>170000</v>
      </c>
      <c r="R297" s="59">
        <f t="shared" si="88"/>
        <v>329000</v>
      </c>
    </row>
    <row r="298" spans="1:20" ht="16.5" customHeight="1" thickBot="1" x14ac:dyDescent="0.35">
      <c r="A298" s="40" t="s">
        <v>37</v>
      </c>
      <c r="B298" s="25">
        <v>104</v>
      </c>
      <c r="C298" s="25">
        <v>268</v>
      </c>
      <c r="D298" s="25">
        <v>474</v>
      </c>
      <c r="E298" s="59">
        <f>SUM(B298:D298)</f>
        <v>846</v>
      </c>
      <c r="F298" s="25">
        <v>647</v>
      </c>
      <c r="G298" s="25">
        <v>742</v>
      </c>
      <c r="H298" s="25">
        <v>781</v>
      </c>
      <c r="I298" s="59">
        <f t="shared" si="85"/>
        <v>2170</v>
      </c>
      <c r="J298" s="25">
        <v>774</v>
      </c>
      <c r="K298" s="25">
        <v>596</v>
      </c>
      <c r="L298" s="25">
        <v>546</v>
      </c>
      <c r="M298" s="59">
        <f t="shared" si="86"/>
        <v>1916</v>
      </c>
      <c r="N298" s="25">
        <v>517</v>
      </c>
      <c r="O298" s="25">
        <v>413</v>
      </c>
      <c r="P298" s="25">
        <v>302</v>
      </c>
      <c r="Q298" s="59">
        <f t="shared" si="87"/>
        <v>1232</v>
      </c>
      <c r="R298" s="59">
        <f t="shared" si="88"/>
        <v>6164</v>
      </c>
    </row>
    <row r="299" spans="1:20" ht="16.5" customHeight="1" thickBot="1" x14ac:dyDescent="0.35">
      <c r="A299" s="80"/>
      <c r="B299" s="81"/>
      <c r="C299" s="81"/>
      <c r="D299" s="81"/>
      <c r="E299" s="65"/>
      <c r="F299" s="81"/>
      <c r="G299" s="81"/>
      <c r="H299" s="81"/>
      <c r="I299" s="64"/>
      <c r="J299" s="81"/>
      <c r="K299" s="81"/>
      <c r="L299" s="81"/>
      <c r="M299" s="64"/>
      <c r="N299" s="81"/>
      <c r="O299" s="81"/>
      <c r="P299" s="81"/>
      <c r="Q299" s="64"/>
      <c r="R299" s="64" t="s">
        <v>7</v>
      </c>
    </row>
    <row r="300" spans="1:20" ht="15.75" customHeight="1" x14ac:dyDescent="0.3">
      <c r="A300" s="82" t="s">
        <v>38</v>
      </c>
      <c r="B300" s="83">
        <f>SUM(B292:B298)</f>
        <v>96144</v>
      </c>
      <c r="C300" s="83">
        <f>SUM(C292:C298)</f>
        <v>25013</v>
      </c>
      <c r="D300" s="83">
        <f>SUM(D292:D298)</f>
        <v>91050</v>
      </c>
      <c r="E300" s="65">
        <f>SUM(B300:D300)</f>
        <v>212207</v>
      </c>
      <c r="F300" s="83">
        <f>SUM(F292:F298)</f>
        <v>61436</v>
      </c>
      <c r="G300" s="83">
        <f>SUM(G292:G298)</f>
        <v>61596</v>
      </c>
      <c r="H300" s="83">
        <f>SUM(H292:H298)</f>
        <v>48336</v>
      </c>
      <c r="I300" s="65">
        <f>SUM(F300:H300)</f>
        <v>171368</v>
      </c>
      <c r="J300" s="83">
        <f>SUM(J292:J298)</f>
        <v>45596</v>
      </c>
      <c r="K300" s="83">
        <f>SUM(K292:K298)</f>
        <v>52705</v>
      </c>
      <c r="L300" s="83">
        <f>SUM(L292:L298)</f>
        <v>44386</v>
      </c>
      <c r="M300" s="65">
        <f>SUM(J300:L300)</f>
        <v>142687</v>
      </c>
      <c r="N300" s="83">
        <f>SUM(N292:N298)</f>
        <v>70506</v>
      </c>
      <c r="O300" s="83">
        <f>SUM(O292:O298)</f>
        <v>95624</v>
      </c>
      <c r="P300" s="83">
        <f>SUM(P292:P298)</f>
        <v>85340</v>
      </c>
      <c r="Q300" s="109">
        <f>SUM(N300:P300)</f>
        <v>251470</v>
      </c>
      <c r="R300" s="65">
        <f>+E300+I300+M300+Q300</f>
        <v>777732</v>
      </c>
    </row>
    <row r="301" spans="1:20" ht="15.75" customHeight="1" x14ac:dyDescent="0.3">
      <c r="A301" s="85" t="s">
        <v>39</v>
      </c>
      <c r="B301" s="1">
        <f>(B300/B10)/1.983</f>
        <v>1564.0037089453906</v>
      </c>
      <c r="C301" s="1">
        <f>(C300/C10)/1.983</f>
        <v>450.48987825084646</v>
      </c>
      <c r="D301" s="1">
        <f>(D300/D10)/1.983</f>
        <v>1481.1380606119758</v>
      </c>
      <c r="E301" s="59" t="s">
        <v>7</v>
      </c>
      <c r="F301" s="1">
        <f>(F300/F10)/1.983</f>
        <v>1032.7113800638763</v>
      </c>
      <c r="G301" s="1">
        <f>(G300/G10)/1.983</f>
        <v>1002.0008784344346</v>
      </c>
      <c r="H301" s="1">
        <f>(H300/H10)/1.983</f>
        <v>812.50630358043372</v>
      </c>
      <c r="I301" s="59" t="s">
        <v>7</v>
      </c>
      <c r="J301" s="1">
        <f>(J300/J10)/1.983</f>
        <v>741.72400891448274</v>
      </c>
      <c r="K301" s="1">
        <f>(K300/K10)/1.983</f>
        <v>857.36827550306634</v>
      </c>
      <c r="L301" s="1">
        <f>(L300/L10)/1.983</f>
        <v>746.10858967893762</v>
      </c>
      <c r="M301" s="59" t="s">
        <v>7</v>
      </c>
      <c r="N301" s="1">
        <f>(N300/N10)/1.983</f>
        <v>1146.9425601483579</v>
      </c>
      <c r="O301" s="1">
        <f>(O300/O10)/1.983</f>
        <v>1607.3962010421919</v>
      </c>
      <c r="P301" s="1">
        <f>(P300/P10)/1.983</f>
        <v>1388.2517528020433</v>
      </c>
      <c r="Q301" s="110" t="s">
        <v>7</v>
      </c>
      <c r="R301" s="59" t="s">
        <v>7</v>
      </c>
    </row>
    <row r="302" spans="1:20" ht="15.75" customHeight="1" x14ac:dyDescent="0.3">
      <c r="A302" s="85" t="s">
        <v>293</v>
      </c>
      <c r="B302" s="1">
        <f>(+B300+B460)+B309</f>
        <v>137245</v>
      </c>
      <c r="C302" s="1">
        <f>(+C300+C460)+C309</f>
        <v>65722</v>
      </c>
      <c r="D302" s="1">
        <f>(+D300+D460)+D309</f>
        <v>175577</v>
      </c>
      <c r="E302" s="59">
        <f>SUM(B302:D302)</f>
        <v>378544</v>
      </c>
      <c r="F302" s="1">
        <f>(+F300+F460)+F309</f>
        <v>168407</v>
      </c>
      <c r="G302" s="1">
        <f>(+G300+G460)+G309</f>
        <v>173904</v>
      </c>
      <c r="H302" s="1">
        <f>(+H300+H460)+H309</f>
        <v>77632</v>
      </c>
      <c r="I302" s="59">
        <f>SUM(F302:H302)</f>
        <v>419943</v>
      </c>
      <c r="J302" s="1">
        <f>(+J300+J460)+J309</f>
        <v>64525</v>
      </c>
      <c r="K302" s="1">
        <f>(+K300+K460)+K309</f>
        <v>64602</v>
      </c>
      <c r="L302" s="1">
        <f>(+L300+L460)+L309</f>
        <v>132960</v>
      </c>
      <c r="M302" s="59">
        <f>SUM(J302:L302)</f>
        <v>262087</v>
      </c>
      <c r="N302" s="1">
        <f>(+N300+N460)+N309</f>
        <v>128855</v>
      </c>
      <c r="O302" s="1">
        <f>(+O300+O460)+O309</f>
        <v>125974</v>
      </c>
      <c r="P302" s="1">
        <f>(+P300+P460)+P309</f>
        <v>130389</v>
      </c>
      <c r="Q302" s="110">
        <f>SUM(N302:P302)</f>
        <v>385218</v>
      </c>
      <c r="R302" s="59">
        <f>+E302+I302+M302+Q302</f>
        <v>1445792</v>
      </c>
    </row>
    <row r="303" spans="1:20" ht="16.5" customHeight="1" thickBot="1" x14ac:dyDescent="0.35">
      <c r="A303" s="86" t="s">
        <v>294</v>
      </c>
      <c r="B303" s="87">
        <f>(B302/B10)/1.983</f>
        <v>2232.606184829112</v>
      </c>
      <c r="C303" s="87">
        <f>(C302/C10)/1.983</f>
        <v>1183.6683236078093</v>
      </c>
      <c r="D303" s="87">
        <f>(D302/D10)/1.983</f>
        <v>2856.1644949815368</v>
      </c>
      <c r="E303" s="88" t="s">
        <v>7</v>
      </c>
      <c r="F303" s="87">
        <f>(F302/F10)/1.983</f>
        <v>2830.8455202555051</v>
      </c>
      <c r="G303" s="87">
        <f>(G302/G10)/1.983</f>
        <v>2828.9492948123566</v>
      </c>
      <c r="H303" s="87">
        <f>(H302/H10)/1.983</f>
        <v>1304.9588166078331</v>
      </c>
      <c r="I303" s="88" t="s">
        <v>7</v>
      </c>
      <c r="J303" s="87">
        <f>(J302/J10)/1.983</f>
        <v>1049.6478128609308</v>
      </c>
      <c r="K303" s="87">
        <f>(K302/K10)/1.983</f>
        <v>1050.9003952954956</v>
      </c>
      <c r="L303" s="87">
        <f>(L302/L10)/1.983</f>
        <v>2234.9974785678264</v>
      </c>
      <c r="M303" s="88" t="s">
        <v>7</v>
      </c>
      <c r="N303" s="87">
        <f>(N302/N10)/1.983</f>
        <v>2096.1235013745872</v>
      </c>
      <c r="O303" s="87">
        <f>(O302/O10)/1.983</f>
        <v>2117.5659774752057</v>
      </c>
      <c r="P303" s="87">
        <f>(P302/P10)/1.983</f>
        <v>2121.0775462398124</v>
      </c>
      <c r="Q303" s="111" t="s">
        <v>7</v>
      </c>
      <c r="R303" s="88" t="s">
        <v>7</v>
      </c>
    </row>
    <row r="304" spans="1:20" ht="16.5" customHeight="1" thickBot="1" x14ac:dyDescent="0.35">
      <c r="A304" s="112" t="s">
        <v>295</v>
      </c>
      <c r="B304" s="113">
        <f>+(B302-(B139+B140+B141+B142+B144+B145+B146+B148+B149+B150+B154+B156++B161+B162+B164+B165+B167+B168+B169+B170+B171+B180+B181+B182+B193+B196+B198+B199+B206+B213+B214+B216+B217+B229+B231+B232+B233+B234+B236+B237+B238+B246+B254+B255+B275+B276+B278+B279+B282+B283+B287+B293+B297+B305)-B309)/(B10*1.983)</f>
        <v>1019.6021017357212</v>
      </c>
      <c r="C304" s="113">
        <f>+(C302-(C139+C140+C141+C142+C144+C145+C146+C148+C149+C150+C154+C156++C161+C162+C164+C165+C167+C168+C169+C170+C171+C180+C181+C182+C193+C196+C198+C199+C206+C213+C214+C216+C217+C229+C231+C232+C233+C234+C236+C237+C238+C246+C254+C255+C275+C276+C278+C279+C282+C283+C287+C293+C297+C305)-C309)/(C10*1.983)</f>
        <v>1217.2754124342625</v>
      </c>
      <c r="D304" s="113">
        <f>+(D302-(D139+D140+D141+D142+D144+D145+D146+D148+D149+D150+D154+D156++D161+D162+D164+D165+D167+D168+D169+D170+D171+D180+D181+D182+D193+D196+D198+D199+D206+D213+D214+D216+D217+D229+D231+D232+D233+D234+D236+D237+D238+D246+D254+D255+D275+D276+D278+D279+D282+D283+D287+D293+D297+D305)-D309)/(D10*1.983)</f>
        <v>1791.0952776015486</v>
      </c>
      <c r="E304" s="114"/>
      <c r="F304" s="113">
        <f>+(F302-(F139+F140+F141+F142+F144+F145+F146+F148+F149+F150+F154+F156++F161+F162+F164+F165+F167+F168+F169+F170+F171+F180+F181+F182+F193+F196+F198+F199+F206+F213+F214+F216+F217+F229+F231+F232+F233+F234+F236+F237+F238+F246+F254+F255+F275+F276+F278+F279+F282+F283+F287+F293+F297+F305)-F309)/(F10*1.983)</f>
        <v>2293.5619431837281</v>
      </c>
      <c r="G304" s="113">
        <f>+(G302-(G139+G140+G141+G142+G144+G145+G146+G148+G149+G150+G154+G156++G161+G162+G164+G165+G167+G168+G169+G170+G171+G180+G181+G182+G193+G196+G198+G199+G206+G213+G214+G216+G217+G229+G231+G232+G233+G234+G236+G237+G238+G246+G254+G255+G275+G276+G278+G279+G282+G283+G287+G293+G297+G305)-G309)/(G10*1.983)</f>
        <v>2445.0571795747724</v>
      </c>
      <c r="H304" s="113">
        <f>+(H302-(H139+H140+H141+H142+H144+H145+H146+H148+H149+H150+H154+H156++H161+H162+H164+H165+H167+H168+H169+H170+H171+H180+H181+H182+H193+H196+H198+H199+H206+H213+H214+H216+H217+H229+H231+H232+H233+H234+H236+H237+H238+H246+H254+H255+H275+H276+H278+H279+H282+H283+H287+H293+H297+H305)-H309)/(H10*1.983)</f>
        <v>2959.1023701462432</v>
      </c>
      <c r="I304" s="114"/>
      <c r="J304" s="113">
        <f>+(J302-(J139+J140+J141+J142+J144+J145+J146+J148+J149+J150+J154+J156++J161+J162+J164+J165+J167+J168+J169+J170+J171+J180+J181+J182+J193+J196+J198+J199+J206+J213+J214+J216+J217+J229+J231+J232+J233+J234+J236+J237+J238+J246+J254+J255+J275+J276+J278+J279+J282+J283+J287+J293+J297+J305)-J309)/(J10*1.983)</f>
        <v>2755.1608023034501</v>
      </c>
      <c r="K304" s="113">
        <f>+(K302-(K139+K140+K141+K142+K144+K145+K146+K148+K149+K150+K154+K156++K161+K162+K164+K165+K167+K168+K169+K170+K171+K180+K181+K182+K193+K196+K198+K199+K206+K213+K214+K216+K217+K229+K231+K232+K233+K234+K236+K237+K238+K246+K254+K255+K275+K276+K278+K279+K282+K283+K287+K293+K297+K305)-K309)/(K10*1.983)</f>
        <v>2535.9914108633056</v>
      </c>
      <c r="L304" s="113">
        <f>+(L302-(L139+L140+L141+L142+L144+L145+L146+L148+L149+L150+L154+L156++L161+L162+L164+L165+L167+L168+L169+L170+L171+L180+L181+L182+L193+L196+L198+L199+L206+L213+L214+L216+L217+L229+L231+L232+L233+L234+L236+L237+L238+L246+L254+L255+L275+L276+L278+L279+L282+L283+L287+L293+L297+L305)-L309)/(L10*1.983)</f>
        <v>2100.3530005042862</v>
      </c>
      <c r="M304" s="114"/>
      <c r="N304" s="113">
        <f>+(N302-(N139+N140+N141+N142+N144+N145+N146+N148+N149+N150+N154+N156++N161+N162+N164+N165+N167+N168+N169+N170+N171+N180+N181+N182+N193+N196+N198+N199+N206+N213+N214+N216+N217+N229+N231+N232+N233+N234+N236+N237+N238+N246+N254+N255+N275+N276+N278+N279+N282+N283+N287+N293+N297+N305)-N309)/(N10*1.983)</f>
        <v>1329.8033282904689</v>
      </c>
      <c r="O304" s="113">
        <f>+(O302-(O139+O140+O141+O142+O144+O145+O146+O148+O149+O150+O154+O156++O161+O162+O164+O165+O167+O168+O169+O170+O171+O180+O181+O182+O193+O196+O198+O199+O206+O213+O214+O216+O217+O229+O231+O232+O233+O234+O236+O237+O238+O246+O254+O255+O275+O276+O278+O279+O282+O283+O287+O293+O297+O305)-O309)/(O10*1.983)</f>
        <v>850.78164397377702</v>
      </c>
      <c r="P304" s="113">
        <f>+(P302-(P139+P140+P141+P142+P144+P145+P146+P148+P149+P150+P154+P156++P161+P162+P164+P165+P167+P168+P169+P170+P171+P180+P181+P182+P193+P196+P198+P199+P206+P213+P214+P216+P217+P229+P231+P232+P233+P234+P236+P237+P238+P246+P254+P255+P275+P276+P278+P279+P282+P283+P287+P293+P297+P305)-P309)/(P10*1.983)</f>
        <v>1056.3011403380344</v>
      </c>
      <c r="Q304" s="115"/>
      <c r="R304" s="114"/>
    </row>
    <row r="305" spans="1:20" ht="15.75" customHeight="1" x14ac:dyDescent="0.3">
      <c r="A305" s="116" t="s">
        <v>296</v>
      </c>
      <c r="B305" s="1"/>
      <c r="C305" s="1"/>
      <c r="D305" s="1"/>
      <c r="E305" s="1"/>
      <c r="F305" s="1"/>
      <c r="G305" s="1"/>
      <c r="H305" s="1"/>
      <c r="I305" s="1"/>
      <c r="J305" s="1"/>
      <c r="K305" s="1"/>
      <c r="L305" s="1"/>
      <c r="M305" s="1"/>
      <c r="N305" s="1"/>
      <c r="O305" s="1"/>
      <c r="P305" s="1"/>
      <c r="Q305" s="1"/>
      <c r="R305" s="28"/>
    </row>
    <row r="306" spans="1:20" ht="15.75" customHeight="1" thickBot="1" x14ac:dyDescent="0.35">
      <c r="A306" s="30"/>
      <c r="B306" s="1"/>
      <c r="C306" s="1"/>
      <c r="D306" s="1"/>
      <c r="E306" s="1"/>
      <c r="F306" s="1"/>
      <c r="G306" s="1"/>
      <c r="H306" s="1"/>
      <c r="I306" s="1"/>
      <c r="J306" s="1"/>
      <c r="K306" s="1"/>
      <c r="L306" s="1"/>
      <c r="M306" s="1"/>
      <c r="N306" s="1"/>
      <c r="O306" s="1"/>
      <c r="P306" s="1"/>
      <c r="Q306" s="1"/>
      <c r="R306" s="28"/>
    </row>
    <row r="307" spans="1:20" ht="16.5" customHeight="1" thickBot="1" x14ac:dyDescent="0.35">
      <c r="A307" s="31" t="s">
        <v>297</v>
      </c>
      <c r="B307" s="32" t="s">
        <v>36</v>
      </c>
      <c r="C307" s="33" t="s">
        <v>9</v>
      </c>
      <c r="D307" s="33" t="s">
        <v>10</v>
      </c>
      <c r="E307" s="12" t="s">
        <v>11</v>
      </c>
      <c r="F307" s="33" t="s">
        <v>12</v>
      </c>
      <c r="G307" s="33" t="s">
        <v>13</v>
      </c>
      <c r="H307" s="33" t="s">
        <v>14</v>
      </c>
      <c r="I307" s="34" t="s">
        <v>15</v>
      </c>
      <c r="J307" s="33" t="s">
        <v>16</v>
      </c>
      <c r="K307" s="33" t="s">
        <v>17</v>
      </c>
      <c r="L307" s="33" t="s">
        <v>18</v>
      </c>
      <c r="M307" s="34" t="s">
        <v>19</v>
      </c>
      <c r="N307" s="33" t="s">
        <v>20</v>
      </c>
      <c r="O307" s="33" t="s">
        <v>21</v>
      </c>
      <c r="P307" s="33" t="s">
        <v>22</v>
      </c>
      <c r="Q307" s="34" t="s">
        <v>23</v>
      </c>
      <c r="R307" s="35" t="s">
        <v>24</v>
      </c>
    </row>
    <row r="308" spans="1:20" ht="16.5" customHeight="1" thickBot="1" x14ac:dyDescent="0.35">
      <c r="A308" s="80"/>
      <c r="B308" s="81"/>
      <c r="C308" s="81"/>
      <c r="D308" s="81"/>
      <c r="E308" s="89"/>
      <c r="F308" s="81"/>
      <c r="G308" s="81"/>
      <c r="H308" s="81"/>
      <c r="I308" s="89"/>
      <c r="J308" s="81"/>
      <c r="K308" s="81"/>
      <c r="L308" s="81"/>
      <c r="M308" s="89"/>
      <c r="N308" s="81"/>
      <c r="O308" s="81"/>
      <c r="P308" s="81"/>
      <c r="Q308" s="89"/>
      <c r="R308" s="117"/>
    </row>
    <row r="309" spans="1:20" ht="15.75" customHeight="1" thickBot="1" x14ac:dyDescent="0.35">
      <c r="A309" s="74" t="s">
        <v>298</v>
      </c>
      <c r="B309" s="1"/>
      <c r="C309" s="1">
        <v>-8000</v>
      </c>
      <c r="D309" s="1"/>
      <c r="E309" s="59">
        <f>SUM(B309:D309)</f>
        <v>-8000</v>
      </c>
      <c r="F309" s="1"/>
      <c r="G309" s="1"/>
      <c r="H309" s="1">
        <v>-111000</v>
      </c>
      <c r="I309" s="59">
        <f>SUM(F309:H309)</f>
        <v>-111000</v>
      </c>
      <c r="J309" s="1">
        <v>-115000</v>
      </c>
      <c r="K309" s="1">
        <v>-99000</v>
      </c>
      <c r="L309" s="1"/>
      <c r="M309" s="59">
        <f>SUM(J309:L309)</f>
        <v>-214000</v>
      </c>
      <c r="N309" s="1"/>
      <c r="O309" s="1"/>
      <c r="P309" s="1"/>
      <c r="Q309" s="59">
        <f>SUM(N309:P309)</f>
        <v>0</v>
      </c>
      <c r="R309" s="59">
        <f>+E309+I309+M309+Q309</f>
        <v>-333000</v>
      </c>
    </row>
    <row r="310" spans="1:20" ht="16.5" customHeight="1" thickBot="1" x14ac:dyDescent="0.35">
      <c r="A310" s="118"/>
      <c r="B310" s="119"/>
      <c r="C310" s="119"/>
      <c r="D310" s="119"/>
      <c r="E310" s="120"/>
      <c r="F310" s="119"/>
      <c r="G310" s="119"/>
      <c r="H310" s="119"/>
      <c r="I310" s="120"/>
      <c r="J310" s="119"/>
      <c r="K310" s="119"/>
      <c r="L310" s="119"/>
      <c r="M310" s="120"/>
      <c r="N310" s="119"/>
      <c r="O310" s="119"/>
      <c r="P310" s="119"/>
      <c r="Q310" s="120"/>
      <c r="R310" s="121"/>
    </row>
    <row r="311" spans="1:20" ht="15.75" customHeight="1" x14ac:dyDescent="0.3">
      <c r="A311" s="17" t="s">
        <v>32</v>
      </c>
      <c r="B311" s="1">
        <f>B309</f>
        <v>0</v>
      </c>
      <c r="C311" s="1">
        <f>C309</f>
        <v>-8000</v>
      </c>
      <c r="D311" s="1">
        <f>D309</f>
        <v>0</v>
      </c>
      <c r="E311" s="59">
        <f>SUM(B311:D311)</f>
        <v>-8000</v>
      </c>
      <c r="F311" s="1">
        <f>F309</f>
        <v>0</v>
      </c>
      <c r="G311" s="1">
        <f>G309</f>
        <v>0</v>
      </c>
      <c r="H311" s="1">
        <f>H309</f>
        <v>-111000</v>
      </c>
      <c r="I311" s="59">
        <f>SUM(F311:H311)</f>
        <v>-111000</v>
      </c>
      <c r="J311" s="1">
        <f>J309</f>
        <v>-115000</v>
      </c>
      <c r="K311" s="1">
        <f>K309</f>
        <v>-99000</v>
      </c>
      <c r="L311" s="1">
        <f>L309</f>
        <v>0</v>
      </c>
      <c r="M311" s="59">
        <f>SUM(J311:L311)</f>
        <v>-214000</v>
      </c>
      <c r="N311" s="1">
        <f>N309</f>
        <v>0</v>
      </c>
      <c r="O311" s="1">
        <f>O309</f>
        <v>0</v>
      </c>
      <c r="P311" s="1">
        <f>P309</f>
        <v>0</v>
      </c>
      <c r="Q311" s="59">
        <f>SUM(N311:P311)</f>
        <v>0</v>
      </c>
      <c r="R311" s="122">
        <f>R309</f>
        <v>-333000</v>
      </c>
    </row>
    <row r="312" spans="1:20" ht="16.5" customHeight="1" thickBot="1" x14ac:dyDescent="0.35">
      <c r="A312" s="24" t="s">
        <v>39</v>
      </c>
      <c r="B312" s="25">
        <f>(B311/B10)/1.983</f>
        <v>0</v>
      </c>
      <c r="C312" s="25">
        <f>(C311/C10)/1.983</f>
        <v>-144.08183848425907</v>
      </c>
      <c r="D312" s="25">
        <f>(D311/D10)/1.983</f>
        <v>0</v>
      </c>
      <c r="E312" s="88"/>
      <c r="F312" s="25">
        <f>(F311/F10)/1.983</f>
        <v>0</v>
      </c>
      <c r="G312" s="25">
        <f>(G311/G10)/1.983</f>
        <v>0</v>
      </c>
      <c r="H312" s="25">
        <f>(H311/H10)/1.983</f>
        <v>-1865.8598083711547</v>
      </c>
      <c r="I312" s="88"/>
      <c r="J312" s="25">
        <f>(J311/J10)/1.983</f>
        <v>-1870.7399996746537</v>
      </c>
      <c r="K312" s="25">
        <f>(K311/K10)/1.983</f>
        <v>-1610.463130154702</v>
      </c>
      <c r="L312" s="25">
        <f>(L311/L10)/1.983</f>
        <v>0</v>
      </c>
      <c r="M312" s="88"/>
      <c r="N312" s="25">
        <f>(N311/N10)/1.983</f>
        <v>0</v>
      </c>
      <c r="O312" s="25">
        <f>(O311/O10)/1.983</f>
        <v>0</v>
      </c>
      <c r="P312" s="25">
        <f>(P311/P10)/1.983</f>
        <v>0</v>
      </c>
      <c r="Q312" s="88"/>
      <c r="R312" s="117" t="s">
        <v>7</v>
      </c>
    </row>
    <row r="313" spans="1:20" ht="15.75" customHeight="1" x14ac:dyDescent="0.3">
      <c r="A313" s="28"/>
      <c r="B313" s="1"/>
      <c r="C313" s="1"/>
      <c r="D313" s="1"/>
      <c r="E313" s="1"/>
      <c r="F313" s="1"/>
      <c r="G313" s="1"/>
      <c r="H313" s="1"/>
      <c r="I313" s="1"/>
      <c r="J313" s="1"/>
      <c r="K313" s="1"/>
      <c r="L313" s="1"/>
      <c r="M313" s="1"/>
      <c r="N313" s="1"/>
      <c r="O313" s="1"/>
      <c r="P313" s="1"/>
      <c r="Q313" s="1"/>
      <c r="R313" s="28"/>
    </row>
    <row r="314" spans="1:20" ht="16.5" customHeight="1" thickBot="1" x14ac:dyDescent="0.35">
      <c r="A314" s="123"/>
      <c r="B314" s="25"/>
      <c r="C314" s="25"/>
      <c r="D314" s="25"/>
      <c r="E314" s="25"/>
      <c r="F314" s="25"/>
      <c r="G314" s="25"/>
      <c r="H314" s="25"/>
      <c r="I314" s="25"/>
      <c r="J314" s="25"/>
      <c r="K314" s="25"/>
      <c r="L314" s="25"/>
      <c r="M314" s="25"/>
      <c r="N314" s="25"/>
      <c r="O314" s="25"/>
      <c r="P314" s="25"/>
      <c r="Q314" s="25"/>
      <c r="R314" s="123"/>
    </row>
    <row r="315" spans="1:20" ht="16.5" customHeight="1" thickBot="1" x14ac:dyDescent="0.35">
      <c r="A315" s="124" t="s">
        <v>299</v>
      </c>
      <c r="B315" s="32" t="s">
        <v>36</v>
      </c>
      <c r="C315" s="33" t="s">
        <v>9</v>
      </c>
      <c r="D315" s="33" t="s">
        <v>10</v>
      </c>
      <c r="E315" s="12" t="s">
        <v>11</v>
      </c>
      <c r="F315" s="33" t="s">
        <v>12</v>
      </c>
      <c r="G315" s="33" t="s">
        <v>13</v>
      </c>
      <c r="H315" s="33" t="s">
        <v>14</v>
      </c>
      <c r="I315" s="34" t="s">
        <v>15</v>
      </c>
      <c r="J315" s="33" t="s">
        <v>16</v>
      </c>
      <c r="K315" s="33" t="s">
        <v>17</v>
      </c>
      <c r="L315" s="33" t="s">
        <v>18</v>
      </c>
      <c r="M315" s="34" t="s">
        <v>19</v>
      </c>
      <c r="N315" s="33" t="s">
        <v>20</v>
      </c>
      <c r="O315" s="33" t="s">
        <v>21</v>
      </c>
      <c r="P315" s="33" t="s">
        <v>22</v>
      </c>
      <c r="Q315" s="34" t="s">
        <v>23</v>
      </c>
      <c r="R315" s="35" t="s">
        <v>24</v>
      </c>
    </row>
    <row r="316" spans="1:20" ht="16.5" customHeight="1" thickBot="1" x14ac:dyDescent="0.35">
      <c r="A316" s="64"/>
      <c r="B316" s="81"/>
      <c r="C316" s="81"/>
      <c r="D316" s="81"/>
      <c r="E316" s="72"/>
      <c r="F316" s="81"/>
      <c r="G316" s="81"/>
      <c r="H316" s="81"/>
      <c r="I316" s="89"/>
      <c r="J316" s="81"/>
      <c r="K316" s="81"/>
      <c r="L316" s="81"/>
      <c r="M316" s="89"/>
      <c r="N316" s="81"/>
      <c r="O316" s="81"/>
      <c r="P316" s="81"/>
      <c r="Q316" s="89"/>
      <c r="R316" s="122"/>
    </row>
    <row r="317" spans="1:20" ht="15.75" customHeight="1" x14ac:dyDescent="0.3">
      <c r="A317" s="17" t="s">
        <v>45</v>
      </c>
      <c r="B317" s="1"/>
      <c r="C317" s="1"/>
      <c r="D317" s="1"/>
      <c r="E317" s="59" t="s">
        <v>7</v>
      </c>
      <c r="F317" s="1" t="s">
        <v>7</v>
      </c>
      <c r="G317" s="1" t="s">
        <v>7</v>
      </c>
      <c r="H317" s="1" t="s">
        <v>7</v>
      </c>
      <c r="I317" s="59" t="s">
        <v>7</v>
      </c>
      <c r="J317" s="1" t="s">
        <v>7</v>
      </c>
      <c r="K317" s="1" t="s">
        <v>7</v>
      </c>
      <c r="L317" s="1" t="s">
        <v>7</v>
      </c>
      <c r="M317" s="59" t="s">
        <v>7</v>
      </c>
      <c r="N317" s="1" t="s">
        <v>7</v>
      </c>
      <c r="O317" s="1" t="s">
        <v>7</v>
      </c>
      <c r="P317" s="1" t="s">
        <v>7</v>
      </c>
      <c r="Q317" s="59" t="s">
        <v>7</v>
      </c>
      <c r="R317" s="65" t="s">
        <v>7</v>
      </c>
    </row>
    <row r="318" spans="1:20" ht="15.75" customHeight="1" x14ac:dyDescent="0.3">
      <c r="A318" s="17" t="s">
        <v>46</v>
      </c>
      <c r="B318" s="1"/>
      <c r="C318" s="1"/>
      <c r="D318" s="1"/>
      <c r="E318" s="59" t="s">
        <v>7</v>
      </c>
      <c r="F318" s="1"/>
      <c r="G318" s="1"/>
      <c r="H318" s="1"/>
      <c r="I318" s="59" t="s">
        <v>7</v>
      </c>
      <c r="J318" s="1"/>
      <c r="K318" s="1"/>
      <c r="L318" s="1"/>
      <c r="M318" s="59" t="s">
        <v>7</v>
      </c>
      <c r="N318" s="1"/>
      <c r="O318" s="1"/>
      <c r="P318" s="1"/>
      <c r="Q318" s="59" t="s">
        <v>7</v>
      </c>
      <c r="R318" s="59" t="s">
        <v>7</v>
      </c>
    </row>
    <row r="319" spans="1:20" ht="15.75" customHeight="1" x14ac:dyDescent="0.3">
      <c r="A319" s="76" t="s">
        <v>300</v>
      </c>
      <c r="B319" s="1"/>
      <c r="C319" s="1"/>
      <c r="D319" s="1"/>
      <c r="E319" s="59">
        <f t="shared" ref="E319:E346" si="90">SUM(B319:D319)</f>
        <v>0</v>
      </c>
      <c r="F319" s="1"/>
      <c r="G319" s="1"/>
      <c r="H319" s="1"/>
      <c r="I319" s="59">
        <f t="shared" ref="I319:I346" si="91">SUM(F319:H319)</f>
        <v>0</v>
      </c>
      <c r="J319" s="1"/>
      <c r="K319" s="1">
        <f>102+3+1</f>
        <v>106</v>
      </c>
      <c r="L319" s="1">
        <f>98+3+1</f>
        <v>102</v>
      </c>
      <c r="M319" s="59">
        <f t="shared" ref="M319:M346" si="92">SUM(J319:L319)</f>
        <v>208</v>
      </c>
      <c r="N319" s="1">
        <f>102+3+1</f>
        <v>106</v>
      </c>
      <c r="O319" s="1">
        <f>98+3+1</f>
        <v>102</v>
      </c>
      <c r="P319" s="1">
        <f>102+3+1</f>
        <v>106</v>
      </c>
      <c r="Q319" s="59">
        <f t="shared" ref="Q319:Q346" si="93">SUM(N319:P319)</f>
        <v>314</v>
      </c>
      <c r="R319" s="59">
        <f t="shared" ref="R319:R346" si="94">+E319+I319+M319+Q319</f>
        <v>522</v>
      </c>
      <c r="T319" s="4" t="s">
        <v>301</v>
      </c>
    </row>
    <row r="320" spans="1:20" ht="15.75" customHeight="1" x14ac:dyDescent="0.3">
      <c r="A320" s="76" t="s">
        <v>303</v>
      </c>
      <c r="B320" s="1"/>
      <c r="C320" s="1"/>
      <c r="D320" s="1"/>
      <c r="E320" s="59">
        <f t="shared" si="90"/>
        <v>0</v>
      </c>
      <c r="F320" s="1"/>
      <c r="G320" s="1"/>
      <c r="H320" s="1"/>
      <c r="I320" s="59">
        <f t="shared" si="91"/>
        <v>0</v>
      </c>
      <c r="J320" s="1">
        <v>124</v>
      </c>
      <c r="K320" s="1"/>
      <c r="L320" s="1"/>
      <c r="M320" s="59">
        <f t="shared" si="92"/>
        <v>124</v>
      </c>
      <c r="N320" s="1"/>
      <c r="O320" s="1"/>
      <c r="P320" s="1"/>
      <c r="Q320" s="59">
        <f t="shared" si="93"/>
        <v>0</v>
      </c>
      <c r="R320" s="59">
        <f t="shared" si="94"/>
        <v>124</v>
      </c>
    </row>
    <row r="321" spans="1:20" ht="15.75" customHeight="1" x14ac:dyDescent="0.3">
      <c r="A321" s="76" t="s">
        <v>304</v>
      </c>
      <c r="B321" s="1">
        <v>167</v>
      </c>
      <c r="C321" s="1">
        <v>159</v>
      </c>
      <c r="D321" s="1">
        <v>245</v>
      </c>
      <c r="E321" s="59">
        <f t="shared" si="90"/>
        <v>571</v>
      </c>
      <c r="F321" s="1">
        <v>245</v>
      </c>
      <c r="G321" s="1">
        <v>270</v>
      </c>
      <c r="H321" s="1">
        <v>299</v>
      </c>
      <c r="I321" s="59">
        <f t="shared" si="91"/>
        <v>814</v>
      </c>
      <c r="J321" s="1">
        <v>302</v>
      </c>
      <c r="K321" s="1">
        <v>261</v>
      </c>
      <c r="L321" s="1">
        <v>228</v>
      </c>
      <c r="M321" s="59">
        <f t="shared" si="92"/>
        <v>791</v>
      </c>
      <c r="N321" s="1">
        <v>265</v>
      </c>
      <c r="O321" s="1">
        <v>203</v>
      </c>
      <c r="P321" s="1">
        <v>168</v>
      </c>
      <c r="Q321" s="59">
        <f t="shared" si="93"/>
        <v>636</v>
      </c>
      <c r="R321" s="59">
        <f t="shared" si="94"/>
        <v>2812</v>
      </c>
      <c r="T321" s="4" t="s">
        <v>305</v>
      </c>
    </row>
    <row r="322" spans="1:20" ht="15.75" customHeight="1" x14ac:dyDescent="0.3">
      <c r="A322" s="76" t="s">
        <v>308</v>
      </c>
      <c r="B322" s="1"/>
      <c r="C322" s="1"/>
      <c r="D322" s="1"/>
      <c r="E322" s="59">
        <f t="shared" si="90"/>
        <v>0</v>
      </c>
      <c r="F322" s="1"/>
      <c r="G322" s="1"/>
      <c r="H322" s="1">
        <v>1700</v>
      </c>
      <c r="I322" s="59">
        <f t="shared" si="91"/>
        <v>1700</v>
      </c>
      <c r="J322" s="1"/>
      <c r="K322" s="1"/>
      <c r="L322" s="1"/>
      <c r="M322" s="59">
        <f t="shared" si="92"/>
        <v>0</v>
      </c>
      <c r="N322" s="1"/>
      <c r="O322" s="1"/>
      <c r="P322" s="1"/>
      <c r="Q322" s="59">
        <f t="shared" si="93"/>
        <v>0</v>
      </c>
      <c r="R322" s="59">
        <f t="shared" si="94"/>
        <v>1700</v>
      </c>
      <c r="T322" s="4" t="s">
        <v>307</v>
      </c>
    </row>
    <row r="323" spans="1:20" ht="15.75" customHeight="1" x14ac:dyDescent="0.3">
      <c r="A323" s="76" t="s">
        <v>309</v>
      </c>
      <c r="B323" s="1"/>
      <c r="C323" s="1"/>
      <c r="D323" s="1"/>
      <c r="E323" s="59">
        <f t="shared" ref="E323:E328" si="95">SUM(B323:D323)</f>
        <v>0</v>
      </c>
      <c r="F323" s="1">
        <v>2300</v>
      </c>
      <c r="G323" s="1"/>
      <c r="H323" s="1"/>
      <c r="I323" s="59">
        <f t="shared" ref="I323:I328" si="96">SUM(F323:H323)</f>
        <v>2300</v>
      </c>
      <c r="J323" s="1"/>
      <c r="K323" s="1"/>
      <c r="L323" s="1"/>
      <c r="M323" s="59">
        <f t="shared" ref="M323:M328" si="97">SUM(J323:L323)</f>
        <v>0</v>
      </c>
      <c r="N323" s="1"/>
      <c r="O323" s="1"/>
      <c r="P323" s="1"/>
      <c r="Q323" s="59">
        <f>SUM(N323:P323)</f>
        <v>0</v>
      </c>
      <c r="R323" s="59">
        <f t="shared" si="94"/>
        <v>2300</v>
      </c>
      <c r="T323" s="4" t="s">
        <v>305</v>
      </c>
    </row>
    <row r="324" spans="1:20" ht="15.75" customHeight="1" x14ac:dyDescent="0.3">
      <c r="A324" s="76" t="s">
        <v>310</v>
      </c>
      <c r="B324" s="1"/>
      <c r="C324" s="1"/>
      <c r="D324" s="1"/>
      <c r="E324" s="59">
        <f t="shared" si="95"/>
        <v>0</v>
      </c>
      <c r="F324" s="1"/>
      <c r="G324" s="1"/>
      <c r="H324" s="1">
        <v>300</v>
      </c>
      <c r="I324" s="59">
        <f t="shared" si="96"/>
        <v>300</v>
      </c>
      <c r="J324" s="1">
        <v>300</v>
      </c>
      <c r="K324" s="1"/>
      <c r="L324" s="1"/>
      <c r="M324" s="59">
        <f t="shared" si="97"/>
        <v>300</v>
      </c>
      <c r="N324" s="1"/>
      <c r="O324" s="1"/>
      <c r="P324" s="1"/>
      <c r="Q324" s="59">
        <f>SUM(N324:P324)</f>
        <v>0</v>
      </c>
      <c r="R324" s="59">
        <f t="shared" si="94"/>
        <v>600</v>
      </c>
      <c r="T324" s="4" t="s">
        <v>307</v>
      </c>
    </row>
    <row r="325" spans="1:20" ht="15.75" customHeight="1" x14ac:dyDescent="0.3">
      <c r="A325" s="76" t="s">
        <v>312</v>
      </c>
      <c r="B325" s="1">
        <f>15+70</f>
        <v>85</v>
      </c>
      <c r="C325" s="1">
        <f>15+80</f>
        <v>95</v>
      </c>
      <c r="D325" s="1">
        <f>120+30</f>
        <v>150</v>
      </c>
      <c r="E325" s="59">
        <f t="shared" si="95"/>
        <v>330</v>
      </c>
      <c r="F325" s="1">
        <f>200+35</f>
        <v>235</v>
      </c>
      <c r="G325" s="1">
        <f>40+330</f>
        <v>370</v>
      </c>
      <c r="H325" s="1">
        <f>60+330</f>
        <v>390</v>
      </c>
      <c r="I325" s="59">
        <f t="shared" si="96"/>
        <v>995</v>
      </c>
      <c r="J325" s="1">
        <f>60+295</f>
        <v>355</v>
      </c>
      <c r="K325" s="1">
        <f>50+280</f>
        <v>330</v>
      </c>
      <c r="L325" s="1">
        <f>40+240</f>
        <v>280</v>
      </c>
      <c r="M325" s="59">
        <f t="shared" si="97"/>
        <v>965</v>
      </c>
      <c r="N325" s="1">
        <f>35+330</f>
        <v>365</v>
      </c>
      <c r="O325" s="1">
        <f>30+130</f>
        <v>160</v>
      </c>
      <c r="P325" s="1">
        <f>15+110</f>
        <v>125</v>
      </c>
      <c r="Q325" s="59">
        <f>SUM(N325:P325)</f>
        <v>650</v>
      </c>
      <c r="R325" s="59">
        <f>+E325+I325+M325+Q325</f>
        <v>2940</v>
      </c>
      <c r="T325" s="4" t="s">
        <v>313</v>
      </c>
    </row>
    <row r="326" spans="1:20" ht="15.75" customHeight="1" x14ac:dyDescent="0.3">
      <c r="A326" s="76" t="s">
        <v>316</v>
      </c>
      <c r="B326" s="1"/>
      <c r="C326" s="1"/>
      <c r="D326" s="1">
        <v>2400</v>
      </c>
      <c r="E326" s="59">
        <f t="shared" si="95"/>
        <v>2400</v>
      </c>
      <c r="F326" s="1"/>
      <c r="G326" s="1"/>
      <c r="H326" s="1"/>
      <c r="I326" s="59">
        <f t="shared" si="96"/>
        <v>0</v>
      </c>
      <c r="J326" s="1"/>
      <c r="K326" s="1"/>
      <c r="L326" s="1"/>
      <c r="M326" s="59">
        <f t="shared" si="97"/>
        <v>0</v>
      </c>
      <c r="N326" s="1"/>
      <c r="O326" s="1"/>
      <c r="P326" s="1"/>
      <c r="Q326" s="59">
        <f>SUM(N326:P326)</f>
        <v>0</v>
      </c>
      <c r="R326" s="59">
        <f>+E326+I326+M326+Q326</f>
        <v>2400</v>
      </c>
      <c r="T326" s="4" t="s">
        <v>317</v>
      </c>
    </row>
    <row r="327" spans="1:20" ht="15.75" customHeight="1" x14ac:dyDescent="0.3">
      <c r="A327" s="76" t="s">
        <v>318</v>
      </c>
      <c r="B327" s="1"/>
      <c r="C327" s="1"/>
      <c r="D327" s="1"/>
      <c r="E327" s="59">
        <f t="shared" si="95"/>
        <v>0</v>
      </c>
      <c r="F327" s="1">
        <v>6000</v>
      </c>
      <c r="G327" s="1">
        <v>7500</v>
      </c>
      <c r="H327" s="1">
        <v>7500</v>
      </c>
      <c r="I327" s="59">
        <f t="shared" si="96"/>
        <v>21000</v>
      </c>
      <c r="J327" s="1"/>
      <c r="K327" s="1"/>
      <c r="L327" s="1"/>
      <c r="M327" s="59">
        <f t="shared" si="97"/>
        <v>0</v>
      </c>
      <c r="N327" s="1"/>
      <c r="O327" s="1"/>
      <c r="P327" s="1"/>
      <c r="Q327" s="59">
        <f t="shared" ref="Q327" si="98">SUM(N327:P327)</f>
        <v>0</v>
      </c>
      <c r="R327" s="59">
        <f>+E327+I327+M327+Q327</f>
        <v>21000</v>
      </c>
    </row>
    <row r="328" spans="1:20" ht="15.75" customHeight="1" x14ac:dyDescent="0.3">
      <c r="A328" s="76" t="s">
        <v>912</v>
      </c>
      <c r="B328" s="1"/>
      <c r="C328" s="1"/>
      <c r="D328" s="1"/>
      <c r="E328" s="59">
        <f t="shared" si="95"/>
        <v>0</v>
      </c>
      <c r="F328" s="1"/>
      <c r="G328" s="1">
        <v>315</v>
      </c>
      <c r="H328" s="1"/>
      <c r="I328" s="59">
        <f t="shared" si="96"/>
        <v>315</v>
      </c>
      <c r="J328" s="1"/>
      <c r="K328" s="1"/>
      <c r="L328" s="1"/>
      <c r="M328" s="59">
        <f t="shared" si="97"/>
        <v>0</v>
      </c>
      <c r="N328" s="1"/>
      <c r="O328" s="1"/>
      <c r="P328" s="1"/>
      <c r="Q328" s="59">
        <f>SUM(N328:P328)</f>
        <v>0</v>
      </c>
      <c r="R328" s="59">
        <f>+E328+I328+M328+Q328</f>
        <v>315</v>
      </c>
    </row>
    <row r="329" spans="1:20" ht="15.75" customHeight="1" x14ac:dyDescent="0.3">
      <c r="A329" s="76" t="s">
        <v>320</v>
      </c>
      <c r="B329" s="1">
        <v>400</v>
      </c>
      <c r="C329" s="1"/>
      <c r="D329" s="1"/>
      <c r="E329" s="59">
        <f t="shared" ref="E329" si="99">SUM(B329:D329)</f>
        <v>400</v>
      </c>
      <c r="F329" s="1">
        <v>400</v>
      </c>
      <c r="G329" s="1"/>
      <c r="H329" s="1"/>
      <c r="I329" s="59">
        <f t="shared" ref="I329:I330" si="100">SUM(F329:H329)</f>
        <v>400</v>
      </c>
      <c r="J329" s="1"/>
      <c r="K329" s="1">
        <v>400</v>
      </c>
      <c r="L329" s="1"/>
      <c r="M329" s="59">
        <f t="shared" ref="M329:M330" si="101">SUM(J329:L329)</f>
        <v>400</v>
      </c>
      <c r="N329" s="1"/>
      <c r="O329" s="1"/>
      <c r="P329" s="1">
        <v>590</v>
      </c>
      <c r="Q329" s="59">
        <f t="shared" ref="Q329:Q330" si="102">SUM(N329:P329)</f>
        <v>590</v>
      </c>
      <c r="R329" s="59">
        <f t="shared" ref="R329:R330" si="103">+E329+I329+M329+Q329</f>
        <v>1790</v>
      </c>
    </row>
    <row r="330" spans="1:20" ht="15.75" customHeight="1" x14ac:dyDescent="0.3">
      <c r="A330" s="76" t="s">
        <v>321</v>
      </c>
      <c r="B330" s="1"/>
      <c r="C330" s="1"/>
      <c r="D330" s="1"/>
      <c r="E330" s="59">
        <f>SUM(B330:D330)</f>
        <v>0</v>
      </c>
      <c r="F330" s="1"/>
      <c r="G330" s="1"/>
      <c r="H330" s="1"/>
      <c r="I330" s="59">
        <f t="shared" si="100"/>
        <v>0</v>
      </c>
      <c r="J330" s="1"/>
      <c r="K330" s="1"/>
      <c r="L330" s="1"/>
      <c r="M330" s="59">
        <f t="shared" si="101"/>
        <v>0</v>
      </c>
      <c r="N330" s="1"/>
      <c r="O330" s="1"/>
      <c r="P330" s="1"/>
      <c r="Q330" s="59">
        <f t="shared" si="102"/>
        <v>0</v>
      </c>
      <c r="R330" s="59">
        <f t="shared" si="103"/>
        <v>0</v>
      </c>
      <c r="T330" s="4" t="s">
        <v>315</v>
      </c>
    </row>
    <row r="331" spans="1:20" ht="15.75" customHeight="1" x14ac:dyDescent="0.3">
      <c r="A331" s="76" t="s">
        <v>322</v>
      </c>
      <c r="B331" s="1"/>
      <c r="C331" s="1"/>
      <c r="D331" s="1"/>
      <c r="E331" s="59">
        <f t="shared" si="90"/>
        <v>0</v>
      </c>
      <c r="F331" s="1"/>
      <c r="G331" s="1"/>
      <c r="H331" s="1"/>
      <c r="I331" s="59">
        <f t="shared" si="91"/>
        <v>0</v>
      </c>
      <c r="J331" s="1"/>
      <c r="K331" s="1">
        <v>877</v>
      </c>
      <c r="L331" s="1">
        <v>1142</v>
      </c>
      <c r="M331" s="59">
        <f t="shared" si="92"/>
        <v>2019</v>
      </c>
      <c r="N331" s="1">
        <v>552</v>
      </c>
      <c r="O331" s="1">
        <v>626</v>
      </c>
      <c r="P331" s="1">
        <v>1141</v>
      </c>
      <c r="Q331" s="59">
        <f t="shared" si="93"/>
        <v>2319</v>
      </c>
      <c r="R331" s="59">
        <f t="shared" si="94"/>
        <v>4338</v>
      </c>
      <c r="T331" s="4" t="s">
        <v>217</v>
      </c>
    </row>
    <row r="332" spans="1:20" ht="15.75" customHeight="1" x14ac:dyDescent="0.3">
      <c r="A332" s="76" t="s">
        <v>887</v>
      </c>
      <c r="B332" s="1">
        <v>3</v>
      </c>
      <c r="C332" s="1">
        <v>27</v>
      </c>
      <c r="D332" s="1">
        <v>38</v>
      </c>
      <c r="E332" s="59">
        <f t="shared" si="90"/>
        <v>68</v>
      </c>
      <c r="F332" s="1">
        <v>45</v>
      </c>
      <c r="G332" s="1">
        <v>55</v>
      </c>
      <c r="H332" s="1">
        <v>80</v>
      </c>
      <c r="I332" s="59">
        <f t="shared" si="91"/>
        <v>180</v>
      </c>
      <c r="J332" s="1">
        <v>60</v>
      </c>
      <c r="K332" s="1">
        <v>50</v>
      </c>
      <c r="L332" s="1">
        <v>36</v>
      </c>
      <c r="M332" s="59">
        <f t="shared" si="92"/>
        <v>146</v>
      </c>
      <c r="N332" s="1">
        <v>70</v>
      </c>
      <c r="O332" s="1">
        <v>22</v>
      </c>
      <c r="P332" s="1">
        <v>25</v>
      </c>
      <c r="Q332" s="59">
        <f t="shared" si="93"/>
        <v>117</v>
      </c>
      <c r="R332" s="59">
        <f t="shared" si="94"/>
        <v>511</v>
      </c>
      <c r="T332" s="4" t="s">
        <v>305</v>
      </c>
    </row>
    <row r="333" spans="1:20" ht="15.75" customHeight="1" x14ac:dyDescent="0.3">
      <c r="A333" s="76" t="s">
        <v>325</v>
      </c>
      <c r="B333" s="1"/>
      <c r="C333" s="1"/>
      <c r="D333" s="1"/>
      <c r="E333" s="59">
        <f t="shared" si="90"/>
        <v>0</v>
      </c>
      <c r="F333" s="1"/>
      <c r="G333" s="1"/>
      <c r="H333" s="1"/>
      <c r="I333" s="59">
        <f t="shared" si="91"/>
        <v>0</v>
      </c>
      <c r="J333" s="1"/>
      <c r="K333" s="1"/>
      <c r="L333" s="1"/>
      <c r="M333" s="59">
        <f t="shared" si="92"/>
        <v>0</v>
      </c>
      <c r="N333" s="1"/>
      <c r="O333" s="1"/>
      <c r="P333" s="1"/>
      <c r="Q333" s="59">
        <f t="shared" si="93"/>
        <v>0</v>
      </c>
      <c r="R333" s="59">
        <f t="shared" si="94"/>
        <v>0</v>
      </c>
      <c r="T333" s="4" t="s">
        <v>305</v>
      </c>
    </row>
    <row r="334" spans="1:20" ht="15.75" customHeight="1" x14ac:dyDescent="0.3">
      <c r="A334" s="76" t="s">
        <v>327</v>
      </c>
      <c r="B334" s="1"/>
      <c r="C334" s="1"/>
      <c r="D334" s="1"/>
      <c r="E334" s="59">
        <f>SUM(B334:D334)</f>
        <v>0</v>
      </c>
      <c r="F334" s="1"/>
      <c r="G334" s="1"/>
      <c r="H334" s="1"/>
      <c r="I334" s="59">
        <f>SUM(F334:H334)</f>
        <v>0</v>
      </c>
      <c r="J334" s="1"/>
      <c r="K334" s="1"/>
      <c r="L334" s="1"/>
      <c r="M334" s="59">
        <f>SUM(J334:L334)</f>
        <v>0</v>
      </c>
      <c r="N334" s="1"/>
      <c r="O334" s="1"/>
      <c r="P334" s="1"/>
      <c r="Q334" s="59">
        <f>SUM(N334:P334)</f>
        <v>0</v>
      </c>
      <c r="R334" s="59">
        <f t="shared" si="94"/>
        <v>0</v>
      </c>
      <c r="T334" s="4" t="s">
        <v>315</v>
      </c>
    </row>
    <row r="335" spans="1:20" ht="15.75" customHeight="1" x14ac:dyDescent="0.3">
      <c r="A335" s="76" t="s">
        <v>328</v>
      </c>
      <c r="B335" s="1"/>
      <c r="C335" s="1"/>
      <c r="D335" s="1"/>
      <c r="E335" s="59">
        <f t="shared" si="90"/>
        <v>0</v>
      </c>
      <c r="F335" s="1"/>
      <c r="G335" s="1"/>
      <c r="H335" s="1"/>
      <c r="I335" s="59">
        <f t="shared" si="91"/>
        <v>0</v>
      </c>
      <c r="J335" s="1"/>
      <c r="K335" s="1">
        <v>314</v>
      </c>
      <c r="L335" s="1">
        <v>1105</v>
      </c>
      <c r="M335" s="59">
        <f t="shared" si="92"/>
        <v>1419</v>
      </c>
      <c r="N335" s="1">
        <v>761</v>
      </c>
      <c r="O335" s="1">
        <v>1105</v>
      </c>
      <c r="P335" s="1">
        <v>950</v>
      </c>
      <c r="Q335" s="59">
        <f t="shared" si="93"/>
        <v>2816</v>
      </c>
      <c r="R335" s="59">
        <f t="shared" si="94"/>
        <v>4235</v>
      </c>
      <c r="T335" s="4" t="s">
        <v>217</v>
      </c>
    </row>
    <row r="336" spans="1:20" ht="15.75" customHeight="1" x14ac:dyDescent="0.3">
      <c r="A336" s="76" t="s">
        <v>329</v>
      </c>
      <c r="B336" s="1"/>
      <c r="C336" s="1"/>
      <c r="D336" s="1"/>
      <c r="E336" s="59">
        <f>SUM(B336:D336)</f>
        <v>0</v>
      </c>
      <c r="F336" s="1"/>
      <c r="G336" s="1"/>
      <c r="H336" s="1"/>
      <c r="I336" s="59">
        <f>SUM(F336:H336)</f>
        <v>0</v>
      </c>
      <c r="J336" s="1"/>
      <c r="K336" s="1"/>
      <c r="L336" s="1"/>
      <c r="M336" s="59">
        <f>SUM(J336:L336)</f>
        <v>0</v>
      </c>
      <c r="N336" s="1"/>
      <c r="O336" s="1"/>
      <c r="P336" s="1"/>
      <c r="Q336" s="59">
        <f>SUM(N336:P336)</f>
        <v>0</v>
      </c>
      <c r="R336" s="59">
        <f t="shared" si="94"/>
        <v>0</v>
      </c>
      <c r="T336" s="4" t="s">
        <v>315</v>
      </c>
    </row>
    <row r="337" spans="1:20" ht="15.75" customHeight="1" x14ac:dyDescent="0.3">
      <c r="A337" s="76" t="s">
        <v>330</v>
      </c>
      <c r="B337" s="1"/>
      <c r="C337" s="1"/>
      <c r="D337" s="1"/>
      <c r="E337" s="59">
        <f t="shared" si="90"/>
        <v>0</v>
      </c>
      <c r="F337" s="1"/>
      <c r="G337" s="1"/>
      <c r="H337" s="1"/>
      <c r="I337" s="59">
        <f t="shared" si="91"/>
        <v>0</v>
      </c>
      <c r="J337" s="1"/>
      <c r="K337" s="1"/>
      <c r="L337" s="1"/>
      <c r="M337" s="59">
        <f t="shared" si="92"/>
        <v>0</v>
      </c>
      <c r="N337" s="1"/>
      <c r="O337" s="1"/>
      <c r="P337" s="1"/>
      <c r="Q337" s="59">
        <f t="shared" si="93"/>
        <v>0</v>
      </c>
      <c r="R337" s="59">
        <f t="shared" si="94"/>
        <v>0</v>
      </c>
      <c r="S337" s="125"/>
      <c r="T337" s="4" t="s">
        <v>331</v>
      </c>
    </row>
    <row r="338" spans="1:20" ht="15.75" customHeight="1" x14ac:dyDescent="0.3">
      <c r="A338" s="76" t="s">
        <v>332</v>
      </c>
      <c r="B338" s="1">
        <v>13</v>
      </c>
      <c r="C338" s="1">
        <v>11</v>
      </c>
      <c r="D338" s="1">
        <v>21</v>
      </c>
      <c r="E338" s="59">
        <f>SUM(B338:D338)</f>
        <v>45</v>
      </c>
      <c r="F338" s="1">
        <v>23</v>
      </c>
      <c r="G338" s="1">
        <v>59</v>
      </c>
      <c r="H338" s="1">
        <v>64</v>
      </c>
      <c r="I338" s="59">
        <f>SUM(F338:H338)</f>
        <v>146</v>
      </c>
      <c r="J338" s="1">
        <v>66</v>
      </c>
      <c r="K338" s="1">
        <v>63</v>
      </c>
      <c r="L338" s="1">
        <v>52</v>
      </c>
      <c r="M338" s="59">
        <f>SUM(J338:L338)</f>
        <v>181</v>
      </c>
      <c r="N338" s="1">
        <v>54</v>
      </c>
      <c r="O338" s="1">
        <v>53</v>
      </c>
      <c r="P338" s="1">
        <v>46</v>
      </c>
      <c r="Q338" s="59">
        <f>SUM(N338:P338)</f>
        <v>153</v>
      </c>
      <c r="R338" s="59">
        <f>+E338+I338+M338+Q338</f>
        <v>525</v>
      </c>
      <c r="T338" s="4" t="s">
        <v>127</v>
      </c>
    </row>
    <row r="339" spans="1:20" ht="15.75" customHeight="1" x14ac:dyDescent="0.3">
      <c r="A339" s="76" t="s">
        <v>333</v>
      </c>
      <c r="B339" s="1">
        <v>2476</v>
      </c>
      <c r="C339" s="1">
        <v>2299</v>
      </c>
      <c r="D339" s="1">
        <v>149</v>
      </c>
      <c r="E339" s="59">
        <f t="shared" si="90"/>
        <v>4924</v>
      </c>
      <c r="F339" s="1">
        <v>50</v>
      </c>
      <c r="G339" s="1">
        <v>4749</v>
      </c>
      <c r="H339" s="1">
        <v>5120</v>
      </c>
      <c r="I339" s="59">
        <f t="shared" si="91"/>
        <v>9919</v>
      </c>
      <c r="J339" s="1">
        <v>5397</v>
      </c>
      <c r="K339" s="1">
        <v>5110</v>
      </c>
      <c r="L339" s="1">
        <v>4002</v>
      </c>
      <c r="M339" s="59">
        <f t="shared" si="92"/>
        <v>14509</v>
      </c>
      <c r="N339" s="1">
        <v>4087</v>
      </c>
      <c r="O339" s="1">
        <v>5259</v>
      </c>
      <c r="P339" s="1">
        <v>4854</v>
      </c>
      <c r="Q339" s="59">
        <f t="shared" si="93"/>
        <v>14200</v>
      </c>
      <c r="R339" s="59">
        <f t="shared" si="94"/>
        <v>43552</v>
      </c>
      <c r="T339" s="4" t="s">
        <v>334</v>
      </c>
    </row>
    <row r="340" spans="1:20" ht="15.75" customHeight="1" x14ac:dyDescent="0.3">
      <c r="A340" s="76" t="s">
        <v>335</v>
      </c>
      <c r="B340" s="1"/>
      <c r="C340" s="1"/>
      <c r="D340" s="1"/>
      <c r="E340" s="59">
        <f t="shared" si="90"/>
        <v>0</v>
      </c>
      <c r="F340" s="1"/>
      <c r="G340" s="1"/>
      <c r="H340" s="1"/>
      <c r="I340" s="59">
        <f t="shared" si="91"/>
        <v>0</v>
      </c>
      <c r="J340" s="1"/>
      <c r="K340" s="1"/>
      <c r="L340" s="1"/>
      <c r="M340" s="59">
        <f t="shared" si="92"/>
        <v>0</v>
      </c>
      <c r="N340" s="1"/>
      <c r="O340" s="1">
        <v>1334</v>
      </c>
      <c r="P340" s="1">
        <v>1334</v>
      </c>
      <c r="Q340" s="59">
        <f t="shared" si="93"/>
        <v>2668</v>
      </c>
      <c r="R340" s="59">
        <f t="shared" si="94"/>
        <v>2668</v>
      </c>
      <c r="T340" s="4" t="s">
        <v>336</v>
      </c>
    </row>
    <row r="341" spans="1:20" ht="15.75" customHeight="1" x14ac:dyDescent="0.3">
      <c r="A341" s="76" t="s">
        <v>339</v>
      </c>
      <c r="B341" s="1">
        <v>377</v>
      </c>
      <c r="C341" s="1">
        <v>377</v>
      </c>
      <c r="D341" s="1">
        <v>377</v>
      </c>
      <c r="E341" s="59">
        <f t="shared" si="90"/>
        <v>1131</v>
      </c>
      <c r="F341" s="1">
        <v>377</v>
      </c>
      <c r="G341" s="1">
        <v>377</v>
      </c>
      <c r="H341" s="1">
        <v>377</v>
      </c>
      <c r="I341" s="59">
        <f t="shared" si="91"/>
        <v>1131</v>
      </c>
      <c r="J341" s="1">
        <v>377</v>
      </c>
      <c r="K341" s="1">
        <v>377</v>
      </c>
      <c r="L341" s="1">
        <v>377</v>
      </c>
      <c r="M341" s="59">
        <f t="shared" si="92"/>
        <v>1131</v>
      </c>
      <c r="N341" s="1">
        <v>377</v>
      </c>
      <c r="O341" s="1">
        <v>377</v>
      </c>
      <c r="P341" s="1">
        <v>377</v>
      </c>
      <c r="Q341" s="59">
        <f t="shared" si="93"/>
        <v>1131</v>
      </c>
      <c r="R341" s="59">
        <f t="shared" si="94"/>
        <v>4524</v>
      </c>
    </row>
    <row r="342" spans="1:20" ht="15.75" customHeight="1" x14ac:dyDescent="0.3">
      <c r="A342" s="76" t="s">
        <v>913</v>
      </c>
      <c r="B342" s="1"/>
      <c r="C342" s="1"/>
      <c r="D342" s="1"/>
      <c r="E342" s="59">
        <f t="shared" si="90"/>
        <v>0</v>
      </c>
      <c r="F342" s="1"/>
      <c r="G342" s="1"/>
      <c r="H342" s="1"/>
      <c r="I342" s="59">
        <f t="shared" si="91"/>
        <v>0</v>
      </c>
      <c r="J342" s="1"/>
      <c r="K342" s="1"/>
      <c r="L342" s="1"/>
      <c r="M342" s="59">
        <f t="shared" si="92"/>
        <v>0</v>
      </c>
      <c r="N342" s="1"/>
      <c r="O342" s="1"/>
      <c r="P342" s="1"/>
      <c r="Q342" s="59">
        <f t="shared" si="93"/>
        <v>0</v>
      </c>
      <c r="R342" s="59">
        <f t="shared" si="94"/>
        <v>0</v>
      </c>
    </row>
    <row r="343" spans="1:20" ht="15.75" customHeight="1" x14ac:dyDescent="0.3">
      <c r="A343" s="76" t="s">
        <v>341</v>
      </c>
      <c r="B343" s="1"/>
      <c r="C343" s="1"/>
      <c r="D343" s="1"/>
      <c r="E343" s="59">
        <f t="shared" si="90"/>
        <v>0</v>
      </c>
      <c r="F343" s="1"/>
      <c r="G343" s="1"/>
      <c r="H343" s="1"/>
      <c r="I343" s="59">
        <f t="shared" si="91"/>
        <v>0</v>
      </c>
      <c r="J343" s="1">
        <v>2000</v>
      </c>
      <c r="K343" s="1">
        <v>1000</v>
      </c>
      <c r="L343" s="1">
        <v>995</v>
      </c>
      <c r="M343" s="59">
        <f t="shared" si="92"/>
        <v>3995</v>
      </c>
      <c r="N343" s="1"/>
      <c r="O343" s="1"/>
      <c r="P343" s="1"/>
      <c r="Q343" s="59">
        <f>SUM(N343:P343)</f>
        <v>0</v>
      </c>
      <c r="R343" s="59">
        <f>+E343+I343+M343+Q343</f>
        <v>3995</v>
      </c>
      <c r="T343" s="4" t="s">
        <v>315</v>
      </c>
    </row>
    <row r="344" spans="1:20" ht="15.75" customHeight="1" x14ac:dyDescent="0.3">
      <c r="A344" s="76" t="s">
        <v>342</v>
      </c>
      <c r="B344" s="1">
        <v>21</v>
      </c>
      <c r="C344" s="1">
        <v>19</v>
      </c>
      <c r="D344" s="1">
        <v>29</v>
      </c>
      <c r="E344" s="59">
        <f>SUM(B344:D344)</f>
        <v>69</v>
      </c>
      <c r="F344" s="1">
        <v>31</v>
      </c>
      <c r="G344" s="1">
        <v>67</v>
      </c>
      <c r="H344" s="1">
        <v>73</v>
      </c>
      <c r="I344" s="59">
        <f>SUM(F344:H344)</f>
        <v>171</v>
      </c>
      <c r="J344" s="1">
        <v>75</v>
      </c>
      <c r="K344" s="1">
        <v>72</v>
      </c>
      <c r="L344" s="1">
        <v>60</v>
      </c>
      <c r="M344" s="59">
        <f>SUM(J344:L344)</f>
        <v>207</v>
      </c>
      <c r="N344" s="1">
        <v>63</v>
      </c>
      <c r="O344" s="1">
        <v>61</v>
      </c>
      <c r="P344" s="1">
        <v>54</v>
      </c>
      <c r="Q344" s="59">
        <f>SUM(N344:P344)</f>
        <v>178</v>
      </c>
      <c r="R344" s="59">
        <f>+E344+I344+M344+Q344</f>
        <v>625</v>
      </c>
      <c r="T344" s="4" t="s">
        <v>127</v>
      </c>
    </row>
    <row r="345" spans="1:20" ht="15.75" customHeight="1" x14ac:dyDescent="0.3">
      <c r="A345" s="74" t="s">
        <v>343</v>
      </c>
      <c r="B345" s="1"/>
      <c r="C345" s="1"/>
      <c r="D345" s="1">
        <v>37</v>
      </c>
      <c r="E345" s="59">
        <f>SUM(B345:D345)</f>
        <v>37</v>
      </c>
      <c r="F345" s="1"/>
      <c r="G345" s="1"/>
      <c r="H345" s="1"/>
      <c r="I345" s="59">
        <f>SUM(F345:H345)</f>
        <v>0</v>
      </c>
      <c r="J345" s="1"/>
      <c r="K345" s="1"/>
      <c r="L345" s="1"/>
      <c r="M345" s="59">
        <f>SUM(J345:L345)</f>
        <v>0</v>
      </c>
      <c r="N345" s="1"/>
      <c r="O345" s="1"/>
      <c r="P345" s="1"/>
      <c r="Q345" s="59">
        <f>SUM(N345:P345)</f>
        <v>0</v>
      </c>
      <c r="R345" s="59">
        <f t="shared" si="94"/>
        <v>37</v>
      </c>
    </row>
    <row r="346" spans="1:20" ht="15.75" customHeight="1" x14ac:dyDescent="0.3">
      <c r="A346" s="76" t="s">
        <v>344</v>
      </c>
      <c r="B346" s="1"/>
      <c r="C346" s="1">
        <v>5</v>
      </c>
      <c r="D346" s="1">
        <v>20</v>
      </c>
      <c r="E346" s="59">
        <f t="shared" si="90"/>
        <v>25</v>
      </c>
      <c r="F346" s="1">
        <v>30</v>
      </c>
      <c r="G346" s="1">
        <v>85</v>
      </c>
      <c r="H346" s="1">
        <v>85</v>
      </c>
      <c r="I346" s="59">
        <f t="shared" si="91"/>
        <v>200</v>
      </c>
      <c r="J346" s="1">
        <v>85</v>
      </c>
      <c r="K346" s="1">
        <v>85</v>
      </c>
      <c r="L346" s="1">
        <v>50</v>
      </c>
      <c r="M346" s="59">
        <f t="shared" si="92"/>
        <v>220</v>
      </c>
      <c r="N346" s="1">
        <v>40</v>
      </c>
      <c r="O346" s="1">
        <v>10</v>
      </c>
      <c r="P346" s="1"/>
      <c r="Q346" s="59">
        <f t="shared" si="93"/>
        <v>50</v>
      </c>
      <c r="R346" s="59">
        <f t="shared" si="94"/>
        <v>495</v>
      </c>
      <c r="S346" s="4">
        <f>SUM(R319:R346)</f>
        <v>102008</v>
      </c>
      <c r="T346" s="4" t="s">
        <v>331</v>
      </c>
    </row>
    <row r="347" spans="1:20" ht="15.75" customHeight="1" x14ac:dyDescent="0.3">
      <c r="A347" s="76" t="s">
        <v>345</v>
      </c>
      <c r="B347" s="1">
        <v>16</v>
      </c>
      <c r="C347" s="1">
        <v>16</v>
      </c>
      <c r="D347" s="1">
        <v>36</v>
      </c>
      <c r="E347" s="59">
        <f>SUM(B347:D347)</f>
        <v>68</v>
      </c>
      <c r="F347" s="1">
        <v>56</v>
      </c>
      <c r="G347" s="1">
        <v>56</v>
      </c>
      <c r="H347" s="1">
        <v>36</v>
      </c>
      <c r="I347" s="59">
        <f>SUM(F347:H347)</f>
        <v>148</v>
      </c>
      <c r="J347" s="1">
        <v>36</v>
      </c>
      <c r="K347" s="1">
        <v>60</v>
      </c>
      <c r="L347" s="1">
        <v>60</v>
      </c>
      <c r="M347" s="59">
        <f>SUM(J347:L347)</f>
        <v>156</v>
      </c>
      <c r="N347" s="1">
        <v>76</v>
      </c>
      <c r="O347" s="1">
        <v>26</v>
      </c>
      <c r="P347" s="1">
        <v>26</v>
      </c>
      <c r="Q347" s="59">
        <f>SUM(N347:P347)</f>
        <v>128</v>
      </c>
      <c r="R347" s="59">
        <f>+E347+I347+M347+Q347</f>
        <v>500</v>
      </c>
      <c r="T347" s="4" t="s">
        <v>127</v>
      </c>
    </row>
    <row r="348" spans="1:20" ht="15.75" customHeight="1" x14ac:dyDescent="0.3">
      <c r="A348" s="17" t="s">
        <v>47</v>
      </c>
      <c r="B348" s="1"/>
      <c r="C348" s="1"/>
      <c r="D348" s="1"/>
      <c r="E348" s="59" t="s">
        <v>7</v>
      </c>
      <c r="F348" s="1"/>
      <c r="G348" s="1"/>
      <c r="H348" s="1"/>
      <c r="I348" s="59" t="s">
        <v>7</v>
      </c>
      <c r="J348" s="1"/>
      <c r="K348" s="1"/>
      <c r="L348" s="1"/>
      <c r="M348" s="59" t="s">
        <v>7</v>
      </c>
      <c r="N348" s="1"/>
      <c r="O348" s="1"/>
      <c r="P348" s="1"/>
      <c r="Q348" s="59" t="s">
        <v>7</v>
      </c>
      <c r="R348" s="59" t="s">
        <v>7</v>
      </c>
    </row>
    <row r="349" spans="1:20" ht="15.75" customHeight="1" x14ac:dyDescent="0.3">
      <c r="A349" s="76" t="s">
        <v>346</v>
      </c>
      <c r="B349" s="1"/>
      <c r="C349" s="1"/>
      <c r="D349" s="1"/>
      <c r="E349" s="59">
        <f t="shared" ref="E349:E359" si="104">SUM(B349:D349)</f>
        <v>0</v>
      </c>
      <c r="F349" s="1"/>
      <c r="G349" s="1"/>
      <c r="H349" s="1"/>
      <c r="I349" s="59">
        <f t="shared" ref="I349:I359" si="105">SUM(F349:H349)</f>
        <v>0</v>
      </c>
      <c r="J349" s="1"/>
      <c r="K349" s="1"/>
      <c r="L349" s="1"/>
      <c r="M349" s="59">
        <f t="shared" ref="M349:M359" si="106">SUM(J349:L349)</f>
        <v>0</v>
      </c>
      <c r="N349" s="1"/>
      <c r="O349" s="1"/>
      <c r="P349" s="1"/>
      <c r="Q349" s="59">
        <f t="shared" ref="Q349:Q359" si="107">SUM(N349:P349)</f>
        <v>0</v>
      </c>
      <c r="R349" s="59">
        <f t="shared" ref="R349:R359" si="108">+E349+I349+M349+Q349</f>
        <v>0</v>
      </c>
    </row>
    <row r="350" spans="1:20" ht="15.75" customHeight="1" x14ac:dyDescent="0.3">
      <c r="A350" s="76" t="s">
        <v>347</v>
      </c>
      <c r="B350" s="1"/>
      <c r="C350" s="1"/>
      <c r="D350" s="1"/>
      <c r="E350" s="59">
        <f>SUM(B350:D350)</f>
        <v>0</v>
      </c>
      <c r="F350" s="1"/>
      <c r="G350" s="1"/>
      <c r="H350" s="1"/>
      <c r="I350" s="59">
        <f>SUM(F350:H350)</f>
        <v>0</v>
      </c>
      <c r="J350" s="1"/>
      <c r="K350" s="1"/>
      <c r="L350" s="1"/>
      <c r="M350" s="59">
        <f>SUM(J350:L350)</f>
        <v>0</v>
      </c>
      <c r="N350" s="1"/>
      <c r="O350" s="1"/>
      <c r="P350" s="1"/>
      <c r="Q350" s="59">
        <f>SUM(N350:P350)</f>
        <v>0</v>
      </c>
      <c r="R350" s="59">
        <f>+E350+I350+M350+Q350</f>
        <v>0</v>
      </c>
      <c r="T350" s="4" t="s">
        <v>348</v>
      </c>
    </row>
    <row r="351" spans="1:20" ht="15.75" customHeight="1" x14ac:dyDescent="0.3">
      <c r="A351" s="76" t="s">
        <v>349</v>
      </c>
      <c r="B351" s="1"/>
      <c r="C351" s="1"/>
      <c r="D351" s="1"/>
      <c r="E351" s="59">
        <f>SUM(B351:D351)</f>
        <v>0</v>
      </c>
      <c r="F351" s="1"/>
      <c r="G351" s="1"/>
      <c r="H351" s="1"/>
      <c r="I351" s="59">
        <f>SUM(F351:H351)</f>
        <v>0</v>
      </c>
      <c r="J351" s="1"/>
      <c r="K351" s="1"/>
      <c r="L351" s="1"/>
      <c r="M351" s="59">
        <f>SUM(J351:L351)</f>
        <v>0</v>
      </c>
      <c r="N351" s="1"/>
      <c r="O351" s="1"/>
      <c r="P351" s="1"/>
      <c r="Q351" s="59">
        <f>SUM(N351:P351)</f>
        <v>0</v>
      </c>
      <c r="R351" s="59">
        <f>+E351+I351+M351+Q351</f>
        <v>0</v>
      </c>
      <c r="T351" s="4" t="s">
        <v>336</v>
      </c>
    </row>
    <row r="352" spans="1:20" ht="15.75" customHeight="1" x14ac:dyDescent="0.3">
      <c r="A352" s="76" t="s">
        <v>330</v>
      </c>
      <c r="B352" s="1"/>
      <c r="C352" s="1"/>
      <c r="D352" s="1"/>
      <c r="E352" s="59">
        <f t="shared" si="104"/>
        <v>0</v>
      </c>
      <c r="F352" s="1"/>
      <c r="G352" s="1"/>
      <c r="H352" s="1"/>
      <c r="I352" s="59">
        <f t="shared" si="105"/>
        <v>0</v>
      </c>
      <c r="J352" s="1"/>
      <c r="K352" s="1"/>
      <c r="L352" s="1"/>
      <c r="M352" s="59">
        <f t="shared" si="106"/>
        <v>0</v>
      </c>
      <c r="N352" s="1"/>
      <c r="O352" s="1"/>
      <c r="P352" s="1"/>
      <c r="Q352" s="59">
        <f t="shared" si="107"/>
        <v>0</v>
      </c>
      <c r="R352" s="59">
        <f>+E352+I352+M352+Q352</f>
        <v>0</v>
      </c>
      <c r="T352" s="4" t="s">
        <v>331</v>
      </c>
    </row>
    <row r="353" spans="1:23" ht="15.75" customHeight="1" x14ac:dyDescent="0.3">
      <c r="A353" s="76" t="s">
        <v>350</v>
      </c>
      <c r="B353" s="1"/>
      <c r="C353" s="1"/>
      <c r="D353" s="1"/>
      <c r="E353" s="59">
        <f>SUM(B353:D353)</f>
        <v>0</v>
      </c>
      <c r="F353" s="1"/>
      <c r="G353" s="1"/>
      <c r="H353" s="1"/>
      <c r="I353" s="59">
        <f>SUM(F353:H353)</f>
        <v>0</v>
      </c>
      <c r="J353" s="1"/>
      <c r="K353" s="1"/>
      <c r="L353" s="1"/>
      <c r="M353" s="59">
        <f>SUM(J353:L353)</f>
        <v>0</v>
      </c>
      <c r="N353" s="1"/>
      <c r="O353" s="1"/>
      <c r="P353" s="1"/>
      <c r="Q353" s="59">
        <f>SUM(N353:P353)</f>
        <v>0</v>
      </c>
      <c r="R353" s="59">
        <f>+E353+I353+M353+Q353</f>
        <v>0</v>
      </c>
      <c r="T353" s="4" t="s">
        <v>351</v>
      </c>
    </row>
    <row r="354" spans="1:23" ht="15.75" customHeight="1" x14ac:dyDescent="0.3">
      <c r="A354" s="76" t="s">
        <v>352</v>
      </c>
      <c r="B354" s="1"/>
      <c r="C354" s="1"/>
      <c r="D354" s="1"/>
      <c r="E354" s="59">
        <f t="shared" si="104"/>
        <v>0</v>
      </c>
      <c r="F354" s="1"/>
      <c r="G354" s="1"/>
      <c r="H354" s="1"/>
      <c r="I354" s="59">
        <f t="shared" si="105"/>
        <v>0</v>
      </c>
      <c r="J354" s="1"/>
      <c r="K354" s="1"/>
      <c r="L354" s="1"/>
      <c r="M354" s="59">
        <f t="shared" si="106"/>
        <v>0</v>
      </c>
      <c r="N354" s="1"/>
      <c r="O354" s="1"/>
      <c r="P354" s="1"/>
      <c r="Q354" s="59">
        <f t="shared" si="107"/>
        <v>0</v>
      </c>
      <c r="R354" s="59">
        <f t="shared" si="108"/>
        <v>0</v>
      </c>
    </row>
    <row r="355" spans="1:23" ht="15.75" customHeight="1" x14ac:dyDescent="0.3">
      <c r="A355" s="76" t="s">
        <v>353</v>
      </c>
      <c r="B355" s="1"/>
      <c r="C355" s="1"/>
      <c r="D355" s="1"/>
      <c r="E355" s="59">
        <f t="shared" si="104"/>
        <v>0</v>
      </c>
      <c r="F355" s="1"/>
      <c r="G355" s="1"/>
      <c r="H355" s="1"/>
      <c r="I355" s="59">
        <f t="shared" si="105"/>
        <v>0</v>
      </c>
      <c r="J355" s="1"/>
      <c r="K355" s="1"/>
      <c r="L355" s="1"/>
      <c r="M355" s="59">
        <f t="shared" si="106"/>
        <v>0</v>
      </c>
      <c r="N355" s="1"/>
      <c r="O355" s="1"/>
      <c r="P355" s="1"/>
      <c r="Q355" s="59">
        <f t="shared" si="107"/>
        <v>0</v>
      </c>
      <c r="R355" s="59">
        <f t="shared" si="108"/>
        <v>0</v>
      </c>
      <c r="T355" s="4" t="s">
        <v>354</v>
      </c>
    </row>
    <row r="356" spans="1:23" ht="15.75" customHeight="1" x14ac:dyDescent="0.3">
      <c r="A356" s="76" t="s">
        <v>355</v>
      </c>
      <c r="B356" s="1"/>
      <c r="C356" s="1"/>
      <c r="D356" s="1"/>
      <c r="E356" s="59">
        <f t="shared" si="104"/>
        <v>0</v>
      </c>
      <c r="F356" s="1"/>
      <c r="G356" s="1"/>
      <c r="H356" s="1"/>
      <c r="I356" s="59">
        <f t="shared" si="105"/>
        <v>0</v>
      </c>
      <c r="J356" s="1"/>
      <c r="K356" s="1"/>
      <c r="L356" s="1"/>
      <c r="M356" s="59">
        <f t="shared" si="106"/>
        <v>0</v>
      </c>
      <c r="N356" s="1"/>
      <c r="O356" s="1"/>
      <c r="P356" s="1"/>
      <c r="Q356" s="59">
        <f t="shared" si="107"/>
        <v>0</v>
      </c>
      <c r="R356" s="59">
        <f t="shared" si="108"/>
        <v>0</v>
      </c>
      <c r="T356" s="4" t="s">
        <v>354</v>
      </c>
    </row>
    <row r="357" spans="1:23" ht="15.75" customHeight="1" x14ac:dyDescent="0.3">
      <c r="A357" s="76" t="s">
        <v>356</v>
      </c>
      <c r="B357" s="1"/>
      <c r="C357" s="1"/>
      <c r="D357" s="1"/>
      <c r="E357" s="59">
        <f t="shared" si="104"/>
        <v>0</v>
      </c>
      <c r="F357" s="1"/>
      <c r="G357" s="1"/>
      <c r="H357" s="1"/>
      <c r="I357" s="59">
        <f t="shared" si="105"/>
        <v>0</v>
      </c>
      <c r="J357" s="1"/>
      <c r="K357" s="1"/>
      <c r="L357" s="1"/>
      <c r="M357" s="59">
        <f t="shared" si="106"/>
        <v>0</v>
      </c>
      <c r="N357" s="1"/>
      <c r="O357" s="1"/>
      <c r="P357" s="1"/>
      <c r="Q357" s="59">
        <f t="shared" si="107"/>
        <v>0</v>
      </c>
      <c r="R357" s="59">
        <f t="shared" si="108"/>
        <v>0</v>
      </c>
      <c r="T357" s="4" t="s">
        <v>127</v>
      </c>
    </row>
    <row r="358" spans="1:23" ht="15.75" customHeight="1" x14ac:dyDescent="0.3">
      <c r="A358" s="76" t="s">
        <v>357</v>
      </c>
      <c r="B358" s="1"/>
      <c r="C358" s="1"/>
      <c r="D358" s="1"/>
      <c r="E358" s="59">
        <f>SUM(B358:D358)</f>
        <v>0</v>
      </c>
      <c r="F358" s="1"/>
      <c r="G358" s="1"/>
      <c r="H358" s="1"/>
      <c r="I358" s="59">
        <f>SUM(F358:H358)</f>
        <v>0</v>
      </c>
      <c r="J358" s="1"/>
      <c r="K358" s="1"/>
      <c r="L358" s="1"/>
      <c r="M358" s="59">
        <f>SUM(J358:L358)</f>
        <v>0</v>
      </c>
      <c r="N358" s="1"/>
      <c r="O358" s="1"/>
      <c r="P358" s="1"/>
      <c r="Q358" s="59">
        <f>SUM(N358:P358)</f>
        <v>0</v>
      </c>
      <c r="R358" s="59">
        <f>+E358+I358+M358+Q358</f>
        <v>0</v>
      </c>
      <c r="T358" s="4" t="s">
        <v>127</v>
      </c>
    </row>
    <row r="359" spans="1:23" ht="15.75" customHeight="1" x14ac:dyDescent="0.3">
      <c r="A359" s="76" t="s">
        <v>358</v>
      </c>
      <c r="B359" s="1"/>
      <c r="C359" s="1"/>
      <c r="D359" s="1"/>
      <c r="E359" s="59">
        <f t="shared" si="104"/>
        <v>0</v>
      </c>
      <c r="F359" s="1"/>
      <c r="G359" s="1"/>
      <c r="H359" s="1"/>
      <c r="I359" s="59">
        <f t="shared" si="105"/>
        <v>0</v>
      </c>
      <c r="J359" s="1"/>
      <c r="K359" s="1"/>
      <c r="L359" s="1"/>
      <c r="M359" s="59">
        <f t="shared" si="106"/>
        <v>0</v>
      </c>
      <c r="N359" s="1"/>
      <c r="O359" s="1"/>
      <c r="P359" s="1"/>
      <c r="Q359" s="59">
        <f t="shared" si="107"/>
        <v>0</v>
      </c>
      <c r="R359" s="59">
        <f t="shared" si="108"/>
        <v>0</v>
      </c>
      <c r="T359" s="4" t="s">
        <v>359</v>
      </c>
    </row>
    <row r="360" spans="1:23" ht="15.75" customHeight="1" x14ac:dyDescent="0.3">
      <c r="A360" s="17" t="s">
        <v>898</v>
      </c>
      <c r="B360" s="1"/>
      <c r="C360" s="1"/>
      <c r="D360" s="1"/>
      <c r="E360" s="59" t="s">
        <v>7</v>
      </c>
      <c r="F360" s="1"/>
      <c r="G360" s="1"/>
      <c r="H360" s="1"/>
      <c r="I360" s="59" t="s">
        <v>7</v>
      </c>
      <c r="J360" s="1"/>
      <c r="K360" s="1"/>
      <c r="L360" s="1"/>
      <c r="M360" s="59" t="s">
        <v>7</v>
      </c>
      <c r="N360" s="1"/>
      <c r="O360" s="1"/>
      <c r="P360" s="1"/>
      <c r="Q360" s="59" t="s">
        <v>7</v>
      </c>
      <c r="R360" s="59" t="s">
        <v>7</v>
      </c>
    </row>
    <row r="361" spans="1:23" ht="15.75" customHeight="1" x14ac:dyDescent="0.3">
      <c r="A361" s="76" t="s">
        <v>914</v>
      </c>
      <c r="B361" s="1"/>
      <c r="C361" s="1"/>
      <c r="D361" s="1"/>
      <c r="E361" s="59">
        <f>SUM(B361:D361)</f>
        <v>0</v>
      </c>
      <c r="F361" s="1"/>
      <c r="G361" s="1"/>
      <c r="H361" s="1"/>
      <c r="I361" s="59">
        <f>SUM(F361:H361)</f>
        <v>0</v>
      </c>
      <c r="J361" s="1"/>
      <c r="K361" s="1"/>
      <c r="L361" s="1"/>
      <c r="M361" s="59">
        <f>SUM(J361:L361)</f>
        <v>0</v>
      </c>
      <c r="N361" s="1"/>
      <c r="O361" s="1"/>
      <c r="P361" s="1"/>
      <c r="Q361" s="59">
        <f>SUM(N361:P361)</f>
        <v>0</v>
      </c>
      <c r="R361" s="59">
        <f>+E361+I361+M361+Q361</f>
        <v>0</v>
      </c>
      <c r="T361" s="4" t="s">
        <v>305</v>
      </c>
    </row>
    <row r="362" spans="1:23" ht="15.75" customHeight="1" x14ac:dyDescent="0.3">
      <c r="A362" s="76" t="s">
        <v>915</v>
      </c>
      <c r="B362" s="1"/>
      <c r="C362" s="1"/>
      <c r="D362" s="1"/>
      <c r="E362" s="59">
        <f>SUM(B362:D362)</f>
        <v>0</v>
      </c>
      <c r="F362" s="1"/>
      <c r="G362" s="1">
        <v>3000</v>
      </c>
      <c r="H362" s="1">
        <v>3000</v>
      </c>
      <c r="I362" s="59">
        <f>SUM(F362:H362)</f>
        <v>6000</v>
      </c>
      <c r="J362" s="1">
        <v>3000</v>
      </c>
      <c r="K362" s="1"/>
      <c r="L362" s="1"/>
      <c r="M362" s="59">
        <f>SUM(J362:L362)</f>
        <v>3000</v>
      </c>
      <c r="N362" s="1"/>
      <c r="O362" s="1"/>
      <c r="P362" s="1"/>
      <c r="Q362" s="59">
        <f>SUM(N362:P362)</f>
        <v>0</v>
      </c>
      <c r="R362" s="59">
        <f>+E362+I362+M362+Q362</f>
        <v>9000</v>
      </c>
    </row>
    <row r="363" spans="1:23" ht="15.75" customHeight="1" x14ac:dyDescent="0.3">
      <c r="A363" s="76" t="s">
        <v>916</v>
      </c>
      <c r="B363" s="1"/>
      <c r="C363" s="1"/>
      <c r="D363" s="1"/>
      <c r="E363" s="59">
        <f>SUM(B363:D363)</f>
        <v>0</v>
      </c>
      <c r="F363" s="1"/>
      <c r="G363" s="1">
        <v>2685</v>
      </c>
      <c r="H363" s="1"/>
      <c r="I363" s="59">
        <f>SUM(F363:H363)</f>
        <v>2685</v>
      </c>
      <c r="J363" s="1"/>
      <c r="K363" s="1"/>
      <c r="L363" s="1"/>
      <c r="M363" s="59">
        <f>SUM(J363:L363)</f>
        <v>0</v>
      </c>
      <c r="N363" s="1"/>
      <c r="O363" s="1"/>
      <c r="P363" s="1"/>
      <c r="Q363" s="59">
        <f>SUM(N363:P363)</f>
        <v>0</v>
      </c>
      <c r="R363" s="59">
        <f>+E363+I363+M363+Q363</f>
        <v>2685</v>
      </c>
      <c r="T363" s="4" t="s">
        <v>331</v>
      </c>
    </row>
    <row r="364" spans="1:23" ht="15.75" customHeight="1" x14ac:dyDescent="0.3">
      <c r="A364" s="76" t="s">
        <v>917</v>
      </c>
      <c r="B364" s="1"/>
      <c r="C364" s="1"/>
      <c r="D364" s="1"/>
      <c r="E364" s="59">
        <f>SUM(B364:D364)</f>
        <v>0</v>
      </c>
      <c r="F364" s="1"/>
      <c r="G364" s="1"/>
      <c r="H364" s="1"/>
      <c r="I364" s="59">
        <f>SUM(F364:H364)</f>
        <v>0</v>
      </c>
      <c r="J364" s="1"/>
      <c r="K364" s="1"/>
      <c r="L364" s="1"/>
      <c r="M364" s="59">
        <f>SUM(J364:L364)</f>
        <v>0</v>
      </c>
      <c r="N364" s="1"/>
      <c r="O364" s="1"/>
      <c r="P364" s="1"/>
      <c r="Q364" s="59">
        <f>SUM(N364:P364)</f>
        <v>0</v>
      </c>
      <c r="R364" s="59">
        <f>+E364+I364+M364+Q364</f>
        <v>0</v>
      </c>
      <c r="T364" s="4" t="s">
        <v>315</v>
      </c>
    </row>
    <row r="365" spans="1:23" ht="16.5" customHeight="1" thickBot="1" x14ac:dyDescent="0.35">
      <c r="A365" s="17" t="s">
        <v>51</v>
      </c>
      <c r="B365" s="1"/>
      <c r="C365" s="1"/>
      <c r="D365" s="1"/>
      <c r="E365" s="59" t="s">
        <v>7</v>
      </c>
      <c r="F365" s="1"/>
      <c r="G365" s="1"/>
      <c r="H365" s="1"/>
      <c r="I365" s="59" t="s">
        <v>7</v>
      </c>
      <c r="J365" s="1"/>
      <c r="K365" s="1"/>
      <c r="L365" s="1"/>
      <c r="M365" s="59" t="s">
        <v>7</v>
      </c>
      <c r="N365" s="1"/>
      <c r="O365" s="1"/>
      <c r="P365" s="1"/>
      <c r="Q365" s="59" t="s">
        <v>7</v>
      </c>
      <c r="R365" s="88" t="s">
        <v>7</v>
      </c>
      <c r="V365" s="4" t="s">
        <v>364</v>
      </c>
      <c r="W365" s="4" t="s">
        <v>365</v>
      </c>
    </row>
    <row r="366" spans="1:23" ht="16.5" customHeight="1" thickBot="1" x14ac:dyDescent="0.35">
      <c r="A366" s="126" t="s">
        <v>52</v>
      </c>
      <c r="B366" s="100">
        <f>SUM(B317:B365)</f>
        <v>3558</v>
      </c>
      <c r="C366" s="101">
        <f>SUM(C317:C365)</f>
        <v>3008</v>
      </c>
      <c r="D366" s="101">
        <f>SUM(D317:D365)</f>
        <v>3502</v>
      </c>
      <c r="E366" s="64">
        <f>SUM(B366:D366)</f>
        <v>10068</v>
      </c>
      <c r="F366" s="101">
        <f>SUM(F317:F365)</f>
        <v>9792</v>
      </c>
      <c r="G366" s="101">
        <f>SUM(G317:G365)</f>
        <v>19588</v>
      </c>
      <c r="H366" s="101">
        <f>SUM(H317:H365)</f>
        <v>19024</v>
      </c>
      <c r="I366" s="64">
        <f>SUM(F366:H366)</f>
        <v>48404</v>
      </c>
      <c r="J366" s="101">
        <f>SUM(J317:J365)</f>
        <v>12177</v>
      </c>
      <c r="K366" s="101">
        <f>SUM(K317:K365)</f>
        <v>9105</v>
      </c>
      <c r="L366" s="101">
        <f>SUM(L317:L365)</f>
        <v>8489</v>
      </c>
      <c r="M366" s="64">
        <f>SUM(J366:L366)</f>
        <v>29771</v>
      </c>
      <c r="N366" s="101">
        <f>SUM(N317:N365)</f>
        <v>6816</v>
      </c>
      <c r="O366" s="101">
        <f>SUM(O317:O365)</f>
        <v>9338</v>
      </c>
      <c r="P366" s="101">
        <f>SUM(P317:P365)</f>
        <v>9796</v>
      </c>
      <c r="Q366" s="64">
        <f>SUM(N366:P366)</f>
        <v>25950</v>
      </c>
      <c r="R366" s="64">
        <f>+E366+I366+M366+Q366</f>
        <v>114193</v>
      </c>
      <c r="T366" s="106"/>
      <c r="V366" s="4" t="s">
        <v>305</v>
      </c>
      <c r="W366" s="127">
        <v>0.18</v>
      </c>
    </row>
    <row r="367" spans="1:23" ht="15.75" customHeight="1" x14ac:dyDescent="0.3">
      <c r="A367" s="17" t="s">
        <v>53</v>
      </c>
      <c r="B367" s="1"/>
      <c r="C367" s="1"/>
      <c r="D367" s="1"/>
      <c r="E367" s="59" t="s">
        <v>7</v>
      </c>
      <c r="F367" s="1"/>
      <c r="G367" s="1"/>
      <c r="H367" s="1"/>
      <c r="I367" s="59" t="s">
        <v>7</v>
      </c>
      <c r="J367" s="1"/>
      <c r="K367" s="1"/>
      <c r="L367" s="1"/>
      <c r="M367" s="59" t="s">
        <v>7</v>
      </c>
      <c r="N367" s="1"/>
      <c r="O367" s="1"/>
      <c r="P367" s="1"/>
      <c r="Q367" s="59" t="s">
        <v>7</v>
      </c>
      <c r="R367" s="59" t="s">
        <v>7</v>
      </c>
      <c r="V367" s="4" t="s">
        <v>366</v>
      </c>
      <c r="W367" s="127">
        <v>0.52</v>
      </c>
    </row>
    <row r="368" spans="1:23" ht="15.75" customHeight="1" x14ac:dyDescent="0.3">
      <c r="A368" s="17" t="s">
        <v>367</v>
      </c>
      <c r="B368" s="1"/>
      <c r="C368" s="1"/>
      <c r="D368" s="1"/>
      <c r="E368" s="59"/>
      <c r="F368" s="1"/>
      <c r="G368" s="1"/>
      <c r="H368" s="1"/>
      <c r="I368" s="59"/>
      <c r="J368" s="1"/>
      <c r="K368" s="1"/>
      <c r="L368" s="1"/>
      <c r="M368" s="59"/>
      <c r="N368" s="1"/>
      <c r="O368" s="1"/>
      <c r="P368" s="1"/>
      <c r="Q368" s="59"/>
      <c r="R368" s="59"/>
      <c r="V368" s="4" t="s">
        <v>368</v>
      </c>
      <c r="W368" s="127">
        <v>0.3</v>
      </c>
    </row>
    <row r="369" spans="1:39" ht="15.75" customHeight="1" x14ac:dyDescent="0.3">
      <c r="A369" s="17" t="s">
        <v>55</v>
      </c>
      <c r="B369" s="1"/>
      <c r="C369" s="1"/>
      <c r="D369" s="1"/>
      <c r="E369" s="59" t="s">
        <v>7</v>
      </c>
      <c r="F369" s="1"/>
      <c r="G369" s="1"/>
      <c r="H369" s="1"/>
      <c r="I369" s="59" t="s">
        <v>7</v>
      </c>
      <c r="J369" s="1"/>
      <c r="K369" s="1"/>
      <c r="L369" s="1"/>
      <c r="M369" s="59" t="s">
        <v>7</v>
      </c>
      <c r="N369" s="1"/>
      <c r="O369" s="1"/>
      <c r="P369" s="1"/>
      <c r="Q369" s="59" t="s">
        <v>7</v>
      </c>
      <c r="R369" s="59" t="s">
        <v>7</v>
      </c>
      <c r="W369" s="128">
        <f>+SUM(W366:W368)</f>
        <v>1</v>
      </c>
    </row>
    <row r="370" spans="1:39" ht="15.75" customHeight="1" x14ac:dyDescent="0.3">
      <c r="A370" s="76" t="s">
        <v>369</v>
      </c>
      <c r="B370" s="1">
        <v>20</v>
      </c>
      <c r="C370" s="1">
        <v>40</v>
      </c>
      <c r="D370" s="1">
        <v>1155</v>
      </c>
      <c r="E370" s="59">
        <f>SUM(B370:D370)</f>
        <v>1215</v>
      </c>
      <c r="F370" s="1">
        <v>2000</v>
      </c>
      <c r="G370" s="1">
        <v>1518</v>
      </c>
      <c r="H370" s="1">
        <v>2340</v>
      </c>
      <c r="I370" s="59">
        <f>SUM(F370:H370)</f>
        <v>5858</v>
      </c>
      <c r="J370" s="1">
        <v>2340</v>
      </c>
      <c r="K370" s="1">
        <v>1709</v>
      </c>
      <c r="L370" s="1">
        <v>420</v>
      </c>
      <c r="M370" s="59">
        <f>SUM(J370:L370)</f>
        <v>4469</v>
      </c>
      <c r="N370" s="1">
        <v>54</v>
      </c>
      <c r="O370" s="1">
        <v>70</v>
      </c>
      <c r="P370" s="1">
        <v>84</v>
      </c>
      <c r="Q370" s="59">
        <f>SUM(N370:P370)</f>
        <v>208</v>
      </c>
      <c r="R370" s="59">
        <f t="shared" ref="R370:R377" si="109">+E370+I370+M370+Q370</f>
        <v>11750</v>
      </c>
      <c r="T370" s="4" t="s">
        <v>305</v>
      </c>
      <c r="V370" s="129" t="s">
        <v>370</v>
      </c>
      <c r="W370" s="30" t="s">
        <v>36</v>
      </c>
      <c r="X370" s="2" t="s">
        <v>9</v>
      </c>
      <c r="Y370" s="2" t="s">
        <v>10</v>
      </c>
      <c r="Z370" s="130" t="s">
        <v>11</v>
      </c>
      <c r="AA370" s="2" t="s">
        <v>12</v>
      </c>
      <c r="AB370" s="2" t="s">
        <v>13</v>
      </c>
      <c r="AC370" s="2" t="s">
        <v>14</v>
      </c>
      <c r="AD370" s="130" t="s">
        <v>15</v>
      </c>
      <c r="AE370" s="2" t="s">
        <v>16</v>
      </c>
      <c r="AF370" s="2" t="s">
        <v>17</v>
      </c>
      <c r="AG370" s="2" t="s">
        <v>18</v>
      </c>
      <c r="AH370" s="130" t="s">
        <v>19</v>
      </c>
      <c r="AI370" s="2" t="s">
        <v>20</v>
      </c>
      <c r="AJ370" s="2" t="s">
        <v>21</v>
      </c>
      <c r="AK370" s="2" t="s">
        <v>22</v>
      </c>
      <c r="AL370" s="130" t="s">
        <v>23</v>
      </c>
      <c r="AM370" s="303" t="s">
        <v>24</v>
      </c>
    </row>
    <row r="371" spans="1:39" ht="15.75" customHeight="1" x14ac:dyDescent="0.3">
      <c r="A371" s="76" t="s">
        <v>371</v>
      </c>
      <c r="B371" s="1"/>
      <c r="C371" s="1"/>
      <c r="D371" s="1"/>
      <c r="E371" s="59">
        <f>SUM(B371:D371)</f>
        <v>0</v>
      </c>
      <c r="F371" s="1"/>
      <c r="G371" s="1"/>
      <c r="H371" s="1"/>
      <c r="I371" s="59">
        <f>SUM(F371:H371)</f>
        <v>0</v>
      </c>
      <c r="J371" s="1"/>
      <c r="K371" s="1"/>
      <c r="L371" s="1"/>
      <c r="M371" s="59">
        <f>SUM(J371:L371)</f>
        <v>0</v>
      </c>
      <c r="N371" s="1"/>
      <c r="O371" s="1"/>
      <c r="P371" s="1"/>
      <c r="Q371" s="59">
        <f>SUM(N371:P371)</f>
        <v>0</v>
      </c>
      <c r="R371" s="59">
        <f t="shared" si="109"/>
        <v>0</v>
      </c>
      <c r="T371" s="4" t="s">
        <v>331</v>
      </c>
      <c r="V371" s="95" t="s">
        <v>372</v>
      </c>
      <c r="W371" s="132">
        <v>1500</v>
      </c>
      <c r="X371" s="132">
        <v>1500</v>
      </c>
      <c r="Y371" s="132">
        <v>6800</v>
      </c>
      <c r="Z371" s="4">
        <f>+SUM(W371:Y371)</f>
        <v>9800</v>
      </c>
      <c r="AA371" s="132">
        <f>8000+1500</f>
        <v>9500</v>
      </c>
      <c r="AB371" s="132">
        <f>10000+2000</f>
        <v>12000</v>
      </c>
      <c r="AC371" s="132">
        <f>12000+1500</f>
        <v>13500</v>
      </c>
      <c r="AD371" s="4">
        <f>+SUM(AA371:AC371)</f>
        <v>35000</v>
      </c>
      <c r="AE371" s="132">
        <v>25500</v>
      </c>
      <c r="AF371" s="132">
        <v>19000</v>
      </c>
      <c r="AG371" s="132">
        <v>4000</v>
      </c>
      <c r="AH371" s="4">
        <f>+SUM(AE371:AG371)</f>
        <v>48500</v>
      </c>
      <c r="AI371" s="132">
        <v>1500</v>
      </c>
      <c r="AJ371" s="132">
        <v>1000</v>
      </c>
      <c r="AK371" s="132">
        <v>1069</v>
      </c>
      <c r="AL371" s="4">
        <f>+SUM(AI371:AK371)</f>
        <v>3569</v>
      </c>
      <c r="AM371" s="304">
        <f>+Z371+AD371+AH371+AL371</f>
        <v>96869</v>
      </c>
    </row>
    <row r="372" spans="1:39" ht="15.75" customHeight="1" x14ac:dyDescent="0.3">
      <c r="A372" s="76" t="s">
        <v>373</v>
      </c>
      <c r="B372" s="1">
        <v>1000</v>
      </c>
      <c r="C372" s="1">
        <v>2000</v>
      </c>
      <c r="D372" s="1">
        <v>6000</v>
      </c>
      <c r="E372" s="59">
        <f t="shared" ref="E372:E377" si="110">SUM(B372:D372)</f>
        <v>9000</v>
      </c>
      <c r="F372" s="1">
        <v>7100</v>
      </c>
      <c r="G372" s="1">
        <v>9000</v>
      </c>
      <c r="H372" s="1">
        <f>792+1824</f>
        <v>2616</v>
      </c>
      <c r="I372" s="59">
        <f t="shared" ref="I372:I377" si="111">SUM(F372:H372)</f>
        <v>18716</v>
      </c>
      <c r="J372" s="1"/>
      <c r="K372" s="1"/>
      <c r="L372" s="1"/>
      <c r="M372" s="59">
        <f t="shared" ref="M372:M377" si="112">SUM(J372:L372)</f>
        <v>0</v>
      </c>
      <c r="N372" s="1"/>
      <c r="O372" s="1"/>
      <c r="P372" s="1"/>
      <c r="Q372" s="59">
        <f t="shared" ref="Q372:Q377" si="113">SUM(N372:P372)</f>
        <v>0</v>
      </c>
      <c r="R372" s="59">
        <f t="shared" si="109"/>
        <v>27716</v>
      </c>
      <c r="T372" s="4" t="s">
        <v>307</v>
      </c>
      <c r="V372" s="95" t="s">
        <v>305</v>
      </c>
      <c r="W372" s="4">
        <f>+$W$366*W371</f>
        <v>270</v>
      </c>
      <c r="X372" s="4">
        <f>+$W$366*X371</f>
        <v>270</v>
      </c>
      <c r="Y372" s="4">
        <f>+$W$366*Y371</f>
        <v>1224</v>
      </c>
      <c r="Z372" s="4">
        <f>+SUM(W372:Y372)</f>
        <v>1764</v>
      </c>
      <c r="AA372" s="4">
        <f>+$W$366*AA371</f>
        <v>1710</v>
      </c>
      <c r="AB372" s="4">
        <f>+$W$366*AB371</f>
        <v>2160</v>
      </c>
      <c r="AC372" s="4">
        <f>+$W$366*AC371</f>
        <v>2430</v>
      </c>
      <c r="AD372" s="4">
        <f>+SUM(AA372:AC372)</f>
        <v>6300</v>
      </c>
      <c r="AE372" s="4">
        <f>+$W$366*AE371</f>
        <v>4590</v>
      </c>
      <c r="AF372" s="4">
        <f>+$W$366*AF371</f>
        <v>3420</v>
      </c>
      <c r="AG372" s="4">
        <f>+$W$366*AG371</f>
        <v>720</v>
      </c>
      <c r="AH372" s="4">
        <f>+SUM(AE372:AG372)</f>
        <v>8730</v>
      </c>
      <c r="AI372" s="4">
        <f>+$W$366*AI371</f>
        <v>270</v>
      </c>
      <c r="AJ372" s="4">
        <f>+$W$366*AJ371</f>
        <v>180</v>
      </c>
      <c r="AK372" s="4">
        <f>+$W$366*AK371</f>
        <v>192.42</v>
      </c>
      <c r="AL372" s="4">
        <f>+SUM(AI372:AK372)</f>
        <v>642.41999999999996</v>
      </c>
      <c r="AM372" s="304">
        <f>+Z372+AD372+AH372+AL372</f>
        <v>17436.419999999998</v>
      </c>
    </row>
    <row r="373" spans="1:39" ht="15.75" customHeight="1" x14ac:dyDescent="0.3">
      <c r="A373" s="76" t="s">
        <v>374</v>
      </c>
      <c r="B373" s="1">
        <v>2900</v>
      </c>
      <c r="C373" s="1">
        <v>3720</v>
      </c>
      <c r="D373" s="1">
        <v>8200</v>
      </c>
      <c r="E373" s="59">
        <f t="shared" si="110"/>
        <v>14820</v>
      </c>
      <c r="F373" s="1">
        <v>11090</v>
      </c>
      <c r="G373" s="1">
        <v>13170</v>
      </c>
      <c r="H373" s="1">
        <v>18340</v>
      </c>
      <c r="I373" s="59">
        <f t="shared" si="111"/>
        <v>42600</v>
      </c>
      <c r="J373" s="1">
        <v>5910</v>
      </c>
      <c r="K373" s="1">
        <v>8750</v>
      </c>
      <c r="L373" s="1">
        <v>6370</v>
      </c>
      <c r="M373" s="59">
        <f t="shared" si="112"/>
        <v>21030</v>
      </c>
      <c r="N373" s="1">
        <v>2770</v>
      </c>
      <c r="O373" s="1">
        <v>2270</v>
      </c>
      <c r="P373" s="1">
        <v>806</v>
      </c>
      <c r="Q373" s="59">
        <f t="shared" si="113"/>
        <v>5846</v>
      </c>
      <c r="R373" s="59">
        <f t="shared" si="109"/>
        <v>84296</v>
      </c>
      <c r="T373" s="4" t="s">
        <v>305</v>
      </c>
      <c r="V373" s="95" t="s">
        <v>366</v>
      </c>
      <c r="W373" s="4">
        <f>+$W$367*W371</f>
        <v>780</v>
      </c>
      <c r="X373" s="4">
        <f>+$W$367*X371</f>
        <v>780</v>
      </c>
      <c r="Y373" s="4">
        <f>+$W$367*Y371</f>
        <v>3536</v>
      </c>
      <c r="Z373" s="4">
        <f>+SUM(W373:Y373)</f>
        <v>5096</v>
      </c>
      <c r="AA373" s="4">
        <f>+$W$367*AA371</f>
        <v>4940</v>
      </c>
      <c r="AB373" s="4">
        <f>+$W$367*AB371</f>
        <v>6240</v>
      </c>
      <c r="AC373" s="4">
        <f>+$W$367*AC371</f>
        <v>7020</v>
      </c>
      <c r="AD373" s="4">
        <f>+SUM(AA373:AC373)</f>
        <v>18200</v>
      </c>
      <c r="AE373" s="4">
        <f>+$W$367*AE371</f>
        <v>13260</v>
      </c>
      <c r="AF373" s="4">
        <f>+$W$367*AF371</f>
        <v>9880</v>
      </c>
      <c r="AG373" s="4">
        <f>+$W$367*AG371</f>
        <v>2080</v>
      </c>
      <c r="AH373" s="4">
        <f>+SUM(AE373:AG373)</f>
        <v>25220</v>
      </c>
      <c r="AI373" s="4">
        <f>+$W$367*AI371</f>
        <v>780</v>
      </c>
      <c r="AJ373" s="4">
        <f>+$W$367*AJ371</f>
        <v>520</v>
      </c>
      <c r="AK373" s="4">
        <f>+$W$367*AK371</f>
        <v>555.88</v>
      </c>
      <c r="AL373" s="4">
        <f>+SUM(AI373:AK373)</f>
        <v>1855.88</v>
      </c>
      <c r="AM373" s="304">
        <f>+Z373+AD373+AH373+AL373</f>
        <v>50371.88</v>
      </c>
    </row>
    <row r="374" spans="1:39" ht="15.75" customHeight="1" x14ac:dyDescent="0.3">
      <c r="A374" s="76" t="s">
        <v>375</v>
      </c>
      <c r="B374" s="1"/>
      <c r="C374" s="1"/>
      <c r="D374" s="1"/>
      <c r="E374" s="59">
        <f t="shared" si="110"/>
        <v>0</v>
      </c>
      <c r="F374" s="1"/>
      <c r="G374" s="1"/>
      <c r="H374" s="1"/>
      <c r="I374" s="59">
        <f t="shared" si="111"/>
        <v>0</v>
      </c>
      <c r="J374" s="1"/>
      <c r="K374" s="1"/>
      <c r="L374" s="1"/>
      <c r="M374" s="59">
        <f t="shared" si="112"/>
        <v>0</v>
      </c>
      <c r="N374" s="1"/>
      <c r="O374" s="1"/>
      <c r="P374" s="1"/>
      <c r="Q374" s="59">
        <f t="shared" si="113"/>
        <v>0</v>
      </c>
      <c r="R374" s="59">
        <f t="shared" si="109"/>
        <v>0</v>
      </c>
      <c r="T374" s="4" t="s">
        <v>376</v>
      </c>
      <c r="V374" s="95" t="s">
        <v>368</v>
      </c>
      <c r="W374" s="4">
        <f>+$W$368*W371</f>
        <v>450</v>
      </c>
      <c r="X374" s="4">
        <f>+$W$368*X371</f>
        <v>450</v>
      </c>
      <c r="Y374" s="4">
        <f>+$W$368*Y371</f>
        <v>2040</v>
      </c>
      <c r="Z374" s="4">
        <f>+SUM(W374:Y374)</f>
        <v>2940</v>
      </c>
      <c r="AA374" s="4">
        <f>+$W$368*AA371</f>
        <v>2850</v>
      </c>
      <c r="AB374" s="4">
        <f>+$W$368*AB371</f>
        <v>3600</v>
      </c>
      <c r="AC374" s="4">
        <f>+$W$368*AC371</f>
        <v>4050</v>
      </c>
      <c r="AD374" s="4">
        <f>+SUM(AA374:AC374)</f>
        <v>10500</v>
      </c>
      <c r="AE374" s="4">
        <f>+$W$368*AE371</f>
        <v>7650</v>
      </c>
      <c r="AF374" s="4">
        <f>+$W$368*AF371</f>
        <v>5700</v>
      </c>
      <c r="AG374" s="4">
        <f>+$W$368*AG371</f>
        <v>1200</v>
      </c>
      <c r="AH374" s="4">
        <f>+SUM(AE374:AG374)</f>
        <v>14550</v>
      </c>
      <c r="AI374" s="4">
        <f>+$W$368*AI371</f>
        <v>450</v>
      </c>
      <c r="AJ374" s="4">
        <f>+$W$368*AJ371</f>
        <v>300</v>
      </c>
      <c r="AK374" s="4">
        <f>+$W$368*AK371</f>
        <v>320.7</v>
      </c>
      <c r="AL374" s="4">
        <f>+$W$368*AL371</f>
        <v>1070.7</v>
      </c>
      <c r="AM374" s="304">
        <f>+Z374+AD374+AH374+AL374</f>
        <v>29060.7</v>
      </c>
    </row>
    <row r="375" spans="1:39" ht="15.75" customHeight="1" thickBot="1" x14ac:dyDescent="0.35">
      <c r="A375" s="76" t="s">
        <v>377</v>
      </c>
      <c r="B375" s="1">
        <v>771</v>
      </c>
      <c r="C375" s="1">
        <v>885</v>
      </c>
      <c r="D375" s="1">
        <v>844</v>
      </c>
      <c r="E375" s="59">
        <f t="shared" si="110"/>
        <v>2500</v>
      </c>
      <c r="F375" s="1"/>
      <c r="G375" s="1"/>
      <c r="H375" s="1"/>
      <c r="I375" s="59">
        <f t="shared" si="111"/>
        <v>0</v>
      </c>
      <c r="J375" s="1"/>
      <c r="K375" s="1"/>
      <c r="L375" s="1"/>
      <c r="M375" s="59">
        <f t="shared" si="112"/>
        <v>0</v>
      </c>
      <c r="N375" s="1"/>
      <c r="O375" s="1"/>
      <c r="P375" s="1">
        <v>1000</v>
      </c>
      <c r="Q375" s="59">
        <f t="shared" si="113"/>
        <v>1000</v>
      </c>
      <c r="R375" s="59">
        <f t="shared" si="109"/>
        <v>3500</v>
      </c>
      <c r="T375" s="4" t="s">
        <v>331</v>
      </c>
      <c r="V375" s="134"/>
      <c r="W375" s="135"/>
      <c r="X375" s="135"/>
      <c r="Y375" s="135"/>
      <c r="Z375" s="135"/>
      <c r="AA375" s="135"/>
      <c r="AB375" s="135"/>
      <c r="AC375" s="135"/>
      <c r="AD375" s="135"/>
      <c r="AE375" s="135"/>
      <c r="AF375" s="135"/>
      <c r="AG375" s="135"/>
      <c r="AH375" s="135"/>
      <c r="AI375" s="135"/>
      <c r="AJ375" s="135"/>
      <c r="AK375" s="135"/>
      <c r="AL375" s="135"/>
      <c r="AM375" s="136"/>
    </row>
    <row r="376" spans="1:39" ht="15.75" customHeight="1" x14ac:dyDescent="0.3">
      <c r="A376" s="76" t="s">
        <v>379</v>
      </c>
      <c r="B376" s="1"/>
      <c r="C376" s="1"/>
      <c r="D376" s="1"/>
      <c r="E376" s="59">
        <f t="shared" si="110"/>
        <v>0</v>
      </c>
      <c r="F376" s="1"/>
      <c r="G376" s="1"/>
      <c r="H376" s="1"/>
      <c r="I376" s="59">
        <f t="shared" si="111"/>
        <v>0</v>
      </c>
      <c r="J376" s="1"/>
      <c r="K376" s="1"/>
      <c r="L376" s="1"/>
      <c r="M376" s="59">
        <f t="shared" si="112"/>
        <v>0</v>
      </c>
      <c r="N376" s="1"/>
      <c r="O376" s="1"/>
      <c r="P376" s="1"/>
      <c r="Q376" s="59">
        <f t="shared" si="113"/>
        <v>0</v>
      </c>
      <c r="R376" s="59">
        <f t="shared" si="109"/>
        <v>0</v>
      </c>
      <c r="T376" s="4" t="s">
        <v>317</v>
      </c>
    </row>
    <row r="377" spans="1:39" ht="15.75" customHeight="1" x14ac:dyDescent="0.3">
      <c r="A377" s="76" t="s">
        <v>380</v>
      </c>
      <c r="B377" s="1">
        <v>250</v>
      </c>
      <c r="C377" s="1">
        <v>250</v>
      </c>
      <c r="D377" s="1">
        <v>500</v>
      </c>
      <c r="E377" s="59">
        <f t="shared" si="110"/>
        <v>1000</v>
      </c>
      <c r="F377" s="1">
        <v>500</v>
      </c>
      <c r="G377" s="1">
        <v>500</v>
      </c>
      <c r="H377" s="1">
        <v>1000</v>
      </c>
      <c r="I377" s="59">
        <f t="shared" si="111"/>
        <v>2000</v>
      </c>
      <c r="J377" s="1">
        <v>3000</v>
      </c>
      <c r="K377" s="1">
        <v>4000</v>
      </c>
      <c r="L377" s="1">
        <v>4000</v>
      </c>
      <c r="M377" s="59">
        <f t="shared" si="112"/>
        <v>11000</v>
      </c>
      <c r="N377" s="1">
        <v>4000</v>
      </c>
      <c r="O377" s="1">
        <v>3500</v>
      </c>
      <c r="P377" s="1">
        <v>3737</v>
      </c>
      <c r="Q377" s="59">
        <f t="shared" si="113"/>
        <v>11237</v>
      </c>
      <c r="R377" s="59">
        <f t="shared" si="109"/>
        <v>25237</v>
      </c>
    </row>
    <row r="378" spans="1:39" ht="15.75" customHeight="1" thickBot="1" x14ac:dyDescent="0.35">
      <c r="A378" s="17" t="s">
        <v>56</v>
      </c>
      <c r="B378" s="1"/>
      <c r="C378" s="1"/>
      <c r="D378" s="1"/>
      <c r="E378" s="59" t="s">
        <v>7</v>
      </c>
      <c r="F378" s="1"/>
      <c r="G378" s="1"/>
      <c r="H378" s="1"/>
      <c r="I378" s="59" t="s">
        <v>7</v>
      </c>
      <c r="J378" s="1"/>
      <c r="K378" s="1"/>
      <c r="L378" s="1"/>
      <c r="M378" s="59" t="s">
        <v>7</v>
      </c>
      <c r="N378" s="1"/>
      <c r="O378" s="1"/>
      <c r="P378" s="1"/>
      <c r="Q378" s="59" t="s">
        <v>7</v>
      </c>
      <c r="R378" s="59" t="s">
        <v>7</v>
      </c>
    </row>
    <row r="379" spans="1:39" ht="16.5" customHeight="1" thickBot="1" x14ac:dyDescent="0.35">
      <c r="A379" s="62" t="s">
        <v>57</v>
      </c>
      <c r="B379" s="100">
        <f>SUM(B367:B378)</f>
        <v>4941</v>
      </c>
      <c r="C379" s="101">
        <f>SUM(C367:C378)</f>
        <v>6895</v>
      </c>
      <c r="D379" s="101">
        <f>SUM(D367:D378)</f>
        <v>16699</v>
      </c>
      <c r="E379" s="64">
        <f>SUM(B379:D379)</f>
        <v>28535</v>
      </c>
      <c r="F379" s="101">
        <f>SUM(F367:F378)</f>
        <v>20690</v>
      </c>
      <c r="G379" s="101">
        <f>SUM(G367:G378)</f>
        <v>24188</v>
      </c>
      <c r="H379" s="101">
        <f>SUM(H367:H378)</f>
        <v>24296</v>
      </c>
      <c r="I379" s="64">
        <f>SUM(F379:H379)</f>
        <v>69174</v>
      </c>
      <c r="J379" s="101">
        <f>SUM(J367:J378)</f>
        <v>11250</v>
      </c>
      <c r="K379" s="101">
        <f>SUM(K367:K378)</f>
        <v>14459</v>
      </c>
      <c r="L379" s="101">
        <f>SUM(L367:L378)</f>
        <v>10790</v>
      </c>
      <c r="M379" s="64">
        <f>SUM(J379:L379)</f>
        <v>36499</v>
      </c>
      <c r="N379" s="101">
        <f>SUM(N367:N378)</f>
        <v>6824</v>
      </c>
      <c r="O379" s="101">
        <f>SUM(O367:O378)</f>
        <v>5840</v>
      </c>
      <c r="P379" s="101">
        <f>SUM(P367:P378)</f>
        <v>5627</v>
      </c>
      <c r="Q379" s="64">
        <f>SUM(N379:P379)</f>
        <v>18291</v>
      </c>
      <c r="R379" s="64">
        <f>+E379+I379+M379+Q379</f>
        <v>152499</v>
      </c>
    </row>
    <row r="380" spans="1:39" ht="15.75" customHeight="1" x14ac:dyDescent="0.3">
      <c r="A380" s="17" t="s">
        <v>58</v>
      </c>
      <c r="B380" s="1"/>
      <c r="C380" s="1"/>
      <c r="D380" s="1"/>
      <c r="E380" s="59" t="s">
        <v>7</v>
      </c>
      <c r="F380" s="1"/>
      <c r="G380" s="1"/>
      <c r="H380" s="1"/>
      <c r="I380" s="59" t="s">
        <v>7</v>
      </c>
      <c r="J380" s="1"/>
      <c r="K380" s="1"/>
      <c r="L380" s="1"/>
      <c r="M380" s="59" t="s">
        <v>7</v>
      </c>
      <c r="N380" s="1"/>
      <c r="O380" s="1"/>
      <c r="P380" s="1"/>
      <c r="Q380" s="59" t="s">
        <v>7</v>
      </c>
      <c r="R380" s="59" t="s">
        <v>7</v>
      </c>
    </row>
    <row r="381" spans="1:39" ht="15.75" customHeight="1" x14ac:dyDescent="0.3">
      <c r="A381" s="17" t="s">
        <v>59</v>
      </c>
      <c r="B381" s="1"/>
      <c r="C381" s="1"/>
      <c r="D381" s="1"/>
      <c r="E381" s="59" t="s">
        <v>7</v>
      </c>
      <c r="F381" s="1"/>
      <c r="G381" s="1"/>
      <c r="H381" s="1"/>
      <c r="I381" s="59" t="s">
        <v>7</v>
      </c>
      <c r="J381" s="1"/>
      <c r="K381" s="1"/>
      <c r="L381" s="1"/>
      <c r="M381" s="59" t="s">
        <v>7</v>
      </c>
      <c r="N381" s="1"/>
      <c r="O381" s="1"/>
      <c r="P381" s="1"/>
      <c r="Q381" s="59" t="s">
        <v>7</v>
      </c>
      <c r="R381" s="59" t="s">
        <v>7</v>
      </c>
    </row>
    <row r="382" spans="1:39" ht="15.75" customHeight="1" x14ac:dyDescent="0.3">
      <c r="A382" s="76" t="s">
        <v>381</v>
      </c>
      <c r="B382" s="1">
        <v>2281</v>
      </c>
      <c r="C382" s="1">
        <v>4412</v>
      </c>
      <c r="D382" s="1">
        <v>6007</v>
      </c>
      <c r="E382" s="59">
        <f>SUM(B382:D382)</f>
        <v>12700</v>
      </c>
      <c r="F382" s="1">
        <v>10263</v>
      </c>
      <c r="G382" s="1">
        <v>11349</v>
      </c>
      <c r="H382" s="1">
        <v>12441</v>
      </c>
      <c r="I382" s="59">
        <f>SUM(F382:H382)</f>
        <v>34053</v>
      </c>
      <c r="J382" s="1">
        <v>7894</v>
      </c>
      <c r="K382" s="1">
        <v>7682</v>
      </c>
      <c r="L382" s="1">
        <v>5843</v>
      </c>
      <c r="M382" s="59">
        <f>SUM(J382:L382)</f>
        <v>21419</v>
      </c>
      <c r="N382" s="1">
        <v>2568</v>
      </c>
      <c r="O382" s="1">
        <v>1274</v>
      </c>
      <c r="P382" s="1">
        <v>1725</v>
      </c>
      <c r="Q382" s="59">
        <f>SUM(N382:P382)</f>
        <v>5567</v>
      </c>
      <c r="R382" s="59">
        <f>+E382+I382+M382+Q382</f>
        <v>73739</v>
      </c>
      <c r="T382" s="4" t="s">
        <v>305</v>
      </c>
    </row>
    <row r="383" spans="1:39" ht="15.75" customHeight="1" x14ac:dyDescent="0.3">
      <c r="A383" s="76" t="s">
        <v>382</v>
      </c>
      <c r="B383" s="1">
        <f>3091+320</f>
        <v>3411</v>
      </c>
      <c r="C383" s="1">
        <f>2163+556</f>
        <v>2719</v>
      </c>
      <c r="D383" s="1">
        <f>532+614</f>
        <v>1146</v>
      </c>
      <c r="E383" s="59">
        <f>SUM(B383:D383)</f>
        <v>7276</v>
      </c>
      <c r="F383" s="1">
        <f>1236+596</f>
        <v>1832</v>
      </c>
      <c r="G383" s="1">
        <f>1236+1230</f>
        <v>2466</v>
      </c>
      <c r="H383" s="1">
        <f>17926+1786</f>
        <v>19712</v>
      </c>
      <c r="I383" s="59">
        <f>SUM(F383:H383)</f>
        <v>24010</v>
      </c>
      <c r="J383" s="1">
        <f>29539+1844</f>
        <v>31383</v>
      </c>
      <c r="K383" s="1">
        <f>23390+1844</f>
        <v>25234</v>
      </c>
      <c r="L383" s="1">
        <f>25884+596</f>
        <v>26480</v>
      </c>
      <c r="M383" s="59">
        <f>SUM(J383:L383)</f>
        <v>83097</v>
      </c>
      <c r="N383" s="1">
        <f>26972+614</f>
        <v>27586</v>
      </c>
      <c r="O383" s="1"/>
      <c r="P383" s="1">
        <v>14282</v>
      </c>
      <c r="Q383" s="59">
        <f>SUM(N383:P383)</f>
        <v>41868</v>
      </c>
      <c r="R383" s="59">
        <f>+E383+I383+M383+Q383</f>
        <v>156251</v>
      </c>
      <c r="T383" s="4" t="s">
        <v>336</v>
      </c>
    </row>
    <row r="384" spans="1:39" ht="15.75" customHeight="1" x14ac:dyDescent="0.3">
      <c r="A384" s="17" t="s">
        <v>60</v>
      </c>
      <c r="B384" s="1"/>
      <c r="C384" s="1"/>
      <c r="D384" s="1"/>
      <c r="E384" s="59" t="s">
        <v>7</v>
      </c>
      <c r="F384" s="1"/>
      <c r="G384" s="1"/>
      <c r="H384" s="1"/>
      <c r="I384" s="59" t="s">
        <v>7</v>
      </c>
      <c r="J384" s="1"/>
      <c r="K384" s="1"/>
      <c r="L384" s="1"/>
      <c r="M384" s="59" t="s">
        <v>7</v>
      </c>
      <c r="N384" s="1"/>
      <c r="O384" s="1"/>
      <c r="P384" s="1"/>
      <c r="Q384" s="59" t="s">
        <v>7</v>
      </c>
      <c r="R384" s="59" t="s">
        <v>7</v>
      </c>
    </row>
    <row r="385" spans="1:20" ht="15.75" customHeight="1" x14ac:dyDescent="0.3">
      <c r="A385" s="76" t="s">
        <v>385</v>
      </c>
      <c r="B385" s="1"/>
      <c r="C385" s="1"/>
      <c r="D385" s="1"/>
      <c r="E385" s="59">
        <f>SUM(B385:D385)</f>
        <v>0</v>
      </c>
      <c r="F385" s="1"/>
      <c r="G385" s="1"/>
      <c r="H385" s="1"/>
      <c r="I385" s="59">
        <f>SUM(F385:H385)</f>
        <v>0</v>
      </c>
      <c r="J385" s="1">
        <v>1000</v>
      </c>
      <c r="K385" s="1">
        <v>1000</v>
      </c>
      <c r="L385" s="1"/>
      <c r="M385" s="59">
        <f>SUM(J385:L385)</f>
        <v>2000</v>
      </c>
      <c r="N385" s="1"/>
      <c r="O385" s="1"/>
      <c r="P385" s="1"/>
      <c r="Q385" s="59">
        <f>SUM(N385:P385)</f>
        <v>0</v>
      </c>
      <c r="R385" s="59">
        <f t="shared" ref="R385:R427" si="114">+E385+I385+M385+Q385</f>
        <v>2000</v>
      </c>
    </row>
    <row r="386" spans="1:20" ht="15.75" customHeight="1" x14ac:dyDescent="0.3">
      <c r="A386" s="76" t="s">
        <v>388</v>
      </c>
      <c r="B386" s="1"/>
      <c r="C386" s="1"/>
      <c r="D386" s="1"/>
      <c r="E386" s="59">
        <f t="shared" ref="E386:E389" si="115">SUM(B386:D386)</f>
        <v>0</v>
      </c>
      <c r="F386" s="1"/>
      <c r="G386" s="1"/>
      <c r="H386" s="1"/>
      <c r="I386" s="59">
        <f t="shared" ref="I386:I427" si="116">SUM(F386:H386)</f>
        <v>0</v>
      </c>
      <c r="J386" s="1"/>
      <c r="K386" s="1"/>
      <c r="L386" s="1"/>
      <c r="M386" s="59">
        <f t="shared" ref="M386:M427" si="117">SUM(J386:L386)</f>
        <v>0</v>
      </c>
      <c r="N386" s="1"/>
      <c r="O386" s="1"/>
      <c r="P386" s="1"/>
      <c r="Q386" s="59">
        <f t="shared" ref="Q386:Q428" si="118">SUM(N386:P386)</f>
        <v>0</v>
      </c>
      <c r="R386" s="59">
        <f t="shared" si="114"/>
        <v>0</v>
      </c>
    </row>
    <row r="387" spans="1:20" ht="15.75" customHeight="1" x14ac:dyDescent="0.3">
      <c r="A387" s="76" t="s">
        <v>389</v>
      </c>
      <c r="B387" s="1"/>
      <c r="C387" s="1"/>
      <c r="D387" s="1"/>
      <c r="E387" s="59">
        <f t="shared" si="115"/>
        <v>0</v>
      </c>
      <c r="F387" s="1"/>
      <c r="G387" s="1"/>
      <c r="H387" s="1"/>
      <c r="I387" s="59">
        <f t="shared" si="116"/>
        <v>0</v>
      </c>
      <c r="J387" s="1"/>
      <c r="K387" s="1"/>
      <c r="L387" s="1"/>
      <c r="M387" s="59">
        <f t="shared" si="117"/>
        <v>0</v>
      </c>
      <c r="N387" s="1"/>
      <c r="O387" s="1"/>
      <c r="P387" s="1"/>
      <c r="Q387" s="59">
        <f t="shared" si="118"/>
        <v>0</v>
      </c>
      <c r="R387" s="59">
        <f t="shared" si="114"/>
        <v>0</v>
      </c>
      <c r="T387" s="4" t="s">
        <v>315</v>
      </c>
    </row>
    <row r="388" spans="1:20" ht="15.75" customHeight="1" x14ac:dyDescent="0.3">
      <c r="A388" s="76" t="s">
        <v>391</v>
      </c>
      <c r="B388" s="1">
        <v>460</v>
      </c>
      <c r="C388" s="1"/>
      <c r="D388" s="1"/>
      <c r="E388" s="59">
        <f t="shared" si="115"/>
        <v>460</v>
      </c>
      <c r="F388" s="1"/>
      <c r="G388" s="1"/>
      <c r="H388" s="1"/>
      <c r="I388" s="59">
        <f t="shared" si="116"/>
        <v>0</v>
      </c>
      <c r="J388" s="1"/>
      <c r="K388" s="1"/>
      <c r="L388" s="1"/>
      <c r="M388" s="59">
        <f t="shared" si="117"/>
        <v>0</v>
      </c>
      <c r="N388" s="1"/>
      <c r="O388" s="1"/>
      <c r="P388" s="1"/>
      <c r="Q388" s="59">
        <f t="shared" si="118"/>
        <v>0</v>
      </c>
      <c r="R388" s="59">
        <f t="shared" si="114"/>
        <v>460</v>
      </c>
      <c r="T388" s="4" t="s">
        <v>217</v>
      </c>
    </row>
    <row r="389" spans="1:20" ht="15.75" customHeight="1" x14ac:dyDescent="0.3">
      <c r="A389" s="76" t="s">
        <v>392</v>
      </c>
      <c r="B389" s="1"/>
      <c r="C389" s="1"/>
      <c r="D389" s="1"/>
      <c r="E389" s="59">
        <f t="shared" si="115"/>
        <v>0</v>
      </c>
      <c r="F389" s="1"/>
      <c r="G389" s="1"/>
      <c r="H389" s="1"/>
      <c r="I389" s="59">
        <f t="shared" si="116"/>
        <v>0</v>
      </c>
      <c r="J389" s="1"/>
      <c r="K389" s="1"/>
      <c r="L389" s="1"/>
      <c r="M389" s="59">
        <f t="shared" si="117"/>
        <v>0</v>
      </c>
      <c r="N389" s="1"/>
      <c r="O389" s="1"/>
      <c r="P389" s="1"/>
      <c r="Q389" s="59">
        <f t="shared" si="118"/>
        <v>0</v>
      </c>
      <c r="R389" s="59">
        <f t="shared" si="114"/>
        <v>0</v>
      </c>
      <c r="T389" s="4" t="s">
        <v>315</v>
      </c>
    </row>
    <row r="390" spans="1:20" ht="15.75" customHeight="1" x14ac:dyDescent="0.3">
      <c r="A390" s="76" t="s">
        <v>393</v>
      </c>
      <c r="B390" s="1"/>
      <c r="C390" s="1"/>
      <c r="D390" s="1">
        <v>627</v>
      </c>
      <c r="E390" s="59">
        <f t="shared" ref="E390:E427" si="119">SUM(B390:D390)</f>
        <v>627</v>
      </c>
      <c r="F390" s="1"/>
      <c r="G390" s="1"/>
      <c r="H390" s="1"/>
      <c r="I390" s="59">
        <f t="shared" si="116"/>
        <v>0</v>
      </c>
      <c r="J390" s="1"/>
      <c r="K390" s="1"/>
      <c r="L390" s="1"/>
      <c r="M390" s="59">
        <f t="shared" si="117"/>
        <v>0</v>
      </c>
      <c r="N390" s="1"/>
      <c r="O390" s="1"/>
      <c r="P390" s="1"/>
      <c r="Q390" s="59">
        <f t="shared" si="118"/>
        <v>0</v>
      </c>
      <c r="R390" s="59">
        <f t="shared" si="114"/>
        <v>627</v>
      </c>
    </row>
    <row r="391" spans="1:20" ht="15.75" customHeight="1" x14ac:dyDescent="0.3">
      <c r="A391" s="76" t="s">
        <v>395</v>
      </c>
      <c r="B391" s="1"/>
      <c r="C391" s="1"/>
      <c r="D391" s="1"/>
      <c r="E391" s="59">
        <f t="shared" si="119"/>
        <v>0</v>
      </c>
      <c r="F391" s="1"/>
      <c r="G391" s="1"/>
      <c r="H391" s="1"/>
      <c r="I391" s="59">
        <f t="shared" si="116"/>
        <v>0</v>
      </c>
      <c r="J391" s="1"/>
      <c r="K391" s="1"/>
      <c r="L391" s="1"/>
      <c r="M391" s="59">
        <f t="shared" si="117"/>
        <v>0</v>
      </c>
      <c r="N391" s="1"/>
      <c r="O391" s="1"/>
      <c r="P391" s="1"/>
      <c r="Q391" s="59">
        <f t="shared" si="118"/>
        <v>0</v>
      </c>
      <c r="R391" s="59">
        <f>+E391+I391+M391+Q391</f>
        <v>0</v>
      </c>
      <c r="T391" s="4" t="s">
        <v>317</v>
      </c>
    </row>
    <row r="392" spans="1:20" ht="15.75" customHeight="1" x14ac:dyDescent="0.3">
      <c r="A392" s="76" t="s">
        <v>396</v>
      </c>
      <c r="B392" s="1"/>
      <c r="C392" s="1"/>
      <c r="D392" s="1"/>
      <c r="E392" s="59">
        <f t="shared" si="119"/>
        <v>0</v>
      </c>
      <c r="F392" s="1"/>
      <c r="G392" s="1"/>
      <c r="H392" s="1"/>
      <c r="I392" s="59">
        <f t="shared" si="116"/>
        <v>0</v>
      </c>
      <c r="J392" s="1"/>
      <c r="K392" s="1"/>
      <c r="L392" s="1"/>
      <c r="M392" s="59">
        <f t="shared" si="117"/>
        <v>0</v>
      </c>
      <c r="N392" s="1"/>
      <c r="O392" s="1"/>
      <c r="P392" s="1"/>
      <c r="Q392" s="59">
        <f t="shared" si="118"/>
        <v>0</v>
      </c>
      <c r="R392" s="59">
        <f t="shared" si="114"/>
        <v>0</v>
      </c>
      <c r="T392" s="4" t="s">
        <v>305</v>
      </c>
    </row>
    <row r="393" spans="1:20" ht="15.75" customHeight="1" x14ac:dyDescent="0.3">
      <c r="A393" s="76" t="s">
        <v>397</v>
      </c>
      <c r="B393" s="1">
        <v>1000</v>
      </c>
      <c r="C393" s="1">
        <v>1500</v>
      </c>
      <c r="D393" s="1">
        <v>1500</v>
      </c>
      <c r="E393" s="59">
        <f t="shared" si="119"/>
        <v>4000</v>
      </c>
      <c r="F393" s="1">
        <v>1000</v>
      </c>
      <c r="G393" s="1">
        <v>2000</v>
      </c>
      <c r="H393" s="1">
        <v>2500</v>
      </c>
      <c r="I393" s="59">
        <f t="shared" si="116"/>
        <v>5500</v>
      </c>
      <c r="J393" s="1">
        <v>2000</v>
      </c>
      <c r="K393" s="1">
        <v>2000</v>
      </c>
      <c r="L393" s="1">
        <v>2000</v>
      </c>
      <c r="M393" s="59">
        <f t="shared" si="117"/>
        <v>6000</v>
      </c>
      <c r="N393" s="1">
        <v>2000</v>
      </c>
      <c r="O393" s="1">
        <v>2500</v>
      </c>
      <c r="P393" s="1">
        <v>2000</v>
      </c>
      <c r="Q393" s="59">
        <f t="shared" si="118"/>
        <v>6500</v>
      </c>
      <c r="R393" s="59">
        <f t="shared" si="114"/>
        <v>22000</v>
      </c>
    </row>
    <row r="394" spans="1:20" ht="15.75" customHeight="1" x14ac:dyDescent="0.3">
      <c r="A394" s="76" t="s">
        <v>398</v>
      </c>
      <c r="B394" s="1">
        <v>200</v>
      </c>
      <c r="C394" s="1">
        <v>1670</v>
      </c>
      <c r="D394" s="1">
        <v>3000</v>
      </c>
      <c r="E394" s="59">
        <f t="shared" si="119"/>
        <v>4870</v>
      </c>
      <c r="F394" s="1">
        <v>4000</v>
      </c>
      <c r="G394" s="1">
        <v>5290</v>
      </c>
      <c r="H394" s="1">
        <v>5590</v>
      </c>
      <c r="I394" s="59">
        <f t="shared" si="116"/>
        <v>14880</v>
      </c>
      <c r="J394" s="1">
        <v>2120</v>
      </c>
      <c r="K394" s="1">
        <v>130</v>
      </c>
      <c r="L394" s="1"/>
      <c r="M394" s="59">
        <f t="shared" si="117"/>
        <v>2250</v>
      </c>
      <c r="N394" s="1"/>
      <c r="O394" s="1"/>
      <c r="P394" s="1"/>
      <c r="Q394" s="59">
        <f t="shared" si="118"/>
        <v>0</v>
      </c>
      <c r="R394" s="59">
        <f t="shared" si="114"/>
        <v>22000</v>
      </c>
      <c r="T394" s="4" t="s">
        <v>305</v>
      </c>
    </row>
    <row r="395" spans="1:20" ht="15.75" customHeight="1" x14ac:dyDescent="0.3">
      <c r="A395" s="76" t="s">
        <v>399</v>
      </c>
      <c r="B395" s="1"/>
      <c r="C395" s="1"/>
      <c r="D395" s="1"/>
      <c r="E395" s="59">
        <f t="shared" si="119"/>
        <v>0</v>
      </c>
      <c r="F395" s="1"/>
      <c r="G395" s="1"/>
      <c r="H395" s="1">
        <v>4084</v>
      </c>
      <c r="I395" s="59">
        <f t="shared" si="116"/>
        <v>4084</v>
      </c>
      <c r="J395" s="1">
        <v>7916</v>
      </c>
      <c r="K395" s="1"/>
      <c r="L395" s="1"/>
      <c r="M395" s="59">
        <f t="shared" si="117"/>
        <v>7916</v>
      </c>
      <c r="N395" s="1"/>
      <c r="O395" s="1"/>
      <c r="P395" s="1"/>
      <c r="Q395" s="59">
        <f t="shared" si="118"/>
        <v>0</v>
      </c>
      <c r="R395" s="59">
        <f t="shared" si="114"/>
        <v>12000</v>
      </c>
    </row>
    <row r="396" spans="1:20" ht="15.75" customHeight="1" x14ac:dyDescent="0.3">
      <c r="A396" s="76" t="s">
        <v>404</v>
      </c>
      <c r="B396" s="1">
        <v>2500</v>
      </c>
      <c r="C396" s="1">
        <v>4500</v>
      </c>
      <c r="D396" s="1">
        <v>5000</v>
      </c>
      <c r="E396" s="59">
        <f t="shared" si="119"/>
        <v>12000</v>
      </c>
      <c r="F396" s="1"/>
      <c r="G396" s="1"/>
      <c r="H396" s="1"/>
      <c r="I396" s="59">
        <f t="shared" si="116"/>
        <v>0</v>
      </c>
      <c r="J396" s="1"/>
      <c r="K396" s="1"/>
      <c r="L396" s="1"/>
      <c r="M396" s="59">
        <f t="shared" si="117"/>
        <v>0</v>
      </c>
      <c r="N396" s="1"/>
      <c r="O396" s="1"/>
      <c r="P396" s="1"/>
      <c r="Q396" s="59">
        <f t="shared" si="118"/>
        <v>0</v>
      </c>
      <c r="R396" s="59">
        <f t="shared" si="114"/>
        <v>12000</v>
      </c>
    </row>
    <row r="397" spans="1:20" ht="15.75" customHeight="1" x14ac:dyDescent="0.3">
      <c r="A397" s="76" t="s">
        <v>405</v>
      </c>
      <c r="B397" s="1"/>
      <c r="C397" s="1"/>
      <c r="D397" s="1"/>
      <c r="E397" s="59">
        <f t="shared" si="119"/>
        <v>0</v>
      </c>
      <c r="F397" s="1"/>
      <c r="G397" s="1"/>
      <c r="H397" s="1"/>
      <c r="I397" s="59">
        <f t="shared" si="116"/>
        <v>0</v>
      </c>
      <c r="J397" s="1">
        <v>276</v>
      </c>
      <c r="K397" s="1"/>
      <c r="L397" s="1"/>
      <c r="M397" s="59">
        <f t="shared" si="117"/>
        <v>276</v>
      </c>
      <c r="N397" s="1"/>
      <c r="O397" s="1"/>
      <c r="P397" s="1"/>
      <c r="Q397" s="59">
        <f t="shared" ref="Q397" si="120">SUM(N397:P397)</f>
        <v>0</v>
      </c>
      <c r="R397" s="59">
        <f t="shared" si="114"/>
        <v>276</v>
      </c>
    </row>
    <row r="398" spans="1:20" ht="15.75" customHeight="1" x14ac:dyDescent="0.3">
      <c r="A398" s="76" t="s">
        <v>406</v>
      </c>
      <c r="B398" s="1">
        <f>102+3+1</f>
        <v>106</v>
      </c>
      <c r="C398" s="1">
        <f>92+3+1</f>
        <v>96</v>
      </c>
      <c r="D398" s="1">
        <f>102+3+1</f>
        <v>106</v>
      </c>
      <c r="E398" s="59">
        <f t="shared" si="119"/>
        <v>308</v>
      </c>
      <c r="F398" s="1">
        <f>98+3+1</f>
        <v>102</v>
      </c>
      <c r="G398" s="1">
        <f>102+3+1</f>
        <v>106</v>
      </c>
      <c r="H398" s="1">
        <f>98+3+1</f>
        <v>102</v>
      </c>
      <c r="I398" s="59">
        <f t="shared" si="116"/>
        <v>310</v>
      </c>
      <c r="J398" s="1">
        <v>106</v>
      </c>
      <c r="K398" s="1"/>
      <c r="L398" s="1"/>
      <c r="M398" s="59">
        <f t="shared" si="117"/>
        <v>106</v>
      </c>
      <c r="N398" s="1"/>
      <c r="O398" s="1"/>
      <c r="P398" s="1"/>
      <c r="Q398" s="59">
        <f t="shared" si="118"/>
        <v>0</v>
      </c>
      <c r="R398" s="59">
        <f t="shared" si="114"/>
        <v>724</v>
      </c>
    </row>
    <row r="399" spans="1:20" ht="15.75" customHeight="1" x14ac:dyDescent="0.3">
      <c r="A399" s="76" t="s">
        <v>407</v>
      </c>
      <c r="B399" s="1"/>
      <c r="C399" s="1"/>
      <c r="D399" s="1"/>
      <c r="E399" s="59">
        <f t="shared" si="119"/>
        <v>0</v>
      </c>
      <c r="F399" s="1"/>
      <c r="G399" s="1"/>
      <c r="H399" s="1"/>
      <c r="I399" s="59">
        <f t="shared" si="116"/>
        <v>0</v>
      </c>
      <c r="J399" s="1"/>
      <c r="K399" s="1"/>
      <c r="L399" s="1"/>
      <c r="M399" s="59">
        <f t="shared" si="117"/>
        <v>0</v>
      </c>
      <c r="N399" s="1"/>
      <c r="O399" s="1"/>
      <c r="P399" s="1"/>
      <c r="Q399" s="59">
        <f t="shared" si="118"/>
        <v>0</v>
      </c>
      <c r="R399" s="59">
        <f t="shared" si="114"/>
        <v>0</v>
      </c>
      <c r="T399" s="4" t="s">
        <v>315</v>
      </c>
    </row>
    <row r="400" spans="1:20" ht="15.75" customHeight="1" x14ac:dyDescent="0.3">
      <c r="A400" s="76" t="s">
        <v>408</v>
      </c>
      <c r="B400" s="1">
        <v>14</v>
      </c>
      <c r="C400" s="1">
        <v>10</v>
      </c>
      <c r="D400" s="1">
        <v>16</v>
      </c>
      <c r="E400" s="59">
        <f t="shared" si="119"/>
        <v>40</v>
      </c>
      <c r="F400" s="1">
        <v>7</v>
      </c>
      <c r="G400" s="1">
        <v>7</v>
      </c>
      <c r="H400" s="1">
        <v>8</v>
      </c>
      <c r="I400" s="59">
        <f t="shared" si="116"/>
        <v>22</v>
      </c>
      <c r="J400" s="1">
        <v>21</v>
      </c>
      <c r="K400" s="1">
        <v>18</v>
      </c>
      <c r="L400" s="1">
        <v>9</v>
      </c>
      <c r="M400" s="59">
        <f t="shared" si="117"/>
        <v>48</v>
      </c>
      <c r="N400" s="1">
        <v>16</v>
      </c>
      <c r="O400" s="1">
        <v>12</v>
      </c>
      <c r="P400" s="1">
        <v>12</v>
      </c>
      <c r="Q400" s="59">
        <f t="shared" si="118"/>
        <v>40</v>
      </c>
      <c r="R400" s="59">
        <f t="shared" si="114"/>
        <v>150</v>
      </c>
      <c r="T400" s="4" t="s">
        <v>348</v>
      </c>
    </row>
    <row r="401" spans="1:20" ht="15.75" customHeight="1" x14ac:dyDescent="0.3">
      <c r="A401" s="76" t="s">
        <v>409</v>
      </c>
      <c r="B401" s="1">
        <v>442</v>
      </c>
      <c r="C401" s="1"/>
      <c r="D401" s="1">
        <v>405</v>
      </c>
      <c r="E401" s="59">
        <f t="shared" si="119"/>
        <v>847</v>
      </c>
      <c r="F401" s="1">
        <v>1105</v>
      </c>
      <c r="G401" s="1">
        <v>1142</v>
      </c>
      <c r="H401" s="1">
        <v>1105</v>
      </c>
      <c r="I401" s="59">
        <f t="shared" si="116"/>
        <v>3352</v>
      </c>
      <c r="J401" s="1">
        <v>1142</v>
      </c>
      <c r="K401" s="1">
        <v>227</v>
      </c>
      <c r="L401" s="1"/>
      <c r="M401" s="59">
        <f t="shared" si="117"/>
        <v>1369</v>
      </c>
      <c r="N401" s="1"/>
      <c r="O401" s="1"/>
      <c r="P401" s="1"/>
      <c r="Q401" s="59">
        <f t="shared" si="118"/>
        <v>0</v>
      </c>
      <c r="R401" s="59">
        <f t="shared" si="114"/>
        <v>5568</v>
      </c>
      <c r="T401" s="4" t="s">
        <v>217</v>
      </c>
    </row>
    <row r="402" spans="1:20" ht="15.75" customHeight="1" x14ac:dyDescent="0.3">
      <c r="A402" s="76" t="s">
        <v>410</v>
      </c>
      <c r="B402" s="1">
        <v>1970</v>
      </c>
      <c r="C402" s="1">
        <v>1970</v>
      </c>
      <c r="D402" s="1">
        <v>1970</v>
      </c>
      <c r="E402" s="59">
        <f t="shared" si="119"/>
        <v>5910</v>
      </c>
      <c r="F402" s="1">
        <v>1970</v>
      </c>
      <c r="G402" s="1"/>
      <c r="H402" s="1"/>
      <c r="I402" s="59">
        <f t="shared" si="116"/>
        <v>1970</v>
      </c>
      <c r="J402" s="1"/>
      <c r="K402" s="1"/>
      <c r="L402" s="1"/>
      <c r="M402" s="59">
        <f t="shared" si="117"/>
        <v>0</v>
      </c>
      <c r="N402" s="1"/>
      <c r="O402" s="1"/>
      <c r="P402" s="1"/>
      <c r="Q402" s="59">
        <f t="shared" si="118"/>
        <v>0</v>
      </c>
      <c r="R402" s="59">
        <f>+E402+I402+M402+Q402</f>
        <v>7880</v>
      </c>
    </row>
    <row r="403" spans="1:20" ht="15.75" customHeight="1" x14ac:dyDescent="0.3">
      <c r="A403" s="76" t="s">
        <v>411</v>
      </c>
      <c r="B403" s="1"/>
      <c r="C403" s="1"/>
      <c r="D403" s="1"/>
      <c r="E403" s="59">
        <f t="shared" si="119"/>
        <v>0</v>
      </c>
      <c r="F403" s="1"/>
      <c r="G403" s="1"/>
      <c r="H403" s="1"/>
      <c r="I403" s="59">
        <f t="shared" si="116"/>
        <v>0</v>
      </c>
      <c r="J403" s="1"/>
      <c r="K403" s="1"/>
      <c r="L403" s="1"/>
      <c r="M403" s="59">
        <f t="shared" si="117"/>
        <v>0</v>
      </c>
      <c r="N403" s="1"/>
      <c r="O403" s="1"/>
      <c r="P403" s="1"/>
      <c r="Q403" s="59">
        <f t="shared" si="118"/>
        <v>0</v>
      </c>
      <c r="R403" s="59">
        <f>+E403+I403+M403+Q403</f>
        <v>0</v>
      </c>
    </row>
    <row r="404" spans="1:20" ht="15.75" customHeight="1" x14ac:dyDescent="0.3">
      <c r="A404" s="76" t="s">
        <v>412</v>
      </c>
      <c r="B404" s="1"/>
      <c r="C404" s="1"/>
      <c r="D404" s="1"/>
      <c r="E404" s="59">
        <f t="shared" si="119"/>
        <v>0</v>
      </c>
      <c r="F404" s="1"/>
      <c r="G404" s="1"/>
      <c r="H404" s="1"/>
      <c r="I404" s="59">
        <f t="shared" si="116"/>
        <v>0</v>
      </c>
      <c r="J404" s="1"/>
      <c r="K404" s="1"/>
      <c r="L404" s="1"/>
      <c r="M404" s="59">
        <f t="shared" si="117"/>
        <v>0</v>
      </c>
      <c r="N404" s="1"/>
      <c r="O404" s="1"/>
      <c r="P404" s="1"/>
      <c r="Q404" s="59">
        <f t="shared" si="118"/>
        <v>0</v>
      </c>
      <c r="R404" s="59">
        <f>+E404+I404+M404+Q404</f>
        <v>0</v>
      </c>
    </row>
    <row r="405" spans="1:20" ht="15.75" customHeight="1" x14ac:dyDescent="0.3">
      <c r="A405" s="76" t="s">
        <v>413</v>
      </c>
      <c r="B405" s="1"/>
      <c r="C405" s="1"/>
      <c r="D405" s="1"/>
      <c r="E405" s="59">
        <f t="shared" si="119"/>
        <v>0</v>
      </c>
      <c r="F405" s="1"/>
      <c r="G405" s="1"/>
      <c r="H405" s="1"/>
      <c r="I405" s="59">
        <f t="shared" si="116"/>
        <v>0</v>
      </c>
      <c r="J405" s="1"/>
      <c r="K405" s="1"/>
      <c r="L405" s="1"/>
      <c r="M405" s="59">
        <f t="shared" si="117"/>
        <v>0</v>
      </c>
      <c r="N405" s="1"/>
      <c r="O405" s="1"/>
      <c r="P405" s="1"/>
      <c r="Q405" s="59">
        <f t="shared" si="118"/>
        <v>0</v>
      </c>
      <c r="R405" s="59">
        <f>+E405+I405+M405+Q405</f>
        <v>0</v>
      </c>
      <c r="T405" s="4" t="s">
        <v>315</v>
      </c>
    </row>
    <row r="406" spans="1:20" ht="15.75" customHeight="1" x14ac:dyDescent="0.3">
      <c r="A406" s="76" t="s">
        <v>414</v>
      </c>
      <c r="B406" s="1"/>
      <c r="C406" s="1"/>
      <c r="D406" s="1"/>
      <c r="E406" s="59">
        <f t="shared" ref="E406" si="121">SUM(B406:D406)</f>
        <v>0</v>
      </c>
      <c r="F406" s="1"/>
      <c r="G406" s="1"/>
      <c r="H406" s="1"/>
      <c r="I406" s="59">
        <f t="shared" ref="I406" si="122">SUM(F406:H406)</f>
        <v>0</v>
      </c>
      <c r="J406" s="1">
        <v>2000</v>
      </c>
      <c r="K406" s="1"/>
      <c r="L406" s="1"/>
      <c r="M406" s="59">
        <f t="shared" ref="M406" si="123">SUM(J406:L406)</f>
        <v>2000</v>
      </c>
      <c r="N406" s="1"/>
      <c r="O406" s="1"/>
      <c r="P406" s="1"/>
      <c r="Q406" s="59">
        <f t="shared" ref="Q406" si="124">SUM(N406:P406)</f>
        <v>0</v>
      </c>
      <c r="R406" s="59">
        <f t="shared" ref="R406:R407" si="125">+E406+I406+M406+Q406</f>
        <v>2000</v>
      </c>
      <c r="T406" s="4" t="s">
        <v>137</v>
      </c>
    </row>
    <row r="407" spans="1:20" ht="16.5" customHeight="1" x14ac:dyDescent="0.3">
      <c r="A407" s="76" t="s">
        <v>861</v>
      </c>
      <c r="B407" s="1"/>
      <c r="C407" s="1"/>
      <c r="D407" s="1"/>
      <c r="E407" s="59">
        <f t="shared" si="119"/>
        <v>0</v>
      </c>
      <c r="F407" s="1"/>
      <c r="G407" s="1"/>
      <c r="H407" s="1"/>
      <c r="I407" s="59">
        <f t="shared" si="116"/>
        <v>0</v>
      </c>
      <c r="J407" s="1"/>
      <c r="K407" s="1"/>
      <c r="L407" s="1"/>
      <c r="M407" s="59">
        <f t="shared" si="117"/>
        <v>0</v>
      </c>
      <c r="N407" s="1"/>
      <c r="O407" s="1"/>
      <c r="P407" s="1"/>
      <c r="Q407" s="59">
        <f t="shared" ref="Q407" si="126">SUM(N407:P407)</f>
        <v>0</v>
      </c>
      <c r="R407" s="59">
        <f t="shared" si="125"/>
        <v>0</v>
      </c>
      <c r="T407" s="4" t="s">
        <v>376</v>
      </c>
    </row>
    <row r="408" spans="1:20" ht="15.75" customHeight="1" x14ac:dyDescent="0.3">
      <c r="A408" s="76" t="s">
        <v>918</v>
      </c>
      <c r="B408" s="1"/>
      <c r="C408" s="1"/>
      <c r="D408" s="1"/>
      <c r="E408" s="59">
        <f t="shared" si="119"/>
        <v>0</v>
      </c>
      <c r="F408" s="1"/>
      <c r="G408" s="1"/>
      <c r="H408" s="1"/>
      <c r="I408" s="59">
        <f t="shared" si="116"/>
        <v>0</v>
      </c>
      <c r="J408" s="1"/>
      <c r="K408" s="1"/>
      <c r="L408" s="1"/>
      <c r="M408" s="59">
        <f t="shared" si="117"/>
        <v>0</v>
      </c>
      <c r="N408" s="1"/>
      <c r="O408" s="1"/>
      <c r="P408" s="1"/>
      <c r="Q408" s="59">
        <f t="shared" ref="Q408" si="127">SUM(N408:P408)</f>
        <v>0</v>
      </c>
      <c r="R408" s="59">
        <f>+E408+I408+M408+Q408</f>
        <v>0</v>
      </c>
      <c r="T408" s="4" t="s">
        <v>137</v>
      </c>
    </row>
    <row r="409" spans="1:20" ht="15.75" customHeight="1" x14ac:dyDescent="0.3">
      <c r="A409" s="76" t="s">
        <v>416</v>
      </c>
      <c r="B409" s="1">
        <v>1500</v>
      </c>
      <c r="C409" s="1"/>
      <c r="D409" s="1">
        <v>683</v>
      </c>
      <c r="E409" s="59">
        <f t="shared" ref="E409" si="128">SUM(B409:D409)</f>
        <v>2183</v>
      </c>
      <c r="F409" s="1">
        <v>1000</v>
      </c>
      <c r="G409" s="1">
        <v>1000</v>
      </c>
      <c r="H409" s="1">
        <v>2000</v>
      </c>
      <c r="I409" s="59">
        <f t="shared" ref="I409" si="129">SUM(F409:H409)</f>
        <v>4000</v>
      </c>
      <c r="J409" s="1">
        <v>4500</v>
      </c>
      <c r="K409" s="1">
        <v>3000</v>
      </c>
      <c r="L409" s="1"/>
      <c r="M409" s="59">
        <f t="shared" ref="M409" si="130">SUM(J409:L409)</f>
        <v>7500</v>
      </c>
      <c r="N409" s="1"/>
      <c r="O409" s="1"/>
      <c r="P409" s="1">
        <v>250</v>
      </c>
      <c r="Q409" s="59">
        <f t="shared" ref="Q409" si="131">SUM(N409:P409)</f>
        <v>250</v>
      </c>
      <c r="R409" s="59">
        <f t="shared" si="114"/>
        <v>13933</v>
      </c>
      <c r="T409" s="4" t="s">
        <v>331</v>
      </c>
    </row>
    <row r="410" spans="1:20" ht="15.75" customHeight="1" x14ac:dyDescent="0.3">
      <c r="A410" s="76" t="s">
        <v>862</v>
      </c>
      <c r="B410" s="1"/>
      <c r="C410" s="1"/>
      <c r="D410" s="1"/>
      <c r="E410" s="59">
        <f t="shared" si="119"/>
        <v>0</v>
      </c>
      <c r="F410" s="1"/>
      <c r="G410" s="1"/>
      <c r="H410" s="1"/>
      <c r="I410" s="59">
        <f t="shared" si="116"/>
        <v>0</v>
      </c>
      <c r="J410" s="1"/>
      <c r="K410" s="1"/>
      <c r="L410" s="1"/>
      <c r="M410" s="59">
        <f t="shared" si="117"/>
        <v>0</v>
      </c>
      <c r="N410" s="1"/>
      <c r="O410" s="1"/>
      <c r="P410" s="1"/>
      <c r="Q410" s="59">
        <f t="shared" si="118"/>
        <v>0</v>
      </c>
      <c r="R410" s="59">
        <f t="shared" si="114"/>
        <v>0</v>
      </c>
      <c r="T410" s="4" t="s">
        <v>331</v>
      </c>
    </row>
    <row r="411" spans="1:20" ht="15.75" customHeight="1" x14ac:dyDescent="0.3">
      <c r="A411" s="76" t="s">
        <v>863</v>
      </c>
      <c r="B411" s="1"/>
      <c r="C411" s="1"/>
      <c r="D411" s="1"/>
      <c r="E411" s="59">
        <f t="shared" si="119"/>
        <v>0</v>
      </c>
      <c r="F411" s="1"/>
      <c r="G411" s="1"/>
      <c r="H411" s="1"/>
      <c r="I411" s="59">
        <f t="shared" si="116"/>
        <v>0</v>
      </c>
      <c r="J411" s="1"/>
      <c r="K411" s="1"/>
      <c r="L411" s="1"/>
      <c r="M411" s="59">
        <f t="shared" si="117"/>
        <v>0</v>
      </c>
      <c r="N411" s="1"/>
      <c r="O411" s="1"/>
      <c r="P411" s="1"/>
      <c r="Q411" s="59">
        <f t="shared" si="118"/>
        <v>0</v>
      </c>
      <c r="R411" s="59">
        <f t="shared" si="114"/>
        <v>0</v>
      </c>
      <c r="T411" s="4" t="s">
        <v>217</v>
      </c>
    </row>
    <row r="412" spans="1:20" ht="15.75" customHeight="1" x14ac:dyDescent="0.3">
      <c r="A412" s="76" t="s">
        <v>864</v>
      </c>
      <c r="B412" s="1"/>
      <c r="C412" s="1"/>
      <c r="D412" s="1">
        <v>2000</v>
      </c>
      <c r="E412" s="59">
        <f t="shared" si="119"/>
        <v>2000</v>
      </c>
      <c r="F412" s="1">
        <v>2000</v>
      </c>
      <c r="G412" s="1">
        <v>2500</v>
      </c>
      <c r="H412" s="1">
        <v>2500</v>
      </c>
      <c r="I412" s="59">
        <f t="shared" si="116"/>
        <v>7000</v>
      </c>
      <c r="J412" s="1">
        <v>2000</v>
      </c>
      <c r="K412" s="1">
        <v>2000</v>
      </c>
      <c r="L412" s="1">
        <v>1500</v>
      </c>
      <c r="M412" s="59">
        <f t="shared" si="117"/>
        <v>5500</v>
      </c>
      <c r="N412" s="1"/>
      <c r="O412" s="1"/>
      <c r="P412" s="1"/>
      <c r="Q412" s="59">
        <f t="shared" si="118"/>
        <v>0</v>
      </c>
      <c r="R412" s="59">
        <f t="shared" si="114"/>
        <v>14500</v>
      </c>
    </row>
    <row r="413" spans="1:20" ht="15.75" customHeight="1" x14ac:dyDescent="0.3">
      <c r="A413" s="76" t="s">
        <v>865</v>
      </c>
      <c r="B413" s="1"/>
      <c r="C413" s="1"/>
      <c r="D413" s="1"/>
      <c r="E413" s="59">
        <f t="shared" si="119"/>
        <v>0</v>
      </c>
      <c r="F413" s="1"/>
      <c r="G413" s="1"/>
      <c r="H413" s="1"/>
      <c r="I413" s="59">
        <f t="shared" si="116"/>
        <v>0</v>
      </c>
      <c r="J413" s="1"/>
      <c r="K413" s="1"/>
      <c r="L413" s="1"/>
      <c r="M413" s="59">
        <f t="shared" si="117"/>
        <v>0</v>
      </c>
      <c r="N413" s="1"/>
      <c r="O413" s="1"/>
      <c r="P413" s="1"/>
      <c r="Q413" s="59">
        <f t="shared" si="118"/>
        <v>0</v>
      </c>
      <c r="R413" s="59">
        <f t="shared" si="114"/>
        <v>0</v>
      </c>
      <c r="T413" s="4" t="s">
        <v>315</v>
      </c>
    </row>
    <row r="414" spans="1:20" ht="15.75" customHeight="1" x14ac:dyDescent="0.3">
      <c r="A414" s="76" t="s">
        <v>428</v>
      </c>
      <c r="B414" s="1"/>
      <c r="C414" s="1"/>
      <c r="D414" s="1"/>
      <c r="E414" s="59">
        <f t="shared" si="119"/>
        <v>0</v>
      </c>
      <c r="F414" s="1">
        <v>2274</v>
      </c>
      <c r="G414" s="1"/>
      <c r="H414" s="1"/>
      <c r="I414" s="59">
        <f t="shared" si="116"/>
        <v>2274</v>
      </c>
      <c r="J414" s="1"/>
      <c r="K414" s="1"/>
      <c r="L414" s="1"/>
      <c r="M414" s="59">
        <f t="shared" si="117"/>
        <v>0</v>
      </c>
      <c r="N414" s="1"/>
      <c r="O414" s="1"/>
      <c r="P414" s="1"/>
      <c r="Q414" s="59">
        <f>SUM(N414:P414)</f>
        <v>0</v>
      </c>
      <c r="R414" s="59">
        <f t="shared" si="114"/>
        <v>2274</v>
      </c>
    </row>
    <row r="415" spans="1:20" ht="15.75" customHeight="1" x14ac:dyDescent="0.3">
      <c r="A415" s="76" t="s">
        <v>429</v>
      </c>
      <c r="B415" s="1"/>
      <c r="C415" s="1"/>
      <c r="D415" s="1">
        <v>3000</v>
      </c>
      <c r="E415" s="59">
        <f t="shared" si="119"/>
        <v>3000</v>
      </c>
      <c r="F415" s="1">
        <v>726</v>
      </c>
      <c r="G415" s="1"/>
      <c r="H415" s="1"/>
      <c r="I415" s="59">
        <f t="shared" si="116"/>
        <v>726</v>
      </c>
      <c r="J415" s="1"/>
      <c r="K415" s="1"/>
      <c r="L415" s="1"/>
      <c r="M415" s="59">
        <f t="shared" si="117"/>
        <v>0</v>
      </c>
      <c r="N415" s="1"/>
      <c r="O415" s="1"/>
      <c r="P415" s="1"/>
      <c r="Q415" s="59">
        <f t="shared" si="118"/>
        <v>0</v>
      </c>
      <c r="R415" s="59">
        <f t="shared" si="114"/>
        <v>3726</v>
      </c>
    </row>
    <row r="416" spans="1:20" ht="15.75" customHeight="1" x14ac:dyDescent="0.3">
      <c r="A416" s="76" t="s">
        <v>433</v>
      </c>
      <c r="B416" s="1"/>
      <c r="C416" s="1"/>
      <c r="D416" s="1"/>
      <c r="E416" s="59">
        <f t="shared" si="119"/>
        <v>0</v>
      </c>
      <c r="F416" s="1"/>
      <c r="G416" s="1"/>
      <c r="H416" s="1"/>
      <c r="I416" s="59">
        <f t="shared" si="116"/>
        <v>0</v>
      </c>
      <c r="J416" s="1"/>
      <c r="K416" s="1"/>
      <c r="L416" s="1"/>
      <c r="M416" s="59">
        <f t="shared" si="117"/>
        <v>0</v>
      </c>
      <c r="N416" s="1"/>
      <c r="O416" s="1"/>
      <c r="P416" s="1"/>
      <c r="Q416" s="59">
        <f t="shared" si="118"/>
        <v>0</v>
      </c>
      <c r="R416" s="59">
        <f t="shared" si="114"/>
        <v>0</v>
      </c>
      <c r="T416" s="4" t="s">
        <v>217</v>
      </c>
    </row>
    <row r="417" spans="1:21" ht="15.75" customHeight="1" x14ac:dyDescent="0.3">
      <c r="A417" s="76" t="s">
        <v>434</v>
      </c>
      <c r="B417" s="1"/>
      <c r="C417" s="1"/>
      <c r="D417" s="1"/>
      <c r="E417" s="59">
        <f t="shared" si="119"/>
        <v>0</v>
      </c>
      <c r="F417" s="1"/>
      <c r="G417" s="1"/>
      <c r="H417" s="1"/>
      <c r="I417" s="59">
        <f t="shared" si="116"/>
        <v>0</v>
      </c>
      <c r="J417" s="1">
        <v>1142</v>
      </c>
      <c r="K417" s="1">
        <v>828</v>
      </c>
      <c r="L417" s="1"/>
      <c r="M417" s="59">
        <f t="shared" si="117"/>
        <v>1970</v>
      </c>
      <c r="N417" s="1"/>
      <c r="O417" s="1"/>
      <c r="P417" s="1"/>
      <c r="Q417" s="59">
        <f t="shared" si="118"/>
        <v>0</v>
      </c>
      <c r="R417" s="59">
        <f t="shared" si="114"/>
        <v>1970</v>
      </c>
      <c r="T417" s="4" t="s">
        <v>217</v>
      </c>
    </row>
    <row r="418" spans="1:21" ht="15.75" customHeight="1" x14ac:dyDescent="0.3">
      <c r="A418" s="76" t="s">
        <v>435</v>
      </c>
      <c r="B418" s="1"/>
      <c r="C418" s="1"/>
      <c r="D418" s="1"/>
      <c r="E418" s="59">
        <f t="shared" si="119"/>
        <v>0</v>
      </c>
      <c r="F418" s="1"/>
      <c r="G418" s="1"/>
      <c r="H418" s="1"/>
      <c r="I418" s="59">
        <f t="shared" si="116"/>
        <v>0</v>
      </c>
      <c r="J418" s="1"/>
      <c r="K418" s="1"/>
      <c r="L418" s="1"/>
      <c r="M418" s="59">
        <f t="shared" si="117"/>
        <v>0</v>
      </c>
      <c r="N418" s="1"/>
      <c r="O418" s="1"/>
      <c r="P418" s="1"/>
      <c r="Q418" s="59">
        <f t="shared" si="118"/>
        <v>0</v>
      </c>
      <c r="R418" s="59">
        <f t="shared" si="114"/>
        <v>0</v>
      </c>
      <c r="T418" s="4" t="s">
        <v>315</v>
      </c>
    </row>
    <row r="419" spans="1:21" ht="15.75" customHeight="1" x14ac:dyDescent="0.3">
      <c r="A419" s="76" t="s">
        <v>436</v>
      </c>
      <c r="B419" s="1"/>
      <c r="C419" s="1"/>
      <c r="D419" s="1">
        <v>1669</v>
      </c>
      <c r="E419" s="59">
        <f t="shared" si="119"/>
        <v>1669</v>
      </c>
      <c r="F419" s="1"/>
      <c r="G419" s="1"/>
      <c r="H419" s="1"/>
      <c r="I419" s="59">
        <f t="shared" si="116"/>
        <v>0</v>
      </c>
      <c r="J419" s="1"/>
      <c r="K419" s="1"/>
      <c r="L419" s="1"/>
      <c r="M419" s="59">
        <f t="shared" si="117"/>
        <v>0</v>
      </c>
      <c r="N419" s="1"/>
      <c r="O419" s="1"/>
      <c r="P419" s="1"/>
      <c r="Q419" s="59">
        <f t="shared" si="118"/>
        <v>0</v>
      </c>
      <c r="R419" s="59">
        <f t="shared" si="114"/>
        <v>1669</v>
      </c>
    </row>
    <row r="420" spans="1:21" ht="15.75" customHeight="1" x14ac:dyDescent="0.3">
      <c r="A420" s="76" t="s">
        <v>867</v>
      </c>
      <c r="B420" s="1"/>
      <c r="C420" s="1"/>
      <c r="D420" s="1"/>
      <c r="E420" s="59">
        <f t="shared" si="119"/>
        <v>0</v>
      </c>
      <c r="F420" s="1"/>
      <c r="G420" s="1"/>
      <c r="H420" s="1"/>
      <c r="I420" s="59">
        <f t="shared" si="116"/>
        <v>0</v>
      </c>
      <c r="J420" s="1"/>
      <c r="K420" s="1"/>
      <c r="L420" s="1"/>
      <c r="M420" s="59">
        <f t="shared" si="117"/>
        <v>0</v>
      </c>
      <c r="N420" s="1"/>
      <c r="O420" s="1"/>
      <c r="P420" s="1"/>
      <c r="Q420" s="59">
        <f t="shared" si="118"/>
        <v>0</v>
      </c>
      <c r="R420" s="59">
        <f t="shared" si="114"/>
        <v>0</v>
      </c>
      <c r="T420" s="4" t="s">
        <v>315</v>
      </c>
    </row>
    <row r="421" spans="1:21" ht="15.75" customHeight="1" x14ac:dyDescent="0.3">
      <c r="A421" s="76" t="s">
        <v>888</v>
      </c>
      <c r="B421" s="1"/>
      <c r="C421" s="1"/>
      <c r="D421" s="1"/>
      <c r="E421" s="59">
        <f t="shared" si="119"/>
        <v>0</v>
      </c>
      <c r="F421" s="1"/>
      <c r="G421" s="1"/>
      <c r="H421" s="1"/>
      <c r="I421" s="59">
        <f t="shared" si="116"/>
        <v>0</v>
      </c>
      <c r="J421" s="1"/>
      <c r="K421" s="1"/>
      <c r="L421" s="1"/>
      <c r="M421" s="59">
        <f t="shared" si="117"/>
        <v>0</v>
      </c>
      <c r="N421" s="1"/>
      <c r="O421" s="1"/>
      <c r="P421" s="1"/>
      <c r="Q421" s="59">
        <f t="shared" si="118"/>
        <v>0</v>
      </c>
      <c r="R421" s="59">
        <f t="shared" si="114"/>
        <v>0</v>
      </c>
      <c r="T421" s="4" t="s">
        <v>217</v>
      </c>
    </row>
    <row r="422" spans="1:21" ht="15.75" customHeight="1" x14ac:dyDescent="0.3">
      <c r="A422" s="76" t="s">
        <v>889</v>
      </c>
      <c r="B422" s="1"/>
      <c r="C422" s="1"/>
      <c r="D422" s="1"/>
      <c r="E422" s="59">
        <f t="shared" si="119"/>
        <v>0</v>
      </c>
      <c r="F422" s="1"/>
      <c r="G422" s="1"/>
      <c r="H422" s="1"/>
      <c r="I422" s="59">
        <f t="shared" si="116"/>
        <v>0</v>
      </c>
      <c r="J422" s="1"/>
      <c r="K422" s="1"/>
      <c r="L422" s="1"/>
      <c r="M422" s="59">
        <f t="shared" si="117"/>
        <v>0</v>
      </c>
      <c r="N422" s="1"/>
      <c r="O422" s="1"/>
      <c r="P422" s="1"/>
      <c r="Q422" s="59">
        <f t="shared" si="118"/>
        <v>0</v>
      </c>
      <c r="R422" s="59">
        <f>+E422+I422+M422+Q422</f>
        <v>0</v>
      </c>
    </row>
    <row r="423" spans="1:21" ht="15.75" customHeight="1" x14ac:dyDescent="0.3">
      <c r="A423" s="76" t="s">
        <v>890</v>
      </c>
      <c r="B423" s="1"/>
      <c r="C423" s="1"/>
      <c r="D423" s="1"/>
      <c r="E423" s="59">
        <f t="shared" si="119"/>
        <v>0</v>
      </c>
      <c r="F423" s="1"/>
      <c r="G423" s="1"/>
      <c r="H423" s="1"/>
      <c r="I423" s="59">
        <f t="shared" si="116"/>
        <v>0</v>
      </c>
      <c r="J423" s="1"/>
      <c r="K423" s="1"/>
      <c r="L423" s="1"/>
      <c r="M423" s="59">
        <f t="shared" si="117"/>
        <v>0</v>
      </c>
      <c r="N423" s="1"/>
      <c r="O423" s="1"/>
      <c r="P423" s="1"/>
      <c r="Q423" s="59">
        <f t="shared" si="118"/>
        <v>0</v>
      </c>
      <c r="R423" s="59">
        <f>+E423+I423+M423+Q423</f>
        <v>0</v>
      </c>
      <c r="T423" s="4" t="s">
        <v>315</v>
      </c>
    </row>
    <row r="424" spans="1:21" ht="15.75" customHeight="1" x14ac:dyDescent="0.3">
      <c r="A424" s="76" t="s">
        <v>891</v>
      </c>
      <c r="B424" s="1"/>
      <c r="C424" s="1"/>
      <c r="D424" s="1">
        <v>460</v>
      </c>
      <c r="E424" s="59">
        <f t="shared" si="119"/>
        <v>460</v>
      </c>
      <c r="F424" s="1">
        <v>1105</v>
      </c>
      <c r="G424" s="1">
        <v>1142</v>
      </c>
      <c r="H424" s="1">
        <v>1105</v>
      </c>
      <c r="I424" s="59">
        <f t="shared" si="116"/>
        <v>3352</v>
      </c>
      <c r="J424" s="1"/>
      <c r="K424" s="1"/>
      <c r="L424" s="1"/>
      <c r="M424" s="59">
        <f t="shared" si="117"/>
        <v>0</v>
      </c>
      <c r="N424" s="1"/>
      <c r="O424" s="1"/>
      <c r="P424" s="1"/>
      <c r="Q424" s="59">
        <f t="shared" si="118"/>
        <v>0</v>
      </c>
      <c r="R424" s="59">
        <f t="shared" si="114"/>
        <v>3812</v>
      </c>
      <c r="T424" s="4" t="s">
        <v>217</v>
      </c>
    </row>
    <row r="425" spans="1:21" ht="15.75" customHeight="1" x14ac:dyDescent="0.3">
      <c r="A425" s="76" t="s">
        <v>892</v>
      </c>
      <c r="B425" s="1"/>
      <c r="C425" s="1"/>
      <c r="D425" s="1"/>
      <c r="E425" s="59">
        <f t="shared" si="119"/>
        <v>0</v>
      </c>
      <c r="F425" s="1"/>
      <c r="G425" s="1"/>
      <c r="H425" s="1"/>
      <c r="I425" s="59">
        <f t="shared" si="116"/>
        <v>0</v>
      </c>
      <c r="J425" s="1"/>
      <c r="K425" s="1"/>
      <c r="L425" s="1"/>
      <c r="M425" s="59">
        <f t="shared" si="117"/>
        <v>0</v>
      </c>
      <c r="N425" s="1"/>
      <c r="O425" s="1"/>
      <c r="P425" s="1"/>
      <c r="Q425" s="59">
        <f t="shared" si="118"/>
        <v>0</v>
      </c>
      <c r="R425" s="59">
        <f t="shared" si="114"/>
        <v>0</v>
      </c>
      <c r="T425" s="4" t="s">
        <v>315</v>
      </c>
    </row>
    <row r="426" spans="1:21" ht="15.75" customHeight="1" x14ac:dyDescent="0.3">
      <c r="A426" s="76" t="s">
        <v>883</v>
      </c>
      <c r="B426" s="1"/>
      <c r="C426" s="1"/>
      <c r="D426" s="1">
        <v>578</v>
      </c>
      <c r="E426" s="59">
        <f t="shared" si="119"/>
        <v>578</v>
      </c>
      <c r="F426" s="1">
        <v>2044</v>
      </c>
      <c r="G426" s="1"/>
      <c r="H426" s="1"/>
      <c r="I426" s="59">
        <f t="shared" si="116"/>
        <v>2044</v>
      </c>
      <c r="J426" s="1"/>
      <c r="K426" s="1"/>
      <c r="L426" s="1"/>
      <c r="M426" s="59">
        <f t="shared" si="117"/>
        <v>0</v>
      </c>
      <c r="N426" s="1"/>
      <c r="O426" s="1"/>
      <c r="P426" s="1"/>
      <c r="Q426" s="59">
        <f t="shared" si="118"/>
        <v>0</v>
      </c>
      <c r="R426" s="59">
        <f t="shared" si="114"/>
        <v>2622</v>
      </c>
    </row>
    <row r="427" spans="1:21" ht="15.75" customHeight="1" thickBot="1" x14ac:dyDescent="0.35">
      <c r="A427" s="76" t="s">
        <v>450</v>
      </c>
      <c r="B427" s="1">
        <v>2000</v>
      </c>
      <c r="C427" s="1">
        <v>2000</v>
      </c>
      <c r="D427" s="1">
        <v>2000</v>
      </c>
      <c r="E427" s="59">
        <f t="shared" si="119"/>
        <v>6000</v>
      </c>
      <c r="F427" s="1">
        <v>2000</v>
      </c>
      <c r="G427" s="1">
        <v>2000</v>
      </c>
      <c r="H427" s="1">
        <v>2000</v>
      </c>
      <c r="I427" s="59">
        <f t="shared" si="116"/>
        <v>6000</v>
      </c>
      <c r="J427" s="1">
        <v>2000</v>
      </c>
      <c r="K427" s="1">
        <v>3000</v>
      </c>
      <c r="L427" s="1">
        <v>2000</v>
      </c>
      <c r="M427" s="59">
        <f t="shared" si="117"/>
        <v>7000</v>
      </c>
      <c r="N427" s="1">
        <v>2000</v>
      </c>
      <c r="O427" s="1">
        <v>2000</v>
      </c>
      <c r="P427" s="1">
        <v>2000</v>
      </c>
      <c r="Q427" s="59">
        <f t="shared" si="118"/>
        <v>6000</v>
      </c>
      <c r="R427" s="59">
        <f t="shared" si="114"/>
        <v>25000</v>
      </c>
    </row>
    <row r="428" spans="1:21" ht="16.5" customHeight="1" thickBot="1" x14ac:dyDescent="0.35">
      <c r="A428" s="137" t="s">
        <v>61</v>
      </c>
      <c r="B428" s="107">
        <f>SUM(B380:B427)</f>
        <v>15884</v>
      </c>
      <c r="C428" s="63">
        <f>SUM(C380:C427)</f>
        <v>18877</v>
      </c>
      <c r="D428" s="63">
        <f>SUM(D380:D427)</f>
        <v>30167</v>
      </c>
      <c r="E428" s="64">
        <f t="shared" ref="E428" si="132">SUM(B428:D428)</f>
        <v>64928</v>
      </c>
      <c r="F428" s="63">
        <f>SUM(F380:F427)</f>
        <v>31428</v>
      </c>
      <c r="G428" s="63">
        <f>SUM(G380:G427)</f>
        <v>29002</v>
      </c>
      <c r="H428" s="63">
        <f>SUM(H380:H427)</f>
        <v>53147</v>
      </c>
      <c r="I428" s="64">
        <f t="shared" ref="I428" si="133">SUM(F428:H428)</f>
        <v>113577</v>
      </c>
      <c r="J428" s="63">
        <f>SUM(J380:J427)</f>
        <v>65500</v>
      </c>
      <c r="K428" s="63">
        <f>SUM(K380:K427)</f>
        <v>45119</v>
      </c>
      <c r="L428" s="63">
        <f>SUM(L380:L427)</f>
        <v>37832</v>
      </c>
      <c r="M428" s="64">
        <f t="shared" ref="M428" si="134">SUM(J428:L428)</f>
        <v>148451</v>
      </c>
      <c r="N428" s="63">
        <f>SUM(N380:N427)</f>
        <v>34170</v>
      </c>
      <c r="O428" s="63">
        <f>SUM(O380:O427)</f>
        <v>5786</v>
      </c>
      <c r="P428" s="63">
        <f>SUM(P380:P427)</f>
        <v>20269</v>
      </c>
      <c r="Q428" s="64">
        <f t="shared" si="118"/>
        <v>60225</v>
      </c>
      <c r="R428" s="64">
        <f>+E428+I428+M428+Q428</f>
        <v>387181</v>
      </c>
      <c r="T428" s="106"/>
    </row>
    <row r="429" spans="1:21" ht="15.75" customHeight="1" x14ac:dyDescent="0.3">
      <c r="A429" s="17" t="s">
        <v>62</v>
      </c>
      <c r="B429" s="1"/>
      <c r="C429" s="1"/>
      <c r="D429" s="1"/>
      <c r="E429" s="59" t="s">
        <v>7</v>
      </c>
      <c r="F429" s="1"/>
      <c r="G429" s="1"/>
      <c r="H429" s="1"/>
      <c r="I429" s="59" t="s">
        <v>7</v>
      </c>
      <c r="J429" s="1"/>
      <c r="K429" s="1"/>
      <c r="L429" s="1"/>
      <c r="M429" s="59" t="s">
        <v>7</v>
      </c>
      <c r="N429" s="1"/>
      <c r="O429" s="1"/>
      <c r="P429" s="1"/>
      <c r="Q429" s="59" t="s">
        <v>7</v>
      </c>
      <c r="R429" s="59" t="s">
        <v>7</v>
      </c>
    </row>
    <row r="430" spans="1:21" ht="15.75" customHeight="1" x14ac:dyDescent="0.3">
      <c r="A430" s="17" t="s">
        <v>63</v>
      </c>
      <c r="B430" s="1"/>
      <c r="C430" s="1"/>
      <c r="D430" s="1"/>
      <c r="E430" s="59" t="s">
        <v>7</v>
      </c>
      <c r="F430" s="1"/>
      <c r="G430" s="1"/>
      <c r="H430" s="1"/>
      <c r="I430" s="59" t="s">
        <v>7</v>
      </c>
      <c r="J430" s="1"/>
      <c r="K430" s="1"/>
      <c r="L430" s="1"/>
      <c r="M430" s="59" t="s">
        <v>7</v>
      </c>
      <c r="N430" s="1"/>
      <c r="O430" s="1"/>
      <c r="P430" s="1"/>
      <c r="Q430" s="59" t="s">
        <v>7</v>
      </c>
      <c r="R430" s="59" t="s">
        <v>7</v>
      </c>
    </row>
    <row r="431" spans="1:21" ht="15.75" customHeight="1" x14ac:dyDescent="0.3">
      <c r="A431" s="76" t="s">
        <v>919</v>
      </c>
      <c r="B431" s="1"/>
      <c r="C431" s="1"/>
      <c r="D431" s="1"/>
      <c r="E431" s="59">
        <f>SUM(B431:D431)</f>
        <v>0</v>
      </c>
      <c r="F431" s="1"/>
      <c r="G431" s="1"/>
      <c r="H431" s="1"/>
      <c r="I431" s="59">
        <f>SUM(F431:H431)</f>
        <v>0</v>
      </c>
      <c r="J431" s="1"/>
      <c r="K431" s="1"/>
      <c r="L431" s="1"/>
      <c r="M431" s="59">
        <f>SUM(J431:L431)</f>
        <v>0</v>
      </c>
      <c r="N431" s="1"/>
      <c r="O431" s="1"/>
      <c r="P431" s="1"/>
      <c r="Q431" s="59">
        <f>SUM(N431:P431)</f>
        <v>0</v>
      </c>
      <c r="R431" s="59">
        <f>+E431+I431+M431+Q431</f>
        <v>0</v>
      </c>
      <c r="U431" s="20"/>
    </row>
    <row r="432" spans="1:21" ht="15.75" customHeight="1" x14ac:dyDescent="0.3">
      <c r="A432" s="17" t="s">
        <v>64</v>
      </c>
      <c r="B432" s="1"/>
      <c r="C432" s="1"/>
      <c r="D432" s="1"/>
      <c r="E432" s="59" t="s">
        <v>7</v>
      </c>
      <c r="F432" s="1"/>
      <c r="G432" s="1"/>
      <c r="H432" s="1"/>
      <c r="I432" s="59" t="s">
        <v>7</v>
      </c>
      <c r="J432" s="1"/>
      <c r="K432" s="1"/>
      <c r="L432" s="1"/>
      <c r="M432" s="59" t="s">
        <v>7</v>
      </c>
      <c r="N432" s="1"/>
      <c r="O432" s="1"/>
      <c r="P432" s="1"/>
      <c r="Q432" s="59" t="s">
        <v>7</v>
      </c>
      <c r="R432" s="59" t="s">
        <v>7</v>
      </c>
    </row>
    <row r="433" spans="1:21" ht="15.75" customHeight="1" x14ac:dyDescent="0.3">
      <c r="A433" s="76" t="s">
        <v>452</v>
      </c>
      <c r="B433" s="1"/>
      <c r="C433" s="1"/>
      <c r="D433" s="1"/>
      <c r="E433" s="59">
        <f>SUM(B433:D433)</f>
        <v>0</v>
      </c>
      <c r="F433" s="1"/>
      <c r="G433" s="1"/>
      <c r="H433" s="1"/>
      <c r="I433" s="59">
        <f>SUM(F433:H433)</f>
        <v>0</v>
      </c>
      <c r="J433" s="1"/>
      <c r="K433" s="1"/>
      <c r="L433" s="1"/>
      <c r="M433" s="59">
        <f>SUM(J433:L433)</f>
        <v>0</v>
      </c>
      <c r="N433" s="1"/>
      <c r="O433" s="1"/>
      <c r="P433" s="1"/>
      <c r="Q433" s="59">
        <f>SUM(N433:P433)</f>
        <v>0</v>
      </c>
      <c r="R433" s="59">
        <f>+E433+I433+M433+Q433</f>
        <v>0</v>
      </c>
    </row>
    <row r="434" spans="1:21" ht="15.75" customHeight="1" x14ac:dyDescent="0.3">
      <c r="A434" s="76" t="s">
        <v>453</v>
      </c>
      <c r="B434" s="1"/>
      <c r="C434" s="1"/>
      <c r="D434" s="1"/>
      <c r="E434" s="59">
        <f>SUM(B434:D434)</f>
        <v>0</v>
      </c>
      <c r="F434" s="1"/>
      <c r="G434" s="1"/>
      <c r="H434" s="1"/>
      <c r="I434" s="59">
        <f>SUM(F434:H434)</f>
        <v>0</v>
      </c>
      <c r="J434" s="1"/>
      <c r="K434" s="1"/>
      <c r="L434" s="1"/>
      <c r="M434" s="59">
        <f>SUM(J434:L434)</f>
        <v>0</v>
      </c>
      <c r="N434" s="1"/>
      <c r="O434" s="1"/>
      <c r="P434" s="1"/>
      <c r="Q434" s="59">
        <f>SUM(N434:P434)</f>
        <v>0</v>
      </c>
      <c r="R434" s="59">
        <f>+E434+I434+M434+Q434</f>
        <v>0</v>
      </c>
    </row>
    <row r="435" spans="1:21" ht="15.75" customHeight="1" x14ac:dyDescent="0.3">
      <c r="A435" s="17" t="s">
        <v>66</v>
      </c>
      <c r="B435" s="1"/>
      <c r="C435" s="1"/>
      <c r="D435" s="1"/>
      <c r="E435" s="59" t="s">
        <v>7</v>
      </c>
      <c r="F435" s="1"/>
      <c r="G435" s="1"/>
      <c r="H435" s="1"/>
      <c r="I435" s="59" t="s">
        <v>7</v>
      </c>
      <c r="J435" s="1"/>
      <c r="K435" s="1"/>
      <c r="L435" s="1"/>
      <c r="M435" s="59" t="s">
        <v>7</v>
      </c>
      <c r="N435" s="1"/>
      <c r="O435" s="1"/>
      <c r="P435" s="1"/>
      <c r="Q435" s="59" t="s">
        <v>7</v>
      </c>
      <c r="R435" s="59" t="s">
        <v>7</v>
      </c>
    </row>
    <row r="436" spans="1:21" ht="15.75" customHeight="1" x14ac:dyDescent="0.3">
      <c r="A436" s="76" t="s">
        <v>454</v>
      </c>
      <c r="B436" s="1"/>
      <c r="C436" s="1"/>
      <c r="D436" s="1"/>
      <c r="E436" s="59">
        <f t="shared" ref="E436:E441" si="135">SUM(B436:D436)</f>
        <v>0</v>
      </c>
      <c r="F436" s="1"/>
      <c r="G436" s="1"/>
      <c r="H436" s="1"/>
      <c r="I436" s="59">
        <f t="shared" ref="I436:I441" si="136">SUM(F436:H436)</f>
        <v>0</v>
      </c>
      <c r="J436" s="1"/>
      <c r="K436" s="1"/>
      <c r="L436" s="1"/>
      <c r="M436" s="59">
        <f t="shared" ref="M436:M441" si="137">SUM(J436:L436)</f>
        <v>0</v>
      </c>
      <c r="N436" s="1"/>
      <c r="O436" s="1"/>
      <c r="P436" s="1"/>
      <c r="Q436" s="59">
        <f t="shared" ref="Q436:Q441" si="138">SUM(N436:P436)</f>
        <v>0</v>
      </c>
      <c r="R436" s="59">
        <f t="shared" ref="R436:R441" si="139">+E436+I436+M436+Q436</f>
        <v>0</v>
      </c>
      <c r="T436" s="4" t="s">
        <v>317</v>
      </c>
    </row>
    <row r="437" spans="1:21" ht="15.75" customHeight="1" x14ac:dyDescent="0.3">
      <c r="A437" s="76" t="s">
        <v>455</v>
      </c>
      <c r="B437" s="1"/>
      <c r="C437" s="1"/>
      <c r="D437" s="1"/>
      <c r="E437" s="59">
        <f t="shared" si="135"/>
        <v>0</v>
      </c>
      <c r="F437" s="1">
        <v>1000</v>
      </c>
      <c r="G437" s="1"/>
      <c r="H437" s="1"/>
      <c r="I437" s="59">
        <f t="shared" si="136"/>
        <v>1000</v>
      </c>
      <c r="J437" s="1"/>
      <c r="K437" s="1"/>
      <c r="L437" s="1"/>
      <c r="M437" s="59">
        <f t="shared" si="137"/>
        <v>0</v>
      </c>
      <c r="N437" s="1"/>
      <c r="O437" s="1"/>
      <c r="P437" s="1"/>
      <c r="Q437" s="59">
        <f t="shared" si="138"/>
        <v>0</v>
      </c>
      <c r="R437" s="59">
        <f t="shared" si="139"/>
        <v>1000</v>
      </c>
      <c r="T437" s="4" t="s">
        <v>317</v>
      </c>
    </row>
    <row r="438" spans="1:21" ht="15.75" customHeight="1" x14ac:dyDescent="0.3">
      <c r="A438" s="76" t="s">
        <v>920</v>
      </c>
      <c r="B438" s="1"/>
      <c r="C438" s="1"/>
      <c r="D438" s="1"/>
      <c r="E438" s="59">
        <f t="shared" si="135"/>
        <v>0</v>
      </c>
      <c r="F438" s="1"/>
      <c r="G438" s="1"/>
      <c r="H438" s="1"/>
      <c r="I438" s="59">
        <f t="shared" si="136"/>
        <v>0</v>
      </c>
      <c r="J438" s="1"/>
      <c r="K438" s="1"/>
      <c r="L438" s="1"/>
      <c r="M438" s="59">
        <f t="shared" si="137"/>
        <v>0</v>
      </c>
      <c r="N438" s="1"/>
      <c r="O438" s="1"/>
      <c r="P438" s="1"/>
      <c r="Q438" s="59">
        <f t="shared" si="138"/>
        <v>0</v>
      </c>
      <c r="R438" s="59">
        <f t="shared" si="139"/>
        <v>0</v>
      </c>
      <c r="T438" s="4" t="s">
        <v>331</v>
      </c>
    </row>
    <row r="439" spans="1:21" ht="15.75" customHeight="1" x14ac:dyDescent="0.3">
      <c r="A439" s="76" t="s">
        <v>921</v>
      </c>
      <c r="B439" s="1"/>
      <c r="C439" s="1"/>
      <c r="D439" s="1"/>
      <c r="E439" s="59">
        <f t="shared" si="135"/>
        <v>0</v>
      </c>
      <c r="F439" s="1"/>
      <c r="G439" s="1"/>
      <c r="H439" s="1"/>
      <c r="I439" s="59">
        <f t="shared" si="136"/>
        <v>0</v>
      </c>
      <c r="J439" s="1"/>
      <c r="K439" s="1"/>
      <c r="L439" s="1"/>
      <c r="M439" s="59">
        <f t="shared" si="137"/>
        <v>0</v>
      </c>
      <c r="N439" s="1"/>
      <c r="O439" s="1"/>
      <c r="P439" s="1"/>
      <c r="Q439" s="59">
        <f t="shared" si="138"/>
        <v>0</v>
      </c>
      <c r="R439" s="59">
        <f t="shared" si="139"/>
        <v>0</v>
      </c>
    </row>
    <row r="440" spans="1:21" ht="15.75" customHeight="1" x14ac:dyDescent="0.3">
      <c r="A440" s="76" t="s">
        <v>458</v>
      </c>
      <c r="B440" s="1"/>
      <c r="C440" s="1"/>
      <c r="D440" s="1"/>
      <c r="E440" s="59">
        <f t="shared" si="135"/>
        <v>0</v>
      </c>
      <c r="F440" s="1"/>
      <c r="G440" s="1"/>
      <c r="H440" s="1"/>
      <c r="I440" s="59">
        <f t="shared" si="136"/>
        <v>0</v>
      </c>
      <c r="J440" s="1"/>
      <c r="K440" s="1"/>
      <c r="L440" s="1"/>
      <c r="M440" s="59">
        <f t="shared" si="137"/>
        <v>0</v>
      </c>
      <c r="N440" s="1"/>
      <c r="O440" s="1"/>
      <c r="P440" s="1"/>
      <c r="Q440" s="59">
        <f t="shared" si="138"/>
        <v>0</v>
      </c>
      <c r="R440" s="59">
        <f t="shared" si="139"/>
        <v>0</v>
      </c>
    </row>
    <row r="441" spans="1:21" ht="15.75" customHeight="1" x14ac:dyDescent="0.3">
      <c r="A441" s="76" t="s">
        <v>459</v>
      </c>
      <c r="B441" s="1"/>
      <c r="C441" s="1"/>
      <c r="D441" s="1"/>
      <c r="E441" s="59">
        <f t="shared" si="135"/>
        <v>0</v>
      </c>
      <c r="F441" s="1"/>
      <c r="G441" s="1"/>
      <c r="H441" s="1"/>
      <c r="I441" s="59">
        <f t="shared" si="136"/>
        <v>0</v>
      </c>
      <c r="J441" s="1"/>
      <c r="K441" s="1"/>
      <c r="L441" s="1"/>
      <c r="M441" s="59">
        <f t="shared" si="137"/>
        <v>0</v>
      </c>
      <c r="N441" s="1"/>
      <c r="O441" s="1"/>
      <c r="P441" s="1"/>
      <c r="Q441" s="59">
        <f t="shared" si="138"/>
        <v>0</v>
      </c>
      <c r="R441" s="59">
        <f t="shared" si="139"/>
        <v>0</v>
      </c>
      <c r="T441" s="4" t="s">
        <v>317</v>
      </c>
    </row>
    <row r="442" spans="1:21" ht="15.75" customHeight="1" x14ac:dyDescent="0.3">
      <c r="A442" s="17" t="s">
        <v>67</v>
      </c>
      <c r="B442" s="1"/>
      <c r="C442" s="1"/>
      <c r="D442" s="1"/>
      <c r="E442" s="59" t="s">
        <v>7</v>
      </c>
      <c r="F442" s="1"/>
      <c r="G442" s="1"/>
      <c r="H442" s="1"/>
      <c r="I442" s="59" t="s">
        <v>7</v>
      </c>
      <c r="J442" s="1"/>
      <c r="K442" s="1"/>
      <c r="L442" s="1"/>
      <c r="M442" s="59" t="s">
        <v>7</v>
      </c>
      <c r="N442" s="1"/>
      <c r="O442" s="1"/>
      <c r="P442" s="1"/>
      <c r="Q442" s="59" t="s">
        <v>7</v>
      </c>
      <c r="R442" s="59" t="s">
        <v>7</v>
      </c>
    </row>
    <row r="443" spans="1:21" ht="15.75" customHeight="1" x14ac:dyDescent="0.3">
      <c r="A443" s="76" t="s">
        <v>460</v>
      </c>
      <c r="B443" s="1"/>
      <c r="C443" s="1"/>
      <c r="D443" s="1"/>
      <c r="E443" s="59">
        <f>SUM(B443:D443)</f>
        <v>0</v>
      </c>
      <c r="F443" s="1"/>
      <c r="G443" s="1"/>
      <c r="H443" s="1"/>
      <c r="I443" s="59">
        <f>SUM(F443:H443)</f>
        <v>0</v>
      </c>
      <c r="J443" s="1"/>
      <c r="K443" s="1"/>
      <c r="L443" s="1"/>
      <c r="M443" s="59">
        <f>SUM(J443:L443)</f>
        <v>0</v>
      </c>
      <c r="N443" s="1"/>
      <c r="O443" s="1"/>
      <c r="P443" s="1"/>
      <c r="Q443" s="59">
        <f>SUM(N443:P443)</f>
        <v>0</v>
      </c>
      <c r="R443" s="59">
        <f>+E443+I443+M443+Q443</f>
        <v>0</v>
      </c>
      <c r="T443" s="4" t="s">
        <v>305</v>
      </c>
    </row>
    <row r="444" spans="1:21" ht="15.75" customHeight="1" x14ac:dyDescent="0.3">
      <c r="A444" s="76" t="s">
        <v>461</v>
      </c>
      <c r="B444" s="1"/>
      <c r="C444" s="1"/>
      <c r="D444" s="1"/>
      <c r="E444" s="59">
        <f>SUM(B444:D444)</f>
        <v>0</v>
      </c>
      <c r="F444" s="1"/>
      <c r="G444" s="1"/>
      <c r="H444" s="1"/>
      <c r="I444" s="59">
        <f>SUM(F444:H444)</f>
        <v>0</v>
      </c>
      <c r="J444" s="1"/>
      <c r="K444" s="1"/>
      <c r="L444" s="1"/>
      <c r="M444" s="59">
        <f>SUM(J444:L444)</f>
        <v>0</v>
      </c>
      <c r="N444" s="1"/>
      <c r="O444" s="1"/>
      <c r="P444" s="1"/>
      <c r="Q444" s="59">
        <f>SUM(N444:P444)</f>
        <v>0</v>
      </c>
      <c r="R444" s="59">
        <f>+E444+I444+M444+Q444</f>
        <v>0</v>
      </c>
      <c r="T444" s="4" t="s">
        <v>305</v>
      </c>
    </row>
    <row r="445" spans="1:21" ht="15.75" customHeight="1" x14ac:dyDescent="0.3">
      <c r="A445" s="76" t="s">
        <v>463</v>
      </c>
      <c r="B445" s="1"/>
      <c r="C445" s="1"/>
      <c r="D445" s="1"/>
      <c r="E445" s="59">
        <f>SUM(B445:D445)</f>
        <v>0</v>
      </c>
      <c r="F445" s="1"/>
      <c r="G445" s="1"/>
      <c r="H445" s="1"/>
      <c r="I445" s="59">
        <f>SUM(F445:H445)</f>
        <v>0</v>
      </c>
      <c r="J445" s="1"/>
      <c r="K445" s="1"/>
      <c r="L445" s="1"/>
      <c r="M445" s="59">
        <f>SUM(J445:L445)</f>
        <v>0</v>
      </c>
      <c r="N445" s="1"/>
      <c r="O445" s="1"/>
      <c r="P445" s="1"/>
      <c r="Q445" s="59">
        <f>SUM(N445:P445)</f>
        <v>0</v>
      </c>
      <c r="R445" s="59">
        <f>+E445+I445+M445+Q445</f>
        <v>0</v>
      </c>
    </row>
    <row r="446" spans="1:21" ht="15.75" customHeight="1" x14ac:dyDescent="0.3">
      <c r="A446" s="76" t="s">
        <v>464</v>
      </c>
      <c r="B446" s="1"/>
      <c r="C446" s="1"/>
      <c r="D446" s="1"/>
      <c r="E446" s="59">
        <f t="shared" ref="E446" si="140">SUM(B446:D446)</f>
        <v>0</v>
      </c>
      <c r="F446" s="1"/>
      <c r="G446" s="1"/>
      <c r="H446" s="1">
        <v>3800</v>
      </c>
      <c r="I446" s="59">
        <f t="shared" ref="I446" si="141">SUM(F446:H446)</f>
        <v>3800</v>
      </c>
      <c r="J446" s="1"/>
      <c r="K446" s="1"/>
      <c r="L446" s="1"/>
      <c r="M446" s="59">
        <f t="shared" ref="M446" si="142">SUM(J446:L446)</f>
        <v>0</v>
      </c>
      <c r="N446" s="1"/>
      <c r="O446" s="1"/>
      <c r="P446" s="1"/>
      <c r="Q446" s="59">
        <f t="shared" ref="Q446:Q456" si="143">SUM(N446:P446)</f>
        <v>0</v>
      </c>
      <c r="R446" s="59">
        <f t="shared" ref="R446:R456" si="144">+E446+I446+M446+Q446</f>
        <v>3800</v>
      </c>
    </row>
    <row r="447" spans="1:21" ht="15.75" customHeight="1" x14ac:dyDescent="0.3">
      <c r="A447" s="76" t="s">
        <v>465</v>
      </c>
      <c r="B447" s="1"/>
      <c r="C447" s="1"/>
      <c r="D447" s="1"/>
      <c r="E447" s="59">
        <f>SUM(B447:D447)</f>
        <v>0</v>
      </c>
      <c r="F447" s="1"/>
      <c r="G447" s="1"/>
      <c r="H447" s="1"/>
      <c r="I447" s="59">
        <f>SUM(F447:H447)</f>
        <v>0</v>
      </c>
      <c r="J447" s="1"/>
      <c r="K447" s="1"/>
      <c r="L447" s="1"/>
      <c r="M447" s="59">
        <f>SUM(J447:L447)</f>
        <v>0</v>
      </c>
      <c r="N447" s="1"/>
      <c r="O447" s="1"/>
      <c r="P447" s="1"/>
      <c r="Q447" s="59">
        <f>SUM(N447:P447)</f>
        <v>0</v>
      </c>
      <c r="R447" s="59">
        <f>+E447+I447+M447+Q447</f>
        <v>0</v>
      </c>
    </row>
    <row r="448" spans="1:21" ht="15.75" customHeight="1" x14ac:dyDescent="0.3">
      <c r="A448" s="76" t="s">
        <v>466</v>
      </c>
      <c r="B448" s="1">
        <v>300</v>
      </c>
      <c r="C448" s="1">
        <v>410</v>
      </c>
      <c r="D448" s="1">
        <v>710</v>
      </c>
      <c r="E448" s="59">
        <f>SUM(B448:D448)</f>
        <v>1420</v>
      </c>
      <c r="F448" s="1">
        <v>610</v>
      </c>
      <c r="G448" s="1">
        <v>740</v>
      </c>
      <c r="H448" s="1">
        <v>410</v>
      </c>
      <c r="I448" s="59">
        <f>SUM(F448:H448)</f>
        <v>1760</v>
      </c>
      <c r="J448" s="1">
        <v>310</v>
      </c>
      <c r="K448" s="1">
        <v>310</v>
      </c>
      <c r="L448" s="1"/>
      <c r="M448" s="59">
        <f>SUM(J448:L448)</f>
        <v>620</v>
      </c>
      <c r="N448" s="1"/>
      <c r="O448" s="1"/>
      <c r="P448" s="1"/>
      <c r="Q448" s="59">
        <f>SUM(N448:P448)</f>
        <v>0</v>
      </c>
      <c r="R448" s="59">
        <f>+E448+I448+M448+Q448</f>
        <v>3800</v>
      </c>
      <c r="T448" s="4" t="s">
        <v>305</v>
      </c>
      <c r="U448" s="20"/>
    </row>
    <row r="449" spans="1:20" ht="15.75" customHeight="1" x14ac:dyDescent="0.3">
      <c r="A449" s="76" t="s">
        <v>467</v>
      </c>
      <c r="B449" s="1"/>
      <c r="C449" s="1"/>
      <c r="D449" s="1"/>
      <c r="E449" s="59">
        <f>SUM(B449:D449)</f>
        <v>0</v>
      </c>
      <c r="F449" s="1"/>
      <c r="G449" s="1"/>
      <c r="H449" s="1"/>
      <c r="I449" s="59">
        <f>SUM(F449:H449)</f>
        <v>0</v>
      </c>
      <c r="J449" s="1"/>
      <c r="K449" s="1"/>
      <c r="L449" s="1"/>
      <c r="M449" s="59">
        <f>SUM(J449:L449)</f>
        <v>0</v>
      </c>
      <c r="N449" s="1"/>
      <c r="O449" s="1"/>
      <c r="P449" s="1"/>
      <c r="Q449" s="59">
        <f>SUM(N449:P449)</f>
        <v>0</v>
      </c>
      <c r="R449" s="59">
        <f>+E449+I449+M449+Q449</f>
        <v>0</v>
      </c>
    </row>
    <row r="450" spans="1:20" ht="15.75" customHeight="1" thickBot="1" x14ac:dyDescent="0.35">
      <c r="A450" s="76" t="s">
        <v>469</v>
      </c>
      <c r="B450" s="1"/>
      <c r="C450" s="1"/>
      <c r="D450" s="1"/>
      <c r="E450" s="59">
        <f>SUM(B450:D450)</f>
        <v>0</v>
      </c>
      <c r="F450" s="1"/>
      <c r="G450" s="1"/>
      <c r="H450" s="1"/>
      <c r="I450" s="59">
        <f>SUM(F450:H450)</f>
        <v>0</v>
      </c>
      <c r="J450" s="1"/>
      <c r="K450" s="1">
        <v>1230</v>
      </c>
      <c r="L450" s="1">
        <v>2000</v>
      </c>
      <c r="M450" s="59">
        <f>SUM(J450:L450)</f>
        <v>3230</v>
      </c>
      <c r="N450" s="1">
        <v>1000</v>
      </c>
      <c r="O450" s="1">
        <v>500</v>
      </c>
      <c r="P450" s="1">
        <v>500</v>
      </c>
      <c r="Q450" s="59">
        <f>SUM(N450:P450)</f>
        <v>2000</v>
      </c>
      <c r="R450" s="59">
        <f>+E450+I450+M450+Q450</f>
        <v>5230</v>
      </c>
      <c r="T450" s="4" t="s">
        <v>331</v>
      </c>
    </row>
    <row r="451" spans="1:20" ht="16.5" customHeight="1" thickBot="1" x14ac:dyDescent="0.35">
      <c r="A451" s="62" t="s">
        <v>68</v>
      </c>
      <c r="B451" s="63">
        <f>SUM(B435:B450)</f>
        <v>300</v>
      </c>
      <c r="C451" s="63">
        <f>SUM(C435:C450)</f>
        <v>410</v>
      </c>
      <c r="D451" s="63">
        <f>SUM(D435:D450)</f>
        <v>710</v>
      </c>
      <c r="E451" s="65">
        <f t="shared" ref="E451:E456" si="145">SUM(B451:D451)</f>
        <v>1420</v>
      </c>
      <c r="F451" s="63">
        <f>SUM(F435:F450)</f>
        <v>1610</v>
      </c>
      <c r="G451" s="63">
        <f>SUM(G435:G450)</f>
        <v>740</v>
      </c>
      <c r="H451" s="63">
        <f>SUM(H435:H450)</f>
        <v>4210</v>
      </c>
      <c r="I451" s="65">
        <f t="shared" ref="I451:I456" si="146">SUM(F451:H451)</f>
        <v>6560</v>
      </c>
      <c r="J451" s="63">
        <f>SUM(J435:J450)</f>
        <v>310</v>
      </c>
      <c r="K451" s="63">
        <f>SUM(K435:K450)</f>
        <v>1540</v>
      </c>
      <c r="L451" s="63">
        <f>SUM(L435:L450)</f>
        <v>2000</v>
      </c>
      <c r="M451" s="65">
        <f t="shared" ref="M451:M456" si="147">SUM(J451:L451)</f>
        <v>3850</v>
      </c>
      <c r="N451" s="63">
        <f>SUM(N435:N450)</f>
        <v>1000</v>
      </c>
      <c r="O451" s="63">
        <f>SUM(O435:O450)</f>
        <v>500</v>
      </c>
      <c r="P451" s="63">
        <f>SUM(P435:P450)</f>
        <v>500</v>
      </c>
      <c r="Q451" s="65">
        <f t="shared" si="143"/>
        <v>2000</v>
      </c>
      <c r="R451" s="64">
        <f t="shared" si="144"/>
        <v>13830</v>
      </c>
    </row>
    <row r="452" spans="1:20" ht="16.5" customHeight="1" thickBot="1" x14ac:dyDescent="0.35">
      <c r="A452" s="137" t="s">
        <v>69</v>
      </c>
      <c r="B452" s="100">
        <f>SUM(B429:B450)</f>
        <v>300</v>
      </c>
      <c r="C452" s="101">
        <f>SUM(C429:C450)</f>
        <v>410</v>
      </c>
      <c r="D452" s="138">
        <f>SUM(D429:D450)</f>
        <v>710</v>
      </c>
      <c r="E452" s="65">
        <f t="shared" si="145"/>
        <v>1420</v>
      </c>
      <c r="F452" s="101">
        <f>SUM(F429:F450)</f>
        <v>1610</v>
      </c>
      <c r="G452" s="101">
        <f>SUM(G429:G450)</f>
        <v>740</v>
      </c>
      <c r="H452" s="101">
        <f>SUM(H429:H450)</f>
        <v>4210</v>
      </c>
      <c r="I452" s="65">
        <f t="shared" si="146"/>
        <v>6560</v>
      </c>
      <c r="J452" s="101">
        <f>SUM(J429:J450)</f>
        <v>310</v>
      </c>
      <c r="K452" s="101">
        <f>SUM(K429:K450)</f>
        <v>1540</v>
      </c>
      <c r="L452" s="101">
        <f>SUM(L429:L450)</f>
        <v>2000</v>
      </c>
      <c r="M452" s="65">
        <f t="shared" si="147"/>
        <v>3850</v>
      </c>
      <c r="N452" s="101">
        <f>SUM(N429:N450)</f>
        <v>1000</v>
      </c>
      <c r="O452" s="101">
        <f>SUM(O429:O450)</f>
        <v>500</v>
      </c>
      <c r="P452" s="101">
        <f>SUM(P429:P450)</f>
        <v>500</v>
      </c>
      <c r="Q452" s="65">
        <f t="shared" si="143"/>
        <v>2000</v>
      </c>
      <c r="R452" s="64">
        <f t="shared" si="144"/>
        <v>13830</v>
      </c>
    </row>
    <row r="453" spans="1:20" ht="16.5" customHeight="1" thickBot="1" x14ac:dyDescent="0.35">
      <c r="A453" s="62" t="s">
        <v>70</v>
      </c>
      <c r="B453" s="107">
        <f>+B366+B379+B428+B452</f>
        <v>24683</v>
      </c>
      <c r="C453" s="63">
        <f>+C366+C379+C428+C452</f>
        <v>29190</v>
      </c>
      <c r="D453" s="63">
        <f>+D366+D379+D428+D452</f>
        <v>51078</v>
      </c>
      <c r="E453" s="64">
        <f t="shared" si="145"/>
        <v>104951</v>
      </c>
      <c r="F453" s="63">
        <f>+F366+F379+F428+F452</f>
        <v>63520</v>
      </c>
      <c r="G453" s="63">
        <f>+G366+G379+G428+G452</f>
        <v>73518</v>
      </c>
      <c r="H453" s="63">
        <f>+H366+H379+H428+H452</f>
        <v>100677</v>
      </c>
      <c r="I453" s="64">
        <f t="shared" si="146"/>
        <v>237715</v>
      </c>
      <c r="J453" s="63">
        <f>+J366+J379+J428+J452</f>
        <v>89237</v>
      </c>
      <c r="K453" s="63">
        <f>+K366+K379+K428+K452</f>
        <v>70223</v>
      </c>
      <c r="L453" s="63">
        <f>+L366+L379+L428+L452</f>
        <v>59111</v>
      </c>
      <c r="M453" s="64">
        <f t="shared" si="147"/>
        <v>218571</v>
      </c>
      <c r="N453" s="63">
        <f>+N366+N379+N428+N452</f>
        <v>48810</v>
      </c>
      <c r="O453" s="63">
        <f>+O366+O379+O428+O452</f>
        <v>21464</v>
      </c>
      <c r="P453" s="63">
        <f>+P366+P379+P428+P452</f>
        <v>36192</v>
      </c>
      <c r="Q453" s="64">
        <f t="shared" si="143"/>
        <v>106466</v>
      </c>
      <c r="R453" s="88">
        <f t="shared" si="144"/>
        <v>667703</v>
      </c>
    </row>
    <row r="454" spans="1:20" ht="15.75" customHeight="1" x14ac:dyDescent="0.3">
      <c r="A454" s="74" t="s">
        <v>470</v>
      </c>
      <c r="B454" s="1"/>
      <c r="C454" s="1"/>
      <c r="D454" s="1"/>
      <c r="E454" s="59">
        <f t="shared" si="145"/>
        <v>0</v>
      </c>
      <c r="F454" s="1"/>
      <c r="G454" s="1"/>
      <c r="H454" s="1"/>
      <c r="I454" s="59">
        <f t="shared" si="146"/>
        <v>0</v>
      </c>
      <c r="J454" s="1"/>
      <c r="K454" s="1"/>
      <c r="L454" s="1"/>
      <c r="M454" s="59">
        <f t="shared" si="147"/>
        <v>0</v>
      </c>
      <c r="N454" s="1"/>
      <c r="O454" s="1"/>
      <c r="P454" s="1"/>
      <c r="Q454" s="59">
        <f t="shared" si="143"/>
        <v>0</v>
      </c>
      <c r="R454" s="59">
        <f t="shared" si="144"/>
        <v>0</v>
      </c>
    </row>
    <row r="455" spans="1:20" ht="15.75" customHeight="1" x14ac:dyDescent="0.3">
      <c r="A455" s="74" t="s">
        <v>471</v>
      </c>
      <c r="B455" s="1"/>
      <c r="C455" s="1"/>
      <c r="D455" s="1"/>
      <c r="E455" s="59">
        <f t="shared" si="145"/>
        <v>0</v>
      </c>
      <c r="F455" s="1"/>
      <c r="G455" s="1"/>
      <c r="H455" s="1"/>
      <c r="I455" s="59">
        <f t="shared" si="146"/>
        <v>0</v>
      </c>
      <c r="J455" s="1"/>
      <c r="K455" s="1"/>
      <c r="L455" s="1"/>
      <c r="M455" s="59">
        <f t="shared" si="147"/>
        <v>0</v>
      </c>
      <c r="N455" s="1"/>
      <c r="O455" s="1"/>
      <c r="P455" s="1"/>
      <c r="Q455" s="59">
        <f t="shared" si="143"/>
        <v>0</v>
      </c>
      <c r="R455" s="59">
        <f t="shared" si="144"/>
        <v>0</v>
      </c>
    </row>
    <row r="456" spans="1:20" ht="16.5" customHeight="1" thickBot="1" x14ac:dyDescent="0.35">
      <c r="A456" s="79" t="s">
        <v>37</v>
      </c>
      <c r="B456" s="25">
        <v>155</v>
      </c>
      <c r="C456" s="25">
        <v>283</v>
      </c>
      <c r="D456" s="25">
        <v>435</v>
      </c>
      <c r="E456" s="88">
        <f t="shared" si="145"/>
        <v>873</v>
      </c>
      <c r="F456" s="25">
        <v>602</v>
      </c>
      <c r="G456" s="25">
        <v>711</v>
      </c>
      <c r="H456" s="25">
        <v>722</v>
      </c>
      <c r="I456" s="88">
        <f t="shared" si="146"/>
        <v>2035</v>
      </c>
      <c r="J456" s="25">
        <v>686</v>
      </c>
      <c r="K456" s="25">
        <v>519</v>
      </c>
      <c r="L456" s="25">
        <v>531</v>
      </c>
      <c r="M456" s="88">
        <f t="shared" si="147"/>
        <v>1736</v>
      </c>
      <c r="N456" s="25">
        <v>489</v>
      </c>
      <c r="O456" s="25">
        <v>389</v>
      </c>
      <c r="P456" s="25">
        <v>275</v>
      </c>
      <c r="Q456" s="88">
        <f t="shared" si="143"/>
        <v>1153</v>
      </c>
      <c r="R456" s="59">
        <f t="shared" si="144"/>
        <v>5797</v>
      </c>
    </row>
    <row r="457" spans="1:20" ht="16.5" customHeight="1" thickBot="1" x14ac:dyDescent="0.35">
      <c r="A457" s="80"/>
      <c r="B457" s="81"/>
      <c r="C457" s="81"/>
      <c r="D457" s="81"/>
      <c r="E457" s="64"/>
      <c r="F457" s="81"/>
      <c r="G457" s="81"/>
      <c r="H457" s="81"/>
      <c r="I457" s="64"/>
      <c r="J457" s="81"/>
      <c r="K457" s="81"/>
      <c r="L457" s="81"/>
      <c r="M457" s="64"/>
      <c r="N457" s="81"/>
      <c r="O457" s="81"/>
      <c r="P457" s="81"/>
      <c r="Q457" s="64"/>
      <c r="R457" s="64" t="s">
        <v>7</v>
      </c>
    </row>
    <row r="458" spans="1:20" ht="15.75" customHeight="1" x14ac:dyDescent="0.3">
      <c r="A458" s="82" t="s">
        <v>38</v>
      </c>
      <c r="B458" s="83">
        <f>SUM(B453:B456)</f>
        <v>24838</v>
      </c>
      <c r="C458" s="83">
        <f>SUM(C453:C456)</f>
        <v>29473</v>
      </c>
      <c r="D458" s="83">
        <f>SUM(D453:D456)</f>
        <v>51513</v>
      </c>
      <c r="E458" s="65">
        <f>SUM(B458:D458)</f>
        <v>105824</v>
      </c>
      <c r="F458" s="83">
        <f>SUM(F453:F456)</f>
        <v>64122</v>
      </c>
      <c r="G458" s="83">
        <f>SUM(G453:G456)</f>
        <v>74229</v>
      </c>
      <c r="H458" s="83">
        <f>SUM(H453:H456)</f>
        <v>101399</v>
      </c>
      <c r="I458" s="65">
        <f>SUM(F458:H458)</f>
        <v>239750</v>
      </c>
      <c r="J458" s="83">
        <f>SUM(J453:J456)</f>
        <v>89923</v>
      </c>
      <c r="K458" s="83">
        <f>SUM(K453:K456)</f>
        <v>70742</v>
      </c>
      <c r="L458" s="83">
        <f>SUM(L453:L456)</f>
        <v>59642</v>
      </c>
      <c r="M458" s="65">
        <f>SUM(J458:L458)</f>
        <v>220307</v>
      </c>
      <c r="N458" s="83">
        <f>SUM(N453:N456)</f>
        <v>49299</v>
      </c>
      <c r="O458" s="83">
        <f>SUM(O453:O456)</f>
        <v>21853</v>
      </c>
      <c r="P458" s="83">
        <f>SUM(P453:P456)</f>
        <v>36467</v>
      </c>
      <c r="Q458" s="65">
        <f>SUM(N458:P458)</f>
        <v>107619</v>
      </c>
      <c r="R458" s="65">
        <f>+E458+I458+M458+Q458</f>
        <v>673500</v>
      </c>
    </row>
    <row r="459" spans="1:20" ht="15.75" customHeight="1" x14ac:dyDescent="0.3">
      <c r="A459" s="85" t="s">
        <v>39</v>
      </c>
      <c r="B459" s="1">
        <f>(B458/B10)/1.983</f>
        <v>404.04730532103525</v>
      </c>
      <c r="C459" s="1">
        <f>(C458/C10)/1.983</f>
        <v>530.81550320582085</v>
      </c>
      <c r="D459" s="1">
        <f>(D458/D10)/1.983</f>
        <v>837.97764872382993</v>
      </c>
      <c r="E459" s="59" t="s">
        <v>7</v>
      </c>
      <c r="F459" s="1">
        <f>(F458/F10)/1.983</f>
        <v>1077.8618255168935</v>
      </c>
      <c r="G459" s="1">
        <f>(G458/G10)/1.983</f>
        <v>1207.5057342247815</v>
      </c>
      <c r="H459" s="1">
        <f>(H458/H10)/1.983</f>
        <v>1704.4713397209614</v>
      </c>
      <c r="I459" s="59" t="s">
        <v>7</v>
      </c>
      <c r="J459" s="1">
        <f>(J458/J10)/1.983</f>
        <v>1462.8048086151641</v>
      </c>
      <c r="K459" s="1">
        <f>(K458/K10)/1.983</f>
        <v>1150.7816439737771</v>
      </c>
      <c r="L459" s="1">
        <f>(L458/L10)/1.983</f>
        <v>1002.5550512691208</v>
      </c>
      <c r="M459" s="59" t="s">
        <v>7</v>
      </c>
      <c r="N459" s="1">
        <f>(N458/N10)/1.983</f>
        <v>801.96183690400653</v>
      </c>
      <c r="O459" s="1">
        <f>(O458/O10)/1.983</f>
        <v>367.33904857959317</v>
      </c>
      <c r="P459" s="1">
        <f>(P458/P10)/1.983</f>
        <v>593.21978754900522</v>
      </c>
      <c r="Q459" s="59" t="s">
        <v>7</v>
      </c>
      <c r="R459" s="59" t="s">
        <v>7</v>
      </c>
    </row>
    <row r="460" spans="1:20" ht="15.75" customHeight="1" x14ac:dyDescent="0.3">
      <c r="A460" s="85" t="s">
        <v>472</v>
      </c>
      <c r="B460" s="1">
        <f>B458+B508</f>
        <v>41101</v>
      </c>
      <c r="C460" s="1">
        <f>C458+C508</f>
        <v>48709</v>
      </c>
      <c r="D460" s="1">
        <f>D458+D508</f>
        <v>84527</v>
      </c>
      <c r="E460" s="59">
        <f>SUM(B460:D460)</f>
        <v>174337</v>
      </c>
      <c r="F460" s="1">
        <f>F458+F508</f>
        <v>106971</v>
      </c>
      <c r="G460" s="1">
        <f>G458+G508</f>
        <v>112308</v>
      </c>
      <c r="H460" s="1">
        <f>H458+H508</f>
        <v>140296</v>
      </c>
      <c r="I460" s="59">
        <f>SUM(F460:H460)</f>
        <v>359575</v>
      </c>
      <c r="J460" s="1">
        <f>J458+J508</f>
        <v>133929</v>
      </c>
      <c r="K460" s="1">
        <f>K458+K508</f>
        <v>110897</v>
      </c>
      <c r="L460" s="1">
        <f>L458+L508</f>
        <v>88574</v>
      </c>
      <c r="M460" s="59">
        <f>SUM(J460:L460)</f>
        <v>333400</v>
      </c>
      <c r="N460" s="1">
        <f>N458+N508</f>
        <v>58349</v>
      </c>
      <c r="O460" s="1">
        <f>O458+O508</f>
        <v>30350</v>
      </c>
      <c r="P460" s="1">
        <f>P458+P508</f>
        <v>45049</v>
      </c>
      <c r="Q460" s="59">
        <f>SUM(N460:P460)</f>
        <v>133748</v>
      </c>
      <c r="R460" s="59">
        <f>+E460+I460+M460+Q460</f>
        <v>1001060</v>
      </c>
    </row>
    <row r="461" spans="1:20" s="50" customFormat="1" ht="16.5" customHeight="1" thickBot="1" x14ac:dyDescent="0.35">
      <c r="A461" s="139" t="s">
        <v>473</v>
      </c>
      <c r="B461" s="140">
        <f>(B460/B10)/1.983</f>
        <v>668.60247588372124</v>
      </c>
      <c r="C461" s="140">
        <f>(C460/C10)/1.983</f>
        <v>877.26028384122174</v>
      </c>
      <c r="D461" s="140">
        <f>(D460/D10)/1.983</f>
        <v>1375.0264343695605</v>
      </c>
      <c r="E461" s="141" t="s">
        <v>7</v>
      </c>
      <c r="F461" s="140">
        <f>(F460/F10)/1.983</f>
        <v>1798.1341401916286</v>
      </c>
      <c r="G461" s="140">
        <f>(G460/G10)/1.983</f>
        <v>1826.9484163779221</v>
      </c>
      <c r="H461" s="140">
        <f>(H460/H10)/1.983</f>
        <v>2358.3123213985546</v>
      </c>
      <c r="I461" s="141" t="s">
        <v>7</v>
      </c>
      <c r="J461" s="140">
        <f>(J460/J10)/1.983</f>
        <v>2178.6638036211016</v>
      </c>
      <c r="K461" s="140">
        <f>(K460/K10)/1.983</f>
        <v>1803.9952499471312</v>
      </c>
      <c r="L461" s="140">
        <f>(L460/L10)/1.983</f>
        <v>1488.8888888888889</v>
      </c>
      <c r="M461" s="141" t="s">
        <v>7</v>
      </c>
      <c r="N461" s="140">
        <f>(N460/N10)/1.983</f>
        <v>949.18094122622938</v>
      </c>
      <c r="O461" s="140">
        <f>(O460/O10)/1.983</f>
        <v>510.16977643301391</v>
      </c>
      <c r="P461" s="140">
        <f>(P460/P10)/1.983</f>
        <v>732.82579343776945</v>
      </c>
      <c r="Q461" s="141" t="s">
        <v>7</v>
      </c>
      <c r="R461" s="141" t="s">
        <v>7</v>
      </c>
    </row>
    <row r="462" spans="1:20" ht="15.75" customHeight="1" x14ac:dyDescent="0.3">
      <c r="A462" s="142" t="s">
        <v>474</v>
      </c>
      <c r="B462" s="143">
        <f>B$463+(SUMIF($T$310:$T$439,"FLG",B$317:B$455)/B10/1.98)+(SUMIF($T$310:$T$439,"FCA",B$317:B$455)/B10/1.98)+(SUMIF($T$310:$T$439,"NSC",B$317:B$455)/B10/1.98)</f>
        <v>316.42874501690568</v>
      </c>
      <c r="C462" s="143">
        <f>C$463+(SUMIF($T$310:$T$439,"FLG",C$317:C$455)/C10/1.98)+(SUMIF($T$310:$T$439,"FCA",C$317:C$455)/C10/1.98)+(SUMIF($T$310:$T$439,"NSC",C$317:C$455)/C10/1.98)</f>
        <v>392.71101440163466</v>
      </c>
      <c r="D462" s="143">
        <f>D$463+(SUMIF($T$310:$T$439,"FLG",D$317:D$455)/D10/1.98)+(SUMIF($T$310:$T$439,"FCA",D$317:D$455)/D10/1.98)+(SUMIF($T$310:$T$439,"NSC",D$317:D$455)/D10/1.98)</f>
        <v>565.02206684481826</v>
      </c>
      <c r="E462" s="144"/>
      <c r="F462" s="143">
        <f>F$463+(SUMIF($T$310:$T$439,"FLG",F$317:F$455)/F10/1.98)+(SUMIF($T$310:$T$439,"FCA",F$317:F$455)/F10/1.98)+(SUMIF($T$310:$T$439,"NSC",F$317:F$455)/F10/1.98)</f>
        <v>749.07702847944904</v>
      </c>
      <c r="G462" s="143">
        <f>G$463+(SUMIF($T$310:$T$439,"FLG",G$317:G$455)/G10/1.98)+(SUMIF($T$310:$T$439,"FCA",G$317:G$455)/G10/1.98)+(SUMIF($T$310:$T$439,"NSC",G$317:G$455)/G10/1.98)</f>
        <v>729.60886006125372</v>
      </c>
      <c r="H462" s="143">
        <f>H$463+(SUMIF($T$310:$T$439,"FLG",H$317:H$455)/H10/1.98)+(SUMIF($T$310:$T$439,"FCA",H$317:H$455)/H10/1.98)+(SUMIF($T$310:$T$439,"NSC",H$317:H$455)/H10/1.98)</f>
        <v>776.0800389166501</v>
      </c>
      <c r="I462" s="52"/>
      <c r="J462" s="143">
        <f>J$463+(SUMIF($T$310:$T$439,"FLG",J$317:J$455)/J10/1.98)+(SUMIF($T$310:$T$439,"FCA",J$317:J$455)/J10/1.98)+(SUMIF($T$310:$T$439,"NSC",J$317:J$455)/J10/1.98)</f>
        <v>871.85443325944027</v>
      </c>
      <c r="K462" s="143">
        <f>K$463+(SUMIF($T$310:$T$439,"FLG",K$317:K$455)/K10/1.98)+(SUMIF($T$310:$T$439,"FCA",K$317:K$455)/K10/1.98)+(SUMIF($T$310:$T$439,"NSC",K$317:K$455)/K10/1.98)</f>
        <v>806.30907681076042</v>
      </c>
      <c r="L462" s="143">
        <f>L$463+(SUMIF($T$310:$T$439,"FLG",L$317:L$455)/L10/1.98)+(SUMIF($T$310:$T$439,"FCA",L$317:L$455)/L10/1.98)+(SUMIF($T$310:$T$439,"NSC",L$317:L$455)/L10/1.98)</f>
        <v>622.05774334367379</v>
      </c>
      <c r="M462" s="52"/>
      <c r="N462" s="143">
        <f>N$463+(SUMIF($T$310:$T$439,"FLG",N$317:N$455)/N10/1.98)+(SUMIF($T$310:$T$439,"FCA",N$317:N$455)/N10/1.98)+(SUMIF($T$310:$T$439,"NSC",N$317:N$455)/N10/1.98)</f>
        <v>280.2103066682638</v>
      </c>
      <c r="O462" s="143">
        <f>O$463+(SUMIF($T$310:$T$439,"FLG",O$317:O$455)/O10/1.98)+(SUMIF($T$310:$T$439,"FCA",O$317:O$455)/O10/1.98)+(SUMIF($T$310:$T$439,"NSC",O$317:O$455)/O10/1.98)</f>
        <v>313.18426320695613</v>
      </c>
      <c r="P462" s="143">
        <f>P$463+(SUMIF($T$310:$T$439,"FLG",P$317:P$455)/P10/1.98)+(SUMIF($T$310:$T$439,"FCA",P$317:P$455)/P10/1.98)+(SUMIF($T$310:$T$439,"NSC",P$317:P$455)/P10/1.98)</f>
        <v>301.72721800997624</v>
      </c>
      <c r="Q462" s="52"/>
      <c r="R462" s="52"/>
    </row>
    <row r="463" spans="1:20" ht="15.75" customHeight="1" x14ac:dyDescent="0.3">
      <c r="A463" s="142" t="s">
        <v>475</v>
      </c>
      <c r="B463" s="143">
        <f>B$464+(SUMIF($T$310:$T$439,"FCI",B$317:B$455)/B10/1.98)+(SUMIF($T$310:$T$439,"FCC",B$317:B$455)/B10/1.98)</f>
        <v>316.42874501690568</v>
      </c>
      <c r="C463" s="143">
        <f>C$464+(SUMIF($T$310:$T$439,"FCI",C$317:C$455)/C10/1.98)+(SUMIF($T$310:$T$439,"FCC",C$317:C$455)/C10/1.98)</f>
        <v>392.71101440163466</v>
      </c>
      <c r="D463" s="143">
        <f>D$464+(SUMIF($T$310:$T$439,"FCI",D$317:D$455)/D10/1.98)+(SUMIF($T$310:$T$439,"FCC",D$317:D$455)/D10/1.98)</f>
        <v>565.02206684481826</v>
      </c>
      <c r="E463" s="144"/>
      <c r="F463" s="143">
        <f>F$464+(SUMIF($T$310:$T$439,"FCI",F$317:F$455)/F10/1.98)+(SUMIF($T$310:$T$439,"FCC",F$317:F$455)/F10/1.98)</f>
        <v>749.07702847944904</v>
      </c>
      <c r="G463" s="143">
        <f>G$464+(SUMIF($T$310:$T$439,"FCI",G$317:G$455)/G10/1.98)+(SUMIF($T$310:$T$439,"FCC",G$317:G$455)/G10/1.98)</f>
        <v>729.60886006125372</v>
      </c>
      <c r="H463" s="143">
        <f>H$464+(SUMIF($T$310:$T$439,"FCI",H$317:H$455)/H10/1.98)+(SUMIF($T$310:$T$439,"FCC",H$317:H$455)/H10/1.98)</f>
        <v>776.0800389166501</v>
      </c>
      <c r="I463" s="52"/>
      <c r="J463" s="143">
        <f>J$464+(SUMIF($T$310:$T$439,"FCI",J$317:J$455)/J10/1.98)+(SUMIF($T$310:$T$439,"FCC",J$317:J$455)/J10/1.98)</f>
        <v>871.85443325944027</v>
      </c>
      <c r="K463" s="143">
        <f>K$464+(SUMIF($T$310:$T$439,"FCI",K$317:K$455)/K10/1.98)+(SUMIF($T$310:$T$439,"FCC",K$317:K$455)/K10/1.98)</f>
        <v>806.30907681076042</v>
      </c>
      <c r="L463" s="143">
        <f>L$464+(SUMIF($T$310:$T$439,"FCI",L$317:L$455)/L10/1.98)+(SUMIF($T$310:$T$439,"FCC",L$317:L$455)/L10/1.98)</f>
        <v>622.05774334367379</v>
      </c>
      <c r="M463" s="52"/>
      <c r="N463" s="143">
        <f>N$464+(SUMIF($T$310:$T$439,"FCI",N$317:N$455)/N10/1.98)+(SUMIF($T$310:$T$439,"FCC",N$317:N$455)/N10/1.98)</f>
        <v>280.2103066682638</v>
      </c>
      <c r="O463" s="143">
        <f>O$464+(SUMIF($T$310:$T$439,"FCI",O$317:O$455)/O10/1.98)+(SUMIF($T$310:$T$439,"FCC",O$317:O$455)/O10/1.98)</f>
        <v>313.18426320695613</v>
      </c>
      <c r="P463" s="143">
        <f>P$464+(SUMIF($T$310:$T$439,"FCI",P$317:P$455)/P10/1.98)+(SUMIF($T$310:$T$439,"FCC",P$317:P$455)/P10/1.98)</f>
        <v>301.72721800997624</v>
      </c>
      <c r="Q463" s="52"/>
      <c r="R463" s="52"/>
    </row>
    <row r="464" spans="1:20" ht="15.75" customHeight="1" x14ac:dyDescent="0.3">
      <c r="A464" s="142" t="s">
        <v>476</v>
      </c>
      <c r="B464" s="143">
        <f>B$465+(SUMIF($T$310:$T$439,"PIL",B$317:B$455)/B10/1.98)+(SUMIF($T$310:$T$439,"KLK",B$317:B$455)/B10/1.98)</f>
        <v>316.42874501690568</v>
      </c>
      <c r="C464" s="143">
        <f>C$465+(SUMIF($T$310:$T$439,"PIL",C$317:C$455)/C10/1.98)+(SUMIF($T$310:$T$439,"KLK",C$317:C$455)/C10/1.98)</f>
        <v>392.71101440163466</v>
      </c>
      <c r="D464" s="143">
        <f>D$465+(SUMIF($T$310:$T$439,"PIL",D$317:D$455)/D10/1.98)+(SUMIF($T$310:$T$439,"KLK",D$317:D$455)/D10/1.98)</f>
        <v>565.02206684481826</v>
      </c>
      <c r="E464" s="144"/>
      <c r="F464" s="143">
        <f>F$465+(SUMIF($T$310:$T$439,"PIL",F$317:F$455)/F10/1.98)+(SUMIF($T$310:$T$439,"KLK",F$317:F$455)/F10/1.98)</f>
        <v>749.07702847944904</v>
      </c>
      <c r="G464" s="143">
        <f>G$465+(SUMIF($T$310:$T$439,"PIL",G$317:G$455)/G10/1.98)+(SUMIF($T$310:$T$439,"KLK",G$317:G$455)/G10/1.98)</f>
        <v>729.60886006125372</v>
      </c>
      <c r="H464" s="143">
        <f>H$465+(SUMIF($T$310:$T$439,"PIL",H$317:H$455)/H10/1.98)+(SUMIF($T$310:$T$439,"KLK",H$317:H$455)/H10/1.98)</f>
        <v>776.0800389166501</v>
      </c>
      <c r="I464" s="52"/>
      <c r="J464" s="143">
        <f>J$465+(SUMIF($T$310:$T$439,"PIL",J$317:J$455)/J10/1.98)+(SUMIF($T$310:$T$439,"KLK",J$317:J$455)/J10/1.98)</f>
        <v>871.85443325944027</v>
      </c>
      <c r="K464" s="143">
        <f>K$465+(SUMIF($T$310:$T$439,"PIL",K$317:K$455)/K10/1.98)+(SUMIF($T$310:$T$439,"KLK",K$317:K$455)/K10/1.98)</f>
        <v>806.30907681076042</v>
      </c>
      <c r="L464" s="143">
        <f>L$465+(SUMIF($T$310:$T$439,"PIL",L$317:L$455)/L10/1.98)+(SUMIF($T$310:$T$439,"KLK",L$317:L$455)/L10/1.98)</f>
        <v>622.05774334367379</v>
      </c>
      <c r="M464" s="52"/>
      <c r="N464" s="143">
        <f>N$465+(SUMIF($T$310:$T$439,"PIL",N$317:N$455)/N10/1.98)+(SUMIF($T$310:$T$439,"KLK",N$317:N$455)/N10/1.98)</f>
        <v>280.2103066682638</v>
      </c>
      <c r="O464" s="143">
        <f>O$465+(SUMIF($T$310:$T$439,"PIL",O$317:O$455)/O10/1.98)+(SUMIF($T$310:$T$439,"KLK",O$317:O$455)/O10/1.98)</f>
        <v>313.18426320695613</v>
      </c>
      <c r="P464" s="143">
        <f>P$465+(SUMIF($T$310:$T$439,"PIL",P$317:P$455)/P10/1.98)+(SUMIF($T$310:$T$439,"KLK",P$317:P$455)/P10/1.98)</f>
        <v>301.72721800997624</v>
      </c>
      <c r="Q464" s="52"/>
      <c r="R464" s="52"/>
    </row>
    <row r="465" spans="1:20" ht="15.75" customHeight="1" x14ac:dyDescent="0.3">
      <c r="A465" s="142" t="s">
        <v>477</v>
      </c>
      <c r="B465" s="143">
        <f>B$466+(SUMIF($T$310:$T$439,"CGE",B$317:B$455)/B10/1.98)</f>
        <v>316.16807378849251</v>
      </c>
      <c r="C465" s="143">
        <f>C$466+(SUMIF($T$310:$T$439,"CGE",C$317:C$455)/C10/1.98)</f>
        <v>392.42241411303439</v>
      </c>
      <c r="D465" s="143">
        <f>D$466+(SUMIF($T$310:$T$439,"CGE",D$317:D$455)/D10/1.98)</f>
        <v>554.22050281744782</v>
      </c>
      <c r="E465" s="144"/>
      <c r="F465" s="143">
        <f>F$466+(SUMIF($T$310:$T$439,"CGE",F$317:F$455)/F10/1.98)</f>
        <v>748.13426753668807</v>
      </c>
      <c r="G465" s="143">
        <f>G$466+(SUMIF($T$310:$T$439,"CGE",G$317:G$455)/G10/1.98)</f>
        <v>728.69651076180764</v>
      </c>
      <c r="H465" s="143">
        <f>H$466+(SUMIF($T$310:$T$439,"CGE",H$317:H$455)/H10/1.98)</f>
        <v>775.47397831058947</v>
      </c>
      <c r="I465" s="52"/>
      <c r="J465" s="143">
        <f>J$466+(SUMIF($T$310:$T$439,"CGE",J$317:J$455)/J10/1.98)</f>
        <v>871.26792299551062</v>
      </c>
      <c r="K465" s="143">
        <f>K$466+(SUMIF($T$310:$T$439,"CGE",K$317:K$455)/K10/1.98)</f>
        <v>805.33155970421103</v>
      </c>
      <c r="L465" s="143">
        <f>L$466+(SUMIF($T$310:$T$439,"CGE",L$317:L$455)/L10/1.98)</f>
        <v>621.04764233357275</v>
      </c>
      <c r="M465" s="52"/>
      <c r="N465" s="143">
        <f>N$466+(SUMIF($T$310:$T$439,"CGE",N$317:N$455)/N10/1.98)</f>
        <v>278.9721183333013</v>
      </c>
      <c r="O465" s="143">
        <f>O$466+(SUMIF($T$310:$T$439,"CGE",O$317:O$455)/O10/1.98)</f>
        <v>312.74655276924568</v>
      </c>
      <c r="P465" s="143">
        <f>P$466+(SUMIF($T$310:$T$439,"CGE",P$317:P$455)/P10/1.98)</f>
        <v>301.30362726380486</v>
      </c>
      <c r="Q465" s="52"/>
      <c r="R465" s="52"/>
    </row>
    <row r="466" spans="1:20" ht="15.75" customHeight="1" x14ac:dyDescent="0.3">
      <c r="A466" s="142" t="s">
        <v>478</v>
      </c>
      <c r="B466" s="143">
        <f>B$467+(SUMIF($T$310:$T$439,"SRO",B$317:B$455)/B10/1.98)</f>
        <v>316.16807378849251</v>
      </c>
      <c r="C466" s="143">
        <f>C$467+(SUMIF($T$310:$T$439,"SRO",C$317:C$455)/C10/1.98)</f>
        <v>392.42241411303439</v>
      </c>
      <c r="D466" s="143">
        <f>D$467+(SUMIF($T$310:$T$439,"SRO",D$317:D$455)/D10/1.98)</f>
        <v>554.22050281744782</v>
      </c>
      <c r="E466" s="144"/>
      <c r="F466" s="143">
        <f>F$467+(SUMIF($T$310:$T$439,"SRO",F$317:F$455)/F10/1.98)</f>
        <v>748.13426753668807</v>
      </c>
      <c r="G466" s="143">
        <f>G$467+(SUMIF($T$310:$T$439,"SRO",G$317:G$455)/G10/1.98)</f>
        <v>728.69651076180764</v>
      </c>
      <c r="H466" s="143">
        <f>H$467+(SUMIF($T$310:$T$439,"SRO",H$317:H$455)/H10/1.98)</f>
        <v>775.47397831058947</v>
      </c>
      <c r="I466" s="52"/>
      <c r="J466" s="143">
        <f>J$467+(SUMIF($T$310:$T$439,"SRO",J$317:J$455)/J10/1.98)</f>
        <v>871.26792299551062</v>
      </c>
      <c r="K466" s="143">
        <f>K$467+(SUMIF($T$310:$T$439,"SRO",K$317:K$455)/K10/1.98)</f>
        <v>805.33155970421103</v>
      </c>
      <c r="L466" s="143">
        <f>L$467+(SUMIF($T$310:$T$439,"SRO",L$317:L$455)/L10/1.98)</f>
        <v>621.04764233357275</v>
      </c>
      <c r="M466" s="52"/>
      <c r="N466" s="143">
        <f>N$467+(SUMIF($T$310:$T$439,"SRO",N$317:N$455)/N10/1.98)</f>
        <v>278.9721183333013</v>
      </c>
      <c r="O466" s="143">
        <f>O$467+(SUMIF($T$310:$T$439,"SRO",O$317:O$455)/O10/1.98)</f>
        <v>312.74655276924568</v>
      </c>
      <c r="P466" s="143">
        <f>P$467+(SUMIF($T$310:$T$439,"SRO",P$317:P$455)/P10/1.98)</f>
        <v>301.30362726380486</v>
      </c>
      <c r="Q466" s="52"/>
      <c r="R466" s="52"/>
    </row>
    <row r="467" spans="1:20" ht="15.75" customHeight="1" x14ac:dyDescent="0.3">
      <c r="A467" s="142" t="s">
        <v>479</v>
      </c>
      <c r="B467" s="143">
        <f>B$508/B10/1.983</f>
        <v>264.55517056268604</v>
      </c>
      <c r="C467" s="143">
        <f>C$508/C10/1.983</f>
        <v>346.44478063540089</v>
      </c>
      <c r="D467" s="143">
        <f>D$508/D10/1.983</f>
        <v>537.04878564573062</v>
      </c>
      <c r="E467" s="98"/>
      <c r="F467" s="143">
        <f>F$508/F10/1.983</f>
        <v>720.27231467473518</v>
      </c>
      <c r="G467" s="143">
        <f>G$508/G10/1.983</f>
        <v>619.44268215314037</v>
      </c>
      <c r="H467" s="143">
        <f>H$508/H10/1.983</f>
        <v>653.84098167759282</v>
      </c>
      <c r="I467" s="1"/>
      <c r="J467" s="143">
        <f>J$508/J10/1.983</f>
        <v>715.85899500593746</v>
      </c>
      <c r="K467" s="143">
        <f>K$508/K10/1.983</f>
        <v>653.21360597335411</v>
      </c>
      <c r="L467" s="143">
        <f>L$508/L10/1.983</f>
        <v>486.33383761976802</v>
      </c>
      <c r="N467" s="143">
        <f>N$508/N10/1.983</f>
        <v>147.21910432222276</v>
      </c>
      <c r="O467" s="143">
        <f>O$508/O10/1.983</f>
        <v>142.83072785342074</v>
      </c>
      <c r="P467" s="143">
        <f>P$508/P10/1.983</f>
        <v>139.60600588876414</v>
      </c>
      <c r="R467" s="52"/>
    </row>
    <row r="468" spans="1:20" ht="15.75" customHeight="1" x14ac:dyDescent="0.3">
      <c r="A468" s="142"/>
      <c r="B468" s="143"/>
      <c r="C468" s="143"/>
      <c r="D468" s="143"/>
      <c r="E468" s="98"/>
      <c r="F468" s="143"/>
      <c r="G468" s="143"/>
      <c r="H468" s="143"/>
      <c r="I468" s="1"/>
      <c r="J468" s="143"/>
      <c r="K468" s="143"/>
      <c r="L468" s="143"/>
      <c r="N468" s="143"/>
      <c r="O468" s="143"/>
      <c r="P468" s="143"/>
      <c r="R468" s="52"/>
    </row>
    <row r="469" spans="1:20" ht="15.75" customHeight="1" thickBot="1" x14ac:dyDescent="0.35">
      <c r="A469" s="30"/>
      <c r="B469" s="1"/>
      <c r="C469" s="1"/>
      <c r="D469" s="1"/>
      <c r="E469" s="1"/>
      <c r="F469" s="1"/>
      <c r="G469" s="1"/>
      <c r="H469" s="1"/>
      <c r="I469" s="1"/>
      <c r="J469" s="1"/>
      <c r="K469" s="1"/>
      <c r="L469" s="1"/>
      <c r="M469" s="1"/>
      <c r="N469" s="1"/>
      <c r="O469" s="1"/>
      <c r="P469" s="1"/>
      <c r="Q469" s="1"/>
      <c r="R469" s="28"/>
    </row>
    <row r="470" spans="1:20" ht="16.5" customHeight="1" thickBot="1" x14ac:dyDescent="0.35">
      <c r="A470" s="31" t="s">
        <v>480</v>
      </c>
      <c r="B470" s="32" t="s">
        <v>36</v>
      </c>
      <c r="C470" s="33" t="s">
        <v>9</v>
      </c>
      <c r="D470" s="33" t="s">
        <v>10</v>
      </c>
      <c r="E470" s="12" t="s">
        <v>11</v>
      </c>
      <c r="F470" s="33" t="s">
        <v>12</v>
      </c>
      <c r="G470" s="33" t="s">
        <v>13</v>
      </c>
      <c r="H470" s="33" t="s">
        <v>14</v>
      </c>
      <c r="I470" s="34" t="s">
        <v>15</v>
      </c>
      <c r="J470" s="33" t="s">
        <v>16</v>
      </c>
      <c r="K470" s="33" t="s">
        <v>17</v>
      </c>
      <c r="L470" s="33" t="s">
        <v>18</v>
      </c>
      <c r="M470" s="34" t="s">
        <v>19</v>
      </c>
      <c r="N470" s="33" t="s">
        <v>20</v>
      </c>
      <c r="O470" s="33" t="s">
        <v>21</v>
      </c>
      <c r="P470" s="33" t="s">
        <v>22</v>
      </c>
      <c r="Q470" s="34" t="s">
        <v>23</v>
      </c>
      <c r="R470" s="35" t="s">
        <v>24</v>
      </c>
    </row>
    <row r="471" spans="1:20" ht="16.5" customHeight="1" thickBot="1" x14ac:dyDescent="0.35">
      <c r="A471" s="64"/>
      <c r="B471" s="81"/>
      <c r="C471" s="81"/>
      <c r="D471" s="81"/>
      <c r="E471" s="72"/>
      <c r="F471" s="81"/>
      <c r="G471" s="81"/>
      <c r="H471" s="81"/>
      <c r="I471" s="89"/>
      <c r="J471" s="81"/>
      <c r="K471" s="81"/>
      <c r="L471" s="81"/>
      <c r="M471" s="89"/>
      <c r="N471" s="81"/>
      <c r="O471" s="81"/>
      <c r="P471" s="81"/>
      <c r="Q471" s="89"/>
      <c r="R471" s="117"/>
    </row>
    <row r="472" spans="1:20" ht="15.75" customHeight="1" x14ac:dyDescent="0.3">
      <c r="A472" s="17" t="s">
        <v>45</v>
      </c>
      <c r="B472" s="1" t="s">
        <v>7</v>
      </c>
      <c r="C472" s="1" t="s">
        <v>7</v>
      </c>
      <c r="D472" s="1" t="s">
        <v>7</v>
      </c>
      <c r="E472" s="59" t="s">
        <v>7</v>
      </c>
      <c r="F472" s="1" t="s">
        <v>7</v>
      </c>
      <c r="G472" s="1" t="s">
        <v>7</v>
      </c>
      <c r="H472" s="1" t="s">
        <v>7</v>
      </c>
      <c r="I472" s="59" t="s">
        <v>7</v>
      </c>
      <c r="J472" s="1" t="s">
        <v>7</v>
      </c>
      <c r="K472" s="1" t="s">
        <v>7</v>
      </c>
      <c r="L472" s="1" t="s">
        <v>7</v>
      </c>
      <c r="M472" s="59" t="s">
        <v>7</v>
      </c>
      <c r="N472" s="1" t="s">
        <v>7</v>
      </c>
      <c r="O472" s="1" t="s">
        <v>7</v>
      </c>
      <c r="P472" s="1" t="s">
        <v>7</v>
      </c>
      <c r="Q472" s="59" t="s">
        <v>7</v>
      </c>
      <c r="R472" s="59" t="s">
        <v>7</v>
      </c>
    </row>
    <row r="473" spans="1:20" ht="15.75" customHeight="1" x14ac:dyDescent="0.3">
      <c r="A473" s="17" t="s">
        <v>46</v>
      </c>
      <c r="B473" s="1"/>
      <c r="C473" s="1"/>
      <c r="D473" s="1"/>
      <c r="E473" s="59" t="s">
        <v>7</v>
      </c>
      <c r="F473" s="1"/>
      <c r="G473" s="1"/>
      <c r="H473" s="1"/>
      <c r="I473" s="59" t="s">
        <v>7</v>
      </c>
      <c r="J473" s="1"/>
      <c r="K473" s="1"/>
      <c r="L473" s="1"/>
      <c r="M473" s="59" t="s">
        <v>7</v>
      </c>
      <c r="N473" s="1"/>
      <c r="O473" s="1"/>
      <c r="P473" s="1"/>
      <c r="Q473" s="59" t="s">
        <v>7</v>
      </c>
      <c r="R473" s="59" t="s">
        <v>7</v>
      </c>
    </row>
    <row r="474" spans="1:20" ht="15.75" customHeight="1" x14ac:dyDescent="0.3">
      <c r="A474" s="74" t="s">
        <v>481</v>
      </c>
      <c r="B474" s="1"/>
      <c r="C474" s="1"/>
      <c r="D474" s="1"/>
      <c r="E474" s="59">
        <f>SUM(B474:D474)</f>
        <v>0</v>
      </c>
      <c r="F474" s="1">
        <v>6</v>
      </c>
      <c r="G474" s="1">
        <v>6</v>
      </c>
      <c r="H474" s="1">
        <v>12</v>
      </c>
      <c r="I474" s="59">
        <f>SUM(F474:H474)</f>
        <v>24</v>
      </c>
      <c r="J474" s="1">
        <v>12</v>
      </c>
      <c r="K474" s="1">
        <v>12</v>
      </c>
      <c r="L474" s="1">
        <v>6</v>
      </c>
      <c r="M474" s="59">
        <f>SUM(J474:L474)</f>
        <v>30</v>
      </c>
      <c r="N474" s="1">
        <v>4</v>
      </c>
      <c r="O474" s="1">
        <v>1</v>
      </c>
      <c r="P474" s="1">
        <v>1</v>
      </c>
      <c r="Q474" s="59">
        <f>SUM(N474:P474)</f>
        <v>6</v>
      </c>
      <c r="R474" s="59">
        <f>+E474+I474+M474+Q474</f>
        <v>60</v>
      </c>
      <c r="T474" s="4" t="s">
        <v>366</v>
      </c>
    </row>
    <row r="475" spans="1:20" ht="15.75" customHeight="1" x14ac:dyDescent="0.3">
      <c r="A475" s="74" t="s">
        <v>482</v>
      </c>
      <c r="B475" s="1"/>
      <c r="C475" s="1"/>
      <c r="D475" s="1"/>
      <c r="E475" s="59">
        <f>SUM(B475:D475)</f>
        <v>0</v>
      </c>
      <c r="F475" s="1"/>
      <c r="G475" s="1"/>
      <c r="H475" s="1">
        <v>1600</v>
      </c>
      <c r="I475" s="59">
        <f>SUM(F475:H475)</f>
        <v>1600</v>
      </c>
      <c r="J475" s="1"/>
      <c r="K475" s="1"/>
      <c r="L475" s="1"/>
      <c r="M475" s="59">
        <f>SUM(J475:L475)</f>
        <v>0</v>
      </c>
      <c r="N475" s="1"/>
      <c r="O475" s="1"/>
      <c r="P475" s="1"/>
      <c r="Q475" s="59">
        <f>SUM(N475:P475)</f>
        <v>0</v>
      </c>
      <c r="R475" s="59">
        <f>+E475+I475+M475+Q475</f>
        <v>1600</v>
      </c>
      <c r="T475" s="4" t="s">
        <v>366</v>
      </c>
    </row>
    <row r="476" spans="1:20" ht="15.75" customHeight="1" x14ac:dyDescent="0.3">
      <c r="A476" s="74" t="s">
        <v>484</v>
      </c>
      <c r="B476" s="1"/>
      <c r="C476" s="1"/>
      <c r="D476" s="1"/>
      <c r="E476" s="59">
        <f>SUM(B476:D476)</f>
        <v>0</v>
      </c>
      <c r="F476" s="1"/>
      <c r="G476" s="1">
        <v>1000</v>
      </c>
      <c r="H476" s="1"/>
      <c r="I476" s="59">
        <f>SUM(F476:H476)</f>
        <v>1000</v>
      </c>
      <c r="J476" s="1"/>
      <c r="K476" s="1"/>
      <c r="L476" s="1"/>
      <c r="M476" s="59">
        <f>SUM(J476:L476)</f>
        <v>0</v>
      </c>
      <c r="N476" s="1"/>
      <c r="O476" s="1"/>
      <c r="P476" s="1"/>
      <c r="Q476" s="59">
        <f>SUM(N476:P476)</f>
        <v>0</v>
      </c>
      <c r="R476" s="59">
        <f>+E476+I476+M476+Q476</f>
        <v>1000</v>
      </c>
      <c r="T476" s="4" t="s">
        <v>366</v>
      </c>
    </row>
    <row r="477" spans="1:20" ht="15.75" customHeight="1" x14ac:dyDescent="0.3">
      <c r="A477" s="76" t="s">
        <v>485</v>
      </c>
      <c r="B477" s="1"/>
      <c r="C477" s="1"/>
      <c r="D477" s="1"/>
      <c r="E477" s="59">
        <f>SUM(B477:D477)</f>
        <v>0</v>
      </c>
      <c r="F477" s="1"/>
      <c r="G477" s="1"/>
      <c r="H477" s="1"/>
      <c r="I477" s="59">
        <f>SUM(F477:H477)</f>
        <v>0</v>
      </c>
      <c r="J477" s="1"/>
      <c r="K477" s="1"/>
      <c r="L477" s="1"/>
      <c r="M477" s="59">
        <f>SUM(J477:L477)</f>
        <v>0</v>
      </c>
      <c r="N477" s="1"/>
      <c r="O477" s="1"/>
      <c r="P477" s="1"/>
      <c r="Q477" s="59">
        <f>SUM(N477:P477)</f>
        <v>0</v>
      </c>
      <c r="R477" s="59">
        <f>+E477+I477+M477+Q477</f>
        <v>0</v>
      </c>
      <c r="T477" s="4" t="s">
        <v>366</v>
      </c>
    </row>
    <row r="478" spans="1:20" ht="15.75" customHeight="1" x14ac:dyDescent="0.3">
      <c r="A478" s="17" t="s">
        <v>47</v>
      </c>
      <c r="B478" s="1"/>
      <c r="C478" s="1"/>
      <c r="D478" s="1"/>
      <c r="E478" s="59" t="s">
        <v>7</v>
      </c>
      <c r="F478" s="1"/>
      <c r="G478" s="1"/>
      <c r="H478" s="1"/>
      <c r="I478" s="59" t="s">
        <v>7</v>
      </c>
      <c r="J478" s="1"/>
      <c r="K478" s="1"/>
      <c r="L478" s="1"/>
      <c r="M478" s="59" t="s">
        <v>7</v>
      </c>
      <c r="N478" s="1"/>
      <c r="O478" s="1"/>
      <c r="P478" s="1"/>
      <c r="Q478" s="59" t="s">
        <v>7</v>
      </c>
      <c r="R478" s="59" t="s">
        <v>7</v>
      </c>
    </row>
    <row r="479" spans="1:20" ht="15.75" customHeight="1" x14ac:dyDescent="0.3">
      <c r="A479" s="74" t="s">
        <v>486</v>
      </c>
      <c r="B479" s="1"/>
      <c r="C479" s="1"/>
      <c r="D479" s="1"/>
      <c r="E479" s="59">
        <f>SUM(B479:D479)</f>
        <v>0</v>
      </c>
      <c r="F479" s="1"/>
      <c r="G479" s="1"/>
      <c r="H479" s="1"/>
      <c r="I479" s="59">
        <f>SUM(F479:H479)</f>
        <v>0</v>
      </c>
      <c r="J479" s="1"/>
      <c r="K479" s="1"/>
      <c r="L479" s="1"/>
      <c r="M479" s="59">
        <f>SUM(J479:L479)</f>
        <v>0</v>
      </c>
      <c r="N479" s="1"/>
      <c r="O479" s="1"/>
      <c r="P479" s="1"/>
      <c r="Q479" s="59">
        <f>SUM(N479:P479)</f>
        <v>0</v>
      </c>
      <c r="R479" s="59">
        <f>+E479+I479+M479+Q479</f>
        <v>0</v>
      </c>
    </row>
    <row r="480" spans="1:20" ht="15.75" customHeight="1" x14ac:dyDescent="0.3">
      <c r="A480" s="74" t="s">
        <v>487</v>
      </c>
      <c r="B480" s="1"/>
      <c r="C480" s="1"/>
      <c r="D480" s="1"/>
      <c r="E480" s="59">
        <f>SUM(B480:D480)</f>
        <v>0</v>
      </c>
      <c r="F480" s="1"/>
      <c r="G480" s="1"/>
      <c r="H480" s="1"/>
      <c r="I480" s="59">
        <f>SUM(F480:H480)</f>
        <v>0</v>
      </c>
      <c r="J480" s="1"/>
      <c r="K480" s="1"/>
      <c r="L480" s="1"/>
      <c r="M480" s="59">
        <f>SUM(J480:L480)</f>
        <v>0</v>
      </c>
      <c r="N480" s="1"/>
      <c r="O480" s="1"/>
      <c r="P480" s="1"/>
      <c r="Q480" s="59">
        <f>SUM(N480:P480)</f>
        <v>0</v>
      </c>
      <c r="R480" s="59">
        <f>+E480+I480+M480+Q480</f>
        <v>0</v>
      </c>
    </row>
    <row r="481" spans="1:20" ht="15.75" customHeight="1" x14ac:dyDescent="0.3">
      <c r="A481" s="17" t="s">
        <v>898</v>
      </c>
      <c r="B481" s="1"/>
      <c r="C481" s="1"/>
      <c r="D481" s="1"/>
      <c r="E481" s="59" t="s">
        <v>7</v>
      </c>
      <c r="F481" s="1"/>
      <c r="G481" s="1"/>
      <c r="H481" s="1"/>
      <c r="I481" s="59" t="s">
        <v>7</v>
      </c>
      <c r="J481" s="1"/>
      <c r="K481" s="1"/>
      <c r="L481" s="1"/>
      <c r="M481" s="59" t="s">
        <v>7</v>
      </c>
      <c r="N481" s="1"/>
      <c r="O481" s="1"/>
      <c r="P481" s="1"/>
      <c r="Q481" s="59" t="s">
        <v>7</v>
      </c>
      <c r="R481" s="59" t="s">
        <v>7</v>
      </c>
    </row>
    <row r="482" spans="1:20" ht="15.75" customHeight="1" thickBot="1" x14ac:dyDescent="0.35">
      <c r="A482" s="17" t="s">
        <v>51</v>
      </c>
      <c r="B482" s="1"/>
      <c r="C482" s="1"/>
      <c r="D482" s="1"/>
      <c r="E482" s="59" t="s">
        <v>7</v>
      </c>
      <c r="F482" s="1"/>
      <c r="G482" s="1"/>
      <c r="H482" s="1"/>
      <c r="I482" s="59" t="s">
        <v>7</v>
      </c>
      <c r="J482" s="1"/>
      <c r="K482" s="1"/>
      <c r="L482" s="1"/>
      <c r="M482" s="59" t="s">
        <v>7</v>
      </c>
      <c r="N482" s="1"/>
      <c r="O482" s="1"/>
      <c r="P482" s="1"/>
      <c r="Q482" s="59" t="s">
        <v>7</v>
      </c>
      <c r="R482" s="59" t="s">
        <v>7</v>
      </c>
    </row>
    <row r="483" spans="1:20" ht="16.5" customHeight="1" thickBot="1" x14ac:dyDescent="0.35">
      <c r="A483" s="126" t="s">
        <v>52</v>
      </c>
      <c r="B483" s="100">
        <f>SUM(B472:B482)</f>
        <v>0</v>
      </c>
      <c r="C483" s="101">
        <f>SUM(C472:C482)</f>
        <v>0</v>
      </c>
      <c r="D483" s="101">
        <f>SUM(D472:D482)</f>
        <v>0</v>
      </c>
      <c r="E483" s="64">
        <f>SUM(B483:D483)</f>
        <v>0</v>
      </c>
      <c r="F483" s="101">
        <f>SUM(F472:F482)</f>
        <v>6</v>
      </c>
      <c r="G483" s="101">
        <f>SUM(G472:G482)</f>
        <v>1006</v>
      </c>
      <c r="H483" s="101">
        <f>SUM(H472:H482)</f>
        <v>1612</v>
      </c>
      <c r="I483" s="64">
        <f>SUM(F483:H483)</f>
        <v>2624</v>
      </c>
      <c r="J483" s="101">
        <f>SUM(J472:J482)</f>
        <v>12</v>
      </c>
      <c r="K483" s="101">
        <f>SUM(K472:K482)</f>
        <v>12</v>
      </c>
      <c r="L483" s="101">
        <f>SUM(L472:L482)</f>
        <v>6</v>
      </c>
      <c r="M483" s="64">
        <f>SUM(J483:L483)</f>
        <v>30</v>
      </c>
      <c r="N483" s="101">
        <f>SUM(N472:N482)</f>
        <v>4</v>
      </c>
      <c r="O483" s="101">
        <f>SUM(O472:O482)</f>
        <v>1</v>
      </c>
      <c r="P483" s="101">
        <f>SUM(P472:P482)</f>
        <v>1</v>
      </c>
      <c r="Q483" s="64">
        <f>SUM(N483:P483)</f>
        <v>6</v>
      </c>
      <c r="R483" s="64">
        <f>+E483+I483+M483+Q483</f>
        <v>2660</v>
      </c>
    </row>
    <row r="484" spans="1:20" ht="15.75" customHeight="1" x14ac:dyDescent="0.3">
      <c r="A484" s="17" t="s">
        <v>53</v>
      </c>
      <c r="B484" s="1"/>
      <c r="C484" s="1"/>
      <c r="D484" s="1"/>
      <c r="E484" s="59" t="s">
        <v>7</v>
      </c>
      <c r="F484" s="1"/>
      <c r="G484" s="1"/>
      <c r="H484" s="1"/>
      <c r="I484" s="59" t="s">
        <v>7</v>
      </c>
      <c r="J484" s="1"/>
      <c r="K484" s="1"/>
      <c r="L484" s="1"/>
      <c r="M484" s="59" t="s">
        <v>7</v>
      </c>
      <c r="N484" s="1" t="s">
        <v>7</v>
      </c>
      <c r="O484" s="1"/>
      <c r="P484" s="1"/>
      <c r="Q484" s="59" t="s">
        <v>7</v>
      </c>
      <c r="R484" s="59" t="s">
        <v>7</v>
      </c>
    </row>
    <row r="485" spans="1:20" ht="15.75" customHeight="1" x14ac:dyDescent="0.3">
      <c r="A485" s="17" t="s">
        <v>55</v>
      </c>
      <c r="B485" s="1"/>
      <c r="C485" s="1"/>
      <c r="D485" s="1"/>
      <c r="E485" s="59" t="s">
        <v>7</v>
      </c>
      <c r="F485" s="1"/>
      <c r="G485" s="1"/>
      <c r="H485" s="1"/>
      <c r="I485" s="59" t="s">
        <v>7</v>
      </c>
      <c r="J485" s="1"/>
      <c r="K485" s="1"/>
      <c r="L485" s="1"/>
      <c r="M485" s="59" t="s">
        <v>7</v>
      </c>
      <c r="N485" s="1"/>
      <c r="O485" s="1"/>
      <c r="P485" s="1"/>
      <c r="Q485" s="59" t="s">
        <v>7</v>
      </c>
      <c r="R485" s="59" t="s">
        <v>7</v>
      </c>
    </row>
    <row r="486" spans="1:20" ht="15.75" customHeight="1" x14ac:dyDescent="0.3">
      <c r="A486" s="74" t="s">
        <v>488</v>
      </c>
      <c r="B486" s="1">
        <v>275</v>
      </c>
      <c r="C486" s="1">
        <v>710</v>
      </c>
      <c r="D486" s="1">
        <v>4195</v>
      </c>
      <c r="E486" s="59">
        <f>SUM(B486:D486)</f>
        <v>5180</v>
      </c>
      <c r="F486" s="1">
        <v>10000</v>
      </c>
      <c r="G486" s="1">
        <v>3983</v>
      </c>
      <c r="H486" s="1">
        <v>5760</v>
      </c>
      <c r="I486" s="59">
        <f>SUM(F486:H486)</f>
        <v>19743</v>
      </c>
      <c r="J486" s="1">
        <v>12420</v>
      </c>
      <c r="K486" s="1">
        <v>7476</v>
      </c>
      <c r="L486" s="1">
        <v>4480</v>
      </c>
      <c r="M486" s="59">
        <f>SUM(J486:L486)</f>
        <v>24376</v>
      </c>
      <c r="N486" s="1">
        <v>1116</v>
      </c>
      <c r="O486" s="1">
        <v>850</v>
      </c>
      <c r="P486" s="1">
        <v>1022</v>
      </c>
      <c r="Q486" s="59">
        <f>SUM(N486:P486)</f>
        <v>2988</v>
      </c>
      <c r="R486" s="59">
        <f>+E486+I486+M486+Q486</f>
        <v>52287</v>
      </c>
    </row>
    <row r="487" spans="1:20" ht="15.75" customHeight="1" thickBot="1" x14ac:dyDescent="0.35">
      <c r="A487" s="17" t="s">
        <v>56</v>
      </c>
      <c r="B487" s="1"/>
      <c r="C487" s="1"/>
      <c r="D487" s="1"/>
      <c r="E487" s="59" t="s">
        <v>7</v>
      </c>
      <c r="F487" s="1"/>
      <c r="G487" s="1"/>
      <c r="H487" s="1"/>
      <c r="I487" s="59" t="s">
        <v>7</v>
      </c>
      <c r="J487" s="1"/>
      <c r="K487" s="1"/>
      <c r="L487" s="1"/>
      <c r="M487" s="59" t="s">
        <v>7</v>
      </c>
      <c r="N487" s="1"/>
      <c r="O487" s="1"/>
      <c r="P487" s="1"/>
      <c r="Q487" s="59" t="s">
        <v>7</v>
      </c>
      <c r="R487" s="59" t="s">
        <v>7</v>
      </c>
    </row>
    <row r="488" spans="1:20" ht="16.5" customHeight="1" thickBot="1" x14ac:dyDescent="0.35">
      <c r="A488" s="62" t="s">
        <v>57</v>
      </c>
      <c r="B488" s="100">
        <f>SUM(B484:B487)</f>
        <v>275</v>
      </c>
      <c r="C488" s="101">
        <f>SUM(C484:C487)</f>
        <v>710</v>
      </c>
      <c r="D488" s="101">
        <f>SUM(D484:D487)</f>
        <v>4195</v>
      </c>
      <c r="E488" s="64">
        <f>SUM(B488:D488)</f>
        <v>5180</v>
      </c>
      <c r="F488" s="101">
        <f>SUM(F484:F487)</f>
        <v>10000</v>
      </c>
      <c r="G488" s="101">
        <f>SUM(G484:G487)</f>
        <v>3983</v>
      </c>
      <c r="H488" s="101">
        <f>SUM(H484:H487)</f>
        <v>5760</v>
      </c>
      <c r="I488" s="64">
        <f>SUM(F488:H488)</f>
        <v>19743</v>
      </c>
      <c r="J488" s="101">
        <f>SUM(J484:J487)</f>
        <v>12420</v>
      </c>
      <c r="K488" s="101">
        <f>SUM(K484:K487)</f>
        <v>7476</v>
      </c>
      <c r="L488" s="101">
        <f>SUM(L484:L487)</f>
        <v>4480</v>
      </c>
      <c r="M488" s="64">
        <f>SUM(J488:L488)</f>
        <v>24376</v>
      </c>
      <c r="N488" s="101">
        <f>SUM(N484:N487)</f>
        <v>1116</v>
      </c>
      <c r="O488" s="101">
        <f>SUM(O484:O487)</f>
        <v>850</v>
      </c>
      <c r="P488" s="101">
        <f>SUM(P484:P487)</f>
        <v>1022</v>
      </c>
      <c r="Q488" s="64">
        <f>SUM(N488:P488)</f>
        <v>2988</v>
      </c>
      <c r="R488" s="64">
        <f>+E488+I488+M488+Q488</f>
        <v>52287</v>
      </c>
    </row>
    <row r="489" spans="1:20" ht="15.75" customHeight="1" x14ac:dyDescent="0.3">
      <c r="A489" s="17" t="s">
        <v>58</v>
      </c>
      <c r="B489" s="1"/>
      <c r="C489" s="1"/>
      <c r="D489" s="1"/>
      <c r="E489" s="59" t="s">
        <v>7</v>
      </c>
      <c r="F489" s="1"/>
      <c r="G489" s="1"/>
      <c r="H489" s="1"/>
      <c r="I489" s="59" t="s">
        <v>7</v>
      </c>
      <c r="J489" s="1"/>
      <c r="K489" s="1"/>
      <c r="L489" s="1"/>
      <c r="M489" s="59" t="s">
        <v>7</v>
      </c>
      <c r="N489" s="1"/>
      <c r="O489" s="1"/>
      <c r="P489" s="1"/>
      <c r="Q489" s="59" t="s">
        <v>7</v>
      </c>
      <c r="R489" s="59" t="s">
        <v>7</v>
      </c>
    </row>
    <row r="490" spans="1:20" ht="15.75" customHeight="1" x14ac:dyDescent="0.3">
      <c r="A490" s="17" t="s">
        <v>59</v>
      </c>
      <c r="B490" s="1"/>
      <c r="C490" s="1"/>
      <c r="D490" s="1"/>
      <c r="E490" s="59" t="s">
        <v>7</v>
      </c>
      <c r="F490" s="1"/>
      <c r="G490" s="1"/>
      <c r="H490" s="1"/>
      <c r="I490" s="59" t="s">
        <v>7</v>
      </c>
      <c r="J490" s="1"/>
      <c r="K490" s="1"/>
      <c r="L490" s="1"/>
      <c r="M490" s="59" t="s">
        <v>7</v>
      </c>
      <c r="N490" s="1"/>
      <c r="O490" s="1"/>
      <c r="P490" s="1"/>
      <c r="Q490" s="59" t="s">
        <v>7</v>
      </c>
      <c r="R490" s="59" t="s">
        <v>7</v>
      </c>
    </row>
    <row r="491" spans="1:20" ht="15.75" customHeight="1" x14ac:dyDescent="0.3">
      <c r="A491" s="17" t="s">
        <v>60</v>
      </c>
      <c r="B491" s="1"/>
      <c r="C491" s="1"/>
      <c r="D491" s="1"/>
      <c r="E491" s="59" t="s">
        <v>7</v>
      </c>
      <c r="F491" s="1"/>
      <c r="G491" s="1"/>
      <c r="H491" s="1"/>
      <c r="I491" s="59" t="s">
        <v>7</v>
      </c>
      <c r="J491" s="1"/>
      <c r="K491" s="1"/>
      <c r="L491" s="1"/>
      <c r="M491" s="59" t="s">
        <v>7</v>
      </c>
      <c r="N491" s="1"/>
      <c r="O491" s="1"/>
      <c r="P491" s="1"/>
      <c r="Q491" s="59" t="s">
        <v>7</v>
      </c>
      <c r="R491" s="59" t="s">
        <v>7</v>
      </c>
    </row>
    <row r="492" spans="1:20" ht="15.75" customHeight="1" thickBot="1" x14ac:dyDescent="0.35">
      <c r="A492" s="103" t="s">
        <v>856</v>
      </c>
      <c r="B492" s="1"/>
      <c r="C492" s="1"/>
      <c r="D492" s="4">
        <v>2000</v>
      </c>
      <c r="E492" s="59">
        <f>SUM(B492:D492)</f>
        <v>2000</v>
      </c>
      <c r="F492" s="1">
        <v>4000</v>
      </c>
      <c r="G492" s="1">
        <v>4000</v>
      </c>
      <c r="H492" s="1">
        <v>2000</v>
      </c>
      <c r="I492" s="59">
        <f>SUM(F492:H492)</f>
        <v>10000</v>
      </c>
      <c r="J492" s="1"/>
      <c r="K492" s="1"/>
      <c r="L492" s="1"/>
      <c r="M492" s="59">
        <f>SUM(J492:L492)</f>
        <v>0</v>
      </c>
      <c r="N492" s="1"/>
      <c r="O492" s="1"/>
      <c r="P492" s="1"/>
      <c r="Q492" s="59">
        <f>SUM(N492:P492)</f>
        <v>0</v>
      </c>
      <c r="R492" s="59">
        <f>+E492+I492+M492+Q492</f>
        <v>12000</v>
      </c>
      <c r="T492" s="4" t="s">
        <v>366</v>
      </c>
    </row>
    <row r="493" spans="1:20" ht="16.5" customHeight="1" thickBot="1" x14ac:dyDescent="0.35">
      <c r="A493" s="137" t="s">
        <v>61</v>
      </c>
      <c r="B493" s="100">
        <f>SUM(B489:B492)</f>
        <v>0</v>
      </c>
      <c r="C493" s="101">
        <f>SUM(C489:C492)</f>
        <v>0</v>
      </c>
      <c r="D493" s="101">
        <f>SUM(D489:D492)</f>
        <v>2000</v>
      </c>
      <c r="E493" s="64">
        <f>SUM(B493:D493)</f>
        <v>2000</v>
      </c>
      <c r="F493" s="101">
        <f>SUM(F489:F492)</f>
        <v>4000</v>
      </c>
      <c r="G493" s="101">
        <f>SUM(G489:G492)</f>
        <v>4000</v>
      </c>
      <c r="H493" s="101">
        <f>SUM(H489:H492)</f>
        <v>2000</v>
      </c>
      <c r="I493" s="64">
        <f>SUM(F493:H493)</f>
        <v>10000</v>
      </c>
      <c r="J493" s="101">
        <f>SUM(J489:J492)</f>
        <v>0</v>
      </c>
      <c r="K493" s="101">
        <f>SUM(K489:K492)</f>
        <v>0</v>
      </c>
      <c r="L493" s="101">
        <f>SUM(L489:L492)</f>
        <v>0</v>
      </c>
      <c r="M493" s="64">
        <f>SUM(J493:L493)</f>
        <v>0</v>
      </c>
      <c r="N493" s="101">
        <f>SUM(N489:N492)</f>
        <v>0</v>
      </c>
      <c r="O493" s="101">
        <f>SUM(O489:O492)</f>
        <v>0</v>
      </c>
      <c r="P493" s="101">
        <f>SUM(P489:P492)</f>
        <v>0</v>
      </c>
      <c r="Q493" s="64">
        <f>SUM(N493:P493)</f>
        <v>0</v>
      </c>
      <c r="R493" s="64">
        <f>+E493+I493+M493+Q493</f>
        <v>12000</v>
      </c>
    </row>
    <row r="494" spans="1:20" ht="15.75" customHeight="1" x14ac:dyDescent="0.3">
      <c r="A494" s="17" t="s">
        <v>62</v>
      </c>
      <c r="B494" s="1"/>
      <c r="C494" s="1"/>
      <c r="D494" s="1"/>
      <c r="E494" s="59" t="s">
        <v>7</v>
      </c>
      <c r="F494" s="1"/>
      <c r="G494" s="1"/>
      <c r="H494" s="1"/>
      <c r="I494" s="59" t="s">
        <v>7</v>
      </c>
      <c r="J494" s="1"/>
      <c r="K494" s="1"/>
      <c r="L494" s="1"/>
      <c r="M494" s="59" t="s">
        <v>7</v>
      </c>
      <c r="N494" s="1"/>
      <c r="O494" s="1"/>
      <c r="P494" s="1"/>
      <c r="Q494" s="59" t="s">
        <v>7</v>
      </c>
      <c r="R494" s="59" t="s">
        <v>7</v>
      </c>
    </row>
    <row r="495" spans="1:20" ht="15.75" customHeight="1" x14ac:dyDescent="0.3">
      <c r="A495" s="17" t="s">
        <v>63</v>
      </c>
      <c r="B495" s="1"/>
      <c r="C495" s="1"/>
      <c r="D495" s="1"/>
      <c r="E495" s="59" t="s">
        <v>7</v>
      </c>
      <c r="F495" s="1"/>
      <c r="G495" s="1"/>
      <c r="H495" s="1"/>
      <c r="I495" s="59" t="s">
        <v>7</v>
      </c>
      <c r="J495" s="1"/>
      <c r="K495" s="1"/>
      <c r="L495" s="1"/>
      <c r="M495" s="59" t="s">
        <v>7</v>
      </c>
      <c r="N495" s="1"/>
      <c r="O495" s="1"/>
      <c r="P495" s="1"/>
      <c r="Q495" s="59" t="s">
        <v>7</v>
      </c>
      <c r="R495" s="59" t="s">
        <v>7</v>
      </c>
    </row>
    <row r="496" spans="1:20" ht="15.75" customHeight="1" x14ac:dyDescent="0.3">
      <c r="A496" s="17" t="s">
        <v>64</v>
      </c>
      <c r="B496" s="1"/>
      <c r="C496" s="1"/>
      <c r="D496" s="1"/>
      <c r="E496" s="59" t="s">
        <v>7</v>
      </c>
      <c r="F496" s="1"/>
      <c r="G496" s="1"/>
      <c r="H496" s="1"/>
      <c r="I496" s="59" t="s">
        <v>7</v>
      </c>
      <c r="J496" s="1"/>
      <c r="K496" s="1"/>
      <c r="L496" s="1"/>
      <c r="M496" s="59" t="s">
        <v>7</v>
      </c>
      <c r="N496" s="1"/>
      <c r="O496" s="1"/>
      <c r="P496" s="1"/>
      <c r="Q496" s="59" t="s">
        <v>7</v>
      </c>
      <c r="R496" s="59" t="s">
        <v>7</v>
      </c>
    </row>
    <row r="497" spans="1:20" ht="15.75" customHeight="1" x14ac:dyDescent="0.3">
      <c r="A497" s="17" t="s">
        <v>66</v>
      </c>
      <c r="B497" s="1"/>
      <c r="C497" s="1"/>
      <c r="D497" s="1"/>
      <c r="E497" s="59" t="s">
        <v>7</v>
      </c>
      <c r="F497" s="1"/>
      <c r="G497" s="1"/>
      <c r="H497" s="1"/>
      <c r="I497" s="59" t="s">
        <v>7</v>
      </c>
      <c r="J497" s="1"/>
      <c r="K497" s="1"/>
      <c r="L497" s="1"/>
      <c r="M497" s="59" t="s">
        <v>7</v>
      </c>
      <c r="N497" s="1"/>
      <c r="O497" s="1"/>
      <c r="P497" s="1"/>
      <c r="Q497" s="59" t="s">
        <v>7</v>
      </c>
      <c r="R497" s="59" t="s">
        <v>7</v>
      </c>
    </row>
    <row r="498" spans="1:20" ht="15.75" customHeight="1" x14ac:dyDescent="0.3">
      <c r="A498" s="17" t="s">
        <v>67</v>
      </c>
      <c r="B498" s="1"/>
      <c r="C498" s="1"/>
      <c r="D498" s="1"/>
      <c r="E498" s="59" t="s">
        <v>7</v>
      </c>
      <c r="F498" s="1"/>
      <c r="G498" s="1"/>
      <c r="H498" s="1"/>
      <c r="I498" s="59" t="s">
        <v>7</v>
      </c>
      <c r="J498" s="1"/>
      <c r="K498" s="1"/>
      <c r="L498" s="1"/>
      <c r="M498" s="59" t="s">
        <v>7</v>
      </c>
      <c r="N498" s="1"/>
      <c r="O498" s="1"/>
      <c r="P498" s="1"/>
      <c r="Q498" s="59" t="s">
        <v>7</v>
      </c>
      <c r="R498" s="59" t="s">
        <v>7</v>
      </c>
    </row>
    <row r="499" spans="1:20" ht="15.75" customHeight="1" x14ac:dyDescent="0.3">
      <c r="A499" s="74" t="s">
        <v>460</v>
      </c>
      <c r="B499" s="1"/>
      <c r="C499" s="1"/>
      <c r="D499" s="1"/>
      <c r="E499" s="59">
        <f t="shared" ref="E499:E500" si="148">SUM(B499:D499)</f>
        <v>0</v>
      </c>
      <c r="F499" s="1"/>
      <c r="G499" s="1"/>
      <c r="H499" s="1"/>
      <c r="I499" s="59">
        <f t="shared" ref="I499:I500" si="149">SUM(F499:H499)</f>
        <v>0</v>
      </c>
      <c r="J499" s="1"/>
      <c r="K499" s="1">
        <v>3800</v>
      </c>
      <c r="L499" s="1"/>
      <c r="M499" s="59">
        <f t="shared" ref="M499:M500" si="150">SUM(J499:L499)</f>
        <v>3800</v>
      </c>
      <c r="N499" s="1"/>
      <c r="O499" s="1"/>
      <c r="P499" s="1"/>
      <c r="Q499" s="59">
        <f t="shared" ref="Q499:Q500" si="151">SUM(N499:P499)</f>
        <v>0</v>
      </c>
      <c r="R499" s="59">
        <f t="shared" ref="R499:R504" si="152">+E499+I499+M499+Q499</f>
        <v>3800</v>
      </c>
      <c r="T499" s="4" t="s">
        <v>366</v>
      </c>
    </row>
    <row r="500" spans="1:20" ht="15.75" customHeight="1" thickBot="1" x14ac:dyDescent="0.35">
      <c r="A500" s="74" t="s">
        <v>491</v>
      </c>
      <c r="B500" s="1"/>
      <c r="C500" s="1"/>
      <c r="D500" s="1"/>
      <c r="E500" s="59">
        <f t="shared" si="148"/>
        <v>0</v>
      </c>
      <c r="F500" s="1"/>
      <c r="G500" s="1"/>
      <c r="H500" s="1"/>
      <c r="I500" s="59">
        <f t="shared" si="149"/>
        <v>0</v>
      </c>
      <c r="J500" s="1"/>
      <c r="K500" s="1"/>
      <c r="L500" s="1"/>
      <c r="M500" s="59">
        <f t="shared" si="150"/>
        <v>0</v>
      </c>
      <c r="N500" s="1"/>
      <c r="O500" s="1"/>
      <c r="P500" s="1"/>
      <c r="Q500" s="59">
        <f t="shared" si="151"/>
        <v>0</v>
      </c>
      <c r="R500" s="59">
        <f t="shared" si="152"/>
        <v>0</v>
      </c>
      <c r="T500" s="4" t="s">
        <v>366</v>
      </c>
    </row>
    <row r="501" spans="1:20" ht="16.5" customHeight="1" thickBot="1" x14ac:dyDescent="0.35">
      <c r="A501" s="62" t="s">
        <v>68</v>
      </c>
      <c r="B501" s="63">
        <f>SUM(B497:B500)</f>
        <v>0</v>
      </c>
      <c r="C501" s="63">
        <f>SUM(C497:C500)</f>
        <v>0</v>
      </c>
      <c r="D501" s="63">
        <f>SUM(D497:D500)</f>
        <v>0</v>
      </c>
      <c r="E501" s="65">
        <f t="shared" ref="E501:E504" si="153">SUM(B501:D501)</f>
        <v>0</v>
      </c>
      <c r="F501" s="63">
        <f>SUM(F497:F500)</f>
        <v>0</v>
      </c>
      <c r="G501" s="63">
        <f>SUM(G497:G500)</f>
        <v>0</v>
      </c>
      <c r="H501" s="63">
        <f>SUM(H497:H500)</f>
        <v>0</v>
      </c>
      <c r="I501" s="65">
        <f t="shared" ref="I501:I504" si="154">SUM(F501:H501)</f>
        <v>0</v>
      </c>
      <c r="J501" s="63">
        <f>SUM(J497:J500)</f>
        <v>0</v>
      </c>
      <c r="K501" s="63">
        <f>SUM(K497:K500)</f>
        <v>3800</v>
      </c>
      <c r="L501" s="63">
        <f>SUM(L497:L500)</f>
        <v>0</v>
      </c>
      <c r="M501" s="65">
        <f t="shared" ref="M501:M504" si="155">SUM(J501:L501)</f>
        <v>3800</v>
      </c>
      <c r="N501" s="63">
        <f>SUM(N497:N500)</f>
        <v>0</v>
      </c>
      <c r="O501" s="63">
        <f>SUM(O497:O500)</f>
        <v>0</v>
      </c>
      <c r="P501" s="63">
        <f>SUM(P497:P500)</f>
        <v>0</v>
      </c>
      <c r="Q501" s="65">
        <f t="shared" ref="Q501:Q504" si="156">SUM(N501:P501)</f>
        <v>0</v>
      </c>
      <c r="R501" s="64">
        <f t="shared" si="152"/>
        <v>3800</v>
      </c>
    </row>
    <row r="502" spans="1:20" ht="16.5" customHeight="1" thickBot="1" x14ac:dyDescent="0.35">
      <c r="A502" s="137" t="s">
        <v>69</v>
      </c>
      <c r="B502" s="100">
        <f>SUM(B494:B500)</f>
        <v>0</v>
      </c>
      <c r="C502" s="101">
        <f>SUM(C494:C500)</f>
        <v>0</v>
      </c>
      <c r="D502" s="138">
        <f>SUM(D494:D500)</f>
        <v>0</v>
      </c>
      <c r="E502" s="65">
        <f t="shared" si="153"/>
        <v>0</v>
      </c>
      <c r="F502" s="101">
        <f>SUM(F494:F500)</f>
        <v>0</v>
      </c>
      <c r="G502" s="101">
        <f>SUM(G494:G500)</f>
        <v>0</v>
      </c>
      <c r="H502" s="101">
        <f>SUM(H494:H500)</f>
        <v>0</v>
      </c>
      <c r="I502" s="65">
        <f t="shared" si="154"/>
        <v>0</v>
      </c>
      <c r="J502" s="101">
        <f>SUM(J494:J500)</f>
        <v>0</v>
      </c>
      <c r="K502" s="101">
        <f>SUM(K494:K500)</f>
        <v>3800</v>
      </c>
      <c r="L502" s="101">
        <f>SUM(L494:L500)</f>
        <v>0</v>
      </c>
      <c r="M502" s="65">
        <f t="shared" si="155"/>
        <v>3800</v>
      </c>
      <c r="N502" s="101">
        <f>SUM(N494:N500)</f>
        <v>0</v>
      </c>
      <c r="O502" s="101">
        <f>SUM(O494:O500)</f>
        <v>0</v>
      </c>
      <c r="P502" s="101">
        <f>SUM(P494:P500)</f>
        <v>0</v>
      </c>
      <c r="Q502" s="65">
        <f t="shared" si="156"/>
        <v>0</v>
      </c>
      <c r="R502" s="64">
        <f t="shared" si="152"/>
        <v>3800</v>
      </c>
    </row>
    <row r="503" spans="1:20" ht="16.5" customHeight="1" thickBot="1" x14ac:dyDescent="0.35">
      <c r="A503" s="62" t="s">
        <v>70</v>
      </c>
      <c r="B503" s="107">
        <f>+B483+B488+B493+B502</f>
        <v>275</v>
      </c>
      <c r="C503" s="63">
        <f>+C483+C488+C493+C502</f>
        <v>710</v>
      </c>
      <c r="D503" s="63">
        <f>+D483+D488+D493+D502</f>
        <v>6195</v>
      </c>
      <c r="E503" s="64">
        <f t="shared" si="153"/>
        <v>7180</v>
      </c>
      <c r="F503" s="63">
        <f>+F483+F488+F493+F502</f>
        <v>14006</v>
      </c>
      <c r="G503" s="63">
        <f>+G483+G488+G493+G502</f>
        <v>8989</v>
      </c>
      <c r="H503" s="63">
        <f>+H483+H488+H493+H502</f>
        <v>9372</v>
      </c>
      <c r="I503" s="64">
        <f t="shared" si="154"/>
        <v>32367</v>
      </c>
      <c r="J503" s="63">
        <f>+J483+J488+J493+J502</f>
        <v>12432</v>
      </c>
      <c r="K503" s="63">
        <f>+K483+K488+K493+K502</f>
        <v>11288</v>
      </c>
      <c r="L503" s="63">
        <f>+L483+L488+L493+L502</f>
        <v>4486</v>
      </c>
      <c r="M503" s="64">
        <f t="shared" si="155"/>
        <v>28206</v>
      </c>
      <c r="N503" s="63">
        <f>+N483+N488+N493+N502</f>
        <v>1120</v>
      </c>
      <c r="O503" s="63">
        <f>+O483+O488+O493+O502</f>
        <v>851</v>
      </c>
      <c r="P503" s="63">
        <f>+P483+P488+P493+P502</f>
        <v>1023</v>
      </c>
      <c r="Q503" s="64">
        <f t="shared" si="156"/>
        <v>2994</v>
      </c>
      <c r="R503" s="88">
        <f t="shared" si="152"/>
        <v>70747</v>
      </c>
    </row>
    <row r="504" spans="1:20" ht="16.5" customHeight="1" thickBot="1" x14ac:dyDescent="0.35">
      <c r="A504" s="40" t="s">
        <v>37</v>
      </c>
      <c r="B504" s="25">
        <v>9</v>
      </c>
      <c r="C504" s="25">
        <v>16</v>
      </c>
      <c r="D504" s="25">
        <v>25</v>
      </c>
      <c r="E504" s="59">
        <f t="shared" si="153"/>
        <v>50</v>
      </c>
      <c r="F504" s="25">
        <v>34</v>
      </c>
      <c r="G504" s="25">
        <v>41</v>
      </c>
      <c r="H504" s="25">
        <v>41</v>
      </c>
      <c r="I504" s="59">
        <f t="shared" si="154"/>
        <v>116</v>
      </c>
      <c r="J504" s="25">
        <v>39</v>
      </c>
      <c r="K504" s="25">
        <v>30</v>
      </c>
      <c r="L504" s="25">
        <v>30</v>
      </c>
      <c r="M504" s="59">
        <f t="shared" si="155"/>
        <v>99</v>
      </c>
      <c r="N504" s="25">
        <v>28</v>
      </c>
      <c r="O504" s="25">
        <v>22</v>
      </c>
      <c r="P504" s="25">
        <v>16</v>
      </c>
      <c r="Q504" s="59">
        <f t="shared" si="156"/>
        <v>66</v>
      </c>
      <c r="R504" s="59">
        <f t="shared" si="152"/>
        <v>331</v>
      </c>
    </row>
    <row r="505" spans="1:20" ht="16.5" customHeight="1" thickBot="1" x14ac:dyDescent="0.35">
      <c r="A505" s="80"/>
      <c r="B505" s="81"/>
      <c r="C505" s="81"/>
      <c r="D505" s="81"/>
      <c r="E505" s="64"/>
      <c r="F505" s="81"/>
      <c r="G505" s="81"/>
      <c r="H505" s="81"/>
      <c r="I505" s="64"/>
      <c r="J505" s="81"/>
      <c r="K505" s="81"/>
      <c r="L505" s="81"/>
      <c r="M505" s="64"/>
      <c r="N505" s="81"/>
      <c r="O505" s="81"/>
      <c r="P505" s="81"/>
      <c r="Q505" s="64"/>
      <c r="R505" s="64" t="s">
        <v>7</v>
      </c>
    </row>
    <row r="506" spans="1:20" ht="15.75" customHeight="1" x14ac:dyDescent="0.3">
      <c r="A506" s="82" t="s">
        <v>38</v>
      </c>
      <c r="B506" s="83">
        <f>SUM(B503:B504)</f>
        <v>284</v>
      </c>
      <c r="C506" s="83">
        <f>SUM(C503:C504)</f>
        <v>726</v>
      </c>
      <c r="D506" s="83">
        <f>SUM(D503:D504)</f>
        <v>6220</v>
      </c>
      <c r="E506" s="65">
        <f>SUM(B506:D506)</f>
        <v>7230</v>
      </c>
      <c r="F506" s="83">
        <f>SUM(F503:F504)</f>
        <v>14040</v>
      </c>
      <c r="G506" s="83">
        <f>SUM(G503:G504)</f>
        <v>9030</v>
      </c>
      <c r="H506" s="83">
        <f>SUM(H503:H504)</f>
        <v>9413</v>
      </c>
      <c r="I506" s="65">
        <f>SUM(F506:H506)</f>
        <v>32483</v>
      </c>
      <c r="J506" s="83">
        <f>SUM(J503:J504)</f>
        <v>12471</v>
      </c>
      <c r="K506" s="83">
        <f>SUM(K503:K504)</f>
        <v>11318</v>
      </c>
      <c r="L506" s="83">
        <f>SUM(L503:L504)</f>
        <v>4516</v>
      </c>
      <c r="M506" s="65">
        <f>SUM(J506:L506)</f>
        <v>28305</v>
      </c>
      <c r="N506" s="83">
        <f>SUM(N503:N504)</f>
        <v>1148</v>
      </c>
      <c r="O506" s="83">
        <f>SUM(O503:O504)</f>
        <v>873</v>
      </c>
      <c r="P506" s="83">
        <f>SUM(P503:P504)</f>
        <v>1039</v>
      </c>
      <c r="Q506" s="65">
        <f>SUM(N506:P506)</f>
        <v>3060</v>
      </c>
      <c r="R506" s="65">
        <f>+E506+I506+M506+Q506</f>
        <v>71078</v>
      </c>
    </row>
    <row r="507" spans="1:20" ht="15.75" customHeight="1" x14ac:dyDescent="0.3">
      <c r="A507" s="85" t="s">
        <v>39</v>
      </c>
      <c r="B507" s="1">
        <f>(B506/B10)/1.983</f>
        <v>4.6199144339791456</v>
      </c>
      <c r="C507" s="1">
        <f>(C506/C10)/1.983</f>
        <v>13.075426842446507</v>
      </c>
      <c r="D507" s="1">
        <f>(D506/D10)/1.983</f>
        <v>101.18263302588129</v>
      </c>
      <c r="E507" s="59" t="s">
        <v>7</v>
      </c>
      <c r="F507" s="1">
        <f>(F506/F10)/1.983</f>
        <v>236.00605143721631</v>
      </c>
      <c r="G507" s="1">
        <f>(G506/G10)/1.983</f>
        <v>146.89375823532282</v>
      </c>
      <c r="H507" s="1">
        <f>(H506/H10)/1.983</f>
        <v>158.22827365943854</v>
      </c>
      <c r="I507" s="59" t="s">
        <v>7</v>
      </c>
      <c r="J507" s="1">
        <f>(J506/J10)/1.983</f>
        <v>202.86955248645748</v>
      </c>
      <c r="K507" s="1">
        <f>(K506/K10)/1.983</f>
        <v>184.11335057667594</v>
      </c>
      <c r="L507" s="1">
        <f>(L506/L10)/1.983</f>
        <v>75.911917969406616</v>
      </c>
      <c r="M507" s="59" t="s">
        <v>7</v>
      </c>
      <c r="N507" s="1">
        <f>(N506/N10)/1.983</f>
        <v>18.674865388056542</v>
      </c>
      <c r="O507" s="1">
        <f>(O506/O10)/1.983</f>
        <v>14.674735249621785</v>
      </c>
      <c r="P507" s="1">
        <f>(P506/P10)/1.983</f>
        <v>16.901729214451873</v>
      </c>
      <c r="Q507" s="59" t="s">
        <v>7</v>
      </c>
      <c r="R507" s="59" t="s">
        <v>7</v>
      </c>
    </row>
    <row r="508" spans="1:20" ht="15.75" customHeight="1" x14ac:dyDescent="0.3">
      <c r="A508" s="85" t="s">
        <v>492</v>
      </c>
      <c r="B508" s="1">
        <f>B506+B552</f>
        <v>16263</v>
      </c>
      <c r="C508" s="1">
        <f>C506+C552</f>
        <v>19236</v>
      </c>
      <c r="D508" s="1">
        <f>D506+D552</f>
        <v>33014</v>
      </c>
      <c r="E508" s="59">
        <f>SUM(B508:D508)</f>
        <v>68513</v>
      </c>
      <c r="F508" s="1">
        <f>F506+F552</f>
        <v>42849</v>
      </c>
      <c r="G508" s="1">
        <f>G506+G552</f>
        <v>38079</v>
      </c>
      <c r="H508" s="1">
        <f>H506+H552</f>
        <v>38897</v>
      </c>
      <c r="I508" s="59">
        <f>SUM(F508:H508)</f>
        <v>119825</v>
      </c>
      <c r="J508" s="1">
        <f>J506+J552</f>
        <v>44006</v>
      </c>
      <c r="K508" s="1">
        <f>K506+K552</f>
        <v>40155</v>
      </c>
      <c r="L508" s="1">
        <f>L506+L552</f>
        <v>28932</v>
      </c>
      <c r="M508" s="59">
        <f>SUM(J508:L508)</f>
        <v>113093</v>
      </c>
      <c r="N508" s="1">
        <f>N506+N552</f>
        <v>9050</v>
      </c>
      <c r="O508" s="1">
        <f>O506+O552</f>
        <v>8497</v>
      </c>
      <c r="P508" s="1">
        <f>P506+P552</f>
        <v>8582</v>
      </c>
      <c r="Q508" s="59">
        <f>SUM(N508:P508)</f>
        <v>26129</v>
      </c>
      <c r="R508" s="59">
        <f>+E508+I508+M508+Q508</f>
        <v>327560</v>
      </c>
    </row>
    <row r="509" spans="1:20" ht="16.5" customHeight="1" thickBot="1" x14ac:dyDescent="0.35">
      <c r="A509" s="86" t="s">
        <v>493</v>
      </c>
      <c r="B509" s="87">
        <f>(B508/B10)/1.983</f>
        <v>264.55517056268604</v>
      </c>
      <c r="C509" s="87">
        <f>(C508/C10)/1.983</f>
        <v>346.44478063540089</v>
      </c>
      <c r="D509" s="87">
        <f>(D508/D10)/1.983</f>
        <v>537.04878564573062</v>
      </c>
      <c r="E509" s="88" t="s">
        <v>7</v>
      </c>
      <c r="F509" s="87">
        <f>(F508/F10)/1.983</f>
        <v>720.27231467473518</v>
      </c>
      <c r="G509" s="87">
        <f>(G508/G10)/1.983</f>
        <v>619.44268215314037</v>
      </c>
      <c r="H509" s="87">
        <f>(H508/H10)/1.983</f>
        <v>653.84098167759282</v>
      </c>
      <c r="I509" s="88" t="s">
        <v>7</v>
      </c>
      <c r="J509" s="87">
        <f>(J508/J10)/1.983</f>
        <v>715.85899500593746</v>
      </c>
      <c r="K509" s="87">
        <f>(K508/K10)/1.983</f>
        <v>653.21360597335411</v>
      </c>
      <c r="L509" s="87">
        <f>(L508/L10)/1.983</f>
        <v>486.33383761976802</v>
      </c>
      <c r="M509" s="88" t="s">
        <v>7</v>
      </c>
      <c r="N509" s="87">
        <f>(N508/N10)/1.983</f>
        <v>147.21910432222276</v>
      </c>
      <c r="O509" s="87">
        <f>(O508/O10)/1.983</f>
        <v>142.83072785342074</v>
      </c>
      <c r="P509" s="87">
        <f>(P508/P10)/1.983</f>
        <v>139.60600588876414</v>
      </c>
      <c r="Q509" s="88" t="s">
        <v>7</v>
      </c>
      <c r="R509" s="88" t="s">
        <v>7</v>
      </c>
    </row>
    <row r="510" spans="1:20" ht="15.75" customHeight="1" x14ac:dyDescent="0.3">
      <c r="A510" s="28"/>
      <c r="B510" s="1"/>
      <c r="C510" s="1"/>
      <c r="D510" s="1"/>
      <c r="E510" s="1"/>
      <c r="F510" s="1"/>
      <c r="G510" s="1"/>
      <c r="H510" s="1"/>
      <c r="I510" s="1"/>
      <c r="J510" s="1"/>
      <c r="K510" s="1"/>
      <c r="L510" s="1"/>
      <c r="M510" s="1"/>
      <c r="N510" s="1"/>
      <c r="O510" s="1"/>
      <c r="P510" s="1"/>
      <c r="Q510" s="1"/>
      <c r="R510" s="28"/>
    </row>
    <row r="511" spans="1:20" ht="15.75" customHeight="1" thickBot="1" x14ac:dyDescent="0.35">
      <c r="A511" s="28"/>
      <c r="B511" s="1"/>
      <c r="C511" s="1"/>
      <c r="D511" s="1"/>
      <c r="E511" s="1"/>
      <c r="F511" s="1"/>
      <c r="G511" s="1"/>
      <c r="H511" s="1"/>
      <c r="I511" s="1"/>
      <c r="J511" s="1"/>
      <c r="K511" s="1"/>
      <c r="L511" s="1"/>
      <c r="M511" s="1"/>
      <c r="N511" s="1"/>
      <c r="O511" s="1"/>
      <c r="P511" s="1"/>
      <c r="Q511" s="1"/>
      <c r="R511" s="28"/>
    </row>
    <row r="512" spans="1:20" ht="16.5" customHeight="1" thickBot="1" x14ac:dyDescent="0.35">
      <c r="A512" s="145" t="s">
        <v>494</v>
      </c>
      <c r="B512" s="32" t="s">
        <v>36</v>
      </c>
      <c r="C512" s="33" t="s">
        <v>9</v>
      </c>
      <c r="D512" s="33" t="s">
        <v>10</v>
      </c>
      <c r="E512" s="12" t="s">
        <v>11</v>
      </c>
      <c r="F512" s="33" t="s">
        <v>12</v>
      </c>
      <c r="G512" s="33" t="s">
        <v>13</v>
      </c>
      <c r="H512" s="33" t="s">
        <v>14</v>
      </c>
      <c r="I512" s="34" t="s">
        <v>15</v>
      </c>
      <c r="J512" s="33" t="s">
        <v>16</v>
      </c>
      <c r="K512" s="33" t="s">
        <v>17</v>
      </c>
      <c r="L512" s="33" t="s">
        <v>18</v>
      </c>
      <c r="M512" s="34" t="s">
        <v>19</v>
      </c>
      <c r="N512" s="33" t="s">
        <v>20</v>
      </c>
      <c r="O512" s="33" t="s">
        <v>21</v>
      </c>
      <c r="P512" s="33" t="s">
        <v>22</v>
      </c>
      <c r="Q512" s="34" t="s">
        <v>23</v>
      </c>
      <c r="R512" s="35" t="s">
        <v>24</v>
      </c>
    </row>
    <row r="513" spans="1:20" ht="16.5" customHeight="1" thickBot="1" x14ac:dyDescent="0.35">
      <c r="A513" s="64"/>
      <c r="B513" s="81"/>
      <c r="C513" s="81"/>
      <c r="D513" s="81"/>
      <c r="E513" s="72"/>
      <c r="F513" s="81"/>
      <c r="G513" s="81"/>
      <c r="H513" s="81"/>
      <c r="I513" s="89"/>
      <c r="J513" s="81"/>
      <c r="K513" s="81"/>
      <c r="L513" s="81"/>
      <c r="M513" s="89"/>
      <c r="N513" s="81"/>
      <c r="O513" s="81"/>
      <c r="P513" s="81"/>
      <c r="Q513" s="89"/>
      <c r="R513" s="117"/>
    </row>
    <row r="514" spans="1:20" ht="15.75" customHeight="1" x14ac:dyDescent="0.3">
      <c r="A514" s="17" t="s">
        <v>45</v>
      </c>
      <c r="B514" s="1" t="s">
        <v>7</v>
      </c>
      <c r="C514" s="1" t="s">
        <v>7</v>
      </c>
      <c r="D514" s="1" t="s">
        <v>7</v>
      </c>
      <c r="E514" s="59" t="s">
        <v>7</v>
      </c>
      <c r="F514" s="1"/>
      <c r="G514" s="1"/>
      <c r="H514" s="1"/>
      <c r="I514" s="59" t="s">
        <v>7</v>
      </c>
      <c r="J514" s="1" t="s">
        <v>7</v>
      </c>
      <c r="K514" s="1" t="s">
        <v>7</v>
      </c>
      <c r="L514" s="1" t="s">
        <v>7</v>
      </c>
      <c r="M514" s="59" t="s">
        <v>7</v>
      </c>
      <c r="N514" s="1" t="s">
        <v>7</v>
      </c>
      <c r="O514" s="1" t="s">
        <v>7</v>
      </c>
      <c r="P514" s="1" t="s">
        <v>7</v>
      </c>
      <c r="Q514" s="59" t="s">
        <v>7</v>
      </c>
      <c r="R514" s="59" t="s">
        <v>7</v>
      </c>
    </row>
    <row r="515" spans="1:20" ht="15.75" customHeight="1" x14ac:dyDescent="0.3">
      <c r="A515" s="17" t="s">
        <v>46</v>
      </c>
      <c r="B515" s="1"/>
      <c r="C515" s="1"/>
      <c r="D515" s="1"/>
      <c r="E515" s="59" t="s">
        <v>7</v>
      </c>
      <c r="F515" s="1"/>
      <c r="G515" s="1"/>
      <c r="H515" s="1"/>
      <c r="I515" s="59" t="s">
        <v>7</v>
      </c>
      <c r="J515" s="1"/>
      <c r="K515" s="1"/>
      <c r="L515" s="1"/>
      <c r="M515" s="59" t="s">
        <v>7</v>
      </c>
      <c r="N515" s="1"/>
      <c r="O515" s="1"/>
      <c r="P515" s="1"/>
      <c r="Q515" s="59" t="s">
        <v>7</v>
      </c>
      <c r="R515" s="59" t="s">
        <v>7</v>
      </c>
    </row>
    <row r="516" spans="1:20" ht="15.75" customHeight="1" x14ac:dyDescent="0.3">
      <c r="A516" s="17" t="s">
        <v>495</v>
      </c>
      <c r="B516" s="1"/>
      <c r="C516" s="1"/>
      <c r="D516" s="1"/>
      <c r="E516" s="59">
        <f>SUM(B516:D516)</f>
        <v>0</v>
      </c>
      <c r="F516" s="1"/>
      <c r="G516" s="1">
        <v>1400</v>
      </c>
      <c r="H516" s="1"/>
      <c r="I516" s="59">
        <f>SUM(F516:H516)</f>
        <v>1400</v>
      </c>
      <c r="J516" s="1"/>
      <c r="K516" s="1"/>
      <c r="L516" s="1"/>
      <c r="M516" s="59">
        <f>SUM(J516:L516)</f>
        <v>0</v>
      </c>
      <c r="N516" s="1"/>
      <c r="O516" s="1"/>
      <c r="P516" s="1"/>
      <c r="Q516" s="59">
        <f>SUM(N516:P516)</f>
        <v>0</v>
      </c>
      <c r="R516" s="59">
        <f>+E516+I516+M516+Q516</f>
        <v>1400</v>
      </c>
      <c r="T516" s="4" t="s">
        <v>368</v>
      </c>
    </row>
    <row r="517" spans="1:20" ht="15.75" customHeight="1" x14ac:dyDescent="0.3">
      <c r="A517" s="74" t="s">
        <v>496</v>
      </c>
      <c r="B517" s="1"/>
      <c r="C517" s="1"/>
      <c r="D517" s="1">
        <v>350</v>
      </c>
      <c r="E517" s="59">
        <f>SUM(B517:D517)</f>
        <v>350</v>
      </c>
      <c r="F517" s="1">
        <v>850</v>
      </c>
      <c r="G517" s="1"/>
      <c r="H517" s="1"/>
      <c r="I517" s="59">
        <f>SUM(F517:H517)</f>
        <v>850</v>
      </c>
      <c r="J517" s="1"/>
      <c r="K517" s="1"/>
      <c r="L517" s="1"/>
      <c r="M517" s="59">
        <f>SUM(J517:L517)</f>
        <v>0</v>
      </c>
      <c r="N517" s="1"/>
      <c r="O517" s="1"/>
      <c r="P517" s="1"/>
      <c r="Q517" s="59">
        <f>SUM(N517:P517)</f>
        <v>0</v>
      </c>
      <c r="R517" s="59">
        <f>+E517+I517+M517+Q517</f>
        <v>1200</v>
      </c>
    </row>
    <row r="518" spans="1:20" ht="15.75" customHeight="1" x14ac:dyDescent="0.3">
      <c r="A518" s="74" t="s">
        <v>497</v>
      </c>
      <c r="B518" s="1"/>
      <c r="C518" s="1"/>
      <c r="D518" s="1">
        <v>250</v>
      </c>
      <c r="E518" s="59">
        <f>SUM(B518:D518)</f>
        <v>250</v>
      </c>
      <c r="F518" s="1">
        <v>250</v>
      </c>
      <c r="G518" s="1">
        <v>250</v>
      </c>
      <c r="H518" s="1">
        <v>1250</v>
      </c>
      <c r="I518" s="59">
        <f>SUM(F518:H518)</f>
        <v>1750</v>
      </c>
      <c r="J518" s="1">
        <v>1000</v>
      </c>
      <c r="K518" s="1">
        <v>500</v>
      </c>
      <c r="L518" s="1">
        <v>500</v>
      </c>
      <c r="M518" s="59">
        <f>SUM(J518:L518)</f>
        <v>2000</v>
      </c>
      <c r="N518" s="1"/>
      <c r="O518" s="1"/>
      <c r="P518" s="1"/>
      <c r="Q518" s="59">
        <f>SUM(N518:P518)</f>
        <v>0</v>
      </c>
      <c r="R518" s="59">
        <f>+E518+I518+M518+Q518</f>
        <v>4000</v>
      </c>
    </row>
    <row r="519" spans="1:20" ht="15.75" customHeight="1" x14ac:dyDescent="0.3">
      <c r="A519" s="74" t="s">
        <v>498</v>
      </c>
      <c r="B519" s="1"/>
      <c r="C519" s="1"/>
      <c r="D519" s="1"/>
      <c r="E519" s="59">
        <f>SUM(B519:D519)</f>
        <v>0</v>
      </c>
      <c r="F519" s="1"/>
      <c r="G519" s="1">
        <v>150</v>
      </c>
      <c r="H519" s="1">
        <v>150</v>
      </c>
      <c r="I519" s="59">
        <f>SUM(F519:H519)</f>
        <v>300</v>
      </c>
      <c r="J519" s="1">
        <v>150</v>
      </c>
      <c r="K519" s="1">
        <v>50</v>
      </c>
      <c r="L519" s="1"/>
      <c r="M519" s="59">
        <f>SUM(J519:L519)</f>
        <v>200</v>
      </c>
      <c r="N519" s="1"/>
      <c r="O519" s="1"/>
      <c r="P519" s="1"/>
      <c r="Q519" s="59">
        <f>SUM(N519:P519)</f>
        <v>0</v>
      </c>
      <c r="R519" s="59">
        <f>+E519+I519+M519+Q519</f>
        <v>500</v>
      </c>
    </row>
    <row r="520" spans="1:20" ht="15.75" customHeight="1" x14ac:dyDescent="0.3">
      <c r="A520" s="74" t="s">
        <v>499</v>
      </c>
      <c r="B520" s="1"/>
      <c r="C520" s="1"/>
      <c r="D520" s="1"/>
      <c r="E520" s="59">
        <f>SUM(B520:D520)</f>
        <v>0</v>
      </c>
      <c r="F520" s="1"/>
      <c r="G520" s="1"/>
      <c r="H520" s="1"/>
      <c r="I520" s="59">
        <f>SUM(F520:H520)</f>
        <v>0</v>
      </c>
      <c r="J520" s="1">
        <v>257</v>
      </c>
      <c r="K520" s="1"/>
      <c r="L520" s="1">
        <v>500</v>
      </c>
      <c r="M520" s="59">
        <f>SUM(J520:L520)</f>
        <v>757</v>
      </c>
      <c r="N520" s="1"/>
      <c r="O520" s="1"/>
      <c r="P520" s="1"/>
      <c r="Q520" s="59">
        <f>SUM(N520:P520)</f>
        <v>0</v>
      </c>
      <c r="R520" s="59">
        <f>+E520+I520+M520+Q520</f>
        <v>757</v>
      </c>
    </row>
    <row r="521" spans="1:20" ht="15.75" customHeight="1" x14ac:dyDescent="0.3">
      <c r="A521" s="17" t="s">
        <v>47</v>
      </c>
      <c r="B521" s="1"/>
      <c r="C521" s="1"/>
      <c r="D521" s="1"/>
      <c r="E521" s="59" t="s">
        <v>7</v>
      </c>
      <c r="F521" s="1"/>
      <c r="G521" s="1"/>
      <c r="H521" s="1"/>
      <c r="I521" s="59" t="s">
        <v>7</v>
      </c>
      <c r="J521" s="1"/>
      <c r="K521" s="1"/>
      <c r="L521" s="1"/>
      <c r="M521" s="59" t="s">
        <v>7</v>
      </c>
      <c r="N521" s="1"/>
      <c r="O521" s="1"/>
      <c r="P521" s="1"/>
      <c r="Q521" s="59" t="s">
        <v>7</v>
      </c>
      <c r="R521" s="59" t="s">
        <v>7</v>
      </c>
    </row>
    <row r="522" spans="1:20" ht="15.75" customHeight="1" x14ac:dyDescent="0.3">
      <c r="A522" s="17" t="s">
        <v>898</v>
      </c>
      <c r="B522" s="1"/>
      <c r="C522" s="1"/>
      <c r="D522" s="1"/>
      <c r="E522" s="59" t="s">
        <v>7</v>
      </c>
      <c r="F522" s="1"/>
      <c r="G522" s="1"/>
      <c r="H522" s="1"/>
      <c r="I522" s="59" t="s">
        <v>7</v>
      </c>
      <c r="J522" s="1"/>
      <c r="K522" s="1"/>
      <c r="L522" s="1"/>
      <c r="M522" s="59" t="s">
        <v>7</v>
      </c>
      <c r="N522" s="1"/>
      <c r="O522" s="1"/>
      <c r="P522" s="1"/>
      <c r="Q522" s="59" t="s">
        <v>7</v>
      </c>
      <c r="R522" s="59" t="s">
        <v>7</v>
      </c>
    </row>
    <row r="523" spans="1:20" ht="15.75" customHeight="1" thickBot="1" x14ac:dyDescent="0.35">
      <c r="A523" s="17" t="s">
        <v>51</v>
      </c>
      <c r="B523" s="1"/>
      <c r="C523" s="1"/>
      <c r="D523" s="1"/>
      <c r="E523" s="59" t="s">
        <v>7</v>
      </c>
      <c r="F523" s="1"/>
      <c r="G523" s="1"/>
      <c r="H523" s="1"/>
      <c r="I523" s="59" t="s">
        <v>7</v>
      </c>
      <c r="J523" s="1"/>
      <c r="K523" s="1"/>
      <c r="L523" s="1"/>
      <c r="M523" s="59" t="s">
        <v>7</v>
      </c>
      <c r="N523" s="1"/>
      <c r="O523" s="1"/>
      <c r="P523" s="1"/>
      <c r="Q523" s="59" t="s">
        <v>7</v>
      </c>
      <c r="R523" s="59" t="s">
        <v>7</v>
      </c>
    </row>
    <row r="524" spans="1:20" ht="16.5" customHeight="1" thickBot="1" x14ac:dyDescent="0.35">
      <c r="A524" s="126" t="s">
        <v>52</v>
      </c>
      <c r="B524" s="100">
        <f>SUM(B514:B523)</f>
        <v>0</v>
      </c>
      <c r="C524" s="101">
        <f>SUM(C514:C523)</f>
        <v>0</v>
      </c>
      <c r="D524" s="101">
        <f>SUM(D514:D523)</f>
        <v>600</v>
      </c>
      <c r="E524" s="64">
        <f>SUM(B524:D524)</f>
        <v>600</v>
      </c>
      <c r="F524" s="101">
        <f>SUM(F514:F523)</f>
        <v>1100</v>
      </c>
      <c r="G524" s="101">
        <f>SUM(G514:G523)</f>
        <v>1800</v>
      </c>
      <c r="H524" s="101">
        <f>SUM(H514:H523)</f>
        <v>1400</v>
      </c>
      <c r="I524" s="64">
        <f>SUM(F524:H524)</f>
        <v>4300</v>
      </c>
      <c r="J524" s="101">
        <f>SUM(J514:J523)</f>
        <v>1407</v>
      </c>
      <c r="K524" s="101">
        <f>SUM(K514:K523)</f>
        <v>550</v>
      </c>
      <c r="L524" s="101">
        <f>SUM(L514:L523)</f>
        <v>1000</v>
      </c>
      <c r="M524" s="64">
        <f>SUM(J524:L524)</f>
        <v>2957</v>
      </c>
      <c r="N524" s="101">
        <f>SUM(N514:N523)</f>
        <v>0</v>
      </c>
      <c r="O524" s="101">
        <f>SUM(O514:O523)</f>
        <v>0</v>
      </c>
      <c r="P524" s="101">
        <f>SUM(P514:P523)</f>
        <v>0</v>
      </c>
      <c r="Q524" s="64">
        <f>SUM(N524:P524)</f>
        <v>0</v>
      </c>
      <c r="R524" s="64">
        <f>+E524+I524+M524+Q524</f>
        <v>7857</v>
      </c>
    </row>
    <row r="525" spans="1:20" ht="15.75" customHeight="1" x14ac:dyDescent="0.3">
      <c r="A525" s="17" t="s">
        <v>53</v>
      </c>
      <c r="B525" s="1"/>
      <c r="C525" s="1"/>
      <c r="D525" s="1"/>
      <c r="E525" s="65" t="s">
        <v>7</v>
      </c>
      <c r="F525" s="1"/>
      <c r="G525" s="1"/>
      <c r="H525" s="1"/>
      <c r="I525" s="65" t="s">
        <v>7</v>
      </c>
      <c r="J525" s="1"/>
      <c r="K525" s="1"/>
      <c r="L525" s="1"/>
      <c r="M525" s="65" t="s">
        <v>7</v>
      </c>
      <c r="N525" s="1"/>
      <c r="O525" s="1"/>
      <c r="P525" s="1"/>
      <c r="Q525" s="65" t="s">
        <v>7</v>
      </c>
      <c r="R525" s="305" t="s">
        <v>7</v>
      </c>
    </row>
    <row r="526" spans="1:20" ht="15.75" customHeight="1" x14ac:dyDescent="0.3">
      <c r="A526" s="17" t="s">
        <v>55</v>
      </c>
      <c r="B526" s="1"/>
      <c r="C526" s="1"/>
      <c r="D526" s="1"/>
      <c r="E526" s="59" t="s">
        <v>7</v>
      </c>
      <c r="F526" s="1"/>
      <c r="G526" s="1"/>
      <c r="H526" s="1"/>
      <c r="I526" s="59" t="s">
        <v>7</v>
      </c>
      <c r="J526" s="1"/>
      <c r="K526" s="1"/>
      <c r="L526" s="1"/>
      <c r="M526" s="59" t="s">
        <v>7</v>
      </c>
      <c r="N526" s="1"/>
      <c r="O526" s="1"/>
      <c r="P526" s="1"/>
      <c r="Q526" s="59" t="s">
        <v>7</v>
      </c>
      <c r="R526" s="305" t="s">
        <v>7</v>
      </c>
    </row>
    <row r="527" spans="1:20" ht="15.75" customHeight="1" x14ac:dyDescent="0.3">
      <c r="A527" s="74" t="s">
        <v>500</v>
      </c>
      <c r="B527" s="1">
        <v>205</v>
      </c>
      <c r="C527" s="1">
        <v>250</v>
      </c>
      <c r="D527" s="1">
        <v>3150</v>
      </c>
      <c r="E527" s="59">
        <f>SUM(B527:D527)</f>
        <v>3605</v>
      </c>
      <c r="F527" s="1">
        <v>4000</v>
      </c>
      <c r="G527" s="1">
        <v>751</v>
      </c>
      <c r="H527" s="1">
        <v>3900</v>
      </c>
      <c r="I527" s="59">
        <f>SUM(F527:H527)</f>
        <v>8651</v>
      </c>
      <c r="J527" s="1">
        <v>3240</v>
      </c>
      <c r="K527" s="1">
        <v>3315</v>
      </c>
      <c r="L527" s="1">
        <v>2100</v>
      </c>
      <c r="M527" s="59">
        <f>SUM(J527:L527)</f>
        <v>8655</v>
      </c>
      <c r="N527" s="1">
        <v>630</v>
      </c>
      <c r="O527" s="1">
        <v>80</v>
      </c>
      <c r="P527" s="1">
        <v>96</v>
      </c>
      <c r="Q527" s="59">
        <f>SUM(N527:P527)</f>
        <v>806</v>
      </c>
      <c r="R527" s="59">
        <f>+E527+I527+M527+Q527</f>
        <v>21717</v>
      </c>
      <c r="S527" s="4">
        <f>+SUM(R527,R486,R370)</f>
        <v>85754</v>
      </c>
      <c r="T527" s="4" t="s">
        <v>501</v>
      </c>
    </row>
    <row r="528" spans="1:20" ht="15.75" customHeight="1" x14ac:dyDescent="0.3">
      <c r="A528" s="74" t="s">
        <v>502</v>
      </c>
      <c r="B528" s="1"/>
      <c r="C528" s="1"/>
      <c r="D528" s="1"/>
      <c r="E528" s="59">
        <f>SUM(B528:D528)</f>
        <v>0</v>
      </c>
      <c r="F528" s="1"/>
      <c r="G528" s="1"/>
      <c r="H528" s="1"/>
      <c r="I528" s="59">
        <f>SUM(F528:H528)</f>
        <v>0</v>
      </c>
      <c r="J528" s="1"/>
      <c r="K528" s="1"/>
      <c r="L528" s="1"/>
      <c r="M528" s="59">
        <f>SUM(J528:L528)</f>
        <v>0</v>
      </c>
      <c r="N528" s="1"/>
      <c r="O528" s="1"/>
      <c r="P528" s="1"/>
      <c r="Q528" s="59">
        <f>SUM(N528:P528)</f>
        <v>0</v>
      </c>
      <c r="R528" s="59">
        <f>+E528+I528+M528+Q528</f>
        <v>0</v>
      </c>
    </row>
    <row r="529" spans="1:20" ht="15.75" customHeight="1" thickBot="1" x14ac:dyDescent="0.35">
      <c r="A529" s="17" t="s">
        <v>56</v>
      </c>
      <c r="B529" s="1"/>
      <c r="C529" s="1"/>
      <c r="D529" s="1"/>
      <c r="E529" s="59" t="s">
        <v>7</v>
      </c>
      <c r="F529" s="1"/>
      <c r="G529" s="1"/>
      <c r="H529" s="1"/>
      <c r="I529" s="59" t="s">
        <v>7</v>
      </c>
      <c r="J529" s="1"/>
      <c r="K529" s="1"/>
      <c r="L529" s="1"/>
      <c r="M529" s="59" t="s">
        <v>7</v>
      </c>
      <c r="N529" s="1"/>
      <c r="O529" s="1"/>
      <c r="P529" s="1"/>
      <c r="Q529" s="59" t="s">
        <v>7</v>
      </c>
      <c r="R529" s="305" t="s">
        <v>7</v>
      </c>
    </row>
    <row r="530" spans="1:20" ht="16.5" customHeight="1" thickBot="1" x14ac:dyDescent="0.35">
      <c r="A530" s="62" t="s">
        <v>57</v>
      </c>
      <c r="B530" s="100">
        <f>SUM(B525:B529)</f>
        <v>205</v>
      </c>
      <c r="C530" s="101">
        <f>SUM(C525:C529)</f>
        <v>250</v>
      </c>
      <c r="D530" s="101">
        <f>SUM(D525:D529)</f>
        <v>3150</v>
      </c>
      <c r="E530" s="64">
        <f>SUM(B530:D530)</f>
        <v>3605</v>
      </c>
      <c r="F530" s="101">
        <f>SUM(F525:F529)</f>
        <v>4000</v>
      </c>
      <c r="G530" s="101">
        <f>SUM(G525:G529)</f>
        <v>751</v>
      </c>
      <c r="H530" s="101">
        <f>SUM(H525:H529)</f>
        <v>3900</v>
      </c>
      <c r="I530" s="64">
        <f>SUM(F530:H530)</f>
        <v>8651</v>
      </c>
      <c r="J530" s="101">
        <f>SUM(J525:J529)</f>
        <v>3240</v>
      </c>
      <c r="K530" s="101">
        <f>SUM(K525:K529)</f>
        <v>3315</v>
      </c>
      <c r="L530" s="101">
        <f>SUM(L525:L529)</f>
        <v>2100</v>
      </c>
      <c r="M530" s="64">
        <f>SUM(J530:L530)</f>
        <v>8655</v>
      </c>
      <c r="N530" s="101">
        <f>SUM(N525:N529)</f>
        <v>630</v>
      </c>
      <c r="O530" s="101">
        <f>SUM(O525:O529)</f>
        <v>80</v>
      </c>
      <c r="P530" s="101">
        <f>SUM(P525:P529)</f>
        <v>96</v>
      </c>
      <c r="Q530" s="64">
        <f>SUM(N530:P530)</f>
        <v>806</v>
      </c>
      <c r="R530" s="64">
        <f>+E530+I530+M530+Q530</f>
        <v>21717</v>
      </c>
    </row>
    <row r="531" spans="1:20" ht="15.75" customHeight="1" x14ac:dyDescent="0.3">
      <c r="A531" s="17" t="s">
        <v>58</v>
      </c>
      <c r="B531" s="1"/>
      <c r="C531" s="1"/>
      <c r="D531" s="1"/>
      <c r="E531" s="59" t="s">
        <v>7</v>
      </c>
      <c r="F531" s="1"/>
      <c r="G531" s="1"/>
      <c r="H531" s="1"/>
      <c r="I531" s="59" t="s">
        <v>7</v>
      </c>
      <c r="J531" s="1"/>
      <c r="K531" s="1"/>
      <c r="L531" s="1"/>
      <c r="M531" s="59" t="s">
        <v>7</v>
      </c>
      <c r="N531" s="1"/>
      <c r="O531" s="1"/>
      <c r="P531" s="1"/>
      <c r="Q531" s="59" t="s">
        <v>7</v>
      </c>
      <c r="R531" s="59" t="s">
        <v>7</v>
      </c>
    </row>
    <row r="532" spans="1:20" ht="15.75" customHeight="1" x14ac:dyDescent="0.3">
      <c r="A532" s="17" t="s">
        <v>59</v>
      </c>
      <c r="B532" s="1"/>
      <c r="C532" s="1"/>
      <c r="D532" s="1"/>
      <c r="E532" s="59" t="s">
        <v>7</v>
      </c>
      <c r="F532" s="1"/>
      <c r="G532" s="1"/>
      <c r="H532" s="1"/>
      <c r="I532" s="59" t="s">
        <v>7</v>
      </c>
      <c r="J532" s="1"/>
      <c r="K532" s="1"/>
      <c r="L532" s="1"/>
      <c r="M532" s="59" t="s">
        <v>7</v>
      </c>
      <c r="N532" s="1"/>
      <c r="O532" s="1"/>
      <c r="P532" s="1"/>
      <c r="Q532" s="59" t="s">
        <v>7</v>
      </c>
      <c r="R532" s="59" t="s">
        <v>7</v>
      </c>
    </row>
    <row r="533" spans="1:20" ht="15.75" customHeight="1" x14ac:dyDescent="0.3">
      <c r="A533" s="17" t="s">
        <v>60</v>
      </c>
      <c r="B533" s="1"/>
      <c r="C533" s="1"/>
      <c r="D533" s="1"/>
      <c r="E533" s="59" t="s">
        <v>7</v>
      </c>
      <c r="F533" s="1"/>
      <c r="G533" s="1"/>
      <c r="H533" s="1"/>
      <c r="I533" s="59" t="s">
        <v>7</v>
      </c>
      <c r="J533" s="1"/>
      <c r="K533" s="1"/>
      <c r="L533" s="1"/>
      <c r="M533" s="59" t="s">
        <v>7</v>
      </c>
      <c r="N533" s="1"/>
      <c r="O533" s="1"/>
      <c r="P533" s="1"/>
      <c r="Q533" s="59" t="s">
        <v>7</v>
      </c>
      <c r="R533" s="59" t="s">
        <v>7</v>
      </c>
    </row>
    <row r="534" spans="1:20" ht="15.75" customHeight="1" thickBot="1" x14ac:dyDescent="0.35">
      <c r="A534" s="103" t="s">
        <v>856</v>
      </c>
      <c r="B534" s="1"/>
      <c r="C534" s="1"/>
      <c r="D534" s="1"/>
      <c r="E534" s="59">
        <f>SUM(B534:D534)</f>
        <v>0</v>
      </c>
      <c r="F534" s="1"/>
      <c r="G534" s="1"/>
      <c r="H534" s="1"/>
      <c r="I534" s="59">
        <f>SUM(F534:H534)</f>
        <v>0</v>
      </c>
      <c r="J534" s="1"/>
      <c r="K534" s="1"/>
      <c r="L534" s="1"/>
      <c r="M534" s="59">
        <f>SUM(J534:L534)</f>
        <v>0</v>
      </c>
      <c r="N534" s="1"/>
      <c r="O534" s="1"/>
      <c r="P534" s="1"/>
      <c r="Q534" s="59">
        <f>SUM(N534:P534)</f>
        <v>0</v>
      </c>
      <c r="R534" s="59">
        <f>+E534+I534+M534+Q534</f>
        <v>0</v>
      </c>
      <c r="T534" s="4" t="s">
        <v>368</v>
      </c>
    </row>
    <row r="535" spans="1:20" ht="16.5" customHeight="1" thickBot="1" x14ac:dyDescent="0.35">
      <c r="A535" s="137" t="s">
        <v>61</v>
      </c>
      <c r="B535" s="100">
        <f>SUM(B531:B534)</f>
        <v>0</v>
      </c>
      <c r="C535" s="101">
        <f>SUM(C531:C534)</f>
        <v>0</v>
      </c>
      <c r="D535" s="101">
        <f>SUM(D531:D534)</f>
        <v>0</v>
      </c>
      <c r="E535" s="64">
        <f>SUM(B535:D535)</f>
        <v>0</v>
      </c>
      <c r="F535" s="101">
        <f>SUM(F531:F534)</f>
        <v>0</v>
      </c>
      <c r="G535" s="101">
        <f>SUM(G531:G534)</f>
        <v>0</v>
      </c>
      <c r="H535" s="101">
        <f>SUM(H531:H534)</f>
        <v>0</v>
      </c>
      <c r="I535" s="64">
        <f>SUM(F535:H535)</f>
        <v>0</v>
      </c>
      <c r="J535" s="101">
        <f>SUM(J531:J534)</f>
        <v>0</v>
      </c>
      <c r="K535" s="101">
        <f>SUM(K531:K534)</f>
        <v>0</v>
      </c>
      <c r="L535" s="101">
        <f>SUM(L531:L534)</f>
        <v>0</v>
      </c>
      <c r="M535" s="64">
        <f>SUM(J535:L535)</f>
        <v>0</v>
      </c>
      <c r="N535" s="101">
        <f>SUM(N531:N534)</f>
        <v>0</v>
      </c>
      <c r="O535" s="101">
        <f>SUM(O531:O534)</f>
        <v>0</v>
      </c>
      <c r="P535" s="101">
        <f>SUM(P531:P534)</f>
        <v>0</v>
      </c>
      <c r="Q535" s="64">
        <f>SUM(N535:P535)</f>
        <v>0</v>
      </c>
      <c r="R535" s="64">
        <f>+E535+I535+M535+Q535</f>
        <v>0</v>
      </c>
    </row>
    <row r="536" spans="1:20" ht="15.75" customHeight="1" x14ac:dyDescent="0.3">
      <c r="A536" s="17" t="s">
        <v>62</v>
      </c>
      <c r="B536" s="1"/>
      <c r="C536" s="1"/>
      <c r="D536" s="1"/>
      <c r="E536" s="59" t="s">
        <v>7</v>
      </c>
      <c r="F536" s="1"/>
      <c r="G536" s="1"/>
      <c r="H536" s="1"/>
      <c r="I536" s="59" t="s">
        <v>7</v>
      </c>
      <c r="J536" s="1"/>
      <c r="K536" s="1"/>
      <c r="L536" s="1"/>
      <c r="M536" s="59" t="s">
        <v>7</v>
      </c>
      <c r="N536" s="1"/>
      <c r="O536" s="1"/>
      <c r="P536" s="1"/>
      <c r="Q536" s="59" t="s">
        <v>7</v>
      </c>
      <c r="R536" s="59" t="s">
        <v>7</v>
      </c>
    </row>
    <row r="537" spans="1:20" ht="15.75" customHeight="1" x14ac:dyDescent="0.3">
      <c r="A537" s="17" t="s">
        <v>63</v>
      </c>
      <c r="B537" s="1"/>
      <c r="C537" s="1"/>
      <c r="D537" s="1"/>
      <c r="E537" s="59" t="s">
        <v>7</v>
      </c>
      <c r="F537" s="1"/>
      <c r="G537" s="1"/>
      <c r="H537" s="1"/>
      <c r="I537" s="59" t="s">
        <v>7</v>
      </c>
      <c r="J537" s="1"/>
      <c r="K537" s="1"/>
      <c r="L537" s="1"/>
      <c r="M537" s="59" t="s">
        <v>7</v>
      </c>
      <c r="N537" s="1"/>
      <c r="O537" s="1"/>
      <c r="P537" s="1"/>
      <c r="Q537" s="59" t="s">
        <v>7</v>
      </c>
      <c r="R537" s="59" t="s">
        <v>7</v>
      </c>
    </row>
    <row r="538" spans="1:20" ht="15.75" customHeight="1" x14ac:dyDescent="0.3">
      <c r="A538" s="17" t="s">
        <v>64</v>
      </c>
      <c r="B538" s="1"/>
      <c r="C538" s="1"/>
      <c r="D538" s="1"/>
      <c r="E538" s="59" t="s">
        <v>7</v>
      </c>
      <c r="F538" s="1"/>
      <c r="G538" s="1"/>
      <c r="H538" s="1"/>
      <c r="I538" s="59" t="s">
        <v>7</v>
      </c>
      <c r="J538" s="1"/>
      <c r="K538" s="1"/>
      <c r="L538" s="1"/>
      <c r="M538" s="59" t="s">
        <v>7</v>
      </c>
      <c r="N538" s="1"/>
      <c r="O538" s="1"/>
      <c r="P538" s="1"/>
      <c r="Q538" s="59" t="s">
        <v>7</v>
      </c>
      <c r="R538" s="59" t="s">
        <v>7</v>
      </c>
    </row>
    <row r="539" spans="1:20" ht="15.75" customHeight="1" x14ac:dyDescent="0.3">
      <c r="A539" s="17" t="s">
        <v>66</v>
      </c>
      <c r="B539" s="1"/>
      <c r="C539" s="1"/>
      <c r="D539" s="1"/>
      <c r="E539" s="59" t="s">
        <v>7</v>
      </c>
      <c r="F539" s="1"/>
      <c r="G539" s="1"/>
      <c r="H539" s="1"/>
      <c r="I539" s="59" t="s">
        <v>7</v>
      </c>
      <c r="J539" s="1"/>
      <c r="K539" s="1"/>
      <c r="L539" s="1"/>
      <c r="M539" s="59" t="s">
        <v>7</v>
      </c>
      <c r="N539" s="1"/>
      <c r="O539" s="1"/>
      <c r="P539" s="1"/>
      <c r="Q539" s="59" t="s">
        <v>7</v>
      </c>
      <c r="R539" s="59" t="s">
        <v>7</v>
      </c>
    </row>
    <row r="540" spans="1:20" ht="15.75" customHeight="1" x14ac:dyDescent="0.3">
      <c r="A540" s="74" t="s">
        <v>922</v>
      </c>
      <c r="B540" s="1"/>
      <c r="C540" s="1"/>
      <c r="D540" s="1"/>
      <c r="E540" s="59">
        <f>SUM(B540:D540)</f>
        <v>0</v>
      </c>
      <c r="F540" s="1"/>
      <c r="G540" s="1"/>
      <c r="H540" s="1"/>
      <c r="I540" s="59">
        <f>SUM(F540:H540)</f>
        <v>0</v>
      </c>
      <c r="J540" s="1"/>
      <c r="K540" s="1"/>
      <c r="L540" s="1"/>
      <c r="M540" s="59">
        <f>SUM(J540:L540)</f>
        <v>0</v>
      </c>
      <c r="N540" s="1"/>
      <c r="O540" s="1"/>
      <c r="P540" s="1"/>
      <c r="Q540" s="59">
        <f>SUM(N540:P540)</f>
        <v>0</v>
      </c>
      <c r="R540" s="59">
        <f>+E540+I540+M540+Q540</f>
        <v>0</v>
      </c>
    </row>
    <row r="541" spans="1:20" ht="15.75" customHeight="1" x14ac:dyDescent="0.3">
      <c r="A541" s="17" t="s">
        <v>67</v>
      </c>
      <c r="B541" s="1"/>
      <c r="C541" s="1"/>
      <c r="D541" s="1"/>
      <c r="E541" s="59"/>
      <c r="F541" s="1"/>
      <c r="G541" s="1"/>
      <c r="H541" s="1"/>
      <c r="I541" s="59"/>
      <c r="J541" s="1"/>
      <c r="K541" s="1"/>
      <c r="L541" s="1"/>
      <c r="M541" s="59"/>
      <c r="N541" s="1"/>
      <c r="O541" s="1"/>
      <c r="P541" s="1"/>
      <c r="Q541" s="59"/>
      <c r="R541" s="59" t="s">
        <v>7</v>
      </c>
    </row>
    <row r="542" spans="1:20" ht="15.75" customHeight="1" x14ac:dyDescent="0.3">
      <c r="A542" s="74" t="s">
        <v>460</v>
      </c>
      <c r="B542" s="1"/>
      <c r="C542" s="1"/>
      <c r="D542" s="1"/>
      <c r="E542" s="59">
        <f t="shared" ref="E542:E548" si="157">SUM(B542:D542)</f>
        <v>0</v>
      </c>
      <c r="F542" s="1"/>
      <c r="G542" s="1"/>
      <c r="H542" s="1"/>
      <c r="I542" s="59">
        <f t="shared" ref="I542:I548" si="158">SUM(F542:H542)</f>
        <v>0</v>
      </c>
      <c r="J542" s="1"/>
      <c r="K542" s="1"/>
      <c r="L542" s="1"/>
      <c r="M542" s="59">
        <f t="shared" ref="M542:M548" si="159">SUM(J542:L542)</f>
        <v>0</v>
      </c>
      <c r="N542" s="1"/>
      <c r="O542" s="1"/>
      <c r="P542" s="1"/>
      <c r="Q542" s="59">
        <f t="shared" ref="Q542:Q548" si="160">SUM(N542:P542)</f>
        <v>0</v>
      </c>
      <c r="R542" s="59">
        <f t="shared" ref="R542:R548" si="161">+E542+I542+M542+Q542</f>
        <v>0</v>
      </c>
      <c r="T542" s="4" t="s">
        <v>368</v>
      </c>
    </row>
    <row r="543" spans="1:20" ht="15.75" customHeight="1" x14ac:dyDescent="0.3">
      <c r="A543" s="74" t="s">
        <v>504</v>
      </c>
      <c r="B543" s="1"/>
      <c r="C543" s="1"/>
      <c r="D543" s="1"/>
      <c r="E543" s="59">
        <f>SUM(B543:D543)</f>
        <v>0</v>
      </c>
      <c r="F543" s="1"/>
      <c r="G543" s="1"/>
      <c r="H543" s="1"/>
      <c r="I543" s="59">
        <f>SUM(F543:H543)</f>
        <v>0</v>
      </c>
      <c r="J543" s="1"/>
      <c r="K543" s="1"/>
      <c r="L543" s="1"/>
      <c r="M543" s="59">
        <f>SUM(J543:L543)</f>
        <v>0</v>
      </c>
      <c r="N543" s="1"/>
      <c r="O543" s="1"/>
      <c r="P543" s="1"/>
      <c r="Q543" s="59">
        <f>SUM(N543:P543)</f>
        <v>0</v>
      </c>
      <c r="R543" s="59">
        <f>+E543+I543+M543+Q543</f>
        <v>0</v>
      </c>
      <c r="T543" s="4" t="s">
        <v>368</v>
      </c>
    </row>
    <row r="544" spans="1:20" ht="15.75" customHeight="1" thickBot="1" x14ac:dyDescent="0.35">
      <c r="A544" s="74" t="s">
        <v>506</v>
      </c>
      <c r="B544" s="1"/>
      <c r="C544" s="1"/>
      <c r="D544" s="1"/>
      <c r="E544" s="59">
        <f t="shared" si="157"/>
        <v>0</v>
      </c>
      <c r="F544" s="1"/>
      <c r="G544" s="1"/>
      <c r="H544" s="1"/>
      <c r="I544" s="59">
        <f t="shared" si="158"/>
        <v>0</v>
      </c>
      <c r="J544" s="1"/>
      <c r="K544" s="1"/>
      <c r="L544" s="1"/>
      <c r="M544" s="59">
        <f t="shared" si="159"/>
        <v>0</v>
      </c>
      <c r="N544" s="1"/>
      <c r="O544" s="1"/>
      <c r="P544" s="1"/>
      <c r="Q544" s="59">
        <f t="shared" si="160"/>
        <v>0</v>
      </c>
      <c r="R544" s="59">
        <f t="shared" si="161"/>
        <v>0</v>
      </c>
    </row>
    <row r="545" spans="1:18" ht="16.5" customHeight="1" thickBot="1" x14ac:dyDescent="0.35">
      <c r="A545" s="62" t="s">
        <v>68</v>
      </c>
      <c r="B545" s="63">
        <f>SUM(B539:B544)</f>
        <v>0</v>
      </c>
      <c r="C545" s="63">
        <f>SUM(C539:C544)</f>
        <v>0</v>
      </c>
      <c r="D545" s="63">
        <f>SUM(D539:D544)</f>
        <v>0</v>
      </c>
      <c r="E545" s="65">
        <f t="shared" si="157"/>
        <v>0</v>
      </c>
      <c r="F545" s="63">
        <f>SUM(F539:F544)</f>
        <v>0</v>
      </c>
      <c r="G545" s="63">
        <f>SUM(G539:G544)</f>
        <v>0</v>
      </c>
      <c r="H545" s="63">
        <f>SUM(H539:H544)</f>
        <v>0</v>
      </c>
      <c r="I545" s="65">
        <f t="shared" si="158"/>
        <v>0</v>
      </c>
      <c r="J545" s="63">
        <f>SUM(J539:J544)</f>
        <v>0</v>
      </c>
      <c r="K545" s="63">
        <f>SUM(K539:K544)</f>
        <v>0</v>
      </c>
      <c r="L545" s="63">
        <f>SUM(L539:L544)</f>
        <v>0</v>
      </c>
      <c r="M545" s="65">
        <f t="shared" si="159"/>
        <v>0</v>
      </c>
      <c r="N545" s="63">
        <f>SUM(N539:N544)</f>
        <v>0</v>
      </c>
      <c r="O545" s="63">
        <f>SUM(O539:O544)</f>
        <v>0</v>
      </c>
      <c r="P545" s="63">
        <f>SUM(P539:P544)</f>
        <v>0</v>
      </c>
      <c r="Q545" s="65">
        <f t="shared" si="160"/>
        <v>0</v>
      </c>
      <c r="R545" s="64">
        <f t="shared" si="161"/>
        <v>0</v>
      </c>
    </row>
    <row r="546" spans="1:18" ht="16.5" customHeight="1" thickBot="1" x14ac:dyDescent="0.35">
      <c r="A546" s="137" t="s">
        <v>69</v>
      </c>
      <c r="B546" s="100">
        <f>SUM(B536:B544)</f>
        <v>0</v>
      </c>
      <c r="C546" s="101">
        <f>SUM(C536:C544)</f>
        <v>0</v>
      </c>
      <c r="D546" s="138">
        <f>SUM(D536:D544)</f>
        <v>0</v>
      </c>
      <c r="E546" s="65">
        <f t="shared" si="157"/>
        <v>0</v>
      </c>
      <c r="F546" s="101">
        <f>SUM(F536:F544)</f>
        <v>0</v>
      </c>
      <c r="G546" s="101">
        <f>SUM(G536:G544)</f>
        <v>0</v>
      </c>
      <c r="H546" s="101">
        <f>SUM(H536:H544)</f>
        <v>0</v>
      </c>
      <c r="I546" s="65">
        <f t="shared" si="158"/>
        <v>0</v>
      </c>
      <c r="J546" s="101">
        <f>SUM(J536:J544)</f>
        <v>0</v>
      </c>
      <c r="K546" s="101">
        <f>SUM(K536:K544)</f>
        <v>0</v>
      </c>
      <c r="L546" s="101">
        <f>SUM(L536:L544)</f>
        <v>0</v>
      </c>
      <c r="M546" s="65">
        <f t="shared" si="159"/>
        <v>0</v>
      </c>
      <c r="N546" s="101">
        <f>SUM(N536:N544)</f>
        <v>0</v>
      </c>
      <c r="O546" s="101">
        <f>SUM(O536:O544)</f>
        <v>0</v>
      </c>
      <c r="P546" s="101">
        <f>SUM(P536:P544)</f>
        <v>0</v>
      </c>
      <c r="Q546" s="65">
        <f t="shared" si="160"/>
        <v>0</v>
      </c>
      <c r="R546" s="64">
        <f t="shared" si="161"/>
        <v>0</v>
      </c>
    </row>
    <row r="547" spans="1:18" ht="16.5" customHeight="1" thickBot="1" x14ac:dyDescent="0.35">
      <c r="A547" s="62" t="s">
        <v>70</v>
      </c>
      <c r="B547" s="107">
        <f>+B524+B530+B535+B546</f>
        <v>205</v>
      </c>
      <c r="C547" s="63">
        <f>+C524+C530+C535+C546</f>
        <v>250</v>
      </c>
      <c r="D547" s="63">
        <f>+D524+D530+D535+D546</f>
        <v>3750</v>
      </c>
      <c r="E547" s="64">
        <f t="shared" si="157"/>
        <v>4205</v>
      </c>
      <c r="F547" s="63">
        <f>+F524+F530+F535+F546</f>
        <v>5100</v>
      </c>
      <c r="G547" s="63">
        <f>+G524+G530+G535+G546</f>
        <v>2551</v>
      </c>
      <c r="H547" s="63">
        <f>+H524+H530+H535+H546</f>
        <v>5300</v>
      </c>
      <c r="I547" s="64">
        <f t="shared" si="158"/>
        <v>12951</v>
      </c>
      <c r="J547" s="63">
        <f>+J524+J530+J535+J546</f>
        <v>4647</v>
      </c>
      <c r="K547" s="63">
        <f>+K524+K530+K535+K546</f>
        <v>3865</v>
      </c>
      <c r="L547" s="63">
        <f>+L524+L530+L535+L546</f>
        <v>3100</v>
      </c>
      <c r="M547" s="64">
        <f t="shared" si="159"/>
        <v>11612</v>
      </c>
      <c r="N547" s="63">
        <f>+N524+N530+N535+N546</f>
        <v>630</v>
      </c>
      <c r="O547" s="63">
        <f>+O524+O530+O535+O546</f>
        <v>80</v>
      </c>
      <c r="P547" s="63">
        <f>+P524+P530+P535+P546</f>
        <v>96</v>
      </c>
      <c r="Q547" s="64">
        <f t="shared" si="160"/>
        <v>806</v>
      </c>
      <c r="R547" s="88">
        <f t="shared" si="161"/>
        <v>29574</v>
      </c>
    </row>
    <row r="548" spans="1:18" ht="16.5" customHeight="1" thickBot="1" x14ac:dyDescent="0.35">
      <c r="A548" s="40" t="s">
        <v>37</v>
      </c>
      <c r="B548" s="25">
        <v>23</v>
      </c>
      <c r="C548" s="25">
        <v>43</v>
      </c>
      <c r="D548" s="25">
        <v>66</v>
      </c>
      <c r="E548" s="88">
        <f t="shared" si="157"/>
        <v>132</v>
      </c>
      <c r="F548" s="25">
        <v>91</v>
      </c>
      <c r="G548" s="25">
        <v>108</v>
      </c>
      <c r="H548" s="25">
        <v>109</v>
      </c>
      <c r="I548" s="88">
        <f t="shared" si="158"/>
        <v>308</v>
      </c>
      <c r="J548" s="25">
        <v>104</v>
      </c>
      <c r="K548" s="25">
        <v>79</v>
      </c>
      <c r="L548" s="25">
        <v>80</v>
      </c>
      <c r="M548" s="88">
        <f t="shared" si="159"/>
        <v>263</v>
      </c>
      <c r="N548" s="25">
        <v>74</v>
      </c>
      <c r="O548" s="25">
        <v>58</v>
      </c>
      <c r="P548" s="25">
        <v>42</v>
      </c>
      <c r="Q548" s="88">
        <f t="shared" si="160"/>
        <v>174</v>
      </c>
      <c r="R548" s="59">
        <f t="shared" si="161"/>
        <v>877</v>
      </c>
    </row>
    <row r="549" spans="1:18" ht="16.5" customHeight="1" thickBot="1" x14ac:dyDescent="0.35">
      <c r="A549" s="42"/>
      <c r="B549" s="37"/>
      <c r="C549" s="37"/>
      <c r="D549" s="37"/>
      <c r="E549" s="43"/>
      <c r="F549" s="37"/>
      <c r="G549" s="37"/>
      <c r="H549" s="37"/>
      <c r="I549" s="147"/>
      <c r="J549" s="37"/>
      <c r="K549" s="37"/>
      <c r="L549" s="37"/>
      <c r="M549" s="147"/>
      <c r="N549" s="37"/>
      <c r="O549" s="37"/>
      <c r="P549" s="37"/>
      <c r="Q549" s="147"/>
      <c r="R549" s="43"/>
    </row>
    <row r="550" spans="1:18" ht="15.75" customHeight="1" x14ac:dyDescent="0.3">
      <c r="A550" s="17" t="s">
        <v>507</v>
      </c>
      <c r="B550" s="83">
        <f>SUM(B547:B548)</f>
        <v>228</v>
      </c>
      <c r="C550" s="83">
        <f>SUM(C547:C548)</f>
        <v>293</v>
      </c>
      <c r="D550" s="83">
        <f>SUM(D547:D548)</f>
        <v>3816</v>
      </c>
      <c r="E550" s="65">
        <f>SUM(B550:D550)</f>
        <v>4337</v>
      </c>
      <c r="F550" s="83">
        <f>SUM(F547:F548)</f>
        <v>5191</v>
      </c>
      <c r="G550" s="83">
        <f>SUM(G547:G548)</f>
        <v>2659</v>
      </c>
      <c r="H550" s="83">
        <f>SUM(H547:H548)</f>
        <v>5409</v>
      </c>
      <c r="I550" s="65">
        <f>SUM(F550:H550)</f>
        <v>13259</v>
      </c>
      <c r="J550" s="83">
        <f>SUM(J547:J548)</f>
        <v>4751</v>
      </c>
      <c r="K550" s="83">
        <f>SUM(K547:K548)</f>
        <v>3944</v>
      </c>
      <c r="L550" s="83">
        <f>SUM(L547:L548)</f>
        <v>3180</v>
      </c>
      <c r="M550" s="65">
        <f>SUM(J550:L550)</f>
        <v>11875</v>
      </c>
      <c r="N550" s="83">
        <f>SUM(N547:N548)</f>
        <v>704</v>
      </c>
      <c r="O550" s="83">
        <f>SUM(O547:O548)</f>
        <v>138</v>
      </c>
      <c r="P550" s="83">
        <f>SUM(P547:P548)</f>
        <v>138</v>
      </c>
      <c r="Q550" s="65">
        <f>SUM(N550:P550)</f>
        <v>980</v>
      </c>
      <c r="R550" s="65">
        <f>+E550+I550+M550+Q550</f>
        <v>30451</v>
      </c>
    </row>
    <row r="551" spans="1:18" ht="15.75" customHeight="1" x14ac:dyDescent="0.3">
      <c r="A551" s="17" t="s">
        <v>39</v>
      </c>
      <c r="B551" s="1">
        <f>(B550/B10)/1.983</f>
        <v>3.7089453906593137</v>
      </c>
      <c r="C551" s="1">
        <f>(C550/C10)/1.983</f>
        <v>5.2769973344859871</v>
      </c>
      <c r="D551" s="1">
        <f>(D550/D10)/1.983</f>
        <v>62.076033380508512</v>
      </c>
      <c r="E551" s="59" t="s">
        <v>7</v>
      </c>
      <c r="F551" s="1">
        <f>(F550/F10)/1.983</f>
        <v>87.258362750042025</v>
      </c>
      <c r="G551" s="1">
        <f>(G550/G10)/1.983</f>
        <v>43.254762253346996</v>
      </c>
      <c r="H551" s="1">
        <f>(H550/H10)/1.983</f>
        <v>90.922844175491676</v>
      </c>
      <c r="I551" s="59" t="s">
        <v>7</v>
      </c>
      <c r="J551" s="1">
        <f>(J550/J10)/1.983</f>
        <v>77.28596294308069</v>
      </c>
      <c r="K551" s="1">
        <f>(K550/K10)/1.983</f>
        <v>64.158248336668123</v>
      </c>
      <c r="L551" s="1">
        <f>(L550/L10)/1.983</f>
        <v>53.454362077660107</v>
      </c>
      <c r="M551" s="59" t="s">
        <v>7</v>
      </c>
      <c r="N551" s="1">
        <f>(N550/N10)/1.983</f>
        <v>11.452182258877881</v>
      </c>
      <c r="O551" s="1">
        <f>(O550/O10)/1.983</f>
        <v>2.3197175995965704</v>
      </c>
      <c r="P551" s="1">
        <f>(P550/P10)/1.983</f>
        <v>2.2448879996095843</v>
      </c>
      <c r="Q551" s="59" t="s">
        <v>7</v>
      </c>
      <c r="R551" s="59" t="s">
        <v>7</v>
      </c>
    </row>
    <row r="552" spans="1:18" ht="15.75" customHeight="1" x14ac:dyDescent="0.3">
      <c r="A552" s="17" t="s">
        <v>508</v>
      </c>
      <c r="B552" s="1">
        <f>B550+B608</f>
        <v>15979</v>
      </c>
      <c r="C552" s="1">
        <f>C550+C608</f>
        <v>18510</v>
      </c>
      <c r="D552" s="1">
        <f>D550+D608</f>
        <v>26794</v>
      </c>
      <c r="E552" s="59">
        <f>SUM(B552:D552)</f>
        <v>61283</v>
      </c>
      <c r="F552" s="1">
        <f>F550+F608</f>
        <v>28809</v>
      </c>
      <c r="G552" s="1">
        <f>G550+G608</f>
        <v>29049</v>
      </c>
      <c r="H552" s="1">
        <f>H550+H608</f>
        <v>29484</v>
      </c>
      <c r="I552" s="59">
        <f>SUM(F552:H552)</f>
        <v>87342</v>
      </c>
      <c r="J552" s="1">
        <f>J550+J608</f>
        <v>31535</v>
      </c>
      <c r="K552" s="1">
        <f>K550+K608</f>
        <v>28837</v>
      </c>
      <c r="L552" s="1">
        <f>L550+L608</f>
        <v>24416</v>
      </c>
      <c r="M552" s="59">
        <f>SUM(J552:L552)</f>
        <v>84788</v>
      </c>
      <c r="N552" s="1">
        <f>N550+N608</f>
        <v>7902</v>
      </c>
      <c r="O552" s="1">
        <f>O550+O608</f>
        <v>7624</v>
      </c>
      <c r="P552" s="1">
        <f>P550+P608</f>
        <v>7543</v>
      </c>
      <c r="Q552" s="59">
        <f>SUM(N552:P552)</f>
        <v>23069</v>
      </c>
      <c r="R552" s="59">
        <f>+E552+I552+M552+Q552</f>
        <v>256482</v>
      </c>
    </row>
    <row r="553" spans="1:18" ht="16.5" customHeight="1" thickBot="1" x14ac:dyDescent="0.35">
      <c r="A553" s="24" t="s">
        <v>509</v>
      </c>
      <c r="B553" s="87">
        <f>(B552/B10)/1.983</f>
        <v>259.9352561287069</v>
      </c>
      <c r="C553" s="87">
        <f>(C552/C10)/1.983</f>
        <v>333.36935379295437</v>
      </c>
      <c r="D553" s="87">
        <f>(D552/D10)/1.983</f>
        <v>435.86615261984934</v>
      </c>
      <c r="E553" s="88" t="s">
        <v>7</v>
      </c>
      <c r="F553" s="87">
        <f>(F552/F10)/1.983</f>
        <v>484.26626323751884</v>
      </c>
      <c r="G553" s="87">
        <f>(G552/G10)/1.983</f>
        <v>472.5489239178176</v>
      </c>
      <c r="H553" s="87">
        <f>(H552/H10)/1.983</f>
        <v>495.61270801815425</v>
      </c>
      <c r="I553" s="88" t="s">
        <v>7</v>
      </c>
      <c r="J553" s="87">
        <f>(J552/J10)/1.983</f>
        <v>512.98944251948012</v>
      </c>
      <c r="K553" s="87">
        <f>(K552/K10)/1.983</f>
        <v>469.10025539667822</v>
      </c>
      <c r="L553" s="87">
        <f>(L552/L10)/1.983</f>
        <v>410.42191965036142</v>
      </c>
      <c r="M553" s="88" t="s">
        <v>7</v>
      </c>
      <c r="N553" s="87">
        <f>(N552/N10)/1.983</f>
        <v>128.5442389341662</v>
      </c>
      <c r="O553" s="87">
        <f>(O552/O10)/1.983</f>
        <v>128.15599260379895</v>
      </c>
      <c r="P553" s="87">
        <f>(P552/P10)/1.983</f>
        <v>122.70427667431228</v>
      </c>
      <c r="Q553" s="88" t="s">
        <v>7</v>
      </c>
      <c r="R553" s="88" t="s">
        <v>7</v>
      </c>
    </row>
    <row r="554" spans="1:18" ht="15.75" customHeight="1" x14ac:dyDescent="0.3">
      <c r="A554" s="28"/>
      <c r="B554" s="1"/>
      <c r="C554" s="1"/>
      <c r="D554" s="1"/>
      <c r="E554" s="1"/>
      <c r="F554" s="1"/>
      <c r="G554" s="1"/>
      <c r="H554" s="1"/>
      <c r="I554" s="1"/>
      <c r="J554" s="1"/>
      <c r="K554" s="1"/>
      <c r="L554" s="1"/>
      <c r="M554" s="1"/>
      <c r="N554" s="1"/>
      <c r="O554" s="1"/>
      <c r="P554" s="1"/>
      <c r="Q554" s="1"/>
      <c r="R554" s="28"/>
    </row>
    <row r="555" spans="1:18" ht="15.75" customHeight="1" thickBot="1" x14ac:dyDescent="0.35">
      <c r="A555" s="28"/>
      <c r="B555" s="1"/>
      <c r="C555" s="1"/>
      <c r="D555" s="1"/>
      <c r="E555" s="1"/>
      <c r="F555" s="1"/>
      <c r="G555" s="1"/>
      <c r="H555" s="1"/>
      <c r="I555" s="1"/>
      <c r="J555" s="1"/>
      <c r="K555" s="1"/>
      <c r="L555" s="1"/>
      <c r="M555" s="1"/>
      <c r="N555" s="1"/>
      <c r="O555" s="1"/>
      <c r="P555" s="1"/>
      <c r="Q555" s="1"/>
      <c r="R555" s="28"/>
    </row>
    <row r="556" spans="1:18" ht="16.5" customHeight="1" thickBot="1" x14ac:dyDescent="0.35">
      <c r="A556" s="145" t="s">
        <v>510</v>
      </c>
      <c r="B556" s="32" t="s">
        <v>36</v>
      </c>
      <c r="C556" s="33" t="s">
        <v>9</v>
      </c>
      <c r="D556" s="33" t="s">
        <v>10</v>
      </c>
      <c r="E556" s="12" t="s">
        <v>11</v>
      </c>
      <c r="F556" s="33" t="s">
        <v>12</v>
      </c>
      <c r="G556" s="33" t="s">
        <v>13</v>
      </c>
      <c r="H556" s="33" t="s">
        <v>14</v>
      </c>
      <c r="I556" s="34" t="s">
        <v>15</v>
      </c>
      <c r="J556" s="33" t="s">
        <v>16</v>
      </c>
      <c r="K556" s="33" t="s">
        <v>17</v>
      </c>
      <c r="L556" s="33" t="s">
        <v>18</v>
      </c>
      <c r="M556" s="34" t="s">
        <v>19</v>
      </c>
      <c r="N556" s="33" t="s">
        <v>20</v>
      </c>
      <c r="O556" s="33" t="s">
        <v>21</v>
      </c>
      <c r="P556" s="33" t="s">
        <v>22</v>
      </c>
      <c r="Q556" s="34" t="s">
        <v>23</v>
      </c>
      <c r="R556" s="35" t="s">
        <v>24</v>
      </c>
    </row>
    <row r="557" spans="1:18" ht="16.5" customHeight="1" thickBot="1" x14ac:dyDescent="0.35">
      <c r="A557" s="64"/>
      <c r="B557" s="81"/>
      <c r="C557" s="81"/>
      <c r="D557" s="81"/>
      <c r="E557" s="72"/>
      <c r="F557" s="81"/>
      <c r="G557" s="81"/>
      <c r="H557" s="81"/>
      <c r="I557" s="89"/>
      <c r="J557" s="81"/>
      <c r="K557" s="81"/>
      <c r="L557" s="81"/>
      <c r="M557" s="89"/>
      <c r="N557" s="81"/>
      <c r="O557" s="81"/>
      <c r="P557" s="81"/>
      <c r="Q557" s="89"/>
      <c r="R557" s="117"/>
    </row>
    <row r="558" spans="1:18" ht="15.75" customHeight="1" x14ac:dyDescent="0.3">
      <c r="A558" s="17" t="s">
        <v>45</v>
      </c>
      <c r="B558" s="1"/>
      <c r="C558" s="1"/>
      <c r="D558" s="1"/>
      <c r="E558" s="59" t="s">
        <v>7</v>
      </c>
      <c r="F558" s="1" t="s">
        <v>7</v>
      </c>
      <c r="G558" s="1" t="s">
        <v>7</v>
      </c>
      <c r="H558" s="1" t="s">
        <v>7</v>
      </c>
      <c r="I558" s="59" t="s">
        <v>7</v>
      </c>
      <c r="J558" s="1" t="s">
        <v>7</v>
      </c>
      <c r="K558" s="1" t="s">
        <v>7</v>
      </c>
      <c r="L558" s="1" t="s">
        <v>7</v>
      </c>
      <c r="M558" s="59" t="s">
        <v>7</v>
      </c>
      <c r="N558" s="1" t="s">
        <v>7</v>
      </c>
      <c r="O558" s="1" t="s">
        <v>7</v>
      </c>
      <c r="P558" s="1" t="s">
        <v>7</v>
      </c>
      <c r="Q558" s="59" t="s">
        <v>7</v>
      </c>
      <c r="R558" s="59" t="s">
        <v>7</v>
      </c>
    </row>
    <row r="559" spans="1:18" ht="15.75" customHeight="1" x14ac:dyDescent="0.3">
      <c r="A559" s="17" t="s">
        <v>46</v>
      </c>
      <c r="B559" s="1"/>
      <c r="C559" s="1"/>
      <c r="D559" s="1"/>
      <c r="E559" s="59" t="s">
        <v>7</v>
      </c>
      <c r="F559" s="1"/>
      <c r="G559" s="1"/>
      <c r="H559" s="1"/>
      <c r="I559" s="59" t="s">
        <v>7</v>
      </c>
      <c r="J559" s="1"/>
      <c r="K559" s="1"/>
      <c r="L559" s="1"/>
      <c r="M559" s="59" t="s">
        <v>7</v>
      </c>
      <c r="N559" s="1"/>
      <c r="O559" s="1"/>
      <c r="P559" s="1"/>
      <c r="Q559" s="59" t="s">
        <v>7</v>
      </c>
      <c r="R559" s="59" t="s">
        <v>7</v>
      </c>
    </row>
    <row r="560" spans="1:18" ht="15.75" customHeight="1" x14ac:dyDescent="0.3">
      <c r="A560" s="74" t="s">
        <v>511</v>
      </c>
      <c r="B560" s="1">
        <v>315</v>
      </c>
      <c r="C560" s="1">
        <v>315</v>
      </c>
      <c r="D560" s="1">
        <v>315</v>
      </c>
      <c r="E560" s="59">
        <f t="shared" ref="E560:E568" si="162">SUM(B560:D560)</f>
        <v>945</v>
      </c>
      <c r="F560" s="1">
        <v>315</v>
      </c>
      <c r="G560" s="1">
        <v>315</v>
      </c>
      <c r="H560" s="1">
        <v>310</v>
      </c>
      <c r="I560" s="59">
        <f t="shared" ref="I560:I568" si="163">SUM(F560:H560)</f>
        <v>940</v>
      </c>
      <c r="J560" s="1">
        <v>310</v>
      </c>
      <c r="K560" s="1">
        <v>310</v>
      </c>
      <c r="L560" s="1">
        <v>315</v>
      </c>
      <c r="M560" s="59">
        <f t="shared" ref="M560:M568" si="164">SUM(J560:L560)</f>
        <v>935</v>
      </c>
      <c r="N560" s="1">
        <v>160</v>
      </c>
      <c r="O560" s="1">
        <v>155</v>
      </c>
      <c r="P560" s="1">
        <v>315</v>
      </c>
      <c r="Q560" s="59">
        <f t="shared" ref="Q560:Q568" si="165">SUM(N560:P560)</f>
        <v>630</v>
      </c>
      <c r="R560" s="59">
        <f t="shared" ref="R560:R568" si="166">+E560+I560+M560+Q560</f>
        <v>3450</v>
      </c>
    </row>
    <row r="561" spans="1:20" ht="15.75" customHeight="1" x14ac:dyDescent="0.3">
      <c r="A561" s="74" t="s">
        <v>512</v>
      </c>
      <c r="B561" s="1">
        <v>200</v>
      </c>
      <c r="C561" s="1">
        <v>300</v>
      </c>
      <c r="D561" s="1">
        <v>500</v>
      </c>
      <c r="E561" s="59">
        <f>SUM(B561:D561)</f>
        <v>1000</v>
      </c>
      <c r="F561" s="1">
        <v>200</v>
      </c>
      <c r="G561" s="1">
        <v>200</v>
      </c>
      <c r="H561" s="1">
        <v>200</v>
      </c>
      <c r="I561" s="59">
        <f>SUM(F561:H561)</f>
        <v>600</v>
      </c>
      <c r="J561" s="1">
        <v>200</v>
      </c>
      <c r="K561" s="1">
        <v>200</v>
      </c>
      <c r="L561" s="1"/>
      <c r="M561" s="59">
        <f>SUM(J561:L561)</f>
        <v>400</v>
      </c>
      <c r="N561" s="1"/>
      <c r="O561" s="1"/>
      <c r="P561" s="1"/>
      <c r="Q561" s="59">
        <f>SUM(N561:P561)</f>
        <v>0</v>
      </c>
      <c r="R561" s="59">
        <f>+E561+I561+M561+Q561</f>
        <v>2000</v>
      </c>
    </row>
    <row r="562" spans="1:20" ht="15.75" customHeight="1" x14ac:dyDescent="0.3">
      <c r="A562" s="74" t="s">
        <v>513</v>
      </c>
      <c r="B562" s="1"/>
      <c r="C562" s="1">
        <v>601</v>
      </c>
      <c r="D562" s="1">
        <v>600</v>
      </c>
      <c r="E562" s="59">
        <f t="shared" si="162"/>
        <v>1201</v>
      </c>
      <c r="F562" s="1">
        <v>1300</v>
      </c>
      <c r="G562" s="1">
        <v>1600</v>
      </c>
      <c r="H562" s="1">
        <v>600</v>
      </c>
      <c r="I562" s="59">
        <f t="shared" si="163"/>
        <v>3500</v>
      </c>
      <c r="J562" s="1">
        <v>1100</v>
      </c>
      <c r="K562" s="1"/>
      <c r="L562" s="1"/>
      <c r="M562" s="59">
        <f t="shared" si="164"/>
        <v>1100</v>
      </c>
      <c r="N562" s="1"/>
      <c r="O562" s="1"/>
      <c r="P562" s="1"/>
      <c r="Q562" s="59">
        <f t="shared" si="165"/>
        <v>0</v>
      </c>
      <c r="R562" s="59">
        <f t="shared" si="166"/>
        <v>5801</v>
      </c>
      <c r="T562" s="4" t="s">
        <v>514</v>
      </c>
    </row>
    <row r="563" spans="1:20" ht="15.75" customHeight="1" x14ac:dyDescent="0.3">
      <c r="A563" s="74" t="s">
        <v>515</v>
      </c>
      <c r="B563" s="1"/>
      <c r="C563" s="1"/>
      <c r="D563" s="1"/>
      <c r="E563" s="59">
        <f>SUM(B563:D563)</f>
        <v>0</v>
      </c>
      <c r="F563" s="1"/>
      <c r="G563" s="1"/>
      <c r="H563" s="1"/>
      <c r="I563" s="59">
        <f>SUM(F563:H563)</f>
        <v>0</v>
      </c>
      <c r="J563" s="1"/>
      <c r="K563" s="1"/>
      <c r="L563" s="1"/>
      <c r="M563" s="59">
        <f>SUM(J563:L563)</f>
        <v>0</v>
      </c>
      <c r="N563" s="1"/>
      <c r="O563" s="1">
        <v>500</v>
      </c>
      <c r="P563" s="1">
        <v>500</v>
      </c>
      <c r="Q563" s="59">
        <f>SUM(N563:P563)</f>
        <v>1000</v>
      </c>
      <c r="R563" s="59">
        <f>+E563+I563+M563+Q563</f>
        <v>1000</v>
      </c>
      <c r="T563" s="4" t="s">
        <v>516</v>
      </c>
    </row>
    <row r="564" spans="1:20" ht="15.75" customHeight="1" x14ac:dyDescent="0.3">
      <c r="A564" s="74" t="s">
        <v>517</v>
      </c>
      <c r="B564" s="1">
        <v>400</v>
      </c>
      <c r="C564" s="1">
        <v>400</v>
      </c>
      <c r="D564" s="1">
        <v>400</v>
      </c>
      <c r="E564" s="59">
        <f t="shared" si="162"/>
        <v>1200</v>
      </c>
      <c r="F564" s="1">
        <v>400</v>
      </c>
      <c r="G564" s="1">
        <v>400</v>
      </c>
      <c r="H564" s="1">
        <v>400</v>
      </c>
      <c r="I564" s="59">
        <f t="shared" si="163"/>
        <v>1200</v>
      </c>
      <c r="J564" s="1">
        <v>400</v>
      </c>
      <c r="K564" s="1">
        <v>400</v>
      </c>
      <c r="L564" s="1">
        <v>400</v>
      </c>
      <c r="M564" s="59">
        <f t="shared" si="164"/>
        <v>1200</v>
      </c>
      <c r="N564" s="1">
        <v>200</v>
      </c>
      <c r="O564" s="1">
        <v>205</v>
      </c>
      <c r="P564" s="1"/>
      <c r="Q564" s="59">
        <f t="shared" si="165"/>
        <v>405</v>
      </c>
      <c r="R564" s="59">
        <f t="shared" si="166"/>
        <v>4005</v>
      </c>
      <c r="T564" s="4" t="s">
        <v>516</v>
      </c>
    </row>
    <row r="565" spans="1:20" ht="15.75" customHeight="1" x14ac:dyDescent="0.3">
      <c r="A565" s="74" t="s">
        <v>518</v>
      </c>
      <c r="B565" s="1">
        <v>320</v>
      </c>
      <c r="C565" s="1">
        <v>320</v>
      </c>
      <c r="D565" s="1">
        <v>320</v>
      </c>
      <c r="E565" s="59">
        <f>SUM(B565:D565)</f>
        <v>960</v>
      </c>
      <c r="F565" s="1">
        <v>320</v>
      </c>
      <c r="G565" s="1">
        <v>320</v>
      </c>
      <c r="H565" s="1">
        <v>315</v>
      </c>
      <c r="I565" s="59">
        <f>SUM(F565:H565)</f>
        <v>955</v>
      </c>
      <c r="J565" s="1">
        <v>315</v>
      </c>
      <c r="K565" s="1">
        <v>315</v>
      </c>
      <c r="L565" s="1">
        <v>320</v>
      </c>
      <c r="M565" s="59">
        <f>SUM(J565:L565)</f>
        <v>950</v>
      </c>
      <c r="N565" s="1">
        <v>155</v>
      </c>
      <c r="O565" s="1">
        <v>160</v>
      </c>
      <c r="P565" s="1">
        <v>320</v>
      </c>
      <c r="Q565" s="59">
        <f>SUM(N565:P565)</f>
        <v>635</v>
      </c>
      <c r="R565" s="59">
        <f t="shared" si="166"/>
        <v>3500</v>
      </c>
    </row>
    <row r="566" spans="1:20" ht="15.75" customHeight="1" x14ac:dyDescent="0.3">
      <c r="A566" s="74" t="s">
        <v>519</v>
      </c>
      <c r="B566" s="1"/>
      <c r="C566" s="1"/>
      <c r="D566" s="1"/>
      <c r="E566" s="59">
        <f t="shared" si="162"/>
        <v>0</v>
      </c>
      <c r="F566" s="1"/>
      <c r="G566" s="1"/>
      <c r="H566" s="1"/>
      <c r="I566" s="59">
        <f t="shared" si="163"/>
        <v>0</v>
      </c>
      <c r="J566" s="1">
        <v>1400</v>
      </c>
      <c r="K566" s="1">
        <v>700</v>
      </c>
      <c r="L566" s="1">
        <v>700</v>
      </c>
      <c r="M566" s="59">
        <f t="shared" si="164"/>
        <v>2800</v>
      </c>
      <c r="N566" s="1"/>
      <c r="O566" s="1"/>
      <c r="P566" s="1"/>
      <c r="Q566" s="59">
        <f t="shared" si="165"/>
        <v>0</v>
      </c>
      <c r="R566" s="59">
        <f t="shared" si="166"/>
        <v>2800</v>
      </c>
      <c r="T566" s="4" t="s">
        <v>516</v>
      </c>
    </row>
    <row r="567" spans="1:20" ht="15.75" customHeight="1" x14ac:dyDescent="0.3">
      <c r="A567" s="74" t="s">
        <v>520</v>
      </c>
      <c r="B567" s="1"/>
      <c r="C567" s="1"/>
      <c r="D567" s="1">
        <v>300</v>
      </c>
      <c r="E567" s="59">
        <f t="shared" si="162"/>
        <v>300</v>
      </c>
      <c r="F567" s="1">
        <v>436</v>
      </c>
      <c r="G567" s="1">
        <v>400</v>
      </c>
      <c r="H567" s="1">
        <v>400</v>
      </c>
      <c r="I567" s="59">
        <f t="shared" si="163"/>
        <v>1236</v>
      </c>
      <c r="J567" s="1">
        <v>400</v>
      </c>
      <c r="K567" s="1">
        <v>400</v>
      </c>
      <c r="L567" s="1"/>
      <c r="M567" s="59">
        <f t="shared" si="164"/>
        <v>800</v>
      </c>
      <c r="N567" s="1"/>
      <c r="O567" s="1"/>
      <c r="P567" s="1"/>
      <c r="Q567" s="59">
        <f>SUM(N567:P567)</f>
        <v>0</v>
      </c>
      <c r="R567" s="59">
        <f>+E567+I567+M567+Q567</f>
        <v>2336</v>
      </c>
    </row>
    <row r="568" spans="1:20" ht="15.75" customHeight="1" x14ac:dyDescent="0.3">
      <c r="A568" s="74" t="s">
        <v>521</v>
      </c>
      <c r="B568" s="1"/>
      <c r="C568" s="1"/>
      <c r="D568" s="1"/>
      <c r="E568" s="59">
        <f t="shared" si="162"/>
        <v>0</v>
      </c>
      <c r="F568" s="1"/>
      <c r="G568" s="1"/>
      <c r="H568" s="1"/>
      <c r="I568" s="59">
        <f t="shared" si="163"/>
        <v>0</v>
      </c>
      <c r="J568" s="1"/>
      <c r="K568" s="1"/>
      <c r="L568" s="1"/>
      <c r="M568" s="59">
        <f t="shared" si="164"/>
        <v>0</v>
      </c>
      <c r="N568" s="1"/>
      <c r="O568" s="1"/>
      <c r="P568" s="1"/>
      <c r="Q568" s="59">
        <f t="shared" si="165"/>
        <v>0</v>
      </c>
      <c r="R568" s="59">
        <f t="shared" si="166"/>
        <v>0</v>
      </c>
      <c r="T568" s="4" t="s">
        <v>516</v>
      </c>
    </row>
    <row r="569" spans="1:20" ht="15.75" customHeight="1" x14ac:dyDescent="0.3">
      <c r="A569" s="74" t="s">
        <v>895</v>
      </c>
      <c r="B569" s="1">
        <v>250</v>
      </c>
      <c r="C569" s="1">
        <v>400</v>
      </c>
      <c r="D569" s="1">
        <v>650</v>
      </c>
      <c r="E569" s="59">
        <f>SUM(B569:D569)</f>
        <v>1300</v>
      </c>
      <c r="F569" s="1">
        <v>800</v>
      </c>
      <c r="G569" s="1">
        <v>340</v>
      </c>
      <c r="H569" s="1">
        <v>380</v>
      </c>
      <c r="I569" s="59">
        <f>SUM(F569:H569)</f>
        <v>1520</v>
      </c>
      <c r="J569" s="1">
        <v>117</v>
      </c>
      <c r="K569" s="1"/>
      <c r="L569" s="1"/>
      <c r="M569" s="59">
        <f>SUM(J569:L569)</f>
        <v>117</v>
      </c>
      <c r="N569" s="1"/>
      <c r="O569" s="1"/>
      <c r="P569" s="1"/>
      <c r="Q569" s="59">
        <f>SUM(N569:P569)</f>
        <v>0</v>
      </c>
      <c r="R569" s="59">
        <f>+E569+I569+M569+Q569</f>
        <v>2937</v>
      </c>
      <c r="T569" s="4" t="s">
        <v>514</v>
      </c>
    </row>
    <row r="570" spans="1:20" ht="15.75" customHeight="1" x14ac:dyDescent="0.3">
      <c r="A570" s="17" t="s">
        <v>47</v>
      </c>
      <c r="B570" s="1"/>
      <c r="C570" s="1"/>
      <c r="D570" s="1"/>
      <c r="E570" s="59" t="s">
        <v>7</v>
      </c>
      <c r="F570" s="1"/>
      <c r="G570" s="1"/>
      <c r="H570" s="1"/>
      <c r="I570" s="59" t="s">
        <v>7</v>
      </c>
      <c r="J570" s="1"/>
      <c r="K570" s="1"/>
      <c r="L570" s="1"/>
      <c r="M570" s="59" t="s">
        <v>7</v>
      </c>
      <c r="N570" s="1"/>
      <c r="O570" s="1"/>
      <c r="P570" s="1"/>
      <c r="Q570" s="59" t="s">
        <v>7</v>
      </c>
      <c r="R570" s="59" t="s">
        <v>7</v>
      </c>
    </row>
    <row r="571" spans="1:20" ht="15.75" customHeight="1" x14ac:dyDescent="0.3">
      <c r="A571" s="74" t="s">
        <v>521</v>
      </c>
      <c r="B571" s="1"/>
      <c r="C571" s="1"/>
      <c r="D571" s="1"/>
      <c r="E571" s="59">
        <f>SUM(B571:D571)</f>
        <v>0</v>
      </c>
      <c r="F571" s="1"/>
      <c r="G571" s="1"/>
      <c r="H571" s="1"/>
      <c r="I571" s="59">
        <f>SUM(F571:H571)</f>
        <v>0</v>
      </c>
      <c r="J571" s="1"/>
      <c r="K571" s="1"/>
      <c r="L571" s="1"/>
      <c r="M571" s="59">
        <f>SUM(J571:L571)</f>
        <v>0</v>
      </c>
      <c r="N571" s="1"/>
      <c r="O571" s="1"/>
      <c r="P571" s="1"/>
      <c r="Q571" s="59">
        <f>SUM(N571:P571)</f>
        <v>0</v>
      </c>
      <c r="R571" s="59">
        <f>+E571+I571+M571+Q571</f>
        <v>0</v>
      </c>
      <c r="T571" s="4" t="s">
        <v>516</v>
      </c>
    </row>
    <row r="572" spans="1:20" ht="15.75" customHeight="1" x14ac:dyDescent="0.3">
      <c r="A572" s="17" t="s">
        <v>898</v>
      </c>
      <c r="B572" s="1"/>
      <c r="C572" s="1"/>
      <c r="D572" s="1"/>
      <c r="E572" s="59" t="s">
        <v>7</v>
      </c>
      <c r="F572" s="1"/>
      <c r="G572" s="1"/>
      <c r="H572" s="1"/>
      <c r="I572" s="59" t="s">
        <v>7</v>
      </c>
      <c r="J572" s="1"/>
      <c r="K572" s="1"/>
      <c r="L572" s="1"/>
      <c r="M572" s="59" t="s">
        <v>7</v>
      </c>
      <c r="N572" s="1"/>
      <c r="O572" s="1"/>
      <c r="P572" s="1"/>
      <c r="Q572" s="59" t="s">
        <v>7</v>
      </c>
      <c r="R572" s="59" t="s">
        <v>7</v>
      </c>
    </row>
    <row r="573" spans="1:20" ht="15.75" customHeight="1" x14ac:dyDescent="0.3">
      <c r="A573" s="74" t="s">
        <v>923</v>
      </c>
      <c r="B573" s="1"/>
      <c r="C573" s="1"/>
      <c r="D573" s="1"/>
      <c r="E573" s="59">
        <f>SUM(B573:D573)</f>
        <v>0</v>
      </c>
      <c r="F573" s="1"/>
      <c r="G573" s="1"/>
      <c r="H573" s="1"/>
      <c r="I573" s="59">
        <f>SUM(F573:H573)</f>
        <v>0</v>
      </c>
      <c r="J573" s="1"/>
      <c r="K573" s="1"/>
      <c r="L573" s="1"/>
      <c r="M573" s="59">
        <f>SUM(J573:L573)</f>
        <v>0</v>
      </c>
      <c r="N573" s="1"/>
      <c r="O573" s="1"/>
      <c r="P573" s="1"/>
      <c r="Q573" s="59">
        <f>SUM(N573:P573)</f>
        <v>0</v>
      </c>
      <c r="R573" s="59">
        <f>+E573+I573+M573+Q573</f>
        <v>0</v>
      </c>
      <c r="T573" s="4" t="s">
        <v>516</v>
      </c>
    </row>
    <row r="574" spans="1:20" ht="15.75" customHeight="1" thickBot="1" x14ac:dyDescent="0.35">
      <c r="A574" s="17" t="s">
        <v>51</v>
      </c>
      <c r="B574" s="1"/>
      <c r="C574" s="1"/>
      <c r="D574" s="1"/>
      <c r="E574" s="59" t="s">
        <v>7</v>
      </c>
      <c r="F574" s="1"/>
      <c r="G574" s="1"/>
      <c r="H574" s="1"/>
      <c r="I574" s="59" t="s">
        <v>7</v>
      </c>
      <c r="J574" s="1"/>
      <c r="K574" s="1"/>
      <c r="L574" s="1"/>
      <c r="M574" s="59" t="s">
        <v>7</v>
      </c>
      <c r="N574" s="1"/>
      <c r="O574" s="1"/>
      <c r="P574" s="1"/>
      <c r="Q574" s="59" t="s">
        <v>7</v>
      </c>
      <c r="R574" s="59" t="s">
        <v>7</v>
      </c>
    </row>
    <row r="575" spans="1:20" ht="16.5" customHeight="1" thickBot="1" x14ac:dyDescent="0.35">
      <c r="A575" s="126" t="s">
        <v>52</v>
      </c>
      <c r="B575" s="100">
        <f>SUM(B558:B574)</f>
        <v>1485</v>
      </c>
      <c r="C575" s="101">
        <f>SUM(C558:C574)</f>
        <v>2336</v>
      </c>
      <c r="D575" s="101">
        <f>SUM(D558:D574)</f>
        <v>3085</v>
      </c>
      <c r="E575" s="64">
        <f>SUM(B575:D575)</f>
        <v>6906</v>
      </c>
      <c r="F575" s="101">
        <f>SUM(F558:F574)</f>
        <v>3771</v>
      </c>
      <c r="G575" s="101">
        <f>SUM(G558:G574)</f>
        <v>3575</v>
      </c>
      <c r="H575" s="101">
        <f>SUM(H558:H574)</f>
        <v>2605</v>
      </c>
      <c r="I575" s="64">
        <f>SUM(F575:H575)</f>
        <v>9951</v>
      </c>
      <c r="J575" s="101">
        <f>SUM(J558:J574)</f>
        <v>4242</v>
      </c>
      <c r="K575" s="101">
        <f>SUM(K558:K574)</f>
        <v>2325</v>
      </c>
      <c r="L575" s="101">
        <f>SUM(L558:L574)</f>
        <v>1735</v>
      </c>
      <c r="M575" s="64">
        <f>SUM(J575:L575)</f>
        <v>8302</v>
      </c>
      <c r="N575" s="101">
        <f>SUM(N558:N574)</f>
        <v>515</v>
      </c>
      <c r="O575" s="101">
        <f>SUM(O558:O574)</f>
        <v>1020</v>
      </c>
      <c r="P575" s="101">
        <f>SUM(P558:P574)</f>
        <v>1135</v>
      </c>
      <c r="Q575" s="64">
        <f>SUM(N575:P575)</f>
        <v>2670</v>
      </c>
      <c r="R575" s="64">
        <f>+E575+I575+M575+Q575</f>
        <v>27829</v>
      </c>
    </row>
    <row r="576" spans="1:20" ht="15.75" customHeight="1" x14ac:dyDescent="0.3">
      <c r="A576" s="17" t="s">
        <v>53</v>
      </c>
      <c r="B576" s="1"/>
      <c r="C576" s="1"/>
      <c r="D576" s="1"/>
      <c r="E576" s="59" t="s">
        <v>7</v>
      </c>
      <c r="F576" s="1"/>
      <c r="G576" s="1"/>
      <c r="H576" s="1"/>
      <c r="I576" s="59" t="s">
        <v>7</v>
      </c>
      <c r="J576" s="1"/>
      <c r="K576" s="1"/>
      <c r="L576" s="1"/>
      <c r="M576" s="59" t="s">
        <v>7</v>
      </c>
      <c r="N576" s="1"/>
      <c r="O576" s="1"/>
      <c r="P576" s="1"/>
      <c r="Q576" s="59" t="s">
        <v>7</v>
      </c>
      <c r="R576" s="59" t="s">
        <v>7</v>
      </c>
    </row>
    <row r="577" spans="1:20" ht="15.75" customHeight="1" x14ac:dyDescent="0.3">
      <c r="A577" s="17" t="s">
        <v>55</v>
      </c>
      <c r="B577" s="1"/>
      <c r="C577" s="1"/>
      <c r="D577" s="1"/>
      <c r="E577" s="59" t="s">
        <v>7</v>
      </c>
      <c r="F577" s="1"/>
      <c r="G577" s="1"/>
      <c r="H577" s="1"/>
      <c r="I577" s="59" t="s">
        <v>7</v>
      </c>
      <c r="J577" s="1"/>
      <c r="K577" s="1"/>
      <c r="L577" s="1"/>
      <c r="M577" s="59" t="s">
        <v>7</v>
      </c>
      <c r="N577" s="1"/>
      <c r="O577" s="1"/>
      <c r="P577" s="1"/>
      <c r="Q577" s="59" t="s">
        <v>7</v>
      </c>
      <c r="R577" s="59" t="s">
        <v>7</v>
      </c>
    </row>
    <row r="578" spans="1:20" ht="15.75" customHeight="1" x14ac:dyDescent="0.3">
      <c r="A578" s="74" t="s">
        <v>526</v>
      </c>
      <c r="B578" s="1"/>
      <c r="C578" s="1"/>
      <c r="D578" s="1"/>
      <c r="E578" s="59">
        <f>SUM(B578:D578)</f>
        <v>0</v>
      </c>
      <c r="F578" s="1"/>
      <c r="G578" s="1"/>
      <c r="H578" s="1"/>
      <c r="I578" s="59">
        <f>SUM(F578:H578)</f>
        <v>0</v>
      </c>
      <c r="J578" s="1"/>
      <c r="K578" s="1"/>
      <c r="L578" s="1"/>
      <c r="M578" s="59">
        <f>SUM(J578:L578)</f>
        <v>0</v>
      </c>
      <c r="N578" s="1"/>
      <c r="O578" s="1"/>
      <c r="P578" s="1"/>
      <c r="Q578" s="59">
        <f>SUM(N578:P578)</f>
        <v>0</v>
      </c>
      <c r="R578" s="59">
        <f>+E578+I578+M578+Q578</f>
        <v>0</v>
      </c>
    </row>
    <row r="579" spans="1:20" ht="15.75" customHeight="1" x14ac:dyDescent="0.3">
      <c r="A579" s="74" t="s">
        <v>527</v>
      </c>
      <c r="B579" s="1"/>
      <c r="C579" s="1"/>
      <c r="D579" s="1"/>
      <c r="E579" s="59">
        <f>SUM(B579:D579)</f>
        <v>0</v>
      </c>
      <c r="F579" s="1"/>
      <c r="G579" s="1"/>
      <c r="H579" s="1"/>
      <c r="I579" s="59">
        <f>SUM(F579:H579)</f>
        <v>0</v>
      </c>
      <c r="J579" s="1"/>
      <c r="K579" s="1"/>
      <c r="L579" s="1"/>
      <c r="M579" s="59">
        <f>SUM(J579:L579)</f>
        <v>0</v>
      </c>
      <c r="N579" s="1"/>
      <c r="O579" s="1"/>
      <c r="P579" s="1"/>
      <c r="Q579" s="59">
        <f>SUM(N579:P579)</f>
        <v>0</v>
      </c>
      <c r="R579" s="59">
        <f>+E579+I579+M579+Q579</f>
        <v>0</v>
      </c>
    </row>
    <row r="580" spans="1:20" ht="15.75" customHeight="1" thickBot="1" x14ac:dyDescent="0.35">
      <c r="A580" s="17" t="s">
        <v>56</v>
      </c>
      <c r="B580" s="1"/>
      <c r="C580" s="1"/>
      <c r="D580" s="1"/>
      <c r="E580" s="59" t="s">
        <v>7</v>
      </c>
      <c r="F580" s="1"/>
      <c r="G580" s="1"/>
      <c r="H580" s="1"/>
      <c r="I580" s="59" t="s">
        <v>7</v>
      </c>
      <c r="J580" s="1"/>
      <c r="K580" s="1"/>
      <c r="L580" s="1"/>
      <c r="M580" s="59" t="s">
        <v>7</v>
      </c>
      <c r="N580" s="1"/>
      <c r="O580" s="1"/>
      <c r="P580" s="1"/>
      <c r="Q580" s="59" t="s">
        <v>7</v>
      </c>
      <c r="R580" s="59" t="s">
        <v>7</v>
      </c>
    </row>
    <row r="581" spans="1:20" ht="16.5" customHeight="1" thickBot="1" x14ac:dyDescent="0.35">
      <c r="A581" s="62" t="s">
        <v>57</v>
      </c>
      <c r="B581" s="100">
        <f>SUM(B576:B580)</f>
        <v>0</v>
      </c>
      <c r="C581" s="101">
        <f>SUM(C576:C580)</f>
        <v>0</v>
      </c>
      <c r="D581" s="101">
        <f>SUM(D576:D580)</f>
        <v>0</v>
      </c>
      <c r="E581" s="64">
        <f>SUM(B581:D581)</f>
        <v>0</v>
      </c>
      <c r="F581" s="101">
        <f>SUM(F576:F580)</f>
        <v>0</v>
      </c>
      <c r="G581" s="101">
        <f>SUM(G576:G580)</f>
        <v>0</v>
      </c>
      <c r="H581" s="101">
        <f>SUM(H576:H580)</f>
        <v>0</v>
      </c>
      <c r="I581" s="64">
        <f>SUM(F581:H581)</f>
        <v>0</v>
      </c>
      <c r="J581" s="101">
        <f>SUM(J576:J580)</f>
        <v>0</v>
      </c>
      <c r="K581" s="101">
        <f>SUM(K576:K580)</f>
        <v>0</v>
      </c>
      <c r="L581" s="101">
        <f>SUM(L576:L580)</f>
        <v>0</v>
      </c>
      <c r="M581" s="64">
        <f>SUM(J581:L581)</f>
        <v>0</v>
      </c>
      <c r="N581" s="101">
        <f>SUM(N576:N580)</f>
        <v>0</v>
      </c>
      <c r="O581" s="101">
        <f>SUM(O576:O580)</f>
        <v>0</v>
      </c>
      <c r="P581" s="101">
        <f>SUM(P576:P580)</f>
        <v>0</v>
      </c>
      <c r="Q581" s="64">
        <f>SUM(N581:P581)</f>
        <v>0</v>
      </c>
      <c r="R581" s="64">
        <f>+E581+I581+M581+Q581</f>
        <v>0</v>
      </c>
    </row>
    <row r="582" spans="1:20" ht="15.75" customHeight="1" x14ac:dyDescent="0.3">
      <c r="A582" s="17" t="s">
        <v>58</v>
      </c>
      <c r="B582" s="1"/>
      <c r="C582" s="1"/>
      <c r="D582" s="1"/>
      <c r="E582" s="59" t="s">
        <v>7</v>
      </c>
      <c r="F582" s="1"/>
      <c r="G582" s="1"/>
      <c r="H582" s="1"/>
      <c r="I582" s="59" t="s">
        <v>7</v>
      </c>
      <c r="J582" s="1"/>
      <c r="K582" s="1"/>
      <c r="L582" s="1"/>
      <c r="M582" s="59" t="s">
        <v>7</v>
      </c>
      <c r="N582" s="1"/>
      <c r="O582" s="1"/>
      <c r="P582" s="1"/>
      <c r="Q582" s="59" t="s">
        <v>7</v>
      </c>
      <c r="R582" s="59" t="s">
        <v>7</v>
      </c>
    </row>
    <row r="583" spans="1:20" ht="15.75" customHeight="1" x14ac:dyDescent="0.3">
      <c r="A583" s="17" t="s">
        <v>59</v>
      </c>
      <c r="B583" s="1"/>
      <c r="C583" s="1"/>
      <c r="D583" s="1"/>
      <c r="E583" s="59" t="s">
        <v>7</v>
      </c>
      <c r="F583" s="1"/>
      <c r="G583" s="1"/>
      <c r="H583" s="1"/>
      <c r="I583" s="59" t="s">
        <v>7</v>
      </c>
      <c r="J583" s="1"/>
      <c r="K583" s="1"/>
      <c r="L583" s="1"/>
      <c r="M583" s="59" t="s">
        <v>7</v>
      </c>
      <c r="N583" s="1"/>
      <c r="O583" s="1"/>
      <c r="P583" s="1"/>
      <c r="Q583" s="59" t="s">
        <v>7</v>
      </c>
      <c r="R583" s="59" t="s">
        <v>7</v>
      </c>
    </row>
    <row r="584" spans="1:20" ht="15.75" customHeight="1" x14ac:dyDescent="0.3">
      <c r="A584" s="17" t="s">
        <v>60</v>
      </c>
      <c r="B584" s="1"/>
      <c r="C584" s="1"/>
      <c r="D584" s="1"/>
      <c r="E584" s="59" t="s">
        <v>7</v>
      </c>
      <c r="F584" s="1"/>
      <c r="G584" s="1"/>
      <c r="H584" s="1"/>
      <c r="I584" s="59" t="s">
        <v>7</v>
      </c>
      <c r="J584" s="1"/>
      <c r="K584" s="1"/>
      <c r="L584" s="1"/>
      <c r="M584" s="59" t="s">
        <v>7</v>
      </c>
      <c r="N584" s="1"/>
      <c r="O584" s="1"/>
      <c r="P584" s="1"/>
      <c r="Q584" s="59" t="s">
        <v>7</v>
      </c>
      <c r="R584" s="59" t="s">
        <v>7</v>
      </c>
    </row>
    <row r="585" spans="1:20" ht="15.75" customHeight="1" x14ac:dyDescent="0.3">
      <c r="A585" s="74" t="s">
        <v>924</v>
      </c>
      <c r="B585" s="1"/>
      <c r="C585" s="1"/>
      <c r="D585" s="1"/>
      <c r="E585" s="59">
        <f>SUM(B585:D585)</f>
        <v>0</v>
      </c>
      <c r="F585" s="1"/>
      <c r="G585" s="1"/>
      <c r="H585" s="1"/>
      <c r="I585" s="59">
        <f>SUM(F585:H585)</f>
        <v>0</v>
      </c>
      <c r="J585" s="1"/>
      <c r="K585" s="1">
        <v>625</v>
      </c>
      <c r="L585" s="1">
        <v>625</v>
      </c>
      <c r="M585" s="59">
        <f>SUM(J585:L585)</f>
        <v>1250</v>
      </c>
      <c r="N585" s="1">
        <v>625</v>
      </c>
      <c r="O585" s="1">
        <v>660</v>
      </c>
      <c r="P585" s="1"/>
      <c r="Q585" s="59">
        <f>SUM(N585:P585)</f>
        <v>1285</v>
      </c>
      <c r="R585" s="59">
        <f>+E585+I585+M585+Q585</f>
        <v>2535</v>
      </c>
      <c r="T585" s="4" t="s">
        <v>516</v>
      </c>
    </row>
    <row r="586" spans="1:20" ht="15.75" customHeight="1" thickBot="1" x14ac:dyDescent="0.35">
      <c r="A586" s="74" t="s">
        <v>925</v>
      </c>
      <c r="B586" s="1"/>
      <c r="C586" s="1"/>
      <c r="D586" s="1"/>
      <c r="E586" s="59">
        <f>SUM(B586:D586)</f>
        <v>0</v>
      </c>
      <c r="F586" s="1"/>
      <c r="G586" s="1"/>
      <c r="H586" s="1"/>
      <c r="I586" s="59">
        <f>SUM(F586:H586)</f>
        <v>0</v>
      </c>
      <c r="J586" s="1"/>
      <c r="K586" s="1"/>
      <c r="L586" s="1"/>
      <c r="M586" s="59">
        <f>SUM(J586:L586)</f>
        <v>0</v>
      </c>
      <c r="N586" s="1"/>
      <c r="O586" s="1"/>
      <c r="P586" s="1"/>
      <c r="Q586" s="59">
        <f>SUM(N586:P586)</f>
        <v>0</v>
      </c>
      <c r="R586" s="59">
        <f>+E586+I586+M586+Q586</f>
        <v>0</v>
      </c>
      <c r="T586" s="4" t="s">
        <v>516</v>
      </c>
    </row>
    <row r="587" spans="1:20" ht="16.5" customHeight="1" thickBot="1" x14ac:dyDescent="0.35">
      <c r="A587" s="137" t="s">
        <v>61</v>
      </c>
      <c r="B587" s="100">
        <f>SUM(B582:B586)</f>
        <v>0</v>
      </c>
      <c r="C587" s="101">
        <f>SUM(C582:C586)</f>
        <v>0</v>
      </c>
      <c r="D587" s="101">
        <f>SUM(D582:D586)</f>
        <v>0</v>
      </c>
      <c r="E587" s="64">
        <f>SUM(B587:D587)</f>
        <v>0</v>
      </c>
      <c r="F587" s="101">
        <f>SUM(F582:F586)</f>
        <v>0</v>
      </c>
      <c r="G587" s="101">
        <f>SUM(G582:G586)</f>
        <v>0</v>
      </c>
      <c r="H587" s="101">
        <f>SUM(H582:H586)</f>
        <v>0</v>
      </c>
      <c r="I587" s="64">
        <f>SUM(F587:H587)</f>
        <v>0</v>
      </c>
      <c r="J587" s="101">
        <f>SUM(J582:J586)</f>
        <v>0</v>
      </c>
      <c r="K587" s="101">
        <f>SUM(K582:K586)</f>
        <v>625</v>
      </c>
      <c r="L587" s="101">
        <f>SUM(L582:L586)</f>
        <v>625</v>
      </c>
      <c r="M587" s="64">
        <f>SUM(J587:L587)</f>
        <v>1250</v>
      </c>
      <c r="N587" s="101">
        <f>SUM(N582:N586)</f>
        <v>625</v>
      </c>
      <c r="O587" s="101">
        <f>SUM(O582:O586)</f>
        <v>660</v>
      </c>
      <c r="P587" s="101">
        <f>SUM(P582:P586)</f>
        <v>0</v>
      </c>
      <c r="Q587" s="64">
        <f>SUM(N587:P587)</f>
        <v>1285</v>
      </c>
      <c r="R587" s="64">
        <f>+E587+I587+M587+Q587</f>
        <v>2535</v>
      </c>
    </row>
    <row r="588" spans="1:20" ht="15.75" customHeight="1" x14ac:dyDescent="0.3">
      <c r="A588" s="17" t="s">
        <v>62</v>
      </c>
      <c r="B588" s="1"/>
      <c r="C588" s="1"/>
      <c r="D588" s="1"/>
      <c r="E588" s="59" t="s">
        <v>7</v>
      </c>
      <c r="F588" s="1"/>
      <c r="G588" s="1"/>
      <c r="H588" s="1"/>
      <c r="I588" s="59" t="s">
        <v>7</v>
      </c>
      <c r="J588" s="1"/>
      <c r="K588" s="1"/>
      <c r="L588" s="1"/>
      <c r="M588" s="59" t="s">
        <v>7</v>
      </c>
      <c r="N588" s="1"/>
      <c r="O588" s="1"/>
      <c r="P588" s="1"/>
      <c r="Q588" s="59" t="s">
        <v>7</v>
      </c>
      <c r="R588" s="59" t="s">
        <v>7</v>
      </c>
    </row>
    <row r="589" spans="1:20" ht="15.75" customHeight="1" x14ac:dyDescent="0.3">
      <c r="A589" s="17" t="s">
        <v>63</v>
      </c>
      <c r="B589" s="1"/>
      <c r="C589" s="1"/>
      <c r="D589" s="1"/>
      <c r="E589" s="59" t="s">
        <v>7</v>
      </c>
      <c r="F589" s="1"/>
      <c r="G589" s="1"/>
      <c r="H589" s="1"/>
      <c r="I589" s="59" t="s">
        <v>7</v>
      </c>
      <c r="J589" s="1"/>
      <c r="K589" s="1"/>
      <c r="L589" s="1"/>
      <c r="M589" s="59" t="s">
        <v>7</v>
      </c>
      <c r="N589" s="1"/>
      <c r="O589" s="1"/>
      <c r="P589" s="1"/>
      <c r="Q589" s="59" t="s">
        <v>7</v>
      </c>
      <c r="R589" s="59" t="s">
        <v>7</v>
      </c>
    </row>
    <row r="590" spans="1:20" ht="15.75" customHeight="1" x14ac:dyDescent="0.3">
      <c r="A590" s="74" t="s">
        <v>923</v>
      </c>
      <c r="B590" s="1"/>
      <c r="C590" s="1"/>
      <c r="D590" s="1"/>
      <c r="E590" s="59">
        <f>SUM(B590:D590)</f>
        <v>0</v>
      </c>
      <c r="F590" s="1"/>
      <c r="G590" s="1"/>
      <c r="H590" s="1"/>
      <c r="I590" s="59">
        <f>SUM(F590:H590)</f>
        <v>0</v>
      </c>
      <c r="J590" s="1"/>
      <c r="K590" s="1"/>
      <c r="L590" s="1"/>
      <c r="M590" s="59">
        <f>SUM(J590:L590)</f>
        <v>0</v>
      </c>
      <c r="N590" s="1"/>
      <c r="O590" s="1"/>
      <c r="P590" s="1"/>
      <c r="Q590" s="59">
        <f>SUM(N590:P590)</f>
        <v>0</v>
      </c>
      <c r="R590" s="59">
        <f>+E590+I590+M590+Q590</f>
        <v>0</v>
      </c>
      <c r="T590" s="4" t="s">
        <v>516</v>
      </c>
    </row>
    <row r="591" spans="1:20" ht="15.75" customHeight="1" x14ac:dyDescent="0.3">
      <c r="A591" s="74" t="s">
        <v>536</v>
      </c>
      <c r="B591" s="1"/>
      <c r="C591" s="1"/>
      <c r="D591" s="1"/>
      <c r="E591" s="59">
        <f>SUM(B591:D591)</f>
        <v>0</v>
      </c>
      <c r="F591" s="1"/>
      <c r="G591" s="1"/>
      <c r="H591" s="1"/>
      <c r="I591" s="59">
        <f>SUM(F591:H591)</f>
        <v>0</v>
      </c>
      <c r="J591" s="1"/>
      <c r="K591" s="1"/>
      <c r="L591" s="1"/>
      <c r="M591" s="59">
        <f>SUM(J591:L591)</f>
        <v>0</v>
      </c>
      <c r="N591" s="1"/>
      <c r="O591" s="1"/>
      <c r="P591" s="1"/>
      <c r="Q591" s="59">
        <f>SUM(N591:P591)</f>
        <v>0</v>
      </c>
      <c r="R591" s="59">
        <f>+E591+I591+M591+Q591</f>
        <v>0</v>
      </c>
      <c r="T591" s="4" t="s">
        <v>516</v>
      </c>
    </row>
    <row r="592" spans="1:20" ht="15.75" customHeight="1" x14ac:dyDescent="0.3">
      <c r="A592" s="17" t="s">
        <v>64</v>
      </c>
      <c r="B592" s="1"/>
      <c r="C592" s="1"/>
      <c r="D592" s="1"/>
      <c r="E592" s="59" t="s">
        <v>7</v>
      </c>
      <c r="F592" s="1"/>
      <c r="G592" s="1"/>
      <c r="H592" s="1"/>
      <c r="I592" s="59" t="s">
        <v>7</v>
      </c>
      <c r="J592" s="1"/>
      <c r="K592" s="1"/>
      <c r="L592" s="1"/>
      <c r="M592" s="59" t="s">
        <v>7</v>
      </c>
      <c r="N592" s="1"/>
      <c r="O592" s="1"/>
      <c r="P592" s="1"/>
      <c r="Q592" s="59" t="s">
        <v>7</v>
      </c>
      <c r="R592" s="59" t="s">
        <v>7</v>
      </c>
    </row>
    <row r="593" spans="1:20" ht="15.75" customHeight="1" x14ac:dyDescent="0.3">
      <c r="A593" s="74" t="s">
        <v>537</v>
      </c>
      <c r="B593" s="1"/>
      <c r="C593" s="1"/>
      <c r="D593" s="1"/>
      <c r="E593" s="59">
        <f>SUM(B593:D593)</f>
        <v>0</v>
      </c>
      <c r="F593" s="1"/>
      <c r="G593" s="1"/>
      <c r="H593" s="1"/>
      <c r="I593" s="59">
        <f>SUM(F593:H593)</f>
        <v>0</v>
      </c>
      <c r="J593" s="1"/>
      <c r="K593" s="1"/>
      <c r="L593" s="1"/>
      <c r="M593" s="59">
        <f>SUM(J593:L593)</f>
        <v>0</v>
      </c>
      <c r="N593" s="1"/>
      <c r="O593" s="1"/>
      <c r="P593" s="1"/>
      <c r="Q593" s="59">
        <f>SUM(N593:P593)</f>
        <v>0</v>
      </c>
      <c r="R593" s="59">
        <f>+E593+I593+M593+Q593</f>
        <v>0</v>
      </c>
    </row>
    <row r="594" spans="1:20" ht="15.75" customHeight="1" x14ac:dyDescent="0.3">
      <c r="A594" s="74" t="s">
        <v>538</v>
      </c>
      <c r="B594" s="1"/>
      <c r="C594" s="1"/>
      <c r="D594" s="1"/>
      <c r="E594" s="59">
        <f>SUM(B594:D594)</f>
        <v>0</v>
      </c>
      <c r="F594" s="1"/>
      <c r="G594" s="1"/>
      <c r="H594" s="1"/>
      <c r="I594" s="59">
        <f>SUM(F594:H594)</f>
        <v>0</v>
      </c>
      <c r="J594" s="1"/>
      <c r="K594" s="1"/>
      <c r="L594" s="1"/>
      <c r="M594" s="59">
        <f>SUM(J594:L594)</f>
        <v>0</v>
      </c>
      <c r="N594" s="1"/>
      <c r="O594" s="1"/>
      <c r="P594" s="1"/>
      <c r="Q594" s="59">
        <f>SUM(N594:P594)</f>
        <v>0</v>
      </c>
      <c r="R594" s="59">
        <f>+E594+I594+M594+Q594</f>
        <v>0</v>
      </c>
    </row>
    <row r="595" spans="1:20" ht="15.75" customHeight="1" x14ac:dyDescent="0.3">
      <c r="A595" s="74" t="s">
        <v>539</v>
      </c>
      <c r="B595" s="1"/>
      <c r="C595" s="1"/>
      <c r="D595" s="1"/>
      <c r="E595" s="59">
        <f>SUM(B595:D595)</f>
        <v>0</v>
      </c>
      <c r="F595" s="1"/>
      <c r="G595" s="1"/>
      <c r="H595" s="1"/>
      <c r="I595" s="59">
        <f>SUM(F595:H595)</f>
        <v>0</v>
      </c>
      <c r="J595" s="1"/>
      <c r="K595" s="1"/>
      <c r="L595" s="1"/>
      <c r="M595" s="59">
        <f>SUM(J595:L595)</f>
        <v>0</v>
      </c>
      <c r="N595" s="1"/>
      <c r="O595" s="1"/>
      <c r="P595" s="1"/>
      <c r="Q595" s="59">
        <f>SUM(N595:P595)</f>
        <v>0</v>
      </c>
      <c r="R595" s="59">
        <f>+E595+I595+M595+Q595</f>
        <v>0</v>
      </c>
      <c r="T595" s="4" t="s">
        <v>516</v>
      </c>
    </row>
    <row r="596" spans="1:20" ht="15.75" customHeight="1" x14ac:dyDescent="0.3">
      <c r="A596" s="74" t="s">
        <v>540</v>
      </c>
      <c r="B596" s="1"/>
      <c r="C596" s="1"/>
      <c r="D596" s="1"/>
      <c r="E596" s="59">
        <f>SUM(B596:D596)</f>
        <v>0</v>
      </c>
      <c r="F596" s="1"/>
      <c r="G596" s="1"/>
      <c r="H596" s="1"/>
      <c r="I596" s="59">
        <f>SUM(F596:H596)</f>
        <v>0</v>
      </c>
      <c r="J596" s="1"/>
      <c r="K596" s="1"/>
      <c r="L596" s="1"/>
      <c r="M596" s="59">
        <f>SUM(J596:L596)</f>
        <v>0</v>
      </c>
      <c r="N596" s="1"/>
      <c r="O596" s="1"/>
      <c r="P596" s="1"/>
      <c r="Q596" s="59">
        <f>SUM(N596:P596)</f>
        <v>0</v>
      </c>
      <c r="R596" s="59">
        <f>+E596+I596+M596+Q596</f>
        <v>0</v>
      </c>
      <c r="T596" s="4" t="s">
        <v>516</v>
      </c>
    </row>
    <row r="597" spans="1:20" ht="15.75" customHeight="1" x14ac:dyDescent="0.3">
      <c r="A597" s="17" t="s">
        <v>66</v>
      </c>
      <c r="B597" s="1"/>
      <c r="C597" s="1"/>
      <c r="D597" s="1"/>
      <c r="E597" s="59" t="s">
        <v>7</v>
      </c>
      <c r="F597" s="1"/>
      <c r="G597" s="1"/>
      <c r="H597" s="1"/>
      <c r="I597" s="59" t="s">
        <v>7</v>
      </c>
      <c r="J597" s="1"/>
      <c r="K597" s="1"/>
      <c r="L597" s="1"/>
      <c r="M597" s="59" t="s">
        <v>7</v>
      </c>
      <c r="N597" s="1"/>
      <c r="O597" s="1"/>
      <c r="P597" s="1"/>
      <c r="Q597" s="59" t="s">
        <v>7</v>
      </c>
      <c r="R597" s="59" t="s">
        <v>7</v>
      </c>
    </row>
    <row r="598" spans="1:20" ht="15.75" customHeight="1" x14ac:dyDescent="0.3">
      <c r="A598" s="17" t="s">
        <v>67</v>
      </c>
      <c r="B598" s="1"/>
      <c r="C598" s="1"/>
      <c r="D598" s="1"/>
      <c r="E598" s="59" t="s">
        <v>7</v>
      </c>
      <c r="F598" s="1"/>
      <c r="G598" s="1"/>
      <c r="H598" s="1"/>
      <c r="I598" s="59" t="s">
        <v>7</v>
      </c>
      <c r="J598" s="1"/>
      <c r="K598" s="1"/>
      <c r="L598" s="1"/>
      <c r="M598" s="59" t="s">
        <v>7</v>
      </c>
      <c r="N598" s="1"/>
      <c r="O598" s="1"/>
      <c r="P598" s="1"/>
      <c r="Q598" s="59" t="s">
        <v>7</v>
      </c>
      <c r="R598" s="59" t="s">
        <v>7</v>
      </c>
    </row>
    <row r="599" spans="1:20" ht="15.75" customHeight="1" x14ac:dyDescent="0.3">
      <c r="A599" s="74" t="s">
        <v>543</v>
      </c>
      <c r="B599" s="1"/>
      <c r="C599" s="1"/>
      <c r="D599" s="1"/>
      <c r="E599" s="59">
        <f t="shared" ref="E599:E600" si="167">SUM(B599:D599)</f>
        <v>0</v>
      </c>
      <c r="F599" s="1"/>
      <c r="G599" s="1"/>
      <c r="H599" s="1"/>
      <c r="I599" s="59">
        <f t="shared" ref="I599:I600" si="168">SUM(F599:H599)</f>
        <v>0</v>
      </c>
      <c r="J599" s="1"/>
      <c r="K599" s="1"/>
      <c r="L599" s="1"/>
      <c r="M599" s="59">
        <f t="shared" ref="M599:M600" si="169">SUM(J599:L599)</f>
        <v>0</v>
      </c>
      <c r="N599" s="1"/>
      <c r="O599" s="1"/>
      <c r="P599" s="1"/>
      <c r="Q599" s="59">
        <f t="shared" ref="Q599:Q604" si="170">SUM(N599:P599)</f>
        <v>0</v>
      </c>
      <c r="R599" s="59">
        <f t="shared" ref="R599:R604" si="171">+E599+I599+M599+Q599</f>
        <v>0</v>
      </c>
    </row>
    <row r="600" spans="1:20" ht="15.75" customHeight="1" thickBot="1" x14ac:dyDescent="0.35">
      <c r="A600" s="74" t="s">
        <v>545</v>
      </c>
      <c r="B600" s="1"/>
      <c r="C600" s="1"/>
      <c r="D600" s="1"/>
      <c r="E600" s="59">
        <f t="shared" si="167"/>
        <v>0</v>
      </c>
      <c r="F600" s="1"/>
      <c r="G600" s="1"/>
      <c r="H600" s="1"/>
      <c r="I600" s="59">
        <f t="shared" si="168"/>
        <v>0</v>
      </c>
      <c r="J600" s="1"/>
      <c r="K600" s="1">
        <v>1000</v>
      </c>
      <c r="L600" s="1"/>
      <c r="M600" s="59">
        <f t="shared" si="169"/>
        <v>1000</v>
      </c>
      <c r="N600" s="1"/>
      <c r="O600" s="1"/>
      <c r="P600" s="1"/>
      <c r="Q600" s="59">
        <f t="shared" si="170"/>
        <v>0</v>
      </c>
      <c r="R600" s="59">
        <f t="shared" si="171"/>
        <v>1000</v>
      </c>
    </row>
    <row r="601" spans="1:20" ht="16.5" customHeight="1" thickBot="1" x14ac:dyDescent="0.35">
      <c r="A601" s="62" t="s">
        <v>68</v>
      </c>
      <c r="B601" s="148">
        <f>SUM(B597:B600)</f>
        <v>0</v>
      </c>
      <c r="C601" s="148">
        <f>SUM(C597:C600)</f>
        <v>0</v>
      </c>
      <c r="D601" s="148">
        <f>SUM(D597:D600)</f>
        <v>0</v>
      </c>
      <c r="E601" s="65">
        <f t="shared" ref="E601:E604" si="172">SUM(B601:D601)</f>
        <v>0</v>
      </c>
      <c r="F601" s="148">
        <f>SUM(F597:F600)</f>
        <v>0</v>
      </c>
      <c r="G601" s="148">
        <f>SUM(G597:G600)</f>
        <v>0</v>
      </c>
      <c r="H601" s="148">
        <f>SUM(H597:H600)</f>
        <v>0</v>
      </c>
      <c r="I601" s="65">
        <f t="shared" ref="I601:I604" si="173">SUM(F601:H601)</f>
        <v>0</v>
      </c>
      <c r="J601" s="148">
        <f>SUM(J597:J600)</f>
        <v>0</v>
      </c>
      <c r="K601" s="148">
        <f>SUM(K597:K600)</f>
        <v>1000</v>
      </c>
      <c r="L601" s="148">
        <f>SUM(L597:L600)</f>
        <v>0</v>
      </c>
      <c r="M601" s="65">
        <f t="shared" ref="M601:M604" si="174">SUM(J601:L601)</f>
        <v>1000</v>
      </c>
      <c r="N601" s="148">
        <f>SUM(N597:N600)</f>
        <v>0</v>
      </c>
      <c r="O601" s="148">
        <f>SUM(O597:O600)</f>
        <v>0</v>
      </c>
      <c r="P601" s="148">
        <f>SUM(P597:P600)</f>
        <v>0</v>
      </c>
      <c r="Q601" s="65">
        <f t="shared" si="170"/>
        <v>0</v>
      </c>
      <c r="R601" s="64">
        <f t="shared" si="171"/>
        <v>1000</v>
      </c>
    </row>
    <row r="602" spans="1:20" ht="16.5" customHeight="1" thickBot="1" x14ac:dyDescent="0.35">
      <c r="A602" s="137" t="s">
        <v>69</v>
      </c>
      <c r="B602" s="100">
        <f>SUM(B588:B600)</f>
        <v>0</v>
      </c>
      <c r="C602" s="101">
        <f>SUM(C588:C600)</f>
        <v>0</v>
      </c>
      <c r="D602" s="138">
        <f>SUM(D588:D600)</f>
        <v>0</v>
      </c>
      <c r="E602" s="65">
        <f t="shared" si="172"/>
        <v>0</v>
      </c>
      <c r="F602" s="100">
        <f>SUM(F588:F600)</f>
        <v>0</v>
      </c>
      <c r="G602" s="101">
        <f>SUM(G588:G600)</f>
        <v>0</v>
      </c>
      <c r="H602" s="138">
        <f>SUM(H588:H600)</f>
        <v>0</v>
      </c>
      <c r="I602" s="65">
        <f t="shared" si="173"/>
        <v>0</v>
      </c>
      <c r="J602" s="100">
        <f>SUM(J588:J600)</f>
        <v>0</v>
      </c>
      <c r="K602" s="101">
        <f>SUM(K588:K600)</f>
        <v>1000</v>
      </c>
      <c r="L602" s="138">
        <f>SUM(L588:L600)</f>
        <v>0</v>
      </c>
      <c r="M602" s="65">
        <f t="shared" si="174"/>
        <v>1000</v>
      </c>
      <c r="N602" s="100">
        <f>SUM(N588:N600)</f>
        <v>0</v>
      </c>
      <c r="O602" s="101">
        <f>SUM(O588:O600)</f>
        <v>0</v>
      </c>
      <c r="P602" s="138">
        <f>SUM(P588:P600)</f>
        <v>0</v>
      </c>
      <c r="Q602" s="65">
        <f t="shared" si="170"/>
        <v>0</v>
      </c>
      <c r="R602" s="64">
        <f t="shared" si="171"/>
        <v>1000</v>
      </c>
    </row>
    <row r="603" spans="1:20" ht="16.5" customHeight="1" thickBot="1" x14ac:dyDescent="0.35">
      <c r="A603" s="62" t="s">
        <v>70</v>
      </c>
      <c r="B603" s="149">
        <f>+B575+B581+B587+B602</f>
        <v>1485</v>
      </c>
      <c r="C603" s="150">
        <f>+C575+C581+C587+C602</f>
        <v>2336</v>
      </c>
      <c r="D603" s="150">
        <f>+D575+D581+D587+D602</f>
        <v>3085</v>
      </c>
      <c r="E603" s="64">
        <f t="shared" si="172"/>
        <v>6906</v>
      </c>
      <c r="F603" s="63">
        <f>+F575+F581+F587+F602</f>
        <v>3771</v>
      </c>
      <c r="G603" s="63">
        <f>+G575+G581+G587+G602</f>
        <v>3575</v>
      </c>
      <c r="H603" s="63">
        <f>+H575+H581+H587+H602</f>
        <v>2605</v>
      </c>
      <c r="I603" s="64">
        <f t="shared" si="173"/>
        <v>9951</v>
      </c>
      <c r="J603" s="63">
        <f>+J575+J581+J587+J602</f>
        <v>4242</v>
      </c>
      <c r="K603" s="63">
        <f>+K575+K581+K587+K602</f>
        <v>3950</v>
      </c>
      <c r="L603" s="63">
        <f>+L575+L581+L587+L602</f>
        <v>2360</v>
      </c>
      <c r="M603" s="64">
        <f t="shared" si="174"/>
        <v>10552</v>
      </c>
      <c r="N603" s="63">
        <f>+N575+N581+N587+N602</f>
        <v>1140</v>
      </c>
      <c r="O603" s="63">
        <f>+O575+O581+O587+O602</f>
        <v>1680</v>
      </c>
      <c r="P603" s="63">
        <f>+P575+P581+P587+P602</f>
        <v>1135</v>
      </c>
      <c r="Q603" s="64">
        <f t="shared" si="170"/>
        <v>3955</v>
      </c>
      <c r="R603" s="88">
        <f t="shared" si="171"/>
        <v>31364</v>
      </c>
    </row>
    <row r="604" spans="1:20" ht="16.5" customHeight="1" thickBot="1" x14ac:dyDescent="0.35">
      <c r="A604" s="40" t="s">
        <v>37</v>
      </c>
      <c r="B604" s="25">
        <v>17</v>
      </c>
      <c r="C604" s="25">
        <v>47</v>
      </c>
      <c r="D604" s="25">
        <v>84</v>
      </c>
      <c r="E604" s="59">
        <f t="shared" si="172"/>
        <v>148</v>
      </c>
      <c r="F604" s="25">
        <v>116</v>
      </c>
      <c r="G604" s="25">
        <v>132</v>
      </c>
      <c r="H604" s="25">
        <v>138</v>
      </c>
      <c r="I604" s="59">
        <f t="shared" si="173"/>
        <v>386</v>
      </c>
      <c r="J604" s="25">
        <v>126</v>
      </c>
      <c r="K604" s="25">
        <v>95</v>
      </c>
      <c r="L604" s="25">
        <v>99</v>
      </c>
      <c r="M604" s="59">
        <f t="shared" si="174"/>
        <v>320</v>
      </c>
      <c r="N604" s="25">
        <v>91</v>
      </c>
      <c r="O604" s="25">
        <v>67</v>
      </c>
      <c r="P604" s="25">
        <v>38</v>
      </c>
      <c r="Q604" s="59">
        <f t="shared" si="170"/>
        <v>196</v>
      </c>
      <c r="R604" s="59">
        <f t="shared" si="171"/>
        <v>1050</v>
      </c>
    </row>
    <row r="605" spans="1:20" ht="16.5" customHeight="1" thickBot="1" x14ac:dyDescent="0.35">
      <c r="A605" s="42"/>
      <c r="B605" s="37"/>
      <c r="C605" s="37"/>
      <c r="D605" s="37"/>
      <c r="E605" s="43"/>
      <c r="F605" s="37"/>
      <c r="G605" s="37"/>
      <c r="H605" s="37"/>
      <c r="I605" s="43"/>
      <c r="J605" s="37"/>
      <c r="K605" s="37"/>
      <c r="L605" s="37"/>
      <c r="M605" s="43"/>
      <c r="N605" s="37"/>
      <c r="O605" s="37"/>
      <c r="P605" s="37"/>
      <c r="Q605" s="43"/>
      <c r="R605" s="43"/>
    </row>
    <row r="606" spans="1:20" ht="15.75" customHeight="1" x14ac:dyDescent="0.3">
      <c r="A606" s="82" t="s">
        <v>507</v>
      </c>
      <c r="B606" s="83">
        <f>SUM(B603:B604)</f>
        <v>1502</v>
      </c>
      <c r="C606" s="83">
        <f>SUM(C603:C604)</f>
        <v>2383</v>
      </c>
      <c r="D606" s="83">
        <f>SUM(D603:D604)</f>
        <v>3169</v>
      </c>
      <c r="E606" s="65">
        <f>SUM(B606:D606)</f>
        <v>7054</v>
      </c>
      <c r="F606" s="83">
        <f>SUM(F603:F604)</f>
        <v>3887</v>
      </c>
      <c r="G606" s="83">
        <f>SUM(G603:G604)</f>
        <v>3707</v>
      </c>
      <c r="H606" s="83">
        <f>SUM(H603:H604)</f>
        <v>2743</v>
      </c>
      <c r="I606" s="65">
        <f>SUM(F606:H606)</f>
        <v>10337</v>
      </c>
      <c r="J606" s="83">
        <f>SUM(J603:J604)</f>
        <v>4368</v>
      </c>
      <c r="K606" s="83">
        <f>SUM(K603:K604)</f>
        <v>4045</v>
      </c>
      <c r="L606" s="83">
        <f>SUM(L603:L604)</f>
        <v>2459</v>
      </c>
      <c r="M606" s="65">
        <f>SUM(J606:L606)</f>
        <v>10872</v>
      </c>
      <c r="N606" s="83">
        <f>SUM(N603:N604)</f>
        <v>1231</v>
      </c>
      <c r="O606" s="83">
        <f>SUM(O603:O604)</f>
        <v>1747</v>
      </c>
      <c r="P606" s="83">
        <f>SUM(P603:P604)</f>
        <v>1173</v>
      </c>
      <c r="Q606" s="65">
        <f>SUM(N606:P606)</f>
        <v>4151</v>
      </c>
      <c r="R606" s="65">
        <f>+E606+I606+M606+Q606</f>
        <v>32414</v>
      </c>
    </row>
    <row r="607" spans="1:20" ht="15.75" customHeight="1" x14ac:dyDescent="0.3">
      <c r="A607" s="85" t="s">
        <v>39</v>
      </c>
      <c r="B607" s="1">
        <f>(B606/B10)/1.983</f>
        <v>24.43349112618548</v>
      </c>
      <c r="C607" s="1">
        <f>(C606/C10)/1.983</f>
        <v>42.918377638498669</v>
      </c>
      <c r="D607" s="1">
        <f>(D606/D10)/1.983</f>
        <v>51.55108746929546</v>
      </c>
      <c r="E607" s="59" t="s">
        <v>7</v>
      </c>
      <c r="F607" s="1">
        <f>(F606/F10)/1.983</f>
        <v>65.338712388636736</v>
      </c>
      <c r="G607" s="1">
        <f>(G606/G10)/1.983</f>
        <v>60.302897206903843</v>
      </c>
      <c r="H607" s="1">
        <f>(H606/H10)/1.983</f>
        <v>46.108589678937633</v>
      </c>
      <c r="I607" s="59" t="s">
        <v>7</v>
      </c>
      <c r="J607" s="1">
        <f>(J606/J10)/1.983</f>
        <v>71.055585378946859</v>
      </c>
      <c r="K607" s="1">
        <f>(K606/K10)/1.983</f>
        <v>65.801246075512822</v>
      </c>
      <c r="L607" s="1">
        <f>(L606/L10)/1.983</f>
        <v>41.334678097159184</v>
      </c>
      <c r="M607" s="59" t="s">
        <v>7</v>
      </c>
      <c r="N607" s="1">
        <f>(N606/N10)/1.983</f>
        <v>20.025051648691296</v>
      </c>
      <c r="O607" s="1">
        <f>(O606/O10)/1.983</f>
        <v>29.366280047066734</v>
      </c>
      <c r="P607" s="1">
        <f>(P606/P10)/1.983</f>
        <v>19.081547996681469</v>
      </c>
      <c r="Q607" s="59" t="s">
        <v>7</v>
      </c>
      <c r="R607" s="59" t="s">
        <v>7</v>
      </c>
    </row>
    <row r="608" spans="1:20" ht="15.75" customHeight="1" x14ac:dyDescent="0.3">
      <c r="A608" s="85" t="s">
        <v>546</v>
      </c>
      <c r="B608" s="1">
        <f>B606+B618</f>
        <v>15751</v>
      </c>
      <c r="C608" s="1">
        <f>C606+C618</f>
        <v>18217</v>
      </c>
      <c r="D608" s="1">
        <f>D606+D618</f>
        <v>22978</v>
      </c>
      <c r="E608" s="59">
        <f>SUM(B608:D608)</f>
        <v>56946</v>
      </c>
      <c r="F608" s="1">
        <f>F606+F618</f>
        <v>23618</v>
      </c>
      <c r="G608" s="1">
        <f>G606+G618</f>
        <v>26390</v>
      </c>
      <c r="H608" s="1">
        <f>H606+H618</f>
        <v>24075</v>
      </c>
      <c r="I608" s="59">
        <f>SUM(F608:H608)</f>
        <v>74083</v>
      </c>
      <c r="J608" s="1">
        <f>J606+J618</f>
        <v>26784</v>
      </c>
      <c r="K608" s="1">
        <f>K606+K618</f>
        <v>24893</v>
      </c>
      <c r="L608" s="1">
        <f>L606+L618</f>
        <v>21236</v>
      </c>
      <c r="M608" s="59">
        <f>SUM(J608:L608)</f>
        <v>72913</v>
      </c>
      <c r="N608" s="1">
        <f>N606+N618</f>
        <v>7198</v>
      </c>
      <c r="O608" s="1">
        <f>O606+O618</f>
        <v>7486</v>
      </c>
      <c r="P608" s="1">
        <f>P606+P618</f>
        <v>7405</v>
      </c>
      <c r="Q608" s="59">
        <f>SUM(N608:P608)</f>
        <v>22089</v>
      </c>
      <c r="R608" s="59">
        <f>+E608+I608+M608+Q608</f>
        <v>226031</v>
      </c>
    </row>
    <row r="609" spans="1:18" ht="16.5" customHeight="1" thickBot="1" x14ac:dyDescent="0.35">
      <c r="A609" s="86" t="s">
        <v>547</v>
      </c>
      <c r="B609" s="87">
        <f>(B608/B10)/1.983</f>
        <v>256.22631073804757</v>
      </c>
      <c r="C609" s="87">
        <f>(C608/C10)/1.983</f>
        <v>328.09235645846843</v>
      </c>
      <c r="D609" s="87">
        <f>(D608/D10)/1.983</f>
        <v>373.79011923934087</v>
      </c>
      <c r="E609" s="88" t="s">
        <v>7</v>
      </c>
      <c r="F609" s="87">
        <f>(F608/F10)/1.983</f>
        <v>397.00790048747689</v>
      </c>
      <c r="G609" s="87">
        <f>(G608/G10)/1.983</f>
        <v>429.29416166447055</v>
      </c>
      <c r="H609" s="87">
        <f>(H608/H10)/1.983</f>
        <v>404.68986384266259</v>
      </c>
      <c r="I609" s="88" t="s">
        <v>7</v>
      </c>
      <c r="J609" s="87">
        <f>(J608/J10)/1.983</f>
        <v>435.70347957639939</v>
      </c>
      <c r="K609" s="87">
        <f>(K608/K10)/1.983</f>
        <v>404.94200706001004</v>
      </c>
      <c r="L609" s="87">
        <f>(L608/L10)/1.983</f>
        <v>356.96755757270125</v>
      </c>
      <c r="M609" s="88" t="s">
        <v>7</v>
      </c>
      <c r="N609" s="87">
        <f>(N608/N10)/1.983</f>
        <v>117.09205667528833</v>
      </c>
      <c r="O609" s="87">
        <f>(O608/O10)/1.983</f>
        <v>125.83627500420238</v>
      </c>
      <c r="P609" s="87">
        <f>(P608/P10)/1.983</f>
        <v>120.45938867470271</v>
      </c>
      <c r="Q609" s="88" t="s">
        <v>7</v>
      </c>
      <c r="R609" s="88" t="s">
        <v>7</v>
      </c>
    </row>
    <row r="610" spans="1:18" ht="15.75" customHeight="1" x14ac:dyDescent="0.3">
      <c r="A610" s="28"/>
      <c r="B610" s="1"/>
      <c r="C610" s="1"/>
      <c r="D610" s="1"/>
      <c r="E610" s="1"/>
      <c r="F610" s="1"/>
      <c r="G610" s="1"/>
      <c r="H610" s="1"/>
      <c r="I610" s="1"/>
      <c r="J610" s="1"/>
      <c r="K610" s="1"/>
      <c r="L610" s="1"/>
      <c r="M610" s="1"/>
      <c r="N610" s="1"/>
      <c r="O610" s="1"/>
      <c r="P610" s="1"/>
      <c r="Q610" s="1"/>
      <c r="R610" s="28"/>
    </row>
    <row r="611" spans="1:18" ht="16.5" customHeight="1" thickBot="1" x14ac:dyDescent="0.35">
      <c r="A611" s="123"/>
      <c r="B611" s="25"/>
      <c r="C611" s="25"/>
      <c r="D611" s="25"/>
      <c r="E611" s="25"/>
      <c r="F611" s="25"/>
      <c r="G611" s="25"/>
      <c r="H611" s="25"/>
      <c r="I611" s="25"/>
      <c r="J611" s="25"/>
      <c r="K611" s="25"/>
      <c r="L611" s="25"/>
      <c r="M611" s="25"/>
      <c r="N611" s="25"/>
      <c r="O611" s="25"/>
      <c r="P611" s="25"/>
      <c r="Q611" s="25"/>
      <c r="R611" s="123"/>
    </row>
    <row r="612" spans="1:18" ht="16.5" customHeight="1" thickBot="1" x14ac:dyDescent="0.35">
      <c r="A612" s="145" t="s">
        <v>548</v>
      </c>
      <c r="B612" s="32" t="s">
        <v>36</v>
      </c>
      <c r="C612" s="33" t="s">
        <v>9</v>
      </c>
      <c r="D612" s="33" t="s">
        <v>10</v>
      </c>
      <c r="E612" s="12" t="s">
        <v>11</v>
      </c>
      <c r="F612" s="33" t="s">
        <v>12</v>
      </c>
      <c r="G612" s="33" t="s">
        <v>13</v>
      </c>
      <c r="H612" s="33" t="s">
        <v>14</v>
      </c>
      <c r="I612" s="34" t="s">
        <v>15</v>
      </c>
      <c r="J612" s="33" t="s">
        <v>16</v>
      </c>
      <c r="K612" s="33" t="s">
        <v>17</v>
      </c>
      <c r="L612" s="33" t="s">
        <v>18</v>
      </c>
      <c r="M612" s="34" t="s">
        <v>19</v>
      </c>
      <c r="N612" s="33" t="s">
        <v>20</v>
      </c>
      <c r="O612" s="33" t="s">
        <v>21</v>
      </c>
      <c r="P612" s="33" t="s">
        <v>22</v>
      </c>
      <c r="Q612" s="12" t="s">
        <v>23</v>
      </c>
      <c r="R612" s="13" t="s">
        <v>24</v>
      </c>
    </row>
    <row r="613" spans="1:18" ht="16.5" customHeight="1" thickBot="1" x14ac:dyDescent="0.35">
      <c r="A613" s="42"/>
      <c r="B613" s="37"/>
      <c r="C613" s="37"/>
      <c r="D613" s="37"/>
      <c r="E613" s="38"/>
      <c r="F613" s="37"/>
      <c r="G613" s="37"/>
      <c r="H613" s="37"/>
      <c r="I613" s="38"/>
      <c r="J613" s="37"/>
      <c r="K613" s="37"/>
      <c r="L613" s="37"/>
      <c r="M613" s="38"/>
      <c r="N613" s="37"/>
      <c r="O613" s="37"/>
      <c r="P613" s="37"/>
      <c r="Q613" s="151"/>
      <c r="R613" s="152"/>
    </row>
    <row r="614" spans="1:18" ht="16.5" customHeight="1" thickBot="1" x14ac:dyDescent="0.35">
      <c r="A614" s="40" t="s">
        <v>37</v>
      </c>
      <c r="B614" s="25">
        <v>20</v>
      </c>
      <c r="C614" s="25">
        <v>22</v>
      </c>
      <c r="D614" s="25">
        <v>28</v>
      </c>
      <c r="E614" s="59">
        <f>SUM(B614:D614)</f>
        <v>70</v>
      </c>
      <c r="F614" s="25">
        <v>37</v>
      </c>
      <c r="G614" s="25">
        <v>42</v>
      </c>
      <c r="H614" s="25">
        <v>44</v>
      </c>
      <c r="I614" s="59">
        <f>SUM(F614:H614)</f>
        <v>123</v>
      </c>
      <c r="J614" s="25">
        <v>39</v>
      </c>
      <c r="K614" s="25">
        <v>36</v>
      </c>
      <c r="L614" s="25">
        <v>34</v>
      </c>
      <c r="M614" s="59">
        <f>SUM(J614:L614)</f>
        <v>109</v>
      </c>
      <c r="N614" s="25">
        <v>29</v>
      </c>
      <c r="O614" s="25">
        <v>23</v>
      </c>
      <c r="P614" s="25">
        <v>19</v>
      </c>
      <c r="Q614" s="59">
        <f>SUM(N614:P614)</f>
        <v>71</v>
      </c>
      <c r="R614" s="59">
        <f>+E614+I614+M614+Q614</f>
        <v>373</v>
      </c>
    </row>
    <row r="615" spans="1:18" ht="16.5" customHeight="1" thickBot="1" x14ac:dyDescent="0.35">
      <c r="A615" s="42"/>
      <c r="B615" s="37"/>
      <c r="C615" s="37"/>
      <c r="D615" s="37"/>
      <c r="E615" s="16"/>
      <c r="F615" s="37"/>
      <c r="G615" s="37"/>
      <c r="H615" s="37"/>
      <c r="I615" s="16"/>
      <c r="J615" s="37"/>
      <c r="K615" s="37"/>
      <c r="L615" s="37"/>
      <c r="M615" s="16"/>
      <c r="N615" s="37"/>
      <c r="O615" s="37"/>
      <c r="P615" s="37"/>
      <c r="Q615" s="16"/>
      <c r="R615" s="43"/>
    </row>
    <row r="616" spans="1:18" ht="15.75" customHeight="1" x14ac:dyDescent="0.3">
      <c r="A616" s="82" t="s">
        <v>507</v>
      </c>
      <c r="B616" s="83">
        <f>B614</f>
        <v>20</v>
      </c>
      <c r="C616" s="83">
        <f>C614</f>
        <v>22</v>
      </c>
      <c r="D616" s="83">
        <f>D614</f>
        <v>28</v>
      </c>
      <c r="E616" s="65">
        <f>SUM(B616:D616)</f>
        <v>70</v>
      </c>
      <c r="F616" s="83">
        <f>F614</f>
        <v>37</v>
      </c>
      <c r="G616" s="83">
        <f>G614</f>
        <v>42</v>
      </c>
      <c r="H616" s="83">
        <f>H614</f>
        <v>44</v>
      </c>
      <c r="I616" s="65">
        <f>SUM(F616:H616)</f>
        <v>123</v>
      </c>
      <c r="J616" s="83">
        <f>J614</f>
        <v>39</v>
      </c>
      <c r="K616" s="83">
        <f>K614</f>
        <v>36</v>
      </c>
      <c r="L616" s="83">
        <f>L614</f>
        <v>34</v>
      </c>
      <c r="M616" s="65">
        <f>SUM(J616:L616)</f>
        <v>109</v>
      </c>
      <c r="N616" s="83">
        <f>N614</f>
        <v>29</v>
      </c>
      <c r="O616" s="83">
        <f>O614</f>
        <v>23</v>
      </c>
      <c r="P616" s="83">
        <f>P614</f>
        <v>19</v>
      </c>
      <c r="Q616" s="65">
        <f>SUM(N616:P616)</f>
        <v>71</v>
      </c>
      <c r="R616" s="65">
        <f>+E616+I616+M616+Q616</f>
        <v>373</v>
      </c>
    </row>
    <row r="617" spans="1:18" ht="15.75" customHeight="1" x14ac:dyDescent="0.3">
      <c r="A617" s="85" t="s">
        <v>39</v>
      </c>
      <c r="B617" s="1">
        <f>(B616/B10)/1.983</f>
        <v>0.32534608689993977</v>
      </c>
      <c r="C617" s="1">
        <f>(C616/C10)/1.983</f>
        <v>0.39622505583171236</v>
      </c>
      <c r="D617" s="1">
        <f>(D616/D10)/1.983</f>
        <v>0.45548452165991571</v>
      </c>
      <c r="E617" s="59" t="s">
        <v>7</v>
      </c>
      <c r="F617" s="1">
        <f>(F616/F10)/1.983</f>
        <v>0.62195326945705165</v>
      </c>
      <c r="G617" s="1">
        <f>(G616/G10)/1.983</f>
        <v>0.68322678248987356</v>
      </c>
      <c r="H617" s="1">
        <f>(H616/H10)/1.983</f>
        <v>0.73962010421919644</v>
      </c>
      <c r="I617" s="59" t="s">
        <v>7</v>
      </c>
      <c r="J617" s="1">
        <f>(J616/J10)/1.983</f>
        <v>0.63442486945488263</v>
      </c>
      <c r="K617" s="1">
        <f>(K616/K10)/1.983</f>
        <v>0.5856229564198917</v>
      </c>
      <c r="L617" s="1">
        <f>(L616/L10)/1.983</f>
        <v>0.57152462598756093</v>
      </c>
      <c r="M617" s="59" t="s">
        <v>7</v>
      </c>
      <c r="N617" s="1">
        <f>(N616/N10)/1.983</f>
        <v>0.47175182600491267</v>
      </c>
      <c r="O617" s="1">
        <f>(O616/O10)/1.983</f>
        <v>0.38661959993276179</v>
      </c>
      <c r="P617" s="1">
        <f>(P616/P10)/1.983</f>
        <v>0.30907878255494281</v>
      </c>
      <c r="Q617" s="59" t="s">
        <v>7</v>
      </c>
      <c r="R617" s="59" t="s">
        <v>7</v>
      </c>
    </row>
    <row r="618" spans="1:18" ht="15.75" customHeight="1" x14ac:dyDescent="0.3">
      <c r="A618" s="85" t="s">
        <v>549</v>
      </c>
      <c r="B618" s="1">
        <f>B616+B654</f>
        <v>14249</v>
      </c>
      <c r="C618" s="1">
        <f>C616+C654</f>
        <v>15834</v>
      </c>
      <c r="D618" s="1">
        <f>D616+D654</f>
        <v>19809</v>
      </c>
      <c r="E618" s="59">
        <f>SUM(B618:D618)</f>
        <v>49892</v>
      </c>
      <c r="F618" s="1">
        <f>F616+F654</f>
        <v>19731</v>
      </c>
      <c r="G618" s="1">
        <f>G616+G654</f>
        <v>22683</v>
      </c>
      <c r="H618" s="1">
        <f>H616+H654</f>
        <v>21332</v>
      </c>
      <c r="I618" s="59">
        <f>SUM(F618:H618)</f>
        <v>63746</v>
      </c>
      <c r="J618" s="1">
        <f>J616+J654</f>
        <v>22416</v>
      </c>
      <c r="K618" s="1">
        <f>K616+K654</f>
        <v>20848</v>
      </c>
      <c r="L618" s="1">
        <f>L616+L654</f>
        <v>18777</v>
      </c>
      <c r="M618" s="59">
        <f>SUM(J618:L618)</f>
        <v>62041</v>
      </c>
      <c r="N618" s="1">
        <f>N616+N654</f>
        <v>5967</v>
      </c>
      <c r="O618" s="1">
        <f>O616+O654</f>
        <v>5739</v>
      </c>
      <c r="P618" s="1">
        <f>P616+P654</f>
        <v>6232</v>
      </c>
      <c r="Q618" s="59">
        <f>SUM(N618:P618)</f>
        <v>17938</v>
      </c>
      <c r="R618" s="59">
        <f>+E618+I618+M618+Q618</f>
        <v>193617</v>
      </c>
    </row>
    <row r="619" spans="1:18" ht="16.5" customHeight="1" thickBot="1" x14ac:dyDescent="0.35">
      <c r="A619" s="86" t="s">
        <v>550</v>
      </c>
      <c r="B619" s="87">
        <f>(B618/B10)/1.983</f>
        <v>231.79281961186209</v>
      </c>
      <c r="C619" s="87">
        <f>(C618/C10)/1.983</f>
        <v>285.1739788199697</v>
      </c>
      <c r="D619" s="87">
        <f>(D618/D10)/1.983</f>
        <v>322.23903177004536</v>
      </c>
      <c r="E619" s="88" t="s">
        <v>7</v>
      </c>
      <c r="F619" s="87">
        <f>(F618/F10)/1.983</f>
        <v>331.66918809884015</v>
      </c>
      <c r="G619" s="87">
        <f>(G618/G10)/1.983</f>
        <v>368.99126445756673</v>
      </c>
      <c r="H619" s="87">
        <f>(H618/H10)/1.983</f>
        <v>358.58127416372503</v>
      </c>
      <c r="I619" s="88" t="s">
        <v>7</v>
      </c>
      <c r="J619" s="87">
        <f>(J618/J10)/1.983</f>
        <v>364.64789419745256</v>
      </c>
      <c r="K619" s="87">
        <f>(K618/K10)/1.983</f>
        <v>339.14076098449726</v>
      </c>
      <c r="L619" s="87">
        <f>(L618/L10)/1.983</f>
        <v>315.6328794755421</v>
      </c>
      <c r="M619" s="88" t="s">
        <v>7</v>
      </c>
      <c r="N619" s="87">
        <f>(N618/N10)/1.983</f>
        <v>97.06700502659703</v>
      </c>
      <c r="O619" s="87">
        <f>(O618/O10)/1.983</f>
        <v>96.469994957135654</v>
      </c>
      <c r="P619" s="87">
        <f>(P618/P10)/1.983</f>
        <v>101.37784067802124</v>
      </c>
      <c r="Q619" s="88" t="s">
        <v>7</v>
      </c>
      <c r="R619" s="88" t="s">
        <v>7</v>
      </c>
    </row>
    <row r="620" spans="1:18" ht="15.75" customHeight="1" x14ac:dyDescent="0.3">
      <c r="A620" s="30"/>
      <c r="B620" s="1"/>
      <c r="C620" s="1"/>
      <c r="D620" s="1"/>
      <c r="E620" s="1"/>
      <c r="F620" s="1"/>
      <c r="G620" s="1"/>
      <c r="H620" s="1"/>
      <c r="I620" s="1"/>
      <c r="J620" s="1"/>
      <c r="K620" s="1"/>
      <c r="L620" s="1"/>
      <c r="M620" s="1"/>
      <c r="N620" s="1"/>
      <c r="O620" s="1"/>
      <c r="P620" s="1"/>
      <c r="Q620" s="1"/>
      <c r="R620" s="28"/>
    </row>
    <row r="621" spans="1:18" ht="15.75" customHeight="1" thickBot="1" x14ac:dyDescent="0.35">
      <c r="A621" s="30"/>
      <c r="B621" s="1"/>
      <c r="C621" s="1"/>
      <c r="D621" s="1"/>
      <c r="E621" s="1"/>
      <c r="F621" s="1"/>
      <c r="G621" s="1"/>
      <c r="H621" s="1"/>
      <c r="I621" s="1"/>
      <c r="J621" s="1"/>
      <c r="K621" s="1"/>
      <c r="L621" s="1"/>
      <c r="M621" s="1"/>
      <c r="N621" s="1"/>
      <c r="O621" s="1"/>
      <c r="P621" s="1"/>
      <c r="Q621" s="1"/>
      <c r="R621" s="28"/>
    </row>
    <row r="622" spans="1:18" ht="16.5" customHeight="1" thickBot="1" x14ac:dyDescent="0.35">
      <c r="A622" s="31" t="s">
        <v>551</v>
      </c>
      <c r="B622" s="32" t="s">
        <v>36</v>
      </c>
      <c r="C622" s="33" t="s">
        <v>9</v>
      </c>
      <c r="D622" s="33" t="s">
        <v>10</v>
      </c>
      <c r="E622" s="12" t="s">
        <v>11</v>
      </c>
      <c r="F622" s="33" t="s">
        <v>12</v>
      </c>
      <c r="G622" s="33" t="s">
        <v>13</v>
      </c>
      <c r="H622" s="33" t="s">
        <v>14</v>
      </c>
      <c r="I622" s="34" t="s">
        <v>15</v>
      </c>
      <c r="J622" s="33" t="s">
        <v>16</v>
      </c>
      <c r="K622" s="33" t="s">
        <v>17</v>
      </c>
      <c r="L622" s="33" t="s">
        <v>18</v>
      </c>
      <c r="M622" s="34" t="s">
        <v>19</v>
      </c>
      <c r="N622" s="33" t="s">
        <v>20</v>
      </c>
      <c r="O622" s="33" t="s">
        <v>21</v>
      </c>
      <c r="P622" s="33" t="s">
        <v>22</v>
      </c>
      <c r="Q622" s="34" t="s">
        <v>23</v>
      </c>
      <c r="R622" s="35" t="s">
        <v>24</v>
      </c>
    </row>
    <row r="623" spans="1:18" ht="16.5" customHeight="1" thickBot="1" x14ac:dyDescent="0.35">
      <c r="A623" s="42"/>
      <c r="B623" s="37"/>
      <c r="C623" s="37"/>
      <c r="D623" s="37"/>
      <c r="E623" s="16"/>
      <c r="F623" s="37"/>
      <c r="G623" s="37"/>
      <c r="H623" s="37"/>
      <c r="I623" s="16"/>
      <c r="J623" s="37"/>
      <c r="K623" s="37"/>
      <c r="L623" s="37"/>
      <c r="M623" s="16"/>
      <c r="N623" s="37"/>
      <c r="O623" s="37"/>
      <c r="P623" s="37"/>
      <c r="Q623" s="16"/>
      <c r="R623" s="39"/>
    </row>
    <row r="624" spans="1:18" ht="15.75" customHeight="1" x14ac:dyDescent="0.3">
      <c r="A624" s="17" t="s">
        <v>45</v>
      </c>
      <c r="B624" s="1" t="s">
        <v>7</v>
      </c>
      <c r="C624" s="1" t="s">
        <v>7</v>
      </c>
      <c r="D624" s="1" t="s">
        <v>7</v>
      </c>
      <c r="E624" s="59" t="s">
        <v>7</v>
      </c>
      <c r="F624" s="1" t="s">
        <v>7</v>
      </c>
      <c r="G624" s="1" t="s">
        <v>7</v>
      </c>
      <c r="H624" s="1" t="s">
        <v>7</v>
      </c>
      <c r="I624" s="59" t="s">
        <v>7</v>
      </c>
      <c r="J624" s="1" t="s">
        <v>7</v>
      </c>
      <c r="K624" s="1" t="s">
        <v>7</v>
      </c>
      <c r="L624" s="1" t="s">
        <v>7</v>
      </c>
      <c r="M624" s="59" t="s">
        <v>7</v>
      </c>
      <c r="N624" s="1" t="s">
        <v>7</v>
      </c>
      <c r="O624" s="1" t="s">
        <v>7</v>
      </c>
      <c r="P624" s="1" t="s">
        <v>7</v>
      </c>
      <c r="Q624" s="59" t="s">
        <v>7</v>
      </c>
      <c r="R624" s="59" t="s">
        <v>7</v>
      </c>
    </row>
    <row r="625" spans="1:18" ht="15.75" customHeight="1" x14ac:dyDescent="0.3">
      <c r="A625" s="17" t="s">
        <v>46</v>
      </c>
      <c r="B625" s="1"/>
      <c r="C625" s="1"/>
      <c r="D625" s="1"/>
      <c r="E625" s="59" t="s">
        <v>7</v>
      </c>
      <c r="F625" s="1"/>
      <c r="G625" s="1"/>
      <c r="H625" s="1"/>
      <c r="I625" s="59" t="s">
        <v>7</v>
      </c>
      <c r="J625" s="1"/>
      <c r="K625" s="1"/>
      <c r="L625" s="1"/>
      <c r="M625" s="59" t="s">
        <v>7</v>
      </c>
      <c r="N625" s="1"/>
      <c r="O625" s="1"/>
      <c r="P625" s="1"/>
      <c r="Q625" s="59" t="s">
        <v>7</v>
      </c>
      <c r="R625" s="59" t="s">
        <v>7</v>
      </c>
    </row>
    <row r="626" spans="1:18" ht="15.75" customHeight="1" x14ac:dyDescent="0.3">
      <c r="A626" s="74" t="s">
        <v>552</v>
      </c>
      <c r="B626" s="1">
        <v>100</v>
      </c>
      <c r="C626" s="1">
        <v>200</v>
      </c>
      <c r="D626" s="1">
        <v>300</v>
      </c>
      <c r="E626" s="59">
        <f>SUM(B626:D626)</f>
        <v>600</v>
      </c>
      <c r="F626" s="1">
        <v>500</v>
      </c>
      <c r="G626" s="1">
        <v>1100</v>
      </c>
      <c r="H626" s="1">
        <v>1300</v>
      </c>
      <c r="I626" s="59">
        <f>SUM(F626:H626)</f>
        <v>2900</v>
      </c>
      <c r="J626" s="1">
        <v>1800</v>
      </c>
      <c r="K626" s="1">
        <v>1400</v>
      </c>
      <c r="L626" s="1">
        <v>800</v>
      </c>
      <c r="M626" s="59">
        <f>SUM(J626:L626)</f>
        <v>4000</v>
      </c>
      <c r="N626" s="1">
        <v>400</v>
      </c>
      <c r="O626" s="1">
        <v>100</v>
      </c>
      <c r="P626" s="1">
        <v>200</v>
      </c>
      <c r="Q626" s="59">
        <f>SUM(N626:P626)</f>
        <v>700</v>
      </c>
      <c r="R626" s="59">
        <f>+E626+I626+M626+Q626</f>
        <v>8200</v>
      </c>
    </row>
    <row r="627" spans="1:18" ht="15.75" customHeight="1" x14ac:dyDescent="0.3">
      <c r="A627" s="74" t="s">
        <v>553</v>
      </c>
      <c r="B627" s="1">
        <v>500</v>
      </c>
      <c r="C627" s="1">
        <v>500</v>
      </c>
      <c r="D627" s="1">
        <v>500</v>
      </c>
      <c r="E627" s="59">
        <f>SUM(B627:D627)</f>
        <v>1500</v>
      </c>
      <c r="F627" s="1">
        <v>500</v>
      </c>
      <c r="G627" s="1">
        <v>500</v>
      </c>
      <c r="H627" s="1">
        <v>500</v>
      </c>
      <c r="I627" s="59">
        <f>SUM(F627:H627)</f>
        <v>1500</v>
      </c>
      <c r="J627" s="1">
        <v>500</v>
      </c>
      <c r="K627" s="1">
        <v>500</v>
      </c>
      <c r="L627" s="1">
        <v>195</v>
      </c>
      <c r="M627" s="59">
        <f>SUM(J627:L627)</f>
        <v>1195</v>
      </c>
      <c r="N627" s="1"/>
      <c r="O627" s="1"/>
      <c r="P627" s="1">
        <v>100</v>
      </c>
      <c r="Q627" s="59">
        <f>SUM(N627:P627)</f>
        <v>100</v>
      </c>
      <c r="R627" s="59">
        <f>+E627+I627+M627+Q627</f>
        <v>4295</v>
      </c>
    </row>
    <row r="628" spans="1:18" ht="15.75" customHeight="1" x14ac:dyDescent="0.3">
      <c r="A628" s="74" t="s">
        <v>554</v>
      </c>
      <c r="B628" s="1">
        <v>50</v>
      </c>
      <c r="C628" s="1">
        <v>50</v>
      </c>
      <c r="D628" s="1">
        <v>50</v>
      </c>
      <c r="E628" s="59">
        <f>SUM(B628:D628)</f>
        <v>150</v>
      </c>
      <c r="F628" s="1">
        <v>50</v>
      </c>
      <c r="G628" s="1">
        <v>50</v>
      </c>
      <c r="H628" s="1"/>
      <c r="I628" s="59">
        <f>SUM(F628:H628)</f>
        <v>100</v>
      </c>
      <c r="J628" s="1"/>
      <c r="K628" s="1">
        <v>50</v>
      </c>
      <c r="L628" s="1"/>
      <c r="M628" s="59">
        <f>SUM(J628:L628)</f>
        <v>50</v>
      </c>
      <c r="N628" s="1"/>
      <c r="O628" s="1"/>
      <c r="P628" s="1">
        <v>50</v>
      </c>
      <c r="Q628" s="59">
        <f>SUM(N628:P628)</f>
        <v>50</v>
      </c>
      <c r="R628" s="59">
        <f>+E628+I628+M628+Q628</f>
        <v>350</v>
      </c>
    </row>
    <row r="629" spans="1:18" ht="15.75" customHeight="1" x14ac:dyDescent="0.3">
      <c r="A629" s="17" t="s">
        <v>47</v>
      </c>
      <c r="B629" s="1"/>
      <c r="C629" s="1"/>
      <c r="D629" s="1"/>
      <c r="E629" s="59" t="s">
        <v>7</v>
      </c>
      <c r="F629" s="1"/>
      <c r="G629" s="1"/>
      <c r="H629" s="1"/>
      <c r="I629" s="59" t="s">
        <v>7</v>
      </c>
      <c r="J629" s="1"/>
      <c r="K629" s="1"/>
      <c r="L629" s="1"/>
      <c r="M629" s="59" t="s">
        <v>7</v>
      </c>
      <c r="N629" s="1"/>
      <c r="O629" s="1"/>
      <c r="P629" s="1"/>
      <c r="Q629" s="59" t="s">
        <v>7</v>
      </c>
      <c r="R629" s="59" t="s">
        <v>7</v>
      </c>
    </row>
    <row r="630" spans="1:18" ht="15.75" customHeight="1" x14ac:dyDescent="0.3">
      <c r="A630" s="17" t="s">
        <v>898</v>
      </c>
      <c r="B630" s="1"/>
      <c r="C630" s="1"/>
      <c r="D630" s="1"/>
      <c r="E630" s="59" t="s">
        <v>7</v>
      </c>
      <c r="F630" s="1"/>
      <c r="G630" s="1"/>
      <c r="H630" s="1"/>
      <c r="I630" s="59" t="s">
        <v>7</v>
      </c>
      <c r="J630" s="1"/>
      <c r="K630" s="1"/>
      <c r="L630" s="1"/>
      <c r="M630" s="59" t="s">
        <v>7</v>
      </c>
      <c r="N630" s="1"/>
      <c r="O630" s="1"/>
      <c r="P630" s="1"/>
      <c r="Q630" s="59" t="s">
        <v>7</v>
      </c>
      <c r="R630" s="59" t="s">
        <v>7</v>
      </c>
    </row>
    <row r="631" spans="1:18" ht="15.75" customHeight="1" thickBot="1" x14ac:dyDescent="0.35">
      <c r="A631" s="17" t="s">
        <v>51</v>
      </c>
      <c r="B631" s="1"/>
      <c r="C631" s="1"/>
      <c r="D631" s="1"/>
      <c r="E631" s="59" t="s">
        <v>7</v>
      </c>
      <c r="F631" s="1"/>
      <c r="G631" s="1"/>
      <c r="H631" s="1"/>
      <c r="I631" s="59" t="s">
        <v>7</v>
      </c>
      <c r="J631" s="1"/>
      <c r="K631" s="1"/>
      <c r="L631" s="1"/>
      <c r="M631" s="59" t="s">
        <v>7</v>
      </c>
      <c r="N631" s="1"/>
      <c r="O631" s="1"/>
      <c r="P631" s="1"/>
      <c r="Q631" s="59" t="s">
        <v>7</v>
      </c>
      <c r="R631" s="59" t="s">
        <v>7</v>
      </c>
    </row>
    <row r="632" spans="1:18" ht="16.5" customHeight="1" thickBot="1" x14ac:dyDescent="0.35">
      <c r="A632" s="126" t="s">
        <v>52</v>
      </c>
      <c r="B632" s="100">
        <f>SUM(B624:B631)</f>
        <v>650</v>
      </c>
      <c r="C632" s="101">
        <f>SUM(C624:C631)</f>
        <v>750</v>
      </c>
      <c r="D632" s="101">
        <f>SUM(D624:D631)</f>
        <v>850</v>
      </c>
      <c r="E632" s="64">
        <f>SUM(B632:D632)</f>
        <v>2250</v>
      </c>
      <c r="F632" s="101">
        <f>SUM(F624:F631)</f>
        <v>1050</v>
      </c>
      <c r="G632" s="101">
        <f>SUM(G624:G631)</f>
        <v>1650</v>
      </c>
      <c r="H632" s="101">
        <f>SUM(H624:H631)</f>
        <v>1800</v>
      </c>
      <c r="I632" s="64">
        <f>SUM(F632:H632)</f>
        <v>4500</v>
      </c>
      <c r="J632" s="101">
        <f>SUM(J624:J631)</f>
        <v>2300</v>
      </c>
      <c r="K632" s="101">
        <f>SUM(K624:K631)</f>
        <v>1950</v>
      </c>
      <c r="L632" s="101">
        <f>SUM(L624:L631)</f>
        <v>995</v>
      </c>
      <c r="M632" s="64">
        <f>SUM(J632:L632)</f>
        <v>5245</v>
      </c>
      <c r="N632" s="101">
        <f>SUM(N624:N631)</f>
        <v>400</v>
      </c>
      <c r="O632" s="101">
        <f>SUM(O624:O631)</f>
        <v>100</v>
      </c>
      <c r="P632" s="101">
        <f>SUM(P624:P631)</f>
        <v>350</v>
      </c>
      <c r="Q632" s="64">
        <f>SUM(N632:P632)</f>
        <v>850</v>
      </c>
      <c r="R632" s="64">
        <f>+E632+I632+M632+Q632</f>
        <v>12845</v>
      </c>
    </row>
    <row r="633" spans="1:18" ht="15.75" customHeight="1" x14ac:dyDescent="0.3">
      <c r="A633" s="17" t="s">
        <v>53</v>
      </c>
      <c r="B633" s="1"/>
      <c r="C633" s="1"/>
      <c r="D633" s="1"/>
      <c r="E633" s="59" t="s">
        <v>7</v>
      </c>
      <c r="F633" s="1"/>
      <c r="G633" s="1"/>
      <c r="H633" s="1"/>
      <c r="I633" s="59" t="s">
        <v>7</v>
      </c>
      <c r="J633" s="1"/>
      <c r="K633" s="1"/>
      <c r="L633" s="1"/>
      <c r="M633" s="59" t="s">
        <v>7</v>
      </c>
      <c r="N633" s="1"/>
      <c r="O633" s="1"/>
      <c r="P633" s="1"/>
      <c r="Q633" s="59" t="s">
        <v>7</v>
      </c>
      <c r="R633" s="59" t="s">
        <v>7</v>
      </c>
    </row>
    <row r="634" spans="1:18" ht="15.75" customHeight="1" x14ac:dyDescent="0.3">
      <c r="A634" s="17" t="s">
        <v>55</v>
      </c>
      <c r="B634" s="1"/>
      <c r="C634" s="1"/>
      <c r="D634" s="1"/>
      <c r="E634" s="59" t="s">
        <v>7</v>
      </c>
      <c r="F634" s="1"/>
      <c r="G634" s="1"/>
      <c r="H634" s="1"/>
      <c r="I634" s="59" t="s">
        <v>7</v>
      </c>
      <c r="J634" s="1"/>
      <c r="K634" s="1"/>
      <c r="L634" s="1"/>
      <c r="M634" s="59" t="s">
        <v>7</v>
      </c>
      <c r="N634" s="1"/>
      <c r="O634" s="1"/>
      <c r="P634" s="1"/>
      <c r="Q634" s="59" t="s">
        <v>7</v>
      </c>
      <c r="R634" s="59" t="s">
        <v>7</v>
      </c>
    </row>
    <row r="635" spans="1:18" ht="15.75" customHeight="1" thickBot="1" x14ac:dyDescent="0.35">
      <c r="A635" s="17" t="s">
        <v>56</v>
      </c>
      <c r="B635" s="1"/>
      <c r="C635" s="1"/>
      <c r="D635" s="1"/>
      <c r="E635" s="59" t="s">
        <v>7</v>
      </c>
      <c r="F635" s="1"/>
      <c r="G635" s="1"/>
      <c r="H635" s="1"/>
      <c r="I635" s="59" t="s">
        <v>7</v>
      </c>
      <c r="J635" s="1"/>
      <c r="K635" s="1"/>
      <c r="L635" s="1"/>
      <c r="M635" s="59" t="s">
        <v>7</v>
      </c>
      <c r="N635" s="1"/>
      <c r="O635" s="1"/>
      <c r="P635" s="1"/>
      <c r="Q635" s="59" t="s">
        <v>7</v>
      </c>
      <c r="R635" s="59" t="s">
        <v>7</v>
      </c>
    </row>
    <row r="636" spans="1:18" ht="16.5" customHeight="1" thickBot="1" x14ac:dyDescent="0.35">
      <c r="A636" s="62" t="s">
        <v>57</v>
      </c>
      <c r="B636" s="100">
        <f>SUM(B633:B635)</f>
        <v>0</v>
      </c>
      <c r="C636" s="101">
        <f>SUM(C633:C635)</f>
        <v>0</v>
      </c>
      <c r="D636" s="101">
        <f>SUM(D633:D635)</f>
        <v>0</v>
      </c>
      <c r="E636" s="64">
        <f>SUM(B636:D636)</f>
        <v>0</v>
      </c>
      <c r="F636" s="101">
        <f>SUM(F633:F635)</f>
        <v>0</v>
      </c>
      <c r="G636" s="101">
        <f>SUM(G633:G635)</f>
        <v>0</v>
      </c>
      <c r="H636" s="101">
        <f>SUM(H633:H635)</f>
        <v>0</v>
      </c>
      <c r="I636" s="64">
        <f>SUM(F636:H636)</f>
        <v>0</v>
      </c>
      <c r="J636" s="101">
        <f>SUM(J633:J635)</f>
        <v>0</v>
      </c>
      <c r="K636" s="101">
        <f>SUM(K633:K635)</f>
        <v>0</v>
      </c>
      <c r="L636" s="101">
        <f>SUM(L633:L635)</f>
        <v>0</v>
      </c>
      <c r="M636" s="64">
        <f>SUM(J636:L636)</f>
        <v>0</v>
      </c>
      <c r="N636" s="101">
        <f>SUM(N633:N635)</f>
        <v>0</v>
      </c>
      <c r="O636" s="101">
        <f>SUM(O633:O635)</f>
        <v>0</v>
      </c>
      <c r="P636" s="101">
        <f>SUM(P633:P635)</f>
        <v>0</v>
      </c>
      <c r="Q636" s="64">
        <f>SUM(N636:P636)</f>
        <v>0</v>
      </c>
      <c r="R636" s="64">
        <f>+E636+I636+M636+Q636</f>
        <v>0</v>
      </c>
    </row>
    <row r="637" spans="1:18" ht="15.75" customHeight="1" x14ac:dyDescent="0.3">
      <c r="A637" s="17" t="s">
        <v>58</v>
      </c>
      <c r="B637" s="1"/>
      <c r="C637" s="1"/>
      <c r="D637" s="1"/>
      <c r="E637" s="59" t="s">
        <v>7</v>
      </c>
      <c r="F637" s="1"/>
      <c r="G637" s="1"/>
      <c r="H637" s="1"/>
      <c r="I637" s="59" t="s">
        <v>7</v>
      </c>
      <c r="J637" s="1"/>
      <c r="K637" s="1"/>
      <c r="L637" s="1"/>
      <c r="M637" s="59" t="s">
        <v>7</v>
      </c>
      <c r="N637" s="1"/>
      <c r="O637" s="1"/>
      <c r="P637" s="1"/>
      <c r="Q637" s="59" t="s">
        <v>7</v>
      </c>
      <c r="R637" s="59" t="s">
        <v>7</v>
      </c>
    </row>
    <row r="638" spans="1:18" ht="15.75" customHeight="1" x14ac:dyDescent="0.3">
      <c r="A638" s="17" t="s">
        <v>59</v>
      </c>
      <c r="B638" s="1"/>
      <c r="C638" s="1"/>
      <c r="D638" s="1"/>
      <c r="E638" s="59" t="s">
        <v>7</v>
      </c>
      <c r="F638" s="1"/>
      <c r="G638" s="1"/>
      <c r="H638" s="1"/>
      <c r="I638" s="59" t="s">
        <v>7</v>
      </c>
      <c r="J638" s="1"/>
      <c r="K638" s="1"/>
      <c r="L638" s="1"/>
      <c r="M638" s="59" t="s">
        <v>7</v>
      </c>
      <c r="N638" s="1"/>
      <c r="O638" s="1"/>
      <c r="P638" s="1"/>
      <c r="Q638" s="59" t="s">
        <v>7</v>
      </c>
      <c r="R638" s="59" t="s">
        <v>7</v>
      </c>
    </row>
    <row r="639" spans="1:18" ht="15.75" customHeight="1" thickBot="1" x14ac:dyDescent="0.35">
      <c r="A639" s="17" t="s">
        <v>60</v>
      </c>
      <c r="B639" s="1"/>
      <c r="C639" s="1"/>
      <c r="D639" s="1"/>
      <c r="E639" s="59" t="s">
        <v>7</v>
      </c>
      <c r="F639" s="1"/>
      <c r="G639" s="1"/>
      <c r="H639" s="1"/>
      <c r="I639" s="59" t="s">
        <v>7</v>
      </c>
      <c r="J639" s="1"/>
      <c r="K639" s="1"/>
      <c r="L639" s="1"/>
      <c r="M639" s="59" t="s">
        <v>7</v>
      </c>
      <c r="N639" s="1"/>
      <c r="O639" s="1"/>
      <c r="P639" s="1"/>
      <c r="Q639" s="59" t="s">
        <v>7</v>
      </c>
      <c r="R639" s="59" t="s">
        <v>7</v>
      </c>
    </row>
    <row r="640" spans="1:18" ht="16.5" customHeight="1" thickBot="1" x14ac:dyDescent="0.35">
      <c r="A640" s="137" t="s">
        <v>61</v>
      </c>
      <c r="B640" s="100">
        <f>SUM(B637:B639)</f>
        <v>0</v>
      </c>
      <c r="C640" s="101">
        <f>SUM(C637:C639)</f>
        <v>0</v>
      </c>
      <c r="D640" s="101">
        <f>SUM(D637:D639)</f>
        <v>0</v>
      </c>
      <c r="E640" s="64">
        <f>SUM(B640:D640)</f>
        <v>0</v>
      </c>
      <c r="F640" s="101">
        <f>SUM(F637:F639)</f>
        <v>0</v>
      </c>
      <c r="G640" s="101">
        <f>SUM(G637:G639)</f>
        <v>0</v>
      </c>
      <c r="H640" s="101">
        <f>SUM(H637:H639)</f>
        <v>0</v>
      </c>
      <c r="I640" s="64">
        <f>SUM(F640:H640)</f>
        <v>0</v>
      </c>
      <c r="J640" s="101">
        <f>SUM(J637:J639)</f>
        <v>0</v>
      </c>
      <c r="K640" s="101">
        <f>SUM(K637:K639)</f>
        <v>0</v>
      </c>
      <c r="L640" s="101">
        <f>SUM(L637:L639)</f>
        <v>0</v>
      </c>
      <c r="M640" s="64">
        <f>SUM(J640:L640)</f>
        <v>0</v>
      </c>
      <c r="N640" s="101">
        <f>SUM(N637:N639)</f>
        <v>0</v>
      </c>
      <c r="O640" s="101">
        <f>SUM(O637:O639)</f>
        <v>0</v>
      </c>
      <c r="P640" s="101">
        <f>SUM(P637:P639)</f>
        <v>0</v>
      </c>
      <c r="Q640" s="64">
        <f>SUM(N640:P640)</f>
        <v>0</v>
      </c>
      <c r="R640" s="64">
        <f>+E640+I640+M640+Q640</f>
        <v>0</v>
      </c>
    </row>
    <row r="641" spans="1:18" ht="15.75" customHeight="1" x14ac:dyDescent="0.3">
      <c r="A641" s="17" t="s">
        <v>62</v>
      </c>
      <c r="B641" s="1"/>
      <c r="C641" s="1"/>
      <c r="D641" s="1"/>
      <c r="E641" s="59" t="s">
        <v>7</v>
      </c>
      <c r="F641" s="1"/>
      <c r="G641" s="1"/>
      <c r="H641" s="1"/>
      <c r="I641" s="59" t="s">
        <v>7</v>
      </c>
      <c r="J641" s="1"/>
      <c r="K641" s="1"/>
      <c r="L641" s="1"/>
      <c r="M641" s="59" t="s">
        <v>7</v>
      </c>
      <c r="N641" s="1"/>
      <c r="O641" s="1"/>
      <c r="P641" s="1"/>
      <c r="Q641" s="59" t="s">
        <v>7</v>
      </c>
      <c r="R641" s="59" t="s">
        <v>7</v>
      </c>
    </row>
    <row r="642" spans="1:18" ht="15.75" customHeight="1" x14ac:dyDescent="0.3">
      <c r="A642" s="17" t="s">
        <v>63</v>
      </c>
      <c r="B642" s="1"/>
      <c r="C642" s="1"/>
      <c r="D642" s="1"/>
      <c r="E642" s="59" t="s">
        <v>7</v>
      </c>
      <c r="F642" s="1"/>
      <c r="G642" s="1"/>
      <c r="H642" s="1"/>
      <c r="I642" s="59" t="s">
        <v>7</v>
      </c>
      <c r="J642" s="1"/>
      <c r="K642" s="1"/>
      <c r="L642" s="1"/>
      <c r="M642" s="59" t="s">
        <v>7</v>
      </c>
      <c r="N642" s="1"/>
      <c r="O642" s="1"/>
      <c r="P642" s="1"/>
      <c r="Q642" s="59" t="s">
        <v>7</v>
      </c>
      <c r="R642" s="59" t="s">
        <v>7</v>
      </c>
    </row>
    <row r="643" spans="1:18" ht="15.75" customHeight="1" x14ac:dyDescent="0.3">
      <c r="A643" s="17" t="s">
        <v>64</v>
      </c>
      <c r="B643" s="1"/>
      <c r="C643" s="1"/>
      <c r="D643" s="1"/>
      <c r="E643" s="59" t="s">
        <v>7</v>
      </c>
      <c r="F643" s="1"/>
      <c r="G643" s="1"/>
      <c r="H643" s="1"/>
      <c r="I643" s="59" t="s">
        <v>7</v>
      </c>
      <c r="J643" s="1"/>
      <c r="K643" s="1"/>
      <c r="L643" s="1"/>
      <c r="M643" s="59" t="s">
        <v>7</v>
      </c>
      <c r="N643" s="1"/>
      <c r="O643" s="1"/>
      <c r="P643" s="1"/>
      <c r="Q643" s="59" t="s">
        <v>7</v>
      </c>
      <c r="R643" s="59" t="s">
        <v>7</v>
      </c>
    </row>
    <row r="644" spans="1:18" ht="15.75" customHeight="1" x14ac:dyDescent="0.3">
      <c r="A644" s="74" t="s">
        <v>555</v>
      </c>
      <c r="B644" s="1"/>
      <c r="C644" s="1"/>
      <c r="D644" s="1"/>
      <c r="E644" s="59">
        <f>SUM(B644:D644)</f>
        <v>0</v>
      </c>
      <c r="F644" s="1"/>
      <c r="G644" s="1"/>
      <c r="H644" s="1"/>
      <c r="I644" s="59">
        <f>SUM(F644:H644)</f>
        <v>0</v>
      </c>
      <c r="J644" s="1"/>
      <c r="K644" s="1"/>
      <c r="L644" s="1"/>
      <c r="M644" s="59">
        <f>SUM(J644:L644)</f>
        <v>0</v>
      </c>
      <c r="N644" s="1"/>
      <c r="O644" s="1"/>
      <c r="P644" s="1"/>
      <c r="Q644" s="59">
        <f>SUM(N644:P644)</f>
        <v>0</v>
      </c>
      <c r="R644" s="59">
        <f>+E644+I644+M644+Q644</f>
        <v>0</v>
      </c>
    </row>
    <row r="645" spans="1:18" ht="15.75" customHeight="1" x14ac:dyDescent="0.3">
      <c r="A645" s="17" t="s">
        <v>66</v>
      </c>
      <c r="B645" s="1"/>
      <c r="C645" s="1"/>
      <c r="D645" s="1"/>
      <c r="E645" s="59" t="s">
        <v>7</v>
      </c>
      <c r="F645" s="1"/>
      <c r="G645" s="1"/>
      <c r="H645" s="1"/>
      <c r="I645" s="59" t="s">
        <v>7</v>
      </c>
      <c r="J645" s="1"/>
      <c r="K645" s="1"/>
      <c r="L645" s="1"/>
      <c r="M645" s="59" t="s">
        <v>7</v>
      </c>
      <c r="N645" s="1"/>
      <c r="O645" s="1"/>
      <c r="P645" s="1"/>
      <c r="Q645" s="59" t="s">
        <v>7</v>
      </c>
      <c r="R645" s="59" t="s">
        <v>7</v>
      </c>
    </row>
    <row r="646" spans="1:18" ht="15.75" customHeight="1" thickBot="1" x14ac:dyDescent="0.35">
      <c r="A646" s="17" t="s">
        <v>67</v>
      </c>
      <c r="B646" s="1"/>
      <c r="C646" s="1"/>
      <c r="D646" s="1"/>
      <c r="E646" s="59" t="s">
        <v>7</v>
      </c>
      <c r="F646" s="1"/>
      <c r="G646" s="1"/>
      <c r="H646" s="1"/>
      <c r="I646" s="59" t="s">
        <v>7</v>
      </c>
      <c r="J646" s="1"/>
      <c r="K646" s="1"/>
      <c r="L646" s="1"/>
      <c r="M646" s="59" t="s">
        <v>7</v>
      </c>
      <c r="N646" s="1"/>
      <c r="O646" s="1"/>
      <c r="P646" s="1"/>
      <c r="Q646" s="59" t="s">
        <v>7</v>
      </c>
      <c r="R646" s="59" t="s">
        <v>7</v>
      </c>
    </row>
    <row r="647" spans="1:18" ht="16.5" customHeight="1" thickBot="1" x14ac:dyDescent="0.35">
      <c r="A647" s="62" t="s">
        <v>68</v>
      </c>
      <c r="B647" s="63">
        <f>SUM(B645:B646)</f>
        <v>0</v>
      </c>
      <c r="C647" s="63">
        <f>SUM(C645:C646)</f>
        <v>0</v>
      </c>
      <c r="D647" s="63">
        <f>SUM(D645:D646)</f>
        <v>0</v>
      </c>
      <c r="E647" s="65">
        <f>SUM(B647:D647)</f>
        <v>0</v>
      </c>
      <c r="F647" s="63">
        <f>SUM(F645:F646)</f>
        <v>0</v>
      </c>
      <c r="G647" s="63">
        <f>SUM(G645:G646)</f>
        <v>0</v>
      </c>
      <c r="H647" s="63">
        <f>SUM(H645:H646)</f>
        <v>0</v>
      </c>
      <c r="I647" s="65">
        <f>SUM(F647:H647)</f>
        <v>0</v>
      </c>
      <c r="J647" s="63">
        <f>SUM(J645:J646)</f>
        <v>0</v>
      </c>
      <c r="K647" s="63">
        <f>SUM(K645:K646)</f>
        <v>0</v>
      </c>
      <c r="L647" s="63">
        <f>SUM(L645:L646)</f>
        <v>0</v>
      </c>
      <c r="M647" s="65">
        <f>SUM(J647:L647)</f>
        <v>0</v>
      </c>
      <c r="N647" s="63">
        <f>SUM(N645:N646)</f>
        <v>0</v>
      </c>
      <c r="O647" s="63">
        <f>SUM(O645:O646)</f>
        <v>0</v>
      </c>
      <c r="P647" s="63">
        <f>SUM(P645:P646)</f>
        <v>0</v>
      </c>
      <c r="Q647" s="65">
        <f>SUM(N647:P647)</f>
        <v>0</v>
      </c>
      <c r="R647" s="64">
        <f>+E647+I647+M647+Q647</f>
        <v>0</v>
      </c>
    </row>
    <row r="648" spans="1:18" ht="16.5" customHeight="1" thickBot="1" x14ac:dyDescent="0.35">
      <c r="A648" s="137" t="s">
        <v>69</v>
      </c>
      <c r="B648" s="100">
        <f>SUM(B641:B646)</f>
        <v>0</v>
      </c>
      <c r="C648" s="101">
        <f>SUM(C641:C646)</f>
        <v>0</v>
      </c>
      <c r="D648" s="138">
        <f>SUM(D641:D646)</f>
        <v>0</v>
      </c>
      <c r="E648" s="65">
        <f>SUM(B648:D648)</f>
        <v>0</v>
      </c>
      <c r="F648" s="101">
        <f>SUM(F641:F646)</f>
        <v>0</v>
      </c>
      <c r="G648" s="101">
        <f>SUM(G641:G646)</f>
        <v>0</v>
      </c>
      <c r="H648" s="101">
        <f>SUM(H641:H646)</f>
        <v>0</v>
      </c>
      <c r="I648" s="65">
        <f>SUM(F648:H648)</f>
        <v>0</v>
      </c>
      <c r="J648" s="101">
        <f>SUM(J641:J646)</f>
        <v>0</v>
      </c>
      <c r="K648" s="101">
        <f>SUM(K641:K646)</f>
        <v>0</v>
      </c>
      <c r="L648" s="101">
        <f>SUM(L641:L646)</f>
        <v>0</v>
      </c>
      <c r="M648" s="65">
        <f>SUM(J648:L648)</f>
        <v>0</v>
      </c>
      <c r="N648" s="101">
        <f>SUM(N641:N646)</f>
        <v>0</v>
      </c>
      <c r="O648" s="101">
        <f>SUM(O641:O646)</f>
        <v>0</v>
      </c>
      <c r="P648" s="101">
        <f>SUM(P641:P646)</f>
        <v>0</v>
      </c>
      <c r="Q648" s="65">
        <f>SUM(N648:P648)</f>
        <v>0</v>
      </c>
      <c r="R648" s="64">
        <f>+E648+I648+M648+Q648</f>
        <v>0</v>
      </c>
    </row>
    <row r="649" spans="1:18" ht="16.5" customHeight="1" thickBot="1" x14ac:dyDescent="0.35">
      <c r="A649" s="62" t="s">
        <v>70</v>
      </c>
      <c r="B649" s="107">
        <f>+B632+B636+B640+B648</f>
        <v>650</v>
      </c>
      <c r="C649" s="63">
        <f>+C632+C636+C640+C648</f>
        <v>750</v>
      </c>
      <c r="D649" s="63">
        <f>+D632+D636+D640+D648</f>
        <v>850</v>
      </c>
      <c r="E649" s="64">
        <f>SUM(B649:D649)</f>
        <v>2250</v>
      </c>
      <c r="F649" s="63">
        <f>+F632+F636+F640+F648</f>
        <v>1050</v>
      </c>
      <c r="G649" s="63">
        <f>+G632+G636+G640+G648</f>
        <v>1650</v>
      </c>
      <c r="H649" s="63">
        <f>+H632+H636+H640+H648</f>
        <v>1800</v>
      </c>
      <c r="I649" s="64">
        <f>SUM(F649:H649)</f>
        <v>4500</v>
      </c>
      <c r="J649" s="63">
        <f>+J632+J636+J640+J648</f>
        <v>2300</v>
      </c>
      <c r="K649" s="63">
        <f>+K632+K636+K640+K648</f>
        <v>1950</v>
      </c>
      <c r="L649" s="63">
        <f>+L632+L636+L640+L648</f>
        <v>995</v>
      </c>
      <c r="M649" s="64">
        <f>SUM(J649:L649)</f>
        <v>5245</v>
      </c>
      <c r="N649" s="63">
        <f>+N632+N636+N640+N648</f>
        <v>400</v>
      </c>
      <c r="O649" s="63">
        <f>+O632+O636+O640+O648</f>
        <v>100</v>
      </c>
      <c r="P649" s="63">
        <f>+P632+P636+P640+P648</f>
        <v>350</v>
      </c>
      <c r="Q649" s="64">
        <f>SUM(N649:P649)</f>
        <v>850</v>
      </c>
      <c r="R649" s="88">
        <f>+E649+I649+M649+Q649</f>
        <v>12845</v>
      </c>
    </row>
    <row r="650" spans="1:18" ht="16.5" customHeight="1" thickBot="1" x14ac:dyDescent="0.35">
      <c r="A650" s="40" t="s">
        <v>37</v>
      </c>
      <c r="B650" s="25">
        <v>10</v>
      </c>
      <c r="C650" s="25">
        <v>11</v>
      </c>
      <c r="D650" s="25">
        <v>14</v>
      </c>
      <c r="E650" s="59">
        <f>SUM(B650:D650)</f>
        <v>35</v>
      </c>
      <c r="F650" s="25">
        <v>18</v>
      </c>
      <c r="G650" s="25">
        <v>21</v>
      </c>
      <c r="H650" s="25">
        <v>22</v>
      </c>
      <c r="I650" s="59">
        <f>SUM(F650:H650)</f>
        <v>61</v>
      </c>
      <c r="J650" s="25">
        <v>19</v>
      </c>
      <c r="K650" s="25">
        <v>17</v>
      </c>
      <c r="L650" s="25">
        <v>17</v>
      </c>
      <c r="M650" s="59">
        <f>SUM(J650:L650)</f>
        <v>53</v>
      </c>
      <c r="N650" s="25">
        <v>14</v>
      </c>
      <c r="O650" s="25">
        <v>11</v>
      </c>
      <c r="P650" s="25">
        <v>9</v>
      </c>
      <c r="Q650" s="59">
        <f>SUM(N650:P650)</f>
        <v>34</v>
      </c>
      <c r="R650" s="59">
        <f>+E650+I650+M650+Q650</f>
        <v>183</v>
      </c>
    </row>
    <row r="651" spans="1:18" ht="16.5" customHeight="1" thickBot="1" x14ac:dyDescent="0.35">
      <c r="A651" s="42"/>
      <c r="B651" s="37"/>
      <c r="C651" s="37"/>
      <c r="D651" s="37"/>
      <c r="E651" s="16"/>
      <c r="F651" s="37"/>
      <c r="G651" s="37"/>
      <c r="H651" s="37"/>
      <c r="I651" s="16"/>
      <c r="J651" s="37"/>
      <c r="K651" s="37"/>
      <c r="L651" s="37"/>
      <c r="M651" s="153"/>
      <c r="N651" s="37"/>
      <c r="O651" s="37"/>
      <c r="P651" s="37"/>
      <c r="Q651" s="153"/>
      <c r="R651" s="41"/>
    </row>
    <row r="652" spans="1:18" ht="15.75" customHeight="1" x14ac:dyDescent="0.3">
      <c r="A652" s="17" t="s">
        <v>507</v>
      </c>
      <c r="B652" s="1">
        <f>SUM(B649:B650)</f>
        <v>660</v>
      </c>
      <c r="C652" s="1">
        <f>SUM(C649:C650)</f>
        <v>761</v>
      </c>
      <c r="D652" s="1">
        <f>SUM(D649:D650)</f>
        <v>864</v>
      </c>
      <c r="E652" s="59">
        <f>SUM(B652:D652)</f>
        <v>2285</v>
      </c>
      <c r="F652" s="1">
        <f>SUM(F649:F650)</f>
        <v>1068</v>
      </c>
      <c r="G652" s="1">
        <f>SUM(G649:G650)</f>
        <v>1671</v>
      </c>
      <c r="H652" s="1">
        <f>SUM(H649:H650)</f>
        <v>1822</v>
      </c>
      <c r="I652" s="65">
        <f>SUM(F652:H652)</f>
        <v>4561</v>
      </c>
      <c r="J652" s="1">
        <f>SUM(J649:J650)</f>
        <v>2319</v>
      </c>
      <c r="K652" s="1">
        <f>SUM(K649:K650)</f>
        <v>1967</v>
      </c>
      <c r="L652" s="1">
        <f>SUM(L649:L650)</f>
        <v>1012</v>
      </c>
      <c r="M652" s="65">
        <f>SUM(J652:L652)</f>
        <v>5298</v>
      </c>
      <c r="N652" s="1">
        <f>SUM(N649:N650)</f>
        <v>414</v>
      </c>
      <c r="O652" s="1">
        <f>SUM(O649:O650)</f>
        <v>111</v>
      </c>
      <c r="P652" s="1">
        <f>SUM(P649:P650)</f>
        <v>359</v>
      </c>
      <c r="Q652" s="65">
        <f>SUM(N652:P652)</f>
        <v>884</v>
      </c>
      <c r="R652" s="65">
        <f>+E652+I652+M652+Q652</f>
        <v>13028</v>
      </c>
    </row>
    <row r="653" spans="1:18" ht="15.75" customHeight="1" x14ac:dyDescent="0.3">
      <c r="A653" s="17" t="s">
        <v>39</v>
      </c>
      <c r="B653" s="1">
        <f>(B652/B10)/1.983</f>
        <v>10.736420867698012</v>
      </c>
      <c r="C653" s="1">
        <f>(C652/C10)/1.983</f>
        <v>13.705784885815142</v>
      </c>
      <c r="D653" s="1">
        <f>(D652/D10)/1.983</f>
        <v>14.0549509540774</v>
      </c>
      <c r="E653" s="59" t="s">
        <v>7</v>
      </c>
      <c r="F653" s="1">
        <f>(F652/F10)/1.983</f>
        <v>17.95259707513868</v>
      </c>
      <c r="G653" s="1">
        <f>(G652/G10)/1.983</f>
        <v>27.182665560489973</v>
      </c>
      <c r="H653" s="1">
        <f>(H652/H10)/1.983</f>
        <v>30.626996133803999</v>
      </c>
      <c r="I653" s="59" t="s">
        <v>7</v>
      </c>
      <c r="J653" s="1">
        <f>(J652/J10)/1.983</f>
        <v>37.723878776048025</v>
      </c>
      <c r="K653" s="1">
        <f>(K652/K10)/1.983</f>
        <v>31.99778764660908</v>
      </c>
      <c r="L653" s="1">
        <f>(L652/L10)/1.983</f>
        <v>17.01126239704152</v>
      </c>
      <c r="M653" s="59" t="s">
        <v>7</v>
      </c>
      <c r="N653" s="1">
        <f>(N652/N10)/1.983</f>
        <v>6.7346639988287542</v>
      </c>
      <c r="O653" s="1">
        <f>(O652/O10)/1.983</f>
        <v>1.8658598083711548</v>
      </c>
      <c r="P653" s="1">
        <f>(P652/P10)/1.983</f>
        <v>5.8399622598539187</v>
      </c>
      <c r="Q653" s="59" t="s">
        <v>7</v>
      </c>
      <c r="R653" s="59" t="s">
        <v>7</v>
      </c>
    </row>
    <row r="654" spans="1:18" ht="15.75" customHeight="1" x14ac:dyDescent="0.3">
      <c r="A654" s="17" t="s">
        <v>556</v>
      </c>
      <c r="B654" s="1">
        <f>B652+B701</f>
        <v>14229</v>
      </c>
      <c r="C654" s="1">
        <f>C652+C701</f>
        <v>15812</v>
      </c>
      <c r="D654" s="1">
        <f>D652+D701</f>
        <v>19781</v>
      </c>
      <c r="E654" s="59">
        <f>SUM(B654:D654)</f>
        <v>49822</v>
      </c>
      <c r="F654" s="1">
        <f>F652+F701</f>
        <v>19694</v>
      </c>
      <c r="G654" s="1">
        <f>G652+G701</f>
        <v>22641</v>
      </c>
      <c r="H654" s="1">
        <f>H652+H701</f>
        <v>21288</v>
      </c>
      <c r="I654" s="59">
        <f>SUM(F654:H654)</f>
        <v>63623</v>
      </c>
      <c r="J654" s="1">
        <f>J652+J701</f>
        <v>22377</v>
      </c>
      <c r="K654" s="1">
        <f>K652+K701</f>
        <v>20812</v>
      </c>
      <c r="L654" s="1">
        <f>L652+L701</f>
        <v>18743</v>
      </c>
      <c r="M654" s="59">
        <f>SUM(J654:L654)</f>
        <v>61932</v>
      </c>
      <c r="N654" s="1">
        <f>N652+N701</f>
        <v>5938</v>
      </c>
      <c r="O654" s="1">
        <f>O652+O701</f>
        <v>5716</v>
      </c>
      <c r="P654" s="1">
        <f>P652+P701</f>
        <v>6213</v>
      </c>
      <c r="Q654" s="59">
        <f>SUM(N654:P654)</f>
        <v>17867</v>
      </c>
      <c r="R654" s="59">
        <f>+E654+I654+M654+Q654</f>
        <v>193244</v>
      </c>
    </row>
    <row r="655" spans="1:18" ht="16.5" customHeight="1" thickBot="1" x14ac:dyDescent="0.35">
      <c r="A655" s="24" t="s">
        <v>557</v>
      </c>
      <c r="B655" s="25">
        <f>(B654/B10)/1.983</f>
        <v>231.46747352496217</v>
      </c>
      <c r="C655" s="25">
        <f>(C654/C10)/1.983</f>
        <v>284.77775376413797</v>
      </c>
      <c r="D655" s="25">
        <f>(D654/D10)/1.983</f>
        <v>321.78354724838545</v>
      </c>
      <c r="E655" s="88" t="s">
        <v>7</v>
      </c>
      <c r="F655" s="25">
        <f>(F654/F10)/1.983</f>
        <v>331.04723482938311</v>
      </c>
      <c r="G655" s="25">
        <f>(G654/G10)/1.983</f>
        <v>368.30803767507683</v>
      </c>
      <c r="H655" s="25">
        <f>(H654/H10)/1.983</f>
        <v>357.8416540595058</v>
      </c>
      <c r="I655" s="88" t="s">
        <v>7</v>
      </c>
      <c r="J655" s="25">
        <f>(J654/J10)/1.983</f>
        <v>364.01346932799765</v>
      </c>
      <c r="K655" s="25">
        <f>(K654/K10)/1.983</f>
        <v>338.55513802807735</v>
      </c>
      <c r="L655" s="25">
        <f>(L654/L10)/1.983</f>
        <v>315.0613548495545</v>
      </c>
      <c r="M655" s="88" t="s">
        <v>7</v>
      </c>
      <c r="N655" s="25">
        <f>(N654/N10)/1.983</f>
        <v>96.595253200592126</v>
      </c>
      <c r="O655" s="25">
        <f>(O654/O10)/1.983</f>
        <v>96.083375357202883</v>
      </c>
      <c r="P655" s="25">
        <f>(P654/P10)/1.983</f>
        <v>101.0687618954663</v>
      </c>
      <c r="Q655" s="88" t="s">
        <v>7</v>
      </c>
      <c r="R655" s="88" t="s">
        <v>7</v>
      </c>
    </row>
    <row r="656" spans="1:18" ht="15.75" customHeight="1" x14ac:dyDescent="0.3">
      <c r="A656" s="28"/>
      <c r="B656" s="1"/>
      <c r="C656" s="1"/>
      <c r="D656" s="1"/>
      <c r="E656" s="1"/>
      <c r="F656" s="1"/>
      <c r="G656" s="1"/>
      <c r="H656" s="1"/>
      <c r="I656" s="1"/>
      <c r="J656" s="1"/>
      <c r="K656" s="1"/>
      <c r="L656" s="1"/>
      <c r="M656" s="1"/>
      <c r="N656" s="1"/>
      <c r="O656" s="1"/>
      <c r="P656" s="1"/>
      <c r="Q656" s="1"/>
      <c r="R656" s="28"/>
    </row>
    <row r="657" spans="1:18" ht="16.5" customHeight="1" thickBot="1" x14ac:dyDescent="0.35">
      <c r="A657" s="123"/>
      <c r="B657" s="25"/>
      <c r="C657" s="25"/>
      <c r="D657" s="25"/>
      <c r="E657" s="25"/>
      <c r="F657" s="25"/>
      <c r="G657" s="25"/>
      <c r="H657" s="25"/>
      <c r="I657" s="25"/>
      <c r="J657" s="25"/>
      <c r="K657" s="25"/>
      <c r="L657" s="25"/>
      <c r="M657" s="25"/>
      <c r="N657" s="25"/>
      <c r="O657" s="25"/>
      <c r="P657" s="25"/>
      <c r="Q657" s="25"/>
      <c r="R657" s="123"/>
    </row>
    <row r="658" spans="1:18" ht="15.75" customHeight="1" thickBot="1" x14ac:dyDescent="0.35">
      <c r="A658" s="124" t="s">
        <v>558</v>
      </c>
      <c r="B658" s="54" t="s">
        <v>36</v>
      </c>
      <c r="C658" s="11" t="s">
        <v>9</v>
      </c>
      <c r="D658" s="11" t="s">
        <v>10</v>
      </c>
      <c r="E658" s="12" t="s">
        <v>11</v>
      </c>
      <c r="F658" s="11" t="s">
        <v>12</v>
      </c>
      <c r="G658" s="11" t="s">
        <v>13</v>
      </c>
      <c r="H658" s="11" t="s">
        <v>14</v>
      </c>
      <c r="I658" s="12" t="s">
        <v>15</v>
      </c>
      <c r="J658" s="11" t="s">
        <v>16</v>
      </c>
      <c r="K658" s="11" t="s">
        <v>17</v>
      </c>
      <c r="L658" s="11" t="s">
        <v>18</v>
      </c>
      <c r="M658" s="12" t="s">
        <v>19</v>
      </c>
      <c r="N658" s="11" t="s">
        <v>20</v>
      </c>
      <c r="O658" s="11" t="s">
        <v>21</v>
      </c>
      <c r="P658" s="11" t="s">
        <v>22</v>
      </c>
      <c r="Q658" s="12" t="s">
        <v>23</v>
      </c>
      <c r="R658" s="13" t="s">
        <v>24</v>
      </c>
    </row>
    <row r="659" spans="1:18" ht="16.5" customHeight="1" thickBot="1" x14ac:dyDescent="0.35">
      <c r="A659" s="154"/>
      <c r="B659" s="56"/>
      <c r="C659" s="56"/>
      <c r="D659" s="56"/>
      <c r="E659" s="16"/>
      <c r="F659" s="56"/>
      <c r="G659" s="56"/>
      <c r="H659" s="56"/>
      <c r="I659" s="16"/>
      <c r="J659" s="56"/>
      <c r="K659" s="56"/>
      <c r="L659" s="56"/>
      <c r="M659" s="16"/>
      <c r="N659" s="56"/>
      <c r="O659" s="56"/>
      <c r="P659" s="56"/>
      <c r="Q659" s="16"/>
      <c r="R659" s="57"/>
    </row>
    <row r="660" spans="1:18" ht="15.75" customHeight="1" x14ac:dyDescent="0.3">
      <c r="A660" s="17" t="s">
        <v>45</v>
      </c>
      <c r="B660" s="1" t="s">
        <v>7</v>
      </c>
      <c r="C660" s="1" t="s">
        <v>7</v>
      </c>
      <c r="D660" s="1" t="s">
        <v>7</v>
      </c>
      <c r="E660" s="59" t="s">
        <v>7</v>
      </c>
      <c r="F660" s="1" t="s">
        <v>7</v>
      </c>
      <c r="G660" s="1" t="s">
        <v>7</v>
      </c>
      <c r="H660" s="1" t="s">
        <v>7</v>
      </c>
      <c r="I660" s="59" t="s">
        <v>7</v>
      </c>
      <c r="J660" s="1" t="s">
        <v>7</v>
      </c>
      <c r="K660" s="1" t="s">
        <v>7</v>
      </c>
      <c r="L660" s="1" t="s">
        <v>7</v>
      </c>
      <c r="M660" s="59" t="s">
        <v>7</v>
      </c>
      <c r="N660" s="1" t="s">
        <v>7</v>
      </c>
      <c r="O660" s="1" t="s">
        <v>7</v>
      </c>
      <c r="P660" s="1" t="s">
        <v>7</v>
      </c>
      <c r="Q660" s="59" t="s">
        <v>7</v>
      </c>
      <c r="R660" s="59" t="s">
        <v>7</v>
      </c>
    </row>
    <row r="661" spans="1:18" ht="15.75" customHeight="1" x14ac:dyDescent="0.3">
      <c r="A661" s="17" t="s">
        <v>46</v>
      </c>
      <c r="B661" s="1"/>
      <c r="C661" s="1"/>
      <c r="D661" s="1"/>
      <c r="E661" s="59" t="s">
        <v>7</v>
      </c>
      <c r="F661" s="1"/>
      <c r="G661" s="1"/>
      <c r="H661" s="1"/>
      <c r="I661" s="59" t="s">
        <v>7</v>
      </c>
      <c r="J661" s="1"/>
      <c r="K661" s="1"/>
      <c r="L661" s="1"/>
      <c r="M661" s="59" t="s">
        <v>7</v>
      </c>
      <c r="N661" s="1"/>
      <c r="O661" s="1"/>
      <c r="P661" s="1"/>
      <c r="Q661" s="59" t="s">
        <v>7</v>
      </c>
      <c r="R661" s="59" t="s">
        <v>7</v>
      </c>
    </row>
    <row r="662" spans="1:18" ht="15.75" customHeight="1" x14ac:dyDescent="0.3">
      <c r="A662" s="74" t="s">
        <v>559</v>
      </c>
      <c r="B662" s="1">
        <v>2000</v>
      </c>
      <c r="C662" s="1">
        <v>2000</v>
      </c>
      <c r="D662" s="1">
        <v>5950</v>
      </c>
      <c r="E662" s="59">
        <f t="shared" ref="E662:E667" si="175">SUM(B662:D662)</f>
        <v>9950</v>
      </c>
      <c r="F662" s="1">
        <v>5500</v>
      </c>
      <c r="G662" s="1">
        <v>5500</v>
      </c>
      <c r="H662" s="1">
        <v>5000</v>
      </c>
      <c r="I662" s="59">
        <f t="shared" ref="I662:I667" si="176">SUM(F662:H662)</f>
        <v>16000</v>
      </c>
      <c r="J662" s="1">
        <v>5650</v>
      </c>
      <c r="K662" s="1">
        <v>5000</v>
      </c>
      <c r="L662" s="1">
        <v>3770</v>
      </c>
      <c r="M662" s="59">
        <f t="shared" ref="M662:M667" si="177">SUM(J662:L662)</f>
        <v>14420</v>
      </c>
      <c r="N662" s="1">
        <v>1800</v>
      </c>
      <c r="O662" s="1">
        <v>1300</v>
      </c>
      <c r="P662" s="1">
        <v>1485</v>
      </c>
      <c r="Q662" s="59">
        <f t="shared" ref="Q662:Q667" si="178">SUM(N662:P662)</f>
        <v>4585</v>
      </c>
      <c r="R662" s="59">
        <f t="shared" ref="R662:R667" si="179">+E662+I662+M662+Q662</f>
        <v>44955</v>
      </c>
    </row>
    <row r="663" spans="1:18" ht="15.75" customHeight="1" x14ac:dyDescent="0.3">
      <c r="A663" s="74" t="s">
        <v>560</v>
      </c>
      <c r="B663" s="1">
        <v>3000</v>
      </c>
      <c r="C663" s="1">
        <v>3000</v>
      </c>
      <c r="D663" s="1">
        <v>2500</v>
      </c>
      <c r="E663" s="59">
        <f t="shared" si="175"/>
        <v>8500</v>
      </c>
      <c r="F663" s="1">
        <v>2500</v>
      </c>
      <c r="G663" s="1">
        <v>3500</v>
      </c>
      <c r="H663" s="1">
        <v>3500</v>
      </c>
      <c r="I663" s="59">
        <f t="shared" si="176"/>
        <v>9500</v>
      </c>
      <c r="J663" s="1">
        <v>3500</v>
      </c>
      <c r="K663" s="1">
        <v>3500</v>
      </c>
      <c r="L663" s="1">
        <v>3500</v>
      </c>
      <c r="M663" s="59">
        <f t="shared" si="177"/>
        <v>10500</v>
      </c>
      <c r="N663" s="1">
        <v>1000</v>
      </c>
      <c r="O663" s="1">
        <v>2791</v>
      </c>
      <c r="P663" s="1">
        <v>2100</v>
      </c>
      <c r="Q663" s="59">
        <f t="shared" si="178"/>
        <v>5891</v>
      </c>
      <c r="R663" s="59">
        <f t="shared" si="179"/>
        <v>34391</v>
      </c>
    </row>
    <row r="664" spans="1:18" ht="15.75" customHeight="1" x14ac:dyDescent="0.3">
      <c r="A664" s="74" t="s">
        <v>561</v>
      </c>
      <c r="B664" s="1">
        <v>9</v>
      </c>
      <c r="C664" s="1"/>
      <c r="D664" s="1"/>
      <c r="E664" s="59">
        <f t="shared" si="175"/>
        <v>9</v>
      </c>
      <c r="F664" s="1"/>
      <c r="G664" s="1"/>
      <c r="H664" s="1"/>
      <c r="I664" s="59">
        <f t="shared" si="176"/>
        <v>0</v>
      </c>
      <c r="J664" s="1"/>
      <c r="K664" s="1"/>
      <c r="L664" s="1"/>
      <c r="M664" s="59">
        <f t="shared" si="177"/>
        <v>0</v>
      </c>
      <c r="N664" s="1"/>
      <c r="O664" s="1"/>
      <c r="P664" s="1"/>
      <c r="Q664" s="59">
        <f t="shared" si="178"/>
        <v>0</v>
      </c>
      <c r="R664" s="59">
        <f t="shared" si="179"/>
        <v>9</v>
      </c>
    </row>
    <row r="665" spans="1:18" ht="15.75" customHeight="1" x14ac:dyDescent="0.3">
      <c r="A665" s="74" t="s">
        <v>562</v>
      </c>
      <c r="B665" s="1">
        <v>4000</v>
      </c>
      <c r="C665" s="1">
        <v>4000</v>
      </c>
      <c r="D665" s="1">
        <v>4000</v>
      </c>
      <c r="E665" s="59">
        <f t="shared" si="175"/>
        <v>12000</v>
      </c>
      <c r="F665" s="1">
        <v>4000</v>
      </c>
      <c r="G665" s="1">
        <v>4000</v>
      </c>
      <c r="H665" s="1">
        <v>4000</v>
      </c>
      <c r="I665" s="59">
        <f t="shared" si="176"/>
        <v>12000</v>
      </c>
      <c r="J665" s="1">
        <v>4000</v>
      </c>
      <c r="K665" s="1">
        <v>4000</v>
      </c>
      <c r="L665" s="1">
        <v>4000</v>
      </c>
      <c r="M665" s="59">
        <f t="shared" si="177"/>
        <v>12000</v>
      </c>
      <c r="N665" s="1"/>
      <c r="O665" s="1"/>
      <c r="P665" s="1">
        <v>500</v>
      </c>
      <c r="Q665" s="59">
        <f t="shared" si="178"/>
        <v>500</v>
      </c>
      <c r="R665" s="59">
        <f t="shared" si="179"/>
        <v>36500</v>
      </c>
    </row>
    <row r="666" spans="1:18" ht="15.75" customHeight="1" x14ac:dyDescent="0.3">
      <c r="A666" s="74" t="s">
        <v>563</v>
      </c>
      <c r="B666" s="1">
        <v>250</v>
      </c>
      <c r="C666" s="1">
        <v>250</v>
      </c>
      <c r="D666" s="1">
        <v>250</v>
      </c>
      <c r="E666" s="59">
        <f t="shared" si="175"/>
        <v>750</v>
      </c>
      <c r="F666" s="1">
        <v>250</v>
      </c>
      <c r="G666" s="1">
        <v>250</v>
      </c>
      <c r="H666" s="1">
        <v>250</v>
      </c>
      <c r="I666" s="59">
        <f t="shared" si="176"/>
        <v>750</v>
      </c>
      <c r="J666" s="1">
        <v>250</v>
      </c>
      <c r="K666" s="1">
        <v>250</v>
      </c>
      <c r="L666" s="1">
        <v>300</v>
      </c>
      <c r="M666" s="59">
        <f t="shared" si="177"/>
        <v>800</v>
      </c>
      <c r="N666" s="1"/>
      <c r="O666" s="1"/>
      <c r="P666" s="1"/>
      <c r="Q666" s="59">
        <f t="shared" si="178"/>
        <v>0</v>
      </c>
      <c r="R666" s="59">
        <f t="shared" si="179"/>
        <v>2300</v>
      </c>
    </row>
    <row r="667" spans="1:18" ht="15.75" customHeight="1" x14ac:dyDescent="0.3">
      <c r="A667" s="74" t="s">
        <v>564</v>
      </c>
      <c r="B667" s="1">
        <v>100</v>
      </c>
      <c r="C667" s="1">
        <v>100</v>
      </c>
      <c r="D667" s="1">
        <v>100</v>
      </c>
      <c r="E667" s="59">
        <f t="shared" si="175"/>
        <v>300</v>
      </c>
      <c r="F667" s="1">
        <v>100</v>
      </c>
      <c r="G667" s="1">
        <v>100</v>
      </c>
      <c r="H667" s="1">
        <v>200</v>
      </c>
      <c r="I667" s="59">
        <f t="shared" si="176"/>
        <v>400</v>
      </c>
      <c r="J667" s="1">
        <v>100</v>
      </c>
      <c r="K667" s="1">
        <v>100</v>
      </c>
      <c r="L667" s="1">
        <v>100</v>
      </c>
      <c r="M667" s="59">
        <f t="shared" si="177"/>
        <v>300</v>
      </c>
      <c r="N667" s="1"/>
      <c r="O667" s="1"/>
      <c r="P667" s="1">
        <v>100</v>
      </c>
      <c r="Q667" s="59">
        <f t="shared" si="178"/>
        <v>100</v>
      </c>
      <c r="R667" s="59">
        <f t="shared" si="179"/>
        <v>1100</v>
      </c>
    </row>
    <row r="668" spans="1:18" ht="15.75" customHeight="1" x14ac:dyDescent="0.3">
      <c r="A668" s="17" t="s">
        <v>47</v>
      </c>
      <c r="B668" s="1"/>
      <c r="C668" s="1"/>
      <c r="D668" s="1"/>
      <c r="E668" s="59" t="s">
        <v>7</v>
      </c>
      <c r="F668" s="1"/>
      <c r="G668" s="1"/>
      <c r="H668" s="1"/>
      <c r="I668" s="59" t="s">
        <v>7</v>
      </c>
      <c r="J668" s="1"/>
      <c r="K668" s="1"/>
      <c r="L668" s="1"/>
      <c r="M668" s="59" t="s">
        <v>7</v>
      </c>
      <c r="N668" s="1"/>
      <c r="O668" s="1"/>
      <c r="P668" s="1"/>
      <c r="Q668" s="59" t="s">
        <v>7</v>
      </c>
      <c r="R668" s="59" t="s">
        <v>7</v>
      </c>
    </row>
    <row r="669" spans="1:18" ht="15.75" customHeight="1" x14ac:dyDescent="0.3">
      <c r="A669" s="17" t="s">
        <v>898</v>
      </c>
      <c r="B669" s="1"/>
      <c r="C669" s="1"/>
      <c r="D669" s="1"/>
      <c r="E669" s="59" t="s">
        <v>7</v>
      </c>
      <c r="F669" s="1"/>
      <c r="G669" s="1"/>
      <c r="H669" s="1"/>
      <c r="I669" s="59" t="s">
        <v>7</v>
      </c>
      <c r="J669" s="1"/>
      <c r="K669" s="1"/>
      <c r="L669" s="1"/>
      <c r="M669" s="59" t="s">
        <v>7</v>
      </c>
      <c r="N669" s="1"/>
      <c r="O669" s="1"/>
      <c r="P669" s="1"/>
      <c r="Q669" s="59" t="s">
        <v>7</v>
      </c>
      <c r="R669" s="59" t="s">
        <v>7</v>
      </c>
    </row>
    <row r="670" spans="1:18" ht="15.75" customHeight="1" thickBot="1" x14ac:dyDescent="0.35">
      <c r="A670" s="17" t="s">
        <v>51</v>
      </c>
      <c r="B670" s="1"/>
      <c r="C670" s="1"/>
      <c r="D670" s="1"/>
      <c r="E670" s="59" t="s">
        <v>7</v>
      </c>
      <c r="F670" s="1"/>
      <c r="G670" s="1"/>
      <c r="H670" s="1"/>
      <c r="I670" s="59" t="s">
        <v>7</v>
      </c>
      <c r="J670" s="1"/>
      <c r="K670" s="1"/>
      <c r="L670" s="1"/>
      <c r="M670" s="59" t="s">
        <v>7</v>
      </c>
      <c r="N670" s="1"/>
      <c r="O670" s="1"/>
      <c r="P670" s="1"/>
      <c r="Q670" s="59" t="s">
        <v>7</v>
      </c>
      <c r="R670" s="59" t="s">
        <v>7</v>
      </c>
    </row>
    <row r="671" spans="1:18" ht="16.5" customHeight="1" thickBot="1" x14ac:dyDescent="0.35">
      <c r="A671" s="126" t="s">
        <v>52</v>
      </c>
      <c r="B671" s="100">
        <f>SUM(B660:B670)</f>
        <v>9359</v>
      </c>
      <c r="C671" s="101">
        <f>SUM(C660:C670)</f>
        <v>9350</v>
      </c>
      <c r="D671" s="101">
        <f>SUM(D660:D670)</f>
        <v>12800</v>
      </c>
      <c r="E671" s="64">
        <f>SUM(B671:D671)</f>
        <v>31509</v>
      </c>
      <c r="F671" s="101">
        <f>SUM(F660:F670)</f>
        <v>12350</v>
      </c>
      <c r="G671" s="101">
        <f>SUM(G660:G670)</f>
        <v>13350</v>
      </c>
      <c r="H671" s="101">
        <f>SUM(H660:H670)</f>
        <v>12950</v>
      </c>
      <c r="I671" s="64">
        <f>SUM(F671:H671)</f>
        <v>38650</v>
      </c>
      <c r="J671" s="101">
        <f>SUM(J660:J670)</f>
        <v>13500</v>
      </c>
      <c r="K671" s="101">
        <f>SUM(K660:K670)</f>
        <v>12850</v>
      </c>
      <c r="L671" s="101">
        <f>SUM(L660:L670)</f>
        <v>11670</v>
      </c>
      <c r="M671" s="64">
        <f>SUM(J671:L671)</f>
        <v>38020</v>
      </c>
      <c r="N671" s="101">
        <f>SUM(N660:N670)</f>
        <v>2800</v>
      </c>
      <c r="O671" s="101">
        <f>SUM(O660:O670)</f>
        <v>4091</v>
      </c>
      <c r="P671" s="101">
        <f>SUM(P660:P670)</f>
        <v>4185</v>
      </c>
      <c r="Q671" s="64">
        <f>SUM(N671:P671)</f>
        <v>11076</v>
      </c>
      <c r="R671" s="64">
        <f>+E671+I671+M671+Q671</f>
        <v>119255</v>
      </c>
    </row>
    <row r="672" spans="1:18" ht="15.75" customHeight="1" x14ac:dyDescent="0.3">
      <c r="A672" s="17" t="s">
        <v>53</v>
      </c>
      <c r="B672" s="1"/>
      <c r="C672" s="1"/>
      <c r="D672" s="1"/>
      <c r="E672" s="59" t="s">
        <v>7</v>
      </c>
      <c r="F672" s="1"/>
      <c r="G672" s="1"/>
      <c r="H672" s="1"/>
      <c r="I672" s="59" t="s">
        <v>7</v>
      </c>
      <c r="J672" s="1"/>
      <c r="K672" s="1"/>
      <c r="L672" s="1"/>
      <c r="M672" s="59" t="s">
        <v>7</v>
      </c>
      <c r="N672" s="1"/>
      <c r="O672" s="1"/>
      <c r="P672" s="1"/>
      <c r="Q672" s="59" t="s">
        <v>7</v>
      </c>
      <c r="R672" s="59" t="s">
        <v>7</v>
      </c>
    </row>
    <row r="673" spans="1:20" ht="15.75" customHeight="1" x14ac:dyDescent="0.3">
      <c r="A673" s="17" t="s">
        <v>55</v>
      </c>
      <c r="B673" s="1"/>
      <c r="C673" s="1"/>
      <c r="D673" s="1"/>
      <c r="E673" s="59" t="s">
        <v>7</v>
      </c>
      <c r="F673" s="1"/>
      <c r="G673" s="1"/>
      <c r="H673" s="1"/>
      <c r="I673" s="59" t="s">
        <v>7</v>
      </c>
      <c r="J673" s="1"/>
      <c r="K673" s="1"/>
      <c r="L673" s="1"/>
      <c r="M673" s="59" t="s">
        <v>7</v>
      </c>
      <c r="N673" s="1"/>
      <c r="O673" s="1"/>
      <c r="P673" s="1"/>
      <c r="Q673" s="59" t="s">
        <v>7</v>
      </c>
      <c r="R673" s="59" t="s">
        <v>7</v>
      </c>
    </row>
    <row r="674" spans="1:20" ht="15.75" customHeight="1" thickBot="1" x14ac:dyDescent="0.35">
      <c r="A674" s="17" t="s">
        <v>56</v>
      </c>
      <c r="B674" s="1"/>
      <c r="C674" s="1"/>
      <c r="D674" s="1"/>
      <c r="E674" s="59" t="s">
        <v>7</v>
      </c>
      <c r="F674" s="1"/>
      <c r="G674" s="1"/>
      <c r="H674" s="1"/>
      <c r="I674" s="59" t="s">
        <v>7</v>
      </c>
      <c r="J674" s="1"/>
      <c r="K674" s="1"/>
      <c r="L674" s="1"/>
      <c r="M674" s="59" t="s">
        <v>7</v>
      </c>
      <c r="N674" s="1"/>
      <c r="O674" s="1"/>
      <c r="P674" s="1"/>
      <c r="Q674" s="59" t="s">
        <v>7</v>
      </c>
      <c r="R674" s="59" t="s">
        <v>7</v>
      </c>
    </row>
    <row r="675" spans="1:20" ht="16.5" customHeight="1" thickBot="1" x14ac:dyDescent="0.35">
      <c r="A675" s="62" t="s">
        <v>57</v>
      </c>
      <c r="B675" s="100">
        <f>SUM(B672:B674)</f>
        <v>0</v>
      </c>
      <c r="C675" s="101">
        <f>SUM(C672:C674)</f>
        <v>0</v>
      </c>
      <c r="D675" s="101">
        <f>SUM(D672:D674)</f>
        <v>0</v>
      </c>
      <c r="E675" s="64">
        <f>SUM(B675:D675)</f>
        <v>0</v>
      </c>
      <c r="F675" s="101">
        <f>SUM(F672:F674)</f>
        <v>0</v>
      </c>
      <c r="G675" s="101">
        <f>SUM(G672:G674)</f>
        <v>0</v>
      </c>
      <c r="H675" s="101">
        <f>SUM(H672:H674)</f>
        <v>0</v>
      </c>
      <c r="I675" s="64">
        <f>SUM(F675:H675)</f>
        <v>0</v>
      </c>
      <c r="J675" s="101">
        <f>SUM(J672:J674)</f>
        <v>0</v>
      </c>
      <c r="K675" s="101">
        <f>SUM(K672:K674)</f>
        <v>0</v>
      </c>
      <c r="L675" s="101">
        <f>SUM(L672:L674)</f>
        <v>0</v>
      </c>
      <c r="M675" s="64">
        <f>SUM(J675:L675)</f>
        <v>0</v>
      </c>
      <c r="N675" s="101">
        <f>SUM(N672:N674)</f>
        <v>0</v>
      </c>
      <c r="O675" s="101">
        <f>SUM(O672:O674)</f>
        <v>0</v>
      </c>
      <c r="P675" s="101">
        <f>SUM(P672:P674)</f>
        <v>0</v>
      </c>
      <c r="Q675" s="64">
        <f>SUM(N675:P675)</f>
        <v>0</v>
      </c>
      <c r="R675" s="64">
        <f>+E675+I675+M675+Q675</f>
        <v>0</v>
      </c>
    </row>
    <row r="676" spans="1:20" ht="15.75" customHeight="1" x14ac:dyDescent="0.3">
      <c r="A676" s="17" t="s">
        <v>58</v>
      </c>
      <c r="B676" s="1"/>
      <c r="C676" s="1"/>
      <c r="D676" s="1"/>
      <c r="E676" s="59" t="s">
        <v>7</v>
      </c>
      <c r="F676" s="1"/>
      <c r="G676" s="1"/>
      <c r="H676" s="1"/>
      <c r="I676" s="59" t="s">
        <v>7</v>
      </c>
      <c r="J676" s="1"/>
      <c r="K676" s="1"/>
      <c r="L676" s="1"/>
      <c r="M676" s="59" t="s">
        <v>7</v>
      </c>
      <c r="N676" s="1"/>
      <c r="O676" s="1"/>
      <c r="P676" s="1"/>
      <c r="Q676" s="59" t="s">
        <v>7</v>
      </c>
      <c r="R676" s="59" t="s">
        <v>7</v>
      </c>
    </row>
    <row r="677" spans="1:20" ht="15.75" customHeight="1" x14ac:dyDescent="0.3">
      <c r="A677" s="17" t="s">
        <v>59</v>
      </c>
      <c r="B677" s="1"/>
      <c r="C677" s="1"/>
      <c r="D677" s="1"/>
      <c r="E677" s="59" t="s">
        <v>7</v>
      </c>
      <c r="F677" s="1"/>
      <c r="G677" s="1"/>
      <c r="H677" s="1"/>
      <c r="I677" s="59" t="s">
        <v>7</v>
      </c>
      <c r="J677" s="1"/>
      <c r="K677" s="1"/>
      <c r="L677" s="1"/>
      <c r="M677" s="59" t="s">
        <v>7</v>
      </c>
      <c r="N677" s="1"/>
      <c r="O677" s="1"/>
      <c r="P677" s="1"/>
      <c r="Q677" s="59" t="s">
        <v>7</v>
      </c>
      <c r="R677" s="59" t="s">
        <v>7</v>
      </c>
    </row>
    <row r="678" spans="1:20" ht="15.75" customHeight="1" x14ac:dyDescent="0.3">
      <c r="A678" s="74" t="s">
        <v>565</v>
      </c>
      <c r="B678" s="1">
        <v>500</v>
      </c>
      <c r="C678" s="1">
        <v>480</v>
      </c>
      <c r="D678" s="1">
        <v>1350</v>
      </c>
      <c r="E678" s="59">
        <f>SUM(B678:D678)</f>
        <v>2330</v>
      </c>
      <c r="F678" s="1">
        <v>1500</v>
      </c>
      <c r="G678" s="1">
        <v>1950</v>
      </c>
      <c r="H678" s="1">
        <v>1600</v>
      </c>
      <c r="I678" s="59">
        <f>SUM(F678:H678)</f>
        <v>5050</v>
      </c>
      <c r="J678" s="1">
        <v>2000</v>
      </c>
      <c r="K678" s="1">
        <v>1500</v>
      </c>
      <c r="L678" s="1">
        <v>1220</v>
      </c>
      <c r="M678" s="59">
        <f>SUM(J678:L678)</f>
        <v>4720</v>
      </c>
      <c r="N678" s="1">
        <v>400</v>
      </c>
      <c r="O678" s="1">
        <v>150</v>
      </c>
      <c r="P678" s="1">
        <v>150</v>
      </c>
      <c r="Q678" s="59">
        <f>SUM(N678:P678)</f>
        <v>700</v>
      </c>
      <c r="R678" s="59">
        <f>+E678+I678+M678+Q678</f>
        <v>12800</v>
      </c>
      <c r="T678" s="4" t="s">
        <v>566</v>
      </c>
    </row>
    <row r="679" spans="1:20" ht="15.75" customHeight="1" x14ac:dyDescent="0.3">
      <c r="A679" s="17" t="s">
        <v>60</v>
      </c>
      <c r="B679" s="1"/>
      <c r="C679" s="1"/>
      <c r="D679" s="1"/>
      <c r="E679" s="59" t="s">
        <v>7</v>
      </c>
      <c r="F679" s="1"/>
      <c r="G679" s="1"/>
      <c r="H679" s="1"/>
      <c r="I679" s="59" t="s">
        <v>7</v>
      </c>
      <c r="J679" s="1"/>
      <c r="K679" s="1"/>
      <c r="L679" s="1"/>
      <c r="M679" s="59" t="s">
        <v>7</v>
      </c>
      <c r="N679" s="1"/>
      <c r="O679" s="1"/>
      <c r="P679" s="1"/>
      <c r="Q679" s="59" t="s">
        <v>7</v>
      </c>
      <c r="R679" s="59" t="s">
        <v>7</v>
      </c>
    </row>
    <row r="680" spans="1:20" ht="15.75" customHeight="1" x14ac:dyDescent="0.3">
      <c r="A680" s="74" t="s">
        <v>567</v>
      </c>
      <c r="B680" s="1"/>
      <c r="C680" s="1"/>
      <c r="D680" s="1"/>
      <c r="E680" s="59">
        <f>SUM(B680:D680)</f>
        <v>0</v>
      </c>
      <c r="F680" s="1"/>
      <c r="G680" s="1"/>
      <c r="H680" s="1"/>
      <c r="I680" s="59">
        <f>SUM(F680:H680)</f>
        <v>0</v>
      </c>
      <c r="J680" s="1"/>
      <c r="K680" s="1"/>
      <c r="L680" s="1"/>
      <c r="M680" s="59">
        <f>SUM(J680:L680)</f>
        <v>0</v>
      </c>
      <c r="N680" s="1"/>
      <c r="O680" s="1"/>
      <c r="P680" s="1"/>
      <c r="Q680" s="59">
        <f>SUM(N680:P680)</f>
        <v>0</v>
      </c>
      <c r="R680" s="59">
        <f>+E680+I680+M680+Q680</f>
        <v>0</v>
      </c>
      <c r="T680" s="4" t="s">
        <v>568</v>
      </c>
    </row>
    <row r="681" spans="1:20" ht="15.75" customHeight="1" x14ac:dyDescent="0.3">
      <c r="A681" s="74" t="s">
        <v>569</v>
      </c>
      <c r="B681" s="1">
        <v>77</v>
      </c>
      <c r="C681" s="1">
        <v>77</v>
      </c>
      <c r="D681" s="1">
        <v>77</v>
      </c>
      <c r="E681" s="59">
        <f>SUM(B681:D681)</f>
        <v>231</v>
      </c>
      <c r="F681" s="1">
        <v>77</v>
      </c>
      <c r="G681" s="1">
        <v>77</v>
      </c>
      <c r="H681" s="1">
        <v>77</v>
      </c>
      <c r="I681" s="59">
        <f>SUM(F681:H681)</f>
        <v>231</v>
      </c>
      <c r="J681" s="1">
        <v>77</v>
      </c>
      <c r="K681" s="1">
        <v>77</v>
      </c>
      <c r="L681" s="1">
        <v>77</v>
      </c>
      <c r="M681" s="59">
        <f>SUM(J681:L681)</f>
        <v>231</v>
      </c>
      <c r="N681" s="1"/>
      <c r="O681" s="1"/>
      <c r="P681" s="1">
        <v>77</v>
      </c>
      <c r="Q681" s="59">
        <f>SUM(N681:P681)</f>
        <v>77</v>
      </c>
      <c r="R681" s="59">
        <f>+E681+I681+M681+Q681</f>
        <v>770</v>
      </c>
      <c r="T681" s="4" t="s">
        <v>568</v>
      </c>
    </row>
    <row r="682" spans="1:20" ht="15.75" customHeight="1" x14ac:dyDescent="0.3">
      <c r="A682" s="74" t="s">
        <v>570</v>
      </c>
      <c r="B682" s="1">
        <v>223</v>
      </c>
      <c r="C682" s="1">
        <v>223</v>
      </c>
      <c r="D682" s="1">
        <v>223</v>
      </c>
      <c r="E682" s="59">
        <f>SUM(B682:D682)</f>
        <v>669</v>
      </c>
      <c r="F682" s="1">
        <v>223</v>
      </c>
      <c r="G682" s="1">
        <v>223</v>
      </c>
      <c r="H682" s="1">
        <v>223</v>
      </c>
      <c r="I682" s="59">
        <f>SUM(F682:H682)</f>
        <v>669</v>
      </c>
      <c r="J682" s="1">
        <v>223</v>
      </c>
      <c r="K682" s="1">
        <v>223</v>
      </c>
      <c r="L682" s="1">
        <v>223</v>
      </c>
      <c r="M682" s="59">
        <f>SUM(J682:L682)</f>
        <v>669</v>
      </c>
      <c r="N682" s="1"/>
      <c r="O682" s="1"/>
      <c r="P682" s="1">
        <v>223</v>
      </c>
      <c r="Q682" s="59">
        <f>SUM(N682:P682)</f>
        <v>223</v>
      </c>
      <c r="R682" s="59">
        <f>+E682+I682+M682+Q682</f>
        <v>2230</v>
      </c>
      <c r="T682" s="4" t="s">
        <v>568</v>
      </c>
    </row>
    <row r="683" spans="1:20" ht="15.75" customHeight="1" thickBot="1" x14ac:dyDescent="0.35">
      <c r="A683" s="74" t="s">
        <v>576</v>
      </c>
      <c r="B683" s="1"/>
      <c r="C683" s="1"/>
      <c r="D683" s="1"/>
      <c r="E683" s="59">
        <f>SUM(B683:D683)</f>
        <v>0</v>
      </c>
      <c r="F683" s="1"/>
      <c r="G683" s="1"/>
      <c r="H683" s="1"/>
      <c r="I683" s="59">
        <f>SUM(F683:H683)</f>
        <v>0</v>
      </c>
      <c r="J683" s="1"/>
      <c r="K683" s="1"/>
      <c r="L683" s="1"/>
      <c r="M683" s="59">
        <f>SUM(J683:L683)</f>
        <v>0</v>
      </c>
      <c r="N683" s="1"/>
      <c r="O683" s="1"/>
      <c r="P683" s="1"/>
      <c r="Q683" s="59">
        <f>SUM(N683:P683)</f>
        <v>0</v>
      </c>
      <c r="R683" s="59">
        <f>+E683+I683+M683+Q683</f>
        <v>0</v>
      </c>
      <c r="T683" s="4" t="s">
        <v>568</v>
      </c>
    </row>
    <row r="684" spans="1:20" ht="16.5" customHeight="1" thickBot="1" x14ac:dyDescent="0.35">
      <c r="A684" s="62" t="s">
        <v>61</v>
      </c>
      <c r="B684" s="100">
        <f>SUM(B676:B683)</f>
        <v>800</v>
      </c>
      <c r="C684" s="101">
        <f>SUM(C676:C683)</f>
        <v>780</v>
      </c>
      <c r="D684" s="101">
        <f>SUM(D676:D683)</f>
        <v>1650</v>
      </c>
      <c r="E684" s="64">
        <f>SUM(B684:D684)</f>
        <v>3230</v>
      </c>
      <c r="F684" s="101">
        <f>SUM(F676:F683)</f>
        <v>1800</v>
      </c>
      <c r="G684" s="101">
        <f>SUM(G676:G683)</f>
        <v>2250</v>
      </c>
      <c r="H684" s="101">
        <f>SUM(H676:H683)</f>
        <v>1900</v>
      </c>
      <c r="I684" s="64">
        <f>SUM(F684:H684)</f>
        <v>5950</v>
      </c>
      <c r="J684" s="101">
        <f>SUM(J676:J683)</f>
        <v>2300</v>
      </c>
      <c r="K684" s="101">
        <f>SUM(K676:K683)</f>
        <v>1800</v>
      </c>
      <c r="L684" s="101">
        <f>SUM(L676:L683)</f>
        <v>1520</v>
      </c>
      <c r="M684" s="64">
        <f>SUM(J684:L684)</f>
        <v>5620</v>
      </c>
      <c r="N684" s="101">
        <f>SUM(N676:N683)</f>
        <v>400</v>
      </c>
      <c r="O684" s="101">
        <f>SUM(O676:O683)</f>
        <v>150</v>
      </c>
      <c r="P684" s="101">
        <f>SUM(P676:P683)</f>
        <v>450</v>
      </c>
      <c r="Q684" s="64">
        <f>SUM(N684:P684)</f>
        <v>1000</v>
      </c>
      <c r="R684" s="138">
        <f>+E684+I684+M684+Q684</f>
        <v>15800</v>
      </c>
    </row>
    <row r="685" spans="1:20" ht="15.75" customHeight="1" x14ac:dyDescent="0.3">
      <c r="A685" s="17" t="s">
        <v>62</v>
      </c>
      <c r="B685" s="1"/>
      <c r="C685" s="1"/>
      <c r="D685" s="1"/>
      <c r="E685" s="59" t="s">
        <v>7</v>
      </c>
      <c r="F685" s="1"/>
      <c r="G685" s="1"/>
      <c r="H685" s="1"/>
      <c r="I685" s="59" t="s">
        <v>7</v>
      </c>
      <c r="J685" s="1"/>
      <c r="K685" s="1"/>
      <c r="L685" s="1"/>
      <c r="M685" s="59" t="s">
        <v>7</v>
      </c>
      <c r="N685" s="1"/>
      <c r="O685" s="1"/>
      <c r="P685" s="1"/>
      <c r="Q685" s="59" t="s">
        <v>7</v>
      </c>
      <c r="R685" s="59" t="s">
        <v>7</v>
      </c>
    </row>
    <row r="686" spans="1:20" ht="15.75" customHeight="1" x14ac:dyDescent="0.3">
      <c r="A686" s="17" t="s">
        <v>63</v>
      </c>
      <c r="B686" s="1"/>
      <c r="C686" s="1"/>
      <c r="D686" s="1"/>
      <c r="E686" s="59" t="s">
        <v>7</v>
      </c>
      <c r="F686" s="1"/>
      <c r="G686" s="1"/>
      <c r="H686" s="1"/>
      <c r="I686" s="59" t="s">
        <v>7</v>
      </c>
      <c r="J686" s="1"/>
      <c r="K686" s="1"/>
      <c r="L686" s="1"/>
      <c r="M686" s="59" t="s">
        <v>7</v>
      </c>
      <c r="N686" s="1"/>
      <c r="O686" s="1"/>
      <c r="P686" s="1"/>
      <c r="Q686" s="59" t="s">
        <v>7</v>
      </c>
      <c r="R686" s="59" t="s">
        <v>7</v>
      </c>
    </row>
    <row r="687" spans="1:20" ht="15.75" customHeight="1" x14ac:dyDescent="0.3">
      <c r="A687" s="17" t="s">
        <v>64</v>
      </c>
      <c r="B687" s="1"/>
      <c r="C687" s="1"/>
      <c r="D687" s="1"/>
      <c r="E687" s="59" t="s">
        <v>7</v>
      </c>
      <c r="F687" s="1"/>
      <c r="G687" s="1"/>
      <c r="H687" s="1"/>
      <c r="I687" s="59" t="s">
        <v>7</v>
      </c>
      <c r="J687" s="1"/>
      <c r="K687" s="1"/>
      <c r="L687" s="1"/>
      <c r="M687" s="59" t="s">
        <v>7</v>
      </c>
      <c r="N687" s="1"/>
      <c r="O687" s="1"/>
      <c r="P687" s="1"/>
      <c r="Q687" s="59" t="s">
        <v>7</v>
      </c>
      <c r="R687" s="59" t="s">
        <v>7</v>
      </c>
    </row>
    <row r="688" spans="1:20" ht="15.75" customHeight="1" x14ac:dyDescent="0.3">
      <c r="A688" s="74" t="s">
        <v>577</v>
      </c>
      <c r="B688" s="1"/>
      <c r="C688" s="1"/>
      <c r="D688" s="1"/>
      <c r="E688" s="59">
        <f>SUM(B688:D688)</f>
        <v>0</v>
      </c>
      <c r="F688" s="1"/>
      <c r="G688" s="1"/>
      <c r="H688" s="1"/>
      <c r="I688" s="59">
        <f>SUM(F688:H688)</f>
        <v>0</v>
      </c>
      <c r="J688" s="1"/>
      <c r="K688" s="1"/>
      <c r="L688" s="1"/>
      <c r="M688" s="59">
        <f>SUM(J688:L688)</f>
        <v>0</v>
      </c>
      <c r="N688" s="1"/>
      <c r="O688" s="1"/>
      <c r="P688" s="1"/>
      <c r="Q688" s="59">
        <f>SUM(N688:P688)</f>
        <v>0</v>
      </c>
      <c r="R688" s="59">
        <f>+E688+I688+M688+Q688</f>
        <v>0</v>
      </c>
    </row>
    <row r="689" spans="1:18" ht="15.75" customHeight="1" x14ac:dyDescent="0.3">
      <c r="A689" s="74" t="s">
        <v>578</v>
      </c>
      <c r="B689" s="1"/>
      <c r="C689" s="1"/>
      <c r="D689" s="1"/>
      <c r="E689" s="59">
        <f>SUM(B689:D689)</f>
        <v>0</v>
      </c>
      <c r="F689" s="1"/>
      <c r="G689" s="1"/>
      <c r="H689" s="1"/>
      <c r="I689" s="59">
        <f>SUM(F689:H689)</f>
        <v>0</v>
      </c>
      <c r="J689" s="1"/>
      <c r="K689" s="1"/>
      <c r="L689" s="1"/>
      <c r="M689" s="59">
        <f>SUM(J689:L689)</f>
        <v>0</v>
      </c>
      <c r="N689" s="1"/>
      <c r="O689" s="1"/>
      <c r="P689" s="1"/>
      <c r="Q689" s="59">
        <f>SUM(N689:P689)</f>
        <v>0</v>
      </c>
      <c r="R689" s="59">
        <f>+E689+I689+M689+Q689</f>
        <v>0</v>
      </c>
    </row>
    <row r="690" spans="1:18" ht="15.75" customHeight="1" x14ac:dyDescent="0.3">
      <c r="A690" s="74" t="s">
        <v>579</v>
      </c>
      <c r="B690" s="1"/>
      <c r="C690" s="1"/>
      <c r="D690" s="1"/>
      <c r="E690" s="59">
        <f>SUM(B690:D690)</f>
        <v>0</v>
      </c>
      <c r="F690" s="1"/>
      <c r="G690" s="1"/>
      <c r="H690" s="1"/>
      <c r="I690" s="59">
        <f>SUM(F690:H690)</f>
        <v>0</v>
      </c>
      <c r="J690" s="1"/>
      <c r="K690" s="1"/>
      <c r="L690" s="1"/>
      <c r="M690" s="59">
        <f>SUM(J690:L690)</f>
        <v>0</v>
      </c>
      <c r="N690" s="1"/>
      <c r="O690" s="1"/>
      <c r="P690" s="1"/>
      <c r="Q690" s="59">
        <f>SUM(N690:P690)</f>
        <v>0</v>
      </c>
      <c r="R690" s="59">
        <f>+E690+I690+M690+Q690</f>
        <v>0</v>
      </c>
    </row>
    <row r="691" spans="1:18" ht="15.75" customHeight="1" x14ac:dyDescent="0.3">
      <c r="A691" s="74" t="s">
        <v>580</v>
      </c>
      <c r="B691" s="1"/>
      <c r="C691" s="1"/>
      <c r="D691" s="1"/>
      <c r="E691" s="59">
        <f>SUM(B691:D691)</f>
        <v>0</v>
      </c>
      <c r="F691" s="1"/>
      <c r="G691" s="1"/>
      <c r="H691" s="1"/>
      <c r="I691" s="59">
        <f>SUM(F691:H691)</f>
        <v>0</v>
      </c>
      <c r="J691" s="1"/>
      <c r="K691" s="1"/>
      <c r="L691" s="1"/>
      <c r="M691" s="59">
        <f>SUM(J691:L691)</f>
        <v>0</v>
      </c>
      <c r="N691" s="1"/>
      <c r="O691" s="1"/>
      <c r="P691" s="1"/>
      <c r="Q691" s="59">
        <f>SUM(N691:P691)</f>
        <v>0</v>
      </c>
      <c r="R691" s="59">
        <f>+E691+I691+M691+Q691</f>
        <v>0</v>
      </c>
    </row>
    <row r="692" spans="1:18" ht="15.75" customHeight="1" x14ac:dyDescent="0.3">
      <c r="A692" s="17" t="s">
        <v>66</v>
      </c>
      <c r="B692" s="1"/>
      <c r="C692" s="1"/>
      <c r="D692" s="1"/>
      <c r="E692" s="59" t="s">
        <v>7</v>
      </c>
      <c r="F692" s="1"/>
      <c r="G692" s="1"/>
      <c r="H692" s="1"/>
      <c r="I692" s="59" t="s">
        <v>7</v>
      </c>
      <c r="J692" s="1"/>
      <c r="K692" s="1"/>
      <c r="L692" s="1"/>
      <c r="M692" s="59" t="s">
        <v>7</v>
      </c>
      <c r="N692" s="1"/>
      <c r="O692" s="1"/>
      <c r="P692" s="1"/>
      <c r="Q692" s="59" t="s">
        <v>7</v>
      </c>
      <c r="R692" s="59" t="s">
        <v>7</v>
      </c>
    </row>
    <row r="693" spans="1:18" ht="15.75" customHeight="1" thickBot="1" x14ac:dyDescent="0.35">
      <c r="A693" s="17" t="s">
        <v>67</v>
      </c>
      <c r="B693" s="1"/>
      <c r="C693" s="1"/>
      <c r="D693" s="1"/>
      <c r="E693" s="59" t="s">
        <v>7</v>
      </c>
      <c r="F693" s="1"/>
      <c r="G693" s="1"/>
      <c r="H693" s="1"/>
      <c r="I693" s="59" t="s">
        <v>7</v>
      </c>
      <c r="J693" s="1"/>
      <c r="K693" s="1"/>
      <c r="L693" s="1"/>
      <c r="M693" s="59" t="s">
        <v>7</v>
      </c>
      <c r="N693" s="1"/>
      <c r="O693" s="1"/>
      <c r="P693" s="1"/>
      <c r="Q693" s="59" t="s">
        <v>7</v>
      </c>
      <c r="R693" s="59" t="s">
        <v>7</v>
      </c>
    </row>
    <row r="694" spans="1:18" ht="16.5" customHeight="1" thickBot="1" x14ac:dyDescent="0.35">
      <c r="A694" s="62" t="s">
        <v>68</v>
      </c>
      <c r="B694" s="63">
        <f>SUM(B692:B693)</f>
        <v>0</v>
      </c>
      <c r="C694" s="63">
        <f>SUM(C692:C693)</f>
        <v>0</v>
      </c>
      <c r="D694" s="63">
        <f>SUM(D692:D693)</f>
        <v>0</v>
      </c>
      <c r="E694" s="65">
        <f>SUM(B694:D694)</f>
        <v>0</v>
      </c>
      <c r="F694" s="63">
        <f>SUM(F692:F693)</f>
        <v>0</v>
      </c>
      <c r="G694" s="63">
        <f>SUM(G692:G693)</f>
        <v>0</v>
      </c>
      <c r="H694" s="63">
        <f>SUM(H692:H693)</f>
        <v>0</v>
      </c>
      <c r="I694" s="65">
        <f>SUM(F694:H694)</f>
        <v>0</v>
      </c>
      <c r="J694" s="63">
        <f>SUM(J692:J693)</f>
        <v>0</v>
      </c>
      <c r="K694" s="63">
        <f>SUM(K692:K693)</f>
        <v>0</v>
      </c>
      <c r="L694" s="63">
        <f>SUM(L692:L693)</f>
        <v>0</v>
      </c>
      <c r="M694" s="65">
        <f>SUM(J694:L694)</f>
        <v>0</v>
      </c>
      <c r="N694" s="63">
        <f>SUM(N692:N693)</f>
        <v>0</v>
      </c>
      <c r="O694" s="63">
        <f>SUM(O692:O693)</f>
        <v>0</v>
      </c>
      <c r="P694" s="63">
        <f>SUM(P692:P693)</f>
        <v>0</v>
      </c>
      <c r="Q694" s="65">
        <f>SUM(N694:P694)</f>
        <v>0</v>
      </c>
      <c r="R694" s="64">
        <f>+E694+I694+M694+Q694</f>
        <v>0</v>
      </c>
    </row>
    <row r="695" spans="1:18" ht="16.5" customHeight="1" thickBot="1" x14ac:dyDescent="0.35">
      <c r="A695" s="137" t="s">
        <v>69</v>
      </c>
      <c r="B695" s="100">
        <f>SUM(B685:B693)</f>
        <v>0</v>
      </c>
      <c r="C695" s="101">
        <f>SUM(C685:C693)</f>
        <v>0</v>
      </c>
      <c r="D695" s="138">
        <f>SUM(D685:D693)</f>
        <v>0</v>
      </c>
      <c r="E695" s="65">
        <f>SUM(B695:D695)</f>
        <v>0</v>
      </c>
      <c r="F695" s="101">
        <f>SUM(F685:F693)</f>
        <v>0</v>
      </c>
      <c r="G695" s="101">
        <f>SUM(G685:G693)</f>
        <v>0</v>
      </c>
      <c r="H695" s="101">
        <f>SUM(H685:H693)</f>
        <v>0</v>
      </c>
      <c r="I695" s="65">
        <f>SUM(F695:H695)</f>
        <v>0</v>
      </c>
      <c r="J695" s="101">
        <f>SUM(J685:J693)</f>
        <v>0</v>
      </c>
      <c r="K695" s="101">
        <f>SUM(K685:K693)</f>
        <v>0</v>
      </c>
      <c r="L695" s="101">
        <f>SUM(L685:L693)</f>
        <v>0</v>
      </c>
      <c r="M695" s="65">
        <f>SUM(J695:L695)</f>
        <v>0</v>
      </c>
      <c r="N695" s="101">
        <f>SUM(N685:N693)</f>
        <v>0</v>
      </c>
      <c r="O695" s="101">
        <f>SUM(O685:O693)</f>
        <v>0</v>
      </c>
      <c r="P695" s="101">
        <f>SUM(P685:P693)</f>
        <v>0</v>
      </c>
      <c r="Q695" s="65">
        <f>SUM(N695:P695)</f>
        <v>0</v>
      </c>
      <c r="R695" s="64">
        <f>+E695+I695+M695+Q695</f>
        <v>0</v>
      </c>
    </row>
    <row r="696" spans="1:18" ht="16.5" customHeight="1" thickBot="1" x14ac:dyDescent="0.35">
      <c r="A696" s="62" t="s">
        <v>70</v>
      </c>
      <c r="B696" s="107">
        <f>+B671+B675+B684+B695</f>
        <v>10159</v>
      </c>
      <c r="C696" s="63">
        <f>+C671+C675+C684+C695</f>
        <v>10130</v>
      </c>
      <c r="D696" s="63">
        <f>+D671+D675+D684+D695</f>
        <v>14450</v>
      </c>
      <c r="E696" s="64">
        <f>SUM(B696:D696)</f>
        <v>34739</v>
      </c>
      <c r="F696" s="63">
        <f>+F671+F675+F684+F695</f>
        <v>14150</v>
      </c>
      <c r="G696" s="63">
        <f>+G671+G675+G684+G695</f>
        <v>15600</v>
      </c>
      <c r="H696" s="63">
        <f>+H671+H675+H684+H695</f>
        <v>14850</v>
      </c>
      <c r="I696" s="64">
        <f>SUM(F696:H696)</f>
        <v>44600</v>
      </c>
      <c r="J696" s="63">
        <f>+J671+J675+J684+J695</f>
        <v>15800</v>
      </c>
      <c r="K696" s="63">
        <f>+K671+K675+K684+K695</f>
        <v>14650</v>
      </c>
      <c r="L696" s="63">
        <f>+L671+L675+L684+L695</f>
        <v>13190</v>
      </c>
      <c r="M696" s="64">
        <f>SUM(J696:L696)</f>
        <v>43640</v>
      </c>
      <c r="N696" s="63">
        <f>+N671+N675+N684+N695</f>
        <v>3200</v>
      </c>
      <c r="O696" s="63">
        <f>+O671+O675+O684+O695</f>
        <v>4241</v>
      </c>
      <c r="P696" s="63">
        <f>+P671+P675+P684+P695</f>
        <v>4635</v>
      </c>
      <c r="Q696" s="64">
        <f>SUM(N696:P696)</f>
        <v>12076</v>
      </c>
      <c r="R696" s="88">
        <f>+E696+I696+M696+Q696</f>
        <v>135055</v>
      </c>
    </row>
    <row r="697" spans="1:18" ht="16.5" customHeight="1" thickBot="1" x14ac:dyDescent="0.35">
      <c r="A697" s="66" t="s">
        <v>37</v>
      </c>
      <c r="B697" s="25">
        <v>22</v>
      </c>
      <c r="C697" s="25">
        <v>24</v>
      </c>
      <c r="D697" s="25">
        <v>31</v>
      </c>
      <c r="E697" s="64">
        <f>SUM(B697:D697)</f>
        <v>77</v>
      </c>
      <c r="F697" s="25">
        <v>40</v>
      </c>
      <c r="G697" s="25">
        <v>45</v>
      </c>
      <c r="H697" s="25">
        <v>48</v>
      </c>
      <c r="I697" s="64">
        <f>SUM(F697:H697)</f>
        <v>133</v>
      </c>
      <c r="J697" s="25">
        <v>42</v>
      </c>
      <c r="K697" s="25">
        <v>39</v>
      </c>
      <c r="L697" s="25">
        <v>38</v>
      </c>
      <c r="M697" s="64">
        <f>SUM(J697:L697)</f>
        <v>119</v>
      </c>
      <c r="N697" s="25">
        <v>32</v>
      </c>
      <c r="O697" s="25">
        <v>25</v>
      </c>
      <c r="P697" s="25">
        <v>21</v>
      </c>
      <c r="Q697" s="64">
        <f>SUM(N697:P697)</f>
        <v>78</v>
      </c>
      <c r="R697" s="65">
        <f>+E697+I697+M697+Q697</f>
        <v>407</v>
      </c>
    </row>
    <row r="698" spans="1:18" ht="16.5" customHeight="1" thickBot="1" x14ac:dyDescent="0.35">
      <c r="A698" s="42"/>
      <c r="B698" s="37"/>
      <c r="C698" s="37"/>
      <c r="D698" s="37"/>
      <c r="E698" s="16"/>
      <c r="F698" s="37"/>
      <c r="G698" s="37"/>
      <c r="H698" s="37"/>
      <c r="I698" s="16"/>
      <c r="J698" s="37"/>
      <c r="K698" s="37"/>
      <c r="L698" s="37"/>
      <c r="M698" s="16"/>
      <c r="N698" s="37"/>
      <c r="O698" s="37"/>
      <c r="P698" s="37"/>
      <c r="Q698" s="16"/>
      <c r="R698" s="43"/>
    </row>
    <row r="699" spans="1:18" ht="15.75" customHeight="1" x14ac:dyDescent="0.3">
      <c r="A699" s="17" t="s">
        <v>507</v>
      </c>
      <c r="B699" s="1">
        <f>+SUM(B696:B697)</f>
        <v>10181</v>
      </c>
      <c r="C699" s="1">
        <f>+SUM(C696:C697)</f>
        <v>10154</v>
      </c>
      <c r="D699" s="1">
        <f>+SUM(D696:D697)</f>
        <v>14481</v>
      </c>
      <c r="E699" s="65">
        <f>SUM(B699:D699)</f>
        <v>34816</v>
      </c>
      <c r="F699" s="1">
        <f>+SUM(F696:F697)</f>
        <v>14190</v>
      </c>
      <c r="G699" s="1">
        <f>+SUM(G696:G697)</f>
        <v>15645</v>
      </c>
      <c r="H699" s="1">
        <f>+SUM(H696:H697)</f>
        <v>14898</v>
      </c>
      <c r="I699" s="65">
        <f>SUM(F699:H699)</f>
        <v>44733</v>
      </c>
      <c r="J699" s="1">
        <f>+SUM(J696:J697)</f>
        <v>15842</v>
      </c>
      <c r="K699" s="1">
        <f>+SUM(K696:K697)</f>
        <v>14689</v>
      </c>
      <c r="L699" s="1">
        <f>+SUM(L696:L697)</f>
        <v>13228</v>
      </c>
      <c r="M699" s="65">
        <f>SUM(J699:L699)</f>
        <v>43759</v>
      </c>
      <c r="N699" s="1">
        <f>+SUM(N696:N697)</f>
        <v>3232</v>
      </c>
      <c r="O699" s="1">
        <f>+SUM(O696:O697)</f>
        <v>4266</v>
      </c>
      <c r="P699" s="1">
        <f>+SUM(P696:P697)</f>
        <v>4656</v>
      </c>
      <c r="Q699" s="65">
        <f>SUM(N699:P699)</f>
        <v>12154</v>
      </c>
      <c r="R699" s="65">
        <f>+E699+I699+M699+Q699</f>
        <v>135462</v>
      </c>
    </row>
    <row r="700" spans="1:18" ht="15.75" customHeight="1" x14ac:dyDescent="0.3">
      <c r="A700" s="17" t="s">
        <v>39</v>
      </c>
      <c r="B700" s="1">
        <f>(B699/B10)/1.983</f>
        <v>165.61742553641437</v>
      </c>
      <c r="C700" s="1">
        <f>(C699/C10)/1.983</f>
        <v>182.8758734961458</v>
      </c>
      <c r="D700" s="1">
        <f>(D699/D10)/1.983</f>
        <v>235.56683421990141</v>
      </c>
      <c r="E700" s="59" t="s">
        <v>7</v>
      </c>
      <c r="F700" s="1">
        <f>(F699/F10)/1.983</f>
        <v>238.52748361069087</v>
      </c>
      <c r="G700" s="1">
        <f>(G699/G10)/1.983</f>
        <v>254.50197647747791</v>
      </c>
      <c r="H700" s="1">
        <f>(H699/H10)/1.983</f>
        <v>250.42864346949068</v>
      </c>
      <c r="I700" s="59" t="s">
        <v>7</v>
      </c>
      <c r="J700" s="1">
        <f>(J699/J10)/1.983</f>
        <v>257.70663543344233</v>
      </c>
      <c r="K700" s="1">
        <f>(K699/K10)/1.983</f>
        <v>238.95043352366076</v>
      </c>
      <c r="L700" s="1">
        <f>(L699/L10)/1.983</f>
        <v>222.35669860480752</v>
      </c>
      <c r="M700" s="59" t="s">
        <v>7</v>
      </c>
      <c r="N700" s="1">
        <f>(N699/N10)/1.983</f>
        <v>52.575927643030276</v>
      </c>
      <c r="O700" s="1">
        <f>(O699/O10)/1.983</f>
        <v>71.709531013615731</v>
      </c>
      <c r="P700" s="1">
        <f>(P699/P10)/1.983</f>
        <v>75.740569030305977</v>
      </c>
      <c r="Q700" s="59" t="s">
        <v>7</v>
      </c>
      <c r="R700" s="59" t="s">
        <v>7</v>
      </c>
    </row>
    <row r="701" spans="1:18" ht="15.75" customHeight="1" x14ac:dyDescent="0.3">
      <c r="A701" s="17" t="s">
        <v>581</v>
      </c>
      <c r="B701" s="1">
        <f>B699+B711</f>
        <v>13569</v>
      </c>
      <c r="C701" s="1">
        <f>C699+C711</f>
        <v>15051</v>
      </c>
      <c r="D701" s="1">
        <f>D699+D711</f>
        <v>18917</v>
      </c>
      <c r="E701" s="59">
        <f>SUM(B701:D701)</f>
        <v>47537</v>
      </c>
      <c r="F701" s="1">
        <f>F699+F711</f>
        <v>18626</v>
      </c>
      <c r="G701" s="1">
        <f>G699+G711</f>
        <v>20970</v>
      </c>
      <c r="H701" s="1">
        <f>H699+H711</f>
        <v>19466</v>
      </c>
      <c r="I701" s="59">
        <f>SUM(F701:H701)</f>
        <v>59062</v>
      </c>
      <c r="J701" s="1">
        <f>J699+J711</f>
        <v>20058</v>
      </c>
      <c r="K701" s="1">
        <f>K699+K711</f>
        <v>18845</v>
      </c>
      <c r="L701" s="1">
        <f>L699+L711</f>
        <v>17731</v>
      </c>
      <c r="M701" s="59">
        <f>SUM(J701:L701)</f>
        <v>56634</v>
      </c>
      <c r="N701" s="1">
        <f>N699+N711</f>
        <v>5524</v>
      </c>
      <c r="O701" s="1">
        <f>O699+O711</f>
        <v>5605</v>
      </c>
      <c r="P701" s="1">
        <f>P699+P711</f>
        <v>5854</v>
      </c>
      <c r="Q701" s="59">
        <f>SUM(N701:P701)</f>
        <v>16983</v>
      </c>
      <c r="R701" s="59">
        <f>+E701+I701+M701+Q701</f>
        <v>180216</v>
      </c>
    </row>
    <row r="702" spans="1:18" ht="16.5" customHeight="1" thickBot="1" x14ac:dyDescent="0.35">
      <c r="A702" s="24" t="s">
        <v>582</v>
      </c>
      <c r="B702" s="25">
        <f>(B701/B10)/1.983</f>
        <v>220.73105265726414</v>
      </c>
      <c r="C702" s="25">
        <f>(C701/C10)/1.983</f>
        <v>271.07196887832288</v>
      </c>
      <c r="D702" s="25">
        <f>(D701/D10)/1.983</f>
        <v>307.72859629430809</v>
      </c>
      <c r="E702" s="88" t="s">
        <v>7</v>
      </c>
      <c r="F702" s="25">
        <f>(F701/F10)/1.983</f>
        <v>313.09463775424439</v>
      </c>
      <c r="G702" s="25">
        <f>(G701/G10)/1.983</f>
        <v>341.12537211458692</v>
      </c>
      <c r="H702" s="25">
        <f>(H701/H10)/1.983</f>
        <v>327.21465792570177</v>
      </c>
      <c r="I702" s="88" t="s">
        <v>7</v>
      </c>
      <c r="J702" s="25">
        <f>(J701/J10)/1.983</f>
        <v>326.28959055194963</v>
      </c>
      <c r="K702" s="25">
        <f>(K701/K10)/1.983</f>
        <v>306.55735038146827</v>
      </c>
      <c r="L702" s="25">
        <f>(L701/L10)/1.983</f>
        <v>298.05009245251301</v>
      </c>
      <c r="M702" s="88" t="s">
        <v>7</v>
      </c>
      <c r="N702" s="25">
        <f>(N701/N10)/1.983</f>
        <v>89.860589201763375</v>
      </c>
      <c r="O702" s="25">
        <f>(O701/O10)/1.983</f>
        <v>94.217515548831742</v>
      </c>
      <c r="P702" s="25">
        <f>(P701/P10)/1.983</f>
        <v>95.228799635612376</v>
      </c>
      <c r="Q702" s="88" t="s">
        <v>7</v>
      </c>
      <c r="R702" s="88" t="s">
        <v>7</v>
      </c>
    </row>
    <row r="703" spans="1:18" ht="15.75" customHeight="1" x14ac:dyDescent="0.3">
      <c r="A703" s="28"/>
      <c r="B703" s="1"/>
      <c r="C703" s="1"/>
      <c r="D703" s="1"/>
      <c r="E703" s="1"/>
      <c r="F703" s="1"/>
      <c r="G703" s="1"/>
      <c r="H703" s="1"/>
      <c r="I703" s="1"/>
      <c r="J703" s="1"/>
      <c r="K703" s="1"/>
      <c r="L703" s="1"/>
      <c r="M703" s="1"/>
      <c r="N703" s="1"/>
      <c r="O703" s="1"/>
      <c r="P703" s="1"/>
      <c r="Q703" s="1"/>
      <c r="R703" s="28"/>
    </row>
    <row r="704" spans="1:18" ht="15.75" customHeight="1" thickBot="1" x14ac:dyDescent="0.35">
      <c r="A704" s="28"/>
      <c r="B704" s="1"/>
      <c r="C704" s="1"/>
      <c r="D704" s="1"/>
      <c r="E704" s="1"/>
      <c r="F704" s="1"/>
      <c r="G704" s="1"/>
      <c r="H704" s="1"/>
      <c r="I704" s="1"/>
      <c r="J704" s="1"/>
      <c r="K704" s="1"/>
      <c r="L704" s="1"/>
      <c r="M704" s="1"/>
      <c r="N704" s="1"/>
      <c r="O704" s="1"/>
      <c r="P704" s="1"/>
      <c r="Q704" s="1"/>
      <c r="R704" s="28"/>
    </row>
    <row r="705" spans="1:18" ht="16.5" customHeight="1" thickBot="1" x14ac:dyDescent="0.35">
      <c r="A705" s="145" t="s">
        <v>583</v>
      </c>
      <c r="B705" s="32" t="s">
        <v>36</v>
      </c>
      <c r="C705" s="33" t="s">
        <v>9</v>
      </c>
      <c r="D705" s="33" t="s">
        <v>10</v>
      </c>
      <c r="E705" s="12" t="s">
        <v>11</v>
      </c>
      <c r="F705" s="33" t="s">
        <v>12</v>
      </c>
      <c r="G705" s="33" t="s">
        <v>13</v>
      </c>
      <c r="H705" s="33" t="s">
        <v>14</v>
      </c>
      <c r="I705" s="34" t="s">
        <v>15</v>
      </c>
      <c r="J705" s="33" t="s">
        <v>16</v>
      </c>
      <c r="K705" s="33" t="s">
        <v>17</v>
      </c>
      <c r="L705" s="33" t="s">
        <v>18</v>
      </c>
      <c r="M705" s="34" t="s">
        <v>19</v>
      </c>
      <c r="N705" s="33" t="s">
        <v>20</v>
      </c>
      <c r="O705" s="33" t="s">
        <v>21</v>
      </c>
      <c r="P705" s="33" t="s">
        <v>22</v>
      </c>
      <c r="Q705" s="34" t="s">
        <v>23</v>
      </c>
      <c r="R705" s="35" t="s">
        <v>24</v>
      </c>
    </row>
    <row r="706" spans="1:18" ht="16.5" customHeight="1" thickBot="1" x14ac:dyDescent="0.35">
      <c r="A706" s="42"/>
      <c r="B706" s="37"/>
      <c r="C706" s="37"/>
      <c r="D706" s="37"/>
      <c r="E706" s="38"/>
      <c r="F706" s="37"/>
      <c r="G706" s="37"/>
      <c r="H706" s="37"/>
      <c r="I706" s="38"/>
      <c r="J706" s="37"/>
      <c r="K706" s="37"/>
      <c r="L706" s="37"/>
      <c r="M706" s="38"/>
      <c r="N706" s="37"/>
      <c r="O706" s="37"/>
      <c r="P706" s="37"/>
      <c r="Q706" s="38"/>
      <c r="R706" s="42"/>
    </row>
    <row r="707" spans="1:18" ht="16.5" customHeight="1" thickBot="1" x14ac:dyDescent="0.35">
      <c r="A707" s="40" t="s">
        <v>37</v>
      </c>
      <c r="B707" s="25">
        <v>2</v>
      </c>
      <c r="C707" s="25">
        <v>3</v>
      </c>
      <c r="D707" s="25">
        <v>5</v>
      </c>
      <c r="E707" s="59">
        <f>SUM(B707:D707)</f>
        <v>10</v>
      </c>
      <c r="F707" s="25">
        <v>7</v>
      </c>
      <c r="G707" s="25">
        <v>8</v>
      </c>
      <c r="H707" s="25">
        <v>9</v>
      </c>
      <c r="I707" s="59">
        <f>SUM(F707:H707)</f>
        <v>24</v>
      </c>
      <c r="J707" s="25">
        <v>7</v>
      </c>
      <c r="K707" s="25">
        <v>6</v>
      </c>
      <c r="L707" s="25">
        <v>6</v>
      </c>
      <c r="M707" s="59">
        <f>SUM(J707:L707)</f>
        <v>19</v>
      </c>
      <c r="N707" s="25">
        <v>5</v>
      </c>
      <c r="O707" s="25">
        <v>3</v>
      </c>
      <c r="P707" s="25">
        <v>2</v>
      </c>
      <c r="Q707" s="59">
        <f>SUM(N707:P707)</f>
        <v>10</v>
      </c>
      <c r="R707" s="65">
        <f>+E707+I707+M707+Q707</f>
        <v>63</v>
      </c>
    </row>
    <row r="708" spans="1:18" ht="16.5" customHeight="1" thickBot="1" x14ac:dyDescent="0.35">
      <c r="A708" s="42"/>
      <c r="B708" s="37"/>
      <c r="C708" s="37"/>
      <c r="D708" s="37"/>
      <c r="E708" s="16"/>
      <c r="F708" s="37"/>
      <c r="G708" s="37"/>
      <c r="H708" s="37"/>
      <c r="I708" s="16"/>
      <c r="J708" s="37"/>
      <c r="K708" s="37"/>
      <c r="L708" s="37"/>
      <c r="M708" s="16"/>
      <c r="N708" s="37"/>
      <c r="O708" s="37"/>
      <c r="P708" s="37"/>
      <c r="Q708" s="16"/>
      <c r="R708" s="43"/>
    </row>
    <row r="709" spans="1:18" ht="15.75" customHeight="1" x14ac:dyDescent="0.3">
      <c r="A709" s="17" t="s">
        <v>507</v>
      </c>
      <c r="B709" s="1">
        <f>B707</f>
        <v>2</v>
      </c>
      <c r="C709" s="1">
        <f>C707</f>
        <v>3</v>
      </c>
      <c r="D709" s="1">
        <f>D707</f>
        <v>5</v>
      </c>
      <c r="E709" s="65">
        <f>SUM(B709:D709)</f>
        <v>10</v>
      </c>
      <c r="F709" s="1">
        <f>F707</f>
        <v>7</v>
      </c>
      <c r="G709" s="1">
        <f>G707</f>
        <v>8</v>
      </c>
      <c r="H709" s="1">
        <f>H707</f>
        <v>9</v>
      </c>
      <c r="I709" s="65">
        <f>SUM(F709:H709)</f>
        <v>24</v>
      </c>
      <c r="J709" s="1">
        <f>J707</f>
        <v>7</v>
      </c>
      <c r="K709" s="1">
        <f>K707</f>
        <v>6</v>
      </c>
      <c r="L709" s="1">
        <f>L707</f>
        <v>6</v>
      </c>
      <c r="M709" s="65">
        <f>SUM(J709:L709)</f>
        <v>19</v>
      </c>
      <c r="N709" s="1">
        <f>N707</f>
        <v>5</v>
      </c>
      <c r="O709" s="1">
        <f>O707</f>
        <v>3</v>
      </c>
      <c r="P709" s="1">
        <f>P707</f>
        <v>2</v>
      </c>
      <c r="Q709" s="65">
        <f>SUM(N709:P709)</f>
        <v>10</v>
      </c>
      <c r="R709" s="65">
        <f>+E709+I709+M709+Q709</f>
        <v>63</v>
      </c>
    </row>
    <row r="710" spans="1:18" ht="15.75" customHeight="1" x14ac:dyDescent="0.3">
      <c r="A710" s="17" t="s">
        <v>39</v>
      </c>
      <c r="B710" s="1">
        <f>(B709/B10)/1.983</f>
        <v>3.2534608689993978E-2</v>
      </c>
      <c r="C710" s="1">
        <f>(C709/C10)/1.983</f>
        <v>5.403068943159714E-2</v>
      </c>
      <c r="D710" s="1">
        <f>(D709/D10)/1.983</f>
        <v>8.1336521724984942E-2</v>
      </c>
      <c r="E710" s="59" t="s">
        <v>7</v>
      </c>
      <c r="F710" s="1">
        <f>(F709/F10)/1.983</f>
        <v>0.1176668347621449</v>
      </c>
      <c r="G710" s="1">
        <f>(G709/G10)/1.983</f>
        <v>0.13013843475997591</v>
      </c>
      <c r="H710" s="1">
        <f>(H709/H10)/1.983</f>
        <v>0.15128593040847199</v>
      </c>
      <c r="I710" s="59" t="s">
        <v>7</v>
      </c>
      <c r="J710" s="1">
        <f>(J709/J10)/1.983</f>
        <v>0.11387113041497893</v>
      </c>
      <c r="K710" s="1">
        <f>(K709/K10)/1.983</f>
        <v>9.7603826069981942E-2</v>
      </c>
      <c r="L710" s="1">
        <f>(L709/L10)/1.983</f>
        <v>0.10085728693898134</v>
      </c>
      <c r="M710" s="59" t="s">
        <v>7</v>
      </c>
      <c r="N710" s="1">
        <f>(N709/N10)/1.983</f>
        <v>8.1336521724984942E-2</v>
      </c>
      <c r="O710" s="1">
        <f>(O709/O10)/1.983</f>
        <v>5.0428643469490671E-2</v>
      </c>
      <c r="P710" s="1">
        <f>(P709/P10)/1.983</f>
        <v>3.2534608689993978E-2</v>
      </c>
      <c r="Q710" s="59" t="s">
        <v>7</v>
      </c>
      <c r="R710" s="59" t="s">
        <v>7</v>
      </c>
    </row>
    <row r="711" spans="1:18" ht="15.75" customHeight="1" x14ac:dyDescent="0.3">
      <c r="A711" s="17" t="s">
        <v>584</v>
      </c>
      <c r="B711" s="1">
        <f>B709+B745+B794-B740</f>
        <v>3388.0000000000005</v>
      </c>
      <c r="C711" s="1">
        <f>C709+C745+C794-C740</f>
        <v>4897</v>
      </c>
      <c r="D711" s="1">
        <f>D709+D745+D794-D740</f>
        <v>4436.0000000000009</v>
      </c>
      <c r="E711" s="59">
        <f>SUM(B711:D711)</f>
        <v>12721</v>
      </c>
      <c r="F711" s="1">
        <f>F709+F745+F794-F740</f>
        <v>4436</v>
      </c>
      <c r="G711" s="1">
        <f>G709+G745+G794-G740</f>
        <v>5325</v>
      </c>
      <c r="H711" s="1">
        <f>H709+H745+H794-H740</f>
        <v>4568.0000000000009</v>
      </c>
      <c r="I711" s="59">
        <f>SUM(F711:H711)</f>
        <v>14329</v>
      </c>
      <c r="J711" s="1">
        <f>J709+J745+J794-J740</f>
        <v>4215.9999999999991</v>
      </c>
      <c r="K711" s="1">
        <f>K709+K745+K794-K740</f>
        <v>4156</v>
      </c>
      <c r="L711" s="1">
        <f>L709+L745+L794-L740</f>
        <v>4503</v>
      </c>
      <c r="M711" s="59">
        <f>SUM(J711:L711)</f>
        <v>12875</v>
      </c>
      <c r="N711" s="1">
        <f>N709+N745+N794-N740</f>
        <v>2291.9999999999995</v>
      </c>
      <c r="O711" s="1">
        <f>O709+O745+O794-O740</f>
        <v>1339</v>
      </c>
      <c r="P711" s="1">
        <f>P709+P745+P794-P740</f>
        <v>1198</v>
      </c>
      <c r="Q711" s="59">
        <f>SUM(N711:P711)</f>
        <v>4829</v>
      </c>
      <c r="R711" s="59">
        <f>+E711+I711+M711+Q711</f>
        <v>44754</v>
      </c>
    </row>
    <row r="712" spans="1:18" ht="16.5" customHeight="1" thickBot="1" x14ac:dyDescent="0.35">
      <c r="A712" s="24" t="s">
        <v>585</v>
      </c>
      <c r="B712" s="25">
        <f>(B711/B10)/1.983</f>
        <v>55.113627120849813</v>
      </c>
      <c r="C712" s="25">
        <f>(C711/C10)/1.983</f>
        <v>88.196095382177077</v>
      </c>
      <c r="D712" s="25">
        <f>(D711/D10)/1.983</f>
        <v>72.161762074406653</v>
      </c>
      <c r="E712" s="88" t="s">
        <v>7</v>
      </c>
      <c r="F712" s="25">
        <f>(F711/F10)/1.983</f>
        <v>74.567154143553537</v>
      </c>
      <c r="G712" s="25">
        <f>(G711/G10)/1.983</f>
        <v>86.62339563710897</v>
      </c>
      <c r="H712" s="25">
        <f>(H711/H10)/1.983</f>
        <v>76.786014456211149</v>
      </c>
      <c r="I712" s="88" t="s">
        <v>7</v>
      </c>
      <c r="J712" s="25">
        <f>(J711/J10)/1.983</f>
        <v>68.5829551185073</v>
      </c>
      <c r="K712" s="25">
        <f>(K711/K10)/1.983</f>
        <v>67.606916857807491</v>
      </c>
      <c r="L712" s="25">
        <f>(L711/L10)/1.983</f>
        <v>75.693393847705494</v>
      </c>
      <c r="M712" s="88" t="s">
        <v>7</v>
      </c>
      <c r="N712" s="25">
        <f>(N711/N10)/1.983</f>
        <v>37.284661558733092</v>
      </c>
      <c r="O712" s="25">
        <f>(O711/O10)/1.983</f>
        <v>22.507984535216</v>
      </c>
      <c r="P712" s="25">
        <f>(P711/P10)/1.983</f>
        <v>19.488230605306395</v>
      </c>
      <c r="Q712" s="88" t="s">
        <v>7</v>
      </c>
      <c r="R712" s="88" t="s">
        <v>7</v>
      </c>
    </row>
    <row r="713" spans="1:18" ht="15.75" customHeight="1" x14ac:dyDescent="0.3">
      <c r="A713" s="28"/>
      <c r="B713" s="1"/>
      <c r="C713" s="1"/>
      <c r="D713" s="1"/>
      <c r="E713" s="1"/>
      <c r="F713" s="1"/>
      <c r="G713" s="1"/>
      <c r="H713" s="1"/>
      <c r="I713" s="1"/>
      <c r="J713" s="1"/>
      <c r="K713" s="1"/>
      <c r="L713" s="1"/>
      <c r="M713" s="1"/>
      <c r="N713" s="1"/>
      <c r="O713" s="1"/>
      <c r="P713" s="1"/>
      <c r="Q713" s="1"/>
      <c r="R713" s="28"/>
    </row>
    <row r="714" spans="1:18" ht="15.75" customHeight="1" thickBot="1" x14ac:dyDescent="0.35">
      <c r="A714" s="28"/>
      <c r="B714" s="1"/>
      <c r="C714" s="1"/>
      <c r="D714" s="1"/>
      <c r="E714" s="1"/>
      <c r="F714" s="1"/>
      <c r="G714" s="1"/>
      <c r="H714" s="1"/>
      <c r="I714" s="1"/>
      <c r="J714" s="1"/>
      <c r="K714" s="1"/>
      <c r="L714" s="1"/>
      <c r="M714" s="1"/>
      <c r="N714" s="1"/>
      <c r="O714" s="1"/>
      <c r="P714" s="1"/>
      <c r="Q714" s="1"/>
      <c r="R714" s="28"/>
    </row>
    <row r="715" spans="1:18" ht="16.5" customHeight="1" thickBot="1" x14ac:dyDescent="0.35">
      <c r="A715" s="145" t="s">
        <v>586</v>
      </c>
      <c r="B715" s="32" t="s">
        <v>36</v>
      </c>
      <c r="C715" s="33" t="s">
        <v>9</v>
      </c>
      <c r="D715" s="33" t="s">
        <v>10</v>
      </c>
      <c r="E715" s="34" t="s">
        <v>11</v>
      </c>
      <c r="F715" s="33" t="s">
        <v>12</v>
      </c>
      <c r="G715" s="33" t="s">
        <v>13</v>
      </c>
      <c r="H715" s="33" t="s">
        <v>14</v>
      </c>
      <c r="I715" s="34" t="s">
        <v>15</v>
      </c>
      <c r="J715" s="33" t="s">
        <v>16</v>
      </c>
      <c r="K715" s="33" t="s">
        <v>17</v>
      </c>
      <c r="L715" s="33" t="s">
        <v>18</v>
      </c>
      <c r="M715" s="34" t="s">
        <v>19</v>
      </c>
      <c r="N715" s="33" t="s">
        <v>20</v>
      </c>
      <c r="O715" s="33" t="s">
        <v>21</v>
      </c>
      <c r="P715" s="33" t="s">
        <v>22</v>
      </c>
      <c r="Q715" s="34" t="s">
        <v>23</v>
      </c>
      <c r="R715" s="155" t="s">
        <v>24</v>
      </c>
    </row>
    <row r="716" spans="1:18" ht="16.5" customHeight="1" thickBot="1" x14ac:dyDescent="0.35">
      <c r="A716" s="42"/>
      <c r="B716" s="37"/>
      <c r="C716" s="37"/>
      <c r="D716" s="37"/>
      <c r="E716" s="156"/>
      <c r="F716" s="37"/>
      <c r="G716" s="37"/>
      <c r="H716" s="37"/>
      <c r="I716" s="156"/>
      <c r="J716" s="37"/>
      <c r="K716" s="37"/>
      <c r="L716" s="37"/>
      <c r="M716" s="156"/>
      <c r="N716" s="37"/>
      <c r="O716" s="37"/>
      <c r="P716" s="37"/>
      <c r="Q716" s="156"/>
      <c r="R716" s="39"/>
    </row>
    <row r="717" spans="1:18" ht="15.75" customHeight="1" x14ac:dyDescent="0.3">
      <c r="A717" s="17" t="s">
        <v>45</v>
      </c>
      <c r="B717" s="1" t="s">
        <v>7</v>
      </c>
      <c r="C717" s="1" t="s">
        <v>7</v>
      </c>
      <c r="D717" s="1" t="s">
        <v>7</v>
      </c>
      <c r="E717" s="59" t="s">
        <v>7</v>
      </c>
      <c r="F717" s="1" t="s">
        <v>7</v>
      </c>
      <c r="G717" s="1" t="s">
        <v>7</v>
      </c>
      <c r="H717" s="1" t="s">
        <v>7</v>
      </c>
      <c r="I717" s="59" t="s">
        <v>7</v>
      </c>
      <c r="J717" s="1" t="s">
        <v>7</v>
      </c>
      <c r="K717" s="1" t="s">
        <v>7</v>
      </c>
      <c r="L717" s="1" t="s">
        <v>7</v>
      </c>
      <c r="M717" s="59" t="s">
        <v>7</v>
      </c>
      <c r="N717" s="1" t="s">
        <v>7</v>
      </c>
      <c r="O717" s="1" t="s">
        <v>7</v>
      </c>
      <c r="P717" s="1" t="s">
        <v>7</v>
      </c>
      <c r="Q717" s="59" t="s">
        <v>7</v>
      </c>
      <c r="R717" s="59" t="s">
        <v>7</v>
      </c>
    </row>
    <row r="718" spans="1:18" ht="15.75" customHeight="1" x14ac:dyDescent="0.3">
      <c r="A718" s="17" t="s">
        <v>46</v>
      </c>
      <c r="B718" s="1"/>
      <c r="C718" s="1"/>
      <c r="D718" s="1"/>
      <c r="E718" s="59" t="s">
        <v>7</v>
      </c>
      <c r="F718" s="1"/>
      <c r="G718" s="1"/>
      <c r="H718" s="1"/>
      <c r="I718" s="59" t="s">
        <v>7</v>
      </c>
      <c r="J718" s="1"/>
      <c r="K718" s="1"/>
      <c r="L718" s="1"/>
      <c r="M718" s="59" t="s">
        <v>7</v>
      </c>
      <c r="N718" s="1"/>
      <c r="O718" s="1"/>
      <c r="P718" s="1"/>
      <c r="Q718" s="59" t="s">
        <v>7</v>
      </c>
      <c r="R718" s="59" t="s">
        <v>7</v>
      </c>
    </row>
    <row r="719" spans="1:18" ht="15.75" customHeight="1" x14ac:dyDescent="0.3">
      <c r="A719" s="74" t="s">
        <v>587</v>
      </c>
      <c r="B719" s="1"/>
      <c r="C719" s="1"/>
      <c r="D719" s="1"/>
      <c r="E719" s="59">
        <f>SUM(B719:D719)</f>
        <v>0</v>
      </c>
      <c r="F719" s="1"/>
      <c r="G719" s="1"/>
      <c r="H719" s="1"/>
      <c r="I719" s="59">
        <f>SUM(F719:H719)</f>
        <v>0</v>
      </c>
      <c r="J719" s="1"/>
      <c r="K719" s="1"/>
      <c r="L719" s="1"/>
      <c r="M719" s="59">
        <f>SUM(J719:L719)</f>
        <v>0</v>
      </c>
      <c r="N719" s="1"/>
      <c r="O719" s="1"/>
      <c r="P719" s="1"/>
      <c r="Q719" s="59">
        <f>SUM(N719:P719)</f>
        <v>0</v>
      </c>
      <c r="R719" s="59">
        <f>+E719+I719+M719+Q719</f>
        <v>0</v>
      </c>
    </row>
    <row r="720" spans="1:18" ht="15.75" customHeight="1" x14ac:dyDescent="0.3">
      <c r="A720" s="17" t="s">
        <v>47</v>
      </c>
      <c r="B720" s="1"/>
      <c r="C720" s="1"/>
      <c r="D720" s="1"/>
      <c r="E720" s="59" t="s">
        <v>7</v>
      </c>
      <c r="F720" s="1"/>
      <c r="G720" s="1"/>
      <c r="H720" s="1"/>
      <c r="I720" s="59" t="s">
        <v>7</v>
      </c>
      <c r="J720" s="1"/>
      <c r="K720" s="1"/>
      <c r="L720" s="1"/>
      <c r="M720" s="59" t="s">
        <v>7</v>
      </c>
      <c r="N720" s="1"/>
      <c r="O720" s="1"/>
      <c r="P720" s="1"/>
      <c r="Q720" s="59" t="s">
        <v>7</v>
      </c>
      <c r="R720" s="59" t="s">
        <v>7</v>
      </c>
    </row>
    <row r="721" spans="1:18" ht="15.75" customHeight="1" x14ac:dyDescent="0.3">
      <c r="A721" s="17" t="s">
        <v>898</v>
      </c>
      <c r="B721" s="1"/>
      <c r="C721" s="1"/>
      <c r="D721" s="1"/>
      <c r="E721" s="59" t="s">
        <v>7</v>
      </c>
      <c r="F721" s="1"/>
      <c r="G721" s="1"/>
      <c r="H721" s="1"/>
      <c r="I721" s="59" t="s">
        <v>7</v>
      </c>
      <c r="J721" s="1"/>
      <c r="K721" s="1"/>
      <c r="L721" s="1"/>
      <c r="M721" s="59" t="s">
        <v>7</v>
      </c>
      <c r="N721" s="1"/>
      <c r="O721" s="1"/>
      <c r="P721" s="1"/>
      <c r="Q721" s="59" t="s">
        <v>7</v>
      </c>
      <c r="R721" s="59" t="s">
        <v>7</v>
      </c>
    </row>
    <row r="722" spans="1:18" ht="15.75" customHeight="1" thickBot="1" x14ac:dyDescent="0.35">
      <c r="A722" s="17" t="s">
        <v>51</v>
      </c>
      <c r="B722" s="1"/>
      <c r="C722" s="1"/>
      <c r="D722" s="1"/>
      <c r="E722" s="59" t="s">
        <v>7</v>
      </c>
      <c r="F722" s="1"/>
      <c r="G722" s="1"/>
      <c r="H722" s="1"/>
      <c r="I722" s="59" t="s">
        <v>7</v>
      </c>
      <c r="J722" s="1"/>
      <c r="K722" s="1"/>
      <c r="L722" s="1"/>
      <c r="M722" s="59" t="s">
        <v>7</v>
      </c>
      <c r="N722" s="1"/>
      <c r="O722" s="1"/>
      <c r="P722" s="1"/>
      <c r="Q722" s="59" t="s">
        <v>7</v>
      </c>
      <c r="R722" s="59" t="s">
        <v>7</v>
      </c>
    </row>
    <row r="723" spans="1:18" ht="16.5" customHeight="1" thickBot="1" x14ac:dyDescent="0.35">
      <c r="A723" s="62" t="s">
        <v>52</v>
      </c>
      <c r="B723" s="100">
        <f>SUM(B717:B722)</f>
        <v>0</v>
      </c>
      <c r="C723" s="101">
        <f>SUM(C717:C722)</f>
        <v>0</v>
      </c>
      <c r="D723" s="101">
        <f>SUM(D717:D722)</f>
        <v>0</v>
      </c>
      <c r="E723" s="64">
        <f>SUM(B723:D723)</f>
        <v>0</v>
      </c>
      <c r="F723" s="101">
        <f>SUM(F717:F722)</f>
        <v>0</v>
      </c>
      <c r="G723" s="101">
        <f>SUM(G717:G722)</f>
        <v>0</v>
      </c>
      <c r="H723" s="101">
        <f>SUM(H717:H722)</f>
        <v>0</v>
      </c>
      <c r="I723" s="64">
        <f>SUM(F723:H723)</f>
        <v>0</v>
      </c>
      <c r="J723" s="101">
        <f>SUM(J717:J722)</f>
        <v>0</v>
      </c>
      <c r="K723" s="101">
        <f>SUM(K717:K722)</f>
        <v>0</v>
      </c>
      <c r="L723" s="101">
        <f>SUM(L717:L722)</f>
        <v>0</v>
      </c>
      <c r="M723" s="64">
        <f>SUM(J723:L723)</f>
        <v>0</v>
      </c>
      <c r="N723" s="101">
        <f>SUM(N717:N722)</f>
        <v>0</v>
      </c>
      <c r="O723" s="101">
        <f>SUM(O717:O722)</f>
        <v>0</v>
      </c>
      <c r="P723" s="101">
        <f>SUM(P717:P722)</f>
        <v>0</v>
      </c>
      <c r="Q723" s="64">
        <f>SUM(N723:P723)</f>
        <v>0</v>
      </c>
      <c r="R723" s="64">
        <f>+E723+I723+M723+Q723</f>
        <v>0</v>
      </c>
    </row>
    <row r="724" spans="1:18" ht="15.75" customHeight="1" x14ac:dyDescent="0.3">
      <c r="A724" s="17" t="s">
        <v>53</v>
      </c>
      <c r="B724" s="1"/>
      <c r="C724" s="1"/>
      <c r="D724" s="1"/>
      <c r="E724" s="59" t="s">
        <v>7</v>
      </c>
      <c r="F724" s="1"/>
      <c r="G724" s="1"/>
      <c r="H724" s="1"/>
      <c r="I724" s="59" t="s">
        <v>7</v>
      </c>
      <c r="J724" s="1"/>
      <c r="K724" s="1"/>
      <c r="L724" s="1"/>
      <c r="M724" s="59" t="s">
        <v>7</v>
      </c>
      <c r="N724" s="1"/>
      <c r="O724" s="1"/>
      <c r="P724" s="1"/>
      <c r="Q724" s="59" t="s">
        <v>7</v>
      </c>
      <c r="R724" s="59" t="s">
        <v>7</v>
      </c>
    </row>
    <row r="725" spans="1:18" ht="15.75" customHeight="1" x14ac:dyDescent="0.3">
      <c r="A725" s="17" t="s">
        <v>55</v>
      </c>
      <c r="B725" s="1"/>
      <c r="C725" s="1"/>
      <c r="D725" s="1"/>
      <c r="E725" s="59" t="s">
        <v>7</v>
      </c>
      <c r="F725" s="1"/>
      <c r="G725" s="1"/>
      <c r="H725" s="1"/>
      <c r="I725" s="59" t="s">
        <v>7</v>
      </c>
      <c r="J725" s="1"/>
      <c r="K725" s="1"/>
      <c r="L725" s="1"/>
      <c r="M725" s="59" t="s">
        <v>7</v>
      </c>
      <c r="N725" s="1"/>
      <c r="O725" s="1"/>
      <c r="P725" s="1"/>
      <c r="Q725" s="59" t="s">
        <v>7</v>
      </c>
      <c r="R725" s="59" t="s">
        <v>7</v>
      </c>
    </row>
    <row r="726" spans="1:18" ht="15.75" customHeight="1" thickBot="1" x14ac:dyDescent="0.35">
      <c r="A726" s="17" t="s">
        <v>56</v>
      </c>
      <c r="B726" s="1"/>
      <c r="C726" s="1"/>
      <c r="D726" s="1"/>
      <c r="E726" s="59" t="s">
        <v>7</v>
      </c>
      <c r="F726" s="1"/>
      <c r="G726" s="1"/>
      <c r="H726" s="1"/>
      <c r="I726" s="59" t="s">
        <v>7</v>
      </c>
      <c r="J726" s="1"/>
      <c r="K726" s="1"/>
      <c r="L726" s="1"/>
      <c r="M726" s="59" t="s">
        <v>7</v>
      </c>
      <c r="N726" s="1"/>
      <c r="O726" s="1"/>
      <c r="P726" s="1"/>
      <c r="Q726" s="59" t="s">
        <v>7</v>
      </c>
      <c r="R726" s="59" t="s">
        <v>7</v>
      </c>
    </row>
    <row r="727" spans="1:18" ht="16.5" customHeight="1" thickBot="1" x14ac:dyDescent="0.35">
      <c r="A727" s="62" t="s">
        <v>57</v>
      </c>
      <c r="B727" s="100">
        <f>SUM(B724:B726)</f>
        <v>0</v>
      </c>
      <c r="C727" s="101">
        <f>SUM(C724:C726)</f>
        <v>0</v>
      </c>
      <c r="D727" s="101">
        <f>SUM(D724:D726)</f>
        <v>0</v>
      </c>
      <c r="E727" s="64">
        <f>SUM(B727:D727)</f>
        <v>0</v>
      </c>
      <c r="F727" s="101">
        <f>SUM(F724:F726)</f>
        <v>0</v>
      </c>
      <c r="G727" s="101">
        <f>SUM(G724:G726)</f>
        <v>0</v>
      </c>
      <c r="H727" s="101">
        <f>SUM(H724:H726)</f>
        <v>0</v>
      </c>
      <c r="I727" s="64">
        <f>SUM(F727:H727)</f>
        <v>0</v>
      </c>
      <c r="J727" s="101">
        <f>SUM(J724:J726)</f>
        <v>0</v>
      </c>
      <c r="K727" s="101">
        <f>SUM(K724:K726)</f>
        <v>0</v>
      </c>
      <c r="L727" s="101">
        <f>SUM(L724:L726)</f>
        <v>0</v>
      </c>
      <c r="M727" s="64">
        <f>SUM(J727:L727)</f>
        <v>0</v>
      </c>
      <c r="N727" s="101">
        <f>SUM(N724:N726)</f>
        <v>0</v>
      </c>
      <c r="O727" s="101">
        <f>SUM(O724:O726)</f>
        <v>0</v>
      </c>
      <c r="P727" s="101">
        <f>SUM(P724:P726)</f>
        <v>0</v>
      </c>
      <c r="Q727" s="64">
        <f>SUM(N727:P727)</f>
        <v>0</v>
      </c>
      <c r="R727" s="64">
        <f>+E727+I727+M727+Q727</f>
        <v>0</v>
      </c>
    </row>
    <row r="728" spans="1:18" ht="15.75" customHeight="1" x14ac:dyDescent="0.3">
      <c r="A728" s="17" t="s">
        <v>58</v>
      </c>
      <c r="B728" s="1"/>
      <c r="C728" s="1"/>
      <c r="D728" s="1"/>
      <c r="E728" s="59" t="s">
        <v>7</v>
      </c>
      <c r="F728" s="1"/>
      <c r="G728" s="1"/>
      <c r="H728" s="1"/>
      <c r="I728" s="59" t="s">
        <v>7</v>
      </c>
      <c r="J728" s="1"/>
      <c r="K728" s="1"/>
      <c r="L728" s="1"/>
      <c r="M728" s="59" t="s">
        <v>7</v>
      </c>
      <c r="N728" s="1"/>
      <c r="O728" s="1"/>
      <c r="P728" s="1"/>
      <c r="Q728" s="59" t="s">
        <v>7</v>
      </c>
      <c r="R728" s="59" t="s">
        <v>7</v>
      </c>
    </row>
    <row r="729" spans="1:18" ht="15.75" customHeight="1" x14ac:dyDescent="0.3">
      <c r="A729" s="17" t="s">
        <v>59</v>
      </c>
      <c r="B729" s="1"/>
      <c r="C729" s="1"/>
      <c r="D729" s="1"/>
      <c r="E729" s="59" t="s">
        <v>7</v>
      </c>
      <c r="F729" s="1"/>
      <c r="G729" s="1"/>
      <c r="H729" s="1"/>
      <c r="I729" s="59" t="s">
        <v>7</v>
      </c>
      <c r="J729" s="1"/>
      <c r="K729" s="1"/>
      <c r="L729" s="1"/>
      <c r="M729" s="59" t="s">
        <v>7</v>
      </c>
      <c r="N729" s="1"/>
      <c r="O729" s="1"/>
      <c r="P729" s="1"/>
      <c r="Q729" s="59" t="s">
        <v>7</v>
      </c>
      <c r="R729" s="59" t="s">
        <v>7</v>
      </c>
    </row>
    <row r="730" spans="1:18" ht="15.75" customHeight="1" thickBot="1" x14ac:dyDescent="0.35">
      <c r="A730" s="17" t="s">
        <v>60</v>
      </c>
      <c r="B730" s="1"/>
      <c r="C730" s="1"/>
      <c r="D730" s="1"/>
      <c r="E730" s="59" t="s">
        <v>7</v>
      </c>
      <c r="F730" s="1"/>
      <c r="G730" s="1"/>
      <c r="H730" s="1"/>
      <c r="I730" s="59" t="s">
        <v>7</v>
      </c>
      <c r="J730" s="1"/>
      <c r="K730" s="1"/>
      <c r="L730" s="1"/>
      <c r="M730" s="59" t="s">
        <v>7</v>
      </c>
      <c r="N730" s="1"/>
      <c r="O730" s="1"/>
      <c r="P730" s="1"/>
      <c r="Q730" s="59" t="s">
        <v>7</v>
      </c>
      <c r="R730" s="59" t="s">
        <v>7</v>
      </c>
    </row>
    <row r="731" spans="1:18" ht="16.5" customHeight="1" thickBot="1" x14ac:dyDescent="0.35">
      <c r="A731" s="62" t="s">
        <v>61</v>
      </c>
      <c r="B731" s="100">
        <f>SUM(B728:B730)</f>
        <v>0</v>
      </c>
      <c r="C731" s="101">
        <f>SUM(C728:C730)</f>
        <v>0</v>
      </c>
      <c r="D731" s="101">
        <f>SUM(D728:D730)</f>
        <v>0</v>
      </c>
      <c r="E731" s="64">
        <f>SUM(B731:D731)</f>
        <v>0</v>
      </c>
      <c r="F731" s="101">
        <f>SUM(F728:F730)</f>
        <v>0</v>
      </c>
      <c r="G731" s="101">
        <f>SUM(G728:G730)</f>
        <v>0</v>
      </c>
      <c r="H731" s="101">
        <f>SUM(H728:H730)</f>
        <v>0</v>
      </c>
      <c r="I731" s="64">
        <f>SUM(F731:H731)</f>
        <v>0</v>
      </c>
      <c r="J731" s="101">
        <f>SUM(J728:J730)</f>
        <v>0</v>
      </c>
      <c r="K731" s="101">
        <f>SUM(K728:K730)</f>
        <v>0</v>
      </c>
      <c r="L731" s="101">
        <f>SUM(L728:L730)</f>
        <v>0</v>
      </c>
      <c r="M731" s="64">
        <f>SUM(J731:L731)</f>
        <v>0</v>
      </c>
      <c r="N731" s="101">
        <f>SUM(N728:N730)</f>
        <v>0</v>
      </c>
      <c r="O731" s="101">
        <f>SUM(O728:O730)</f>
        <v>0</v>
      </c>
      <c r="P731" s="101">
        <f>SUM(P728:P730)</f>
        <v>0</v>
      </c>
      <c r="Q731" s="64">
        <f>SUM(N731:P731)</f>
        <v>0</v>
      </c>
      <c r="R731" s="64">
        <f>+E731+I731+M731+Q731</f>
        <v>0</v>
      </c>
    </row>
    <row r="732" spans="1:18" ht="15.75" customHeight="1" x14ac:dyDescent="0.3">
      <c r="A732" s="17" t="s">
        <v>62</v>
      </c>
      <c r="B732" s="1"/>
      <c r="C732" s="1"/>
      <c r="D732" s="1"/>
      <c r="E732" s="59" t="s">
        <v>7</v>
      </c>
      <c r="F732" s="1"/>
      <c r="G732" s="1"/>
      <c r="H732" s="1"/>
      <c r="I732" s="59" t="s">
        <v>7</v>
      </c>
      <c r="J732" s="1"/>
      <c r="K732" s="1"/>
      <c r="L732" s="1"/>
      <c r="M732" s="59" t="s">
        <v>7</v>
      </c>
      <c r="N732" s="1"/>
      <c r="O732" s="1"/>
      <c r="P732" s="1"/>
      <c r="Q732" s="59" t="s">
        <v>7</v>
      </c>
      <c r="R732" s="59" t="s">
        <v>7</v>
      </c>
    </row>
    <row r="733" spans="1:18" ht="15.75" customHeight="1" x14ac:dyDescent="0.3">
      <c r="A733" s="17" t="s">
        <v>63</v>
      </c>
      <c r="B733" s="1"/>
      <c r="C733" s="1"/>
      <c r="D733" s="1"/>
      <c r="E733" s="59" t="s">
        <v>7</v>
      </c>
      <c r="F733" s="1"/>
      <c r="G733" s="1"/>
      <c r="H733" s="1"/>
      <c r="I733" s="59" t="s">
        <v>7</v>
      </c>
      <c r="J733" s="1"/>
      <c r="K733" s="1"/>
      <c r="L733" s="1"/>
      <c r="M733" s="59" t="s">
        <v>7</v>
      </c>
      <c r="N733" s="1"/>
      <c r="O733" s="1"/>
      <c r="P733" s="1"/>
      <c r="Q733" s="59" t="s">
        <v>7</v>
      </c>
      <c r="R733" s="59" t="s">
        <v>7</v>
      </c>
    </row>
    <row r="734" spans="1:18" ht="15.75" customHeight="1" x14ac:dyDescent="0.3">
      <c r="A734" s="17" t="s">
        <v>64</v>
      </c>
      <c r="B734" s="1"/>
      <c r="C734" s="1"/>
      <c r="D734" s="1"/>
      <c r="E734" s="59" t="s">
        <v>7</v>
      </c>
      <c r="F734" s="1"/>
      <c r="G734" s="1"/>
      <c r="H734" s="1"/>
      <c r="I734" s="59" t="s">
        <v>7</v>
      </c>
      <c r="J734" s="1"/>
      <c r="K734" s="1"/>
      <c r="L734" s="1"/>
      <c r="M734" s="59" t="s">
        <v>7</v>
      </c>
      <c r="N734" s="1"/>
      <c r="O734" s="1"/>
      <c r="P734" s="1"/>
      <c r="Q734" s="59" t="s">
        <v>7</v>
      </c>
      <c r="R734" s="59" t="s">
        <v>7</v>
      </c>
    </row>
    <row r="735" spans="1:18" ht="15.75" customHeight="1" x14ac:dyDescent="0.3">
      <c r="A735" s="17" t="s">
        <v>66</v>
      </c>
      <c r="B735" s="1"/>
      <c r="C735" s="1"/>
      <c r="D735" s="1"/>
      <c r="E735" s="59" t="s">
        <v>7</v>
      </c>
      <c r="F735" s="1"/>
      <c r="G735" s="1"/>
      <c r="H735" s="1"/>
      <c r="I735" s="59" t="s">
        <v>7</v>
      </c>
      <c r="J735" s="1"/>
      <c r="K735" s="1"/>
      <c r="L735" s="1"/>
      <c r="M735" s="59" t="s">
        <v>7</v>
      </c>
      <c r="N735" s="1"/>
      <c r="O735" s="1"/>
      <c r="P735" s="1"/>
      <c r="Q735" s="59" t="s">
        <v>7</v>
      </c>
      <c r="R735" s="59" t="s">
        <v>7</v>
      </c>
    </row>
    <row r="736" spans="1:18" ht="15.75" customHeight="1" thickBot="1" x14ac:dyDescent="0.35">
      <c r="A736" s="17" t="s">
        <v>67</v>
      </c>
      <c r="B736" s="1"/>
      <c r="C736" s="1"/>
      <c r="D736" s="1"/>
      <c r="E736" s="59" t="s">
        <v>7</v>
      </c>
      <c r="F736" s="1"/>
      <c r="G736" s="1"/>
      <c r="H736" s="1"/>
      <c r="I736" s="59" t="s">
        <v>7</v>
      </c>
      <c r="J736" s="1"/>
      <c r="K736" s="1"/>
      <c r="L736" s="1"/>
      <c r="M736" s="59" t="s">
        <v>7</v>
      </c>
      <c r="N736" s="1"/>
      <c r="O736" s="1"/>
      <c r="P736" s="1"/>
      <c r="Q736" s="59" t="s">
        <v>7</v>
      </c>
      <c r="R736" s="59" t="s">
        <v>7</v>
      </c>
    </row>
    <row r="737" spans="1:18" ht="16.5" customHeight="1" thickBot="1" x14ac:dyDescent="0.35">
      <c r="A737" s="62" t="s">
        <v>68</v>
      </c>
      <c r="B737" s="63">
        <f>SUM(B735:B736)</f>
        <v>0</v>
      </c>
      <c r="C737" s="63">
        <f>SUM(C735:C736)</f>
        <v>0</v>
      </c>
      <c r="D737" s="63">
        <f>SUM(D735:D736)</f>
        <v>0</v>
      </c>
      <c r="E737" s="65">
        <f>SUM(B737:D737)</f>
        <v>0</v>
      </c>
      <c r="F737" s="63">
        <f>SUM(F735:F736)</f>
        <v>0</v>
      </c>
      <c r="G737" s="63">
        <f>SUM(G735:G736)</f>
        <v>0</v>
      </c>
      <c r="H737" s="63">
        <f>SUM(H735:H736)</f>
        <v>0</v>
      </c>
      <c r="I737" s="65">
        <f>SUM(F737:H737)</f>
        <v>0</v>
      </c>
      <c r="J737" s="63">
        <f>SUM(J735:J736)</f>
        <v>0</v>
      </c>
      <c r="K737" s="63">
        <f>SUM(K735:K736)</f>
        <v>0</v>
      </c>
      <c r="L737" s="63">
        <f>SUM(L735:L736)</f>
        <v>0</v>
      </c>
      <c r="M737" s="65">
        <f>SUM(J737:L737)</f>
        <v>0</v>
      </c>
      <c r="N737" s="63">
        <f>SUM(N735:N736)</f>
        <v>0</v>
      </c>
      <c r="O737" s="63">
        <f>SUM(O735:O736)</f>
        <v>0</v>
      </c>
      <c r="P737" s="63">
        <f>SUM(P735:P736)</f>
        <v>0</v>
      </c>
      <c r="Q737" s="65">
        <f>SUM(N737:P737)</f>
        <v>0</v>
      </c>
      <c r="R737" s="64">
        <f>+E737+I737+M737+Q737</f>
        <v>0</v>
      </c>
    </row>
    <row r="738" spans="1:18" ht="16.5" customHeight="1" thickBot="1" x14ac:dyDescent="0.35">
      <c r="A738" s="62" t="s">
        <v>69</v>
      </c>
      <c r="B738" s="100">
        <f>SUM(B732:B736)</f>
        <v>0</v>
      </c>
      <c r="C738" s="101">
        <f>SUM(C732:C736)</f>
        <v>0</v>
      </c>
      <c r="D738" s="138">
        <f>SUM(D732:D736)</f>
        <v>0</v>
      </c>
      <c r="E738" s="65">
        <f>SUM(B738:D738)</f>
        <v>0</v>
      </c>
      <c r="F738" s="101">
        <f>SUM(F732:F736)</f>
        <v>0</v>
      </c>
      <c r="G738" s="101">
        <f>SUM(G732:G736)</f>
        <v>0</v>
      </c>
      <c r="H738" s="101">
        <f>SUM(H732:H736)</f>
        <v>0</v>
      </c>
      <c r="I738" s="65">
        <f>SUM(F738:H738)</f>
        <v>0</v>
      </c>
      <c r="J738" s="101">
        <f>SUM(J732:J736)</f>
        <v>0</v>
      </c>
      <c r="K738" s="101">
        <f>SUM(K732:K736)</f>
        <v>0</v>
      </c>
      <c r="L738" s="101">
        <f>SUM(L732:L736)</f>
        <v>0</v>
      </c>
      <c r="M738" s="65">
        <f>SUM(J738:L738)</f>
        <v>0</v>
      </c>
      <c r="N738" s="101">
        <f>SUM(N732:N736)</f>
        <v>0</v>
      </c>
      <c r="O738" s="101">
        <f>SUM(O732:O736)</f>
        <v>0</v>
      </c>
      <c r="P738" s="101">
        <f>SUM(P732:P736)</f>
        <v>0</v>
      </c>
      <c r="Q738" s="65">
        <f>SUM(N738:P738)</f>
        <v>0</v>
      </c>
      <c r="R738" s="64">
        <f>+E738+I738+M738+Q738</f>
        <v>0</v>
      </c>
    </row>
    <row r="739" spans="1:18" ht="16.5" customHeight="1" thickBot="1" x14ac:dyDescent="0.35">
      <c r="A739" s="62" t="s">
        <v>70</v>
      </c>
      <c r="B739" s="107">
        <f>+B723+B727+B731+B738</f>
        <v>0</v>
      </c>
      <c r="C739" s="63">
        <f>+C723+C727+C731+C738</f>
        <v>0</v>
      </c>
      <c r="D739" s="63">
        <f>+D723+D727+D731+D738</f>
        <v>0</v>
      </c>
      <c r="E739" s="64">
        <f>SUM(B739:D739)</f>
        <v>0</v>
      </c>
      <c r="F739" s="63">
        <f>+F723+F727+F731+F738</f>
        <v>0</v>
      </c>
      <c r="G739" s="63">
        <f>+G723+G727+G731+G738</f>
        <v>0</v>
      </c>
      <c r="H739" s="63">
        <f>+H723+H727+H731+H738</f>
        <v>0</v>
      </c>
      <c r="I739" s="64">
        <f>SUM(F739:H739)</f>
        <v>0</v>
      </c>
      <c r="J739" s="63">
        <f>+J723+J727+J731+J738</f>
        <v>0</v>
      </c>
      <c r="K739" s="63">
        <f>+K723+K727+K731+K738</f>
        <v>0</v>
      </c>
      <c r="L739" s="63">
        <f>+L723+L727+L731+L738</f>
        <v>0</v>
      </c>
      <c r="M739" s="64">
        <f>SUM(J739:L739)</f>
        <v>0</v>
      </c>
      <c r="N739" s="63">
        <f>+N723+N727+N731+N738</f>
        <v>0</v>
      </c>
      <c r="O739" s="63">
        <f>+O723+O727+O731+O738</f>
        <v>0</v>
      </c>
      <c r="P739" s="63">
        <f>+P723+P727+P731+P738</f>
        <v>0</v>
      </c>
      <c r="Q739" s="64">
        <f>SUM(N739:P739)</f>
        <v>0</v>
      </c>
      <c r="R739" s="88">
        <f>+E739+I739+M739+Q739</f>
        <v>0</v>
      </c>
    </row>
    <row r="740" spans="1:18" ht="15.75" customHeight="1" x14ac:dyDescent="0.3">
      <c r="A740" s="74" t="s">
        <v>588</v>
      </c>
      <c r="B740" s="1">
        <v>2652.8333333333335</v>
      </c>
      <c r="C740" s="1">
        <v>2781.6666666666665</v>
      </c>
      <c r="D740" s="1">
        <v>4554.666666666667</v>
      </c>
      <c r="E740" s="59">
        <f>SUM(B740:D740)</f>
        <v>9989.1666666666679</v>
      </c>
      <c r="F740" s="1">
        <v>4891</v>
      </c>
      <c r="G740" s="1">
        <v>4878</v>
      </c>
      <c r="H740" s="1">
        <v>5743.166666666667</v>
      </c>
      <c r="I740" s="59">
        <f>SUM(F740:H740)</f>
        <v>15512.166666666668</v>
      </c>
      <c r="J740" s="1">
        <v>5574.333333333333</v>
      </c>
      <c r="K740" s="1">
        <v>4865</v>
      </c>
      <c r="L740" s="1">
        <v>4044.6666666666665</v>
      </c>
      <c r="M740" s="59">
        <f>SUM(J740:L740)</f>
        <v>14483.999999999998</v>
      </c>
      <c r="N740" s="1">
        <v>3589.6666666666665</v>
      </c>
      <c r="O740" s="1">
        <v>3783.8</v>
      </c>
      <c r="P740" s="1">
        <v>3294.2</v>
      </c>
      <c r="Q740" s="59">
        <f>SUM(N740:P740)</f>
        <v>10667.666666666668</v>
      </c>
      <c r="R740" s="59">
        <f>+E740+I740+M740+Q740</f>
        <v>50653</v>
      </c>
    </row>
    <row r="741" spans="1:18" ht="15.75" customHeight="1" thickBot="1" x14ac:dyDescent="0.35">
      <c r="A741" s="74" t="s">
        <v>37</v>
      </c>
      <c r="B741" s="1">
        <v>0</v>
      </c>
      <c r="C741" s="1">
        <v>0</v>
      </c>
      <c r="D741" s="1">
        <v>0</v>
      </c>
      <c r="E741" s="59">
        <f>SUM(B741:D741)</f>
        <v>0</v>
      </c>
      <c r="F741" s="1">
        <v>0</v>
      </c>
      <c r="G741" s="1">
        <v>0</v>
      </c>
      <c r="H741" s="1">
        <v>0</v>
      </c>
      <c r="I741" s="59">
        <f>SUM(F741:H741)</f>
        <v>0</v>
      </c>
      <c r="J741" s="1">
        <v>0</v>
      </c>
      <c r="K741" s="1">
        <v>0</v>
      </c>
      <c r="L741" s="1">
        <v>0</v>
      </c>
      <c r="M741" s="59">
        <f>SUM(J741:L741)</f>
        <v>0</v>
      </c>
      <c r="N741" s="1">
        <v>0</v>
      </c>
      <c r="O741" s="1">
        <v>0</v>
      </c>
      <c r="P741" s="1">
        <v>0</v>
      </c>
      <c r="Q741" s="59">
        <f>SUM(N741:P741)</f>
        <v>0</v>
      </c>
      <c r="R741" s="59">
        <f>+E741+I741+M741+Q741</f>
        <v>0</v>
      </c>
    </row>
    <row r="742" spans="1:18" ht="16.5" customHeight="1" thickBot="1" x14ac:dyDescent="0.35">
      <c r="A742" s="154"/>
      <c r="B742" s="56"/>
      <c r="C742" s="56"/>
      <c r="D742" s="56"/>
      <c r="E742" s="64" t="s">
        <v>7</v>
      </c>
      <c r="F742" s="56"/>
      <c r="G742" s="56"/>
      <c r="H742" s="56"/>
      <c r="I742" s="64" t="s">
        <v>7</v>
      </c>
      <c r="J742" s="56"/>
      <c r="K742" s="56"/>
      <c r="L742" s="56"/>
      <c r="M742" s="64" t="s">
        <v>7</v>
      </c>
      <c r="N742" s="56"/>
      <c r="O742" s="56"/>
      <c r="P742" s="56"/>
      <c r="Q742" s="64"/>
      <c r="R742" s="64"/>
    </row>
    <row r="743" spans="1:18" ht="15.75" customHeight="1" x14ac:dyDescent="0.3">
      <c r="A743" s="17" t="s">
        <v>38</v>
      </c>
      <c r="B743" s="1">
        <f>SUM(B739:B741)</f>
        <v>2652.8333333333335</v>
      </c>
      <c r="C743" s="1">
        <f>SUM(C739:C741)</f>
        <v>2781.6666666666665</v>
      </c>
      <c r="D743" s="1">
        <f>SUM(D739:D741)</f>
        <v>4554.666666666667</v>
      </c>
      <c r="E743" s="65">
        <f>SUM(B743:D743)</f>
        <v>9989.1666666666679</v>
      </c>
      <c r="F743" s="1">
        <f>SUM(F739:F741)</f>
        <v>4891</v>
      </c>
      <c r="G743" s="1">
        <f>SUM(G739:G741)</f>
        <v>4878</v>
      </c>
      <c r="H743" s="1">
        <f>SUM(H739:H741)</f>
        <v>5743.166666666667</v>
      </c>
      <c r="I743" s="65">
        <f>SUM(F743:H743)</f>
        <v>15512.166666666668</v>
      </c>
      <c r="J743" s="1">
        <f>SUM(J739:J741)</f>
        <v>5574.333333333333</v>
      </c>
      <c r="K743" s="1">
        <f>SUM(K739:K741)</f>
        <v>4865</v>
      </c>
      <c r="L743" s="1">
        <f>SUM(L739:L741)</f>
        <v>4044.6666666666665</v>
      </c>
      <c r="M743" s="65">
        <f>SUM(J743:L743)</f>
        <v>14483.999999999998</v>
      </c>
      <c r="N743" s="1">
        <f>SUM(N739:N741)</f>
        <v>3589.6666666666665</v>
      </c>
      <c r="O743" s="1">
        <f>SUM(O739:O741)</f>
        <v>3783.8</v>
      </c>
      <c r="P743" s="1">
        <f>SUM(P739:P741)</f>
        <v>3294.2</v>
      </c>
      <c r="Q743" s="65">
        <f>SUM(N743:P743)</f>
        <v>10667.666666666668</v>
      </c>
      <c r="R743" s="65">
        <f>+E743+I743+M743+Q743</f>
        <v>50653</v>
      </c>
    </row>
    <row r="744" spans="1:18" ht="15.75" customHeight="1" x14ac:dyDescent="0.3">
      <c r="A744" s="17" t="s">
        <v>39</v>
      </c>
      <c r="B744" s="1">
        <f>(B743/B10)/1.983</f>
        <v>43.154447209886179</v>
      </c>
      <c r="C744" s="1">
        <f>(C743/C10)/1.983</f>
        <v>50.098455922964234</v>
      </c>
      <c r="D744" s="1">
        <f>(D743/D10)/1.983</f>
        <v>74.092148856679628</v>
      </c>
      <c r="E744" s="59" t="s">
        <v>7</v>
      </c>
      <c r="F744" s="1">
        <f>(F743/F10)/1.983</f>
        <v>82.215498403092951</v>
      </c>
      <c r="G744" s="1">
        <f>(G743/G10)/1.983</f>
        <v>79.351910594895315</v>
      </c>
      <c r="H744" s="1">
        <f>(H743/H10)/1.983</f>
        <v>96.540034739732164</v>
      </c>
      <c r="I744" s="59" t="s">
        <v>7</v>
      </c>
      <c r="J744" s="1">
        <f>(J743/J10)/1.983</f>
        <v>90.679376853794878</v>
      </c>
      <c r="K744" s="1">
        <f>(K743/K10)/1.983</f>
        <v>79.140435638410352</v>
      </c>
      <c r="L744" s="1">
        <f>(L743/L10)/1.983</f>
        <v>67.989017762088864</v>
      </c>
      <c r="M744" s="59" t="s">
        <v>7</v>
      </c>
      <c r="N744" s="1">
        <f>(N743/N10)/1.983</f>
        <v>58.394200163757532</v>
      </c>
      <c r="O744" s="1">
        <f>(O743/O10)/1.983</f>
        <v>63.603967053286269</v>
      </c>
      <c r="P744" s="1">
        <f>(P743/P10)/1.983</f>
        <v>53.587753973289082</v>
      </c>
      <c r="Q744" s="59" t="s">
        <v>7</v>
      </c>
      <c r="R744" s="59" t="s">
        <v>7</v>
      </c>
    </row>
    <row r="745" spans="1:18" ht="15.75" customHeight="1" x14ac:dyDescent="0.3">
      <c r="A745" s="17" t="s">
        <v>589</v>
      </c>
      <c r="B745" s="1">
        <f>B743</f>
        <v>2652.8333333333335</v>
      </c>
      <c r="C745" s="1">
        <f>C743</f>
        <v>2781.6666666666665</v>
      </c>
      <c r="D745" s="1">
        <f>D743</f>
        <v>4554.666666666667</v>
      </c>
      <c r="E745" s="59">
        <f>SUM(B745:D745)</f>
        <v>9989.1666666666679</v>
      </c>
      <c r="F745" s="1">
        <f>F743</f>
        <v>4891</v>
      </c>
      <c r="G745" s="1">
        <f>G743</f>
        <v>4878</v>
      </c>
      <c r="H745" s="1">
        <f>H743</f>
        <v>5743.166666666667</v>
      </c>
      <c r="I745" s="59">
        <f>SUM(F745:H745)</f>
        <v>15512.166666666668</v>
      </c>
      <c r="J745" s="1">
        <f>J743</f>
        <v>5574.333333333333</v>
      </c>
      <c r="K745" s="1">
        <f>K743</f>
        <v>4865</v>
      </c>
      <c r="L745" s="1">
        <f>L743</f>
        <v>4044.6666666666665</v>
      </c>
      <c r="M745" s="59">
        <f>SUM(J745:L745)</f>
        <v>14483.999999999998</v>
      </c>
      <c r="N745" s="1">
        <f>N743</f>
        <v>3589.6666666666665</v>
      </c>
      <c r="O745" s="1">
        <f>O743</f>
        <v>3783.8</v>
      </c>
      <c r="P745" s="1">
        <f>P743</f>
        <v>3294.2</v>
      </c>
      <c r="Q745" s="59">
        <f>SUM(N745:P745)</f>
        <v>10667.666666666668</v>
      </c>
      <c r="R745" s="59">
        <f>+E745+I745+M745+Q745</f>
        <v>50653</v>
      </c>
    </row>
    <row r="746" spans="1:18" ht="16.5" customHeight="1" thickBot="1" x14ac:dyDescent="0.35">
      <c r="A746" s="24" t="s">
        <v>590</v>
      </c>
      <c r="B746" s="25">
        <f>(B745/B10)/1.983</f>
        <v>43.154447209886179</v>
      </c>
      <c r="C746" s="25">
        <f>(C745/C10)/1.983</f>
        <v>50.098455922964234</v>
      </c>
      <c r="D746" s="25">
        <f>(D745/D10)/1.983</f>
        <v>74.092148856679628</v>
      </c>
      <c r="E746" s="88" t="s">
        <v>7</v>
      </c>
      <c r="F746" s="25">
        <f>(F745/F10)/1.983</f>
        <v>82.215498403092951</v>
      </c>
      <c r="G746" s="25">
        <f>(G745/G10)/1.983</f>
        <v>79.351910594895315</v>
      </c>
      <c r="H746" s="25">
        <f>(H745/H10)/1.983</f>
        <v>96.540034739732164</v>
      </c>
      <c r="I746" s="88" t="s">
        <v>7</v>
      </c>
      <c r="J746" s="25">
        <f>(J745/J10)/1.983</f>
        <v>90.679376853794878</v>
      </c>
      <c r="K746" s="25">
        <f>(K745/K10)/1.983</f>
        <v>79.140435638410352</v>
      </c>
      <c r="L746" s="25">
        <f>(L745/L10)/1.983</f>
        <v>67.989017762088864</v>
      </c>
      <c r="M746" s="88" t="s">
        <v>7</v>
      </c>
      <c r="N746" s="25">
        <f>(N745/N10)/1.983</f>
        <v>58.394200163757532</v>
      </c>
      <c r="O746" s="25">
        <f>(O745/O10)/1.983</f>
        <v>63.603967053286269</v>
      </c>
      <c r="P746" s="25">
        <f>(P745/P10)/1.983</f>
        <v>53.587753973289082</v>
      </c>
      <c r="Q746" s="88" t="s">
        <v>7</v>
      </c>
      <c r="R746" s="88" t="s">
        <v>7</v>
      </c>
    </row>
    <row r="747" spans="1:18" ht="15.75" customHeight="1" x14ac:dyDescent="0.3">
      <c r="A747" s="28"/>
      <c r="B747" s="1"/>
      <c r="C747" s="1"/>
      <c r="D747" s="1"/>
      <c r="E747" s="1"/>
      <c r="F747" s="1"/>
      <c r="G747" s="1"/>
      <c r="H747" s="1"/>
      <c r="I747" s="1"/>
      <c r="J747" s="1"/>
      <c r="K747" s="1"/>
      <c r="L747" s="1"/>
      <c r="M747" s="1"/>
      <c r="N747" s="1"/>
      <c r="O747" s="1"/>
      <c r="P747" s="1"/>
      <c r="Q747" s="1"/>
      <c r="R747" s="28"/>
    </row>
    <row r="748" spans="1:18" ht="15.75" customHeight="1" thickBot="1" x14ac:dyDescent="0.35">
      <c r="A748" s="28"/>
      <c r="B748" s="1"/>
      <c r="C748" s="1"/>
      <c r="D748" s="1"/>
      <c r="E748" s="1"/>
      <c r="F748" s="1"/>
      <c r="G748" s="1"/>
      <c r="H748" s="1"/>
      <c r="I748" s="1"/>
      <c r="J748" s="1"/>
      <c r="K748" s="1"/>
      <c r="L748" s="1"/>
      <c r="M748" s="1"/>
      <c r="N748" s="1"/>
      <c r="O748" s="1"/>
      <c r="P748" s="1"/>
      <c r="Q748" s="1"/>
      <c r="R748" s="28"/>
    </row>
    <row r="749" spans="1:18" ht="16.5" customHeight="1" thickBot="1" x14ac:dyDescent="0.35">
      <c r="A749" s="145" t="s">
        <v>591</v>
      </c>
      <c r="B749" s="32" t="s">
        <v>36</v>
      </c>
      <c r="C749" s="33" t="s">
        <v>9</v>
      </c>
      <c r="D749" s="33" t="s">
        <v>10</v>
      </c>
      <c r="E749" s="12" t="s">
        <v>11</v>
      </c>
      <c r="F749" s="33" t="s">
        <v>12</v>
      </c>
      <c r="G749" s="33" t="s">
        <v>13</v>
      </c>
      <c r="H749" s="33" t="s">
        <v>14</v>
      </c>
      <c r="I749" s="34" t="s">
        <v>15</v>
      </c>
      <c r="J749" s="33" t="s">
        <v>16</v>
      </c>
      <c r="K749" s="33" t="s">
        <v>17</v>
      </c>
      <c r="L749" s="33" t="s">
        <v>18</v>
      </c>
      <c r="M749" s="34" t="s">
        <v>19</v>
      </c>
      <c r="N749" s="33" t="s">
        <v>20</v>
      </c>
      <c r="O749" s="33" t="s">
        <v>21</v>
      </c>
      <c r="P749" s="33" t="s">
        <v>22</v>
      </c>
      <c r="Q749" s="34" t="s">
        <v>23</v>
      </c>
      <c r="R749" s="157" t="s">
        <v>24</v>
      </c>
    </row>
    <row r="750" spans="1:18" ht="16.5" customHeight="1" thickBot="1" x14ac:dyDescent="0.35">
      <c r="A750" s="42"/>
      <c r="B750" s="37"/>
      <c r="C750" s="37"/>
      <c r="D750" s="37"/>
      <c r="E750" s="16"/>
      <c r="F750" s="37"/>
      <c r="G750" s="37"/>
      <c r="H750" s="37"/>
      <c r="I750" s="156"/>
      <c r="J750" s="37"/>
      <c r="K750" s="37"/>
      <c r="L750" s="37"/>
      <c r="M750" s="156"/>
      <c r="N750" s="37"/>
      <c r="O750" s="37"/>
      <c r="P750" s="37"/>
      <c r="Q750" s="158"/>
      <c r="R750" s="159"/>
    </row>
    <row r="751" spans="1:18" ht="15.75" customHeight="1" x14ac:dyDescent="0.3">
      <c r="A751" s="17" t="s">
        <v>45</v>
      </c>
      <c r="B751" s="1" t="s">
        <v>7</v>
      </c>
      <c r="C751" s="1" t="s">
        <v>7</v>
      </c>
      <c r="D751" s="1" t="s">
        <v>7</v>
      </c>
      <c r="E751" s="160"/>
      <c r="F751" s="1" t="s">
        <v>7</v>
      </c>
      <c r="G751" s="1" t="s">
        <v>7</v>
      </c>
      <c r="H751" s="1" t="s">
        <v>7</v>
      </c>
      <c r="I751" s="160"/>
      <c r="J751" s="1" t="s">
        <v>7</v>
      </c>
      <c r="K751" s="1" t="s">
        <v>7</v>
      </c>
      <c r="L751" s="1" t="s">
        <v>7</v>
      </c>
      <c r="M751" s="160"/>
      <c r="N751" s="1" t="s">
        <v>7</v>
      </c>
      <c r="O751" s="1" t="s">
        <v>7</v>
      </c>
      <c r="P751" s="1" t="s">
        <v>7</v>
      </c>
      <c r="Q751" s="161"/>
      <c r="R751" s="162" t="s">
        <v>7</v>
      </c>
    </row>
    <row r="752" spans="1:18" ht="15.75" customHeight="1" x14ac:dyDescent="0.3">
      <c r="A752" s="17" t="s">
        <v>46</v>
      </c>
      <c r="B752" s="1"/>
      <c r="C752" s="1"/>
      <c r="D752" s="1"/>
      <c r="E752" s="59" t="s">
        <v>7</v>
      </c>
      <c r="F752" s="1"/>
      <c r="G752" s="1"/>
      <c r="H752" s="1"/>
      <c r="I752" s="59" t="s">
        <v>7</v>
      </c>
      <c r="J752" s="1"/>
      <c r="K752" s="1"/>
      <c r="L752" s="1"/>
      <c r="M752" s="59" t="s">
        <v>7</v>
      </c>
      <c r="N752" s="1"/>
      <c r="O752" s="1"/>
      <c r="P752" s="1"/>
      <c r="Q752" s="59" t="s">
        <v>7</v>
      </c>
      <c r="R752" s="59" t="s">
        <v>7</v>
      </c>
    </row>
    <row r="753" spans="1:20" ht="15.75" customHeight="1" x14ac:dyDescent="0.3">
      <c r="A753" s="74" t="s">
        <v>592</v>
      </c>
      <c r="B753" s="1"/>
      <c r="C753" s="1"/>
      <c r="D753" s="1"/>
      <c r="E753" s="59">
        <f>SUM(B753:D753)</f>
        <v>0</v>
      </c>
      <c r="F753" s="1"/>
      <c r="G753" s="1"/>
      <c r="H753" s="1"/>
      <c r="I753" s="59">
        <f>SUM(F753:H753)</f>
        <v>0</v>
      </c>
      <c r="J753" s="1"/>
      <c r="K753" s="1"/>
      <c r="L753" s="1"/>
      <c r="M753" s="59">
        <f>SUM(J753:L753)</f>
        <v>0</v>
      </c>
      <c r="N753" s="1"/>
      <c r="O753" s="1"/>
      <c r="P753" s="1"/>
      <c r="Q753" s="59">
        <f>SUM(N753:P753)</f>
        <v>0</v>
      </c>
      <c r="R753" s="59">
        <f>+E753+I753+M753+Q753</f>
        <v>0</v>
      </c>
      <c r="T753" s="4" t="s">
        <v>593</v>
      </c>
    </row>
    <row r="754" spans="1:20" ht="15.75" customHeight="1" x14ac:dyDescent="0.3">
      <c r="A754" s="74" t="s">
        <v>594</v>
      </c>
      <c r="B754" s="1"/>
      <c r="C754" s="1"/>
      <c r="D754" s="1"/>
      <c r="E754" s="59">
        <f>SUM(B754:D754)</f>
        <v>0</v>
      </c>
      <c r="F754" s="1"/>
      <c r="G754" s="1"/>
      <c r="H754" s="1"/>
      <c r="I754" s="59">
        <f>SUM(F754:H754)</f>
        <v>0</v>
      </c>
      <c r="J754" s="1"/>
      <c r="K754" s="1"/>
      <c r="L754" s="1"/>
      <c r="M754" s="59">
        <f>SUM(J754:L754)</f>
        <v>0</v>
      </c>
      <c r="N754" s="1"/>
      <c r="O754" s="1"/>
      <c r="P754" s="1"/>
      <c r="Q754" s="59">
        <f>SUM(N754:P754)</f>
        <v>0</v>
      </c>
      <c r="R754" s="59">
        <f>+E754+I754+M754+Q754</f>
        <v>0</v>
      </c>
    </row>
    <row r="755" spans="1:20" ht="15.75" customHeight="1" x14ac:dyDescent="0.3">
      <c r="A755" s="74" t="s">
        <v>595</v>
      </c>
      <c r="B755" s="1"/>
      <c r="C755" s="1"/>
      <c r="D755" s="1"/>
      <c r="E755" s="59">
        <f>SUM(B755:D755)</f>
        <v>0</v>
      </c>
      <c r="F755" s="1"/>
      <c r="G755" s="1"/>
      <c r="H755" s="1"/>
      <c r="I755" s="59">
        <f>SUM(F755:H755)</f>
        <v>0</v>
      </c>
      <c r="J755" s="1"/>
      <c r="K755" s="1"/>
      <c r="L755" s="1"/>
      <c r="M755" s="59">
        <f>SUM(J755:L755)</f>
        <v>0</v>
      </c>
      <c r="N755" s="1"/>
      <c r="O755" s="1"/>
      <c r="P755" s="1"/>
      <c r="Q755" s="59">
        <f>SUM(N755:P755)</f>
        <v>0</v>
      </c>
      <c r="R755" s="59">
        <f>+E755+I755+M755+Q755</f>
        <v>0</v>
      </c>
    </row>
    <row r="756" spans="1:20" ht="15.75" customHeight="1" x14ac:dyDescent="0.3">
      <c r="A756" s="74" t="s">
        <v>596</v>
      </c>
      <c r="B756" s="1">
        <v>100</v>
      </c>
      <c r="C756" s="1"/>
      <c r="D756" s="1"/>
      <c r="E756" s="59">
        <f>SUM(B756:D756)</f>
        <v>100</v>
      </c>
      <c r="F756" s="1"/>
      <c r="G756" s="1"/>
      <c r="H756" s="1"/>
      <c r="I756" s="59">
        <f>SUM(F756:H756)</f>
        <v>0</v>
      </c>
      <c r="J756" s="1"/>
      <c r="K756" s="1"/>
      <c r="L756" s="1"/>
      <c r="M756" s="59">
        <f>SUM(J756:L756)</f>
        <v>0</v>
      </c>
      <c r="N756" s="1"/>
      <c r="O756" s="1"/>
      <c r="P756" s="1"/>
      <c r="Q756" s="59">
        <f>SUM(N756:P756)</f>
        <v>0</v>
      </c>
      <c r="R756" s="59">
        <f>+E756+I756+M756+Q756</f>
        <v>100</v>
      </c>
    </row>
    <row r="757" spans="1:20" ht="15.75" customHeight="1" x14ac:dyDescent="0.3">
      <c r="A757" s="74" t="s">
        <v>598</v>
      </c>
      <c r="B757" s="1">
        <v>2000</v>
      </c>
      <c r="C757" s="1">
        <v>3400</v>
      </c>
      <c r="D757" s="1">
        <v>2800</v>
      </c>
      <c r="E757" s="59">
        <f>SUM(B757:D757)</f>
        <v>8200</v>
      </c>
      <c r="F757" s="1">
        <v>2800</v>
      </c>
      <c r="G757" s="1">
        <v>3600</v>
      </c>
      <c r="H757" s="1">
        <v>2900</v>
      </c>
      <c r="I757" s="59">
        <f>SUM(F757:H757)</f>
        <v>9300</v>
      </c>
      <c r="J757" s="1">
        <v>2500</v>
      </c>
      <c r="K757" s="1">
        <v>2500</v>
      </c>
      <c r="L757" s="1">
        <v>2500</v>
      </c>
      <c r="M757" s="59">
        <f>SUM(J757:L757)</f>
        <v>7500</v>
      </c>
      <c r="N757" s="1"/>
      <c r="O757" s="1"/>
      <c r="P757" s="1"/>
      <c r="Q757" s="59">
        <f>SUM(N757:P757)</f>
        <v>0</v>
      </c>
      <c r="R757" s="59">
        <f>+E757+I757+M757+Q757</f>
        <v>25000</v>
      </c>
    </row>
    <row r="758" spans="1:20" ht="15.75" customHeight="1" x14ac:dyDescent="0.3">
      <c r="A758" s="17" t="s">
        <v>47</v>
      </c>
      <c r="B758" s="1"/>
      <c r="C758" s="1"/>
      <c r="D758" s="1"/>
      <c r="E758" s="59" t="s">
        <v>7</v>
      </c>
      <c r="F758" s="1"/>
      <c r="G758" s="1"/>
      <c r="H758" s="1"/>
      <c r="I758" s="59" t="s">
        <v>7</v>
      </c>
      <c r="J758" s="1"/>
      <c r="K758" s="1"/>
      <c r="L758" s="1"/>
      <c r="M758" s="59" t="s">
        <v>7</v>
      </c>
      <c r="N758" s="1"/>
      <c r="O758" s="1"/>
      <c r="P758" s="1"/>
      <c r="Q758" s="59" t="s">
        <v>7</v>
      </c>
      <c r="R758" s="59" t="s">
        <v>7</v>
      </c>
    </row>
    <row r="759" spans="1:20" ht="15.75" customHeight="1" x14ac:dyDescent="0.3">
      <c r="A759" s="17" t="s">
        <v>898</v>
      </c>
      <c r="B759" s="1"/>
      <c r="C759" s="1"/>
      <c r="D759" s="1"/>
      <c r="E759" s="59" t="s">
        <v>7</v>
      </c>
      <c r="F759" s="1"/>
      <c r="G759" s="1"/>
      <c r="H759" s="1"/>
      <c r="I759" s="59" t="s">
        <v>7</v>
      </c>
      <c r="J759" s="1"/>
      <c r="K759" s="1"/>
      <c r="L759" s="1"/>
      <c r="M759" s="59" t="s">
        <v>7</v>
      </c>
      <c r="N759" s="1"/>
      <c r="O759" s="1"/>
      <c r="P759" s="1"/>
      <c r="Q759" s="59" t="s">
        <v>7</v>
      </c>
      <c r="R759" s="59" t="s">
        <v>7</v>
      </c>
    </row>
    <row r="760" spans="1:20" ht="15.75" customHeight="1" x14ac:dyDescent="0.3">
      <c r="A760" s="74" t="s">
        <v>926</v>
      </c>
      <c r="B760" s="1"/>
      <c r="C760" s="1"/>
      <c r="D760" s="1"/>
      <c r="E760" s="59">
        <f>SUM(B760:D760)</f>
        <v>0</v>
      </c>
      <c r="F760" s="1"/>
      <c r="G760" s="1"/>
      <c r="H760" s="1"/>
      <c r="I760" s="59">
        <f>SUM(F760:H760)</f>
        <v>0</v>
      </c>
      <c r="J760" s="1"/>
      <c r="K760" s="1"/>
      <c r="L760" s="1">
        <v>390</v>
      </c>
      <c r="M760" s="59">
        <f>SUM(J760:L760)</f>
        <v>390</v>
      </c>
      <c r="N760" s="1">
        <v>950</v>
      </c>
      <c r="O760" s="1">
        <v>150</v>
      </c>
      <c r="P760" s="1"/>
      <c r="Q760" s="59">
        <f>SUM(N760:P760)</f>
        <v>1100</v>
      </c>
      <c r="R760" s="59">
        <f>+E760+I760+M760+Q760</f>
        <v>1490</v>
      </c>
    </row>
    <row r="761" spans="1:20" ht="15.75" customHeight="1" thickBot="1" x14ac:dyDescent="0.35">
      <c r="A761" s="17" t="s">
        <v>51</v>
      </c>
      <c r="B761" s="1"/>
      <c r="C761" s="1"/>
      <c r="D761" s="1"/>
      <c r="E761" s="59" t="s">
        <v>7</v>
      </c>
      <c r="F761" s="1"/>
      <c r="G761" s="1"/>
      <c r="H761" s="1"/>
      <c r="I761" s="59" t="s">
        <v>7</v>
      </c>
      <c r="J761" s="1"/>
      <c r="K761" s="1"/>
      <c r="L761" s="1"/>
      <c r="M761" s="59" t="s">
        <v>7</v>
      </c>
      <c r="N761" s="1"/>
      <c r="O761" s="1"/>
      <c r="P761" s="1"/>
      <c r="Q761" s="59" t="s">
        <v>7</v>
      </c>
      <c r="R761" s="59" t="s">
        <v>7</v>
      </c>
    </row>
    <row r="762" spans="1:20" ht="16.5" customHeight="1" thickBot="1" x14ac:dyDescent="0.35">
      <c r="A762" s="62" t="s">
        <v>52</v>
      </c>
      <c r="B762" s="100">
        <f>SUM(B751:B761)</f>
        <v>2100</v>
      </c>
      <c r="C762" s="101">
        <f>SUM(C751:C761)</f>
        <v>3400</v>
      </c>
      <c r="D762" s="101">
        <f>SUM(D751:D761)</f>
        <v>2800</v>
      </c>
      <c r="E762" s="64">
        <f>SUM(B762:D762)</f>
        <v>8300</v>
      </c>
      <c r="F762" s="101">
        <f>SUM(F751:F761)</f>
        <v>2800</v>
      </c>
      <c r="G762" s="101">
        <f>SUM(G751:G761)</f>
        <v>3600</v>
      </c>
      <c r="H762" s="101">
        <f>SUM(H751:H761)</f>
        <v>2900</v>
      </c>
      <c r="I762" s="64">
        <f>SUM(F762:H762)</f>
        <v>9300</v>
      </c>
      <c r="J762" s="101">
        <f>SUM(J751:J761)</f>
        <v>2500</v>
      </c>
      <c r="K762" s="101">
        <f>SUM(K751:K761)</f>
        <v>2500</v>
      </c>
      <c r="L762" s="101">
        <f>SUM(L751:L761)</f>
        <v>2890</v>
      </c>
      <c r="M762" s="64">
        <f>SUM(J762:L762)</f>
        <v>7890</v>
      </c>
      <c r="N762" s="101">
        <f>SUM(N751:N761)</f>
        <v>950</v>
      </c>
      <c r="O762" s="101">
        <f>SUM(O751:O761)</f>
        <v>150</v>
      </c>
      <c r="P762" s="101">
        <f>SUM(P751:P761)</f>
        <v>0</v>
      </c>
      <c r="Q762" s="64">
        <f>SUM(N762:P762)</f>
        <v>1100</v>
      </c>
      <c r="R762" s="64">
        <f>+E762+I762+M762+Q762</f>
        <v>26590</v>
      </c>
    </row>
    <row r="763" spans="1:20" ht="15.75" customHeight="1" x14ac:dyDescent="0.3">
      <c r="A763" s="17" t="s">
        <v>53</v>
      </c>
      <c r="B763" s="1"/>
      <c r="C763" s="1"/>
      <c r="D763" s="1"/>
      <c r="E763" s="59" t="s">
        <v>7</v>
      </c>
      <c r="F763" s="1"/>
      <c r="G763" s="1"/>
      <c r="H763" s="1"/>
      <c r="I763" s="59" t="s">
        <v>7</v>
      </c>
      <c r="J763" s="1"/>
      <c r="K763" s="1"/>
      <c r="L763" s="1"/>
      <c r="M763" s="59" t="s">
        <v>7</v>
      </c>
      <c r="N763" s="1"/>
      <c r="O763" s="1"/>
      <c r="P763" s="1"/>
      <c r="Q763" s="59" t="s">
        <v>7</v>
      </c>
      <c r="R763" s="59" t="s">
        <v>7</v>
      </c>
    </row>
    <row r="764" spans="1:20" ht="15.75" customHeight="1" x14ac:dyDescent="0.3">
      <c r="A764" s="17" t="s">
        <v>55</v>
      </c>
      <c r="B764" s="1"/>
      <c r="C764" s="1"/>
      <c r="D764" s="1"/>
      <c r="E764" s="59" t="s">
        <v>7</v>
      </c>
      <c r="F764" s="1"/>
      <c r="G764" s="1"/>
      <c r="H764" s="1"/>
      <c r="I764" s="59" t="s">
        <v>7</v>
      </c>
      <c r="J764" s="1"/>
      <c r="K764" s="1"/>
      <c r="L764" s="1"/>
      <c r="M764" s="59" t="s">
        <v>7</v>
      </c>
      <c r="N764" s="1"/>
      <c r="O764" s="1"/>
      <c r="P764" s="1"/>
      <c r="Q764" s="59" t="s">
        <v>7</v>
      </c>
      <c r="R764" s="59" t="s">
        <v>7</v>
      </c>
    </row>
    <row r="765" spans="1:20" ht="15.75" customHeight="1" x14ac:dyDescent="0.3">
      <c r="A765" s="74" t="s">
        <v>600</v>
      </c>
      <c r="B765" s="1"/>
      <c r="C765" s="1"/>
      <c r="D765" s="1"/>
      <c r="E765" s="59">
        <f>SUM(B765:D765)</f>
        <v>0</v>
      </c>
      <c r="F765" s="1"/>
      <c r="G765" s="1"/>
      <c r="H765" s="1"/>
      <c r="I765" s="59">
        <f>SUM(F765:H765)</f>
        <v>0</v>
      </c>
      <c r="J765" s="1"/>
      <c r="K765" s="1"/>
      <c r="L765" s="1"/>
      <c r="M765" s="59">
        <f>SUM(J765:L765)</f>
        <v>0</v>
      </c>
      <c r="N765" s="1"/>
      <c r="O765" s="1"/>
      <c r="P765" s="1"/>
      <c r="Q765" s="59">
        <f>SUM(N765:P765)</f>
        <v>0</v>
      </c>
      <c r="R765" s="59">
        <f>+E765+I765+M765+Q765</f>
        <v>0</v>
      </c>
    </row>
    <row r="766" spans="1:20" ht="15.75" customHeight="1" thickBot="1" x14ac:dyDescent="0.35">
      <c r="A766" s="17" t="s">
        <v>56</v>
      </c>
      <c r="B766" s="1"/>
      <c r="C766" s="1"/>
      <c r="D766" s="1"/>
      <c r="E766" s="59" t="s">
        <v>7</v>
      </c>
      <c r="F766" s="1"/>
      <c r="G766" s="1"/>
      <c r="H766" s="1"/>
      <c r="I766" s="59" t="s">
        <v>7</v>
      </c>
      <c r="J766" s="1"/>
      <c r="K766" s="1"/>
      <c r="L766" s="1"/>
      <c r="M766" s="59" t="s">
        <v>7</v>
      </c>
      <c r="N766" s="1"/>
      <c r="O766" s="1"/>
      <c r="P766" s="1"/>
      <c r="Q766" s="59" t="s">
        <v>7</v>
      </c>
      <c r="R766" s="59" t="s">
        <v>7</v>
      </c>
    </row>
    <row r="767" spans="1:20" ht="16.5" customHeight="1" thickBot="1" x14ac:dyDescent="0.35">
      <c r="A767" s="62" t="s">
        <v>57</v>
      </c>
      <c r="B767" s="100">
        <f>SUM(B763:B766)</f>
        <v>0</v>
      </c>
      <c r="C767" s="101">
        <f>SUM(C763:C766)</f>
        <v>0</v>
      </c>
      <c r="D767" s="101">
        <f>SUM(D763:D766)</f>
        <v>0</v>
      </c>
      <c r="E767" s="64">
        <f>SUM(B767:D767)</f>
        <v>0</v>
      </c>
      <c r="F767" s="101">
        <f>SUM(F763:F766)</f>
        <v>0</v>
      </c>
      <c r="G767" s="101">
        <f>SUM(G763:G766)</f>
        <v>0</v>
      </c>
      <c r="H767" s="101">
        <f>SUM(H763:H766)</f>
        <v>0</v>
      </c>
      <c r="I767" s="64">
        <f>SUM(F767:H767)</f>
        <v>0</v>
      </c>
      <c r="J767" s="101">
        <f>SUM(J763:J766)</f>
        <v>0</v>
      </c>
      <c r="K767" s="101">
        <f>SUM(K763:K766)</f>
        <v>0</v>
      </c>
      <c r="L767" s="101">
        <f>SUM(L763:L766)</f>
        <v>0</v>
      </c>
      <c r="M767" s="64">
        <f>SUM(J767:L767)</f>
        <v>0</v>
      </c>
      <c r="N767" s="101">
        <f>SUM(N763:N766)</f>
        <v>0</v>
      </c>
      <c r="O767" s="101">
        <f>SUM(O763:O766)</f>
        <v>0</v>
      </c>
      <c r="P767" s="101">
        <f>SUM(P763:P766)</f>
        <v>0</v>
      </c>
      <c r="Q767" s="64">
        <f>SUM(N767:P767)</f>
        <v>0</v>
      </c>
      <c r="R767" s="64">
        <f>+E767+I767+M767+Q767</f>
        <v>0</v>
      </c>
    </row>
    <row r="768" spans="1:20" ht="15.75" customHeight="1" x14ac:dyDescent="0.3">
      <c r="A768" s="17" t="s">
        <v>58</v>
      </c>
      <c r="B768" s="1"/>
      <c r="C768" s="1"/>
      <c r="D768" s="1"/>
      <c r="E768" s="59" t="s">
        <v>7</v>
      </c>
      <c r="F768" s="1"/>
      <c r="G768" s="1"/>
      <c r="H768" s="1"/>
      <c r="I768" s="59" t="s">
        <v>7</v>
      </c>
      <c r="J768" s="1" t="s">
        <v>7</v>
      </c>
      <c r="K768" s="1"/>
      <c r="L768" s="1"/>
      <c r="M768" s="59" t="s">
        <v>7</v>
      </c>
      <c r="N768" s="1"/>
      <c r="O768" s="1"/>
      <c r="P768" s="1"/>
      <c r="Q768" s="59" t="s">
        <v>7</v>
      </c>
      <c r="R768" s="59" t="s">
        <v>7</v>
      </c>
    </row>
    <row r="769" spans="1:20" ht="18" customHeight="1" x14ac:dyDescent="0.3">
      <c r="A769" s="17" t="s">
        <v>59</v>
      </c>
      <c r="B769" s="1"/>
      <c r="C769" s="1"/>
      <c r="D769" s="1"/>
      <c r="E769" s="59" t="s">
        <v>7</v>
      </c>
      <c r="F769" s="1"/>
      <c r="G769" s="1"/>
      <c r="H769" s="1"/>
      <c r="I769" s="59" t="s">
        <v>7</v>
      </c>
      <c r="J769" s="1"/>
      <c r="K769" s="1"/>
      <c r="L769" s="1"/>
      <c r="M769" s="59" t="s">
        <v>7</v>
      </c>
      <c r="N769" s="1"/>
      <c r="O769" s="1"/>
      <c r="P769" s="1"/>
      <c r="Q769" s="59" t="s">
        <v>7</v>
      </c>
      <c r="R769" s="59" t="s">
        <v>7</v>
      </c>
    </row>
    <row r="770" spans="1:20" ht="15.75" customHeight="1" x14ac:dyDescent="0.3">
      <c r="A770" s="74" t="s">
        <v>601</v>
      </c>
      <c r="B770" s="1">
        <v>401</v>
      </c>
      <c r="C770" s="1">
        <v>684</v>
      </c>
      <c r="D770" s="1">
        <v>705</v>
      </c>
      <c r="E770" s="59">
        <f>SUM(B770:D770)</f>
        <v>1790</v>
      </c>
      <c r="F770" s="1">
        <v>706</v>
      </c>
      <c r="G770" s="1">
        <v>760</v>
      </c>
      <c r="H770" s="1">
        <v>720</v>
      </c>
      <c r="I770" s="59">
        <f>SUM(F770:H770)</f>
        <v>2186</v>
      </c>
      <c r="J770" s="1">
        <v>760</v>
      </c>
      <c r="K770" s="1">
        <v>710</v>
      </c>
      <c r="L770" s="1">
        <v>706</v>
      </c>
      <c r="M770" s="59">
        <f>SUM(J770:L770)</f>
        <v>2176</v>
      </c>
      <c r="N770" s="1">
        <v>401</v>
      </c>
      <c r="O770" s="1">
        <v>301</v>
      </c>
      <c r="P770" s="1">
        <v>301</v>
      </c>
      <c r="Q770" s="59">
        <f>SUM(N770:P770)</f>
        <v>1003</v>
      </c>
      <c r="R770" s="59">
        <f>+E770+I770+M770+Q770</f>
        <v>7155</v>
      </c>
      <c r="T770" s="4" t="s">
        <v>602</v>
      </c>
    </row>
    <row r="771" spans="1:20" ht="15.75" customHeight="1" x14ac:dyDescent="0.3">
      <c r="A771" s="74" t="s">
        <v>603</v>
      </c>
      <c r="B771" s="1">
        <v>25</v>
      </c>
      <c r="C771" s="1">
        <v>30</v>
      </c>
      <c r="D771" s="1">
        <v>60</v>
      </c>
      <c r="E771" s="59">
        <f>SUM(B771:D771)</f>
        <v>115</v>
      </c>
      <c r="F771" s="1">
        <v>80</v>
      </c>
      <c r="G771" s="1">
        <v>85</v>
      </c>
      <c r="H771" s="1">
        <v>90</v>
      </c>
      <c r="I771" s="59">
        <f>SUM(F771:H771)</f>
        <v>255</v>
      </c>
      <c r="J771" s="1">
        <v>75</v>
      </c>
      <c r="K771" s="1">
        <v>55</v>
      </c>
      <c r="L771" s="1"/>
      <c r="M771" s="59">
        <f>SUM(J771:L771)</f>
        <v>130</v>
      </c>
      <c r="N771" s="1"/>
      <c r="O771" s="1"/>
      <c r="P771" s="1"/>
      <c r="Q771" s="59">
        <f>SUM(N771:P771)</f>
        <v>0</v>
      </c>
      <c r="R771" s="59">
        <f>+E771+I771+M771+Q771</f>
        <v>500</v>
      </c>
      <c r="T771" s="4" t="s">
        <v>604</v>
      </c>
    </row>
    <row r="772" spans="1:20" ht="15.75" customHeight="1" x14ac:dyDescent="0.3">
      <c r="A772" s="17" t="s">
        <v>60</v>
      </c>
      <c r="B772" s="1"/>
      <c r="C772" s="1"/>
      <c r="D772" s="1"/>
      <c r="E772" s="59" t="s">
        <v>7</v>
      </c>
      <c r="F772" s="1"/>
      <c r="G772" s="1"/>
      <c r="H772" s="1"/>
      <c r="I772" s="59" t="s">
        <v>7</v>
      </c>
      <c r="J772" s="1"/>
      <c r="K772" s="1"/>
      <c r="L772" s="1"/>
      <c r="M772" s="59" t="s">
        <v>7</v>
      </c>
      <c r="N772" s="1"/>
      <c r="O772" s="1"/>
      <c r="P772" s="1"/>
      <c r="Q772" s="59" t="s">
        <v>7</v>
      </c>
      <c r="R772" s="59" t="s">
        <v>7</v>
      </c>
    </row>
    <row r="773" spans="1:20" ht="15.75" customHeight="1" x14ac:dyDescent="0.3">
      <c r="A773" s="74" t="s">
        <v>606</v>
      </c>
      <c r="B773" s="1"/>
      <c r="C773" s="1"/>
      <c r="D773" s="1"/>
      <c r="E773" s="59">
        <f>SUM(B773:D773)</f>
        <v>0</v>
      </c>
      <c r="F773" s="1"/>
      <c r="G773" s="1"/>
      <c r="H773" s="1"/>
      <c r="I773" s="59">
        <f>SUM(F773:H773)</f>
        <v>0</v>
      </c>
      <c r="J773" s="1"/>
      <c r="K773" s="1">
        <v>15</v>
      </c>
      <c r="L773" s="1">
        <v>60</v>
      </c>
      <c r="M773" s="59">
        <f>SUM(J773:L773)</f>
        <v>75</v>
      </c>
      <c r="N773" s="1">
        <v>70</v>
      </c>
      <c r="O773" s="1">
        <v>50</v>
      </c>
      <c r="P773" s="1">
        <v>35</v>
      </c>
      <c r="Q773" s="59">
        <f>SUM(N773:P773)</f>
        <v>155</v>
      </c>
      <c r="R773" s="59">
        <f>+E773+I773+M773+Q773</f>
        <v>230</v>
      </c>
      <c r="T773" s="4" t="s">
        <v>604</v>
      </c>
    </row>
    <row r="774" spans="1:20" ht="15.75" customHeight="1" x14ac:dyDescent="0.3">
      <c r="A774" s="74" t="s">
        <v>607</v>
      </c>
      <c r="B774" s="1"/>
      <c r="C774" s="1"/>
      <c r="D774" s="1"/>
      <c r="E774" s="59">
        <f>SUM(B774:D774)</f>
        <v>0</v>
      </c>
      <c r="F774" s="1"/>
      <c r="G774" s="1"/>
      <c r="H774" s="1"/>
      <c r="I774" s="59">
        <f>SUM(F774:H774)</f>
        <v>0</v>
      </c>
      <c r="J774" s="1"/>
      <c r="K774" s="1"/>
      <c r="L774" s="1"/>
      <c r="M774" s="59">
        <f>SUM(J774:L774)</f>
        <v>0</v>
      </c>
      <c r="N774" s="1"/>
      <c r="O774" s="1"/>
      <c r="P774" s="1"/>
      <c r="Q774" s="59">
        <f>SUM(N774:P774)</f>
        <v>0</v>
      </c>
      <c r="R774" s="59">
        <f>+E774+I774+M774+Q774</f>
        <v>0</v>
      </c>
    </row>
    <row r="775" spans="1:20" ht="15.75" customHeight="1" x14ac:dyDescent="0.3">
      <c r="A775" s="74" t="s">
        <v>609</v>
      </c>
      <c r="B775" s="1"/>
      <c r="C775" s="1"/>
      <c r="D775" s="1"/>
      <c r="E775" s="59">
        <f>SUM(B775:D775)</f>
        <v>0</v>
      </c>
      <c r="F775" s="1"/>
      <c r="G775" s="1"/>
      <c r="H775" s="1"/>
      <c r="I775" s="59">
        <f>SUM(F775:H775)</f>
        <v>0</v>
      </c>
      <c r="J775" s="1"/>
      <c r="K775" s="1"/>
      <c r="L775" s="1"/>
      <c r="M775" s="59">
        <f>SUM(J775:L775)</f>
        <v>0</v>
      </c>
      <c r="N775" s="1"/>
      <c r="O775" s="1"/>
      <c r="P775" s="1"/>
      <c r="Q775" s="59">
        <f>SUM(N775:P775)</f>
        <v>0</v>
      </c>
      <c r="R775" s="59">
        <f>+E775+I775+M775+Q775</f>
        <v>0</v>
      </c>
      <c r="T775" s="4" t="s">
        <v>593</v>
      </c>
    </row>
    <row r="776" spans="1:20" ht="15.75" customHeight="1" thickBot="1" x14ac:dyDescent="0.35">
      <c r="A776" s="74" t="s">
        <v>610</v>
      </c>
      <c r="B776" s="1">
        <v>849</v>
      </c>
      <c r="C776" s="1">
        <v>767</v>
      </c>
      <c r="D776" s="1">
        <v>849</v>
      </c>
      <c r="E776" s="59">
        <f>SUM(B776:D776)</f>
        <v>2465</v>
      </c>
      <c r="F776" s="1">
        <v>822</v>
      </c>
      <c r="G776" s="1">
        <v>849</v>
      </c>
      <c r="H776" s="1">
        <v>824</v>
      </c>
      <c r="I776" s="59">
        <f>SUM(F776:H776)</f>
        <v>2495</v>
      </c>
      <c r="J776" s="1">
        <v>849</v>
      </c>
      <c r="K776" s="1">
        <v>849</v>
      </c>
      <c r="L776" s="1">
        <v>822</v>
      </c>
      <c r="M776" s="59">
        <f>SUM(J776:L776)</f>
        <v>2520</v>
      </c>
      <c r="N776" s="1">
        <v>849</v>
      </c>
      <c r="O776" s="1">
        <v>822</v>
      </c>
      <c r="P776" s="1">
        <v>849</v>
      </c>
      <c r="Q776" s="59">
        <f>SUM(N776:P776)</f>
        <v>2520</v>
      </c>
      <c r="R776" s="59">
        <f>+E776+I776+M776+Q776</f>
        <v>10000</v>
      </c>
      <c r="T776" s="4" t="s">
        <v>611</v>
      </c>
    </row>
    <row r="777" spans="1:20" ht="16.5" customHeight="1" thickBot="1" x14ac:dyDescent="0.35">
      <c r="A777" s="62" t="s">
        <v>61</v>
      </c>
      <c r="B777" s="100">
        <f>SUM(B768:B776)</f>
        <v>1275</v>
      </c>
      <c r="C777" s="101">
        <f>SUM(C768:C776)</f>
        <v>1481</v>
      </c>
      <c r="D777" s="101">
        <f>SUM(D768:D776)</f>
        <v>1614</v>
      </c>
      <c r="E777" s="64">
        <f>SUM(B777:D777)</f>
        <v>4370</v>
      </c>
      <c r="F777" s="101">
        <f>SUM(F768:F776)</f>
        <v>1608</v>
      </c>
      <c r="G777" s="101">
        <f>SUM(G768:G776)</f>
        <v>1694</v>
      </c>
      <c r="H777" s="101">
        <f>SUM(H768:H776)</f>
        <v>1634</v>
      </c>
      <c r="I777" s="64">
        <f>SUM(F777:H777)</f>
        <v>4936</v>
      </c>
      <c r="J777" s="101">
        <f>SUM(J768:J776)</f>
        <v>1684</v>
      </c>
      <c r="K777" s="101">
        <f>SUM(K768:K776)</f>
        <v>1629</v>
      </c>
      <c r="L777" s="101">
        <f>SUM(L768:L776)</f>
        <v>1588</v>
      </c>
      <c r="M777" s="64">
        <f>SUM(J777:L777)</f>
        <v>4901</v>
      </c>
      <c r="N777" s="101">
        <f>SUM(N768:N776)</f>
        <v>1320</v>
      </c>
      <c r="O777" s="101">
        <f>SUM(O768:O776)</f>
        <v>1173</v>
      </c>
      <c r="P777" s="101">
        <f>SUM(P768:P776)</f>
        <v>1185</v>
      </c>
      <c r="Q777" s="64">
        <f>SUM(N777:P777)</f>
        <v>3678</v>
      </c>
      <c r="R777" s="64">
        <f>+E777+I777+M777+Q777</f>
        <v>17885</v>
      </c>
    </row>
    <row r="778" spans="1:20" ht="15.75" customHeight="1" x14ac:dyDescent="0.3">
      <c r="A778" s="17" t="s">
        <v>62</v>
      </c>
      <c r="B778" s="1"/>
      <c r="C778" s="1"/>
      <c r="D778" s="1"/>
      <c r="E778" s="59" t="s">
        <v>7</v>
      </c>
      <c r="F778" s="1"/>
      <c r="G778" s="1"/>
      <c r="H778" s="1"/>
      <c r="I778" s="59" t="s">
        <v>7</v>
      </c>
      <c r="J778" s="1"/>
      <c r="K778" s="1"/>
      <c r="L778" s="1"/>
      <c r="M778" s="59" t="s">
        <v>7</v>
      </c>
      <c r="N778" s="1"/>
      <c r="O778" s="1"/>
      <c r="P778" s="1"/>
      <c r="Q778" s="59" t="s">
        <v>7</v>
      </c>
      <c r="R778" s="59" t="s">
        <v>7</v>
      </c>
    </row>
    <row r="779" spans="1:20" ht="15.75" customHeight="1" x14ac:dyDescent="0.3">
      <c r="A779" s="17" t="s">
        <v>63</v>
      </c>
      <c r="B779" s="1"/>
      <c r="C779" s="1"/>
      <c r="D779" s="1"/>
      <c r="E779" s="59" t="s">
        <v>7</v>
      </c>
      <c r="F779" s="1"/>
      <c r="G779" s="1"/>
      <c r="H779" s="1"/>
      <c r="I779" s="59" t="s">
        <v>7</v>
      </c>
      <c r="J779" s="1"/>
      <c r="K779" s="1"/>
      <c r="L779" s="1"/>
      <c r="M779" s="59" t="s">
        <v>7</v>
      </c>
      <c r="N779" s="1"/>
      <c r="O779" s="1"/>
      <c r="P779" s="1"/>
      <c r="Q779" s="59" t="s">
        <v>7</v>
      </c>
      <c r="R779" s="59" t="s">
        <v>7</v>
      </c>
    </row>
    <row r="780" spans="1:20" ht="15.75" customHeight="1" x14ac:dyDescent="0.3">
      <c r="A780" s="74" t="s">
        <v>926</v>
      </c>
      <c r="B780" s="1"/>
      <c r="C780" s="1"/>
      <c r="D780" s="1"/>
      <c r="E780" s="59">
        <f>SUM(B780:D780)</f>
        <v>0</v>
      </c>
      <c r="F780" s="1"/>
      <c r="G780" s="1"/>
      <c r="H780" s="1"/>
      <c r="I780" s="59">
        <f>SUM(F780:H780)</f>
        <v>0</v>
      </c>
      <c r="J780" s="1"/>
      <c r="K780" s="1"/>
      <c r="L780" s="1"/>
      <c r="M780" s="59">
        <f>SUM(J780:L780)</f>
        <v>0</v>
      </c>
      <c r="N780" s="1"/>
      <c r="O780" s="1"/>
      <c r="P780" s="1"/>
      <c r="Q780" s="59">
        <f>SUM(N780:P780)</f>
        <v>0</v>
      </c>
      <c r="R780" s="59">
        <f>+E780+I780+M780+Q780</f>
        <v>0</v>
      </c>
    </row>
    <row r="781" spans="1:20" ht="15.75" customHeight="1" x14ac:dyDescent="0.3">
      <c r="A781" s="74" t="s">
        <v>613</v>
      </c>
      <c r="B781" s="1"/>
      <c r="C781" s="1"/>
      <c r="D781" s="1"/>
      <c r="E781" s="59">
        <f>SUM(B781:D781)</f>
        <v>0</v>
      </c>
      <c r="F781" s="1"/>
      <c r="G781" s="1"/>
      <c r="H781" s="1"/>
      <c r="I781" s="59">
        <f>SUM(F781:H781)</f>
        <v>0</v>
      </c>
      <c r="J781" s="1"/>
      <c r="K781" s="1"/>
      <c r="L781" s="1"/>
      <c r="M781" s="59">
        <f>SUM(J781:L781)</f>
        <v>0</v>
      </c>
      <c r="N781" s="1"/>
      <c r="O781" s="1"/>
      <c r="P781" s="1"/>
      <c r="Q781" s="59">
        <f>SUM(N781:P781)</f>
        <v>0</v>
      </c>
      <c r="R781" s="59">
        <f>+E781+I781+M781+Q781</f>
        <v>0</v>
      </c>
    </row>
    <row r="782" spans="1:20" ht="15.75" customHeight="1" x14ac:dyDescent="0.3">
      <c r="A782" s="17" t="s">
        <v>64</v>
      </c>
      <c r="B782" s="1"/>
      <c r="C782" s="1"/>
      <c r="D782" s="1"/>
      <c r="E782" s="59" t="s">
        <v>7</v>
      </c>
      <c r="F782" s="1"/>
      <c r="G782" s="1"/>
      <c r="H782" s="1"/>
      <c r="I782" s="59" t="s">
        <v>7</v>
      </c>
      <c r="J782" s="1"/>
      <c r="K782" s="1"/>
      <c r="L782" s="1"/>
      <c r="M782" s="59" t="s">
        <v>7</v>
      </c>
      <c r="N782" s="1"/>
      <c r="O782" s="1"/>
      <c r="P782" s="1"/>
      <c r="Q782" s="59" t="s">
        <v>7</v>
      </c>
      <c r="R782" s="59" t="s">
        <v>7</v>
      </c>
    </row>
    <row r="783" spans="1:20" ht="15.75" customHeight="1" x14ac:dyDescent="0.3">
      <c r="A783" s="74" t="s">
        <v>614</v>
      </c>
      <c r="B783" s="1"/>
      <c r="C783" s="1"/>
      <c r="D783" s="1"/>
      <c r="E783" s="59">
        <f>SUM(B783:D783)</f>
        <v>0</v>
      </c>
      <c r="F783" s="1"/>
      <c r="G783" s="1"/>
      <c r="H783" s="1"/>
      <c r="I783" s="59">
        <f>SUM(F783:H783)</f>
        <v>0</v>
      </c>
      <c r="J783" s="1"/>
      <c r="K783" s="1"/>
      <c r="L783" s="1"/>
      <c r="M783" s="59">
        <f>SUM(J783:L783)</f>
        <v>0</v>
      </c>
      <c r="N783" s="1"/>
      <c r="O783" s="1"/>
      <c r="P783" s="1"/>
      <c r="Q783" s="59">
        <f>SUM(N783:P783)</f>
        <v>0</v>
      </c>
      <c r="R783" s="59">
        <f>+E783+I783+M783+Q783</f>
        <v>0</v>
      </c>
    </row>
    <row r="784" spans="1:20" ht="15.75" customHeight="1" x14ac:dyDescent="0.3">
      <c r="A784" s="74" t="s">
        <v>615</v>
      </c>
      <c r="B784" s="1"/>
      <c r="C784" s="1"/>
      <c r="D784" s="1"/>
      <c r="E784" s="59">
        <f>SUM(B784:D784)</f>
        <v>0</v>
      </c>
      <c r="F784" s="1"/>
      <c r="G784" s="1"/>
      <c r="H784" s="1"/>
      <c r="I784" s="59">
        <f>SUM(F784:H784)</f>
        <v>0</v>
      </c>
      <c r="J784" s="1"/>
      <c r="K784" s="1"/>
      <c r="L784" s="1"/>
      <c r="M784" s="59">
        <f>SUM(J784:L784)</f>
        <v>0</v>
      </c>
      <c r="N784" s="1"/>
      <c r="O784" s="1"/>
      <c r="P784" s="1"/>
      <c r="Q784" s="59">
        <f>SUM(N784:P784)</f>
        <v>0</v>
      </c>
      <c r="R784" s="59">
        <f>+E784+I784+M784+Q784</f>
        <v>0</v>
      </c>
    </row>
    <row r="785" spans="1:18" ht="15.75" customHeight="1" x14ac:dyDescent="0.3">
      <c r="A785" s="17" t="s">
        <v>66</v>
      </c>
      <c r="B785" s="1"/>
      <c r="C785" s="1"/>
      <c r="D785" s="1"/>
      <c r="E785" s="59" t="s">
        <v>7</v>
      </c>
      <c r="F785" s="1"/>
      <c r="G785" s="1"/>
      <c r="H785" s="1"/>
      <c r="I785" s="59" t="s">
        <v>7</v>
      </c>
      <c r="J785" s="1"/>
      <c r="K785" s="1"/>
      <c r="L785" s="1"/>
      <c r="M785" s="59" t="s">
        <v>7</v>
      </c>
      <c r="N785" s="1"/>
      <c r="O785" s="1"/>
      <c r="P785" s="1"/>
      <c r="Q785" s="59" t="s">
        <v>7</v>
      </c>
      <c r="R785" s="59" t="s">
        <v>7</v>
      </c>
    </row>
    <row r="786" spans="1:18" ht="15.75" customHeight="1" thickBot="1" x14ac:dyDescent="0.35">
      <c r="A786" s="17" t="s">
        <v>67</v>
      </c>
      <c r="B786" s="1"/>
      <c r="C786" s="1"/>
      <c r="D786" s="1"/>
      <c r="E786" s="59" t="s">
        <v>7</v>
      </c>
      <c r="F786" s="1"/>
      <c r="G786" s="1"/>
      <c r="H786" s="1"/>
      <c r="I786" s="59" t="s">
        <v>7</v>
      </c>
      <c r="J786" s="1"/>
      <c r="K786" s="1"/>
      <c r="L786" s="1"/>
      <c r="M786" s="59" t="s">
        <v>7</v>
      </c>
      <c r="N786" s="1"/>
      <c r="O786" s="1"/>
      <c r="P786" s="1"/>
      <c r="Q786" s="59" t="s">
        <v>7</v>
      </c>
      <c r="R786" s="59" t="s">
        <v>7</v>
      </c>
    </row>
    <row r="787" spans="1:18" ht="16.5" customHeight="1" thickBot="1" x14ac:dyDescent="0.35">
      <c r="A787" s="62" t="s">
        <v>68</v>
      </c>
      <c r="B787" s="63">
        <f>SUM(B785:B786)</f>
        <v>0</v>
      </c>
      <c r="C787" s="63">
        <f>SUM(C785:C786)</f>
        <v>0</v>
      </c>
      <c r="D787" s="63">
        <f>SUM(D785:D786)</f>
        <v>0</v>
      </c>
      <c r="E787" s="65">
        <f>SUM(B787:D787)</f>
        <v>0</v>
      </c>
      <c r="F787" s="63">
        <f>SUM(F785:F786)</f>
        <v>0</v>
      </c>
      <c r="G787" s="63">
        <f>SUM(G785:G786)</f>
        <v>0</v>
      </c>
      <c r="H787" s="63">
        <f>SUM(H785:H786)</f>
        <v>0</v>
      </c>
      <c r="I787" s="65">
        <f>SUM(F787:H787)</f>
        <v>0</v>
      </c>
      <c r="J787" s="63">
        <f>SUM(J785:J786)</f>
        <v>0</v>
      </c>
      <c r="K787" s="63">
        <f>SUM(K785:K786)</f>
        <v>0</v>
      </c>
      <c r="L787" s="63">
        <f>SUM(L785:L786)</f>
        <v>0</v>
      </c>
      <c r="M787" s="65">
        <f>SUM(J787:L787)</f>
        <v>0</v>
      </c>
      <c r="N787" s="63">
        <f>SUM(N785:N786)</f>
        <v>0</v>
      </c>
      <c r="O787" s="63">
        <f>SUM(O785:O786)</f>
        <v>0</v>
      </c>
      <c r="P787" s="63">
        <f>SUM(P785:P786)</f>
        <v>0</v>
      </c>
      <c r="Q787" s="65">
        <f>SUM(N787:P787)</f>
        <v>0</v>
      </c>
      <c r="R787" s="64">
        <f>+E787+I787+M787+Q787</f>
        <v>0</v>
      </c>
    </row>
    <row r="788" spans="1:18" ht="16.5" customHeight="1" thickBot="1" x14ac:dyDescent="0.35">
      <c r="A788" s="62" t="s">
        <v>69</v>
      </c>
      <c r="B788" s="100">
        <f>SUM(B778:B786)</f>
        <v>0</v>
      </c>
      <c r="C788" s="101">
        <f>SUM(C778:C786)</f>
        <v>0</v>
      </c>
      <c r="D788" s="138">
        <f>SUM(D778:D786)</f>
        <v>0</v>
      </c>
      <c r="E788" s="65">
        <f>SUM(B788:D788)</f>
        <v>0</v>
      </c>
      <c r="F788" s="101">
        <f>SUM(F778:F786)</f>
        <v>0</v>
      </c>
      <c r="G788" s="101">
        <f>SUM(G778:G786)</f>
        <v>0</v>
      </c>
      <c r="H788" s="101">
        <f>SUM(H778:H786)</f>
        <v>0</v>
      </c>
      <c r="I788" s="65">
        <f>SUM(F788:H788)</f>
        <v>0</v>
      </c>
      <c r="J788" s="101">
        <f>SUM(J778:J786)</f>
        <v>0</v>
      </c>
      <c r="K788" s="101">
        <f>SUM(K778:K786)</f>
        <v>0</v>
      </c>
      <c r="L788" s="101">
        <f>SUM(L778:L786)</f>
        <v>0</v>
      </c>
      <c r="M788" s="65">
        <f>SUM(J788:L788)</f>
        <v>0</v>
      </c>
      <c r="N788" s="101">
        <f>SUM(N778:N786)</f>
        <v>0</v>
      </c>
      <c r="O788" s="101">
        <f>SUM(O778:O786)</f>
        <v>0</v>
      </c>
      <c r="P788" s="101">
        <f>SUM(P778:P786)</f>
        <v>0</v>
      </c>
      <c r="Q788" s="65">
        <f>SUM(N788:P788)</f>
        <v>0</v>
      </c>
      <c r="R788" s="64">
        <f>+E788+I788+M788+Q788</f>
        <v>0</v>
      </c>
    </row>
    <row r="789" spans="1:18" ht="16.5" customHeight="1" thickBot="1" x14ac:dyDescent="0.35">
      <c r="A789" s="62" t="s">
        <v>70</v>
      </c>
      <c r="B789" s="107">
        <f>+B762+B767+B777+B788</f>
        <v>3375</v>
      </c>
      <c r="C789" s="63">
        <f>+C762+C767+C777+C788</f>
        <v>4881</v>
      </c>
      <c r="D789" s="63">
        <f>+D762+D767+D777+D788</f>
        <v>4414</v>
      </c>
      <c r="E789" s="64">
        <f>SUM(B789:D789)</f>
        <v>12670</v>
      </c>
      <c r="F789" s="63">
        <f>+F762+F767+F777+F788</f>
        <v>4408</v>
      </c>
      <c r="G789" s="63">
        <f>+G762+G767+G777+G788</f>
        <v>5294</v>
      </c>
      <c r="H789" s="63">
        <f>+H762+H767+H777+H788</f>
        <v>4534</v>
      </c>
      <c r="I789" s="64">
        <f>SUM(F789:H789)</f>
        <v>14236</v>
      </c>
      <c r="J789" s="63">
        <f>+J762+J767+J777+J788</f>
        <v>4184</v>
      </c>
      <c r="K789" s="63">
        <f>+K762+K767+K777+K788</f>
        <v>4129</v>
      </c>
      <c r="L789" s="63">
        <f>+L762+L767+L777+L788</f>
        <v>4478</v>
      </c>
      <c r="M789" s="64">
        <f>SUM(J789:L789)</f>
        <v>12791</v>
      </c>
      <c r="N789" s="63">
        <f>+N762+N767+N777+N788</f>
        <v>2270</v>
      </c>
      <c r="O789" s="63">
        <f>+O762+O767+O777+O788</f>
        <v>1323</v>
      </c>
      <c r="P789" s="63">
        <f>+P762+P767+P777+P788</f>
        <v>1185</v>
      </c>
      <c r="Q789" s="64">
        <f>SUM(N789:P789)</f>
        <v>4778</v>
      </c>
      <c r="R789" s="88">
        <f>+E789+I789+M789+Q789</f>
        <v>44475</v>
      </c>
    </row>
    <row r="790" spans="1:18" ht="16.5" customHeight="1" thickBot="1" x14ac:dyDescent="0.35">
      <c r="A790" s="40" t="s">
        <v>37</v>
      </c>
      <c r="B790" s="25">
        <v>11</v>
      </c>
      <c r="C790" s="25">
        <v>13</v>
      </c>
      <c r="D790" s="25">
        <v>17</v>
      </c>
      <c r="E790" s="59">
        <f>SUM(B790:D790)</f>
        <v>41</v>
      </c>
      <c r="F790" s="25">
        <v>21</v>
      </c>
      <c r="G790" s="25">
        <v>23</v>
      </c>
      <c r="H790" s="25">
        <v>25</v>
      </c>
      <c r="I790" s="59">
        <f>SUM(F790:H790)</f>
        <v>69</v>
      </c>
      <c r="J790" s="25">
        <v>25</v>
      </c>
      <c r="K790" s="25">
        <v>21</v>
      </c>
      <c r="L790" s="25">
        <v>19</v>
      </c>
      <c r="M790" s="59">
        <f>SUM(J790:L790)</f>
        <v>65</v>
      </c>
      <c r="N790" s="25">
        <v>17</v>
      </c>
      <c r="O790" s="25">
        <v>13</v>
      </c>
      <c r="P790" s="25">
        <v>11</v>
      </c>
      <c r="Q790" s="59">
        <f>SUM(N790:P790)</f>
        <v>41</v>
      </c>
      <c r="R790" s="59">
        <f>+E790+I790+M790+Q790</f>
        <v>216</v>
      </c>
    </row>
    <row r="791" spans="1:18" ht="16.5" customHeight="1" thickBot="1" x14ac:dyDescent="0.35">
      <c r="A791" s="42"/>
      <c r="B791" s="37"/>
      <c r="C791" s="37"/>
      <c r="D791" s="37"/>
      <c r="E791" s="64" t="s">
        <v>7</v>
      </c>
      <c r="F791" s="37"/>
      <c r="G791" s="37"/>
      <c r="H791" s="37"/>
      <c r="I791" s="64" t="s">
        <v>7</v>
      </c>
      <c r="J791" s="37"/>
      <c r="K791" s="37"/>
      <c r="L791" s="37"/>
      <c r="M791" s="64" t="s">
        <v>7</v>
      </c>
      <c r="N791" s="37"/>
      <c r="O791" s="37"/>
      <c r="P791" s="37"/>
      <c r="Q791" s="64" t="s">
        <v>7</v>
      </c>
      <c r="R791" s="64" t="s">
        <v>7</v>
      </c>
    </row>
    <row r="792" spans="1:18" ht="15.75" customHeight="1" x14ac:dyDescent="0.3">
      <c r="A792" s="17" t="s">
        <v>38</v>
      </c>
      <c r="B792" s="1">
        <f>SUM(B789:B790)</f>
        <v>3386</v>
      </c>
      <c r="C792" s="1">
        <f>SUM(C789:C790)</f>
        <v>4894</v>
      </c>
      <c r="D792" s="1">
        <f>SUM(D789:D790)</f>
        <v>4431</v>
      </c>
      <c r="E792" s="65">
        <f>SUM(B792:D792)</f>
        <v>12711</v>
      </c>
      <c r="F792" s="1">
        <f>SUM(F789:F790)</f>
        <v>4429</v>
      </c>
      <c r="G792" s="1">
        <f>SUM(G789:G790)</f>
        <v>5317</v>
      </c>
      <c r="H792" s="1">
        <f>SUM(H789:H790)</f>
        <v>4559</v>
      </c>
      <c r="I792" s="65">
        <f>SUM(F792:H792)</f>
        <v>14305</v>
      </c>
      <c r="J792" s="1">
        <f>SUM(J789:J790)</f>
        <v>4209</v>
      </c>
      <c r="K792" s="1">
        <f>SUM(K789:K790)</f>
        <v>4150</v>
      </c>
      <c r="L792" s="1">
        <f>SUM(L789:L790)</f>
        <v>4497</v>
      </c>
      <c r="M792" s="65">
        <f>SUM(J792:L792)</f>
        <v>12856</v>
      </c>
      <c r="N792" s="1">
        <f>SUM(N789:N790)</f>
        <v>2287</v>
      </c>
      <c r="O792" s="1">
        <f>SUM(O789:O790)</f>
        <v>1336</v>
      </c>
      <c r="P792" s="1">
        <f>SUM(P789:P790)</f>
        <v>1196</v>
      </c>
      <c r="Q792" s="65">
        <f>SUM(N792:P792)</f>
        <v>4819</v>
      </c>
      <c r="R792" s="65">
        <f>+E792+I792+M792+Q792</f>
        <v>44691</v>
      </c>
    </row>
    <row r="793" spans="1:18" ht="15.75" customHeight="1" x14ac:dyDescent="0.3">
      <c r="A793" s="17" t="s">
        <v>39</v>
      </c>
      <c r="B793" s="1">
        <f>(B792/B10)/1.983</f>
        <v>55.081092512159806</v>
      </c>
      <c r="C793" s="1">
        <f>(C792/C10)/1.983</f>
        <v>88.142064692745464</v>
      </c>
      <c r="D793" s="1">
        <f>(D792/D10)/1.983</f>
        <v>72.08042555268166</v>
      </c>
      <c r="E793" s="59" t="s">
        <v>7</v>
      </c>
      <c r="F793" s="1">
        <f>(F792/F10)/1.983</f>
        <v>74.44948730879139</v>
      </c>
      <c r="G793" s="1">
        <f>(G792/G10)/1.983</f>
        <v>86.493257202349</v>
      </c>
      <c r="H793" s="1">
        <f>(H792/H10)/1.983</f>
        <v>76.634728525802657</v>
      </c>
      <c r="I793" s="59" t="s">
        <v>7</v>
      </c>
      <c r="J793" s="1">
        <f>(J792/J10)/1.983</f>
        <v>68.469083988092336</v>
      </c>
      <c r="K793" s="1">
        <f>(K792/K10)/1.983</f>
        <v>67.509313031737506</v>
      </c>
      <c r="L793" s="1">
        <f>(L792/L10)/1.983</f>
        <v>75.592536560766519</v>
      </c>
      <c r="M793" s="59" t="s">
        <v>7</v>
      </c>
      <c r="N793" s="1">
        <f>(N792/N10)/1.983</f>
        <v>37.203325037008121</v>
      </c>
      <c r="O793" s="1">
        <f>(O792/O10)/1.983</f>
        <v>22.457555891746509</v>
      </c>
      <c r="P793" s="1">
        <f>(P792/P10)/1.983</f>
        <v>19.455695996616399</v>
      </c>
      <c r="Q793" s="59" t="s">
        <v>7</v>
      </c>
      <c r="R793" s="59" t="s">
        <v>7</v>
      </c>
    </row>
    <row r="794" spans="1:18" ht="15.75" customHeight="1" x14ac:dyDescent="0.3">
      <c r="A794" s="17" t="s">
        <v>616</v>
      </c>
      <c r="B794" s="1">
        <f>B792</f>
        <v>3386</v>
      </c>
      <c r="C794" s="1">
        <f>C792</f>
        <v>4894</v>
      </c>
      <c r="D794" s="1">
        <f>D792</f>
        <v>4431</v>
      </c>
      <c r="E794" s="59">
        <f>SUM(B794:D794)</f>
        <v>12711</v>
      </c>
      <c r="F794" s="1">
        <f>F792</f>
        <v>4429</v>
      </c>
      <c r="G794" s="1">
        <f>G792</f>
        <v>5317</v>
      </c>
      <c r="H794" s="1">
        <f>H792</f>
        <v>4559</v>
      </c>
      <c r="I794" s="59">
        <f>SUM(F794:H794)</f>
        <v>14305</v>
      </c>
      <c r="J794" s="1">
        <f>J792</f>
        <v>4209</v>
      </c>
      <c r="K794" s="1">
        <f>K792</f>
        <v>4150</v>
      </c>
      <c r="L794" s="1">
        <f>L792</f>
        <v>4497</v>
      </c>
      <c r="M794" s="59">
        <f>SUM(J794:L794)</f>
        <v>12856</v>
      </c>
      <c r="N794" s="1">
        <f>N792</f>
        <v>2287</v>
      </c>
      <c r="O794" s="1">
        <f>O792</f>
        <v>1336</v>
      </c>
      <c r="P794" s="1">
        <f>P792</f>
        <v>1196</v>
      </c>
      <c r="Q794" s="59">
        <f>SUM(N794:P794)</f>
        <v>4819</v>
      </c>
      <c r="R794" s="59">
        <f>+E794+I794+M794+Q794</f>
        <v>44691</v>
      </c>
    </row>
    <row r="795" spans="1:18" ht="16.5" customHeight="1" thickBot="1" x14ac:dyDescent="0.35">
      <c r="A795" s="24" t="s">
        <v>617</v>
      </c>
      <c r="B795" s="25">
        <f>(B794/B10)/1.983</f>
        <v>55.081092512159806</v>
      </c>
      <c r="C795" s="25">
        <f>(C794/C10)/1.983</f>
        <v>88.142064692745464</v>
      </c>
      <c r="D795" s="25">
        <f>(D794/D10)/1.983</f>
        <v>72.08042555268166</v>
      </c>
      <c r="E795" s="88" t="s">
        <v>7</v>
      </c>
      <c r="F795" s="25">
        <f>(F794/F10)/1.983</f>
        <v>74.44948730879139</v>
      </c>
      <c r="G795" s="25">
        <f>(G794/G10)/1.983</f>
        <v>86.493257202349</v>
      </c>
      <c r="H795" s="25">
        <f>(H794/H10)/1.983</f>
        <v>76.634728525802657</v>
      </c>
      <c r="I795" s="88" t="s">
        <v>7</v>
      </c>
      <c r="J795" s="25">
        <f>(J794/J10)/1.983</f>
        <v>68.469083988092336</v>
      </c>
      <c r="K795" s="25">
        <f>(K794/K10)/1.983</f>
        <v>67.509313031737506</v>
      </c>
      <c r="L795" s="25">
        <f>(L794/L10)/1.983</f>
        <v>75.592536560766519</v>
      </c>
      <c r="M795" s="88" t="s">
        <v>7</v>
      </c>
      <c r="N795" s="25">
        <f>(N794/N10)/1.983</f>
        <v>37.203325037008121</v>
      </c>
      <c r="O795" s="25">
        <f>(O794/O10)/1.983</f>
        <v>22.457555891746509</v>
      </c>
      <c r="P795" s="25">
        <f>(P794/P10)/1.983</f>
        <v>19.455695996616399</v>
      </c>
      <c r="Q795" s="88" t="s">
        <v>7</v>
      </c>
      <c r="R795" s="88" t="s">
        <v>7</v>
      </c>
    </row>
    <row r="796" spans="1:18" ht="15.75" customHeight="1" x14ac:dyDescent="0.3">
      <c r="A796" s="30"/>
      <c r="B796" s="1"/>
      <c r="C796" s="1"/>
      <c r="D796" s="1"/>
      <c r="E796" s="28"/>
      <c r="F796" s="1"/>
      <c r="G796" s="1"/>
      <c r="H796" s="1"/>
      <c r="I796" s="28"/>
      <c r="J796" s="1"/>
      <c r="K796" s="1"/>
      <c r="L796" s="1"/>
      <c r="M796" s="28"/>
      <c r="N796" s="1"/>
      <c r="O796" s="1"/>
      <c r="P796" s="1"/>
      <c r="Q796" s="28"/>
      <c r="R796" s="28"/>
    </row>
    <row r="797" spans="1:18" ht="15.75" customHeight="1" x14ac:dyDescent="0.3">
      <c r="A797" s="30"/>
      <c r="B797" s="1"/>
      <c r="C797" s="1"/>
      <c r="D797" s="1"/>
      <c r="E797" s="1"/>
      <c r="F797" s="1"/>
      <c r="G797" s="1"/>
      <c r="H797" s="1"/>
      <c r="I797" s="1"/>
      <c r="J797" s="1"/>
      <c r="K797" s="1"/>
      <c r="L797" s="1"/>
      <c r="M797" s="1"/>
      <c r="N797" s="1"/>
      <c r="O797" s="1"/>
      <c r="P797" s="1"/>
      <c r="Q797" s="2" t="str">
        <f>+Q1</f>
        <v xml:space="preserve">PRINTED:  </v>
      </c>
      <c r="R797" s="163">
        <f ca="1">+R1</f>
        <v>44894.658168518516</v>
      </c>
    </row>
    <row r="798" spans="1:18" ht="15.75" customHeight="1" x14ac:dyDescent="0.3">
      <c r="A798" s="383" t="s">
        <v>1</v>
      </c>
      <c r="B798" s="383"/>
      <c r="C798" s="383"/>
      <c r="D798" s="383"/>
      <c r="E798" s="383"/>
      <c r="F798" s="383"/>
      <c r="G798" s="383"/>
      <c r="H798" s="383"/>
      <c r="I798" s="383"/>
      <c r="J798" s="383"/>
      <c r="K798" s="383"/>
      <c r="L798" s="383"/>
      <c r="M798" s="383"/>
      <c r="N798" s="383"/>
      <c r="O798" s="383"/>
      <c r="P798" s="383"/>
      <c r="Q798" s="383"/>
      <c r="R798" s="383"/>
    </row>
    <row r="799" spans="1:18" ht="15.75" customHeight="1" x14ac:dyDescent="0.3">
      <c r="A799" s="383" t="s">
        <v>2</v>
      </c>
      <c r="B799" s="383"/>
      <c r="C799" s="383"/>
      <c r="D799" s="383"/>
      <c r="E799" s="383"/>
      <c r="F799" s="383"/>
      <c r="G799" s="383"/>
      <c r="H799" s="383"/>
      <c r="I799" s="383"/>
      <c r="J799" s="383"/>
      <c r="K799" s="383"/>
      <c r="L799" s="383"/>
      <c r="M799" s="383"/>
      <c r="N799" s="383"/>
      <c r="O799" s="383"/>
      <c r="P799" s="383"/>
      <c r="Q799" s="383"/>
      <c r="R799" s="383"/>
    </row>
    <row r="800" spans="1:18" ht="15.75" customHeight="1" x14ac:dyDescent="0.3">
      <c r="A800" s="383" t="s">
        <v>3</v>
      </c>
      <c r="B800" s="383"/>
      <c r="C800" s="383"/>
      <c r="D800" s="383"/>
      <c r="E800" s="383"/>
      <c r="F800" s="383"/>
      <c r="G800" s="383"/>
      <c r="H800" s="383"/>
      <c r="I800" s="383"/>
      <c r="J800" s="383"/>
      <c r="K800" s="383"/>
      <c r="L800" s="383"/>
      <c r="M800" s="383"/>
      <c r="N800" s="383"/>
      <c r="O800" s="383"/>
      <c r="P800" s="383"/>
      <c r="Q800" s="383"/>
      <c r="R800" s="383"/>
    </row>
    <row r="801" spans="1:20" ht="15.75" customHeight="1" x14ac:dyDescent="0.3">
      <c r="A801" s="391">
        <f>+A5</f>
        <v>2017</v>
      </c>
      <c r="B801" s="391"/>
      <c r="C801" s="391"/>
      <c r="D801" s="391"/>
      <c r="E801" s="391"/>
      <c r="F801" s="391"/>
      <c r="G801" s="391"/>
      <c r="H801" s="391"/>
      <c r="I801" s="391"/>
      <c r="J801" s="391"/>
      <c r="K801" s="391"/>
      <c r="L801" s="391"/>
      <c r="M801" s="391"/>
      <c r="N801" s="391"/>
      <c r="O801" s="391"/>
      <c r="P801" s="391"/>
      <c r="Q801" s="391"/>
      <c r="R801" s="391"/>
    </row>
    <row r="802" spans="1:20" ht="15.75" customHeight="1" x14ac:dyDescent="0.3">
      <c r="A802" s="1"/>
      <c r="B802" s="1"/>
      <c r="C802" s="1"/>
      <c r="D802" s="7"/>
      <c r="E802" s="7"/>
      <c r="F802" s="7"/>
      <c r="G802" s="8"/>
      <c r="H802" s="7"/>
      <c r="I802" s="7"/>
      <c r="J802" s="8"/>
      <c r="K802" s="8"/>
      <c r="L802" s="8"/>
      <c r="M802" s="8"/>
      <c r="N802" s="1"/>
      <c r="O802" s="8"/>
      <c r="P802" s="8"/>
      <c r="Q802" s="8"/>
      <c r="R802" s="8"/>
    </row>
    <row r="803" spans="1:20" ht="15.75" customHeight="1" x14ac:dyDescent="0.3">
      <c r="A803" s="383" t="str">
        <f>+A8</f>
        <v>Revised:  12/8/2016</v>
      </c>
      <c r="B803" s="383"/>
      <c r="C803" s="383"/>
      <c r="D803" s="383"/>
      <c r="E803" s="383"/>
      <c r="F803" s="383"/>
      <c r="G803" s="383"/>
      <c r="H803" s="383"/>
      <c r="I803" s="383"/>
      <c r="J803" s="383"/>
      <c r="K803" s="383"/>
      <c r="L803" s="383"/>
      <c r="M803" s="383"/>
      <c r="N803" s="383"/>
      <c r="O803" s="383"/>
      <c r="P803" s="383"/>
      <c r="Q803" s="383"/>
      <c r="R803" s="383"/>
    </row>
    <row r="804" spans="1:20" ht="15.75" customHeight="1" x14ac:dyDescent="0.3">
      <c r="A804" s="6"/>
      <c r="B804" s="6"/>
      <c r="C804" s="6"/>
      <c r="D804" s="6"/>
      <c r="E804" s="6"/>
      <c r="F804" s="6"/>
      <c r="G804" s="6"/>
      <c r="H804" s="6"/>
      <c r="I804" s="6"/>
      <c r="J804" s="6"/>
      <c r="K804" s="6"/>
      <c r="L804" s="6"/>
      <c r="M804" s="6"/>
      <c r="N804" s="6"/>
      <c r="O804" s="6"/>
      <c r="P804" s="6"/>
      <c r="Q804" s="6"/>
      <c r="R804" s="6"/>
    </row>
    <row r="805" spans="1:20" ht="15.75" customHeight="1" x14ac:dyDescent="0.3">
      <c r="A805" s="6"/>
      <c r="B805" s="6"/>
      <c r="C805" s="6"/>
      <c r="D805" s="6"/>
      <c r="E805" s="6"/>
      <c r="F805" s="6"/>
      <c r="G805" s="6"/>
      <c r="H805" s="6"/>
      <c r="I805" s="6"/>
      <c r="J805" s="6"/>
      <c r="K805" s="6"/>
      <c r="L805" s="6"/>
      <c r="M805" s="6"/>
      <c r="N805" s="6"/>
      <c r="O805" s="6"/>
      <c r="P805" s="6"/>
      <c r="Q805" s="6"/>
      <c r="R805" s="6"/>
    </row>
    <row r="806" spans="1:20" ht="15.75" customHeight="1" thickBot="1" x14ac:dyDescent="0.35">
      <c r="A806" s="30"/>
      <c r="B806" s="1"/>
      <c r="C806" s="1"/>
      <c r="D806" s="1"/>
      <c r="E806" s="1"/>
      <c r="F806" s="1"/>
      <c r="G806" s="1"/>
      <c r="H806" s="1"/>
      <c r="I806" s="1"/>
      <c r="J806" s="1"/>
      <c r="K806" s="1"/>
      <c r="L806" s="1"/>
      <c r="M806" s="1"/>
      <c r="N806" s="1"/>
      <c r="O806" s="1"/>
      <c r="P806" s="1"/>
      <c r="Q806" s="1"/>
      <c r="R806" s="28"/>
    </row>
    <row r="807" spans="1:20" ht="16.5" customHeight="1" thickBot="1" x14ac:dyDescent="0.35">
      <c r="A807" s="145" t="s">
        <v>618</v>
      </c>
      <c r="B807" s="32" t="s">
        <v>36</v>
      </c>
      <c r="C807" s="33" t="s">
        <v>9</v>
      </c>
      <c r="D807" s="33" t="s">
        <v>10</v>
      </c>
      <c r="E807" s="12" t="s">
        <v>11</v>
      </c>
      <c r="F807" s="33" t="s">
        <v>12</v>
      </c>
      <c r="G807" s="33" t="s">
        <v>13</v>
      </c>
      <c r="H807" s="33" t="s">
        <v>14</v>
      </c>
      <c r="I807" s="34" t="s">
        <v>15</v>
      </c>
      <c r="J807" s="33" t="s">
        <v>16</v>
      </c>
      <c r="K807" s="33" t="s">
        <v>17</v>
      </c>
      <c r="L807" s="33" t="s">
        <v>18</v>
      </c>
      <c r="M807" s="34" t="s">
        <v>19</v>
      </c>
      <c r="N807" s="33" t="s">
        <v>20</v>
      </c>
      <c r="O807" s="33" t="s">
        <v>21</v>
      </c>
      <c r="P807" s="33" t="s">
        <v>22</v>
      </c>
      <c r="Q807" s="34" t="s">
        <v>23</v>
      </c>
      <c r="R807" s="157" t="s">
        <v>24</v>
      </c>
    </row>
    <row r="808" spans="1:20" ht="16.5" customHeight="1" thickBot="1" x14ac:dyDescent="0.35">
      <c r="A808" s="42"/>
      <c r="B808" s="37"/>
      <c r="C808" s="37"/>
      <c r="D808" s="37"/>
      <c r="E808" s="16"/>
      <c r="F808" s="37"/>
      <c r="G808" s="37"/>
      <c r="H808" s="37"/>
      <c r="I808" s="156"/>
      <c r="J808" s="37"/>
      <c r="K808" s="37"/>
      <c r="L808" s="37"/>
      <c r="M808" s="156"/>
      <c r="N808" s="37"/>
      <c r="O808" s="37"/>
      <c r="P808" s="37"/>
      <c r="Q808" s="158"/>
      <c r="R808" s="159"/>
    </row>
    <row r="809" spans="1:20" ht="15.75" customHeight="1" x14ac:dyDescent="0.3">
      <c r="A809" s="17" t="s">
        <v>45</v>
      </c>
      <c r="B809" s="1" t="s">
        <v>7</v>
      </c>
      <c r="C809" s="1" t="s">
        <v>7</v>
      </c>
      <c r="D809" s="1" t="s">
        <v>7</v>
      </c>
      <c r="E809" s="160"/>
      <c r="F809" s="1" t="s">
        <v>7</v>
      </c>
      <c r="G809" s="1" t="s">
        <v>7</v>
      </c>
      <c r="H809" s="1" t="s">
        <v>7</v>
      </c>
      <c r="I809" s="160"/>
      <c r="J809" s="1" t="s">
        <v>7</v>
      </c>
      <c r="K809" s="1" t="s">
        <v>7</v>
      </c>
      <c r="L809" s="1" t="s">
        <v>7</v>
      </c>
      <c r="M809" s="160"/>
      <c r="N809" s="1" t="s">
        <v>7</v>
      </c>
      <c r="O809" s="1" t="s">
        <v>7</v>
      </c>
      <c r="P809" s="1" t="s">
        <v>7</v>
      </c>
      <c r="Q809" s="161"/>
      <c r="R809" s="162" t="s">
        <v>7</v>
      </c>
    </row>
    <row r="810" spans="1:20" ht="15.75" customHeight="1" x14ac:dyDescent="0.3">
      <c r="A810" s="164" t="s">
        <v>46</v>
      </c>
      <c r="B810" s="1">
        <f>+SUM(B71:B82)+SUM(B138:B185)+SUM(B318:B347)+SUM(B473:B477)+SUM(B515:B520)+SUM(B559:B569)+SUM(B625:B628)+SUM(B661:B667)+SUM(B718:B719)+SUM(B752:B757)</f>
        <v>34012</v>
      </c>
      <c r="C810" s="1">
        <f>+SUM(C71:C82)+SUM(C138:C185)+SUM(C318:C347)+SUM(C473:C477)+SUM(C515:C520)+SUM(C559:C569)+SUM(C625:C628)+SUM(C661:C667)+SUM(C718:C719)+SUM(C752:C757)</f>
        <v>30467</v>
      </c>
      <c r="D810" s="1">
        <f>+SUM(D71:D82)+SUM(D138:D185)+SUM(D318:D347)+SUM(D473:D477)+SUM(D515:D520)+SUM(D559:D569)+SUM(D625:D628)+SUM(D661:D667)+SUM(D718:D719)+SUM(D752:D757)</f>
        <v>37226</v>
      </c>
      <c r="E810" s="59">
        <f t="shared" ref="E810:E816" si="180">SUM(B810:D810)</f>
        <v>101705</v>
      </c>
      <c r="F810" s="1">
        <f>+SUM(F71:F82)+SUM(F138:F185)+SUM(F318:F347)+SUM(F473:F477)+SUM(F515:F520)+SUM(F559:F569)+SUM(F625:F628)+SUM(F661:F667)+SUM(F718:F719)+SUM(F752:F757)</f>
        <v>48571</v>
      </c>
      <c r="G810" s="1">
        <f>+SUM(G71:G82)+SUM(G138:G185)+SUM(G318:G347)+SUM(G473:G477)+SUM(G515:G520)+SUM(G559:G569)+SUM(G625:G628)+SUM(G661:G667)+SUM(G718:G719)+SUM(G752:G757)</f>
        <v>51537</v>
      </c>
      <c r="H810" s="1">
        <f>+SUM(H71:H82)+SUM(H138:H185)+SUM(H318:H347)+SUM(H473:H477)+SUM(H515:H520)+SUM(H559:H569)+SUM(H625:H628)+SUM(H661:H667)+SUM(H718:H719)+SUM(H752:H757)</f>
        <v>64654</v>
      </c>
      <c r="I810" s="59">
        <f t="shared" ref="I810:I816" si="181">SUM(F810:H810)</f>
        <v>164762</v>
      </c>
      <c r="J810" s="1">
        <f>+SUM(J71:J82)+SUM(J138:J185)+SUM(J318:J347)+SUM(J473:J477)+SUM(J515:J520)+SUM(J559:J569)+SUM(J625:J628)+SUM(J661:J667)+SUM(J718:J719)+SUM(J752:J757)</f>
        <v>69284</v>
      </c>
      <c r="K810" s="1">
        <f>+SUM(K71:K82)+SUM(K138:K185)+SUM(K318:K347)+SUM(K473:K477)+SUM(K515:K520)+SUM(K559:K569)+SUM(K625:K628)+SUM(K661:K667)+SUM(K718:K719)+SUM(K752:K757)</f>
        <v>69646</v>
      </c>
      <c r="L810" s="1">
        <f>+SUM(L71:L82)+SUM(L138:L185)+SUM(L318:L347)+SUM(L473:L477)+SUM(L515:L520)+SUM(L559:L569)+SUM(L625:L628)+SUM(L661:L667)+SUM(L718:L719)+SUM(L752:L757)</f>
        <v>65145</v>
      </c>
      <c r="M810" s="59">
        <f t="shared" ref="M810:M816" si="182">SUM(J810:L810)</f>
        <v>204075</v>
      </c>
      <c r="N810" s="1">
        <f>+SUM(N71:N82)+SUM(N138:N185)+SUM(N318:N347)+SUM(N473:N477)+SUM(N515:N520)+SUM(N559:N569)+SUM(N625:N628)+SUM(N661:N667)+SUM(N718:N719)+SUM(N752:N757)</f>
        <v>33671</v>
      </c>
      <c r="O810" s="1">
        <f>+SUM(O71:O82)+SUM(O138:O185)+SUM(O318:O347)+SUM(O473:O477)+SUM(O515:O520)+SUM(O559:O569)+SUM(O625:O628)+SUM(O661:O667)+SUM(O718:O719)+SUM(O752:O757)</f>
        <v>33298</v>
      </c>
      <c r="P810" s="1">
        <f>+SUM(P71:P82)+SUM(P138:P185)+SUM(P318:P347)+SUM(P473:P477)+SUM(P515:P520)+SUM(P559:P569)+SUM(P625:P628)+SUM(P661:P667)+SUM(P718:P719)+SUM(P752:P757)</f>
        <v>33924</v>
      </c>
      <c r="Q810" s="59">
        <f t="shared" ref="Q810:Q816" si="183">SUM(N810:P810)</f>
        <v>100893</v>
      </c>
      <c r="R810" s="59">
        <f t="shared" ref="R810:R816" si="184">+E810+I810+M810+Q810</f>
        <v>571435</v>
      </c>
    </row>
    <row r="811" spans="1:20" ht="15.75" customHeight="1" x14ac:dyDescent="0.3">
      <c r="A811" s="17" t="s">
        <v>619</v>
      </c>
      <c r="B811" s="1">
        <f>+B38+SUM(B83:B84)+SUM(B187:B196)+SUM(B349:B359)+SUM(B479:B480)+B521+SUM(B570:B571)+B629+B668+B720+SUM(B758:B758)</f>
        <v>0</v>
      </c>
      <c r="C811" s="1">
        <f>+C38+SUM(C83:C84)+SUM(C187:C196)+SUM(C349:C359)+SUM(C479:C480)+C521+SUM(C570:C571)+C629+C668+C720+SUM(C758:C758)</f>
        <v>0</v>
      </c>
      <c r="D811" s="1">
        <f>+D38+SUM(D83:D84)+SUM(D187:D196)+SUM(D349:D359)+SUM(D479:D480)+D521+SUM(D570:D571)+D629+D668+D720+SUM(D758:D758)</f>
        <v>0</v>
      </c>
      <c r="E811" s="59">
        <f t="shared" si="180"/>
        <v>0</v>
      </c>
      <c r="F811" s="1">
        <f>+F38+SUM(F83:F84)+SUM(F187:F196)+SUM(F349:F359)+SUM(F479:F480)+F521+SUM(F570:F571)+F629+F668+F720+SUM(F758:F758)</f>
        <v>0</v>
      </c>
      <c r="G811" s="1">
        <f>+G38+SUM(G83:G84)+SUM(G187:G196)+SUM(G349:G359)+SUM(G479:G480)+G521+SUM(G570:G571)+G629+G668+G720+SUM(G758:G758)</f>
        <v>0</v>
      </c>
      <c r="H811" s="1">
        <f>+H38+SUM(H83:H84)+SUM(H187:H196)+SUM(H349:H359)+SUM(H479:H480)+H521+SUM(H570:H571)+H629+H668+H720+SUM(H758:H758)</f>
        <v>0</v>
      </c>
      <c r="I811" s="59">
        <f t="shared" si="181"/>
        <v>0</v>
      </c>
      <c r="J811" s="1">
        <f>+J38+SUM(J83:J84)+SUM(J187:J196)+SUM(J349:J359)+SUM(J479:J480)+J521+SUM(J570:J571)+J629+J668+J720+SUM(J758:J758)</f>
        <v>0</v>
      </c>
      <c r="K811" s="1">
        <f>+K38+SUM(K83:K84)+SUM(K187:K196)+SUM(K349:K359)+SUM(K479:K480)+K521+SUM(K570:K571)+K629+K668+K720+SUM(K758:K758)</f>
        <v>0</v>
      </c>
      <c r="L811" s="1">
        <f>+L38+SUM(L83:L84)+SUM(L187:L196)+SUM(L349:L359)+SUM(L479:L480)+L521+SUM(L570:L571)+L629+L668+L720+SUM(L758:L758)</f>
        <v>0</v>
      </c>
      <c r="M811" s="59">
        <f t="shared" si="182"/>
        <v>0</v>
      </c>
      <c r="N811" s="1">
        <f>+N38+SUM(N83:N84)+SUM(N187:N196)+SUM(N349:N359)+SUM(N479:N480)+N521+SUM(N570:N571)+N629+N668+N720+SUM(N758:N758)</f>
        <v>0</v>
      </c>
      <c r="O811" s="1">
        <f>+O38+SUM(O83:O84)+SUM(O187:O196)+SUM(O349:O359)+SUM(O479:O480)+O521+SUM(O570:O571)+O629+O668+O720+SUM(O758:O758)</f>
        <v>0</v>
      </c>
      <c r="P811" s="1">
        <f>+P38+SUM(P83:P84)+SUM(P187:P196)+SUM(P349:P359)+SUM(P479:P480)+P521+SUM(P570:P571)+P629+P668+P720+SUM(P758:P758)</f>
        <v>0</v>
      </c>
      <c r="Q811" s="59">
        <f t="shared" si="183"/>
        <v>0</v>
      </c>
      <c r="R811" s="59">
        <f t="shared" si="184"/>
        <v>0</v>
      </c>
    </row>
    <row r="812" spans="1:20" ht="15.75" customHeight="1" x14ac:dyDescent="0.3">
      <c r="A812" s="164" t="s">
        <v>620</v>
      </c>
      <c r="B812" s="1">
        <f>+SUM(B85:B87)+SUM(B197:B200)+SUM(B360:B364)+B481+B522+SUM(B572:B573)+B630+B669+B721+SUM(B759:B760)</f>
        <v>415</v>
      </c>
      <c r="C812" s="1">
        <f>+SUM(C85:C87)+SUM(C197:C200)+SUM(C360:C364)+C481+C522+SUM(C572:C573)+C630+C669+C721+SUM(C759:C760)</f>
        <v>520</v>
      </c>
      <c r="D812" s="1">
        <f>+SUM(D85:D87)+SUM(D197:D200)+SUM(D360:D364)+D481+D522+SUM(D572:D573)+D630+D669+D721+SUM(D759:D760)</f>
        <v>1040</v>
      </c>
      <c r="E812" s="59">
        <f t="shared" si="180"/>
        <v>1975</v>
      </c>
      <c r="F812" s="1">
        <f>+SUM(F85:F87)+SUM(F197:F200)+SUM(F360:F364)+F481+F522+SUM(F572:F573)+F630+F669+F721+SUM(F759:F760)</f>
        <v>1400</v>
      </c>
      <c r="G812" s="1">
        <f>+SUM(G85:G87)+SUM(G197:G200)+SUM(G360:G364)+G481+G522+SUM(G572:G573)+G630+G669+G721+SUM(G759:G760)</f>
        <v>6935</v>
      </c>
      <c r="H812" s="1">
        <f>+SUM(H85:H87)+SUM(H197:H200)+SUM(H360:H364)+H481+H522+SUM(H572:H573)+H630+H669+H721+SUM(H759:H760)</f>
        <v>4260</v>
      </c>
      <c r="I812" s="59">
        <f t="shared" si="181"/>
        <v>12595</v>
      </c>
      <c r="J812" s="1">
        <f>+SUM(J85:J87)+SUM(J197:J200)+SUM(J360:J364)+J481+J522+SUM(J572:J573)+J630+J669+J721+SUM(J759:J760)</f>
        <v>4580</v>
      </c>
      <c r="K812" s="1">
        <f>+SUM(K85:K87)+SUM(K197:K200)+SUM(K360:K364)+K481+K522+SUM(K572:K573)+K630+K669+K721+SUM(K759:K760)</f>
        <v>1730</v>
      </c>
      <c r="L812" s="1">
        <f>+SUM(L85:L87)+SUM(L197:L200)+SUM(L360:L364)+L481+L522+SUM(L572:L573)+L630+L669+L721+SUM(L759:L760)</f>
        <v>1710</v>
      </c>
      <c r="M812" s="59">
        <f t="shared" si="182"/>
        <v>8020</v>
      </c>
      <c r="N812" s="1">
        <f>+SUM(N85:N87)+SUM(N197:N200)+SUM(N360:N364)+N481+N522+SUM(N572:N573)+N630+N669+N721+SUM(N759:N760)</f>
        <v>1535</v>
      </c>
      <c r="O812" s="1">
        <f>+SUM(O85:O87)+SUM(O197:O200)+SUM(O360:O364)+O481+O522+SUM(O572:O573)+O630+O669+O721+SUM(O759:O760)</f>
        <v>291</v>
      </c>
      <c r="P812" s="1">
        <f>+SUM(P85:P87)+SUM(P197:P200)+SUM(P360:P364)+P481+P522+SUM(P572:P573)+P630+P669+P721+SUM(P759:P760)</f>
        <v>20</v>
      </c>
      <c r="Q812" s="59">
        <f t="shared" si="183"/>
        <v>1846</v>
      </c>
      <c r="R812" s="59">
        <f>+E812+I812+M812+Q812</f>
        <v>24436</v>
      </c>
    </row>
    <row r="813" spans="1:20" ht="15.75" customHeight="1" x14ac:dyDescent="0.3">
      <c r="A813" s="17" t="s">
        <v>621</v>
      </c>
      <c r="B813" s="1">
        <f>+B295+B454+B455</f>
        <v>0</v>
      </c>
      <c r="C813" s="1">
        <f>+C295+C454+C455</f>
        <v>0</v>
      </c>
      <c r="D813" s="1">
        <f>+D295+D454+D455</f>
        <v>0</v>
      </c>
      <c r="E813" s="59">
        <f t="shared" si="180"/>
        <v>0</v>
      </c>
      <c r="F813" s="1">
        <f>+F295+F454+F455</f>
        <v>0</v>
      </c>
      <c r="G813" s="1">
        <f>+G295+G454+G455</f>
        <v>0</v>
      </c>
      <c r="H813" s="1">
        <f>+H295+H454+H455</f>
        <v>0</v>
      </c>
      <c r="I813" s="59">
        <f t="shared" si="181"/>
        <v>0</v>
      </c>
      <c r="J813" s="1">
        <f>+J295+J454+J455</f>
        <v>0</v>
      </c>
      <c r="K813" s="1">
        <f>+K295+K454+K455</f>
        <v>0</v>
      </c>
      <c r="L813" s="1">
        <f>+L295+L454+L455</f>
        <v>0</v>
      </c>
      <c r="M813" s="59">
        <f t="shared" si="182"/>
        <v>0</v>
      </c>
      <c r="N813" s="1">
        <f>+N295+N454+N455</f>
        <v>0</v>
      </c>
      <c r="O813" s="1">
        <f>+O295+O454+O455</f>
        <v>0</v>
      </c>
      <c r="P813" s="1">
        <f>+P295+P454+P455</f>
        <v>0</v>
      </c>
      <c r="Q813" s="59">
        <f t="shared" si="183"/>
        <v>0</v>
      </c>
      <c r="R813" s="59">
        <f t="shared" si="184"/>
        <v>0</v>
      </c>
    </row>
    <row r="814" spans="1:20" ht="15.75" customHeight="1" x14ac:dyDescent="0.3">
      <c r="A814" s="164" t="s">
        <v>622</v>
      </c>
      <c r="B814" s="1">
        <f>+B296</f>
        <v>0</v>
      </c>
      <c r="C814" s="1">
        <f>+C296</f>
        <v>0</v>
      </c>
      <c r="D814" s="1">
        <f>+D296</f>
        <v>0</v>
      </c>
      <c r="E814" s="59">
        <f>SUM(B814:D814)</f>
        <v>0</v>
      </c>
      <c r="F814" s="1">
        <f>+F296</f>
        <v>0</v>
      </c>
      <c r="G814" s="1">
        <f>+G296</f>
        <v>0</v>
      </c>
      <c r="H814" s="1">
        <f>+H296</f>
        <v>0</v>
      </c>
      <c r="I814" s="59">
        <f>SUM(F814:H814)</f>
        <v>0</v>
      </c>
      <c r="J814" s="1">
        <f>+J296</f>
        <v>0</v>
      </c>
      <c r="K814" s="1">
        <f>+K296</f>
        <v>0</v>
      </c>
      <c r="L814" s="1">
        <f>+L296</f>
        <v>0</v>
      </c>
      <c r="M814" s="59">
        <f>SUM(J814:L814)</f>
        <v>0</v>
      </c>
      <c r="N814" s="1">
        <f>+N296</f>
        <v>0</v>
      </c>
      <c r="O814" s="1">
        <f>+O296</f>
        <v>0</v>
      </c>
      <c r="P814" s="1">
        <f>+P296</f>
        <v>0</v>
      </c>
      <c r="Q814" s="59">
        <f t="shared" si="183"/>
        <v>0</v>
      </c>
      <c r="R814" s="59">
        <f>+E814+I814+M814+Q814</f>
        <v>0</v>
      </c>
    </row>
    <row r="815" spans="1:20" ht="15.75" customHeight="1" thickBot="1" x14ac:dyDescent="0.35">
      <c r="A815" s="17" t="s">
        <v>51</v>
      </c>
      <c r="B815" s="1">
        <f>+B88+B482+B523+B574+B631+B670+B722+B761</f>
        <v>0</v>
      </c>
      <c r="C815" s="1">
        <f>+C88+C482+C523+C574+C631+C670+C722+C761</f>
        <v>0</v>
      </c>
      <c r="D815" s="1">
        <f>+D88+D482+D523+D574+D631+D670+D722+D761</f>
        <v>0</v>
      </c>
      <c r="E815" s="59">
        <f t="shared" si="180"/>
        <v>0</v>
      </c>
      <c r="F815" s="1">
        <f>+F88+F482+F523+F574+F631+F670+F722+F761</f>
        <v>0</v>
      </c>
      <c r="G815" s="1">
        <f>+G88+G482+G523+G574+G631+G670+G722+G761</f>
        <v>0</v>
      </c>
      <c r="H815" s="1">
        <f>+H88+H482+H523+H574+H631+H670+H722+H761</f>
        <v>0</v>
      </c>
      <c r="I815" s="59">
        <f t="shared" si="181"/>
        <v>0</v>
      </c>
      <c r="J815" s="1">
        <f>+J88+J482+J523+J574+J631+J670+J722+J761</f>
        <v>0</v>
      </c>
      <c r="K815" s="1">
        <f>+K88+K482+K523+K574+K631+K670+K722+K761</f>
        <v>0</v>
      </c>
      <c r="L815" s="1">
        <f>+L88+L482+L523+L574+L631+L670+L722+L761</f>
        <v>0</v>
      </c>
      <c r="M815" s="59">
        <f t="shared" si="182"/>
        <v>0</v>
      </c>
      <c r="N815" s="1">
        <f>+N88+N482+N523+N574+N631+N670+N722+N761</f>
        <v>0</v>
      </c>
      <c r="O815" s="1">
        <f>+O88+O482+O523+O574+O631+O670+O722+O761</f>
        <v>0</v>
      </c>
      <c r="P815" s="1">
        <f>+P88+P482+P523+P574+P631+P670+P722+P761</f>
        <v>0</v>
      </c>
      <c r="Q815" s="59">
        <f t="shared" si="183"/>
        <v>0</v>
      </c>
      <c r="R815" s="59">
        <f t="shared" si="184"/>
        <v>0</v>
      </c>
    </row>
    <row r="816" spans="1:20" ht="16.5" customHeight="1" thickBot="1" x14ac:dyDescent="0.35">
      <c r="A816" s="62" t="s">
        <v>52</v>
      </c>
      <c r="B816" s="100">
        <f>SUM(B809:B815)</f>
        <v>34427</v>
      </c>
      <c r="C816" s="101">
        <f>SUM(C809:C815)</f>
        <v>30987</v>
      </c>
      <c r="D816" s="101">
        <f>SUM(D809:D815)</f>
        <v>38266</v>
      </c>
      <c r="E816" s="64">
        <f t="shared" si="180"/>
        <v>103680</v>
      </c>
      <c r="F816" s="101">
        <f>SUM(F809:F815)</f>
        <v>49971</v>
      </c>
      <c r="G816" s="101">
        <f>SUM(G809:G815)</f>
        <v>58472</v>
      </c>
      <c r="H816" s="101">
        <f>SUM(H809:H815)</f>
        <v>68914</v>
      </c>
      <c r="I816" s="64">
        <f t="shared" si="181"/>
        <v>177357</v>
      </c>
      <c r="J816" s="101">
        <f>SUM(J809:J815)</f>
        <v>73864</v>
      </c>
      <c r="K816" s="101">
        <f>SUM(K809:K815)</f>
        <v>71376</v>
      </c>
      <c r="L816" s="101">
        <f>SUM(L809:L815)</f>
        <v>66855</v>
      </c>
      <c r="M816" s="64">
        <f t="shared" si="182"/>
        <v>212095</v>
      </c>
      <c r="N816" s="101">
        <f>SUM(N809:N815)</f>
        <v>35206</v>
      </c>
      <c r="O816" s="101">
        <f>SUM(O809:O815)</f>
        <v>33589</v>
      </c>
      <c r="P816" s="101">
        <f>SUM(P809:P815)</f>
        <v>33944</v>
      </c>
      <c r="Q816" s="64">
        <f t="shared" si="183"/>
        <v>102739</v>
      </c>
      <c r="R816" s="64">
        <f t="shared" si="184"/>
        <v>595871</v>
      </c>
      <c r="T816" s="4">
        <f>+R816-R813-R812</f>
        <v>571435</v>
      </c>
    </row>
    <row r="817" spans="1:20" ht="15.75" customHeight="1" x14ac:dyDescent="0.3">
      <c r="A817" s="17" t="s">
        <v>53</v>
      </c>
      <c r="B817" s="1"/>
      <c r="C817" s="1"/>
      <c r="D817" s="1"/>
      <c r="E817" s="59" t="s">
        <v>7</v>
      </c>
      <c r="F817" s="1"/>
      <c r="G817" s="1"/>
      <c r="H817" s="1"/>
      <c r="I817" s="59" t="s">
        <v>7</v>
      </c>
      <c r="J817" s="1"/>
      <c r="K817" s="1"/>
      <c r="L817" s="1"/>
      <c r="M817" s="59" t="s">
        <v>7</v>
      </c>
      <c r="N817" s="1"/>
      <c r="O817" s="1"/>
      <c r="P817" s="1"/>
      <c r="Q817" s="59" t="s">
        <v>7</v>
      </c>
      <c r="R817" s="59" t="s">
        <v>7</v>
      </c>
    </row>
    <row r="818" spans="1:20" ht="15.75" customHeight="1" x14ac:dyDescent="0.3">
      <c r="A818" s="17" t="s">
        <v>54</v>
      </c>
      <c r="B818" s="1">
        <f>SUM(B43:B43)+SUM(B204:B204)+SUM(B91:B91)+SUM(B368:B368)</f>
        <v>0</v>
      </c>
      <c r="C818" s="1">
        <f>SUM(C43:C43)+SUM(C204:C204)+SUM(C91:C91)+SUM(C368:C368)</f>
        <v>0</v>
      </c>
      <c r="D818" s="1">
        <f>SUM(D43:D43)+SUM(D204:D204)+SUM(D91:D91)+SUM(D368:D368)</f>
        <v>0</v>
      </c>
      <c r="E818" s="59">
        <f>SUM(B818:D818)</f>
        <v>0</v>
      </c>
      <c r="F818" s="1">
        <f>SUM(F43:F43)+SUM(F204:F204)+SUM(F91:F91)+SUM(F368:F368)</f>
        <v>0</v>
      </c>
      <c r="G818" s="1">
        <f>SUM(G43:G43)+SUM(G204:G204)+SUM(G91:G91)+SUM(G368:G368)</f>
        <v>0</v>
      </c>
      <c r="H818" s="1">
        <f>SUM(H43:H43)+SUM(H204:H204)+SUM(H91:H91)+SUM(H368:H368)</f>
        <v>0</v>
      </c>
      <c r="I818" s="59">
        <f>SUM(F818:H818)</f>
        <v>0</v>
      </c>
      <c r="J818" s="1">
        <f>SUM(J43:J43)+SUM(J204:J204)+SUM(J91:J91)+SUM(J368:J368)</f>
        <v>0</v>
      </c>
      <c r="K818" s="1">
        <f>SUM(K43:K43)+SUM(K204:K204)+SUM(K91:K91)+SUM(K368:K368)</f>
        <v>0</v>
      </c>
      <c r="L818" s="1">
        <f>SUM(L43:L43)+SUM(L204:L204)+SUM(L91:L91)+SUM(L368:L368)</f>
        <v>0</v>
      </c>
      <c r="M818" s="59">
        <f>SUM(J818:L818)</f>
        <v>0</v>
      </c>
      <c r="N818" s="1">
        <f>SUM(N43:N43)+SUM(N204:N204)+SUM(N91:N91)+SUM(N368:N368)</f>
        <v>0</v>
      </c>
      <c r="O818" s="1">
        <f>SUM(O43:O43)+SUM(O204:O204)+SUM(O91:O91)+SUM(O368:O368)</f>
        <v>0</v>
      </c>
      <c r="P818" s="1">
        <f>SUM(P43:P43)+SUM(P204:P204)+SUM(P91:P91)+SUM(P368:P368)</f>
        <v>0</v>
      </c>
      <c r="Q818" s="59">
        <f>SUM(N818:P818)</f>
        <v>0</v>
      </c>
      <c r="R818" s="59">
        <f>+E818+I818+M818+Q818</f>
        <v>0</v>
      </c>
    </row>
    <row r="819" spans="1:20" ht="15.75" customHeight="1" x14ac:dyDescent="0.3">
      <c r="A819" s="164" t="s">
        <v>55</v>
      </c>
      <c r="B819" s="1">
        <f>+SUM(B93:B94)+SUM(B205:B207)+SUM(B369:B377)+B486+SUM(B526:B528)+SUM(B577:B579)+SUM(B634:B634)+B673+B725+SUM(B764:B765)</f>
        <v>5921</v>
      </c>
      <c r="C819" s="1">
        <f>+SUM(C93:C94)+SUM(C205:C207)+SUM(C369:C377)+C486+SUM(C526:C528)+SUM(C577:C579)+SUM(C634:C634)+C673+C725+SUM(C764:C765)</f>
        <v>8355</v>
      </c>
      <c r="D819" s="1">
        <f>+SUM(D93:D94)+SUM(D205:D207)+SUM(D369:D377)+D486+SUM(D526:D528)+SUM(D577:D579)+SUM(D634:D634)+D673+D725+SUM(D764:D765)</f>
        <v>27044</v>
      </c>
      <c r="E819" s="59">
        <f>SUM(B819:D819)</f>
        <v>41320</v>
      </c>
      <c r="F819" s="1">
        <f>+SUM(F93:F94)+SUM(F205:F207)+SUM(F369:F377)+F486+SUM(F526:F528)+SUM(F577:F579)+SUM(F634:F634)+F673+F725+SUM(F764:F765)</f>
        <v>38690</v>
      </c>
      <c r="G819" s="1">
        <f>+SUM(G93:G94)+SUM(G205:G207)+SUM(G369:G377)+G486+SUM(G526:G528)+SUM(G577:G579)+SUM(G634:G634)+G673+G725+SUM(G764:G765)</f>
        <v>32922</v>
      </c>
      <c r="H819" s="1">
        <f>+SUM(H93:H94)+SUM(H205:H207)+SUM(H369:H377)+H486+SUM(H526:H528)+SUM(H577:H579)+SUM(H634:H634)+H673+H725+SUM(H764:H765)</f>
        <v>37456</v>
      </c>
      <c r="I819" s="59">
        <f>SUM(F819:H819)</f>
        <v>109068</v>
      </c>
      <c r="J819" s="1">
        <f>+SUM(J93:J94)+SUM(J205:J207)+SUM(J369:J377)+J486+SUM(J526:J528)+SUM(J577:J579)+SUM(J634:J634)+J673+J725+SUM(J764:J765)</f>
        <v>30845</v>
      </c>
      <c r="K819" s="1">
        <f>+SUM(K93:K94)+SUM(K205:K207)+SUM(K369:K377)+K486+SUM(K526:K528)+SUM(K577:K579)+SUM(K634:K634)+K673+K725+SUM(K764:K765)</f>
        <v>28685</v>
      </c>
      <c r="L819" s="1">
        <f>+SUM(L93:L94)+SUM(L205:L207)+SUM(L369:L377)+L486+SUM(L526:L528)+SUM(L577:L579)+SUM(L634:L634)+L673+L725+SUM(L764:L765)</f>
        <v>19585</v>
      </c>
      <c r="M819" s="59">
        <f>SUM(J819:L819)</f>
        <v>79115</v>
      </c>
      <c r="N819" s="1">
        <f>+SUM(N93:N94)+SUM(N205:N207)+SUM(N369:N377)+N486+SUM(N526:N528)+SUM(N577:N579)+SUM(N634:N634)+N673+N725+SUM(N764:N765)</f>
        <v>9685</v>
      </c>
      <c r="O819" s="1">
        <f>+SUM(O93:O94)+SUM(O205:O207)+SUM(O369:O377)+O486+SUM(O526:O528)+SUM(O577:O579)+SUM(O634:O634)+O673+O725+SUM(O764:O765)</f>
        <v>7170</v>
      </c>
      <c r="P819" s="1">
        <f>+SUM(P93:P94)+SUM(P205:P207)+SUM(P369:P377)+P486+SUM(P526:P528)+SUM(P577:P579)+SUM(P634:P634)+P673+P725+SUM(P764:P765)</f>
        <v>7566</v>
      </c>
      <c r="Q819" s="59">
        <f>SUM(N819:P819)</f>
        <v>24421</v>
      </c>
      <c r="R819" s="59">
        <f>+E819+I819+M819+Q819</f>
        <v>253924</v>
      </c>
    </row>
    <row r="820" spans="1:20" ht="15.75" customHeight="1" thickBot="1" x14ac:dyDescent="0.35">
      <c r="A820" s="17" t="s">
        <v>56</v>
      </c>
      <c r="B820" s="1">
        <f>+B95+B487+B529+B580+B635+B674+B726+B766</f>
        <v>0</v>
      </c>
      <c r="C820" s="1">
        <f>+C95+C487+C529+C580+C635+C674+C726+C766</f>
        <v>0</v>
      </c>
      <c r="D820" s="1">
        <f>+D95+D487+D529+D580+D635+D674+D726+D766</f>
        <v>0</v>
      </c>
      <c r="E820" s="59">
        <f>SUM(B820:D820)</f>
        <v>0</v>
      </c>
      <c r="F820" s="1">
        <f>+F95+F487+F529+F580+F635+F674+F726+F766</f>
        <v>0</v>
      </c>
      <c r="G820" s="1">
        <f>+G95+G487+G529+G580+G635+G674+G726+G766</f>
        <v>0</v>
      </c>
      <c r="H820" s="1">
        <f>+H95+H487+H529+H580+H635+H674+H726+H766</f>
        <v>0</v>
      </c>
      <c r="I820" s="59">
        <f>SUM(F820:H820)</f>
        <v>0</v>
      </c>
      <c r="J820" s="1">
        <f>+J95+J487+J529+J580+J635+J674+J726+J766</f>
        <v>0</v>
      </c>
      <c r="K820" s="1">
        <f>+K95+K487+K529+K580+K635+K674+K726+K766</f>
        <v>0</v>
      </c>
      <c r="L820" s="1">
        <f>+L95+L487+L529+L580+L635+L674+L726+L766</f>
        <v>0</v>
      </c>
      <c r="M820" s="59">
        <f>SUM(J820:L820)</f>
        <v>0</v>
      </c>
      <c r="N820" s="1">
        <f>+N95+N487+N529+N580+N635+N674+N726+N766</f>
        <v>0</v>
      </c>
      <c r="O820" s="1">
        <f>+O95+O487+O529+O580+O635+O674+O726+O766</f>
        <v>0</v>
      </c>
      <c r="P820" s="1">
        <f>+P95+P487+P529+P580+P635+P674+P726+P766</f>
        <v>0</v>
      </c>
      <c r="Q820" s="59">
        <f>SUM(N820:P820)</f>
        <v>0</v>
      </c>
      <c r="R820" s="59">
        <f>+E820+I820+M820+Q820</f>
        <v>0</v>
      </c>
    </row>
    <row r="821" spans="1:20" ht="16.5" customHeight="1" thickBot="1" x14ac:dyDescent="0.35">
      <c r="A821" s="62" t="s">
        <v>57</v>
      </c>
      <c r="B821" s="100">
        <f>SUM(B817:B820)</f>
        <v>5921</v>
      </c>
      <c r="C821" s="101">
        <f>SUM(C817:C820)</f>
        <v>8355</v>
      </c>
      <c r="D821" s="101">
        <f>SUM(D817:D820)</f>
        <v>27044</v>
      </c>
      <c r="E821" s="64">
        <f>SUM(B821:D821)</f>
        <v>41320</v>
      </c>
      <c r="F821" s="101">
        <f>SUM(F817:F820)</f>
        <v>38690</v>
      </c>
      <c r="G821" s="101">
        <f>SUM(G817:G820)</f>
        <v>32922</v>
      </c>
      <c r="H821" s="101">
        <f>SUM(H817:H820)</f>
        <v>37456</v>
      </c>
      <c r="I821" s="64">
        <f>SUM(F821:H821)</f>
        <v>109068</v>
      </c>
      <c r="J821" s="101">
        <f>SUM(J817:J820)</f>
        <v>30845</v>
      </c>
      <c r="K821" s="101">
        <f>SUM(K817:K820)</f>
        <v>28685</v>
      </c>
      <c r="L821" s="101">
        <f>SUM(L817:L820)</f>
        <v>19585</v>
      </c>
      <c r="M821" s="64">
        <f>SUM(J821:L821)</f>
        <v>79115</v>
      </c>
      <c r="N821" s="101">
        <f>SUM(N817:N820)</f>
        <v>9685</v>
      </c>
      <c r="O821" s="101">
        <f>SUM(O817:O820)</f>
        <v>7170</v>
      </c>
      <c r="P821" s="101">
        <f>SUM(P817:P820)</f>
        <v>7566</v>
      </c>
      <c r="Q821" s="64">
        <f>SUM(N821:P821)</f>
        <v>24421</v>
      </c>
      <c r="R821" s="64">
        <f>+E821+I821+M821+Q821</f>
        <v>253924</v>
      </c>
    </row>
    <row r="822" spans="1:20" ht="15.75" customHeight="1" x14ac:dyDescent="0.3">
      <c r="A822" s="17" t="s">
        <v>58</v>
      </c>
      <c r="B822" s="1"/>
      <c r="C822" s="1"/>
      <c r="D822" s="1"/>
      <c r="E822" s="59" t="s">
        <v>7</v>
      </c>
      <c r="F822" s="1"/>
      <c r="G822" s="1"/>
      <c r="H822" s="1"/>
      <c r="I822" s="59" t="s">
        <v>7</v>
      </c>
      <c r="J822" s="1"/>
      <c r="K822" s="1"/>
      <c r="L822" s="1"/>
      <c r="M822" s="59" t="s">
        <v>7</v>
      </c>
      <c r="N822" s="1"/>
      <c r="O822" s="1"/>
      <c r="P822" s="1"/>
      <c r="Q822" s="59" t="s">
        <v>7</v>
      </c>
      <c r="R822" s="59" t="s">
        <v>7</v>
      </c>
    </row>
    <row r="823" spans="1:20" ht="15.75" customHeight="1" x14ac:dyDescent="0.3">
      <c r="A823" s="164" t="s">
        <v>59</v>
      </c>
      <c r="B823" s="1">
        <f>+B48+B98+B211+SUM(B381:B383)+B490+B532+B583+B638+SUM(B677:B678)+B729+SUM(B769:B771)</f>
        <v>6618</v>
      </c>
      <c r="C823" s="1">
        <f>+C48+C98+C211+SUM(C381:C383)+C490+C532+C583+C638+SUM(C677:C678)+C729+SUM(C769:C771)</f>
        <v>8325</v>
      </c>
      <c r="D823" s="1">
        <f>+D48+D98+D211+SUM(D381:D383)+D490+D532+D583+D638+SUM(D677:D678)+D729+SUM(D769:D771)</f>
        <v>9268</v>
      </c>
      <c r="E823" s="59">
        <f>SUM(B823:D823)</f>
        <v>24211</v>
      </c>
      <c r="F823" s="1">
        <f>+F48+F98+F211+SUM(F381:F383)+F490+F532+F583+F638+SUM(F677:F678)+F729+SUM(F769:F771)</f>
        <v>14381</v>
      </c>
      <c r="G823" s="1">
        <f>+G48+G98+G211+SUM(G381:G383)+G490+G532+G583+G638+SUM(G677:G678)+G729+SUM(G769:G771)</f>
        <v>16610</v>
      </c>
      <c r="H823" s="1">
        <f>+H48+H98+H211+SUM(H381:H383)+H490+H532+H583+H638+SUM(H677:H678)+H729+SUM(H769:H771)</f>
        <v>34563</v>
      </c>
      <c r="I823" s="59">
        <f>SUM(F823:H823)</f>
        <v>65554</v>
      </c>
      <c r="J823" s="1">
        <f>+J48+J98+J211+SUM(J381:J383)+J490+J532+J583+J638+SUM(J677:J678)+J729+SUM(J769:J771)</f>
        <v>42112</v>
      </c>
      <c r="K823" s="1">
        <f>+K48+K98+K211+SUM(K381:K383)+K490+K532+K583+K638+SUM(K677:K678)+K729+SUM(K769:K771)</f>
        <v>35181</v>
      </c>
      <c r="L823" s="1">
        <f>+L48+L98+L211+SUM(L381:L383)+L490+L532+L583+L638+SUM(L677:L678)+L729+SUM(L769:L771)</f>
        <v>34249</v>
      </c>
      <c r="M823" s="59">
        <f>SUM(J823:L823)</f>
        <v>111542</v>
      </c>
      <c r="N823" s="1">
        <f>+N48+N98+N211+SUM(N381:N383)+N490+N532+N583+N638+SUM(N677:N678)+N729+SUM(N769:N771)</f>
        <v>30955</v>
      </c>
      <c r="O823" s="1">
        <f>+O48+O98+O211+SUM(O381:O383)+O490+O532+O583+O638+SUM(O677:O678)+O729+SUM(O769:O771)</f>
        <v>1725</v>
      </c>
      <c r="P823" s="1">
        <f>+P48+P98+P211+SUM(P381:P383)+P490+P532+P583+P638+SUM(P677:P678)+P729+SUM(P769:P771)</f>
        <v>16458</v>
      </c>
      <c r="Q823" s="59">
        <f>SUM(N823:P823)</f>
        <v>49138</v>
      </c>
      <c r="R823" s="59">
        <f>+E823+I823+M823+Q823</f>
        <v>250445</v>
      </c>
    </row>
    <row r="824" spans="1:20" ht="15.75" customHeight="1" thickBot="1" x14ac:dyDescent="0.35">
      <c r="A824" s="164" t="s">
        <v>60</v>
      </c>
      <c r="B824" s="1">
        <f>+B49+SUM(B99:B106)+SUM(B212:B270)+SUM(B384:B427)+SUM(B491:B492)+SUM(B533:B534)+SUM(B584:B586)+B639+SUM(B679:B683)+B730+SUM(B772:B776)</f>
        <v>18801</v>
      </c>
      <c r="C824" s="1">
        <f>+C49+SUM(C99:C106)+SUM(C212:C270)+SUM(C384:C427)+SUM(C491:C492)+SUM(C533:C534)+SUM(C584:C586)+C639+SUM(C679:C683)+C730+SUM(C772:C776)</f>
        <v>24268</v>
      </c>
      <c r="D824" s="1">
        <f>+D49+SUM(D99:D106)+SUM(D212:D270)+SUM(D384:D427)+SUM(D491:D492)+SUM(D533:D534)+SUM(D584:D586)+D639+SUM(D679:D683)+D730+SUM(D772:D776)</f>
        <v>44472</v>
      </c>
      <c r="E824" s="59">
        <f>SUM(B824:D824)</f>
        <v>87541</v>
      </c>
      <c r="F824" s="1">
        <f>+F49+SUM(F99:F106)+SUM(F212:F270)+SUM(F384:F427)+SUM(F491:F492)+SUM(F533:F534)+SUM(F584:F586)+F639+SUM(F679:F683)+F730+SUM(F772:F776)</f>
        <v>45374</v>
      </c>
      <c r="G824" s="1">
        <f>+G49+SUM(G99:G106)+SUM(G212:G270)+SUM(G384:G427)+SUM(G491:G492)+SUM(G533:G534)+SUM(G584:G586)+G639+SUM(G679:G683)+G730+SUM(G772:G776)</f>
        <v>56239</v>
      </c>
      <c r="H824" s="1">
        <f>+H49+SUM(H99:H106)+SUM(H212:H270)+SUM(H384:H427)+SUM(H491:H492)+SUM(H533:H534)+SUM(H584:H586)+H639+SUM(H679:H683)+H730+SUM(H772:H776)</f>
        <v>44903</v>
      </c>
      <c r="I824" s="59">
        <f>SUM(F824:H824)</f>
        <v>146516</v>
      </c>
      <c r="J824" s="1">
        <f>+J49+SUM(J99:J106)+SUM(J212:J270)+SUM(J384:J427)+SUM(J491:J492)+SUM(J533:J534)+SUM(J584:J586)+J639+SUM(J679:J683)+J730+SUM(J772:J776)</f>
        <v>34703</v>
      </c>
      <c r="K824" s="1">
        <f>+K49+SUM(K99:K106)+SUM(K212:K270)+SUM(K384:K427)+SUM(K491:K492)+SUM(K533:K534)+SUM(K584:K586)+K639+SUM(K679:K683)+K730+SUM(K772:K776)</f>
        <v>24569</v>
      </c>
      <c r="L824" s="1">
        <f>+L49+SUM(L99:L106)+SUM(L212:L270)+SUM(L384:L427)+SUM(L491:L492)+SUM(L533:L534)+SUM(L584:L586)+L639+SUM(L679:L683)+L730+SUM(L772:L776)</f>
        <v>11069</v>
      </c>
      <c r="M824" s="59">
        <f>SUM(J824:L824)</f>
        <v>70341</v>
      </c>
      <c r="N824" s="1">
        <f>+N49+SUM(N99:N106)+SUM(N212:N270)+SUM(N384:N427)+SUM(N491:N492)+SUM(N533:N534)+SUM(N584:N586)+N639+SUM(N679:N683)+N730+SUM(N772:N776)</f>
        <v>11460</v>
      </c>
      <c r="O824" s="1">
        <f>+O49+SUM(O99:O106)+SUM(O212:O270)+SUM(O384:O427)+SUM(O491:O492)+SUM(O533:O534)+SUM(O584:O586)+O639+SUM(O679:O683)+O730+SUM(O772:O776)</f>
        <v>9654</v>
      </c>
      <c r="P824" s="1">
        <f>+P49+SUM(P99:P106)+SUM(P212:P270)+SUM(P384:P427)+SUM(P491:P492)+SUM(P533:P534)+SUM(P584:P586)+P639+SUM(P679:P683)+P730+SUM(P772:P776)</f>
        <v>7649</v>
      </c>
      <c r="Q824" s="59">
        <f>SUM(N824:P824)</f>
        <v>28763</v>
      </c>
      <c r="R824" s="59">
        <f>+E824+I824+M824+Q824</f>
        <v>333161</v>
      </c>
    </row>
    <row r="825" spans="1:20" ht="16.5" customHeight="1" thickBot="1" x14ac:dyDescent="0.35">
      <c r="A825" s="62" t="s">
        <v>61</v>
      </c>
      <c r="B825" s="100">
        <f>SUM(B822:B824)</f>
        <v>25419</v>
      </c>
      <c r="C825" s="101">
        <f>SUM(C822:C824)</f>
        <v>32593</v>
      </c>
      <c r="D825" s="138">
        <f>SUM(D822:D824)</f>
        <v>53740</v>
      </c>
      <c r="E825" s="64">
        <f>SUM(B825:D825)</f>
        <v>111752</v>
      </c>
      <c r="F825" s="101">
        <f>SUM(F822:F824)</f>
        <v>59755</v>
      </c>
      <c r="G825" s="101">
        <f>SUM(G822:G824)</f>
        <v>72849</v>
      </c>
      <c r="H825" s="101">
        <f>SUM(H822:H824)</f>
        <v>79466</v>
      </c>
      <c r="I825" s="64">
        <f>SUM(F825:H825)</f>
        <v>212070</v>
      </c>
      <c r="J825" s="101">
        <f>SUM(J822:J824)</f>
        <v>76815</v>
      </c>
      <c r="K825" s="101">
        <f>SUM(K822:K824)</f>
        <v>59750</v>
      </c>
      <c r="L825" s="101">
        <f>SUM(L822:L824)</f>
        <v>45318</v>
      </c>
      <c r="M825" s="64">
        <f>SUM(J825:L825)</f>
        <v>181883</v>
      </c>
      <c r="N825" s="101">
        <f>SUM(N822:N824)</f>
        <v>42415</v>
      </c>
      <c r="O825" s="101">
        <f>SUM(O822:O824)</f>
        <v>11379</v>
      </c>
      <c r="P825" s="101">
        <f>SUM(P822:P824)</f>
        <v>24107</v>
      </c>
      <c r="Q825" s="64">
        <f>SUM(N825:P825)</f>
        <v>77901</v>
      </c>
      <c r="R825" s="64">
        <f>+E825+I825+M825+Q825</f>
        <v>583606</v>
      </c>
      <c r="T825" s="4">
        <v>1600000</v>
      </c>
    </row>
    <row r="826" spans="1:20" ht="20.25" customHeight="1" x14ac:dyDescent="0.3">
      <c r="A826" s="17" t="s">
        <v>623</v>
      </c>
      <c r="B826" s="1"/>
      <c r="C826" s="1"/>
      <c r="D826" s="1"/>
      <c r="E826" s="59" t="s">
        <v>7</v>
      </c>
      <c r="F826" s="1"/>
      <c r="G826" s="1"/>
      <c r="H826" s="1"/>
      <c r="I826" s="59" t="s">
        <v>7</v>
      </c>
      <c r="J826" s="1"/>
      <c r="K826" s="1"/>
      <c r="L826" s="1"/>
      <c r="M826" s="59" t="s">
        <v>7</v>
      </c>
      <c r="N826" s="1"/>
      <c r="O826" s="1"/>
      <c r="P826" s="1"/>
      <c r="Q826" s="59" t="s">
        <v>7</v>
      </c>
      <c r="R826" s="59" t="s">
        <v>7</v>
      </c>
      <c r="T826" s="4">
        <f>+T825-28000-R810-R811-400000-R823-R824+12000</f>
        <v>28959</v>
      </c>
    </row>
    <row r="827" spans="1:20" ht="15.75" customHeight="1" x14ac:dyDescent="0.3">
      <c r="A827" s="17" t="s">
        <v>624</v>
      </c>
      <c r="B827" s="1">
        <f>SUM(B52:B52)+SUM(B109:B117)+SUM(B273:B276)+SUM(B430:B431)+SUM(B495:B495)+B537+SUM(B589:B591)+B642+B686+B733+SUM(B779:B781)</f>
        <v>0</v>
      </c>
      <c r="C827" s="1">
        <f>SUM(C52:C52)+SUM(C109:C117)+SUM(C273:C276)+SUM(C430:C431)+SUM(C495:C495)+C537+SUM(C589:C591)+C642+C686+C733+SUM(C779:C781)</f>
        <v>0</v>
      </c>
      <c r="D827" s="1">
        <f>SUM(D52:D52)+SUM(D109:D117)+SUM(D273:D276)+SUM(D430:D431)+SUM(D495:D495)+D537+SUM(D589:D591)+D642+D686+D733+SUM(D779:D781)</f>
        <v>0</v>
      </c>
      <c r="E827" s="59">
        <f t="shared" ref="E827:E835" si="185">SUM(B827:D827)</f>
        <v>0</v>
      </c>
      <c r="F827" s="1">
        <f>SUM(F52:F52)+SUM(F109:F117)+SUM(F273:F276)+SUM(F430:F431)+SUM(F495:F495)+F537+SUM(F589:F591)+F642+F686+F733+SUM(F779:F781)</f>
        <v>0</v>
      </c>
      <c r="G827" s="1">
        <f>SUM(G52:G52)+SUM(G109:G117)+SUM(G273:G276)+SUM(G430:G431)+SUM(G495:G495)+G537+SUM(G589:G591)+G642+G686+G733+SUM(G779:G781)</f>
        <v>0</v>
      </c>
      <c r="H827" s="1">
        <f>SUM(H52:H52)+SUM(H109:H117)+SUM(H273:H276)+SUM(H430:H431)+SUM(H495:H495)+H537+SUM(H589:H591)+H642+H686+H733+SUM(H779:H781)</f>
        <v>0</v>
      </c>
      <c r="I827" s="59">
        <f t="shared" ref="I827:I835" si="186">SUM(F827:H827)</f>
        <v>0</v>
      </c>
      <c r="J827" s="1">
        <f>SUM(J52:J52)+SUM(J109:J117)+SUM(J273:J276)+SUM(J430:J431)+SUM(J495:J495)+J537+SUM(J589:J591)+J642+J686+J733+SUM(J779:J781)</f>
        <v>0</v>
      </c>
      <c r="K827" s="1">
        <f>SUM(K52:K52)+SUM(K109:K117)+SUM(K273:K276)+SUM(K430:K431)+SUM(K495:K495)+K537+SUM(K589:K591)+K642+K686+K733+SUM(K779:K781)</f>
        <v>0</v>
      </c>
      <c r="L827" s="1">
        <f>SUM(L52:L52)+SUM(L109:L117)+SUM(L273:L276)+SUM(L430:L431)+SUM(L495:L495)+L537+SUM(L589:L591)+L642+L686+L733+SUM(L779:L781)</f>
        <v>0</v>
      </c>
      <c r="M827" s="59">
        <f t="shared" ref="M827:M835" si="187">SUM(J827:L827)</f>
        <v>0</v>
      </c>
      <c r="N827" s="1">
        <f>SUM(N52:N52)+SUM(N109:N117)+SUM(N273:N276)+SUM(N430:N431)+SUM(N495:N495)+N537+SUM(N589:N591)+N642+N686+N733+SUM(N779:N781)</f>
        <v>0</v>
      </c>
      <c r="O827" s="1">
        <f>SUM(O52:O52)+SUM(O109:O117)+SUM(O273:O276)+SUM(O430:O431)+SUM(O495:O495)+O537+SUM(O589:O591)+O642+O686+O733+SUM(O779:O781)</f>
        <v>0</v>
      </c>
      <c r="P827" s="1">
        <f>SUM(P52:P52)+SUM(P109:P117)+SUM(P273:P276)+SUM(P430:P431)+SUM(P495:P495)+P537+SUM(P589:P591)+P642+P686+P733+SUM(P779:P781)</f>
        <v>0</v>
      </c>
      <c r="Q827" s="59">
        <f t="shared" ref="Q827:Q835" si="188">SUM(N827:P827)</f>
        <v>0</v>
      </c>
      <c r="R827" s="59">
        <f>+E827+I827+M827+Q827</f>
        <v>0</v>
      </c>
    </row>
    <row r="828" spans="1:20" ht="15.75" customHeight="1" x14ac:dyDescent="0.3">
      <c r="A828" s="17" t="s">
        <v>64</v>
      </c>
      <c r="B828" s="1">
        <f>SUM(B53:B54)+SUM(B118:B119)+SUM(B277:B278)+B280+B282+B284+B285+SUM(B432:B434)+B496+B538+SUM(B592:B593)+B595+SUM(B643:B644)+B688+B690+B734+SUM(B782:B783)</f>
        <v>0</v>
      </c>
      <c r="C828" s="1">
        <f>SUM(C53:C54)+SUM(C118:C119)+SUM(C277:C278)+C280+C282+C284+C285+SUM(C432:C434)+C496+C538+SUM(C592:C593)+C595+SUM(C643:C644)+C688+C690+C734+SUM(C782:C783)</f>
        <v>0</v>
      </c>
      <c r="D828" s="1">
        <f>SUM(D53:D54)+SUM(D118:D119)+SUM(D277:D278)+D280+D282+D284+D285+SUM(D432:D434)+D496+D538+SUM(D592:D593)+D595+SUM(D643:D644)+D688+D690+D734+SUM(D782:D783)</f>
        <v>0</v>
      </c>
      <c r="E828" s="59">
        <f t="shared" si="185"/>
        <v>0</v>
      </c>
      <c r="F828" s="1">
        <f>SUM(F53:F54)+SUM(F118:F119)+SUM(F277:F278)+F280+F282+F284+F285+SUM(F432:F434)+F496+F538+SUM(F592:F593)+F595+SUM(F643:F644)+F688+F690+F734+SUM(F782:F783)</f>
        <v>0</v>
      </c>
      <c r="G828" s="1">
        <f>SUM(G53:G54)+SUM(G118:G119)+SUM(G277:G278)+G280+G282+G284+G285+SUM(G432:G434)+G496+G538+SUM(G592:G593)+G595+SUM(G643:G644)+G688+G690+G734+SUM(G782:G783)</f>
        <v>0</v>
      </c>
      <c r="H828" s="1">
        <f>SUM(H53:H54)+SUM(H118:H119)+SUM(H277:H278)+H280+H282+H284+H285+SUM(H432:H434)+H496+H538+SUM(H592:H593)+H595+SUM(H643:H644)+H688+H690+H734+SUM(H782:H783)</f>
        <v>0</v>
      </c>
      <c r="I828" s="59">
        <f t="shared" si="186"/>
        <v>0</v>
      </c>
      <c r="J828" s="1">
        <f>SUM(J53:J54)+SUM(J118:J119)+SUM(J277:J278)+J280+J282+J284+J285+SUM(J432:J434)+J496+J538+SUM(J592:J593)+J595+SUM(J643:J644)+J688+J690+J734+SUM(J782:J783)</f>
        <v>0</v>
      </c>
      <c r="K828" s="1">
        <f>SUM(K53:K54)+SUM(K118:K119)+SUM(K277:K278)+K280+K282+K284+K285+SUM(K432:K434)+K496+K538+SUM(K592:K593)+K595+SUM(K643:K644)+K688+K690+K734+SUM(K782:K783)</f>
        <v>0</v>
      </c>
      <c r="L828" s="1">
        <f>SUM(L53:L54)+SUM(L118:L119)+SUM(L277:L278)+L280+L282+L284+L285+SUM(L432:L434)+L496+L538+SUM(L592:L593)+L595+SUM(L643:L644)+L688+L690+L734+SUM(L782:L783)</f>
        <v>0</v>
      </c>
      <c r="M828" s="59">
        <f t="shared" si="187"/>
        <v>0</v>
      </c>
      <c r="N828" s="1">
        <f>SUM(N53:N54)+SUM(N118:N119)+SUM(N277:N278)+N280+N282+N284+N285+SUM(N432:N434)+N496+N538+SUM(N592:N593)+N595+SUM(N643:N644)+N688+N690+N734+SUM(N782:N783)</f>
        <v>0</v>
      </c>
      <c r="O828" s="1">
        <f>SUM(O53:O54)+SUM(O118:O119)+SUM(O277:O278)+O280+O282+O284+O285+SUM(O432:O434)+O496+O538+SUM(O592:O593)+O595+SUM(O643:O644)+O688+O690+O734+SUM(O782:O783)</f>
        <v>0</v>
      </c>
      <c r="P828" s="1">
        <f>SUM(P53:P54)+SUM(P118:P119)+SUM(P277:P278)+P280+P282+P284+P285+SUM(P432:P434)+P496+P538+SUM(P592:P593)+P595+SUM(P643:P644)+P688+P690+P734+SUM(P782:P783)</f>
        <v>0</v>
      </c>
      <c r="Q828" s="59">
        <f t="shared" si="188"/>
        <v>0</v>
      </c>
      <c r="R828" s="59">
        <f t="shared" ref="R828:R835" si="189">+E828+I828+M828+Q828</f>
        <v>0</v>
      </c>
    </row>
    <row r="829" spans="1:20" ht="15.75" customHeight="1" x14ac:dyDescent="0.3">
      <c r="A829" s="74" t="s">
        <v>927</v>
      </c>
      <c r="B829" s="1">
        <f>B120+B279+B281+B283+B594+B596+B689+B691+B784</f>
        <v>0</v>
      </c>
      <c r="C829" s="1">
        <f>C120+C279+C281+C283+C594+C596+C689+C691+C784</f>
        <v>0</v>
      </c>
      <c r="D829" s="1">
        <f>D120+D279+D281+D283+D594+D596+D689+D691+D784</f>
        <v>0</v>
      </c>
      <c r="E829" s="59">
        <f t="shared" si="185"/>
        <v>0</v>
      </c>
      <c r="F829" s="1">
        <f>F120+F279+F281+F283+F594+F596+F689+F691+F784</f>
        <v>0</v>
      </c>
      <c r="G829" s="1">
        <f>G120+G279+G281+G283+G594+G596+G689+G691+G784</f>
        <v>0</v>
      </c>
      <c r="H829" s="1">
        <f>H120+H279+H281+H283+H594+H596+H689+H691+H784</f>
        <v>0</v>
      </c>
      <c r="I829" s="59">
        <f t="shared" si="186"/>
        <v>0</v>
      </c>
      <c r="J829" s="1">
        <f>J120+J279+J281+J283+J594+J596+J689+J691+J784</f>
        <v>0</v>
      </c>
      <c r="K829" s="1">
        <f>K120+K279+K281+K283+K594+K596+K689+K691+K784</f>
        <v>0</v>
      </c>
      <c r="L829" s="1">
        <f>L120+L279+L281+L283+L594+L596+L689+L691+L784</f>
        <v>0</v>
      </c>
      <c r="M829" s="59">
        <f t="shared" si="187"/>
        <v>0</v>
      </c>
      <c r="N829" s="1">
        <f>N120+N279+N281+N283+N594+N596+N689+N691+N784</f>
        <v>0</v>
      </c>
      <c r="O829" s="1">
        <f>O120+O279+O281+O283+O594+O596+O689+O691+O784</f>
        <v>0</v>
      </c>
      <c r="P829" s="1">
        <f>P120+P279+P281+P283+P594+P596+P689+P691+P784</f>
        <v>0</v>
      </c>
      <c r="Q829" s="59">
        <f t="shared" si="188"/>
        <v>0</v>
      </c>
      <c r="R829" s="59">
        <f t="shared" si="189"/>
        <v>0</v>
      </c>
    </row>
    <row r="830" spans="1:20" ht="15.75" customHeight="1" x14ac:dyDescent="0.3">
      <c r="A830" s="17" t="s">
        <v>626</v>
      </c>
      <c r="B830" s="1">
        <f>+B55+SUM(B121:B122)+SUM(B286:B287)+SUM(B435:B441)+SUM(B497:B497)+SUM(B539:B540)+B597+B645+B692+B785+B785</f>
        <v>0</v>
      </c>
      <c r="C830" s="1">
        <f>+C55+SUM(C121:C122)+SUM(C286:C287)+SUM(C435:C441)+SUM(C497:C497)+SUM(C539:C540)+C597+C645+C692+C785+C785</f>
        <v>0</v>
      </c>
      <c r="D830" s="1">
        <f>+D55+SUM(D121:D122)+SUM(D286:D287)+SUM(D435:D441)+SUM(D497:D497)+SUM(D539:D540)+D597+D645+D692+D785+D785</f>
        <v>0</v>
      </c>
      <c r="E830" s="59">
        <f t="shared" si="185"/>
        <v>0</v>
      </c>
      <c r="F830" s="1">
        <f>+F55+SUM(F121:F122)+SUM(F286:F287)+SUM(F435:F441)+SUM(F497:F497)+SUM(F539:F540)+F597+F645+F692+F785+F785</f>
        <v>1000</v>
      </c>
      <c r="G830" s="1">
        <f>+G55+SUM(G121:G122)+SUM(G286:G287)+SUM(G435:G441)+SUM(G497:G497)+SUM(G539:G540)+G597+G645+G692+G785+G785</f>
        <v>0</v>
      </c>
      <c r="H830" s="1">
        <f>+H55+SUM(H121:H122)+SUM(H286:H287)+SUM(H435:H441)+SUM(H497:H497)+SUM(H539:H540)+H597+H645+H692+H785+H785</f>
        <v>0</v>
      </c>
      <c r="I830" s="59">
        <f t="shared" si="186"/>
        <v>1000</v>
      </c>
      <c r="J830" s="1">
        <f>+J55+SUM(J121:J122)+SUM(J286:J287)+SUM(J435:J441)+SUM(J497:J497)+SUM(J539:J540)+J597+J645+J692+J785+J785</f>
        <v>0</v>
      </c>
      <c r="K830" s="1">
        <f>+K55+SUM(K121:K122)+SUM(K286:K287)+SUM(K435:K441)+SUM(K497:K497)+SUM(K539:K540)+K597+K645+K692+K785+K785</f>
        <v>0</v>
      </c>
      <c r="L830" s="1">
        <f>+L55+SUM(L121:L122)+SUM(L286:L287)+SUM(L435:L441)+SUM(L497:L497)+SUM(L539:L540)+L597+L645+L692+L785+L785</f>
        <v>0</v>
      </c>
      <c r="M830" s="59">
        <f t="shared" si="187"/>
        <v>0</v>
      </c>
      <c r="N830" s="1">
        <f>+N55+SUM(N121:N122)+SUM(N286:N287)+SUM(N435:N441)+SUM(N497:N497)+SUM(N539:N540)+N597+N645+N692+N785+N785</f>
        <v>0</v>
      </c>
      <c r="O830" s="1">
        <f>+O55+SUM(O121:O122)+SUM(O286:O287)+SUM(O435:O441)+SUM(O497:O497)+SUM(O539:O540)+O597+O645+O692+O785+O785</f>
        <v>0</v>
      </c>
      <c r="P830" s="1">
        <f>+P55+SUM(P121:P122)+SUM(P286:P287)+SUM(P435:P441)+SUM(P497:P497)+SUM(P539:P540)+P597+P645+P692+P785+P785</f>
        <v>0</v>
      </c>
      <c r="Q830" s="59">
        <f t="shared" si="188"/>
        <v>0</v>
      </c>
      <c r="R830" s="59">
        <f>+E830+I830+M830+Q830</f>
        <v>1000</v>
      </c>
    </row>
    <row r="831" spans="1:20" ht="22.5" customHeight="1" x14ac:dyDescent="0.3">
      <c r="A831" s="17" t="s">
        <v>928</v>
      </c>
      <c r="B831" s="1">
        <f>SUM(B123:B123)+SUM(B288:B289)+B443+B445+B446+B448+B450+SUM(B498:B499)+B542+B544+B598+SUM(B599:B600)+B646+B693+B736+B786</f>
        <v>300</v>
      </c>
      <c r="C831" s="1">
        <f>SUM(C123:C123)+SUM(C288:C289)+C443+C445+C446+C448+C450+SUM(C498:C499)+C542+C544+C598+SUM(C599:C600)+C646+C693+C736+C786</f>
        <v>410</v>
      </c>
      <c r="D831" s="1">
        <f>SUM(D123:D123)+SUM(D288:D289)+D443+D445+D446+D448+D450+SUM(D498:D499)+D542+D544+D598+SUM(D599:D600)+D646+D693+D736+D786</f>
        <v>710</v>
      </c>
      <c r="E831" s="59">
        <f t="shared" si="185"/>
        <v>1420</v>
      </c>
      <c r="F831" s="1">
        <f>SUM(F123:F123)+SUM(F288:F289)+F443+F445+F446+F448+F450+SUM(F498:F499)+F542+F544+F598+SUM(F599:F600)+F646+F693+F736+F786</f>
        <v>610</v>
      </c>
      <c r="G831" s="1">
        <f>SUM(G123:G123)+SUM(G288:G289)+G443+G445+G446+G448+G450+SUM(G498:G499)+G542+G544+G598+SUM(G599:G600)+G646+G693+G736+G786</f>
        <v>740</v>
      </c>
      <c r="H831" s="1">
        <f>SUM(H123:H123)+SUM(H288:H289)+H443+H445+H446+H448+H450+SUM(H498:H499)+H542+H544+H598+SUM(H599:H600)+H646+H693+H736+H786</f>
        <v>4210</v>
      </c>
      <c r="I831" s="59">
        <f t="shared" si="186"/>
        <v>5560</v>
      </c>
      <c r="J831" s="1">
        <f>SUM(J123:J123)+SUM(J288:J289)+J443+J445+J446+J448+J450+SUM(J498:J499)+J542+J544+J598+SUM(J599:J600)+J646+J693+J736+J786</f>
        <v>310</v>
      </c>
      <c r="K831" s="1">
        <f>SUM(K123:K123)+SUM(K288:K289)+K443+K445+K446+K448+K450+SUM(K498:K499)+K542+K544+K598+SUM(K599:K600)+K646+K693+K736+K786</f>
        <v>6340</v>
      </c>
      <c r="L831" s="1">
        <f>SUM(L123:L123)+SUM(L288:L289)+L443+L445+L446+L448+L450+SUM(L498:L499)+L542+L544+L598+SUM(L599:L600)+L646+L693+L736+L786</f>
        <v>2000</v>
      </c>
      <c r="M831" s="59">
        <f t="shared" si="187"/>
        <v>8650</v>
      </c>
      <c r="N831" s="1">
        <f>SUM(N123:N123)+SUM(N288:N289)+N443+N445+N446+N448+N450+SUM(N498:N499)+N542+N544+N598+SUM(N599:N600)+N646+N693+N736+N786</f>
        <v>1000</v>
      </c>
      <c r="O831" s="1">
        <f>SUM(O123:O123)+SUM(O288:O289)+O443+O445+O446+O448+O450+SUM(O498:O499)+O542+O544+O598+SUM(O599:O600)+O646+O693+O736+O786</f>
        <v>500</v>
      </c>
      <c r="P831" s="1">
        <f>SUM(P123:P123)+SUM(P288:P289)+P443+P445+P446+P448+P450+SUM(P498:P499)+P542+P544+P598+SUM(P599:P600)+P646+P693+P736+P786</f>
        <v>500</v>
      </c>
      <c r="Q831" s="59">
        <f t="shared" si="188"/>
        <v>2000</v>
      </c>
      <c r="R831" s="59">
        <f t="shared" si="189"/>
        <v>17630</v>
      </c>
    </row>
    <row r="832" spans="1:20" ht="15.75" customHeight="1" thickBot="1" x14ac:dyDescent="0.35">
      <c r="A832" s="74" t="s">
        <v>929</v>
      </c>
      <c r="B832" s="1">
        <f>+B444+B447+B449+B500</f>
        <v>0</v>
      </c>
      <c r="C832" s="1">
        <f>+C444+C447+C449+C500</f>
        <v>0</v>
      </c>
      <c r="D832" s="1">
        <f>+D444+D447+D449+D500</f>
        <v>0</v>
      </c>
      <c r="E832" s="59">
        <f>SUM(B832:D832)</f>
        <v>0</v>
      </c>
      <c r="F832" s="1">
        <f>+F444+F447+F449+F500</f>
        <v>0</v>
      </c>
      <c r="G832" s="1">
        <f>+G444+G447+G449+G500</f>
        <v>0</v>
      </c>
      <c r="H832" s="1">
        <f>+H444+H447+H449+H500</f>
        <v>0</v>
      </c>
      <c r="I832" s="59">
        <f>SUM(F832:H832)</f>
        <v>0</v>
      </c>
      <c r="J832" s="1">
        <f>+J444+J447+J449+J500</f>
        <v>0</v>
      </c>
      <c r="K832" s="1">
        <f>+K444+K447+K449+K500</f>
        <v>0</v>
      </c>
      <c r="L832" s="1">
        <f>+L444+L447+L449+L500</f>
        <v>0</v>
      </c>
      <c r="M832" s="59">
        <f>SUM(J832:L832)</f>
        <v>0</v>
      </c>
      <c r="N832" s="1">
        <f>+N444+N447+N449+N500</f>
        <v>0</v>
      </c>
      <c r="O832" s="1">
        <f>+O444+O447+O449+O500</f>
        <v>0</v>
      </c>
      <c r="P832" s="1">
        <f>+P444+P447+P449+P500</f>
        <v>0</v>
      </c>
      <c r="Q832" s="59">
        <f>SUM(N832:P832)</f>
        <v>0</v>
      </c>
      <c r="R832" s="59">
        <f>+E832+I832+M832+Q832</f>
        <v>0</v>
      </c>
    </row>
    <row r="833" spans="1:18" ht="16.5" customHeight="1" thickBot="1" x14ac:dyDescent="0.35">
      <c r="A833" s="62" t="s">
        <v>68</v>
      </c>
      <c r="B833" s="148">
        <f>SUM(B830:B832)</f>
        <v>300</v>
      </c>
      <c r="C833" s="148">
        <f>SUM(C830:C832)</f>
        <v>410</v>
      </c>
      <c r="D833" s="148">
        <f>SUM(D830:D832)</f>
        <v>710</v>
      </c>
      <c r="E833" s="65">
        <f t="shared" si="185"/>
        <v>1420</v>
      </c>
      <c r="F833" s="148">
        <f>SUM(F830:F832)</f>
        <v>1610</v>
      </c>
      <c r="G833" s="148">
        <f>SUM(G830:G832)</f>
        <v>740</v>
      </c>
      <c r="H833" s="148">
        <f>SUM(H830:H832)</f>
        <v>4210</v>
      </c>
      <c r="I833" s="65">
        <f t="shared" si="186"/>
        <v>6560</v>
      </c>
      <c r="J833" s="148">
        <f>SUM(J830:J832)</f>
        <v>310</v>
      </c>
      <c r="K833" s="148">
        <f>SUM(K830:K832)</f>
        <v>6340</v>
      </c>
      <c r="L833" s="148">
        <f>SUM(L830:L832)</f>
        <v>2000</v>
      </c>
      <c r="M833" s="65">
        <f t="shared" si="187"/>
        <v>8650</v>
      </c>
      <c r="N833" s="148">
        <f>SUM(N830:N832)</f>
        <v>1000</v>
      </c>
      <c r="O833" s="148">
        <f>SUM(O830:O832)</f>
        <v>500</v>
      </c>
      <c r="P833" s="148">
        <f>SUM(P830:P832)</f>
        <v>500</v>
      </c>
      <c r="Q833" s="65">
        <f t="shared" si="188"/>
        <v>2000</v>
      </c>
      <c r="R833" s="64">
        <f t="shared" si="189"/>
        <v>18630</v>
      </c>
    </row>
    <row r="834" spans="1:18" ht="16.5" customHeight="1" thickBot="1" x14ac:dyDescent="0.35">
      <c r="A834" s="137" t="s">
        <v>69</v>
      </c>
      <c r="B834" s="100">
        <f>SUM(B826:B832)</f>
        <v>300</v>
      </c>
      <c r="C834" s="101">
        <f>SUM(C826:C832)</f>
        <v>410</v>
      </c>
      <c r="D834" s="138">
        <f>SUM(D826:D832)</f>
        <v>710</v>
      </c>
      <c r="E834" s="165">
        <f t="shared" si="185"/>
        <v>1420</v>
      </c>
      <c r="F834" s="100">
        <f>SUM(F826:F832)</f>
        <v>1610</v>
      </c>
      <c r="G834" s="101">
        <f>SUM(G826:G832)</f>
        <v>740</v>
      </c>
      <c r="H834" s="138">
        <f>SUM(H826:H832)</f>
        <v>4210</v>
      </c>
      <c r="I834" s="65">
        <f t="shared" si="186"/>
        <v>6560</v>
      </c>
      <c r="J834" s="100">
        <f>SUM(J826:J832)</f>
        <v>310</v>
      </c>
      <c r="K834" s="101">
        <f>SUM(K826:K832)</f>
        <v>6340</v>
      </c>
      <c r="L834" s="138">
        <f>SUM(L826:L832)</f>
        <v>2000</v>
      </c>
      <c r="M834" s="65">
        <f t="shared" si="187"/>
        <v>8650</v>
      </c>
      <c r="N834" s="100">
        <f>SUM(N826:N832)</f>
        <v>1000</v>
      </c>
      <c r="O834" s="101">
        <f>SUM(O826:O832)</f>
        <v>500</v>
      </c>
      <c r="P834" s="138">
        <f>SUM(P826:P832)</f>
        <v>500</v>
      </c>
      <c r="Q834" s="65">
        <f t="shared" si="188"/>
        <v>2000</v>
      </c>
      <c r="R834" s="64">
        <f t="shared" si="189"/>
        <v>18630</v>
      </c>
    </row>
    <row r="835" spans="1:18" ht="16.5" customHeight="1" thickBot="1" x14ac:dyDescent="0.35">
      <c r="A835" s="62" t="s">
        <v>70</v>
      </c>
      <c r="B835" s="149">
        <f>+B816+B821+B825+B834</f>
        <v>66067</v>
      </c>
      <c r="C835" s="150">
        <f>+C816+C821+C825+C834</f>
        <v>72345</v>
      </c>
      <c r="D835" s="150">
        <f>+D816+D821+D825+D834</f>
        <v>119760</v>
      </c>
      <c r="E835" s="64">
        <f t="shared" si="185"/>
        <v>258172</v>
      </c>
      <c r="F835" s="63">
        <f>+F816+F821+F825+F834</f>
        <v>150026</v>
      </c>
      <c r="G835" s="63">
        <f>+G816+G821+G825+G834</f>
        <v>164983</v>
      </c>
      <c r="H835" s="63">
        <f>+H816+H821+H825+H834</f>
        <v>190046</v>
      </c>
      <c r="I835" s="64">
        <f t="shared" si="186"/>
        <v>505055</v>
      </c>
      <c r="J835" s="63">
        <f>+J816+J821+J825+J834</f>
        <v>181834</v>
      </c>
      <c r="K835" s="63">
        <f>+K816+K821+K825+K834</f>
        <v>166151</v>
      </c>
      <c r="L835" s="63">
        <f>+L816+L821+L825+L834</f>
        <v>133758</v>
      </c>
      <c r="M835" s="64">
        <f t="shared" si="187"/>
        <v>481743</v>
      </c>
      <c r="N835" s="63">
        <f>+N816+N821+N825+N834</f>
        <v>88306</v>
      </c>
      <c r="O835" s="63">
        <f>+O816+O821+O825+O834</f>
        <v>52638</v>
      </c>
      <c r="P835" s="63">
        <f>+P816+P821+P825+P834</f>
        <v>66117</v>
      </c>
      <c r="Q835" s="64">
        <f t="shared" si="188"/>
        <v>207061</v>
      </c>
      <c r="R835" s="88">
        <f t="shared" si="189"/>
        <v>1452031</v>
      </c>
    </row>
    <row r="836" spans="1:18" ht="15.75" customHeight="1" x14ac:dyDescent="0.3">
      <c r="A836" s="1" t="s">
        <v>930</v>
      </c>
      <c r="B836" s="1"/>
      <c r="C836" s="1"/>
      <c r="D836" s="1"/>
      <c r="E836" s="1"/>
      <c r="F836" s="1"/>
      <c r="G836" s="1"/>
      <c r="H836" s="1"/>
      <c r="I836" s="1"/>
      <c r="J836" s="1"/>
      <c r="K836" s="1"/>
      <c r="L836" s="1"/>
      <c r="M836" s="1"/>
      <c r="N836" s="1"/>
      <c r="O836" s="166"/>
      <c r="P836" s="1"/>
      <c r="Q836" s="1"/>
      <c r="R836" s="28"/>
    </row>
    <row r="837" spans="1:18" ht="15.75" customHeight="1" x14ac:dyDescent="0.3">
      <c r="A837" s="1" t="s">
        <v>931</v>
      </c>
      <c r="B837" s="1"/>
      <c r="C837" s="1"/>
      <c r="D837" s="1"/>
      <c r="E837" s="1"/>
      <c r="F837" s="1"/>
      <c r="G837" s="1"/>
      <c r="H837" s="1"/>
      <c r="I837" s="1"/>
      <c r="J837" s="1"/>
      <c r="K837" s="1"/>
      <c r="L837" s="1"/>
      <c r="M837" s="1"/>
      <c r="N837" s="1"/>
      <c r="O837" s="166"/>
      <c r="P837" s="1"/>
      <c r="Q837" s="1"/>
      <c r="R837" s="28"/>
    </row>
    <row r="838" spans="1:18" ht="15.75" customHeight="1" x14ac:dyDescent="0.3">
      <c r="A838" s="1"/>
      <c r="B838" s="1"/>
      <c r="C838" s="1"/>
      <c r="D838" s="1"/>
      <c r="E838" s="1"/>
      <c r="F838" s="1"/>
      <c r="G838" s="1"/>
      <c r="H838" s="1"/>
      <c r="I838" s="1"/>
      <c r="J838" s="1"/>
      <c r="K838" s="1"/>
      <c r="L838" s="1"/>
      <c r="M838" s="1"/>
      <c r="N838" s="1"/>
      <c r="O838" s="166"/>
      <c r="P838" s="1"/>
      <c r="Q838" s="2" t="str">
        <f>+Q1</f>
        <v xml:space="preserve">PRINTED:  </v>
      </c>
      <c r="R838" s="163">
        <f ca="1">+R1</f>
        <v>44894.658168518516</v>
      </c>
    </row>
    <row r="839" spans="1:18" ht="15.75" customHeight="1" x14ac:dyDescent="0.3">
      <c r="A839" s="383" t="s">
        <v>1</v>
      </c>
      <c r="B839" s="383"/>
      <c r="C839" s="383"/>
      <c r="D839" s="383"/>
      <c r="E839" s="383"/>
      <c r="F839" s="383"/>
      <c r="G839" s="383"/>
      <c r="H839" s="383"/>
      <c r="I839" s="383"/>
      <c r="J839" s="383"/>
      <c r="K839" s="383"/>
      <c r="L839" s="383"/>
      <c r="M839" s="383"/>
      <c r="N839" s="383"/>
      <c r="O839" s="383"/>
      <c r="P839" s="383"/>
      <c r="Q839" s="383"/>
      <c r="R839" s="383"/>
    </row>
    <row r="840" spans="1:18" ht="15.75" customHeight="1" x14ac:dyDescent="0.3">
      <c r="A840" s="383" t="s">
        <v>2</v>
      </c>
      <c r="B840" s="383"/>
      <c r="C840" s="383"/>
      <c r="D840" s="383"/>
      <c r="E840" s="383"/>
      <c r="F840" s="383"/>
      <c r="G840" s="383"/>
      <c r="H840" s="383"/>
      <c r="I840" s="383"/>
      <c r="J840" s="383"/>
      <c r="K840" s="383"/>
      <c r="L840" s="383"/>
      <c r="M840" s="383"/>
      <c r="N840" s="383"/>
      <c r="O840" s="383"/>
      <c r="P840" s="383"/>
      <c r="Q840" s="383"/>
      <c r="R840" s="383"/>
    </row>
    <row r="841" spans="1:18" ht="15.75" customHeight="1" x14ac:dyDescent="0.3">
      <c r="A841" s="383" t="s">
        <v>3</v>
      </c>
      <c r="B841" s="383"/>
      <c r="C841" s="383"/>
      <c r="D841" s="383"/>
      <c r="E841" s="383"/>
      <c r="F841" s="383"/>
      <c r="G841" s="383"/>
      <c r="H841" s="383"/>
      <c r="I841" s="383"/>
      <c r="J841" s="383"/>
      <c r="K841" s="383"/>
      <c r="L841" s="383"/>
      <c r="M841" s="383"/>
      <c r="N841" s="383"/>
      <c r="O841" s="383"/>
      <c r="P841" s="383"/>
      <c r="Q841" s="383"/>
      <c r="R841" s="383"/>
    </row>
    <row r="842" spans="1:18" ht="15.75" customHeight="1" x14ac:dyDescent="0.3">
      <c r="A842" s="392">
        <f>+A5</f>
        <v>2017</v>
      </c>
      <c r="B842" s="392"/>
      <c r="C842" s="392"/>
      <c r="D842" s="392"/>
      <c r="E842" s="392"/>
      <c r="F842" s="392"/>
      <c r="G842" s="392"/>
      <c r="H842" s="392"/>
      <c r="I842" s="392"/>
      <c r="J842" s="392"/>
      <c r="K842" s="392"/>
      <c r="L842" s="392"/>
      <c r="M842" s="392"/>
      <c r="N842" s="392"/>
      <c r="O842" s="392"/>
      <c r="P842" s="392"/>
      <c r="Q842" s="392"/>
      <c r="R842" s="392"/>
    </row>
    <row r="843" spans="1:18" ht="15.75" customHeight="1" x14ac:dyDescent="0.3">
      <c r="A843" s="1"/>
      <c r="B843" s="1"/>
      <c r="C843" s="1"/>
      <c r="D843" s="7"/>
      <c r="E843" s="7"/>
      <c r="F843" s="7"/>
      <c r="G843" s="8"/>
      <c r="H843" s="7"/>
      <c r="I843" s="7"/>
      <c r="J843" s="8"/>
      <c r="K843" s="8"/>
      <c r="L843" s="8"/>
      <c r="M843" s="8"/>
      <c r="N843" s="1"/>
      <c r="O843" s="8"/>
      <c r="P843" s="8"/>
      <c r="Q843" s="8"/>
      <c r="R843" s="8"/>
    </row>
    <row r="844" spans="1:18" ht="15.75" customHeight="1" x14ac:dyDescent="0.3">
      <c r="A844" s="383" t="str">
        <f>+A8</f>
        <v>Revised:  12/8/2016</v>
      </c>
      <c r="B844" s="383"/>
      <c r="C844" s="383"/>
      <c r="D844" s="383"/>
      <c r="E844" s="383"/>
      <c r="F844" s="383"/>
      <c r="G844" s="383"/>
      <c r="H844" s="383"/>
      <c r="I844" s="383"/>
      <c r="J844" s="383"/>
      <c r="K844" s="383"/>
      <c r="L844" s="383"/>
      <c r="M844" s="383"/>
      <c r="N844" s="383"/>
      <c r="O844" s="383"/>
      <c r="P844" s="383"/>
      <c r="Q844" s="383"/>
      <c r="R844" s="383"/>
    </row>
    <row r="845" spans="1:18" ht="15.75" customHeight="1" x14ac:dyDescent="0.3">
      <c r="A845" s="6"/>
      <c r="B845" s="6"/>
      <c r="C845" s="6"/>
      <c r="D845" s="6"/>
      <c r="E845" s="6"/>
      <c r="F845" s="6"/>
      <c r="G845" s="6"/>
      <c r="H845" s="6"/>
      <c r="I845" s="6"/>
      <c r="J845" s="6"/>
      <c r="K845" s="6"/>
      <c r="L845" s="6"/>
      <c r="M845" s="6"/>
      <c r="N845" s="6"/>
      <c r="O845" s="6"/>
      <c r="P845" s="6"/>
      <c r="Q845" s="6"/>
      <c r="R845" s="6"/>
    </row>
    <row r="846" spans="1:18" ht="15.75" customHeight="1" x14ac:dyDescent="0.3">
      <c r="A846" s="30"/>
      <c r="B846" s="1"/>
      <c r="C846" s="1"/>
      <c r="D846" s="1"/>
      <c r="E846" s="1"/>
      <c r="F846" s="1"/>
      <c r="G846" s="1"/>
      <c r="H846" s="1"/>
      <c r="I846" s="1"/>
      <c r="J846" s="1"/>
      <c r="K846" s="1"/>
      <c r="L846" s="1"/>
      <c r="M846" s="1"/>
      <c r="N846" s="1"/>
      <c r="O846" s="1"/>
      <c r="P846" s="1"/>
      <c r="Q846" s="1"/>
      <c r="R846" s="28"/>
    </row>
    <row r="847" spans="1:18" ht="15.75" customHeight="1" thickBot="1" x14ac:dyDescent="0.35">
      <c r="A847" s="1"/>
      <c r="B847" s="1"/>
      <c r="C847" s="1"/>
      <c r="D847" s="1"/>
      <c r="E847" s="1"/>
      <c r="F847" s="1"/>
      <c r="G847" s="1"/>
      <c r="H847" s="1"/>
      <c r="I847" s="1"/>
      <c r="J847" s="1"/>
      <c r="K847" s="1"/>
      <c r="L847" s="1"/>
      <c r="M847" s="1"/>
      <c r="N847" s="1"/>
      <c r="O847" s="166"/>
      <c r="P847" s="1"/>
      <c r="Q847" s="1"/>
      <c r="R847" s="28"/>
    </row>
    <row r="848" spans="1:18" ht="15.75" customHeight="1" thickBot="1" x14ac:dyDescent="0.35">
      <c r="A848" s="124" t="s">
        <v>630</v>
      </c>
      <c r="B848" s="54" t="s">
        <v>36</v>
      </c>
      <c r="C848" s="11" t="s">
        <v>9</v>
      </c>
      <c r="D848" s="11" t="s">
        <v>10</v>
      </c>
      <c r="E848" s="12" t="s">
        <v>11</v>
      </c>
      <c r="F848" s="11" t="s">
        <v>12</v>
      </c>
      <c r="G848" s="11" t="s">
        <v>13</v>
      </c>
      <c r="H848" s="11" t="s">
        <v>14</v>
      </c>
      <c r="I848" s="12" t="s">
        <v>15</v>
      </c>
      <c r="J848" s="11" t="s">
        <v>16</v>
      </c>
      <c r="K848" s="11" t="s">
        <v>17</v>
      </c>
      <c r="L848" s="11" t="s">
        <v>18</v>
      </c>
      <c r="M848" s="12" t="s">
        <v>19</v>
      </c>
      <c r="N848" s="11" t="s">
        <v>20</v>
      </c>
      <c r="O848" s="11" t="s">
        <v>21</v>
      </c>
      <c r="P848" s="11" t="s">
        <v>22</v>
      </c>
      <c r="Q848" s="12" t="s">
        <v>23</v>
      </c>
      <c r="R848" s="167" t="s">
        <v>24</v>
      </c>
    </row>
    <row r="849" spans="1:46" ht="16.5" customHeight="1" thickBot="1" x14ac:dyDescent="0.35">
      <c r="A849" s="168"/>
      <c r="B849" s="169"/>
      <c r="C849" s="169"/>
      <c r="D849" s="169"/>
      <c r="E849" s="16"/>
      <c r="F849" s="169"/>
      <c r="G849" s="169"/>
      <c r="H849" s="169"/>
      <c r="I849" s="38"/>
      <c r="J849" s="169"/>
      <c r="K849" s="169"/>
      <c r="L849" s="169"/>
      <c r="M849" s="38"/>
      <c r="N849" s="169"/>
      <c r="O849" s="169"/>
      <c r="P849" s="169"/>
      <c r="Q849" s="151"/>
      <c r="R849" s="170"/>
    </row>
    <row r="850" spans="1:46" ht="16.5" customHeight="1" thickBot="1" x14ac:dyDescent="0.35">
      <c r="A850" s="171" t="s">
        <v>26</v>
      </c>
      <c r="B850" s="172">
        <f>+B816</f>
        <v>34427</v>
      </c>
      <c r="C850" s="172">
        <f>+C816</f>
        <v>30987</v>
      </c>
      <c r="D850" s="172">
        <f>+D816</f>
        <v>38266</v>
      </c>
      <c r="E850" s="100">
        <f>+SUM(B850:D850)</f>
        <v>103680</v>
      </c>
      <c r="F850" s="172">
        <f>+F816</f>
        <v>49971</v>
      </c>
      <c r="G850" s="172">
        <f>+G816</f>
        <v>58472</v>
      </c>
      <c r="H850" s="172">
        <f>+H816</f>
        <v>68914</v>
      </c>
      <c r="I850" s="100">
        <f>+SUM(F850:H850)</f>
        <v>177357</v>
      </c>
      <c r="J850" s="172">
        <f>+J816</f>
        <v>73864</v>
      </c>
      <c r="K850" s="172">
        <f>+K816</f>
        <v>71376</v>
      </c>
      <c r="L850" s="172">
        <f>+L816</f>
        <v>66855</v>
      </c>
      <c r="M850" s="100">
        <f>+SUM(J850:L850)</f>
        <v>212095</v>
      </c>
      <c r="N850" s="172">
        <f>+N816</f>
        <v>35206</v>
      </c>
      <c r="O850" s="172">
        <f>+O816</f>
        <v>33589</v>
      </c>
      <c r="P850" s="172">
        <f>+P816</f>
        <v>33944</v>
      </c>
      <c r="Q850" s="100">
        <f>+SUM(N850:P850)</f>
        <v>102739</v>
      </c>
      <c r="R850" s="64">
        <f>+E850+I850+M850+Q850</f>
        <v>595871</v>
      </c>
    </row>
    <row r="851" spans="1:46" ht="16.5" customHeight="1" thickBot="1" x14ac:dyDescent="0.35">
      <c r="A851" s="34"/>
      <c r="B851" s="100"/>
      <c r="C851" s="100"/>
      <c r="D851" s="100"/>
      <c r="E851" s="100"/>
      <c r="F851" s="100"/>
      <c r="G851" s="100"/>
      <c r="H851" s="100"/>
      <c r="I851" s="100"/>
      <c r="J851" s="100"/>
      <c r="K851" s="100"/>
      <c r="L851" s="100"/>
      <c r="M851" s="100"/>
      <c r="N851" s="100"/>
      <c r="O851" s="100"/>
      <c r="P851" s="100"/>
      <c r="Q851" s="100"/>
      <c r="R851" s="64"/>
    </row>
    <row r="852" spans="1:46" ht="16.5" customHeight="1" thickBot="1" x14ac:dyDescent="0.35">
      <c r="A852" s="171" t="s">
        <v>631</v>
      </c>
      <c r="B852" s="172">
        <f>+B821</f>
        <v>5921</v>
      </c>
      <c r="C852" s="172">
        <f>+C821</f>
        <v>8355</v>
      </c>
      <c r="D852" s="172">
        <f>+D821</f>
        <v>27044</v>
      </c>
      <c r="E852" s="100">
        <f>+SUM(B852:D852)</f>
        <v>41320</v>
      </c>
      <c r="F852" s="172">
        <f>+F821</f>
        <v>38690</v>
      </c>
      <c r="G852" s="172">
        <f>+G821</f>
        <v>32922</v>
      </c>
      <c r="H852" s="172">
        <f>+H821</f>
        <v>37456</v>
      </c>
      <c r="I852" s="100">
        <f>+SUM(F852:H852)</f>
        <v>109068</v>
      </c>
      <c r="J852" s="172">
        <f>+J821</f>
        <v>30845</v>
      </c>
      <c r="K852" s="172">
        <f>+K821</f>
        <v>28685</v>
      </c>
      <c r="L852" s="172">
        <f>+L821</f>
        <v>19585</v>
      </c>
      <c r="M852" s="100">
        <f>+SUM(J852:L852)</f>
        <v>79115</v>
      </c>
      <c r="N852" s="172">
        <f>+N821</f>
        <v>9685</v>
      </c>
      <c r="O852" s="172">
        <f>+O821</f>
        <v>7170</v>
      </c>
      <c r="P852" s="172">
        <f>+P821</f>
        <v>7566</v>
      </c>
      <c r="Q852" s="100">
        <f>+SUM(N852:P852)</f>
        <v>24421</v>
      </c>
      <c r="R852" s="64">
        <f>+E852+I852+M852+Q852</f>
        <v>253924</v>
      </c>
    </row>
    <row r="853" spans="1:46" ht="16.5" customHeight="1" thickBot="1" x14ac:dyDescent="0.35">
      <c r="A853" s="34"/>
      <c r="B853" s="100"/>
      <c r="C853" s="100"/>
      <c r="D853" s="100"/>
      <c r="E853" s="100"/>
      <c r="F853" s="100"/>
      <c r="G853" s="100"/>
      <c r="H853" s="100"/>
      <c r="I853" s="100"/>
      <c r="J853" s="100"/>
      <c r="K853" s="100"/>
      <c r="L853" s="100"/>
      <c r="M853" s="100"/>
      <c r="N853" s="100"/>
      <c r="O853" s="100"/>
      <c r="P853" s="100"/>
      <c r="Q853" s="100"/>
      <c r="R853" s="64"/>
      <c r="AC853" s="173"/>
      <c r="AD853" s="174"/>
      <c r="AE853" s="175" t="s">
        <v>632</v>
      </c>
      <c r="AF853" s="174"/>
      <c r="AG853" s="174"/>
      <c r="AH853" s="174"/>
      <c r="AI853" s="174"/>
      <c r="AJ853" s="174"/>
      <c r="AK853" s="174" t="s">
        <v>633</v>
      </c>
      <c r="AL853" s="174"/>
      <c r="AM853" s="174" t="s">
        <v>7</v>
      </c>
      <c r="AN853" s="176" t="str">
        <f>+A8</f>
        <v>Revised:  12/8/2016</v>
      </c>
      <c r="AO853" s="174"/>
      <c r="AP853" s="174"/>
      <c r="AQ853" s="174"/>
      <c r="AR853" s="174"/>
      <c r="AS853" s="177" t="str">
        <f>+Q1</f>
        <v xml:space="preserve">PRINTED:  </v>
      </c>
      <c r="AT853" s="178">
        <f ca="1">+R1</f>
        <v>44894.658168518516</v>
      </c>
    </row>
    <row r="854" spans="1:46" ht="16.5" customHeight="1" thickBot="1" x14ac:dyDescent="0.35">
      <c r="A854" s="171" t="s">
        <v>28</v>
      </c>
      <c r="B854" s="172">
        <f>+B825</f>
        <v>25419</v>
      </c>
      <c r="C854" s="172">
        <f>+C825</f>
        <v>32593</v>
      </c>
      <c r="D854" s="172">
        <f>+D825</f>
        <v>53740</v>
      </c>
      <c r="E854" s="100">
        <f>+SUM(B854:D854)</f>
        <v>111752</v>
      </c>
      <c r="F854" s="172">
        <f>+F825</f>
        <v>59755</v>
      </c>
      <c r="G854" s="172">
        <f>+G825</f>
        <v>72849</v>
      </c>
      <c r="H854" s="172">
        <f>+H825</f>
        <v>79466</v>
      </c>
      <c r="I854" s="100">
        <f>+SUM(F854:H854)</f>
        <v>212070</v>
      </c>
      <c r="J854" s="172">
        <f>+J825</f>
        <v>76815</v>
      </c>
      <c r="K854" s="172">
        <f>+K825</f>
        <v>59750</v>
      </c>
      <c r="L854" s="172">
        <f>+L825</f>
        <v>45318</v>
      </c>
      <c r="M854" s="100">
        <f>+SUM(J854:L854)</f>
        <v>181883</v>
      </c>
      <c r="N854" s="172">
        <f>+N825</f>
        <v>42415</v>
      </c>
      <c r="O854" s="172">
        <f>+O825</f>
        <v>11379</v>
      </c>
      <c r="P854" s="172">
        <f>+P825</f>
        <v>24107</v>
      </c>
      <c r="Q854" s="100">
        <f>+SUM(N854:P854)</f>
        <v>77901</v>
      </c>
      <c r="R854" s="64">
        <f>+E854+I854+M854+Q854</f>
        <v>583606</v>
      </c>
      <c r="AC854" s="179"/>
      <c r="AD854" s="180"/>
      <c r="AE854" s="180"/>
      <c r="AF854" s="180">
        <f>++A5</f>
        <v>2017</v>
      </c>
      <c r="AG854" s="180"/>
      <c r="AH854" s="180"/>
      <c r="AI854" s="180"/>
      <c r="AJ854" s="180"/>
      <c r="AK854" s="180"/>
      <c r="AL854" s="180"/>
      <c r="AM854" s="180"/>
      <c r="AN854" s="180"/>
      <c r="AO854" s="180"/>
      <c r="AP854" s="180"/>
      <c r="AQ854" s="180"/>
      <c r="AR854" s="180"/>
      <c r="AS854" s="180"/>
      <c r="AT854" s="306"/>
    </row>
    <row r="855" spans="1:46" ht="16.5" customHeight="1" thickBot="1" x14ac:dyDescent="0.35">
      <c r="A855" s="34"/>
      <c r="B855" s="100"/>
      <c r="C855" s="100"/>
      <c r="D855" s="100"/>
      <c r="E855" s="100"/>
      <c r="F855" s="100"/>
      <c r="G855" s="100"/>
      <c r="H855" s="100"/>
      <c r="I855" s="100"/>
      <c r="J855" s="100"/>
      <c r="K855" s="100"/>
      <c r="L855" s="100"/>
      <c r="M855" s="100"/>
      <c r="N855" s="100"/>
      <c r="O855" s="100"/>
      <c r="P855" s="100"/>
      <c r="Q855" s="100"/>
      <c r="R855" s="64"/>
      <c r="AC855" s="179"/>
      <c r="AD855" s="180"/>
      <c r="AE855" s="180"/>
      <c r="AF855" s="180"/>
      <c r="AG855" s="180"/>
      <c r="AH855" s="180"/>
      <c r="AI855" s="180"/>
      <c r="AJ855" s="180"/>
      <c r="AK855" s="180"/>
      <c r="AL855" s="180"/>
      <c r="AM855" s="180"/>
      <c r="AN855" s="180"/>
      <c r="AO855" s="180"/>
      <c r="AP855" s="180"/>
      <c r="AQ855" s="180"/>
      <c r="AR855" s="180"/>
      <c r="AS855" s="180"/>
      <c r="AT855" s="306"/>
    </row>
    <row r="856" spans="1:46" ht="16.5" customHeight="1" thickBot="1" x14ac:dyDescent="0.35">
      <c r="A856" s="171" t="s">
        <v>634</v>
      </c>
      <c r="B856" s="172">
        <f>+B834</f>
        <v>300</v>
      </c>
      <c r="C856" s="172">
        <f>+C834</f>
        <v>410</v>
      </c>
      <c r="D856" s="172">
        <f>+D834</f>
        <v>710</v>
      </c>
      <c r="E856" s="100">
        <f>+SUM(B856:D856)</f>
        <v>1420</v>
      </c>
      <c r="F856" s="172">
        <f>+F834</f>
        <v>1610</v>
      </c>
      <c r="G856" s="172">
        <f>+G834</f>
        <v>740</v>
      </c>
      <c r="H856" s="172">
        <f>+H834</f>
        <v>4210</v>
      </c>
      <c r="I856" s="100">
        <f>+SUM(F856:H856)</f>
        <v>6560</v>
      </c>
      <c r="J856" s="172">
        <f>+J834</f>
        <v>310</v>
      </c>
      <c r="K856" s="172">
        <f>+K834</f>
        <v>6340</v>
      </c>
      <c r="L856" s="172">
        <f>+L834</f>
        <v>2000</v>
      </c>
      <c r="M856" s="100">
        <f>+SUM(J856:L856)</f>
        <v>8650</v>
      </c>
      <c r="N856" s="172">
        <f>+N834</f>
        <v>1000</v>
      </c>
      <c r="O856" s="172">
        <f>+O834</f>
        <v>500</v>
      </c>
      <c r="P856" s="172">
        <f>+P834</f>
        <v>500</v>
      </c>
      <c r="Q856" s="100">
        <f>+SUM(N856:P856)</f>
        <v>2000</v>
      </c>
      <c r="R856" s="64">
        <f>+E856+I856+M856+Q856</f>
        <v>18630</v>
      </c>
      <c r="AC856" s="179"/>
      <c r="AD856" s="180"/>
      <c r="AE856" s="180"/>
      <c r="AF856" s="180"/>
      <c r="AG856" s="180"/>
      <c r="AH856" s="180"/>
      <c r="AI856" s="182" t="s">
        <v>635</v>
      </c>
      <c r="AJ856" s="180"/>
      <c r="AK856" s="180"/>
      <c r="AL856" s="180"/>
      <c r="AM856" s="180"/>
      <c r="AN856" s="180"/>
      <c r="AO856" s="180"/>
      <c r="AP856" s="180"/>
      <c r="AQ856" s="180"/>
      <c r="AR856" s="180"/>
      <c r="AS856" s="180"/>
      <c r="AT856" s="306"/>
    </row>
    <row r="857" spans="1:46" ht="16.5" customHeight="1" thickBot="1" x14ac:dyDescent="0.35">
      <c r="A857" s="34"/>
      <c r="B857" s="100"/>
      <c r="C857" s="100"/>
      <c r="D857" s="100"/>
      <c r="E857" s="100"/>
      <c r="F857" s="100"/>
      <c r="G857" s="100"/>
      <c r="H857" s="100"/>
      <c r="I857" s="100"/>
      <c r="J857" s="100"/>
      <c r="K857" s="100"/>
      <c r="L857" s="100"/>
      <c r="M857" s="100"/>
      <c r="N857" s="100"/>
      <c r="O857" s="100"/>
      <c r="P857" s="100"/>
      <c r="Q857" s="100"/>
      <c r="R857" s="64"/>
      <c r="AC857" s="179"/>
      <c r="AD857" s="180" t="s">
        <v>633</v>
      </c>
      <c r="AE857" s="180"/>
      <c r="AF857" s="182" t="s">
        <v>636</v>
      </c>
      <c r="AG857" s="182" t="s">
        <v>636</v>
      </c>
      <c r="AH857" s="182" t="s">
        <v>637</v>
      </c>
      <c r="AI857" s="182" t="s">
        <v>638</v>
      </c>
      <c r="AJ857" s="182" t="s">
        <v>639</v>
      </c>
      <c r="AK857" s="182" t="s">
        <v>640</v>
      </c>
      <c r="AL857" s="182" t="s">
        <v>641</v>
      </c>
      <c r="AM857" s="180" t="s">
        <v>633</v>
      </c>
      <c r="AN857" s="182" t="s">
        <v>642</v>
      </c>
      <c r="AO857" s="182" t="s">
        <v>642</v>
      </c>
      <c r="AP857" s="182" t="s">
        <v>642</v>
      </c>
      <c r="AQ857" s="180"/>
      <c r="AR857" s="180"/>
      <c r="AS857" s="180"/>
      <c r="AT857" s="306"/>
    </row>
    <row r="858" spans="1:46" ht="16.5" customHeight="1" thickBot="1" x14ac:dyDescent="0.4">
      <c r="A858" s="34" t="s">
        <v>643</v>
      </c>
      <c r="B858" s="107">
        <f t="shared" ref="B858:R858" si="190">+SUM(B850:B856)</f>
        <v>66067</v>
      </c>
      <c r="C858" s="107">
        <f t="shared" si="190"/>
        <v>72345</v>
      </c>
      <c r="D858" s="107">
        <f t="shared" si="190"/>
        <v>119760</v>
      </c>
      <c r="E858" s="107">
        <f t="shared" si="190"/>
        <v>258172</v>
      </c>
      <c r="F858" s="107">
        <f t="shared" si="190"/>
        <v>150026</v>
      </c>
      <c r="G858" s="107">
        <f t="shared" si="190"/>
        <v>164983</v>
      </c>
      <c r="H858" s="107">
        <f t="shared" si="190"/>
        <v>190046</v>
      </c>
      <c r="I858" s="107">
        <f t="shared" si="190"/>
        <v>505055</v>
      </c>
      <c r="J858" s="107">
        <f t="shared" si="190"/>
        <v>181834</v>
      </c>
      <c r="K858" s="107">
        <f t="shared" si="190"/>
        <v>166151</v>
      </c>
      <c r="L858" s="107">
        <f t="shared" si="190"/>
        <v>133758</v>
      </c>
      <c r="M858" s="107">
        <f t="shared" si="190"/>
        <v>481743</v>
      </c>
      <c r="N858" s="107">
        <f t="shared" si="190"/>
        <v>88306</v>
      </c>
      <c r="O858" s="107">
        <f t="shared" si="190"/>
        <v>52638</v>
      </c>
      <c r="P858" s="107">
        <f t="shared" si="190"/>
        <v>66117</v>
      </c>
      <c r="Q858" s="107">
        <f t="shared" si="190"/>
        <v>207061</v>
      </c>
      <c r="R858" s="183">
        <f t="shared" si="190"/>
        <v>1452031</v>
      </c>
      <c r="AC858" s="179"/>
      <c r="AD858" s="182" t="s">
        <v>644</v>
      </c>
      <c r="AE858" s="182" t="s">
        <v>645</v>
      </c>
      <c r="AF858" s="182" t="s">
        <v>646</v>
      </c>
      <c r="AG858" s="182" t="s">
        <v>646</v>
      </c>
      <c r="AH858" s="182" t="s">
        <v>647</v>
      </c>
      <c r="AI858" s="184" t="s">
        <v>648</v>
      </c>
      <c r="AJ858" s="182" t="s">
        <v>649</v>
      </c>
      <c r="AK858" s="182" t="s">
        <v>650</v>
      </c>
      <c r="AL858" s="182" t="s">
        <v>651</v>
      </c>
      <c r="AM858" s="180" t="s">
        <v>633</v>
      </c>
      <c r="AN858" s="182" t="s">
        <v>652</v>
      </c>
      <c r="AO858" s="182" t="s">
        <v>648</v>
      </c>
      <c r="AP858" s="182" t="s">
        <v>653</v>
      </c>
      <c r="AQ858" s="180"/>
      <c r="AR858" s="180"/>
      <c r="AS858" s="180"/>
      <c r="AT858" s="306"/>
    </row>
    <row r="859" spans="1:46" ht="15.75" customHeight="1" x14ac:dyDescent="0.35">
      <c r="A859" s="185"/>
      <c r="B859" s="186"/>
      <c r="C859" s="186"/>
      <c r="D859" s="186"/>
      <c r="E859" s="186"/>
      <c r="F859" s="186"/>
      <c r="G859" s="186"/>
      <c r="H859" s="187" t="s">
        <v>654</v>
      </c>
      <c r="I859" s="186"/>
      <c r="J859" s="186"/>
      <c r="K859" s="186"/>
      <c r="L859" s="186"/>
      <c r="M859" s="186"/>
      <c r="N859" s="186"/>
      <c r="O859" s="186"/>
      <c r="P859" s="186"/>
      <c r="Q859" s="186"/>
      <c r="R859" s="186"/>
      <c r="AC859" s="179"/>
      <c r="AD859" s="182" t="s">
        <v>127</v>
      </c>
      <c r="AE859" s="182" t="s">
        <v>655</v>
      </c>
      <c r="AF859" s="182" t="s">
        <v>656</v>
      </c>
      <c r="AG859" s="182" t="s">
        <v>657</v>
      </c>
      <c r="AH859" s="182" t="s">
        <v>658</v>
      </c>
      <c r="AI859" s="182" t="s">
        <v>658</v>
      </c>
      <c r="AJ859" s="182" t="s">
        <v>658</v>
      </c>
      <c r="AK859" s="182" t="s">
        <v>658</v>
      </c>
      <c r="AL859" s="182" t="s">
        <v>659</v>
      </c>
      <c r="AM859" s="180" t="s">
        <v>633</v>
      </c>
      <c r="AN859" s="182" t="s">
        <v>660</v>
      </c>
      <c r="AO859" s="182" t="s">
        <v>661</v>
      </c>
      <c r="AP859" s="182" t="s">
        <v>661</v>
      </c>
      <c r="AQ859" s="180"/>
      <c r="AR859" s="180"/>
      <c r="AS859" s="180"/>
      <c r="AT859" s="306"/>
    </row>
    <row r="860" spans="1:46" ht="15.75" customHeight="1" x14ac:dyDescent="0.35">
      <c r="A860" s="185"/>
      <c r="B860" s="186"/>
      <c r="C860" s="186"/>
      <c r="D860" s="186"/>
      <c r="E860" s="186"/>
      <c r="F860" s="186"/>
      <c r="G860" s="1"/>
      <c r="H860" s="187"/>
      <c r="I860" s="186"/>
      <c r="J860" s="186"/>
      <c r="K860" s="186"/>
      <c r="L860" s="186"/>
      <c r="M860" s="186"/>
      <c r="N860" s="186"/>
      <c r="O860" s="186"/>
      <c r="P860" s="186"/>
      <c r="Q860" s="186"/>
      <c r="R860" s="186"/>
      <c r="AC860" s="179"/>
      <c r="AD860" s="182" t="s">
        <v>662</v>
      </c>
      <c r="AE860" s="182" t="s">
        <v>663</v>
      </c>
      <c r="AF860" s="182" t="s">
        <v>664</v>
      </c>
      <c r="AG860" s="182" t="s">
        <v>664</v>
      </c>
      <c r="AH860" s="182" t="s">
        <v>664</v>
      </c>
      <c r="AI860" s="182" t="s">
        <v>664</v>
      </c>
      <c r="AJ860" s="182" t="s">
        <v>664</v>
      </c>
      <c r="AK860" s="182" t="s">
        <v>664</v>
      </c>
      <c r="AL860" s="182" t="s">
        <v>664</v>
      </c>
      <c r="AM860" s="180" t="s">
        <v>633</v>
      </c>
      <c r="AN860" s="182" t="s">
        <v>665</v>
      </c>
      <c r="AO860" s="182" t="s">
        <v>665</v>
      </c>
      <c r="AP860" s="182" t="s">
        <v>665</v>
      </c>
      <c r="AQ860" s="180"/>
      <c r="AR860" s="180"/>
      <c r="AS860" s="180"/>
      <c r="AT860" s="306"/>
    </row>
    <row r="861" spans="1:46" ht="15.75" customHeight="1" thickBot="1" x14ac:dyDescent="0.4">
      <c r="A861" s="185"/>
      <c r="B861" s="186"/>
      <c r="C861" s="186"/>
      <c r="D861" s="186"/>
      <c r="E861" s="186"/>
      <c r="F861" s="186"/>
      <c r="G861" s="186"/>
      <c r="H861" s="187"/>
      <c r="I861" s="186"/>
      <c r="J861" s="186"/>
      <c r="K861" s="186"/>
      <c r="L861" s="186"/>
      <c r="M861" s="186"/>
      <c r="N861" s="186"/>
      <c r="O861" s="186"/>
      <c r="P861" s="186"/>
      <c r="Q861" s="186"/>
      <c r="R861" s="186"/>
      <c r="AC861" s="179"/>
      <c r="AD861" s="180" t="s">
        <v>666</v>
      </c>
      <c r="AE861" s="180" t="s">
        <v>666</v>
      </c>
      <c r="AF861" s="180" t="s">
        <v>666</v>
      </c>
      <c r="AG861" s="180" t="s">
        <v>666</v>
      </c>
      <c r="AH861" s="180" t="s">
        <v>666</v>
      </c>
      <c r="AI861" s="180" t="s">
        <v>666</v>
      </c>
      <c r="AJ861" s="180" t="s">
        <v>666</v>
      </c>
      <c r="AK861" s="180" t="s">
        <v>666</v>
      </c>
      <c r="AL861" s="180" t="s">
        <v>666</v>
      </c>
      <c r="AM861" s="180" t="s">
        <v>633</v>
      </c>
      <c r="AN861" s="180" t="s">
        <v>666</v>
      </c>
      <c r="AO861" s="180" t="s">
        <v>666</v>
      </c>
      <c r="AP861" s="180" t="s">
        <v>666</v>
      </c>
      <c r="AQ861" s="180"/>
      <c r="AR861" s="180"/>
      <c r="AS861" s="180"/>
      <c r="AT861" s="306"/>
    </row>
    <row r="862" spans="1:46" ht="15.75" customHeight="1" x14ac:dyDescent="0.3">
      <c r="A862" s="188"/>
      <c r="B862" s="387" t="s">
        <v>667</v>
      </c>
      <c r="C862" s="387"/>
      <c r="D862" s="387"/>
      <c r="E862" s="387"/>
      <c r="F862" s="387"/>
      <c r="G862" s="387"/>
      <c r="H862" s="387"/>
      <c r="I862" s="387"/>
      <c r="J862" s="387"/>
      <c r="K862" s="387"/>
      <c r="L862" s="387"/>
      <c r="M862" s="387"/>
      <c r="N862" s="387"/>
      <c r="O862" s="387"/>
      <c r="P862" s="387"/>
      <c r="Q862" s="177" t="str">
        <f>+Q1</f>
        <v xml:space="preserve">PRINTED:  </v>
      </c>
      <c r="R862" s="178">
        <f ca="1">+R1</f>
        <v>44894.658168518516</v>
      </c>
      <c r="AC862" s="189" t="s">
        <v>668</v>
      </c>
      <c r="AD862" s="180">
        <f t="shared" ref="AD862:AD873" si="191">(F871)</f>
        <v>72000</v>
      </c>
      <c r="AE862" s="180">
        <f t="shared" ref="AE862:AE873" si="192">SUM($B$926:$E$926)+(T871-1526.8)/0.7702</f>
        <v>1631.7945547849813</v>
      </c>
      <c r="AF862" s="180">
        <f>(AD862*AE862/1000)</f>
        <v>117489.20794451865</v>
      </c>
      <c r="AG862" s="180">
        <f t="shared" ref="AG862:AG873" si="193">(((B871-F871)*B$926)+((C871-F871)*C$926)+((D871-F871)*D$926)+((E871-F871)*E$926))/1000</f>
        <v>94886.959000000003</v>
      </c>
      <c r="AH862" s="180">
        <f>(AF862+AG862)</f>
        <v>212376.16694451866</v>
      </c>
      <c r="AI862" s="180">
        <f t="shared" ref="AI862:AI873" si="194">SUM(H928:Q928)</f>
        <v>24245</v>
      </c>
      <c r="AJ862" s="180">
        <f>+AH862+AI862</f>
        <v>236621.16694451866</v>
      </c>
      <c r="AK862" s="180">
        <f t="shared" ref="AK862:AK869" si="195">(G956)</f>
        <v>0</v>
      </c>
      <c r="AL862" s="180">
        <f t="shared" ref="AL862:AL873" si="196">(AJ862-AK862)</f>
        <v>236621.16694451866</v>
      </c>
      <c r="AM862" s="180" t="s">
        <v>633</v>
      </c>
      <c r="AN862" s="180">
        <f>+B871/31/1.98</f>
        <v>2261.420658194852</v>
      </c>
      <c r="AO862" s="180">
        <f>(AD862*43560/31/24/3600)</f>
        <v>1170.9677419354839</v>
      </c>
      <c r="AP862" s="180">
        <f>+B312</f>
        <v>0</v>
      </c>
      <c r="AQ862" s="180"/>
      <c r="AR862" s="180"/>
      <c r="AS862" s="180"/>
      <c r="AT862" s="306"/>
    </row>
    <row r="863" spans="1:46" ht="15.75" customHeight="1" x14ac:dyDescent="0.3">
      <c r="A863" s="189"/>
      <c r="B863" s="394" t="str">
        <f>+A8</f>
        <v>Revised:  12/8/2016</v>
      </c>
      <c r="C863" s="394"/>
      <c r="D863" s="394"/>
      <c r="E863" s="394"/>
      <c r="F863" s="394"/>
      <c r="G863" s="394"/>
      <c r="H863" s="394"/>
      <c r="I863" s="394"/>
      <c r="J863" s="394"/>
      <c r="K863" s="394"/>
      <c r="L863" s="394"/>
      <c r="M863" s="394"/>
      <c r="N863" s="394"/>
      <c r="O863" s="394"/>
      <c r="P863" s="394"/>
      <c r="Q863" s="180"/>
      <c r="R863" s="306"/>
      <c r="AC863" s="189" t="s">
        <v>669</v>
      </c>
      <c r="AD863" s="180">
        <f t="shared" si="191"/>
        <v>0</v>
      </c>
      <c r="AE863" s="180">
        <f t="shared" si="192"/>
        <v>1630.9340773148949</v>
      </c>
      <c r="AF863" s="180">
        <f>(AD863*AE863/1000)</f>
        <v>0</v>
      </c>
      <c r="AG863" s="180">
        <f t="shared" si="193"/>
        <v>95538.482999999993</v>
      </c>
      <c r="AH863" s="180">
        <f t="shared" ref="AH863:AH873" si="197">(AF863+AG863)</f>
        <v>95538.482999999993</v>
      </c>
      <c r="AI863" s="180">
        <f t="shared" si="194"/>
        <v>28457</v>
      </c>
      <c r="AJ863" s="180">
        <f t="shared" ref="AJ863:AJ873" si="198">+AH863+AI863</f>
        <v>123995.48299999999</v>
      </c>
      <c r="AK863" s="180">
        <f t="shared" si="195"/>
        <v>1124.2227743533608</v>
      </c>
      <c r="AL863" s="180">
        <f t="shared" si="196"/>
        <v>122871.26022564663</v>
      </c>
      <c r="AM863" s="180" t="s">
        <v>633</v>
      </c>
      <c r="AN863" s="180">
        <f>+B872/28/1.98</f>
        <v>1213.4740259740261</v>
      </c>
      <c r="AO863" s="180">
        <f>(AD863*43560/29/24/3600)</f>
        <v>0</v>
      </c>
      <c r="AP863" s="180">
        <f>+C312</f>
        <v>-144.08183848425907</v>
      </c>
      <c r="AQ863" s="180"/>
      <c r="AR863" s="180"/>
      <c r="AS863" s="180"/>
      <c r="AT863" s="306"/>
    </row>
    <row r="864" spans="1:46" ht="15.75" customHeight="1" x14ac:dyDescent="0.3">
      <c r="A864" s="189"/>
      <c r="B864" s="394" t="s">
        <v>670</v>
      </c>
      <c r="C864" s="394"/>
      <c r="D864" s="394"/>
      <c r="E864" s="394"/>
      <c r="F864" s="394"/>
      <c r="G864" s="394"/>
      <c r="H864" s="394"/>
      <c r="I864" s="394"/>
      <c r="J864" s="394"/>
      <c r="K864" s="394"/>
      <c r="L864" s="394"/>
      <c r="M864" s="394"/>
      <c r="N864" s="394"/>
      <c r="O864" s="394"/>
      <c r="P864" s="394"/>
      <c r="Q864" s="180"/>
      <c r="R864" s="306"/>
      <c r="AC864" s="189" t="s">
        <v>671</v>
      </c>
      <c r="AD864" s="180">
        <f t="shared" si="191"/>
        <v>56000</v>
      </c>
      <c r="AE864" s="180">
        <f t="shared" si="192"/>
        <v>1639.0442401802975</v>
      </c>
      <c r="AF864" s="180">
        <f t="shared" ref="AF864:AF873" si="199">(AD864*AE864/1000)</f>
        <v>91786.47745009666</v>
      </c>
      <c r="AG864" s="180">
        <f t="shared" si="193"/>
        <v>176819.236</v>
      </c>
      <c r="AH864" s="180">
        <f t="shared" si="197"/>
        <v>268605.71345009666</v>
      </c>
      <c r="AI864" s="180">
        <f t="shared" si="194"/>
        <v>39584</v>
      </c>
      <c r="AJ864" s="180">
        <f t="shared" si="198"/>
        <v>308189.71345009666</v>
      </c>
      <c r="AK864" s="180">
        <f t="shared" si="195"/>
        <v>0</v>
      </c>
      <c r="AL864" s="180">
        <f t="shared" si="196"/>
        <v>308189.71345009666</v>
      </c>
      <c r="AM864" s="180" t="s">
        <v>633</v>
      </c>
      <c r="AN864" s="180">
        <f>+B873/31/1.98</f>
        <v>2946.9371130661452</v>
      </c>
      <c r="AO864" s="180">
        <f>(AD864*43560/31/24/3600)</f>
        <v>910.75268817204312</v>
      </c>
      <c r="AP864" s="180">
        <f>+D312</f>
        <v>0</v>
      </c>
      <c r="AQ864" s="180"/>
      <c r="AR864" s="180"/>
      <c r="AS864" s="180"/>
      <c r="AT864" s="306"/>
    </row>
    <row r="865" spans="1:46" ht="15.75" customHeight="1" x14ac:dyDescent="0.3">
      <c r="A865" s="189"/>
      <c r="B865" s="394"/>
      <c r="C865" s="394"/>
      <c r="D865" s="394"/>
      <c r="E865" s="394"/>
      <c r="F865" s="394"/>
      <c r="G865" s="394"/>
      <c r="H865" s="394"/>
      <c r="I865" s="394"/>
      <c r="J865" s="394"/>
      <c r="K865" s="394"/>
      <c r="L865" s="394"/>
      <c r="M865" s="394"/>
      <c r="N865" s="394"/>
      <c r="O865" s="394"/>
      <c r="P865" s="394"/>
      <c r="Q865" s="180"/>
      <c r="R865" s="306"/>
      <c r="AC865" s="189" t="s">
        <v>672</v>
      </c>
      <c r="AD865" s="180">
        <f t="shared" si="191"/>
        <v>20000</v>
      </c>
      <c r="AE865" s="180">
        <f t="shared" si="192"/>
        <v>1641.3773764622151</v>
      </c>
      <c r="AF865" s="180">
        <f t="shared" si="199"/>
        <v>32827.547529244301</v>
      </c>
      <c r="AG865" s="180">
        <f t="shared" si="193"/>
        <v>219996.35399999999</v>
      </c>
      <c r="AH865" s="180">
        <f t="shared" si="197"/>
        <v>252823.90152924429</v>
      </c>
      <c r="AI865" s="180">
        <f t="shared" si="194"/>
        <v>44028</v>
      </c>
      <c r="AJ865" s="180">
        <f t="shared" si="198"/>
        <v>296851.90152924426</v>
      </c>
      <c r="AK865" s="180">
        <f t="shared" si="195"/>
        <v>0</v>
      </c>
      <c r="AL865" s="180">
        <f t="shared" si="196"/>
        <v>296851.90152924426</v>
      </c>
      <c r="AM865" s="180" t="s">
        <v>633</v>
      </c>
      <c r="AN865" s="180">
        <f>+B874/30/1.98</f>
        <v>2953.7542087542088</v>
      </c>
      <c r="AO865" s="180">
        <f>(AD865*43560/30/24/3600)</f>
        <v>336.11111111111109</v>
      </c>
      <c r="AP865" s="180">
        <f>+F312</f>
        <v>0</v>
      </c>
      <c r="AQ865" s="180"/>
      <c r="AR865" s="180"/>
      <c r="AS865" s="180"/>
      <c r="AT865" s="306"/>
    </row>
    <row r="866" spans="1:46" ht="15.75" customHeight="1" x14ac:dyDescent="0.3">
      <c r="A866" s="189"/>
      <c r="B866" s="395">
        <f>+A5</f>
        <v>2017</v>
      </c>
      <c r="C866" s="395"/>
      <c r="D866" s="395"/>
      <c r="E866" s="395"/>
      <c r="F866" s="395"/>
      <c r="G866" s="395"/>
      <c r="H866" s="395"/>
      <c r="I866" s="395"/>
      <c r="J866" s="395"/>
      <c r="K866" s="395"/>
      <c r="L866" s="395"/>
      <c r="M866" s="395"/>
      <c r="N866" s="395"/>
      <c r="O866" s="395"/>
      <c r="P866" s="395"/>
      <c r="Q866" s="180"/>
      <c r="R866" s="306"/>
      <c r="AC866" s="189" t="s">
        <v>673</v>
      </c>
      <c r="AD866" s="180">
        <f t="shared" si="191"/>
        <v>11000</v>
      </c>
      <c r="AE866" s="180">
        <f t="shared" si="192"/>
        <v>1641.8452528955822</v>
      </c>
      <c r="AF866" s="180">
        <f t="shared" si="199"/>
        <v>18060.297781851405</v>
      </c>
      <c r="AG866" s="180">
        <f t="shared" si="193"/>
        <v>240775.86199999999</v>
      </c>
      <c r="AH866" s="180">
        <f t="shared" si="197"/>
        <v>258836.1597818514</v>
      </c>
      <c r="AI866" s="180">
        <f t="shared" si="194"/>
        <v>46357</v>
      </c>
      <c r="AJ866" s="180">
        <f t="shared" si="198"/>
        <v>305193.1597818514</v>
      </c>
      <c r="AK866" s="180">
        <f t="shared" si="195"/>
        <v>0</v>
      </c>
      <c r="AL866" s="180">
        <f t="shared" si="196"/>
        <v>305193.1597818514</v>
      </c>
      <c r="AM866" s="180" t="s">
        <v>633</v>
      </c>
      <c r="AN866" s="180">
        <f>+B875/31/1.98</f>
        <v>2949.7556207233629</v>
      </c>
      <c r="AO866" s="180">
        <f>(AD866*43560/31/24/3600)</f>
        <v>178.8978494623656</v>
      </c>
      <c r="AP866" s="180">
        <f>+G312</f>
        <v>0</v>
      </c>
      <c r="AQ866" s="180"/>
      <c r="AR866" s="180"/>
      <c r="AS866" s="180"/>
      <c r="AT866" s="306"/>
    </row>
    <row r="867" spans="1:46" ht="15.75" customHeight="1" x14ac:dyDescent="0.3">
      <c r="A867" s="189"/>
      <c r="B867" s="394" t="s">
        <v>674</v>
      </c>
      <c r="C867" s="394"/>
      <c r="D867" s="394"/>
      <c r="E867" s="394"/>
      <c r="F867" s="394"/>
      <c r="G867" s="394"/>
      <c r="H867" s="394"/>
      <c r="I867" s="394"/>
      <c r="J867" s="394"/>
      <c r="K867" s="394"/>
      <c r="L867" s="394"/>
      <c r="M867" s="394"/>
      <c r="N867" s="394"/>
      <c r="O867" s="394"/>
      <c r="P867" s="394"/>
      <c r="Q867" s="180"/>
      <c r="R867" s="306"/>
      <c r="AC867" s="189" t="s">
        <v>675</v>
      </c>
      <c r="AD867" s="180">
        <f t="shared" si="191"/>
        <v>0</v>
      </c>
      <c r="AE867" s="180">
        <f t="shared" si="192"/>
        <v>1624.4880627626935</v>
      </c>
      <c r="AF867" s="180">
        <f t="shared" si="199"/>
        <v>0</v>
      </c>
      <c r="AG867" s="180">
        <f t="shared" si="193"/>
        <v>118544.66899999999</v>
      </c>
      <c r="AH867" s="180">
        <f t="shared" si="197"/>
        <v>118544.66899999999</v>
      </c>
      <c r="AI867" s="180">
        <f t="shared" si="194"/>
        <v>47849</v>
      </c>
      <c r="AJ867" s="180">
        <f t="shared" si="198"/>
        <v>166393.66899999999</v>
      </c>
      <c r="AK867" s="180">
        <f t="shared" si="195"/>
        <v>14768.019833188744</v>
      </c>
      <c r="AL867" s="180">
        <f t="shared" si="196"/>
        <v>151625.64916681126</v>
      </c>
      <c r="AM867" s="180" t="s">
        <v>633</v>
      </c>
      <c r="AN867" s="180">
        <f>+B876/30/1.98</f>
        <v>1418.4680134680134</v>
      </c>
      <c r="AO867" s="180">
        <f t="shared" ref="AO867:AO872" si="200">(AD867*43560/30/24/3600)</f>
        <v>0</v>
      </c>
      <c r="AP867" s="180">
        <f>+H312</f>
        <v>-1865.8598083711547</v>
      </c>
      <c r="AQ867" s="180"/>
      <c r="AR867" s="180"/>
      <c r="AS867" s="180"/>
      <c r="AT867" s="306"/>
    </row>
    <row r="868" spans="1:46" ht="15.75" customHeight="1" x14ac:dyDescent="0.3">
      <c r="A868" s="189"/>
      <c r="B868" s="180"/>
      <c r="C868" s="180"/>
      <c r="D868" s="180"/>
      <c r="E868" s="180"/>
      <c r="F868" s="180"/>
      <c r="G868" s="180"/>
      <c r="H868" s="180"/>
      <c r="I868" s="180"/>
      <c r="J868" s="180"/>
      <c r="K868" s="180"/>
      <c r="L868" s="180"/>
      <c r="M868" s="180"/>
      <c r="N868" s="180"/>
      <c r="O868" s="180"/>
      <c r="P868" s="180"/>
      <c r="Q868" s="180"/>
      <c r="R868" s="306"/>
      <c r="AC868" s="189" t="s">
        <v>676</v>
      </c>
      <c r="AD868" s="180">
        <f t="shared" si="191"/>
        <v>0</v>
      </c>
      <c r="AE868" s="180">
        <f t="shared" si="192"/>
        <v>1604.8720730959406</v>
      </c>
      <c r="AF868" s="180">
        <f t="shared" si="199"/>
        <v>0</v>
      </c>
      <c r="AG868" s="180">
        <f t="shared" si="193"/>
        <v>101290.923</v>
      </c>
      <c r="AH868" s="180">
        <f t="shared" si="197"/>
        <v>101290.923</v>
      </c>
      <c r="AI868" s="180">
        <f t="shared" si="194"/>
        <v>49367</v>
      </c>
      <c r="AJ868" s="180">
        <f t="shared" si="198"/>
        <v>150657.92300000001</v>
      </c>
      <c r="AK868" s="180">
        <f t="shared" si="195"/>
        <v>12681.59175633266</v>
      </c>
      <c r="AL868" s="180">
        <f t="shared" si="196"/>
        <v>137976.33124366734</v>
      </c>
      <c r="AM868" s="180" t="s">
        <v>633</v>
      </c>
      <c r="AN868" s="180">
        <f>+B877/31/1.98</f>
        <v>1178.5597914630173</v>
      </c>
      <c r="AO868" s="180">
        <f t="shared" si="200"/>
        <v>0</v>
      </c>
      <c r="AP868" s="180">
        <f>+J312</f>
        <v>-1870.7399996746537</v>
      </c>
      <c r="AQ868" s="180"/>
      <c r="AR868" s="180"/>
      <c r="AS868" s="180"/>
      <c r="AT868" s="306"/>
    </row>
    <row r="869" spans="1:46" ht="15.75" customHeight="1" thickBot="1" x14ac:dyDescent="0.35">
      <c r="A869" s="189" t="s">
        <v>647</v>
      </c>
      <c r="B869" s="191" t="s">
        <v>677</v>
      </c>
      <c r="C869" s="191" t="s">
        <v>678</v>
      </c>
      <c r="D869" s="191" t="s">
        <v>679</v>
      </c>
      <c r="E869" s="191" t="s">
        <v>680</v>
      </c>
      <c r="F869" s="191" t="s">
        <v>644</v>
      </c>
      <c r="G869" s="191" t="s">
        <v>644</v>
      </c>
      <c r="H869" s="191" t="s">
        <v>681</v>
      </c>
      <c r="I869" s="191" t="s">
        <v>682</v>
      </c>
      <c r="J869" s="191" t="s">
        <v>683</v>
      </c>
      <c r="K869" s="191" t="s">
        <v>684</v>
      </c>
      <c r="L869" s="191" t="s">
        <v>685</v>
      </c>
      <c r="M869" s="191" t="s">
        <v>686</v>
      </c>
      <c r="N869" s="191" t="s">
        <v>687</v>
      </c>
      <c r="O869" s="191" t="s">
        <v>688</v>
      </c>
      <c r="P869" s="191" t="s">
        <v>689</v>
      </c>
      <c r="Q869" s="191" t="s">
        <v>638</v>
      </c>
      <c r="R869" s="306"/>
      <c r="T869" s="52" t="s">
        <v>690</v>
      </c>
      <c r="AC869" s="189" t="s">
        <v>691</v>
      </c>
      <c r="AD869" s="180">
        <f t="shared" si="191"/>
        <v>0</v>
      </c>
      <c r="AE869" s="180">
        <f t="shared" si="192"/>
        <v>1586.1467803745654</v>
      </c>
      <c r="AF869" s="180">
        <f t="shared" si="199"/>
        <v>0</v>
      </c>
      <c r="AG869" s="180">
        <f t="shared" si="193"/>
        <v>100111.702</v>
      </c>
      <c r="AH869" s="180">
        <f t="shared" si="197"/>
        <v>100111.702</v>
      </c>
      <c r="AI869" s="180">
        <f t="shared" si="194"/>
        <v>44427</v>
      </c>
      <c r="AJ869" s="180">
        <f t="shared" si="198"/>
        <v>144538.70199999999</v>
      </c>
      <c r="AK869" s="180">
        <f t="shared" si="195"/>
        <v>8765.2750176405771</v>
      </c>
      <c r="AL869" s="180">
        <f t="shared" si="196"/>
        <v>135773.42698235941</v>
      </c>
      <c r="AM869" s="180" t="s">
        <v>633</v>
      </c>
      <c r="AN869" s="180">
        <f>+B878/31/1.98</f>
        <v>1162.0071684587815</v>
      </c>
      <c r="AO869" s="180">
        <f t="shared" si="200"/>
        <v>0</v>
      </c>
      <c r="AP869" s="180">
        <f>+K312</f>
        <v>-1610.463130154702</v>
      </c>
      <c r="AQ869" s="180"/>
      <c r="AR869" s="180"/>
      <c r="AS869" s="180"/>
      <c r="AT869" s="306"/>
    </row>
    <row r="870" spans="1:46" ht="15.75" customHeight="1" x14ac:dyDescent="0.3">
      <c r="A870" s="189"/>
      <c r="B870" s="180"/>
      <c r="C870" s="180"/>
      <c r="D870" s="180"/>
      <c r="E870" s="180"/>
      <c r="F870" s="182" t="s">
        <v>127</v>
      </c>
      <c r="G870" s="182" t="s">
        <v>653</v>
      </c>
      <c r="H870" s="180"/>
      <c r="I870" s="180"/>
      <c r="J870" s="180"/>
      <c r="K870" s="180"/>
      <c r="L870" s="180"/>
      <c r="M870" s="180"/>
      <c r="N870" s="180"/>
      <c r="O870" s="180"/>
      <c r="P870" s="180"/>
      <c r="Q870" s="180"/>
      <c r="R870" s="306"/>
      <c r="AC870" s="189" t="s">
        <v>692</v>
      </c>
      <c r="AD870" s="180">
        <f t="shared" si="191"/>
        <v>0</v>
      </c>
      <c r="AE870" s="180">
        <f t="shared" si="192"/>
        <v>1586.0859929020912</v>
      </c>
      <c r="AF870" s="180">
        <f t="shared" si="199"/>
        <v>0</v>
      </c>
      <c r="AG870" s="180">
        <f t="shared" si="193"/>
        <v>195622.234</v>
      </c>
      <c r="AH870" s="180">
        <f t="shared" si="197"/>
        <v>195622.234</v>
      </c>
      <c r="AI870" s="180">
        <f t="shared" si="194"/>
        <v>37624</v>
      </c>
      <c r="AJ870" s="180">
        <f t="shared" si="198"/>
        <v>233246.234</v>
      </c>
      <c r="AK870" s="180">
        <v>0</v>
      </c>
      <c r="AL870" s="180">
        <f t="shared" si="196"/>
        <v>233246.234</v>
      </c>
      <c r="AM870" s="180" t="s">
        <v>633</v>
      </c>
      <c r="AN870" s="180">
        <f>+B879/30/1.98</f>
        <v>2324.0067340067344</v>
      </c>
      <c r="AO870" s="180">
        <f t="shared" si="200"/>
        <v>0</v>
      </c>
      <c r="AP870" s="180">
        <f>+L312</f>
        <v>0</v>
      </c>
      <c r="AQ870" s="180"/>
      <c r="AR870" s="180"/>
      <c r="AS870" s="180"/>
      <c r="AT870" s="306"/>
    </row>
    <row r="871" spans="1:46" ht="15.75" customHeight="1" x14ac:dyDescent="0.3">
      <c r="A871" s="192" t="s">
        <v>8</v>
      </c>
      <c r="B871" s="180">
        <f>+B29</f>
        <v>138806</v>
      </c>
      <c r="C871" s="180">
        <f>+B64</f>
        <v>138709</v>
      </c>
      <c r="D871" s="180">
        <f>+B131</f>
        <v>138613</v>
      </c>
      <c r="E871" s="180">
        <f>+B302</f>
        <v>137245</v>
      </c>
      <c r="F871" s="180">
        <f>+B297</f>
        <v>72000</v>
      </c>
      <c r="G871" s="180">
        <f>+B309</f>
        <v>0</v>
      </c>
      <c r="H871" s="180">
        <f>+B460</f>
        <v>41101</v>
      </c>
      <c r="I871" s="180">
        <f>+B508</f>
        <v>16263</v>
      </c>
      <c r="J871" s="180">
        <f>+B552</f>
        <v>15979</v>
      </c>
      <c r="K871" s="180">
        <f>+B608</f>
        <v>15751</v>
      </c>
      <c r="L871" s="180">
        <f>+B618</f>
        <v>14249</v>
      </c>
      <c r="M871" s="180">
        <f>+B654</f>
        <v>14229</v>
      </c>
      <c r="N871" s="180">
        <f>+B701</f>
        <v>13569</v>
      </c>
      <c r="O871" s="180">
        <f>+B711</f>
        <v>3388.0000000000005</v>
      </c>
      <c r="P871" s="180">
        <f>+B745</f>
        <v>2652.8333333333335</v>
      </c>
      <c r="Q871" s="180">
        <f>+B794</f>
        <v>3386</v>
      </c>
      <c r="R871" s="306"/>
      <c r="T871" s="193">
        <f>'[3]Lake Pleasant Forecast'!B83</f>
        <v>1685.3029660953925</v>
      </c>
      <c r="AC871" s="189" t="s">
        <v>693</v>
      </c>
      <c r="AD871" s="180">
        <f t="shared" si="191"/>
        <v>39000</v>
      </c>
      <c r="AE871" s="180">
        <f t="shared" si="192"/>
        <v>1593.6363669990028</v>
      </c>
      <c r="AF871" s="180">
        <f t="shared" si="199"/>
        <v>62151.818312961106</v>
      </c>
      <c r="AG871" s="180">
        <f t="shared" si="193"/>
        <v>131858.182</v>
      </c>
      <c r="AH871" s="180">
        <f t="shared" si="197"/>
        <v>194010.00031296111</v>
      </c>
      <c r="AI871" s="180">
        <f t="shared" si="194"/>
        <v>16318</v>
      </c>
      <c r="AJ871" s="180">
        <f t="shared" si="198"/>
        <v>210328.00031296111</v>
      </c>
      <c r="AK871" s="180">
        <v>0</v>
      </c>
      <c r="AL871" s="180">
        <f t="shared" si="196"/>
        <v>210328.00031296111</v>
      </c>
      <c r="AM871" s="180" t="s">
        <v>633</v>
      </c>
      <c r="AN871" s="180">
        <f>+B880/31/1.98</f>
        <v>2151.0101010101012</v>
      </c>
      <c r="AO871" s="180">
        <f t="shared" si="200"/>
        <v>655.41666666666663</v>
      </c>
      <c r="AP871" s="180">
        <f>+N312</f>
        <v>0</v>
      </c>
      <c r="AQ871" s="180"/>
      <c r="AR871" s="180"/>
      <c r="AS871" s="180"/>
      <c r="AT871" s="306"/>
    </row>
    <row r="872" spans="1:46" ht="15.75" customHeight="1" x14ac:dyDescent="0.3">
      <c r="A872" s="192" t="s">
        <v>9</v>
      </c>
      <c r="B872" s="180">
        <f>+C29</f>
        <v>67275</v>
      </c>
      <c r="C872" s="180">
        <f>+C64</f>
        <v>67127</v>
      </c>
      <c r="D872" s="180">
        <f>+C131</f>
        <v>66982</v>
      </c>
      <c r="E872" s="180">
        <f>+C302</f>
        <v>65722</v>
      </c>
      <c r="F872" s="180">
        <f>+C297</f>
        <v>0</v>
      </c>
      <c r="G872" s="180">
        <f>+C309</f>
        <v>-8000</v>
      </c>
      <c r="H872" s="180">
        <f>+C460</f>
        <v>48709</v>
      </c>
      <c r="I872" s="180">
        <f>+C508</f>
        <v>19236</v>
      </c>
      <c r="J872" s="180">
        <f>+C552</f>
        <v>18510</v>
      </c>
      <c r="K872" s="180">
        <f>+C608</f>
        <v>18217</v>
      </c>
      <c r="L872" s="180">
        <f>+C618</f>
        <v>15834</v>
      </c>
      <c r="M872" s="180">
        <f>+C654</f>
        <v>15812</v>
      </c>
      <c r="N872" s="180">
        <f>+C701</f>
        <v>15051</v>
      </c>
      <c r="O872" s="180">
        <f>+C711</f>
        <v>4897</v>
      </c>
      <c r="P872" s="180">
        <f>+C745</f>
        <v>2781.6666666666665</v>
      </c>
      <c r="Q872" s="180">
        <f>+C794</f>
        <v>4894</v>
      </c>
      <c r="R872" s="306"/>
      <c r="T872" s="193">
        <f>'[3]Lake Pleasant Forecast'!B85</f>
        <v>1684.640226347932</v>
      </c>
      <c r="AC872" s="189" t="s">
        <v>694</v>
      </c>
      <c r="AD872" s="180">
        <f t="shared" si="191"/>
        <v>68000</v>
      </c>
      <c r="AE872" s="180">
        <f t="shared" si="192"/>
        <v>1605.9393099540575</v>
      </c>
      <c r="AF872" s="180">
        <f t="shared" si="199"/>
        <v>109203.87307687591</v>
      </c>
      <c r="AG872" s="180">
        <f t="shared" si="193"/>
        <v>84247.698999999993</v>
      </c>
      <c r="AH872" s="180">
        <f t="shared" si="197"/>
        <v>193451.57207687589</v>
      </c>
      <c r="AI872" s="180">
        <f t="shared" si="194"/>
        <v>12946</v>
      </c>
      <c r="AJ872" s="180">
        <f t="shared" si="198"/>
        <v>206397.57207687589</v>
      </c>
      <c r="AK872" s="180">
        <f>(G966)</f>
        <v>0</v>
      </c>
      <c r="AL872" s="180">
        <f t="shared" si="196"/>
        <v>206397.57207687589</v>
      </c>
      <c r="AM872" s="180" t="s">
        <v>633</v>
      </c>
      <c r="AN872" s="180">
        <f>+B881/30/1.98</f>
        <v>2143.9898989898993</v>
      </c>
      <c r="AO872" s="180">
        <f t="shared" si="200"/>
        <v>1142.7777777777778</v>
      </c>
      <c r="AP872" s="180">
        <f>+O312</f>
        <v>0</v>
      </c>
      <c r="AQ872" s="180"/>
      <c r="AR872" s="180"/>
      <c r="AS872" s="180"/>
      <c r="AT872" s="306"/>
    </row>
    <row r="873" spans="1:46" ht="15.75" customHeight="1" x14ac:dyDescent="0.3">
      <c r="A873" s="192" t="s">
        <v>10</v>
      </c>
      <c r="B873" s="180">
        <f>+D29</f>
        <v>180883</v>
      </c>
      <c r="C873" s="180">
        <f>+D64</f>
        <v>180609</v>
      </c>
      <c r="D873" s="180">
        <f>+D131</f>
        <v>180348</v>
      </c>
      <c r="E873" s="180">
        <f>+D302</f>
        <v>175577</v>
      </c>
      <c r="F873" s="180">
        <f>+D297</f>
        <v>56000</v>
      </c>
      <c r="G873" s="180">
        <f>+D309</f>
        <v>0</v>
      </c>
      <c r="H873" s="180">
        <f>+D460</f>
        <v>84527</v>
      </c>
      <c r="I873" s="180">
        <f>+D508</f>
        <v>33014</v>
      </c>
      <c r="J873" s="180">
        <f>+D552</f>
        <v>26794</v>
      </c>
      <c r="K873" s="180">
        <f>+D608</f>
        <v>22978</v>
      </c>
      <c r="L873" s="180">
        <f>+D618</f>
        <v>19809</v>
      </c>
      <c r="M873" s="180">
        <f>+D654</f>
        <v>19781</v>
      </c>
      <c r="N873" s="180">
        <f>+D701</f>
        <v>18917</v>
      </c>
      <c r="O873" s="180">
        <f>+D711</f>
        <v>4436.0000000000009</v>
      </c>
      <c r="P873" s="180">
        <f>+D745</f>
        <v>4554.666666666667</v>
      </c>
      <c r="Q873" s="180">
        <f>+D794</f>
        <v>4431</v>
      </c>
      <c r="R873" s="306"/>
      <c r="T873" s="193">
        <f>'[3]Lake Pleasant Forecast'!B87</f>
        <v>1690.886673786865</v>
      </c>
      <c r="AC873" s="189" t="s">
        <v>695</v>
      </c>
      <c r="AD873" s="180">
        <f t="shared" si="191"/>
        <v>63000</v>
      </c>
      <c r="AE873" s="180">
        <f t="shared" si="192"/>
        <v>1616.7577734108127</v>
      </c>
      <c r="AF873" s="180">
        <f t="shared" si="199"/>
        <v>101855.7397248812</v>
      </c>
      <c r="AG873" s="180">
        <f t="shared" si="193"/>
        <v>97848.664999999994</v>
      </c>
      <c r="AH873" s="180">
        <f t="shared" si="197"/>
        <v>199704.4047248812</v>
      </c>
      <c r="AI873" s="180">
        <f t="shared" si="194"/>
        <v>14260</v>
      </c>
      <c r="AJ873" s="180">
        <f t="shared" si="198"/>
        <v>213964.4047248812</v>
      </c>
      <c r="AK873" s="180">
        <f>(G967)</f>
        <v>0</v>
      </c>
      <c r="AL873" s="180">
        <f t="shared" si="196"/>
        <v>213964.4047248812</v>
      </c>
      <c r="AM873" s="180" t="s">
        <v>633</v>
      </c>
      <c r="AN873" s="180">
        <f>+B882/31/1.98</f>
        <v>2148.8758553274683</v>
      </c>
      <c r="AO873" s="180">
        <f>(AD873*43560/31/24/3600)</f>
        <v>1024.5967741935485</v>
      </c>
      <c r="AP873" s="180">
        <f>+P312</f>
        <v>0</v>
      </c>
      <c r="AQ873" s="180"/>
      <c r="AR873" s="180"/>
      <c r="AS873" s="180"/>
      <c r="AT873" s="306"/>
    </row>
    <row r="874" spans="1:46" ht="15.75" customHeight="1" x14ac:dyDescent="0.3">
      <c r="A874" s="192" t="s">
        <v>12</v>
      </c>
      <c r="B874" s="180">
        <f>+F29</f>
        <v>175453</v>
      </c>
      <c r="C874" s="180">
        <f>+F64</f>
        <v>175086</v>
      </c>
      <c r="D874" s="180">
        <f>+F131</f>
        <v>174736</v>
      </c>
      <c r="E874" s="180">
        <f>+F302</f>
        <v>168407</v>
      </c>
      <c r="F874" s="180">
        <f>+F297</f>
        <v>20000</v>
      </c>
      <c r="G874" s="180">
        <f>+F309</f>
        <v>0</v>
      </c>
      <c r="H874" s="180">
        <f>+F460</f>
        <v>106971</v>
      </c>
      <c r="I874" s="180">
        <f>+F508</f>
        <v>42849</v>
      </c>
      <c r="J874" s="180">
        <f>+F552</f>
        <v>28809</v>
      </c>
      <c r="K874" s="180">
        <f>+F608</f>
        <v>23618</v>
      </c>
      <c r="L874" s="180">
        <f>+F618</f>
        <v>19731</v>
      </c>
      <c r="M874" s="180">
        <f>+F654</f>
        <v>19694</v>
      </c>
      <c r="N874" s="180">
        <f>+F701</f>
        <v>18626</v>
      </c>
      <c r="O874" s="180">
        <f>+F711</f>
        <v>4436</v>
      </c>
      <c r="P874" s="180">
        <f>+F745</f>
        <v>4891</v>
      </c>
      <c r="Q874" s="180">
        <f>+F794</f>
        <v>4429</v>
      </c>
      <c r="R874" s="306"/>
      <c r="T874" s="193">
        <f>'[3]Lake Pleasant Forecast'!B89</f>
        <v>1692.683655351198</v>
      </c>
      <c r="AC874" s="179"/>
      <c r="AD874" s="180"/>
      <c r="AE874" s="180"/>
      <c r="AF874" s="180"/>
      <c r="AG874" s="180"/>
      <c r="AH874" s="180"/>
      <c r="AI874" s="180"/>
      <c r="AJ874" s="180"/>
      <c r="AK874" s="180"/>
      <c r="AL874" s="180"/>
      <c r="AM874" s="180" t="s">
        <v>633</v>
      </c>
      <c r="AN874" s="180"/>
      <c r="AO874" s="180"/>
      <c r="AP874" s="180"/>
      <c r="AQ874" s="180"/>
      <c r="AR874" s="180"/>
      <c r="AS874" s="180"/>
      <c r="AT874" s="306"/>
    </row>
    <row r="875" spans="1:46" ht="15.75" customHeight="1" x14ac:dyDescent="0.3">
      <c r="A875" s="192" t="s">
        <v>13</v>
      </c>
      <c r="B875" s="180">
        <f>+G29</f>
        <v>181056</v>
      </c>
      <c r="C875" s="180">
        <f>+G64</f>
        <v>180631</v>
      </c>
      <c r="D875" s="180">
        <f>+G131</f>
        <v>180229</v>
      </c>
      <c r="E875" s="180">
        <f>+G302</f>
        <v>173904</v>
      </c>
      <c r="F875" s="180">
        <f>+G297</f>
        <v>11000</v>
      </c>
      <c r="G875" s="180">
        <f>+G309</f>
        <v>0</v>
      </c>
      <c r="H875" s="180">
        <f>+G460</f>
        <v>112308</v>
      </c>
      <c r="I875" s="180">
        <f>+G508</f>
        <v>38079</v>
      </c>
      <c r="J875" s="180">
        <f>+G552</f>
        <v>29049</v>
      </c>
      <c r="K875" s="180">
        <f>+G608</f>
        <v>26390</v>
      </c>
      <c r="L875" s="180">
        <f>+G618</f>
        <v>22683</v>
      </c>
      <c r="M875" s="180">
        <f>+G654</f>
        <v>22641</v>
      </c>
      <c r="N875" s="180">
        <f>+G701</f>
        <v>20970</v>
      </c>
      <c r="O875" s="180">
        <f>+G711</f>
        <v>5325</v>
      </c>
      <c r="P875" s="180">
        <f>+G745</f>
        <v>4878</v>
      </c>
      <c r="Q875" s="180">
        <f>+G794</f>
        <v>5317</v>
      </c>
      <c r="R875" s="306"/>
      <c r="T875" s="193">
        <f>'[3]Lake Pleasant Forecast'!B91</f>
        <v>1693.0440137801775</v>
      </c>
      <c r="AC875" s="179" t="s">
        <v>641</v>
      </c>
      <c r="AD875" s="180">
        <f>SUM(AD862:AD873)</f>
        <v>329000</v>
      </c>
      <c r="AE875" s="180"/>
      <c r="AF875" s="180">
        <f t="shared" ref="AF875:AL875" si="201">SUM(AF862:AF873)</f>
        <v>533374.96182042931</v>
      </c>
      <c r="AG875" s="180">
        <f t="shared" si="201"/>
        <v>1657540.9679999999</v>
      </c>
      <c r="AH875" s="180">
        <f t="shared" si="201"/>
        <v>2190915.9298204291</v>
      </c>
      <c r="AI875" s="180">
        <f t="shared" si="201"/>
        <v>405462</v>
      </c>
      <c r="AJ875" s="180">
        <f t="shared" si="201"/>
        <v>2596377.9298204286</v>
      </c>
      <c r="AK875" s="180">
        <f t="shared" si="201"/>
        <v>37339.109381515344</v>
      </c>
      <c r="AL875" s="180">
        <f t="shared" si="201"/>
        <v>2559038.8204389135</v>
      </c>
      <c r="AM875" s="180"/>
      <c r="AN875" s="180"/>
      <c r="AO875" s="180"/>
      <c r="AP875" s="180"/>
      <c r="AQ875" s="180"/>
      <c r="AR875" s="180"/>
      <c r="AS875" s="180"/>
      <c r="AT875" s="306"/>
    </row>
    <row r="876" spans="1:46" ht="15.75" customHeight="1" x14ac:dyDescent="0.3">
      <c r="A876" s="192" t="s">
        <v>14</v>
      </c>
      <c r="B876" s="180">
        <f>+H29</f>
        <v>84257</v>
      </c>
      <c r="C876" s="180">
        <f>+H64</f>
        <v>83840</v>
      </c>
      <c r="D876" s="180">
        <f>+H131</f>
        <v>83444</v>
      </c>
      <c r="E876" s="180">
        <f>+H302</f>
        <v>77632</v>
      </c>
      <c r="F876" s="180">
        <f>+H297</f>
        <v>0</v>
      </c>
      <c r="G876" s="180">
        <f>+H309</f>
        <v>-111000</v>
      </c>
      <c r="H876" s="180">
        <f>+H460</f>
        <v>140296</v>
      </c>
      <c r="I876" s="180">
        <f>+H508</f>
        <v>38897</v>
      </c>
      <c r="J876" s="180">
        <f>+H552</f>
        <v>29484</v>
      </c>
      <c r="K876" s="180">
        <f>+H608</f>
        <v>24075</v>
      </c>
      <c r="L876" s="180">
        <f>+H618</f>
        <v>21332</v>
      </c>
      <c r="M876" s="180">
        <f>+H654</f>
        <v>21288</v>
      </c>
      <c r="N876" s="180">
        <f>+H701</f>
        <v>19466</v>
      </c>
      <c r="O876" s="180">
        <f>+H711</f>
        <v>4568.0000000000009</v>
      </c>
      <c r="P876" s="180">
        <f>+H745</f>
        <v>5743.166666666667</v>
      </c>
      <c r="Q876" s="180">
        <f>+H794</f>
        <v>4559</v>
      </c>
      <c r="R876" s="306"/>
      <c r="T876" s="193">
        <f>'[3]Lake Pleasant Forecast'!B93</f>
        <v>1679.6755059398265</v>
      </c>
      <c r="AC876" s="179"/>
      <c r="AD876" s="180"/>
      <c r="AE876" s="180"/>
      <c r="AF876" s="180"/>
      <c r="AG876" s="180"/>
      <c r="AH876" s="180"/>
      <c r="AI876" s="180"/>
      <c r="AJ876" s="180"/>
      <c r="AK876" s="180"/>
      <c r="AL876" s="180"/>
      <c r="AM876" s="180"/>
      <c r="AN876" s="180"/>
      <c r="AO876" s="180"/>
      <c r="AP876" s="180"/>
      <c r="AQ876" s="180"/>
      <c r="AR876" s="180"/>
      <c r="AS876" s="180"/>
      <c r="AT876" s="306"/>
    </row>
    <row r="877" spans="1:46" ht="15.75" customHeight="1" x14ac:dyDescent="0.3">
      <c r="A877" s="192" t="s">
        <v>16</v>
      </c>
      <c r="B877" s="180">
        <f>+J29</f>
        <v>72340</v>
      </c>
      <c r="C877" s="180">
        <f>+J64</f>
        <v>71924</v>
      </c>
      <c r="D877" s="180">
        <f>+J131</f>
        <v>71530</v>
      </c>
      <c r="E877" s="180">
        <f>+J302</f>
        <v>64525</v>
      </c>
      <c r="F877" s="180">
        <f>+J297</f>
        <v>0</v>
      </c>
      <c r="G877" s="180">
        <f>+J309</f>
        <v>-115000</v>
      </c>
      <c r="H877" s="180">
        <f>+J460</f>
        <v>133929</v>
      </c>
      <c r="I877" s="180">
        <f>+J508</f>
        <v>44006</v>
      </c>
      <c r="J877" s="180">
        <f>+J552</f>
        <v>31535</v>
      </c>
      <c r="K877" s="180">
        <f>+J608</f>
        <v>26784</v>
      </c>
      <c r="L877" s="180">
        <f>+J618</f>
        <v>22416</v>
      </c>
      <c r="M877" s="180">
        <f>+J654</f>
        <v>22377</v>
      </c>
      <c r="N877" s="180">
        <f>+J701</f>
        <v>20058</v>
      </c>
      <c r="O877" s="180">
        <f>+J711</f>
        <v>4215.9999999999991</v>
      </c>
      <c r="P877" s="180">
        <f>+J745</f>
        <v>5574.333333333333</v>
      </c>
      <c r="Q877" s="180">
        <f>+J794</f>
        <v>4209</v>
      </c>
      <c r="R877" s="306"/>
      <c r="T877" s="193">
        <f>'[3]Lake Pleasant Forecast'!B95</f>
        <v>1664.5672706984933</v>
      </c>
      <c r="AC877" s="179" t="s">
        <v>696</v>
      </c>
      <c r="AD877" s="180"/>
      <c r="AE877" s="180"/>
      <c r="AF877" s="180"/>
      <c r="AG877" s="180"/>
      <c r="AH877" s="180"/>
      <c r="AI877" s="180"/>
      <c r="AJ877" s="180"/>
      <c r="AK877" s="180"/>
      <c r="AL877" s="180"/>
      <c r="AM877" s="180"/>
      <c r="AN877" s="180"/>
      <c r="AO877" s="180"/>
      <c r="AP877" s="180"/>
      <c r="AQ877" s="180"/>
      <c r="AR877" s="180"/>
      <c r="AS877" s="180"/>
      <c r="AT877" s="306"/>
    </row>
    <row r="878" spans="1:46" ht="15.75" customHeight="1" x14ac:dyDescent="0.3">
      <c r="A878" s="192" t="s">
        <v>17</v>
      </c>
      <c r="B878" s="180">
        <f>+K29</f>
        <v>71324</v>
      </c>
      <c r="C878" s="180">
        <f>+K64</f>
        <v>70990</v>
      </c>
      <c r="D878" s="180">
        <f>+K131</f>
        <v>70672</v>
      </c>
      <c r="E878" s="180">
        <f>+K302</f>
        <v>64602</v>
      </c>
      <c r="F878" s="180">
        <f>+K297</f>
        <v>0</v>
      </c>
      <c r="G878" s="180">
        <f>+K309</f>
        <v>-99000</v>
      </c>
      <c r="H878" s="180">
        <f>+K460</f>
        <v>110897</v>
      </c>
      <c r="I878" s="180">
        <f>+K508</f>
        <v>40155</v>
      </c>
      <c r="J878" s="180">
        <f>+K552</f>
        <v>28837</v>
      </c>
      <c r="K878" s="180">
        <f>+K608</f>
        <v>24893</v>
      </c>
      <c r="L878" s="180">
        <f>+K618</f>
        <v>20848</v>
      </c>
      <c r="M878" s="180">
        <f>+K654</f>
        <v>20812</v>
      </c>
      <c r="N878" s="180">
        <f>+K701</f>
        <v>18845</v>
      </c>
      <c r="O878" s="180">
        <f>+K711</f>
        <v>4156</v>
      </c>
      <c r="P878" s="180">
        <f>+K745</f>
        <v>4865</v>
      </c>
      <c r="Q878" s="180">
        <f>+K794</f>
        <v>4150</v>
      </c>
      <c r="R878" s="306"/>
      <c r="T878" s="193">
        <f>'[3]Lake Pleasant Forecast'!B97</f>
        <v>1650.1450502444902</v>
      </c>
      <c r="AC878" s="179" t="s">
        <v>697</v>
      </c>
      <c r="AD878" s="180"/>
      <c r="AE878" s="180"/>
      <c r="AF878" s="180"/>
      <c r="AG878" s="180"/>
      <c r="AH878" s="180"/>
      <c r="AI878" s="180"/>
      <c r="AJ878" s="180"/>
      <c r="AK878" s="180"/>
      <c r="AL878" s="180"/>
      <c r="AM878" s="180"/>
      <c r="AN878" s="180"/>
      <c r="AO878" s="180"/>
      <c r="AP878" s="180"/>
      <c r="AQ878" s="180"/>
      <c r="AR878" s="180"/>
      <c r="AS878" s="180"/>
      <c r="AT878" s="306"/>
    </row>
    <row r="879" spans="1:46" ht="15.75" customHeight="1" x14ac:dyDescent="0.3">
      <c r="A879" s="192" t="s">
        <v>18</v>
      </c>
      <c r="B879" s="180">
        <f>+L29</f>
        <v>138046</v>
      </c>
      <c r="C879" s="180">
        <f>+L64</f>
        <v>137730</v>
      </c>
      <c r="D879" s="180">
        <f>+L131</f>
        <v>137429</v>
      </c>
      <c r="E879" s="180">
        <f>+L302</f>
        <v>132960</v>
      </c>
      <c r="F879" s="180">
        <f>+L297</f>
        <v>0</v>
      </c>
      <c r="G879" s="180">
        <f>+L309</f>
        <v>0</v>
      </c>
      <c r="H879" s="180">
        <f>+L460</f>
        <v>88574</v>
      </c>
      <c r="I879" s="180">
        <f>+L508</f>
        <v>28932</v>
      </c>
      <c r="J879" s="180">
        <f>+L552</f>
        <v>24416</v>
      </c>
      <c r="K879" s="180">
        <f>+L608</f>
        <v>21236</v>
      </c>
      <c r="L879" s="180">
        <f>+L618</f>
        <v>18777</v>
      </c>
      <c r="M879" s="180">
        <f>+L654</f>
        <v>18743</v>
      </c>
      <c r="N879" s="180">
        <f>+L701</f>
        <v>17731</v>
      </c>
      <c r="O879" s="180">
        <f>+L711</f>
        <v>4503</v>
      </c>
      <c r="P879" s="180">
        <f>+L745</f>
        <v>4044.6666666666665</v>
      </c>
      <c r="Q879" s="180">
        <f>+L794</f>
        <v>4497</v>
      </c>
      <c r="R879" s="306"/>
      <c r="T879" s="193">
        <f>'[3]Lake Pleasant Forecast'!B99</f>
        <v>1650.0982317331907</v>
      </c>
      <c r="AC879" s="179"/>
      <c r="AD879" s="180"/>
      <c r="AE879" s="180"/>
      <c r="AF879" s="180"/>
      <c r="AG879" s="180"/>
      <c r="AH879" s="180"/>
      <c r="AI879" s="180"/>
      <c r="AJ879" s="180"/>
      <c r="AK879" s="180"/>
      <c r="AL879" s="180"/>
      <c r="AM879" s="180"/>
      <c r="AN879" s="180"/>
      <c r="AO879" s="180"/>
      <c r="AP879" s="180"/>
      <c r="AQ879" s="180"/>
      <c r="AR879" s="180"/>
      <c r="AS879" s="180"/>
      <c r="AT879" s="306"/>
    </row>
    <row r="880" spans="1:46" ht="15.75" customHeight="1" x14ac:dyDescent="0.3">
      <c r="A880" s="192" t="s">
        <v>20</v>
      </c>
      <c r="B880" s="180">
        <f>+N29</f>
        <v>132029</v>
      </c>
      <c r="C880" s="180">
        <f>+N64</f>
        <v>131744</v>
      </c>
      <c r="D880" s="180">
        <f>+N131</f>
        <v>131472</v>
      </c>
      <c r="E880" s="180">
        <f>+N302</f>
        <v>128855</v>
      </c>
      <c r="F880" s="180">
        <f>+N297</f>
        <v>39000</v>
      </c>
      <c r="G880" s="180">
        <f>+N309</f>
        <v>0</v>
      </c>
      <c r="H880" s="180">
        <f>+N460</f>
        <v>58349</v>
      </c>
      <c r="I880" s="180">
        <f>+N508</f>
        <v>9050</v>
      </c>
      <c r="J880" s="180">
        <f>+N552</f>
        <v>7902</v>
      </c>
      <c r="K880" s="180">
        <f>+N608</f>
        <v>7198</v>
      </c>
      <c r="L880" s="180">
        <f>+N618</f>
        <v>5967</v>
      </c>
      <c r="M880" s="180">
        <f>+N654</f>
        <v>5938</v>
      </c>
      <c r="N880" s="180">
        <f>+N701</f>
        <v>5524</v>
      </c>
      <c r="O880" s="180">
        <f>+N711</f>
        <v>2291.9999999999995</v>
      </c>
      <c r="P880" s="180">
        <f>+N745</f>
        <v>3589.6666666666665</v>
      </c>
      <c r="Q880" s="180">
        <f>+N794</f>
        <v>2287</v>
      </c>
      <c r="R880" s="306"/>
      <c r="T880" s="193">
        <f>'[3]Lake Pleasant Forecast'!B101</f>
        <v>1655.913529862632</v>
      </c>
      <c r="AC880" s="179" t="s">
        <v>698</v>
      </c>
      <c r="AD880" s="180"/>
      <c r="AE880" s="180"/>
      <c r="AF880" s="180"/>
      <c r="AG880" s="180"/>
      <c r="AH880" s="180"/>
      <c r="AI880" s="180"/>
      <c r="AJ880" s="180"/>
      <c r="AK880" s="180"/>
      <c r="AL880" s="180"/>
      <c r="AM880" s="180"/>
      <c r="AN880" s="180"/>
      <c r="AO880" s="180"/>
      <c r="AP880" s="180"/>
      <c r="AQ880" s="180"/>
      <c r="AR880" s="180"/>
      <c r="AS880" s="180"/>
      <c r="AT880" s="306"/>
    </row>
    <row r="881" spans="1:50" ht="15.75" customHeight="1" x14ac:dyDescent="0.3">
      <c r="A881" s="192" t="s">
        <v>21</v>
      </c>
      <c r="B881" s="180">
        <f>+O29</f>
        <v>127353</v>
      </c>
      <c r="C881" s="180">
        <f>+O64</f>
        <v>127118</v>
      </c>
      <c r="D881" s="180">
        <f>+O131</f>
        <v>126892</v>
      </c>
      <c r="E881" s="180">
        <f>+O302</f>
        <v>125974</v>
      </c>
      <c r="F881" s="180">
        <f>+O297</f>
        <v>68000</v>
      </c>
      <c r="G881" s="180">
        <f>+O309</f>
        <v>0</v>
      </c>
      <c r="H881" s="180">
        <f>+O460</f>
        <v>30350</v>
      </c>
      <c r="I881" s="180">
        <f>+O508</f>
        <v>8497</v>
      </c>
      <c r="J881" s="180">
        <f>+O552</f>
        <v>7624</v>
      </c>
      <c r="K881" s="180">
        <f>+O608</f>
        <v>7486</v>
      </c>
      <c r="L881" s="180">
        <f>+O618</f>
        <v>5739</v>
      </c>
      <c r="M881" s="180">
        <f>+O654</f>
        <v>5716</v>
      </c>
      <c r="N881" s="180">
        <f>+O701</f>
        <v>5605</v>
      </c>
      <c r="O881" s="180">
        <f>+O711</f>
        <v>1339</v>
      </c>
      <c r="P881" s="180">
        <f>+O745</f>
        <v>3783.8</v>
      </c>
      <c r="Q881" s="180">
        <f>+O794</f>
        <v>1336</v>
      </c>
      <c r="R881" s="306"/>
      <c r="T881" s="193">
        <f>'[3]Lake Pleasant Forecast'!B103</f>
        <v>1665.3892565266151</v>
      </c>
      <c r="AC881" s="179"/>
      <c r="AD881" s="180"/>
      <c r="AE881" s="180"/>
      <c r="AF881" s="180"/>
      <c r="AG881" s="180"/>
      <c r="AH881" s="180"/>
      <c r="AI881" s="180"/>
      <c r="AJ881" s="180"/>
      <c r="AK881" s="180"/>
      <c r="AL881" s="180"/>
      <c r="AM881" s="180"/>
      <c r="AN881" s="180"/>
      <c r="AO881" s="180"/>
      <c r="AP881" s="180"/>
      <c r="AQ881" s="180"/>
      <c r="AR881" s="180"/>
      <c r="AS881" s="180"/>
      <c r="AT881" s="306"/>
    </row>
    <row r="882" spans="1:50" ht="15.75" customHeight="1" thickBot="1" x14ac:dyDescent="0.35">
      <c r="A882" s="192" t="s">
        <v>22</v>
      </c>
      <c r="B882" s="180">
        <f>+P29</f>
        <v>131898</v>
      </c>
      <c r="C882" s="180">
        <f>+P64</f>
        <v>131712</v>
      </c>
      <c r="D882" s="180">
        <f>+P131</f>
        <v>131533</v>
      </c>
      <c r="E882" s="180">
        <f>+P302</f>
        <v>130389</v>
      </c>
      <c r="F882" s="180">
        <f>+P297</f>
        <v>63000</v>
      </c>
      <c r="G882" s="180">
        <f>+P309</f>
        <v>0</v>
      </c>
      <c r="H882" s="180">
        <f>+P460</f>
        <v>45049</v>
      </c>
      <c r="I882" s="180">
        <f>+P508</f>
        <v>8582</v>
      </c>
      <c r="J882" s="180">
        <f>+P552</f>
        <v>7543</v>
      </c>
      <c r="K882" s="180">
        <f>+P608</f>
        <v>7405</v>
      </c>
      <c r="L882" s="180">
        <f>+P618</f>
        <v>6232</v>
      </c>
      <c r="M882" s="180">
        <f>+P654</f>
        <v>6213</v>
      </c>
      <c r="N882" s="180">
        <f>+P701</f>
        <v>5854</v>
      </c>
      <c r="O882" s="180">
        <f>+P711</f>
        <v>1198</v>
      </c>
      <c r="P882" s="180">
        <f>+P745</f>
        <v>3294.2</v>
      </c>
      <c r="Q882" s="180">
        <f>+P794</f>
        <v>1196</v>
      </c>
      <c r="R882" s="306"/>
      <c r="T882" s="193">
        <f>'[3]Lake Pleasant Forecast'!B105</f>
        <v>1673.7216370810079</v>
      </c>
      <c r="AC882" s="194" t="s">
        <v>699</v>
      </c>
      <c r="AD882" s="195"/>
      <c r="AE882" s="195"/>
      <c r="AF882" s="195"/>
      <c r="AG882" s="195"/>
      <c r="AH882" s="195"/>
      <c r="AI882" s="195"/>
      <c r="AJ882" s="195"/>
      <c r="AK882" s="195"/>
      <c r="AL882" s="195"/>
      <c r="AM882" s="195"/>
      <c r="AN882" s="195"/>
      <c r="AO882" s="195"/>
      <c r="AP882" s="195"/>
      <c r="AQ882" s="195"/>
      <c r="AR882" s="195"/>
      <c r="AS882" s="195"/>
      <c r="AT882" s="196"/>
    </row>
    <row r="883" spans="1:50" ht="15.75" customHeight="1" x14ac:dyDescent="0.3">
      <c r="A883" s="189"/>
      <c r="B883" s="180"/>
      <c r="C883" s="180"/>
      <c r="D883" s="180"/>
      <c r="E883" s="180"/>
      <c r="F883" s="180"/>
      <c r="G883" s="180"/>
      <c r="H883" s="180"/>
      <c r="I883" s="180"/>
      <c r="J883" s="180"/>
      <c r="K883" s="180"/>
      <c r="L883" s="180"/>
      <c r="M883" s="180"/>
      <c r="N883" s="180"/>
      <c r="O883" s="180"/>
      <c r="P883" s="180"/>
      <c r="Q883" s="180"/>
      <c r="R883" s="306"/>
    </row>
    <row r="884" spans="1:50" ht="15.75" customHeight="1" thickBot="1" x14ac:dyDescent="0.35">
      <c r="A884" s="189" t="s">
        <v>641</v>
      </c>
      <c r="B884" s="180">
        <f t="shared" ref="B884:Q884" si="202">SUM(B871:B882)</f>
        <v>1500720</v>
      </c>
      <c r="C884" s="180">
        <f t="shared" si="202"/>
        <v>1497220</v>
      </c>
      <c r="D884" s="180">
        <f t="shared" si="202"/>
        <v>1493880</v>
      </c>
      <c r="E884" s="180">
        <f t="shared" si="202"/>
        <v>1445792</v>
      </c>
      <c r="F884" s="180">
        <f t="shared" si="202"/>
        <v>329000</v>
      </c>
      <c r="G884" s="180">
        <f t="shared" si="202"/>
        <v>-333000</v>
      </c>
      <c r="H884" s="180">
        <f t="shared" si="202"/>
        <v>1001060</v>
      </c>
      <c r="I884" s="180">
        <f t="shared" si="202"/>
        <v>327560</v>
      </c>
      <c r="J884" s="180">
        <f t="shared" si="202"/>
        <v>256482</v>
      </c>
      <c r="K884" s="180">
        <f t="shared" si="202"/>
        <v>226031</v>
      </c>
      <c r="L884" s="180">
        <f t="shared" si="202"/>
        <v>193617</v>
      </c>
      <c r="M884" s="180">
        <f t="shared" si="202"/>
        <v>193244</v>
      </c>
      <c r="N884" s="180">
        <f t="shared" si="202"/>
        <v>180216</v>
      </c>
      <c r="O884" s="180">
        <f t="shared" si="202"/>
        <v>44754</v>
      </c>
      <c r="P884" s="180">
        <f t="shared" si="202"/>
        <v>50653</v>
      </c>
      <c r="Q884" s="180">
        <f t="shared" si="202"/>
        <v>44691</v>
      </c>
      <c r="R884" s="306"/>
    </row>
    <row r="885" spans="1:50" ht="15.75" customHeight="1" thickBot="1" x14ac:dyDescent="0.35">
      <c r="A885" s="135"/>
      <c r="B885" s="135"/>
      <c r="C885" s="135"/>
      <c r="D885" s="135"/>
      <c r="E885" s="135"/>
      <c r="F885" s="135"/>
      <c r="G885" s="135"/>
      <c r="H885" s="135"/>
      <c r="I885" s="135"/>
      <c r="J885" s="135"/>
      <c r="K885" s="135"/>
      <c r="L885" s="135"/>
      <c r="M885" s="135"/>
      <c r="N885" s="135"/>
      <c r="O885" s="135"/>
      <c r="P885" s="135"/>
      <c r="Q885" s="135"/>
      <c r="R885" s="196"/>
      <c r="AC885" s="173"/>
      <c r="AD885" s="174"/>
      <c r="AE885" s="174"/>
      <c r="AF885" s="174"/>
      <c r="AG885" s="174"/>
      <c r="AH885" s="174"/>
      <c r="AI885" s="174"/>
      <c r="AJ885" s="174"/>
      <c r="AK885" s="174"/>
      <c r="AL885" s="174"/>
      <c r="AM885" s="174"/>
      <c r="AN885" s="174"/>
      <c r="AO885" s="174"/>
      <c r="AP885" s="174"/>
      <c r="AQ885" s="174"/>
      <c r="AR885" s="174"/>
      <c r="AS885" s="177" t="str">
        <f>+Q1</f>
        <v xml:space="preserve">PRINTED:  </v>
      </c>
      <c r="AT885" s="197">
        <f ca="1">+R1</f>
        <v>44894.658168518516</v>
      </c>
      <c r="AU885" s="198"/>
      <c r="AW885" s="199" t="s">
        <v>700</v>
      </c>
      <c r="AX885" s="180"/>
    </row>
    <row r="886" spans="1:50" ht="15.75" customHeight="1" x14ac:dyDescent="0.35">
      <c r="A886" s="200"/>
      <c r="B886" s="200"/>
      <c r="C886" s="200"/>
      <c r="D886" s="200"/>
      <c r="E886" s="200"/>
      <c r="F886" s="200"/>
      <c r="G886" s="200"/>
      <c r="H886" s="200"/>
      <c r="I886" s="200"/>
      <c r="J886" s="200"/>
      <c r="K886" s="200"/>
      <c r="L886" s="200"/>
      <c r="M886" s="200"/>
      <c r="N886" s="200"/>
      <c r="O886" s="200"/>
      <c r="P886" s="200"/>
      <c r="Q886" s="200"/>
      <c r="R886" s="174"/>
      <c r="AC886" s="179"/>
      <c r="AD886" s="180"/>
      <c r="AE886" s="199" t="s">
        <v>701</v>
      </c>
      <c r="AF886" s="180"/>
      <c r="AG886" s="180"/>
      <c r="AH886" s="180"/>
      <c r="AI886" s="180"/>
      <c r="AJ886" s="180"/>
      <c r="AK886" s="180"/>
      <c r="AL886" s="180"/>
      <c r="AM886" s="180"/>
      <c r="AN886" s="201"/>
      <c r="AO886" s="199" t="s">
        <v>702</v>
      </c>
      <c r="AP886" s="180"/>
      <c r="AQ886" s="180"/>
      <c r="AR886" s="180"/>
      <c r="AS886" s="180"/>
      <c r="AT886" s="180"/>
      <c r="AU886" s="304"/>
      <c r="AW886" s="180" t="s">
        <v>703</v>
      </c>
      <c r="AX886" s="180"/>
    </row>
    <row r="887" spans="1:50" ht="16.5" customHeight="1" x14ac:dyDescent="0.3">
      <c r="A887" s="189" t="s">
        <v>7</v>
      </c>
      <c r="B887" s="180"/>
      <c r="C887" s="180"/>
      <c r="D887" s="180"/>
      <c r="E887" s="180"/>
      <c r="F887" s="180"/>
      <c r="G887" s="180"/>
      <c r="H887" s="180"/>
      <c r="I887" s="180"/>
      <c r="J887" s="180"/>
      <c r="K887" s="180"/>
      <c r="L887" s="180"/>
      <c r="M887" s="180"/>
      <c r="N887" s="180"/>
      <c r="O887" s="180"/>
      <c r="P887" s="180"/>
      <c r="Q887" s="180"/>
      <c r="R887" s="180"/>
      <c r="AC887" s="179"/>
      <c r="AD887" s="180"/>
      <c r="AE887" s="180"/>
      <c r="AF887" s="180"/>
      <c r="AG887" s="180" t="s">
        <v>7</v>
      </c>
      <c r="AH887" s="202" t="str">
        <f>+A8</f>
        <v>Revised:  12/8/2016</v>
      </c>
      <c r="AI887" s="180"/>
      <c r="AJ887" s="180"/>
      <c r="AK887" s="180"/>
      <c r="AL887" s="180"/>
      <c r="AM887" s="180"/>
      <c r="AN887" s="180"/>
      <c r="AO887" s="180"/>
      <c r="AP887" s="180"/>
      <c r="AQ887" s="180"/>
      <c r="AR887" s="180" t="s">
        <v>7</v>
      </c>
      <c r="AS887" s="202" t="str">
        <f>+A8</f>
        <v>Revised:  12/8/2016</v>
      </c>
      <c r="AT887" s="180"/>
      <c r="AU887" s="304"/>
      <c r="AW887" s="180"/>
      <c r="AX887" s="180"/>
    </row>
    <row r="888" spans="1:50" ht="15.75" customHeight="1" x14ac:dyDescent="0.3">
      <c r="A888" s="182"/>
      <c r="B888" s="180"/>
      <c r="C888" s="180"/>
      <c r="D888" s="180"/>
      <c r="E888" s="180"/>
      <c r="F888" s="180"/>
      <c r="G888" s="180"/>
      <c r="H888" s="180"/>
      <c r="I888" s="180"/>
      <c r="J888" s="180"/>
      <c r="K888" s="180"/>
      <c r="L888" s="180"/>
      <c r="M888" s="180"/>
      <c r="N888" s="180"/>
      <c r="O888" s="180"/>
      <c r="P888" s="180"/>
      <c r="Q888" s="180"/>
      <c r="R888" s="180"/>
      <c r="AC888" s="179"/>
      <c r="AD888" s="180"/>
      <c r="AE888" s="180"/>
      <c r="AF888" s="180" t="s">
        <v>704</v>
      </c>
      <c r="AG888" s="180"/>
      <c r="AH888" s="180"/>
      <c r="AI888" s="180"/>
      <c r="AJ888" s="180"/>
      <c r="AK888" s="180"/>
      <c r="AL888" s="180"/>
      <c r="AM888" s="180"/>
      <c r="AN888" s="180"/>
      <c r="AO888" s="180"/>
      <c r="AP888" s="180" t="s">
        <v>704</v>
      </c>
      <c r="AQ888" s="180"/>
      <c r="AR888" s="180"/>
      <c r="AS888" s="180"/>
      <c r="AT888" s="180"/>
      <c r="AU888" s="304"/>
      <c r="AW888" s="180" t="s">
        <v>633</v>
      </c>
      <c r="AX888" s="182" t="s">
        <v>658</v>
      </c>
    </row>
    <row r="889" spans="1:50" ht="15.75" customHeight="1" x14ac:dyDescent="0.3">
      <c r="A889" s="192"/>
      <c r="AC889" s="179"/>
      <c r="AD889" s="180"/>
      <c r="AE889" s="180"/>
      <c r="AF889" s="180"/>
      <c r="AG889" s="180"/>
      <c r="AH889" s="180"/>
      <c r="AI889" s="180"/>
      <c r="AJ889" s="180"/>
      <c r="AK889" s="180"/>
      <c r="AL889" s="180"/>
      <c r="AM889" s="180"/>
      <c r="AN889" s="180"/>
      <c r="AO889" s="180"/>
      <c r="AP889" s="180"/>
      <c r="AQ889" s="180"/>
      <c r="AR889" s="180"/>
      <c r="AS889" s="180"/>
      <c r="AT889" s="180"/>
      <c r="AU889" s="304"/>
      <c r="AW889" s="182" t="s">
        <v>658</v>
      </c>
      <c r="AX889" s="182" t="s">
        <v>655</v>
      </c>
    </row>
    <row r="890" spans="1:50" ht="15.75" customHeight="1" thickBot="1" x14ac:dyDescent="0.35">
      <c r="A890" s="192"/>
      <c r="AC890" s="179"/>
      <c r="AD890" s="180"/>
      <c r="AE890" s="180"/>
      <c r="AF890" s="180"/>
      <c r="AG890" s="180">
        <f>+A5</f>
        <v>2017</v>
      </c>
      <c r="AH890" s="180"/>
      <c r="AI890" s="180"/>
      <c r="AJ890" s="180"/>
      <c r="AK890" s="180"/>
      <c r="AL890" s="180"/>
      <c r="AM890" s="180"/>
      <c r="AN890" s="180"/>
      <c r="AO890" s="180"/>
      <c r="AP890" s="180"/>
      <c r="AQ890" s="180"/>
      <c r="AR890" s="180">
        <f>+A5</f>
        <v>2017</v>
      </c>
      <c r="AS890" s="180"/>
      <c r="AT890" s="180"/>
      <c r="AU890" s="304"/>
      <c r="AW890" s="182" t="s">
        <v>705</v>
      </c>
      <c r="AX890" s="182" t="s">
        <v>706</v>
      </c>
    </row>
    <row r="891" spans="1:50" ht="15.75" customHeight="1" x14ac:dyDescent="0.3">
      <c r="A891" s="188"/>
      <c r="B891" s="387" t="s">
        <v>707</v>
      </c>
      <c r="C891" s="387"/>
      <c r="D891" s="387"/>
      <c r="E891" s="387"/>
      <c r="F891" s="387"/>
      <c r="G891" s="387"/>
      <c r="H891" s="387"/>
      <c r="I891" s="387"/>
      <c r="J891" s="387"/>
      <c r="K891" s="387"/>
      <c r="L891" s="387"/>
      <c r="M891" s="387"/>
      <c r="N891" s="387"/>
      <c r="O891" s="387"/>
      <c r="P891" s="387"/>
      <c r="Q891" s="177" t="str">
        <f>+Q1</f>
        <v xml:space="preserve">PRINTED:  </v>
      </c>
      <c r="R891" s="178">
        <f ca="1">+R1</f>
        <v>44894.658168518516</v>
      </c>
      <c r="AC891" s="179"/>
      <c r="AD891" s="180"/>
      <c r="AE891" s="180"/>
      <c r="AF891" s="180"/>
      <c r="AG891" s="180" t="s">
        <v>708</v>
      </c>
      <c r="AH891" s="180"/>
      <c r="AI891" s="180"/>
      <c r="AJ891" s="180"/>
      <c r="AK891" s="180"/>
      <c r="AL891" s="180"/>
      <c r="AM891" s="180"/>
      <c r="AN891" s="180"/>
      <c r="AO891" s="180"/>
      <c r="AP891" s="180"/>
      <c r="AQ891" s="180"/>
      <c r="AR891" s="180" t="s">
        <v>708</v>
      </c>
      <c r="AS891" s="180"/>
      <c r="AT891" s="180"/>
      <c r="AU891" s="304"/>
      <c r="AW891" s="182" t="s">
        <v>666</v>
      </c>
      <c r="AX891" s="182" t="s">
        <v>666</v>
      </c>
    </row>
    <row r="892" spans="1:50" ht="15.75" customHeight="1" x14ac:dyDescent="0.3">
      <c r="A892" s="189"/>
      <c r="B892" s="394" t="str">
        <f>+A8</f>
        <v>Revised:  12/8/2016</v>
      </c>
      <c r="C892" s="394"/>
      <c r="D892" s="394"/>
      <c r="E892" s="394"/>
      <c r="F892" s="394"/>
      <c r="G892" s="394"/>
      <c r="H892" s="394"/>
      <c r="I892" s="394"/>
      <c r="J892" s="394"/>
      <c r="K892" s="394"/>
      <c r="L892" s="394"/>
      <c r="M892" s="394"/>
      <c r="N892" s="394"/>
      <c r="O892" s="394"/>
      <c r="P892" s="394"/>
      <c r="Q892" s="180"/>
      <c r="R892" s="306"/>
      <c r="AC892" s="179"/>
      <c r="AD892" s="180"/>
      <c r="AE892" s="180"/>
      <c r="AF892" s="180"/>
      <c r="AG892" s="180"/>
      <c r="AH892" s="180"/>
      <c r="AI892" s="180"/>
      <c r="AJ892" s="180"/>
      <c r="AK892" s="180"/>
      <c r="AL892" s="180"/>
      <c r="AM892" s="180"/>
      <c r="AN892" s="180"/>
      <c r="AO892" s="180"/>
      <c r="AP892" s="180"/>
      <c r="AQ892" s="180"/>
      <c r="AR892" s="180"/>
      <c r="AS892" s="180"/>
      <c r="AT892" s="180"/>
      <c r="AU892" s="304"/>
      <c r="AW892" s="180">
        <f t="shared" ref="AW892:AW903" si="203">SUM(L928:Q928)</f>
        <v>9566</v>
      </c>
      <c r="AX892" s="203">
        <v>2.4700000000000002</v>
      </c>
    </row>
    <row r="893" spans="1:50" ht="15.75" customHeight="1" x14ac:dyDescent="0.3">
      <c r="A893" s="189"/>
      <c r="B893" s="394" t="s">
        <v>670</v>
      </c>
      <c r="C893" s="394"/>
      <c r="D893" s="394"/>
      <c r="E893" s="394"/>
      <c r="F893" s="394"/>
      <c r="G893" s="394"/>
      <c r="H893" s="394"/>
      <c r="I893" s="394"/>
      <c r="J893" s="394"/>
      <c r="K893" s="394"/>
      <c r="L893" s="394"/>
      <c r="M893" s="394"/>
      <c r="N893" s="394"/>
      <c r="O893" s="394"/>
      <c r="P893" s="394"/>
      <c r="Q893" s="180"/>
      <c r="R893" s="306"/>
      <c r="AC893" s="179" t="s">
        <v>709</v>
      </c>
      <c r="AD893" s="182" t="s">
        <v>677</v>
      </c>
      <c r="AE893" s="182" t="s">
        <v>678</v>
      </c>
      <c r="AF893" s="182" t="s">
        <v>679</v>
      </c>
      <c r="AG893" s="182" t="s">
        <v>680</v>
      </c>
      <c r="AH893" s="182" t="s">
        <v>644</v>
      </c>
      <c r="AI893" s="180"/>
      <c r="AJ893" s="182" t="s">
        <v>641</v>
      </c>
      <c r="AK893" s="180"/>
      <c r="AL893" s="180"/>
      <c r="AM893" s="180"/>
      <c r="AN893" s="180" t="s">
        <v>709</v>
      </c>
      <c r="AO893" s="182" t="s">
        <v>677</v>
      </c>
      <c r="AP893" s="182" t="s">
        <v>678</v>
      </c>
      <c r="AQ893" s="182" t="s">
        <v>679</v>
      </c>
      <c r="AR893" s="182" t="s">
        <v>680</v>
      </c>
      <c r="AS893" s="182" t="s">
        <v>644</v>
      </c>
      <c r="AT893" s="182" t="s">
        <v>641</v>
      </c>
      <c r="AU893" s="304"/>
      <c r="AW893" s="180">
        <f t="shared" si="203"/>
        <v>11290</v>
      </c>
      <c r="AX893" s="203">
        <v>2.4700000000000002</v>
      </c>
    </row>
    <row r="894" spans="1:50" ht="15.75" customHeight="1" x14ac:dyDescent="0.3">
      <c r="A894" s="189"/>
      <c r="B894" s="394"/>
      <c r="C894" s="394"/>
      <c r="D894" s="394"/>
      <c r="E894" s="394"/>
      <c r="F894" s="394"/>
      <c r="G894" s="394"/>
      <c r="H894" s="394"/>
      <c r="I894" s="394"/>
      <c r="J894" s="394"/>
      <c r="K894" s="394"/>
      <c r="L894" s="394"/>
      <c r="M894" s="394"/>
      <c r="N894" s="394"/>
      <c r="O894" s="394"/>
      <c r="P894" s="394"/>
      <c r="Q894" s="180"/>
      <c r="R894" s="306"/>
      <c r="AC894" s="179" t="s">
        <v>710</v>
      </c>
      <c r="AD894" s="180"/>
      <c r="AE894" s="180"/>
      <c r="AF894" s="180"/>
      <c r="AG894" s="180"/>
      <c r="AH894" s="182" t="s">
        <v>127</v>
      </c>
      <c r="AI894" s="180"/>
      <c r="AJ894" s="182" t="s">
        <v>711</v>
      </c>
      <c r="AK894" s="180"/>
      <c r="AL894" s="180"/>
      <c r="AM894" s="180"/>
      <c r="AN894" s="180" t="s">
        <v>710</v>
      </c>
      <c r="AO894" s="180"/>
      <c r="AP894" s="180"/>
      <c r="AQ894" s="180"/>
      <c r="AR894" s="180"/>
      <c r="AS894" s="182" t="s">
        <v>127</v>
      </c>
      <c r="AT894" s="182" t="s">
        <v>711</v>
      </c>
      <c r="AU894" s="304"/>
      <c r="AW894" s="180">
        <f t="shared" si="203"/>
        <v>13430</v>
      </c>
      <c r="AX894" s="203">
        <v>2.4700000000000002</v>
      </c>
    </row>
    <row r="895" spans="1:50" ht="15.75" customHeight="1" x14ac:dyDescent="0.3">
      <c r="A895" s="189"/>
      <c r="B895" s="395">
        <f>+A5</f>
        <v>2017</v>
      </c>
      <c r="C895" s="395"/>
      <c r="D895" s="395"/>
      <c r="E895" s="395"/>
      <c r="F895" s="395"/>
      <c r="G895" s="395"/>
      <c r="H895" s="395"/>
      <c r="I895" s="395"/>
      <c r="J895" s="395"/>
      <c r="K895" s="395"/>
      <c r="L895" s="395"/>
      <c r="M895" s="395"/>
      <c r="N895" s="395"/>
      <c r="O895" s="395"/>
      <c r="P895" s="395"/>
      <c r="Q895" s="180"/>
      <c r="R895" s="306"/>
      <c r="AC895" s="179" t="s">
        <v>712</v>
      </c>
      <c r="AD895" s="180">
        <f>+$B$926</f>
        <v>957</v>
      </c>
      <c r="AE895" s="180">
        <f>+C$926</f>
        <v>122</v>
      </c>
      <c r="AF895" s="180">
        <f>+D$926</f>
        <v>128</v>
      </c>
      <c r="AG895" s="180">
        <f>+E$926</f>
        <v>219</v>
      </c>
      <c r="AH895" s="180"/>
      <c r="AI895" s="180"/>
      <c r="AJ895" s="182" t="s">
        <v>658</v>
      </c>
      <c r="AK895" s="180"/>
      <c r="AL895" s="180"/>
      <c r="AM895" s="180"/>
      <c r="AN895" s="180" t="s">
        <v>712</v>
      </c>
      <c r="AO895" s="180">
        <f>+$B$926</f>
        <v>957</v>
      </c>
      <c r="AP895" s="180">
        <f>+C$926</f>
        <v>122</v>
      </c>
      <c r="AQ895" s="180">
        <f>+D$926</f>
        <v>128</v>
      </c>
      <c r="AR895" s="180">
        <f>+E$926</f>
        <v>219</v>
      </c>
      <c r="AS895" s="180"/>
      <c r="AT895" s="182" t="s">
        <v>658</v>
      </c>
      <c r="AU895" s="304"/>
      <c r="AW895" s="180">
        <f t="shared" si="203"/>
        <v>13453</v>
      </c>
      <c r="AX895" s="203">
        <v>2.4700000000000002</v>
      </c>
    </row>
    <row r="896" spans="1:50" ht="15.75" customHeight="1" x14ac:dyDescent="0.3">
      <c r="A896" s="189"/>
      <c r="B896" s="394" t="s">
        <v>713</v>
      </c>
      <c r="C896" s="394"/>
      <c r="D896" s="394"/>
      <c r="E896" s="394"/>
      <c r="F896" s="394"/>
      <c r="G896" s="394"/>
      <c r="H896" s="394"/>
      <c r="I896" s="394"/>
      <c r="J896" s="394"/>
      <c r="K896" s="394"/>
      <c r="L896" s="394"/>
      <c r="M896" s="394"/>
      <c r="N896" s="394"/>
      <c r="O896" s="394"/>
      <c r="P896" s="394"/>
      <c r="Q896" s="180"/>
      <c r="R896" s="306"/>
      <c r="AC896" s="179"/>
      <c r="AD896" s="180" t="s">
        <v>666</v>
      </c>
      <c r="AE896" s="180" t="s">
        <v>666</v>
      </c>
      <c r="AF896" s="180" t="s">
        <v>666</v>
      </c>
      <c r="AG896" s="180" t="s">
        <v>666</v>
      </c>
      <c r="AH896" s="180" t="s">
        <v>666</v>
      </c>
      <c r="AI896" s="180"/>
      <c r="AJ896" s="180" t="s">
        <v>714</v>
      </c>
      <c r="AK896" s="180"/>
      <c r="AL896" s="180"/>
      <c r="AM896" s="180"/>
      <c r="AN896" s="180"/>
      <c r="AO896" s="180" t="s">
        <v>666</v>
      </c>
      <c r="AP896" s="180" t="s">
        <v>666</v>
      </c>
      <c r="AQ896" s="180" t="s">
        <v>666</v>
      </c>
      <c r="AR896" s="180" t="s">
        <v>666</v>
      </c>
      <c r="AS896" s="180" t="s">
        <v>666</v>
      </c>
      <c r="AT896" s="180" t="s">
        <v>714</v>
      </c>
      <c r="AU896" s="304"/>
      <c r="AW896" s="180">
        <f t="shared" si="203"/>
        <v>15247</v>
      </c>
      <c r="AX896" s="203">
        <v>2.4700000000000002</v>
      </c>
    </row>
    <row r="897" spans="1:50" ht="15.75" customHeight="1" x14ac:dyDescent="0.3">
      <c r="A897" s="189"/>
      <c r="B897" s="180"/>
      <c r="C897" s="180"/>
      <c r="D897" s="180"/>
      <c r="E897" s="180"/>
      <c r="F897" s="180"/>
      <c r="G897" s="180"/>
      <c r="H897" s="180"/>
      <c r="I897" s="180"/>
      <c r="J897" s="180"/>
      <c r="K897" s="180"/>
      <c r="L897" s="180"/>
      <c r="M897" s="180"/>
      <c r="N897" s="180"/>
      <c r="O897" s="180"/>
      <c r="P897" s="180"/>
      <c r="Q897" s="180"/>
      <c r="R897" s="306"/>
      <c r="AC897" s="189" t="s">
        <v>668</v>
      </c>
      <c r="AD897" s="180">
        <f t="shared" ref="AD897:AD908" si="204">ROUND($F871*$AD$895/1000,0)</f>
        <v>68904</v>
      </c>
      <c r="AE897" s="180">
        <f t="shared" ref="AE897:AE908" si="205">ROUND($F871*$AE$895/1000,0)</f>
        <v>8784</v>
      </c>
      <c r="AF897" s="180">
        <f t="shared" ref="AF897:AF908" si="206">ROUND($F871*$AF$895/1000,0)</f>
        <v>9216</v>
      </c>
      <c r="AG897" s="180">
        <f t="shared" ref="AG897:AG908" si="207">ROUND($F871*$AG$895/1000,0)</f>
        <v>15768</v>
      </c>
      <c r="AH897" s="180">
        <f t="shared" ref="AH897:AH908" si="208">(F871*((T871-1526.8)/0.7702))/1000</f>
        <v>14817.207944518654</v>
      </c>
      <c r="AI897" s="180"/>
      <c r="AJ897" s="180">
        <f t="shared" ref="AJ897:AJ908" si="209">SUM(AD897:AH897)</f>
        <v>117489.20794451865</v>
      </c>
      <c r="AK897" s="180"/>
      <c r="AL897" s="180"/>
      <c r="AM897" s="180"/>
      <c r="AN897" s="182" t="s">
        <v>668</v>
      </c>
      <c r="AO897" s="180">
        <f t="shared" ref="AO897:AO908" si="210">ROUND((B871-$F871)*$AO$895/1000,0)</f>
        <v>63933</v>
      </c>
      <c r="AP897" s="180">
        <f t="shared" ref="AP897:AP908" si="211">ROUND((C871-$F871)*$AP$895/1000,0)</f>
        <v>8138</v>
      </c>
      <c r="AQ897" s="180">
        <f t="shared" ref="AQ897:AQ908" si="212">ROUND((D871-$F871)*$AQ$895/1000,0)</f>
        <v>8526</v>
      </c>
      <c r="AR897" s="180">
        <f t="shared" ref="AR897:AR908" si="213">ROUND((E871-$F871)*$AR$895/1000,0)</f>
        <v>14289</v>
      </c>
      <c r="AS897" s="180">
        <f>((F871-$F871)*(('[3]Lake Pleasant Forecast'!B35-1526.8)/0.7702))/1000</f>
        <v>0</v>
      </c>
      <c r="AT897" s="180">
        <f t="shared" ref="AT897:AT908" si="214">SUM(AN897:AR897)</f>
        <v>94886</v>
      </c>
      <c r="AU897" s="304"/>
      <c r="AW897" s="180">
        <f t="shared" si="203"/>
        <v>14385</v>
      </c>
      <c r="AX897" s="203">
        <v>2.4700000000000002</v>
      </c>
    </row>
    <row r="898" spans="1:50" ht="15.75" customHeight="1" thickBot="1" x14ac:dyDescent="0.35">
      <c r="A898" s="189" t="s">
        <v>647</v>
      </c>
      <c r="B898" s="191" t="s">
        <v>677</v>
      </c>
      <c r="C898" s="191" t="s">
        <v>678</v>
      </c>
      <c r="D898" s="191" t="s">
        <v>679</v>
      </c>
      <c r="E898" s="191" t="s">
        <v>680</v>
      </c>
      <c r="F898" s="191" t="s">
        <v>644</v>
      </c>
      <c r="G898" s="191" t="s">
        <v>644</v>
      </c>
      <c r="H898" s="191" t="s">
        <v>681</v>
      </c>
      <c r="I898" s="191" t="s">
        <v>682</v>
      </c>
      <c r="J898" s="191" t="s">
        <v>683</v>
      </c>
      <c r="K898" s="191" t="s">
        <v>684</v>
      </c>
      <c r="L898" s="191" t="s">
        <v>685</v>
      </c>
      <c r="M898" s="191" t="s">
        <v>686</v>
      </c>
      <c r="N898" s="191" t="s">
        <v>687</v>
      </c>
      <c r="O898" s="191" t="s">
        <v>688</v>
      </c>
      <c r="P898" s="191" t="s">
        <v>689</v>
      </c>
      <c r="Q898" s="191" t="s">
        <v>638</v>
      </c>
      <c r="R898" s="306"/>
      <c r="AC898" s="189" t="s">
        <v>669</v>
      </c>
      <c r="AD898" s="180">
        <f t="shared" si="204"/>
        <v>0</v>
      </c>
      <c r="AE898" s="180">
        <f t="shared" si="205"/>
        <v>0</v>
      </c>
      <c r="AF898" s="180">
        <f t="shared" si="206"/>
        <v>0</v>
      </c>
      <c r="AG898" s="180">
        <f t="shared" si="207"/>
        <v>0</v>
      </c>
      <c r="AH898" s="180">
        <f t="shared" si="208"/>
        <v>0</v>
      </c>
      <c r="AI898" s="180"/>
      <c r="AJ898" s="180">
        <f t="shared" si="209"/>
        <v>0</v>
      </c>
      <c r="AK898" s="180"/>
      <c r="AL898" s="180"/>
      <c r="AM898" s="180"/>
      <c r="AN898" s="182" t="s">
        <v>669</v>
      </c>
      <c r="AO898" s="180">
        <f t="shared" si="210"/>
        <v>64382</v>
      </c>
      <c r="AP898" s="180">
        <f t="shared" si="211"/>
        <v>8189</v>
      </c>
      <c r="AQ898" s="180">
        <f t="shared" si="212"/>
        <v>8574</v>
      </c>
      <c r="AR898" s="180">
        <f t="shared" si="213"/>
        <v>14393</v>
      </c>
      <c r="AS898" s="180">
        <f>((F872-$F872)*(('[3]Lake Pleasant Forecast'!B37-1526.8)/0.7702))/1000</f>
        <v>0</v>
      </c>
      <c r="AT898" s="180">
        <f t="shared" si="214"/>
        <v>95538</v>
      </c>
      <c r="AU898" s="304"/>
      <c r="AW898" s="180">
        <f t="shared" si="203"/>
        <v>14487</v>
      </c>
      <c r="AX898" s="203">
        <v>2.4700000000000002</v>
      </c>
    </row>
    <row r="899" spans="1:50" ht="15.75" customHeight="1" x14ac:dyDescent="0.3">
      <c r="A899" s="189"/>
      <c r="B899" s="180"/>
      <c r="C899" s="180"/>
      <c r="D899" s="180"/>
      <c r="E899" s="180"/>
      <c r="F899" s="182" t="s">
        <v>127</v>
      </c>
      <c r="G899" s="182" t="s">
        <v>653</v>
      </c>
      <c r="H899" s="180"/>
      <c r="I899" s="180"/>
      <c r="J899" s="180"/>
      <c r="K899" s="180"/>
      <c r="L899" s="180"/>
      <c r="M899" s="180"/>
      <c r="N899" s="180"/>
      <c r="O899" s="180"/>
      <c r="P899" s="180"/>
      <c r="Q899" s="180"/>
      <c r="R899" s="306"/>
      <c r="AC899" s="189" t="s">
        <v>671</v>
      </c>
      <c r="AD899" s="180">
        <f t="shared" si="204"/>
        <v>53592</v>
      </c>
      <c r="AE899" s="180">
        <f t="shared" si="205"/>
        <v>6832</v>
      </c>
      <c r="AF899" s="180">
        <f t="shared" si="206"/>
        <v>7168</v>
      </c>
      <c r="AG899" s="180">
        <f t="shared" si="207"/>
        <v>12264</v>
      </c>
      <c r="AH899" s="180">
        <f t="shared" si="208"/>
        <v>11930.477450096654</v>
      </c>
      <c r="AI899" s="180"/>
      <c r="AJ899" s="180">
        <f t="shared" si="209"/>
        <v>91786.47745009666</v>
      </c>
      <c r="AK899" s="180"/>
      <c r="AL899" s="180"/>
      <c r="AM899" s="180"/>
      <c r="AN899" s="182" t="s">
        <v>671</v>
      </c>
      <c r="AO899" s="180">
        <f t="shared" si="210"/>
        <v>119513</v>
      </c>
      <c r="AP899" s="180">
        <f t="shared" si="211"/>
        <v>15202</v>
      </c>
      <c r="AQ899" s="180">
        <f t="shared" si="212"/>
        <v>15917</v>
      </c>
      <c r="AR899" s="180">
        <f t="shared" si="213"/>
        <v>26187</v>
      </c>
      <c r="AS899" s="180">
        <f>((F873-$F873)*(('[3]Lake Pleasant Forecast'!B39-1526.8)/0.7702))/1000</f>
        <v>0</v>
      </c>
      <c r="AT899" s="180">
        <f t="shared" si="214"/>
        <v>176819</v>
      </c>
      <c r="AU899" s="304"/>
      <c r="AW899" s="180">
        <f t="shared" si="203"/>
        <v>13564</v>
      </c>
      <c r="AX899" s="203">
        <v>2.4700000000000002</v>
      </c>
    </row>
    <row r="900" spans="1:50" ht="15.75" customHeight="1" x14ac:dyDescent="0.3">
      <c r="A900" s="192" t="s">
        <v>8</v>
      </c>
      <c r="B900" s="180">
        <f t="shared" ref="B900:Q900" si="215">(B871/$B$10/1.983)</f>
        <v>2257.9994469116523</v>
      </c>
      <c r="C900" s="180">
        <f t="shared" si="215"/>
        <v>2256.4215183901874</v>
      </c>
      <c r="D900" s="180">
        <f t="shared" si="215"/>
        <v>2254.8598571730677</v>
      </c>
      <c r="E900" s="180">
        <f t="shared" si="215"/>
        <v>2232.606184829112</v>
      </c>
      <c r="F900" s="180">
        <f t="shared" si="215"/>
        <v>1171.2459128397832</v>
      </c>
      <c r="G900" s="180">
        <f t="shared" si="215"/>
        <v>0</v>
      </c>
      <c r="H900" s="180">
        <f t="shared" si="215"/>
        <v>668.60247588372124</v>
      </c>
      <c r="I900" s="180">
        <f t="shared" si="215"/>
        <v>264.55517056268604</v>
      </c>
      <c r="J900" s="180">
        <f t="shared" si="215"/>
        <v>259.9352561287069</v>
      </c>
      <c r="K900" s="180">
        <f t="shared" si="215"/>
        <v>256.22631073804757</v>
      </c>
      <c r="L900" s="180">
        <f t="shared" si="215"/>
        <v>231.79281961186209</v>
      </c>
      <c r="M900" s="180">
        <f t="shared" si="215"/>
        <v>231.46747352496217</v>
      </c>
      <c r="N900" s="180">
        <f t="shared" si="215"/>
        <v>220.73105265726414</v>
      </c>
      <c r="O900" s="180">
        <f t="shared" si="215"/>
        <v>55.113627120849813</v>
      </c>
      <c r="P900" s="180">
        <f t="shared" si="215"/>
        <v>43.154447209886179</v>
      </c>
      <c r="Q900" s="180">
        <f t="shared" si="215"/>
        <v>55.081092512159806</v>
      </c>
      <c r="R900" s="306"/>
      <c r="AC900" s="189" t="s">
        <v>672</v>
      </c>
      <c r="AD900" s="180">
        <f t="shared" si="204"/>
        <v>19140</v>
      </c>
      <c r="AE900" s="180">
        <f t="shared" si="205"/>
        <v>2440</v>
      </c>
      <c r="AF900" s="180">
        <f t="shared" si="206"/>
        <v>2560</v>
      </c>
      <c r="AG900" s="180">
        <f t="shared" si="207"/>
        <v>4380</v>
      </c>
      <c r="AH900" s="180">
        <f t="shared" si="208"/>
        <v>4307.5475292443016</v>
      </c>
      <c r="AI900" s="180"/>
      <c r="AJ900" s="180">
        <f t="shared" si="209"/>
        <v>32827.547529244301</v>
      </c>
      <c r="AK900" s="180"/>
      <c r="AL900" s="180"/>
      <c r="AM900" s="180"/>
      <c r="AN900" s="182" t="s">
        <v>672</v>
      </c>
      <c r="AO900" s="180">
        <f t="shared" si="210"/>
        <v>148769</v>
      </c>
      <c r="AP900" s="180">
        <f t="shared" si="211"/>
        <v>18920</v>
      </c>
      <c r="AQ900" s="180">
        <f t="shared" si="212"/>
        <v>19806</v>
      </c>
      <c r="AR900" s="180">
        <f t="shared" si="213"/>
        <v>32501</v>
      </c>
      <c r="AS900" s="180">
        <f>((F874-$F874)*(('[3]Lake Pleasant Forecast'!B41-1526.8)/0.7702))/1000</f>
        <v>0</v>
      </c>
      <c r="AT900" s="180">
        <f t="shared" si="214"/>
        <v>219996</v>
      </c>
      <c r="AU900" s="304"/>
      <c r="AW900" s="180">
        <f t="shared" si="203"/>
        <v>12778</v>
      </c>
      <c r="AX900" s="203">
        <v>2.4700000000000002</v>
      </c>
    </row>
    <row r="901" spans="1:50" ht="15.75" customHeight="1" x14ac:dyDescent="0.3">
      <c r="A901" s="192" t="s">
        <v>9</v>
      </c>
      <c r="B901" s="180">
        <f t="shared" ref="B901:Q901" si="216">(B872/$C$10/1.983)</f>
        <v>1211.6382105035661</v>
      </c>
      <c r="C901" s="180">
        <f t="shared" si="216"/>
        <v>1208.9726964916072</v>
      </c>
      <c r="D901" s="180">
        <f t="shared" si="216"/>
        <v>1206.36121316908</v>
      </c>
      <c r="E901" s="180">
        <f t="shared" si="216"/>
        <v>1183.6683236078093</v>
      </c>
      <c r="F901" s="180">
        <f t="shared" si="216"/>
        <v>0</v>
      </c>
      <c r="G901" s="180">
        <f t="shared" si="216"/>
        <v>-144.08183848425907</v>
      </c>
      <c r="H901" s="180">
        <f t="shared" si="216"/>
        <v>877.26028384122174</v>
      </c>
      <c r="I901" s="180">
        <f t="shared" si="216"/>
        <v>346.44478063540089</v>
      </c>
      <c r="J901" s="180">
        <f t="shared" si="216"/>
        <v>333.36935379295437</v>
      </c>
      <c r="K901" s="180">
        <f t="shared" si="216"/>
        <v>328.09235645846843</v>
      </c>
      <c r="L901" s="180">
        <f t="shared" si="216"/>
        <v>285.1739788199697</v>
      </c>
      <c r="M901" s="180">
        <f t="shared" si="216"/>
        <v>284.77775376413797</v>
      </c>
      <c r="N901" s="180">
        <f t="shared" si="216"/>
        <v>271.07196887832288</v>
      </c>
      <c r="O901" s="180">
        <f t="shared" si="216"/>
        <v>88.196095382177077</v>
      </c>
      <c r="P901" s="180">
        <f t="shared" si="216"/>
        <v>50.098455922964234</v>
      </c>
      <c r="Q901" s="180">
        <f t="shared" si="216"/>
        <v>88.142064692745464</v>
      </c>
      <c r="R901" s="306"/>
      <c r="AC901" s="189" t="s">
        <v>673</v>
      </c>
      <c r="AD901" s="180">
        <f t="shared" si="204"/>
        <v>10527</v>
      </c>
      <c r="AE901" s="180">
        <f t="shared" si="205"/>
        <v>1342</v>
      </c>
      <c r="AF901" s="180">
        <f t="shared" si="206"/>
        <v>1408</v>
      </c>
      <c r="AG901" s="180">
        <f t="shared" si="207"/>
        <v>2409</v>
      </c>
      <c r="AH901" s="180">
        <f t="shared" si="208"/>
        <v>2374.2977818514059</v>
      </c>
      <c r="AI901" s="180"/>
      <c r="AJ901" s="180">
        <f t="shared" si="209"/>
        <v>18060.297781851405</v>
      </c>
      <c r="AK901" s="180"/>
      <c r="AL901" s="180"/>
      <c r="AM901" s="180"/>
      <c r="AN901" s="182" t="s">
        <v>673</v>
      </c>
      <c r="AO901" s="180">
        <f t="shared" si="210"/>
        <v>162744</v>
      </c>
      <c r="AP901" s="180">
        <f t="shared" si="211"/>
        <v>20695</v>
      </c>
      <c r="AQ901" s="180">
        <f t="shared" si="212"/>
        <v>21661</v>
      </c>
      <c r="AR901" s="180">
        <f t="shared" si="213"/>
        <v>35676</v>
      </c>
      <c r="AS901" s="180">
        <f>((F875-$F875)*(('[3]Lake Pleasant Forecast'!B43-1526.8)/0.7702))/1000</f>
        <v>0</v>
      </c>
      <c r="AT901" s="180">
        <f t="shared" si="214"/>
        <v>240776</v>
      </c>
      <c r="AU901" s="304"/>
      <c r="AW901" s="180">
        <f t="shared" si="203"/>
        <v>5363</v>
      </c>
      <c r="AX901" s="203">
        <v>2.4700000000000002</v>
      </c>
    </row>
    <row r="902" spans="1:50" ht="15.75" customHeight="1" x14ac:dyDescent="0.3">
      <c r="A902" s="192" t="s">
        <v>10</v>
      </c>
      <c r="B902" s="180">
        <f t="shared" ref="B902:Q902" si="217">(B873/$D$10/1.983)</f>
        <v>2942.4788118360907</v>
      </c>
      <c r="C902" s="180">
        <f t="shared" si="217"/>
        <v>2938.0215704455613</v>
      </c>
      <c r="D902" s="180">
        <f t="shared" si="217"/>
        <v>2933.7758040115173</v>
      </c>
      <c r="E902" s="180">
        <f t="shared" si="217"/>
        <v>2856.1644949815368</v>
      </c>
      <c r="F902" s="180">
        <f t="shared" si="217"/>
        <v>910.96904331983148</v>
      </c>
      <c r="G902" s="180">
        <f t="shared" si="217"/>
        <v>0</v>
      </c>
      <c r="H902" s="180">
        <f t="shared" si="217"/>
        <v>1375.0264343695605</v>
      </c>
      <c r="I902" s="180">
        <f t="shared" si="217"/>
        <v>537.04878564573062</v>
      </c>
      <c r="J902" s="180">
        <f t="shared" si="217"/>
        <v>435.86615261984934</v>
      </c>
      <c r="K902" s="180">
        <f t="shared" si="217"/>
        <v>373.79011923934087</v>
      </c>
      <c r="L902" s="180">
        <f t="shared" si="217"/>
        <v>322.23903177004536</v>
      </c>
      <c r="M902" s="180">
        <f t="shared" si="217"/>
        <v>321.78354724838545</v>
      </c>
      <c r="N902" s="180">
        <f t="shared" si="217"/>
        <v>307.72859629430809</v>
      </c>
      <c r="O902" s="180">
        <f t="shared" si="217"/>
        <v>72.161762074406653</v>
      </c>
      <c r="P902" s="180">
        <f t="shared" si="217"/>
        <v>74.092148856679628</v>
      </c>
      <c r="Q902" s="180">
        <f t="shared" si="217"/>
        <v>72.08042555268166</v>
      </c>
      <c r="R902" s="306"/>
      <c r="AC902" s="189" t="s">
        <v>675</v>
      </c>
      <c r="AD902" s="180">
        <f t="shared" si="204"/>
        <v>0</v>
      </c>
      <c r="AE902" s="180">
        <f t="shared" si="205"/>
        <v>0</v>
      </c>
      <c r="AF902" s="180">
        <f t="shared" si="206"/>
        <v>0</v>
      </c>
      <c r="AG902" s="180">
        <f t="shared" si="207"/>
        <v>0</v>
      </c>
      <c r="AH902" s="180">
        <f t="shared" si="208"/>
        <v>0</v>
      </c>
      <c r="AI902" s="180"/>
      <c r="AJ902" s="180">
        <f t="shared" si="209"/>
        <v>0</v>
      </c>
      <c r="AK902" s="180"/>
      <c r="AL902" s="180"/>
      <c r="AM902" s="180"/>
      <c r="AN902" s="182" t="s">
        <v>675</v>
      </c>
      <c r="AO902" s="180">
        <f t="shared" si="210"/>
        <v>80634</v>
      </c>
      <c r="AP902" s="180">
        <f t="shared" si="211"/>
        <v>10228</v>
      </c>
      <c r="AQ902" s="180">
        <f t="shared" si="212"/>
        <v>10681</v>
      </c>
      <c r="AR902" s="180">
        <f t="shared" si="213"/>
        <v>17001</v>
      </c>
      <c r="AS902" s="180">
        <f>((F876-$F876)*(('[3]Lake Pleasant Forecast'!B45-1526.8)/0.7702))/1000</f>
        <v>0</v>
      </c>
      <c r="AT902" s="180">
        <f t="shared" si="214"/>
        <v>118544</v>
      </c>
      <c r="AU902" s="304"/>
      <c r="AW902" s="180">
        <f t="shared" si="203"/>
        <v>4790</v>
      </c>
      <c r="AX902" s="203">
        <v>2.4700000000000002</v>
      </c>
    </row>
    <row r="903" spans="1:50" ht="15.75" customHeight="1" x14ac:dyDescent="0.3">
      <c r="A903" s="192" t="s">
        <v>12</v>
      </c>
      <c r="B903" s="180">
        <f t="shared" ref="B903:Q903" si="218">(B874/$F$10/1.983)</f>
        <v>2949.2855942175156</v>
      </c>
      <c r="C903" s="180">
        <f t="shared" si="218"/>
        <v>2943.1164901664142</v>
      </c>
      <c r="D903" s="180">
        <f t="shared" si="218"/>
        <v>2937.2331484283072</v>
      </c>
      <c r="E903" s="180">
        <f t="shared" si="218"/>
        <v>2830.8455202555051</v>
      </c>
      <c r="F903" s="180">
        <f t="shared" si="218"/>
        <v>336.19095646327111</v>
      </c>
      <c r="G903" s="180">
        <f t="shared" si="218"/>
        <v>0</v>
      </c>
      <c r="H903" s="180">
        <f t="shared" si="218"/>
        <v>1798.1341401916286</v>
      </c>
      <c r="I903" s="180">
        <f t="shared" si="218"/>
        <v>720.27231467473518</v>
      </c>
      <c r="J903" s="180">
        <f t="shared" si="218"/>
        <v>484.26626323751884</v>
      </c>
      <c r="K903" s="180">
        <f t="shared" si="218"/>
        <v>397.00790048747689</v>
      </c>
      <c r="L903" s="180">
        <f t="shared" si="218"/>
        <v>331.66918809884015</v>
      </c>
      <c r="M903" s="180">
        <f t="shared" si="218"/>
        <v>331.04723482938311</v>
      </c>
      <c r="N903" s="180">
        <f t="shared" si="218"/>
        <v>313.09463775424439</v>
      </c>
      <c r="O903" s="180">
        <f t="shared" si="218"/>
        <v>74.567154143553537</v>
      </c>
      <c r="P903" s="180">
        <f t="shared" si="218"/>
        <v>82.215498403092951</v>
      </c>
      <c r="Q903" s="180">
        <f t="shared" si="218"/>
        <v>74.44948730879139</v>
      </c>
      <c r="R903" s="306"/>
      <c r="AC903" s="189" t="s">
        <v>676</v>
      </c>
      <c r="AD903" s="180">
        <f t="shared" si="204"/>
        <v>0</v>
      </c>
      <c r="AE903" s="180">
        <f t="shared" si="205"/>
        <v>0</v>
      </c>
      <c r="AF903" s="180">
        <f t="shared" si="206"/>
        <v>0</v>
      </c>
      <c r="AG903" s="180">
        <f t="shared" si="207"/>
        <v>0</v>
      </c>
      <c r="AH903" s="180">
        <f t="shared" si="208"/>
        <v>0</v>
      </c>
      <c r="AI903" s="180"/>
      <c r="AJ903" s="180">
        <f t="shared" si="209"/>
        <v>0</v>
      </c>
      <c r="AK903" s="180"/>
      <c r="AL903" s="180"/>
      <c r="AM903" s="180"/>
      <c r="AN903" s="182" t="s">
        <v>676</v>
      </c>
      <c r="AO903" s="180">
        <f t="shared" si="210"/>
        <v>69229</v>
      </c>
      <c r="AP903" s="180">
        <f t="shared" si="211"/>
        <v>8775</v>
      </c>
      <c r="AQ903" s="180">
        <f t="shared" si="212"/>
        <v>9156</v>
      </c>
      <c r="AR903" s="180">
        <f t="shared" si="213"/>
        <v>14131</v>
      </c>
      <c r="AS903" s="180">
        <f>((F877-$F877)*(('[3]Lake Pleasant Forecast'!B47-1526.8)/0.7702))/1000</f>
        <v>0</v>
      </c>
      <c r="AT903" s="180">
        <f t="shared" si="214"/>
        <v>101291</v>
      </c>
      <c r="AU903" s="304"/>
      <c r="AW903" s="180">
        <f t="shared" si="203"/>
        <v>4706</v>
      </c>
      <c r="AX903" s="203">
        <v>2.4700000000000002</v>
      </c>
    </row>
    <row r="904" spans="1:50" ht="15.75" customHeight="1" x14ac:dyDescent="0.3">
      <c r="A904" s="192" t="s">
        <v>13</v>
      </c>
      <c r="B904" s="180">
        <f t="shared" ref="B904:Q904" si="219">(B875/$G$10/1.983)</f>
        <v>2945.2930554877753</v>
      </c>
      <c r="C904" s="180">
        <f t="shared" si="219"/>
        <v>2938.3794511411515</v>
      </c>
      <c r="D904" s="180">
        <f t="shared" si="219"/>
        <v>2931.8399947944627</v>
      </c>
      <c r="E904" s="180">
        <f t="shared" si="219"/>
        <v>2828.9492948123566</v>
      </c>
      <c r="F904" s="180">
        <f t="shared" si="219"/>
        <v>178.94034779496687</v>
      </c>
      <c r="G904" s="180">
        <f>(G875/$G$10/1.983)</f>
        <v>0</v>
      </c>
      <c r="H904" s="180">
        <f t="shared" si="219"/>
        <v>1826.9484163779221</v>
      </c>
      <c r="I904" s="180">
        <f t="shared" si="219"/>
        <v>619.44268215314037</v>
      </c>
      <c r="J904" s="180">
        <f t="shared" si="219"/>
        <v>472.5489239178176</v>
      </c>
      <c r="K904" s="180">
        <f t="shared" si="219"/>
        <v>429.29416166447055</v>
      </c>
      <c r="L904" s="180">
        <f t="shared" si="219"/>
        <v>368.99126445756673</v>
      </c>
      <c r="M904" s="180">
        <f t="shared" si="219"/>
        <v>368.30803767507683</v>
      </c>
      <c r="N904" s="180">
        <f t="shared" si="219"/>
        <v>341.12537211458692</v>
      </c>
      <c r="O904" s="180">
        <f t="shared" si="219"/>
        <v>86.62339563710897</v>
      </c>
      <c r="P904" s="180">
        <f t="shared" si="219"/>
        <v>79.351910594895315</v>
      </c>
      <c r="Q904" s="180">
        <f t="shared" si="219"/>
        <v>86.493257202349</v>
      </c>
      <c r="R904" s="306"/>
      <c r="AC904" s="189" t="s">
        <v>691</v>
      </c>
      <c r="AD904" s="180">
        <f t="shared" si="204"/>
        <v>0</v>
      </c>
      <c r="AE904" s="180">
        <f t="shared" si="205"/>
        <v>0</v>
      </c>
      <c r="AF904" s="180">
        <f t="shared" si="206"/>
        <v>0</v>
      </c>
      <c r="AG904" s="180">
        <f t="shared" si="207"/>
        <v>0</v>
      </c>
      <c r="AH904" s="180">
        <f t="shared" si="208"/>
        <v>0</v>
      </c>
      <c r="AI904" s="180"/>
      <c r="AJ904" s="180">
        <f t="shared" si="209"/>
        <v>0</v>
      </c>
      <c r="AK904" s="180"/>
      <c r="AL904" s="180"/>
      <c r="AM904" s="180"/>
      <c r="AN904" s="182" t="s">
        <v>691</v>
      </c>
      <c r="AO904" s="180">
        <f t="shared" si="210"/>
        <v>68257</v>
      </c>
      <c r="AP904" s="180">
        <f t="shared" si="211"/>
        <v>8661</v>
      </c>
      <c r="AQ904" s="180">
        <f t="shared" si="212"/>
        <v>9046</v>
      </c>
      <c r="AR904" s="180">
        <f t="shared" si="213"/>
        <v>14148</v>
      </c>
      <c r="AS904" s="180">
        <f>((F878-$F878)*(('[3]Lake Pleasant Forecast'!B49-1526.8)/0.7702))/1000</f>
        <v>0</v>
      </c>
      <c r="AT904" s="180">
        <f t="shared" si="214"/>
        <v>100112</v>
      </c>
      <c r="AU904" s="304"/>
      <c r="AW904" s="180"/>
      <c r="AX904" s="203"/>
    </row>
    <row r="905" spans="1:50" ht="15.75" customHeight="1" x14ac:dyDescent="0.3">
      <c r="A905" s="192" t="s">
        <v>14</v>
      </c>
      <c r="B905" s="180">
        <f t="shared" ref="B905:Q905" si="220">(B876/$H$10/1.983)</f>
        <v>1416.3220709362918</v>
      </c>
      <c r="C905" s="180">
        <f t="shared" si="220"/>
        <v>1409.3124894940324</v>
      </c>
      <c r="D905" s="180">
        <f t="shared" si="220"/>
        <v>1402.6559085560598</v>
      </c>
      <c r="E905" s="180">
        <f t="shared" si="220"/>
        <v>1304.9588166078331</v>
      </c>
      <c r="F905" s="180">
        <f t="shared" si="220"/>
        <v>0</v>
      </c>
      <c r="G905" s="180">
        <f t="shared" si="220"/>
        <v>-1865.8598083711547</v>
      </c>
      <c r="H905" s="180">
        <f t="shared" si="220"/>
        <v>2358.3123213985546</v>
      </c>
      <c r="I905" s="180">
        <f t="shared" si="220"/>
        <v>653.84098167759282</v>
      </c>
      <c r="J905" s="180">
        <f t="shared" si="220"/>
        <v>495.61270801815425</v>
      </c>
      <c r="K905" s="180">
        <f t="shared" si="220"/>
        <v>404.68986384266259</v>
      </c>
      <c r="L905" s="180">
        <f t="shared" si="220"/>
        <v>358.58127416372503</v>
      </c>
      <c r="M905" s="180">
        <f t="shared" si="220"/>
        <v>357.8416540595058</v>
      </c>
      <c r="N905" s="180">
        <f t="shared" si="220"/>
        <v>327.21465792570177</v>
      </c>
      <c r="O905" s="180">
        <f t="shared" si="220"/>
        <v>76.786014456211149</v>
      </c>
      <c r="P905" s="180">
        <f t="shared" si="220"/>
        <v>96.540034739732164</v>
      </c>
      <c r="Q905" s="180">
        <f t="shared" si="220"/>
        <v>76.634728525802657</v>
      </c>
      <c r="R905" s="306"/>
      <c r="AC905" s="189" t="s">
        <v>692</v>
      </c>
      <c r="AD905" s="180">
        <f t="shared" si="204"/>
        <v>0</v>
      </c>
      <c r="AE905" s="180">
        <f t="shared" si="205"/>
        <v>0</v>
      </c>
      <c r="AF905" s="180">
        <f t="shared" si="206"/>
        <v>0</v>
      </c>
      <c r="AG905" s="180">
        <f t="shared" si="207"/>
        <v>0</v>
      </c>
      <c r="AH905" s="180">
        <f t="shared" si="208"/>
        <v>0</v>
      </c>
      <c r="AI905" s="180"/>
      <c r="AJ905" s="180">
        <f t="shared" si="209"/>
        <v>0</v>
      </c>
      <c r="AK905" s="180"/>
      <c r="AL905" s="180"/>
      <c r="AM905" s="180"/>
      <c r="AN905" s="182" t="s">
        <v>692</v>
      </c>
      <c r="AO905" s="180">
        <f t="shared" si="210"/>
        <v>132110</v>
      </c>
      <c r="AP905" s="180">
        <f t="shared" si="211"/>
        <v>16803</v>
      </c>
      <c r="AQ905" s="180">
        <f t="shared" si="212"/>
        <v>17591</v>
      </c>
      <c r="AR905" s="180">
        <f t="shared" si="213"/>
        <v>29118</v>
      </c>
      <c r="AS905" s="180">
        <f>((F879-$F879)*(('[3]Lake Pleasant Forecast'!B51-1526.8)/0.7702))/1000</f>
        <v>0</v>
      </c>
      <c r="AT905" s="180">
        <f t="shared" si="214"/>
        <v>195622</v>
      </c>
      <c r="AU905" s="304"/>
      <c r="AW905" s="180">
        <f>(SUM(AW892:AW903))</f>
        <v>133059</v>
      </c>
      <c r="AX905" s="203"/>
    </row>
    <row r="906" spans="1:50" ht="15.75" customHeight="1" x14ac:dyDescent="0.3">
      <c r="A906" s="192" t="s">
        <v>16</v>
      </c>
      <c r="B906" s="180">
        <f t="shared" ref="B906:Q906" si="221">(B877/$J$10/1.983)</f>
        <v>1176.7767963170822</v>
      </c>
      <c r="C906" s="180">
        <f t="shared" si="221"/>
        <v>1170.0095977095634</v>
      </c>
      <c r="D906" s="180">
        <f t="shared" si="221"/>
        <v>1163.6002797976348</v>
      </c>
      <c r="E906" s="180">
        <f t="shared" si="221"/>
        <v>1049.6478128609308</v>
      </c>
      <c r="F906" s="180">
        <f t="shared" si="221"/>
        <v>0</v>
      </c>
      <c r="G906" s="180">
        <f t="shared" si="221"/>
        <v>-1870.7399996746537</v>
      </c>
      <c r="H906" s="180">
        <f t="shared" si="221"/>
        <v>2178.6638036211016</v>
      </c>
      <c r="I906" s="180">
        <f t="shared" si="221"/>
        <v>715.85899500593746</v>
      </c>
      <c r="J906" s="180">
        <f t="shared" si="221"/>
        <v>512.98944251948012</v>
      </c>
      <c r="K906" s="180">
        <f t="shared" si="221"/>
        <v>435.70347957639939</v>
      </c>
      <c r="L906" s="180">
        <f t="shared" si="221"/>
        <v>364.64789419745256</v>
      </c>
      <c r="M906" s="180">
        <f t="shared" si="221"/>
        <v>364.01346932799765</v>
      </c>
      <c r="N906" s="180">
        <f t="shared" si="221"/>
        <v>326.28959055194963</v>
      </c>
      <c r="O906" s="180">
        <f t="shared" si="221"/>
        <v>68.5829551185073</v>
      </c>
      <c r="P906" s="180">
        <f t="shared" si="221"/>
        <v>90.679376853794878</v>
      </c>
      <c r="Q906" s="180">
        <f t="shared" si="221"/>
        <v>68.469083988092336</v>
      </c>
      <c r="R906" s="306"/>
      <c r="AC906" s="189" t="s">
        <v>693</v>
      </c>
      <c r="AD906" s="180">
        <f t="shared" si="204"/>
        <v>37323</v>
      </c>
      <c r="AE906" s="180">
        <f t="shared" si="205"/>
        <v>4758</v>
      </c>
      <c r="AF906" s="180">
        <f t="shared" si="206"/>
        <v>4992</v>
      </c>
      <c r="AG906" s="180">
        <f t="shared" si="207"/>
        <v>8541</v>
      </c>
      <c r="AH906" s="180">
        <f t="shared" si="208"/>
        <v>6537.8183129611134</v>
      </c>
      <c r="AI906" s="180"/>
      <c r="AJ906" s="180">
        <f t="shared" si="209"/>
        <v>62151.818312961113</v>
      </c>
      <c r="AK906" s="180"/>
      <c r="AL906" s="180"/>
      <c r="AM906" s="180"/>
      <c r="AN906" s="182" t="s">
        <v>693</v>
      </c>
      <c r="AO906" s="180">
        <f t="shared" si="210"/>
        <v>89029</v>
      </c>
      <c r="AP906" s="180">
        <f t="shared" si="211"/>
        <v>11315</v>
      </c>
      <c r="AQ906" s="180">
        <f t="shared" si="212"/>
        <v>11836</v>
      </c>
      <c r="AR906" s="180">
        <f t="shared" si="213"/>
        <v>19678</v>
      </c>
      <c r="AS906" s="180">
        <f>((F880-$F880)*(('[3]Lake Pleasant Forecast'!B53-1526.8)/0.7702))/1000</f>
        <v>0</v>
      </c>
      <c r="AT906" s="180">
        <f t="shared" si="214"/>
        <v>131858</v>
      </c>
      <c r="AU906" s="304"/>
    </row>
    <row r="907" spans="1:50" ht="15.75" customHeight="1" x14ac:dyDescent="0.3">
      <c r="A907" s="192" t="s">
        <v>17</v>
      </c>
      <c r="B907" s="180">
        <f t="shared" ref="B907:Q907" si="222">(B878/$K$10/1.983)</f>
        <v>1160.2492151025654</v>
      </c>
      <c r="C907" s="180">
        <f t="shared" si="222"/>
        <v>1154.8159354513364</v>
      </c>
      <c r="D907" s="180">
        <f t="shared" si="222"/>
        <v>1149.642932669627</v>
      </c>
      <c r="E907" s="180">
        <f t="shared" si="222"/>
        <v>1050.9003952954956</v>
      </c>
      <c r="F907" s="180">
        <f t="shared" si="222"/>
        <v>0</v>
      </c>
      <c r="G907" s="180">
        <f t="shared" si="222"/>
        <v>-1610.463130154702</v>
      </c>
      <c r="H907" s="180">
        <f t="shared" si="222"/>
        <v>1803.9952499471312</v>
      </c>
      <c r="I907" s="180">
        <f t="shared" si="222"/>
        <v>653.21360597335411</v>
      </c>
      <c r="J907" s="180">
        <f t="shared" si="222"/>
        <v>469.10025539667822</v>
      </c>
      <c r="K907" s="180">
        <f t="shared" si="222"/>
        <v>404.94200706001004</v>
      </c>
      <c r="L907" s="180">
        <f t="shared" si="222"/>
        <v>339.14076098449726</v>
      </c>
      <c r="M907" s="180">
        <f t="shared" si="222"/>
        <v>338.55513802807735</v>
      </c>
      <c r="N907" s="180">
        <f t="shared" si="222"/>
        <v>306.55735038146827</v>
      </c>
      <c r="O907" s="180">
        <f t="shared" si="222"/>
        <v>67.606916857807491</v>
      </c>
      <c r="P907" s="180">
        <f t="shared" si="222"/>
        <v>79.140435638410352</v>
      </c>
      <c r="Q907" s="180">
        <f t="shared" si="222"/>
        <v>67.509313031737506</v>
      </c>
      <c r="R907" s="306"/>
      <c r="AC907" s="189" t="s">
        <v>694</v>
      </c>
      <c r="AD907" s="180">
        <f t="shared" si="204"/>
        <v>65076</v>
      </c>
      <c r="AE907" s="180">
        <f t="shared" si="205"/>
        <v>8296</v>
      </c>
      <c r="AF907" s="180">
        <f t="shared" si="206"/>
        <v>8704</v>
      </c>
      <c r="AG907" s="180">
        <f t="shared" si="207"/>
        <v>14892</v>
      </c>
      <c r="AH907" s="180">
        <f t="shared" si="208"/>
        <v>12235.873076875914</v>
      </c>
      <c r="AI907" s="180"/>
      <c r="AJ907" s="180">
        <f t="shared" si="209"/>
        <v>109203.87307687591</v>
      </c>
      <c r="AK907" s="180"/>
      <c r="AL907" s="180"/>
      <c r="AM907" s="180"/>
      <c r="AN907" s="182" t="s">
        <v>694</v>
      </c>
      <c r="AO907" s="180">
        <f t="shared" si="210"/>
        <v>56801</v>
      </c>
      <c r="AP907" s="180">
        <f t="shared" si="211"/>
        <v>7212</v>
      </c>
      <c r="AQ907" s="180">
        <f t="shared" si="212"/>
        <v>7538</v>
      </c>
      <c r="AR907" s="180">
        <f t="shared" si="213"/>
        <v>12696</v>
      </c>
      <c r="AS907" s="180">
        <f>((F881-$F881)*(('[3]Lake Pleasant Forecast'!B55-1526.8)/0.7702))/1000</f>
        <v>0</v>
      </c>
      <c r="AT907" s="180">
        <f t="shared" si="214"/>
        <v>84247</v>
      </c>
      <c r="AU907" s="304"/>
    </row>
    <row r="908" spans="1:50" ht="15.75" customHeight="1" x14ac:dyDescent="0.3">
      <c r="A908" s="192" t="s">
        <v>18</v>
      </c>
      <c r="B908" s="180">
        <f t="shared" ref="B908:Q908" si="223">(B879/$L$10/1.983)</f>
        <v>2320.4908387964365</v>
      </c>
      <c r="C908" s="180">
        <f t="shared" si="223"/>
        <v>2315.1790216843165</v>
      </c>
      <c r="D908" s="180">
        <f t="shared" si="223"/>
        <v>2310.119347789544</v>
      </c>
      <c r="E908" s="180">
        <f t="shared" si="223"/>
        <v>2234.9974785678264</v>
      </c>
      <c r="F908" s="180">
        <f t="shared" si="223"/>
        <v>0</v>
      </c>
      <c r="G908" s="180">
        <f t="shared" si="223"/>
        <v>0</v>
      </c>
      <c r="H908" s="180">
        <f t="shared" si="223"/>
        <v>1488.8888888888889</v>
      </c>
      <c r="I908" s="180">
        <f t="shared" si="223"/>
        <v>486.33383761976802</v>
      </c>
      <c r="J908" s="180">
        <f t="shared" si="223"/>
        <v>410.42191965036142</v>
      </c>
      <c r="K908" s="180">
        <f t="shared" si="223"/>
        <v>356.96755757270125</v>
      </c>
      <c r="L908" s="180">
        <f t="shared" si="223"/>
        <v>315.6328794755421</v>
      </c>
      <c r="M908" s="180">
        <f t="shared" si="223"/>
        <v>315.0613548495545</v>
      </c>
      <c r="N908" s="180">
        <f t="shared" si="223"/>
        <v>298.05009245251301</v>
      </c>
      <c r="O908" s="180">
        <f t="shared" si="223"/>
        <v>75.693393847705494</v>
      </c>
      <c r="P908" s="180">
        <f t="shared" si="223"/>
        <v>67.989017762088864</v>
      </c>
      <c r="Q908" s="180">
        <f t="shared" si="223"/>
        <v>75.592536560766519</v>
      </c>
      <c r="R908" s="306"/>
      <c r="AC908" s="189" t="s">
        <v>695</v>
      </c>
      <c r="AD908" s="180">
        <f t="shared" si="204"/>
        <v>60291</v>
      </c>
      <c r="AE908" s="180">
        <f t="shared" si="205"/>
        <v>7686</v>
      </c>
      <c r="AF908" s="180">
        <f t="shared" si="206"/>
        <v>8064</v>
      </c>
      <c r="AG908" s="180">
        <f t="shared" si="207"/>
        <v>13797</v>
      </c>
      <c r="AH908" s="180">
        <f t="shared" si="208"/>
        <v>12017.739724881199</v>
      </c>
      <c r="AI908" s="180"/>
      <c r="AJ908" s="180">
        <f t="shared" si="209"/>
        <v>101855.7397248812</v>
      </c>
      <c r="AK908" s="180"/>
      <c r="AL908" s="180"/>
      <c r="AM908" s="180"/>
      <c r="AN908" s="182" t="s">
        <v>695</v>
      </c>
      <c r="AO908" s="180">
        <f t="shared" si="210"/>
        <v>65935</v>
      </c>
      <c r="AP908" s="180">
        <f t="shared" si="211"/>
        <v>8383</v>
      </c>
      <c r="AQ908" s="180">
        <f t="shared" si="212"/>
        <v>8772</v>
      </c>
      <c r="AR908" s="180">
        <f t="shared" si="213"/>
        <v>14758</v>
      </c>
      <c r="AS908" s="180">
        <f>((F882-$F882)*(('[3]Lake Pleasant Forecast'!B57-1526.8)/0.7702))/1000</f>
        <v>0</v>
      </c>
      <c r="AT908" s="180">
        <f t="shared" si="214"/>
        <v>97848</v>
      </c>
      <c r="AU908" s="304"/>
    </row>
    <row r="909" spans="1:50" ht="15.75" customHeight="1" x14ac:dyDescent="0.3">
      <c r="A909" s="192" t="s">
        <v>20</v>
      </c>
      <c r="B909" s="180">
        <f t="shared" ref="B909:Q909" si="224">(B880/$N$10/1.983)</f>
        <v>2147.7559253656077</v>
      </c>
      <c r="C909" s="180">
        <f t="shared" si="224"/>
        <v>2143.1197436272837</v>
      </c>
      <c r="D909" s="180">
        <f t="shared" si="224"/>
        <v>2138.6950368454441</v>
      </c>
      <c r="E909" s="180">
        <f t="shared" si="224"/>
        <v>2096.1235013745872</v>
      </c>
      <c r="F909" s="180">
        <f t="shared" si="224"/>
        <v>634.42486945488258</v>
      </c>
      <c r="G909" s="180">
        <f t="shared" si="224"/>
        <v>0</v>
      </c>
      <c r="H909" s="180">
        <f t="shared" si="224"/>
        <v>949.18094122622938</v>
      </c>
      <c r="I909" s="180">
        <f t="shared" si="224"/>
        <v>147.21910432222276</v>
      </c>
      <c r="J909" s="180">
        <f t="shared" si="224"/>
        <v>128.5442389341662</v>
      </c>
      <c r="K909" s="180">
        <f t="shared" si="224"/>
        <v>117.09205667528833</v>
      </c>
      <c r="L909" s="180">
        <f t="shared" si="224"/>
        <v>97.06700502659703</v>
      </c>
      <c r="M909" s="180">
        <f t="shared" si="224"/>
        <v>96.595253200592126</v>
      </c>
      <c r="N909" s="180">
        <f t="shared" si="224"/>
        <v>89.860589201763375</v>
      </c>
      <c r="O909" s="180">
        <f t="shared" si="224"/>
        <v>37.284661558733092</v>
      </c>
      <c r="P909" s="180">
        <f t="shared" si="224"/>
        <v>58.394200163757532</v>
      </c>
      <c r="Q909" s="180">
        <f t="shared" si="224"/>
        <v>37.203325037008121</v>
      </c>
      <c r="R909" s="306"/>
      <c r="AC909" s="179"/>
      <c r="AD909" s="180"/>
      <c r="AE909" s="180"/>
      <c r="AF909" s="180"/>
      <c r="AG909" s="180"/>
      <c r="AH909" s="180"/>
      <c r="AI909" s="180"/>
      <c r="AJ909" s="180"/>
      <c r="AK909" s="180"/>
      <c r="AL909" s="180"/>
      <c r="AM909" s="180"/>
      <c r="AN909" s="180"/>
      <c r="AO909" s="180"/>
      <c r="AP909" s="180"/>
      <c r="AQ909" s="180"/>
      <c r="AR909" s="180"/>
      <c r="AS909" s="180"/>
      <c r="AT909" s="180"/>
      <c r="AU909" s="304"/>
    </row>
    <row r="910" spans="1:50" ht="15.75" customHeight="1" thickBot="1" x14ac:dyDescent="0.35">
      <c r="A910" s="192" t="s">
        <v>21</v>
      </c>
      <c r="B910" s="180">
        <f t="shared" ref="B910:Q910" si="225">(B881/$O$10/1.983)</f>
        <v>2140.7463439233484</v>
      </c>
      <c r="C910" s="180">
        <f t="shared" si="225"/>
        <v>2136.7961001849048</v>
      </c>
      <c r="D910" s="180">
        <f t="shared" si="225"/>
        <v>2132.9971423768702</v>
      </c>
      <c r="E910" s="180">
        <f t="shared" si="225"/>
        <v>2117.5659774752057</v>
      </c>
      <c r="F910" s="180">
        <f t="shared" si="225"/>
        <v>1143.0492519751217</v>
      </c>
      <c r="G910" s="180">
        <f t="shared" si="225"/>
        <v>0</v>
      </c>
      <c r="H910" s="180">
        <f t="shared" si="225"/>
        <v>510.16977643301391</v>
      </c>
      <c r="I910" s="180">
        <f t="shared" si="225"/>
        <v>142.83072785342074</v>
      </c>
      <c r="J910" s="180">
        <f t="shared" si="225"/>
        <v>128.15599260379895</v>
      </c>
      <c r="K910" s="180">
        <f t="shared" si="225"/>
        <v>125.83627500420238</v>
      </c>
      <c r="L910" s="180">
        <f t="shared" si="225"/>
        <v>96.469994957135654</v>
      </c>
      <c r="M910" s="180">
        <f t="shared" si="225"/>
        <v>96.083375357202883</v>
      </c>
      <c r="N910" s="180">
        <f t="shared" si="225"/>
        <v>94.217515548831742</v>
      </c>
      <c r="O910" s="180">
        <f t="shared" si="225"/>
        <v>22.507984535216</v>
      </c>
      <c r="P910" s="180">
        <f t="shared" si="225"/>
        <v>63.603967053286269</v>
      </c>
      <c r="Q910" s="180">
        <f t="shared" si="225"/>
        <v>22.457555891746509</v>
      </c>
      <c r="R910" s="306"/>
      <c r="AC910" s="204" t="s">
        <v>641</v>
      </c>
      <c r="AD910" s="195">
        <f>SUM(AD897:AD908)</f>
        <v>314853</v>
      </c>
      <c r="AE910" s="195">
        <f>SUM(AE897:AE908)</f>
        <v>40138</v>
      </c>
      <c r="AF910" s="195">
        <f>SUM(AF897:AF908)</f>
        <v>42112</v>
      </c>
      <c r="AG910" s="195">
        <f>SUM(AG897:AG908)</f>
        <v>72051</v>
      </c>
      <c r="AH910" s="195">
        <f>SUM(AH897:AH908)</f>
        <v>64220.961820429235</v>
      </c>
      <c r="AI910" s="195"/>
      <c r="AJ910" s="195">
        <f>SUM(AJ897:AJ908)</f>
        <v>533374.96182042931</v>
      </c>
      <c r="AK910" s="195"/>
      <c r="AL910" s="195"/>
      <c r="AM910" s="195"/>
      <c r="AN910" s="205" t="s">
        <v>641</v>
      </c>
      <c r="AO910" s="195">
        <f t="shared" ref="AO910:AT910" si="226">SUM(AO897:AO908)</f>
        <v>1121336</v>
      </c>
      <c r="AP910" s="195">
        <f t="shared" si="226"/>
        <v>142521</v>
      </c>
      <c r="AQ910" s="195">
        <f t="shared" si="226"/>
        <v>149104</v>
      </c>
      <c r="AR910" s="195">
        <f t="shared" si="226"/>
        <v>244576</v>
      </c>
      <c r="AS910" s="195">
        <f t="shared" si="226"/>
        <v>0</v>
      </c>
      <c r="AT910" s="195">
        <f t="shared" si="226"/>
        <v>1657537</v>
      </c>
      <c r="AU910" s="136"/>
    </row>
    <row r="911" spans="1:50" ht="15.75" customHeight="1" thickBot="1" x14ac:dyDescent="0.35">
      <c r="A911" s="206" t="s">
        <v>22</v>
      </c>
      <c r="B911" s="195">
        <f t="shared" ref="B911:Q911" si="227">(B882/$P$10/1.983)</f>
        <v>2145.6249084964129</v>
      </c>
      <c r="C911" s="195">
        <f t="shared" si="227"/>
        <v>2142.5991898882435</v>
      </c>
      <c r="D911" s="195">
        <f t="shared" si="227"/>
        <v>2139.6873424104892</v>
      </c>
      <c r="E911" s="195">
        <f t="shared" si="227"/>
        <v>2121.0775462398124</v>
      </c>
      <c r="F911" s="195">
        <f t="shared" si="227"/>
        <v>1024.8401737348104</v>
      </c>
      <c r="G911" s="195">
        <f t="shared" si="227"/>
        <v>0</v>
      </c>
      <c r="H911" s="195">
        <f t="shared" si="227"/>
        <v>732.82579343776945</v>
      </c>
      <c r="I911" s="195">
        <f t="shared" si="227"/>
        <v>139.60600588876414</v>
      </c>
      <c r="J911" s="195">
        <f t="shared" si="227"/>
        <v>122.70427667431228</v>
      </c>
      <c r="K911" s="195">
        <f t="shared" si="227"/>
        <v>120.45938867470271</v>
      </c>
      <c r="L911" s="195">
        <f t="shared" si="227"/>
        <v>101.37784067802124</v>
      </c>
      <c r="M911" s="195">
        <f t="shared" si="227"/>
        <v>101.0687618954663</v>
      </c>
      <c r="N911" s="195">
        <f t="shared" si="227"/>
        <v>95.228799635612376</v>
      </c>
      <c r="O911" s="195">
        <f t="shared" si="227"/>
        <v>19.488230605306395</v>
      </c>
      <c r="P911" s="195">
        <f t="shared" si="227"/>
        <v>53.587753973289082</v>
      </c>
      <c r="Q911" s="195">
        <f t="shared" si="227"/>
        <v>19.455695996616399</v>
      </c>
      <c r="R911" s="196"/>
    </row>
    <row r="912" spans="1:50" ht="15.75" customHeight="1" x14ac:dyDescent="0.3">
      <c r="R912" s="174"/>
      <c r="AC912" s="207"/>
      <c r="AD912" s="387" t="s">
        <v>715</v>
      </c>
      <c r="AE912" s="393"/>
      <c r="AF912" s="393"/>
      <c r="AG912" s="393"/>
      <c r="AH912" s="393"/>
      <c r="AI912" s="393"/>
      <c r="AJ912" s="393"/>
      <c r="AK912" s="393"/>
      <c r="AL912" s="393"/>
      <c r="AM912" s="393"/>
      <c r="AN912" s="393"/>
      <c r="AO912" s="393"/>
      <c r="AP912" s="393"/>
      <c r="AQ912" s="393"/>
      <c r="AR912" s="177" t="str">
        <f>$Q$1</f>
        <v xml:space="preserve">PRINTED:  </v>
      </c>
      <c r="AS912" s="208">
        <f ca="1">$R$1</f>
        <v>44894.658168518516</v>
      </c>
    </row>
    <row r="913" spans="1:48" ht="15.75" customHeight="1" x14ac:dyDescent="0.3">
      <c r="R913" s="180"/>
      <c r="AC913" s="95"/>
      <c r="AD913" s="394" t="str">
        <f>+$A$8</f>
        <v>Revised:  12/8/2016</v>
      </c>
      <c r="AE913" s="396"/>
      <c r="AF913" s="396"/>
      <c r="AG913" s="396"/>
      <c r="AH913" s="396"/>
      <c r="AI913" s="396"/>
      <c r="AJ913" s="396"/>
      <c r="AK913" s="396"/>
      <c r="AL913" s="396"/>
      <c r="AM913" s="396"/>
      <c r="AN913" s="396"/>
      <c r="AO913" s="396"/>
      <c r="AP913" s="396"/>
      <c r="AQ913" s="396"/>
      <c r="AR913" s="192"/>
      <c r="AS913" s="304"/>
    </row>
    <row r="914" spans="1:48" ht="15.75" customHeight="1" x14ac:dyDescent="0.3">
      <c r="A914" s="192"/>
      <c r="AC914" s="95"/>
      <c r="AD914" s="394" t="s">
        <v>670</v>
      </c>
      <c r="AE914" s="397"/>
      <c r="AF914" s="397"/>
      <c r="AG914" s="397"/>
      <c r="AH914" s="397"/>
      <c r="AI914" s="397"/>
      <c r="AJ914" s="397"/>
      <c r="AK914" s="397"/>
      <c r="AL914" s="397"/>
      <c r="AM914" s="397"/>
      <c r="AN914" s="397"/>
      <c r="AO914" s="397"/>
      <c r="AP914" s="397"/>
      <c r="AQ914" s="397"/>
      <c r="AS914" s="304"/>
    </row>
    <row r="915" spans="1:48" ht="15.75" customHeight="1" x14ac:dyDescent="0.3">
      <c r="A915" s="192"/>
      <c r="AC915" s="95"/>
      <c r="AS915" s="304"/>
    </row>
    <row r="916" spans="1:48" ht="15.75" customHeight="1" thickBot="1" x14ac:dyDescent="0.35">
      <c r="A916" s="192"/>
      <c r="AC916" s="95"/>
      <c r="AD916" s="395">
        <f>$A$5</f>
        <v>2017</v>
      </c>
      <c r="AE916" s="397"/>
      <c r="AF916" s="397"/>
      <c r="AG916" s="397"/>
      <c r="AH916" s="397"/>
      <c r="AI916" s="397"/>
      <c r="AJ916" s="397"/>
      <c r="AK916" s="397"/>
      <c r="AL916" s="397"/>
      <c r="AM916" s="397"/>
      <c r="AN916" s="397"/>
      <c r="AO916" s="397"/>
      <c r="AP916" s="397"/>
      <c r="AQ916" s="397"/>
      <c r="AS916" s="304"/>
    </row>
    <row r="917" spans="1:48" ht="15.75" customHeight="1" x14ac:dyDescent="0.3">
      <c r="A917" s="188"/>
      <c r="B917" s="387" t="s">
        <v>716</v>
      </c>
      <c r="C917" s="387"/>
      <c r="D917" s="387"/>
      <c r="E917" s="387"/>
      <c r="F917" s="387"/>
      <c r="G917" s="387"/>
      <c r="H917" s="387"/>
      <c r="I917" s="387"/>
      <c r="J917" s="387"/>
      <c r="K917" s="387"/>
      <c r="L917" s="387"/>
      <c r="M917" s="387"/>
      <c r="N917" s="387"/>
      <c r="O917" s="387"/>
      <c r="P917" s="387"/>
      <c r="Q917" s="177" t="str">
        <f>+Q1</f>
        <v xml:space="preserve">PRINTED:  </v>
      </c>
      <c r="R917" s="178">
        <f ca="1">+R1</f>
        <v>44894.658168518516</v>
      </c>
      <c r="AC917" s="95"/>
      <c r="AD917" s="394" t="s">
        <v>717</v>
      </c>
      <c r="AE917" s="396"/>
      <c r="AF917" s="396"/>
      <c r="AG917" s="396"/>
      <c r="AH917" s="396"/>
      <c r="AI917" s="396"/>
      <c r="AJ917" s="396"/>
      <c r="AK917" s="396"/>
      <c r="AL917" s="396"/>
      <c r="AM917" s="396"/>
      <c r="AN917" s="396"/>
      <c r="AO917" s="396"/>
      <c r="AP917" s="396"/>
      <c r="AQ917" s="396"/>
      <c r="AR917" s="182"/>
      <c r="AS917" s="304"/>
    </row>
    <row r="918" spans="1:48" ht="16.5" customHeight="1" x14ac:dyDescent="0.3">
      <c r="A918" s="189"/>
      <c r="B918" s="394" t="str">
        <f>+A8</f>
        <v>Revised:  12/8/2016</v>
      </c>
      <c r="C918" s="394"/>
      <c r="D918" s="394"/>
      <c r="E918" s="394"/>
      <c r="F918" s="394"/>
      <c r="G918" s="394"/>
      <c r="H918" s="394"/>
      <c r="I918" s="394"/>
      <c r="J918" s="394"/>
      <c r="K918" s="394"/>
      <c r="L918" s="394"/>
      <c r="M918" s="394"/>
      <c r="N918" s="394"/>
      <c r="O918" s="394"/>
      <c r="P918" s="394"/>
      <c r="Q918" s="180"/>
      <c r="R918" s="306"/>
      <c r="AC918" s="95"/>
      <c r="AK918" s="190"/>
      <c r="AS918" s="304"/>
    </row>
    <row r="919" spans="1:48" ht="15.75" customHeight="1" thickBot="1" x14ac:dyDescent="0.35">
      <c r="A919" s="189"/>
      <c r="B919" s="394" t="s">
        <v>670</v>
      </c>
      <c r="C919" s="394"/>
      <c r="D919" s="394"/>
      <c r="E919" s="394"/>
      <c r="F919" s="394"/>
      <c r="G919" s="394"/>
      <c r="H919" s="394"/>
      <c r="I919" s="394"/>
      <c r="J919" s="394"/>
      <c r="K919" s="394"/>
      <c r="L919" s="394"/>
      <c r="M919" s="394"/>
      <c r="N919" s="394"/>
      <c r="O919" s="394"/>
      <c r="P919" s="394"/>
      <c r="Q919" s="180"/>
      <c r="R919" s="306"/>
      <c r="AC919" s="95"/>
      <c r="AD919" s="191" t="s">
        <v>677</v>
      </c>
      <c r="AE919" s="191" t="s">
        <v>678</v>
      </c>
      <c r="AF919" s="191" t="s">
        <v>679</v>
      </c>
      <c r="AG919" s="191" t="s">
        <v>680</v>
      </c>
      <c r="AH919" s="191" t="s">
        <v>644</v>
      </c>
      <c r="AI919" s="191" t="s">
        <v>681</v>
      </c>
      <c r="AJ919" s="191" t="s">
        <v>682</v>
      </c>
      <c r="AK919" s="191" t="s">
        <v>683</v>
      </c>
      <c r="AL919" s="191" t="s">
        <v>684</v>
      </c>
      <c r="AM919" s="191" t="s">
        <v>685</v>
      </c>
      <c r="AN919" s="191" t="s">
        <v>686</v>
      </c>
      <c r="AO919" s="191" t="s">
        <v>687</v>
      </c>
      <c r="AP919" s="191" t="s">
        <v>688</v>
      </c>
      <c r="AQ919" s="191" t="s">
        <v>689</v>
      </c>
      <c r="AR919" s="191" t="s">
        <v>638</v>
      </c>
      <c r="AS919" s="209" t="s">
        <v>641</v>
      </c>
    </row>
    <row r="920" spans="1:48" ht="15.75" customHeight="1" x14ac:dyDescent="0.3">
      <c r="A920" s="189"/>
      <c r="B920" s="180"/>
      <c r="C920" s="180"/>
      <c r="D920" s="180"/>
      <c r="E920" s="180"/>
      <c r="F920" s="180"/>
      <c r="G920" s="180"/>
      <c r="H920" s="180"/>
      <c r="I920" s="180"/>
      <c r="J920" s="180"/>
      <c r="K920" s="180"/>
      <c r="L920" s="180"/>
      <c r="M920" s="180"/>
      <c r="N920" s="180"/>
      <c r="O920" s="180"/>
      <c r="P920" s="180"/>
      <c r="Q920" s="180"/>
      <c r="R920" s="306"/>
      <c r="AC920" s="95"/>
      <c r="AD920" s="180"/>
      <c r="AE920" s="180"/>
      <c r="AF920" s="180"/>
      <c r="AG920" s="180"/>
      <c r="AH920" s="182" t="s">
        <v>718</v>
      </c>
      <c r="AI920" s="180"/>
      <c r="AJ920" s="180"/>
      <c r="AK920" s="180"/>
      <c r="AL920" s="180"/>
      <c r="AM920" s="180"/>
      <c r="AN920" s="180"/>
      <c r="AO920" s="180"/>
      <c r="AP920" s="180"/>
      <c r="AQ920" s="180"/>
      <c r="AR920" s="180"/>
      <c r="AS920" s="210"/>
    </row>
    <row r="921" spans="1:48" ht="15.75" customHeight="1" x14ac:dyDescent="0.3">
      <c r="A921" s="189"/>
      <c r="B921" s="395">
        <f>A5</f>
        <v>2017</v>
      </c>
      <c r="C921" s="395"/>
      <c r="D921" s="395"/>
      <c r="E921" s="395"/>
      <c r="F921" s="395"/>
      <c r="G921" s="395"/>
      <c r="H921" s="395"/>
      <c r="I921" s="395"/>
      <c r="J921" s="395"/>
      <c r="K921" s="395"/>
      <c r="L921" s="395"/>
      <c r="M921" s="395"/>
      <c r="N921" s="395"/>
      <c r="O921" s="395"/>
      <c r="P921" s="395"/>
      <c r="Q921" s="180"/>
      <c r="R921" s="306"/>
      <c r="S921" s="180"/>
      <c r="AC921" s="211" t="s">
        <v>719</v>
      </c>
      <c r="AD921" s="212">
        <v>1.7000000000000001E-2</v>
      </c>
      <c r="AE921" s="212">
        <v>1.7000000000000001E-2</v>
      </c>
      <c r="AF921" s="212">
        <v>1.7000000000000001E-2</v>
      </c>
      <c r="AG921" s="212">
        <v>1.7000000000000001E-2</v>
      </c>
      <c r="AH921" s="212"/>
      <c r="AI921" s="212"/>
      <c r="AJ921" s="212"/>
      <c r="AK921" s="212"/>
      <c r="AL921" s="212"/>
      <c r="AM921" s="212"/>
      <c r="AN921" s="212"/>
      <c r="AO921" s="212"/>
      <c r="AP921" s="212"/>
      <c r="AQ921" s="212"/>
      <c r="AR921" s="212"/>
      <c r="AS921" s="213"/>
    </row>
    <row r="922" spans="1:48" ht="15.75" customHeight="1" x14ac:dyDescent="0.3">
      <c r="A922" s="189"/>
      <c r="B922" s="394" t="s">
        <v>717</v>
      </c>
      <c r="C922" s="394"/>
      <c r="D922" s="394"/>
      <c r="E922" s="394"/>
      <c r="F922" s="394"/>
      <c r="G922" s="394"/>
      <c r="H922" s="394"/>
      <c r="I922" s="394"/>
      <c r="J922" s="394"/>
      <c r="K922" s="394"/>
      <c r="L922" s="394"/>
      <c r="M922" s="394"/>
      <c r="N922" s="394"/>
      <c r="O922" s="394"/>
      <c r="P922" s="394"/>
      <c r="Q922" s="180"/>
      <c r="R922" s="306"/>
      <c r="S922" s="180"/>
      <c r="AC922" s="211" t="s">
        <v>720</v>
      </c>
      <c r="AD922" s="212"/>
      <c r="AE922" s="212">
        <v>0.03</v>
      </c>
      <c r="AF922" s="212"/>
      <c r="AG922" s="212"/>
      <c r="AH922" s="212"/>
      <c r="AI922" s="212"/>
      <c r="AJ922" s="212"/>
      <c r="AK922" s="212"/>
      <c r="AL922" s="212"/>
      <c r="AM922" s="212">
        <v>0.03</v>
      </c>
      <c r="AN922" s="212">
        <v>0.03</v>
      </c>
      <c r="AO922" s="212">
        <v>0.03</v>
      </c>
      <c r="AP922" s="212">
        <v>0.03</v>
      </c>
      <c r="AQ922" s="212">
        <v>0.03</v>
      </c>
      <c r="AR922" s="212">
        <v>0.03</v>
      </c>
      <c r="AS922" s="213"/>
    </row>
    <row r="923" spans="1:48" ht="15.75" customHeight="1" x14ac:dyDescent="0.3">
      <c r="A923" s="189"/>
      <c r="B923" s="180"/>
      <c r="C923" s="180"/>
      <c r="D923" s="180"/>
      <c r="E923" s="180"/>
      <c r="F923" s="180"/>
      <c r="G923" s="180"/>
      <c r="H923" s="180"/>
      <c r="I923" s="180"/>
      <c r="J923" s="180"/>
      <c r="K923" s="180"/>
      <c r="L923" s="180"/>
      <c r="M923" s="180"/>
      <c r="N923" s="180"/>
      <c r="O923" s="180"/>
      <c r="P923" s="180"/>
      <c r="Q923" s="180"/>
      <c r="R923" s="306"/>
      <c r="S923" s="180"/>
      <c r="AC923" s="211" t="s">
        <v>721</v>
      </c>
      <c r="AD923" s="212"/>
      <c r="AE923" s="212"/>
      <c r="AF923" s="212">
        <v>0.03</v>
      </c>
      <c r="AG923" s="212">
        <v>0.03</v>
      </c>
      <c r="AH923" s="212"/>
      <c r="AI923" s="212"/>
      <c r="AJ923" s="212"/>
      <c r="AK923" s="212"/>
      <c r="AL923" s="212"/>
      <c r="AM923" s="212"/>
      <c r="AN923" s="212"/>
      <c r="AO923" s="212"/>
      <c r="AP923" s="212"/>
      <c r="AQ923" s="212"/>
      <c r="AR923" s="212"/>
      <c r="AS923" s="213"/>
    </row>
    <row r="924" spans="1:48" ht="15.75" customHeight="1" thickBot="1" x14ac:dyDescent="0.35">
      <c r="A924" s="189" t="s">
        <v>647</v>
      </c>
      <c r="B924" s="191" t="s">
        <v>677</v>
      </c>
      <c r="C924" s="191" t="s">
        <v>678</v>
      </c>
      <c r="D924" s="191" t="s">
        <v>679</v>
      </c>
      <c r="E924" s="191" t="s">
        <v>680</v>
      </c>
      <c r="F924" s="191" t="s">
        <v>644</v>
      </c>
      <c r="G924" s="191" t="s">
        <v>644</v>
      </c>
      <c r="H924" s="191" t="s">
        <v>681</v>
      </c>
      <c r="I924" s="191" t="s">
        <v>682</v>
      </c>
      <c r="J924" s="191" t="s">
        <v>683</v>
      </c>
      <c r="K924" s="191" t="s">
        <v>684</v>
      </c>
      <c r="L924" s="191" t="s">
        <v>685</v>
      </c>
      <c r="M924" s="191" t="s">
        <v>686</v>
      </c>
      <c r="N924" s="191" t="s">
        <v>687</v>
      </c>
      <c r="O924" s="191" t="s">
        <v>688</v>
      </c>
      <c r="P924" s="191" t="s">
        <v>689</v>
      </c>
      <c r="Q924" s="191" t="s">
        <v>638</v>
      </c>
      <c r="R924" s="209" t="s">
        <v>641</v>
      </c>
      <c r="S924" s="182"/>
      <c r="AC924" s="211" t="s">
        <v>137</v>
      </c>
      <c r="AD924" s="212"/>
      <c r="AE924" s="212"/>
      <c r="AF924" s="212"/>
      <c r="AG924" s="212"/>
      <c r="AH924" s="212"/>
      <c r="AI924" s="212">
        <v>0.03</v>
      </c>
      <c r="AJ924" s="212"/>
      <c r="AK924" s="212"/>
      <c r="AL924" s="212"/>
      <c r="AM924" s="212"/>
      <c r="AN924" s="212"/>
      <c r="AO924" s="212"/>
      <c r="AP924" s="212"/>
      <c r="AQ924" s="212"/>
      <c r="AR924" s="212"/>
      <c r="AS924" s="213"/>
    </row>
    <row r="925" spans="1:48" ht="15.75" customHeight="1" x14ac:dyDescent="0.3">
      <c r="A925" s="189"/>
      <c r="B925" s="180"/>
      <c r="C925" s="180"/>
      <c r="D925" s="180"/>
      <c r="E925" s="180"/>
      <c r="F925" s="182" t="s">
        <v>127</v>
      </c>
      <c r="G925" s="182" t="s">
        <v>653</v>
      </c>
      <c r="H925" s="180"/>
      <c r="I925" s="180"/>
      <c r="J925" s="180"/>
      <c r="K925" s="180"/>
      <c r="L925" s="180"/>
      <c r="M925" s="180"/>
      <c r="N925" s="180"/>
      <c r="O925" s="180"/>
      <c r="P925" s="180"/>
      <c r="Q925" s="180"/>
      <c r="R925" s="213" t="s">
        <v>722</v>
      </c>
      <c r="S925" s="182"/>
      <c r="AC925" s="211" t="s">
        <v>723</v>
      </c>
      <c r="AD925" s="212">
        <v>0.03</v>
      </c>
      <c r="AE925" s="212"/>
      <c r="AF925" s="212"/>
      <c r="AG925" s="212"/>
      <c r="AH925" s="212"/>
      <c r="AI925" s="212"/>
      <c r="AJ925" s="212">
        <v>0.03</v>
      </c>
      <c r="AK925" s="212">
        <v>0.03</v>
      </c>
      <c r="AL925" s="212">
        <v>0.03</v>
      </c>
      <c r="AM925" s="212"/>
      <c r="AN925" s="212"/>
      <c r="AO925" s="212"/>
      <c r="AP925" s="212"/>
      <c r="AQ925" s="212"/>
      <c r="AR925" s="212"/>
      <c r="AS925" s="213"/>
    </row>
    <row r="926" spans="1:48" ht="15.75" customHeight="1" x14ac:dyDescent="0.3">
      <c r="A926" s="189" t="s">
        <v>724</v>
      </c>
      <c r="B926" s="214">
        <v>957</v>
      </c>
      <c r="C926" s="214">
        <v>122</v>
      </c>
      <c r="D926" s="214">
        <v>128</v>
      </c>
      <c r="E926" s="214">
        <v>219</v>
      </c>
      <c r="F926" s="214"/>
      <c r="G926" s="214"/>
      <c r="H926" s="214">
        <v>97</v>
      </c>
      <c r="I926" s="214">
        <v>160</v>
      </c>
      <c r="J926" s="214">
        <v>250</v>
      </c>
      <c r="K926" s="214">
        <v>260</v>
      </c>
      <c r="L926" s="214">
        <v>100</v>
      </c>
      <c r="M926" s="214">
        <v>118</v>
      </c>
      <c r="N926" s="214">
        <v>250</v>
      </c>
      <c r="O926" s="214">
        <v>190</v>
      </c>
      <c r="P926" s="214">
        <v>340</v>
      </c>
      <c r="Q926" s="214">
        <v>450</v>
      </c>
      <c r="R926" s="213" t="s">
        <v>658</v>
      </c>
      <c r="S926" s="182"/>
      <c r="AC926" s="211" t="s">
        <v>641</v>
      </c>
      <c r="AD926" s="215">
        <f>SUM(AD921:AD925)</f>
        <v>4.7E-2</v>
      </c>
      <c r="AE926" s="215">
        <f t="shared" ref="AE926:AR926" si="228">SUM(AE921:AE925)</f>
        <v>4.7E-2</v>
      </c>
      <c r="AF926" s="215">
        <f t="shared" si="228"/>
        <v>4.7E-2</v>
      </c>
      <c r="AG926" s="215">
        <f t="shared" si="228"/>
        <v>4.7E-2</v>
      </c>
      <c r="AH926" s="215">
        <f t="shared" si="228"/>
        <v>0</v>
      </c>
      <c r="AI926" s="215">
        <f t="shared" si="228"/>
        <v>0.03</v>
      </c>
      <c r="AJ926" s="215">
        <f t="shared" si="228"/>
        <v>0.03</v>
      </c>
      <c r="AK926" s="215">
        <f t="shared" si="228"/>
        <v>0.03</v>
      </c>
      <c r="AL926" s="215">
        <f t="shared" si="228"/>
        <v>0.03</v>
      </c>
      <c r="AM926" s="215">
        <f t="shared" si="228"/>
        <v>0.03</v>
      </c>
      <c r="AN926" s="215">
        <f t="shared" si="228"/>
        <v>0.03</v>
      </c>
      <c r="AO926" s="215">
        <f t="shared" si="228"/>
        <v>0.03</v>
      </c>
      <c r="AP926" s="215">
        <f t="shared" si="228"/>
        <v>0.03</v>
      </c>
      <c r="AQ926" s="215">
        <f t="shared" si="228"/>
        <v>0.03</v>
      </c>
      <c r="AR926" s="215">
        <f t="shared" si="228"/>
        <v>0.03</v>
      </c>
      <c r="AS926" s="213"/>
      <c r="AU926" s="192" t="s">
        <v>725</v>
      </c>
      <c r="AV926" s="4" t="s">
        <v>726</v>
      </c>
    </row>
    <row r="927" spans="1:48" ht="15.75" customHeight="1" x14ac:dyDescent="0.3">
      <c r="A927" s="189"/>
      <c r="B927" s="182" t="s">
        <v>666</v>
      </c>
      <c r="C927" s="182" t="s">
        <v>666</v>
      </c>
      <c r="D927" s="182" t="s">
        <v>666</v>
      </c>
      <c r="E927" s="182" t="s">
        <v>666</v>
      </c>
      <c r="F927" s="182" t="s">
        <v>666</v>
      </c>
      <c r="G927" s="182" t="s">
        <v>666</v>
      </c>
      <c r="H927" s="182" t="s">
        <v>666</v>
      </c>
      <c r="I927" s="182" t="s">
        <v>666</v>
      </c>
      <c r="J927" s="182" t="s">
        <v>666</v>
      </c>
      <c r="K927" s="182" t="s">
        <v>666</v>
      </c>
      <c r="L927" s="182" t="s">
        <v>666</v>
      </c>
      <c r="M927" s="182" t="s">
        <v>666</v>
      </c>
      <c r="N927" s="182" t="s">
        <v>666</v>
      </c>
      <c r="O927" s="182" t="s">
        <v>666</v>
      </c>
      <c r="P927" s="182" t="s">
        <v>666</v>
      </c>
      <c r="Q927" s="182" t="s">
        <v>666</v>
      </c>
      <c r="R927" s="213" t="s">
        <v>714</v>
      </c>
      <c r="S927" s="182"/>
      <c r="T927" s="182"/>
      <c r="AC927" s="189" t="s">
        <v>666</v>
      </c>
      <c r="AD927" s="182" t="s">
        <v>666</v>
      </c>
      <c r="AE927" s="182" t="s">
        <v>666</v>
      </c>
      <c r="AF927" s="182" t="s">
        <v>666</v>
      </c>
      <c r="AG927" s="182" t="s">
        <v>666</v>
      </c>
      <c r="AH927" s="182" t="s">
        <v>666</v>
      </c>
      <c r="AI927" s="182" t="s">
        <v>666</v>
      </c>
      <c r="AJ927" s="182" t="s">
        <v>666</v>
      </c>
      <c r="AK927" s="182" t="s">
        <v>666</v>
      </c>
      <c r="AL927" s="182" t="s">
        <v>666</v>
      </c>
      <c r="AM927" s="182" t="s">
        <v>666</v>
      </c>
      <c r="AN927" s="182" t="s">
        <v>666</v>
      </c>
      <c r="AO927" s="182" t="s">
        <v>666</v>
      </c>
      <c r="AP927" s="182" t="s">
        <v>666</v>
      </c>
      <c r="AQ927" s="182" t="s">
        <v>666</v>
      </c>
      <c r="AR927" s="182" t="s">
        <v>666</v>
      </c>
      <c r="AS927" s="213" t="s">
        <v>666</v>
      </c>
    </row>
    <row r="928" spans="1:48" ht="15.75" customHeight="1" x14ac:dyDescent="0.3">
      <c r="A928" s="192" t="s">
        <v>8</v>
      </c>
      <c r="B928" s="180">
        <f>ROUND((B871*$B$926)/1000,0)</f>
        <v>132837</v>
      </c>
      <c r="C928" s="180">
        <f t="shared" ref="C928:C939" si="229">ROUND((C871*$C$926)/1000,0)</f>
        <v>16922</v>
      </c>
      <c r="D928" s="180">
        <f t="shared" ref="D928:D939" si="230">ROUND((D871*$D$926)/1000,0)</f>
        <v>17742</v>
      </c>
      <c r="E928" s="180">
        <f t="shared" ref="E928:E939" si="231">ROUND((E871*$E$926)/1000,0)</f>
        <v>30057</v>
      </c>
      <c r="F928" s="180">
        <f>(F871*((T871-1526.8)/0.7702))/1000</f>
        <v>14817.207944518654</v>
      </c>
      <c r="G928" s="180">
        <f t="shared" ref="G928:G939" si="232">(G871*((T871-1591.4)/0.6635))/1000</f>
        <v>0</v>
      </c>
      <c r="H928" s="180">
        <f t="shared" ref="H928:H939" si="233">ROUND((H871*$H$926)/1000,0)</f>
        <v>3987</v>
      </c>
      <c r="I928" s="180">
        <f t="shared" ref="I928:I939" si="234">ROUND((I871*$I$926)/1000,0)</f>
        <v>2602</v>
      </c>
      <c r="J928" s="180">
        <f t="shared" ref="J928:J939" si="235">ROUND((J871*$J$926)/1000,0)</f>
        <v>3995</v>
      </c>
      <c r="K928" s="180">
        <f t="shared" ref="K928:K939" si="236">ROUND((K871*$K$926)/1000,0)</f>
        <v>4095</v>
      </c>
      <c r="L928" s="180">
        <f t="shared" ref="L928:L939" si="237">ROUND((L871*$L$926)/1000,0)</f>
        <v>1425</v>
      </c>
      <c r="M928" s="180">
        <f t="shared" ref="M928:M939" si="238">ROUND((M871*$M$926)/1000,0)</f>
        <v>1679</v>
      </c>
      <c r="N928" s="180">
        <f t="shared" ref="N928:N939" si="239">ROUND((N871*$N$926)/1000,0)</f>
        <v>3392</v>
      </c>
      <c r="O928" s="180">
        <f t="shared" ref="O928:O939" si="240">ROUND((O871*$O$926)/1000,0)</f>
        <v>644</v>
      </c>
      <c r="P928" s="180">
        <f t="shared" ref="P928:P939" si="241">ROUND((P871*$P$926)/1000,0)</f>
        <v>902</v>
      </c>
      <c r="Q928" s="180">
        <f t="shared" ref="Q928:Q939" si="242">ROUND((Q871*$Q$926)/1000,0)</f>
        <v>1524</v>
      </c>
      <c r="R928" s="216">
        <f>(SUM(B928:Q928))</f>
        <v>236620.20794451865</v>
      </c>
      <c r="S928" s="217"/>
      <c r="AC928" s="211" t="s">
        <v>8</v>
      </c>
      <c r="AD928" s="180">
        <f>ROUND(B928*$AD$926, 0)</f>
        <v>6243</v>
      </c>
      <c r="AE928" s="180">
        <f>ROUND(C928*$AE$926,0)</f>
        <v>795</v>
      </c>
      <c r="AF928" s="180">
        <f>ROUND(D928*$AF$926,0)</f>
        <v>834</v>
      </c>
      <c r="AG928" s="180">
        <f>ROUND(E928*$AG$926,0)</f>
        <v>1413</v>
      </c>
      <c r="AH928" s="180">
        <f>ROUND(F928*$AH$926,0)</f>
        <v>0</v>
      </c>
      <c r="AI928" s="180">
        <f>ROUND(H928*$AI$926,0)</f>
        <v>120</v>
      </c>
      <c r="AJ928" s="180">
        <f>ROUND(I928*$AJ$926,0)</f>
        <v>78</v>
      </c>
      <c r="AK928" s="180">
        <f>ROUND(J928*$AK$926,0)</f>
        <v>120</v>
      </c>
      <c r="AL928" s="180">
        <f>ROUND(K928*$AL$926,0)</f>
        <v>123</v>
      </c>
      <c r="AM928" s="180">
        <f>ROUND(L928*$AM$926,0)</f>
        <v>43</v>
      </c>
      <c r="AN928" s="180">
        <f>ROUND(M928*$AN$926,0)</f>
        <v>50</v>
      </c>
      <c r="AO928" s="180">
        <f>ROUND(N928*$AO$926,0)</f>
        <v>102</v>
      </c>
      <c r="AP928" s="180">
        <f>ROUND(O928*$AP$926,0)</f>
        <v>19</v>
      </c>
      <c r="AQ928" s="180">
        <f>ROUND(P928*$AQ$926,0)</f>
        <v>27</v>
      </c>
      <c r="AR928" s="180">
        <f>ROUND(Q928*$AR$926,0)</f>
        <v>46</v>
      </c>
      <c r="AS928" s="210">
        <f>SUM(AD928:AR928)</f>
        <v>10013</v>
      </c>
      <c r="AU928" s="218">
        <f>AS928/R928</f>
        <v>4.2316757672479902E-2</v>
      </c>
    </row>
    <row r="929" spans="1:47" ht="15.75" customHeight="1" x14ac:dyDescent="0.3">
      <c r="A929" s="192" t="s">
        <v>9</v>
      </c>
      <c r="B929" s="180">
        <f t="shared" ref="B929:B939" si="243">ROUND((B872*$B$926)/1000,0)</f>
        <v>64382</v>
      </c>
      <c r="C929" s="180">
        <f t="shared" si="229"/>
        <v>8189</v>
      </c>
      <c r="D929" s="180">
        <f t="shared" si="230"/>
        <v>8574</v>
      </c>
      <c r="E929" s="180">
        <f t="shared" si="231"/>
        <v>14393</v>
      </c>
      <c r="F929" s="180">
        <f t="shared" ref="F929:F939" si="244">(F872*((T872-1526.8)/0.7702))/1000</f>
        <v>0</v>
      </c>
      <c r="G929" s="180">
        <f t="shared" si="232"/>
        <v>-1124.2227743533608</v>
      </c>
      <c r="H929" s="180">
        <f t="shared" si="233"/>
        <v>4725</v>
      </c>
      <c r="I929" s="180">
        <f t="shared" si="234"/>
        <v>3078</v>
      </c>
      <c r="J929" s="180">
        <f t="shared" si="235"/>
        <v>4628</v>
      </c>
      <c r="K929" s="180">
        <f t="shared" si="236"/>
        <v>4736</v>
      </c>
      <c r="L929" s="180">
        <f t="shared" si="237"/>
        <v>1583</v>
      </c>
      <c r="M929" s="180">
        <f t="shared" si="238"/>
        <v>1866</v>
      </c>
      <c r="N929" s="180">
        <f t="shared" si="239"/>
        <v>3763</v>
      </c>
      <c r="O929" s="180">
        <f t="shared" si="240"/>
        <v>930</v>
      </c>
      <c r="P929" s="180">
        <f t="shared" si="241"/>
        <v>946</v>
      </c>
      <c r="Q929" s="180">
        <f t="shared" si="242"/>
        <v>2202</v>
      </c>
      <c r="R929" s="216">
        <f t="shared" ref="R929:R939" si="245">(SUM(B929:Q929))</f>
        <v>122870.77722564664</v>
      </c>
      <c r="S929" s="217"/>
      <c r="AC929" s="211" t="s">
        <v>9</v>
      </c>
      <c r="AD929" s="180">
        <f t="shared" ref="AD929:AD939" si="246">ROUND(B929*$AD$926, 0)</f>
        <v>3026</v>
      </c>
      <c r="AE929" s="180">
        <f t="shared" ref="AE929:AE939" si="247">ROUND(C929*$AE$926,0)</f>
        <v>385</v>
      </c>
      <c r="AF929" s="180">
        <f t="shared" ref="AF929:AF939" si="248">ROUND(D929*$AF$926,0)</f>
        <v>403</v>
      </c>
      <c r="AG929" s="180">
        <f t="shared" ref="AG929:AG939" si="249">ROUND(E929*$AG$926,0)</f>
        <v>676</v>
      </c>
      <c r="AH929" s="180">
        <f t="shared" ref="AH929:AH939" si="250">ROUND(F929*$AH$926,0)</f>
        <v>0</v>
      </c>
      <c r="AI929" s="180">
        <f t="shared" ref="AI929:AI939" si="251">ROUND(H929*$AI$926,0)</f>
        <v>142</v>
      </c>
      <c r="AJ929" s="180">
        <f t="shared" ref="AJ929:AJ939" si="252">ROUND(I929*$AJ$926,0)</f>
        <v>92</v>
      </c>
      <c r="AK929" s="180">
        <f t="shared" ref="AK929:AK939" si="253">ROUND(J929*$AK$926,0)</f>
        <v>139</v>
      </c>
      <c r="AL929" s="180">
        <f t="shared" ref="AL929:AL939" si="254">ROUND(K929*$AL$926,0)</f>
        <v>142</v>
      </c>
      <c r="AM929" s="180">
        <f t="shared" ref="AM929:AM939" si="255">ROUND(L929*$AM$926,0)</f>
        <v>47</v>
      </c>
      <c r="AN929" s="180">
        <f t="shared" ref="AN929:AN939" si="256">ROUND(M929*$AN$926,0)</f>
        <v>56</v>
      </c>
      <c r="AO929" s="180">
        <f t="shared" ref="AO929:AO939" si="257">ROUND(N929*$AO$926,0)</f>
        <v>113</v>
      </c>
      <c r="AP929" s="180">
        <f t="shared" ref="AP929:AP939" si="258">ROUND(O929*$AP$926,0)</f>
        <v>28</v>
      </c>
      <c r="AQ929" s="180">
        <f t="shared" ref="AQ929:AQ939" si="259">ROUND(P929*$AQ$926,0)</f>
        <v>28</v>
      </c>
      <c r="AR929" s="180">
        <f t="shared" ref="AR929:AR939" si="260">ROUND(Q929*$AR$926,0)</f>
        <v>66</v>
      </c>
      <c r="AS929" s="210">
        <f t="shared" ref="AS929:AS939" si="261">SUM(AD929:AR929)</f>
        <v>5343</v>
      </c>
      <c r="AU929" s="218">
        <f t="shared" ref="AU929:AU941" si="262">AS929/R929</f>
        <v>4.3484709062984288E-2</v>
      </c>
    </row>
    <row r="930" spans="1:47" ht="15.75" customHeight="1" x14ac:dyDescent="0.3">
      <c r="A930" s="192" t="s">
        <v>10</v>
      </c>
      <c r="B930" s="180">
        <f t="shared" si="243"/>
        <v>173105</v>
      </c>
      <c r="C930" s="180">
        <f t="shared" si="229"/>
        <v>22034</v>
      </c>
      <c r="D930" s="180">
        <f t="shared" si="230"/>
        <v>23085</v>
      </c>
      <c r="E930" s="180">
        <f t="shared" si="231"/>
        <v>38451</v>
      </c>
      <c r="F930" s="180">
        <f t="shared" si="244"/>
        <v>11930.477450096654</v>
      </c>
      <c r="G930" s="180">
        <f t="shared" si="232"/>
        <v>0</v>
      </c>
      <c r="H930" s="180">
        <f t="shared" si="233"/>
        <v>8199</v>
      </c>
      <c r="I930" s="180">
        <f t="shared" si="234"/>
        <v>5282</v>
      </c>
      <c r="J930" s="180">
        <f t="shared" si="235"/>
        <v>6699</v>
      </c>
      <c r="K930" s="180">
        <f t="shared" si="236"/>
        <v>5974</v>
      </c>
      <c r="L930" s="180">
        <f t="shared" si="237"/>
        <v>1981</v>
      </c>
      <c r="M930" s="180">
        <f t="shared" si="238"/>
        <v>2334</v>
      </c>
      <c r="N930" s="180">
        <f t="shared" si="239"/>
        <v>4729</v>
      </c>
      <c r="O930" s="180">
        <f t="shared" si="240"/>
        <v>843</v>
      </c>
      <c r="P930" s="180">
        <f t="shared" si="241"/>
        <v>1549</v>
      </c>
      <c r="Q930" s="180">
        <f t="shared" si="242"/>
        <v>1994</v>
      </c>
      <c r="R930" s="216">
        <f t="shared" si="245"/>
        <v>308189.47745009663</v>
      </c>
      <c r="S930" s="217"/>
      <c r="AC930" s="211" t="s">
        <v>10</v>
      </c>
      <c r="AD930" s="180">
        <f t="shared" si="246"/>
        <v>8136</v>
      </c>
      <c r="AE930" s="180">
        <f t="shared" si="247"/>
        <v>1036</v>
      </c>
      <c r="AF930" s="180">
        <f t="shared" si="248"/>
        <v>1085</v>
      </c>
      <c r="AG930" s="180">
        <f t="shared" si="249"/>
        <v>1807</v>
      </c>
      <c r="AH930" s="180">
        <f t="shared" si="250"/>
        <v>0</v>
      </c>
      <c r="AI930" s="180">
        <f t="shared" si="251"/>
        <v>246</v>
      </c>
      <c r="AJ930" s="180">
        <f t="shared" si="252"/>
        <v>158</v>
      </c>
      <c r="AK930" s="180">
        <f t="shared" si="253"/>
        <v>201</v>
      </c>
      <c r="AL930" s="180">
        <f t="shared" si="254"/>
        <v>179</v>
      </c>
      <c r="AM930" s="180">
        <f t="shared" si="255"/>
        <v>59</v>
      </c>
      <c r="AN930" s="180">
        <f t="shared" si="256"/>
        <v>70</v>
      </c>
      <c r="AO930" s="180">
        <f t="shared" si="257"/>
        <v>142</v>
      </c>
      <c r="AP930" s="180">
        <f t="shared" si="258"/>
        <v>25</v>
      </c>
      <c r="AQ930" s="180">
        <f t="shared" si="259"/>
        <v>46</v>
      </c>
      <c r="AR930" s="180">
        <f t="shared" si="260"/>
        <v>60</v>
      </c>
      <c r="AS930" s="210">
        <f t="shared" si="261"/>
        <v>13250</v>
      </c>
      <c r="AU930" s="218">
        <f t="shared" si="262"/>
        <v>4.2993031785601758E-2</v>
      </c>
    </row>
    <row r="931" spans="1:47" ht="15.75" customHeight="1" x14ac:dyDescent="0.3">
      <c r="A931" s="192" t="s">
        <v>12</v>
      </c>
      <c r="B931" s="180">
        <f t="shared" si="243"/>
        <v>167909</v>
      </c>
      <c r="C931" s="180">
        <f t="shared" si="229"/>
        <v>21360</v>
      </c>
      <c r="D931" s="180">
        <f t="shared" si="230"/>
        <v>22366</v>
      </c>
      <c r="E931" s="180">
        <f t="shared" si="231"/>
        <v>36881</v>
      </c>
      <c r="F931" s="180">
        <f t="shared" si="244"/>
        <v>4307.5475292443016</v>
      </c>
      <c r="G931" s="180">
        <f t="shared" si="232"/>
        <v>0</v>
      </c>
      <c r="H931" s="180">
        <f t="shared" si="233"/>
        <v>10376</v>
      </c>
      <c r="I931" s="180">
        <f t="shared" si="234"/>
        <v>6856</v>
      </c>
      <c r="J931" s="180">
        <f t="shared" si="235"/>
        <v>7202</v>
      </c>
      <c r="K931" s="180">
        <f t="shared" si="236"/>
        <v>6141</v>
      </c>
      <c r="L931" s="180">
        <f t="shared" si="237"/>
        <v>1973</v>
      </c>
      <c r="M931" s="180">
        <f t="shared" si="238"/>
        <v>2324</v>
      </c>
      <c r="N931" s="180">
        <f t="shared" si="239"/>
        <v>4657</v>
      </c>
      <c r="O931" s="180">
        <f t="shared" si="240"/>
        <v>843</v>
      </c>
      <c r="P931" s="180">
        <f t="shared" si="241"/>
        <v>1663</v>
      </c>
      <c r="Q931" s="180">
        <f t="shared" si="242"/>
        <v>1993</v>
      </c>
      <c r="R931" s="216">
        <f t="shared" si="245"/>
        <v>296851.54752924433</v>
      </c>
      <c r="S931" s="217"/>
      <c r="AC931" s="211" t="s">
        <v>12</v>
      </c>
      <c r="AD931" s="180">
        <f t="shared" si="246"/>
        <v>7892</v>
      </c>
      <c r="AE931" s="180">
        <f t="shared" si="247"/>
        <v>1004</v>
      </c>
      <c r="AF931" s="180">
        <f t="shared" si="248"/>
        <v>1051</v>
      </c>
      <c r="AG931" s="180">
        <f t="shared" si="249"/>
        <v>1733</v>
      </c>
      <c r="AH931" s="180">
        <f t="shared" si="250"/>
        <v>0</v>
      </c>
      <c r="AI931" s="180">
        <f t="shared" si="251"/>
        <v>311</v>
      </c>
      <c r="AJ931" s="180">
        <f t="shared" si="252"/>
        <v>206</v>
      </c>
      <c r="AK931" s="180">
        <f t="shared" si="253"/>
        <v>216</v>
      </c>
      <c r="AL931" s="180">
        <f t="shared" si="254"/>
        <v>184</v>
      </c>
      <c r="AM931" s="180">
        <f t="shared" si="255"/>
        <v>59</v>
      </c>
      <c r="AN931" s="180">
        <f t="shared" si="256"/>
        <v>70</v>
      </c>
      <c r="AO931" s="180">
        <f t="shared" si="257"/>
        <v>140</v>
      </c>
      <c r="AP931" s="180">
        <f t="shared" si="258"/>
        <v>25</v>
      </c>
      <c r="AQ931" s="180">
        <f t="shared" si="259"/>
        <v>50</v>
      </c>
      <c r="AR931" s="180">
        <f t="shared" si="260"/>
        <v>60</v>
      </c>
      <c r="AS931" s="210">
        <f t="shared" si="261"/>
        <v>13001</v>
      </c>
      <c r="AU931" s="218">
        <f t="shared" si="262"/>
        <v>4.3796301916597578E-2</v>
      </c>
    </row>
    <row r="932" spans="1:47" ht="15.75" customHeight="1" x14ac:dyDescent="0.3">
      <c r="A932" s="192" t="s">
        <v>13</v>
      </c>
      <c r="B932" s="180">
        <f t="shared" si="243"/>
        <v>173271</v>
      </c>
      <c r="C932" s="180">
        <f t="shared" si="229"/>
        <v>22037</v>
      </c>
      <c r="D932" s="180">
        <f t="shared" si="230"/>
        <v>23069</v>
      </c>
      <c r="E932" s="180">
        <f t="shared" si="231"/>
        <v>38085</v>
      </c>
      <c r="F932" s="180">
        <f t="shared" si="244"/>
        <v>2374.2977818514059</v>
      </c>
      <c r="G932" s="180">
        <f t="shared" si="232"/>
        <v>0</v>
      </c>
      <c r="H932" s="180">
        <f t="shared" si="233"/>
        <v>10894</v>
      </c>
      <c r="I932" s="180">
        <f t="shared" si="234"/>
        <v>6093</v>
      </c>
      <c r="J932" s="180">
        <f t="shared" si="235"/>
        <v>7262</v>
      </c>
      <c r="K932" s="180">
        <f t="shared" si="236"/>
        <v>6861</v>
      </c>
      <c r="L932" s="180">
        <f t="shared" si="237"/>
        <v>2268</v>
      </c>
      <c r="M932" s="180">
        <f t="shared" si="238"/>
        <v>2672</v>
      </c>
      <c r="N932" s="180">
        <f t="shared" si="239"/>
        <v>5243</v>
      </c>
      <c r="O932" s="180">
        <f t="shared" si="240"/>
        <v>1012</v>
      </c>
      <c r="P932" s="180">
        <f t="shared" si="241"/>
        <v>1659</v>
      </c>
      <c r="Q932" s="180">
        <f t="shared" si="242"/>
        <v>2393</v>
      </c>
      <c r="R932" s="216">
        <f t="shared" si="245"/>
        <v>305193.29778185138</v>
      </c>
      <c r="S932" s="217"/>
      <c r="AC932" s="211" t="s">
        <v>13</v>
      </c>
      <c r="AD932" s="180">
        <f t="shared" si="246"/>
        <v>8144</v>
      </c>
      <c r="AE932" s="180">
        <f t="shared" si="247"/>
        <v>1036</v>
      </c>
      <c r="AF932" s="180">
        <f t="shared" si="248"/>
        <v>1084</v>
      </c>
      <c r="AG932" s="180">
        <f t="shared" si="249"/>
        <v>1790</v>
      </c>
      <c r="AH932" s="180">
        <f t="shared" si="250"/>
        <v>0</v>
      </c>
      <c r="AI932" s="180">
        <f t="shared" si="251"/>
        <v>327</v>
      </c>
      <c r="AJ932" s="180">
        <f t="shared" si="252"/>
        <v>183</v>
      </c>
      <c r="AK932" s="180">
        <f t="shared" si="253"/>
        <v>218</v>
      </c>
      <c r="AL932" s="180">
        <f t="shared" si="254"/>
        <v>206</v>
      </c>
      <c r="AM932" s="180">
        <f t="shared" si="255"/>
        <v>68</v>
      </c>
      <c r="AN932" s="180">
        <f t="shared" si="256"/>
        <v>80</v>
      </c>
      <c r="AO932" s="180">
        <f t="shared" si="257"/>
        <v>157</v>
      </c>
      <c r="AP932" s="180">
        <f t="shared" si="258"/>
        <v>30</v>
      </c>
      <c r="AQ932" s="180">
        <f t="shared" si="259"/>
        <v>50</v>
      </c>
      <c r="AR932" s="180">
        <f t="shared" si="260"/>
        <v>72</v>
      </c>
      <c r="AS932" s="210">
        <f t="shared" si="261"/>
        <v>13445</v>
      </c>
      <c r="AU932" s="218">
        <f t="shared" si="262"/>
        <v>4.4054047378230203E-2</v>
      </c>
    </row>
    <row r="933" spans="1:47" ht="15.75" customHeight="1" x14ac:dyDescent="0.3">
      <c r="A933" s="192" t="s">
        <v>14</v>
      </c>
      <c r="B933" s="180">
        <f t="shared" si="243"/>
        <v>80634</v>
      </c>
      <c r="C933" s="180">
        <f t="shared" si="229"/>
        <v>10228</v>
      </c>
      <c r="D933" s="180">
        <f t="shared" si="230"/>
        <v>10681</v>
      </c>
      <c r="E933" s="180">
        <f t="shared" si="231"/>
        <v>17001</v>
      </c>
      <c r="F933" s="180">
        <f t="shared" si="244"/>
        <v>0</v>
      </c>
      <c r="G933" s="180">
        <f t="shared" si="232"/>
        <v>-14768.019833188744</v>
      </c>
      <c r="H933" s="180">
        <f t="shared" si="233"/>
        <v>13609</v>
      </c>
      <c r="I933" s="180">
        <f t="shared" si="234"/>
        <v>6224</v>
      </c>
      <c r="J933" s="180">
        <f t="shared" si="235"/>
        <v>7371</v>
      </c>
      <c r="K933" s="180">
        <f t="shared" si="236"/>
        <v>6260</v>
      </c>
      <c r="L933" s="180">
        <f t="shared" si="237"/>
        <v>2133</v>
      </c>
      <c r="M933" s="180">
        <f t="shared" si="238"/>
        <v>2512</v>
      </c>
      <c r="N933" s="180">
        <f t="shared" si="239"/>
        <v>4867</v>
      </c>
      <c r="O933" s="180">
        <f t="shared" si="240"/>
        <v>868</v>
      </c>
      <c r="P933" s="180">
        <f t="shared" si="241"/>
        <v>1953</v>
      </c>
      <c r="Q933" s="180">
        <f t="shared" si="242"/>
        <v>2052</v>
      </c>
      <c r="R933" s="216">
        <f>(SUM(B933:Q933))</f>
        <v>151624.98016681126</v>
      </c>
      <c r="S933" s="217"/>
      <c r="AC933" s="211" t="s">
        <v>14</v>
      </c>
      <c r="AD933" s="180">
        <f t="shared" si="246"/>
        <v>3790</v>
      </c>
      <c r="AE933" s="180">
        <f t="shared" si="247"/>
        <v>481</v>
      </c>
      <c r="AF933" s="180">
        <f t="shared" si="248"/>
        <v>502</v>
      </c>
      <c r="AG933" s="180">
        <f t="shared" si="249"/>
        <v>799</v>
      </c>
      <c r="AH933" s="180">
        <f t="shared" si="250"/>
        <v>0</v>
      </c>
      <c r="AI933" s="180">
        <f t="shared" si="251"/>
        <v>408</v>
      </c>
      <c r="AJ933" s="180">
        <f t="shared" si="252"/>
        <v>187</v>
      </c>
      <c r="AK933" s="180">
        <f t="shared" si="253"/>
        <v>221</v>
      </c>
      <c r="AL933" s="180">
        <f t="shared" si="254"/>
        <v>188</v>
      </c>
      <c r="AM933" s="180">
        <f t="shared" si="255"/>
        <v>64</v>
      </c>
      <c r="AN933" s="180">
        <f t="shared" si="256"/>
        <v>75</v>
      </c>
      <c r="AO933" s="180">
        <f t="shared" si="257"/>
        <v>146</v>
      </c>
      <c r="AP933" s="180">
        <f t="shared" si="258"/>
        <v>26</v>
      </c>
      <c r="AQ933" s="180">
        <f t="shared" si="259"/>
        <v>59</v>
      </c>
      <c r="AR933" s="180">
        <f t="shared" si="260"/>
        <v>62</v>
      </c>
      <c r="AS933" s="210">
        <f t="shared" si="261"/>
        <v>7008</v>
      </c>
      <c r="AU933" s="218">
        <f t="shared" si="262"/>
        <v>4.6219297059693597E-2</v>
      </c>
    </row>
    <row r="934" spans="1:47" ht="15.75" customHeight="1" x14ac:dyDescent="0.3">
      <c r="A934" s="192" t="s">
        <v>16</v>
      </c>
      <c r="B934" s="180">
        <f t="shared" si="243"/>
        <v>69229</v>
      </c>
      <c r="C934" s="180">
        <f t="shared" si="229"/>
        <v>8775</v>
      </c>
      <c r="D934" s="180">
        <f t="shared" si="230"/>
        <v>9156</v>
      </c>
      <c r="E934" s="180">
        <f t="shared" si="231"/>
        <v>14131</v>
      </c>
      <c r="F934" s="180">
        <f t="shared" si="244"/>
        <v>0</v>
      </c>
      <c r="G934" s="180">
        <f t="shared" si="232"/>
        <v>-12681.59175633266</v>
      </c>
      <c r="H934" s="180">
        <f t="shared" si="233"/>
        <v>12991</v>
      </c>
      <c r="I934" s="180">
        <f t="shared" si="234"/>
        <v>7041</v>
      </c>
      <c r="J934" s="180">
        <f t="shared" si="235"/>
        <v>7884</v>
      </c>
      <c r="K934" s="180">
        <f t="shared" si="236"/>
        <v>6964</v>
      </c>
      <c r="L934" s="180">
        <f t="shared" si="237"/>
        <v>2242</v>
      </c>
      <c r="M934" s="180">
        <f t="shared" si="238"/>
        <v>2640</v>
      </c>
      <c r="N934" s="180">
        <f t="shared" si="239"/>
        <v>5015</v>
      </c>
      <c r="O934" s="180">
        <f t="shared" si="240"/>
        <v>801</v>
      </c>
      <c r="P934" s="180">
        <f t="shared" si="241"/>
        <v>1895</v>
      </c>
      <c r="Q934" s="180">
        <f t="shared" si="242"/>
        <v>1894</v>
      </c>
      <c r="R934" s="216">
        <f t="shared" si="245"/>
        <v>137976.40824366733</v>
      </c>
      <c r="S934" s="217"/>
      <c r="AC934" s="211" t="s">
        <v>16</v>
      </c>
      <c r="AD934" s="180">
        <f t="shared" si="246"/>
        <v>3254</v>
      </c>
      <c r="AE934" s="180">
        <f t="shared" si="247"/>
        <v>412</v>
      </c>
      <c r="AF934" s="180">
        <f t="shared" si="248"/>
        <v>430</v>
      </c>
      <c r="AG934" s="180">
        <f t="shared" si="249"/>
        <v>664</v>
      </c>
      <c r="AH934" s="180">
        <f t="shared" si="250"/>
        <v>0</v>
      </c>
      <c r="AI934" s="180">
        <f t="shared" si="251"/>
        <v>390</v>
      </c>
      <c r="AJ934" s="180">
        <f t="shared" si="252"/>
        <v>211</v>
      </c>
      <c r="AK934" s="180">
        <f t="shared" si="253"/>
        <v>237</v>
      </c>
      <c r="AL934" s="180">
        <f t="shared" si="254"/>
        <v>209</v>
      </c>
      <c r="AM934" s="180">
        <f t="shared" si="255"/>
        <v>67</v>
      </c>
      <c r="AN934" s="180">
        <f t="shared" si="256"/>
        <v>79</v>
      </c>
      <c r="AO934" s="180">
        <f t="shared" si="257"/>
        <v>150</v>
      </c>
      <c r="AP934" s="180">
        <f t="shared" si="258"/>
        <v>24</v>
      </c>
      <c r="AQ934" s="180">
        <f t="shared" si="259"/>
        <v>57</v>
      </c>
      <c r="AR934" s="180">
        <f t="shared" si="260"/>
        <v>57</v>
      </c>
      <c r="AS934" s="210">
        <f t="shared" si="261"/>
        <v>6241</v>
      </c>
      <c r="AU934" s="218">
        <f t="shared" si="262"/>
        <v>4.5232370370000857E-2</v>
      </c>
    </row>
    <row r="935" spans="1:47" ht="15.75" customHeight="1" x14ac:dyDescent="0.3">
      <c r="A935" s="192" t="s">
        <v>17</v>
      </c>
      <c r="B935" s="180">
        <f t="shared" si="243"/>
        <v>68257</v>
      </c>
      <c r="C935" s="180">
        <f t="shared" si="229"/>
        <v>8661</v>
      </c>
      <c r="D935" s="180">
        <f t="shared" si="230"/>
        <v>9046</v>
      </c>
      <c r="E935" s="180">
        <f t="shared" si="231"/>
        <v>14148</v>
      </c>
      <c r="F935" s="180">
        <f t="shared" si="244"/>
        <v>0</v>
      </c>
      <c r="G935" s="180">
        <f t="shared" si="232"/>
        <v>-8765.2750176405771</v>
      </c>
      <c r="H935" s="180">
        <f t="shared" si="233"/>
        <v>10757</v>
      </c>
      <c r="I935" s="180">
        <f t="shared" si="234"/>
        <v>6425</v>
      </c>
      <c r="J935" s="180">
        <f t="shared" si="235"/>
        <v>7209</v>
      </c>
      <c r="K935" s="180">
        <f t="shared" si="236"/>
        <v>6472</v>
      </c>
      <c r="L935" s="180">
        <f t="shared" si="237"/>
        <v>2085</v>
      </c>
      <c r="M935" s="180">
        <f t="shared" si="238"/>
        <v>2456</v>
      </c>
      <c r="N935" s="180">
        <f t="shared" si="239"/>
        <v>4711</v>
      </c>
      <c r="O935" s="180">
        <f t="shared" si="240"/>
        <v>790</v>
      </c>
      <c r="P935" s="180">
        <f t="shared" si="241"/>
        <v>1654</v>
      </c>
      <c r="Q935" s="180">
        <f t="shared" si="242"/>
        <v>1868</v>
      </c>
      <c r="R935" s="216">
        <f t="shared" si="245"/>
        <v>135773.72498235942</v>
      </c>
      <c r="S935" s="217"/>
      <c r="AC935" s="211" t="s">
        <v>17</v>
      </c>
      <c r="AD935" s="180">
        <f t="shared" si="246"/>
        <v>3208</v>
      </c>
      <c r="AE935" s="180">
        <f t="shared" si="247"/>
        <v>407</v>
      </c>
      <c r="AF935" s="180">
        <f t="shared" si="248"/>
        <v>425</v>
      </c>
      <c r="AG935" s="180">
        <f t="shared" si="249"/>
        <v>665</v>
      </c>
      <c r="AH935" s="180">
        <f t="shared" si="250"/>
        <v>0</v>
      </c>
      <c r="AI935" s="180">
        <f t="shared" si="251"/>
        <v>323</v>
      </c>
      <c r="AJ935" s="180">
        <f t="shared" si="252"/>
        <v>193</v>
      </c>
      <c r="AK935" s="180">
        <f t="shared" si="253"/>
        <v>216</v>
      </c>
      <c r="AL935" s="180">
        <f t="shared" si="254"/>
        <v>194</v>
      </c>
      <c r="AM935" s="180">
        <f t="shared" si="255"/>
        <v>63</v>
      </c>
      <c r="AN935" s="180">
        <f t="shared" si="256"/>
        <v>74</v>
      </c>
      <c r="AO935" s="180">
        <f t="shared" si="257"/>
        <v>141</v>
      </c>
      <c r="AP935" s="180">
        <f t="shared" si="258"/>
        <v>24</v>
      </c>
      <c r="AQ935" s="180">
        <f t="shared" si="259"/>
        <v>50</v>
      </c>
      <c r="AR935" s="180">
        <f t="shared" si="260"/>
        <v>56</v>
      </c>
      <c r="AS935" s="210">
        <f t="shared" si="261"/>
        <v>6039</v>
      </c>
      <c r="AU935" s="218">
        <f t="shared" si="262"/>
        <v>4.4478414367615127E-2</v>
      </c>
    </row>
    <row r="936" spans="1:47" ht="15.75" customHeight="1" x14ac:dyDescent="0.3">
      <c r="A936" s="192" t="s">
        <v>18</v>
      </c>
      <c r="B936" s="180">
        <f t="shared" si="243"/>
        <v>132110</v>
      </c>
      <c r="C936" s="180">
        <f t="shared" si="229"/>
        <v>16803</v>
      </c>
      <c r="D936" s="180">
        <f t="shared" si="230"/>
        <v>17591</v>
      </c>
      <c r="E936" s="180">
        <f t="shared" si="231"/>
        <v>29118</v>
      </c>
      <c r="F936" s="180">
        <f t="shared" si="244"/>
        <v>0</v>
      </c>
      <c r="G936" s="180">
        <f t="shared" si="232"/>
        <v>0</v>
      </c>
      <c r="H936" s="180">
        <f t="shared" si="233"/>
        <v>8592</v>
      </c>
      <c r="I936" s="180">
        <f t="shared" si="234"/>
        <v>4629</v>
      </c>
      <c r="J936" s="180">
        <f t="shared" si="235"/>
        <v>6104</v>
      </c>
      <c r="K936" s="180">
        <f t="shared" si="236"/>
        <v>5521</v>
      </c>
      <c r="L936" s="180">
        <f t="shared" si="237"/>
        <v>1878</v>
      </c>
      <c r="M936" s="180">
        <f t="shared" si="238"/>
        <v>2212</v>
      </c>
      <c r="N936" s="180">
        <f t="shared" si="239"/>
        <v>4433</v>
      </c>
      <c r="O936" s="180">
        <f t="shared" si="240"/>
        <v>856</v>
      </c>
      <c r="P936" s="180">
        <f t="shared" si="241"/>
        <v>1375</v>
      </c>
      <c r="Q936" s="180">
        <f t="shared" si="242"/>
        <v>2024</v>
      </c>
      <c r="R936" s="216">
        <f t="shared" si="245"/>
        <v>233246</v>
      </c>
      <c r="S936" s="217"/>
      <c r="AC936" s="211" t="s">
        <v>18</v>
      </c>
      <c r="AD936" s="180">
        <f t="shared" si="246"/>
        <v>6209</v>
      </c>
      <c r="AE936" s="180">
        <f t="shared" si="247"/>
        <v>790</v>
      </c>
      <c r="AF936" s="180">
        <f t="shared" si="248"/>
        <v>827</v>
      </c>
      <c r="AG936" s="180">
        <f t="shared" si="249"/>
        <v>1369</v>
      </c>
      <c r="AH936" s="180">
        <f t="shared" si="250"/>
        <v>0</v>
      </c>
      <c r="AI936" s="180">
        <f t="shared" si="251"/>
        <v>258</v>
      </c>
      <c r="AJ936" s="180">
        <f t="shared" si="252"/>
        <v>139</v>
      </c>
      <c r="AK936" s="180">
        <f t="shared" si="253"/>
        <v>183</v>
      </c>
      <c r="AL936" s="180">
        <f t="shared" si="254"/>
        <v>166</v>
      </c>
      <c r="AM936" s="180">
        <f t="shared" si="255"/>
        <v>56</v>
      </c>
      <c r="AN936" s="180">
        <f t="shared" si="256"/>
        <v>66</v>
      </c>
      <c r="AO936" s="180">
        <f t="shared" si="257"/>
        <v>133</v>
      </c>
      <c r="AP936" s="180">
        <f t="shared" si="258"/>
        <v>26</v>
      </c>
      <c r="AQ936" s="180">
        <f t="shared" si="259"/>
        <v>41</v>
      </c>
      <c r="AR936" s="180">
        <f t="shared" si="260"/>
        <v>61</v>
      </c>
      <c r="AS936" s="210">
        <f t="shared" si="261"/>
        <v>10324</v>
      </c>
      <c r="AU936" s="218">
        <f t="shared" si="262"/>
        <v>4.426228102518371E-2</v>
      </c>
    </row>
    <row r="937" spans="1:47" ht="15.75" customHeight="1" x14ac:dyDescent="0.3">
      <c r="A937" s="192" t="s">
        <v>20</v>
      </c>
      <c r="B937" s="180">
        <f t="shared" si="243"/>
        <v>126352</v>
      </c>
      <c r="C937" s="180">
        <f t="shared" si="229"/>
        <v>16073</v>
      </c>
      <c r="D937" s="180">
        <f t="shared" si="230"/>
        <v>16828</v>
      </c>
      <c r="E937" s="180">
        <f t="shared" si="231"/>
        <v>28219</v>
      </c>
      <c r="F937" s="180">
        <f t="shared" si="244"/>
        <v>6537.8183129611134</v>
      </c>
      <c r="G937" s="180">
        <f t="shared" si="232"/>
        <v>0</v>
      </c>
      <c r="H937" s="180">
        <f t="shared" si="233"/>
        <v>5660</v>
      </c>
      <c r="I937" s="180">
        <f t="shared" si="234"/>
        <v>1448</v>
      </c>
      <c r="J937" s="180">
        <f t="shared" si="235"/>
        <v>1976</v>
      </c>
      <c r="K937" s="180">
        <f t="shared" si="236"/>
        <v>1871</v>
      </c>
      <c r="L937" s="180">
        <f t="shared" si="237"/>
        <v>597</v>
      </c>
      <c r="M937" s="180">
        <f t="shared" si="238"/>
        <v>701</v>
      </c>
      <c r="N937" s="180">
        <f t="shared" si="239"/>
        <v>1381</v>
      </c>
      <c r="O937" s="180">
        <f t="shared" si="240"/>
        <v>435</v>
      </c>
      <c r="P937" s="180">
        <f t="shared" si="241"/>
        <v>1220</v>
      </c>
      <c r="Q937" s="180">
        <f t="shared" si="242"/>
        <v>1029</v>
      </c>
      <c r="R937" s="216">
        <f t="shared" si="245"/>
        <v>210327.81831296111</v>
      </c>
      <c r="S937" s="217"/>
      <c r="AC937" s="211" t="s">
        <v>20</v>
      </c>
      <c r="AD937" s="180">
        <f t="shared" si="246"/>
        <v>5939</v>
      </c>
      <c r="AE937" s="180">
        <f t="shared" si="247"/>
        <v>755</v>
      </c>
      <c r="AF937" s="180">
        <f t="shared" si="248"/>
        <v>791</v>
      </c>
      <c r="AG937" s="180">
        <f t="shared" si="249"/>
        <v>1326</v>
      </c>
      <c r="AH937" s="180">
        <f t="shared" si="250"/>
        <v>0</v>
      </c>
      <c r="AI937" s="180">
        <f t="shared" si="251"/>
        <v>170</v>
      </c>
      <c r="AJ937" s="180">
        <f t="shared" si="252"/>
        <v>43</v>
      </c>
      <c r="AK937" s="180">
        <f t="shared" si="253"/>
        <v>59</v>
      </c>
      <c r="AL937" s="180">
        <f t="shared" si="254"/>
        <v>56</v>
      </c>
      <c r="AM937" s="180">
        <f t="shared" si="255"/>
        <v>18</v>
      </c>
      <c r="AN937" s="180">
        <f t="shared" si="256"/>
        <v>21</v>
      </c>
      <c r="AO937" s="180">
        <f t="shared" si="257"/>
        <v>41</v>
      </c>
      <c r="AP937" s="180">
        <f t="shared" si="258"/>
        <v>13</v>
      </c>
      <c r="AQ937" s="180">
        <f t="shared" si="259"/>
        <v>37</v>
      </c>
      <c r="AR937" s="180">
        <f t="shared" si="260"/>
        <v>31</v>
      </c>
      <c r="AS937" s="210">
        <f t="shared" si="261"/>
        <v>9300</v>
      </c>
      <c r="AU937" s="218">
        <f t="shared" si="262"/>
        <v>4.4216690281843246E-2</v>
      </c>
    </row>
    <row r="938" spans="1:47" ht="15.75" customHeight="1" x14ac:dyDescent="0.3">
      <c r="A938" s="192" t="s">
        <v>21</v>
      </c>
      <c r="B938" s="180">
        <f t="shared" si="243"/>
        <v>121877</v>
      </c>
      <c r="C938" s="180">
        <f t="shared" si="229"/>
        <v>15508</v>
      </c>
      <c r="D938" s="180">
        <f t="shared" si="230"/>
        <v>16242</v>
      </c>
      <c r="E938" s="180">
        <f t="shared" si="231"/>
        <v>27588</v>
      </c>
      <c r="F938" s="180">
        <f t="shared" si="244"/>
        <v>12235.873076875914</v>
      </c>
      <c r="G938" s="180">
        <f t="shared" si="232"/>
        <v>0</v>
      </c>
      <c r="H938" s="180">
        <f t="shared" si="233"/>
        <v>2944</v>
      </c>
      <c r="I938" s="180">
        <f t="shared" si="234"/>
        <v>1360</v>
      </c>
      <c r="J938" s="180">
        <f t="shared" si="235"/>
        <v>1906</v>
      </c>
      <c r="K938" s="180">
        <f t="shared" si="236"/>
        <v>1946</v>
      </c>
      <c r="L938" s="180">
        <f t="shared" si="237"/>
        <v>574</v>
      </c>
      <c r="M938" s="180">
        <f t="shared" si="238"/>
        <v>674</v>
      </c>
      <c r="N938" s="180">
        <f t="shared" si="239"/>
        <v>1401</v>
      </c>
      <c r="O938" s="180">
        <f t="shared" si="240"/>
        <v>254</v>
      </c>
      <c r="P938" s="180">
        <f t="shared" si="241"/>
        <v>1286</v>
      </c>
      <c r="Q938" s="180">
        <f t="shared" si="242"/>
        <v>601</v>
      </c>
      <c r="R938" s="216">
        <f t="shared" si="245"/>
        <v>206396.87307687593</v>
      </c>
      <c r="S938" s="217"/>
      <c r="AC938" s="211" t="s">
        <v>21</v>
      </c>
      <c r="AD938" s="180">
        <f t="shared" si="246"/>
        <v>5728</v>
      </c>
      <c r="AE938" s="180">
        <f t="shared" si="247"/>
        <v>729</v>
      </c>
      <c r="AF938" s="180">
        <f t="shared" si="248"/>
        <v>763</v>
      </c>
      <c r="AG938" s="180">
        <f t="shared" si="249"/>
        <v>1297</v>
      </c>
      <c r="AH938" s="180">
        <f t="shared" si="250"/>
        <v>0</v>
      </c>
      <c r="AI938" s="180">
        <f t="shared" si="251"/>
        <v>88</v>
      </c>
      <c r="AJ938" s="180">
        <f t="shared" si="252"/>
        <v>41</v>
      </c>
      <c r="AK938" s="180">
        <f t="shared" si="253"/>
        <v>57</v>
      </c>
      <c r="AL938" s="180">
        <f t="shared" si="254"/>
        <v>58</v>
      </c>
      <c r="AM938" s="180">
        <f t="shared" si="255"/>
        <v>17</v>
      </c>
      <c r="AN938" s="180">
        <f t="shared" si="256"/>
        <v>20</v>
      </c>
      <c r="AO938" s="180">
        <f t="shared" si="257"/>
        <v>42</v>
      </c>
      <c r="AP938" s="180">
        <f t="shared" si="258"/>
        <v>8</v>
      </c>
      <c r="AQ938" s="180">
        <f t="shared" si="259"/>
        <v>39</v>
      </c>
      <c r="AR938" s="180">
        <f t="shared" si="260"/>
        <v>18</v>
      </c>
      <c r="AS938" s="210">
        <f t="shared" si="261"/>
        <v>8905</v>
      </c>
      <c r="AU938" s="218">
        <f t="shared" si="262"/>
        <v>4.3145033484510133E-2</v>
      </c>
    </row>
    <row r="939" spans="1:47" ht="15.75" customHeight="1" x14ac:dyDescent="0.3">
      <c r="A939" s="192" t="s">
        <v>22</v>
      </c>
      <c r="B939" s="180">
        <f t="shared" si="243"/>
        <v>126226</v>
      </c>
      <c r="C939" s="180">
        <f t="shared" si="229"/>
        <v>16069</v>
      </c>
      <c r="D939" s="180">
        <f t="shared" si="230"/>
        <v>16836</v>
      </c>
      <c r="E939" s="180">
        <f t="shared" si="231"/>
        <v>28555</v>
      </c>
      <c r="F939" s="180">
        <f t="shared" si="244"/>
        <v>12017.739724881199</v>
      </c>
      <c r="G939" s="180">
        <f t="shared" si="232"/>
        <v>0</v>
      </c>
      <c r="H939" s="180">
        <f t="shared" si="233"/>
        <v>4370</v>
      </c>
      <c r="I939" s="180">
        <f t="shared" si="234"/>
        <v>1373</v>
      </c>
      <c r="J939" s="180">
        <f t="shared" si="235"/>
        <v>1886</v>
      </c>
      <c r="K939" s="180">
        <f t="shared" si="236"/>
        <v>1925</v>
      </c>
      <c r="L939" s="180">
        <f t="shared" si="237"/>
        <v>623</v>
      </c>
      <c r="M939" s="180">
        <f t="shared" si="238"/>
        <v>733</v>
      </c>
      <c r="N939" s="180">
        <f t="shared" si="239"/>
        <v>1464</v>
      </c>
      <c r="O939" s="180">
        <f t="shared" si="240"/>
        <v>228</v>
      </c>
      <c r="P939" s="180">
        <f t="shared" si="241"/>
        <v>1120</v>
      </c>
      <c r="Q939" s="180">
        <f t="shared" si="242"/>
        <v>538</v>
      </c>
      <c r="R939" s="216">
        <f t="shared" si="245"/>
        <v>213963.73972488119</v>
      </c>
      <c r="S939" s="217"/>
      <c r="AC939" s="211" t="s">
        <v>22</v>
      </c>
      <c r="AD939" s="180">
        <f t="shared" si="246"/>
        <v>5933</v>
      </c>
      <c r="AE939" s="180">
        <f t="shared" si="247"/>
        <v>755</v>
      </c>
      <c r="AF939" s="180">
        <f t="shared" si="248"/>
        <v>791</v>
      </c>
      <c r="AG939" s="180">
        <f t="shared" si="249"/>
        <v>1342</v>
      </c>
      <c r="AH939" s="180">
        <f t="shared" si="250"/>
        <v>0</v>
      </c>
      <c r="AI939" s="180">
        <f t="shared" si="251"/>
        <v>131</v>
      </c>
      <c r="AJ939" s="180">
        <f t="shared" si="252"/>
        <v>41</v>
      </c>
      <c r="AK939" s="180">
        <f t="shared" si="253"/>
        <v>57</v>
      </c>
      <c r="AL939" s="180">
        <f t="shared" si="254"/>
        <v>58</v>
      </c>
      <c r="AM939" s="180">
        <f t="shared" si="255"/>
        <v>19</v>
      </c>
      <c r="AN939" s="180">
        <f t="shared" si="256"/>
        <v>22</v>
      </c>
      <c r="AO939" s="180">
        <f t="shared" si="257"/>
        <v>44</v>
      </c>
      <c r="AP939" s="180">
        <f t="shared" si="258"/>
        <v>7</v>
      </c>
      <c r="AQ939" s="180">
        <f t="shared" si="259"/>
        <v>34</v>
      </c>
      <c r="AR939" s="180">
        <f t="shared" si="260"/>
        <v>16</v>
      </c>
      <c r="AS939" s="210">
        <f t="shared" si="261"/>
        <v>9250</v>
      </c>
      <c r="AU939" s="218">
        <f t="shared" si="262"/>
        <v>4.3231624255090292E-2</v>
      </c>
    </row>
    <row r="940" spans="1:47" ht="15.75" customHeight="1" x14ac:dyDescent="0.3">
      <c r="A940" s="189"/>
      <c r="B940" s="180"/>
      <c r="C940" s="180"/>
      <c r="D940" s="180"/>
      <c r="E940" s="180"/>
      <c r="F940" s="180"/>
      <c r="G940" s="180"/>
      <c r="H940" s="180"/>
      <c r="I940" s="180"/>
      <c r="J940" s="180"/>
      <c r="K940" s="180"/>
      <c r="L940" s="180"/>
      <c r="M940" s="180"/>
      <c r="N940" s="180"/>
      <c r="O940" s="180"/>
      <c r="P940" s="180"/>
      <c r="Q940" s="180"/>
      <c r="R940" s="210"/>
      <c r="S940" s="217"/>
      <c r="AC940" s="95"/>
      <c r="AD940" s="180"/>
      <c r="AE940" s="180"/>
      <c r="AF940" s="180"/>
      <c r="AG940" s="180"/>
      <c r="AH940" s="180"/>
      <c r="AI940" s="180"/>
      <c r="AJ940" s="180"/>
      <c r="AK940" s="180"/>
      <c r="AL940" s="180"/>
      <c r="AM940" s="180"/>
      <c r="AN940" s="180"/>
      <c r="AO940" s="180"/>
      <c r="AP940" s="180"/>
      <c r="AQ940" s="180"/>
      <c r="AR940" s="180"/>
      <c r="AS940" s="210"/>
    </row>
    <row r="941" spans="1:47" ht="15.75" customHeight="1" thickBot="1" x14ac:dyDescent="0.35">
      <c r="A941" s="189" t="s">
        <v>641</v>
      </c>
      <c r="B941" s="180">
        <f>SUM(B928:B939)</f>
        <v>1436189</v>
      </c>
      <c r="C941" s="180">
        <f t="shared" ref="C941:R941" si="263">SUM(C928:C939)</f>
        <v>182659</v>
      </c>
      <c r="D941" s="180">
        <f t="shared" si="263"/>
        <v>191216</v>
      </c>
      <c r="E941" s="180">
        <f t="shared" si="263"/>
        <v>316627</v>
      </c>
      <c r="F941" s="180">
        <f t="shared" si="263"/>
        <v>64220.961820429235</v>
      </c>
      <c r="G941" s="180">
        <f t="shared" si="263"/>
        <v>-37339.109381515344</v>
      </c>
      <c r="H941" s="180">
        <f t="shared" si="263"/>
        <v>97104</v>
      </c>
      <c r="I941" s="180">
        <f t="shared" si="263"/>
        <v>52411</v>
      </c>
      <c r="J941" s="180">
        <f t="shared" si="263"/>
        <v>64122</v>
      </c>
      <c r="K941" s="180">
        <f t="shared" si="263"/>
        <v>58766</v>
      </c>
      <c r="L941" s="180">
        <f t="shared" si="263"/>
        <v>19362</v>
      </c>
      <c r="M941" s="180">
        <f t="shared" si="263"/>
        <v>22803</v>
      </c>
      <c r="N941" s="180">
        <f t="shared" si="263"/>
        <v>45056</v>
      </c>
      <c r="O941" s="180">
        <f t="shared" si="263"/>
        <v>8504</v>
      </c>
      <c r="P941" s="180">
        <f t="shared" si="263"/>
        <v>17222</v>
      </c>
      <c r="Q941" s="180">
        <f t="shared" si="263"/>
        <v>20112</v>
      </c>
      <c r="R941" s="219">
        <f t="shared" si="263"/>
        <v>2559034.8524389137</v>
      </c>
      <c r="S941" s="217"/>
      <c r="AC941" s="220" t="s">
        <v>641</v>
      </c>
      <c r="AD941" s="195">
        <f>SUM(AD928:AD939)</f>
        <v>67502</v>
      </c>
      <c r="AE941" s="195">
        <f t="shared" ref="AE941:AS941" si="264">SUM(AE928:AE939)</f>
        <v>8585</v>
      </c>
      <c r="AF941" s="195">
        <f t="shared" si="264"/>
        <v>8986</v>
      </c>
      <c r="AG941" s="195">
        <f t="shared" si="264"/>
        <v>14881</v>
      </c>
      <c r="AH941" s="195">
        <f t="shared" si="264"/>
        <v>0</v>
      </c>
      <c r="AI941" s="195">
        <f t="shared" si="264"/>
        <v>2914</v>
      </c>
      <c r="AJ941" s="195">
        <f t="shared" si="264"/>
        <v>1572</v>
      </c>
      <c r="AK941" s="195">
        <f t="shared" si="264"/>
        <v>1924</v>
      </c>
      <c r="AL941" s="195">
        <f t="shared" si="264"/>
        <v>1763</v>
      </c>
      <c r="AM941" s="195">
        <f t="shared" si="264"/>
        <v>580</v>
      </c>
      <c r="AN941" s="195">
        <f t="shared" si="264"/>
        <v>683</v>
      </c>
      <c r="AO941" s="195">
        <f t="shared" si="264"/>
        <v>1351</v>
      </c>
      <c r="AP941" s="195">
        <f t="shared" si="264"/>
        <v>255</v>
      </c>
      <c r="AQ941" s="195">
        <f t="shared" si="264"/>
        <v>518</v>
      </c>
      <c r="AR941" s="195">
        <f t="shared" si="264"/>
        <v>605</v>
      </c>
      <c r="AS941" s="221">
        <f t="shared" si="264"/>
        <v>112119</v>
      </c>
      <c r="AU941" s="218">
        <f t="shared" si="262"/>
        <v>4.3813002348578357E-2</v>
      </c>
    </row>
    <row r="942" spans="1:47" ht="16.5" customHeight="1" thickBot="1" x14ac:dyDescent="0.35">
      <c r="A942" s="204" t="s">
        <v>7</v>
      </c>
      <c r="B942" s="195"/>
      <c r="C942" s="195"/>
      <c r="D942" s="195"/>
      <c r="E942" s="195"/>
      <c r="F942" s="195"/>
      <c r="G942" s="195"/>
      <c r="H942" s="195"/>
      <c r="I942" s="195"/>
      <c r="J942" s="195"/>
      <c r="K942" s="195"/>
      <c r="L942" s="195"/>
      <c r="M942" s="195"/>
      <c r="N942" s="195"/>
      <c r="O942" s="195"/>
      <c r="P942" s="195"/>
      <c r="Q942" s="195"/>
      <c r="R942" s="221"/>
      <c r="S942" s="180"/>
    </row>
    <row r="943" spans="1:47" ht="15.75" customHeight="1" x14ac:dyDescent="0.3">
      <c r="A943" s="180"/>
      <c r="B943" s="180"/>
      <c r="C943" s="180"/>
      <c r="D943" s="180"/>
      <c r="E943" s="180"/>
      <c r="F943" s="180"/>
      <c r="G943" s="180"/>
      <c r="H943" s="180"/>
      <c r="I943" s="180"/>
      <c r="J943" s="180"/>
      <c r="K943" s="180"/>
      <c r="L943" s="180"/>
      <c r="M943" s="180"/>
      <c r="N943" s="180"/>
      <c r="O943" s="180"/>
      <c r="P943" s="180"/>
      <c r="Q943" s="180"/>
      <c r="R943" s="180"/>
    </row>
    <row r="944" spans="1:47" ht="15.75" customHeight="1" x14ac:dyDescent="0.3"/>
    <row r="945" spans="1:45" ht="15.75" customHeight="1" thickBot="1" x14ac:dyDescent="0.35"/>
    <row r="946" spans="1:45" ht="15.75" customHeight="1" thickBot="1" x14ac:dyDescent="0.35">
      <c r="B946" s="398" t="s">
        <v>727</v>
      </c>
      <c r="C946" s="387"/>
      <c r="D946" s="387"/>
      <c r="E946" s="387"/>
      <c r="F946" s="387"/>
      <c r="G946" s="387"/>
      <c r="H946" s="387"/>
      <c r="I946" s="387"/>
      <c r="J946" s="387"/>
      <c r="K946" s="387"/>
      <c r="L946" s="387"/>
      <c r="M946" s="387"/>
      <c r="N946" s="387"/>
      <c r="O946" s="387"/>
      <c r="P946" s="387"/>
      <c r="Q946" s="177" t="str">
        <f>+Q1</f>
        <v xml:space="preserve">PRINTED:  </v>
      </c>
      <c r="R946" s="197">
        <f ca="1">+R1</f>
        <v>44894.658168518516</v>
      </c>
      <c r="S946" s="318"/>
    </row>
    <row r="947" spans="1:45" ht="15.75" customHeight="1" x14ac:dyDescent="0.3">
      <c r="B947" s="399">
        <f>+A5</f>
        <v>2017</v>
      </c>
      <c r="C947" s="395"/>
      <c r="D947" s="395"/>
      <c r="E947" s="395"/>
      <c r="F947" s="395"/>
      <c r="G947" s="395"/>
      <c r="H947" s="395"/>
      <c r="I947" s="395"/>
      <c r="J947" s="395"/>
      <c r="K947" s="395"/>
      <c r="L947" s="395"/>
      <c r="M947" s="395"/>
      <c r="N947" s="395"/>
      <c r="O947" s="395"/>
      <c r="P947" s="395"/>
      <c r="Q947" s="180"/>
      <c r="R947" s="180"/>
      <c r="S947" s="306"/>
      <c r="AC947" s="207"/>
      <c r="AD947" s="387" t="s">
        <v>728</v>
      </c>
      <c r="AE947" s="393"/>
      <c r="AF947" s="393"/>
      <c r="AG947" s="393"/>
      <c r="AH947" s="393"/>
      <c r="AI947" s="393"/>
      <c r="AJ947" s="393"/>
      <c r="AK947" s="393"/>
      <c r="AL947" s="393"/>
      <c r="AM947" s="393"/>
      <c r="AN947" s="393"/>
      <c r="AO947" s="393"/>
      <c r="AP947" s="393"/>
      <c r="AQ947" s="393"/>
      <c r="AR947" s="177" t="str">
        <f>$Q$1</f>
        <v xml:space="preserve">PRINTED:  </v>
      </c>
      <c r="AS947" s="208">
        <f ca="1">$R$1</f>
        <v>44894.658168518516</v>
      </c>
    </row>
    <row r="948" spans="1:45" ht="15.75" customHeight="1" x14ac:dyDescent="0.3">
      <c r="B948" s="400" t="str">
        <f>+A8</f>
        <v>Revised:  12/8/2016</v>
      </c>
      <c r="C948" s="394"/>
      <c r="D948" s="394"/>
      <c r="E948" s="394"/>
      <c r="F948" s="394"/>
      <c r="G948" s="394"/>
      <c r="H948" s="394"/>
      <c r="I948" s="394"/>
      <c r="J948" s="394"/>
      <c r="K948" s="394"/>
      <c r="L948" s="394"/>
      <c r="M948" s="394"/>
      <c r="N948" s="394"/>
      <c r="O948" s="394"/>
      <c r="P948" s="394"/>
      <c r="Q948" s="180"/>
      <c r="R948" s="180"/>
      <c r="S948" s="306"/>
      <c r="AC948" s="95"/>
      <c r="AD948" s="394" t="str">
        <f>+$A$8</f>
        <v>Revised:  12/8/2016</v>
      </c>
      <c r="AE948" s="396"/>
      <c r="AF948" s="396"/>
      <c r="AG948" s="396"/>
      <c r="AH948" s="396"/>
      <c r="AI948" s="396"/>
      <c r="AJ948" s="396"/>
      <c r="AK948" s="396"/>
      <c r="AL948" s="396"/>
      <c r="AM948" s="396"/>
      <c r="AN948" s="396"/>
      <c r="AO948" s="396"/>
      <c r="AP948" s="396"/>
      <c r="AQ948" s="396"/>
      <c r="AR948" s="192"/>
      <c r="AS948" s="304"/>
    </row>
    <row r="949" spans="1:45" ht="15.75" customHeight="1" thickBot="1" x14ac:dyDescent="0.35">
      <c r="B949" s="401" t="s">
        <v>729</v>
      </c>
      <c r="C949" s="402"/>
      <c r="D949" s="402"/>
      <c r="E949" s="402"/>
      <c r="F949" s="402"/>
      <c r="G949" s="402"/>
      <c r="H949" s="402"/>
      <c r="I949" s="402"/>
      <c r="J949" s="402"/>
      <c r="K949" s="402"/>
      <c r="L949" s="402"/>
      <c r="M949" s="402"/>
      <c r="N949" s="402"/>
      <c r="O949" s="402"/>
      <c r="P949" s="402"/>
      <c r="Q949" s="180"/>
      <c r="R949" s="180"/>
      <c r="S949" s="306"/>
      <c r="AC949" s="95"/>
      <c r="AD949" s="394" t="s">
        <v>670</v>
      </c>
      <c r="AE949" s="397"/>
      <c r="AF949" s="397"/>
      <c r="AG949" s="397"/>
      <c r="AH949" s="397"/>
      <c r="AI949" s="397"/>
      <c r="AJ949" s="397"/>
      <c r="AK949" s="397"/>
      <c r="AL949" s="397"/>
      <c r="AM949" s="397"/>
      <c r="AN949" s="397"/>
      <c r="AO949" s="397"/>
      <c r="AP949" s="397"/>
      <c r="AQ949" s="397"/>
      <c r="AS949" s="304"/>
    </row>
    <row r="950" spans="1:45" ht="15.75" customHeight="1" thickBot="1" x14ac:dyDescent="0.35">
      <c r="A950" s="222"/>
      <c r="B950" s="403" t="s">
        <v>730</v>
      </c>
      <c r="C950" s="404"/>
      <c r="D950" s="404"/>
      <c r="E950" s="404"/>
      <c r="F950" s="405"/>
      <c r="G950" s="403" t="s">
        <v>731</v>
      </c>
      <c r="H950" s="404"/>
      <c r="I950" s="404"/>
      <c r="J950" s="404"/>
      <c r="K950" s="404"/>
      <c r="L950" s="404"/>
      <c r="M950" s="406" t="s">
        <v>732</v>
      </c>
      <c r="N950" s="407"/>
      <c r="O950" s="408"/>
      <c r="P950" s="404" t="s">
        <v>733</v>
      </c>
      <c r="Q950" s="404"/>
      <c r="R950" s="405"/>
      <c r="S950" s="306"/>
      <c r="AC950" s="95"/>
      <c r="AS950" s="304"/>
    </row>
    <row r="951" spans="1:45" ht="15.75" customHeight="1" x14ac:dyDescent="0.3">
      <c r="A951" s="222"/>
      <c r="B951" s="189" t="s">
        <v>639</v>
      </c>
      <c r="C951" s="182"/>
      <c r="D951" s="182" t="s">
        <v>734</v>
      </c>
      <c r="E951" s="182" t="s">
        <v>735</v>
      </c>
      <c r="F951" s="307" t="s">
        <v>736</v>
      </c>
      <c r="G951" s="189" t="s">
        <v>737</v>
      </c>
      <c r="H951" s="182"/>
      <c r="I951" s="182"/>
      <c r="J951" s="182" t="s">
        <v>738</v>
      </c>
      <c r="K951" s="182" t="s">
        <v>739</v>
      </c>
      <c r="L951" s="182" t="s">
        <v>740</v>
      </c>
      <c r="M951" s="409" t="s">
        <v>932</v>
      </c>
      <c r="N951" s="410"/>
      <c r="O951" s="411"/>
      <c r="P951" s="182" t="s">
        <v>742</v>
      </c>
      <c r="Q951" s="228" t="s">
        <v>743</v>
      </c>
      <c r="R951" s="308" t="s">
        <v>744</v>
      </c>
      <c r="S951" s="306"/>
      <c r="AC951" s="95"/>
      <c r="AD951" s="395">
        <f>$A$5</f>
        <v>2017</v>
      </c>
      <c r="AE951" s="397"/>
      <c r="AF951" s="397"/>
      <c r="AG951" s="397"/>
      <c r="AH951" s="397"/>
      <c r="AI951" s="397"/>
      <c r="AJ951" s="397"/>
      <c r="AK951" s="397"/>
      <c r="AL951" s="397"/>
      <c r="AM951" s="397"/>
      <c r="AN951" s="397"/>
      <c r="AO951" s="397"/>
      <c r="AP951" s="397"/>
      <c r="AQ951" s="397"/>
      <c r="AS951" s="304"/>
    </row>
    <row r="952" spans="1:45" ht="15.75" customHeight="1" x14ac:dyDescent="0.3">
      <c r="A952" s="222"/>
      <c r="B952" s="230" t="s">
        <v>745</v>
      </c>
      <c r="C952" s="231" t="s">
        <v>746</v>
      </c>
      <c r="D952" s="231" t="s">
        <v>747</v>
      </c>
      <c r="E952" s="182" t="s">
        <v>658</v>
      </c>
      <c r="F952" s="309" t="s">
        <v>748</v>
      </c>
      <c r="G952" s="189" t="s">
        <v>640</v>
      </c>
      <c r="H952" s="182" t="s">
        <v>749</v>
      </c>
      <c r="I952" s="182" t="s">
        <v>750</v>
      </c>
      <c r="J952" s="231" t="s">
        <v>751</v>
      </c>
      <c r="K952" s="182" t="s">
        <v>723</v>
      </c>
      <c r="L952" s="231" t="s">
        <v>752</v>
      </c>
      <c r="M952" s="233" t="s">
        <v>753</v>
      </c>
      <c r="N952" s="226" t="s">
        <v>754</v>
      </c>
      <c r="O952" s="310" t="s">
        <v>641</v>
      </c>
      <c r="P952" s="182" t="s">
        <v>757</v>
      </c>
      <c r="Q952" s="182" t="s">
        <v>758</v>
      </c>
      <c r="R952" s="307" t="s">
        <v>759</v>
      </c>
      <c r="S952" s="306"/>
      <c r="AC952" s="95"/>
      <c r="AD952" s="394" t="s">
        <v>717</v>
      </c>
      <c r="AE952" s="396"/>
      <c r="AF952" s="396"/>
      <c r="AG952" s="396"/>
      <c r="AH952" s="396"/>
      <c r="AI952" s="396"/>
      <c r="AJ952" s="396"/>
      <c r="AK952" s="396"/>
      <c r="AL952" s="396"/>
      <c r="AM952" s="396"/>
      <c r="AN952" s="396"/>
      <c r="AO952" s="396"/>
      <c r="AP952" s="396"/>
      <c r="AQ952" s="396"/>
      <c r="AR952" s="182"/>
      <c r="AS952" s="304"/>
    </row>
    <row r="953" spans="1:45" ht="15.75" customHeight="1" x14ac:dyDescent="0.3">
      <c r="A953" s="222"/>
      <c r="B953" s="235" t="s">
        <v>760</v>
      </c>
      <c r="C953" s="215">
        <v>0</v>
      </c>
      <c r="D953" s="215"/>
      <c r="E953" s="182" t="s">
        <v>761</v>
      </c>
      <c r="F953" s="311" t="s">
        <v>762</v>
      </c>
      <c r="G953" s="189" t="s">
        <v>763</v>
      </c>
      <c r="H953" s="182" t="s">
        <v>658</v>
      </c>
      <c r="I953" s="182" t="s">
        <v>658</v>
      </c>
      <c r="J953" s="182" t="s">
        <v>658</v>
      </c>
      <c r="K953" s="182" t="s">
        <v>743</v>
      </c>
      <c r="L953" s="182" t="s">
        <v>764</v>
      </c>
      <c r="M953" s="237" t="s">
        <v>648</v>
      </c>
      <c r="N953" s="227" t="s">
        <v>765</v>
      </c>
      <c r="O953" s="310" t="s">
        <v>766</v>
      </c>
      <c r="P953" s="182" t="s">
        <v>658</v>
      </c>
      <c r="Q953" s="182" t="s">
        <v>658</v>
      </c>
      <c r="R953" s="307" t="s">
        <v>658</v>
      </c>
      <c r="S953" s="306"/>
      <c r="AC953" s="95"/>
      <c r="AK953" s="190"/>
      <c r="AS953" s="304"/>
    </row>
    <row r="954" spans="1:45" ht="15.75" customHeight="1" thickBot="1" x14ac:dyDescent="0.35">
      <c r="A954" s="213" t="s">
        <v>768</v>
      </c>
      <c r="B954" s="189" t="s">
        <v>705</v>
      </c>
      <c r="C954" s="182" t="s">
        <v>705</v>
      </c>
      <c r="D954" s="182" t="s">
        <v>705</v>
      </c>
      <c r="E954" s="182" t="s">
        <v>705</v>
      </c>
      <c r="F954" s="307" t="s">
        <v>705</v>
      </c>
      <c r="G954" s="189" t="s">
        <v>705</v>
      </c>
      <c r="H954" s="182" t="s">
        <v>705</v>
      </c>
      <c r="I954" s="182" t="s">
        <v>705</v>
      </c>
      <c r="J954" s="182" t="s">
        <v>705</v>
      </c>
      <c r="K954" s="182" t="s">
        <v>705</v>
      </c>
      <c r="L954" s="182" t="s">
        <v>705</v>
      </c>
      <c r="M954" s="237" t="s">
        <v>705</v>
      </c>
      <c r="N954" s="227" t="s">
        <v>705</v>
      </c>
      <c r="O954" s="310" t="s">
        <v>705</v>
      </c>
      <c r="P954" s="182" t="s">
        <v>705</v>
      </c>
      <c r="Q954" s="182" t="s">
        <v>705</v>
      </c>
      <c r="R954" s="307" t="s">
        <v>705</v>
      </c>
      <c r="S954" s="306"/>
      <c r="AC954" s="95"/>
      <c r="AD954" s="191" t="s">
        <v>677</v>
      </c>
      <c r="AE954" s="191" t="s">
        <v>678</v>
      </c>
      <c r="AF954" s="191" t="s">
        <v>679</v>
      </c>
      <c r="AG954" s="191" t="s">
        <v>680</v>
      </c>
      <c r="AH954" s="191" t="s">
        <v>644</v>
      </c>
      <c r="AI954" s="191" t="s">
        <v>681</v>
      </c>
      <c r="AJ954" s="191" t="s">
        <v>682</v>
      </c>
      <c r="AK954" s="191" t="s">
        <v>683</v>
      </c>
      <c r="AL954" s="191" t="s">
        <v>684</v>
      </c>
      <c r="AM954" s="191" t="s">
        <v>685</v>
      </c>
      <c r="AN954" s="191" t="s">
        <v>686</v>
      </c>
      <c r="AO954" s="191" t="s">
        <v>687</v>
      </c>
      <c r="AP954" s="191" t="s">
        <v>688</v>
      </c>
      <c r="AQ954" s="191" t="s">
        <v>689</v>
      </c>
      <c r="AR954" s="191" t="s">
        <v>638</v>
      </c>
      <c r="AS954" s="209" t="s">
        <v>641</v>
      </c>
    </row>
    <row r="955" spans="1:45" ht="15.75" customHeight="1" x14ac:dyDescent="0.3">
      <c r="A955" s="213" t="s">
        <v>666</v>
      </c>
      <c r="B955" s="189" t="s">
        <v>666</v>
      </c>
      <c r="C955" s="182" t="s">
        <v>666</v>
      </c>
      <c r="D955" s="182" t="s">
        <v>666</v>
      </c>
      <c r="E955" s="182" t="s">
        <v>769</v>
      </c>
      <c r="F955" s="307" t="s">
        <v>666</v>
      </c>
      <c r="G955" s="189" t="s">
        <v>666</v>
      </c>
      <c r="H955" s="182" t="s">
        <v>770</v>
      </c>
      <c r="I955" s="182" t="s">
        <v>770</v>
      </c>
      <c r="J955" s="182" t="s">
        <v>666</v>
      </c>
      <c r="K955" s="182" t="s">
        <v>666</v>
      </c>
      <c r="L955" s="182" t="s">
        <v>666</v>
      </c>
      <c r="M955" s="237" t="s">
        <v>666</v>
      </c>
      <c r="N955" s="227" t="s">
        <v>666</v>
      </c>
      <c r="O955" s="310" t="s">
        <v>666</v>
      </c>
      <c r="P955" s="182" t="s">
        <v>666</v>
      </c>
      <c r="Q955" s="182" t="s">
        <v>666</v>
      </c>
      <c r="R955" s="307" t="s">
        <v>666</v>
      </c>
      <c r="S955" s="306"/>
      <c r="AC955" s="95"/>
      <c r="AD955" s="180"/>
      <c r="AE955" s="180"/>
      <c r="AF955" s="180"/>
      <c r="AG955" s="180"/>
      <c r="AH955" s="182" t="s">
        <v>718</v>
      </c>
      <c r="AI955" s="180"/>
      <c r="AJ955" s="180"/>
      <c r="AK955" s="180"/>
      <c r="AL955" s="180"/>
      <c r="AM955" s="180"/>
      <c r="AN955" s="180"/>
      <c r="AO955" s="180"/>
      <c r="AP955" s="180"/>
      <c r="AQ955" s="180"/>
      <c r="AR955" s="180"/>
      <c r="AS955" s="210"/>
    </row>
    <row r="956" spans="1:45" ht="15.75" customHeight="1" x14ac:dyDescent="0.3">
      <c r="A956" s="192" t="s">
        <v>8</v>
      </c>
      <c r="B956" s="189">
        <f>ROUND(R928-G928,0)</f>
        <v>236620</v>
      </c>
      <c r="C956" s="182">
        <f>+ROUND(B956*$C$953,0)</f>
        <v>0</v>
      </c>
      <c r="D956" s="182">
        <f>AS928</f>
        <v>10013</v>
      </c>
      <c r="E956" s="182">
        <f>+B956+C956</f>
        <v>236620</v>
      </c>
      <c r="F956" s="307">
        <f>(D956+E956)</f>
        <v>246633</v>
      </c>
      <c r="G956" s="189">
        <f>ABS(G928)</f>
        <v>0</v>
      </c>
      <c r="H956" s="238">
        <v>11216</v>
      </c>
      <c r="I956" s="238">
        <v>0</v>
      </c>
      <c r="J956" s="182">
        <f>(H956+I956)</f>
        <v>11216</v>
      </c>
      <c r="K956" s="238">
        <v>0</v>
      </c>
      <c r="L956" s="238">
        <v>0</v>
      </c>
      <c r="M956" s="239">
        <f>307272+4080</f>
        <v>311352</v>
      </c>
      <c r="N956" s="240">
        <v>0</v>
      </c>
      <c r="O956" s="310">
        <f>+M956+N956</f>
        <v>311352</v>
      </c>
      <c r="P956" s="242">
        <f>(F956-G956-J956-K956-L956-O956)</f>
        <v>-75935</v>
      </c>
      <c r="Q956" s="182" t="str">
        <f>+IF(P956&gt;=0,ABS(P956),"")</f>
        <v/>
      </c>
      <c r="R956" s="307">
        <f>+IF(P956&lt;=0,ABS(P956),"")</f>
        <v>75935</v>
      </c>
      <c r="S956" s="306"/>
      <c r="AC956" s="211" t="s">
        <v>771</v>
      </c>
      <c r="AD956" s="212"/>
      <c r="AE956" s="212"/>
      <c r="AF956" s="212"/>
      <c r="AG956" s="212"/>
      <c r="AH956" s="212">
        <v>1.6E-2</v>
      </c>
      <c r="AI956" s="212">
        <v>1.6E-2</v>
      </c>
      <c r="AJ956" s="212">
        <v>1.6E-2</v>
      </c>
      <c r="AK956" s="212">
        <v>1.6E-2</v>
      </c>
      <c r="AL956" s="212">
        <v>1.6E-2</v>
      </c>
      <c r="AM956" s="212">
        <v>1.6E-2</v>
      </c>
      <c r="AN956" s="212">
        <v>1.6E-2</v>
      </c>
      <c r="AO956" s="212">
        <v>1.6E-2</v>
      </c>
      <c r="AP956" s="212">
        <v>1.6E-2</v>
      </c>
      <c r="AQ956" s="212">
        <v>1.6E-2</v>
      </c>
      <c r="AR956" s="212">
        <v>1.6E-2</v>
      </c>
      <c r="AS956" s="213"/>
    </row>
    <row r="957" spans="1:45" ht="15.75" customHeight="1" x14ac:dyDescent="0.3">
      <c r="A957" s="192" t="s">
        <v>9</v>
      </c>
      <c r="B957" s="189">
        <f t="shared" ref="B957:B967" si="265">ROUND(R929-G929,0)</f>
        <v>123995</v>
      </c>
      <c r="C957" s="182">
        <f t="shared" ref="C957:C967" si="266">+ROUND(B957*$C$953,0)</f>
        <v>0</v>
      </c>
      <c r="D957" s="182">
        <f t="shared" ref="D957:D967" si="267">AS929</f>
        <v>5343</v>
      </c>
      <c r="E957" s="182">
        <f t="shared" ref="E957:E969" si="268">+B957+C957</f>
        <v>123995</v>
      </c>
      <c r="F957" s="307">
        <f t="shared" ref="F957:F967" si="269">(D957+E957)</f>
        <v>129338</v>
      </c>
      <c r="G957" s="189">
        <f t="shared" ref="G957:G967" si="270">ABS(G929)</f>
        <v>1124.2227743533608</v>
      </c>
      <c r="H957" s="238">
        <v>12306</v>
      </c>
      <c r="I957" s="238">
        <v>0</v>
      </c>
      <c r="J957" s="182">
        <f t="shared" ref="J957:J966" si="271">(H957+I957)</f>
        <v>12306</v>
      </c>
      <c r="K957" s="238">
        <v>0</v>
      </c>
      <c r="L957" s="238">
        <v>0</v>
      </c>
      <c r="M957" s="239">
        <v>233184</v>
      </c>
      <c r="N957" s="240">
        <v>0</v>
      </c>
      <c r="O957" s="310">
        <f t="shared" ref="O957:O969" si="272">+M957+N957</f>
        <v>233184</v>
      </c>
      <c r="P957" s="242">
        <f t="shared" ref="P957:P967" si="273">(F957-G957-J957-K957-L957-O957)</f>
        <v>-117276.22277435336</v>
      </c>
      <c r="Q957" s="182" t="str">
        <f t="shared" ref="Q957:Q967" si="274">+IF(P957&gt;=0,ABS(P957),"")</f>
        <v/>
      </c>
      <c r="R957" s="307">
        <f t="shared" ref="R957:R967" si="275">+IF(P957&lt;=0,ABS(P957),"")</f>
        <v>117276.22277435336</v>
      </c>
      <c r="S957" s="306"/>
      <c r="AC957" s="211" t="s">
        <v>720</v>
      </c>
      <c r="AD957" s="212"/>
      <c r="AE957" s="212"/>
      <c r="AF957" s="212"/>
      <c r="AG957" s="212"/>
      <c r="AH957" s="212"/>
      <c r="AI957" s="212"/>
      <c r="AJ957" s="212"/>
      <c r="AK957" s="212"/>
      <c r="AL957" s="212"/>
      <c r="AM957" s="212"/>
      <c r="AN957" s="212"/>
      <c r="AO957" s="212"/>
      <c r="AP957" s="212"/>
      <c r="AQ957" s="212"/>
      <c r="AR957" s="212"/>
      <c r="AS957" s="213"/>
    </row>
    <row r="958" spans="1:45" ht="15.75" customHeight="1" x14ac:dyDescent="0.3">
      <c r="A958" s="192" t="s">
        <v>10</v>
      </c>
      <c r="B958" s="189">
        <f t="shared" si="265"/>
        <v>308189</v>
      </c>
      <c r="C958" s="182">
        <f t="shared" si="266"/>
        <v>0</v>
      </c>
      <c r="D958" s="182">
        <f t="shared" si="267"/>
        <v>13250</v>
      </c>
      <c r="E958" s="182">
        <f t="shared" si="268"/>
        <v>308189</v>
      </c>
      <c r="F958" s="307">
        <f t="shared" si="269"/>
        <v>321439</v>
      </c>
      <c r="G958" s="189">
        <f t="shared" si="270"/>
        <v>0</v>
      </c>
      <c r="H958" s="238">
        <v>15967</v>
      </c>
      <c r="I958" s="238">
        <v>0</v>
      </c>
      <c r="J958" s="182">
        <f t="shared" si="271"/>
        <v>15967</v>
      </c>
      <c r="K958" s="238">
        <v>0</v>
      </c>
      <c r="L958" s="238">
        <v>0</v>
      </c>
      <c r="M958" s="239">
        <v>252216</v>
      </c>
      <c r="N958" s="240">
        <v>0</v>
      </c>
      <c r="O958" s="310">
        <f t="shared" si="272"/>
        <v>252216</v>
      </c>
      <c r="P958" s="242">
        <f t="shared" si="273"/>
        <v>53256</v>
      </c>
      <c r="Q958" s="182">
        <f t="shared" si="274"/>
        <v>53256</v>
      </c>
      <c r="R958" s="307" t="str">
        <f t="shared" si="275"/>
        <v/>
      </c>
      <c r="S958" s="306"/>
      <c r="AC958" s="211" t="s">
        <v>721</v>
      </c>
      <c r="AD958" s="212"/>
      <c r="AE958" s="212"/>
      <c r="AF958" s="212"/>
      <c r="AG958" s="212"/>
      <c r="AH958" s="212"/>
      <c r="AI958" s="212"/>
      <c r="AJ958" s="212"/>
      <c r="AK958" s="212"/>
      <c r="AL958" s="212"/>
      <c r="AM958" s="212"/>
      <c r="AN958" s="212"/>
      <c r="AO958" s="212"/>
      <c r="AP958" s="212"/>
      <c r="AQ958" s="212"/>
      <c r="AR958" s="212"/>
      <c r="AS958" s="213"/>
    </row>
    <row r="959" spans="1:45" ht="15.75" customHeight="1" x14ac:dyDescent="0.3">
      <c r="A959" s="192" t="s">
        <v>12</v>
      </c>
      <c r="B959" s="189">
        <f t="shared" si="265"/>
        <v>296852</v>
      </c>
      <c r="C959" s="182">
        <f t="shared" si="266"/>
        <v>0</v>
      </c>
      <c r="D959" s="182">
        <f t="shared" si="267"/>
        <v>13001</v>
      </c>
      <c r="E959" s="182">
        <f t="shared" si="268"/>
        <v>296852</v>
      </c>
      <c r="F959" s="307">
        <f t="shared" si="269"/>
        <v>309853</v>
      </c>
      <c r="G959" s="189">
        <f t="shared" si="270"/>
        <v>0</v>
      </c>
      <c r="H959" s="238">
        <v>17688</v>
      </c>
      <c r="I959" s="238">
        <v>0</v>
      </c>
      <c r="J959" s="182">
        <f t="shared" si="271"/>
        <v>17688</v>
      </c>
      <c r="K959" s="238">
        <v>0</v>
      </c>
      <c r="L959" s="238">
        <v>0</v>
      </c>
      <c r="M959" s="239">
        <f>288960+4080</f>
        <v>293040</v>
      </c>
      <c r="N959" s="240">
        <v>0</v>
      </c>
      <c r="O959" s="310">
        <f t="shared" si="272"/>
        <v>293040</v>
      </c>
      <c r="P959" s="242">
        <f t="shared" si="273"/>
        <v>-875</v>
      </c>
      <c r="Q959" s="182" t="str">
        <f t="shared" si="274"/>
        <v/>
      </c>
      <c r="R959" s="307">
        <f t="shared" si="275"/>
        <v>875</v>
      </c>
      <c r="S959" s="306"/>
      <c r="AC959" s="211" t="s">
        <v>137</v>
      </c>
      <c r="AD959" s="212"/>
      <c r="AE959" s="212"/>
      <c r="AF959" s="212"/>
      <c r="AG959" s="212"/>
      <c r="AH959" s="212"/>
      <c r="AI959" s="212"/>
      <c r="AJ959" s="212"/>
      <c r="AK959" s="212"/>
      <c r="AL959" s="212"/>
      <c r="AM959" s="212"/>
      <c r="AN959" s="212"/>
      <c r="AO959" s="212"/>
      <c r="AP959" s="212"/>
      <c r="AQ959" s="212"/>
      <c r="AR959" s="212"/>
      <c r="AS959" s="213"/>
    </row>
    <row r="960" spans="1:45" ht="15.75" customHeight="1" x14ac:dyDescent="0.3">
      <c r="A960" s="192" t="s">
        <v>13</v>
      </c>
      <c r="B960" s="189">
        <f t="shared" si="265"/>
        <v>305193</v>
      </c>
      <c r="C960" s="182">
        <f t="shared" si="266"/>
        <v>0</v>
      </c>
      <c r="D960" s="182">
        <f t="shared" si="267"/>
        <v>13445</v>
      </c>
      <c r="E960" s="182">
        <f t="shared" si="268"/>
        <v>305193</v>
      </c>
      <c r="F960" s="307">
        <f t="shared" si="269"/>
        <v>318638</v>
      </c>
      <c r="G960" s="189">
        <f t="shared" si="270"/>
        <v>0</v>
      </c>
      <c r="H960" s="238">
        <v>14945</v>
      </c>
      <c r="I960" s="238">
        <v>0</v>
      </c>
      <c r="J960" s="182">
        <f t="shared" si="271"/>
        <v>14945</v>
      </c>
      <c r="K960" s="238">
        <v>0</v>
      </c>
      <c r="L960" s="238">
        <v>0</v>
      </c>
      <c r="M960" s="239">
        <f>299336+3264</f>
        <v>302600</v>
      </c>
      <c r="N960" s="240">
        <v>0</v>
      </c>
      <c r="O960" s="310">
        <f t="shared" si="272"/>
        <v>302600</v>
      </c>
      <c r="P960" s="242">
        <f t="shared" si="273"/>
        <v>1093</v>
      </c>
      <c r="Q960" s="182">
        <f t="shared" si="274"/>
        <v>1093</v>
      </c>
      <c r="R960" s="307" t="str">
        <f t="shared" si="275"/>
        <v/>
      </c>
      <c r="S960" s="306"/>
      <c r="AC960" s="211" t="s">
        <v>772</v>
      </c>
      <c r="AD960" s="212"/>
      <c r="AE960" s="212"/>
      <c r="AF960" s="212"/>
      <c r="AG960" s="212"/>
      <c r="AH960" s="212"/>
      <c r="AI960" s="212"/>
      <c r="AJ960" s="212">
        <v>2.5000000000000001E-2</v>
      </c>
      <c r="AK960" s="212">
        <v>2.5000000000000001E-2</v>
      </c>
      <c r="AL960" s="212">
        <v>2.5000000000000001E-2</v>
      </c>
      <c r="AM960" s="212">
        <v>2.5000000000000001E-2</v>
      </c>
      <c r="AN960" s="212">
        <v>2.5000000000000001E-2</v>
      </c>
      <c r="AO960" s="212">
        <v>2.5000000000000001E-2</v>
      </c>
      <c r="AP960" s="212">
        <v>2.5000000000000001E-2</v>
      </c>
      <c r="AQ960" s="212">
        <v>2.5000000000000001E-2</v>
      </c>
      <c r="AR960" s="212">
        <v>2.5000000000000001E-2</v>
      </c>
      <c r="AS960" s="213"/>
    </row>
    <row r="961" spans="1:45" ht="15.75" customHeight="1" x14ac:dyDescent="0.3">
      <c r="A961" s="192" t="s">
        <v>14</v>
      </c>
      <c r="B961" s="189">
        <f t="shared" si="265"/>
        <v>166393</v>
      </c>
      <c r="C961" s="182">
        <f t="shared" si="266"/>
        <v>0</v>
      </c>
      <c r="D961" s="182">
        <f t="shared" si="267"/>
        <v>7008</v>
      </c>
      <c r="E961" s="182">
        <f t="shared" si="268"/>
        <v>166393</v>
      </c>
      <c r="F961" s="307">
        <f t="shared" si="269"/>
        <v>173401</v>
      </c>
      <c r="G961" s="189">
        <f t="shared" si="270"/>
        <v>14768.019833188744</v>
      </c>
      <c r="H961" s="238">
        <v>13053</v>
      </c>
      <c r="I961" s="238">
        <v>0</v>
      </c>
      <c r="J961" s="182">
        <f t="shared" si="271"/>
        <v>13053</v>
      </c>
      <c r="K961" s="238">
        <v>0</v>
      </c>
      <c r="L961" s="238">
        <v>0</v>
      </c>
      <c r="M961" s="239">
        <v>120780</v>
      </c>
      <c r="N961" s="240">
        <v>15300</v>
      </c>
      <c r="O961" s="310">
        <f t="shared" si="272"/>
        <v>136080</v>
      </c>
      <c r="P961" s="242">
        <f t="shared" si="273"/>
        <v>9499.9801668112632</v>
      </c>
      <c r="Q961" s="182">
        <f t="shared" si="274"/>
        <v>9499.9801668112632</v>
      </c>
      <c r="R961" s="307" t="str">
        <f t="shared" si="275"/>
        <v/>
      </c>
      <c r="S961" s="306"/>
      <c r="AC961" s="211" t="s">
        <v>641</v>
      </c>
      <c r="AD961" s="215">
        <f>SUM(AD956:AD960)</f>
        <v>0</v>
      </c>
      <c r="AE961" s="215">
        <f t="shared" ref="AE961:AR961" si="276">SUM(AE956:AE960)</f>
        <v>0</v>
      </c>
      <c r="AF961" s="215">
        <f t="shared" si="276"/>
        <v>0</v>
      </c>
      <c r="AG961" s="215">
        <f t="shared" si="276"/>
        <v>0</v>
      </c>
      <c r="AH961" s="215">
        <f t="shared" si="276"/>
        <v>1.6E-2</v>
      </c>
      <c r="AI961" s="215">
        <f t="shared" si="276"/>
        <v>1.6E-2</v>
      </c>
      <c r="AJ961" s="215">
        <f t="shared" si="276"/>
        <v>4.1000000000000002E-2</v>
      </c>
      <c r="AK961" s="215">
        <f t="shared" si="276"/>
        <v>4.1000000000000002E-2</v>
      </c>
      <c r="AL961" s="215">
        <f t="shared" si="276"/>
        <v>4.1000000000000002E-2</v>
      </c>
      <c r="AM961" s="215">
        <f t="shared" si="276"/>
        <v>4.1000000000000002E-2</v>
      </c>
      <c r="AN961" s="215">
        <f t="shared" si="276"/>
        <v>4.1000000000000002E-2</v>
      </c>
      <c r="AO961" s="215">
        <f t="shared" si="276"/>
        <v>4.1000000000000002E-2</v>
      </c>
      <c r="AP961" s="215">
        <f t="shared" si="276"/>
        <v>4.1000000000000002E-2</v>
      </c>
      <c r="AQ961" s="215">
        <f t="shared" si="276"/>
        <v>4.1000000000000002E-2</v>
      </c>
      <c r="AR961" s="215">
        <f t="shared" si="276"/>
        <v>4.1000000000000002E-2</v>
      </c>
      <c r="AS961" s="213"/>
    </row>
    <row r="962" spans="1:45" ht="15.75" customHeight="1" x14ac:dyDescent="0.3">
      <c r="A962" s="192" t="s">
        <v>16</v>
      </c>
      <c r="B962" s="189">
        <f t="shared" si="265"/>
        <v>150658</v>
      </c>
      <c r="C962" s="182">
        <f t="shared" si="266"/>
        <v>0</v>
      </c>
      <c r="D962" s="182">
        <f t="shared" si="267"/>
        <v>6241</v>
      </c>
      <c r="E962" s="182">
        <f t="shared" si="268"/>
        <v>150658</v>
      </c>
      <c r="F962" s="307">
        <f t="shared" si="269"/>
        <v>156899</v>
      </c>
      <c r="G962" s="189">
        <f t="shared" si="270"/>
        <v>12681.59175633266</v>
      </c>
      <c r="H962" s="238">
        <v>12390</v>
      </c>
      <c r="I962" s="238">
        <v>0</v>
      </c>
      <c r="J962" s="182">
        <f t="shared" si="271"/>
        <v>12390</v>
      </c>
      <c r="K962" s="238">
        <v>0</v>
      </c>
      <c r="L962" s="238">
        <v>0</v>
      </c>
      <c r="M962" s="239">
        <v>118296</v>
      </c>
      <c r="N962" s="240">
        <v>15872</v>
      </c>
      <c r="O962" s="310">
        <f t="shared" si="272"/>
        <v>134168</v>
      </c>
      <c r="P962" s="242">
        <f t="shared" si="273"/>
        <v>-2340.5917563326657</v>
      </c>
      <c r="Q962" s="182" t="str">
        <f t="shared" si="274"/>
        <v/>
      </c>
      <c r="R962" s="307">
        <f t="shared" si="275"/>
        <v>2340.5917563326657</v>
      </c>
      <c r="S962" s="306"/>
      <c r="AC962" s="189" t="s">
        <v>666</v>
      </c>
      <c r="AD962" s="182" t="s">
        <v>666</v>
      </c>
      <c r="AE962" s="182" t="s">
        <v>666</v>
      </c>
      <c r="AF962" s="182" t="s">
        <v>666</v>
      </c>
      <c r="AG962" s="182" t="s">
        <v>666</v>
      </c>
      <c r="AH962" s="182" t="s">
        <v>666</v>
      </c>
      <c r="AI962" s="182" t="s">
        <v>666</v>
      </c>
      <c r="AJ962" s="182" t="s">
        <v>666</v>
      </c>
      <c r="AK962" s="182" t="s">
        <v>666</v>
      </c>
      <c r="AL962" s="182" t="s">
        <v>666</v>
      </c>
      <c r="AM962" s="182" t="s">
        <v>666</v>
      </c>
      <c r="AN962" s="182" t="s">
        <v>666</v>
      </c>
      <c r="AO962" s="182" t="s">
        <v>666</v>
      </c>
      <c r="AP962" s="182" t="s">
        <v>666</v>
      </c>
      <c r="AQ962" s="182" t="s">
        <v>666</v>
      </c>
      <c r="AR962" s="182" t="s">
        <v>666</v>
      </c>
      <c r="AS962" s="213" t="s">
        <v>666</v>
      </c>
    </row>
    <row r="963" spans="1:45" ht="15.75" customHeight="1" x14ac:dyDescent="0.3">
      <c r="A963" s="192" t="s">
        <v>17</v>
      </c>
      <c r="B963" s="189">
        <f t="shared" si="265"/>
        <v>144539</v>
      </c>
      <c r="C963" s="182">
        <f t="shared" si="266"/>
        <v>0</v>
      </c>
      <c r="D963" s="182">
        <f t="shared" si="267"/>
        <v>6039</v>
      </c>
      <c r="E963" s="182">
        <f t="shared" si="268"/>
        <v>144539</v>
      </c>
      <c r="F963" s="307">
        <f t="shared" si="269"/>
        <v>150578</v>
      </c>
      <c r="G963" s="189">
        <f t="shared" si="270"/>
        <v>8765.2750176405771</v>
      </c>
      <c r="H963" s="238">
        <v>11006</v>
      </c>
      <c r="I963" s="238">
        <v>0</v>
      </c>
      <c r="J963" s="182">
        <f t="shared" si="271"/>
        <v>11006</v>
      </c>
      <c r="K963" s="238">
        <v>0</v>
      </c>
      <c r="L963" s="238">
        <v>0</v>
      </c>
      <c r="M963" s="239">
        <v>120280</v>
      </c>
      <c r="N963" s="240">
        <v>15376</v>
      </c>
      <c r="O963" s="310">
        <f t="shared" si="272"/>
        <v>135656</v>
      </c>
      <c r="P963" s="242">
        <f t="shared" si="273"/>
        <v>-4849.2750176405825</v>
      </c>
      <c r="Q963" s="182" t="str">
        <f t="shared" si="274"/>
        <v/>
      </c>
      <c r="R963" s="307">
        <f t="shared" si="275"/>
        <v>4849.2750176405825</v>
      </c>
      <c r="S963" s="306"/>
      <c r="AC963" s="211" t="s">
        <v>8</v>
      </c>
      <c r="AD963" s="180">
        <f>ROUND(B928*$AD$961, 0)</f>
        <v>0</v>
      </c>
      <c r="AE963" s="180">
        <f>ROUND(C928*$AE$961,0)</f>
        <v>0</v>
      </c>
      <c r="AF963" s="180">
        <f>ROUND(D928*$AF$961,0)</f>
        <v>0</v>
      </c>
      <c r="AG963" s="180">
        <f>ROUND(E928*$AG$961,0)</f>
        <v>0</v>
      </c>
      <c r="AH963" s="180">
        <f>ROUND(F928*$AH$961,0)</f>
        <v>237</v>
      </c>
      <c r="AI963" s="180">
        <f>ROUND(H928*$AI$961,0)</f>
        <v>64</v>
      </c>
      <c r="AJ963" s="180">
        <f>ROUND(I928*$AJ$961,0)</f>
        <v>107</v>
      </c>
      <c r="AK963" s="180">
        <f>ROUND(J928*$AK$961,0)</f>
        <v>164</v>
      </c>
      <c r="AL963" s="180">
        <f>ROUND(K928*$AL$961,0)</f>
        <v>168</v>
      </c>
      <c r="AM963" s="180">
        <f>ROUND(L928*$AM$961,0)</f>
        <v>58</v>
      </c>
      <c r="AN963" s="180">
        <f>ROUND(M928*$AN$961,0)</f>
        <v>69</v>
      </c>
      <c r="AO963" s="180">
        <f>ROUND(N928*$AO$961,0)</f>
        <v>139</v>
      </c>
      <c r="AP963" s="180">
        <f>ROUND(O928*$AP$961,0)</f>
        <v>26</v>
      </c>
      <c r="AQ963" s="180">
        <f>ROUND(P928*$AQ$961,0)</f>
        <v>37</v>
      </c>
      <c r="AR963" s="180">
        <f>ROUND(Q928*$AR$961,0)</f>
        <v>62</v>
      </c>
      <c r="AS963" s="210">
        <f>SUM(AD963:AR963)</f>
        <v>1131</v>
      </c>
    </row>
    <row r="964" spans="1:45" ht="15.75" customHeight="1" x14ac:dyDescent="0.3">
      <c r="A964" s="192" t="s">
        <v>18</v>
      </c>
      <c r="B964" s="189">
        <f t="shared" si="265"/>
        <v>233246</v>
      </c>
      <c r="C964" s="182">
        <f t="shared" si="266"/>
        <v>0</v>
      </c>
      <c r="D964" s="182">
        <f t="shared" si="267"/>
        <v>10324</v>
      </c>
      <c r="E964" s="182">
        <f t="shared" si="268"/>
        <v>233246</v>
      </c>
      <c r="F964" s="307">
        <f t="shared" si="269"/>
        <v>243570</v>
      </c>
      <c r="G964" s="189">
        <f t="shared" si="270"/>
        <v>0</v>
      </c>
      <c r="H964" s="238">
        <v>10687</v>
      </c>
      <c r="I964" s="238">
        <v>0</v>
      </c>
      <c r="J964" s="182">
        <f t="shared" si="271"/>
        <v>10687</v>
      </c>
      <c r="K964" s="238">
        <v>0</v>
      </c>
      <c r="L964" s="238">
        <v>0</v>
      </c>
      <c r="M964" s="239">
        <v>207840</v>
      </c>
      <c r="N964" s="240">
        <v>37200</v>
      </c>
      <c r="O964" s="310">
        <f t="shared" si="272"/>
        <v>245040</v>
      </c>
      <c r="P964" s="242">
        <f t="shared" si="273"/>
        <v>-12157</v>
      </c>
      <c r="Q964" s="182" t="str">
        <f t="shared" si="274"/>
        <v/>
      </c>
      <c r="R964" s="307">
        <f t="shared" si="275"/>
        <v>12157</v>
      </c>
      <c r="S964" s="306"/>
      <c r="AC964" s="211" t="s">
        <v>9</v>
      </c>
      <c r="AD964" s="180">
        <f t="shared" ref="AD964:AD974" si="277">ROUND(B929*$AD$961, 0)</f>
        <v>0</v>
      </c>
      <c r="AE964" s="180">
        <f t="shared" ref="AE964:AE974" si="278">ROUND(C929*$AE$961,0)</f>
        <v>0</v>
      </c>
      <c r="AF964" s="180">
        <f t="shared" ref="AF964:AF974" si="279">ROUND(D929*$AF$961,0)</f>
        <v>0</v>
      </c>
      <c r="AG964" s="180">
        <f t="shared" ref="AG964:AG974" si="280">ROUND(E929*$AG$961,0)</f>
        <v>0</v>
      </c>
      <c r="AH964" s="180">
        <f t="shared" ref="AH964:AH974" si="281">ROUND(F929*$AH$961,0)</f>
        <v>0</v>
      </c>
      <c r="AI964" s="180">
        <f t="shared" ref="AI964:AI974" si="282">ROUND(H929*$AI$961,0)</f>
        <v>76</v>
      </c>
      <c r="AJ964" s="180">
        <f t="shared" ref="AJ964:AJ974" si="283">ROUND(I929*$AJ$961,0)</f>
        <v>126</v>
      </c>
      <c r="AK964" s="180">
        <f t="shared" ref="AK964:AK974" si="284">ROUND(J929*$AK$961,0)</f>
        <v>190</v>
      </c>
      <c r="AL964" s="180">
        <f t="shared" ref="AL964:AL974" si="285">ROUND(K929*$AL$961,0)</f>
        <v>194</v>
      </c>
      <c r="AM964" s="180">
        <f t="shared" ref="AM964:AM974" si="286">ROUND(L929*$AM$961,0)</f>
        <v>65</v>
      </c>
      <c r="AN964" s="180">
        <f t="shared" ref="AN964:AN974" si="287">ROUND(M929*$AN$961,0)</f>
        <v>77</v>
      </c>
      <c r="AO964" s="180">
        <f t="shared" ref="AO964:AO974" si="288">ROUND(N929*$AO$961,0)</f>
        <v>154</v>
      </c>
      <c r="AP964" s="180">
        <f t="shared" ref="AP964:AP974" si="289">ROUND(O929*$AP$961,0)</f>
        <v>38</v>
      </c>
      <c r="AQ964" s="180">
        <f t="shared" ref="AQ964:AQ974" si="290">ROUND(P929*$AQ$961,0)</f>
        <v>39</v>
      </c>
      <c r="AR964" s="180">
        <f t="shared" ref="AR964:AR974" si="291">ROUND(Q929*$AR$961,0)</f>
        <v>90</v>
      </c>
      <c r="AS964" s="210">
        <f t="shared" ref="AS964:AS974" si="292">SUM(AD964:AR964)</f>
        <v>1049</v>
      </c>
    </row>
    <row r="965" spans="1:45" ht="15.75" customHeight="1" x14ac:dyDescent="0.3">
      <c r="A965" s="192" t="s">
        <v>20</v>
      </c>
      <c r="B965" s="189">
        <f t="shared" si="265"/>
        <v>210328</v>
      </c>
      <c r="C965" s="182">
        <f t="shared" si="266"/>
        <v>0</v>
      </c>
      <c r="D965" s="182">
        <f t="shared" si="267"/>
        <v>9300</v>
      </c>
      <c r="E965" s="182">
        <f t="shared" si="268"/>
        <v>210328</v>
      </c>
      <c r="F965" s="307">
        <f t="shared" si="269"/>
        <v>219628</v>
      </c>
      <c r="G965" s="189">
        <f t="shared" si="270"/>
        <v>0</v>
      </c>
      <c r="H965" s="238">
        <v>7861</v>
      </c>
      <c r="I965" s="238">
        <v>0</v>
      </c>
      <c r="J965" s="182">
        <f t="shared" si="271"/>
        <v>7861</v>
      </c>
      <c r="K965" s="238">
        <v>0</v>
      </c>
      <c r="L965" s="238">
        <v>0</v>
      </c>
      <c r="M965" s="239">
        <v>182776</v>
      </c>
      <c r="N965" s="240">
        <v>0</v>
      </c>
      <c r="O965" s="310">
        <f t="shared" si="272"/>
        <v>182776</v>
      </c>
      <c r="P965" s="242">
        <f t="shared" si="273"/>
        <v>28991</v>
      </c>
      <c r="Q965" s="182">
        <f t="shared" si="274"/>
        <v>28991</v>
      </c>
      <c r="R965" s="307" t="str">
        <f t="shared" si="275"/>
        <v/>
      </c>
      <c r="S965" s="306"/>
      <c r="AC965" s="211" t="s">
        <v>10</v>
      </c>
      <c r="AD965" s="180">
        <f t="shared" si="277"/>
        <v>0</v>
      </c>
      <c r="AE965" s="180">
        <f t="shared" si="278"/>
        <v>0</v>
      </c>
      <c r="AF965" s="180">
        <f t="shared" si="279"/>
        <v>0</v>
      </c>
      <c r="AG965" s="180">
        <f t="shared" si="280"/>
        <v>0</v>
      </c>
      <c r="AH965" s="180">
        <f t="shared" si="281"/>
        <v>191</v>
      </c>
      <c r="AI965" s="180">
        <f t="shared" si="282"/>
        <v>131</v>
      </c>
      <c r="AJ965" s="180">
        <f t="shared" si="283"/>
        <v>217</v>
      </c>
      <c r="AK965" s="180">
        <f t="shared" si="284"/>
        <v>275</v>
      </c>
      <c r="AL965" s="180">
        <f t="shared" si="285"/>
        <v>245</v>
      </c>
      <c r="AM965" s="180">
        <f t="shared" si="286"/>
        <v>81</v>
      </c>
      <c r="AN965" s="180">
        <f t="shared" si="287"/>
        <v>96</v>
      </c>
      <c r="AO965" s="180">
        <f t="shared" si="288"/>
        <v>194</v>
      </c>
      <c r="AP965" s="180">
        <f t="shared" si="289"/>
        <v>35</v>
      </c>
      <c r="AQ965" s="180">
        <f t="shared" si="290"/>
        <v>64</v>
      </c>
      <c r="AR965" s="180">
        <f t="shared" si="291"/>
        <v>82</v>
      </c>
      <c r="AS965" s="210">
        <f t="shared" si="292"/>
        <v>1611</v>
      </c>
    </row>
    <row r="966" spans="1:45" ht="15.75" customHeight="1" x14ac:dyDescent="0.3">
      <c r="A966" s="192" t="s">
        <v>21</v>
      </c>
      <c r="B966" s="189">
        <f t="shared" si="265"/>
        <v>206397</v>
      </c>
      <c r="C966" s="182">
        <f t="shared" si="266"/>
        <v>0</v>
      </c>
      <c r="D966" s="182">
        <f t="shared" si="267"/>
        <v>8905</v>
      </c>
      <c r="E966" s="182">
        <f t="shared" si="268"/>
        <v>206397</v>
      </c>
      <c r="F966" s="307">
        <f t="shared" si="269"/>
        <v>215302</v>
      </c>
      <c r="G966" s="189">
        <f t="shared" si="270"/>
        <v>0</v>
      </c>
      <c r="H966" s="238">
        <v>11207</v>
      </c>
      <c r="I966" s="238">
        <v>0</v>
      </c>
      <c r="J966" s="182">
        <f t="shared" si="271"/>
        <v>11207</v>
      </c>
      <c r="K966" s="238">
        <v>0</v>
      </c>
      <c r="L966" s="238">
        <v>0</v>
      </c>
      <c r="M966" s="239">
        <v>177600</v>
      </c>
      <c r="N966" s="240">
        <v>0</v>
      </c>
      <c r="O966" s="310">
        <f t="shared" si="272"/>
        <v>177600</v>
      </c>
      <c r="P966" s="242">
        <f t="shared" si="273"/>
        <v>26495</v>
      </c>
      <c r="Q966" s="182">
        <f t="shared" si="274"/>
        <v>26495</v>
      </c>
      <c r="R966" s="307" t="str">
        <f t="shared" si="275"/>
        <v/>
      </c>
      <c r="S966" s="306"/>
      <c r="AC966" s="211" t="s">
        <v>12</v>
      </c>
      <c r="AD966" s="180">
        <f t="shared" si="277"/>
        <v>0</v>
      </c>
      <c r="AE966" s="180">
        <f t="shared" si="278"/>
        <v>0</v>
      </c>
      <c r="AF966" s="180">
        <f t="shared" si="279"/>
        <v>0</v>
      </c>
      <c r="AG966" s="180">
        <f t="shared" si="280"/>
        <v>0</v>
      </c>
      <c r="AH966" s="180">
        <f t="shared" si="281"/>
        <v>69</v>
      </c>
      <c r="AI966" s="180">
        <f t="shared" si="282"/>
        <v>166</v>
      </c>
      <c r="AJ966" s="180">
        <f t="shared" si="283"/>
        <v>281</v>
      </c>
      <c r="AK966" s="180">
        <f t="shared" si="284"/>
        <v>295</v>
      </c>
      <c r="AL966" s="180">
        <f t="shared" si="285"/>
        <v>252</v>
      </c>
      <c r="AM966" s="180">
        <f t="shared" si="286"/>
        <v>81</v>
      </c>
      <c r="AN966" s="180">
        <f t="shared" si="287"/>
        <v>95</v>
      </c>
      <c r="AO966" s="180">
        <f t="shared" si="288"/>
        <v>191</v>
      </c>
      <c r="AP966" s="180">
        <f t="shared" si="289"/>
        <v>35</v>
      </c>
      <c r="AQ966" s="180">
        <f t="shared" si="290"/>
        <v>68</v>
      </c>
      <c r="AR966" s="180">
        <f t="shared" si="291"/>
        <v>82</v>
      </c>
      <c r="AS966" s="210">
        <f t="shared" si="292"/>
        <v>1615</v>
      </c>
    </row>
    <row r="967" spans="1:45" ht="15.75" customHeight="1" x14ac:dyDescent="0.3">
      <c r="A967" s="192" t="s">
        <v>22</v>
      </c>
      <c r="B967" s="189">
        <f t="shared" si="265"/>
        <v>213964</v>
      </c>
      <c r="C967" s="182">
        <f t="shared" si="266"/>
        <v>0</v>
      </c>
      <c r="D967" s="182">
        <f t="shared" si="267"/>
        <v>9250</v>
      </c>
      <c r="E967" s="182">
        <f t="shared" si="268"/>
        <v>213964</v>
      </c>
      <c r="F967" s="307">
        <f t="shared" si="269"/>
        <v>223214</v>
      </c>
      <c r="G967" s="189">
        <f t="shared" si="270"/>
        <v>0</v>
      </c>
      <c r="H967" s="238">
        <v>7321</v>
      </c>
      <c r="I967" s="238">
        <v>0</v>
      </c>
      <c r="J967" s="182">
        <f>(H967+I967)</f>
        <v>7321</v>
      </c>
      <c r="K967" s="238">
        <v>0</v>
      </c>
      <c r="L967" s="238">
        <v>0</v>
      </c>
      <c r="M967" s="239">
        <v>193192</v>
      </c>
      <c r="N967" s="240">
        <v>0</v>
      </c>
      <c r="O967" s="310">
        <f t="shared" si="272"/>
        <v>193192</v>
      </c>
      <c r="P967" s="242">
        <f t="shared" si="273"/>
        <v>22701</v>
      </c>
      <c r="Q967" s="182">
        <f t="shared" si="274"/>
        <v>22701</v>
      </c>
      <c r="R967" s="307" t="str">
        <f t="shared" si="275"/>
        <v/>
      </c>
      <c r="S967" s="306"/>
      <c r="AC967" s="211" t="s">
        <v>13</v>
      </c>
      <c r="AD967" s="180">
        <f t="shared" si="277"/>
        <v>0</v>
      </c>
      <c r="AE967" s="180">
        <f t="shared" si="278"/>
        <v>0</v>
      </c>
      <c r="AF967" s="180">
        <f t="shared" si="279"/>
        <v>0</v>
      </c>
      <c r="AG967" s="180">
        <f t="shared" si="280"/>
        <v>0</v>
      </c>
      <c r="AH967" s="180">
        <f t="shared" si="281"/>
        <v>38</v>
      </c>
      <c r="AI967" s="180">
        <f t="shared" si="282"/>
        <v>174</v>
      </c>
      <c r="AJ967" s="180">
        <f t="shared" si="283"/>
        <v>250</v>
      </c>
      <c r="AK967" s="180">
        <f t="shared" si="284"/>
        <v>298</v>
      </c>
      <c r="AL967" s="180">
        <f t="shared" si="285"/>
        <v>281</v>
      </c>
      <c r="AM967" s="180">
        <f t="shared" si="286"/>
        <v>93</v>
      </c>
      <c r="AN967" s="180">
        <f t="shared" si="287"/>
        <v>110</v>
      </c>
      <c r="AO967" s="180">
        <f t="shared" si="288"/>
        <v>215</v>
      </c>
      <c r="AP967" s="180">
        <f t="shared" si="289"/>
        <v>41</v>
      </c>
      <c r="AQ967" s="180">
        <f t="shared" si="290"/>
        <v>68</v>
      </c>
      <c r="AR967" s="180">
        <f t="shared" si="291"/>
        <v>98</v>
      </c>
      <c r="AS967" s="210">
        <f t="shared" si="292"/>
        <v>1666</v>
      </c>
    </row>
    <row r="968" spans="1:45" ht="15.75" customHeight="1" x14ac:dyDescent="0.3">
      <c r="A968" s="213" t="s">
        <v>633</v>
      </c>
      <c r="B968" s="189" t="s">
        <v>633</v>
      </c>
      <c r="C968" s="182"/>
      <c r="D968" s="182"/>
      <c r="E968" s="182" t="s">
        <v>7</v>
      </c>
      <c r="F968" s="307"/>
      <c r="G968" s="189"/>
      <c r="H968" s="182"/>
      <c r="I968" s="182" t="s">
        <v>7</v>
      </c>
      <c r="J968" s="182" t="s">
        <v>7</v>
      </c>
      <c r="K968" s="243"/>
      <c r="L968" s="182"/>
      <c r="M968" s="239"/>
      <c r="N968" s="240"/>
      <c r="O968" s="310"/>
      <c r="P968" s="242"/>
      <c r="Q968" s="182"/>
      <c r="R968" s="307"/>
      <c r="S968" s="306"/>
      <c r="AC968" s="211" t="s">
        <v>14</v>
      </c>
      <c r="AD968" s="180">
        <f t="shared" si="277"/>
        <v>0</v>
      </c>
      <c r="AE968" s="180">
        <f t="shared" si="278"/>
        <v>0</v>
      </c>
      <c r="AF968" s="180">
        <f t="shared" si="279"/>
        <v>0</v>
      </c>
      <c r="AG968" s="180">
        <f t="shared" si="280"/>
        <v>0</v>
      </c>
      <c r="AH968" s="180">
        <f t="shared" si="281"/>
        <v>0</v>
      </c>
      <c r="AI968" s="180">
        <f t="shared" si="282"/>
        <v>218</v>
      </c>
      <c r="AJ968" s="180">
        <f t="shared" si="283"/>
        <v>255</v>
      </c>
      <c r="AK968" s="180">
        <f t="shared" si="284"/>
        <v>302</v>
      </c>
      <c r="AL968" s="180">
        <f t="shared" si="285"/>
        <v>257</v>
      </c>
      <c r="AM968" s="180">
        <f t="shared" si="286"/>
        <v>87</v>
      </c>
      <c r="AN968" s="180">
        <f t="shared" si="287"/>
        <v>103</v>
      </c>
      <c r="AO968" s="180">
        <f t="shared" si="288"/>
        <v>200</v>
      </c>
      <c r="AP968" s="180">
        <f t="shared" si="289"/>
        <v>36</v>
      </c>
      <c r="AQ968" s="180">
        <f t="shared" si="290"/>
        <v>80</v>
      </c>
      <c r="AR968" s="180">
        <f t="shared" si="291"/>
        <v>84</v>
      </c>
      <c r="AS968" s="210">
        <f t="shared" si="292"/>
        <v>1622</v>
      </c>
    </row>
    <row r="969" spans="1:45" ht="16.5" customHeight="1" thickBot="1" x14ac:dyDescent="0.35">
      <c r="A969" s="244" t="s">
        <v>641</v>
      </c>
      <c r="B969" s="204">
        <f>SUM(B956:B967)</f>
        <v>2596374</v>
      </c>
      <c r="C969" s="205">
        <f>+SUM(C956:C967)</f>
        <v>0</v>
      </c>
      <c r="D969" s="205">
        <f>SUM(D956:D967)</f>
        <v>112119</v>
      </c>
      <c r="E969" s="205">
        <f t="shared" si="268"/>
        <v>2596374</v>
      </c>
      <c r="F969" s="245">
        <f>SUM(F956:F967)</f>
        <v>2708493</v>
      </c>
      <c r="G969" s="204">
        <f>SUM(G956:G967)</f>
        <v>37339.109381515344</v>
      </c>
      <c r="H969" s="205">
        <f>SUM(H956:H967)</f>
        <v>145647</v>
      </c>
      <c r="I969" s="205">
        <f>SUM(I956:I967)</f>
        <v>0</v>
      </c>
      <c r="J969" s="205">
        <f>(H969+I969)</f>
        <v>145647</v>
      </c>
      <c r="K969" s="205">
        <f>SUM(K956:K967)</f>
        <v>0</v>
      </c>
      <c r="L969" s="205">
        <f>SUM(L956:L967)</f>
        <v>0</v>
      </c>
      <c r="M969" s="246">
        <f>SUM(M956:M967)</f>
        <v>2513156</v>
      </c>
      <c r="N969" s="247">
        <f>SUM(N956:N967)</f>
        <v>83748</v>
      </c>
      <c r="O969" s="248">
        <f t="shared" si="272"/>
        <v>2596904</v>
      </c>
      <c r="P969" s="251">
        <f>(F969-G969-J969-K969-L969-O969)</f>
        <v>-71397.109381515533</v>
      </c>
      <c r="Q969" s="205">
        <f>+SUM(Q956:Q967)</f>
        <v>142035.98016681126</v>
      </c>
      <c r="R969" s="245">
        <f>+SUM(R956:R967)</f>
        <v>213433.08954832659</v>
      </c>
      <c r="S969" s="306"/>
      <c r="AC969" s="211" t="s">
        <v>16</v>
      </c>
      <c r="AD969" s="180">
        <f t="shared" si="277"/>
        <v>0</v>
      </c>
      <c r="AE969" s="180">
        <f t="shared" si="278"/>
        <v>0</v>
      </c>
      <c r="AF969" s="180">
        <f t="shared" si="279"/>
        <v>0</v>
      </c>
      <c r="AG969" s="180">
        <f t="shared" si="280"/>
        <v>0</v>
      </c>
      <c r="AH969" s="180">
        <f t="shared" si="281"/>
        <v>0</v>
      </c>
      <c r="AI969" s="180">
        <f t="shared" si="282"/>
        <v>208</v>
      </c>
      <c r="AJ969" s="180">
        <f t="shared" si="283"/>
        <v>289</v>
      </c>
      <c r="AK969" s="180">
        <f t="shared" si="284"/>
        <v>323</v>
      </c>
      <c r="AL969" s="180">
        <f t="shared" si="285"/>
        <v>286</v>
      </c>
      <c r="AM969" s="180">
        <f t="shared" si="286"/>
        <v>92</v>
      </c>
      <c r="AN969" s="180">
        <f t="shared" si="287"/>
        <v>108</v>
      </c>
      <c r="AO969" s="180">
        <f t="shared" si="288"/>
        <v>206</v>
      </c>
      <c r="AP969" s="180">
        <f t="shared" si="289"/>
        <v>33</v>
      </c>
      <c r="AQ969" s="180">
        <f t="shared" si="290"/>
        <v>78</v>
      </c>
      <c r="AR969" s="180">
        <f t="shared" si="291"/>
        <v>78</v>
      </c>
      <c r="AS969" s="210">
        <f t="shared" si="292"/>
        <v>1701</v>
      </c>
    </row>
    <row r="970" spans="1:45" ht="15.75" customHeight="1" x14ac:dyDescent="0.3">
      <c r="A970" s="95"/>
      <c r="B970" s="180"/>
      <c r="C970" s="180"/>
      <c r="D970" s="180"/>
      <c r="E970" s="180"/>
      <c r="F970" s="180" t="s">
        <v>633</v>
      </c>
      <c r="G970" s="180"/>
      <c r="H970" s="180"/>
      <c r="I970" s="180"/>
      <c r="K970" s="180"/>
      <c r="L970" s="180"/>
      <c r="M970" s="252"/>
      <c r="O970" s="304"/>
      <c r="P970" s="180"/>
      <c r="S970" s="304"/>
      <c r="AC970" s="211" t="s">
        <v>17</v>
      </c>
      <c r="AD970" s="180">
        <f t="shared" si="277"/>
        <v>0</v>
      </c>
      <c r="AE970" s="180">
        <f t="shared" si="278"/>
        <v>0</v>
      </c>
      <c r="AF970" s="180">
        <f t="shared" si="279"/>
        <v>0</v>
      </c>
      <c r="AG970" s="180">
        <f t="shared" si="280"/>
        <v>0</v>
      </c>
      <c r="AH970" s="180">
        <f t="shared" si="281"/>
        <v>0</v>
      </c>
      <c r="AI970" s="180">
        <f t="shared" si="282"/>
        <v>172</v>
      </c>
      <c r="AJ970" s="180">
        <f t="shared" si="283"/>
        <v>263</v>
      </c>
      <c r="AK970" s="180">
        <f t="shared" si="284"/>
        <v>296</v>
      </c>
      <c r="AL970" s="180">
        <f t="shared" si="285"/>
        <v>265</v>
      </c>
      <c r="AM970" s="180">
        <f t="shared" si="286"/>
        <v>85</v>
      </c>
      <c r="AN970" s="180">
        <f t="shared" si="287"/>
        <v>101</v>
      </c>
      <c r="AO970" s="180">
        <f t="shared" si="288"/>
        <v>193</v>
      </c>
      <c r="AP970" s="180">
        <f t="shared" si="289"/>
        <v>32</v>
      </c>
      <c r="AQ970" s="180">
        <f t="shared" si="290"/>
        <v>68</v>
      </c>
      <c r="AR970" s="180">
        <f t="shared" si="291"/>
        <v>77</v>
      </c>
      <c r="AS970" s="210">
        <f t="shared" si="292"/>
        <v>1552</v>
      </c>
    </row>
    <row r="971" spans="1:45" ht="15.75" customHeight="1" x14ac:dyDescent="0.3">
      <c r="A971" s="179" t="s">
        <v>773</v>
      </c>
      <c r="O971" s="304"/>
      <c r="P971" s="180"/>
      <c r="Q971" s="180"/>
      <c r="R971" s="180"/>
      <c r="S971" s="304"/>
      <c r="AC971" s="211" t="s">
        <v>18</v>
      </c>
      <c r="AD971" s="180">
        <f t="shared" si="277"/>
        <v>0</v>
      </c>
      <c r="AE971" s="180">
        <f t="shared" si="278"/>
        <v>0</v>
      </c>
      <c r="AF971" s="180">
        <f t="shared" si="279"/>
        <v>0</v>
      </c>
      <c r="AG971" s="180">
        <f t="shared" si="280"/>
        <v>0</v>
      </c>
      <c r="AH971" s="180">
        <f t="shared" si="281"/>
        <v>0</v>
      </c>
      <c r="AI971" s="180">
        <f t="shared" si="282"/>
        <v>137</v>
      </c>
      <c r="AJ971" s="180">
        <f t="shared" si="283"/>
        <v>190</v>
      </c>
      <c r="AK971" s="180">
        <f t="shared" si="284"/>
        <v>250</v>
      </c>
      <c r="AL971" s="180">
        <f t="shared" si="285"/>
        <v>226</v>
      </c>
      <c r="AM971" s="180">
        <f t="shared" si="286"/>
        <v>77</v>
      </c>
      <c r="AN971" s="180">
        <f t="shared" si="287"/>
        <v>91</v>
      </c>
      <c r="AO971" s="180">
        <f t="shared" si="288"/>
        <v>182</v>
      </c>
      <c r="AP971" s="180">
        <f t="shared" si="289"/>
        <v>35</v>
      </c>
      <c r="AQ971" s="180">
        <f t="shared" si="290"/>
        <v>56</v>
      </c>
      <c r="AR971" s="180">
        <f t="shared" si="291"/>
        <v>83</v>
      </c>
      <c r="AS971" s="210">
        <f t="shared" si="292"/>
        <v>1327</v>
      </c>
    </row>
    <row r="972" spans="1:45" ht="15.75" customHeight="1" x14ac:dyDescent="0.3">
      <c r="A972" s="179" t="s">
        <v>774</v>
      </c>
      <c r="D972" s="180"/>
      <c r="E972" s="180"/>
      <c r="F972" s="180"/>
      <c r="G972" s="180"/>
      <c r="H972" s="180"/>
      <c r="I972" s="180"/>
      <c r="J972" s="180"/>
      <c r="K972" s="180"/>
      <c r="L972" s="180"/>
      <c r="M972" s="180"/>
      <c r="N972" s="180"/>
      <c r="O972" s="306"/>
      <c r="P972" s="180"/>
      <c r="Q972" s="180"/>
      <c r="R972" s="180"/>
      <c r="S972" s="304"/>
      <c r="AC972" s="211" t="s">
        <v>20</v>
      </c>
      <c r="AD972" s="180">
        <f t="shared" si="277"/>
        <v>0</v>
      </c>
      <c r="AE972" s="180">
        <f t="shared" si="278"/>
        <v>0</v>
      </c>
      <c r="AF972" s="180">
        <f t="shared" si="279"/>
        <v>0</v>
      </c>
      <c r="AG972" s="180">
        <f t="shared" si="280"/>
        <v>0</v>
      </c>
      <c r="AH972" s="180">
        <f t="shared" si="281"/>
        <v>105</v>
      </c>
      <c r="AI972" s="180">
        <f t="shared" si="282"/>
        <v>91</v>
      </c>
      <c r="AJ972" s="180">
        <f t="shared" si="283"/>
        <v>59</v>
      </c>
      <c r="AK972" s="180">
        <f t="shared" si="284"/>
        <v>81</v>
      </c>
      <c r="AL972" s="180">
        <f t="shared" si="285"/>
        <v>77</v>
      </c>
      <c r="AM972" s="180">
        <f t="shared" si="286"/>
        <v>24</v>
      </c>
      <c r="AN972" s="180">
        <f t="shared" si="287"/>
        <v>29</v>
      </c>
      <c r="AO972" s="180">
        <f t="shared" si="288"/>
        <v>57</v>
      </c>
      <c r="AP972" s="180">
        <f t="shared" si="289"/>
        <v>18</v>
      </c>
      <c r="AQ972" s="180">
        <f t="shared" si="290"/>
        <v>50</v>
      </c>
      <c r="AR972" s="180">
        <f t="shared" si="291"/>
        <v>42</v>
      </c>
      <c r="AS972" s="210">
        <f t="shared" si="292"/>
        <v>633</v>
      </c>
    </row>
    <row r="973" spans="1:45" ht="15.75" customHeight="1" x14ac:dyDescent="0.3">
      <c r="A973" s="179" t="s">
        <v>775</v>
      </c>
      <c r="D973" s="180"/>
      <c r="E973" s="180"/>
      <c r="F973" s="180"/>
      <c r="G973" s="180"/>
      <c r="H973" s="180"/>
      <c r="I973" s="180"/>
      <c r="J973" s="180"/>
      <c r="K973" s="180"/>
      <c r="L973" s="180"/>
      <c r="M973" s="180"/>
      <c r="N973" s="180"/>
      <c r="O973" s="306"/>
      <c r="P973" s="180"/>
      <c r="Q973" s="180"/>
      <c r="R973" s="180"/>
      <c r="S973" s="304"/>
      <c r="AC973" s="211" t="s">
        <v>21</v>
      </c>
      <c r="AD973" s="180">
        <f t="shared" si="277"/>
        <v>0</v>
      </c>
      <c r="AE973" s="180">
        <f t="shared" si="278"/>
        <v>0</v>
      </c>
      <c r="AF973" s="180">
        <f t="shared" si="279"/>
        <v>0</v>
      </c>
      <c r="AG973" s="180">
        <f t="shared" si="280"/>
        <v>0</v>
      </c>
      <c r="AH973" s="180">
        <f t="shared" si="281"/>
        <v>196</v>
      </c>
      <c r="AI973" s="180">
        <f t="shared" si="282"/>
        <v>47</v>
      </c>
      <c r="AJ973" s="180">
        <f t="shared" si="283"/>
        <v>56</v>
      </c>
      <c r="AK973" s="180">
        <f t="shared" si="284"/>
        <v>78</v>
      </c>
      <c r="AL973" s="180">
        <f t="shared" si="285"/>
        <v>80</v>
      </c>
      <c r="AM973" s="180">
        <f t="shared" si="286"/>
        <v>24</v>
      </c>
      <c r="AN973" s="180">
        <f t="shared" si="287"/>
        <v>28</v>
      </c>
      <c r="AO973" s="180">
        <f t="shared" si="288"/>
        <v>57</v>
      </c>
      <c r="AP973" s="180">
        <f t="shared" si="289"/>
        <v>10</v>
      </c>
      <c r="AQ973" s="180">
        <f t="shared" si="290"/>
        <v>53</v>
      </c>
      <c r="AR973" s="180">
        <f t="shared" si="291"/>
        <v>25</v>
      </c>
      <c r="AS973" s="210">
        <f t="shared" si="292"/>
        <v>654</v>
      </c>
    </row>
    <row r="974" spans="1:45" ht="15.75" customHeight="1" thickBot="1" x14ac:dyDescent="0.35">
      <c r="A974" s="194" t="s">
        <v>776</v>
      </c>
      <c r="B974" s="135"/>
      <c r="C974" s="135"/>
      <c r="D974" s="195"/>
      <c r="E974" s="195"/>
      <c r="F974" s="195"/>
      <c r="G974" s="195"/>
      <c r="H974" s="195"/>
      <c r="I974" s="195"/>
      <c r="J974" s="195"/>
      <c r="K974" s="195"/>
      <c r="L974" s="195"/>
      <c r="M974" s="195"/>
      <c r="N974" s="195"/>
      <c r="O974" s="196"/>
      <c r="P974" s="180"/>
      <c r="Q974" s="180"/>
      <c r="R974" s="180"/>
      <c r="S974" s="304"/>
      <c r="AC974" s="211" t="s">
        <v>22</v>
      </c>
      <c r="AD974" s="180">
        <f t="shared" si="277"/>
        <v>0</v>
      </c>
      <c r="AE974" s="180">
        <f t="shared" si="278"/>
        <v>0</v>
      </c>
      <c r="AF974" s="180">
        <f t="shared" si="279"/>
        <v>0</v>
      </c>
      <c r="AG974" s="180">
        <f t="shared" si="280"/>
        <v>0</v>
      </c>
      <c r="AH974" s="180">
        <f t="shared" si="281"/>
        <v>192</v>
      </c>
      <c r="AI974" s="180">
        <f t="shared" si="282"/>
        <v>70</v>
      </c>
      <c r="AJ974" s="180">
        <f t="shared" si="283"/>
        <v>56</v>
      </c>
      <c r="AK974" s="180">
        <f t="shared" si="284"/>
        <v>77</v>
      </c>
      <c r="AL974" s="180">
        <f t="shared" si="285"/>
        <v>79</v>
      </c>
      <c r="AM974" s="180">
        <f t="shared" si="286"/>
        <v>26</v>
      </c>
      <c r="AN974" s="180">
        <f t="shared" si="287"/>
        <v>30</v>
      </c>
      <c r="AO974" s="180">
        <f t="shared" si="288"/>
        <v>60</v>
      </c>
      <c r="AP974" s="180">
        <f t="shared" si="289"/>
        <v>9</v>
      </c>
      <c r="AQ974" s="180">
        <f t="shared" si="290"/>
        <v>46</v>
      </c>
      <c r="AR974" s="180">
        <f t="shared" si="291"/>
        <v>22</v>
      </c>
      <c r="AS974" s="210">
        <f t="shared" si="292"/>
        <v>667</v>
      </c>
    </row>
    <row r="975" spans="1:45" ht="15.75" customHeight="1" thickBot="1" x14ac:dyDescent="0.35">
      <c r="A975" s="179"/>
      <c r="D975" s="180"/>
      <c r="E975" s="180"/>
      <c r="F975" s="180"/>
      <c r="G975" s="180"/>
      <c r="H975" s="180"/>
      <c r="I975" s="180"/>
      <c r="J975" s="180"/>
      <c r="K975" s="180"/>
      <c r="L975" s="180"/>
      <c r="M975" s="180"/>
      <c r="N975" s="180"/>
      <c r="O975" s="180"/>
      <c r="P975" s="180"/>
      <c r="Q975" s="180"/>
      <c r="R975" s="180"/>
      <c r="S975" s="304"/>
      <c r="AC975" s="95"/>
      <c r="AD975" s="180"/>
      <c r="AE975" s="180"/>
      <c r="AF975" s="180"/>
      <c r="AG975" s="180"/>
      <c r="AH975" s="180"/>
      <c r="AI975" s="180"/>
      <c r="AJ975" s="180"/>
      <c r="AK975" s="180"/>
      <c r="AL975" s="180"/>
      <c r="AM975" s="180"/>
      <c r="AN975" s="180"/>
      <c r="AO975" s="180"/>
      <c r="AP975" s="180"/>
      <c r="AQ975" s="180"/>
      <c r="AR975" s="180"/>
      <c r="AS975" s="210"/>
    </row>
    <row r="976" spans="1:45" ht="15.75" customHeight="1" thickBot="1" x14ac:dyDescent="0.35">
      <c r="A976" s="192"/>
      <c r="B976" s="412" t="s">
        <v>777</v>
      </c>
      <c r="C976" s="413"/>
      <c r="D976" s="413"/>
      <c r="E976" s="413"/>
      <c r="F976" s="413"/>
      <c r="G976" s="413"/>
      <c r="H976" s="413"/>
      <c r="I976" s="413"/>
      <c r="J976" s="413"/>
      <c r="K976" s="413"/>
      <c r="L976" s="413"/>
      <c r="M976" s="413"/>
      <c r="N976" s="413"/>
      <c r="O976" s="413"/>
      <c r="P976" s="414"/>
      <c r="Q976" s="180"/>
      <c r="R976" s="180"/>
      <c r="S976" s="304"/>
      <c r="AC976" s="220" t="s">
        <v>641</v>
      </c>
      <c r="AD976" s="195">
        <f>SUM(AD963:AD974)</f>
        <v>0</v>
      </c>
      <c r="AE976" s="195">
        <f t="shared" ref="AE976:AS976" si="293">SUM(AE963:AE974)</f>
        <v>0</v>
      </c>
      <c r="AF976" s="195">
        <f t="shared" si="293"/>
        <v>0</v>
      </c>
      <c r="AG976" s="195">
        <f t="shared" si="293"/>
        <v>0</v>
      </c>
      <c r="AH976" s="195">
        <f t="shared" si="293"/>
        <v>1028</v>
      </c>
      <c r="AI976" s="195">
        <f t="shared" si="293"/>
        <v>1554</v>
      </c>
      <c r="AJ976" s="195">
        <f t="shared" si="293"/>
        <v>2149</v>
      </c>
      <c r="AK976" s="195">
        <f t="shared" si="293"/>
        <v>2629</v>
      </c>
      <c r="AL976" s="195">
        <f t="shared" si="293"/>
        <v>2410</v>
      </c>
      <c r="AM976" s="195">
        <f t="shared" si="293"/>
        <v>793</v>
      </c>
      <c r="AN976" s="195">
        <f t="shared" si="293"/>
        <v>937</v>
      </c>
      <c r="AO976" s="195">
        <f t="shared" si="293"/>
        <v>1848</v>
      </c>
      <c r="AP976" s="195">
        <f t="shared" si="293"/>
        <v>348</v>
      </c>
      <c r="AQ976" s="195">
        <f t="shared" si="293"/>
        <v>707</v>
      </c>
      <c r="AR976" s="195">
        <f t="shared" si="293"/>
        <v>825</v>
      </c>
      <c r="AS976" s="221">
        <f t="shared" si="293"/>
        <v>15228</v>
      </c>
    </row>
    <row r="977" spans="1:19" ht="15.75" customHeight="1" thickBot="1" x14ac:dyDescent="0.35">
      <c r="A977" s="192"/>
      <c r="B977" s="403" t="s">
        <v>730</v>
      </c>
      <c r="C977" s="404"/>
      <c r="D977" s="404"/>
      <c r="E977" s="404"/>
      <c r="F977" s="405"/>
      <c r="G977" s="403" t="s">
        <v>731</v>
      </c>
      <c r="H977" s="404"/>
      <c r="I977" s="404"/>
      <c r="J977" s="404"/>
      <c r="K977" s="404"/>
      <c r="L977" s="404"/>
      <c r="M977" s="406" t="s">
        <v>732</v>
      </c>
      <c r="N977" s="407"/>
      <c r="O977" s="407"/>
      <c r="P977" s="403" t="s">
        <v>733</v>
      </c>
      <c r="Q977" s="404"/>
      <c r="R977" s="405"/>
      <c r="S977" s="304"/>
    </row>
    <row r="978" spans="1:19" ht="15.75" customHeight="1" x14ac:dyDescent="0.3">
      <c r="A978" s="213"/>
      <c r="B978" s="189" t="s">
        <v>639</v>
      </c>
      <c r="C978" s="182"/>
      <c r="D978" s="182" t="s">
        <v>734</v>
      </c>
      <c r="E978" s="182" t="s">
        <v>735</v>
      </c>
      <c r="F978" s="307" t="s">
        <v>736</v>
      </c>
      <c r="G978" s="189" t="s">
        <v>737</v>
      </c>
      <c r="H978" s="182"/>
      <c r="I978" s="182"/>
      <c r="J978" s="182" t="s">
        <v>738</v>
      </c>
      <c r="K978" s="182" t="s">
        <v>739</v>
      </c>
      <c r="L978" s="182" t="s">
        <v>740</v>
      </c>
      <c r="M978" s="409" t="str">
        <f>+M951</f>
        <v>(NE)* per WAPA 12/10/2014</v>
      </c>
      <c r="N978" s="410"/>
      <c r="O978" s="410"/>
      <c r="P978" s="189" t="s">
        <v>742</v>
      </c>
      <c r="Q978" s="228" t="s">
        <v>743</v>
      </c>
      <c r="R978" s="308" t="s">
        <v>744</v>
      </c>
      <c r="S978" s="304"/>
    </row>
    <row r="979" spans="1:19" ht="15.75" customHeight="1" x14ac:dyDescent="0.3">
      <c r="A979" s="213"/>
      <c r="B979" s="230" t="s">
        <v>745</v>
      </c>
      <c r="C979" s="231" t="s">
        <v>746</v>
      </c>
      <c r="D979" s="231" t="s">
        <v>747</v>
      </c>
      <c r="E979" s="182" t="s">
        <v>658</v>
      </c>
      <c r="F979" s="309" t="s">
        <v>748</v>
      </c>
      <c r="G979" s="189" t="s">
        <v>640</v>
      </c>
      <c r="H979" s="182" t="s">
        <v>749</v>
      </c>
      <c r="I979" s="182" t="s">
        <v>750</v>
      </c>
      <c r="J979" s="231" t="s">
        <v>751</v>
      </c>
      <c r="K979" s="182" t="s">
        <v>723</v>
      </c>
      <c r="L979" s="231" t="s">
        <v>752</v>
      </c>
      <c r="M979" s="233" t="s">
        <v>753</v>
      </c>
      <c r="N979" s="226" t="s">
        <v>754</v>
      </c>
      <c r="O979" s="227" t="s">
        <v>641</v>
      </c>
      <c r="P979" s="189" t="s">
        <v>757</v>
      </c>
      <c r="Q979" s="182" t="s">
        <v>758</v>
      </c>
      <c r="R979" s="307" t="s">
        <v>759</v>
      </c>
      <c r="S979" s="304"/>
    </row>
    <row r="980" spans="1:19" ht="15.75" customHeight="1" x14ac:dyDescent="0.3">
      <c r="A980" s="213"/>
      <c r="B980" s="235" t="s">
        <v>760</v>
      </c>
      <c r="C980" s="215">
        <v>5.0000000000000001E-3</v>
      </c>
      <c r="D980" s="215">
        <v>4.2999999999999997E-2</v>
      </c>
      <c r="E980" s="182" t="s">
        <v>761</v>
      </c>
      <c r="F980" s="311" t="s">
        <v>762</v>
      </c>
      <c r="G980" s="189" t="s">
        <v>763</v>
      </c>
      <c r="H980" s="182" t="s">
        <v>658</v>
      </c>
      <c r="I980" s="182" t="s">
        <v>658</v>
      </c>
      <c r="J980" s="182" t="s">
        <v>658</v>
      </c>
      <c r="K980" s="182" t="s">
        <v>743</v>
      </c>
      <c r="L980" s="182" t="s">
        <v>764</v>
      </c>
      <c r="M980" s="237" t="s">
        <v>648</v>
      </c>
      <c r="N980" s="227" t="s">
        <v>765</v>
      </c>
      <c r="O980" s="227" t="s">
        <v>766</v>
      </c>
      <c r="P980" s="189" t="s">
        <v>658</v>
      </c>
      <c r="Q980" s="182" t="s">
        <v>658</v>
      </c>
      <c r="R980" s="307" t="s">
        <v>658</v>
      </c>
      <c r="S980" s="304"/>
    </row>
    <row r="981" spans="1:19" ht="15.75" customHeight="1" x14ac:dyDescent="0.3">
      <c r="A981" s="213" t="s">
        <v>768</v>
      </c>
      <c r="B981" s="189" t="s">
        <v>778</v>
      </c>
      <c r="C981" s="182" t="s">
        <v>778</v>
      </c>
      <c r="D981" s="182" t="s">
        <v>778</v>
      </c>
      <c r="E981" s="182" t="s">
        <v>778</v>
      </c>
      <c r="F981" s="182" t="s">
        <v>778</v>
      </c>
      <c r="G981" s="189" t="s">
        <v>778</v>
      </c>
      <c r="H981" s="182" t="s">
        <v>778</v>
      </c>
      <c r="I981" s="182" t="s">
        <v>778</v>
      </c>
      <c r="J981" s="182" t="s">
        <v>778</v>
      </c>
      <c r="K981" s="182" t="s">
        <v>778</v>
      </c>
      <c r="L981" s="182" t="s">
        <v>778</v>
      </c>
      <c r="M981" s="237" t="s">
        <v>778</v>
      </c>
      <c r="N981" s="227" t="s">
        <v>779</v>
      </c>
      <c r="O981" s="227" t="s">
        <v>778</v>
      </c>
      <c r="P981" s="189" t="s">
        <v>778</v>
      </c>
      <c r="Q981" s="182" t="s">
        <v>778</v>
      </c>
      <c r="R981" s="307" t="s">
        <v>778</v>
      </c>
      <c r="S981" s="304"/>
    </row>
    <row r="982" spans="1:19" ht="15.75" customHeight="1" x14ac:dyDescent="0.3">
      <c r="A982" s="213" t="s">
        <v>666</v>
      </c>
      <c r="B982" s="189" t="s">
        <v>666</v>
      </c>
      <c r="C982" s="182" t="s">
        <v>666</v>
      </c>
      <c r="D982" s="182" t="s">
        <v>666</v>
      </c>
      <c r="E982" s="182" t="s">
        <v>769</v>
      </c>
      <c r="F982" s="307" t="s">
        <v>666</v>
      </c>
      <c r="G982" s="189" t="s">
        <v>666</v>
      </c>
      <c r="H982" s="182" t="s">
        <v>770</v>
      </c>
      <c r="I982" s="182" t="s">
        <v>770</v>
      </c>
      <c r="J982" s="182" t="s">
        <v>666</v>
      </c>
      <c r="K982" s="182" t="s">
        <v>666</v>
      </c>
      <c r="L982" s="182" t="s">
        <v>666</v>
      </c>
      <c r="M982" s="237" t="s">
        <v>666</v>
      </c>
      <c r="N982" s="227" t="s">
        <v>666</v>
      </c>
      <c r="O982" s="227" t="s">
        <v>666</v>
      </c>
      <c r="P982" s="189" t="s">
        <v>666</v>
      </c>
      <c r="Q982" s="182" t="s">
        <v>666</v>
      </c>
      <c r="R982" s="307" t="s">
        <v>666</v>
      </c>
      <c r="S982" s="304"/>
    </row>
    <row r="983" spans="1:19" ht="15.75" customHeight="1" x14ac:dyDescent="0.3">
      <c r="A983" s="192" t="s">
        <v>8</v>
      </c>
      <c r="B983" s="189">
        <f>+B956/($B$10*24)</f>
        <v>318.03763440860217</v>
      </c>
      <c r="C983" s="182">
        <f t="shared" ref="C983:P983" si="294">+C956/($B$10*24)</f>
        <v>0</v>
      </c>
      <c r="D983" s="182">
        <f t="shared" si="294"/>
        <v>13.458333333333334</v>
      </c>
      <c r="E983" s="182">
        <f t="shared" si="294"/>
        <v>318.03763440860217</v>
      </c>
      <c r="F983" s="307">
        <f t="shared" si="294"/>
        <v>331.49596774193549</v>
      </c>
      <c r="G983" s="182">
        <f t="shared" si="294"/>
        <v>0</v>
      </c>
      <c r="H983" s="182">
        <f t="shared" si="294"/>
        <v>15.075268817204302</v>
      </c>
      <c r="I983" s="182">
        <f t="shared" si="294"/>
        <v>0</v>
      </c>
      <c r="J983" s="182">
        <f t="shared" si="294"/>
        <v>15.075268817204302</v>
      </c>
      <c r="K983" s="182">
        <f t="shared" si="294"/>
        <v>0</v>
      </c>
      <c r="L983" s="182">
        <f t="shared" si="294"/>
        <v>0</v>
      </c>
      <c r="M983" s="239">
        <f>+M956/($B$10*24)</f>
        <v>418.48387096774195</v>
      </c>
      <c r="N983" s="240">
        <f t="shared" si="294"/>
        <v>0</v>
      </c>
      <c r="O983" s="227">
        <f t="shared" si="294"/>
        <v>418.48387096774195</v>
      </c>
      <c r="P983" s="255">
        <f t="shared" si="294"/>
        <v>-102.06317204301075</v>
      </c>
      <c r="Q983" s="182" t="str">
        <f>+IF(P983&gt;=0,ABS(P983),"")</f>
        <v/>
      </c>
      <c r="R983" s="307">
        <f>+IF(P983&lt;=0,ABS(P983),"")</f>
        <v>102.06317204301075</v>
      </c>
      <c r="S983" s="304"/>
    </row>
    <row r="984" spans="1:19" ht="15.75" customHeight="1" x14ac:dyDescent="0.3">
      <c r="A984" s="192" t="s">
        <v>9</v>
      </c>
      <c r="B984" s="189">
        <f>+B957/($C$10*24)</f>
        <v>184.51636904761904</v>
      </c>
      <c r="C984" s="182">
        <f t="shared" ref="C984:P984" si="295">+C957/($C$10*24)</f>
        <v>0</v>
      </c>
      <c r="D984" s="182">
        <f t="shared" si="295"/>
        <v>7.9508928571428568</v>
      </c>
      <c r="E984" s="182">
        <f t="shared" si="295"/>
        <v>184.51636904761904</v>
      </c>
      <c r="F984" s="307">
        <f t="shared" si="295"/>
        <v>192.4672619047619</v>
      </c>
      <c r="G984" s="182">
        <f t="shared" si="295"/>
        <v>1.6729505570734535</v>
      </c>
      <c r="H984" s="182">
        <f t="shared" si="295"/>
        <v>18.3125</v>
      </c>
      <c r="I984" s="182">
        <f t="shared" si="295"/>
        <v>0</v>
      </c>
      <c r="J984" s="182">
        <f t="shared" si="295"/>
        <v>18.3125</v>
      </c>
      <c r="K984" s="182">
        <f t="shared" si="295"/>
        <v>0</v>
      </c>
      <c r="L984" s="182">
        <f t="shared" si="295"/>
        <v>0</v>
      </c>
      <c r="M984" s="239">
        <f t="shared" si="295"/>
        <v>347</v>
      </c>
      <c r="N984" s="240">
        <f t="shared" si="295"/>
        <v>0</v>
      </c>
      <c r="O984" s="227">
        <f t="shared" si="295"/>
        <v>347</v>
      </c>
      <c r="P984" s="255">
        <f t="shared" si="295"/>
        <v>-174.51818865231155</v>
      </c>
      <c r="Q984" s="182" t="str">
        <f t="shared" ref="Q984:Q994" si="296">+IF(P984&gt;=0,ABS(P984),"")</f>
        <v/>
      </c>
      <c r="R984" s="307">
        <f t="shared" ref="R984:R994" si="297">+IF(P984&lt;=0,ABS(P984),"")</f>
        <v>174.51818865231155</v>
      </c>
      <c r="S984" s="304"/>
    </row>
    <row r="985" spans="1:19" ht="15.75" customHeight="1" x14ac:dyDescent="0.3">
      <c r="A985" s="192" t="s">
        <v>10</v>
      </c>
      <c r="B985" s="189">
        <f>+B958/($D$10*24)</f>
        <v>414.23252688172045</v>
      </c>
      <c r="C985" s="182">
        <f t="shared" ref="C985:P985" si="298">+C958/($D$10*24)</f>
        <v>0</v>
      </c>
      <c r="D985" s="182">
        <f t="shared" si="298"/>
        <v>17.809139784946236</v>
      </c>
      <c r="E985" s="182">
        <f t="shared" si="298"/>
        <v>414.23252688172045</v>
      </c>
      <c r="F985" s="307">
        <f t="shared" si="298"/>
        <v>432.04166666666669</v>
      </c>
      <c r="G985" s="182">
        <f t="shared" si="298"/>
        <v>0</v>
      </c>
      <c r="H985" s="182">
        <f t="shared" si="298"/>
        <v>21.461021505376344</v>
      </c>
      <c r="I985" s="182">
        <f t="shared" si="298"/>
        <v>0</v>
      </c>
      <c r="J985" s="182">
        <f t="shared" si="298"/>
        <v>21.461021505376344</v>
      </c>
      <c r="K985" s="182">
        <f t="shared" si="298"/>
        <v>0</v>
      </c>
      <c r="L985" s="182">
        <f t="shared" si="298"/>
        <v>0</v>
      </c>
      <c r="M985" s="239">
        <f t="shared" si="298"/>
        <v>339</v>
      </c>
      <c r="N985" s="240">
        <f t="shared" si="298"/>
        <v>0</v>
      </c>
      <c r="O985" s="227">
        <f t="shared" si="298"/>
        <v>339</v>
      </c>
      <c r="P985" s="255">
        <f t="shared" si="298"/>
        <v>71.58064516129032</v>
      </c>
      <c r="Q985" s="182">
        <f t="shared" si="296"/>
        <v>71.58064516129032</v>
      </c>
      <c r="R985" s="307" t="str">
        <f t="shared" si="297"/>
        <v/>
      </c>
      <c r="S985" s="304"/>
    </row>
    <row r="986" spans="1:19" ht="15.75" customHeight="1" x14ac:dyDescent="0.3">
      <c r="A986" s="192" t="s">
        <v>12</v>
      </c>
      <c r="B986" s="189">
        <f>+B959/($F$10*24)</f>
        <v>412.29444444444442</v>
      </c>
      <c r="C986" s="182">
        <f t="shared" ref="C986:P986" si="299">+C959/($F$10*24)</f>
        <v>0</v>
      </c>
      <c r="D986" s="182">
        <f t="shared" si="299"/>
        <v>18.056944444444444</v>
      </c>
      <c r="E986" s="182">
        <f t="shared" si="299"/>
        <v>412.29444444444442</v>
      </c>
      <c r="F986" s="307">
        <f t="shared" si="299"/>
        <v>430.35138888888889</v>
      </c>
      <c r="G986" s="182">
        <f t="shared" si="299"/>
        <v>0</v>
      </c>
      <c r="H986" s="182">
        <f t="shared" si="299"/>
        <v>24.566666666666666</v>
      </c>
      <c r="I986" s="182">
        <f t="shared" si="299"/>
        <v>0</v>
      </c>
      <c r="J986" s="182">
        <f t="shared" si="299"/>
        <v>24.566666666666666</v>
      </c>
      <c r="K986" s="182">
        <f t="shared" si="299"/>
        <v>0</v>
      </c>
      <c r="L986" s="182">
        <f t="shared" si="299"/>
        <v>0</v>
      </c>
      <c r="M986" s="239">
        <f t="shared" si="299"/>
        <v>407</v>
      </c>
      <c r="N986" s="240">
        <f t="shared" si="299"/>
        <v>0</v>
      </c>
      <c r="O986" s="227">
        <f t="shared" si="299"/>
        <v>407</v>
      </c>
      <c r="P986" s="255">
        <f t="shared" si="299"/>
        <v>-1.2152777777777777</v>
      </c>
      <c r="Q986" s="182" t="str">
        <f t="shared" si="296"/>
        <v/>
      </c>
      <c r="R986" s="307">
        <f t="shared" si="297"/>
        <v>1.2152777777777777</v>
      </c>
      <c r="S986" s="304"/>
    </row>
    <row r="987" spans="1:19" ht="15.75" customHeight="1" x14ac:dyDescent="0.3">
      <c r="A987" s="192" t="s">
        <v>13</v>
      </c>
      <c r="B987" s="189">
        <f>+B960/($G$10*24)</f>
        <v>410.20564516129031</v>
      </c>
      <c r="C987" s="182">
        <f t="shared" ref="C987:P987" si="300">+C960/($G$10*24)</f>
        <v>0</v>
      </c>
      <c r="D987" s="182">
        <f t="shared" si="300"/>
        <v>18.071236559139784</v>
      </c>
      <c r="E987" s="182">
        <f t="shared" si="300"/>
        <v>410.20564516129031</v>
      </c>
      <c r="F987" s="307">
        <f t="shared" si="300"/>
        <v>428.27688172043008</v>
      </c>
      <c r="G987" s="182">
        <f t="shared" si="300"/>
        <v>0</v>
      </c>
      <c r="H987" s="182">
        <f t="shared" si="300"/>
        <v>20.087365591397848</v>
      </c>
      <c r="I987" s="182">
        <f t="shared" si="300"/>
        <v>0</v>
      </c>
      <c r="J987" s="182">
        <f t="shared" si="300"/>
        <v>20.087365591397848</v>
      </c>
      <c r="K987" s="182">
        <f t="shared" si="300"/>
        <v>0</v>
      </c>
      <c r="L987" s="182">
        <f t="shared" si="300"/>
        <v>0</v>
      </c>
      <c r="M987" s="239">
        <f t="shared" si="300"/>
        <v>406.72043010752691</v>
      </c>
      <c r="N987" s="240">
        <f t="shared" si="300"/>
        <v>0</v>
      </c>
      <c r="O987" s="227">
        <f t="shared" si="300"/>
        <v>406.72043010752691</v>
      </c>
      <c r="P987" s="255">
        <f t="shared" si="300"/>
        <v>1.4690860215053763</v>
      </c>
      <c r="Q987" s="182">
        <f t="shared" si="296"/>
        <v>1.4690860215053763</v>
      </c>
      <c r="R987" s="307" t="str">
        <f t="shared" si="297"/>
        <v/>
      </c>
      <c r="S987" s="304"/>
    </row>
    <row r="988" spans="1:19" ht="15.75" customHeight="1" x14ac:dyDescent="0.3">
      <c r="A988" s="192" t="s">
        <v>14</v>
      </c>
      <c r="B988" s="189">
        <f>+B961/($H$10*24)</f>
        <v>231.10138888888889</v>
      </c>
      <c r="C988" s="182">
        <f t="shared" ref="C988:P988" si="301">+C961/($H$10*24)</f>
        <v>0</v>
      </c>
      <c r="D988" s="182">
        <f t="shared" si="301"/>
        <v>9.7333333333333325</v>
      </c>
      <c r="E988" s="182">
        <f t="shared" si="301"/>
        <v>231.10138888888889</v>
      </c>
      <c r="F988" s="307">
        <f t="shared" si="301"/>
        <v>240.83472222222221</v>
      </c>
      <c r="G988" s="182">
        <f t="shared" si="301"/>
        <v>20.51113865720659</v>
      </c>
      <c r="H988" s="182">
        <f t="shared" si="301"/>
        <v>18.129166666666666</v>
      </c>
      <c r="I988" s="182">
        <f t="shared" si="301"/>
        <v>0</v>
      </c>
      <c r="J988" s="182">
        <f t="shared" si="301"/>
        <v>18.129166666666666</v>
      </c>
      <c r="K988" s="182">
        <f t="shared" si="301"/>
        <v>0</v>
      </c>
      <c r="L988" s="182">
        <f t="shared" si="301"/>
        <v>0</v>
      </c>
      <c r="M988" s="239">
        <f t="shared" si="301"/>
        <v>167.75</v>
      </c>
      <c r="N988" s="240">
        <f t="shared" si="301"/>
        <v>21.25</v>
      </c>
      <c r="O988" s="227">
        <f t="shared" si="301"/>
        <v>189</v>
      </c>
      <c r="P988" s="255">
        <f t="shared" si="301"/>
        <v>13.194416898348976</v>
      </c>
      <c r="Q988" s="182">
        <f t="shared" si="296"/>
        <v>13.194416898348976</v>
      </c>
      <c r="R988" s="307" t="str">
        <f t="shared" si="297"/>
        <v/>
      </c>
      <c r="S988" s="304"/>
    </row>
    <row r="989" spans="1:19" ht="15.75" customHeight="1" x14ac:dyDescent="0.3">
      <c r="A989" s="192" t="s">
        <v>16</v>
      </c>
      <c r="B989" s="189">
        <f>+B962/($J$10*24)</f>
        <v>202.49731182795699</v>
      </c>
      <c r="C989" s="182">
        <f t="shared" ref="C989:P989" si="302">+C962/($J$10*24)</f>
        <v>0</v>
      </c>
      <c r="D989" s="182">
        <f t="shared" si="302"/>
        <v>8.388440860215054</v>
      </c>
      <c r="E989" s="182">
        <f t="shared" si="302"/>
        <v>202.49731182795699</v>
      </c>
      <c r="F989" s="307">
        <f t="shared" si="302"/>
        <v>210.88575268817203</v>
      </c>
      <c r="G989" s="182">
        <f t="shared" si="302"/>
        <v>17.045150210124543</v>
      </c>
      <c r="H989" s="182">
        <f t="shared" si="302"/>
        <v>16.653225806451612</v>
      </c>
      <c r="I989" s="182">
        <f t="shared" si="302"/>
        <v>0</v>
      </c>
      <c r="J989" s="182">
        <f t="shared" si="302"/>
        <v>16.653225806451612</v>
      </c>
      <c r="K989" s="182">
        <f t="shared" si="302"/>
        <v>0</v>
      </c>
      <c r="L989" s="182">
        <f t="shared" si="302"/>
        <v>0</v>
      </c>
      <c r="M989" s="239">
        <f t="shared" si="302"/>
        <v>159</v>
      </c>
      <c r="N989" s="240">
        <f t="shared" si="302"/>
        <v>21.333333333333332</v>
      </c>
      <c r="O989" s="227">
        <f t="shared" si="302"/>
        <v>180.33333333333334</v>
      </c>
      <c r="P989" s="255">
        <f t="shared" si="302"/>
        <v>-3.1459566617374537</v>
      </c>
      <c r="Q989" s="182" t="str">
        <f t="shared" si="296"/>
        <v/>
      </c>
      <c r="R989" s="307">
        <f t="shared" si="297"/>
        <v>3.1459566617374537</v>
      </c>
      <c r="S989" s="304"/>
    </row>
    <row r="990" spans="1:19" ht="15.75" customHeight="1" x14ac:dyDescent="0.3">
      <c r="A990" s="192" t="s">
        <v>17</v>
      </c>
      <c r="B990" s="189">
        <f>+B963/($K$10*24)</f>
        <v>194.2728494623656</v>
      </c>
      <c r="C990" s="182">
        <f t="shared" ref="C990:P990" si="303">+C963/($K$10*24)</f>
        <v>0</v>
      </c>
      <c r="D990" s="182">
        <f t="shared" si="303"/>
        <v>8.116935483870968</v>
      </c>
      <c r="E990" s="182">
        <f t="shared" si="303"/>
        <v>194.2728494623656</v>
      </c>
      <c r="F990" s="307">
        <f t="shared" si="303"/>
        <v>202.38978494623655</v>
      </c>
      <c r="G990" s="182">
        <f t="shared" si="303"/>
        <v>11.78128362586099</v>
      </c>
      <c r="H990" s="182">
        <f t="shared" si="303"/>
        <v>14.793010752688172</v>
      </c>
      <c r="I990" s="182">
        <f t="shared" si="303"/>
        <v>0</v>
      </c>
      <c r="J990" s="182">
        <f t="shared" si="303"/>
        <v>14.793010752688172</v>
      </c>
      <c r="K990" s="182">
        <f t="shared" si="303"/>
        <v>0</v>
      </c>
      <c r="L990" s="182">
        <f t="shared" si="303"/>
        <v>0</v>
      </c>
      <c r="M990" s="239">
        <f t="shared" si="303"/>
        <v>161.66666666666666</v>
      </c>
      <c r="N990" s="240">
        <f t="shared" si="303"/>
        <v>20.666666666666668</v>
      </c>
      <c r="O990" s="227">
        <f t="shared" si="303"/>
        <v>182.33333333333334</v>
      </c>
      <c r="P990" s="255">
        <f t="shared" si="303"/>
        <v>-6.5178427656459439</v>
      </c>
      <c r="Q990" s="182" t="str">
        <f t="shared" si="296"/>
        <v/>
      </c>
      <c r="R990" s="307">
        <f t="shared" si="297"/>
        <v>6.5178427656459439</v>
      </c>
      <c r="S990" s="304"/>
    </row>
    <row r="991" spans="1:19" ht="15.75" customHeight="1" x14ac:dyDescent="0.3">
      <c r="A991" s="192" t="s">
        <v>18</v>
      </c>
      <c r="B991" s="189">
        <f>+B964/($L$10*24)</f>
        <v>323.95277777777778</v>
      </c>
      <c r="C991" s="182">
        <f t="shared" ref="C991:P991" si="304">+C964/($L$10*24)</f>
        <v>0</v>
      </c>
      <c r="D991" s="182">
        <f t="shared" si="304"/>
        <v>14.338888888888889</v>
      </c>
      <c r="E991" s="182">
        <f t="shared" si="304"/>
        <v>323.95277777777778</v>
      </c>
      <c r="F991" s="307">
        <f t="shared" si="304"/>
        <v>338.29166666666669</v>
      </c>
      <c r="G991" s="182">
        <f t="shared" si="304"/>
        <v>0</v>
      </c>
      <c r="H991" s="182">
        <f t="shared" si="304"/>
        <v>14.843055555555555</v>
      </c>
      <c r="I991" s="182">
        <f t="shared" si="304"/>
        <v>0</v>
      </c>
      <c r="J991" s="182">
        <f t="shared" si="304"/>
        <v>14.843055555555555</v>
      </c>
      <c r="K991" s="182">
        <f t="shared" si="304"/>
        <v>0</v>
      </c>
      <c r="L991" s="182">
        <f t="shared" si="304"/>
        <v>0</v>
      </c>
      <c r="M991" s="239">
        <f t="shared" si="304"/>
        <v>288.66666666666669</v>
      </c>
      <c r="N991" s="240">
        <f t="shared" si="304"/>
        <v>51.666666666666664</v>
      </c>
      <c r="O991" s="227">
        <f t="shared" si="304"/>
        <v>340.33333333333331</v>
      </c>
      <c r="P991" s="255">
        <f t="shared" si="304"/>
        <v>-16.884722222222223</v>
      </c>
      <c r="Q991" s="182" t="str">
        <f t="shared" si="296"/>
        <v/>
      </c>
      <c r="R991" s="307">
        <f t="shared" si="297"/>
        <v>16.884722222222223</v>
      </c>
      <c r="S991" s="304"/>
    </row>
    <row r="992" spans="1:19" ht="15.75" customHeight="1" x14ac:dyDescent="0.3">
      <c r="A992" s="192" t="s">
        <v>20</v>
      </c>
      <c r="B992" s="189">
        <f>+B965/($N$10*24)</f>
        <v>282.69892473118279</v>
      </c>
      <c r="C992" s="182">
        <f t="shared" ref="C992:P992" si="305">+C965/($N$10*24)</f>
        <v>0</v>
      </c>
      <c r="D992" s="182">
        <f t="shared" si="305"/>
        <v>12.5</v>
      </c>
      <c r="E992" s="182">
        <f t="shared" si="305"/>
        <v>282.69892473118279</v>
      </c>
      <c r="F992" s="307">
        <f t="shared" si="305"/>
        <v>295.19892473118279</v>
      </c>
      <c r="G992" s="182">
        <f t="shared" si="305"/>
        <v>0</v>
      </c>
      <c r="H992" s="182">
        <f t="shared" si="305"/>
        <v>10.565860215053764</v>
      </c>
      <c r="I992" s="182">
        <f t="shared" si="305"/>
        <v>0</v>
      </c>
      <c r="J992" s="182">
        <f t="shared" si="305"/>
        <v>10.565860215053764</v>
      </c>
      <c r="K992" s="182">
        <f t="shared" si="305"/>
        <v>0</v>
      </c>
      <c r="L992" s="182">
        <f t="shared" si="305"/>
        <v>0</v>
      </c>
      <c r="M992" s="239">
        <f t="shared" si="305"/>
        <v>245.66666666666666</v>
      </c>
      <c r="N992" s="240">
        <f t="shared" si="305"/>
        <v>0</v>
      </c>
      <c r="O992" s="227">
        <f t="shared" si="305"/>
        <v>245.66666666666666</v>
      </c>
      <c r="P992" s="255">
        <f t="shared" si="305"/>
        <v>38.966397849462368</v>
      </c>
      <c r="Q992" s="182">
        <f t="shared" si="296"/>
        <v>38.966397849462368</v>
      </c>
      <c r="R992" s="307" t="str">
        <f t="shared" si="297"/>
        <v/>
      </c>
      <c r="S992" s="304"/>
    </row>
    <row r="993" spans="1:50" ht="15.75" customHeight="1" x14ac:dyDescent="0.3">
      <c r="A993" s="192" t="s">
        <v>21</v>
      </c>
      <c r="B993" s="189">
        <f>+B966/($O$10*24)</f>
        <v>286.66250000000002</v>
      </c>
      <c r="C993" s="182">
        <f t="shared" ref="C993:P993" si="306">+C966/($O$10*24)</f>
        <v>0</v>
      </c>
      <c r="D993" s="182">
        <f t="shared" si="306"/>
        <v>12.368055555555555</v>
      </c>
      <c r="E993" s="182">
        <f t="shared" si="306"/>
        <v>286.66250000000002</v>
      </c>
      <c r="F993" s="307">
        <f t="shared" si="306"/>
        <v>299.03055555555557</v>
      </c>
      <c r="G993" s="182">
        <f t="shared" si="306"/>
        <v>0</v>
      </c>
      <c r="H993" s="182">
        <f t="shared" si="306"/>
        <v>15.565277777777778</v>
      </c>
      <c r="I993" s="182">
        <f t="shared" si="306"/>
        <v>0</v>
      </c>
      <c r="J993" s="182">
        <f t="shared" si="306"/>
        <v>15.565277777777778</v>
      </c>
      <c r="K993" s="182">
        <f t="shared" si="306"/>
        <v>0</v>
      </c>
      <c r="L993" s="182">
        <f t="shared" si="306"/>
        <v>0</v>
      </c>
      <c r="M993" s="239">
        <f t="shared" si="306"/>
        <v>246.66666666666666</v>
      </c>
      <c r="N993" s="240">
        <f t="shared" si="306"/>
        <v>0</v>
      </c>
      <c r="O993" s="227">
        <f t="shared" si="306"/>
        <v>246.66666666666666</v>
      </c>
      <c r="P993" s="255">
        <f t="shared" si="306"/>
        <v>36.798611111111114</v>
      </c>
      <c r="Q993" s="182">
        <f t="shared" si="296"/>
        <v>36.798611111111114</v>
      </c>
      <c r="R993" s="307" t="str">
        <f t="shared" si="297"/>
        <v/>
      </c>
      <c r="S993" s="304"/>
    </row>
    <row r="994" spans="1:50" ht="15.75" customHeight="1" thickBot="1" x14ac:dyDescent="0.35">
      <c r="A994" s="192" t="s">
        <v>22</v>
      </c>
      <c r="B994" s="204">
        <f>+B967/($P$10*24)</f>
        <v>287.58602150537632</v>
      </c>
      <c r="C994" s="205">
        <f t="shared" ref="C994:P994" si="307">+C967/($P$10*24)</f>
        <v>0</v>
      </c>
      <c r="D994" s="205">
        <f t="shared" si="307"/>
        <v>12.432795698924732</v>
      </c>
      <c r="E994" s="205">
        <f t="shared" si="307"/>
        <v>287.58602150537632</v>
      </c>
      <c r="F994" s="245">
        <f t="shared" si="307"/>
        <v>300.01881720430106</v>
      </c>
      <c r="G994" s="205">
        <f t="shared" si="307"/>
        <v>0</v>
      </c>
      <c r="H994" s="205">
        <f t="shared" si="307"/>
        <v>9.84005376344086</v>
      </c>
      <c r="I994" s="205">
        <f t="shared" si="307"/>
        <v>0</v>
      </c>
      <c r="J994" s="205">
        <f t="shared" si="307"/>
        <v>9.84005376344086</v>
      </c>
      <c r="K994" s="205">
        <f t="shared" si="307"/>
        <v>0</v>
      </c>
      <c r="L994" s="205">
        <f t="shared" si="307"/>
        <v>0</v>
      </c>
      <c r="M994" s="319">
        <f t="shared" si="307"/>
        <v>259.66666666666669</v>
      </c>
      <c r="N994" s="250">
        <f t="shared" si="307"/>
        <v>0</v>
      </c>
      <c r="O994" s="247">
        <f t="shared" si="307"/>
        <v>259.66666666666669</v>
      </c>
      <c r="P994" s="256">
        <f t="shared" si="307"/>
        <v>30.512096774193548</v>
      </c>
      <c r="Q994" s="205">
        <f t="shared" si="296"/>
        <v>30.512096774193548</v>
      </c>
      <c r="R994" s="245" t="str">
        <f t="shared" si="297"/>
        <v/>
      </c>
      <c r="S994" s="304"/>
    </row>
    <row r="995" spans="1:50" ht="15.75" customHeight="1" x14ac:dyDescent="0.3">
      <c r="A995" s="257"/>
      <c r="S995" s="304"/>
    </row>
    <row r="996" spans="1:50" ht="16.5" customHeight="1" thickBot="1" x14ac:dyDescent="0.35">
      <c r="A996" s="258"/>
      <c r="B996" s="135"/>
      <c r="C996" s="135"/>
      <c r="D996" s="135"/>
      <c r="E996" s="135"/>
      <c r="F996" s="135"/>
      <c r="G996" s="135"/>
      <c r="H996" s="135"/>
      <c r="I996" s="135"/>
      <c r="J996" s="135"/>
      <c r="K996" s="135"/>
      <c r="L996" s="135"/>
      <c r="M996" s="135"/>
      <c r="N996" s="135"/>
      <c r="O996" s="135"/>
      <c r="P996" s="135"/>
      <c r="Q996" s="135"/>
      <c r="R996" s="135"/>
      <c r="S996" s="136"/>
    </row>
    <row r="997" spans="1:50" ht="15.75" customHeight="1" x14ac:dyDescent="0.3">
      <c r="A997" s="259"/>
      <c r="B997" s="180"/>
      <c r="C997" s="180"/>
      <c r="D997" s="180"/>
      <c r="E997" s="180"/>
      <c r="F997" s="180"/>
      <c r="G997" s="180"/>
      <c r="H997" s="180"/>
      <c r="I997" s="180"/>
      <c r="J997" s="180"/>
      <c r="K997" s="180"/>
      <c r="L997" s="180"/>
      <c r="M997" s="180"/>
      <c r="N997" s="180"/>
      <c r="O997" s="180"/>
      <c r="P997" s="180"/>
      <c r="Q997" s="180"/>
      <c r="R997" s="180"/>
    </row>
    <row r="998" spans="1:50" ht="15.75" customHeight="1" x14ac:dyDescent="0.3">
      <c r="A998" s="260"/>
    </row>
    <row r="999" spans="1:50" ht="15.75" customHeight="1" thickBot="1" x14ac:dyDescent="0.35">
      <c r="A999" s="260"/>
    </row>
    <row r="1000" spans="1:50" ht="15.75" customHeight="1" x14ac:dyDescent="0.3">
      <c r="A1000" s="261"/>
      <c r="B1000" s="387" t="s">
        <v>780</v>
      </c>
      <c r="C1000" s="387"/>
      <c r="D1000" s="387"/>
      <c r="E1000" s="387"/>
      <c r="F1000" s="387"/>
      <c r="G1000" s="387"/>
      <c r="H1000" s="387"/>
      <c r="I1000" s="387"/>
      <c r="J1000" s="387"/>
      <c r="K1000" s="387"/>
      <c r="L1000" s="387"/>
      <c r="M1000" s="387"/>
      <c r="N1000" s="387"/>
      <c r="O1000" s="387"/>
      <c r="P1000" s="387"/>
      <c r="Q1000" s="177" t="str">
        <f>+Q1</f>
        <v xml:space="preserve">PRINTED:  </v>
      </c>
      <c r="R1000" s="197">
        <f ca="1">+R1</f>
        <v>44894.658168518516</v>
      </c>
      <c r="S1000" s="198"/>
    </row>
    <row r="1001" spans="1:50" ht="15.75" customHeight="1" x14ac:dyDescent="0.3">
      <c r="A1001" s="262"/>
      <c r="B1001" s="394" t="str">
        <f>+A8</f>
        <v>Revised:  12/8/2016</v>
      </c>
      <c r="C1001" s="394"/>
      <c r="D1001" s="394"/>
      <c r="E1001" s="394"/>
      <c r="F1001" s="394"/>
      <c r="G1001" s="394"/>
      <c r="H1001" s="394"/>
      <c r="I1001" s="394"/>
      <c r="J1001" s="394"/>
      <c r="K1001" s="394"/>
      <c r="L1001" s="394"/>
      <c r="M1001" s="394"/>
      <c r="N1001" s="394"/>
      <c r="O1001" s="394"/>
      <c r="P1001" s="394"/>
      <c r="Q1001" s="180"/>
      <c r="R1001" s="180"/>
      <c r="S1001" s="304"/>
    </row>
    <row r="1002" spans="1:50" ht="16.5" customHeight="1" x14ac:dyDescent="0.3">
      <c r="A1002" s="262"/>
      <c r="B1002" s="394" t="s">
        <v>670</v>
      </c>
      <c r="C1002" s="394"/>
      <c r="D1002" s="394"/>
      <c r="E1002" s="394"/>
      <c r="F1002" s="394"/>
      <c r="G1002" s="394"/>
      <c r="H1002" s="394"/>
      <c r="I1002" s="394"/>
      <c r="J1002" s="394"/>
      <c r="K1002" s="394"/>
      <c r="L1002" s="394"/>
      <c r="M1002" s="394"/>
      <c r="N1002" s="394"/>
      <c r="O1002" s="394"/>
      <c r="P1002" s="394"/>
      <c r="Q1002" s="180"/>
      <c r="R1002" s="180"/>
      <c r="S1002" s="304"/>
    </row>
    <row r="1003" spans="1:50" ht="15.75" customHeight="1" x14ac:dyDescent="0.3">
      <c r="A1003" s="262"/>
      <c r="B1003" s="180"/>
      <c r="C1003" s="180"/>
      <c r="D1003" s="180"/>
      <c r="E1003" s="180"/>
      <c r="F1003" s="180"/>
      <c r="G1003" s="180"/>
      <c r="H1003" s="180"/>
      <c r="I1003" s="180"/>
      <c r="J1003" s="180"/>
      <c r="K1003" s="180"/>
      <c r="L1003" s="180"/>
      <c r="M1003" s="180"/>
      <c r="N1003" s="180"/>
      <c r="O1003" s="180"/>
      <c r="P1003" s="180"/>
      <c r="Q1003" s="180"/>
      <c r="R1003" s="180"/>
      <c r="S1003" s="304"/>
      <c r="AG1003" s="192"/>
    </row>
    <row r="1004" spans="1:50" ht="15.75" customHeight="1" x14ac:dyDescent="0.3">
      <c r="A1004" s="262"/>
      <c r="B1004" s="415">
        <f>+A5</f>
        <v>2017</v>
      </c>
      <c r="C1004" s="395"/>
      <c r="D1004" s="395"/>
      <c r="E1004" s="395"/>
      <c r="F1004" s="395"/>
      <c r="G1004" s="395"/>
      <c r="H1004" s="395"/>
      <c r="I1004" s="395"/>
      <c r="J1004" s="395"/>
      <c r="K1004" s="395"/>
      <c r="L1004" s="395"/>
      <c r="M1004" s="395"/>
      <c r="N1004" s="395"/>
      <c r="O1004" s="395"/>
      <c r="P1004" s="395"/>
      <c r="Q1004" s="180"/>
      <c r="R1004" s="180"/>
      <c r="S1004" s="304"/>
      <c r="AE1004" s="4" t="s">
        <v>781</v>
      </c>
      <c r="AF1004" s="4" t="s">
        <v>782</v>
      </c>
    </row>
    <row r="1005" spans="1:50" ht="15.75" customHeight="1" thickBot="1" x14ac:dyDescent="0.35">
      <c r="A1005" s="262"/>
      <c r="B1005" s="394" t="s">
        <v>708</v>
      </c>
      <c r="C1005" s="394"/>
      <c r="D1005" s="394"/>
      <c r="E1005" s="394"/>
      <c r="F1005" s="394"/>
      <c r="G1005" s="394"/>
      <c r="H1005" s="394"/>
      <c r="I1005" s="394"/>
      <c r="J1005" s="394"/>
      <c r="K1005" s="394"/>
      <c r="L1005" s="394"/>
      <c r="M1005" s="394"/>
      <c r="N1005" s="394"/>
      <c r="O1005" s="394"/>
      <c r="P1005" s="394"/>
      <c r="Q1005" s="180"/>
      <c r="R1005" s="180"/>
      <c r="S1005" s="304"/>
      <c r="AC1005" s="4" t="s">
        <v>784</v>
      </c>
      <c r="AD1005" s="263" t="s">
        <v>10</v>
      </c>
      <c r="AE1005" s="4" t="e">
        <f ca="1">DAY(DATE($A$5,MonthFromText(AD1005)+1,1)-1)</f>
        <v>#NAME?</v>
      </c>
    </row>
    <row r="1006" spans="1:50" ht="15.75" customHeight="1" x14ac:dyDescent="0.3">
      <c r="A1006" s="262"/>
      <c r="B1006" s="420" t="s">
        <v>786</v>
      </c>
      <c r="C1006" s="421"/>
      <c r="D1006" s="422"/>
      <c r="E1006" s="182"/>
      <c r="F1006" s="182"/>
      <c r="G1006" s="182"/>
      <c r="H1006" s="182"/>
      <c r="I1006" s="182"/>
      <c r="J1006" s="182"/>
      <c r="K1006" s="182"/>
      <c r="L1006" s="182"/>
      <c r="M1006" s="182"/>
      <c r="N1006" s="182"/>
      <c r="O1006" s="182"/>
      <c r="P1006" s="182"/>
      <c r="Q1006" s="180"/>
      <c r="R1006" s="180"/>
      <c r="S1006" s="265"/>
    </row>
    <row r="1007" spans="1:50" ht="15.75" customHeight="1" thickBot="1" x14ac:dyDescent="0.35">
      <c r="A1007" s="191" t="s">
        <v>768</v>
      </c>
      <c r="B1007" s="267" t="s">
        <v>791</v>
      </c>
      <c r="C1007" s="268" t="s">
        <v>792</v>
      </c>
      <c r="D1007" s="269" t="s">
        <v>793</v>
      </c>
      <c r="E1007" s="268" t="s">
        <v>678</v>
      </c>
      <c r="F1007" s="268" t="s">
        <v>679</v>
      </c>
      <c r="G1007" s="268" t="s">
        <v>680</v>
      </c>
      <c r="H1007" s="268" t="s">
        <v>794</v>
      </c>
      <c r="I1007" s="268" t="s">
        <v>795</v>
      </c>
      <c r="J1007" s="268" t="s">
        <v>681</v>
      </c>
      <c r="K1007" s="268" t="s">
        <v>682</v>
      </c>
      <c r="L1007" s="268" t="s">
        <v>683</v>
      </c>
      <c r="M1007" s="268" t="s">
        <v>684</v>
      </c>
      <c r="N1007" s="268" t="s">
        <v>685</v>
      </c>
      <c r="O1007" s="268" t="s">
        <v>686</v>
      </c>
      <c r="P1007" s="268" t="s">
        <v>687</v>
      </c>
      <c r="Q1007" s="268" t="s">
        <v>688</v>
      </c>
      <c r="R1007" s="268" t="s">
        <v>689</v>
      </c>
      <c r="S1007" s="269" t="s">
        <v>638</v>
      </c>
      <c r="T1007" s="270" t="s">
        <v>933</v>
      </c>
      <c r="U1007" s="270" t="s">
        <v>934</v>
      </c>
      <c r="V1007" s="270" t="s">
        <v>935</v>
      </c>
      <c r="AD1007" s="191" t="s">
        <v>677</v>
      </c>
      <c r="AE1007" s="191" t="s">
        <v>678</v>
      </c>
      <c r="AF1007" s="191" t="s">
        <v>679</v>
      </c>
      <c r="AG1007" s="191" t="s">
        <v>680</v>
      </c>
      <c r="AH1007" s="191" t="s">
        <v>644</v>
      </c>
      <c r="AI1007" s="191" t="s">
        <v>681</v>
      </c>
      <c r="AJ1007" s="191" t="s">
        <v>682</v>
      </c>
      <c r="AK1007" s="191" t="s">
        <v>683</v>
      </c>
      <c r="AL1007" s="191" t="s">
        <v>684</v>
      </c>
      <c r="AM1007" s="191" t="s">
        <v>685</v>
      </c>
      <c r="AN1007" s="191" t="s">
        <v>686</v>
      </c>
      <c r="AO1007" s="191" t="s">
        <v>687</v>
      </c>
      <c r="AP1007" s="191" t="s">
        <v>688</v>
      </c>
      <c r="AQ1007" s="191" t="s">
        <v>689</v>
      </c>
      <c r="AR1007" s="191" t="s">
        <v>638</v>
      </c>
      <c r="AS1007" s="191" t="s">
        <v>641</v>
      </c>
      <c r="AT1007" s="191" t="s">
        <v>800</v>
      </c>
      <c r="AU1007" s="191" t="s">
        <v>641</v>
      </c>
      <c r="AW1007" s="270" t="s">
        <v>801</v>
      </c>
      <c r="AX1007" s="270" t="s">
        <v>802</v>
      </c>
    </row>
    <row r="1008" spans="1:50" ht="15.75" customHeight="1" x14ac:dyDescent="0.3">
      <c r="A1008" s="211" t="s">
        <v>8</v>
      </c>
      <c r="B1008" s="211">
        <f t="shared" ref="B1008:C1019" si="308">+F1035</f>
        <v>245</v>
      </c>
      <c r="C1008" s="192">
        <f t="shared" si="308"/>
        <v>0</v>
      </c>
      <c r="D1008" s="312" t="s">
        <v>803</v>
      </c>
      <c r="E1008" s="192">
        <f t="shared" ref="E1008:S1008" si="309">+C928/$B$10/24</f>
        <v>22.74462365591398</v>
      </c>
      <c r="F1008" s="192">
        <f t="shared" si="309"/>
        <v>23.846774193548388</v>
      </c>
      <c r="G1008" s="192">
        <f t="shared" si="309"/>
        <v>40.399193548387096</v>
      </c>
      <c r="H1008" s="192">
        <f t="shared" si="309"/>
        <v>19.915602075965932</v>
      </c>
      <c r="I1008" s="192">
        <f t="shared" si="309"/>
        <v>0</v>
      </c>
      <c r="J1008" s="192">
        <f t="shared" si="309"/>
        <v>5.3588709677419359</v>
      </c>
      <c r="K1008" s="192">
        <f t="shared" si="309"/>
        <v>3.4973118279569895</v>
      </c>
      <c r="L1008" s="192">
        <f t="shared" si="309"/>
        <v>5.3696236559139789</v>
      </c>
      <c r="M1008" s="192">
        <f t="shared" si="309"/>
        <v>5.504032258064516</v>
      </c>
      <c r="N1008" s="192">
        <f t="shared" si="309"/>
        <v>1.9153225806451613</v>
      </c>
      <c r="O1008" s="192">
        <f t="shared" si="309"/>
        <v>2.256720430107527</v>
      </c>
      <c r="P1008" s="192">
        <f t="shared" si="309"/>
        <v>4.559139784946237</v>
      </c>
      <c r="Q1008" s="192">
        <f t="shared" si="309"/>
        <v>0.86559139784946237</v>
      </c>
      <c r="R1008" s="192">
        <f t="shared" si="309"/>
        <v>1.2123655913978495</v>
      </c>
      <c r="S1008" s="312">
        <f t="shared" si="309"/>
        <v>2.0483870967741935</v>
      </c>
      <c r="T1008" s="192">
        <f t="shared" ref="T1008:T1019" si="310">+B1008+SUM(E1008:S1008)</f>
        <v>384.49355906521328</v>
      </c>
      <c r="U1008" s="192">
        <f t="shared" ref="U1008:U1019" si="311">+C1008+SUM(E1008:S1008)</f>
        <v>139.49355906521328</v>
      </c>
      <c r="V1008" s="192" t="s">
        <v>803</v>
      </c>
      <c r="AC1008" s="4">
        <v>1</v>
      </c>
      <c r="AD1008" s="192">
        <f t="shared" ref="AD1008:AD1013" si="312">IF($AF$1005=1,VLOOKUP($AD$1005,$A$1035:$P$1046,12,FALSE),VLOOKUP($AD$1005,$A$1008:$S$1019,2,FALSE))</f>
        <v>294</v>
      </c>
      <c r="AE1008" s="192">
        <f>VLOOKUP($AD$1005,$A$1008:$S$1019,5,FALSE)</f>
        <v>29.61559139784946</v>
      </c>
      <c r="AF1008" s="192">
        <f>VLOOKUP($AD$1005,$A$1008:$S$1019,6,FALSE)</f>
        <v>31.028225806451612</v>
      </c>
      <c r="AG1008" s="192">
        <f>VLOOKUP($AD$1005,$A$1008:$S$1019,7,FALSE)</f>
        <v>51.681451612903224</v>
      </c>
      <c r="AH1008" s="192">
        <f>VLOOKUP($AD$1005,$A$1008:$S$1019,8,FALSE)</f>
        <v>16.035587970560019</v>
      </c>
      <c r="AI1008" s="192">
        <f>VLOOKUP($AD$1005,$A$1008:$S$1019,10,FALSE)</f>
        <v>11.020161290322582</v>
      </c>
      <c r="AJ1008" s="192">
        <f>VLOOKUP($AD$1005,$A$1008:$S$1019,11,FALSE)</f>
        <v>7.0994623655913971</v>
      </c>
      <c r="AK1008" s="192">
        <f>VLOOKUP($AD$1005,$A$1008:$S$1019,12,FALSE)</f>
        <v>9.004032258064516</v>
      </c>
      <c r="AL1008" s="192">
        <f>VLOOKUP($AD$1005,$A$1008:$S$1019,13,FALSE)</f>
        <v>8.029569892473118</v>
      </c>
      <c r="AM1008" s="192">
        <f>VLOOKUP($AD$1005,$A$1008:$S$1019,14,FALSE)</f>
        <v>2.6626344086021505</v>
      </c>
      <c r="AN1008" s="192">
        <f>VLOOKUP($AD$1005,$A$1008:$S$1019,15,FALSE)</f>
        <v>3.1370967741935485</v>
      </c>
      <c r="AO1008" s="192">
        <f>VLOOKUP($AD$1005,$A$1008:$S$1019,16,FALSE)</f>
        <v>6.356182795698925</v>
      </c>
      <c r="AP1008" s="192">
        <f>VLOOKUP($AD$1005,$A$1008:$S$1019,17,FALSE)</f>
        <v>1.1330645161290323</v>
      </c>
      <c r="AQ1008" s="192">
        <f>VLOOKUP($AD$1005,$A$1008:$S$1019,18,FALSE)</f>
        <v>2.081989247311828</v>
      </c>
      <c r="AR1008" s="192">
        <f>VLOOKUP($AD$1005,$A$1008:$S$1019,19,FALSE)</f>
        <v>2.6801075268817205</v>
      </c>
      <c r="AS1008" s="192">
        <f>SUM(AD1008:AR1008)</f>
        <v>475.56515786303311</v>
      </c>
      <c r="AT1008" s="192" t="e">
        <f ca="1">VLOOKUP($AD$1005,$AC$928:$AS$939,17,FALSE)/$AE$1005*(AS1008/$AS$1032)</f>
        <v>#NAME?</v>
      </c>
      <c r="AU1008" s="192" t="e">
        <f ca="1">AS1008+AT1008</f>
        <v>#NAME?</v>
      </c>
      <c r="AW1008" s="192" t="e">
        <f ca="1">VLOOKUP($AD$1005,$A$956:$O$969,15,FALSE)/$AE$1005/24</f>
        <v>#NAME?</v>
      </c>
      <c r="AX1008" s="192" t="e">
        <f ca="1">AU1008-AW1008</f>
        <v>#NAME?</v>
      </c>
    </row>
    <row r="1009" spans="1:50" ht="15.75" customHeight="1" x14ac:dyDescent="0.3">
      <c r="A1009" s="211" t="s">
        <v>9</v>
      </c>
      <c r="B1009" s="211">
        <f t="shared" si="308"/>
        <v>294</v>
      </c>
      <c r="C1009" s="192">
        <f t="shared" si="308"/>
        <v>147</v>
      </c>
      <c r="D1009" s="312" t="s">
        <v>803</v>
      </c>
      <c r="E1009" s="192">
        <f t="shared" ref="E1009:S1009" si="313">+C929/$C$10/24</f>
        <v>12.186011904761905</v>
      </c>
      <c r="F1009" s="192">
        <f t="shared" si="313"/>
        <v>12.758928571428571</v>
      </c>
      <c r="G1009" s="192">
        <f t="shared" si="313"/>
        <v>21.418154761904763</v>
      </c>
      <c r="H1009" s="192">
        <f t="shared" si="313"/>
        <v>0</v>
      </c>
      <c r="I1009" s="192">
        <f t="shared" si="313"/>
        <v>-1.6729505570734535</v>
      </c>
      <c r="J1009" s="192">
        <f t="shared" si="313"/>
        <v>7.03125</v>
      </c>
      <c r="K1009" s="192">
        <f t="shared" si="313"/>
        <v>4.5803571428571432</v>
      </c>
      <c r="L1009" s="192">
        <f t="shared" si="313"/>
        <v>6.8869047619047619</v>
      </c>
      <c r="M1009" s="192">
        <f t="shared" si="313"/>
        <v>7.0476190476190474</v>
      </c>
      <c r="N1009" s="192">
        <f t="shared" si="313"/>
        <v>2.3556547619047619</v>
      </c>
      <c r="O1009" s="192">
        <f t="shared" si="313"/>
        <v>2.776785714285714</v>
      </c>
      <c r="P1009" s="192">
        <f t="shared" si="313"/>
        <v>5.5997023809523805</v>
      </c>
      <c r="Q1009" s="192">
        <f t="shared" si="313"/>
        <v>1.3839285714285714</v>
      </c>
      <c r="R1009" s="192">
        <f t="shared" si="313"/>
        <v>1.4077380952380951</v>
      </c>
      <c r="S1009" s="312">
        <f t="shared" si="313"/>
        <v>3.276785714285714</v>
      </c>
      <c r="T1009" s="192">
        <f t="shared" si="310"/>
        <v>381.03687087149797</v>
      </c>
      <c r="U1009" s="192">
        <f t="shared" si="311"/>
        <v>234.03687087149797</v>
      </c>
      <c r="V1009" s="192" t="s">
        <v>803</v>
      </c>
      <c r="AC1009" s="4">
        <v>2</v>
      </c>
      <c r="AD1009" s="192">
        <f t="shared" si="312"/>
        <v>294</v>
      </c>
      <c r="AE1009" s="192">
        <f t="shared" ref="AE1009:AE1031" si="314">VLOOKUP($AD$1005,$A$1008:$S$1019,5,FALSE)</f>
        <v>29.61559139784946</v>
      </c>
      <c r="AF1009" s="192">
        <f t="shared" ref="AF1009:AF1031" si="315">VLOOKUP($AD$1005,$A$1008:$S$1019,6,FALSE)</f>
        <v>31.028225806451612</v>
      </c>
      <c r="AG1009" s="192">
        <f t="shared" ref="AG1009:AG1031" si="316">VLOOKUP($AD$1005,$A$1008:$S$1019,7,FALSE)</f>
        <v>51.681451612903224</v>
      </c>
      <c r="AH1009" s="192">
        <f t="shared" ref="AH1009:AH1031" si="317">VLOOKUP($AD$1005,$A$1008:$S$1019,8,FALSE)</f>
        <v>16.035587970560019</v>
      </c>
      <c r="AI1009" s="192">
        <f t="shared" ref="AI1009:AI1031" si="318">VLOOKUP($AD$1005,$A$1008:$S$1019,10,FALSE)</f>
        <v>11.020161290322582</v>
      </c>
      <c r="AJ1009" s="192">
        <f t="shared" ref="AJ1009:AJ1031" si="319">VLOOKUP($AD$1005,$A$1008:$S$1019,11,FALSE)</f>
        <v>7.0994623655913971</v>
      </c>
      <c r="AK1009" s="192">
        <f t="shared" ref="AK1009:AK1031" si="320">VLOOKUP($AD$1005,$A$1008:$S$1019,12,FALSE)</f>
        <v>9.004032258064516</v>
      </c>
      <c r="AL1009" s="192">
        <f t="shared" ref="AL1009:AL1031" si="321">VLOOKUP($AD$1005,$A$1008:$S$1019,13,FALSE)</f>
        <v>8.029569892473118</v>
      </c>
      <c r="AM1009" s="192">
        <f t="shared" ref="AM1009:AM1031" si="322">VLOOKUP($AD$1005,$A$1008:$S$1019,14,FALSE)</f>
        <v>2.6626344086021505</v>
      </c>
      <c r="AN1009" s="192">
        <f t="shared" ref="AN1009:AN1031" si="323">VLOOKUP($AD$1005,$A$1008:$S$1019,15,FALSE)</f>
        <v>3.1370967741935485</v>
      </c>
      <c r="AO1009" s="192">
        <f t="shared" ref="AO1009:AO1031" si="324">VLOOKUP($AD$1005,$A$1008:$S$1019,16,FALSE)</f>
        <v>6.356182795698925</v>
      </c>
      <c r="AP1009" s="192">
        <f t="shared" ref="AP1009:AP1031" si="325">VLOOKUP($AD$1005,$A$1008:$S$1019,17,FALSE)</f>
        <v>1.1330645161290323</v>
      </c>
      <c r="AQ1009" s="192">
        <f t="shared" ref="AQ1009:AQ1031" si="326">VLOOKUP($AD$1005,$A$1008:$S$1019,18,FALSE)</f>
        <v>2.081989247311828</v>
      </c>
      <c r="AR1009" s="192">
        <f t="shared" ref="AR1009:AR1031" si="327">VLOOKUP($AD$1005,$A$1008:$S$1019,19,FALSE)</f>
        <v>2.6801075268817205</v>
      </c>
      <c r="AS1009" s="192">
        <f t="shared" ref="AS1009:AS1031" si="328">SUM(AD1009:AR1009)</f>
        <v>475.56515786303311</v>
      </c>
      <c r="AT1009" s="192" t="e">
        <f t="shared" ref="AT1009:AT1031" ca="1" si="329">VLOOKUP($AD$1005,$AC$928:$AS$939,17,FALSE)/$AE$1005*(AS1009/$AS$1032)</f>
        <v>#NAME?</v>
      </c>
      <c r="AU1009" s="192" t="e">
        <f t="shared" ref="AU1009:AU1031" ca="1" si="330">AS1009+AT1009</f>
        <v>#NAME?</v>
      </c>
      <c r="AW1009" s="192" t="e">
        <f t="shared" ref="AW1009:AW1031" ca="1" si="331">VLOOKUP($AD$1005,$A$956:$O$969,15,FALSE)/$AE$1005/24</f>
        <v>#NAME?</v>
      </c>
      <c r="AX1009" s="192" t="e">
        <f t="shared" ref="AX1009:AX1031" ca="1" si="332">AU1009-AW1009</f>
        <v>#NAME?</v>
      </c>
    </row>
    <row r="1010" spans="1:50" ht="15.75" customHeight="1" x14ac:dyDescent="0.3">
      <c r="A1010" s="211" t="s">
        <v>10</v>
      </c>
      <c r="B1010" s="211">
        <f t="shared" si="308"/>
        <v>294</v>
      </c>
      <c r="C1010" s="192">
        <f t="shared" si="308"/>
        <v>196</v>
      </c>
      <c r="D1010" s="312" t="s">
        <v>803</v>
      </c>
      <c r="E1010" s="192">
        <f t="shared" ref="E1010:S1010" si="333">+C930/$D$10/24</f>
        <v>29.61559139784946</v>
      </c>
      <c r="F1010" s="192">
        <f t="shared" si="333"/>
        <v>31.028225806451612</v>
      </c>
      <c r="G1010" s="192">
        <f t="shared" si="333"/>
        <v>51.681451612903224</v>
      </c>
      <c r="H1010" s="192">
        <f t="shared" si="333"/>
        <v>16.035587970560019</v>
      </c>
      <c r="I1010" s="192">
        <f t="shared" si="333"/>
        <v>0</v>
      </c>
      <c r="J1010" s="192">
        <f t="shared" si="333"/>
        <v>11.020161290322582</v>
      </c>
      <c r="K1010" s="192">
        <f t="shared" si="333"/>
        <v>7.0994623655913971</v>
      </c>
      <c r="L1010" s="192">
        <f t="shared" si="333"/>
        <v>9.004032258064516</v>
      </c>
      <c r="M1010" s="192">
        <f t="shared" si="333"/>
        <v>8.029569892473118</v>
      </c>
      <c r="N1010" s="192">
        <f t="shared" si="333"/>
        <v>2.6626344086021505</v>
      </c>
      <c r="O1010" s="192">
        <f t="shared" si="333"/>
        <v>3.1370967741935485</v>
      </c>
      <c r="P1010" s="192">
        <f t="shared" si="333"/>
        <v>6.356182795698925</v>
      </c>
      <c r="Q1010" s="192">
        <f t="shared" si="333"/>
        <v>1.1330645161290323</v>
      </c>
      <c r="R1010" s="192">
        <f t="shared" si="333"/>
        <v>2.081989247311828</v>
      </c>
      <c r="S1010" s="312">
        <f t="shared" si="333"/>
        <v>2.6801075268817205</v>
      </c>
      <c r="T1010" s="192">
        <f t="shared" si="310"/>
        <v>475.56515786303311</v>
      </c>
      <c r="U1010" s="192">
        <f t="shared" si="311"/>
        <v>377.56515786303311</v>
      </c>
      <c r="V1010" s="192" t="s">
        <v>803</v>
      </c>
      <c r="AC1010" s="4">
        <v>3</v>
      </c>
      <c r="AD1010" s="192">
        <f t="shared" si="312"/>
        <v>294</v>
      </c>
      <c r="AE1010" s="192">
        <f t="shared" si="314"/>
        <v>29.61559139784946</v>
      </c>
      <c r="AF1010" s="192">
        <f t="shared" si="315"/>
        <v>31.028225806451612</v>
      </c>
      <c r="AG1010" s="192">
        <f t="shared" si="316"/>
        <v>51.681451612903224</v>
      </c>
      <c r="AH1010" s="192">
        <f t="shared" si="317"/>
        <v>16.035587970560019</v>
      </c>
      <c r="AI1010" s="192">
        <f t="shared" si="318"/>
        <v>11.020161290322582</v>
      </c>
      <c r="AJ1010" s="192">
        <f t="shared" si="319"/>
        <v>7.0994623655913971</v>
      </c>
      <c r="AK1010" s="192">
        <f t="shared" si="320"/>
        <v>9.004032258064516</v>
      </c>
      <c r="AL1010" s="192">
        <f t="shared" si="321"/>
        <v>8.029569892473118</v>
      </c>
      <c r="AM1010" s="192">
        <f t="shared" si="322"/>
        <v>2.6626344086021505</v>
      </c>
      <c r="AN1010" s="192">
        <f t="shared" si="323"/>
        <v>3.1370967741935485</v>
      </c>
      <c r="AO1010" s="192">
        <f t="shared" si="324"/>
        <v>6.356182795698925</v>
      </c>
      <c r="AP1010" s="192">
        <f t="shared" si="325"/>
        <v>1.1330645161290323</v>
      </c>
      <c r="AQ1010" s="192">
        <f t="shared" si="326"/>
        <v>2.081989247311828</v>
      </c>
      <c r="AR1010" s="192">
        <f t="shared" si="327"/>
        <v>2.6801075268817205</v>
      </c>
      <c r="AS1010" s="192">
        <f t="shared" si="328"/>
        <v>475.56515786303311</v>
      </c>
      <c r="AT1010" s="192" t="e">
        <f t="shared" ca="1" si="329"/>
        <v>#NAME?</v>
      </c>
      <c r="AU1010" s="192" t="e">
        <f t="shared" ca="1" si="330"/>
        <v>#NAME?</v>
      </c>
      <c r="AW1010" s="192" t="e">
        <f t="shared" ca="1" si="331"/>
        <v>#NAME?</v>
      </c>
      <c r="AX1010" s="192" t="e">
        <f t="shared" ca="1" si="332"/>
        <v>#NAME?</v>
      </c>
    </row>
    <row r="1011" spans="1:50" ht="15.75" customHeight="1" x14ac:dyDescent="0.3">
      <c r="A1011" s="211" t="s">
        <v>12</v>
      </c>
      <c r="B1011" s="211">
        <f t="shared" si="308"/>
        <v>294</v>
      </c>
      <c r="C1011" s="192">
        <f t="shared" si="308"/>
        <v>196</v>
      </c>
      <c r="D1011" s="312" t="s">
        <v>803</v>
      </c>
      <c r="E1011" s="192">
        <f t="shared" ref="E1011:S1011" si="334">+C931/$F$10/24</f>
        <v>29.666666666666668</v>
      </c>
      <c r="F1011" s="192">
        <f t="shared" si="334"/>
        <v>31.063888888888886</v>
      </c>
      <c r="G1011" s="192">
        <f t="shared" si="334"/>
        <v>51.223611111111104</v>
      </c>
      <c r="H1011" s="192">
        <f t="shared" si="334"/>
        <v>5.982704901728197</v>
      </c>
      <c r="I1011" s="192">
        <f t="shared" si="334"/>
        <v>0</v>
      </c>
      <c r="J1011" s="192">
        <f t="shared" si="334"/>
        <v>14.411111111111111</v>
      </c>
      <c r="K1011" s="192">
        <f t="shared" si="334"/>
        <v>9.5222222222222221</v>
      </c>
      <c r="L1011" s="192">
        <f t="shared" si="334"/>
        <v>10.002777777777778</v>
      </c>
      <c r="M1011" s="192">
        <f t="shared" si="334"/>
        <v>8.5291666666666668</v>
      </c>
      <c r="N1011" s="192">
        <f t="shared" si="334"/>
        <v>2.7402777777777776</v>
      </c>
      <c r="O1011" s="192">
        <f t="shared" si="334"/>
        <v>3.2277777777777779</v>
      </c>
      <c r="P1011" s="192">
        <f t="shared" si="334"/>
        <v>6.468055555555555</v>
      </c>
      <c r="Q1011" s="192">
        <f t="shared" si="334"/>
        <v>1.1708333333333334</v>
      </c>
      <c r="R1011" s="192">
        <f t="shared" si="334"/>
        <v>2.3097222222222222</v>
      </c>
      <c r="S1011" s="312">
        <f t="shared" si="334"/>
        <v>2.7680555555555557</v>
      </c>
      <c r="T1011" s="192">
        <f t="shared" si="310"/>
        <v>473.08687156839483</v>
      </c>
      <c r="U1011" s="192">
        <f t="shared" si="311"/>
        <v>375.08687156839483</v>
      </c>
      <c r="V1011" s="192" t="s">
        <v>803</v>
      </c>
      <c r="AC1011" s="4">
        <v>4</v>
      </c>
      <c r="AD1011" s="192">
        <f t="shared" si="312"/>
        <v>294</v>
      </c>
      <c r="AE1011" s="192">
        <f t="shared" si="314"/>
        <v>29.61559139784946</v>
      </c>
      <c r="AF1011" s="192">
        <f t="shared" si="315"/>
        <v>31.028225806451612</v>
      </c>
      <c r="AG1011" s="192">
        <f t="shared" si="316"/>
        <v>51.681451612903224</v>
      </c>
      <c r="AH1011" s="192">
        <f t="shared" si="317"/>
        <v>16.035587970560019</v>
      </c>
      <c r="AI1011" s="192">
        <f t="shared" si="318"/>
        <v>11.020161290322582</v>
      </c>
      <c r="AJ1011" s="192">
        <f t="shared" si="319"/>
        <v>7.0994623655913971</v>
      </c>
      <c r="AK1011" s="192">
        <f t="shared" si="320"/>
        <v>9.004032258064516</v>
      </c>
      <c r="AL1011" s="192">
        <f t="shared" si="321"/>
        <v>8.029569892473118</v>
      </c>
      <c r="AM1011" s="192">
        <f t="shared" si="322"/>
        <v>2.6626344086021505</v>
      </c>
      <c r="AN1011" s="192">
        <f t="shared" si="323"/>
        <v>3.1370967741935485</v>
      </c>
      <c r="AO1011" s="192">
        <f t="shared" si="324"/>
        <v>6.356182795698925</v>
      </c>
      <c r="AP1011" s="192">
        <f t="shared" si="325"/>
        <v>1.1330645161290323</v>
      </c>
      <c r="AQ1011" s="192">
        <f t="shared" si="326"/>
        <v>2.081989247311828</v>
      </c>
      <c r="AR1011" s="192">
        <f t="shared" si="327"/>
        <v>2.6801075268817205</v>
      </c>
      <c r="AS1011" s="192">
        <f t="shared" si="328"/>
        <v>475.56515786303311</v>
      </c>
      <c r="AT1011" s="192" t="e">
        <f t="shared" ca="1" si="329"/>
        <v>#NAME?</v>
      </c>
      <c r="AU1011" s="192" t="e">
        <f t="shared" ca="1" si="330"/>
        <v>#NAME?</v>
      </c>
      <c r="AW1011" s="192" t="e">
        <f t="shared" ca="1" si="331"/>
        <v>#NAME?</v>
      </c>
      <c r="AX1011" s="192" t="e">
        <f t="shared" ca="1" si="332"/>
        <v>#NAME?</v>
      </c>
    </row>
    <row r="1012" spans="1:50" ht="15.75" customHeight="1" x14ac:dyDescent="0.3">
      <c r="A1012" s="211" t="s">
        <v>13</v>
      </c>
      <c r="B1012" s="211">
        <f t="shared" si="308"/>
        <v>294</v>
      </c>
      <c r="C1012" s="192">
        <f t="shared" si="308"/>
        <v>196</v>
      </c>
      <c r="D1012" s="312" t="s">
        <v>803</v>
      </c>
      <c r="E1012" s="192">
        <f t="shared" ref="E1012:S1012" si="335">+C932/$G$10/24</f>
        <v>29.61962365591398</v>
      </c>
      <c r="F1012" s="192">
        <f t="shared" si="335"/>
        <v>31.006720430107524</v>
      </c>
      <c r="G1012" s="192">
        <f t="shared" si="335"/>
        <v>51.189516129032256</v>
      </c>
      <c r="H1012" s="192">
        <f t="shared" si="335"/>
        <v>3.1912604594776961</v>
      </c>
      <c r="I1012" s="192">
        <f t="shared" si="335"/>
        <v>0</v>
      </c>
      <c r="J1012" s="192">
        <f t="shared" si="335"/>
        <v>14.64247311827957</v>
      </c>
      <c r="K1012" s="192">
        <f t="shared" si="335"/>
        <v>8.189516129032258</v>
      </c>
      <c r="L1012" s="192">
        <f t="shared" si="335"/>
        <v>9.7607526881720421</v>
      </c>
      <c r="M1012" s="192">
        <f t="shared" si="335"/>
        <v>9.2217741935483861</v>
      </c>
      <c r="N1012" s="192">
        <f t="shared" si="335"/>
        <v>3.0483870967741935</v>
      </c>
      <c r="O1012" s="192">
        <f t="shared" si="335"/>
        <v>3.5913978494623655</v>
      </c>
      <c r="P1012" s="192">
        <f t="shared" si="335"/>
        <v>7.047043010752688</v>
      </c>
      <c r="Q1012" s="192">
        <f t="shared" si="335"/>
        <v>1.360215053763441</v>
      </c>
      <c r="R1012" s="192">
        <f t="shared" si="335"/>
        <v>2.2298387096774195</v>
      </c>
      <c r="S1012" s="312">
        <f t="shared" si="335"/>
        <v>3.2163978494623655</v>
      </c>
      <c r="T1012" s="192">
        <f t="shared" si="310"/>
        <v>471.31491637345619</v>
      </c>
      <c r="U1012" s="192">
        <f t="shared" si="311"/>
        <v>373.31491637345619</v>
      </c>
      <c r="V1012" s="192" t="s">
        <v>803</v>
      </c>
      <c r="AC1012" s="4">
        <v>5</v>
      </c>
      <c r="AD1012" s="192">
        <f t="shared" si="312"/>
        <v>294</v>
      </c>
      <c r="AE1012" s="192">
        <f t="shared" si="314"/>
        <v>29.61559139784946</v>
      </c>
      <c r="AF1012" s="192">
        <f t="shared" si="315"/>
        <v>31.028225806451612</v>
      </c>
      <c r="AG1012" s="192">
        <f t="shared" si="316"/>
        <v>51.681451612903224</v>
      </c>
      <c r="AH1012" s="192">
        <f t="shared" si="317"/>
        <v>16.035587970560019</v>
      </c>
      <c r="AI1012" s="192">
        <f t="shared" si="318"/>
        <v>11.020161290322582</v>
      </c>
      <c r="AJ1012" s="192">
        <f t="shared" si="319"/>
        <v>7.0994623655913971</v>
      </c>
      <c r="AK1012" s="192">
        <f t="shared" si="320"/>
        <v>9.004032258064516</v>
      </c>
      <c r="AL1012" s="192">
        <f t="shared" si="321"/>
        <v>8.029569892473118</v>
      </c>
      <c r="AM1012" s="192">
        <f t="shared" si="322"/>
        <v>2.6626344086021505</v>
      </c>
      <c r="AN1012" s="192">
        <f t="shared" si="323"/>
        <v>3.1370967741935485</v>
      </c>
      <c r="AO1012" s="192">
        <f t="shared" si="324"/>
        <v>6.356182795698925</v>
      </c>
      <c r="AP1012" s="192">
        <f t="shared" si="325"/>
        <v>1.1330645161290323</v>
      </c>
      <c r="AQ1012" s="192">
        <f t="shared" si="326"/>
        <v>2.081989247311828</v>
      </c>
      <c r="AR1012" s="192">
        <f t="shared" si="327"/>
        <v>2.6801075268817205</v>
      </c>
      <c r="AS1012" s="192">
        <f t="shared" si="328"/>
        <v>475.56515786303311</v>
      </c>
      <c r="AT1012" s="192" t="e">
        <f t="shared" ca="1" si="329"/>
        <v>#NAME?</v>
      </c>
      <c r="AU1012" s="192" t="e">
        <f t="shared" ca="1" si="330"/>
        <v>#NAME?</v>
      </c>
      <c r="AW1012" s="192" t="e">
        <f t="shared" ca="1" si="331"/>
        <v>#NAME?</v>
      </c>
      <c r="AX1012" s="192" t="e">
        <f t="shared" ca="1" si="332"/>
        <v>#NAME?</v>
      </c>
    </row>
    <row r="1013" spans="1:50" ht="15.75" customHeight="1" x14ac:dyDescent="0.3">
      <c r="A1013" s="211" t="s">
        <v>14</v>
      </c>
      <c r="B1013" s="211">
        <f t="shared" si="308"/>
        <v>294</v>
      </c>
      <c r="C1013" s="192">
        <f t="shared" si="308"/>
        <v>98</v>
      </c>
      <c r="D1013" s="312">
        <f>H1040</f>
        <v>0</v>
      </c>
      <c r="E1013" s="192">
        <f t="shared" ref="E1013:S1013" si="336">+C933/$H$10/24</f>
        <v>14.205555555555556</v>
      </c>
      <c r="F1013" s="192">
        <f t="shared" si="336"/>
        <v>14.834722222222224</v>
      </c>
      <c r="G1013" s="192">
        <f t="shared" si="336"/>
        <v>23.612500000000001</v>
      </c>
      <c r="H1013" s="192">
        <f t="shared" si="336"/>
        <v>0</v>
      </c>
      <c r="I1013" s="192">
        <f t="shared" si="336"/>
        <v>-20.51113865720659</v>
      </c>
      <c r="J1013" s="192">
        <f t="shared" si="336"/>
        <v>18.901388888888889</v>
      </c>
      <c r="K1013" s="192">
        <f t="shared" si="336"/>
        <v>8.6444444444444439</v>
      </c>
      <c r="L1013" s="192">
        <f t="shared" si="336"/>
        <v>10.237499999999999</v>
      </c>
      <c r="M1013" s="192">
        <f t="shared" si="336"/>
        <v>8.6944444444444446</v>
      </c>
      <c r="N1013" s="192">
        <f t="shared" si="336"/>
        <v>2.9624999999999999</v>
      </c>
      <c r="O1013" s="192">
        <f t="shared" si="336"/>
        <v>3.4888888888888889</v>
      </c>
      <c r="P1013" s="192">
        <f t="shared" si="336"/>
        <v>6.759722222222222</v>
      </c>
      <c r="Q1013" s="192">
        <f t="shared" si="336"/>
        <v>1.2055555555555555</v>
      </c>
      <c r="R1013" s="192">
        <f t="shared" si="336"/>
        <v>2.7124999999999999</v>
      </c>
      <c r="S1013" s="312">
        <f t="shared" si="336"/>
        <v>2.85</v>
      </c>
      <c r="T1013" s="192">
        <f t="shared" si="310"/>
        <v>392.59858356501564</v>
      </c>
      <c r="U1013" s="192">
        <f t="shared" si="311"/>
        <v>196.59858356501564</v>
      </c>
      <c r="V1013" s="320">
        <f>D1013+SUM(E1013:S1013)</f>
        <v>98.598583565015645</v>
      </c>
      <c r="AC1013" s="4">
        <v>6</v>
      </c>
      <c r="AD1013" s="192">
        <f t="shared" si="312"/>
        <v>294</v>
      </c>
      <c r="AE1013" s="192">
        <f t="shared" si="314"/>
        <v>29.61559139784946</v>
      </c>
      <c r="AF1013" s="192">
        <f t="shared" si="315"/>
        <v>31.028225806451612</v>
      </c>
      <c r="AG1013" s="192">
        <f t="shared" si="316"/>
        <v>51.681451612903224</v>
      </c>
      <c r="AH1013" s="192">
        <f t="shared" si="317"/>
        <v>16.035587970560019</v>
      </c>
      <c r="AI1013" s="192">
        <f t="shared" si="318"/>
        <v>11.020161290322582</v>
      </c>
      <c r="AJ1013" s="192">
        <f t="shared" si="319"/>
        <v>7.0994623655913971</v>
      </c>
      <c r="AK1013" s="192">
        <f t="shared" si="320"/>
        <v>9.004032258064516</v>
      </c>
      <c r="AL1013" s="192">
        <f t="shared" si="321"/>
        <v>8.029569892473118</v>
      </c>
      <c r="AM1013" s="192">
        <f t="shared" si="322"/>
        <v>2.6626344086021505</v>
      </c>
      <c r="AN1013" s="192">
        <f t="shared" si="323"/>
        <v>3.1370967741935485</v>
      </c>
      <c r="AO1013" s="192">
        <f t="shared" si="324"/>
        <v>6.356182795698925</v>
      </c>
      <c r="AP1013" s="192">
        <f t="shared" si="325"/>
        <v>1.1330645161290323</v>
      </c>
      <c r="AQ1013" s="192">
        <f t="shared" si="326"/>
        <v>2.081989247311828</v>
      </c>
      <c r="AR1013" s="192">
        <f t="shared" si="327"/>
        <v>2.6801075268817205</v>
      </c>
      <c r="AS1013" s="192">
        <f t="shared" si="328"/>
        <v>475.56515786303311</v>
      </c>
      <c r="AT1013" s="192" t="e">
        <f t="shared" ca="1" si="329"/>
        <v>#NAME?</v>
      </c>
      <c r="AU1013" s="192" t="e">
        <f t="shared" ca="1" si="330"/>
        <v>#NAME?</v>
      </c>
      <c r="AW1013" s="192" t="e">
        <f t="shared" ca="1" si="331"/>
        <v>#NAME?</v>
      </c>
      <c r="AX1013" s="192" t="e">
        <f t="shared" ca="1" si="332"/>
        <v>#NAME?</v>
      </c>
    </row>
    <row r="1014" spans="1:50" ht="15.75" customHeight="1" x14ac:dyDescent="0.3">
      <c r="A1014" s="211" t="s">
        <v>16</v>
      </c>
      <c r="B1014" s="211">
        <f t="shared" si="308"/>
        <v>147</v>
      </c>
      <c r="C1014" s="192">
        <f t="shared" si="308"/>
        <v>98</v>
      </c>
      <c r="D1014" s="312">
        <f>H1041</f>
        <v>0</v>
      </c>
      <c r="E1014" s="192">
        <f t="shared" ref="E1014:S1014" si="337">+C934/$J$10/24</f>
        <v>11.794354838709678</v>
      </c>
      <c r="F1014" s="192">
        <f t="shared" si="337"/>
        <v>12.306451612903226</v>
      </c>
      <c r="G1014" s="192">
        <f t="shared" si="337"/>
        <v>18.993279569892472</v>
      </c>
      <c r="H1014" s="192">
        <f t="shared" si="337"/>
        <v>0</v>
      </c>
      <c r="I1014" s="192">
        <f t="shared" si="337"/>
        <v>-17.045150210124543</v>
      </c>
      <c r="J1014" s="192">
        <f t="shared" si="337"/>
        <v>17.461021505376344</v>
      </c>
      <c r="K1014" s="192">
        <f t="shared" si="337"/>
        <v>9.4637096774193541</v>
      </c>
      <c r="L1014" s="192">
        <f t="shared" si="337"/>
        <v>10.596774193548386</v>
      </c>
      <c r="M1014" s="192">
        <f t="shared" si="337"/>
        <v>9.3602150537634419</v>
      </c>
      <c r="N1014" s="192">
        <f t="shared" si="337"/>
        <v>3.013440860215054</v>
      </c>
      <c r="O1014" s="192">
        <f t="shared" si="337"/>
        <v>3.5483870967741935</v>
      </c>
      <c r="P1014" s="192">
        <f t="shared" si="337"/>
        <v>6.7405913978494629</v>
      </c>
      <c r="Q1014" s="192">
        <f t="shared" si="337"/>
        <v>1.0766129032258065</v>
      </c>
      <c r="R1014" s="192">
        <f t="shared" si="337"/>
        <v>2.5470430107526885</v>
      </c>
      <c r="S1014" s="312">
        <f t="shared" si="337"/>
        <v>2.5456989247311825</v>
      </c>
      <c r="T1014" s="192">
        <f t="shared" si="310"/>
        <v>239.40243043503676</v>
      </c>
      <c r="U1014" s="192">
        <f t="shared" si="311"/>
        <v>190.40243043503676</v>
      </c>
      <c r="V1014" s="320">
        <f>D1014+SUM(E1014:S1014)</f>
        <v>92.402430435036749</v>
      </c>
      <c r="AC1014" s="4">
        <v>7</v>
      </c>
      <c r="AD1014" s="192">
        <f>IF($AF$1005=1,VLOOKUP($AD$1005,$A$1035:$P$1046,12,FALSE),IF(OR($AD$1005="JAN",$AD$1005="FEB",$AD$1005="NOV",$AD$1005="DEC"),VLOOKUP($AD$1005,$A$1008:$S$1019,2,FALSE),VLOOKUP($AD$1005,$A$1008:$S$1019,3,FALSE)))</f>
        <v>196</v>
      </c>
      <c r="AE1014" s="192">
        <f t="shared" si="314"/>
        <v>29.61559139784946</v>
      </c>
      <c r="AF1014" s="192">
        <f t="shared" si="315"/>
        <v>31.028225806451612</v>
      </c>
      <c r="AG1014" s="192">
        <f t="shared" si="316"/>
        <v>51.681451612903224</v>
      </c>
      <c r="AH1014" s="192">
        <f t="shared" si="317"/>
        <v>16.035587970560019</v>
      </c>
      <c r="AI1014" s="192">
        <f t="shared" si="318"/>
        <v>11.020161290322582</v>
      </c>
      <c r="AJ1014" s="192">
        <f t="shared" si="319"/>
        <v>7.0994623655913971</v>
      </c>
      <c r="AK1014" s="192">
        <f t="shared" si="320"/>
        <v>9.004032258064516</v>
      </c>
      <c r="AL1014" s="192">
        <f t="shared" si="321"/>
        <v>8.029569892473118</v>
      </c>
      <c r="AM1014" s="192">
        <f t="shared" si="322"/>
        <v>2.6626344086021505</v>
      </c>
      <c r="AN1014" s="192">
        <f t="shared" si="323"/>
        <v>3.1370967741935485</v>
      </c>
      <c r="AO1014" s="192">
        <f t="shared" si="324"/>
        <v>6.356182795698925</v>
      </c>
      <c r="AP1014" s="192">
        <f t="shared" si="325"/>
        <v>1.1330645161290323</v>
      </c>
      <c r="AQ1014" s="192">
        <f t="shared" si="326"/>
        <v>2.081989247311828</v>
      </c>
      <c r="AR1014" s="192">
        <f t="shared" si="327"/>
        <v>2.6801075268817205</v>
      </c>
      <c r="AS1014" s="192">
        <f t="shared" si="328"/>
        <v>377.56515786303311</v>
      </c>
      <c r="AT1014" s="192" t="e">
        <f t="shared" ca="1" si="329"/>
        <v>#NAME?</v>
      </c>
      <c r="AU1014" s="192" t="e">
        <f t="shared" ca="1" si="330"/>
        <v>#NAME?</v>
      </c>
      <c r="AW1014" s="192" t="e">
        <f t="shared" ca="1" si="331"/>
        <v>#NAME?</v>
      </c>
      <c r="AX1014" s="192" t="e">
        <f t="shared" ca="1" si="332"/>
        <v>#NAME?</v>
      </c>
    </row>
    <row r="1015" spans="1:50" ht="15.75" customHeight="1" x14ac:dyDescent="0.3">
      <c r="A1015" s="211" t="s">
        <v>17</v>
      </c>
      <c r="B1015" s="211">
        <f t="shared" si="308"/>
        <v>147</v>
      </c>
      <c r="C1015" s="192">
        <f t="shared" si="308"/>
        <v>98</v>
      </c>
      <c r="D1015" s="312">
        <f>H1042</f>
        <v>0</v>
      </c>
      <c r="E1015" s="192">
        <f t="shared" ref="E1015:S1015" si="338">+C935/$K$10/24</f>
        <v>11.641129032258064</v>
      </c>
      <c r="F1015" s="192">
        <f t="shared" si="338"/>
        <v>12.158602150537634</v>
      </c>
      <c r="G1015" s="192">
        <f t="shared" si="338"/>
        <v>19.016129032258064</v>
      </c>
      <c r="H1015" s="192">
        <f t="shared" si="338"/>
        <v>0</v>
      </c>
      <c r="I1015" s="192">
        <f t="shared" si="338"/>
        <v>-11.781283625860992</v>
      </c>
      <c r="J1015" s="192">
        <f t="shared" si="338"/>
        <v>14.458333333333334</v>
      </c>
      <c r="K1015" s="192">
        <f t="shared" si="338"/>
        <v>8.6357526881720421</v>
      </c>
      <c r="L1015" s="192">
        <f t="shared" si="338"/>
        <v>9.689516129032258</v>
      </c>
      <c r="M1015" s="192">
        <f t="shared" si="338"/>
        <v>8.698924731182796</v>
      </c>
      <c r="N1015" s="192">
        <f t="shared" si="338"/>
        <v>2.80241935483871</v>
      </c>
      <c r="O1015" s="192">
        <f t="shared" si="338"/>
        <v>3.301075268817204</v>
      </c>
      <c r="P1015" s="192">
        <f t="shared" si="338"/>
        <v>6.331989247311828</v>
      </c>
      <c r="Q1015" s="192">
        <f t="shared" si="338"/>
        <v>1.0618279569892473</v>
      </c>
      <c r="R1015" s="192">
        <f t="shared" si="338"/>
        <v>2.2231182795698925</v>
      </c>
      <c r="S1015" s="312">
        <f t="shared" si="338"/>
        <v>2.510752688172043</v>
      </c>
      <c r="T1015" s="192">
        <f t="shared" si="310"/>
        <v>237.74828626661213</v>
      </c>
      <c r="U1015" s="192">
        <f t="shared" si="311"/>
        <v>188.74828626661213</v>
      </c>
      <c r="V1015" s="320">
        <f>D1015+SUM(E1015:S1015)</f>
        <v>90.748286266612112</v>
      </c>
      <c r="AC1015" s="4">
        <v>8</v>
      </c>
      <c r="AD1015" s="192">
        <f>IF($AF$1005=1,VLOOKUP($AD$1005,$A$1035:$P$1046,12,FALSE),VLOOKUP($AD$1005,$A$1008:$S$1019,3,FALSE))</f>
        <v>196</v>
      </c>
      <c r="AE1015" s="192">
        <f t="shared" si="314"/>
        <v>29.61559139784946</v>
      </c>
      <c r="AF1015" s="192">
        <f t="shared" si="315"/>
        <v>31.028225806451612</v>
      </c>
      <c r="AG1015" s="192">
        <f t="shared" si="316"/>
        <v>51.681451612903224</v>
      </c>
      <c r="AH1015" s="192">
        <f t="shared" si="317"/>
        <v>16.035587970560019</v>
      </c>
      <c r="AI1015" s="192">
        <f t="shared" si="318"/>
        <v>11.020161290322582</v>
      </c>
      <c r="AJ1015" s="192">
        <f t="shared" si="319"/>
        <v>7.0994623655913971</v>
      </c>
      <c r="AK1015" s="192">
        <f t="shared" si="320"/>
        <v>9.004032258064516</v>
      </c>
      <c r="AL1015" s="192">
        <f t="shared" si="321"/>
        <v>8.029569892473118</v>
      </c>
      <c r="AM1015" s="192">
        <f t="shared" si="322"/>
        <v>2.6626344086021505</v>
      </c>
      <c r="AN1015" s="192">
        <f t="shared" si="323"/>
        <v>3.1370967741935485</v>
      </c>
      <c r="AO1015" s="192">
        <f t="shared" si="324"/>
        <v>6.356182795698925</v>
      </c>
      <c r="AP1015" s="192">
        <f t="shared" si="325"/>
        <v>1.1330645161290323</v>
      </c>
      <c r="AQ1015" s="192">
        <f t="shared" si="326"/>
        <v>2.081989247311828</v>
      </c>
      <c r="AR1015" s="192">
        <f t="shared" si="327"/>
        <v>2.6801075268817205</v>
      </c>
      <c r="AS1015" s="192">
        <f t="shared" si="328"/>
        <v>377.56515786303311</v>
      </c>
      <c r="AT1015" s="192" t="e">
        <f t="shared" ca="1" si="329"/>
        <v>#NAME?</v>
      </c>
      <c r="AU1015" s="192" t="e">
        <f t="shared" ca="1" si="330"/>
        <v>#NAME?</v>
      </c>
      <c r="AW1015" s="192" t="e">
        <f t="shared" ca="1" si="331"/>
        <v>#NAME?</v>
      </c>
      <c r="AX1015" s="192" t="e">
        <f t="shared" ca="1" si="332"/>
        <v>#NAME?</v>
      </c>
    </row>
    <row r="1016" spans="1:50" ht="15.75" customHeight="1" x14ac:dyDescent="0.3">
      <c r="A1016" s="211" t="s">
        <v>18</v>
      </c>
      <c r="B1016" s="211">
        <f t="shared" si="308"/>
        <v>245</v>
      </c>
      <c r="C1016" s="192">
        <f t="shared" si="308"/>
        <v>147</v>
      </c>
      <c r="D1016" s="312" t="s">
        <v>803</v>
      </c>
      <c r="E1016" s="192">
        <f t="shared" ref="E1016:S1016" si="339">+C936/$L$10/24</f>
        <v>23.337500000000002</v>
      </c>
      <c r="F1016" s="192">
        <f t="shared" si="339"/>
        <v>24.431944444444444</v>
      </c>
      <c r="G1016" s="192">
        <f t="shared" si="339"/>
        <v>40.44166666666667</v>
      </c>
      <c r="H1016" s="192">
        <f t="shared" si="339"/>
        <v>0</v>
      </c>
      <c r="I1016" s="192">
        <f t="shared" si="339"/>
        <v>0</v>
      </c>
      <c r="J1016" s="192">
        <f t="shared" si="339"/>
        <v>11.933333333333332</v>
      </c>
      <c r="K1016" s="192">
        <f t="shared" si="339"/>
        <v>6.4291666666666671</v>
      </c>
      <c r="L1016" s="192">
        <f t="shared" si="339"/>
        <v>8.4777777777777779</v>
      </c>
      <c r="M1016" s="192">
        <f t="shared" si="339"/>
        <v>7.6680555555555552</v>
      </c>
      <c r="N1016" s="192">
        <f t="shared" si="339"/>
        <v>2.6083333333333334</v>
      </c>
      <c r="O1016" s="192">
        <f t="shared" si="339"/>
        <v>3.0722222222222224</v>
      </c>
      <c r="P1016" s="192">
        <f t="shared" si="339"/>
        <v>6.156944444444445</v>
      </c>
      <c r="Q1016" s="192">
        <f t="shared" si="339"/>
        <v>1.1888888888888889</v>
      </c>
      <c r="R1016" s="192">
        <f t="shared" si="339"/>
        <v>1.9097222222222223</v>
      </c>
      <c r="S1016" s="312">
        <f t="shared" si="339"/>
        <v>2.8111111111111113</v>
      </c>
      <c r="T1016" s="192">
        <f t="shared" si="310"/>
        <v>385.4666666666667</v>
      </c>
      <c r="U1016" s="192">
        <f t="shared" si="311"/>
        <v>287.4666666666667</v>
      </c>
      <c r="V1016" s="192" t="s">
        <v>803</v>
      </c>
      <c r="AC1016" s="4">
        <v>9</v>
      </c>
      <c r="AD1016" s="192">
        <f>IF($AF$1005=1,VLOOKUP($AD$1005,$A$1035:$P$1046,12,FALSE),VLOOKUP($AD$1005,$A$1008:$S$1019,3,FALSE))</f>
        <v>196</v>
      </c>
      <c r="AE1016" s="192">
        <f t="shared" si="314"/>
        <v>29.61559139784946</v>
      </c>
      <c r="AF1016" s="192">
        <f t="shared" si="315"/>
        <v>31.028225806451612</v>
      </c>
      <c r="AG1016" s="192">
        <f t="shared" si="316"/>
        <v>51.681451612903224</v>
      </c>
      <c r="AH1016" s="192">
        <f t="shared" si="317"/>
        <v>16.035587970560019</v>
      </c>
      <c r="AI1016" s="192">
        <f t="shared" si="318"/>
        <v>11.020161290322582</v>
      </c>
      <c r="AJ1016" s="192">
        <f t="shared" si="319"/>
        <v>7.0994623655913971</v>
      </c>
      <c r="AK1016" s="192">
        <f t="shared" si="320"/>
        <v>9.004032258064516</v>
      </c>
      <c r="AL1016" s="192">
        <f t="shared" si="321"/>
        <v>8.029569892473118</v>
      </c>
      <c r="AM1016" s="192">
        <f t="shared" si="322"/>
        <v>2.6626344086021505</v>
      </c>
      <c r="AN1016" s="192">
        <f t="shared" si="323"/>
        <v>3.1370967741935485</v>
      </c>
      <c r="AO1016" s="192">
        <f t="shared" si="324"/>
        <v>6.356182795698925</v>
      </c>
      <c r="AP1016" s="192">
        <f t="shared" si="325"/>
        <v>1.1330645161290323</v>
      </c>
      <c r="AQ1016" s="192">
        <f t="shared" si="326"/>
        <v>2.081989247311828</v>
      </c>
      <c r="AR1016" s="192">
        <f t="shared" si="327"/>
        <v>2.6801075268817205</v>
      </c>
      <c r="AS1016" s="192">
        <f t="shared" si="328"/>
        <v>377.56515786303311</v>
      </c>
      <c r="AT1016" s="192" t="e">
        <f t="shared" ca="1" si="329"/>
        <v>#NAME?</v>
      </c>
      <c r="AU1016" s="192" t="e">
        <f t="shared" ca="1" si="330"/>
        <v>#NAME?</v>
      </c>
      <c r="AW1016" s="192" t="e">
        <f t="shared" ca="1" si="331"/>
        <v>#NAME?</v>
      </c>
      <c r="AX1016" s="192" t="e">
        <f t="shared" ca="1" si="332"/>
        <v>#NAME?</v>
      </c>
    </row>
    <row r="1017" spans="1:50" ht="15.75" customHeight="1" x14ac:dyDescent="0.3">
      <c r="A1017" s="211" t="s">
        <v>20</v>
      </c>
      <c r="B1017" s="211">
        <f t="shared" si="308"/>
        <v>245</v>
      </c>
      <c r="C1017" s="192">
        <f t="shared" si="308"/>
        <v>147</v>
      </c>
      <c r="D1017" s="312" t="s">
        <v>803</v>
      </c>
      <c r="E1017" s="192">
        <f t="shared" ref="E1017:S1017" si="340">+C937/$N$10/24</f>
        <v>21.603494623655916</v>
      </c>
      <c r="F1017" s="192">
        <f t="shared" si="340"/>
        <v>22.618279569892476</v>
      </c>
      <c r="G1017" s="192">
        <f t="shared" si="340"/>
        <v>37.928763440860216</v>
      </c>
      <c r="H1017" s="192">
        <f t="shared" si="340"/>
        <v>8.7873902055928941</v>
      </c>
      <c r="I1017" s="192">
        <f t="shared" si="340"/>
        <v>0</v>
      </c>
      <c r="J1017" s="192">
        <f t="shared" si="340"/>
        <v>7.6075268817204309</v>
      </c>
      <c r="K1017" s="192">
        <f t="shared" si="340"/>
        <v>1.946236559139785</v>
      </c>
      <c r="L1017" s="192">
        <f t="shared" si="340"/>
        <v>2.6559139784946235</v>
      </c>
      <c r="M1017" s="192">
        <f t="shared" si="340"/>
        <v>2.514784946236559</v>
      </c>
      <c r="N1017" s="192">
        <f t="shared" si="340"/>
        <v>0.80241935483870963</v>
      </c>
      <c r="O1017" s="192">
        <f t="shared" si="340"/>
        <v>0.94220430107526887</v>
      </c>
      <c r="P1017" s="192">
        <f t="shared" si="340"/>
        <v>1.8561827956989247</v>
      </c>
      <c r="Q1017" s="192">
        <f t="shared" si="340"/>
        <v>0.58467741935483875</v>
      </c>
      <c r="R1017" s="192">
        <f t="shared" si="340"/>
        <v>1.639784946236559</v>
      </c>
      <c r="S1017" s="312">
        <f t="shared" si="340"/>
        <v>1.3830645161290323</v>
      </c>
      <c r="T1017" s="192">
        <f t="shared" si="310"/>
        <v>357.87072353892626</v>
      </c>
      <c r="U1017" s="192">
        <f t="shared" si="311"/>
        <v>259.87072353892626</v>
      </c>
      <c r="V1017" s="192" t="s">
        <v>803</v>
      </c>
      <c r="AC1017" s="4">
        <v>10</v>
      </c>
      <c r="AD1017" s="192">
        <f>IF($AF$1005=1,VLOOKUP($AD$1005,$A$1035:$P$1046,12,FALSE),VLOOKUP($AD$1005,$A$1008:$S$1019,3,FALSE))</f>
        <v>196</v>
      </c>
      <c r="AE1017" s="192">
        <f t="shared" si="314"/>
        <v>29.61559139784946</v>
      </c>
      <c r="AF1017" s="192">
        <f t="shared" si="315"/>
        <v>31.028225806451612</v>
      </c>
      <c r="AG1017" s="192">
        <f t="shared" si="316"/>
        <v>51.681451612903224</v>
      </c>
      <c r="AH1017" s="192">
        <f t="shared" si="317"/>
        <v>16.035587970560019</v>
      </c>
      <c r="AI1017" s="192">
        <f t="shared" si="318"/>
        <v>11.020161290322582</v>
      </c>
      <c r="AJ1017" s="192">
        <f t="shared" si="319"/>
        <v>7.0994623655913971</v>
      </c>
      <c r="AK1017" s="192">
        <f t="shared" si="320"/>
        <v>9.004032258064516</v>
      </c>
      <c r="AL1017" s="192">
        <f t="shared" si="321"/>
        <v>8.029569892473118</v>
      </c>
      <c r="AM1017" s="192">
        <f t="shared" si="322"/>
        <v>2.6626344086021505</v>
      </c>
      <c r="AN1017" s="192">
        <f t="shared" si="323"/>
        <v>3.1370967741935485</v>
      </c>
      <c r="AO1017" s="192">
        <f t="shared" si="324"/>
        <v>6.356182795698925</v>
      </c>
      <c r="AP1017" s="192">
        <f t="shared" si="325"/>
        <v>1.1330645161290323</v>
      </c>
      <c r="AQ1017" s="192">
        <f t="shared" si="326"/>
        <v>2.081989247311828</v>
      </c>
      <c r="AR1017" s="192">
        <f t="shared" si="327"/>
        <v>2.6801075268817205</v>
      </c>
      <c r="AS1017" s="192">
        <f t="shared" si="328"/>
        <v>377.56515786303311</v>
      </c>
      <c r="AT1017" s="192" t="e">
        <f t="shared" ca="1" si="329"/>
        <v>#NAME?</v>
      </c>
      <c r="AU1017" s="192" t="e">
        <f t="shared" ca="1" si="330"/>
        <v>#NAME?</v>
      </c>
      <c r="AW1017" s="192" t="e">
        <f t="shared" ca="1" si="331"/>
        <v>#NAME?</v>
      </c>
      <c r="AX1017" s="192" t="e">
        <f t="shared" ca="1" si="332"/>
        <v>#NAME?</v>
      </c>
    </row>
    <row r="1018" spans="1:50" ht="15.75" customHeight="1" x14ac:dyDescent="0.3">
      <c r="A1018" s="211" t="s">
        <v>21</v>
      </c>
      <c r="B1018" s="211">
        <f t="shared" si="308"/>
        <v>245</v>
      </c>
      <c r="C1018" s="192">
        <f t="shared" si="308"/>
        <v>147</v>
      </c>
      <c r="D1018" s="312" t="s">
        <v>803</v>
      </c>
      <c r="E1018" s="192">
        <f t="shared" ref="E1018:S1018" si="341">+C938/$O$10/24</f>
        <v>21.538888888888888</v>
      </c>
      <c r="F1018" s="192">
        <f t="shared" si="341"/>
        <v>22.558333333333334</v>
      </c>
      <c r="G1018" s="192">
        <f t="shared" si="341"/>
        <v>38.31666666666667</v>
      </c>
      <c r="H1018" s="192">
        <f t="shared" si="341"/>
        <v>16.994268162327661</v>
      </c>
      <c r="I1018" s="192">
        <f t="shared" si="341"/>
        <v>0</v>
      </c>
      <c r="J1018" s="192">
        <f t="shared" si="341"/>
        <v>4.0888888888888895</v>
      </c>
      <c r="K1018" s="192">
        <f t="shared" si="341"/>
        <v>1.8888888888888891</v>
      </c>
      <c r="L1018" s="192">
        <f t="shared" si="341"/>
        <v>2.6472222222222221</v>
      </c>
      <c r="M1018" s="192">
        <f t="shared" si="341"/>
        <v>2.7027777777777775</v>
      </c>
      <c r="N1018" s="192">
        <f t="shared" si="341"/>
        <v>0.79722222222222217</v>
      </c>
      <c r="O1018" s="192">
        <f t="shared" si="341"/>
        <v>0.93611111111111101</v>
      </c>
      <c r="P1018" s="192">
        <f t="shared" si="341"/>
        <v>1.9458333333333335</v>
      </c>
      <c r="Q1018" s="192">
        <f t="shared" si="341"/>
        <v>0.3527777777777778</v>
      </c>
      <c r="R1018" s="192">
        <f t="shared" si="341"/>
        <v>1.7861111111111112</v>
      </c>
      <c r="S1018" s="312">
        <f t="shared" si="341"/>
        <v>0.83472222222222225</v>
      </c>
      <c r="T1018" s="192">
        <f t="shared" si="310"/>
        <v>362.38871260677212</v>
      </c>
      <c r="U1018" s="192">
        <f t="shared" si="311"/>
        <v>264.38871260677212</v>
      </c>
      <c r="V1018" s="192" t="s">
        <v>803</v>
      </c>
      <c r="AC1018" s="4">
        <v>11</v>
      </c>
      <c r="AD1018" s="192">
        <f>IF($AF$1005=1,VLOOKUP($AD$1005,$A$1035:$P$1046,12,FALSE),VLOOKUP($AD$1005,$A$1008:$S$1019,3,FALSE))</f>
        <v>196</v>
      </c>
      <c r="AE1018" s="192">
        <f t="shared" si="314"/>
        <v>29.61559139784946</v>
      </c>
      <c r="AF1018" s="192">
        <f t="shared" si="315"/>
        <v>31.028225806451612</v>
      </c>
      <c r="AG1018" s="192">
        <f t="shared" si="316"/>
        <v>51.681451612903224</v>
      </c>
      <c r="AH1018" s="192">
        <f t="shared" si="317"/>
        <v>16.035587970560019</v>
      </c>
      <c r="AI1018" s="192">
        <f t="shared" si="318"/>
        <v>11.020161290322582</v>
      </c>
      <c r="AJ1018" s="192">
        <f t="shared" si="319"/>
        <v>7.0994623655913971</v>
      </c>
      <c r="AK1018" s="192">
        <f t="shared" si="320"/>
        <v>9.004032258064516</v>
      </c>
      <c r="AL1018" s="192">
        <f t="shared" si="321"/>
        <v>8.029569892473118</v>
      </c>
      <c r="AM1018" s="192">
        <f t="shared" si="322"/>
        <v>2.6626344086021505</v>
      </c>
      <c r="AN1018" s="192">
        <f t="shared" si="323"/>
        <v>3.1370967741935485</v>
      </c>
      <c r="AO1018" s="192">
        <f t="shared" si="324"/>
        <v>6.356182795698925</v>
      </c>
      <c r="AP1018" s="192">
        <f t="shared" si="325"/>
        <v>1.1330645161290323</v>
      </c>
      <c r="AQ1018" s="192">
        <f t="shared" si="326"/>
        <v>2.081989247311828</v>
      </c>
      <c r="AR1018" s="192">
        <f t="shared" si="327"/>
        <v>2.6801075268817205</v>
      </c>
      <c r="AS1018" s="192">
        <f t="shared" si="328"/>
        <v>377.56515786303311</v>
      </c>
      <c r="AT1018" s="192" t="e">
        <f t="shared" ca="1" si="329"/>
        <v>#NAME?</v>
      </c>
      <c r="AU1018" s="192" t="e">
        <f t="shared" ca="1" si="330"/>
        <v>#NAME?</v>
      </c>
      <c r="AW1018" s="192" t="e">
        <f t="shared" ca="1" si="331"/>
        <v>#NAME?</v>
      </c>
      <c r="AX1018" s="192" t="e">
        <f t="shared" ca="1" si="332"/>
        <v>#NAME?</v>
      </c>
    </row>
    <row r="1019" spans="1:50" ht="15.75" customHeight="1" thickBot="1" x14ac:dyDescent="0.35">
      <c r="A1019" s="220" t="s">
        <v>22</v>
      </c>
      <c r="B1019" s="220">
        <f t="shared" si="308"/>
        <v>294</v>
      </c>
      <c r="C1019" s="206">
        <f t="shared" si="308"/>
        <v>98</v>
      </c>
      <c r="D1019" s="272" t="s">
        <v>803</v>
      </c>
      <c r="E1019" s="206">
        <f t="shared" ref="E1019:S1019" si="342">+C939/$P$10/24</f>
        <v>21.598118279569892</v>
      </c>
      <c r="F1019" s="206">
        <f t="shared" si="342"/>
        <v>22.629032258064516</v>
      </c>
      <c r="G1019" s="206">
        <f t="shared" si="342"/>
        <v>38.380376344086024</v>
      </c>
      <c r="H1019" s="206">
        <f t="shared" si="342"/>
        <v>16.152875974302688</v>
      </c>
      <c r="I1019" s="206">
        <f t="shared" si="342"/>
        <v>0</v>
      </c>
      <c r="J1019" s="206">
        <f t="shared" si="342"/>
        <v>5.873655913978495</v>
      </c>
      <c r="K1019" s="206">
        <f t="shared" si="342"/>
        <v>1.8454301075268817</v>
      </c>
      <c r="L1019" s="206">
        <f t="shared" si="342"/>
        <v>2.5349462365591395</v>
      </c>
      <c r="M1019" s="206">
        <f t="shared" si="342"/>
        <v>2.5873655913978495</v>
      </c>
      <c r="N1019" s="206">
        <f t="shared" si="342"/>
        <v>0.8373655913978495</v>
      </c>
      <c r="O1019" s="206">
        <f t="shared" si="342"/>
        <v>0.98521505376344087</v>
      </c>
      <c r="P1019" s="206">
        <f t="shared" si="342"/>
        <v>1.967741935483871</v>
      </c>
      <c r="Q1019" s="206">
        <f t="shared" si="342"/>
        <v>0.30645161290322581</v>
      </c>
      <c r="R1019" s="206">
        <f t="shared" si="342"/>
        <v>1.5053763440860217</v>
      </c>
      <c r="S1019" s="272">
        <f t="shared" si="342"/>
        <v>0.7231182795698925</v>
      </c>
      <c r="T1019" s="192">
        <f t="shared" si="310"/>
        <v>411.92706952268981</v>
      </c>
      <c r="U1019" s="192">
        <f t="shared" si="311"/>
        <v>215.92706952268981</v>
      </c>
      <c r="V1019" s="192" t="s">
        <v>803</v>
      </c>
      <c r="AC1019" s="4">
        <v>12</v>
      </c>
      <c r="AD1019" s="192">
        <f>IF($AF$1005=1,VLOOKUP($AD$1005,$A$1035:$P$1046,12,FALSE),VLOOKUP($AD$1005,$A$1008:$S$1019,3,FALSE))</f>
        <v>196</v>
      </c>
      <c r="AE1019" s="192">
        <f t="shared" si="314"/>
        <v>29.61559139784946</v>
      </c>
      <c r="AF1019" s="192">
        <f t="shared" si="315"/>
        <v>31.028225806451612</v>
      </c>
      <c r="AG1019" s="192">
        <f t="shared" si="316"/>
        <v>51.681451612903224</v>
      </c>
      <c r="AH1019" s="192">
        <f t="shared" si="317"/>
        <v>16.035587970560019</v>
      </c>
      <c r="AI1019" s="192">
        <f t="shared" si="318"/>
        <v>11.020161290322582</v>
      </c>
      <c r="AJ1019" s="192">
        <f t="shared" si="319"/>
        <v>7.0994623655913971</v>
      </c>
      <c r="AK1019" s="192">
        <f t="shared" si="320"/>
        <v>9.004032258064516</v>
      </c>
      <c r="AL1019" s="192">
        <f t="shared" si="321"/>
        <v>8.029569892473118</v>
      </c>
      <c r="AM1019" s="192">
        <f t="shared" si="322"/>
        <v>2.6626344086021505</v>
      </c>
      <c r="AN1019" s="192">
        <f t="shared" si="323"/>
        <v>3.1370967741935485</v>
      </c>
      <c r="AO1019" s="192">
        <f t="shared" si="324"/>
        <v>6.356182795698925</v>
      </c>
      <c r="AP1019" s="192">
        <f t="shared" si="325"/>
        <v>1.1330645161290323</v>
      </c>
      <c r="AQ1019" s="192">
        <f t="shared" si="326"/>
        <v>2.081989247311828</v>
      </c>
      <c r="AR1019" s="192">
        <f t="shared" si="327"/>
        <v>2.6801075268817205</v>
      </c>
      <c r="AS1019" s="192">
        <f t="shared" si="328"/>
        <v>377.56515786303311</v>
      </c>
      <c r="AT1019" s="192" t="e">
        <f t="shared" ca="1" si="329"/>
        <v>#NAME?</v>
      </c>
      <c r="AU1019" s="192" t="e">
        <f t="shared" ca="1" si="330"/>
        <v>#NAME?</v>
      </c>
      <c r="AW1019" s="192" t="e">
        <f t="shared" ca="1" si="331"/>
        <v>#NAME?</v>
      </c>
      <c r="AX1019" s="192" t="e">
        <f t="shared" ca="1" si="332"/>
        <v>#NAME?</v>
      </c>
    </row>
    <row r="1020" spans="1:50" ht="15.75" customHeight="1" x14ac:dyDescent="0.3">
      <c r="A1020" s="260"/>
      <c r="AC1020" s="4">
        <v>13</v>
      </c>
      <c r="AD1020" s="192">
        <f>IF($AF$1005=1,VLOOKUP($AD$1005,$A$1035:$P$1046,12,FALSE),IF(OR($AD$1005="JUN",$AD$1005="JUL",$AD$1005="AUG"),VLOOKUP($AD$1005,$A$1008:$S$1019,4,FALSE),VLOOKUP($AD$1005,$A$1008:$S$1019,3,FALSE)))</f>
        <v>196</v>
      </c>
      <c r="AE1020" s="192">
        <f t="shared" si="314"/>
        <v>29.61559139784946</v>
      </c>
      <c r="AF1020" s="192">
        <f t="shared" si="315"/>
        <v>31.028225806451612</v>
      </c>
      <c r="AG1020" s="192">
        <f t="shared" si="316"/>
        <v>51.681451612903224</v>
      </c>
      <c r="AH1020" s="192">
        <f t="shared" si="317"/>
        <v>16.035587970560019</v>
      </c>
      <c r="AI1020" s="192">
        <f t="shared" si="318"/>
        <v>11.020161290322582</v>
      </c>
      <c r="AJ1020" s="192">
        <f t="shared" si="319"/>
        <v>7.0994623655913971</v>
      </c>
      <c r="AK1020" s="192">
        <f t="shared" si="320"/>
        <v>9.004032258064516</v>
      </c>
      <c r="AL1020" s="192">
        <f t="shared" si="321"/>
        <v>8.029569892473118</v>
      </c>
      <c r="AM1020" s="192">
        <f t="shared" si="322"/>
        <v>2.6626344086021505</v>
      </c>
      <c r="AN1020" s="192">
        <f t="shared" si="323"/>
        <v>3.1370967741935485</v>
      </c>
      <c r="AO1020" s="192">
        <f t="shared" si="324"/>
        <v>6.356182795698925</v>
      </c>
      <c r="AP1020" s="192">
        <f t="shared" si="325"/>
        <v>1.1330645161290323</v>
      </c>
      <c r="AQ1020" s="192">
        <f t="shared" si="326"/>
        <v>2.081989247311828</v>
      </c>
      <c r="AR1020" s="192">
        <f t="shared" si="327"/>
        <v>2.6801075268817205</v>
      </c>
      <c r="AS1020" s="192">
        <f t="shared" si="328"/>
        <v>377.56515786303311</v>
      </c>
      <c r="AT1020" s="192" t="e">
        <f t="shared" ca="1" si="329"/>
        <v>#NAME?</v>
      </c>
      <c r="AU1020" s="192" t="e">
        <f t="shared" ca="1" si="330"/>
        <v>#NAME?</v>
      </c>
      <c r="AW1020" s="192" t="e">
        <f t="shared" ca="1" si="331"/>
        <v>#NAME?</v>
      </c>
      <c r="AX1020" s="192" t="e">
        <f t="shared" ca="1" si="332"/>
        <v>#NAME?</v>
      </c>
    </row>
    <row r="1021" spans="1:50" ht="15.75" customHeight="1" x14ac:dyDescent="0.3">
      <c r="A1021" s="260" t="s">
        <v>804</v>
      </c>
      <c r="AC1021" s="4">
        <v>14</v>
      </c>
      <c r="AD1021" s="192">
        <f t="shared" ref="AD1021:AD1027" si="343">IF($AF$1005=1,VLOOKUP($AD$1005,$A$1035:$P$1046,12,FALSE),IF(OR($AD$1005="JUN",$AD$1005="JUL",$AD$1005="AUG"),VLOOKUP($AD$1005,$A$1008:$S$1019,4,FALSE),VLOOKUP($AD$1005,$A$1008:$S$1019,3,FALSE)))</f>
        <v>196</v>
      </c>
      <c r="AE1021" s="192">
        <f t="shared" si="314"/>
        <v>29.61559139784946</v>
      </c>
      <c r="AF1021" s="192">
        <f t="shared" si="315"/>
        <v>31.028225806451612</v>
      </c>
      <c r="AG1021" s="192">
        <f t="shared" si="316"/>
        <v>51.681451612903224</v>
      </c>
      <c r="AH1021" s="192">
        <f t="shared" si="317"/>
        <v>16.035587970560019</v>
      </c>
      <c r="AI1021" s="192">
        <f t="shared" si="318"/>
        <v>11.020161290322582</v>
      </c>
      <c r="AJ1021" s="192">
        <f t="shared" si="319"/>
        <v>7.0994623655913971</v>
      </c>
      <c r="AK1021" s="192">
        <f t="shared" si="320"/>
        <v>9.004032258064516</v>
      </c>
      <c r="AL1021" s="192">
        <f t="shared" si="321"/>
        <v>8.029569892473118</v>
      </c>
      <c r="AM1021" s="192">
        <f t="shared" si="322"/>
        <v>2.6626344086021505</v>
      </c>
      <c r="AN1021" s="192">
        <f t="shared" si="323"/>
        <v>3.1370967741935485</v>
      </c>
      <c r="AO1021" s="192">
        <f t="shared" si="324"/>
        <v>6.356182795698925</v>
      </c>
      <c r="AP1021" s="192">
        <f t="shared" si="325"/>
        <v>1.1330645161290323</v>
      </c>
      <c r="AQ1021" s="192">
        <f t="shared" si="326"/>
        <v>2.081989247311828</v>
      </c>
      <c r="AR1021" s="192">
        <f t="shared" si="327"/>
        <v>2.6801075268817205</v>
      </c>
      <c r="AS1021" s="192">
        <f t="shared" si="328"/>
        <v>377.56515786303311</v>
      </c>
      <c r="AT1021" s="192" t="e">
        <f t="shared" ca="1" si="329"/>
        <v>#NAME?</v>
      </c>
      <c r="AU1021" s="192" t="e">
        <f t="shared" ca="1" si="330"/>
        <v>#NAME?</v>
      </c>
      <c r="AW1021" s="192" t="e">
        <f t="shared" ca="1" si="331"/>
        <v>#NAME?</v>
      </c>
      <c r="AX1021" s="192" t="e">
        <f t="shared" ca="1" si="332"/>
        <v>#NAME?</v>
      </c>
    </row>
    <row r="1022" spans="1:50" ht="15.75" customHeight="1" x14ac:dyDescent="0.3">
      <c r="A1022" s="260"/>
      <c r="AC1022" s="4">
        <v>15</v>
      </c>
      <c r="AD1022" s="192">
        <f t="shared" si="343"/>
        <v>196</v>
      </c>
      <c r="AE1022" s="192">
        <f t="shared" si="314"/>
        <v>29.61559139784946</v>
      </c>
      <c r="AF1022" s="192">
        <f t="shared" si="315"/>
        <v>31.028225806451612</v>
      </c>
      <c r="AG1022" s="192">
        <f t="shared" si="316"/>
        <v>51.681451612903224</v>
      </c>
      <c r="AH1022" s="192">
        <f t="shared" si="317"/>
        <v>16.035587970560019</v>
      </c>
      <c r="AI1022" s="192">
        <f t="shared" si="318"/>
        <v>11.020161290322582</v>
      </c>
      <c r="AJ1022" s="192">
        <f t="shared" si="319"/>
        <v>7.0994623655913971</v>
      </c>
      <c r="AK1022" s="192">
        <f t="shared" si="320"/>
        <v>9.004032258064516</v>
      </c>
      <c r="AL1022" s="192">
        <f t="shared" si="321"/>
        <v>8.029569892473118</v>
      </c>
      <c r="AM1022" s="192">
        <f t="shared" si="322"/>
        <v>2.6626344086021505</v>
      </c>
      <c r="AN1022" s="192">
        <f t="shared" si="323"/>
        <v>3.1370967741935485</v>
      </c>
      <c r="AO1022" s="192">
        <f t="shared" si="324"/>
        <v>6.356182795698925</v>
      </c>
      <c r="AP1022" s="192">
        <f t="shared" si="325"/>
        <v>1.1330645161290323</v>
      </c>
      <c r="AQ1022" s="192">
        <f t="shared" si="326"/>
        <v>2.081989247311828</v>
      </c>
      <c r="AR1022" s="192">
        <f t="shared" si="327"/>
        <v>2.6801075268817205</v>
      </c>
      <c r="AS1022" s="192">
        <f t="shared" si="328"/>
        <v>377.56515786303311</v>
      </c>
      <c r="AT1022" s="192" t="e">
        <f t="shared" ca="1" si="329"/>
        <v>#NAME?</v>
      </c>
      <c r="AU1022" s="192" t="e">
        <f t="shared" ca="1" si="330"/>
        <v>#NAME?</v>
      </c>
      <c r="AW1022" s="192" t="e">
        <f t="shared" ca="1" si="331"/>
        <v>#NAME?</v>
      </c>
      <c r="AX1022" s="192" t="e">
        <f t="shared" ca="1" si="332"/>
        <v>#NAME?</v>
      </c>
    </row>
    <row r="1023" spans="1:50" ht="15.75" customHeight="1" x14ac:dyDescent="0.3">
      <c r="A1023" s="260"/>
      <c r="AC1023" s="4">
        <v>16</v>
      </c>
      <c r="AD1023" s="192">
        <f t="shared" si="343"/>
        <v>196</v>
      </c>
      <c r="AE1023" s="192">
        <f t="shared" si="314"/>
        <v>29.61559139784946</v>
      </c>
      <c r="AF1023" s="192">
        <f t="shared" si="315"/>
        <v>31.028225806451612</v>
      </c>
      <c r="AG1023" s="192">
        <f t="shared" si="316"/>
        <v>51.681451612903224</v>
      </c>
      <c r="AH1023" s="192">
        <f t="shared" si="317"/>
        <v>16.035587970560019</v>
      </c>
      <c r="AI1023" s="192">
        <f t="shared" si="318"/>
        <v>11.020161290322582</v>
      </c>
      <c r="AJ1023" s="192">
        <f t="shared" si="319"/>
        <v>7.0994623655913971</v>
      </c>
      <c r="AK1023" s="192">
        <f t="shared" si="320"/>
        <v>9.004032258064516</v>
      </c>
      <c r="AL1023" s="192">
        <f t="shared" si="321"/>
        <v>8.029569892473118</v>
      </c>
      <c r="AM1023" s="192">
        <f t="shared" si="322"/>
        <v>2.6626344086021505</v>
      </c>
      <c r="AN1023" s="192">
        <f t="shared" si="323"/>
        <v>3.1370967741935485</v>
      </c>
      <c r="AO1023" s="192">
        <f t="shared" si="324"/>
        <v>6.356182795698925</v>
      </c>
      <c r="AP1023" s="192">
        <f t="shared" si="325"/>
        <v>1.1330645161290323</v>
      </c>
      <c r="AQ1023" s="192">
        <f t="shared" si="326"/>
        <v>2.081989247311828</v>
      </c>
      <c r="AR1023" s="192">
        <f t="shared" si="327"/>
        <v>2.6801075268817205</v>
      </c>
      <c r="AS1023" s="192">
        <f t="shared" si="328"/>
        <v>377.56515786303311</v>
      </c>
      <c r="AT1023" s="192" t="e">
        <f t="shared" ca="1" si="329"/>
        <v>#NAME?</v>
      </c>
      <c r="AU1023" s="192" t="e">
        <f t="shared" ca="1" si="330"/>
        <v>#NAME?</v>
      </c>
      <c r="AW1023" s="192" t="e">
        <f t="shared" ca="1" si="331"/>
        <v>#NAME?</v>
      </c>
      <c r="AX1023" s="192" t="e">
        <f t="shared" ca="1" si="332"/>
        <v>#NAME?</v>
      </c>
    </row>
    <row r="1024" spans="1:50" ht="15.75" customHeight="1" thickBot="1" x14ac:dyDescent="0.35">
      <c r="A1024" s="260"/>
      <c r="AC1024" s="4">
        <v>17</v>
      </c>
      <c r="AD1024" s="192">
        <f t="shared" si="343"/>
        <v>196</v>
      </c>
      <c r="AE1024" s="192">
        <f t="shared" si="314"/>
        <v>29.61559139784946</v>
      </c>
      <c r="AF1024" s="192">
        <f t="shared" si="315"/>
        <v>31.028225806451612</v>
      </c>
      <c r="AG1024" s="192">
        <f t="shared" si="316"/>
        <v>51.681451612903224</v>
      </c>
      <c r="AH1024" s="192">
        <f t="shared" si="317"/>
        <v>16.035587970560019</v>
      </c>
      <c r="AI1024" s="192">
        <f t="shared" si="318"/>
        <v>11.020161290322582</v>
      </c>
      <c r="AJ1024" s="192">
        <f t="shared" si="319"/>
        <v>7.0994623655913971</v>
      </c>
      <c r="AK1024" s="192">
        <f t="shared" si="320"/>
        <v>9.004032258064516</v>
      </c>
      <c r="AL1024" s="192">
        <f t="shared" si="321"/>
        <v>8.029569892473118</v>
      </c>
      <c r="AM1024" s="192">
        <f t="shared" si="322"/>
        <v>2.6626344086021505</v>
      </c>
      <c r="AN1024" s="192">
        <f t="shared" si="323"/>
        <v>3.1370967741935485</v>
      </c>
      <c r="AO1024" s="192">
        <f t="shared" si="324"/>
        <v>6.356182795698925</v>
      </c>
      <c r="AP1024" s="192">
        <f t="shared" si="325"/>
        <v>1.1330645161290323</v>
      </c>
      <c r="AQ1024" s="192">
        <f t="shared" si="326"/>
        <v>2.081989247311828</v>
      </c>
      <c r="AR1024" s="192">
        <f t="shared" si="327"/>
        <v>2.6801075268817205</v>
      </c>
      <c r="AS1024" s="192">
        <f t="shared" si="328"/>
        <v>377.56515786303311</v>
      </c>
      <c r="AT1024" s="192" t="e">
        <f t="shared" ca="1" si="329"/>
        <v>#NAME?</v>
      </c>
      <c r="AU1024" s="192" t="e">
        <f t="shared" ca="1" si="330"/>
        <v>#NAME?</v>
      </c>
      <c r="AW1024" s="192" t="e">
        <f t="shared" ca="1" si="331"/>
        <v>#NAME?</v>
      </c>
      <c r="AX1024" s="192" t="e">
        <f t="shared" ca="1" si="332"/>
        <v>#NAME?</v>
      </c>
    </row>
    <row r="1025" spans="1:50" ht="15.75" customHeight="1" x14ac:dyDescent="0.3">
      <c r="A1025" s="273"/>
      <c r="B1025" s="387" t="s">
        <v>805</v>
      </c>
      <c r="C1025" s="387"/>
      <c r="D1025" s="387"/>
      <c r="E1025" s="387"/>
      <c r="F1025" s="387"/>
      <c r="G1025" s="387"/>
      <c r="H1025" s="387"/>
      <c r="I1025" s="387"/>
      <c r="J1025" s="387"/>
      <c r="K1025" s="387"/>
      <c r="L1025" s="387"/>
      <c r="M1025" s="387"/>
      <c r="N1025" s="387"/>
      <c r="O1025" s="387"/>
      <c r="P1025" s="387"/>
      <c r="Q1025" s="177" t="str">
        <f>+Q1</f>
        <v xml:space="preserve">PRINTED:  </v>
      </c>
      <c r="R1025" s="178">
        <f ca="1">+R1</f>
        <v>44894.658168518516</v>
      </c>
      <c r="AC1025" s="4">
        <v>18</v>
      </c>
      <c r="AD1025" s="192">
        <f t="shared" si="343"/>
        <v>196</v>
      </c>
      <c r="AE1025" s="192">
        <f t="shared" si="314"/>
        <v>29.61559139784946</v>
      </c>
      <c r="AF1025" s="192">
        <f t="shared" si="315"/>
        <v>31.028225806451612</v>
      </c>
      <c r="AG1025" s="192">
        <f t="shared" si="316"/>
        <v>51.681451612903224</v>
      </c>
      <c r="AH1025" s="192">
        <f t="shared" si="317"/>
        <v>16.035587970560019</v>
      </c>
      <c r="AI1025" s="192">
        <f t="shared" si="318"/>
        <v>11.020161290322582</v>
      </c>
      <c r="AJ1025" s="192">
        <f t="shared" si="319"/>
        <v>7.0994623655913971</v>
      </c>
      <c r="AK1025" s="192">
        <f t="shared" si="320"/>
        <v>9.004032258064516</v>
      </c>
      <c r="AL1025" s="192">
        <f t="shared" si="321"/>
        <v>8.029569892473118</v>
      </c>
      <c r="AM1025" s="192">
        <f t="shared" si="322"/>
        <v>2.6626344086021505</v>
      </c>
      <c r="AN1025" s="192">
        <f t="shared" si="323"/>
        <v>3.1370967741935485</v>
      </c>
      <c r="AO1025" s="192">
        <f t="shared" si="324"/>
        <v>6.356182795698925</v>
      </c>
      <c r="AP1025" s="192">
        <f t="shared" si="325"/>
        <v>1.1330645161290323</v>
      </c>
      <c r="AQ1025" s="192">
        <f t="shared" si="326"/>
        <v>2.081989247311828</v>
      </c>
      <c r="AR1025" s="192">
        <f t="shared" si="327"/>
        <v>2.6801075268817205</v>
      </c>
      <c r="AS1025" s="192">
        <f t="shared" si="328"/>
        <v>377.56515786303311</v>
      </c>
      <c r="AT1025" s="192" t="e">
        <f t="shared" ca="1" si="329"/>
        <v>#NAME?</v>
      </c>
      <c r="AU1025" s="192" t="e">
        <f t="shared" ca="1" si="330"/>
        <v>#NAME?</v>
      </c>
      <c r="AW1025" s="192" t="e">
        <f t="shared" ca="1" si="331"/>
        <v>#NAME?</v>
      </c>
      <c r="AX1025" s="192" t="e">
        <f t="shared" ca="1" si="332"/>
        <v>#NAME?</v>
      </c>
    </row>
    <row r="1026" spans="1:50" ht="16.5" customHeight="1" x14ac:dyDescent="0.3">
      <c r="A1026" s="257"/>
      <c r="B1026" s="394" t="str">
        <f>+A8</f>
        <v>Revised:  12/8/2016</v>
      </c>
      <c r="C1026" s="394"/>
      <c r="D1026" s="394"/>
      <c r="E1026" s="394"/>
      <c r="F1026" s="394"/>
      <c r="G1026" s="394"/>
      <c r="H1026" s="394"/>
      <c r="I1026" s="394"/>
      <c r="J1026" s="394"/>
      <c r="K1026" s="394"/>
      <c r="L1026" s="394"/>
      <c r="M1026" s="394"/>
      <c r="N1026" s="394"/>
      <c r="O1026" s="394"/>
      <c r="P1026" s="394"/>
      <c r="R1026" s="304"/>
      <c r="AC1026" s="4">
        <v>19</v>
      </c>
      <c r="AD1026" s="192">
        <f t="shared" si="343"/>
        <v>196</v>
      </c>
      <c r="AE1026" s="192">
        <f t="shared" si="314"/>
        <v>29.61559139784946</v>
      </c>
      <c r="AF1026" s="192">
        <f t="shared" si="315"/>
        <v>31.028225806451612</v>
      </c>
      <c r="AG1026" s="192">
        <f t="shared" si="316"/>
        <v>51.681451612903224</v>
      </c>
      <c r="AH1026" s="192">
        <f t="shared" si="317"/>
        <v>16.035587970560019</v>
      </c>
      <c r="AI1026" s="192">
        <f t="shared" si="318"/>
        <v>11.020161290322582</v>
      </c>
      <c r="AJ1026" s="192">
        <f t="shared" si="319"/>
        <v>7.0994623655913971</v>
      </c>
      <c r="AK1026" s="192">
        <f t="shared" si="320"/>
        <v>9.004032258064516</v>
      </c>
      <c r="AL1026" s="192">
        <f t="shared" si="321"/>
        <v>8.029569892473118</v>
      </c>
      <c r="AM1026" s="192">
        <f t="shared" si="322"/>
        <v>2.6626344086021505</v>
      </c>
      <c r="AN1026" s="192">
        <f t="shared" si="323"/>
        <v>3.1370967741935485</v>
      </c>
      <c r="AO1026" s="192">
        <f t="shared" si="324"/>
        <v>6.356182795698925</v>
      </c>
      <c r="AP1026" s="192">
        <f t="shared" si="325"/>
        <v>1.1330645161290323</v>
      </c>
      <c r="AQ1026" s="192">
        <f t="shared" si="326"/>
        <v>2.081989247311828</v>
      </c>
      <c r="AR1026" s="192">
        <f t="shared" si="327"/>
        <v>2.6801075268817205</v>
      </c>
      <c r="AS1026" s="192">
        <f t="shared" si="328"/>
        <v>377.56515786303311</v>
      </c>
      <c r="AT1026" s="192" t="e">
        <f t="shared" ca="1" si="329"/>
        <v>#NAME?</v>
      </c>
      <c r="AU1026" s="192" t="e">
        <f t="shared" ca="1" si="330"/>
        <v>#NAME?</v>
      </c>
      <c r="AW1026" s="192" t="e">
        <f t="shared" ca="1" si="331"/>
        <v>#NAME?</v>
      </c>
      <c r="AX1026" s="192" t="e">
        <f t="shared" ca="1" si="332"/>
        <v>#NAME?</v>
      </c>
    </row>
    <row r="1027" spans="1:50" ht="16.5" customHeight="1" x14ac:dyDescent="0.3">
      <c r="A1027" s="257"/>
      <c r="B1027" s="394" t="s">
        <v>670</v>
      </c>
      <c r="C1027" s="394"/>
      <c r="D1027" s="394"/>
      <c r="E1027" s="394"/>
      <c r="F1027" s="394"/>
      <c r="G1027" s="394"/>
      <c r="H1027" s="394"/>
      <c r="I1027" s="394"/>
      <c r="J1027" s="394"/>
      <c r="K1027" s="394"/>
      <c r="L1027" s="394"/>
      <c r="M1027" s="394"/>
      <c r="N1027" s="394"/>
      <c r="O1027" s="394"/>
      <c r="P1027" s="394"/>
      <c r="R1027" s="304"/>
      <c r="AC1027" s="4">
        <v>20</v>
      </c>
      <c r="AD1027" s="192">
        <f t="shared" si="343"/>
        <v>196</v>
      </c>
      <c r="AE1027" s="192">
        <f t="shared" si="314"/>
        <v>29.61559139784946</v>
      </c>
      <c r="AF1027" s="192">
        <f t="shared" si="315"/>
        <v>31.028225806451612</v>
      </c>
      <c r="AG1027" s="192">
        <f t="shared" si="316"/>
        <v>51.681451612903224</v>
      </c>
      <c r="AH1027" s="192">
        <f t="shared" si="317"/>
        <v>16.035587970560019</v>
      </c>
      <c r="AI1027" s="192">
        <f t="shared" si="318"/>
        <v>11.020161290322582</v>
      </c>
      <c r="AJ1027" s="192">
        <f t="shared" si="319"/>
        <v>7.0994623655913971</v>
      </c>
      <c r="AK1027" s="192">
        <f t="shared" si="320"/>
        <v>9.004032258064516</v>
      </c>
      <c r="AL1027" s="192">
        <f t="shared" si="321"/>
        <v>8.029569892473118</v>
      </c>
      <c r="AM1027" s="192">
        <f t="shared" si="322"/>
        <v>2.6626344086021505</v>
      </c>
      <c r="AN1027" s="192">
        <f t="shared" si="323"/>
        <v>3.1370967741935485</v>
      </c>
      <c r="AO1027" s="192">
        <f t="shared" si="324"/>
        <v>6.356182795698925</v>
      </c>
      <c r="AP1027" s="192">
        <f t="shared" si="325"/>
        <v>1.1330645161290323</v>
      </c>
      <c r="AQ1027" s="192">
        <f t="shared" si="326"/>
        <v>2.081989247311828</v>
      </c>
      <c r="AR1027" s="192">
        <f t="shared" si="327"/>
        <v>2.6801075268817205</v>
      </c>
      <c r="AS1027" s="192">
        <f t="shared" si="328"/>
        <v>377.56515786303311</v>
      </c>
      <c r="AT1027" s="192" t="e">
        <f t="shared" ca="1" si="329"/>
        <v>#NAME?</v>
      </c>
      <c r="AU1027" s="192" t="e">
        <f t="shared" ca="1" si="330"/>
        <v>#NAME?</v>
      </c>
      <c r="AW1027" s="192" t="e">
        <f t="shared" ca="1" si="331"/>
        <v>#NAME?</v>
      </c>
      <c r="AX1027" s="192" t="e">
        <f t="shared" ca="1" si="332"/>
        <v>#NAME?</v>
      </c>
    </row>
    <row r="1028" spans="1:50" ht="16.5" customHeight="1" x14ac:dyDescent="0.3">
      <c r="A1028" s="257"/>
      <c r="B1028" s="180"/>
      <c r="C1028" s="180"/>
      <c r="D1028" s="180"/>
      <c r="E1028" s="180"/>
      <c r="F1028" s="180"/>
      <c r="G1028" s="180"/>
      <c r="H1028" s="180"/>
      <c r="I1028" s="180"/>
      <c r="J1028" s="180"/>
      <c r="K1028" s="180"/>
      <c r="L1028" s="180"/>
      <c r="M1028" s="180"/>
      <c r="N1028" s="180"/>
      <c r="O1028" s="180"/>
      <c r="P1028" s="180"/>
      <c r="R1028" s="304"/>
      <c r="AC1028" s="4">
        <v>21</v>
      </c>
      <c r="AD1028" s="192">
        <f>IF($AF$1005=1,VLOOKUP($AD$1005,$A$1035:$P$1046,12,FALSE),VLOOKUP($AD$1005,$A$1008:$S$1019,3,FALSE))</f>
        <v>196</v>
      </c>
      <c r="AE1028" s="192">
        <f t="shared" si="314"/>
        <v>29.61559139784946</v>
      </c>
      <c r="AF1028" s="192">
        <f t="shared" si="315"/>
        <v>31.028225806451612</v>
      </c>
      <c r="AG1028" s="192">
        <f t="shared" si="316"/>
        <v>51.681451612903224</v>
      </c>
      <c r="AH1028" s="192">
        <f t="shared" si="317"/>
        <v>16.035587970560019</v>
      </c>
      <c r="AI1028" s="192">
        <f t="shared" si="318"/>
        <v>11.020161290322582</v>
      </c>
      <c r="AJ1028" s="192">
        <f t="shared" si="319"/>
        <v>7.0994623655913971</v>
      </c>
      <c r="AK1028" s="192">
        <f t="shared" si="320"/>
        <v>9.004032258064516</v>
      </c>
      <c r="AL1028" s="192">
        <f t="shared" si="321"/>
        <v>8.029569892473118</v>
      </c>
      <c r="AM1028" s="192">
        <f t="shared" si="322"/>
        <v>2.6626344086021505</v>
      </c>
      <c r="AN1028" s="192">
        <f t="shared" si="323"/>
        <v>3.1370967741935485</v>
      </c>
      <c r="AO1028" s="192">
        <f t="shared" si="324"/>
        <v>6.356182795698925</v>
      </c>
      <c r="AP1028" s="192">
        <f t="shared" si="325"/>
        <v>1.1330645161290323</v>
      </c>
      <c r="AQ1028" s="192">
        <f t="shared" si="326"/>
        <v>2.081989247311828</v>
      </c>
      <c r="AR1028" s="192">
        <f t="shared" si="327"/>
        <v>2.6801075268817205</v>
      </c>
      <c r="AS1028" s="192">
        <f t="shared" si="328"/>
        <v>377.56515786303311</v>
      </c>
      <c r="AT1028" s="192" t="e">
        <f t="shared" ca="1" si="329"/>
        <v>#NAME?</v>
      </c>
      <c r="AU1028" s="192" t="e">
        <f t="shared" ca="1" si="330"/>
        <v>#NAME?</v>
      </c>
      <c r="AW1028" s="192" t="e">
        <f t="shared" ca="1" si="331"/>
        <v>#NAME?</v>
      </c>
      <c r="AX1028" s="192" t="e">
        <f t="shared" ca="1" si="332"/>
        <v>#NAME?</v>
      </c>
    </row>
    <row r="1029" spans="1:50" ht="16.5" customHeight="1" x14ac:dyDescent="0.3">
      <c r="A1029" s="257"/>
      <c r="B1029" s="415">
        <f>+A5</f>
        <v>2017</v>
      </c>
      <c r="C1029" s="395"/>
      <c r="D1029" s="395"/>
      <c r="E1029" s="395"/>
      <c r="F1029" s="395"/>
      <c r="G1029" s="395"/>
      <c r="H1029" s="395"/>
      <c r="I1029" s="395"/>
      <c r="J1029" s="395"/>
      <c r="K1029" s="395"/>
      <c r="L1029" s="395"/>
      <c r="M1029" s="395"/>
      <c r="N1029" s="395"/>
      <c r="O1029" s="395"/>
      <c r="P1029" s="395"/>
      <c r="R1029" s="304"/>
      <c r="AC1029" s="4">
        <v>22</v>
      </c>
      <c r="AD1029" s="192">
        <f>IF($AF$1005=1,VLOOKUP($AD$1005,$A$1035:$P$1046,12,FALSE),VLOOKUP($AD$1005,$A$1008:$S$1019,3,FALSE))</f>
        <v>196</v>
      </c>
      <c r="AE1029" s="192">
        <f t="shared" si="314"/>
        <v>29.61559139784946</v>
      </c>
      <c r="AF1029" s="192">
        <f t="shared" si="315"/>
        <v>31.028225806451612</v>
      </c>
      <c r="AG1029" s="192">
        <f t="shared" si="316"/>
        <v>51.681451612903224</v>
      </c>
      <c r="AH1029" s="192">
        <f t="shared" si="317"/>
        <v>16.035587970560019</v>
      </c>
      <c r="AI1029" s="192">
        <f t="shared" si="318"/>
        <v>11.020161290322582</v>
      </c>
      <c r="AJ1029" s="192">
        <f t="shared" si="319"/>
        <v>7.0994623655913971</v>
      </c>
      <c r="AK1029" s="192">
        <f t="shared" si="320"/>
        <v>9.004032258064516</v>
      </c>
      <c r="AL1029" s="192">
        <f t="shared" si="321"/>
        <v>8.029569892473118</v>
      </c>
      <c r="AM1029" s="192">
        <f t="shared" si="322"/>
        <v>2.6626344086021505</v>
      </c>
      <c r="AN1029" s="192">
        <f t="shared" si="323"/>
        <v>3.1370967741935485</v>
      </c>
      <c r="AO1029" s="192">
        <f t="shared" si="324"/>
        <v>6.356182795698925</v>
      </c>
      <c r="AP1029" s="192">
        <f t="shared" si="325"/>
        <v>1.1330645161290323</v>
      </c>
      <c r="AQ1029" s="192">
        <f t="shared" si="326"/>
        <v>2.081989247311828</v>
      </c>
      <c r="AR1029" s="192">
        <f t="shared" si="327"/>
        <v>2.6801075268817205</v>
      </c>
      <c r="AS1029" s="192">
        <f t="shared" si="328"/>
        <v>377.56515786303311</v>
      </c>
      <c r="AT1029" s="192" t="e">
        <f t="shared" ca="1" si="329"/>
        <v>#NAME?</v>
      </c>
      <c r="AU1029" s="192" t="e">
        <f t="shared" ca="1" si="330"/>
        <v>#NAME?</v>
      </c>
      <c r="AW1029" s="192" t="e">
        <f t="shared" ca="1" si="331"/>
        <v>#NAME?</v>
      </c>
      <c r="AX1029" s="192" t="e">
        <f t="shared" ca="1" si="332"/>
        <v>#NAME?</v>
      </c>
    </row>
    <row r="1030" spans="1:50" ht="15.75" customHeight="1" x14ac:dyDescent="0.3">
      <c r="A1030" s="257"/>
      <c r="B1030" s="394" t="s">
        <v>708</v>
      </c>
      <c r="C1030" s="394"/>
      <c r="D1030" s="394"/>
      <c r="E1030" s="394"/>
      <c r="F1030" s="394"/>
      <c r="G1030" s="394"/>
      <c r="H1030" s="394"/>
      <c r="I1030" s="394"/>
      <c r="J1030" s="394"/>
      <c r="K1030" s="394"/>
      <c r="L1030" s="394"/>
      <c r="M1030" s="394"/>
      <c r="N1030" s="394"/>
      <c r="O1030" s="394"/>
      <c r="P1030" s="394"/>
      <c r="R1030" s="304"/>
      <c r="AC1030" s="4">
        <v>23</v>
      </c>
      <c r="AD1030" s="192">
        <f>IF($AF$1005=1,VLOOKUP($AD$1005,$A$1035:$P$1046,12,FALSE),IF(OR($AD$1005="JAN",$AD$1005="FEB",$AD$1005="NOV",$AD$1005="DEC"),VLOOKUP($AD$1005,$A$1008:$S$1019,3,FALSE),VLOOKUP($AD$1005,$A$1008:$S$1019,2,FALSE)))</f>
        <v>294</v>
      </c>
      <c r="AE1030" s="192">
        <f t="shared" si="314"/>
        <v>29.61559139784946</v>
      </c>
      <c r="AF1030" s="192">
        <f t="shared" si="315"/>
        <v>31.028225806451612</v>
      </c>
      <c r="AG1030" s="192">
        <f t="shared" si="316"/>
        <v>51.681451612903224</v>
      </c>
      <c r="AH1030" s="192">
        <f t="shared" si="317"/>
        <v>16.035587970560019</v>
      </c>
      <c r="AI1030" s="192">
        <f t="shared" si="318"/>
        <v>11.020161290322582</v>
      </c>
      <c r="AJ1030" s="192">
        <f t="shared" si="319"/>
        <v>7.0994623655913971</v>
      </c>
      <c r="AK1030" s="192">
        <f t="shared" si="320"/>
        <v>9.004032258064516</v>
      </c>
      <c r="AL1030" s="192">
        <f t="shared" si="321"/>
        <v>8.029569892473118</v>
      </c>
      <c r="AM1030" s="192">
        <f t="shared" si="322"/>
        <v>2.6626344086021505</v>
      </c>
      <c r="AN1030" s="192">
        <f t="shared" si="323"/>
        <v>3.1370967741935485</v>
      </c>
      <c r="AO1030" s="192">
        <f t="shared" si="324"/>
        <v>6.356182795698925</v>
      </c>
      <c r="AP1030" s="192">
        <f t="shared" si="325"/>
        <v>1.1330645161290323</v>
      </c>
      <c r="AQ1030" s="192">
        <f t="shared" si="326"/>
        <v>2.081989247311828</v>
      </c>
      <c r="AR1030" s="192">
        <f t="shared" si="327"/>
        <v>2.6801075268817205</v>
      </c>
      <c r="AS1030" s="192">
        <f t="shared" si="328"/>
        <v>475.56515786303311</v>
      </c>
      <c r="AT1030" s="192" t="e">
        <f t="shared" ca="1" si="329"/>
        <v>#NAME?</v>
      </c>
      <c r="AU1030" s="192" t="e">
        <f t="shared" ca="1" si="330"/>
        <v>#NAME?</v>
      </c>
      <c r="AW1030" s="192" t="e">
        <f t="shared" ca="1" si="331"/>
        <v>#NAME?</v>
      </c>
      <c r="AX1030" s="192" t="e">
        <f t="shared" ca="1" si="332"/>
        <v>#NAME?</v>
      </c>
    </row>
    <row r="1031" spans="1:50" ht="15.75" customHeight="1" thickBot="1" x14ac:dyDescent="0.35">
      <c r="A1031" s="257"/>
      <c r="R1031" s="304"/>
      <c r="AC1031" s="4">
        <v>24</v>
      </c>
      <c r="AD1031" s="192">
        <f>IF($AF$1005=1,VLOOKUP($AD$1005,$A$1035:$P$1046,12,FALSE),VLOOKUP($AD$1005,$A$1008:$S$1019,2,FALSE))</f>
        <v>294</v>
      </c>
      <c r="AE1031" s="192">
        <f t="shared" si="314"/>
        <v>29.61559139784946</v>
      </c>
      <c r="AF1031" s="192">
        <f t="shared" si="315"/>
        <v>31.028225806451612</v>
      </c>
      <c r="AG1031" s="192">
        <f t="shared" si="316"/>
        <v>51.681451612903224</v>
      </c>
      <c r="AH1031" s="192">
        <f t="shared" si="317"/>
        <v>16.035587970560019</v>
      </c>
      <c r="AI1031" s="192">
        <f t="shared" si="318"/>
        <v>11.020161290322582</v>
      </c>
      <c r="AJ1031" s="192">
        <f t="shared" si="319"/>
        <v>7.0994623655913971</v>
      </c>
      <c r="AK1031" s="192">
        <f t="shared" si="320"/>
        <v>9.004032258064516</v>
      </c>
      <c r="AL1031" s="192">
        <f t="shared" si="321"/>
        <v>8.029569892473118</v>
      </c>
      <c r="AM1031" s="192">
        <f t="shared" si="322"/>
        <v>2.6626344086021505</v>
      </c>
      <c r="AN1031" s="192">
        <f t="shared" si="323"/>
        <v>3.1370967741935485</v>
      </c>
      <c r="AO1031" s="192">
        <f t="shared" si="324"/>
        <v>6.356182795698925</v>
      </c>
      <c r="AP1031" s="192">
        <f t="shared" si="325"/>
        <v>1.1330645161290323</v>
      </c>
      <c r="AQ1031" s="192">
        <f t="shared" si="326"/>
        <v>2.081989247311828</v>
      </c>
      <c r="AR1031" s="192">
        <f t="shared" si="327"/>
        <v>2.6801075268817205</v>
      </c>
      <c r="AS1031" s="192">
        <f t="shared" si="328"/>
        <v>475.56515786303311</v>
      </c>
      <c r="AT1031" s="192" t="e">
        <f t="shared" ca="1" si="329"/>
        <v>#NAME?</v>
      </c>
      <c r="AU1031" s="192" t="e">
        <f t="shared" ca="1" si="330"/>
        <v>#NAME?</v>
      </c>
      <c r="AW1031" s="192" t="e">
        <f t="shared" ca="1" si="331"/>
        <v>#NAME?</v>
      </c>
      <c r="AX1031" s="192" t="e">
        <f t="shared" ca="1" si="332"/>
        <v>#NAME?</v>
      </c>
    </row>
    <row r="1032" spans="1:50" ht="15.75" customHeight="1" x14ac:dyDescent="0.3">
      <c r="A1032" s="257"/>
      <c r="B1032" s="416" t="s">
        <v>806</v>
      </c>
      <c r="C1032" s="417"/>
      <c r="D1032" s="417"/>
      <c r="E1032" s="417"/>
      <c r="F1032" s="417"/>
      <c r="G1032" s="417"/>
      <c r="H1032" s="417"/>
      <c r="I1032" s="417"/>
      <c r="J1032" s="417"/>
      <c r="K1032" s="417"/>
      <c r="L1032" s="418"/>
      <c r="M1032" s="419" t="s">
        <v>807</v>
      </c>
      <c r="N1032" s="417"/>
      <c r="O1032" s="417"/>
      <c r="P1032" s="417"/>
      <c r="Q1032" s="192" t="s">
        <v>808</v>
      </c>
      <c r="R1032" s="312" t="s">
        <v>809</v>
      </c>
      <c r="AC1032" s="4" t="s">
        <v>641</v>
      </c>
      <c r="AD1032" s="192">
        <f>SUM(AD1008:AD1031)</f>
        <v>5488</v>
      </c>
      <c r="AE1032" s="192">
        <f>SUM(AE1008:AE1031)</f>
        <v>710.77419354838719</v>
      </c>
      <c r="AF1032" s="192">
        <f t="shared" ref="AF1032:AW1032" si="344">SUM(AF1008:AF1031)</f>
        <v>744.67741935483832</v>
      </c>
      <c r="AG1032" s="192">
        <f t="shared" si="344"/>
        <v>1240.3548387096766</v>
      </c>
      <c r="AH1032" s="192">
        <f t="shared" si="344"/>
        <v>384.85411129344044</v>
      </c>
      <c r="AI1032" s="192">
        <f t="shared" si="344"/>
        <v>264.48387096774201</v>
      </c>
      <c r="AJ1032" s="192">
        <f t="shared" si="344"/>
        <v>170.38709677419348</v>
      </c>
      <c r="AK1032" s="192">
        <f t="shared" si="344"/>
        <v>216.09677419354833</v>
      </c>
      <c r="AL1032" s="192">
        <f t="shared" si="344"/>
        <v>192.70967741935485</v>
      </c>
      <c r="AM1032" s="192">
        <f t="shared" si="344"/>
        <v>63.90322580645163</v>
      </c>
      <c r="AN1032" s="192">
        <f t="shared" si="344"/>
        <v>75.290322580645196</v>
      </c>
      <c r="AO1032" s="192">
        <f t="shared" si="344"/>
        <v>152.54838709677421</v>
      </c>
      <c r="AP1032" s="192">
        <f t="shared" si="344"/>
        <v>27.193548387096772</v>
      </c>
      <c r="AQ1032" s="192">
        <f t="shared" si="344"/>
        <v>49.967741935483843</v>
      </c>
      <c r="AR1032" s="192">
        <f t="shared" si="344"/>
        <v>64.322580645161295</v>
      </c>
      <c r="AS1032" s="192">
        <f t="shared" si="344"/>
        <v>9845.5637887127941</v>
      </c>
      <c r="AT1032" s="192" t="e">
        <f t="shared" ca="1" si="344"/>
        <v>#NAME?</v>
      </c>
      <c r="AU1032" s="192" t="e">
        <f t="shared" ca="1" si="344"/>
        <v>#NAME?</v>
      </c>
      <c r="AW1032" s="192" t="e">
        <f t="shared" ca="1" si="344"/>
        <v>#NAME?</v>
      </c>
      <c r="AX1032" s="192">
        <f ca="1">SUMIF(AX1008:AX1031,"&gt;0")</f>
        <v>0</v>
      </c>
    </row>
    <row r="1033" spans="1:50" ht="15.75" customHeight="1" thickBot="1" x14ac:dyDescent="0.35">
      <c r="A1033" s="257" t="s">
        <v>768</v>
      </c>
      <c r="B1033" s="274" t="s">
        <v>811</v>
      </c>
      <c r="C1033" s="275" t="s">
        <v>791</v>
      </c>
      <c r="D1033" s="275" t="s">
        <v>792</v>
      </c>
      <c r="E1033" s="275" t="s">
        <v>812</v>
      </c>
      <c r="F1033" s="275" t="s">
        <v>791</v>
      </c>
      <c r="G1033" s="275" t="s">
        <v>792</v>
      </c>
      <c r="H1033" s="275" t="s">
        <v>793</v>
      </c>
      <c r="I1033" s="275" t="s">
        <v>791</v>
      </c>
      <c r="J1033" s="275" t="s">
        <v>792</v>
      </c>
      <c r="K1033" s="275" t="s">
        <v>793</v>
      </c>
      <c r="L1033" s="276" t="s">
        <v>813</v>
      </c>
      <c r="M1033" s="274" t="s">
        <v>814</v>
      </c>
      <c r="N1033" s="275" t="s">
        <v>791</v>
      </c>
      <c r="O1033" s="275" t="s">
        <v>791</v>
      </c>
      <c r="P1033" s="276" t="s">
        <v>813</v>
      </c>
      <c r="Q1033" s="277" t="s">
        <v>641</v>
      </c>
      <c r="R1033" s="313" t="s">
        <v>815</v>
      </c>
      <c r="S1033" s="192"/>
      <c r="AU1033" s="192"/>
      <c r="AW1033" s="192"/>
      <c r="AX1033" s="192"/>
    </row>
    <row r="1034" spans="1:50" ht="15.75" customHeight="1" thickTop="1" x14ac:dyDescent="0.3">
      <c r="A1034" s="257"/>
      <c r="B1034" s="279"/>
      <c r="C1034" s="280" t="s">
        <v>817</v>
      </c>
      <c r="D1034" s="280" t="s">
        <v>817</v>
      </c>
      <c r="E1034" s="280" t="s">
        <v>817</v>
      </c>
      <c r="F1034" s="281" t="s">
        <v>779</v>
      </c>
      <c r="G1034" s="281" t="s">
        <v>779</v>
      </c>
      <c r="H1034" s="281" t="s">
        <v>779</v>
      </c>
      <c r="I1034" s="281" t="s">
        <v>818</v>
      </c>
      <c r="J1034" s="281" t="s">
        <v>818</v>
      </c>
      <c r="K1034" s="281" t="s">
        <v>818</v>
      </c>
      <c r="L1034" s="314" t="s">
        <v>819</v>
      </c>
      <c r="M1034" s="283"/>
      <c r="N1034" s="280" t="s">
        <v>817</v>
      </c>
      <c r="O1034" s="281" t="s">
        <v>779</v>
      </c>
      <c r="P1034" s="314" t="s">
        <v>818</v>
      </c>
      <c r="Q1034" s="277" t="s">
        <v>818</v>
      </c>
      <c r="R1034" s="313" t="s">
        <v>818</v>
      </c>
      <c r="S1034" s="192"/>
    </row>
    <row r="1035" spans="1:50" ht="15.75" customHeight="1" x14ac:dyDescent="0.3">
      <c r="A1035" s="257" t="s">
        <v>8</v>
      </c>
      <c r="B1035" s="211" t="e">
        <f ca="1">+$B$10-M1035</f>
        <v>#NAME?</v>
      </c>
      <c r="C1035" s="284">
        <v>5</v>
      </c>
      <c r="D1035" s="284">
        <v>0</v>
      </c>
      <c r="E1035" s="284" t="s">
        <v>803</v>
      </c>
      <c r="F1035" s="192">
        <f t="shared" ref="F1035:H1046" si="345">+I1035/8</f>
        <v>245</v>
      </c>
      <c r="G1035" s="192">
        <f>+J1035/16</f>
        <v>0</v>
      </c>
      <c r="H1035" s="192" t="s">
        <v>803</v>
      </c>
      <c r="I1035" s="192">
        <f t="shared" ref="I1035:K1046" si="346">+C1035*49*8</f>
        <v>1960</v>
      </c>
      <c r="J1035" s="192">
        <f>+D1035*49*16</f>
        <v>0</v>
      </c>
      <c r="K1035" s="192" t="s">
        <v>803</v>
      </c>
      <c r="L1035" s="312">
        <f t="shared" ref="L1035:L1046" si="347">+J1035+I1035</f>
        <v>1960</v>
      </c>
      <c r="M1035" s="211" t="e">
        <f ca="1">SUMPRODUCT(--(WEEKDAY(ROW(INDIRECT(DATE($B$1029,MonthFromText(A1035),1)&amp;":"&amp;DATE($B$1029,MonthFromText(A1035),$B$10))),1)=1))</f>
        <v>#NAME?</v>
      </c>
      <c r="N1035" s="284">
        <v>5</v>
      </c>
      <c r="O1035" s="4">
        <f t="shared" ref="O1035:O1046" si="348">+P1035/24</f>
        <v>245</v>
      </c>
      <c r="P1035" s="312">
        <f t="shared" ref="P1035:P1046" si="349">+N1035*49*24</f>
        <v>5880</v>
      </c>
      <c r="Q1035" s="192" t="e">
        <f t="shared" ref="Q1035:Q1046" ca="1" si="350">+(L1035*B1035)+(M1035*P1035)</f>
        <v>#NAME?</v>
      </c>
      <c r="R1035" s="312" t="e">
        <f t="shared" ref="R1035:R1046" ca="1" si="351">+Q1035-B928</f>
        <v>#NAME?</v>
      </c>
      <c r="S1035" s="192"/>
    </row>
    <row r="1036" spans="1:50" ht="15.75" customHeight="1" x14ac:dyDescent="0.3">
      <c r="A1036" s="257" t="s">
        <v>9</v>
      </c>
      <c r="B1036" s="211" t="e">
        <f ca="1">+$C$10-M1036</f>
        <v>#NAME?</v>
      </c>
      <c r="C1036" s="284">
        <v>6</v>
      </c>
      <c r="D1036" s="284">
        <v>3</v>
      </c>
      <c r="E1036" s="284" t="s">
        <v>803</v>
      </c>
      <c r="F1036" s="192">
        <f t="shared" si="345"/>
        <v>294</v>
      </c>
      <c r="G1036" s="192">
        <f>+J1036/16</f>
        <v>147</v>
      </c>
      <c r="H1036" s="192" t="s">
        <v>803</v>
      </c>
      <c r="I1036" s="192">
        <f t="shared" si="346"/>
        <v>2352</v>
      </c>
      <c r="J1036" s="192">
        <f>+D1036*49*16</f>
        <v>2352</v>
      </c>
      <c r="K1036" s="192" t="s">
        <v>803</v>
      </c>
      <c r="L1036" s="312">
        <f t="shared" si="347"/>
        <v>4704</v>
      </c>
      <c r="M1036" s="211" t="e">
        <f ca="1">SUMPRODUCT(--(WEEKDAY(ROW(INDIRECT(DATE($B$1029,MonthFromText(A1036),1)&amp;":"&amp;DATE($B$1029,MonthFromText(A1036),$C$10))),1)=1))</f>
        <v>#NAME?</v>
      </c>
      <c r="N1036" s="284">
        <v>6</v>
      </c>
      <c r="O1036" s="4">
        <f t="shared" si="348"/>
        <v>294</v>
      </c>
      <c r="P1036" s="312">
        <f t="shared" si="349"/>
        <v>7056</v>
      </c>
      <c r="Q1036" s="192" t="e">
        <f t="shared" ca="1" si="350"/>
        <v>#NAME?</v>
      </c>
      <c r="R1036" s="312" t="e">
        <f t="shared" ca="1" si="351"/>
        <v>#NAME?</v>
      </c>
      <c r="S1036" s="192"/>
    </row>
    <row r="1037" spans="1:50" ht="16.5" customHeight="1" x14ac:dyDescent="0.3">
      <c r="A1037" s="257" t="s">
        <v>10</v>
      </c>
      <c r="B1037" s="211" t="e">
        <f ca="1">+$D$10-M1037</f>
        <v>#NAME?</v>
      </c>
      <c r="C1037" s="284">
        <v>6</v>
      </c>
      <c r="D1037" s="284">
        <v>4</v>
      </c>
      <c r="E1037" s="284" t="s">
        <v>803</v>
      </c>
      <c r="F1037" s="192">
        <f t="shared" si="345"/>
        <v>294</v>
      </c>
      <c r="G1037" s="192">
        <f>+J1037/16</f>
        <v>196</v>
      </c>
      <c r="H1037" s="192" t="s">
        <v>803</v>
      </c>
      <c r="I1037" s="192">
        <f t="shared" si="346"/>
        <v>2352</v>
      </c>
      <c r="J1037" s="192">
        <f>+D1037*49*16</f>
        <v>3136</v>
      </c>
      <c r="K1037" s="192" t="s">
        <v>803</v>
      </c>
      <c r="L1037" s="312">
        <f t="shared" si="347"/>
        <v>5488</v>
      </c>
      <c r="M1037" s="211" t="e">
        <f ca="1">SUMPRODUCT(--(WEEKDAY(ROW(INDIRECT(DATE($B$1029,MonthFromText(A1037),1)&amp;":"&amp;DATE($B$1029,MonthFromText(A1037),$D$10))),1)=1))</f>
        <v>#NAME?</v>
      </c>
      <c r="N1037" s="284">
        <v>6</v>
      </c>
      <c r="O1037" s="4">
        <f t="shared" si="348"/>
        <v>294</v>
      </c>
      <c r="P1037" s="312">
        <f t="shared" si="349"/>
        <v>7056</v>
      </c>
      <c r="Q1037" s="192" t="e">
        <f t="shared" ca="1" si="350"/>
        <v>#NAME?</v>
      </c>
      <c r="R1037" s="312" t="e">
        <f t="shared" ca="1" si="351"/>
        <v>#NAME?</v>
      </c>
      <c r="S1037" s="192"/>
    </row>
    <row r="1038" spans="1:50" ht="16.5" customHeight="1" x14ac:dyDescent="0.3">
      <c r="A1038" s="257" t="s">
        <v>12</v>
      </c>
      <c r="B1038" s="211" t="e">
        <f ca="1">+$F$10-M1038</f>
        <v>#NAME?</v>
      </c>
      <c r="C1038" s="284">
        <v>6</v>
      </c>
      <c r="D1038" s="284">
        <v>4</v>
      </c>
      <c r="E1038" s="284" t="s">
        <v>803</v>
      </c>
      <c r="F1038" s="192">
        <f t="shared" si="345"/>
        <v>294</v>
      </c>
      <c r="G1038" s="192">
        <f>+J1038/16</f>
        <v>196</v>
      </c>
      <c r="H1038" s="192" t="s">
        <v>803</v>
      </c>
      <c r="I1038" s="192">
        <f t="shared" si="346"/>
        <v>2352</v>
      </c>
      <c r="J1038" s="192">
        <f>+D1038*49*16</f>
        <v>3136</v>
      </c>
      <c r="K1038" s="192" t="s">
        <v>803</v>
      </c>
      <c r="L1038" s="312">
        <f t="shared" si="347"/>
        <v>5488</v>
      </c>
      <c r="M1038" s="211" t="e">
        <f ca="1">SUMPRODUCT(--(WEEKDAY(ROW(INDIRECT(DATE($B$1029,MonthFromText(A1038),1)&amp;":"&amp;DATE($B$1029,MonthFromText(A1038),$F$10))),1)=1))</f>
        <v>#NAME?</v>
      </c>
      <c r="N1038" s="284">
        <v>6</v>
      </c>
      <c r="O1038" s="4">
        <f t="shared" si="348"/>
        <v>294</v>
      </c>
      <c r="P1038" s="312">
        <f t="shared" si="349"/>
        <v>7056</v>
      </c>
      <c r="Q1038" s="192" t="e">
        <f t="shared" ca="1" si="350"/>
        <v>#NAME?</v>
      </c>
      <c r="R1038" s="312" t="e">
        <f t="shared" ca="1" si="351"/>
        <v>#NAME?</v>
      </c>
      <c r="S1038" s="192"/>
    </row>
    <row r="1039" spans="1:50" ht="15.75" customHeight="1" x14ac:dyDescent="0.3">
      <c r="A1039" s="257" t="s">
        <v>13</v>
      </c>
      <c r="B1039" s="211" t="e">
        <f ca="1">+$G$10-M1039</f>
        <v>#NAME?</v>
      </c>
      <c r="C1039" s="284">
        <v>6</v>
      </c>
      <c r="D1039" s="284">
        <v>4</v>
      </c>
      <c r="E1039" s="284" t="s">
        <v>803</v>
      </c>
      <c r="F1039" s="192">
        <f t="shared" si="345"/>
        <v>294</v>
      </c>
      <c r="G1039" s="192">
        <f>+J1039/16</f>
        <v>196</v>
      </c>
      <c r="H1039" s="192" t="s">
        <v>803</v>
      </c>
      <c r="I1039" s="192">
        <f t="shared" si="346"/>
        <v>2352</v>
      </c>
      <c r="J1039" s="192">
        <f>+D1039*49*16</f>
        <v>3136</v>
      </c>
      <c r="K1039" s="192" t="s">
        <v>803</v>
      </c>
      <c r="L1039" s="312">
        <f t="shared" si="347"/>
        <v>5488</v>
      </c>
      <c r="M1039" s="211" t="e">
        <f ca="1">SUMPRODUCT(--(WEEKDAY(ROW(INDIRECT(DATE($B$1029,MonthFromText(A1039),1)&amp;":"&amp;DATE($B$1029,MonthFromText(A1039),$G$10))),1)=1))</f>
        <v>#NAME?</v>
      </c>
      <c r="N1039" s="284">
        <v>6</v>
      </c>
      <c r="O1039" s="4">
        <f t="shared" si="348"/>
        <v>294</v>
      </c>
      <c r="P1039" s="312">
        <f t="shared" si="349"/>
        <v>7056</v>
      </c>
      <c r="Q1039" s="192" t="e">
        <f t="shared" ca="1" si="350"/>
        <v>#NAME?</v>
      </c>
      <c r="R1039" s="312" t="e">
        <f t="shared" ca="1" si="351"/>
        <v>#NAME?</v>
      </c>
      <c r="S1039" s="192"/>
    </row>
    <row r="1040" spans="1:50" ht="15.75" customHeight="1" x14ac:dyDescent="0.3">
      <c r="A1040" s="257" t="s">
        <v>14</v>
      </c>
      <c r="B1040" s="211" t="e">
        <f ca="1">+$H$10-M1040</f>
        <v>#NAME?</v>
      </c>
      <c r="C1040" s="284">
        <v>6</v>
      </c>
      <c r="D1040" s="284">
        <v>2</v>
      </c>
      <c r="E1040" s="284">
        <v>0</v>
      </c>
      <c r="F1040" s="192">
        <f t="shared" si="345"/>
        <v>294</v>
      </c>
      <c r="G1040" s="192">
        <f t="shared" si="345"/>
        <v>98</v>
      </c>
      <c r="H1040" s="192">
        <f t="shared" si="345"/>
        <v>0</v>
      </c>
      <c r="I1040" s="192">
        <f t="shared" si="346"/>
        <v>2352</v>
      </c>
      <c r="J1040" s="192">
        <f t="shared" si="346"/>
        <v>784</v>
      </c>
      <c r="K1040" s="192">
        <f t="shared" si="346"/>
        <v>0</v>
      </c>
      <c r="L1040" s="312">
        <f t="shared" si="347"/>
        <v>3136</v>
      </c>
      <c r="M1040" s="211" t="e">
        <f ca="1">SUMPRODUCT(--(WEEKDAY(ROW(INDIRECT(DATE($B$1029,MonthFromText(A1040),1)&amp;":"&amp;DATE($B$1029,MonthFromText(A1040),$H$10))),1)=1))</f>
        <v>#NAME?</v>
      </c>
      <c r="N1040" s="284">
        <v>5</v>
      </c>
      <c r="O1040" s="4">
        <f t="shared" si="348"/>
        <v>245</v>
      </c>
      <c r="P1040" s="312">
        <f t="shared" si="349"/>
        <v>5880</v>
      </c>
      <c r="Q1040" s="192" t="e">
        <f t="shared" ca="1" si="350"/>
        <v>#NAME?</v>
      </c>
      <c r="R1040" s="312" t="e">
        <f t="shared" ca="1" si="351"/>
        <v>#NAME?</v>
      </c>
      <c r="S1040" s="192"/>
    </row>
    <row r="1041" spans="1:19" ht="15.75" customHeight="1" x14ac:dyDescent="0.3">
      <c r="A1041" s="257" t="s">
        <v>16</v>
      </c>
      <c r="B1041" s="211" t="e">
        <f ca="1">+$J$10-M1041</f>
        <v>#NAME?</v>
      </c>
      <c r="C1041" s="284">
        <v>3</v>
      </c>
      <c r="D1041" s="284">
        <v>2</v>
      </c>
      <c r="E1041" s="284">
        <v>0</v>
      </c>
      <c r="F1041" s="192">
        <f t="shared" si="345"/>
        <v>147</v>
      </c>
      <c r="G1041" s="192">
        <f t="shared" si="345"/>
        <v>98</v>
      </c>
      <c r="H1041" s="192">
        <f t="shared" si="345"/>
        <v>0</v>
      </c>
      <c r="I1041" s="192">
        <f t="shared" si="346"/>
        <v>1176</v>
      </c>
      <c r="J1041" s="192">
        <f t="shared" si="346"/>
        <v>784</v>
      </c>
      <c r="K1041" s="192">
        <f t="shared" si="346"/>
        <v>0</v>
      </c>
      <c r="L1041" s="312">
        <f t="shared" si="347"/>
        <v>1960</v>
      </c>
      <c r="M1041" s="211" t="e">
        <f ca="1">SUMPRODUCT(--(WEEKDAY(ROW(INDIRECT(DATE($B$1029,MonthFromText(A1041),1)&amp;":"&amp;DATE($B$1029,MonthFromText(A1041),$J$10))),1)=1))</f>
        <v>#NAME?</v>
      </c>
      <c r="N1041" s="284">
        <v>3</v>
      </c>
      <c r="O1041" s="4">
        <f t="shared" si="348"/>
        <v>147</v>
      </c>
      <c r="P1041" s="312">
        <f t="shared" si="349"/>
        <v>3528</v>
      </c>
      <c r="Q1041" s="192" t="e">
        <f t="shared" ca="1" si="350"/>
        <v>#NAME?</v>
      </c>
      <c r="R1041" s="312" t="e">
        <f t="shared" ca="1" si="351"/>
        <v>#NAME?</v>
      </c>
      <c r="S1041" s="192"/>
    </row>
    <row r="1042" spans="1:19" ht="15.75" customHeight="1" x14ac:dyDescent="0.3">
      <c r="A1042" s="257" t="s">
        <v>17</v>
      </c>
      <c r="B1042" s="211" t="e">
        <f ca="1">+$K$10-M1042</f>
        <v>#NAME?</v>
      </c>
      <c r="C1042" s="284">
        <v>3</v>
      </c>
      <c r="D1042" s="284">
        <v>2</v>
      </c>
      <c r="E1042" s="284">
        <v>0</v>
      </c>
      <c r="F1042" s="192">
        <f t="shared" si="345"/>
        <v>147</v>
      </c>
      <c r="G1042" s="192">
        <f t="shared" si="345"/>
        <v>98</v>
      </c>
      <c r="H1042" s="192">
        <f t="shared" si="345"/>
        <v>0</v>
      </c>
      <c r="I1042" s="192">
        <f t="shared" si="346"/>
        <v>1176</v>
      </c>
      <c r="J1042" s="192">
        <f t="shared" si="346"/>
        <v>784</v>
      </c>
      <c r="K1042" s="192">
        <f t="shared" si="346"/>
        <v>0</v>
      </c>
      <c r="L1042" s="312">
        <f t="shared" si="347"/>
        <v>1960</v>
      </c>
      <c r="M1042" s="211" t="e">
        <f ca="1">SUMPRODUCT(--(WEEKDAY(ROW(INDIRECT(DATE($B$1029,MonthFromText(A1042),1)&amp;":"&amp;DATE($B$1029,MonthFromText(A1042),$K$10))),1)=1))</f>
        <v>#NAME?</v>
      </c>
      <c r="N1042" s="284">
        <v>3</v>
      </c>
      <c r="O1042" s="4">
        <f t="shared" si="348"/>
        <v>147</v>
      </c>
      <c r="P1042" s="312">
        <f t="shared" si="349"/>
        <v>3528</v>
      </c>
      <c r="Q1042" s="192" t="e">
        <f t="shared" ca="1" si="350"/>
        <v>#NAME?</v>
      </c>
      <c r="R1042" s="312" t="e">
        <f t="shared" ca="1" si="351"/>
        <v>#NAME?</v>
      </c>
      <c r="S1042" s="192"/>
    </row>
    <row r="1043" spans="1:19" ht="15.75" customHeight="1" x14ac:dyDescent="0.3">
      <c r="A1043" s="257" t="s">
        <v>18</v>
      </c>
      <c r="B1043" s="211" t="e">
        <f ca="1">+$L$10-M1043</f>
        <v>#NAME?</v>
      </c>
      <c r="C1043" s="284">
        <v>5</v>
      </c>
      <c r="D1043" s="284">
        <v>3</v>
      </c>
      <c r="E1043" s="284" t="s">
        <v>803</v>
      </c>
      <c r="F1043" s="192">
        <f t="shared" si="345"/>
        <v>245</v>
      </c>
      <c r="G1043" s="192">
        <f>+J1043/16</f>
        <v>147</v>
      </c>
      <c r="H1043" s="192" t="s">
        <v>803</v>
      </c>
      <c r="I1043" s="192">
        <f t="shared" si="346"/>
        <v>1960</v>
      </c>
      <c r="J1043" s="192">
        <f>+D1043*49*16</f>
        <v>2352</v>
      </c>
      <c r="K1043" s="192" t="s">
        <v>803</v>
      </c>
      <c r="L1043" s="312">
        <f t="shared" si="347"/>
        <v>4312</v>
      </c>
      <c r="M1043" s="211" t="e">
        <f ca="1">SUMPRODUCT(--(WEEKDAY(ROW(INDIRECT(DATE($B$1029,MonthFromText(A1043),1)&amp;":"&amp;DATE($B$1029,MonthFromText(A1043),$L$10))),1)=1))</f>
        <v>#NAME?</v>
      </c>
      <c r="N1043" s="284">
        <v>5</v>
      </c>
      <c r="O1043" s="4">
        <f t="shared" si="348"/>
        <v>245</v>
      </c>
      <c r="P1043" s="312">
        <f t="shared" si="349"/>
        <v>5880</v>
      </c>
      <c r="Q1043" s="192" t="e">
        <f t="shared" ca="1" si="350"/>
        <v>#NAME?</v>
      </c>
      <c r="R1043" s="312" t="e">
        <f t="shared" ca="1" si="351"/>
        <v>#NAME?</v>
      </c>
      <c r="S1043" s="192"/>
    </row>
    <row r="1044" spans="1:19" ht="15.75" customHeight="1" x14ac:dyDescent="0.3">
      <c r="A1044" s="257" t="s">
        <v>20</v>
      </c>
      <c r="B1044" s="211" t="e">
        <f ca="1">+$N$10-M1044</f>
        <v>#NAME?</v>
      </c>
      <c r="C1044" s="284">
        <v>5</v>
      </c>
      <c r="D1044" s="284">
        <v>3</v>
      </c>
      <c r="E1044" s="284" t="s">
        <v>803</v>
      </c>
      <c r="F1044" s="192">
        <f t="shared" si="345"/>
        <v>245</v>
      </c>
      <c r="G1044" s="192">
        <f>+J1044/16</f>
        <v>147</v>
      </c>
      <c r="H1044" s="192" t="s">
        <v>803</v>
      </c>
      <c r="I1044" s="192">
        <f t="shared" si="346"/>
        <v>1960</v>
      </c>
      <c r="J1044" s="192">
        <f>+D1044*49*16</f>
        <v>2352</v>
      </c>
      <c r="K1044" s="192" t="s">
        <v>803</v>
      </c>
      <c r="L1044" s="312">
        <f t="shared" si="347"/>
        <v>4312</v>
      </c>
      <c r="M1044" s="211" t="e">
        <f ca="1">SUMPRODUCT(--(WEEKDAY(ROW(INDIRECT(DATE($B$1029,MonthFromText(A1044),1)&amp;":"&amp;DATE($B$1029,MonthFromText(A1044),$N$10))),1)=1))</f>
        <v>#NAME?</v>
      </c>
      <c r="N1044" s="284">
        <v>5</v>
      </c>
      <c r="O1044" s="4">
        <f t="shared" si="348"/>
        <v>245</v>
      </c>
      <c r="P1044" s="312">
        <f t="shared" si="349"/>
        <v>5880</v>
      </c>
      <c r="Q1044" s="192" t="e">
        <f t="shared" ca="1" si="350"/>
        <v>#NAME?</v>
      </c>
      <c r="R1044" s="312" t="e">
        <f t="shared" ca="1" si="351"/>
        <v>#NAME?</v>
      </c>
      <c r="S1044" s="192"/>
    </row>
    <row r="1045" spans="1:19" ht="15.75" customHeight="1" x14ac:dyDescent="0.3">
      <c r="A1045" s="257" t="s">
        <v>21</v>
      </c>
      <c r="B1045" s="211" t="e">
        <f ca="1">+$O$10-M1045</f>
        <v>#NAME?</v>
      </c>
      <c r="C1045" s="284">
        <v>5</v>
      </c>
      <c r="D1045" s="284">
        <v>3</v>
      </c>
      <c r="E1045" s="284" t="s">
        <v>803</v>
      </c>
      <c r="F1045" s="192">
        <f t="shared" si="345"/>
        <v>245</v>
      </c>
      <c r="G1045" s="192">
        <f>+J1045/16</f>
        <v>147</v>
      </c>
      <c r="H1045" s="192" t="s">
        <v>803</v>
      </c>
      <c r="I1045" s="192">
        <f t="shared" si="346"/>
        <v>1960</v>
      </c>
      <c r="J1045" s="192">
        <f>+D1045*49*16</f>
        <v>2352</v>
      </c>
      <c r="K1045" s="192" t="s">
        <v>803</v>
      </c>
      <c r="L1045" s="312">
        <f t="shared" si="347"/>
        <v>4312</v>
      </c>
      <c r="M1045" s="211" t="e">
        <f ca="1">SUMPRODUCT(--(WEEKDAY(ROW(INDIRECT(DATE($B$1029,MonthFromText(A1045),1)&amp;":"&amp;DATE($B$1029,MonthFromText(A1045),$O$10))),1)=1))</f>
        <v>#NAME?</v>
      </c>
      <c r="N1045" s="284">
        <v>6</v>
      </c>
      <c r="O1045" s="4">
        <f t="shared" si="348"/>
        <v>294</v>
      </c>
      <c r="P1045" s="312">
        <f t="shared" si="349"/>
        <v>7056</v>
      </c>
      <c r="Q1045" s="192" t="e">
        <f t="shared" ca="1" si="350"/>
        <v>#NAME?</v>
      </c>
      <c r="R1045" s="312" t="e">
        <f t="shared" ca="1" si="351"/>
        <v>#NAME?</v>
      </c>
      <c r="S1045" s="192"/>
    </row>
    <row r="1046" spans="1:19" ht="15.75" customHeight="1" thickBot="1" x14ac:dyDescent="0.35">
      <c r="A1046" s="257" t="s">
        <v>22</v>
      </c>
      <c r="B1046" s="220" t="e">
        <f ca="1">+$P$10-M1046</f>
        <v>#NAME?</v>
      </c>
      <c r="C1046" s="290">
        <v>6</v>
      </c>
      <c r="D1046" s="290">
        <v>2</v>
      </c>
      <c r="E1046" s="284" t="s">
        <v>803</v>
      </c>
      <c r="F1046" s="192">
        <f t="shared" si="345"/>
        <v>294</v>
      </c>
      <c r="G1046" s="192">
        <f>+J1046/16</f>
        <v>98</v>
      </c>
      <c r="H1046" s="192" t="s">
        <v>803</v>
      </c>
      <c r="I1046" s="192">
        <f t="shared" si="346"/>
        <v>2352</v>
      </c>
      <c r="J1046" s="192">
        <f>+D1046*49*16</f>
        <v>1568</v>
      </c>
      <c r="K1046" s="192" t="s">
        <v>803</v>
      </c>
      <c r="L1046" s="312">
        <f t="shared" si="347"/>
        <v>3920</v>
      </c>
      <c r="M1046" s="220" t="e">
        <f ca="1">SUMPRODUCT(--(WEEKDAY(ROW(INDIRECT(DATE($B$1029,MonthFromText(A1046),1)&amp;":"&amp;DATE($B$1029,MonthFromText(A1046),$P$10))),1)=1))</f>
        <v>#NAME?</v>
      </c>
      <c r="N1046" s="290">
        <v>6</v>
      </c>
      <c r="O1046" s="135">
        <f t="shared" si="348"/>
        <v>294</v>
      </c>
      <c r="P1046" s="272">
        <f t="shared" si="349"/>
        <v>7056</v>
      </c>
      <c r="Q1046" s="291" t="e">
        <f t="shared" ca="1" si="350"/>
        <v>#NAME?</v>
      </c>
      <c r="R1046" s="292" t="e">
        <f t="shared" ca="1" si="351"/>
        <v>#NAME?</v>
      </c>
      <c r="S1046" s="192"/>
    </row>
    <row r="1047" spans="1:19" ht="15.75" customHeight="1" thickBot="1" x14ac:dyDescent="0.35">
      <c r="A1047" s="134"/>
      <c r="B1047" s="135"/>
      <c r="C1047" s="135"/>
      <c r="D1047" s="135"/>
      <c r="E1047" s="293"/>
      <c r="F1047" s="293"/>
      <c r="G1047" s="293"/>
      <c r="H1047" s="293"/>
      <c r="I1047" s="293"/>
      <c r="J1047" s="293"/>
      <c r="K1047" s="293"/>
      <c r="L1047" s="293"/>
      <c r="M1047" s="135"/>
      <c r="N1047" s="135"/>
      <c r="O1047" s="135"/>
      <c r="P1047" s="135"/>
      <c r="Q1047" s="206" t="e">
        <f ca="1">+SUM(Q1035:Q1046)</f>
        <v>#NAME?</v>
      </c>
      <c r="R1047" s="272" t="e">
        <f ca="1">+Q1047-B941</f>
        <v>#NAME?</v>
      </c>
    </row>
    <row r="1048" spans="1:19" ht="15.75" customHeight="1" x14ac:dyDescent="0.3">
      <c r="A1048" s="260" t="s">
        <v>827</v>
      </c>
      <c r="J1048" s="192"/>
    </row>
    <row r="1049" spans="1:19" ht="15.75" customHeight="1" x14ac:dyDescent="0.3">
      <c r="A1049" s="260" t="s">
        <v>828</v>
      </c>
    </row>
    <row r="1050" spans="1:19" ht="15.75" customHeight="1" x14ac:dyDescent="0.3">
      <c r="A1050" s="260" t="s">
        <v>829</v>
      </c>
    </row>
    <row r="1051" spans="1:19" ht="15.75" customHeight="1" x14ac:dyDescent="0.3"/>
    <row r="1052" spans="1:19" ht="15.75" customHeight="1" x14ac:dyDescent="0.3"/>
    <row r="1053" spans="1:19" ht="15.75" customHeight="1" x14ac:dyDescent="0.3"/>
    <row r="1054" spans="1:19" ht="15.75" customHeight="1" x14ac:dyDescent="0.3"/>
    <row r="1055" spans="1:19" ht="16.5" customHeight="1" x14ac:dyDescent="0.3"/>
    <row r="1056" spans="1:19" ht="15.75" customHeight="1" x14ac:dyDescent="0.3"/>
    <row r="1057" spans="1:19" ht="16.5" customHeight="1" x14ac:dyDescent="0.3"/>
    <row r="1058" spans="1:19" ht="15.75" customHeight="1" x14ac:dyDescent="0.3"/>
    <row r="1059" spans="1:19" ht="15.75" customHeight="1" x14ac:dyDescent="0.3"/>
    <row r="1060" spans="1:19" ht="15.75" customHeight="1" x14ac:dyDescent="0.3"/>
    <row r="1061" spans="1:19" ht="15.75" customHeight="1" x14ac:dyDescent="0.3"/>
    <row r="1062" spans="1:19" ht="15.75" customHeight="1" x14ac:dyDescent="0.3">
      <c r="I1062" s="192"/>
      <c r="J1062" s="192"/>
    </row>
    <row r="1063" spans="1:19" ht="15.75" customHeight="1" x14ac:dyDescent="0.3"/>
    <row r="1064" spans="1:19" ht="15.75" customHeight="1" x14ac:dyDescent="0.3"/>
    <row r="1065" spans="1:19" ht="15.75" customHeight="1" x14ac:dyDescent="0.3"/>
    <row r="1066" spans="1:19" ht="15.75" customHeight="1" x14ac:dyDescent="0.3"/>
    <row r="1067" spans="1:19" ht="15.75" customHeight="1" x14ac:dyDescent="0.3"/>
    <row r="1068" spans="1:19" ht="15.75" customHeight="1" x14ac:dyDescent="0.3"/>
    <row r="1069" spans="1:19" ht="15.75" customHeight="1" thickBot="1" x14ac:dyDescent="0.35"/>
    <row r="1070" spans="1:19" ht="15.75" customHeight="1" x14ac:dyDescent="0.35">
      <c r="A1070" s="173"/>
      <c r="B1070" s="174"/>
      <c r="C1070" s="294"/>
      <c r="D1070" s="294"/>
      <c r="E1070" s="294"/>
      <c r="F1070" s="294"/>
      <c r="G1070" s="294"/>
      <c r="H1070" s="175" t="s">
        <v>832</v>
      </c>
      <c r="I1070" s="174"/>
      <c r="J1070" s="174"/>
      <c r="K1070" s="174"/>
      <c r="L1070" s="174"/>
      <c r="M1070" s="174"/>
      <c r="N1070" s="174"/>
      <c r="O1070" s="174"/>
      <c r="P1070" s="174"/>
      <c r="Q1070" s="177" t="str">
        <f>+Q1</f>
        <v xml:space="preserve">PRINTED:  </v>
      </c>
      <c r="R1070" s="197">
        <f ca="1">+R1</f>
        <v>44894.658168518516</v>
      </c>
      <c r="S1070" s="198"/>
    </row>
    <row r="1071" spans="1:19" ht="15.75" customHeight="1" x14ac:dyDescent="0.35">
      <c r="A1071" s="179"/>
      <c r="B1071" s="180"/>
      <c r="C1071" s="201"/>
      <c r="D1071" s="201"/>
      <c r="E1071" s="201"/>
      <c r="F1071" s="201"/>
      <c r="G1071" s="201"/>
      <c r="H1071" s="180" t="s">
        <v>633</v>
      </c>
      <c r="I1071" s="180" t="s">
        <v>7</v>
      </c>
      <c r="J1071" s="202" t="str">
        <f>+A8</f>
        <v>Revised:  12/8/2016</v>
      </c>
      <c r="K1071" s="180"/>
      <c r="L1071" s="180"/>
      <c r="M1071" s="180"/>
      <c r="N1071" s="180"/>
      <c r="O1071" s="180"/>
      <c r="P1071" s="180"/>
      <c r="Q1071" s="180"/>
      <c r="R1071" s="180"/>
      <c r="S1071" s="304"/>
    </row>
    <row r="1072" spans="1:19" ht="15.75" customHeight="1" x14ac:dyDescent="0.35">
      <c r="A1072" s="179"/>
      <c r="B1072" s="180"/>
      <c r="C1072" s="201"/>
      <c r="D1072" s="201"/>
      <c r="E1072" s="201"/>
      <c r="F1072" s="201"/>
      <c r="G1072" s="201"/>
      <c r="H1072" s="180" t="s">
        <v>833</v>
      </c>
      <c r="I1072" s="180"/>
      <c r="J1072" s="180"/>
      <c r="K1072" s="180"/>
      <c r="L1072" s="180"/>
      <c r="M1072" s="180"/>
      <c r="N1072" s="180"/>
      <c r="O1072" s="180"/>
      <c r="P1072" s="180"/>
      <c r="Q1072" s="180"/>
      <c r="R1072" s="180"/>
      <c r="S1072" s="304"/>
    </row>
    <row r="1073" spans="1:19" ht="15.75" customHeight="1" x14ac:dyDescent="0.35">
      <c r="A1073" s="179"/>
      <c r="B1073" s="180"/>
      <c r="C1073" s="201"/>
      <c r="D1073" s="201"/>
      <c r="E1073" s="201"/>
      <c r="F1073" s="201"/>
      <c r="G1073" s="201"/>
      <c r="H1073" s="180"/>
      <c r="I1073" s="180"/>
      <c r="J1073" s="180"/>
      <c r="K1073" s="180"/>
      <c r="L1073" s="180"/>
      <c r="M1073" s="180"/>
      <c r="N1073" s="180"/>
      <c r="O1073" s="180"/>
      <c r="P1073" s="180"/>
      <c r="Q1073" s="180"/>
      <c r="R1073" s="180"/>
      <c r="S1073" s="304"/>
    </row>
    <row r="1074" spans="1:19" ht="15.75" customHeight="1" x14ac:dyDescent="0.35">
      <c r="A1074" s="179"/>
      <c r="B1074" s="180"/>
      <c r="C1074" s="201"/>
      <c r="D1074" s="201"/>
      <c r="E1074" s="201"/>
      <c r="F1074" s="201"/>
      <c r="G1074" s="201"/>
      <c r="H1074" s="180" t="s">
        <v>633</v>
      </c>
      <c r="I1074" s="297">
        <f>+A5</f>
        <v>2017</v>
      </c>
      <c r="J1074" s="180"/>
      <c r="K1074" s="180"/>
      <c r="L1074" s="180"/>
      <c r="M1074" s="180"/>
      <c r="N1074" s="180"/>
      <c r="O1074" s="180"/>
      <c r="P1074" s="180"/>
      <c r="Q1074" s="180"/>
      <c r="R1074" s="180"/>
      <c r="S1074" s="304"/>
    </row>
    <row r="1075" spans="1:19" ht="15.75" customHeight="1" x14ac:dyDescent="0.3">
      <c r="A1075" s="179"/>
      <c r="B1075" s="180"/>
      <c r="C1075" s="180"/>
      <c r="D1075" s="180"/>
      <c r="E1075" s="180"/>
      <c r="F1075" s="180"/>
      <c r="G1075" s="180"/>
      <c r="H1075" s="180"/>
      <c r="I1075" s="180"/>
      <c r="J1075" s="180"/>
      <c r="K1075" s="180"/>
      <c r="L1075" s="180"/>
      <c r="M1075" s="180"/>
      <c r="N1075" s="180"/>
      <c r="O1075" s="180"/>
      <c r="P1075" s="180"/>
      <c r="Q1075" s="180"/>
      <c r="R1075" s="180"/>
      <c r="S1075" s="304"/>
    </row>
    <row r="1076" spans="1:19" ht="15.75" customHeight="1" x14ac:dyDescent="0.3">
      <c r="A1076" s="179"/>
      <c r="B1076" s="180"/>
      <c r="C1076" s="199" t="s">
        <v>834</v>
      </c>
      <c r="D1076" s="180"/>
      <c r="E1076" s="180"/>
      <c r="F1076" s="180"/>
      <c r="G1076" s="199" t="s">
        <v>835</v>
      </c>
      <c r="H1076" s="180"/>
      <c r="I1076" s="180"/>
      <c r="J1076" s="180"/>
      <c r="K1076" s="298" t="s">
        <v>836</v>
      </c>
      <c r="L1076" s="180"/>
      <c r="M1076" s="180"/>
      <c r="N1076" s="180"/>
      <c r="O1076" s="298" t="s">
        <v>837</v>
      </c>
      <c r="P1076" s="180"/>
      <c r="Q1076" s="180"/>
      <c r="R1076" s="180"/>
      <c r="S1076" s="304"/>
    </row>
    <row r="1077" spans="1:19" ht="15.75" customHeight="1" x14ac:dyDescent="0.3">
      <c r="A1077" s="179"/>
      <c r="B1077" s="180"/>
      <c r="C1077" s="180">
        <f>+A5</f>
        <v>2017</v>
      </c>
      <c r="D1077" s="180"/>
      <c r="E1077" s="180"/>
      <c r="F1077" s="180" t="s">
        <v>838</v>
      </c>
      <c r="G1077" s="180"/>
      <c r="H1077" s="180"/>
      <c r="I1077" s="180"/>
      <c r="J1077" s="180"/>
      <c r="K1077" s="180">
        <f>+A5</f>
        <v>2017</v>
      </c>
      <c r="L1077" s="180"/>
      <c r="M1077" s="180"/>
      <c r="N1077" s="180"/>
      <c r="O1077" s="180">
        <f>+A5</f>
        <v>2017</v>
      </c>
      <c r="P1077" s="180"/>
      <c r="Q1077" s="180"/>
      <c r="R1077" s="180"/>
      <c r="S1077" s="304"/>
    </row>
    <row r="1078" spans="1:19" ht="15.75" customHeight="1" x14ac:dyDescent="0.3">
      <c r="A1078" s="179"/>
      <c r="B1078" s="180"/>
      <c r="C1078" s="180"/>
      <c r="D1078" s="180"/>
      <c r="E1078" s="180"/>
      <c r="F1078" s="180"/>
      <c r="G1078" s="180">
        <f>+A5</f>
        <v>2017</v>
      </c>
      <c r="H1078" s="180"/>
      <c r="I1078" s="180"/>
      <c r="J1078" s="180"/>
      <c r="K1078" s="180"/>
      <c r="L1078" s="180"/>
      <c r="M1078" s="180"/>
      <c r="N1078" s="180"/>
      <c r="O1078" s="180"/>
      <c r="P1078" s="180"/>
      <c r="Q1078" s="180"/>
      <c r="R1078" s="180"/>
      <c r="S1078" s="304"/>
    </row>
    <row r="1079" spans="1:19" ht="15.75" customHeight="1" x14ac:dyDescent="0.3">
      <c r="A1079" s="179"/>
      <c r="B1079" s="180"/>
      <c r="C1079" s="182" t="s">
        <v>839</v>
      </c>
      <c r="D1079" s="182" t="s">
        <v>840</v>
      </c>
      <c r="E1079" s="182" t="s">
        <v>841</v>
      </c>
      <c r="F1079" s="180"/>
      <c r="G1079" s="182" t="s">
        <v>842</v>
      </c>
      <c r="H1079" s="182" t="s">
        <v>840</v>
      </c>
      <c r="I1079" s="182" t="s">
        <v>843</v>
      </c>
      <c r="J1079" s="180"/>
      <c r="K1079" s="182" t="s">
        <v>738</v>
      </c>
      <c r="L1079" s="182" t="s">
        <v>840</v>
      </c>
      <c r="M1079" s="182" t="s">
        <v>844</v>
      </c>
      <c r="N1079" s="180"/>
      <c r="O1079" s="182" t="s">
        <v>738</v>
      </c>
      <c r="P1079" s="182" t="s">
        <v>840</v>
      </c>
      <c r="Q1079" s="182" t="s">
        <v>844</v>
      </c>
      <c r="R1079" s="180"/>
      <c r="S1079" s="304"/>
    </row>
    <row r="1080" spans="1:19" ht="15.75" customHeight="1" x14ac:dyDescent="0.3">
      <c r="A1080" s="179"/>
      <c r="B1080" s="180"/>
      <c r="C1080" s="182" t="s">
        <v>845</v>
      </c>
      <c r="D1080" s="182" t="s">
        <v>658</v>
      </c>
      <c r="E1080" s="182" t="s">
        <v>846</v>
      </c>
      <c r="F1080" s="180"/>
      <c r="G1080" s="182" t="s">
        <v>847</v>
      </c>
      <c r="H1080" s="182" t="s">
        <v>658</v>
      </c>
      <c r="I1080" s="182" t="s">
        <v>846</v>
      </c>
      <c r="J1080" s="180"/>
      <c r="K1080" s="182" t="s">
        <v>848</v>
      </c>
      <c r="L1080" s="182" t="s">
        <v>658</v>
      </c>
      <c r="M1080" s="182" t="s">
        <v>846</v>
      </c>
      <c r="N1080" s="180"/>
      <c r="O1080" s="182" t="s">
        <v>848</v>
      </c>
      <c r="P1080" s="182" t="s">
        <v>658</v>
      </c>
      <c r="Q1080" s="182" t="s">
        <v>846</v>
      </c>
      <c r="R1080" s="180"/>
      <c r="S1080" s="304"/>
    </row>
    <row r="1081" spans="1:19" ht="15.75" customHeight="1" x14ac:dyDescent="0.3">
      <c r="A1081" s="179"/>
      <c r="B1081" s="180"/>
      <c r="C1081" s="182" t="s">
        <v>658</v>
      </c>
      <c r="D1081" s="182" t="s">
        <v>655</v>
      </c>
      <c r="E1081" s="182" t="s">
        <v>849</v>
      </c>
      <c r="F1081" s="180"/>
      <c r="G1081" s="182" t="s">
        <v>743</v>
      </c>
      <c r="H1081" s="182" t="s">
        <v>655</v>
      </c>
      <c r="I1081" s="182" t="s">
        <v>849</v>
      </c>
      <c r="J1081" s="180"/>
      <c r="K1081" s="182" t="s">
        <v>658</v>
      </c>
      <c r="L1081" s="182" t="s">
        <v>655</v>
      </c>
      <c r="M1081" s="182" t="s">
        <v>849</v>
      </c>
      <c r="N1081" s="180"/>
      <c r="O1081" s="182" t="s">
        <v>658</v>
      </c>
      <c r="P1081" s="182" t="s">
        <v>655</v>
      </c>
      <c r="Q1081" s="182" t="s">
        <v>849</v>
      </c>
      <c r="R1081" s="180"/>
      <c r="S1081" s="304"/>
    </row>
    <row r="1082" spans="1:19" ht="15.75" customHeight="1" x14ac:dyDescent="0.3">
      <c r="A1082" s="179"/>
      <c r="B1082" s="180"/>
      <c r="C1082" s="182" t="s">
        <v>664</v>
      </c>
      <c r="D1082" s="182" t="s">
        <v>850</v>
      </c>
      <c r="E1082" s="182" t="s">
        <v>851</v>
      </c>
      <c r="F1082" s="180"/>
      <c r="G1082" s="182" t="s">
        <v>664</v>
      </c>
      <c r="H1082" s="182" t="s">
        <v>850</v>
      </c>
      <c r="I1082" s="182" t="s">
        <v>851</v>
      </c>
      <c r="J1082" s="180"/>
      <c r="K1082" s="182" t="s">
        <v>664</v>
      </c>
      <c r="L1082" s="182" t="s">
        <v>850</v>
      </c>
      <c r="M1082" s="182" t="s">
        <v>851</v>
      </c>
      <c r="N1082" s="180"/>
      <c r="O1082" s="182" t="s">
        <v>664</v>
      </c>
      <c r="P1082" s="182" t="s">
        <v>850</v>
      </c>
      <c r="Q1082" s="182" t="s">
        <v>851</v>
      </c>
      <c r="R1082" s="180"/>
      <c r="S1082" s="304"/>
    </row>
    <row r="1083" spans="1:19" ht="15.75" customHeight="1" x14ac:dyDescent="0.3">
      <c r="A1083" s="179"/>
      <c r="B1083" s="180"/>
      <c r="C1083" s="180" t="s">
        <v>666</v>
      </c>
      <c r="D1083" s="180" t="s">
        <v>666</v>
      </c>
      <c r="E1083" s="180" t="s">
        <v>666</v>
      </c>
      <c r="F1083" s="180"/>
      <c r="G1083" s="182" t="s">
        <v>666</v>
      </c>
      <c r="H1083" s="182" t="s">
        <v>666</v>
      </c>
      <c r="I1083" s="182" t="s">
        <v>666</v>
      </c>
      <c r="J1083" s="180"/>
      <c r="K1083" s="180" t="s">
        <v>666</v>
      </c>
      <c r="L1083" s="180" t="s">
        <v>666</v>
      </c>
      <c r="M1083" s="180" t="s">
        <v>666</v>
      </c>
      <c r="N1083" s="180"/>
      <c r="O1083" s="180" t="s">
        <v>666</v>
      </c>
      <c r="P1083" s="180" t="s">
        <v>666</v>
      </c>
      <c r="Q1083" s="180" t="s">
        <v>666</v>
      </c>
      <c r="R1083" s="180"/>
      <c r="S1083" s="304"/>
    </row>
    <row r="1084" spans="1:19" ht="15.75" customHeight="1" x14ac:dyDescent="0.3">
      <c r="A1084" s="189" t="s">
        <v>668</v>
      </c>
      <c r="B1084" s="180"/>
      <c r="C1084" s="180">
        <f t="shared" ref="C1084:C1095" si="352">(P956)</f>
        <v>-75935</v>
      </c>
      <c r="D1084" s="203">
        <v>0</v>
      </c>
      <c r="E1084" s="217">
        <f t="shared" ref="E1084:E1095" si="353">(P956*D1084/1000)</f>
        <v>0</v>
      </c>
      <c r="F1084" s="180"/>
      <c r="G1084" s="180">
        <v>0</v>
      </c>
      <c r="H1084" s="203">
        <v>0</v>
      </c>
      <c r="I1084" s="217">
        <f t="shared" ref="I1084:I1095" si="354">(G1084*H1084/1000)</f>
        <v>0</v>
      </c>
      <c r="J1084" s="180"/>
      <c r="K1084" s="299">
        <v>11848</v>
      </c>
      <c r="L1084" s="300">
        <v>0</v>
      </c>
      <c r="M1084" s="217">
        <f t="shared" ref="M1084:M1095" si="355">(K1084*L1084/1000)</f>
        <v>0</v>
      </c>
      <c r="N1084" s="180"/>
      <c r="O1084" s="299">
        <v>0</v>
      </c>
      <c r="P1084" s="203">
        <v>0</v>
      </c>
      <c r="Q1084" s="217">
        <f t="shared" ref="Q1084:Q1095" si="356">(O1084*P1084/1000)</f>
        <v>0</v>
      </c>
      <c r="R1084" s="180"/>
      <c r="S1084" s="304"/>
    </row>
    <row r="1085" spans="1:19" ht="15.75" customHeight="1" x14ac:dyDescent="0.3">
      <c r="A1085" s="189" t="s">
        <v>669</v>
      </c>
      <c r="B1085" s="180"/>
      <c r="C1085" s="180">
        <f t="shared" si="352"/>
        <v>-117276.22277435336</v>
      </c>
      <c r="D1085" s="203">
        <v>0</v>
      </c>
      <c r="E1085" s="217">
        <f t="shared" si="353"/>
        <v>0</v>
      </c>
      <c r="F1085" s="180"/>
      <c r="G1085" s="180" t="e">
        <f>#REF!</f>
        <v>#REF!</v>
      </c>
      <c r="H1085" s="203">
        <v>0</v>
      </c>
      <c r="I1085" s="217" t="e">
        <f t="shared" si="354"/>
        <v>#REF!</v>
      </c>
      <c r="J1085" s="180"/>
      <c r="K1085" s="299">
        <v>11489</v>
      </c>
      <c r="L1085" s="300">
        <v>0</v>
      </c>
      <c r="M1085" s="217">
        <f t="shared" si="355"/>
        <v>0</v>
      </c>
      <c r="N1085" s="180"/>
      <c r="O1085" s="299">
        <v>0</v>
      </c>
      <c r="P1085" s="203">
        <v>0</v>
      </c>
      <c r="Q1085" s="217">
        <f t="shared" si="356"/>
        <v>0</v>
      </c>
      <c r="R1085" s="180"/>
      <c r="S1085" s="304"/>
    </row>
    <row r="1086" spans="1:19" ht="15.75" customHeight="1" x14ac:dyDescent="0.3">
      <c r="A1086" s="189" t="s">
        <v>671</v>
      </c>
      <c r="B1086" s="180"/>
      <c r="C1086" s="180">
        <f t="shared" si="352"/>
        <v>53256</v>
      </c>
      <c r="D1086" s="203">
        <v>0</v>
      </c>
      <c r="E1086" s="217">
        <f t="shared" si="353"/>
        <v>0</v>
      </c>
      <c r="F1086" s="180">
        <f>SUM(E1084:E1086)</f>
        <v>0</v>
      </c>
      <c r="G1086" s="180" t="e">
        <f>#REF!</f>
        <v>#REF!</v>
      </c>
      <c r="H1086" s="203">
        <v>0</v>
      </c>
      <c r="I1086" s="217" t="e">
        <f t="shared" si="354"/>
        <v>#REF!</v>
      </c>
      <c r="J1086" s="180" t="e">
        <f>SUM(I1084:I1086)</f>
        <v>#REF!</v>
      </c>
      <c r="K1086" s="299">
        <v>16247</v>
      </c>
      <c r="L1086" s="300">
        <v>0</v>
      </c>
      <c r="M1086" s="217">
        <f t="shared" si="355"/>
        <v>0</v>
      </c>
      <c r="N1086" s="180">
        <f>SUM(M1084:M1086)</f>
        <v>0</v>
      </c>
      <c r="O1086" s="299">
        <v>0</v>
      </c>
      <c r="P1086" s="203">
        <v>0</v>
      </c>
      <c r="Q1086" s="217">
        <f t="shared" si="356"/>
        <v>0</v>
      </c>
      <c r="R1086" s="180">
        <f>SUM(Q1084:Q1086)</f>
        <v>0</v>
      </c>
      <c r="S1086" s="304"/>
    </row>
    <row r="1087" spans="1:19" ht="15.75" customHeight="1" x14ac:dyDescent="0.3">
      <c r="A1087" s="189" t="s">
        <v>672</v>
      </c>
      <c r="B1087" s="180"/>
      <c r="C1087" s="180">
        <f t="shared" si="352"/>
        <v>-875</v>
      </c>
      <c r="D1087" s="203">
        <v>0</v>
      </c>
      <c r="E1087" s="217">
        <f t="shared" si="353"/>
        <v>0</v>
      </c>
      <c r="F1087" s="180"/>
      <c r="G1087" s="180" t="e">
        <f>#REF!</f>
        <v>#REF!</v>
      </c>
      <c r="H1087" s="203">
        <v>0</v>
      </c>
      <c r="I1087" s="217" t="e">
        <f t="shared" si="354"/>
        <v>#REF!</v>
      </c>
      <c r="J1087" s="180"/>
      <c r="K1087" s="299">
        <v>17740</v>
      </c>
      <c r="L1087" s="300">
        <v>0</v>
      </c>
      <c r="M1087" s="217">
        <f t="shared" si="355"/>
        <v>0</v>
      </c>
      <c r="N1087" s="180"/>
      <c r="O1087" s="299">
        <v>0</v>
      </c>
      <c r="P1087" s="203">
        <v>0</v>
      </c>
      <c r="Q1087" s="217">
        <f t="shared" si="356"/>
        <v>0</v>
      </c>
      <c r="R1087" s="180"/>
      <c r="S1087" s="304"/>
    </row>
    <row r="1088" spans="1:19" ht="15.75" customHeight="1" x14ac:dyDescent="0.3">
      <c r="A1088" s="189" t="s">
        <v>673</v>
      </c>
      <c r="B1088" s="180"/>
      <c r="C1088" s="180">
        <f t="shared" si="352"/>
        <v>1093</v>
      </c>
      <c r="D1088" s="203">
        <v>0</v>
      </c>
      <c r="E1088" s="217">
        <f t="shared" si="353"/>
        <v>0</v>
      </c>
      <c r="F1088" s="180"/>
      <c r="G1088" s="180" t="e">
        <f>#REF!</f>
        <v>#REF!</v>
      </c>
      <c r="H1088" s="203">
        <v>0</v>
      </c>
      <c r="I1088" s="217" t="e">
        <f t="shared" si="354"/>
        <v>#REF!</v>
      </c>
      <c r="J1088" s="180"/>
      <c r="K1088" s="299">
        <v>15434</v>
      </c>
      <c r="L1088" s="300">
        <v>0</v>
      </c>
      <c r="M1088" s="217">
        <f t="shared" si="355"/>
        <v>0</v>
      </c>
      <c r="N1088" s="180"/>
      <c r="O1088" s="299">
        <v>0</v>
      </c>
      <c r="P1088" s="203">
        <v>0</v>
      </c>
      <c r="Q1088" s="217">
        <f t="shared" si="356"/>
        <v>0</v>
      </c>
      <c r="R1088" s="180"/>
      <c r="S1088" s="304"/>
    </row>
    <row r="1089" spans="1:19" ht="15.75" customHeight="1" x14ac:dyDescent="0.3">
      <c r="A1089" s="189" t="s">
        <v>675</v>
      </c>
      <c r="B1089" s="180"/>
      <c r="C1089" s="180">
        <f t="shared" si="352"/>
        <v>9499.9801668112632</v>
      </c>
      <c r="D1089" s="203">
        <v>0</v>
      </c>
      <c r="E1089" s="217">
        <f t="shared" si="353"/>
        <v>0</v>
      </c>
      <c r="F1089" s="180">
        <f>SUM(E1087:E1089)</f>
        <v>0</v>
      </c>
      <c r="G1089" s="180" t="e">
        <f>#REF!</f>
        <v>#REF!</v>
      </c>
      <c r="H1089" s="203">
        <v>0</v>
      </c>
      <c r="I1089" s="217" t="e">
        <f t="shared" si="354"/>
        <v>#REF!</v>
      </c>
      <c r="J1089" s="180" t="e">
        <f>SUM(I1087:I1089)</f>
        <v>#REF!</v>
      </c>
      <c r="K1089" s="299">
        <v>14355</v>
      </c>
      <c r="L1089" s="300">
        <v>0</v>
      </c>
      <c r="M1089" s="217">
        <f t="shared" si="355"/>
        <v>0</v>
      </c>
      <c r="N1089" s="180">
        <f>SUM(M1087:M1089)</f>
        <v>0</v>
      </c>
      <c r="O1089" s="299">
        <v>0</v>
      </c>
      <c r="P1089" s="203">
        <v>0</v>
      </c>
      <c r="Q1089" s="217">
        <f t="shared" si="356"/>
        <v>0</v>
      </c>
      <c r="R1089" s="180">
        <f>SUM(Q1087:Q1089)</f>
        <v>0</v>
      </c>
      <c r="S1089" s="304"/>
    </row>
    <row r="1090" spans="1:19" ht="15.75" customHeight="1" x14ac:dyDescent="0.3">
      <c r="A1090" s="189" t="s">
        <v>676</v>
      </c>
      <c r="B1090" s="180"/>
      <c r="C1090" s="180">
        <f t="shared" si="352"/>
        <v>-2340.5917563326657</v>
      </c>
      <c r="D1090" s="203">
        <v>0</v>
      </c>
      <c r="E1090" s="217">
        <f t="shared" si="353"/>
        <v>0</v>
      </c>
      <c r="F1090" s="180"/>
      <c r="G1090" s="180" t="e">
        <f>#REF!</f>
        <v>#REF!</v>
      </c>
      <c r="H1090" s="203">
        <v>0</v>
      </c>
      <c r="I1090" s="217" t="e">
        <f t="shared" si="354"/>
        <v>#REF!</v>
      </c>
      <c r="J1090" s="180"/>
      <c r="K1090" s="299">
        <v>13129</v>
      </c>
      <c r="L1090" s="300">
        <v>0</v>
      </c>
      <c r="M1090" s="217">
        <f t="shared" si="355"/>
        <v>0</v>
      </c>
      <c r="N1090" s="180"/>
      <c r="O1090" s="299">
        <v>0</v>
      </c>
      <c r="P1090" s="203">
        <v>0</v>
      </c>
      <c r="Q1090" s="217">
        <f t="shared" si="356"/>
        <v>0</v>
      </c>
      <c r="R1090" s="180"/>
      <c r="S1090" s="304"/>
    </row>
    <row r="1091" spans="1:19" ht="15.75" customHeight="1" x14ac:dyDescent="0.3">
      <c r="A1091" s="189" t="s">
        <v>691</v>
      </c>
      <c r="B1091" s="180"/>
      <c r="C1091" s="180">
        <f t="shared" si="352"/>
        <v>-4849.2750176405825</v>
      </c>
      <c r="D1091" s="203">
        <v>0</v>
      </c>
      <c r="E1091" s="217">
        <f t="shared" si="353"/>
        <v>0</v>
      </c>
      <c r="F1091" s="180"/>
      <c r="G1091" s="180" t="e">
        <f>#REF!</f>
        <v>#REF!</v>
      </c>
      <c r="H1091" s="203">
        <v>0</v>
      </c>
      <c r="I1091" s="217" t="e">
        <f t="shared" si="354"/>
        <v>#REF!</v>
      </c>
      <c r="J1091" s="180"/>
      <c r="K1091" s="299">
        <v>12545</v>
      </c>
      <c r="L1091" s="300">
        <v>0</v>
      </c>
      <c r="M1091" s="217">
        <f t="shared" si="355"/>
        <v>0</v>
      </c>
      <c r="N1091" s="180"/>
      <c r="O1091" s="299">
        <v>0</v>
      </c>
      <c r="P1091" s="203">
        <v>0</v>
      </c>
      <c r="Q1091" s="217">
        <f t="shared" si="356"/>
        <v>0</v>
      </c>
      <c r="R1091" s="180"/>
      <c r="S1091" s="304"/>
    </row>
    <row r="1092" spans="1:19" ht="15.75" customHeight="1" x14ac:dyDescent="0.3">
      <c r="A1092" s="189" t="s">
        <v>692</v>
      </c>
      <c r="B1092" s="180"/>
      <c r="C1092" s="180">
        <f t="shared" si="352"/>
        <v>-12157</v>
      </c>
      <c r="D1092" s="203">
        <v>0</v>
      </c>
      <c r="E1092" s="217">
        <f t="shared" si="353"/>
        <v>0</v>
      </c>
      <c r="F1092" s="180">
        <f>SUM(E1090:E1092)</f>
        <v>0</v>
      </c>
      <c r="G1092" s="180" t="e">
        <f>#REF!</f>
        <v>#REF!</v>
      </c>
      <c r="H1092" s="203">
        <v>0</v>
      </c>
      <c r="I1092" s="217" t="e">
        <f t="shared" si="354"/>
        <v>#REF!</v>
      </c>
      <c r="J1092" s="180" t="e">
        <f>SUM(I1090:I1092)</f>
        <v>#REF!</v>
      </c>
      <c r="K1092" s="299">
        <v>9350</v>
      </c>
      <c r="L1092" s="300">
        <v>0</v>
      </c>
      <c r="M1092" s="217">
        <f t="shared" si="355"/>
        <v>0</v>
      </c>
      <c r="N1092" s="180">
        <f>SUM(M1090:M1092)</f>
        <v>0</v>
      </c>
      <c r="O1092" s="299">
        <v>0</v>
      </c>
      <c r="P1092" s="203">
        <v>0</v>
      </c>
      <c r="Q1092" s="217">
        <f t="shared" si="356"/>
        <v>0</v>
      </c>
      <c r="R1092" s="180">
        <f>SUM(Q1090:Q1092)</f>
        <v>0</v>
      </c>
      <c r="S1092" s="304"/>
    </row>
    <row r="1093" spans="1:19" ht="15.75" customHeight="1" x14ac:dyDescent="0.3">
      <c r="A1093" s="189" t="s">
        <v>693</v>
      </c>
      <c r="B1093" s="180"/>
      <c r="C1093" s="180">
        <f t="shared" si="352"/>
        <v>28991</v>
      </c>
      <c r="D1093" s="203">
        <v>0</v>
      </c>
      <c r="E1093" s="217">
        <f t="shared" si="353"/>
        <v>0</v>
      </c>
      <c r="F1093" s="180"/>
      <c r="G1093" s="180" t="e">
        <f>#REF!</f>
        <v>#REF!</v>
      </c>
      <c r="H1093" s="203">
        <v>0</v>
      </c>
      <c r="I1093" s="217" t="e">
        <f t="shared" si="354"/>
        <v>#REF!</v>
      </c>
      <c r="J1093" s="180"/>
      <c r="K1093" s="299">
        <v>11649</v>
      </c>
      <c r="L1093" s="300">
        <v>0</v>
      </c>
      <c r="M1093" s="217">
        <f t="shared" si="355"/>
        <v>0</v>
      </c>
      <c r="N1093" s="180"/>
      <c r="O1093" s="299">
        <v>0</v>
      </c>
      <c r="P1093" s="203">
        <v>0</v>
      </c>
      <c r="Q1093" s="217">
        <f t="shared" si="356"/>
        <v>0</v>
      </c>
      <c r="R1093" s="180"/>
      <c r="S1093" s="304"/>
    </row>
    <row r="1094" spans="1:19" ht="15.75" customHeight="1" x14ac:dyDescent="0.3">
      <c r="A1094" s="189" t="s">
        <v>694</v>
      </c>
      <c r="B1094" s="180"/>
      <c r="C1094" s="180">
        <f t="shared" si="352"/>
        <v>26495</v>
      </c>
      <c r="D1094" s="203">
        <v>0</v>
      </c>
      <c r="E1094" s="217">
        <f t="shared" si="353"/>
        <v>0</v>
      </c>
      <c r="F1094" s="180"/>
      <c r="G1094" s="180" t="e">
        <f>#REF!</f>
        <v>#REF!</v>
      </c>
      <c r="H1094" s="203">
        <v>0</v>
      </c>
      <c r="I1094" s="217" t="e">
        <f t="shared" si="354"/>
        <v>#REF!</v>
      </c>
      <c r="J1094" s="180"/>
      <c r="K1094" s="299">
        <v>8035</v>
      </c>
      <c r="L1094" s="300">
        <v>0</v>
      </c>
      <c r="M1094" s="217">
        <f t="shared" si="355"/>
        <v>0</v>
      </c>
      <c r="N1094" s="180"/>
      <c r="O1094" s="299">
        <v>0</v>
      </c>
      <c r="P1094" s="203">
        <v>0</v>
      </c>
      <c r="Q1094" s="217">
        <f t="shared" si="356"/>
        <v>0</v>
      </c>
      <c r="R1094" s="180"/>
      <c r="S1094" s="304"/>
    </row>
    <row r="1095" spans="1:19" ht="15.75" customHeight="1" x14ac:dyDescent="0.3">
      <c r="A1095" s="189" t="s">
        <v>695</v>
      </c>
      <c r="B1095" s="180"/>
      <c r="C1095" s="180">
        <f t="shared" si="352"/>
        <v>22701</v>
      </c>
      <c r="D1095" s="203">
        <v>0</v>
      </c>
      <c r="E1095" s="217">
        <f t="shared" si="353"/>
        <v>0</v>
      </c>
      <c r="F1095" s="180">
        <f>SUM(E1093:E1095)</f>
        <v>0</v>
      </c>
      <c r="G1095" s="180" t="e">
        <f>#REF!</f>
        <v>#REF!</v>
      </c>
      <c r="H1095" s="203">
        <v>0</v>
      </c>
      <c r="I1095" s="217" t="e">
        <f t="shared" si="354"/>
        <v>#REF!</v>
      </c>
      <c r="J1095" s="180" t="e">
        <f>SUM(I1093:I1095)</f>
        <v>#REF!</v>
      </c>
      <c r="K1095" s="299">
        <v>8092</v>
      </c>
      <c r="L1095" s="300">
        <v>0</v>
      </c>
      <c r="M1095" s="217">
        <f t="shared" si="355"/>
        <v>0</v>
      </c>
      <c r="N1095" s="180">
        <f>SUM(M1093:M1095)</f>
        <v>0</v>
      </c>
      <c r="O1095" s="299">
        <v>0</v>
      </c>
      <c r="P1095" s="203">
        <v>0</v>
      </c>
      <c r="Q1095" s="217">
        <f t="shared" si="356"/>
        <v>0</v>
      </c>
      <c r="R1095" s="180">
        <f>SUM(Q1093:Q1095)</f>
        <v>0</v>
      </c>
      <c r="S1095" s="304"/>
    </row>
    <row r="1096" spans="1:19" ht="15.75" customHeight="1" x14ac:dyDescent="0.3">
      <c r="A1096" s="179"/>
      <c r="B1096" s="180"/>
      <c r="C1096" s="180"/>
      <c r="D1096" s="180"/>
      <c r="E1096" s="180"/>
      <c r="F1096" s="180"/>
      <c r="G1096" s="180"/>
      <c r="H1096" s="180"/>
      <c r="I1096" s="180"/>
      <c r="J1096" s="180"/>
      <c r="K1096" s="180"/>
      <c r="L1096" s="180"/>
      <c r="M1096" s="180"/>
      <c r="N1096" s="180"/>
      <c r="O1096" s="180"/>
      <c r="P1096" s="180"/>
      <c r="Q1096" s="180"/>
      <c r="R1096" s="180"/>
      <c r="S1096" s="304"/>
    </row>
    <row r="1097" spans="1:19" ht="15.75" customHeight="1" x14ac:dyDescent="0.3">
      <c r="A1097" s="179"/>
      <c r="B1097" s="180"/>
      <c r="C1097" s="180"/>
      <c r="D1097" s="180"/>
      <c r="E1097" s="180"/>
      <c r="F1097" s="180"/>
      <c r="G1097" s="180"/>
      <c r="H1097" s="180"/>
      <c r="I1097" s="180"/>
      <c r="J1097" s="180"/>
      <c r="K1097" s="180"/>
      <c r="L1097" s="180"/>
      <c r="M1097" s="180"/>
      <c r="N1097" s="180"/>
      <c r="O1097" s="180"/>
      <c r="P1097" s="180"/>
      <c r="Q1097" s="180"/>
      <c r="R1097" s="180"/>
      <c r="S1097" s="304"/>
    </row>
    <row r="1098" spans="1:19" ht="16.5" customHeight="1" thickBot="1" x14ac:dyDescent="0.35">
      <c r="A1098" s="194" t="s">
        <v>641</v>
      </c>
      <c r="B1098" s="195"/>
      <c r="C1098" s="195">
        <f>SUM(C1084:C1095)</f>
        <v>-71397.109381515329</v>
      </c>
      <c r="D1098" s="195"/>
      <c r="E1098" s="301">
        <f>SUM(E1084:E1095)</f>
        <v>0</v>
      </c>
      <c r="F1098" s="195"/>
      <c r="G1098" s="195" t="e">
        <f>SUM(G1084:G1095)</f>
        <v>#REF!</v>
      </c>
      <c r="H1098" s="195" t="s">
        <v>633</v>
      </c>
      <c r="I1098" s="301" t="e">
        <f>SUM(I1084:I1095)</f>
        <v>#REF!</v>
      </c>
      <c r="J1098" s="195"/>
      <c r="K1098" s="195">
        <f>SUM(K1084:K1095)</f>
        <v>149913</v>
      </c>
      <c r="L1098" s="195" t="s">
        <v>633</v>
      </c>
      <c r="M1098" s="301">
        <f>SUM(M1084:M1095)</f>
        <v>0</v>
      </c>
      <c r="N1098" s="195"/>
      <c r="O1098" s="195">
        <f>(SUM(O1084:O1095))</f>
        <v>0</v>
      </c>
      <c r="P1098" s="195" t="s">
        <v>633</v>
      </c>
      <c r="Q1098" s="301">
        <f>SUM(Q1084:Q1095)</f>
        <v>0</v>
      </c>
      <c r="R1098" s="195"/>
      <c r="S1098" s="136"/>
    </row>
  </sheetData>
  <scenarios current="0">
    <scenario name="Jan" count="1" user="Windows User" comment="Created by Windows User on 4/11/2013">
      <inputCells r="B297" val="57771.3688407242" numFmtId="37"/>
    </scenario>
  </scenarios>
  <autoFilter ref="A31:R859" xr:uid="{00000000-0009-0000-0000-000003000000}"/>
  <mergeCells count="71">
    <mergeCell ref="B1032:L1032"/>
    <mergeCell ref="M1032:P1032"/>
    <mergeCell ref="B1006:D1006"/>
    <mergeCell ref="B1025:P1025"/>
    <mergeCell ref="B1026:P1026"/>
    <mergeCell ref="B1027:P1027"/>
    <mergeCell ref="B1029:P1029"/>
    <mergeCell ref="B1030:P1030"/>
    <mergeCell ref="B1005:P1005"/>
    <mergeCell ref="M951:O951"/>
    <mergeCell ref="AD951:AQ951"/>
    <mergeCell ref="AD952:AQ952"/>
    <mergeCell ref="B976:P976"/>
    <mergeCell ref="B977:F977"/>
    <mergeCell ref="G977:L977"/>
    <mergeCell ref="M977:O977"/>
    <mergeCell ref="P977:R977"/>
    <mergeCell ref="M978:O978"/>
    <mergeCell ref="B1000:P1000"/>
    <mergeCell ref="B1001:P1001"/>
    <mergeCell ref="B1002:P1002"/>
    <mergeCell ref="B1004:P1004"/>
    <mergeCell ref="B949:P949"/>
    <mergeCell ref="AD949:AQ949"/>
    <mergeCell ref="B950:F950"/>
    <mergeCell ref="G950:L950"/>
    <mergeCell ref="M950:O950"/>
    <mergeCell ref="P950:R950"/>
    <mergeCell ref="B948:P948"/>
    <mergeCell ref="AD948:AQ948"/>
    <mergeCell ref="AD914:AQ914"/>
    <mergeCell ref="AD916:AQ916"/>
    <mergeCell ref="B917:P917"/>
    <mergeCell ref="AD917:AQ917"/>
    <mergeCell ref="B918:P918"/>
    <mergeCell ref="B919:P919"/>
    <mergeCell ref="B921:P921"/>
    <mergeCell ref="B922:P922"/>
    <mergeCell ref="B946:P946"/>
    <mergeCell ref="B947:P947"/>
    <mergeCell ref="AD947:AQ947"/>
    <mergeCell ref="AD913:AQ913"/>
    <mergeCell ref="B864:P864"/>
    <mergeCell ref="B865:P865"/>
    <mergeCell ref="B866:P866"/>
    <mergeCell ref="B867:P867"/>
    <mergeCell ref="B891:P891"/>
    <mergeCell ref="B892:P892"/>
    <mergeCell ref="B893:P893"/>
    <mergeCell ref="B894:P894"/>
    <mergeCell ref="B895:P895"/>
    <mergeCell ref="B896:P896"/>
    <mergeCell ref="AD912:AQ912"/>
    <mergeCell ref="B863:P863"/>
    <mergeCell ref="A798:R798"/>
    <mergeCell ref="A799:R799"/>
    <mergeCell ref="A800:R800"/>
    <mergeCell ref="A801:R801"/>
    <mergeCell ref="A803:R803"/>
    <mergeCell ref="A839:R839"/>
    <mergeCell ref="A840:R840"/>
    <mergeCell ref="A841:R841"/>
    <mergeCell ref="A842:R842"/>
    <mergeCell ref="A844:R844"/>
    <mergeCell ref="B862:P862"/>
    <mergeCell ref="A8:R8"/>
    <mergeCell ref="A2:R2"/>
    <mergeCell ref="A3:R3"/>
    <mergeCell ref="A4:R4"/>
    <mergeCell ref="A5:R5"/>
    <mergeCell ref="A6:R6"/>
  </mergeCells>
  <conditionalFormatting sqref="P956:P969">
    <cfRule type="cellIs" dxfId="31" priority="3" operator="lessThan">
      <formula>0</formula>
    </cfRule>
    <cfRule type="cellIs" dxfId="30" priority="4" operator="greaterThan">
      <formula>0</formula>
    </cfRule>
  </conditionalFormatting>
  <conditionalFormatting sqref="P983:P994">
    <cfRule type="cellIs" dxfId="29" priority="1" operator="lessThan">
      <formula>0</formula>
    </cfRule>
    <cfRule type="cellIs" dxfId="28" priority="2" operator="greaterThan">
      <formula>0</formula>
    </cfRule>
  </conditionalFormatting>
  <printOptions horizontalCentered="1"/>
  <pageMargins left="0.25" right="0.25" top="0.25" bottom="0.25" header="0" footer="0"/>
  <pageSetup paperSize="17" scale="10" orientation="landscape" r:id="rId1"/>
  <headerFooter alignWithMargins="0"/>
  <rowBreaks count="5" manualBreakCount="5">
    <brk id="795" max="17" man="1"/>
    <brk id="835" max="17" man="1"/>
    <brk id="888" max="18" man="1"/>
    <brk id="916" max="18" man="1"/>
    <brk id="884" min="28" max="46"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321CD-A2FE-4329-AF0E-7D5956F1E1DC}">
  <sheetPr codeName="Sheet29">
    <pageSetUpPr fitToPage="1"/>
  </sheetPr>
  <dimension ref="A1:AX1138"/>
  <sheetViews>
    <sheetView topLeftCell="A7" zoomScale="90" zoomScaleNormal="90" workbookViewId="0">
      <selection activeCell="C35" sqref="C35"/>
    </sheetView>
  </sheetViews>
  <sheetFormatPr defaultColWidth="8.77734375" defaultRowHeight="15.6" x14ac:dyDescent="0.3"/>
  <cols>
    <col min="1" max="1" width="48.21875" style="4" customWidth="1"/>
    <col min="2" max="3" width="11.21875" style="4" customWidth="1"/>
    <col min="4" max="4" width="12.44140625" style="4" customWidth="1"/>
    <col min="5" max="5" width="14" style="4" customWidth="1"/>
    <col min="6" max="7" width="11.21875" style="4" customWidth="1"/>
    <col min="8" max="8" width="11.77734375" style="4" bestFit="1" customWidth="1"/>
    <col min="9" max="9" width="13.109375" style="4" customWidth="1"/>
    <col min="10" max="10" width="11.77734375" style="4" bestFit="1" customWidth="1"/>
    <col min="11" max="12" width="11.21875" style="4" bestFit="1" customWidth="1"/>
    <col min="13" max="13" width="15" style="4" customWidth="1"/>
    <col min="14" max="14" width="11.21875" style="4" bestFit="1" customWidth="1"/>
    <col min="15" max="15" width="11.77734375" style="4" bestFit="1" customWidth="1"/>
    <col min="16" max="16" width="11.21875" style="4" bestFit="1" customWidth="1"/>
    <col min="17" max="17" width="13" style="4" customWidth="1"/>
    <col min="18" max="18" width="14.21875" style="4" customWidth="1"/>
    <col min="19" max="19" width="15.21875" style="4" customWidth="1"/>
    <col min="20" max="20" width="11.21875" style="4" bestFit="1" customWidth="1"/>
    <col min="21" max="21" width="8.77734375" style="4"/>
    <col min="22" max="22" width="11.6640625" style="4" customWidth="1"/>
    <col min="23" max="23" width="13.6640625" style="4" customWidth="1"/>
    <col min="24" max="24" width="12.44140625" style="4" customWidth="1"/>
    <col min="25" max="25" width="13.109375" style="4" customWidth="1"/>
    <col min="26" max="26" width="12.33203125" style="4" bestFit="1" customWidth="1"/>
    <col min="27" max="28" width="8.77734375" style="4"/>
    <col min="29" max="29" width="13.6640625" style="4" customWidth="1"/>
    <col min="30" max="34" width="8.77734375" style="4"/>
    <col min="35" max="35" width="11.6640625" style="4" customWidth="1"/>
    <col min="36" max="48" width="8.77734375" style="4"/>
    <col min="49" max="49" width="21.33203125" style="4" customWidth="1"/>
    <col min="50" max="50" width="20.88671875" style="4" bestFit="1" customWidth="1"/>
    <col min="51" max="16384" width="8.77734375" style="4"/>
  </cols>
  <sheetData>
    <row r="1" spans="1:36" x14ac:dyDescent="0.3">
      <c r="A1" s="1"/>
      <c r="B1" s="1"/>
      <c r="C1" s="1"/>
      <c r="D1" s="1"/>
      <c r="E1" s="1"/>
      <c r="F1" s="1"/>
      <c r="G1" s="1"/>
      <c r="H1" s="1"/>
      <c r="I1" s="1"/>
      <c r="J1" s="1"/>
      <c r="K1" s="1"/>
      <c r="L1" s="1"/>
      <c r="M1" s="1"/>
      <c r="N1" s="1"/>
      <c r="O1" s="1"/>
      <c r="P1" s="1"/>
      <c r="Q1" s="2" t="s">
        <v>0</v>
      </c>
      <c r="R1" s="3">
        <f ca="1">NOW()</f>
        <v>44894.658168402777</v>
      </c>
    </row>
    <row r="2" spans="1:36" ht="19.5" customHeight="1" x14ac:dyDescent="0.35">
      <c r="A2" s="384" t="s">
        <v>1</v>
      </c>
      <c r="B2" s="384"/>
      <c r="C2" s="384"/>
      <c r="D2" s="384"/>
      <c r="E2" s="384"/>
      <c r="F2" s="384"/>
      <c r="G2" s="384"/>
      <c r="H2" s="384"/>
      <c r="I2" s="384"/>
      <c r="J2" s="384"/>
      <c r="K2" s="384"/>
      <c r="L2" s="384"/>
      <c r="M2" s="384"/>
      <c r="N2" s="384"/>
      <c r="O2" s="384"/>
      <c r="P2" s="384"/>
      <c r="Q2" s="384"/>
      <c r="R2" s="384"/>
    </row>
    <row r="3" spans="1:36" ht="19.5" customHeight="1" x14ac:dyDescent="0.35">
      <c r="A3" s="384" t="s">
        <v>2</v>
      </c>
      <c r="B3" s="384"/>
      <c r="C3" s="384"/>
      <c r="D3" s="384"/>
      <c r="E3" s="384"/>
      <c r="F3" s="384"/>
      <c r="G3" s="384"/>
      <c r="H3" s="384"/>
      <c r="I3" s="384"/>
      <c r="J3" s="384"/>
      <c r="K3" s="384"/>
      <c r="L3" s="384"/>
      <c r="M3" s="384"/>
      <c r="N3" s="384"/>
      <c r="O3" s="384"/>
      <c r="P3" s="384"/>
      <c r="Q3" s="384"/>
      <c r="R3" s="384"/>
    </row>
    <row r="4" spans="1:36" ht="19.5" customHeight="1" x14ac:dyDescent="0.35">
      <c r="A4" s="385" t="s">
        <v>3</v>
      </c>
      <c r="B4" s="385"/>
      <c r="C4" s="385"/>
      <c r="D4" s="385"/>
      <c r="E4" s="385"/>
      <c r="F4" s="385"/>
      <c r="G4" s="385"/>
      <c r="H4" s="385"/>
      <c r="I4" s="385"/>
      <c r="J4" s="385"/>
      <c r="K4" s="385"/>
      <c r="L4" s="385"/>
      <c r="M4" s="385"/>
      <c r="N4" s="385"/>
      <c r="O4" s="385"/>
      <c r="P4" s="385"/>
      <c r="Q4" s="385"/>
      <c r="R4" s="385"/>
    </row>
    <row r="5" spans="1:36" ht="19.5" customHeight="1" x14ac:dyDescent="0.35">
      <c r="A5" s="386">
        <v>2018</v>
      </c>
      <c r="B5" s="386"/>
      <c r="C5" s="386"/>
      <c r="D5" s="386"/>
      <c r="E5" s="386"/>
      <c r="F5" s="386"/>
      <c r="G5" s="386"/>
      <c r="H5" s="386"/>
      <c r="I5" s="386"/>
      <c r="J5" s="386"/>
      <c r="K5" s="386"/>
      <c r="L5" s="386"/>
      <c r="M5" s="386"/>
      <c r="N5" s="386"/>
      <c r="O5" s="386"/>
      <c r="P5" s="386"/>
      <c r="Q5" s="386"/>
      <c r="R5" s="386"/>
    </row>
    <row r="6" spans="1:36" ht="19.5" customHeight="1" x14ac:dyDescent="0.35">
      <c r="A6" s="385" t="s">
        <v>962</v>
      </c>
      <c r="B6" s="385"/>
      <c r="C6" s="385"/>
      <c r="D6" s="385"/>
      <c r="E6" s="385"/>
      <c r="F6" s="385"/>
      <c r="G6" s="385"/>
      <c r="H6" s="385"/>
      <c r="I6" s="385"/>
      <c r="J6" s="385"/>
      <c r="K6" s="385"/>
      <c r="L6" s="385"/>
      <c r="M6" s="385"/>
      <c r="N6" s="385"/>
      <c r="O6" s="385"/>
      <c r="P6" s="385"/>
      <c r="Q6" s="385"/>
      <c r="R6" s="385"/>
    </row>
    <row r="7" spans="1:36" ht="19.5" customHeight="1" x14ac:dyDescent="0.35">
      <c r="A7" s="5"/>
      <c r="B7" s="5"/>
      <c r="C7" s="5"/>
      <c r="D7" s="5"/>
      <c r="E7" s="5"/>
      <c r="F7" s="5"/>
      <c r="G7" s="5"/>
      <c r="H7" s="5"/>
      <c r="I7" s="5"/>
      <c r="J7" s="5"/>
      <c r="K7" s="5"/>
      <c r="L7" s="5"/>
      <c r="M7" s="5"/>
      <c r="N7" s="5"/>
      <c r="O7" s="5"/>
      <c r="P7" s="5"/>
      <c r="Q7" s="5"/>
      <c r="R7" s="5"/>
    </row>
    <row r="8" spans="1:36" ht="15.75" customHeight="1" x14ac:dyDescent="0.3">
      <c r="A8" s="383" t="s">
        <v>963</v>
      </c>
      <c r="B8" s="383"/>
      <c r="C8" s="383"/>
      <c r="D8" s="383"/>
      <c r="E8" s="383"/>
      <c r="F8" s="383"/>
      <c r="G8" s="383"/>
      <c r="H8" s="383"/>
      <c r="I8" s="383"/>
      <c r="J8" s="383"/>
      <c r="K8" s="383"/>
      <c r="L8" s="383"/>
      <c r="M8" s="383"/>
      <c r="N8" s="383"/>
      <c r="O8" s="383"/>
      <c r="P8" s="383"/>
      <c r="Q8" s="383"/>
      <c r="R8" s="383"/>
    </row>
    <row r="9" spans="1:36" ht="15.75" customHeight="1" x14ac:dyDescent="0.3">
      <c r="A9" s="7"/>
      <c r="B9" s="8"/>
      <c r="C9" s="8"/>
      <c r="D9" s="8"/>
      <c r="E9" s="8"/>
      <c r="F9" s="8"/>
      <c r="G9" s="8"/>
      <c r="H9" s="8"/>
      <c r="I9" s="8"/>
      <c r="J9" s="8"/>
      <c r="K9" s="8"/>
      <c r="L9" s="8"/>
      <c r="M9" s="8"/>
      <c r="N9" s="8"/>
      <c r="O9" s="8"/>
      <c r="P9" s="8"/>
      <c r="Q9" s="8"/>
      <c r="R9" s="8"/>
    </row>
    <row r="10" spans="1:36" ht="16.2" thickBot="1" x14ac:dyDescent="0.35">
      <c r="A10" s="1" t="s">
        <v>6</v>
      </c>
      <c r="B10" s="1">
        <v>31</v>
      </c>
      <c r="C10" s="1">
        <v>28</v>
      </c>
      <c r="D10" s="1">
        <v>31</v>
      </c>
      <c r="E10" s="1"/>
      <c r="F10" s="1">
        <v>30</v>
      </c>
      <c r="G10" s="1">
        <v>31</v>
      </c>
      <c r="H10" s="1">
        <v>30</v>
      </c>
      <c r="I10" s="1"/>
      <c r="J10" s="1">
        <v>31</v>
      </c>
      <c r="K10" s="1">
        <v>31</v>
      </c>
      <c r="L10" s="1">
        <v>30</v>
      </c>
      <c r="M10" s="1"/>
      <c r="N10" s="1">
        <v>31</v>
      </c>
      <c r="O10" s="1">
        <v>30</v>
      </c>
      <c r="P10" s="1">
        <v>31</v>
      </c>
      <c r="Q10" s="1"/>
      <c r="R10" s="1"/>
    </row>
    <row r="11" spans="1:36" ht="15.75" customHeight="1" thickBot="1" x14ac:dyDescent="0.35">
      <c r="A11" s="370" t="s">
        <v>7</v>
      </c>
      <c r="B11" s="371" t="s">
        <v>8</v>
      </c>
      <c r="C11" s="331" t="s">
        <v>9</v>
      </c>
      <c r="D11" s="331" t="s">
        <v>10</v>
      </c>
      <c r="E11" s="325" t="s">
        <v>11</v>
      </c>
      <c r="F11" s="331" t="s">
        <v>12</v>
      </c>
      <c r="G11" s="331" t="s">
        <v>13</v>
      </c>
      <c r="H11" s="331" t="s">
        <v>14</v>
      </c>
      <c r="I11" s="325" t="s">
        <v>15</v>
      </c>
      <c r="J11" s="331" t="s">
        <v>16</v>
      </c>
      <c r="K11" s="331" t="s">
        <v>17</v>
      </c>
      <c r="L11" s="331" t="s">
        <v>18</v>
      </c>
      <c r="M11" s="325" t="s">
        <v>19</v>
      </c>
      <c r="N11" s="331" t="s">
        <v>20</v>
      </c>
      <c r="O11" s="331" t="s">
        <v>21</v>
      </c>
      <c r="P11" s="331" t="s">
        <v>22</v>
      </c>
      <c r="Q11" s="325" t="s">
        <v>23</v>
      </c>
      <c r="R11" s="332" t="s">
        <v>24</v>
      </c>
    </row>
    <row r="12" spans="1:36" ht="16.5" customHeight="1" thickBot="1" x14ac:dyDescent="0.35">
      <c r="A12" s="14"/>
      <c r="B12" s="56"/>
      <c r="C12" s="56"/>
      <c r="D12" s="56"/>
      <c r="E12" s="16"/>
      <c r="F12" s="56"/>
      <c r="G12" s="56"/>
      <c r="H12" s="56"/>
      <c r="I12" s="16"/>
      <c r="J12" s="56"/>
      <c r="K12" s="56"/>
      <c r="L12" s="56"/>
      <c r="M12" s="16"/>
      <c r="N12" s="56"/>
      <c r="O12" s="56"/>
      <c r="P12" s="56"/>
      <c r="Q12" s="16"/>
      <c r="R12" s="16"/>
    </row>
    <row r="13" spans="1:36" ht="15.75" customHeight="1" x14ac:dyDescent="0.3">
      <c r="A13" s="17" t="s">
        <v>25</v>
      </c>
      <c r="B13" s="1">
        <f>+B898</f>
        <v>51650</v>
      </c>
      <c r="C13" s="1">
        <f>+C898</f>
        <v>68105</v>
      </c>
      <c r="D13" s="1">
        <f>+D898</f>
        <v>106974</v>
      </c>
      <c r="E13" s="18">
        <f>SUM(B13:D13)</f>
        <v>226729</v>
      </c>
      <c r="F13" s="1">
        <f>+F898</f>
        <v>159041</v>
      </c>
      <c r="G13" s="1">
        <f>+G898</f>
        <v>171968</v>
      </c>
      <c r="H13" s="1">
        <f>+H898</f>
        <v>194930</v>
      </c>
      <c r="I13" s="18">
        <f t="shared" ref="I13:I19" si="0">SUM(F13:H13)</f>
        <v>525939</v>
      </c>
      <c r="J13" s="1">
        <f>+J898</f>
        <v>198498</v>
      </c>
      <c r="K13" s="1">
        <f>+K898</f>
        <v>174238</v>
      </c>
      <c r="L13" s="1">
        <f>+L898</f>
        <v>144139</v>
      </c>
      <c r="M13" s="18">
        <f t="shared" ref="M13:M20" si="1">SUM(J13:L13)</f>
        <v>516875</v>
      </c>
      <c r="N13" s="1">
        <f>+N898</f>
        <v>75004</v>
      </c>
      <c r="O13" s="1">
        <f>+O898</f>
        <v>74106</v>
      </c>
      <c r="P13" s="1">
        <f>+P898</f>
        <v>60577</v>
      </c>
      <c r="Q13" s="19">
        <f t="shared" ref="Q13:Q19" si="2">SUM(N13:P13)</f>
        <v>209687</v>
      </c>
      <c r="R13" s="18">
        <f t="shared" ref="R13:R20" si="3">+E13+I13+M13+Q13</f>
        <v>1479230</v>
      </c>
      <c r="S13" s="4">
        <f>R13-13500</f>
        <v>1465730</v>
      </c>
      <c r="T13" s="4">
        <f>+R13-S13</f>
        <v>13500</v>
      </c>
      <c r="V13" s="21"/>
      <c r="W13" s="21"/>
      <c r="X13" s="21"/>
      <c r="Z13" s="21"/>
      <c r="AA13" s="21"/>
      <c r="AB13" s="21"/>
      <c r="AD13" s="21"/>
      <c r="AE13" s="21"/>
      <c r="AF13" s="21"/>
      <c r="AH13" s="21"/>
      <c r="AI13" s="21"/>
      <c r="AJ13" s="21"/>
    </row>
    <row r="14" spans="1:36" ht="15.75" customHeight="1" x14ac:dyDescent="0.3">
      <c r="A14" s="17" t="s">
        <v>27</v>
      </c>
      <c r="B14" s="1">
        <f>B25+B60+B129+B311+B481+B531+B576+B640+B650+B686+B737+B747+B781+B830</f>
        <v>739</v>
      </c>
      <c r="C14" s="1">
        <f>C25+C60+C129+C311+C481+C531+C576+C640+C650+C686+C737+C747+C781+C830</f>
        <v>1283</v>
      </c>
      <c r="D14" s="1">
        <f>D25+D60+D129+D311+D481+D531+D576+D640+D650+D686+D737+D747+D781+D830</f>
        <v>2185</v>
      </c>
      <c r="E14" s="18">
        <f t="shared" ref="E14:E19" si="4">SUM(B14:D14)</f>
        <v>4207</v>
      </c>
      <c r="F14" s="1">
        <f>F25+F60+F129+F311+F481+F531+F576+F640+F650+F686+F737+F747+F781+F830</f>
        <v>2959</v>
      </c>
      <c r="G14" s="1">
        <f>G25+G60+G129+G311+G481+G531+G576+G640+G650+G686+G737+G747+G781+G830</f>
        <v>3425</v>
      </c>
      <c r="H14" s="1">
        <f>H25+H60+H129+H311+H481+H531+H576+H640+H650+H686+H737+H747+H781+H830</f>
        <v>3464</v>
      </c>
      <c r="I14" s="18">
        <f t="shared" si="0"/>
        <v>9848</v>
      </c>
      <c r="J14" s="1">
        <f>J25+J60+J129+J311+J481+J531+J576+J640+J650+J686+J737+J747+J781+J830</f>
        <v>3382</v>
      </c>
      <c r="K14" s="1">
        <f>K25+K60+K129+K311+K481+K531+K576+K640+K650+K686+K737+K747+K781+K830</f>
        <v>2663</v>
      </c>
      <c r="L14" s="1">
        <f>L25+L60+L129+L311+L481+L531+L576+L640+L650+L686+L737+L747+L781+L830</f>
        <v>2559</v>
      </c>
      <c r="M14" s="18">
        <f t="shared" si="1"/>
        <v>8604</v>
      </c>
      <c r="N14" s="1">
        <f>N25+N60+N129+N311+N481+N531+N576+N640+N650+N686+N737+N747+N781+N830</f>
        <v>2343</v>
      </c>
      <c r="O14" s="1">
        <f>O25+O60+O129+O311+O481+O531+O576+O640+O650+O686+O737+O747+O781+O830</f>
        <v>1892</v>
      </c>
      <c r="P14" s="1">
        <f>P25+P60+P129+P311+P481+P531+P576+P640+P650+P686+P737+P747+P781+P830</f>
        <v>1423</v>
      </c>
      <c r="Q14" s="19">
        <f t="shared" si="2"/>
        <v>5658</v>
      </c>
      <c r="R14" s="18">
        <f t="shared" si="3"/>
        <v>28317</v>
      </c>
    </row>
    <row r="15" spans="1:36" ht="15.75" customHeight="1" x14ac:dyDescent="0.3">
      <c r="A15" s="17" t="s">
        <v>29</v>
      </c>
      <c r="B15" s="1">
        <f>B306</f>
        <v>0</v>
      </c>
      <c r="C15" s="1">
        <f>C306</f>
        <v>1245</v>
      </c>
      <c r="D15" s="1">
        <f>D306</f>
        <v>1376</v>
      </c>
      <c r="E15" s="18">
        <f t="shared" si="4"/>
        <v>2621</v>
      </c>
      <c r="F15" s="1">
        <f>F306</f>
        <v>2992</v>
      </c>
      <c r="G15" s="1">
        <f>G306</f>
        <v>4839</v>
      </c>
      <c r="H15" s="1">
        <f>H306</f>
        <v>3560</v>
      </c>
      <c r="I15" s="18">
        <f t="shared" si="0"/>
        <v>11391</v>
      </c>
      <c r="J15" s="1">
        <f>J306</f>
        <v>3753</v>
      </c>
      <c r="K15" s="1">
        <f>K306</f>
        <v>2162</v>
      </c>
      <c r="L15" s="1">
        <f>L306</f>
        <v>3758</v>
      </c>
      <c r="M15" s="18">
        <f t="shared" si="1"/>
        <v>9673</v>
      </c>
      <c r="N15" s="1">
        <f>N306</f>
        <v>742</v>
      </c>
      <c r="O15" s="1">
        <f>O306</f>
        <v>4368</v>
      </c>
      <c r="P15" s="1">
        <f>P306</f>
        <v>1362</v>
      </c>
      <c r="Q15" s="19">
        <f t="shared" si="2"/>
        <v>6472</v>
      </c>
      <c r="R15" s="18">
        <f t="shared" si="3"/>
        <v>30157</v>
      </c>
    </row>
    <row r="16" spans="1:36" ht="15.75" customHeight="1" x14ac:dyDescent="0.3">
      <c r="A16" s="22" t="s">
        <v>30</v>
      </c>
      <c r="B16" s="1">
        <f>+B307</f>
        <v>0</v>
      </c>
      <c r="C16" s="1">
        <f>+C307</f>
        <v>0</v>
      </c>
      <c r="D16" s="1">
        <f>+D307</f>
        <v>0</v>
      </c>
      <c r="E16" s="18">
        <f t="shared" si="4"/>
        <v>0</v>
      </c>
      <c r="F16" s="1">
        <f>+F307</f>
        <v>0</v>
      </c>
      <c r="G16" s="1">
        <f>+G307</f>
        <v>0</v>
      </c>
      <c r="H16" s="1">
        <f>+H307</f>
        <v>-2984</v>
      </c>
      <c r="I16" s="18">
        <f t="shared" si="0"/>
        <v>-2984</v>
      </c>
      <c r="J16" s="1">
        <f>+J307</f>
        <v>-8893</v>
      </c>
      <c r="K16" s="1">
        <f>+K307</f>
        <v>6441</v>
      </c>
      <c r="L16" s="1">
        <f>+L307</f>
        <v>4836</v>
      </c>
      <c r="M16" s="18">
        <f t="shared" si="1"/>
        <v>2384</v>
      </c>
      <c r="N16" s="1">
        <f>+N307</f>
        <v>2905</v>
      </c>
      <c r="O16" s="1">
        <f>+O307</f>
        <v>10265</v>
      </c>
      <c r="P16" s="1">
        <f>+P307</f>
        <v>6</v>
      </c>
      <c r="Q16" s="19">
        <f t="shared" si="2"/>
        <v>13176</v>
      </c>
      <c r="R16" s="18">
        <f t="shared" si="3"/>
        <v>12576</v>
      </c>
    </row>
    <row r="17" spans="1:20" ht="15.75" customHeight="1" x14ac:dyDescent="0.3">
      <c r="A17" s="23" t="s">
        <v>31</v>
      </c>
      <c r="B17" s="1">
        <f>B310</f>
        <v>42045</v>
      </c>
      <c r="C17" s="1">
        <f>C310</f>
        <v>51021</v>
      </c>
      <c r="D17" s="1">
        <f>D310</f>
        <v>46045</v>
      </c>
      <c r="E17" s="18">
        <f t="shared" si="4"/>
        <v>139111</v>
      </c>
      <c r="F17" s="1">
        <f>F310</f>
        <v>10279</v>
      </c>
      <c r="G17" s="1">
        <f>G310</f>
        <v>4059</v>
      </c>
      <c r="H17" s="1">
        <f>H310</f>
        <v>0</v>
      </c>
      <c r="I17" s="18">
        <f t="shared" si="0"/>
        <v>14338</v>
      </c>
      <c r="J17" s="1">
        <f>J310</f>
        <v>0</v>
      </c>
      <c r="K17" s="1">
        <f>K310</f>
        <v>0</v>
      </c>
      <c r="L17" s="1">
        <f>L310</f>
        <v>17967</v>
      </c>
      <c r="M17" s="18">
        <f t="shared" si="1"/>
        <v>17967</v>
      </c>
      <c r="N17" s="1">
        <f>N310</f>
        <v>94204</v>
      </c>
      <c r="O17" s="1">
        <f>O310</f>
        <v>80702</v>
      </c>
      <c r="P17" s="1">
        <f>P310</f>
        <v>79076</v>
      </c>
      <c r="Q17" s="19">
        <f t="shared" si="2"/>
        <v>253982</v>
      </c>
      <c r="R17" s="18">
        <f t="shared" si="3"/>
        <v>425398</v>
      </c>
    </row>
    <row r="18" spans="1:20" ht="15.75" customHeight="1" x14ac:dyDescent="0.3">
      <c r="A18" s="23" t="s">
        <v>32</v>
      </c>
      <c r="B18" s="1">
        <f>B322</f>
        <v>-4721</v>
      </c>
      <c r="C18" s="1">
        <f>C322</f>
        <v>-14510</v>
      </c>
      <c r="D18" s="1">
        <f>D322</f>
        <v>-18985</v>
      </c>
      <c r="E18" s="18">
        <f t="shared" si="4"/>
        <v>-38216</v>
      </c>
      <c r="F18" s="1">
        <f>F322</f>
        <v>-6618</v>
      </c>
      <c r="G18" s="1">
        <f>G322</f>
        <v>-4883</v>
      </c>
      <c r="H18" s="1">
        <f>H322</f>
        <v>-106895</v>
      </c>
      <c r="I18" s="18">
        <f t="shared" si="0"/>
        <v>-118396</v>
      </c>
      <c r="J18" s="1">
        <f>J322</f>
        <v>-118035</v>
      </c>
      <c r="K18" s="1">
        <f>K322</f>
        <v>-157144</v>
      </c>
      <c r="L18" s="1">
        <f>L322</f>
        <v>-7983</v>
      </c>
      <c r="M18" s="18">
        <f t="shared" si="1"/>
        <v>-283162</v>
      </c>
      <c r="N18" s="1">
        <f>N322</f>
        <v>0</v>
      </c>
      <c r="O18" s="1">
        <f>O322</f>
        <v>-109</v>
      </c>
      <c r="P18" s="1">
        <f>P322</f>
        <v>0</v>
      </c>
      <c r="Q18" s="19">
        <f t="shared" si="2"/>
        <v>-109</v>
      </c>
      <c r="R18" s="18">
        <f t="shared" si="3"/>
        <v>-439883</v>
      </c>
    </row>
    <row r="19" spans="1:20" ht="16.5" customHeight="1" thickBot="1" x14ac:dyDescent="0.35">
      <c r="A19" s="24" t="s">
        <v>33</v>
      </c>
      <c r="B19" s="25">
        <f>(B29)</f>
        <v>89713</v>
      </c>
      <c r="C19" s="25">
        <f>(C29)</f>
        <v>107144</v>
      </c>
      <c r="D19" s="25">
        <f>(D29)</f>
        <v>137595</v>
      </c>
      <c r="E19" s="26">
        <f t="shared" si="4"/>
        <v>334452</v>
      </c>
      <c r="F19" s="25">
        <f>(F29)</f>
        <v>168653</v>
      </c>
      <c r="G19" s="25">
        <f>(G29)</f>
        <v>179408</v>
      </c>
      <c r="H19" s="25">
        <f>(H29)</f>
        <v>92075</v>
      </c>
      <c r="I19" s="26">
        <f t="shared" si="0"/>
        <v>440136</v>
      </c>
      <c r="J19" s="25">
        <f>(J29)</f>
        <v>78705</v>
      </c>
      <c r="K19" s="25">
        <f>(K29)</f>
        <v>28360</v>
      </c>
      <c r="L19" s="25">
        <f>(L29)</f>
        <v>165276</v>
      </c>
      <c r="M19" s="26">
        <f t="shared" si="1"/>
        <v>272341</v>
      </c>
      <c r="N19" s="25">
        <f>(N29)</f>
        <v>175198</v>
      </c>
      <c r="O19" s="25">
        <f>(O29)</f>
        <v>171224</v>
      </c>
      <c r="P19" s="25">
        <f>(P29)</f>
        <v>142444</v>
      </c>
      <c r="Q19" s="27">
        <f t="shared" si="2"/>
        <v>488866</v>
      </c>
      <c r="R19" s="26">
        <f t="shared" si="3"/>
        <v>1535795</v>
      </c>
    </row>
    <row r="20" spans="1:20" ht="16.5" customHeight="1" thickBot="1" x14ac:dyDescent="0.35">
      <c r="A20" s="24" t="s">
        <v>34</v>
      </c>
      <c r="B20" s="25">
        <v>90163</v>
      </c>
      <c r="C20" s="25">
        <v>109197</v>
      </c>
      <c r="D20" s="25">
        <v>138939</v>
      </c>
      <c r="E20" s="26">
        <f>SUM(B20:D20)</f>
        <v>338299</v>
      </c>
      <c r="F20" s="25">
        <v>168400</v>
      </c>
      <c r="G20" s="25">
        <v>178154</v>
      </c>
      <c r="H20" s="25">
        <v>87984</v>
      </c>
      <c r="I20" s="26">
        <f>SUM(F20:H20)</f>
        <v>434538</v>
      </c>
      <c r="J20" s="25">
        <v>71609</v>
      </c>
      <c r="K20" s="25">
        <v>21609</v>
      </c>
      <c r="L20" s="25">
        <v>164209</v>
      </c>
      <c r="M20" s="26">
        <f t="shared" si="1"/>
        <v>257427</v>
      </c>
      <c r="N20" s="25">
        <v>175602</v>
      </c>
      <c r="O20" s="25">
        <v>173266</v>
      </c>
      <c r="P20" s="25">
        <v>143241</v>
      </c>
      <c r="Q20" s="27">
        <f>SUM(N20:P20)</f>
        <v>492109</v>
      </c>
      <c r="R20" s="26">
        <f t="shared" si="3"/>
        <v>1522373</v>
      </c>
    </row>
    <row r="21" spans="1:20" ht="15.75" customHeight="1" x14ac:dyDescent="0.3">
      <c r="A21" s="1"/>
      <c r="B21" s="1"/>
      <c r="C21" s="1"/>
      <c r="D21" s="1"/>
      <c r="E21" s="1"/>
      <c r="F21" s="1"/>
      <c r="G21" s="1"/>
      <c r="H21" s="1"/>
      <c r="I21" s="1"/>
      <c r="J21" s="1"/>
      <c r="K21" s="1"/>
      <c r="L21" s="1"/>
      <c r="M21" s="1"/>
      <c r="N21" s="1"/>
      <c r="O21" s="1"/>
      <c r="P21" s="1"/>
      <c r="Q21" s="1"/>
      <c r="R21" s="1"/>
    </row>
    <row r="22" spans="1:20" ht="15.75" customHeight="1" thickBot="1" x14ac:dyDescent="0.35">
      <c r="A22" s="1"/>
      <c r="B22" s="1"/>
      <c r="C22" s="1"/>
      <c r="D22" s="1"/>
      <c r="E22" s="1"/>
      <c r="F22" s="29" t="s">
        <v>7</v>
      </c>
      <c r="G22" s="29" t="s">
        <v>7</v>
      </c>
      <c r="H22" s="1"/>
      <c r="I22" s="1"/>
      <c r="J22" s="1"/>
      <c r="K22" s="1"/>
      <c r="L22" s="1"/>
      <c r="M22" s="1"/>
      <c r="N22" s="29" t="s">
        <v>7</v>
      </c>
      <c r="O22" s="29" t="s">
        <v>7</v>
      </c>
      <c r="P22" s="29" t="s">
        <v>7</v>
      </c>
      <c r="Q22" s="29"/>
      <c r="R22" s="30" t="s">
        <v>7</v>
      </c>
    </row>
    <row r="23" spans="1:20" ht="16.5" customHeight="1" thickBot="1" x14ac:dyDescent="0.35">
      <c r="A23" s="31" t="s">
        <v>35</v>
      </c>
      <c r="B23" s="323" t="s">
        <v>36</v>
      </c>
      <c r="C23" s="324" t="s">
        <v>9</v>
      </c>
      <c r="D23" s="324" t="s">
        <v>10</v>
      </c>
      <c r="E23" s="325" t="s">
        <v>11</v>
      </c>
      <c r="F23" s="324" t="s">
        <v>12</v>
      </c>
      <c r="G23" s="324" t="s">
        <v>13</v>
      </c>
      <c r="H23" s="324" t="s">
        <v>14</v>
      </c>
      <c r="I23" s="34" t="s">
        <v>15</v>
      </c>
      <c r="J23" s="324" t="s">
        <v>16</v>
      </c>
      <c r="K23" s="324" t="s">
        <v>17</v>
      </c>
      <c r="L23" s="324" t="s">
        <v>18</v>
      </c>
      <c r="M23" s="34" t="s">
        <v>19</v>
      </c>
      <c r="N23" s="324" t="s">
        <v>20</v>
      </c>
      <c r="O23" s="324" t="s">
        <v>21</v>
      </c>
      <c r="P23" s="324" t="s">
        <v>22</v>
      </c>
      <c r="Q23" s="34" t="s">
        <v>23</v>
      </c>
      <c r="R23" s="326" t="s">
        <v>24</v>
      </c>
    </row>
    <row r="24" spans="1:20" ht="16.5" customHeight="1" thickBot="1" x14ac:dyDescent="0.35">
      <c r="A24" s="36"/>
      <c r="B24" s="37"/>
      <c r="C24" s="37"/>
      <c r="D24" s="37"/>
      <c r="E24" s="38"/>
      <c r="F24" s="37"/>
      <c r="G24" s="37"/>
      <c r="H24" s="37"/>
      <c r="I24" s="38"/>
      <c r="J24" s="37"/>
      <c r="K24" s="37"/>
      <c r="L24" s="37"/>
      <c r="M24" s="38"/>
      <c r="N24" s="37"/>
      <c r="O24" s="37"/>
      <c r="P24" s="37"/>
      <c r="Q24" s="38"/>
      <c r="R24" s="39"/>
    </row>
    <row r="25" spans="1:20" ht="16.5" customHeight="1" thickBot="1" x14ac:dyDescent="0.35">
      <c r="A25" s="40" t="s">
        <v>37</v>
      </c>
      <c r="B25" s="25">
        <v>97</v>
      </c>
      <c r="C25" s="25">
        <v>148</v>
      </c>
      <c r="D25" s="25">
        <v>274</v>
      </c>
      <c r="E25" s="327">
        <f>SUM(B25:D25)</f>
        <v>519</v>
      </c>
      <c r="F25" s="25">
        <v>367</v>
      </c>
      <c r="G25" s="25">
        <v>425</v>
      </c>
      <c r="H25" s="25">
        <v>417</v>
      </c>
      <c r="I25" s="327">
        <f>SUM(F25:H25)</f>
        <v>1209</v>
      </c>
      <c r="J25" s="25">
        <v>416</v>
      </c>
      <c r="K25" s="25">
        <v>334</v>
      </c>
      <c r="L25" s="25">
        <v>316</v>
      </c>
      <c r="M25" s="327">
        <f>SUM(J25:L25)</f>
        <v>1066</v>
      </c>
      <c r="N25" s="25">
        <v>285</v>
      </c>
      <c r="O25" s="25">
        <v>235</v>
      </c>
      <c r="P25" s="25">
        <v>186</v>
      </c>
      <c r="Q25" s="327">
        <f>SUM(N25:P25)</f>
        <v>706</v>
      </c>
      <c r="R25" s="26">
        <f>+E25+I25+M25+Q25</f>
        <v>3500</v>
      </c>
    </row>
    <row r="26" spans="1:20" ht="17.25" customHeight="1" thickBot="1" x14ac:dyDescent="0.35">
      <c r="A26" s="42"/>
      <c r="B26" s="37"/>
      <c r="C26" s="37"/>
      <c r="D26" s="37"/>
      <c r="E26" s="43"/>
      <c r="F26" s="37"/>
      <c r="G26" s="37"/>
      <c r="H26" s="37"/>
      <c r="I26" s="43"/>
      <c r="J26" s="37"/>
      <c r="K26" s="37"/>
      <c r="L26" s="37"/>
      <c r="M26" s="43"/>
      <c r="N26" s="37"/>
      <c r="O26" s="37"/>
      <c r="P26" s="37"/>
      <c r="Q26" s="43"/>
      <c r="R26" s="44"/>
    </row>
    <row r="27" spans="1:20" ht="15.75" customHeight="1" x14ac:dyDescent="0.3">
      <c r="A27" s="17" t="s">
        <v>38</v>
      </c>
      <c r="B27" s="1">
        <f>B25</f>
        <v>97</v>
      </c>
      <c r="C27" s="1">
        <f>C25</f>
        <v>148</v>
      </c>
      <c r="D27" s="1">
        <f>D25</f>
        <v>274</v>
      </c>
      <c r="E27" s="327">
        <f>SUM(B27:D27)</f>
        <v>519</v>
      </c>
      <c r="F27" s="1">
        <f>F25</f>
        <v>367</v>
      </c>
      <c r="G27" s="1">
        <f>G25</f>
        <v>425</v>
      </c>
      <c r="H27" s="1">
        <f>H25</f>
        <v>417</v>
      </c>
      <c r="I27" s="327">
        <f>SUM(F27:H27)</f>
        <v>1209</v>
      </c>
      <c r="J27" s="1">
        <f>J25</f>
        <v>416</v>
      </c>
      <c r="K27" s="1">
        <f>K25</f>
        <v>334</v>
      </c>
      <c r="L27" s="1">
        <f>L25</f>
        <v>316</v>
      </c>
      <c r="M27" s="327">
        <f>SUM(J27:L27)</f>
        <v>1066</v>
      </c>
      <c r="N27" s="1">
        <f>N25</f>
        <v>285</v>
      </c>
      <c r="O27" s="1">
        <f>O25</f>
        <v>235</v>
      </c>
      <c r="P27" s="1">
        <f>P25</f>
        <v>186</v>
      </c>
      <c r="Q27" s="328">
        <f>SUM(N27:P27)</f>
        <v>706</v>
      </c>
      <c r="R27" s="327">
        <f>+E27+I27+M27+Q27</f>
        <v>3500</v>
      </c>
    </row>
    <row r="28" spans="1:20" ht="15.75" customHeight="1" x14ac:dyDescent="0.3">
      <c r="A28" s="17" t="s">
        <v>39</v>
      </c>
      <c r="B28" s="1">
        <f>(B27/B10)/1.983</f>
        <v>1.5779285214647079</v>
      </c>
      <c r="C28" s="1">
        <f>(C27/C10)/1.983</f>
        <v>2.6655140119587926</v>
      </c>
      <c r="D28" s="1">
        <f>(D27/D10)/1.983</f>
        <v>4.457241390529175</v>
      </c>
      <c r="E28" s="18"/>
      <c r="F28" s="1">
        <f>(F27/F10)/1.983</f>
        <v>6.1691040511010247</v>
      </c>
      <c r="G28" s="1">
        <f>(G27/G10)/1.983</f>
        <v>6.9136043466237203</v>
      </c>
      <c r="H28" s="1">
        <f>(H27/H10)/1.983</f>
        <v>7.0095814422592033</v>
      </c>
      <c r="I28" s="18"/>
      <c r="J28" s="1">
        <f>(J27/J10)/1.983</f>
        <v>6.7671986075187478</v>
      </c>
      <c r="K28" s="1">
        <f>(K27/K10)/1.983</f>
        <v>5.433279651228994</v>
      </c>
      <c r="L28" s="1">
        <f>(L27/L10)/1.983</f>
        <v>5.3118171121196838</v>
      </c>
      <c r="M28" s="18"/>
      <c r="N28" s="1">
        <f>(N27/N10)/1.983</f>
        <v>4.6361817383241419</v>
      </c>
      <c r="O28" s="1">
        <f>(O27/O10)/1.983</f>
        <v>3.9502437384434357</v>
      </c>
      <c r="P28" s="1">
        <f>(P27/P10)/1.983</f>
        <v>3.02571860816944</v>
      </c>
      <c r="Q28" s="19"/>
      <c r="R28" s="18"/>
    </row>
    <row r="29" spans="1:20" ht="15.75" customHeight="1" x14ac:dyDescent="0.3">
      <c r="A29" s="17" t="s">
        <v>40</v>
      </c>
      <c r="B29" s="1">
        <f>B27+B64</f>
        <v>89713</v>
      </c>
      <c r="C29" s="1">
        <f>C27+C64</f>
        <v>107144</v>
      </c>
      <c r="D29" s="1">
        <f>D27+D64</f>
        <v>137595</v>
      </c>
      <c r="E29" s="18">
        <f>SUM(B29:D29)</f>
        <v>334452</v>
      </c>
      <c r="F29" s="1">
        <f>F27+F64</f>
        <v>168653</v>
      </c>
      <c r="G29" s="1">
        <f>G27+G64</f>
        <v>179408</v>
      </c>
      <c r="H29" s="1">
        <f>H27+H64</f>
        <v>92075</v>
      </c>
      <c r="I29" s="18">
        <f>SUM(F29:H29)</f>
        <v>440136</v>
      </c>
      <c r="J29" s="1">
        <f>J27+J64</f>
        <v>78705</v>
      </c>
      <c r="K29" s="1">
        <f>K27+K64</f>
        <v>28360</v>
      </c>
      <c r="L29" s="1">
        <f>L27+L64</f>
        <v>165276</v>
      </c>
      <c r="M29" s="18">
        <f>SUM(J29:L29)</f>
        <v>272341</v>
      </c>
      <c r="N29" s="1">
        <f>N27+N64</f>
        <v>175198</v>
      </c>
      <c r="O29" s="1">
        <f>O27+O64</f>
        <v>171224</v>
      </c>
      <c r="P29" s="1">
        <f>P27+P64</f>
        <v>142444</v>
      </c>
      <c r="Q29" s="19">
        <f>SUM(N29:P29)</f>
        <v>488866</v>
      </c>
      <c r="R29" s="18">
        <f>+E29+I29+M29+Q29</f>
        <v>1535795</v>
      </c>
    </row>
    <row r="30" spans="1:20" s="50" customFormat="1" ht="16.5" customHeight="1" thickBot="1" x14ac:dyDescent="0.35">
      <c r="A30" s="46" t="s">
        <v>41</v>
      </c>
      <c r="B30" s="47">
        <f>(B29/B10)/1.983</f>
        <v>1459.388674702715</v>
      </c>
      <c r="C30" s="47">
        <f>(C29/C10)/1.983</f>
        <v>1929.6880628196814</v>
      </c>
      <c r="D30" s="47">
        <f>(D29/D10)/1.983</f>
        <v>2238.2997413498611</v>
      </c>
      <c r="E30" s="48"/>
      <c r="F30" s="47">
        <f>(F29/F10)/1.983</f>
        <v>2834.980669020003</v>
      </c>
      <c r="G30" s="47">
        <f>(G29/G10)/1.983</f>
        <v>2918.4845379272197</v>
      </c>
      <c r="H30" s="47">
        <f>(H29/H10)/1.983</f>
        <v>1547.7391158177843</v>
      </c>
      <c r="I30" s="48"/>
      <c r="J30" s="47">
        <f>(J29/J10)/1.983</f>
        <v>1280.3181884729881</v>
      </c>
      <c r="K30" s="47">
        <f>(K29/K10)/1.983</f>
        <v>461.34075122411463</v>
      </c>
      <c r="L30" s="47">
        <f>(L29/L10)/1.983</f>
        <v>2778.2148260211798</v>
      </c>
      <c r="M30" s="48"/>
      <c r="N30" s="47">
        <f>(N29/N10)/1.983</f>
        <v>2849.9991866347827</v>
      </c>
      <c r="O30" s="47">
        <f>(O29/O10)/1.983</f>
        <v>2878.1980164733563</v>
      </c>
      <c r="P30" s="47">
        <f>(P29/P10)/1.983</f>
        <v>2317.1799001187514</v>
      </c>
      <c r="Q30" s="49"/>
      <c r="R30" s="48"/>
      <c r="T30" s="51" t="s">
        <v>42</v>
      </c>
    </row>
    <row r="31" spans="1:20" ht="6" customHeight="1" x14ac:dyDescent="0.3">
      <c r="A31" s="28"/>
      <c r="B31" s="1"/>
      <c r="C31" s="1"/>
      <c r="D31" s="1"/>
      <c r="E31" s="1"/>
      <c r="F31" s="1"/>
      <c r="G31" s="1"/>
      <c r="H31" s="1"/>
      <c r="I31" s="1"/>
      <c r="J31" s="1"/>
      <c r="K31" s="1"/>
      <c r="L31" s="1"/>
      <c r="M31" s="1"/>
      <c r="N31" s="1"/>
      <c r="O31" s="1"/>
      <c r="P31" s="1"/>
      <c r="Q31" s="1"/>
      <c r="R31" s="28"/>
      <c r="T31" s="52" t="s">
        <v>43</v>
      </c>
    </row>
    <row r="32" spans="1:20" ht="15.75" customHeight="1" thickBot="1" x14ac:dyDescent="0.35">
      <c r="A32" s="28"/>
      <c r="B32" s="1"/>
      <c r="C32" s="1"/>
      <c r="D32" s="1"/>
      <c r="E32" s="1"/>
      <c r="F32" s="1"/>
      <c r="G32" s="1"/>
      <c r="H32" s="1"/>
      <c r="I32" s="1"/>
      <c r="J32" s="1"/>
      <c r="K32" s="1"/>
      <c r="L32" s="1"/>
      <c r="M32" s="1"/>
      <c r="N32" s="1"/>
      <c r="O32" s="1"/>
      <c r="P32" s="1"/>
      <c r="Q32" s="1"/>
      <c r="R32" s="28"/>
    </row>
    <row r="33" spans="1:18" ht="15.75" customHeight="1" thickBot="1" x14ac:dyDescent="0.35">
      <c r="A33" s="329" t="s">
        <v>44</v>
      </c>
      <c r="B33" s="330" t="s">
        <v>36</v>
      </c>
      <c r="C33" s="331" t="s">
        <v>9</v>
      </c>
      <c r="D33" s="331" t="s">
        <v>10</v>
      </c>
      <c r="E33" s="325" t="s">
        <v>11</v>
      </c>
      <c r="F33" s="331" t="s">
        <v>12</v>
      </c>
      <c r="G33" s="331" t="s">
        <v>13</v>
      </c>
      <c r="H33" s="331" t="s">
        <v>14</v>
      </c>
      <c r="I33" s="325" t="s">
        <v>15</v>
      </c>
      <c r="J33" s="331" t="s">
        <v>16</v>
      </c>
      <c r="K33" s="331" t="s">
        <v>17</v>
      </c>
      <c r="L33" s="331" t="s">
        <v>18</v>
      </c>
      <c r="M33" s="325" t="s">
        <v>19</v>
      </c>
      <c r="N33" s="331" t="s">
        <v>20</v>
      </c>
      <c r="O33" s="331" t="s">
        <v>21</v>
      </c>
      <c r="P33" s="331" t="s">
        <v>22</v>
      </c>
      <c r="Q33" s="325" t="s">
        <v>23</v>
      </c>
      <c r="R33" s="332" t="s">
        <v>24</v>
      </c>
    </row>
    <row r="34" spans="1:18" ht="16.5" customHeight="1" thickBot="1" x14ac:dyDescent="0.35">
      <c r="A34" s="43"/>
      <c r="B34" s="55"/>
      <c r="C34" s="56"/>
      <c r="D34" s="56"/>
      <c r="E34" s="16"/>
      <c r="F34" s="56"/>
      <c r="G34" s="56"/>
      <c r="H34" s="56"/>
      <c r="I34" s="16"/>
      <c r="J34" s="56"/>
      <c r="K34" s="56"/>
      <c r="L34" s="56"/>
      <c r="M34" s="16"/>
      <c r="N34" s="56"/>
      <c r="O34" s="56"/>
      <c r="P34" s="56"/>
      <c r="Q34" s="16"/>
      <c r="R34" s="57"/>
    </row>
    <row r="35" spans="1:18" ht="15.75" customHeight="1" x14ac:dyDescent="0.3">
      <c r="A35" s="333" t="s">
        <v>45</v>
      </c>
      <c r="B35" s="30"/>
      <c r="C35" s="30"/>
      <c r="D35" s="30"/>
      <c r="E35" s="59" t="s">
        <v>7</v>
      </c>
      <c r="F35" s="30"/>
      <c r="G35" s="30"/>
      <c r="H35" s="30"/>
      <c r="I35" s="59" t="s">
        <v>7</v>
      </c>
      <c r="J35" s="30"/>
      <c r="K35" s="30"/>
      <c r="L35" s="30"/>
      <c r="M35" s="59" t="s">
        <v>7</v>
      </c>
      <c r="N35" s="30"/>
      <c r="O35" s="30"/>
      <c r="P35" s="30"/>
      <c r="Q35" s="59" t="s">
        <v>7</v>
      </c>
      <c r="R35" s="59" t="s">
        <v>7</v>
      </c>
    </row>
    <row r="36" spans="1:18" ht="15.75" customHeight="1" x14ac:dyDescent="0.3">
      <c r="A36" s="22" t="s">
        <v>46</v>
      </c>
      <c r="B36" s="30" t="s">
        <v>7</v>
      </c>
      <c r="C36" s="60"/>
      <c r="D36" s="60"/>
      <c r="E36" s="59" t="s">
        <v>7</v>
      </c>
      <c r="F36" s="60"/>
      <c r="G36" s="60"/>
      <c r="H36" s="60"/>
      <c r="I36" s="59" t="s">
        <v>7</v>
      </c>
      <c r="J36" s="60"/>
      <c r="K36" s="60"/>
      <c r="L36" s="60"/>
      <c r="M36" s="59" t="s">
        <v>7</v>
      </c>
      <c r="N36" s="60"/>
      <c r="O36" s="60"/>
      <c r="P36" s="60"/>
      <c r="Q36" s="59" t="s">
        <v>7</v>
      </c>
      <c r="R36" s="59" t="s">
        <v>7</v>
      </c>
    </row>
    <row r="37" spans="1:18" ht="15.75" customHeight="1" x14ac:dyDescent="0.3">
      <c r="A37" s="22" t="s">
        <v>47</v>
      </c>
      <c r="B37" s="30"/>
      <c r="C37" s="30"/>
      <c r="D37" s="30"/>
      <c r="E37" s="59" t="s">
        <v>7</v>
      </c>
      <c r="F37" s="30"/>
      <c r="G37" s="30"/>
      <c r="H37" s="30"/>
      <c r="I37" s="59" t="s">
        <v>7</v>
      </c>
      <c r="J37" s="30"/>
      <c r="K37" s="30"/>
      <c r="L37" s="30"/>
      <c r="M37" s="59" t="s">
        <v>7</v>
      </c>
      <c r="N37" s="30"/>
      <c r="O37" s="30"/>
      <c r="P37" s="30"/>
      <c r="Q37" s="59" t="s">
        <v>7</v>
      </c>
      <c r="R37" s="59" t="s">
        <v>7</v>
      </c>
    </row>
    <row r="38" spans="1:18" ht="15.75" customHeight="1" x14ac:dyDescent="0.3">
      <c r="A38" s="61" t="s">
        <v>48</v>
      </c>
      <c r="B38" s="1"/>
      <c r="C38" s="1"/>
      <c r="D38" s="1"/>
      <c r="E38" s="59">
        <f>SUM(B38:D38)</f>
        <v>0</v>
      </c>
      <c r="F38" s="1"/>
      <c r="G38" s="1"/>
      <c r="H38" s="1"/>
      <c r="I38" s="59">
        <f>SUM(F38:H38)</f>
        <v>0</v>
      </c>
      <c r="J38" s="1"/>
      <c r="K38" s="1"/>
      <c r="L38" s="1"/>
      <c r="M38" s="59">
        <f>SUM(J38:L38)</f>
        <v>0</v>
      </c>
      <c r="N38" s="1"/>
      <c r="O38" s="1"/>
      <c r="P38" s="1"/>
      <c r="Q38" s="59">
        <f>SUM(N38:P38)</f>
        <v>0</v>
      </c>
      <c r="R38" s="59">
        <f>+E38+I38+M38+Q38</f>
        <v>0</v>
      </c>
    </row>
    <row r="39" spans="1:18" ht="15.75" customHeight="1" x14ac:dyDescent="0.3">
      <c r="A39" s="22" t="s">
        <v>49</v>
      </c>
      <c r="B39" s="30"/>
      <c r="C39" s="30"/>
      <c r="D39" s="30"/>
      <c r="E39" s="59" t="s">
        <v>50</v>
      </c>
      <c r="F39" s="30"/>
      <c r="G39" s="30"/>
      <c r="H39" s="30"/>
      <c r="I39" s="59" t="s">
        <v>50</v>
      </c>
      <c r="J39" s="30"/>
      <c r="K39" s="30"/>
      <c r="L39" s="30"/>
      <c r="M39" s="59" t="s">
        <v>50</v>
      </c>
      <c r="N39" s="30"/>
      <c r="O39" s="30"/>
      <c r="P39" s="30"/>
      <c r="Q39" s="59" t="s">
        <v>50</v>
      </c>
      <c r="R39" s="59" t="s">
        <v>50</v>
      </c>
    </row>
    <row r="40" spans="1:18" ht="15.75" customHeight="1" thickBot="1" x14ac:dyDescent="0.35">
      <c r="A40" s="22" t="s">
        <v>51</v>
      </c>
      <c r="B40" s="60"/>
      <c r="C40" s="60"/>
      <c r="D40" s="60"/>
      <c r="E40" s="59" t="s">
        <v>7</v>
      </c>
      <c r="F40" s="60"/>
      <c r="G40" s="60"/>
      <c r="H40" s="60"/>
      <c r="I40" s="59" t="s">
        <v>7</v>
      </c>
      <c r="J40" s="60"/>
      <c r="K40" s="60"/>
      <c r="L40" s="60"/>
      <c r="M40" s="59" t="s">
        <v>7</v>
      </c>
      <c r="N40" s="60"/>
      <c r="O40" s="60"/>
      <c r="P40" s="60"/>
      <c r="Q40" s="59" t="s">
        <v>7</v>
      </c>
      <c r="R40" s="59" t="s">
        <v>7</v>
      </c>
    </row>
    <row r="41" spans="1:18" ht="16.5" customHeight="1" thickBot="1" x14ac:dyDescent="0.35">
      <c r="A41" s="62" t="s">
        <v>52</v>
      </c>
      <c r="B41" s="63">
        <f>SUM(B35:B40)</f>
        <v>0</v>
      </c>
      <c r="C41" s="63">
        <f>SUM(C35:C40)</f>
        <v>0</v>
      </c>
      <c r="D41" s="63">
        <f>SUM(D35:D40)</f>
        <v>0</v>
      </c>
      <c r="E41" s="64">
        <f>SUM(B41:D41)</f>
        <v>0</v>
      </c>
      <c r="F41" s="63">
        <f>SUM(F35:F40)</f>
        <v>0</v>
      </c>
      <c r="G41" s="63">
        <f>SUM(G35:G40)</f>
        <v>0</v>
      </c>
      <c r="H41" s="63">
        <f>SUM(H35:H40)</f>
        <v>0</v>
      </c>
      <c r="I41" s="64">
        <f>SUM(F41:H41)</f>
        <v>0</v>
      </c>
      <c r="J41" s="63">
        <f>SUM(J35:J40)</f>
        <v>0</v>
      </c>
      <c r="K41" s="63">
        <f>SUM(K35:K40)</f>
        <v>0</v>
      </c>
      <c r="L41" s="63">
        <f>SUM(L35:L40)</f>
        <v>0</v>
      </c>
      <c r="M41" s="64">
        <f>SUM(J41:L41)</f>
        <v>0</v>
      </c>
      <c r="N41" s="63">
        <f>SUM(N35:N40)</f>
        <v>0</v>
      </c>
      <c r="O41" s="63">
        <f>SUM(O35:O40)</f>
        <v>0</v>
      </c>
      <c r="P41" s="63">
        <f>SUM(P35:P40)</f>
        <v>0</v>
      </c>
      <c r="Q41" s="64">
        <f>SUM(N41:P41)</f>
        <v>0</v>
      </c>
      <c r="R41" s="64">
        <f>+E41+I41+M41+Q41</f>
        <v>0</v>
      </c>
    </row>
    <row r="42" spans="1:18" ht="15.75" customHeight="1" x14ac:dyDescent="0.3">
      <c r="A42" s="22" t="s">
        <v>53</v>
      </c>
      <c r="B42" s="60"/>
      <c r="C42" s="60"/>
      <c r="D42" s="60"/>
      <c r="E42" s="59" t="s">
        <v>7</v>
      </c>
      <c r="F42" s="60"/>
      <c r="G42" s="60"/>
      <c r="H42" s="60"/>
      <c r="I42" s="59" t="s">
        <v>7</v>
      </c>
      <c r="J42" s="60"/>
      <c r="K42" s="60"/>
      <c r="L42" s="60"/>
      <c r="M42" s="59" t="s">
        <v>7</v>
      </c>
      <c r="N42" s="60"/>
      <c r="O42" s="60"/>
      <c r="P42" s="60"/>
      <c r="Q42" s="59" t="s">
        <v>7</v>
      </c>
      <c r="R42" s="334" t="s">
        <v>7</v>
      </c>
    </row>
    <row r="43" spans="1:18" ht="15.75" customHeight="1" x14ac:dyDescent="0.3">
      <c r="A43" s="22" t="s">
        <v>54</v>
      </c>
      <c r="B43" s="60"/>
      <c r="C43" s="60"/>
      <c r="D43" s="60"/>
      <c r="E43" s="59"/>
      <c r="F43" s="60"/>
      <c r="G43" s="60"/>
      <c r="H43" s="60"/>
      <c r="I43" s="59"/>
      <c r="J43" s="60"/>
      <c r="K43" s="60"/>
      <c r="L43" s="60"/>
      <c r="M43" s="59"/>
      <c r="N43" s="60"/>
      <c r="O43" s="60"/>
      <c r="P43" s="60"/>
      <c r="Q43" s="59"/>
      <c r="R43" s="59"/>
    </row>
    <row r="44" spans="1:18" ht="15.75" customHeight="1" x14ac:dyDescent="0.3">
      <c r="A44" s="22" t="s">
        <v>55</v>
      </c>
      <c r="B44" s="60"/>
      <c r="C44" s="60"/>
      <c r="D44" s="60"/>
      <c r="E44" s="59" t="s">
        <v>7</v>
      </c>
      <c r="F44" s="60"/>
      <c r="G44" s="60"/>
      <c r="H44" s="60"/>
      <c r="I44" s="59" t="s">
        <v>7</v>
      </c>
      <c r="J44" s="60"/>
      <c r="K44" s="60"/>
      <c r="L44" s="60"/>
      <c r="M44" s="59" t="s">
        <v>7</v>
      </c>
      <c r="N44" s="60"/>
      <c r="O44" s="60"/>
      <c r="P44" s="60"/>
      <c r="Q44" s="59" t="s">
        <v>7</v>
      </c>
      <c r="R44" s="59" t="s">
        <v>7</v>
      </c>
    </row>
    <row r="45" spans="1:18" ht="15.75" customHeight="1" thickBot="1" x14ac:dyDescent="0.35">
      <c r="A45" s="22" t="s">
        <v>56</v>
      </c>
      <c r="B45" s="60"/>
      <c r="C45" s="60"/>
      <c r="D45" s="60"/>
      <c r="E45" s="59" t="s">
        <v>7</v>
      </c>
      <c r="F45" s="60"/>
      <c r="G45" s="60"/>
      <c r="H45" s="60"/>
      <c r="I45" s="59" t="s">
        <v>7</v>
      </c>
      <c r="J45" s="60"/>
      <c r="K45" s="60"/>
      <c r="L45" s="60"/>
      <c r="M45" s="59" t="s">
        <v>7</v>
      </c>
      <c r="N45" s="60"/>
      <c r="O45" s="60"/>
      <c r="P45" s="60"/>
      <c r="Q45" s="59" t="s">
        <v>7</v>
      </c>
      <c r="R45" s="59" t="s">
        <v>7</v>
      </c>
    </row>
    <row r="46" spans="1:18" ht="16.5" customHeight="1" thickBot="1" x14ac:dyDescent="0.35">
      <c r="A46" s="62" t="s">
        <v>57</v>
      </c>
      <c r="B46" s="63">
        <f>SUM(B42:B45)</f>
        <v>0</v>
      </c>
      <c r="C46" s="63">
        <f>SUM(C42:C45)</f>
        <v>0</v>
      </c>
      <c r="D46" s="63">
        <f>SUM(D42:D45)</f>
        <v>0</v>
      </c>
      <c r="E46" s="64">
        <f>SUM(B46:D46)</f>
        <v>0</v>
      </c>
      <c r="F46" s="63">
        <f>SUM(F42:F45)</f>
        <v>0</v>
      </c>
      <c r="G46" s="63">
        <f>SUM(G42:G45)</f>
        <v>0</v>
      </c>
      <c r="H46" s="63">
        <f>SUM(H42:H45)</f>
        <v>0</v>
      </c>
      <c r="I46" s="64">
        <f>SUM(F46:H46)</f>
        <v>0</v>
      </c>
      <c r="J46" s="63">
        <f>SUM(J42:J45)</f>
        <v>0</v>
      </c>
      <c r="K46" s="63">
        <f>SUM(K42:K45)</f>
        <v>0</v>
      </c>
      <c r="L46" s="63">
        <f>SUM(L42:L45)</f>
        <v>0</v>
      </c>
      <c r="M46" s="64">
        <f>SUM(J46:L46)</f>
        <v>0</v>
      </c>
      <c r="N46" s="63">
        <f>SUM(N42:N45)</f>
        <v>0</v>
      </c>
      <c r="O46" s="63">
        <f>SUM(O42:O45)</f>
        <v>0</v>
      </c>
      <c r="P46" s="63">
        <f>SUM(P42:P45)</f>
        <v>0</v>
      </c>
      <c r="Q46" s="64">
        <f>SUM(N46:P46)</f>
        <v>0</v>
      </c>
      <c r="R46" s="64">
        <f>+E46+I46+M46+Q46</f>
        <v>0</v>
      </c>
    </row>
    <row r="47" spans="1:18" ht="15.75" customHeight="1" x14ac:dyDescent="0.3">
      <c r="A47" s="22" t="s">
        <v>58</v>
      </c>
      <c r="B47" s="60"/>
      <c r="C47" s="60"/>
      <c r="D47" s="60"/>
      <c r="E47" s="59" t="s">
        <v>7</v>
      </c>
      <c r="F47" s="60"/>
      <c r="G47" s="60"/>
      <c r="H47" s="60"/>
      <c r="I47" s="59" t="s">
        <v>7</v>
      </c>
      <c r="J47" s="60"/>
      <c r="K47" s="60"/>
      <c r="L47" s="60"/>
      <c r="M47" s="59" t="s">
        <v>7</v>
      </c>
      <c r="N47" s="60"/>
      <c r="O47" s="60"/>
      <c r="P47" s="60"/>
      <c r="Q47" s="59" t="s">
        <v>7</v>
      </c>
      <c r="R47" s="59" t="s">
        <v>7</v>
      </c>
    </row>
    <row r="48" spans="1:18" ht="15.75" customHeight="1" x14ac:dyDescent="0.3">
      <c r="A48" s="22" t="s">
        <v>59</v>
      </c>
      <c r="B48" s="60"/>
      <c r="C48" s="60"/>
      <c r="D48" s="60"/>
      <c r="E48" s="59" t="s">
        <v>7</v>
      </c>
      <c r="F48" s="60"/>
      <c r="G48" s="60"/>
      <c r="H48" s="60"/>
      <c r="I48" s="59" t="s">
        <v>7</v>
      </c>
      <c r="J48" s="60"/>
      <c r="K48" s="60"/>
      <c r="L48" s="60"/>
      <c r="M48" s="59" t="s">
        <v>7</v>
      </c>
      <c r="N48" s="60"/>
      <c r="O48" s="60"/>
      <c r="P48" s="60"/>
      <c r="Q48" s="59" t="s">
        <v>7</v>
      </c>
      <c r="R48" s="59" t="s">
        <v>7</v>
      </c>
    </row>
    <row r="49" spans="1:18" ht="15.75" customHeight="1" thickBot="1" x14ac:dyDescent="0.35">
      <c r="A49" s="22" t="s">
        <v>60</v>
      </c>
      <c r="B49" s="60"/>
      <c r="C49" s="60"/>
      <c r="D49" s="60"/>
      <c r="E49" s="59"/>
      <c r="F49" s="60"/>
      <c r="G49" s="60"/>
      <c r="H49" s="60"/>
      <c r="I49" s="59"/>
      <c r="J49" s="60"/>
      <c r="K49" s="60"/>
      <c r="L49" s="60"/>
      <c r="M49" s="59"/>
      <c r="N49" s="60"/>
      <c r="O49" s="60"/>
      <c r="P49" s="60"/>
      <c r="Q49" s="59"/>
      <c r="R49" s="59"/>
    </row>
    <row r="50" spans="1:18" ht="16.5" customHeight="1" thickBot="1" x14ac:dyDescent="0.35">
      <c r="A50" s="62" t="s">
        <v>61</v>
      </c>
      <c r="B50" s="63">
        <f>SUM(B47:B49)</f>
        <v>0</v>
      </c>
      <c r="C50" s="63">
        <f>SUM(C47:C49)</f>
        <v>0</v>
      </c>
      <c r="D50" s="63">
        <f>SUM(D47:D49)</f>
        <v>0</v>
      </c>
      <c r="E50" s="64">
        <f>SUM(B50:D50)</f>
        <v>0</v>
      </c>
      <c r="F50" s="63">
        <f>SUM(F47:F49)</f>
        <v>0</v>
      </c>
      <c r="G50" s="63">
        <f>SUM(G47:G49)</f>
        <v>0</v>
      </c>
      <c r="H50" s="63">
        <f>SUM(H47:H49)</f>
        <v>0</v>
      </c>
      <c r="I50" s="64">
        <f>SUM(F50:H50)</f>
        <v>0</v>
      </c>
      <c r="J50" s="63">
        <f>SUM(J47:J49)</f>
        <v>0</v>
      </c>
      <c r="K50" s="63">
        <f>SUM(K47:K49)</f>
        <v>0</v>
      </c>
      <c r="L50" s="63">
        <f>SUM(L47:L49)</f>
        <v>0</v>
      </c>
      <c r="M50" s="64">
        <f>SUM(J50:L50)</f>
        <v>0</v>
      </c>
      <c r="N50" s="63">
        <f>SUM(N47:N49)</f>
        <v>0</v>
      </c>
      <c r="O50" s="63">
        <f>SUM(O47:O49)</f>
        <v>0</v>
      </c>
      <c r="P50" s="63">
        <f>SUM(P47:P49)</f>
        <v>0</v>
      </c>
      <c r="Q50" s="64">
        <f>SUM(N50:P50)</f>
        <v>0</v>
      </c>
      <c r="R50" s="64">
        <f>+E50+I50+M50+Q50</f>
        <v>0</v>
      </c>
    </row>
    <row r="51" spans="1:18" ht="15.75" customHeight="1" x14ac:dyDescent="0.3">
      <c r="A51" s="22" t="s">
        <v>62</v>
      </c>
      <c r="B51" s="60"/>
      <c r="C51" s="60"/>
      <c r="D51" s="60"/>
      <c r="E51" s="59" t="s">
        <v>7</v>
      </c>
      <c r="F51" s="60"/>
      <c r="G51" s="60"/>
      <c r="H51" s="60"/>
      <c r="I51" s="59" t="s">
        <v>7</v>
      </c>
      <c r="J51" s="60"/>
      <c r="K51" s="60"/>
      <c r="L51" s="60"/>
      <c r="M51" s="59" t="s">
        <v>7</v>
      </c>
      <c r="N51" s="60"/>
      <c r="O51" s="60"/>
      <c r="P51" s="60"/>
      <c r="Q51" s="59" t="s">
        <v>7</v>
      </c>
      <c r="R51" s="59" t="s">
        <v>7</v>
      </c>
    </row>
    <row r="52" spans="1:18" ht="15.75" customHeight="1" x14ac:dyDescent="0.3">
      <c r="A52" s="22" t="s">
        <v>63</v>
      </c>
      <c r="B52" s="60"/>
      <c r="C52" s="60"/>
      <c r="D52" s="60"/>
      <c r="E52" s="59" t="s">
        <v>7</v>
      </c>
      <c r="F52" s="60"/>
      <c r="G52" s="60"/>
      <c r="H52" s="60"/>
      <c r="I52" s="59" t="s">
        <v>7</v>
      </c>
      <c r="J52" s="60"/>
      <c r="K52" s="60"/>
      <c r="L52" s="60"/>
      <c r="M52" s="59" t="s">
        <v>7</v>
      </c>
      <c r="N52" s="60"/>
      <c r="O52" s="60"/>
      <c r="P52" s="60"/>
      <c r="Q52" s="59" t="s">
        <v>7</v>
      </c>
      <c r="R52" s="59" t="s">
        <v>7</v>
      </c>
    </row>
    <row r="53" spans="1:18" ht="15.75" customHeight="1" x14ac:dyDescent="0.3">
      <c r="A53" s="22" t="s">
        <v>64</v>
      </c>
      <c r="B53" s="60"/>
      <c r="C53" s="60"/>
      <c r="D53" s="60"/>
      <c r="E53" s="59" t="s">
        <v>7</v>
      </c>
      <c r="F53" s="60"/>
      <c r="G53" s="60"/>
      <c r="H53" s="60"/>
      <c r="I53" s="59" t="s">
        <v>7</v>
      </c>
      <c r="J53" s="60"/>
      <c r="K53" s="60"/>
      <c r="L53" s="60"/>
      <c r="M53" s="59" t="s">
        <v>7</v>
      </c>
      <c r="N53" s="60"/>
      <c r="O53" s="60"/>
      <c r="P53" s="60"/>
      <c r="Q53" s="59" t="s">
        <v>7</v>
      </c>
      <c r="R53" s="59" t="s">
        <v>7</v>
      </c>
    </row>
    <row r="54" spans="1:18" ht="15.75" customHeight="1" x14ac:dyDescent="0.3">
      <c r="A54" s="61" t="s">
        <v>65</v>
      </c>
      <c r="B54" s="1"/>
      <c r="C54" s="1"/>
      <c r="D54" s="1"/>
      <c r="E54" s="59">
        <f>SUM(B54:D54)</f>
        <v>0</v>
      </c>
      <c r="F54" s="1"/>
      <c r="G54" s="1"/>
      <c r="H54" s="1"/>
      <c r="I54" s="59">
        <f>SUM(F54:H54)</f>
        <v>0</v>
      </c>
      <c r="J54" s="1"/>
      <c r="K54" s="1"/>
      <c r="L54" s="1"/>
      <c r="M54" s="59">
        <f>SUM(J54:L54)</f>
        <v>0</v>
      </c>
      <c r="N54" s="1"/>
      <c r="O54" s="1"/>
      <c r="P54" s="1"/>
      <c r="Q54" s="59">
        <f>SUM(N54:P54)</f>
        <v>0</v>
      </c>
      <c r="R54" s="59">
        <f>+E54+I54+M54+Q54</f>
        <v>0</v>
      </c>
    </row>
    <row r="55" spans="1:18" ht="15.75" customHeight="1" x14ac:dyDescent="0.3">
      <c r="A55" s="22" t="s">
        <v>66</v>
      </c>
      <c r="B55" s="60"/>
      <c r="C55" s="60"/>
      <c r="D55" s="60"/>
      <c r="E55" s="59" t="s">
        <v>7</v>
      </c>
      <c r="F55" s="60"/>
      <c r="G55" s="60"/>
      <c r="H55" s="60"/>
      <c r="I55" s="59" t="s">
        <v>7</v>
      </c>
      <c r="J55" s="60"/>
      <c r="K55" s="60"/>
      <c r="L55" s="60"/>
      <c r="M55" s="59" t="s">
        <v>7</v>
      </c>
      <c r="N55" s="60"/>
      <c r="O55" s="60"/>
      <c r="P55" s="60"/>
      <c r="Q55" s="59" t="s">
        <v>7</v>
      </c>
      <c r="R55" s="59" t="s">
        <v>7</v>
      </c>
    </row>
    <row r="56" spans="1:18" ht="15.75" customHeight="1" thickBot="1" x14ac:dyDescent="0.35">
      <c r="A56" s="22" t="s">
        <v>67</v>
      </c>
      <c r="B56" s="60"/>
      <c r="C56" s="60"/>
      <c r="D56" s="60"/>
      <c r="E56" s="59" t="s">
        <v>7</v>
      </c>
      <c r="F56" s="60"/>
      <c r="G56" s="60"/>
      <c r="H56" s="60"/>
      <c r="I56" s="59" t="s">
        <v>7</v>
      </c>
      <c r="J56" s="60"/>
      <c r="K56" s="60"/>
      <c r="L56" s="60"/>
      <c r="M56" s="59" t="s">
        <v>7</v>
      </c>
      <c r="N56" s="60"/>
      <c r="O56" s="60"/>
      <c r="P56" s="60"/>
      <c r="Q56" s="59" t="s">
        <v>7</v>
      </c>
      <c r="R56" s="59" t="s">
        <v>7</v>
      </c>
    </row>
    <row r="57" spans="1:18" ht="16.5" customHeight="1" thickBot="1" x14ac:dyDescent="0.35">
      <c r="A57" s="62" t="s">
        <v>68</v>
      </c>
      <c r="B57" s="63">
        <f>SUM(B55:B56)</f>
        <v>0</v>
      </c>
      <c r="C57" s="63">
        <f>SUM(C55:C56)</f>
        <v>0</v>
      </c>
      <c r="D57" s="63">
        <f>SUM(D55:D56)</f>
        <v>0</v>
      </c>
      <c r="E57" s="334">
        <f>SUM(B57:D57)</f>
        <v>0</v>
      </c>
      <c r="F57" s="63">
        <f>SUM(F55:F56)</f>
        <v>0</v>
      </c>
      <c r="G57" s="63">
        <f>SUM(G55:G56)</f>
        <v>0</v>
      </c>
      <c r="H57" s="63">
        <f>SUM(H55:H56)</f>
        <v>0</v>
      </c>
      <c r="I57" s="334">
        <f>SUM(F57:H57)</f>
        <v>0</v>
      </c>
      <c r="J57" s="63">
        <f>SUM(J55:J56)</f>
        <v>0</v>
      </c>
      <c r="K57" s="63">
        <f>SUM(K55:K56)</f>
        <v>0</v>
      </c>
      <c r="L57" s="63">
        <f>SUM(L55:L56)</f>
        <v>0</v>
      </c>
      <c r="M57" s="334">
        <f>SUM(J57:L57)</f>
        <v>0</v>
      </c>
      <c r="N57" s="63">
        <f>SUM(N55:N56)</f>
        <v>0</v>
      </c>
      <c r="O57" s="63">
        <f>SUM(O55:O56)</f>
        <v>0</v>
      </c>
      <c r="P57" s="63">
        <f>SUM(P55:P56)</f>
        <v>0</v>
      </c>
      <c r="Q57" s="334">
        <f>SUM(N57:P57)</f>
        <v>0</v>
      </c>
      <c r="R57" s="64">
        <f>+E57+I57+M57+Q57</f>
        <v>0</v>
      </c>
    </row>
    <row r="58" spans="1:18" ht="16.5" customHeight="1" thickBot="1" x14ac:dyDescent="0.35">
      <c r="A58" s="62" t="s">
        <v>69</v>
      </c>
      <c r="B58" s="63">
        <f>SUM(B51:B56)</f>
        <v>0</v>
      </c>
      <c r="C58" s="63">
        <f>SUM(C51:C56)</f>
        <v>0</v>
      </c>
      <c r="D58" s="63">
        <f>SUM(D51:D56)</f>
        <v>0</v>
      </c>
      <c r="E58" s="334">
        <f>SUM(B58:D58)</f>
        <v>0</v>
      </c>
      <c r="F58" s="63">
        <f>SUM(F51:F56)</f>
        <v>0</v>
      </c>
      <c r="G58" s="63">
        <f>SUM(G51:G56)</f>
        <v>0</v>
      </c>
      <c r="H58" s="63">
        <f>SUM(H51:H56)</f>
        <v>0</v>
      </c>
      <c r="I58" s="334">
        <f>SUM(F58:H58)</f>
        <v>0</v>
      </c>
      <c r="J58" s="63">
        <f>SUM(J51:J56)</f>
        <v>0</v>
      </c>
      <c r="K58" s="63">
        <f>SUM(K51:K56)</f>
        <v>0</v>
      </c>
      <c r="L58" s="63">
        <f>SUM(L51:L56)</f>
        <v>0</v>
      </c>
      <c r="M58" s="334">
        <f>SUM(J58:L58)</f>
        <v>0</v>
      </c>
      <c r="N58" s="63">
        <f>SUM(N51:N56)</f>
        <v>0</v>
      </c>
      <c r="O58" s="63">
        <f>SUM(O51:O56)</f>
        <v>0</v>
      </c>
      <c r="P58" s="63">
        <f>SUM(P51:P56)</f>
        <v>0</v>
      </c>
      <c r="Q58" s="334">
        <f>SUM(N58:P58)</f>
        <v>0</v>
      </c>
      <c r="R58" s="64">
        <f>+E58+I58+M58+Q58</f>
        <v>0</v>
      </c>
    </row>
    <row r="59" spans="1:18" ht="16.5" customHeight="1" thickBot="1" x14ac:dyDescent="0.35">
      <c r="A59" s="62" t="s">
        <v>70</v>
      </c>
      <c r="B59" s="63">
        <f>+B41+B46+B50+B58</f>
        <v>0</v>
      </c>
      <c r="C59" s="63">
        <f>+C41+C46+C50+C58</f>
        <v>0</v>
      </c>
      <c r="D59" s="63">
        <f>+D41+D46+D50+D58</f>
        <v>0</v>
      </c>
      <c r="E59" s="64">
        <f>SUM(B59:D59)</f>
        <v>0</v>
      </c>
      <c r="F59" s="63">
        <f>+F41+F46+F50+F58</f>
        <v>0</v>
      </c>
      <c r="G59" s="63">
        <f>+G41+G46+G50+G58</f>
        <v>0</v>
      </c>
      <c r="H59" s="63">
        <f>+H41+H46+H50+H58</f>
        <v>0</v>
      </c>
      <c r="I59" s="64">
        <f>SUM(F59:H59)</f>
        <v>0</v>
      </c>
      <c r="J59" s="63">
        <f>+J41+J46+J50+J58</f>
        <v>0</v>
      </c>
      <c r="K59" s="63">
        <f>+K41+K46+K50+K58</f>
        <v>0</v>
      </c>
      <c r="L59" s="63">
        <f>+L41+L46+L50+L58</f>
        <v>0</v>
      </c>
      <c r="M59" s="64">
        <f>SUM(J59:L59)</f>
        <v>0</v>
      </c>
      <c r="N59" s="63">
        <f>+N41+N46+N50+N58</f>
        <v>0</v>
      </c>
      <c r="O59" s="63">
        <f>+O41+O46+O50+O58</f>
        <v>0</v>
      </c>
      <c r="P59" s="63">
        <f>+P41+P46+P50+P58</f>
        <v>0</v>
      </c>
      <c r="Q59" s="64">
        <f>SUM(N59:P59)</f>
        <v>0</v>
      </c>
      <c r="R59" s="64">
        <f>+E59+I59+M59+Q59</f>
        <v>0</v>
      </c>
    </row>
    <row r="60" spans="1:18" ht="16.5" customHeight="1" thickBot="1" x14ac:dyDescent="0.35">
      <c r="A60" s="66" t="s">
        <v>37</v>
      </c>
      <c r="B60" s="67">
        <v>96</v>
      </c>
      <c r="C60" s="67">
        <v>145</v>
      </c>
      <c r="D60" s="67">
        <v>261</v>
      </c>
      <c r="E60" s="43">
        <f>SUM(B60:D60)</f>
        <v>502</v>
      </c>
      <c r="F60" s="67">
        <v>350</v>
      </c>
      <c r="G60" s="67">
        <v>402</v>
      </c>
      <c r="H60" s="67">
        <v>396</v>
      </c>
      <c r="I60" s="43">
        <f>SUM(F60:H60)</f>
        <v>1148</v>
      </c>
      <c r="J60" s="67">
        <v>394</v>
      </c>
      <c r="K60" s="67">
        <v>318</v>
      </c>
      <c r="L60" s="67">
        <v>301</v>
      </c>
      <c r="M60" s="43">
        <f>SUM(J60:L60)</f>
        <v>1013</v>
      </c>
      <c r="N60" s="67">
        <v>272</v>
      </c>
      <c r="O60" s="67">
        <v>226</v>
      </c>
      <c r="P60" s="67">
        <v>179</v>
      </c>
      <c r="Q60" s="43">
        <f>SUM(N60:P60)</f>
        <v>677</v>
      </c>
      <c r="R60" s="43">
        <f>+E60+I60+M60+Q60</f>
        <v>3340</v>
      </c>
    </row>
    <row r="61" spans="1:18" ht="16.5" customHeight="1" thickBot="1" x14ac:dyDescent="0.35">
      <c r="A61" s="42"/>
      <c r="B61" s="37"/>
      <c r="C61" s="37"/>
      <c r="D61" s="37"/>
      <c r="E61" s="26"/>
      <c r="F61" s="37"/>
      <c r="G61" s="37"/>
      <c r="H61" s="37"/>
      <c r="I61" s="26"/>
      <c r="J61" s="37"/>
      <c r="K61" s="37"/>
      <c r="L61" s="37"/>
      <c r="M61" s="26"/>
      <c r="N61" s="37"/>
      <c r="O61" s="37"/>
      <c r="P61" s="37"/>
      <c r="Q61" s="26"/>
      <c r="R61" s="42"/>
    </row>
    <row r="62" spans="1:18" ht="15.75" customHeight="1" x14ac:dyDescent="0.3">
      <c r="A62" s="17" t="s">
        <v>38</v>
      </c>
      <c r="B62" s="1">
        <f>+B59+B60</f>
        <v>96</v>
      </c>
      <c r="C62" s="1">
        <f>+C59+C60</f>
        <v>145</v>
      </c>
      <c r="D62" s="1">
        <f>+D59+D60</f>
        <v>261</v>
      </c>
      <c r="E62" s="327">
        <f>SUM(B62:D62)</f>
        <v>502</v>
      </c>
      <c r="F62" s="1">
        <f>+F59+F60</f>
        <v>350</v>
      </c>
      <c r="G62" s="1">
        <f>+G59+G60</f>
        <v>402</v>
      </c>
      <c r="H62" s="1">
        <f>+H59+H60</f>
        <v>396</v>
      </c>
      <c r="I62" s="327">
        <f>SUM(F62:H62)</f>
        <v>1148</v>
      </c>
      <c r="J62" s="1">
        <f>+J59+J60</f>
        <v>394</v>
      </c>
      <c r="K62" s="1">
        <f>+K59+K60</f>
        <v>318</v>
      </c>
      <c r="L62" s="1">
        <f>+L59+L60</f>
        <v>301</v>
      </c>
      <c r="M62" s="327">
        <f>SUM(J62:L62)</f>
        <v>1013</v>
      </c>
      <c r="N62" s="1">
        <f>+N59+N60</f>
        <v>272</v>
      </c>
      <c r="O62" s="1">
        <f>+O59+O60</f>
        <v>226</v>
      </c>
      <c r="P62" s="1">
        <f>+P59+P60</f>
        <v>179</v>
      </c>
      <c r="Q62" s="328">
        <f>SUM(N62:P62)</f>
        <v>677</v>
      </c>
      <c r="R62" s="18">
        <f>+E62+I62+M62+Q62</f>
        <v>3340</v>
      </c>
    </row>
    <row r="63" spans="1:18" ht="15.75" customHeight="1" x14ac:dyDescent="0.3">
      <c r="A63" s="17" t="s">
        <v>39</v>
      </c>
      <c r="B63" s="1">
        <f>(B62/B10)/1.983</f>
        <v>1.5616612171197111</v>
      </c>
      <c r="C63" s="1">
        <f>(C62/C10)/1.983</f>
        <v>2.6114833225271954</v>
      </c>
      <c r="D63" s="1">
        <f>(D62/D10)/1.983</f>
        <v>4.2457664340442145</v>
      </c>
      <c r="E63" s="18"/>
      <c r="F63" s="1">
        <f>(F62/F10)/1.983</f>
        <v>5.8833417381072444</v>
      </c>
      <c r="G63" s="1">
        <f>(G62/G10)/1.983</f>
        <v>6.5394563466887892</v>
      </c>
      <c r="H63" s="1">
        <f>(H62/H10)/1.983</f>
        <v>6.6565809379727678</v>
      </c>
      <c r="I63" s="18"/>
      <c r="J63" s="1">
        <f>(J62/J10)/1.983</f>
        <v>6.4093179119288139</v>
      </c>
      <c r="K63" s="1">
        <f>(K62/K10)/1.983</f>
        <v>5.1730027817090427</v>
      </c>
      <c r="L63" s="1">
        <f>(L62/L10)/1.983</f>
        <v>5.0596738947722306</v>
      </c>
      <c r="M63" s="18"/>
      <c r="N63" s="1">
        <f>(N62/N10)/1.983</f>
        <v>4.4247067818391805</v>
      </c>
      <c r="O63" s="1">
        <f>(O62/O10)/1.983</f>
        <v>3.7989578080349635</v>
      </c>
      <c r="P63" s="1">
        <f>(P62/P10)/1.983</f>
        <v>2.9118474777544612</v>
      </c>
      <c r="Q63" s="19"/>
      <c r="R63" s="68"/>
    </row>
    <row r="64" spans="1:18" ht="15.75" customHeight="1" x14ac:dyDescent="0.3">
      <c r="A64" s="17" t="s">
        <v>71</v>
      </c>
      <c r="B64" s="1">
        <f>B62+B133</f>
        <v>89616</v>
      </c>
      <c r="C64" s="1">
        <f>C62+C133</f>
        <v>106996</v>
      </c>
      <c r="D64" s="1">
        <f>D62+D133</f>
        <v>137321</v>
      </c>
      <c r="E64" s="18">
        <f>SUM(B64:D64)</f>
        <v>333933</v>
      </c>
      <c r="F64" s="1">
        <f>F62+F133</f>
        <v>168286</v>
      </c>
      <c r="G64" s="1">
        <f>G62+G133</f>
        <v>178983</v>
      </c>
      <c r="H64" s="1">
        <f>H62+H133</f>
        <v>91658</v>
      </c>
      <c r="I64" s="18">
        <f>SUM(F64:H64)</f>
        <v>438927</v>
      </c>
      <c r="J64" s="1">
        <f>J62+J133</f>
        <v>78289</v>
      </c>
      <c r="K64" s="1">
        <f>K62+K133</f>
        <v>28026</v>
      </c>
      <c r="L64" s="1">
        <f>L62+L133</f>
        <v>164960</v>
      </c>
      <c r="M64" s="18">
        <f>SUM(J64:L64)</f>
        <v>271275</v>
      </c>
      <c r="N64" s="1">
        <f>N62+N133</f>
        <v>174913</v>
      </c>
      <c r="O64" s="1">
        <f>O62+O133</f>
        <v>170989</v>
      </c>
      <c r="P64" s="1">
        <f>P62+P133</f>
        <v>142258</v>
      </c>
      <c r="Q64" s="19">
        <f>SUM(N64:P64)</f>
        <v>488160</v>
      </c>
      <c r="R64" s="18">
        <f>+E64+I64+M64+Q64</f>
        <v>1532295</v>
      </c>
    </row>
    <row r="65" spans="1:20" ht="16.5" customHeight="1" thickBot="1" x14ac:dyDescent="0.35">
      <c r="A65" s="24" t="s">
        <v>72</v>
      </c>
      <c r="B65" s="25">
        <f>(B64/B10)/1.983</f>
        <v>1457.8107461812504</v>
      </c>
      <c r="C65" s="25">
        <f>(C64/C10)/1.983</f>
        <v>1927.0225488077226</v>
      </c>
      <c r="D65" s="25">
        <f>(D64/D10)/1.983</f>
        <v>2233.8424999593317</v>
      </c>
      <c r="E65" s="26"/>
      <c r="F65" s="25">
        <f>(F64/F10)/1.983</f>
        <v>2828.8115649689025</v>
      </c>
      <c r="G65" s="25">
        <f>(G64/G10)/1.983</f>
        <v>2911.5709335805964</v>
      </c>
      <c r="H65" s="25">
        <f>(H64/H10)/1.983</f>
        <v>1540.7295343755254</v>
      </c>
      <c r="I65" s="26"/>
      <c r="J65" s="25">
        <f>(J64/J10)/1.983</f>
        <v>1273.5509898654693</v>
      </c>
      <c r="K65" s="25">
        <f>(K64/K10)/1.983</f>
        <v>455.90747157288564</v>
      </c>
      <c r="L65" s="25">
        <f>(L64/L10)/1.983</f>
        <v>2772.9030089090602</v>
      </c>
      <c r="M65" s="26"/>
      <c r="N65" s="25">
        <f>(N64/N10)/1.983</f>
        <v>2845.3630048964583</v>
      </c>
      <c r="O65" s="25">
        <f>(O64/O10)/1.983</f>
        <v>2874.2477727349133</v>
      </c>
      <c r="P65" s="25">
        <f>(P64/P10)/1.983</f>
        <v>2314.1541815105816</v>
      </c>
      <c r="Q65" s="27"/>
      <c r="R65" s="69" t="s">
        <v>7</v>
      </c>
    </row>
    <row r="66" spans="1:20" ht="15.75" customHeight="1" x14ac:dyDescent="0.3">
      <c r="A66" s="28"/>
      <c r="B66" s="1"/>
      <c r="C66" s="1"/>
      <c r="D66" s="1"/>
      <c r="E66" s="1"/>
      <c r="F66" s="1"/>
      <c r="G66" s="1"/>
      <c r="H66" s="1"/>
      <c r="I66" s="1"/>
      <c r="J66" s="1"/>
      <c r="K66" s="1"/>
      <c r="L66" s="1"/>
      <c r="M66" s="1"/>
      <c r="N66" s="1"/>
      <c r="O66" s="1"/>
      <c r="P66" s="1"/>
      <c r="Q66" s="1"/>
      <c r="R66" s="28"/>
    </row>
    <row r="67" spans="1:20" ht="15.75" customHeight="1" thickBot="1" x14ac:dyDescent="0.35">
      <c r="A67" s="28"/>
      <c r="B67" s="1"/>
      <c r="C67" s="1"/>
      <c r="D67" s="1"/>
      <c r="E67" s="1"/>
      <c r="F67" s="1"/>
      <c r="G67" s="1"/>
      <c r="H67" s="1"/>
      <c r="I67" s="1"/>
      <c r="J67" s="1"/>
      <c r="K67" s="1"/>
      <c r="L67" s="1"/>
      <c r="M67" s="1"/>
      <c r="N67" s="1"/>
      <c r="O67" s="1"/>
      <c r="P67" s="1"/>
      <c r="Q67" s="1"/>
      <c r="R67" s="28"/>
    </row>
    <row r="68" spans="1:20" ht="16.5" customHeight="1" thickBot="1" x14ac:dyDescent="0.35">
      <c r="A68" s="31" t="s">
        <v>73</v>
      </c>
      <c r="B68" s="323" t="s">
        <v>36</v>
      </c>
      <c r="C68" s="324" t="s">
        <v>9</v>
      </c>
      <c r="D68" s="324" t="s">
        <v>10</v>
      </c>
      <c r="E68" s="325" t="s">
        <v>11</v>
      </c>
      <c r="F68" s="324" t="s">
        <v>12</v>
      </c>
      <c r="G68" s="324" t="s">
        <v>13</v>
      </c>
      <c r="H68" s="324" t="s">
        <v>14</v>
      </c>
      <c r="I68" s="34" t="s">
        <v>15</v>
      </c>
      <c r="J68" s="324" t="s">
        <v>16</v>
      </c>
      <c r="K68" s="324" t="s">
        <v>17</v>
      </c>
      <c r="L68" s="324" t="s">
        <v>18</v>
      </c>
      <c r="M68" s="34" t="s">
        <v>19</v>
      </c>
      <c r="N68" s="324" t="s">
        <v>20</v>
      </c>
      <c r="O68" s="324" t="s">
        <v>21</v>
      </c>
      <c r="P68" s="324" t="s">
        <v>22</v>
      </c>
      <c r="Q68" s="34" t="s">
        <v>23</v>
      </c>
      <c r="R68" s="326" t="s">
        <v>24</v>
      </c>
    </row>
    <row r="69" spans="1:20" ht="16.5" customHeight="1" thickBot="1" x14ac:dyDescent="0.35">
      <c r="A69" s="70"/>
      <c r="B69" s="14"/>
      <c r="C69" s="71"/>
      <c r="D69" s="71"/>
      <c r="E69" s="72"/>
      <c r="F69" s="71"/>
      <c r="G69" s="71"/>
      <c r="H69" s="71"/>
      <c r="I69" s="72"/>
      <c r="J69" s="71"/>
      <c r="K69" s="71"/>
      <c r="L69" s="71"/>
      <c r="M69" s="72"/>
      <c r="N69" s="71"/>
      <c r="O69" s="71"/>
      <c r="P69" s="73"/>
      <c r="Q69" s="72"/>
      <c r="R69" s="64"/>
    </row>
    <row r="70" spans="1:20" ht="15.75" customHeight="1" x14ac:dyDescent="0.3">
      <c r="A70" s="333" t="s">
        <v>45</v>
      </c>
      <c r="B70" s="30"/>
      <c r="C70" s="30"/>
      <c r="D70" s="30"/>
      <c r="E70" s="59" t="s">
        <v>7</v>
      </c>
      <c r="F70" s="30"/>
      <c r="G70" s="30"/>
      <c r="H70" s="30"/>
      <c r="I70" s="59" t="s">
        <v>7</v>
      </c>
      <c r="J70" s="30"/>
      <c r="K70" s="30"/>
      <c r="L70" s="30"/>
      <c r="M70" s="59" t="s">
        <v>7</v>
      </c>
      <c r="N70" s="30"/>
      <c r="O70" s="30"/>
      <c r="P70" s="30"/>
      <c r="Q70" s="59" t="s">
        <v>7</v>
      </c>
      <c r="R70" s="59" t="s">
        <v>7</v>
      </c>
    </row>
    <row r="71" spans="1:20" ht="15.75" customHeight="1" x14ac:dyDescent="0.3">
      <c r="A71" s="22" t="s">
        <v>46</v>
      </c>
      <c r="B71" s="30"/>
      <c r="C71" s="60"/>
      <c r="D71" s="60"/>
      <c r="E71" s="59" t="s">
        <v>7</v>
      </c>
      <c r="F71" s="60"/>
      <c r="G71" s="60"/>
      <c r="H71" s="60"/>
      <c r="I71" s="59" t="s">
        <v>7</v>
      </c>
      <c r="J71" s="60"/>
      <c r="K71" s="60"/>
      <c r="L71" s="60"/>
      <c r="M71" s="59" t="s">
        <v>7</v>
      </c>
      <c r="N71" s="60"/>
      <c r="O71" s="60"/>
      <c r="P71" s="60"/>
      <c r="Q71" s="59" t="s">
        <v>7</v>
      </c>
      <c r="R71" s="59" t="s">
        <v>7</v>
      </c>
    </row>
    <row r="72" spans="1:20" ht="15.75" customHeight="1" x14ac:dyDescent="0.3">
      <c r="A72" s="74" t="s">
        <v>74</v>
      </c>
      <c r="B72" s="1"/>
      <c r="C72" s="1"/>
      <c r="D72" s="1"/>
      <c r="E72" s="59">
        <f t="shared" ref="E72:E82" si="5">SUM(B72:D72)</f>
        <v>0</v>
      </c>
      <c r="F72" s="1"/>
      <c r="G72" s="1"/>
      <c r="H72" s="1"/>
      <c r="I72" s="59">
        <f t="shared" ref="I72:I82" si="6">SUM(F72:H72)</f>
        <v>0</v>
      </c>
      <c r="J72" s="1"/>
      <c r="K72" s="1"/>
      <c r="L72" s="1"/>
      <c r="M72" s="59">
        <f t="shared" ref="M72:M82" si="7">SUM(J72:L72)</f>
        <v>0</v>
      </c>
      <c r="N72" s="1"/>
      <c r="O72" s="1"/>
      <c r="P72" s="1"/>
      <c r="Q72" s="59">
        <f t="shared" ref="Q72:Q82" si="8">SUM(N72:P72)</f>
        <v>0</v>
      </c>
      <c r="R72" s="59">
        <f t="shared" ref="R72:R82" si="9">+E72+I72+M72+Q72</f>
        <v>0</v>
      </c>
    </row>
    <row r="73" spans="1:20" ht="15.75" customHeight="1" x14ac:dyDescent="0.3">
      <c r="A73" s="74" t="s">
        <v>75</v>
      </c>
      <c r="B73" s="1"/>
      <c r="C73" s="1"/>
      <c r="D73" s="1"/>
      <c r="E73" s="59">
        <f>SUM(B73:D73)</f>
        <v>0</v>
      </c>
      <c r="F73" s="1"/>
      <c r="G73" s="1"/>
      <c r="H73" s="1"/>
      <c r="I73" s="59">
        <f>SUM(F73:H73)</f>
        <v>0</v>
      </c>
      <c r="J73" s="1"/>
      <c r="K73" s="1"/>
      <c r="L73" s="1"/>
      <c r="M73" s="59">
        <f>SUM(J73:L73)</f>
        <v>0</v>
      </c>
      <c r="N73" s="1"/>
      <c r="O73" s="1"/>
      <c r="P73" s="1"/>
      <c r="Q73" s="59">
        <f>SUM(N73:P73)</f>
        <v>0</v>
      </c>
      <c r="R73" s="59">
        <f>+E73+I73+M73+Q73</f>
        <v>0</v>
      </c>
    </row>
    <row r="74" spans="1:20" ht="15.75" customHeight="1" x14ac:dyDescent="0.3">
      <c r="A74" s="74" t="s">
        <v>76</v>
      </c>
      <c r="B74" s="1"/>
      <c r="C74" s="1"/>
      <c r="D74" s="1"/>
      <c r="E74" s="59">
        <f t="shared" si="5"/>
        <v>0</v>
      </c>
      <c r="F74" s="1"/>
      <c r="G74" s="1"/>
      <c r="H74" s="1"/>
      <c r="I74" s="59">
        <f t="shared" si="6"/>
        <v>0</v>
      </c>
      <c r="J74" s="1"/>
      <c r="K74" s="1"/>
      <c r="L74" s="1"/>
      <c r="M74" s="59">
        <f t="shared" si="7"/>
        <v>0</v>
      </c>
      <c r="N74" s="1"/>
      <c r="O74" s="1"/>
      <c r="P74" s="1"/>
      <c r="Q74" s="59">
        <f t="shared" si="8"/>
        <v>0</v>
      </c>
      <c r="R74" s="59">
        <f t="shared" si="9"/>
        <v>0</v>
      </c>
    </row>
    <row r="75" spans="1:20" ht="15.75" customHeight="1" x14ac:dyDescent="0.3">
      <c r="A75" s="74" t="s">
        <v>77</v>
      </c>
      <c r="B75" s="1"/>
      <c r="C75" s="1"/>
      <c r="D75" s="1"/>
      <c r="E75" s="59">
        <f t="shared" si="5"/>
        <v>0</v>
      </c>
      <c r="F75" s="1"/>
      <c r="G75" s="1"/>
      <c r="H75" s="1"/>
      <c r="I75" s="59">
        <f t="shared" si="6"/>
        <v>0</v>
      </c>
      <c r="K75" s="1"/>
      <c r="L75" s="1"/>
      <c r="M75" s="59">
        <f t="shared" si="7"/>
        <v>0</v>
      </c>
      <c r="N75" s="1"/>
      <c r="O75" s="1"/>
      <c r="P75" s="1"/>
      <c r="Q75" s="59">
        <f t="shared" si="8"/>
        <v>0</v>
      </c>
      <c r="R75" s="59">
        <f t="shared" si="9"/>
        <v>0</v>
      </c>
      <c r="T75" s="4" t="s">
        <v>78</v>
      </c>
    </row>
    <row r="76" spans="1:20" ht="15.75" customHeight="1" x14ac:dyDescent="0.3">
      <c r="A76" s="74" t="s">
        <v>79</v>
      </c>
      <c r="B76" s="1"/>
      <c r="C76" s="1"/>
      <c r="D76" s="1"/>
      <c r="E76" s="59">
        <f t="shared" si="5"/>
        <v>0</v>
      </c>
      <c r="F76" s="1"/>
      <c r="G76" s="1"/>
      <c r="H76" s="1"/>
      <c r="I76" s="59">
        <f t="shared" si="6"/>
        <v>0</v>
      </c>
      <c r="J76" s="1"/>
      <c r="K76" s="1"/>
      <c r="L76" s="1"/>
      <c r="M76" s="59">
        <f t="shared" si="7"/>
        <v>0</v>
      </c>
      <c r="N76" s="1"/>
      <c r="O76" s="1"/>
      <c r="P76" s="1"/>
      <c r="Q76" s="59">
        <f t="shared" si="8"/>
        <v>0</v>
      </c>
      <c r="R76" s="59">
        <f t="shared" si="9"/>
        <v>0</v>
      </c>
      <c r="S76" s="75" t="s">
        <v>80</v>
      </c>
      <c r="T76" s="4" t="s">
        <v>78</v>
      </c>
    </row>
    <row r="77" spans="1:20" ht="15.75" customHeight="1" x14ac:dyDescent="0.3">
      <c r="A77" s="74" t="s">
        <v>81</v>
      </c>
      <c r="B77" s="1"/>
      <c r="C77" s="1"/>
      <c r="D77" s="1"/>
      <c r="E77" s="59">
        <f t="shared" si="5"/>
        <v>0</v>
      </c>
      <c r="F77" s="1"/>
      <c r="G77" s="1"/>
      <c r="H77" s="1"/>
      <c r="I77" s="59">
        <f t="shared" si="6"/>
        <v>0</v>
      </c>
      <c r="J77" s="1"/>
      <c r="K77" s="1"/>
      <c r="L77" s="1"/>
      <c r="M77" s="59">
        <f t="shared" si="7"/>
        <v>0</v>
      </c>
      <c r="N77" s="1"/>
      <c r="O77" s="1"/>
      <c r="P77" s="1"/>
      <c r="Q77" s="59">
        <f t="shared" si="8"/>
        <v>0</v>
      </c>
      <c r="R77" s="59">
        <f t="shared" si="9"/>
        <v>0</v>
      </c>
    </row>
    <row r="78" spans="1:20" ht="15.75" customHeight="1" x14ac:dyDescent="0.3">
      <c r="A78" s="74" t="s">
        <v>82</v>
      </c>
      <c r="B78" s="1"/>
      <c r="C78" s="1"/>
      <c r="D78" s="1"/>
      <c r="E78" s="59">
        <f t="shared" si="5"/>
        <v>0</v>
      </c>
      <c r="F78" s="1"/>
      <c r="G78" s="1"/>
      <c r="H78" s="1"/>
      <c r="I78" s="59">
        <f t="shared" si="6"/>
        <v>0</v>
      </c>
      <c r="J78" s="1"/>
      <c r="K78" s="1"/>
      <c r="L78" s="1"/>
      <c r="M78" s="59">
        <f t="shared" si="7"/>
        <v>0</v>
      </c>
      <c r="N78" s="1"/>
      <c r="O78" s="1"/>
      <c r="P78" s="1"/>
      <c r="Q78" s="59">
        <f t="shared" si="8"/>
        <v>0</v>
      </c>
      <c r="R78" s="59">
        <f t="shared" si="9"/>
        <v>0</v>
      </c>
      <c r="T78" s="4" t="s">
        <v>83</v>
      </c>
    </row>
    <row r="79" spans="1:20" ht="15.75" customHeight="1" x14ac:dyDescent="0.3">
      <c r="A79" s="76" t="s">
        <v>84</v>
      </c>
      <c r="B79" s="1"/>
      <c r="C79" s="1"/>
      <c r="D79" s="1"/>
      <c r="E79" s="59">
        <f t="shared" si="5"/>
        <v>0</v>
      </c>
      <c r="F79" s="1"/>
      <c r="G79" s="1">
        <v>512</v>
      </c>
      <c r="H79" s="1">
        <v>512</v>
      </c>
      <c r="I79" s="59">
        <f t="shared" si="6"/>
        <v>1024</v>
      </c>
      <c r="J79" s="1">
        <v>512</v>
      </c>
      <c r="K79" s="1">
        <v>512</v>
      </c>
      <c r="L79" s="1"/>
      <c r="M79" s="59">
        <f t="shared" si="7"/>
        <v>1024</v>
      </c>
      <c r="N79" s="1"/>
      <c r="O79" s="1"/>
      <c r="P79" s="1"/>
      <c r="Q79" s="59">
        <f t="shared" si="8"/>
        <v>0</v>
      </c>
      <c r="R79" s="59">
        <f t="shared" si="9"/>
        <v>2048</v>
      </c>
    </row>
    <row r="80" spans="1:20" ht="15.75" customHeight="1" x14ac:dyDescent="0.3">
      <c r="A80" s="76" t="s">
        <v>85</v>
      </c>
      <c r="B80" s="1"/>
      <c r="C80" s="1"/>
      <c r="D80" s="1"/>
      <c r="E80" s="59">
        <f t="shared" si="5"/>
        <v>0</v>
      </c>
      <c r="F80" s="1"/>
      <c r="G80" s="1"/>
      <c r="H80" s="1"/>
      <c r="I80" s="59">
        <f t="shared" si="6"/>
        <v>0</v>
      </c>
      <c r="J80" s="1"/>
      <c r="K80" s="1"/>
      <c r="L80" s="1"/>
      <c r="M80" s="59">
        <f t="shared" si="7"/>
        <v>0</v>
      </c>
      <c r="N80" s="1"/>
      <c r="O80" s="1"/>
      <c r="P80" s="1"/>
      <c r="Q80" s="59">
        <f t="shared" si="8"/>
        <v>0</v>
      </c>
      <c r="R80" s="59">
        <f t="shared" si="9"/>
        <v>0</v>
      </c>
    </row>
    <row r="81" spans="1:20" ht="15.75" customHeight="1" x14ac:dyDescent="0.3">
      <c r="A81" s="76" t="s">
        <v>86</v>
      </c>
      <c r="B81" s="1"/>
      <c r="C81" s="1"/>
      <c r="D81" s="1"/>
      <c r="E81" s="59">
        <f>SUM(B81:D81)</f>
        <v>0</v>
      </c>
      <c r="F81" s="1"/>
      <c r="G81" s="1"/>
      <c r="H81" s="1"/>
      <c r="I81" s="59">
        <f>SUM(F81:H81)</f>
        <v>0</v>
      </c>
      <c r="J81" s="1"/>
      <c r="K81" s="1"/>
      <c r="L81" s="1"/>
      <c r="M81" s="59">
        <f>SUM(J81:L81)</f>
        <v>0</v>
      </c>
      <c r="N81" s="1"/>
      <c r="O81" s="1"/>
      <c r="P81" s="1"/>
      <c r="Q81" s="59">
        <f>SUM(N81:P81)</f>
        <v>0</v>
      </c>
      <c r="R81" s="59">
        <f t="shared" si="9"/>
        <v>0</v>
      </c>
    </row>
    <row r="82" spans="1:20" ht="15.75" customHeight="1" x14ac:dyDescent="0.3">
      <c r="A82" s="76" t="s">
        <v>87</v>
      </c>
      <c r="B82" s="1"/>
      <c r="C82" s="1"/>
      <c r="D82" s="1"/>
      <c r="E82" s="59">
        <f t="shared" si="5"/>
        <v>0</v>
      </c>
      <c r="F82" s="1"/>
      <c r="G82" s="1"/>
      <c r="H82" s="1"/>
      <c r="I82" s="59">
        <f t="shared" si="6"/>
        <v>0</v>
      </c>
      <c r="J82" s="1"/>
      <c r="K82" s="1"/>
      <c r="L82" s="1"/>
      <c r="M82" s="59">
        <f t="shared" si="7"/>
        <v>0</v>
      </c>
      <c r="N82" s="1"/>
      <c r="O82" s="1"/>
      <c r="P82" s="1"/>
      <c r="Q82" s="59">
        <f t="shared" si="8"/>
        <v>0</v>
      </c>
      <c r="R82" s="59">
        <f t="shared" si="9"/>
        <v>0</v>
      </c>
      <c r="S82" s="4">
        <f>SUM(R72:R82)</f>
        <v>2048</v>
      </c>
    </row>
    <row r="83" spans="1:20" ht="15.75" customHeight="1" x14ac:dyDescent="0.3">
      <c r="A83" s="22" t="s">
        <v>47</v>
      </c>
      <c r="B83" s="30"/>
      <c r="C83" s="30"/>
      <c r="D83" s="30"/>
      <c r="E83" s="59" t="s">
        <v>7</v>
      </c>
      <c r="F83" s="30"/>
      <c r="G83" s="30"/>
      <c r="H83" s="30"/>
      <c r="I83" s="59" t="s">
        <v>7</v>
      </c>
      <c r="J83" s="30"/>
      <c r="K83" s="30"/>
      <c r="L83" s="30"/>
      <c r="M83" s="59" t="s">
        <v>7</v>
      </c>
      <c r="N83" s="30"/>
      <c r="O83" s="30"/>
      <c r="P83" s="30"/>
      <c r="Q83" s="59" t="s">
        <v>7</v>
      </c>
      <c r="R83" s="59" t="s">
        <v>7</v>
      </c>
    </row>
    <row r="84" spans="1:20" ht="15.75" customHeight="1" x14ac:dyDescent="0.3">
      <c r="A84" s="76" t="s">
        <v>88</v>
      </c>
      <c r="B84" s="1"/>
      <c r="C84" s="1"/>
      <c r="D84" s="1"/>
      <c r="E84" s="59">
        <f>SUM(B84:D84)</f>
        <v>0</v>
      </c>
      <c r="F84" s="1"/>
      <c r="G84" s="1"/>
      <c r="H84" s="1"/>
      <c r="I84" s="59">
        <f>SUM(F84:H84)</f>
        <v>0</v>
      </c>
      <c r="J84" s="1"/>
      <c r="K84" s="1"/>
      <c r="L84" s="1"/>
      <c r="M84" s="59">
        <f>SUM(J84:L84)</f>
        <v>0</v>
      </c>
      <c r="N84" s="1"/>
      <c r="O84" s="1"/>
      <c r="P84" s="1"/>
      <c r="Q84" s="59">
        <f>SUM(N84:P84)</f>
        <v>0</v>
      </c>
      <c r="R84" s="59">
        <f>+E84+I84+M84+Q84</f>
        <v>0</v>
      </c>
    </row>
    <row r="85" spans="1:20" ht="15.75" customHeight="1" x14ac:dyDescent="0.3">
      <c r="A85" s="22" t="s">
        <v>49</v>
      </c>
      <c r="B85" s="30"/>
      <c r="C85" s="30"/>
      <c r="D85" s="30"/>
      <c r="E85" s="59" t="s">
        <v>50</v>
      </c>
      <c r="F85" s="30"/>
      <c r="G85" s="30"/>
      <c r="H85" s="30"/>
      <c r="I85" s="59" t="s">
        <v>50</v>
      </c>
      <c r="J85" s="30"/>
      <c r="K85" s="30"/>
      <c r="L85" s="30"/>
      <c r="M85" s="59" t="s">
        <v>50</v>
      </c>
      <c r="N85" s="30"/>
      <c r="O85" s="30"/>
      <c r="P85" s="30"/>
      <c r="Q85" s="59" t="s">
        <v>50</v>
      </c>
      <c r="R85" s="59" t="s">
        <v>50</v>
      </c>
    </row>
    <row r="86" spans="1:20" ht="15.75" customHeight="1" x14ac:dyDescent="0.3">
      <c r="A86" s="61" t="s">
        <v>89</v>
      </c>
      <c r="B86" s="1"/>
      <c r="C86" s="1"/>
      <c r="D86" s="1"/>
      <c r="E86" s="59">
        <f>SUM(B86:D86)</f>
        <v>0</v>
      </c>
      <c r="F86" s="1"/>
      <c r="G86" s="1"/>
      <c r="H86" s="1"/>
      <c r="I86" s="59">
        <f>SUM(F86:H86)</f>
        <v>0</v>
      </c>
      <c r="J86" s="1"/>
      <c r="K86" s="1"/>
      <c r="L86" s="1"/>
      <c r="M86" s="59">
        <f>SUM(J86:L86)</f>
        <v>0</v>
      </c>
      <c r="N86" s="1"/>
      <c r="O86" s="1"/>
      <c r="P86" s="1"/>
      <c r="Q86" s="59">
        <f>SUM(N86:P86)</f>
        <v>0</v>
      </c>
      <c r="R86" s="59">
        <f>+E86+I86+M86+Q86</f>
        <v>0</v>
      </c>
      <c r="S86" s="77" t="s">
        <v>90</v>
      </c>
    </row>
    <row r="87" spans="1:20" ht="15.75" customHeight="1" x14ac:dyDescent="0.3">
      <c r="A87" s="61" t="s">
        <v>91</v>
      </c>
      <c r="B87" s="1">
        <v>280</v>
      </c>
      <c r="C87" s="1">
        <v>600</v>
      </c>
      <c r="D87" s="1">
        <v>1679</v>
      </c>
      <c r="E87" s="59">
        <f>SUM(B87:D87)</f>
        <v>2559</v>
      </c>
      <c r="F87" s="1">
        <v>1863</v>
      </c>
      <c r="G87" s="1">
        <v>1880</v>
      </c>
      <c r="H87" s="1">
        <v>1744</v>
      </c>
      <c r="I87" s="59">
        <f>SUM(F87:H87)</f>
        <v>5487</v>
      </c>
      <c r="J87" s="1">
        <v>1500</v>
      </c>
      <c r="K87" s="1">
        <v>1627</v>
      </c>
      <c r="L87" s="1">
        <v>1815</v>
      </c>
      <c r="M87" s="59">
        <f>SUM(J87:L87)</f>
        <v>4942</v>
      </c>
      <c r="N87" s="1">
        <v>12</v>
      </c>
      <c r="O87" s="1"/>
      <c r="P87" s="1"/>
      <c r="Q87" s="59">
        <f>SUM(N87:P87)</f>
        <v>12</v>
      </c>
      <c r="R87" s="59">
        <f>+E87+I87+M87+Q87</f>
        <v>13000</v>
      </c>
      <c r="S87" s="77" t="s">
        <v>90</v>
      </c>
      <c r="T87" s="4" t="s">
        <v>78</v>
      </c>
    </row>
    <row r="88" spans="1:20" ht="15.75" customHeight="1" thickBot="1" x14ac:dyDescent="0.35">
      <c r="A88" s="22" t="s">
        <v>51</v>
      </c>
      <c r="B88" s="60"/>
      <c r="C88" s="60"/>
      <c r="D88" s="60"/>
      <c r="E88" s="59" t="s">
        <v>7</v>
      </c>
      <c r="F88" s="60"/>
      <c r="G88" s="60"/>
      <c r="H88" s="60"/>
      <c r="I88" s="59" t="s">
        <v>7</v>
      </c>
      <c r="J88" s="60"/>
      <c r="K88" s="60"/>
      <c r="L88" s="60"/>
      <c r="M88" s="59" t="s">
        <v>7</v>
      </c>
      <c r="N88" s="60"/>
      <c r="O88" s="60"/>
      <c r="P88" s="60"/>
      <c r="Q88" s="59" t="s">
        <v>7</v>
      </c>
      <c r="R88" s="59" t="s">
        <v>7</v>
      </c>
    </row>
    <row r="89" spans="1:20" ht="16.5" customHeight="1" thickBot="1" x14ac:dyDescent="0.35">
      <c r="A89" s="62" t="s">
        <v>52</v>
      </c>
      <c r="B89" s="63">
        <f>SUM(B70:B88)</f>
        <v>280</v>
      </c>
      <c r="C89" s="63">
        <f>SUM(C70:C88)</f>
        <v>600</v>
      </c>
      <c r="D89" s="63">
        <f>SUM(D70:D88)</f>
        <v>1679</v>
      </c>
      <c r="E89" s="64">
        <f>SUM(B89:D89)</f>
        <v>2559</v>
      </c>
      <c r="F89" s="63">
        <f>SUM(F70:F88)</f>
        <v>1863</v>
      </c>
      <c r="G89" s="63">
        <f>SUM(G70:G88)</f>
        <v>2392</v>
      </c>
      <c r="H89" s="63">
        <f>SUM(H70:H88)</f>
        <v>2256</v>
      </c>
      <c r="I89" s="64">
        <f>SUM(F89:H89)</f>
        <v>6511</v>
      </c>
      <c r="J89" s="63">
        <f>SUM(J70:J88)</f>
        <v>2012</v>
      </c>
      <c r="K89" s="63">
        <f>SUM(K70:K88)</f>
        <v>2139</v>
      </c>
      <c r="L89" s="63">
        <f>SUM(L70:L88)</f>
        <v>1815</v>
      </c>
      <c r="M89" s="64">
        <f>SUM(J89:L89)</f>
        <v>5966</v>
      </c>
      <c r="N89" s="63">
        <f>SUM(N70:N88)</f>
        <v>12</v>
      </c>
      <c r="O89" s="63">
        <f>SUM(O70:O88)</f>
        <v>0</v>
      </c>
      <c r="P89" s="63">
        <f>SUM(P70:P88)</f>
        <v>0</v>
      </c>
      <c r="Q89" s="64">
        <f>SUM(N89:P89)</f>
        <v>12</v>
      </c>
      <c r="R89" s="64">
        <f>+E89+I89+M89+Q89</f>
        <v>15048</v>
      </c>
    </row>
    <row r="90" spans="1:20" ht="15.75" customHeight="1" x14ac:dyDescent="0.3">
      <c r="A90" s="22" t="s">
        <v>53</v>
      </c>
      <c r="B90" s="60"/>
      <c r="C90" s="60"/>
      <c r="D90" s="60"/>
      <c r="E90" s="59" t="s">
        <v>7</v>
      </c>
      <c r="F90" s="60"/>
      <c r="G90" s="60"/>
      <c r="H90" s="60"/>
      <c r="I90" s="59" t="s">
        <v>7</v>
      </c>
      <c r="J90" s="60"/>
      <c r="K90" s="60"/>
      <c r="L90" s="60"/>
      <c r="M90" s="59" t="s">
        <v>7</v>
      </c>
      <c r="N90" s="60"/>
      <c r="O90" s="60"/>
      <c r="P90" s="60"/>
      <c r="Q90" s="59" t="s">
        <v>7</v>
      </c>
      <c r="R90" s="334" t="s">
        <v>7</v>
      </c>
    </row>
    <row r="91" spans="1:20" ht="15.75" customHeight="1" x14ac:dyDescent="0.3">
      <c r="A91" s="22" t="s">
        <v>54</v>
      </c>
      <c r="B91" s="60"/>
      <c r="C91" s="60"/>
      <c r="D91" s="60"/>
      <c r="E91" s="59" t="s">
        <v>7</v>
      </c>
      <c r="F91" s="60"/>
      <c r="G91" s="60"/>
      <c r="H91" s="60"/>
      <c r="I91" s="59" t="s">
        <v>7</v>
      </c>
      <c r="J91" s="60"/>
      <c r="K91" s="60"/>
      <c r="L91" s="60"/>
      <c r="M91" s="59" t="s">
        <v>7</v>
      </c>
      <c r="N91" s="60"/>
      <c r="O91" s="60"/>
      <c r="P91" s="60"/>
      <c r="Q91" s="59" t="s">
        <v>7</v>
      </c>
      <c r="R91" s="59" t="s">
        <v>7</v>
      </c>
    </row>
    <row r="92" spans="1:20" ht="15.75" customHeight="1" x14ac:dyDescent="0.3">
      <c r="A92" s="22" t="s">
        <v>55</v>
      </c>
      <c r="B92" s="60"/>
      <c r="C92" s="60"/>
      <c r="D92" s="60"/>
      <c r="E92" s="59" t="s">
        <v>7</v>
      </c>
      <c r="F92" s="60"/>
      <c r="G92" s="60"/>
      <c r="H92" s="60"/>
      <c r="I92" s="59" t="s">
        <v>7</v>
      </c>
      <c r="J92" s="60"/>
      <c r="K92" s="60"/>
      <c r="L92" s="60"/>
      <c r="M92" s="59" t="s">
        <v>7</v>
      </c>
      <c r="N92" s="60"/>
      <c r="O92" s="60"/>
      <c r="P92" s="60"/>
      <c r="Q92" s="59" t="s">
        <v>7</v>
      </c>
      <c r="R92" s="59" t="s">
        <v>7</v>
      </c>
    </row>
    <row r="93" spans="1:20" ht="15.75" customHeight="1" x14ac:dyDescent="0.3">
      <c r="A93" s="76" t="s">
        <v>92</v>
      </c>
      <c r="B93" s="1">
        <v>400</v>
      </c>
      <c r="C93" s="1">
        <v>411</v>
      </c>
      <c r="D93" s="1">
        <v>1110</v>
      </c>
      <c r="E93" s="59">
        <f>SUM(B93:D93)</f>
        <v>1921</v>
      </c>
      <c r="F93" s="1">
        <v>3177</v>
      </c>
      <c r="G93" s="1">
        <v>3434</v>
      </c>
      <c r="H93" s="1">
        <v>3954</v>
      </c>
      <c r="I93" s="59">
        <f>SUM(F93:H93)</f>
        <v>10565</v>
      </c>
      <c r="J93" s="1">
        <v>4181</v>
      </c>
      <c r="K93" s="1">
        <v>4085</v>
      </c>
      <c r="L93" s="1">
        <v>2107</v>
      </c>
      <c r="M93" s="59">
        <f>SUM(J93:L93)</f>
        <v>10373</v>
      </c>
      <c r="N93" s="1">
        <v>411</v>
      </c>
      <c r="O93" s="1">
        <v>2141</v>
      </c>
      <c r="P93" s="1">
        <v>1828</v>
      </c>
      <c r="Q93" s="59">
        <f>SUM(N93:P93)</f>
        <v>4380</v>
      </c>
      <c r="R93" s="59">
        <f>+E93+I93+M93+Q93</f>
        <v>27239</v>
      </c>
      <c r="T93" s="4" t="s">
        <v>93</v>
      </c>
    </row>
    <row r="94" spans="1:20" ht="15.75" customHeight="1" x14ac:dyDescent="0.3">
      <c r="A94" s="76" t="s">
        <v>94</v>
      </c>
      <c r="B94" s="1"/>
      <c r="C94" s="1"/>
      <c r="D94" s="1"/>
      <c r="E94" s="59">
        <f>SUM(B94:D94)</f>
        <v>0</v>
      </c>
      <c r="F94" s="1"/>
      <c r="G94" s="1"/>
      <c r="H94" s="1"/>
      <c r="I94" s="59">
        <f>SUM(F94:H94)</f>
        <v>0</v>
      </c>
      <c r="J94" s="1"/>
      <c r="K94" s="1"/>
      <c r="L94" s="1"/>
      <c r="M94" s="59">
        <f>SUM(J94:L94)</f>
        <v>0</v>
      </c>
      <c r="N94" s="1"/>
      <c r="O94" s="1"/>
      <c r="P94" s="1"/>
      <c r="Q94" s="59">
        <f>SUM(N94:P94)</f>
        <v>0</v>
      </c>
      <c r="R94" s="59">
        <f>+E94+I94+M94+Q94</f>
        <v>0</v>
      </c>
      <c r="T94" s="4" t="s">
        <v>78</v>
      </c>
    </row>
    <row r="95" spans="1:20" ht="15.75" customHeight="1" thickBot="1" x14ac:dyDescent="0.35">
      <c r="A95" s="22" t="s">
        <v>56</v>
      </c>
      <c r="B95" s="60"/>
      <c r="C95" s="60"/>
      <c r="D95" s="60"/>
      <c r="E95" s="59" t="s">
        <v>7</v>
      </c>
      <c r="F95" s="60"/>
      <c r="G95" s="60"/>
      <c r="H95" s="60"/>
      <c r="I95" s="59" t="s">
        <v>7</v>
      </c>
      <c r="J95" s="60"/>
      <c r="K95" s="60"/>
      <c r="L95" s="60"/>
      <c r="M95" s="59" t="s">
        <v>7</v>
      </c>
      <c r="N95" s="60"/>
      <c r="O95" s="60"/>
      <c r="P95" s="60"/>
      <c r="Q95" s="59" t="s">
        <v>7</v>
      </c>
      <c r="R95" s="59" t="s">
        <v>7</v>
      </c>
    </row>
    <row r="96" spans="1:20" ht="16.5" customHeight="1" thickBot="1" x14ac:dyDescent="0.35">
      <c r="A96" s="62" t="s">
        <v>57</v>
      </c>
      <c r="B96" s="63">
        <f>SUM(B90:B95)</f>
        <v>400</v>
      </c>
      <c r="C96" s="63">
        <f>SUM(C90:C95)</f>
        <v>411</v>
      </c>
      <c r="D96" s="63">
        <f>SUM(D90:D95)</f>
        <v>1110</v>
      </c>
      <c r="E96" s="64">
        <f>SUM(B96:D96)</f>
        <v>1921</v>
      </c>
      <c r="F96" s="63">
        <f>SUM(F90:F95)</f>
        <v>3177</v>
      </c>
      <c r="G96" s="63">
        <f>SUM(G90:G95)</f>
        <v>3434</v>
      </c>
      <c r="H96" s="63">
        <f>SUM(H90:H95)</f>
        <v>3954</v>
      </c>
      <c r="I96" s="64">
        <f>SUM(F96:H96)</f>
        <v>10565</v>
      </c>
      <c r="J96" s="63">
        <f>SUM(J90:J95)</f>
        <v>4181</v>
      </c>
      <c r="K96" s="63">
        <f>SUM(K90:K95)</f>
        <v>4085</v>
      </c>
      <c r="L96" s="63">
        <f>SUM(L90:L95)</f>
        <v>2107</v>
      </c>
      <c r="M96" s="64">
        <f>SUM(J96:L96)</f>
        <v>10373</v>
      </c>
      <c r="N96" s="63">
        <f>SUM(N90:N95)</f>
        <v>411</v>
      </c>
      <c r="O96" s="63">
        <f>SUM(O90:O95)</f>
        <v>2141</v>
      </c>
      <c r="P96" s="63">
        <f>SUM(P90:P95)</f>
        <v>1828</v>
      </c>
      <c r="Q96" s="64">
        <f>SUM(N96:P96)</f>
        <v>4380</v>
      </c>
      <c r="R96" s="64">
        <f>+E96+I96+M96+Q96</f>
        <v>27239</v>
      </c>
    </row>
    <row r="97" spans="1:20" ht="15.75" customHeight="1" x14ac:dyDescent="0.3">
      <c r="A97" s="22" t="s">
        <v>58</v>
      </c>
      <c r="B97" s="60"/>
      <c r="C97" s="60"/>
      <c r="D97" s="60"/>
      <c r="E97" s="59" t="s">
        <v>7</v>
      </c>
      <c r="F97" s="60"/>
      <c r="G97" s="60"/>
      <c r="H97" s="60"/>
      <c r="I97" s="59" t="s">
        <v>7</v>
      </c>
      <c r="J97" s="60"/>
      <c r="K97" s="60"/>
      <c r="L97" s="60"/>
      <c r="M97" s="59" t="s">
        <v>7</v>
      </c>
      <c r="N97" s="60"/>
      <c r="O97" s="60"/>
      <c r="P97" s="60"/>
      <c r="Q97" s="59" t="s">
        <v>7</v>
      </c>
      <c r="R97" s="59" t="s">
        <v>7</v>
      </c>
    </row>
    <row r="98" spans="1:20" ht="15.75" customHeight="1" x14ac:dyDescent="0.3">
      <c r="A98" s="22" t="s">
        <v>59</v>
      </c>
      <c r="B98" s="60"/>
      <c r="C98" s="60"/>
      <c r="D98" s="60"/>
      <c r="E98" s="59" t="s">
        <v>7</v>
      </c>
      <c r="F98" s="60"/>
      <c r="G98" s="60"/>
      <c r="H98" s="60"/>
      <c r="I98" s="59" t="s">
        <v>7</v>
      </c>
      <c r="J98" s="60"/>
      <c r="K98" s="60"/>
      <c r="L98" s="60"/>
      <c r="M98" s="59" t="s">
        <v>7</v>
      </c>
      <c r="N98" s="60"/>
      <c r="O98" s="60"/>
      <c r="P98" s="60"/>
      <c r="Q98" s="59" t="s">
        <v>7</v>
      </c>
      <c r="R98" s="59" t="s">
        <v>7</v>
      </c>
    </row>
    <row r="99" spans="1:20" ht="15.75" customHeight="1" x14ac:dyDescent="0.3">
      <c r="A99" s="22" t="s">
        <v>60</v>
      </c>
      <c r="B99" s="60"/>
      <c r="C99" s="60"/>
      <c r="D99" s="60"/>
      <c r="E99" s="59"/>
      <c r="F99" s="60"/>
      <c r="G99" s="60"/>
      <c r="H99" s="60"/>
      <c r="I99" s="59"/>
      <c r="J99" s="60"/>
      <c r="K99" s="60"/>
      <c r="L99" s="60"/>
      <c r="M99" s="59"/>
      <c r="N99" s="60"/>
      <c r="O99" s="60"/>
      <c r="P99" s="60"/>
      <c r="Q99" s="59"/>
      <c r="R99" s="59"/>
    </row>
    <row r="100" spans="1:20" ht="15.75" customHeight="1" x14ac:dyDescent="0.3">
      <c r="A100" s="76" t="s">
        <v>95</v>
      </c>
      <c r="B100" s="1"/>
      <c r="C100" s="1"/>
      <c r="D100" s="1"/>
      <c r="E100" s="59">
        <f t="shared" ref="E100:E107" si="10">SUM(B100:D100)</f>
        <v>0</v>
      </c>
      <c r="F100" s="1"/>
      <c r="G100" s="1"/>
      <c r="H100" s="1"/>
      <c r="I100" s="59">
        <f t="shared" ref="I100:I107" si="11">SUM(F100:H100)</f>
        <v>0</v>
      </c>
      <c r="J100" s="1"/>
      <c r="K100" s="1"/>
      <c r="L100" s="1"/>
      <c r="M100" s="59">
        <f t="shared" ref="M100:M107" si="12">SUM(J100:L100)</f>
        <v>0</v>
      </c>
      <c r="N100" s="1"/>
      <c r="O100" s="1"/>
      <c r="P100" s="1"/>
      <c r="Q100" s="59">
        <f t="shared" ref="Q100:Q107" si="13">SUM(N100:P100)</f>
        <v>0</v>
      </c>
      <c r="R100" s="59">
        <f t="shared" ref="R100:R107" si="14">+E100+I100+M100+Q100</f>
        <v>0</v>
      </c>
    </row>
    <row r="101" spans="1:20" ht="15.75" customHeight="1" x14ac:dyDescent="0.3">
      <c r="A101" s="76" t="s">
        <v>96</v>
      </c>
      <c r="B101" s="1"/>
      <c r="C101" s="1"/>
      <c r="D101" s="1"/>
      <c r="E101" s="59">
        <f t="shared" si="10"/>
        <v>0</v>
      </c>
      <c r="F101" s="1"/>
      <c r="G101" s="1"/>
      <c r="H101" s="1"/>
      <c r="I101" s="59">
        <f t="shared" si="11"/>
        <v>0</v>
      </c>
      <c r="J101" s="1"/>
      <c r="K101" s="1"/>
      <c r="L101" s="1"/>
      <c r="M101" s="59">
        <f t="shared" si="12"/>
        <v>0</v>
      </c>
      <c r="N101" s="1"/>
      <c r="O101" s="1"/>
      <c r="P101" s="1"/>
      <c r="Q101" s="59">
        <f t="shared" si="13"/>
        <v>0</v>
      </c>
      <c r="R101" s="59">
        <f t="shared" si="14"/>
        <v>0</v>
      </c>
    </row>
    <row r="102" spans="1:20" ht="15.75" customHeight="1" x14ac:dyDescent="0.3">
      <c r="A102" s="76" t="s">
        <v>97</v>
      </c>
      <c r="B102" s="1"/>
      <c r="C102" s="1"/>
      <c r="D102" s="1"/>
      <c r="E102" s="59">
        <f>SUM(B102:D102)</f>
        <v>0</v>
      </c>
      <c r="F102" s="1"/>
      <c r="G102" s="1"/>
      <c r="H102" s="1"/>
      <c r="I102" s="59">
        <f>SUM(F102:H102)</f>
        <v>0</v>
      </c>
      <c r="J102" s="1"/>
      <c r="K102" s="1"/>
      <c r="L102" s="1"/>
      <c r="M102" s="59">
        <f>SUM(J102:L102)</f>
        <v>0</v>
      </c>
      <c r="N102" s="1"/>
      <c r="O102" s="1"/>
      <c r="P102" s="1"/>
      <c r="Q102" s="59">
        <f>SUM(N102:P102)</f>
        <v>0</v>
      </c>
      <c r="R102" s="59">
        <f>+E102+I102+M102+Q102</f>
        <v>0</v>
      </c>
    </row>
    <row r="103" spans="1:20" ht="15.75" customHeight="1" x14ac:dyDescent="0.3">
      <c r="A103" s="76" t="s">
        <v>98</v>
      </c>
      <c r="B103" s="1"/>
      <c r="C103" s="1"/>
      <c r="D103" s="1"/>
      <c r="E103" s="59">
        <f>SUM(B103:D103)</f>
        <v>0</v>
      </c>
      <c r="F103" s="1"/>
      <c r="G103" s="1"/>
      <c r="H103" s="1"/>
      <c r="I103" s="59">
        <f>SUM(F103:H103)</f>
        <v>0</v>
      </c>
      <c r="J103" s="1"/>
      <c r="K103" s="1"/>
      <c r="L103" s="1"/>
      <c r="M103" s="59">
        <f>SUM(J103:L103)</f>
        <v>0</v>
      </c>
      <c r="N103" s="1"/>
      <c r="O103" s="1"/>
      <c r="P103" s="1"/>
      <c r="Q103" s="59">
        <f>SUM(N103:P103)</f>
        <v>0</v>
      </c>
      <c r="R103" s="59">
        <f>+E103+I103+M103+Q103</f>
        <v>0</v>
      </c>
      <c r="T103" s="4" t="s">
        <v>83</v>
      </c>
    </row>
    <row r="104" spans="1:20" ht="15.75" customHeight="1" x14ac:dyDescent="0.3">
      <c r="A104" s="76" t="s">
        <v>99</v>
      </c>
      <c r="B104" s="1"/>
      <c r="C104" s="1"/>
      <c r="D104" s="1"/>
      <c r="E104" s="59">
        <f>SUM(B104:D104)</f>
        <v>0</v>
      </c>
      <c r="F104" s="1"/>
      <c r="G104" s="1"/>
      <c r="H104" s="1"/>
      <c r="I104" s="59">
        <f>SUM(F104:H104)</f>
        <v>0</v>
      </c>
      <c r="J104" s="1"/>
      <c r="K104" s="1"/>
      <c r="L104" s="1"/>
      <c r="M104" s="59">
        <f>SUM(J104:L104)</f>
        <v>0</v>
      </c>
      <c r="N104" s="1"/>
      <c r="O104" s="1"/>
      <c r="P104" s="1"/>
      <c r="Q104" s="59">
        <f>SUM(N104:P104)</f>
        <v>0</v>
      </c>
      <c r="R104" s="59">
        <f>+E104+I104+M104+Q104</f>
        <v>0</v>
      </c>
    </row>
    <row r="105" spans="1:20" ht="15.75" customHeight="1" x14ac:dyDescent="0.3">
      <c r="A105" s="76" t="s">
        <v>100</v>
      </c>
      <c r="B105" s="1"/>
      <c r="C105" s="1"/>
      <c r="D105" s="1"/>
      <c r="E105" s="59">
        <f t="shared" si="10"/>
        <v>0</v>
      </c>
      <c r="F105" s="1"/>
      <c r="G105" s="1"/>
      <c r="H105" s="1"/>
      <c r="I105" s="59">
        <f t="shared" si="11"/>
        <v>0</v>
      </c>
      <c r="J105" s="1"/>
      <c r="K105" s="1"/>
      <c r="L105" s="1"/>
      <c r="M105" s="59">
        <f t="shared" si="12"/>
        <v>0</v>
      </c>
      <c r="N105" s="1"/>
      <c r="O105" s="1"/>
      <c r="P105" s="1"/>
      <c r="Q105" s="59">
        <f t="shared" si="13"/>
        <v>0</v>
      </c>
      <c r="R105" s="59">
        <f t="shared" si="14"/>
        <v>0</v>
      </c>
    </row>
    <row r="106" spans="1:20" ht="15.75" customHeight="1" thickBot="1" x14ac:dyDescent="0.35">
      <c r="A106" s="76" t="s">
        <v>101</v>
      </c>
      <c r="B106" s="1"/>
      <c r="C106" s="1"/>
      <c r="D106" s="1"/>
      <c r="E106" s="59">
        <f t="shared" si="10"/>
        <v>0</v>
      </c>
      <c r="F106" s="1"/>
      <c r="G106" s="1"/>
      <c r="H106" s="1"/>
      <c r="I106" s="59">
        <f t="shared" si="11"/>
        <v>0</v>
      </c>
      <c r="J106" s="1"/>
      <c r="K106" s="1"/>
      <c r="L106" s="1"/>
      <c r="M106" s="59">
        <f t="shared" si="12"/>
        <v>0</v>
      </c>
      <c r="N106" s="1"/>
      <c r="O106" s="1"/>
      <c r="P106" s="1"/>
      <c r="Q106" s="59">
        <f t="shared" si="13"/>
        <v>0</v>
      </c>
      <c r="R106" s="59">
        <f t="shared" si="14"/>
        <v>0</v>
      </c>
    </row>
    <row r="107" spans="1:20" ht="16.5" customHeight="1" thickBot="1" x14ac:dyDescent="0.35">
      <c r="A107" s="62" t="s">
        <v>61</v>
      </c>
      <c r="B107" s="63">
        <f>SUM(B97:B106)</f>
        <v>0</v>
      </c>
      <c r="C107" s="63">
        <f>SUM(C97:C106)</f>
        <v>0</v>
      </c>
      <c r="D107" s="63">
        <f>SUM(D97:D106)</f>
        <v>0</v>
      </c>
      <c r="E107" s="64">
        <f t="shared" si="10"/>
        <v>0</v>
      </c>
      <c r="F107" s="63">
        <f>SUM(F97:F106)</f>
        <v>0</v>
      </c>
      <c r="G107" s="63">
        <f>SUM(G97:G106)</f>
        <v>0</v>
      </c>
      <c r="H107" s="63">
        <f>SUM(H97:H106)</f>
        <v>0</v>
      </c>
      <c r="I107" s="64">
        <f t="shared" si="11"/>
        <v>0</v>
      </c>
      <c r="J107" s="63">
        <f>SUM(J97:J106)</f>
        <v>0</v>
      </c>
      <c r="K107" s="63">
        <f>SUM(K97:K106)</f>
        <v>0</v>
      </c>
      <c r="L107" s="63">
        <f>SUM(L97:L106)</f>
        <v>0</v>
      </c>
      <c r="M107" s="64">
        <f t="shared" si="12"/>
        <v>0</v>
      </c>
      <c r="N107" s="63">
        <f>SUM(N97:N106)</f>
        <v>0</v>
      </c>
      <c r="O107" s="63">
        <f>SUM(O97:O106)</f>
        <v>0</v>
      </c>
      <c r="P107" s="63">
        <f>SUM(P97:P106)</f>
        <v>0</v>
      </c>
      <c r="Q107" s="64">
        <f t="shared" si="13"/>
        <v>0</v>
      </c>
      <c r="R107" s="64">
        <f t="shared" si="14"/>
        <v>0</v>
      </c>
    </row>
    <row r="108" spans="1:20" ht="15.75" customHeight="1" x14ac:dyDescent="0.3">
      <c r="A108" s="22" t="s">
        <v>62</v>
      </c>
      <c r="B108" s="60"/>
      <c r="C108" s="60"/>
      <c r="D108" s="60"/>
      <c r="E108" s="59" t="s">
        <v>7</v>
      </c>
      <c r="F108" s="60"/>
      <c r="G108" s="60"/>
      <c r="H108" s="60"/>
      <c r="I108" s="59" t="s">
        <v>7</v>
      </c>
      <c r="J108" s="60"/>
      <c r="K108" s="60"/>
      <c r="L108" s="60"/>
      <c r="M108" s="59" t="s">
        <v>7</v>
      </c>
      <c r="N108" s="60"/>
      <c r="O108" s="60"/>
      <c r="P108" s="60"/>
      <c r="Q108" s="59" t="s">
        <v>7</v>
      </c>
      <c r="R108" s="59" t="s">
        <v>7</v>
      </c>
    </row>
    <row r="109" spans="1:20" ht="15.75" customHeight="1" x14ac:dyDescent="0.3">
      <c r="A109" s="22" t="s">
        <v>63</v>
      </c>
      <c r="B109" s="60"/>
      <c r="C109" s="60"/>
      <c r="D109" s="60"/>
      <c r="E109" s="59" t="s">
        <v>7</v>
      </c>
      <c r="F109" s="60"/>
      <c r="G109" s="60"/>
      <c r="H109" s="60"/>
      <c r="I109" s="59" t="s">
        <v>7</v>
      </c>
      <c r="J109" s="60"/>
      <c r="K109" s="60"/>
      <c r="L109" s="60"/>
      <c r="M109" s="59" t="s">
        <v>7</v>
      </c>
      <c r="N109" s="60"/>
      <c r="O109" s="60"/>
      <c r="P109" s="60"/>
      <c r="Q109" s="59" t="s">
        <v>7</v>
      </c>
      <c r="R109" s="59" t="s">
        <v>7</v>
      </c>
    </row>
    <row r="110" spans="1:20" ht="15.75" customHeight="1" x14ac:dyDescent="0.3">
      <c r="A110" s="61" t="s">
        <v>103</v>
      </c>
      <c r="B110" s="1"/>
      <c r="C110" s="1"/>
      <c r="D110" s="1"/>
      <c r="E110" s="59">
        <f t="shared" ref="E110:E115" si="15">SUM(B110:D110)</f>
        <v>0</v>
      </c>
      <c r="F110" s="1"/>
      <c r="G110" s="1"/>
      <c r="H110" s="1"/>
      <c r="I110" s="59">
        <f t="shared" ref="I110:I115" si="16">SUM(F110:H110)</f>
        <v>0</v>
      </c>
      <c r="J110" s="1"/>
      <c r="K110" s="1"/>
      <c r="L110" s="1"/>
      <c r="M110" s="59">
        <f t="shared" ref="M110:M115" si="17">SUM(J110:L110)</f>
        <v>0</v>
      </c>
      <c r="N110" s="1"/>
      <c r="O110" s="1"/>
      <c r="P110" s="1"/>
      <c r="Q110" s="59">
        <f t="shared" ref="Q110:Q115" si="18">SUM(N110:P110)</f>
        <v>0</v>
      </c>
      <c r="R110" s="59">
        <f t="shared" ref="R110:R115" si="19">+E110+I110+M110+Q110</f>
        <v>0</v>
      </c>
    </row>
    <row r="111" spans="1:20" ht="15.75" customHeight="1" x14ac:dyDescent="0.3">
      <c r="A111" s="61" t="s">
        <v>104</v>
      </c>
      <c r="B111" s="1"/>
      <c r="C111" s="1"/>
      <c r="D111" s="1"/>
      <c r="E111" s="59">
        <f t="shared" si="15"/>
        <v>0</v>
      </c>
      <c r="F111" s="1"/>
      <c r="G111" s="1"/>
      <c r="H111" s="1"/>
      <c r="I111" s="59">
        <f t="shared" si="16"/>
        <v>0</v>
      </c>
      <c r="J111" s="1"/>
      <c r="K111" s="1"/>
      <c r="L111" s="1"/>
      <c r="M111" s="59">
        <f t="shared" si="17"/>
        <v>0</v>
      </c>
      <c r="N111" s="1"/>
      <c r="O111" s="1"/>
      <c r="P111" s="1"/>
      <c r="Q111" s="59">
        <f t="shared" si="18"/>
        <v>0</v>
      </c>
      <c r="R111" s="59">
        <f t="shared" si="19"/>
        <v>0</v>
      </c>
    </row>
    <row r="112" spans="1:20" ht="15.75" customHeight="1" x14ac:dyDescent="0.3">
      <c r="A112" s="61" t="s">
        <v>105</v>
      </c>
      <c r="B112" s="1"/>
      <c r="C112" s="1"/>
      <c r="D112" s="1"/>
      <c r="E112" s="59">
        <f t="shared" si="15"/>
        <v>0</v>
      </c>
      <c r="F112" s="1"/>
      <c r="G112" s="1"/>
      <c r="H112" s="1"/>
      <c r="I112" s="59">
        <f t="shared" si="16"/>
        <v>0</v>
      </c>
      <c r="J112" s="1"/>
      <c r="K112" s="1"/>
      <c r="L112" s="1"/>
      <c r="M112" s="59">
        <f t="shared" si="17"/>
        <v>0</v>
      </c>
      <c r="N112" s="1"/>
      <c r="O112" s="1"/>
      <c r="P112" s="1"/>
      <c r="Q112" s="59">
        <f t="shared" si="18"/>
        <v>0</v>
      </c>
      <c r="R112" s="59">
        <f t="shared" si="19"/>
        <v>0</v>
      </c>
    </row>
    <row r="113" spans="1:20" ht="15.75" customHeight="1" x14ac:dyDescent="0.3">
      <c r="A113" s="61" t="s">
        <v>106</v>
      </c>
      <c r="B113" s="1"/>
      <c r="C113" s="1"/>
      <c r="D113" s="1"/>
      <c r="E113" s="59">
        <f t="shared" si="15"/>
        <v>0</v>
      </c>
      <c r="F113" s="1"/>
      <c r="G113" s="1"/>
      <c r="H113" s="1"/>
      <c r="I113" s="59">
        <f t="shared" si="16"/>
        <v>0</v>
      </c>
      <c r="J113" s="1"/>
      <c r="K113" s="1"/>
      <c r="L113" s="1"/>
      <c r="M113" s="59">
        <f t="shared" si="17"/>
        <v>0</v>
      </c>
      <c r="N113" s="1"/>
      <c r="O113" s="1"/>
      <c r="P113" s="1"/>
      <c r="Q113" s="59">
        <f t="shared" si="18"/>
        <v>0</v>
      </c>
      <c r="R113" s="59">
        <f t="shared" si="19"/>
        <v>0</v>
      </c>
    </row>
    <row r="114" spans="1:20" ht="15.75" customHeight="1" x14ac:dyDescent="0.3">
      <c r="A114" s="61" t="s">
        <v>107</v>
      </c>
      <c r="B114" s="1"/>
      <c r="C114" s="1"/>
      <c r="D114" s="1"/>
      <c r="E114" s="59">
        <f t="shared" si="15"/>
        <v>0</v>
      </c>
      <c r="F114" s="1"/>
      <c r="G114" s="1"/>
      <c r="H114" s="1"/>
      <c r="I114" s="59">
        <f t="shared" si="16"/>
        <v>0</v>
      </c>
      <c r="J114" s="1"/>
      <c r="K114" s="1"/>
      <c r="L114" s="1"/>
      <c r="M114" s="59">
        <f t="shared" si="17"/>
        <v>0</v>
      </c>
      <c r="N114" s="1"/>
      <c r="O114" s="1"/>
      <c r="P114" s="1"/>
      <c r="Q114" s="59">
        <f t="shared" si="18"/>
        <v>0</v>
      </c>
      <c r="R114" s="59">
        <f t="shared" si="19"/>
        <v>0</v>
      </c>
    </row>
    <row r="115" spans="1:20" ht="15.75" customHeight="1" x14ac:dyDescent="0.3">
      <c r="A115" s="61" t="s">
        <v>108</v>
      </c>
      <c r="B115" s="1"/>
      <c r="C115" s="1"/>
      <c r="D115" s="1"/>
      <c r="E115" s="59">
        <f t="shared" si="15"/>
        <v>0</v>
      </c>
      <c r="F115" s="1"/>
      <c r="G115" s="1"/>
      <c r="H115" s="1"/>
      <c r="I115" s="59">
        <f t="shared" si="16"/>
        <v>0</v>
      </c>
      <c r="J115" s="1"/>
      <c r="K115" s="1"/>
      <c r="L115" s="1"/>
      <c r="M115" s="59">
        <f t="shared" si="17"/>
        <v>0</v>
      </c>
      <c r="N115" s="1"/>
      <c r="O115" s="1"/>
      <c r="P115" s="1"/>
      <c r="Q115" s="59">
        <f t="shared" si="18"/>
        <v>0</v>
      </c>
      <c r="R115" s="59">
        <f t="shared" si="19"/>
        <v>0</v>
      </c>
    </row>
    <row r="116" spans="1:20" ht="15.75" customHeight="1" x14ac:dyDescent="0.3">
      <c r="A116" s="61" t="s">
        <v>109</v>
      </c>
      <c r="B116" s="1"/>
      <c r="C116" s="1"/>
      <c r="D116" s="1"/>
      <c r="E116" s="59">
        <f>SUM(B116:D116)</f>
        <v>0</v>
      </c>
      <c r="F116" s="1"/>
      <c r="G116" s="1"/>
      <c r="H116" s="1"/>
      <c r="I116" s="59">
        <f>SUM(F116:H116)</f>
        <v>0</v>
      </c>
      <c r="J116" s="1"/>
      <c r="K116" s="1"/>
      <c r="L116" s="1"/>
      <c r="M116" s="59">
        <f>SUM(J116:L116)</f>
        <v>0</v>
      </c>
      <c r="N116" s="1"/>
      <c r="O116" s="1"/>
      <c r="P116" s="1"/>
      <c r="Q116" s="59">
        <f>SUM(N116:P116)</f>
        <v>0</v>
      </c>
      <c r="R116" s="59">
        <f>+E116+I116+M116+Q116</f>
        <v>0</v>
      </c>
    </row>
    <row r="117" spans="1:20" ht="15.75" customHeight="1" x14ac:dyDescent="0.3">
      <c r="A117" s="78" t="s">
        <v>110</v>
      </c>
      <c r="B117" s="1"/>
      <c r="C117" s="1"/>
      <c r="D117" s="1"/>
      <c r="E117" s="59">
        <f>SUM(B117:D117)</f>
        <v>0</v>
      </c>
      <c r="F117" s="1"/>
      <c r="G117" s="1"/>
      <c r="H117" s="1"/>
      <c r="I117" s="59">
        <f>SUM(F117:H117)</f>
        <v>0</v>
      </c>
      <c r="J117" s="1"/>
      <c r="K117" s="1"/>
      <c r="L117" s="1"/>
      <c r="M117" s="59">
        <f>SUM(J117:L117)</f>
        <v>0</v>
      </c>
      <c r="N117" s="1"/>
      <c r="O117" s="1"/>
      <c r="P117" s="1"/>
      <c r="Q117" s="59">
        <f>SUM(N117:P117)</f>
        <v>0</v>
      </c>
      <c r="R117" s="59">
        <f>+E117+I117+M117+Q117</f>
        <v>0</v>
      </c>
      <c r="T117" s="4" t="s">
        <v>111</v>
      </c>
    </row>
    <row r="118" spans="1:20" ht="15.75" customHeight="1" x14ac:dyDescent="0.3">
      <c r="A118" s="22" t="s">
        <v>64</v>
      </c>
      <c r="B118" s="60"/>
      <c r="C118" s="60"/>
      <c r="D118" s="60"/>
      <c r="E118" s="59" t="s">
        <v>7</v>
      </c>
      <c r="F118" s="60"/>
      <c r="G118" s="60"/>
      <c r="H118" s="60"/>
      <c r="I118" s="59" t="s">
        <v>7</v>
      </c>
      <c r="J118" s="60"/>
      <c r="K118" s="60"/>
      <c r="L118" s="60"/>
      <c r="M118" s="59" t="s">
        <v>7</v>
      </c>
      <c r="N118" s="60"/>
      <c r="O118" s="60"/>
      <c r="P118" s="60"/>
      <c r="Q118" s="59" t="s">
        <v>7</v>
      </c>
      <c r="R118" s="59" t="s">
        <v>7</v>
      </c>
    </row>
    <row r="119" spans="1:20" ht="15.75" customHeight="1" x14ac:dyDescent="0.3">
      <c r="A119" s="61" t="s">
        <v>112</v>
      </c>
      <c r="B119" s="1"/>
      <c r="C119" s="1"/>
      <c r="D119" s="1"/>
      <c r="E119" s="59">
        <f>SUM(B119:D119)</f>
        <v>0</v>
      </c>
      <c r="F119" s="1"/>
      <c r="G119" s="1"/>
      <c r="H119" s="1"/>
      <c r="I119" s="59">
        <f>SUM(F119:H119)</f>
        <v>0</v>
      </c>
      <c r="J119" s="1"/>
      <c r="K119" s="1"/>
      <c r="L119" s="1"/>
      <c r="M119" s="59">
        <f>SUM(J119:L119)</f>
        <v>0</v>
      </c>
      <c r="N119" s="1"/>
      <c r="O119" s="1"/>
      <c r="P119" s="1"/>
      <c r="Q119" s="59">
        <f>SUM(N119:P119)</f>
        <v>0</v>
      </c>
      <c r="R119" s="59">
        <f>+E119+I119+M119+Q119</f>
        <v>0</v>
      </c>
    </row>
    <row r="120" spans="1:20" ht="15.75" customHeight="1" x14ac:dyDescent="0.3">
      <c r="A120" s="61" t="s">
        <v>113</v>
      </c>
      <c r="B120" s="1"/>
      <c r="C120" s="1"/>
      <c r="D120" s="1"/>
      <c r="E120" s="59">
        <f>SUM(B120:D120)</f>
        <v>0</v>
      </c>
      <c r="F120" s="1"/>
      <c r="G120" s="1"/>
      <c r="H120" s="1"/>
      <c r="I120" s="59">
        <f>SUM(F120:H120)</f>
        <v>0</v>
      </c>
      <c r="J120" s="1"/>
      <c r="K120" s="1"/>
      <c r="L120" s="1"/>
      <c r="M120" s="59">
        <f>SUM(J120:L120)</f>
        <v>0</v>
      </c>
      <c r="N120" s="1"/>
      <c r="O120" s="1"/>
      <c r="P120" s="1"/>
      <c r="Q120" s="59">
        <f>SUM(N120:P120)</f>
        <v>0</v>
      </c>
      <c r="R120" s="59">
        <f>+E120+I120+M120+Q120</f>
        <v>0</v>
      </c>
      <c r="S120" s="4" t="s">
        <v>964</v>
      </c>
    </row>
    <row r="121" spans="1:20" ht="15.75" customHeight="1" x14ac:dyDescent="0.3">
      <c r="A121" s="22" t="s">
        <v>66</v>
      </c>
      <c r="B121" s="60"/>
      <c r="C121" s="60"/>
      <c r="D121" s="60"/>
      <c r="E121" s="59" t="s">
        <v>7</v>
      </c>
      <c r="F121" s="60"/>
      <c r="G121" s="60"/>
      <c r="H121" s="60"/>
      <c r="I121" s="59" t="s">
        <v>7</v>
      </c>
      <c r="J121" s="60"/>
      <c r="K121" s="60"/>
      <c r="L121" s="60"/>
      <c r="M121" s="59" t="s">
        <v>7</v>
      </c>
      <c r="N121" s="60"/>
      <c r="O121" s="60"/>
      <c r="P121" s="60"/>
      <c r="Q121" s="59" t="s">
        <v>7</v>
      </c>
      <c r="R121" s="59" t="s">
        <v>7</v>
      </c>
    </row>
    <row r="122" spans="1:20" ht="15.75" customHeight="1" x14ac:dyDescent="0.3">
      <c r="A122" s="61" t="s">
        <v>114</v>
      </c>
      <c r="B122" s="1"/>
      <c r="C122" s="1"/>
      <c r="D122" s="1"/>
      <c r="E122" s="59">
        <f>SUM(B122:D122)</f>
        <v>0</v>
      </c>
      <c r="F122" s="1"/>
      <c r="G122" s="1"/>
      <c r="H122" s="1"/>
      <c r="I122" s="59">
        <f>SUM(F122:H122)</f>
        <v>0</v>
      </c>
      <c r="J122" s="1"/>
      <c r="K122" s="1"/>
      <c r="L122" s="1"/>
      <c r="M122" s="59">
        <f>SUM(J122:L122)</f>
        <v>0</v>
      </c>
      <c r="N122" s="1"/>
      <c r="O122" s="1"/>
      <c r="P122" s="1"/>
      <c r="Q122" s="59">
        <f>SUM(N122:P122)</f>
        <v>0</v>
      </c>
      <c r="R122" s="59">
        <f>+E122+I122+M122+Q122</f>
        <v>0</v>
      </c>
      <c r="T122" s="4" t="s">
        <v>78</v>
      </c>
    </row>
    <row r="123" spans="1:20" ht="15.75" customHeight="1" x14ac:dyDescent="0.3">
      <c r="A123" s="22" t="s">
        <v>67</v>
      </c>
      <c r="B123" s="60"/>
      <c r="C123" s="60"/>
      <c r="D123" s="60"/>
      <c r="E123" s="59" t="s">
        <v>7</v>
      </c>
      <c r="F123" s="60"/>
      <c r="G123" s="60"/>
      <c r="H123" s="60"/>
      <c r="I123" s="59" t="s">
        <v>7</v>
      </c>
      <c r="J123" s="60"/>
      <c r="K123" s="60"/>
      <c r="L123" s="60"/>
      <c r="M123" s="59" t="s">
        <v>7</v>
      </c>
      <c r="N123" s="60"/>
      <c r="O123" s="60"/>
      <c r="P123" s="60"/>
      <c r="Q123" s="59" t="s">
        <v>7</v>
      </c>
      <c r="R123" s="59" t="s">
        <v>7</v>
      </c>
    </row>
    <row r="124" spans="1:20" ht="15.75" customHeight="1" x14ac:dyDescent="0.3">
      <c r="A124" s="61" t="s">
        <v>115</v>
      </c>
      <c r="B124" s="1"/>
      <c r="C124" s="1"/>
      <c r="D124" s="1"/>
      <c r="E124" s="59">
        <f t="shared" ref="E124:E129" si="20">SUM(B124:D124)</f>
        <v>0</v>
      </c>
      <c r="F124" s="1"/>
      <c r="G124" s="1"/>
      <c r="H124" s="1"/>
      <c r="I124" s="59">
        <f t="shared" ref="I124:I129" si="21">SUM(F124:H124)</f>
        <v>0</v>
      </c>
      <c r="J124" s="1"/>
      <c r="K124" s="1">
        <v>100</v>
      </c>
      <c r="L124" s="1">
        <v>100</v>
      </c>
      <c r="M124" s="59">
        <f t="shared" ref="M124:M129" si="22">SUM(J124:L124)</f>
        <v>200</v>
      </c>
      <c r="N124" s="1">
        <v>25</v>
      </c>
      <c r="O124" s="1">
        <v>275</v>
      </c>
      <c r="P124" s="1"/>
      <c r="Q124" s="59">
        <f t="shared" ref="Q124:Q129" si="23">SUM(N124:P124)</f>
        <v>300</v>
      </c>
      <c r="R124" s="59">
        <f t="shared" ref="R124:R129" si="24">+E124+I124+M124+Q124</f>
        <v>500</v>
      </c>
      <c r="S124" s="4" t="s">
        <v>964</v>
      </c>
    </row>
    <row r="125" spans="1:20" ht="15.75" customHeight="1" thickBot="1" x14ac:dyDescent="0.35">
      <c r="A125" s="61" t="s">
        <v>116</v>
      </c>
      <c r="B125" s="1"/>
      <c r="C125" s="1"/>
      <c r="D125" s="1"/>
      <c r="E125" s="59">
        <f t="shared" si="20"/>
        <v>0</v>
      </c>
      <c r="F125" s="1"/>
      <c r="G125" s="1"/>
      <c r="H125" s="1"/>
      <c r="I125" s="59">
        <f t="shared" si="21"/>
        <v>0</v>
      </c>
      <c r="J125" s="1"/>
      <c r="K125" s="1">
        <v>302</v>
      </c>
      <c r="L125" s="1">
        <v>400</v>
      </c>
      <c r="M125" s="59">
        <f t="shared" si="22"/>
        <v>702</v>
      </c>
      <c r="N125" s="1">
        <v>76</v>
      </c>
      <c r="O125" s="1">
        <v>261</v>
      </c>
      <c r="P125" s="1">
        <v>96</v>
      </c>
      <c r="Q125" s="59">
        <f t="shared" si="23"/>
        <v>433</v>
      </c>
      <c r="R125" s="59">
        <f t="shared" si="24"/>
        <v>1135</v>
      </c>
    </row>
    <row r="126" spans="1:20" ht="16.5" customHeight="1" thickBot="1" x14ac:dyDescent="0.35">
      <c r="A126" s="62" t="s">
        <v>68</v>
      </c>
      <c r="B126" s="63">
        <f>SUM(B121:B125)</f>
        <v>0</v>
      </c>
      <c r="C126" s="63">
        <f>SUM(C121:C125)</f>
        <v>0</v>
      </c>
      <c r="D126" s="63">
        <f>SUM(D121:D125)</f>
        <v>0</v>
      </c>
      <c r="E126" s="334">
        <f t="shared" si="20"/>
        <v>0</v>
      </c>
      <c r="F126" s="63">
        <f>SUM(F121:F125)</f>
        <v>0</v>
      </c>
      <c r="G126" s="63">
        <f>SUM(G121:G125)</f>
        <v>0</v>
      </c>
      <c r="H126" s="63">
        <f>SUM(H121:H125)</f>
        <v>0</v>
      </c>
      <c r="I126" s="334">
        <f t="shared" si="21"/>
        <v>0</v>
      </c>
      <c r="J126" s="63">
        <f>SUM(J121:J125)</f>
        <v>0</v>
      </c>
      <c r="K126" s="63">
        <f>SUM(K121:K125)</f>
        <v>402</v>
      </c>
      <c r="L126" s="63">
        <f>SUM(L121:L125)</f>
        <v>500</v>
      </c>
      <c r="M126" s="334">
        <f t="shared" si="22"/>
        <v>902</v>
      </c>
      <c r="N126" s="63">
        <f>SUM(N121:N125)</f>
        <v>101</v>
      </c>
      <c r="O126" s="63">
        <f>SUM(O121:O125)</f>
        <v>536</v>
      </c>
      <c r="P126" s="63">
        <f>SUM(P121:P125)</f>
        <v>96</v>
      </c>
      <c r="Q126" s="334">
        <f t="shared" si="23"/>
        <v>733</v>
      </c>
      <c r="R126" s="64">
        <f t="shared" si="24"/>
        <v>1635</v>
      </c>
    </row>
    <row r="127" spans="1:20" ht="16.5" customHeight="1" thickBot="1" x14ac:dyDescent="0.35">
      <c r="A127" s="62" t="s">
        <v>69</v>
      </c>
      <c r="B127" s="63">
        <f>SUM(B108:B125)</f>
        <v>0</v>
      </c>
      <c r="C127" s="63">
        <f>SUM(C108:C125)</f>
        <v>0</v>
      </c>
      <c r="D127" s="63">
        <f>SUM(D108:D125)</f>
        <v>0</v>
      </c>
      <c r="E127" s="334">
        <f t="shared" si="20"/>
        <v>0</v>
      </c>
      <c r="F127" s="63">
        <f>SUM(F108:F125)</f>
        <v>0</v>
      </c>
      <c r="G127" s="63">
        <f>SUM(G108:G125)</f>
        <v>0</v>
      </c>
      <c r="H127" s="63">
        <f>SUM(H108:H125)</f>
        <v>0</v>
      </c>
      <c r="I127" s="334">
        <f t="shared" si="21"/>
        <v>0</v>
      </c>
      <c r="J127" s="63">
        <f>SUM(J108:J125)</f>
        <v>0</v>
      </c>
      <c r="K127" s="63">
        <f>SUM(K108:K125)</f>
        <v>402</v>
      </c>
      <c r="L127" s="63">
        <f>SUM(L108:L125)</f>
        <v>500</v>
      </c>
      <c r="M127" s="334">
        <f t="shared" si="22"/>
        <v>902</v>
      </c>
      <c r="N127" s="63">
        <f>SUM(N108:N125)</f>
        <v>101</v>
      </c>
      <c r="O127" s="63">
        <f>SUM(O108:O125)</f>
        <v>536</v>
      </c>
      <c r="P127" s="63">
        <f>SUM(P108:P125)</f>
        <v>96</v>
      </c>
      <c r="Q127" s="334">
        <f t="shared" si="23"/>
        <v>733</v>
      </c>
      <c r="R127" s="64">
        <f t="shared" si="24"/>
        <v>1635</v>
      </c>
    </row>
    <row r="128" spans="1:20" ht="16.5" customHeight="1" thickBot="1" x14ac:dyDescent="0.35">
      <c r="A128" s="62" t="s">
        <v>70</v>
      </c>
      <c r="B128" s="63">
        <f>+B89+B96+B107+B127</f>
        <v>680</v>
      </c>
      <c r="C128" s="63">
        <f>+C89+C96+C107+C127</f>
        <v>1011</v>
      </c>
      <c r="D128" s="63">
        <f>+D89+D96+D107+D127</f>
        <v>2789</v>
      </c>
      <c r="E128" s="64">
        <f t="shared" si="20"/>
        <v>4480</v>
      </c>
      <c r="F128" s="63">
        <f>+F89+F96+F107+F127</f>
        <v>5040</v>
      </c>
      <c r="G128" s="63">
        <f>+G89+G96+G107+G127</f>
        <v>5826</v>
      </c>
      <c r="H128" s="63">
        <f>+H89+H96+H107+H127</f>
        <v>6210</v>
      </c>
      <c r="I128" s="64">
        <f t="shared" si="21"/>
        <v>17076</v>
      </c>
      <c r="J128" s="63">
        <f>+J89+J96+J107+J127</f>
        <v>6193</v>
      </c>
      <c r="K128" s="63">
        <f>+K89+K96+K107+K127</f>
        <v>6626</v>
      </c>
      <c r="L128" s="63">
        <f>+L89+L96+L107+L127</f>
        <v>4422</v>
      </c>
      <c r="M128" s="64">
        <f t="shared" si="22"/>
        <v>17241</v>
      </c>
      <c r="N128" s="63">
        <f>+N89+N96+N107+N127</f>
        <v>524</v>
      </c>
      <c r="O128" s="63">
        <f>+O89+O96+O107+O127</f>
        <v>2677</v>
      </c>
      <c r="P128" s="63">
        <f>+P89+P96+P107+P127</f>
        <v>1924</v>
      </c>
      <c r="Q128" s="64">
        <f t="shared" si="23"/>
        <v>5125</v>
      </c>
      <c r="R128" s="64">
        <f t="shared" si="24"/>
        <v>43922</v>
      </c>
    </row>
    <row r="129" spans="1:20" ht="16.5" customHeight="1" thickBot="1" x14ac:dyDescent="0.35">
      <c r="A129" s="79" t="s">
        <v>37</v>
      </c>
      <c r="B129" s="25">
        <v>173</v>
      </c>
      <c r="C129" s="25">
        <v>260</v>
      </c>
      <c r="D129" s="25">
        <v>471</v>
      </c>
      <c r="E129" s="59">
        <f t="shared" si="20"/>
        <v>904</v>
      </c>
      <c r="F129" s="25">
        <v>629</v>
      </c>
      <c r="G129" s="25">
        <v>725</v>
      </c>
      <c r="H129" s="25">
        <v>712</v>
      </c>
      <c r="I129" s="59">
        <f t="shared" si="21"/>
        <v>2066</v>
      </c>
      <c r="J129" s="25">
        <v>711</v>
      </c>
      <c r="K129" s="25">
        <v>573</v>
      </c>
      <c r="L129" s="25">
        <v>542</v>
      </c>
      <c r="M129" s="59">
        <f t="shared" si="22"/>
        <v>1826</v>
      </c>
      <c r="N129" s="25">
        <v>490</v>
      </c>
      <c r="O129" s="25">
        <v>407</v>
      </c>
      <c r="P129" s="25">
        <v>323</v>
      </c>
      <c r="Q129" s="59">
        <f t="shared" si="23"/>
        <v>1220</v>
      </c>
      <c r="R129" s="59">
        <f t="shared" si="24"/>
        <v>6016</v>
      </c>
    </row>
    <row r="130" spans="1:20" ht="16.5" customHeight="1" thickBot="1" x14ac:dyDescent="0.35">
      <c r="A130" s="80"/>
      <c r="B130" s="81"/>
      <c r="C130" s="81"/>
      <c r="D130" s="81"/>
      <c r="E130" s="64" t="s">
        <v>7</v>
      </c>
      <c r="F130" s="81"/>
      <c r="G130" s="81"/>
      <c r="H130" s="81"/>
      <c r="I130" s="64" t="s">
        <v>7</v>
      </c>
      <c r="J130" s="81"/>
      <c r="K130" s="81"/>
      <c r="L130" s="81"/>
      <c r="M130" s="64" t="s">
        <v>7</v>
      </c>
      <c r="N130" s="81"/>
      <c r="O130" s="81"/>
      <c r="P130" s="81"/>
      <c r="Q130" s="64" t="s">
        <v>7</v>
      </c>
      <c r="R130" s="64" t="s">
        <v>7</v>
      </c>
    </row>
    <row r="131" spans="1:20" ht="15.75" customHeight="1" x14ac:dyDescent="0.3">
      <c r="A131" s="335" t="s">
        <v>38</v>
      </c>
      <c r="B131" s="336">
        <f>+B128+B129</f>
        <v>853</v>
      </c>
      <c r="C131" s="336">
        <f>+C128+C129</f>
        <v>1271</v>
      </c>
      <c r="D131" s="336">
        <f>+D128+D129</f>
        <v>3260</v>
      </c>
      <c r="E131" s="59">
        <f>SUM(B131:D131)</f>
        <v>5384</v>
      </c>
      <c r="F131" s="336">
        <f>+F128+F129</f>
        <v>5669</v>
      </c>
      <c r="G131" s="336">
        <f>+G128+G129</f>
        <v>6551</v>
      </c>
      <c r="H131" s="336">
        <f>+H128+H129</f>
        <v>6922</v>
      </c>
      <c r="I131" s="59">
        <f>SUM(F131:H131)</f>
        <v>19142</v>
      </c>
      <c r="J131" s="336">
        <f>+J128+J129</f>
        <v>6904</v>
      </c>
      <c r="K131" s="336">
        <f>+K128+K129</f>
        <v>7199</v>
      </c>
      <c r="L131" s="336">
        <f>+L128+L129</f>
        <v>4964</v>
      </c>
      <c r="M131" s="59">
        <f>SUM(J131:L131)</f>
        <v>19067</v>
      </c>
      <c r="N131" s="336">
        <f>+N128+N129</f>
        <v>1014</v>
      </c>
      <c r="O131" s="336">
        <f>+O128+O129</f>
        <v>3084</v>
      </c>
      <c r="P131" s="336">
        <f>+P128+P129</f>
        <v>2247</v>
      </c>
      <c r="Q131" s="59">
        <f>SUM(N131:P131)</f>
        <v>6345</v>
      </c>
      <c r="R131" s="59">
        <f>+E131+I131+M131+Q131</f>
        <v>49938</v>
      </c>
    </row>
    <row r="132" spans="1:20" ht="15.75" customHeight="1" x14ac:dyDescent="0.3">
      <c r="A132" s="84" t="s">
        <v>39</v>
      </c>
      <c r="B132" s="1">
        <f>(B131/B10)/1.983</f>
        <v>13.876010606282431</v>
      </c>
      <c r="C132" s="1">
        <f>(C131/C10)/1.983</f>
        <v>22.89100208918666</v>
      </c>
      <c r="D132" s="1">
        <f>(D131/D10)/1.983</f>
        <v>53.031412164690181</v>
      </c>
      <c r="E132" s="59" t="s">
        <v>7</v>
      </c>
      <c r="F132" s="1">
        <f>(F131/F10)/1.983</f>
        <v>95.293326609514196</v>
      </c>
      <c r="G132" s="1">
        <f>(G131/G10)/1.983</f>
        <v>106.56711076407528</v>
      </c>
      <c r="H132" s="1">
        <f>(H131/H10)/1.983</f>
        <v>116.35569003193812</v>
      </c>
      <c r="I132" s="59" t="s">
        <v>7</v>
      </c>
      <c r="J132" s="1">
        <f>(J131/J10)/1.983</f>
        <v>112.30946919785922</v>
      </c>
      <c r="K132" s="1">
        <f>(K131/K10)/1.983</f>
        <v>117.10832397963333</v>
      </c>
      <c r="L132" s="1">
        <f>(L131/L10)/1.983</f>
        <v>83.442595394183897</v>
      </c>
      <c r="M132" s="59" t="s">
        <v>7</v>
      </c>
      <c r="N132" s="1">
        <f>(N131/N10)/1.983</f>
        <v>16.49504660582695</v>
      </c>
      <c r="O132" s="1">
        <f>(O131/O10)/1.983</f>
        <v>51.840645486636404</v>
      </c>
      <c r="P132" s="1">
        <f>(P131/P10)/1.983</f>
        <v>36.552632863208238</v>
      </c>
      <c r="Q132" s="59" t="s">
        <v>7</v>
      </c>
      <c r="R132" s="59" t="s">
        <v>7</v>
      </c>
    </row>
    <row r="133" spans="1:20" ht="15.75" customHeight="1" x14ac:dyDescent="0.3">
      <c r="A133" s="85" t="s">
        <v>117</v>
      </c>
      <c r="B133" s="1">
        <f>B131+B315</f>
        <v>89520</v>
      </c>
      <c r="C133" s="1">
        <f>C131+C315</f>
        <v>106851</v>
      </c>
      <c r="D133" s="1">
        <f>D131+D315</f>
        <v>137060</v>
      </c>
      <c r="E133" s="59">
        <f>SUM(B133:D133)</f>
        <v>333431</v>
      </c>
      <c r="F133" s="1">
        <f>F131+F315</f>
        <v>167936</v>
      </c>
      <c r="G133" s="1">
        <f>G131+G315</f>
        <v>178581</v>
      </c>
      <c r="H133" s="1">
        <f>H131+H315</f>
        <v>91262</v>
      </c>
      <c r="I133" s="59">
        <f>SUM(F133:H133)</f>
        <v>437779</v>
      </c>
      <c r="J133" s="1">
        <f>J131+J315</f>
        <v>77895</v>
      </c>
      <c r="K133" s="1">
        <f>K131+K315</f>
        <v>27708</v>
      </c>
      <c r="L133" s="1">
        <f>L131+L315</f>
        <v>164659</v>
      </c>
      <c r="M133" s="59">
        <f>SUM(J133:L133)</f>
        <v>270262</v>
      </c>
      <c r="N133" s="1">
        <f>N131+N315</f>
        <v>174641</v>
      </c>
      <c r="O133" s="1">
        <f>O131+O315</f>
        <v>170763</v>
      </c>
      <c r="P133" s="1">
        <f>P131+P315</f>
        <v>142079</v>
      </c>
      <c r="Q133" s="59">
        <f>SUM(N133:P133)</f>
        <v>487483</v>
      </c>
      <c r="R133" s="59">
        <f>+E133+I133+M133+Q133</f>
        <v>1528955</v>
      </c>
    </row>
    <row r="134" spans="1:20" ht="16.5" customHeight="1" thickBot="1" x14ac:dyDescent="0.35">
      <c r="A134" s="86" t="s">
        <v>118</v>
      </c>
      <c r="B134" s="87">
        <f>(B133/B10)/1.983</f>
        <v>1456.2490849641304</v>
      </c>
      <c r="C134" s="87">
        <f>(C133/C10)/1.983</f>
        <v>1924.4110654851954</v>
      </c>
      <c r="D134" s="87">
        <f>(D133/D10)/1.983</f>
        <v>2229.5967335252872</v>
      </c>
      <c r="E134" s="88" t="s">
        <v>7</v>
      </c>
      <c r="F134" s="87">
        <f>(F133/F10)/1.983</f>
        <v>2822.9282232307951</v>
      </c>
      <c r="G134" s="87">
        <f>(G133/G10)/1.983</f>
        <v>2905.0314772339075</v>
      </c>
      <c r="H134" s="87">
        <f>(H133/H10)/1.983</f>
        <v>1534.0729534375523</v>
      </c>
      <c r="I134" s="88" t="s">
        <v>7</v>
      </c>
      <c r="J134" s="87">
        <f>(J133/J10)/1.983</f>
        <v>1267.1416719535405</v>
      </c>
      <c r="K134" s="87">
        <f>(K133/K10)/1.983</f>
        <v>450.73446879117654</v>
      </c>
      <c r="L134" s="87">
        <f>(L133/L10)/1.983</f>
        <v>2767.8433350142877</v>
      </c>
      <c r="M134" s="88" t="s">
        <v>7</v>
      </c>
      <c r="N134" s="87">
        <f>(N133/N10)/1.983</f>
        <v>2840.9382981146196</v>
      </c>
      <c r="O134" s="87">
        <f>(O133/O10)/1.983</f>
        <v>2870.4488149268786</v>
      </c>
      <c r="P134" s="87">
        <f>(P133/P10)/1.983</f>
        <v>2311.2423340328273</v>
      </c>
      <c r="Q134" s="88" t="s">
        <v>7</v>
      </c>
      <c r="R134" s="88" t="s">
        <v>7</v>
      </c>
    </row>
    <row r="135" spans="1:20" ht="15.75" customHeight="1" x14ac:dyDescent="0.3">
      <c r="A135" s="30"/>
      <c r="B135" s="1"/>
      <c r="C135" s="1"/>
      <c r="D135" s="1"/>
      <c r="E135" s="1"/>
      <c r="F135" s="1"/>
      <c r="G135" s="1"/>
      <c r="H135" s="1"/>
      <c r="I135" s="1"/>
      <c r="J135" s="1"/>
      <c r="K135" s="1"/>
      <c r="L135" s="1"/>
      <c r="M135" s="1"/>
      <c r="N135" s="1"/>
      <c r="O135" s="1"/>
      <c r="P135" s="1"/>
      <c r="Q135" s="1"/>
      <c r="R135" s="28"/>
    </row>
    <row r="136" spans="1:20" ht="15.75" customHeight="1" thickBot="1" x14ac:dyDescent="0.35">
      <c r="A136" s="30" t="s">
        <v>7</v>
      </c>
      <c r="B136" s="1"/>
      <c r="C136" s="1"/>
      <c r="D136" s="1"/>
      <c r="E136" s="1"/>
      <c r="F136" s="1"/>
      <c r="G136" s="1"/>
      <c r="H136" s="1"/>
      <c r="I136" s="1"/>
      <c r="J136" s="1"/>
      <c r="K136" s="1"/>
      <c r="L136" s="1"/>
      <c r="M136" s="1"/>
      <c r="N136" s="1"/>
      <c r="O136" s="1"/>
      <c r="P136" s="1"/>
      <c r="Q136" s="1"/>
      <c r="R136" s="28"/>
    </row>
    <row r="137" spans="1:20" ht="16.5" customHeight="1" thickBot="1" x14ac:dyDescent="0.35">
      <c r="A137" s="31" t="s">
        <v>119</v>
      </c>
      <c r="B137" s="323" t="s">
        <v>36</v>
      </c>
      <c r="C137" s="324" t="s">
        <v>9</v>
      </c>
      <c r="D137" s="324" t="s">
        <v>10</v>
      </c>
      <c r="E137" s="325" t="s">
        <v>11</v>
      </c>
      <c r="F137" s="324" t="s">
        <v>12</v>
      </c>
      <c r="G137" s="324" t="s">
        <v>13</v>
      </c>
      <c r="H137" s="324" t="s">
        <v>14</v>
      </c>
      <c r="I137" s="34" t="s">
        <v>15</v>
      </c>
      <c r="J137" s="324" t="s">
        <v>16</v>
      </c>
      <c r="K137" s="324" t="s">
        <v>17</v>
      </c>
      <c r="L137" s="324" t="s">
        <v>18</v>
      </c>
      <c r="M137" s="34" t="s">
        <v>19</v>
      </c>
      <c r="N137" s="324" t="s">
        <v>20</v>
      </c>
      <c r="O137" s="324" t="s">
        <v>21</v>
      </c>
      <c r="P137" s="324" t="s">
        <v>22</v>
      </c>
      <c r="Q137" s="34" t="s">
        <v>23</v>
      </c>
      <c r="R137" s="326" t="s">
        <v>24</v>
      </c>
    </row>
    <row r="138" spans="1:20" ht="16.5" customHeight="1" thickBot="1" x14ac:dyDescent="0.35">
      <c r="A138" s="80"/>
      <c r="B138" s="81"/>
      <c r="C138" s="81"/>
      <c r="D138" s="81"/>
      <c r="E138" s="89"/>
      <c r="F138" s="81"/>
      <c r="G138" s="81"/>
      <c r="H138" s="81"/>
      <c r="I138" s="89"/>
      <c r="J138" s="81"/>
      <c r="K138" s="81"/>
      <c r="L138" s="81"/>
      <c r="M138" s="89"/>
      <c r="N138" s="81"/>
      <c r="O138" s="81"/>
      <c r="P138" s="81"/>
      <c r="Q138" s="89"/>
      <c r="R138" s="80"/>
    </row>
    <row r="139" spans="1:20" ht="15.75" customHeight="1" x14ac:dyDescent="0.3">
      <c r="A139" s="17" t="s">
        <v>45</v>
      </c>
      <c r="B139" s="1" t="s">
        <v>7</v>
      </c>
      <c r="C139" s="1" t="s">
        <v>7</v>
      </c>
      <c r="D139" s="1" t="s">
        <v>7</v>
      </c>
      <c r="E139" s="59" t="s">
        <v>7</v>
      </c>
      <c r="F139" s="1" t="s">
        <v>7</v>
      </c>
      <c r="G139" s="1" t="s">
        <v>7</v>
      </c>
      <c r="H139" s="1" t="s">
        <v>7</v>
      </c>
      <c r="I139" s="59" t="s">
        <v>7</v>
      </c>
      <c r="J139" s="1" t="s">
        <v>7</v>
      </c>
      <c r="K139" s="1" t="s">
        <v>7</v>
      </c>
      <c r="L139" s="1" t="s">
        <v>7</v>
      </c>
      <c r="M139" s="59" t="s">
        <v>7</v>
      </c>
      <c r="N139" s="1" t="s">
        <v>7</v>
      </c>
      <c r="O139" s="1" t="s">
        <v>7</v>
      </c>
      <c r="P139" s="1" t="s">
        <v>7</v>
      </c>
      <c r="Q139" s="59" t="s">
        <v>7</v>
      </c>
      <c r="R139" s="90" t="s">
        <v>7</v>
      </c>
    </row>
    <row r="140" spans="1:20" ht="15.75" customHeight="1" x14ac:dyDescent="0.3">
      <c r="A140" s="17" t="s">
        <v>46</v>
      </c>
      <c r="B140" s="1"/>
      <c r="C140" s="1"/>
      <c r="D140" s="1"/>
      <c r="E140" s="59" t="s">
        <v>7</v>
      </c>
      <c r="F140" s="1"/>
      <c r="G140" s="1"/>
      <c r="H140" s="1"/>
      <c r="I140" s="59" t="s">
        <v>7</v>
      </c>
      <c r="J140" s="1"/>
      <c r="K140" s="1"/>
      <c r="L140" s="1"/>
      <c r="M140" s="59" t="s">
        <v>7</v>
      </c>
      <c r="N140" s="1"/>
      <c r="O140" s="1"/>
      <c r="P140" s="1"/>
      <c r="Q140" s="59" t="s">
        <v>7</v>
      </c>
      <c r="R140" s="90"/>
    </row>
    <row r="141" spans="1:20" ht="15.75" customHeight="1" x14ac:dyDescent="0.3">
      <c r="A141" s="91" t="s">
        <v>120</v>
      </c>
      <c r="B141" s="1"/>
      <c r="C141" s="1"/>
      <c r="D141" s="1">
        <v>599</v>
      </c>
      <c r="E141" s="59">
        <f t="shared" ref="E141:E144" si="25">SUM(B141:D141)</f>
        <v>599</v>
      </c>
      <c r="F141" s="1">
        <v>599</v>
      </c>
      <c r="G141" s="1">
        <v>599</v>
      </c>
      <c r="H141" s="1">
        <v>598</v>
      </c>
      <c r="I141" s="59">
        <f t="shared" ref="I141:I144" si="26">SUM(F141:H141)</f>
        <v>1796</v>
      </c>
      <c r="J141" s="1">
        <v>598</v>
      </c>
      <c r="K141" s="1">
        <v>613</v>
      </c>
      <c r="L141" s="1">
        <v>558</v>
      </c>
      <c r="M141" s="59">
        <f t="shared" ref="M141:M144" si="27">SUM(J141:L141)</f>
        <v>1769</v>
      </c>
      <c r="N141" s="1">
        <v>25</v>
      </c>
      <c r="O141" s="1"/>
      <c r="P141" s="1"/>
      <c r="Q141" s="59">
        <f t="shared" ref="Q141:Q147" si="28">SUM(N141:P141)</f>
        <v>25</v>
      </c>
      <c r="R141" s="59">
        <f>+E141+I141+M141+Q141</f>
        <v>4189</v>
      </c>
      <c r="T141" s="4" t="s">
        <v>121</v>
      </c>
    </row>
    <row r="142" spans="1:20" ht="15.75" customHeight="1" x14ac:dyDescent="0.3">
      <c r="A142" s="91" t="s">
        <v>122</v>
      </c>
      <c r="B142" s="1"/>
      <c r="C142" s="1">
        <v>232</v>
      </c>
      <c r="D142" s="1">
        <v>877</v>
      </c>
      <c r="E142" s="59">
        <f t="shared" si="25"/>
        <v>1109</v>
      </c>
      <c r="F142" s="1">
        <v>1512</v>
      </c>
      <c r="G142" s="1">
        <v>1111</v>
      </c>
      <c r="H142" s="1">
        <v>1500</v>
      </c>
      <c r="I142" s="59">
        <f t="shared" si="26"/>
        <v>4123</v>
      </c>
      <c r="J142" s="1">
        <v>1639</v>
      </c>
      <c r="K142" s="1">
        <v>1515</v>
      </c>
      <c r="L142" s="1">
        <v>1227</v>
      </c>
      <c r="M142" s="59">
        <f>SUM(J142:L142)</f>
        <v>4381</v>
      </c>
      <c r="N142" s="1">
        <v>921</v>
      </c>
      <c r="O142" s="1">
        <v>100</v>
      </c>
      <c r="P142" s="1"/>
      <c r="Q142" s="59">
        <f t="shared" si="28"/>
        <v>1021</v>
      </c>
      <c r="R142" s="59">
        <f t="shared" ref="R142:R187" si="29">+E142+I142+M142+Q142</f>
        <v>10634</v>
      </c>
      <c r="T142" s="4" t="s">
        <v>121</v>
      </c>
    </row>
    <row r="143" spans="1:20" ht="15.75" customHeight="1" x14ac:dyDescent="0.3">
      <c r="A143" s="91" t="s">
        <v>123</v>
      </c>
      <c r="B143" s="1"/>
      <c r="C143" s="1"/>
      <c r="D143" s="1">
        <v>339</v>
      </c>
      <c r="E143" s="59">
        <f t="shared" si="25"/>
        <v>339</v>
      </c>
      <c r="F143" s="1">
        <v>339</v>
      </c>
      <c r="G143" s="1">
        <v>339</v>
      </c>
      <c r="H143" s="1">
        <v>339</v>
      </c>
      <c r="I143" s="59">
        <f t="shared" si="26"/>
        <v>1017</v>
      </c>
      <c r="J143" s="1">
        <v>339</v>
      </c>
      <c r="K143" s="1">
        <v>354</v>
      </c>
      <c r="L143" s="1">
        <v>298</v>
      </c>
      <c r="M143" s="59">
        <f t="shared" si="27"/>
        <v>991</v>
      </c>
      <c r="N143" s="1">
        <v>25</v>
      </c>
      <c r="O143" s="1"/>
      <c r="P143" s="1"/>
      <c r="Q143" s="59">
        <f t="shared" si="28"/>
        <v>25</v>
      </c>
      <c r="R143" s="59">
        <f t="shared" si="29"/>
        <v>2372</v>
      </c>
      <c r="T143" s="4" t="s">
        <v>121</v>
      </c>
    </row>
    <row r="144" spans="1:20" ht="6" customHeight="1" x14ac:dyDescent="0.3">
      <c r="A144" s="91" t="s">
        <v>124</v>
      </c>
      <c r="B144" s="1"/>
      <c r="C144" s="1"/>
      <c r="D144" s="1">
        <v>323</v>
      </c>
      <c r="E144" s="59">
        <f t="shared" si="25"/>
        <v>323</v>
      </c>
      <c r="F144" s="1">
        <v>323</v>
      </c>
      <c r="G144" s="1">
        <v>323</v>
      </c>
      <c r="H144" s="1">
        <v>323</v>
      </c>
      <c r="I144" s="59">
        <f t="shared" si="26"/>
        <v>969</v>
      </c>
      <c r="J144" s="1">
        <v>324</v>
      </c>
      <c r="K144" s="1">
        <v>338</v>
      </c>
      <c r="L144" s="1">
        <v>283</v>
      </c>
      <c r="M144" s="59">
        <f t="shared" si="27"/>
        <v>945</v>
      </c>
      <c r="N144" s="1">
        <v>994</v>
      </c>
      <c r="O144" s="1"/>
      <c r="P144" s="1"/>
      <c r="Q144" s="59">
        <f t="shared" si="28"/>
        <v>994</v>
      </c>
      <c r="R144" s="59">
        <f t="shared" si="29"/>
        <v>3231</v>
      </c>
      <c r="T144" s="4" t="s">
        <v>121</v>
      </c>
    </row>
    <row r="145" spans="1:20" ht="6" customHeight="1" x14ac:dyDescent="0.3">
      <c r="A145" s="74" t="s">
        <v>126</v>
      </c>
      <c r="B145" s="1">
        <v>5</v>
      </c>
      <c r="C145" s="1">
        <v>1</v>
      </c>
      <c r="D145" s="1"/>
      <c r="E145" s="59">
        <f t="shared" ref="E145:E146" si="30">SUM(B145:D145)</f>
        <v>6</v>
      </c>
      <c r="F145" s="1">
        <v>2</v>
      </c>
      <c r="G145" s="1">
        <v>2</v>
      </c>
      <c r="H145" s="1">
        <v>2</v>
      </c>
      <c r="I145" s="59">
        <f t="shared" ref="I145:I184" si="31">SUM(F145:H145)</f>
        <v>6</v>
      </c>
      <c r="J145" s="1">
        <v>1</v>
      </c>
      <c r="K145" s="1"/>
      <c r="L145" s="1"/>
      <c r="M145" s="59">
        <f t="shared" ref="M145:M184" si="32">SUM(J145:L145)</f>
        <v>1</v>
      </c>
      <c r="N145" s="1"/>
      <c r="O145" s="1"/>
      <c r="P145" s="1">
        <v>17</v>
      </c>
      <c r="Q145" s="59">
        <f t="shared" si="28"/>
        <v>17</v>
      </c>
      <c r="R145" s="59">
        <f t="shared" si="29"/>
        <v>30</v>
      </c>
      <c r="T145" s="4" t="s">
        <v>127</v>
      </c>
    </row>
    <row r="146" spans="1:20" ht="6" customHeight="1" x14ac:dyDescent="0.3">
      <c r="A146" s="74" t="s">
        <v>128</v>
      </c>
      <c r="B146" s="1"/>
      <c r="C146" s="1"/>
      <c r="D146" s="1"/>
      <c r="E146" s="59">
        <f t="shared" si="30"/>
        <v>0</v>
      </c>
      <c r="F146" s="1"/>
      <c r="G146" s="1"/>
      <c r="H146" s="1">
        <v>300</v>
      </c>
      <c r="I146" s="59">
        <f t="shared" si="31"/>
        <v>300</v>
      </c>
      <c r="J146" s="1"/>
      <c r="K146" s="1"/>
      <c r="L146" s="1"/>
      <c r="M146" s="59">
        <f t="shared" si="32"/>
        <v>0</v>
      </c>
      <c r="N146" s="1"/>
      <c r="O146" s="1"/>
      <c r="P146" s="1"/>
      <c r="Q146" s="59">
        <f t="shared" ref="Q146" si="33">SUM(N146:P146)</f>
        <v>0</v>
      </c>
      <c r="R146" s="59">
        <f t="shared" si="29"/>
        <v>300</v>
      </c>
    </row>
    <row r="147" spans="1:20" ht="15.75" customHeight="1" x14ac:dyDescent="0.3">
      <c r="A147" s="91" t="s">
        <v>129</v>
      </c>
      <c r="C147" s="1"/>
      <c r="D147" s="1"/>
      <c r="E147" s="59">
        <f>SUM(C147:D147)</f>
        <v>0</v>
      </c>
      <c r="F147" s="1"/>
      <c r="G147" s="1"/>
      <c r="H147" s="1">
        <v>625</v>
      </c>
      <c r="I147" s="59">
        <f t="shared" si="31"/>
        <v>625</v>
      </c>
      <c r="J147" s="1"/>
      <c r="K147" s="1"/>
      <c r="L147" s="1"/>
      <c r="M147" s="59">
        <f t="shared" si="32"/>
        <v>0</v>
      </c>
      <c r="N147" s="1"/>
      <c r="O147" s="1"/>
      <c r="P147" s="1"/>
      <c r="Q147" s="59">
        <f t="shared" si="28"/>
        <v>0</v>
      </c>
      <c r="R147" s="59">
        <f t="shared" si="29"/>
        <v>625</v>
      </c>
      <c r="T147" s="4" t="s">
        <v>121</v>
      </c>
    </row>
    <row r="148" spans="1:20" ht="15.75" customHeight="1" x14ac:dyDescent="0.3">
      <c r="A148" s="91" t="s">
        <v>131</v>
      </c>
      <c r="B148" s="1"/>
      <c r="C148" s="1"/>
      <c r="D148" s="1"/>
      <c r="E148" s="59">
        <f t="shared" ref="E148:E163" si="34">SUM(B148:D148)</f>
        <v>0</v>
      </c>
      <c r="F148" s="1"/>
      <c r="G148" s="1"/>
      <c r="H148" s="1"/>
      <c r="I148" s="59">
        <f t="shared" si="31"/>
        <v>0</v>
      </c>
      <c r="J148" s="1"/>
      <c r="K148" s="1"/>
      <c r="L148" s="1"/>
      <c r="M148" s="59">
        <f t="shared" si="32"/>
        <v>0</v>
      </c>
      <c r="N148" s="1"/>
      <c r="O148" s="1"/>
      <c r="P148" s="1"/>
      <c r="Q148" s="59">
        <f t="shared" ref="Q148:Q190" si="35">SUM(N148:P148)</f>
        <v>0</v>
      </c>
      <c r="R148" s="59">
        <f t="shared" si="29"/>
        <v>0</v>
      </c>
      <c r="T148" s="4" t="s">
        <v>132</v>
      </c>
    </row>
    <row r="149" spans="1:20" ht="15.75" customHeight="1" x14ac:dyDescent="0.3">
      <c r="A149" s="91" t="s">
        <v>133</v>
      </c>
      <c r="B149" s="1"/>
      <c r="C149" s="1"/>
      <c r="D149" s="1">
        <v>1632</v>
      </c>
      <c r="E149" s="59">
        <f t="shared" si="34"/>
        <v>1632</v>
      </c>
      <c r="F149" s="1">
        <v>1000</v>
      </c>
      <c r="G149" s="1"/>
      <c r="H149" s="1"/>
      <c r="I149" s="59">
        <f t="shared" si="31"/>
        <v>1000</v>
      </c>
      <c r="J149" s="1"/>
      <c r="K149" s="1"/>
      <c r="L149" s="1"/>
      <c r="M149" s="59">
        <f t="shared" si="32"/>
        <v>0</v>
      </c>
      <c r="N149" s="1"/>
      <c r="O149" s="1"/>
      <c r="P149" s="1"/>
      <c r="Q149" s="59">
        <f t="shared" si="35"/>
        <v>0</v>
      </c>
      <c r="R149" s="59">
        <f t="shared" si="29"/>
        <v>2632</v>
      </c>
      <c r="T149" s="4" t="s">
        <v>134</v>
      </c>
    </row>
    <row r="150" spans="1:20" ht="15.75" customHeight="1" x14ac:dyDescent="0.3">
      <c r="A150" s="74" t="s">
        <v>135</v>
      </c>
      <c r="B150" s="1"/>
      <c r="C150" s="1"/>
      <c r="D150" s="1"/>
      <c r="E150" s="59">
        <f t="shared" si="34"/>
        <v>0</v>
      </c>
      <c r="F150" s="1"/>
      <c r="G150" s="1"/>
      <c r="H150" s="1"/>
      <c r="I150" s="59">
        <f t="shared" si="31"/>
        <v>0</v>
      </c>
      <c r="J150" s="1">
        <v>2784</v>
      </c>
      <c r="K150" s="1"/>
      <c r="L150" s="1"/>
      <c r="M150" s="59">
        <f t="shared" si="32"/>
        <v>2784</v>
      </c>
      <c r="N150" s="1"/>
      <c r="O150" s="1"/>
      <c r="P150" s="1"/>
      <c r="Q150" s="59">
        <f t="shared" si="35"/>
        <v>0</v>
      </c>
      <c r="R150" s="59">
        <f t="shared" si="29"/>
        <v>2784</v>
      </c>
      <c r="S150" s="4" t="s">
        <v>136</v>
      </c>
      <c r="T150" s="4" t="s">
        <v>137</v>
      </c>
    </row>
    <row r="151" spans="1:20" ht="15.75" customHeight="1" x14ac:dyDescent="0.3">
      <c r="A151" s="76" t="s">
        <v>138</v>
      </c>
      <c r="B151" s="1"/>
      <c r="C151" s="1"/>
      <c r="D151" s="1"/>
      <c r="E151" s="59">
        <f>SUM(B151:D151)</f>
        <v>0</v>
      </c>
      <c r="F151" s="1">
        <v>72</v>
      </c>
      <c r="G151" s="1">
        <v>97</v>
      </c>
      <c r="H151" s="1">
        <v>125</v>
      </c>
      <c r="I151" s="59">
        <f>SUM(F151:H151)</f>
        <v>294</v>
      </c>
      <c r="K151" s="1"/>
      <c r="L151" s="1"/>
      <c r="M151" s="59">
        <f>SUM(J151:L151)</f>
        <v>0</v>
      </c>
      <c r="N151" s="1"/>
      <c r="O151" s="1"/>
      <c r="P151" s="1"/>
      <c r="Q151" s="59">
        <f>SUM(N151:P151)</f>
        <v>0</v>
      </c>
      <c r="R151" s="59">
        <f>+E151+I151+M151+Q151</f>
        <v>294</v>
      </c>
      <c r="S151" s="94"/>
    </row>
    <row r="152" spans="1:20" ht="15.75" customHeight="1" x14ac:dyDescent="0.3">
      <c r="A152" s="91" t="s">
        <v>139</v>
      </c>
      <c r="B152" s="1"/>
      <c r="C152" s="1">
        <v>973</v>
      </c>
      <c r="D152" s="1">
        <v>536</v>
      </c>
      <c r="E152" s="59">
        <f t="shared" si="34"/>
        <v>1509</v>
      </c>
      <c r="F152" s="1">
        <v>1837</v>
      </c>
      <c r="G152" s="1"/>
      <c r="H152" s="1"/>
      <c r="I152" s="59">
        <f t="shared" si="31"/>
        <v>1837</v>
      </c>
      <c r="J152" s="1"/>
      <c r="K152" s="1"/>
      <c r="L152" s="1">
        <v>652</v>
      </c>
      <c r="M152" s="59">
        <f t="shared" si="32"/>
        <v>652</v>
      </c>
      <c r="N152" s="1">
        <v>925</v>
      </c>
      <c r="O152" s="1">
        <f>222+542</f>
        <v>764</v>
      </c>
      <c r="P152" s="1">
        <f>76+76</f>
        <v>152</v>
      </c>
      <c r="Q152" s="59">
        <f t="shared" si="35"/>
        <v>1841</v>
      </c>
      <c r="R152" s="59">
        <f t="shared" si="29"/>
        <v>5839</v>
      </c>
      <c r="S152" s="75" t="s">
        <v>80</v>
      </c>
      <c r="T152" s="4" t="s">
        <v>132</v>
      </c>
    </row>
    <row r="153" spans="1:20" ht="15.75" customHeight="1" x14ac:dyDescent="0.3">
      <c r="A153" s="91" t="s">
        <v>140</v>
      </c>
      <c r="B153" s="1"/>
      <c r="C153" s="1">
        <v>1157</v>
      </c>
      <c r="E153" s="59">
        <f t="shared" si="34"/>
        <v>1157</v>
      </c>
      <c r="F153" s="1"/>
      <c r="G153" s="1"/>
      <c r="H153" s="1"/>
      <c r="I153" s="59">
        <f t="shared" si="31"/>
        <v>0</v>
      </c>
      <c r="J153" s="1"/>
      <c r="K153" s="1"/>
      <c r="L153" s="1"/>
      <c r="M153" s="59">
        <f t="shared" si="32"/>
        <v>0</v>
      </c>
      <c r="N153" s="1"/>
      <c r="O153" s="1"/>
      <c r="P153" s="1"/>
      <c r="Q153" s="59">
        <f t="shared" si="35"/>
        <v>0</v>
      </c>
      <c r="R153" s="59">
        <f t="shared" si="29"/>
        <v>1157</v>
      </c>
      <c r="S153" s="75" t="s">
        <v>80</v>
      </c>
      <c r="T153" s="4" t="s">
        <v>134</v>
      </c>
    </row>
    <row r="154" spans="1:20" ht="15.75" customHeight="1" x14ac:dyDescent="0.3">
      <c r="A154" s="91" t="s">
        <v>141</v>
      </c>
      <c r="B154" s="1"/>
      <c r="C154" s="1"/>
      <c r="D154" s="1"/>
      <c r="E154" s="59">
        <f t="shared" si="34"/>
        <v>0</v>
      </c>
      <c r="F154" s="1">
        <v>330</v>
      </c>
      <c r="G154" s="1">
        <v>330</v>
      </c>
      <c r="H154" s="1">
        <v>340</v>
      </c>
      <c r="I154" s="59">
        <f t="shared" si="31"/>
        <v>1000</v>
      </c>
      <c r="J154" s="1"/>
      <c r="K154" s="1"/>
      <c r="L154" s="1"/>
      <c r="M154" s="59">
        <f t="shared" si="32"/>
        <v>0</v>
      </c>
      <c r="N154" s="1"/>
      <c r="O154" s="1"/>
      <c r="P154" s="1"/>
      <c r="Q154" s="59">
        <f t="shared" si="35"/>
        <v>0</v>
      </c>
      <c r="R154" s="59">
        <f t="shared" si="29"/>
        <v>1000</v>
      </c>
      <c r="S154" s="75" t="s">
        <v>80</v>
      </c>
      <c r="T154" s="4" t="s">
        <v>121</v>
      </c>
    </row>
    <row r="155" spans="1:20" ht="15.75" customHeight="1" x14ac:dyDescent="0.3">
      <c r="A155" s="74" t="s">
        <v>142</v>
      </c>
      <c r="B155" s="1">
        <v>48</v>
      </c>
      <c r="C155" s="1">
        <v>34</v>
      </c>
      <c r="D155" s="1">
        <v>52</v>
      </c>
      <c r="E155" s="59">
        <f t="shared" si="34"/>
        <v>134</v>
      </c>
      <c r="F155" s="1">
        <v>56</v>
      </c>
      <c r="G155" s="1">
        <v>59</v>
      </c>
      <c r="H155" s="1">
        <v>65</v>
      </c>
      <c r="I155" s="59">
        <f t="shared" si="31"/>
        <v>180</v>
      </c>
      <c r="J155" s="1">
        <v>67</v>
      </c>
      <c r="K155" s="1">
        <v>66</v>
      </c>
      <c r="L155" s="1">
        <v>64</v>
      </c>
      <c r="M155" s="59">
        <f t="shared" si="32"/>
        <v>197</v>
      </c>
      <c r="N155" s="1">
        <v>61</v>
      </c>
      <c r="O155" s="1">
        <v>41</v>
      </c>
      <c r="P155" s="1">
        <v>37</v>
      </c>
      <c r="Q155" s="59">
        <f t="shared" si="35"/>
        <v>139</v>
      </c>
      <c r="R155" s="59">
        <f t="shared" si="29"/>
        <v>650</v>
      </c>
      <c r="T155" s="4" t="s">
        <v>143</v>
      </c>
    </row>
    <row r="156" spans="1:20" ht="15.75" customHeight="1" x14ac:dyDescent="0.3">
      <c r="A156" s="74" t="s">
        <v>144</v>
      </c>
      <c r="B156" s="1">
        <v>109</v>
      </c>
      <c r="C156" s="1">
        <v>82</v>
      </c>
      <c r="D156" s="1">
        <v>102</v>
      </c>
      <c r="E156" s="59">
        <f t="shared" si="34"/>
        <v>293</v>
      </c>
      <c r="F156" s="1">
        <v>175</v>
      </c>
      <c r="G156" s="1">
        <v>208</v>
      </c>
      <c r="H156" s="1">
        <v>215</v>
      </c>
      <c r="I156" s="59">
        <f t="shared" si="31"/>
        <v>598</v>
      </c>
      <c r="J156" s="1">
        <v>197</v>
      </c>
      <c r="K156" s="1">
        <v>175</v>
      </c>
      <c r="L156" s="1">
        <v>180</v>
      </c>
      <c r="M156" s="59">
        <f t="shared" si="32"/>
        <v>552</v>
      </c>
      <c r="N156" s="1">
        <v>128</v>
      </c>
      <c r="O156" s="1">
        <v>140</v>
      </c>
      <c r="P156" s="1">
        <v>149</v>
      </c>
      <c r="Q156" s="59">
        <f t="shared" si="35"/>
        <v>417</v>
      </c>
      <c r="R156" s="59">
        <f t="shared" si="29"/>
        <v>1860</v>
      </c>
      <c r="T156" s="4" t="s">
        <v>145</v>
      </c>
    </row>
    <row r="157" spans="1:20" ht="15.75" customHeight="1" x14ac:dyDescent="0.3">
      <c r="A157" s="74" t="s">
        <v>147</v>
      </c>
      <c r="B157" s="1"/>
      <c r="C157" s="1"/>
      <c r="D157" s="1">
        <v>300</v>
      </c>
      <c r="E157" s="59">
        <f t="shared" si="34"/>
        <v>300</v>
      </c>
      <c r="F157" s="1">
        <f>200+300</f>
        <v>500</v>
      </c>
      <c r="G157" s="1">
        <f>124</f>
        <v>124</v>
      </c>
      <c r="H157" s="1"/>
      <c r="I157" s="59">
        <f t="shared" si="31"/>
        <v>624</v>
      </c>
      <c r="J157" s="1"/>
      <c r="K157" s="1"/>
      <c r="L157" s="1">
        <v>500</v>
      </c>
      <c r="M157" s="59">
        <f t="shared" si="32"/>
        <v>500</v>
      </c>
      <c r="N157" s="1">
        <v>600</v>
      </c>
      <c r="O157" s="1">
        <v>633</v>
      </c>
      <c r="P157" s="1">
        <v>332</v>
      </c>
      <c r="Q157" s="59">
        <f t="shared" si="35"/>
        <v>1565</v>
      </c>
      <c r="R157" s="59">
        <f t="shared" si="29"/>
        <v>2989</v>
      </c>
      <c r="S157" s="4" t="s">
        <v>136</v>
      </c>
    </row>
    <row r="158" spans="1:20" ht="15.75" customHeight="1" x14ac:dyDescent="0.3">
      <c r="A158" s="91" t="s">
        <v>877</v>
      </c>
      <c r="B158" s="1"/>
      <c r="C158" s="1">
        <v>100</v>
      </c>
      <c r="D158" s="1">
        <v>100</v>
      </c>
      <c r="E158" s="59">
        <f>SUM(B158:D158)</f>
        <v>200</v>
      </c>
      <c r="F158" s="1">
        <v>100</v>
      </c>
      <c r="G158" s="1">
        <v>175</v>
      </c>
      <c r="H158" s="1">
        <v>352</v>
      </c>
      <c r="I158" s="59">
        <f t="shared" si="31"/>
        <v>627</v>
      </c>
      <c r="J158" s="1">
        <v>250</v>
      </c>
      <c r="K158" s="1">
        <v>265</v>
      </c>
      <c r="L158" s="1">
        <v>133</v>
      </c>
      <c r="M158" s="59">
        <f t="shared" si="32"/>
        <v>648</v>
      </c>
      <c r="N158" s="1">
        <v>175</v>
      </c>
      <c r="O158" s="1"/>
      <c r="P158" s="1"/>
      <c r="Q158" s="59">
        <f t="shared" si="35"/>
        <v>175</v>
      </c>
      <c r="R158" s="59">
        <f t="shared" si="29"/>
        <v>1650</v>
      </c>
      <c r="T158" s="4" t="s">
        <v>121</v>
      </c>
    </row>
    <row r="159" spans="1:20" ht="15.75" customHeight="1" x14ac:dyDescent="0.3">
      <c r="A159" s="74" t="s">
        <v>878</v>
      </c>
      <c r="B159" s="1">
        <v>405</v>
      </c>
      <c r="C159" s="1">
        <v>379</v>
      </c>
      <c r="D159" s="1">
        <v>435</v>
      </c>
      <c r="E159" s="59">
        <f t="shared" si="34"/>
        <v>1219</v>
      </c>
      <c r="F159" s="1">
        <v>443</v>
      </c>
      <c r="G159" s="1">
        <v>379</v>
      </c>
      <c r="H159" s="1">
        <v>531</v>
      </c>
      <c r="I159" s="59">
        <f t="shared" si="31"/>
        <v>1353</v>
      </c>
      <c r="J159" s="1">
        <v>563</v>
      </c>
      <c r="K159" s="1">
        <v>445</v>
      </c>
      <c r="L159" s="1">
        <v>393</v>
      </c>
      <c r="M159" s="59">
        <f t="shared" si="32"/>
        <v>1401</v>
      </c>
      <c r="N159" s="1">
        <v>444</v>
      </c>
      <c r="O159" s="1">
        <v>443</v>
      </c>
      <c r="P159" s="1">
        <v>286</v>
      </c>
      <c r="Q159" s="59">
        <f t="shared" si="35"/>
        <v>1173</v>
      </c>
      <c r="R159" s="59">
        <f t="shared" si="29"/>
        <v>5146</v>
      </c>
      <c r="T159" s="4" t="s">
        <v>150</v>
      </c>
    </row>
    <row r="160" spans="1:20" ht="15.75" customHeight="1" x14ac:dyDescent="0.3">
      <c r="A160" s="91" t="s">
        <v>152</v>
      </c>
      <c r="B160" s="1"/>
      <c r="C160" s="1"/>
      <c r="D160" s="1"/>
      <c r="E160" s="59">
        <f t="shared" si="34"/>
        <v>0</v>
      </c>
      <c r="F160" s="1"/>
      <c r="G160" s="1"/>
      <c r="H160" s="1"/>
      <c r="I160" s="59">
        <f t="shared" si="31"/>
        <v>0</v>
      </c>
      <c r="J160" s="1"/>
      <c r="K160" s="1"/>
      <c r="L160" s="1">
        <v>508</v>
      </c>
      <c r="M160" s="59">
        <f t="shared" si="32"/>
        <v>508</v>
      </c>
      <c r="N160" s="1"/>
      <c r="O160" s="1"/>
      <c r="P160" s="1"/>
      <c r="Q160" s="59">
        <f t="shared" si="35"/>
        <v>0</v>
      </c>
      <c r="R160" s="59">
        <f t="shared" si="29"/>
        <v>508</v>
      </c>
      <c r="T160" s="4" t="s">
        <v>134</v>
      </c>
    </row>
    <row r="161" spans="1:20" ht="15.75" customHeight="1" x14ac:dyDescent="0.3">
      <c r="A161" s="76" t="s">
        <v>153</v>
      </c>
      <c r="B161" s="1"/>
      <c r="C161" s="1"/>
      <c r="D161" s="1"/>
      <c r="E161" s="59">
        <f t="shared" ref="E161" si="36">SUM(B161:D161)</f>
        <v>0</v>
      </c>
      <c r="F161" s="1"/>
      <c r="G161" s="1"/>
      <c r="H161" s="1">
        <v>355</v>
      </c>
      <c r="I161" s="59">
        <f t="shared" ref="I161" si="37">SUM(F161:H161)</f>
        <v>355</v>
      </c>
      <c r="J161" s="1"/>
      <c r="K161" s="1"/>
      <c r="L161" s="1"/>
      <c r="M161" s="59">
        <f t="shared" ref="M161" si="38">SUM(J161:L161)</f>
        <v>0</v>
      </c>
      <c r="N161" s="1"/>
      <c r="O161" s="1"/>
      <c r="P161" s="1"/>
      <c r="Q161" s="59">
        <f t="shared" ref="Q161" si="39">SUM(N161:P161)</f>
        <v>0</v>
      </c>
      <c r="R161" s="59">
        <f t="shared" si="29"/>
        <v>355</v>
      </c>
    </row>
    <row r="162" spans="1:20" ht="15.75" customHeight="1" x14ac:dyDescent="0.3">
      <c r="A162" s="76" t="s">
        <v>858</v>
      </c>
      <c r="B162" s="1"/>
      <c r="C162" s="1"/>
      <c r="D162" s="1"/>
      <c r="E162" s="59">
        <f t="shared" si="34"/>
        <v>0</v>
      </c>
      <c r="F162" s="1"/>
      <c r="G162" s="1"/>
      <c r="H162" s="1">
        <v>50</v>
      </c>
      <c r="I162" s="59">
        <f t="shared" si="31"/>
        <v>50</v>
      </c>
      <c r="J162" s="1"/>
      <c r="K162" s="1"/>
      <c r="L162" s="1"/>
      <c r="M162" s="59">
        <f t="shared" si="32"/>
        <v>0</v>
      </c>
      <c r="N162" s="1"/>
      <c r="O162" s="1"/>
      <c r="P162" s="1"/>
      <c r="Q162" s="59">
        <f t="shared" si="35"/>
        <v>0</v>
      </c>
      <c r="R162" s="59">
        <f t="shared" si="29"/>
        <v>50</v>
      </c>
    </row>
    <row r="163" spans="1:20" ht="15.75" customHeight="1" x14ac:dyDescent="0.3">
      <c r="A163" s="74" t="s">
        <v>155</v>
      </c>
      <c r="B163" s="1"/>
      <c r="C163" s="1"/>
      <c r="D163" s="1"/>
      <c r="E163" s="59">
        <f t="shared" si="34"/>
        <v>0</v>
      </c>
      <c r="F163" s="1"/>
      <c r="G163" s="1"/>
      <c r="H163" s="1"/>
      <c r="I163" s="59">
        <f t="shared" si="31"/>
        <v>0</v>
      </c>
      <c r="J163" s="1"/>
      <c r="K163" s="1"/>
      <c r="L163" s="1">
        <v>200</v>
      </c>
      <c r="M163" s="59">
        <f t="shared" si="32"/>
        <v>200</v>
      </c>
      <c r="N163" s="1">
        <v>200</v>
      </c>
      <c r="O163" s="1"/>
      <c r="P163" s="1"/>
      <c r="Q163" s="59">
        <f t="shared" si="35"/>
        <v>200</v>
      </c>
      <c r="R163" s="59">
        <f t="shared" si="29"/>
        <v>400</v>
      </c>
      <c r="S163" s="4" t="s">
        <v>136</v>
      </c>
      <c r="T163" s="4" t="s">
        <v>137</v>
      </c>
    </row>
    <row r="164" spans="1:20" s="98" customFormat="1" ht="15.75" customHeight="1" x14ac:dyDescent="0.3">
      <c r="A164" s="96" t="s">
        <v>156</v>
      </c>
      <c r="B164" s="92"/>
      <c r="C164" s="92"/>
      <c r="D164" s="92"/>
      <c r="E164" s="97">
        <f t="shared" ref="E164:E183" si="40">SUM(B164:D164)</f>
        <v>0</v>
      </c>
      <c r="F164" s="92"/>
      <c r="G164" s="92"/>
      <c r="H164" s="92"/>
      <c r="I164" s="97">
        <f t="shared" si="31"/>
        <v>0</v>
      </c>
      <c r="J164" s="92"/>
      <c r="K164" s="92"/>
      <c r="L164" s="92"/>
      <c r="M164" s="97">
        <f t="shared" si="32"/>
        <v>0</v>
      </c>
      <c r="N164" s="92"/>
      <c r="O164" s="92"/>
      <c r="P164" s="92"/>
      <c r="Q164" s="97">
        <f t="shared" si="35"/>
        <v>0</v>
      </c>
      <c r="R164" s="97">
        <f t="shared" si="29"/>
        <v>0</v>
      </c>
    </row>
    <row r="165" spans="1:20" ht="15.75" customHeight="1" x14ac:dyDescent="0.3">
      <c r="A165" s="74" t="s">
        <v>157</v>
      </c>
      <c r="B165" s="1"/>
      <c r="C165" s="1"/>
      <c r="D165" s="1">
        <v>296</v>
      </c>
      <c r="E165" s="59">
        <f t="shared" si="40"/>
        <v>296</v>
      </c>
      <c r="F165" s="1">
        <v>1679</v>
      </c>
      <c r="G165" s="1">
        <v>1765</v>
      </c>
      <c r="H165" s="1">
        <v>1819</v>
      </c>
      <c r="I165" s="59">
        <f t="shared" si="31"/>
        <v>5263</v>
      </c>
      <c r="J165" s="1">
        <v>1808</v>
      </c>
      <c r="K165" s="1">
        <v>1720</v>
      </c>
      <c r="L165" s="1">
        <v>1608</v>
      </c>
      <c r="M165" s="59">
        <f t="shared" si="32"/>
        <v>5136</v>
      </c>
      <c r="N165" s="1">
        <v>1564</v>
      </c>
      <c r="O165" s="1">
        <v>1670</v>
      </c>
      <c r="P165" s="1">
        <v>1576</v>
      </c>
      <c r="Q165" s="59">
        <f t="shared" si="35"/>
        <v>4810</v>
      </c>
      <c r="R165" s="59">
        <f>+E165+I165+M165+Q165</f>
        <v>15505</v>
      </c>
      <c r="T165" s="4" t="s">
        <v>158</v>
      </c>
    </row>
    <row r="166" spans="1:20" ht="15.75" customHeight="1" x14ac:dyDescent="0.3">
      <c r="A166" s="91" t="s">
        <v>159</v>
      </c>
      <c r="B166" s="1"/>
      <c r="C166" s="1"/>
      <c r="D166" s="1"/>
      <c r="E166" s="59">
        <f t="shared" si="40"/>
        <v>0</v>
      </c>
      <c r="F166" s="1"/>
      <c r="G166" s="1"/>
      <c r="H166" s="1"/>
      <c r="I166" s="59">
        <f t="shared" si="31"/>
        <v>0</v>
      </c>
      <c r="J166" s="1"/>
      <c r="K166" s="1">
        <v>477</v>
      </c>
      <c r="L166" s="1"/>
      <c r="M166" s="59">
        <f t="shared" si="32"/>
        <v>477</v>
      </c>
      <c r="N166" s="1"/>
      <c r="O166" s="1"/>
      <c r="P166" s="1"/>
      <c r="Q166" s="59">
        <f t="shared" si="35"/>
        <v>0</v>
      </c>
      <c r="R166" s="59">
        <f t="shared" ref="R166:R171" si="41">+E166+I166+M166+Q166</f>
        <v>477</v>
      </c>
      <c r="T166" s="4" t="s">
        <v>121</v>
      </c>
    </row>
    <row r="167" spans="1:20" ht="15.75" customHeight="1" x14ac:dyDescent="0.3">
      <c r="A167" s="91" t="s">
        <v>160</v>
      </c>
      <c r="B167" s="1"/>
      <c r="C167" s="1"/>
      <c r="D167" s="1"/>
      <c r="E167" s="59">
        <f t="shared" si="40"/>
        <v>0</v>
      </c>
      <c r="F167" s="1"/>
      <c r="G167" s="1"/>
      <c r="H167" s="1"/>
      <c r="I167" s="59">
        <f t="shared" si="31"/>
        <v>0</v>
      </c>
      <c r="J167" s="1"/>
      <c r="K167" s="1"/>
      <c r="L167" s="1">
        <v>400</v>
      </c>
      <c r="M167" s="59">
        <f t="shared" si="32"/>
        <v>400</v>
      </c>
      <c r="N167" s="1">
        <v>300</v>
      </c>
      <c r="O167" s="1"/>
      <c r="P167" s="1"/>
      <c r="Q167" s="59">
        <f t="shared" si="35"/>
        <v>300</v>
      </c>
      <c r="R167" s="59">
        <f t="shared" si="41"/>
        <v>700</v>
      </c>
      <c r="T167" s="4" t="s">
        <v>134</v>
      </c>
    </row>
    <row r="168" spans="1:20" ht="15.75" customHeight="1" x14ac:dyDescent="0.3">
      <c r="A168" s="74" t="s">
        <v>161</v>
      </c>
      <c r="B168" s="1"/>
      <c r="C168" s="1"/>
      <c r="D168" s="1"/>
      <c r="E168" s="59">
        <f t="shared" si="40"/>
        <v>0</v>
      </c>
      <c r="F168" s="1"/>
      <c r="G168" s="1"/>
      <c r="H168" s="1"/>
      <c r="I168" s="59">
        <f t="shared" si="31"/>
        <v>0</v>
      </c>
      <c r="J168" s="1">
        <v>255</v>
      </c>
      <c r="K168" s="1"/>
      <c r="L168" s="1"/>
      <c r="M168" s="59">
        <f t="shared" si="32"/>
        <v>255</v>
      </c>
      <c r="N168" s="1"/>
      <c r="O168" s="1"/>
      <c r="P168" s="1"/>
      <c r="Q168" s="59">
        <f t="shared" si="35"/>
        <v>0</v>
      </c>
      <c r="R168" s="59">
        <f t="shared" si="41"/>
        <v>255</v>
      </c>
      <c r="S168" s="94" t="s">
        <v>136</v>
      </c>
      <c r="T168" s="4" t="s">
        <v>162</v>
      </c>
    </row>
    <row r="169" spans="1:20" ht="15.75" customHeight="1" x14ac:dyDescent="0.3">
      <c r="A169" s="91" t="s">
        <v>164</v>
      </c>
      <c r="B169" s="1"/>
      <c r="C169" s="1"/>
      <c r="D169" s="1"/>
      <c r="E169" s="59">
        <f t="shared" si="40"/>
        <v>0</v>
      </c>
      <c r="F169" s="1"/>
      <c r="G169" s="1"/>
      <c r="H169" s="1"/>
      <c r="I169" s="59">
        <f t="shared" si="31"/>
        <v>0</v>
      </c>
      <c r="J169" s="1"/>
      <c r="K169" s="1"/>
      <c r="L169" s="1"/>
      <c r="M169" s="59">
        <f t="shared" si="32"/>
        <v>0</v>
      </c>
      <c r="N169" s="1"/>
      <c r="O169" s="1"/>
      <c r="P169" s="1"/>
      <c r="Q169" s="59">
        <f t="shared" si="35"/>
        <v>0</v>
      </c>
      <c r="R169" s="59">
        <f t="shared" si="41"/>
        <v>0</v>
      </c>
      <c r="T169" s="4" t="s">
        <v>132</v>
      </c>
    </row>
    <row r="170" spans="1:20" ht="15.75" customHeight="1" x14ac:dyDescent="0.3">
      <c r="A170" s="91" t="s">
        <v>165</v>
      </c>
      <c r="B170" s="1"/>
      <c r="C170" s="1"/>
      <c r="D170" s="1"/>
      <c r="E170" s="59">
        <f t="shared" si="40"/>
        <v>0</v>
      </c>
      <c r="F170" s="1"/>
      <c r="G170" s="1"/>
      <c r="H170" s="1"/>
      <c r="I170" s="59">
        <f t="shared" si="31"/>
        <v>0</v>
      </c>
      <c r="J170" s="1"/>
      <c r="K170" s="1"/>
      <c r="L170" s="1"/>
      <c r="M170" s="59">
        <f t="shared" si="32"/>
        <v>0</v>
      </c>
      <c r="N170" s="1"/>
      <c r="O170" s="1"/>
      <c r="P170" s="1"/>
      <c r="Q170" s="59">
        <f t="shared" si="35"/>
        <v>0</v>
      </c>
      <c r="R170" s="59">
        <f t="shared" si="41"/>
        <v>0</v>
      </c>
      <c r="T170" s="4" t="s">
        <v>134</v>
      </c>
    </row>
    <row r="171" spans="1:20" ht="15.75" customHeight="1" x14ac:dyDescent="0.3">
      <c r="A171" s="74" t="s">
        <v>166</v>
      </c>
      <c r="B171" s="1">
        <v>21</v>
      </c>
      <c r="C171" s="1">
        <v>22</v>
      </c>
      <c r="D171" s="1">
        <v>31</v>
      </c>
      <c r="E171" s="59">
        <f t="shared" si="40"/>
        <v>74</v>
      </c>
      <c r="F171" s="1">
        <v>61</v>
      </c>
      <c r="G171" s="1">
        <v>67</v>
      </c>
      <c r="H171" s="1">
        <v>73</v>
      </c>
      <c r="I171" s="59">
        <f t="shared" si="31"/>
        <v>201</v>
      </c>
      <c r="J171" s="1">
        <v>79</v>
      </c>
      <c r="K171" s="1">
        <v>65</v>
      </c>
      <c r="L171" s="1">
        <v>66</v>
      </c>
      <c r="M171" s="59">
        <f t="shared" si="32"/>
        <v>210</v>
      </c>
      <c r="N171" s="1">
        <v>40</v>
      </c>
      <c r="O171" s="1">
        <v>27</v>
      </c>
      <c r="P171" s="1">
        <v>16</v>
      </c>
      <c r="Q171" s="59">
        <f t="shared" si="35"/>
        <v>83</v>
      </c>
      <c r="R171" s="59">
        <f t="shared" si="41"/>
        <v>568</v>
      </c>
      <c r="T171" s="4" t="s">
        <v>127</v>
      </c>
    </row>
    <row r="172" spans="1:20" ht="15.75" customHeight="1" x14ac:dyDescent="0.3">
      <c r="A172" s="91" t="s">
        <v>167</v>
      </c>
      <c r="B172" s="1">
        <v>1177</v>
      </c>
      <c r="C172" s="1">
        <v>1042</v>
      </c>
      <c r="D172" s="1">
        <v>816</v>
      </c>
      <c r="E172" s="59">
        <f t="shared" si="40"/>
        <v>3035</v>
      </c>
      <c r="F172" s="1">
        <v>1238</v>
      </c>
      <c r="G172" s="1">
        <v>2227</v>
      </c>
      <c r="H172" s="1">
        <v>3053</v>
      </c>
      <c r="I172" s="59">
        <f t="shared" si="31"/>
        <v>6518</v>
      </c>
      <c r="J172" s="1">
        <f>614+1153</f>
        <v>1767</v>
      </c>
      <c r="K172" s="1">
        <f>68</f>
        <v>68</v>
      </c>
      <c r="L172" s="1">
        <f>409</f>
        <v>409</v>
      </c>
      <c r="M172" s="59">
        <f t="shared" si="32"/>
        <v>2244</v>
      </c>
      <c r="N172" s="1"/>
      <c r="O172" s="1"/>
      <c r="P172" s="1">
        <v>425</v>
      </c>
      <c r="Q172" s="59">
        <f t="shared" si="35"/>
        <v>425</v>
      </c>
      <c r="R172" s="59">
        <f t="shared" si="29"/>
        <v>12222</v>
      </c>
      <c r="T172" s="4" t="s">
        <v>132</v>
      </c>
    </row>
    <row r="173" spans="1:20" ht="15.75" customHeight="1" x14ac:dyDescent="0.3">
      <c r="A173" s="91" t="s">
        <v>168</v>
      </c>
      <c r="B173" s="1">
        <v>1257</v>
      </c>
      <c r="C173" s="1"/>
      <c r="D173" s="1"/>
      <c r="E173" s="59">
        <f t="shared" si="40"/>
        <v>1257</v>
      </c>
      <c r="F173" s="1"/>
      <c r="G173" s="1"/>
      <c r="H173" s="1"/>
      <c r="I173" s="59">
        <f t="shared" si="31"/>
        <v>0</v>
      </c>
      <c r="J173" s="1"/>
      <c r="K173" s="1"/>
      <c r="L173" s="1"/>
      <c r="M173" s="59">
        <f t="shared" si="32"/>
        <v>0</v>
      </c>
      <c r="N173" s="1"/>
      <c r="O173" s="1"/>
      <c r="P173" s="1"/>
      <c r="Q173" s="59">
        <f t="shared" si="35"/>
        <v>0</v>
      </c>
      <c r="R173" s="59">
        <f t="shared" si="29"/>
        <v>1257</v>
      </c>
      <c r="T173" s="4" t="s">
        <v>134</v>
      </c>
    </row>
    <row r="174" spans="1:20" ht="15.75" customHeight="1" x14ac:dyDescent="0.3">
      <c r="A174" s="91" t="s">
        <v>169</v>
      </c>
      <c r="B174" s="1">
        <v>38</v>
      </c>
      <c r="C174" s="1">
        <v>32</v>
      </c>
      <c r="D174" s="1">
        <v>37</v>
      </c>
      <c r="E174" s="59">
        <f t="shared" si="40"/>
        <v>107</v>
      </c>
      <c r="F174" s="1">
        <v>63</v>
      </c>
      <c r="G174" s="1">
        <v>76</v>
      </c>
      <c r="H174" s="1">
        <v>80</v>
      </c>
      <c r="I174" s="59">
        <f>SUM(F174:H174)</f>
        <v>219</v>
      </c>
      <c r="J174" s="1">
        <v>80</v>
      </c>
      <c r="K174" s="1">
        <v>64</v>
      </c>
      <c r="L174" s="1">
        <v>70</v>
      </c>
      <c r="M174" s="59">
        <f t="shared" si="32"/>
        <v>214</v>
      </c>
      <c r="N174" s="1">
        <v>54</v>
      </c>
      <c r="O174" s="1">
        <v>34</v>
      </c>
      <c r="P174" s="1">
        <v>3</v>
      </c>
      <c r="Q174" s="59">
        <f t="shared" si="35"/>
        <v>91</v>
      </c>
      <c r="R174" s="59">
        <f t="shared" si="29"/>
        <v>631</v>
      </c>
      <c r="T174" s="4" t="s">
        <v>170</v>
      </c>
    </row>
    <row r="175" spans="1:20" ht="15.75" customHeight="1" x14ac:dyDescent="0.3">
      <c r="A175" s="91" t="s">
        <v>171</v>
      </c>
      <c r="B175" s="1">
        <v>5</v>
      </c>
      <c r="C175" s="1"/>
      <c r="D175" s="1">
        <v>1</v>
      </c>
      <c r="E175" s="59">
        <f t="shared" si="40"/>
        <v>6</v>
      </c>
      <c r="F175" s="1">
        <v>47</v>
      </c>
      <c r="G175" s="1">
        <v>97</v>
      </c>
      <c r="H175" s="1">
        <v>121</v>
      </c>
      <c r="I175" s="59">
        <f t="shared" si="31"/>
        <v>265</v>
      </c>
      <c r="J175" s="1">
        <v>97</v>
      </c>
      <c r="K175" s="1">
        <v>7</v>
      </c>
      <c r="L175" s="1">
        <v>68</v>
      </c>
      <c r="M175" s="59">
        <f t="shared" si="32"/>
        <v>172</v>
      </c>
      <c r="N175" s="1">
        <v>30</v>
      </c>
      <c r="O175" s="1">
        <v>11</v>
      </c>
      <c r="P175" s="1">
        <v>0</v>
      </c>
      <c r="Q175" s="59">
        <f t="shared" si="35"/>
        <v>41</v>
      </c>
      <c r="R175" s="59">
        <f t="shared" si="29"/>
        <v>484</v>
      </c>
      <c r="T175" s="4" t="s">
        <v>127</v>
      </c>
    </row>
    <row r="176" spans="1:20" ht="15.75" customHeight="1" x14ac:dyDescent="0.3">
      <c r="A176" s="91" t="s">
        <v>172</v>
      </c>
      <c r="B176" s="1"/>
      <c r="C176" s="1"/>
      <c r="D176" s="1">
        <v>1</v>
      </c>
      <c r="E176" s="59">
        <f t="shared" si="40"/>
        <v>1</v>
      </c>
      <c r="F176" s="1">
        <v>13</v>
      </c>
      <c r="G176" s="1">
        <v>21</v>
      </c>
      <c r="H176" s="1">
        <v>10</v>
      </c>
      <c r="I176" s="59">
        <f t="shared" si="31"/>
        <v>44</v>
      </c>
      <c r="J176" s="1">
        <v>10</v>
      </c>
      <c r="K176" s="1">
        <v>59</v>
      </c>
      <c r="L176" s="1">
        <v>51</v>
      </c>
      <c r="M176" s="59">
        <f t="shared" si="32"/>
        <v>120</v>
      </c>
      <c r="N176" s="1">
        <v>15</v>
      </c>
      <c r="O176" s="1">
        <v>2</v>
      </c>
      <c r="P176" s="1">
        <v>1</v>
      </c>
      <c r="Q176" s="59">
        <f t="shared" si="35"/>
        <v>18</v>
      </c>
      <c r="R176" s="59">
        <f t="shared" si="29"/>
        <v>183</v>
      </c>
      <c r="T176" s="4" t="s">
        <v>121</v>
      </c>
    </row>
    <row r="177" spans="1:20" ht="15.75" customHeight="1" x14ac:dyDescent="0.3">
      <c r="A177" s="74" t="s">
        <v>173</v>
      </c>
      <c r="B177" s="1"/>
      <c r="C177" s="1"/>
      <c r="D177" s="1"/>
      <c r="E177" s="59">
        <f t="shared" si="40"/>
        <v>0</v>
      </c>
      <c r="F177" s="1"/>
      <c r="G177" s="1">
        <v>36</v>
      </c>
      <c r="H177" s="1">
        <v>1004</v>
      </c>
      <c r="I177" s="59">
        <f t="shared" si="31"/>
        <v>1040</v>
      </c>
      <c r="J177" s="1">
        <v>1045</v>
      </c>
      <c r="K177" s="1">
        <v>1049</v>
      </c>
      <c r="L177" s="1">
        <v>1001</v>
      </c>
      <c r="M177" s="59">
        <f t="shared" si="32"/>
        <v>3095</v>
      </c>
      <c r="N177" s="1">
        <v>870</v>
      </c>
      <c r="O177" s="1">
        <v>794</v>
      </c>
      <c r="P177" s="1">
        <v>805</v>
      </c>
      <c r="Q177" s="59">
        <f t="shared" si="35"/>
        <v>2469</v>
      </c>
      <c r="R177" s="59">
        <f t="shared" si="29"/>
        <v>6604</v>
      </c>
      <c r="T177" s="4" t="s">
        <v>158</v>
      </c>
    </row>
    <row r="178" spans="1:20" ht="15.75" customHeight="1" x14ac:dyDescent="0.3">
      <c r="A178" s="74" t="s">
        <v>174</v>
      </c>
      <c r="B178" s="1"/>
      <c r="C178" s="1"/>
      <c r="D178" s="1"/>
      <c r="E178" s="59">
        <f t="shared" si="40"/>
        <v>0</v>
      </c>
      <c r="F178" s="1"/>
      <c r="G178" s="1"/>
      <c r="H178" s="1"/>
      <c r="I178" s="59">
        <f t="shared" si="31"/>
        <v>0</v>
      </c>
      <c r="J178" s="1"/>
      <c r="K178" s="1">
        <v>3855</v>
      </c>
      <c r="L178" s="1"/>
      <c r="M178" s="59">
        <f t="shared" si="32"/>
        <v>3855</v>
      </c>
      <c r="N178" s="1"/>
      <c r="O178" s="1"/>
      <c r="P178" s="1"/>
      <c r="Q178" s="59">
        <f t="shared" si="35"/>
        <v>0</v>
      </c>
      <c r="R178" s="59">
        <f t="shared" si="29"/>
        <v>3855</v>
      </c>
      <c r="S178" s="94" t="s">
        <v>136</v>
      </c>
      <c r="T178" s="4" t="s">
        <v>137</v>
      </c>
    </row>
    <row r="179" spans="1:20" ht="15.75" customHeight="1" x14ac:dyDescent="0.3">
      <c r="A179" s="74" t="s">
        <v>175</v>
      </c>
      <c r="B179" s="1"/>
      <c r="C179" s="1"/>
      <c r="D179" s="1"/>
      <c r="E179" s="59">
        <f t="shared" si="40"/>
        <v>0</v>
      </c>
      <c r="F179" s="1"/>
      <c r="G179" s="1"/>
      <c r="H179" s="1"/>
      <c r="I179" s="59">
        <f t="shared" si="31"/>
        <v>0</v>
      </c>
      <c r="J179" s="1"/>
      <c r="K179" s="1"/>
      <c r="L179" s="1"/>
      <c r="M179" s="59">
        <f t="shared" si="32"/>
        <v>0</v>
      </c>
      <c r="N179" s="1"/>
      <c r="O179" s="1"/>
      <c r="P179" s="1"/>
      <c r="Q179" s="59">
        <f t="shared" si="35"/>
        <v>0</v>
      </c>
      <c r="R179" s="59">
        <f t="shared" si="29"/>
        <v>0</v>
      </c>
      <c r="T179" s="4" t="s">
        <v>137</v>
      </c>
    </row>
    <row r="180" spans="1:20" ht="15.75" customHeight="1" x14ac:dyDescent="0.3">
      <c r="A180" s="74" t="s">
        <v>176</v>
      </c>
      <c r="B180" s="1">
        <f>6710+1+2487+2+16</f>
        <v>9216</v>
      </c>
      <c r="C180" s="1">
        <f>6723+1+2213+1+30</f>
        <v>8968</v>
      </c>
      <c r="D180" s="1">
        <f>2173+1+2469+2+51</f>
        <v>4696</v>
      </c>
      <c r="E180" s="59">
        <f t="shared" si="40"/>
        <v>22880</v>
      </c>
      <c r="F180" s="1"/>
      <c r="G180" s="1">
        <f>5394+2+93</f>
        <v>5489</v>
      </c>
      <c r="H180" s="1">
        <v>13361</v>
      </c>
      <c r="I180" s="59">
        <f t="shared" si="31"/>
        <v>18850</v>
      </c>
      <c r="J180" s="1">
        <v>11767</v>
      </c>
      <c r="K180" s="1">
        <v>10322</v>
      </c>
      <c r="L180" s="1">
        <f>5784+2360+72+2+1</f>
        <v>8219</v>
      </c>
      <c r="M180" s="59">
        <f t="shared" si="32"/>
        <v>30308</v>
      </c>
      <c r="N180" s="1">
        <f>2842+2497+22+1+1</f>
        <v>5363</v>
      </c>
      <c r="O180" s="1">
        <f>1+2+38+2445+7977</f>
        <v>10463</v>
      </c>
      <c r="P180" s="1">
        <f>1+2+13+2178+8602</f>
        <v>10796</v>
      </c>
      <c r="Q180" s="59">
        <f t="shared" si="35"/>
        <v>26622</v>
      </c>
      <c r="R180" s="59">
        <f t="shared" si="29"/>
        <v>98660</v>
      </c>
      <c r="S180" s="4" t="s">
        <v>136</v>
      </c>
    </row>
    <row r="181" spans="1:20" ht="15.75" customHeight="1" x14ac:dyDescent="0.3">
      <c r="A181" s="74" t="s">
        <v>177</v>
      </c>
      <c r="B181" s="1"/>
      <c r="C181" s="1">
        <v>464</v>
      </c>
      <c r="D181" s="1"/>
      <c r="E181" s="59">
        <f t="shared" si="40"/>
        <v>464</v>
      </c>
      <c r="F181" s="1"/>
      <c r="G181" s="1">
        <f>1288+507</f>
        <v>1795</v>
      </c>
      <c r="H181" s="1">
        <f>1288+363+1000</f>
        <v>2651</v>
      </c>
      <c r="I181" s="59">
        <f t="shared" si="31"/>
        <v>4446</v>
      </c>
      <c r="J181" s="1">
        <f>446+1200+1288</f>
        <v>2934</v>
      </c>
      <c r="K181" s="1">
        <f>320+1740+1288</f>
        <v>3348</v>
      </c>
      <c r="L181" s="1">
        <f>363+1200+1288</f>
        <v>2851</v>
      </c>
      <c r="M181" s="59">
        <f t="shared" si="32"/>
        <v>9133</v>
      </c>
      <c r="N181" s="1">
        <f>1288+1000+555</f>
        <v>2843</v>
      </c>
      <c r="O181" s="1">
        <f>1288+486</f>
        <v>1774</v>
      </c>
      <c r="P181" s="1">
        <f>1288+3418+622</f>
        <v>5328</v>
      </c>
      <c r="Q181" s="59">
        <f t="shared" si="35"/>
        <v>9945</v>
      </c>
      <c r="R181" s="59">
        <f>+E181+I181+M181+Q181</f>
        <v>23988</v>
      </c>
      <c r="S181" s="94"/>
      <c r="T181" s="4" t="s">
        <v>137</v>
      </c>
    </row>
    <row r="182" spans="1:20" ht="15.75" customHeight="1" x14ac:dyDescent="0.3">
      <c r="A182" s="74" t="s">
        <v>859</v>
      </c>
      <c r="B182" s="1">
        <v>35</v>
      </c>
      <c r="C182" s="1">
        <v>35</v>
      </c>
      <c r="D182" s="1">
        <v>40</v>
      </c>
      <c r="E182" s="59">
        <f t="shared" si="40"/>
        <v>110</v>
      </c>
      <c r="F182" s="1">
        <v>40</v>
      </c>
      <c r="G182" s="1">
        <v>40</v>
      </c>
      <c r="H182" s="1">
        <v>40</v>
      </c>
      <c r="I182" s="59">
        <f t="shared" si="31"/>
        <v>120</v>
      </c>
      <c r="J182" s="1">
        <v>45</v>
      </c>
      <c r="K182" s="1">
        <v>45</v>
      </c>
      <c r="L182" s="1">
        <v>40</v>
      </c>
      <c r="M182" s="59">
        <f t="shared" si="32"/>
        <v>130</v>
      </c>
      <c r="N182" s="1">
        <v>40</v>
      </c>
      <c r="O182" s="1">
        <v>40</v>
      </c>
      <c r="P182" s="1">
        <v>40</v>
      </c>
      <c r="Q182" s="59">
        <f t="shared" si="35"/>
        <v>120</v>
      </c>
      <c r="R182" s="59">
        <f t="shared" si="29"/>
        <v>480</v>
      </c>
      <c r="S182" s="4" t="s">
        <v>136</v>
      </c>
      <c r="T182" s="4" t="s">
        <v>137</v>
      </c>
    </row>
    <row r="183" spans="1:20" ht="15.75" customHeight="1" x14ac:dyDescent="0.3">
      <c r="A183" s="74" t="s">
        <v>180</v>
      </c>
      <c r="B183" s="1">
        <v>3283</v>
      </c>
      <c r="C183" s="1"/>
      <c r="D183" s="1"/>
      <c r="E183" s="59">
        <f t="shared" si="40"/>
        <v>3283</v>
      </c>
      <c r="F183" s="1">
        <f>133+406+42</f>
        <v>581</v>
      </c>
      <c r="G183" s="1">
        <f>150+551+5668+47</f>
        <v>6416</v>
      </c>
      <c r="H183" s="1">
        <f>153+731+5564+48</f>
        <v>6496</v>
      </c>
      <c r="I183" s="59">
        <f t="shared" si="31"/>
        <v>13493</v>
      </c>
      <c r="J183" s="1">
        <f>46+5378+676+152</f>
        <v>6252</v>
      </c>
      <c r="K183" s="1">
        <f>140+446+5455+34</f>
        <v>6075</v>
      </c>
      <c r="L183" s="1">
        <f>33+5613+323+133</f>
        <v>6102</v>
      </c>
      <c r="M183" s="59">
        <f t="shared" si="32"/>
        <v>18429</v>
      </c>
      <c r="N183" s="1">
        <f>5120+226+34+122</f>
        <v>5502</v>
      </c>
      <c r="O183" s="1">
        <f>22+4814+83+108</f>
        <v>5027</v>
      </c>
      <c r="P183" s="1">
        <f>14+3775+22+108</f>
        <v>3919</v>
      </c>
      <c r="Q183" s="59">
        <f t="shared" si="35"/>
        <v>14448</v>
      </c>
      <c r="R183" s="59">
        <f>+E183+I183+M183+Q183</f>
        <v>49653</v>
      </c>
    </row>
    <row r="184" spans="1:20" ht="15.75" customHeight="1" x14ac:dyDescent="0.3">
      <c r="A184" s="74" t="s">
        <v>181</v>
      </c>
      <c r="B184" s="1"/>
      <c r="C184" s="1"/>
      <c r="D184" s="1"/>
      <c r="E184" s="59">
        <f t="shared" ref="E184" si="42">SUM(B184:D184)</f>
        <v>0</v>
      </c>
      <c r="F184" s="1"/>
      <c r="G184" s="1">
        <v>164</v>
      </c>
      <c r="H184" s="1">
        <v>164</v>
      </c>
      <c r="I184" s="59">
        <f t="shared" si="31"/>
        <v>328</v>
      </c>
      <c r="J184" s="1">
        <v>164</v>
      </c>
      <c r="K184" s="1">
        <v>164</v>
      </c>
      <c r="L184" s="1">
        <v>3248</v>
      </c>
      <c r="M184" s="59">
        <f t="shared" si="32"/>
        <v>3576</v>
      </c>
      <c r="N184" s="1">
        <v>164</v>
      </c>
      <c r="O184" s="1">
        <v>564</v>
      </c>
      <c r="P184" s="1">
        <v>586</v>
      </c>
      <c r="Q184" s="59">
        <f t="shared" si="35"/>
        <v>1314</v>
      </c>
      <c r="R184" s="59">
        <f t="shared" si="29"/>
        <v>5218</v>
      </c>
      <c r="S184" s="4" t="s">
        <v>136</v>
      </c>
    </row>
    <row r="185" spans="1:20" ht="15.75" customHeight="1" x14ac:dyDescent="0.3">
      <c r="A185" s="91" t="s">
        <v>182</v>
      </c>
      <c r="B185" s="1"/>
      <c r="C185" s="1"/>
      <c r="D185" s="1"/>
      <c r="E185" s="59">
        <f t="shared" ref="E185:E190" si="43">SUM(B185:D185)</f>
        <v>0</v>
      </c>
      <c r="F185" s="1"/>
      <c r="G185" s="1"/>
      <c r="H185" s="1"/>
      <c r="I185" s="59">
        <f t="shared" ref="I185:I190" si="44">SUM(F185:H185)</f>
        <v>0</v>
      </c>
      <c r="J185" s="1"/>
      <c r="K185" s="1"/>
      <c r="L185" s="1"/>
      <c r="M185" s="59">
        <f t="shared" ref="M185:M190" si="45">SUM(J185:L185)</f>
        <v>0</v>
      </c>
      <c r="N185" s="1"/>
      <c r="O185" s="1"/>
      <c r="P185" s="1"/>
      <c r="Q185" s="59">
        <f t="shared" si="35"/>
        <v>0</v>
      </c>
      <c r="R185" s="59">
        <f t="shared" si="29"/>
        <v>0</v>
      </c>
      <c r="T185" s="4" t="s">
        <v>132</v>
      </c>
    </row>
    <row r="186" spans="1:20" ht="15.75" customHeight="1" x14ac:dyDescent="0.3">
      <c r="A186" s="91" t="s">
        <v>183</v>
      </c>
      <c r="B186" s="1"/>
      <c r="C186" s="1">
        <v>1083</v>
      </c>
      <c r="D186" s="1">
        <v>2166</v>
      </c>
      <c r="E186" s="59">
        <f t="shared" si="43"/>
        <v>3249</v>
      </c>
      <c r="F186" s="1"/>
      <c r="G186" s="1"/>
      <c r="H186" s="1"/>
      <c r="I186" s="59">
        <f t="shared" si="44"/>
        <v>0</v>
      </c>
      <c r="J186" s="1"/>
      <c r="K186" s="1"/>
      <c r="L186" s="1"/>
      <c r="M186" s="59">
        <f t="shared" si="45"/>
        <v>0</v>
      </c>
      <c r="N186" s="1"/>
      <c r="O186" s="1"/>
      <c r="P186" s="1"/>
      <c r="Q186" s="59">
        <f t="shared" si="35"/>
        <v>0</v>
      </c>
      <c r="R186" s="59">
        <f>+E186+I186+M186+Q186</f>
        <v>3249</v>
      </c>
    </row>
    <row r="187" spans="1:20" ht="15.75" customHeight="1" x14ac:dyDescent="0.3">
      <c r="A187" s="91" t="s">
        <v>184</v>
      </c>
      <c r="B187" s="1"/>
      <c r="C187" s="1"/>
      <c r="D187" s="1"/>
      <c r="E187" s="59">
        <f t="shared" si="43"/>
        <v>0</v>
      </c>
      <c r="F187" s="1">
        <v>700</v>
      </c>
      <c r="G187" s="1">
        <v>550</v>
      </c>
      <c r="H187" s="1">
        <v>750</v>
      </c>
      <c r="I187" s="59">
        <f t="shared" si="44"/>
        <v>2000</v>
      </c>
      <c r="J187" s="1"/>
      <c r="K187" s="1"/>
      <c r="L187" s="1"/>
      <c r="M187" s="59">
        <f t="shared" si="45"/>
        <v>0</v>
      </c>
      <c r="N187" s="1"/>
      <c r="O187" s="1"/>
      <c r="P187" s="1"/>
      <c r="Q187" s="59">
        <f t="shared" si="35"/>
        <v>0</v>
      </c>
      <c r="R187" s="59">
        <f t="shared" si="29"/>
        <v>2000</v>
      </c>
    </row>
    <row r="188" spans="1:20" ht="15.75" customHeight="1" x14ac:dyDescent="0.3">
      <c r="A188" s="74" t="s">
        <v>185</v>
      </c>
      <c r="B188" s="1">
        <v>22</v>
      </c>
      <c r="C188" s="1">
        <v>243</v>
      </c>
      <c r="D188" s="1">
        <v>253</v>
      </c>
      <c r="E188" s="59">
        <f t="shared" si="43"/>
        <v>518</v>
      </c>
      <c r="F188" s="1">
        <f>333+117</f>
        <v>450</v>
      </c>
      <c r="G188" s="1">
        <f>383+117</f>
        <v>500</v>
      </c>
      <c r="H188" s="1">
        <f>333+117</f>
        <v>450</v>
      </c>
      <c r="I188" s="59">
        <f t="shared" si="44"/>
        <v>1400</v>
      </c>
      <c r="J188" s="1">
        <v>494</v>
      </c>
      <c r="K188" s="1">
        <v>501</v>
      </c>
      <c r="L188" s="1">
        <v>451</v>
      </c>
      <c r="M188" s="59">
        <f t="shared" si="45"/>
        <v>1446</v>
      </c>
      <c r="N188" s="1">
        <v>351</v>
      </c>
      <c r="O188" s="1">
        <v>350</v>
      </c>
      <c r="P188" s="1">
        <v>250</v>
      </c>
      <c r="Q188" s="59">
        <f t="shared" si="35"/>
        <v>951</v>
      </c>
      <c r="R188" s="59">
        <f>+E188+I188+M188+Q188</f>
        <v>4315</v>
      </c>
      <c r="S188" s="4" t="s">
        <v>136</v>
      </c>
      <c r="T188" s="4" t="s">
        <v>137</v>
      </c>
    </row>
    <row r="189" spans="1:20" ht="15.75" customHeight="1" x14ac:dyDescent="0.3">
      <c r="A189" s="74" t="s">
        <v>186</v>
      </c>
      <c r="B189" s="1">
        <v>3</v>
      </c>
      <c r="C189" s="1">
        <v>2</v>
      </c>
      <c r="D189" s="1">
        <v>2</v>
      </c>
      <c r="E189" s="59">
        <f t="shared" si="43"/>
        <v>7</v>
      </c>
      <c r="F189" s="1">
        <v>3</v>
      </c>
      <c r="G189" s="1">
        <v>4</v>
      </c>
      <c r="H189" s="1">
        <v>3</v>
      </c>
      <c r="I189" s="59">
        <f t="shared" si="44"/>
        <v>10</v>
      </c>
      <c r="J189" s="1">
        <v>4</v>
      </c>
      <c r="K189" s="1">
        <v>2</v>
      </c>
      <c r="L189" s="1">
        <v>3</v>
      </c>
      <c r="M189" s="59">
        <f t="shared" si="45"/>
        <v>9</v>
      </c>
      <c r="N189" s="1">
        <v>2</v>
      </c>
      <c r="O189" s="1">
        <v>3</v>
      </c>
      <c r="P189" s="1">
        <v>3</v>
      </c>
      <c r="Q189" s="59">
        <f t="shared" si="35"/>
        <v>8</v>
      </c>
      <c r="R189" s="59">
        <f>+E189+I189+M189+Q189</f>
        <v>34</v>
      </c>
      <c r="S189" s="4">
        <f>SUM(R141:R189)</f>
        <v>279033</v>
      </c>
    </row>
    <row r="190" spans="1:20" ht="15.75" customHeight="1" x14ac:dyDescent="0.3">
      <c r="A190" s="74" t="s">
        <v>187</v>
      </c>
      <c r="B190" s="1"/>
      <c r="C190" s="1"/>
      <c r="D190" s="1"/>
      <c r="E190" s="59">
        <f t="shared" si="43"/>
        <v>0</v>
      </c>
      <c r="F190" s="1"/>
      <c r="G190" s="1"/>
      <c r="H190" s="1"/>
      <c r="I190" s="59">
        <f t="shared" si="44"/>
        <v>0</v>
      </c>
      <c r="J190" s="1">
        <v>206</v>
      </c>
      <c r="K190" s="1"/>
      <c r="L190" s="1"/>
      <c r="M190" s="59">
        <f t="shared" si="45"/>
        <v>206</v>
      </c>
      <c r="N190" s="1"/>
      <c r="O190" s="1"/>
      <c r="P190" s="1"/>
      <c r="Q190" s="59">
        <f t="shared" si="35"/>
        <v>0</v>
      </c>
      <c r="R190" s="59">
        <f>+E190+I190+M190+Q190</f>
        <v>206</v>
      </c>
      <c r="S190" s="94" t="s">
        <v>136</v>
      </c>
      <c r="T190" s="4" t="s">
        <v>137</v>
      </c>
    </row>
    <row r="191" spans="1:20" ht="15.75" customHeight="1" x14ac:dyDescent="0.3">
      <c r="A191" s="17" t="s">
        <v>47</v>
      </c>
      <c r="B191" s="1"/>
      <c r="C191" s="1"/>
      <c r="D191" s="1"/>
      <c r="E191" s="59" t="s">
        <v>7</v>
      </c>
      <c r="F191" s="1"/>
      <c r="G191" s="1"/>
      <c r="H191" s="1"/>
      <c r="I191" s="59" t="s">
        <v>7</v>
      </c>
      <c r="J191" s="1"/>
      <c r="K191" s="1"/>
      <c r="L191" s="1"/>
      <c r="M191" s="59" t="s">
        <v>7</v>
      </c>
      <c r="N191" s="1"/>
      <c r="O191" s="1"/>
      <c r="P191" s="1"/>
      <c r="Q191" s="59" t="s">
        <v>7</v>
      </c>
      <c r="R191" s="59" t="s">
        <v>7</v>
      </c>
    </row>
    <row r="192" spans="1:20" ht="15.75" customHeight="1" x14ac:dyDescent="0.3">
      <c r="A192" s="74" t="s">
        <v>188</v>
      </c>
      <c r="B192" s="1"/>
      <c r="C192" s="1"/>
      <c r="D192" s="1"/>
      <c r="E192" s="59">
        <f t="shared" ref="E192:E203" si="46">SUM(B192:D192)</f>
        <v>0</v>
      </c>
      <c r="F192" s="1"/>
      <c r="G192" s="1"/>
      <c r="H192" s="1"/>
      <c r="I192" s="59">
        <f t="shared" ref="I192:I203" si="47">SUM(F192:H192)</f>
        <v>0</v>
      </c>
      <c r="J192" s="1"/>
      <c r="K192" s="1"/>
      <c r="L192" s="1"/>
      <c r="M192" s="59">
        <f t="shared" ref="M192:M203" si="48">SUM(J192:L192)</f>
        <v>0</v>
      </c>
      <c r="N192" s="1"/>
      <c r="O192" s="1"/>
      <c r="P192" s="1"/>
      <c r="Q192" s="59">
        <f t="shared" ref="Q192:Q203" si="49">SUM(N192:P192)</f>
        <v>0</v>
      </c>
      <c r="R192" s="59">
        <f t="shared" ref="R192:R203" si="50">+E192+I192+M192+Q192</f>
        <v>0</v>
      </c>
    </row>
    <row r="193" spans="1:20" ht="15.75" customHeight="1" x14ac:dyDescent="0.3">
      <c r="A193" s="74" t="s">
        <v>189</v>
      </c>
      <c r="B193" s="1"/>
      <c r="C193" s="1"/>
      <c r="D193" s="1"/>
      <c r="E193" s="59">
        <f>SUM(B193:D193)</f>
        <v>0</v>
      </c>
      <c r="F193" s="1"/>
      <c r="G193" s="1"/>
      <c r="H193" s="1"/>
      <c r="I193" s="59">
        <f>SUM(F193:H193)</f>
        <v>0</v>
      </c>
      <c r="J193" s="1"/>
      <c r="K193" s="1"/>
      <c r="L193" s="1"/>
      <c r="M193" s="59">
        <f>SUM(J193:L193)</f>
        <v>0</v>
      </c>
      <c r="N193" s="1"/>
      <c r="O193" s="1"/>
      <c r="P193" s="1"/>
      <c r="Q193" s="59">
        <f>SUM(N193:P193)</f>
        <v>0</v>
      </c>
      <c r="R193" s="59">
        <f>+E193+I193+M193+Q193</f>
        <v>0</v>
      </c>
      <c r="T193" s="4" t="s">
        <v>127</v>
      </c>
    </row>
    <row r="194" spans="1:20" ht="15.75" customHeight="1" x14ac:dyDescent="0.3">
      <c r="A194" s="74" t="s">
        <v>190</v>
      </c>
      <c r="B194" s="1"/>
      <c r="C194" s="1"/>
      <c r="D194" s="1"/>
      <c r="E194" s="59">
        <f t="shared" si="46"/>
        <v>0</v>
      </c>
      <c r="F194" s="1"/>
      <c r="G194" s="1"/>
      <c r="H194" s="1"/>
      <c r="I194" s="59">
        <f t="shared" si="47"/>
        <v>0</v>
      </c>
      <c r="J194" s="1"/>
      <c r="K194" s="1"/>
      <c r="L194" s="1"/>
      <c r="M194" s="59">
        <f t="shared" si="48"/>
        <v>0</v>
      </c>
      <c r="N194" s="1"/>
      <c r="O194" s="1"/>
      <c r="P194" s="1"/>
      <c r="Q194" s="59">
        <f t="shared" si="49"/>
        <v>0</v>
      </c>
      <c r="R194" s="59">
        <f t="shared" si="50"/>
        <v>0</v>
      </c>
    </row>
    <row r="195" spans="1:20" ht="15.75" customHeight="1" x14ac:dyDescent="0.3">
      <c r="A195" s="74" t="s">
        <v>191</v>
      </c>
      <c r="B195" s="1"/>
      <c r="C195" s="1"/>
      <c r="D195" s="1"/>
      <c r="E195" s="59">
        <f t="shared" si="46"/>
        <v>0</v>
      </c>
      <c r="F195" s="1"/>
      <c r="G195" s="1"/>
      <c r="H195" s="1"/>
      <c r="I195" s="59">
        <f t="shared" si="47"/>
        <v>0</v>
      </c>
      <c r="J195" s="1"/>
      <c r="K195" s="1"/>
      <c r="L195" s="1"/>
      <c r="M195" s="59">
        <f t="shared" si="48"/>
        <v>0</v>
      </c>
      <c r="N195" s="1"/>
      <c r="O195" s="1"/>
      <c r="P195" s="1"/>
      <c r="Q195" s="59">
        <f t="shared" si="49"/>
        <v>0</v>
      </c>
      <c r="R195" s="59">
        <f t="shared" si="50"/>
        <v>0</v>
      </c>
      <c r="T195" s="4" t="s">
        <v>137</v>
      </c>
    </row>
    <row r="196" spans="1:20" ht="15.75" customHeight="1" x14ac:dyDescent="0.3">
      <c r="A196" s="74" t="s">
        <v>192</v>
      </c>
      <c r="B196" s="1"/>
      <c r="C196" s="1"/>
      <c r="D196" s="1"/>
      <c r="E196" s="59">
        <f t="shared" si="46"/>
        <v>0</v>
      </c>
      <c r="F196" s="1"/>
      <c r="G196" s="1"/>
      <c r="H196" s="1"/>
      <c r="I196" s="59">
        <f t="shared" si="47"/>
        <v>0</v>
      </c>
      <c r="J196" s="1"/>
      <c r="K196" s="1"/>
      <c r="L196" s="1"/>
      <c r="M196" s="59">
        <f t="shared" si="48"/>
        <v>0</v>
      </c>
      <c r="N196" s="1"/>
      <c r="O196" s="1"/>
      <c r="P196" s="1"/>
      <c r="Q196" s="59">
        <f t="shared" si="49"/>
        <v>0</v>
      </c>
      <c r="R196" s="59">
        <f t="shared" si="50"/>
        <v>0</v>
      </c>
    </row>
    <row r="197" spans="1:20" ht="15.75" customHeight="1" x14ac:dyDescent="0.3">
      <c r="A197" s="74" t="s">
        <v>193</v>
      </c>
      <c r="B197" s="1"/>
      <c r="C197" s="1"/>
      <c r="D197" s="1"/>
      <c r="E197" s="59">
        <f t="shared" si="46"/>
        <v>0</v>
      </c>
      <c r="F197" s="1"/>
      <c r="G197" s="1"/>
      <c r="H197" s="1"/>
      <c r="I197" s="59">
        <f t="shared" si="47"/>
        <v>0</v>
      </c>
      <c r="J197" s="1"/>
      <c r="K197" s="1"/>
      <c r="L197" s="1"/>
      <c r="M197" s="59">
        <f t="shared" si="48"/>
        <v>0</v>
      </c>
      <c r="N197" s="1"/>
      <c r="O197" s="1"/>
      <c r="P197" s="1"/>
      <c r="Q197" s="59">
        <f t="shared" si="49"/>
        <v>0</v>
      </c>
      <c r="R197" s="59">
        <f t="shared" si="50"/>
        <v>0</v>
      </c>
    </row>
    <row r="198" spans="1:20" ht="15.75" customHeight="1" x14ac:dyDescent="0.3">
      <c r="A198" s="91" t="s">
        <v>194</v>
      </c>
      <c r="B198" s="1"/>
      <c r="C198" s="1"/>
      <c r="D198" s="1"/>
      <c r="E198" s="59">
        <f t="shared" si="46"/>
        <v>0</v>
      </c>
      <c r="F198" s="1"/>
      <c r="G198" s="1"/>
      <c r="H198" s="1"/>
      <c r="I198" s="59">
        <f t="shared" si="47"/>
        <v>0</v>
      </c>
      <c r="J198" s="1"/>
      <c r="K198" s="1"/>
      <c r="L198" s="1"/>
      <c r="M198" s="59">
        <f t="shared" si="48"/>
        <v>0</v>
      </c>
      <c r="N198" s="1"/>
      <c r="O198" s="1"/>
      <c r="P198" s="1"/>
      <c r="Q198" s="59">
        <f t="shared" si="49"/>
        <v>0</v>
      </c>
      <c r="R198" s="59">
        <f t="shared" si="50"/>
        <v>0</v>
      </c>
      <c r="T198" s="4" t="s">
        <v>121</v>
      </c>
    </row>
    <row r="199" spans="1:20" ht="15.75" customHeight="1" x14ac:dyDescent="0.3">
      <c r="A199" s="74" t="s">
        <v>965</v>
      </c>
      <c r="B199" s="1"/>
      <c r="C199" s="1"/>
      <c r="D199" s="1"/>
      <c r="E199" s="59">
        <f t="shared" si="46"/>
        <v>0</v>
      </c>
      <c r="F199" s="1"/>
      <c r="G199" s="1"/>
      <c r="H199" s="1"/>
      <c r="I199" s="59">
        <f t="shared" si="47"/>
        <v>0</v>
      </c>
      <c r="J199" s="1"/>
      <c r="K199" s="1"/>
      <c r="L199" s="1"/>
      <c r="M199" s="59">
        <f t="shared" si="48"/>
        <v>0</v>
      </c>
      <c r="N199" s="1"/>
      <c r="O199" s="1"/>
      <c r="P199" s="1">
        <v>367</v>
      </c>
      <c r="Q199" s="59">
        <f t="shared" ref="Q199" si="51">SUM(N199:P199)</f>
        <v>367</v>
      </c>
      <c r="R199" s="59">
        <f t="shared" si="50"/>
        <v>367</v>
      </c>
    </row>
    <row r="200" spans="1:20" ht="15.75" customHeight="1" x14ac:dyDescent="0.3">
      <c r="A200" s="74" t="s">
        <v>195</v>
      </c>
      <c r="B200" s="1"/>
      <c r="C200" s="1"/>
      <c r="D200" s="1"/>
      <c r="E200" s="59">
        <f t="shared" si="46"/>
        <v>0</v>
      </c>
      <c r="F200" s="1"/>
      <c r="G200" s="1"/>
      <c r="H200" s="1"/>
      <c r="I200" s="59">
        <f t="shared" si="47"/>
        <v>0</v>
      </c>
      <c r="J200" s="1"/>
      <c r="K200" s="1"/>
      <c r="L200" s="1"/>
      <c r="M200" s="59">
        <f t="shared" si="48"/>
        <v>0</v>
      </c>
      <c r="N200" s="1"/>
      <c r="O200" s="1"/>
      <c r="P200" s="1"/>
      <c r="Q200" s="59">
        <f t="shared" si="49"/>
        <v>0</v>
      </c>
      <c r="R200" s="59">
        <f t="shared" si="50"/>
        <v>0</v>
      </c>
      <c r="T200" s="4" t="s">
        <v>137</v>
      </c>
    </row>
    <row r="201" spans="1:20" ht="15.75" customHeight="1" x14ac:dyDescent="0.3">
      <c r="A201" s="74" t="s">
        <v>966</v>
      </c>
      <c r="B201" s="1"/>
      <c r="C201" s="1"/>
      <c r="D201" s="1"/>
      <c r="E201" s="59">
        <f t="shared" si="46"/>
        <v>0</v>
      </c>
      <c r="F201" s="1"/>
      <c r="G201" s="1"/>
      <c r="H201" s="1"/>
      <c r="I201" s="59">
        <f t="shared" si="47"/>
        <v>0</v>
      </c>
      <c r="J201" s="1"/>
      <c r="K201" s="1"/>
      <c r="L201" s="1"/>
      <c r="M201" s="59">
        <f t="shared" si="48"/>
        <v>0</v>
      </c>
      <c r="N201" s="1"/>
      <c r="O201" s="1"/>
      <c r="P201" s="1">
        <v>65</v>
      </c>
      <c r="Q201" s="59">
        <f t="shared" ref="Q201" si="52">SUM(N201:P201)</f>
        <v>65</v>
      </c>
      <c r="R201" s="59">
        <f t="shared" si="50"/>
        <v>65</v>
      </c>
    </row>
    <row r="202" spans="1:20" ht="15.75" customHeight="1" x14ac:dyDescent="0.3">
      <c r="A202" s="74" t="s">
        <v>196</v>
      </c>
      <c r="B202" s="1"/>
      <c r="C202" s="1"/>
      <c r="D202" s="1"/>
      <c r="E202" s="59">
        <f t="shared" si="46"/>
        <v>0</v>
      </c>
      <c r="F202" s="1"/>
      <c r="G202" s="1"/>
      <c r="H202" s="1"/>
      <c r="I202" s="59">
        <f t="shared" si="47"/>
        <v>0</v>
      </c>
      <c r="J202" s="1"/>
      <c r="K202" s="1"/>
      <c r="L202" s="1"/>
      <c r="M202" s="59">
        <f t="shared" si="48"/>
        <v>0</v>
      </c>
      <c r="N202" s="1"/>
      <c r="O202" s="1"/>
      <c r="P202" s="1"/>
      <c r="Q202" s="59">
        <f t="shared" si="49"/>
        <v>0</v>
      </c>
      <c r="R202" s="59">
        <f t="shared" si="50"/>
        <v>0</v>
      </c>
      <c r="T202" s="4" t="s">
        <v>197</v>
      </c>
    </row>
    <row r="203" spans="1:20" ht="15.75" customHeight="1" x14ac:dyDescent="0.3">
      <c r="A203" s="91" t="s">
        <v>198</v>
      </c>
      <c r="B203" s="1"/>
      <c r="C203" s="1"/>
      <c r="D203" s="1"/>
      <c r="E203" s="59">
        <f t="shared" si="46"/>
        <v>0</v>
      </c>
      <c r="F203" s="1"/>
      <c r="G203" s="1"/>
      <c r="H203" s="1"/>
      <c r="I203" s="59">
        <f t="shared" si="47"/>
        <v>0</v>
      </c>
      <c r="J203" s="1"/>
      <c r="K203" s="1"/>
      <c r="L203" s="1"/>
      <c r="M203" s="59">
        <f t="shared" si="48"/>
        <v>0</v>
      </c>
      <c r="N203" s="1"/>
      <c r="O203" s="1"/>
      <c r="P203" s="1"/>
      <c r="Q203" s="59">
        <f t="shared" si="49"/>
        <v>0</v>
      </c>
      <c r="R203" s="59">
        <f t="shared" si="50"/>
        <v>0</v>
      </c>
    </row>
    <row r="204" spans="1:20" ht="15.75" customHeight="1" x14ac:dyDescent="0.3">
      <c r="A204" s="17" t="s">
        <v>49</v>
      </c>
      <c r="B204" s="1"/>
      <c r="C204" s="1"/>
      <c r="D204" s="1"/>
      <c r="E204" s="59" t="s">
        <v>7</v>
      </c>
      <c r="F204" s="1"/>
      <c r="G204" s="1"/>
      <c r="H204" s="1"/>
      <c r="I204" s="59" t="s">
        <v>7</v>
      </c>
      <c r="J204" s="1"/>
      <c r="K204" s="1"/>
      <c r="L204" s="1"/>
      <c r="M204" s="59" t="s">
        <v>7</v>
      </c>
      <c r="N204" s="1"/>
      <c r="O204" s="1"/>
      <c r="P204" s="1"/>
      <c r="Q204" s="59" t="s">
        <v>7</v>
      </c>
      <c r="R204" s="59" t="s">
        <v>7</v>
      </c>
    </row>
    <row r="205" spans="1:20" ht="15.75" customHeight="1" x14ac:dyDescent="0.3">
      <c r="A205" s="99" t="s">
        <v>199</v>
      </c>
      <c r="B205" s="1"/>
      <c r="C205" s="1"/>
      <c r="D205" s="1"/>
      <c r="E205" s="59">
        <f>SUM(B205:D205)</f>
        <v>0</v>
      </c>
      <c r="F205" s="1"/>
      <c r="G205" s="1"/>
      <c r="H205" s="1"/>
      <c r="I205" s="59">
        <f>SUM(F205:H205)</f>
        <v>0</v>
      </c>
      <c r="J205" s="1"/>
      <c r="K205" s="1"/>
      <c r="L205" s="1"/>
      <c r="M205" s="59">
        <f>SUM(J205:L205)</f>
        <v>0</v>
      </c>
      <c r="N205" s="1"/>
      <c r="O205" s="1"/>
      <c r="P205" s="1"/>
      <c r="Q205" s="59">
        <f>SUM(N205:P205)</f>
        <v>0</v>
      </c>
      <c r="R205" s="59">
        <f>+E205+I205+M205+Q205</f>
        <v>0</v>
      </c>
      <c r="S205" s="77" t="s">
        <v>90</v>
      </c>
      <c r="T205" s="4" t="s">
        <v>132</v>
      </c>
    </row>
    <row r="206" spans="1:20" ht="15.75" customHeight="1" x14ac:dyDescent="0.3">
      <c r="A206" s="99" t="s">
        <v>200</v>
      </c>
      <c r="B206" s="1"/>
      <c r="C206" s="1"/>
      <c r="D206" s="1"/>
      <c r="E206" s="59">
        <f>SUM(B206:D206)</f>
        <v>0</v>
      </c>
      <c r="F206" s="1">
        <v>1500</v>
      </c>
      <c r="G206" s="1"/>
      <c r="H206" s="1"/>
      <c r="I206" s="59">
        <f>SUM(F206:H206)</f>
        <v>1500</v>
      </c>
      <c r="J206" s="1"/>
      <c r="K206" s="1"/>
      <c r="L206" s="1"/>
      <c r="M206" s="59">
        <f>SUM(J206:L206)</f>
        <v>0</v>
      </c>
      <c r="N206" s="1"/>
      <c r="O206" s="1"/>
      <c r="P206" s="1">
        <v>1</v>
      </c>
      <c r="Q206" s="59">
        <f>SUM(N206:P206)</f>
        <v>1</v>
      </c>
      <c r="R206" s="59">
        <f>+E206+I206+M206+Q206</f>
        <v>1501</v>
      </c>
      <c r="S206" s="77" t="s">
        <v>90</v>
      </c>
      <c r="T206" s="4" t="s">
        <v>134</v>
      </c>
    </row>
    <row r="207" spans="1:20" ht="15.75" customHeight="1" x14ac:dyDescent="0.3">
      <c r="A207" s="61" t="s">
        <v>201</v>
      </c>
      <c r="B207" s="1">
        <v>35</v>
      </c>
      <c r="C207" s="1">
        <v>25</v>
      </c>
      <c r="D207" s="1">
        <v>69</v>
      </c>
      <c r="E207" s="59">
        <f>SUM(B207:D207)</f>
        <v>129</v>
      </c>
      <c r="F207" s="1">
        <v>121</v>
      </c>
      <c r="G207" s="1">
        <v>131</v>
      </c>
      <c r="H207" s="1">
        <v>132</v>
      </c>
      <c r="I207" s="59">
        <f>SUM(F207:H207)</f>
        <v>384</v>
      </c>
      <c r="J207" s="1">
        <v>161</v>
      </c>
      <c r="K207" s="1">
        <v>156</v>
      </c>
      <c r="L207" s="1">
        <v>154</v>
      </c>
      <c r="M207" s="59">
        <f>SUM(J207:L207)</f>
        <v>471</v>
      </c>
      <c r="N207" s="1">
        <v>16</v>
      </c>
      <c r="O207" s="1">
        <v>53</v>
      </c>
      <c r="P207" s="1">
        <v>13</v>
      </c>
      <c r="Q207" s="59">
        <f>SUM(N207:P207)</f>
        <v>82</v>
      </c>
      <c r="R207" s="59">
        <f>+E207+I207+M207+Q207</f>
        <v>1066</v>
      </c>
      <c r="S207" s="77" t="s">
        <v>90</v>
      </c>
      <c r="T207" s="4" t="s">
        <v>202</v>
      </c>
    </row>
    <row r="208" spans="1:20" ht="15.75" customHeight="1" thickBot="1" x14ac:dyDescent="0.35">
      <c r="A208" s="17" t="s">
        <v>51</v>
      </c>
      <c r="B208" s="1"/>
      <c r="C208" s="1"/>
      <c r="D208" s="1"/>
      <c r="E208" s="59" t="s">
        <v>7</v>
      </c>
      <c r="F208" s="1"/>
      <c r="G208" s="1"/>
      <c r="H208" s="1"/>
      <c r="I208" s="59" t="s">
        <v>7</v>
      </c>
      <c r="J208" s="1"/>
      <c r="K208" s="1"/>
      <c r="L208" s="1"/>
      <c r="M208" s="59" t="s">
        <v>7</v>
      </c>
      <c r="N208" s="1"/>
      <c r="O208" s="1"/>
      <c r="P208" s="1"/>
      <c r="Q208" s="59" t="s">
        <v>7</v>
      </c>
      <c r="R208" s="59" t="s">
        <v>7</v>
      </c>
    </row>
    <row r="209" spans="1:20" ht="16.5" customHeight="1" thickBot="1" x14ac:dyDescent="0.35">
      <c r="A209" s="62" t="s">
        <v>52</v>
      </c>
      <c r="B209" s="100">
        <f>SUM(B139:B208)</f>
        <v>15659</v>
      </c>
      <c r="C209" s="101">
        <f>SUM(C139:C208)</f>
        <v>14874</v>
      </c>
      <c r="D209" s="101">
        <f>SUM(D139:D208)</f>
        <v>13703</v>
      </c>
      <c r="E209" s="64">
        <f>SUM(B209:D209)</f>
        <v>44236</v>
      </c>
      <c r="F209" s="101">
        <f>SUM(F139:F208)</f>
        <v>13784</v>
      </c>
      <c r="G209" s="101">
        <f t="shared" ref="G209:H209" si="53">SUM(G139:G208)</f>
        <v>23124</v>
      </c>
      <c r="H209" s="101">
        <f t="shared" si="53"/>
        <v>35927</v>
      </c>
      <c r="I209" s="64">
        <f>SUM(F209:H209)</f>
        <v>72835</v>
      </c>
      <c r="J209" s="101">
        <f>SUM(J139:J208)</f>
        <v>33930</v>
      </c>
      <c r="K209" s="101">
        <f>SUM(K139:K208)</f>
        <v>31748</v>
      </c>
      <c r="L209" s="101">
        <f>SUM(L139:L208)</f>
        <v>29737</v>
      </c>
      <c r="M209" s="64">
        <f>SUM(J209:L209)</f>
        <v>95415</v>
      </c>
      <c r="N209" s="101">
        <f>SUM(N139:N208)</f>
        <v>21652</v>
      </c>
      <c r="O209" s="101">
        <f>SUM(O139:O208)</f>
        <v>22933</v>
      </c>
      <c r="P209" s="101">
        <f>SUM(P139:P208)</f>
        <v>25167</v>
      </c>
      <c r="Q209" s="64">
        <f>SUM(N209:P209)</f>
        <v>69752</v>
      </c>
      <c r="R209" s="64">
        <f>+E209+I209+M209+Q209</f>
        <v>282238</v>
      </c>
    </row>
    <row r="210" spans="1:20" ht="15.75" customHeight="1" x14ac:dyDescent="0.3">
      <c r="A210" s="17" t="s">
        <v>53</v>
      </c>
      <c r="B210" s="1"/>
      <c r="C210" s="1"/>
      <c r="D210" s="1"/>
      <c r="E210" s="59" t="s">
        <v>7</v>
      </c>
      <c r="F210" s="1"/>
      <c r="G210" s="1"/>
      <c r="H210" s="1"/>
      <c r="I210" s="59" t="s">
        <v>7</v>
      </c>
      <c r="J210" s="1"/>
      <c r="K210" s="1"/>
      <c r="L210" s="1"/>
      <c r="M210" s="59" t="s">
        <v>7</v>
      </c>
      <c r="N210" s="1"/>
      <c r="O210" s="1"/>
      <c r="P210" s="1"/>
      <c r="Q210" s="59" t="s">
        <v>7</v>
      </c>
      <c r="R210" s="59" t="s">
        <v>7</v>
      </c>
    </row>
    <row r="211" spans="1:20" ht="15.75" customHeight="1" x14ac:dyDescent="0.3">
      <c r="A211" s="17" t="s">
        <v>54</v>
      </c>
      <c r="B211" s="1"/>
      <c r="C211" s="1"/>
      <c r="D211" s="1"/>
      <c r="E211" s="59" t="s">
        <v>7</v>
      </c>
      <c r="F211" s="1"/>
      <c r="G211" s="1"/>
      <c r="H211" s="1"/>
      <c r="I211" s="59" t="s">
        <v>7</v>
      </c>
      <c r="J211" s="1"/>
      <c r="K211" s="1"/>
      <c r="L211" s="1"/>
      <c r="M211" s="59" t="s">
        <v>7</v>
      </c>
      <c r="N211" s="1"/>
      <c r="O211" s="1"/>
      <c r="P211" s="1"/>
      <c r="Q211" s="59" t="s">
        <v>7</v>
      </c>
      <c r="R211" s="59" t="s">
        <v>7</v>
      </c>
    </row>
    <row r="212" spans="1:20" ht="15.75" customHeight="1" x14ac:dyDescent="0.3">
      <c r="A212" s="17" t="s">
        <v>55</v>
      </c>
      <c r="B212" s="1"/>
      <c r="C212" s="1"/>
      <c r="D212" s="1"/>
      <c r="E212" s="59" t="s">
        <v>7</v>
      </c>
      <c r="F212" s="1"/>
      <c r="G212" s="1"/>
      <c r="H212" s="1"/>
      <c r="I212" s="59" t="s">
        <v>7</v>
      </c>
      <c r="J212" s="1"/>
      <c r="K212" s="1"/>
      <c r="L212" s="1"/>
      <c r="M212" s="59" t="s">
        <v>7</v>
      </c>
      <c r="N212" s="1"/>
      <c r="O212" s="1"/>
      <c r="P212" s="1"/>
      <c r="Q212" s="59" t="s">
        <v>7</v>
      </c>
      <c r="R212" s="59" t="s">
        <v>7</v>
      </c>
    </row>
    <row r="213" spans="1:20" ht="15.75" customHeight="1" x14ac:dyDescent="0.3">
      <c r="A213" s="99" t="s">
        <v>203</v>
      </c>
      <c r="B213" s="1"/>
      <c r="C213" s="1"/>
      <c r="D213" s="1"/>
      <c r="E213" s="59">
        <f>SUM(B213:D213)</f>
        <v>0</v>
      </c>
      <c r="F213" s="1"/>
      <c r="G213" s="1"/>
      <c r="H213" s="1"/>
      <c r="I213" s="59">
        <f>SUM(F213:H213)</f>
        <v>0</v>
      </c>
      <c r="J213" s="1"/>
      <c r="K213" s="1"/>
      <c r="L213" s="1"/>
      <c r="M213" s="59">
        <f>SUM(J213:L213)</f>
        <v>0</v>
      </c>
      <c r="N213" s="1"/>
      <c r="O213" s="1"/>
      <c r="P213" s="1"/>
      <c r="Q213" s="59">
        <f>SUM(N213:P213)</f>
        <v>0</v>
      </c>
      <c r="R213" s="59">
        <f>+E213+I213+M213+Q213</f>
        <v>0</v>
      </c>
      <c r="T213" s="4" t="s">
        <v>121</v>
      </c>
    </row>
    <row r="214" spans="1:20" ht="15.75" customHeight="1" x14ac:dyDescent="0.3">
      <c r="A214" s="76" t="s">
        <v>204</v>
      </c>
      <c r="B214" s="1"/>
      <c r="C214" s="1"/>
      <c r="D214" s="1"/>
      <c r="E214" s="59">
        <f>SUM(B214:D214)</f>
        <v>0</v>
      </c>
      <c r="F214" s="1"/>
      <c r="G214" s="1"/>
      <c r="H214" s="1"/>
      <c r="I214" s="59">
        <f>SUM(F214:H214)</f>
        <v>0</v>
      </c>
      <c r="J214" s="1"/>
      <c r="K214" s="1"/>
      <c r="L214" s="1"/>
      <c r="M214" s="59">
        <f>SUM(J214:L214)</f>
        <v>0</v>
      </c>
      <c r="N214" s="1"/>
      <c r="O214" s="1"/>
      <c r="P214" s="1"/>
      <c r="Q214" s="59">
        <f>SUM(N214:P214)</f>
        <v>0</v>
      </c>
      <c r="R214" s="59">
        <f>+E214+I214+M214+Q214</f>
        <v>0</v>
      </c>
      <c r="S214" s="4" t="s">
        <v>136</v>
      </c>
      <c r="T214" s="4" t="s">
        <v>137</v>
      </c>
    </row>
    <row r="215" spans="1:20" ht="15.75" customHeight="1" thickBot="1" x14ac:dyDescent="0.35">
      <c r="A215" s="17" t="s">
        <v>56</v>
      </c>
      <c r="B215" s="1"/>
      <c r="C215" s="1"/>
      <c r="D215" s="1"/>
      <c r="E215" s="59" t="s">
        <v>7</v>
      </c>
      <c r="F215" s="1"/>
      <c r="G215" s="1"/>
      <c r="H215" s="1"/>
      <c r="I215" s="59" t="s">
        <v>7</v>
      </c>
      <c r="J215" s="1"/>
      <c r="K215" s="1"/>
      <c r="L215" s="1"/>
      <c r="M215" s="59" t="s">
        <v>7</v>
      </c>
      <c r="N215" s="1"/>
      <c r="O215" s="1"/>
      <c r="P215" s="1"/>
      <c r="Q215" s="59" t="s">
        <v>7</v>
      </c>
      <c r="R215" s="59" t="s">
        <v>7</v>
      </c>
    </row>
    <row r="216" spans="1:20" ht="16.5" customHeight="1" thickBot="1" x14ac:dyDescent="0.35">
      <c r="A216" s="62" t="s">
        <v>57</v>
      </c>
      <c r="B216" s="100">
        <f>SUM(B210:B215)</f>
        <v>0</v>
      </c>
      <c r="C216" s="101">
        <f>SUM(C210:C215)</f>
        <v>0</v>
      </c>
      <c r="D216" s="101">
        <f>SUM(D210:D215)</f>
        <v>0</v>
      </c>
      <c r="E216" s="64">
        <f>SUM(B216:D216)</f>
        <v>0</v>
      </c>
      <c r="F216" s="101"/>
      <c r="G216" s="101"/>
      <c r="H216" s="101"/>
      <c r="I216" s="64">
        <f>SUM(F216:H216)</f>
        <v>0</v>
      </c>
      <c r="J216" s="101">
        <f>SUM(J210:J215)</f>
        <v>0</v>
      </c>
      <c r="K216" s="101">
        <f>SUM(K210:K215)</f>
        <v>0</v>
      </c>
      <c r="L216" s="101">
        <f>SUM(L210:L215)</f>
        <v>0</v>
      </c>
      <c r="M216" s="64">
        <f>SUM(J216:L216)</f>
        <v>0</v>
      </c>
      <c r="N216" s="101">
        <f>SUM(N210:N215)</f>
        <v>0</v>
      </c>
      <c r="O216" s="101">
        <f>SUM(O210:O215)</f>
        <v>0</v>
      </c>
      <c r="P216" s="101">
        <f>SUM(P210:P215)</f>
        <v>0</v>
      </c>
      <c r="Q216" s="64">
        <f>SUM(N216:P216)</f>
        <v>0</v>
      </c>
      <c r="R216" s="64">
        <f>+E216+I216+M216+Q216</f>
        <v>0</v>
      </c>
    </row>
    <row r="217" spans="1:20" ht="15.75" customHeight="1" x14ac:dyDescent="0.3">
      <c r="A217" s="17" t="s">
        <v>58</v>
      </c>
      <c r="B217" s="1"/>
      <c r="C217" s="1"/>
      <c r="D217" s="1"/>
      <c r="E217" s="59" t="s">
        <v>7</v>
      </c>
      <c r="F217" s="1"/>
      <c r="G217" s="1"/>
      <c r="H217" s="1"/>
      <c r="I217" s="59" t="s">
        <v>7</v>
      </c>
      <c r="J217" s="1"/>
      <c r="K217" s="1"/>
      <c r="L217" s="1"/>
      <c r="M217" s="59" t="s">
        <v>7</v>
      </c>
      <c r="N217" s="1"/>
      <c r="O217" s="1"/>
      <c r="P217" s="1"/>
      <c r="Q217" s="59" t="s">
        <v>7</v>
      </c>
      <c r="R217" s="59" t="s">
        <v>7</v>
      </c>
    </row>
    <row r="218" spans="1:20" ht="15.75" customHeight="1" x14ac:dyDescent="0.3">
      <c r="A218" s="17" t="s">
        <v>59</v>
      </c>
      <c r="B218" s="1"/>
      <c r="C218" s="1"/>
      <c r="D218" s="1"/>
      <c r="E218" s="59" t="s">
        <v>7</v>
      </c>
      <c r="F218" s="1"/>
      <c r="G218" s="1"/>
      <c r="H218" s="1"/>
      <c r="I218" s="59" t="s">
        <v>7</v>
      </c>
      <c r="J218" s="1"/>
      <c r="K218" s="1"/>
      <c r="L218" s="1"/>
      <c r="M218" s="59" t="s">
        <v>7</v>
      </c>
      <c r="N218" s="1"/>
      <c r="O218" s="1"/>
      <c r="P218" s="1"/>
      <c r="Q218" s="59" t="s">
        <v>7</v>
      </c>
      <c r="R218" s="59" t="s">
        <v>7</v>
      </c>
    </row>
    <row r="219" spans="1:20" ht="15.75" customHeight="1" x14ac:dyDescent="0.3">
      <c r="A219" s="17" t="s">
        <v>60</v>
      </c>
      <c r="B219" s="1"/>
      <c r="C219" s="1"/>
      <c r="D219" s="1"/>
      <c r="E219" s="59" t="s">
        <v>7</v>
      </c>
      <c r="F219" s="1"/>
      <c r="G219" s="1"/>
      <c r="H219" s="1"/>
      <c r="I219" s="59" t="s">
        <v>7</v>
      </c>
      <c r="J219" s="1"/>
      <c r="K219" s="1"/>
      <c r="L219" s="1"/>
      <c r="M219" s="59" t="s">
        <v>7</v>
      </c>
      <c r="N219" s="1"/>
      <c r="O219" s="1"/>
      <c r="P219" s="1"/>
      <c r="Q219" s="59" t="s">
        <v>7</v>
      </c>
      <c r="R219" s="59" t="s">
        <v>7</v>
      </c>
    </row>
    <row r="220" spans="1:20" ht="15.75" customHeight="1" x14ac:dyDescent="0.3">
      <c r="A220" s="102" t="s">
        <v>205</v>
      </c>
      <c r="B220" s="1">
        <v>271</v>
      </c>
      <c r="C220" s="1">
        <v>252</v>
      </c>
      <c r="D220" s="1">
        <v>288</v>
      </c>
      <c r="E220" s="59">
        <f t="shared" ref="E220:E226" si="54">SUM(B220:D220)</f>
        <v>811</v>
      </c>
      <c r="F220" s="1">
        <v>376</v>
      </c>
      <c r="G220" s="1">
        <v>454</v>
      </c>
      <c r="H220" s="1">
        <v>507</v>
      </c>
      <c r="I220" s="59">
        <f t="shared" ref="I220:I226" si="55">SUM(F220:H220)</f>
        <v>1337</v>
      </c>
      <c r="J220" s="1">
        <v>475</v>
      </c>
      <c r="K220" s="1">
        <v>427</v>
      </c>
      <c r="L220" s="1">
        <v>457</v>
      </c>
      <c r="M220" s="59">
        <f t="shared" ref="M220:M226" si="56">SUM(J220:L220)</f>
        <v>1359</v>
      </c>
      <c r="N220" s="1">
        <v>312</v>
      </c>
      <c r="O220" s="1">
        <v>282</v>
      </c>
      <c r="P220" s="1">
        <v>264</v>
      </c>
      <c r="Q220" s="59">
        <f t="shared" ref="Q220:Q226" si="57">SUM(N220:P220)</f>
        <v>858</v>
      </c>
      <c r="R220" s="59">
        <f t="shared" ref="R220:R284" si="58">+E220+I220+M220+Q220</f>
        <v>4365</v>
      </c>
      <c r="T220" s="4" t="s">
        <v>206</v>
      </c>
    </row>
    <row r="221" spans="1:20" ht="15.75" customHeight="1" x14ac:dyDescent="0.3">
      <c r="A221" s="102" t="s">
        <v>207</v>
      </c>
      <c r="B221" s="1"/>
      <c r="C221" s="1"/>
      <c r="D221" s="1">
        <v>357</v>
      </c>
      <c r="E221" s="59">
        <f t="shared" si="54"/>
        <v>357</v>
      </c>
      <c r="F221" s="1"/>
      <c r="G221" s="1"/>
      <c r="H221" s="1"/>
      <c r="I221" s="59">
        <f t="shared" si="55"/>
        <v>0</v>
      </c>
      <c r="J221" s="1"/>
      <c r="K221" s="1"/>
      <c r="L221" s="1"/>
      <c r="M221" s="59">
        <f t="shared" si="56"/>
        <v>0</v>
      </c>
      <c r="N221" s="1"/>
      <c r="O221" s="1"/>
      <c r="P221" s="1"/>
      <c r="Q221" s="59">
        <f t="shared" si="57"/>
        <v>0</v>
      </c>
      <c r="R221" s="59">
        <f t="shared" si="58"/>
        <v>357</v>
      </c>
      <c r="T221" s="4" t="s">
        <v>121</v>
      </c>
    </row>
    <row r="222" spans="1:20" ht="15.75" customHeight="1" x14ac:dyDescent="0.3">
      <c r="A222" s="76" t="s">
        <v>208</v>
      </c>
      <c r="B222" s="1">
        <v>8</v>
      </c>
      <c r="C222" s="1">
        <v>5</v>
      </c>
      <c r="D222" s="1">
        <v>6</v>
      </c>
      <c r="E222" s="59">
        <f t="shared" si="54"/>
        <v>19</v>
      </c>
      <c r="F222" s="1">
        <v>8</v>
      </c>
      <c r="G222" s="1">
        <v>9</v>
      </c>
      <c r="H222" s="1">
        <v>11</v>
      </c>
      <c r="I222" s="59">
        <f t="shared" si="55"/>
        <v>28</v>
      </c>
      <c r="J222" s="1">
        <v>6</v>
      </c>
      <c r="K222" s="1">
        <v>6</v>
      </c>
      <c r="L222" s="1">
        <v>33</v>
      </c>
      <c r="M222" s="59">
        <f t="shared" si="56"/>
        <v>45</v>
      </c>
      <c r="N222" s="1">
        <v>4</v>
      </c>
      <c r="O222" s="1">
        <v>4</v>
      </c>
      <c r="P222" s="1"/>
      <c r="Q222" s="59">
        <f t="shared" si="57"/>
        <v>8</v>
      </c>
      <c r="R222" s="59">
        <f t="shared" si="58"/>
        <v>100</v>
      </c>
    </row>
    <row r="223" spans="1:20" ht="15.75" customHeight="1" x14ac:dyDescent="0.3">
      <c r="A223" s="102" t="s">
        <v>209</v>
      </c>
      <c r="B223" s="1">
        <f>15+19</f>
        <v>34</v>
      </c>
      <c r="C223" s="1">
        <f>11+23</f>
        <v>34</v>
      </c>
      <c r="D223" s="1">
        <f>13+10</f>
        <v>23</v>
      </c>
      <c r="E223" s="59">
        <f t="shared" si="54"/>
        <v>91</v>
      </c>
      <c r="F223" s="1"/>
      <c r="G223" s="1"/>
      <c r="H223" s="1">
        <v>45</v>
      </c>
      <c r="I223" s="59">
        <f t="shared" si="55"/>
        <v>45</v>
      </c>
      <c r="J223" s="1">
        <f>144+68</f>
        <v>212</v>
      </c>
      <c r="K223" s="1">
        <f>94+59</f>
        <v>153</v>
      </c>
      <c r="L223" s="1">
        <f>69+54</f>
        <v>123</v>
      </c>
      <c r="M223" s="59">
        <f t="shared" si="56"/>
        <v>488</v>
      </c>
      <c r="N223" s="1">
        <f>37+12</f>
        <v>49</v>
      </c>
      <c r="O223" s="1">
        <v>42</v>
      </c>
      <c r="P223" s="1">
        <f>21+5</f>
        <v>26</v>
      </c>
      <c r="Q223" s="59">
        <f t="shared" si="57"/>
        <v>117</v>
      </c>
      <c r="R223" s="59">
        <f t="shared" si="58"/>
        <v>741</v>
      </c>
      <c r="T223" s="4" t="s">
        <v>127</v>
      </c>
    </row>
    <row r="224" spans="1:20" ht="15.75" customHeight="1" x14ac:dyDescent="0.3">
      <c r="A224" s="102" t="s">
        <v>210</v>
      </c>
      <c r="B224" s="1">
        <v>198</v>
      </c>
      <c r="C224" s="1"/>
      <c r="D224" s="1"/>
      <c r="E224" s="59">
        <f t="shared" si="54"/>
        <v>198</v>
      </c>
      <c r="F224" s="1"/>
      <c r="G224" s="1"/>
      <c r="H224" s="1"/>
      <c r="I224" s="59">
        <f t="shared" si="55"/>
        <v>0</v>
      </c>
      <c r="J224" s="1"/>
      <c r="K224" s="1"/>
      <c r="L224" s="1"/>
      <c r="M224" s="59">
        <f t="shared" si="56"/>
        <v>0</v>
      </c>
      <c r="N224" s="1">
        <v>650</v>
      </c>
      <c r="O224" s="1"/>
      <c r="P224" s="1"/>
      <c r="Q224" s="59">
        <f t="shared" si="57"/>
        <v>650</v>
      </c>
      <c r="R224" s="59">
        <f>+E224+I224+M224+Q224</f>
        <v>848</v>
      </c>
      <c r="T224" s="4" t="s">
        <v>134</v>
      </c>
    </row>
    <row r="225" spans="1:20" ht="15.75" customHeight="1" x14ac:dyDescent="0.3">
      <c r="A225" s="102" t="s">
        <v>211</v>
      </c>
      <c r="B225" s="1"/>
      <c r="C225" s="1"/>
      <c r="D225" s="1">
        <v>999</v>
      </c>
      <c r="E225" s="59">
        <f t="shared" si="54"/>
        <v>999</v>
      </c>
      <c r="F225" s="1">
        <v>296</v>
      </c>
      <c r="G225" s="1"/>
      <c r="H225" s="1"/>
      <c r="I225" s="59">
        <f t="shared" si="55"/>
        <v>296</v>
      </c>
      <c r="J225" s="1"/>
      <c r="K225" s="1"/>
      <c r="L225" s="1"/>
      <c r="M225" s="59">
        <f t="shared" si="56"/>
        <v>0</v>
      </c>
      <c r="N225" s="1">
        <v>673</v>
      </c>
      <c r="O225" s="1">
        <v>3307</v>
      </c>
      <c r="P225" s="1"/>
      <c r="Q225" s="59">
        <f t="shared" si="57"/>
        <v>3980</v>
      </c>
      <c r="R225" s="59">
        <f>+E225+I225+M225+Q225</f>
        <v>5275</v>
      </c>
      <c r="T225" s="4" t="s">
        <v>134</v>
      </c>
    </row>
    <row r="226" spans="1:20" ht="15.75" customHeight="1" x14ac:dyDescent="0.3">
      <c r="A226" s="76" t="s">
        <v>212</v>
      </c>
      <c r="B226" s="1"/>
      <c r="C226" s="1"/>
      <c r="D226" s="1"/>
      <c r="E226" s="59">
        <f t="shared" si="54"/>
        <v>0</v>
      </c>
      <c r="F226" s="1"/>
      <c r="G226" s="1"/>
      <c r="H226" s="1">
        <v>245</v>
      </c>
      <c r="I226" s="59">
        <f t="shared" si="55"/>
        <v>245</v>
      </c>
      <c r="J226" s="1">
        <v>1605</v>
      </c>
      <c r="K226" s="1"/>
      <c r="L226" s="1"/>
      <c r="M226" s="59">
        <f t="shared" si="56"/>
        <v>1605</v>
      </c>
      <c r="N226" s="1"/>
      <c r="O226" s="1"/>
      <c r="P226" s="1"/>
      <c r="Q226" s="59">
        <f t="shared" si="57"/>
        <v>0</v>
      </c>
      <c r="R226" s="59">
        <f>+E226+I226+M226+Q226</f>
        <v>1850</v>
      </c>
      <c r="S226" s="94"/>
      <c r="T226" s="4" t="s">
        <v>137</v>
      </c>
    </row>
    <row r="227" spans="1:20" ht="15.75" customHeight="1" x14ac:dyDescent="0.3">
      <c r="A227" s="76" t="s">
        <v>215</v>
      </c>
      <c r="B227" s="1"/>
      <c r="C227" s="1"/>
      <c r="D227" s="1"/>
      <c r="E227" s="59">
        <f>SUM(B227:D227)</f>
        <v>0</v>
      </c>
      <c r="F227" s="1"/>
      <c r="G227" s="1"/>
      <c r="H227" s="1"/>
      <c r="I227" s="59">
        <f t="shared" ref="I227:I282" si="59">SUM(F227:H227)</f>
        <v>0</v>
      </c>
      <c r="J227" s="1"/>
      <c r="K227" s="1"/>
      <c r="L227" s="1"/>
      <c r="M227" s="59">
        <f t="shared" ref="M227:M282" si="60">SUM(J227:L227)</f>
        <v>0</v>
      </c>
      <c r="N227" s="1"/>
      <c r="O227" s="1"/>
      <c r="P227" s="1"/>
      <c r="Q227" s="59">
        <f t="shared" ref="Q227:Q282" si="61">SUM(N227:P227)</f>
        <v>0</v>
      </c>
      <c r="R227" s="59">
        <f t="shared" si="58"/>
        <v>0</v>
      </c>
      <c r="S227" s="4" t="s">
        <v>136</v>
      </c>
    </row>
    <row r="228" spans="1:20" ht="15.75" customHeight="1" x14ac:dyDescent="0.3">
      <c r="A228" s="103" t="s">
        <v>216</v>
      </c>
      <c r="B228" s="1">
        <v>476</v>
      </c>
      <c r="C228" s="1">
        <v>198</v>
      </c>
      <c r="D228" s="1"/>
      <c r="E228" s="59">
        <f t="shared" ref="E228" si="62">SUM(B228:D228)</f>
        <v>674</v>
      </c>
      <c r="F228" s="1"/>
      <c r="G228" s="1"/>
      <c r="H228" s="1"/>
      <c r="I228" s="59">
        <f t="shared" si="59"/>
        <v>0</v>
      </c>
      <c r="J228" s="1"/>
      <c r="K228" s="1"/>
      <c r="L228" s="1"/>
      <c r="M228" s="59">
        <f t="shared" si="60"/>
        <v>0</v>
      </c>
      <c r="N228" s="1"/>
      <c r="O228" s="1"/>
      <c r="P228" s="1"/>
      <c r="Q228" s="59">
        <f t="shared" si="61"/>
        <v>0</v>
      </c>
      <c r="R228" s="59">
        <f>+E228+I228+M228+Q228</f>
        <v>674</v>
      </c>
      <c r="T228" s="4" t="s">
        <v>217</v>
      </c>
    </row>
    <row r="229" spans="1:20" ht="15.75" customHeight="1" x14ac:dyDescent="0.3">
      <c r="A229" s="76" t="s">
        <v>218</v>
      </c>
      <c r="B229" s="1">
        <v>654</v>
      </c>
      <c r="C229" s="1"/>
      <c r="D229" s="1"/>
      <c r="E229" s="59">
        <f>SUM(B229:D229)</f>
        <v>654</v>
      </c>
      <c r="F229" s="1"/>
      <c r="G229" s="1"/>
      <c r="H229" s="1"/>
      <c r="I229" s="59">
        <f>SUM(F229:H229)</f>
        <v>0</v>
      </c>
      <c r="J229" s="1"/>
      <c r="K229" s="1"/>
      <c r="L229" s="1"/>
      <c r="M229" s="59">
        <f>SUM(J229:L229)</f>
        <v>0</v>
      </c>
      <c r="N229" s="1"/>
      <c r="O229" s="1"/>
      <c r="P229" s="1"/>
      <c r="Q229" s="59">
        <f>SUM(N229:P229)</f>
        <v>0</v>
      </c>
      <c r="R229" s="59">
        <f t="shared" si="58"/>
        <v>654</v>
      </c>
      <c r="T229" s="4" t="s">
        <v>158</v>
      </c>
    </row>
    <row r="230" spans="1:20" ht="15.75" customHeight="1" x14ac:dyDescent="0.3">
      <c r="A230" s="102" t="s">
        <v>219</v>
      </c>
      <c r="B230" s="1">
        <v>28</v>
      </c>
      <c r="C230" s="1"/>
      <c r="D230" s="1"/>
      <c r="E230" s="59">
        <f>SUM(B230:D230)</f>
        <v>28</v>
      </c>
      <c r="F230" s="1"/>
      <c r="G230" s="1"/>
      <c r="H230" s="1"/>
      <c r="I230" s="59">
        <f>SUM(F230:H230)</f>
        <v>0</v>
      </c>
      <c r="J230" s="1"/>
      <c r="K230" s="1"/>
      <c r="L230" s="1"/>
      <c r="M230" s="59">
        <f>SUM(J230:L230)</f>
        <v>0</v>
      </c>
      <c r="N230" s="1"/>
      <c r="O230" s="1"/>
      <c r="P230" s="1"/>
      <c r="Q230" s="59">
        <f>SUM(N230:P230)</f>
        <v>0</v>
      </c>
      <c r="R230" s="59">
        <f t="shared" si="58"/>
        <v>28</v>
      </c>
    </row>
    <row r="231" spans="1:20" ht="15.75" customHeight="1" x14ac:dyDescent="0.3">
      <c r="A231" s="76" t="s">
        <v>393</v>
      </c>
      <c r="B231" s="1"/>
      <c r="C231" s="1"/>
      <c r="D231" s="1"/>
      <c r="E231" s="59">
        <f t="shared" ref="E231:E274" si="63">SUM(B231:D231)</f>
        <v>0</v>
      </c>
      <c r="F231" s="1"/>
      <c r="G231" s="1"/>
      <c r="H231" s="1"/>
      <c r="I231" s="59">
        <f t="shared" si="59"/>
        <v>0</v>
      </c>
      <c r="J231" s="1"/>
      <c r="K231" s="1"/>
      <c r="L231" s="1"/>
      <c r="M231" s="59">
        <f t="shared" si="60"/>
        <v>0</v>
      </c>
      <c r="N231" s="1"/>
      <c r="O231" s="1"/>
      <c r="P231" s="1"/>
      <c r="Q231" s="59">
        <f t="shared" si="61"/>
        <v>0</v>
      </c>
      <c r="R231" s="59">
        <f t="shared" si="58"/>
        <v>0</v>
      </c>
    </row>
    <row r="232" spans="1:20" ht="15.75" customHeight="1" x14ac:dyDescent="0.3">
      <c r="A232" s="76" t="s">
        <v>220</v>
      </c>
      <c r="B232" s="1">
        <v>1136</v>
      </c>
      <c r="C232" s="1"/>
      <c r="D232" s="1"/>
      <c r="E232" s="59">
        <f t="shared" si="63"/>
        <v>1136</v>
      </c>
      <c r="F232" s="1"/>
      <c r="G232" s="1"/>
      <c r="H232" s="1"/>
      <c r="I232" s="59">
        <f t="shared" si="59"/>
        <v>0</v>
      </c>
      <c r="J232" s="1"/>
      <c r="K232" s="1"/>
      <c r="L232" s="1"/>
      <c r="M232" s="59">
        <f t="shared" si="60"/>
        <v>0</v>
      </c>
      <c r="N232" s="1"/>
      <c r="O232" s="1"/>
      <c r="P232" s="1"/>
      <c r="Q232" s="59">
        <f t="shared" si="61"/>
        <v>0</v>
      </c>
      <c r="R232" s="59">
        <f t="shared" si="58"/>
        <v>1136</v>
      </c>
    </row>
    <row r="233" spans="1:20" ht="15.75" customHeight="1" x14ac:dyDescent="0.3">
      <c r="A233" s="76" t="s">
        <v>221</v>
      </c>
      <c r="B233" s="1">
        <v>23</v>
      </c>
      <c r="C233" s="1"/>
      <c r="D233" s="1"/>
      <c r="E233" s="59">
        <f t="shared" si="63"/>
        <v>23</v>
      </c>
      <c r="F233" s="1"/>
      <c r="G233" s="1"/>
      <c r="H233" s="1"/>
      <c r="I233" s="59">
        <f t="shared" si="59"/>
        <v>0</v>
      </c>
      <c r="J233" s="1"/>
      <c r="K233" s="1"/>
      <c r="L233" s="1"/>
      <c r="M233" s="59">
        <f t="shared" si="60"/>
        <v>0</v>
      </c>
      <c r="N233" s="1"/>
      <c r="O233" s="1"/>
      <c r="P233" s="1"/>
      <c r="Q233" s="59">
        <f t="shared" si="61"/>
        <v>0</v>
      </c>
      <c r="R233" s="59">
        <f t="shared" si="58"/>
        <v>23</v>
      </c>
    </row>
    <row r="234" spans="1:20" ht="15.75" customHeight="1" x14ac:dyDescent="0.3">
      <c r="A234" s="76" t="s">
        <v>222</v>
      </c>
      <c r="B234" s="1">
        <v>23</v>
      </c>
      <c r="C234" s="1"/>
      <c r="D234" s="1"/>
      <c r="E234" s="59">
        <f t="shared" si="63"/>
        <v>23</v>
      </c>
      <c r="F234" s="1"/>
      <c r="G234" s="1"/>
      <c r="H234" s="1"/>
      <c r="I234" s="59">
        <f t="shared" si="59"/>
        <v>0</v>
      </c>
      <c r="J234" s="1"/>
      <c r="K234" s="1"/>
      <c r="L234" s="1"/>
      <c r="M234" s="59">
        <f t="shared" si="60"/>
        <v>0</v>
      </c>
      <c r="N234" s="1"/>
      <c r="O234" s="1"/>
      <c r="P234" s="1"/>
      <c r="Q234" s="59">
        <f t="shared" si="61"/>
        <v>0</v>
      </c>
      <c r="R234" s="59">
        <f t="shared" si="58"/>
        <v>23</v>
      </c>
      <c r="S234" s="4" t="s">
        <v>136</v>
      </c>
      <c r="T234" s="4" t="s">
        <v>137</v>
      </c>
    </row>
    <row r="235" spans="1:20" ht="15.75" customHeight="1" x14ac:dyDescent="0.3">
      <c r="A235" s="76" t="s">
        <v>223</v>
      </c>
      <c r="B235" s="1"/>
      <c r="C235" s="1"/>
      <c r="D235" s="1"/>
      <c r="E235" s="59">
        <f t="shared" si="63"/>
        <v>0</v>
      </c>
      <c r="F235" s="1"/>
      <c r="G235" s="1"/>
      <c r="H235" s="1"/>
      <c r="I235" s="59">
        <f t="shared" si="59"/>
        <v>0</v>
      </c>
      <c r="J235" s="1"/>
      <c r="K235" s="1"/>
      <c r="L235" s="1"/>
      <c r="M235" s="59">
        <f t="shared" si="60"/>
        <v>0</v>
      </c>
      <c r="N235" s="1"/>
      <c r="O235" s="1"/>
      <c r="P235" s="1"/>
      <c r="Q235" s="59">
        <f t="shared" si="61"/>
        <v>0</v>
      </c>
      <c r="R235" s="59">
        <f t="shared" si="58"/>
        <v>0</v>
      </c>
      <c r="S235" s="4" t="s">
        <v>136</v>
      </c>
      <c r="T235" s="4" t="s">
        <v>137</v>
      </c>
    </row>
    <row r="236" spans="1:20" ht="15.75" customHeight="1" x14ac:dyDescent="0.3">
      <c r="A236" s="76" t="s">
        <v>224</v>
      </c>
      <c r="B236" s="1"/>
      <c r="C236" s="1"/>
      <c r="D236" s="1"/>
      <c r="E236" s="59">
        <f t="shared" si="63"/>
        <v>0</v>
      </c>
      <c r="G236" s="1"/>
      <c r="H236" s="1"/>
      <c r="I236" s="59">
        <f t="shared" si="59"/>
        <v>0</v>
      </c>
      <c r="J236" s="1"/>
      <c r="K236" s="1"/>
      <c r="L236" s="1"/>
      <c r="M236" s="59">
        <f t="shared" si="60"/>
        <v>0</v>
      </c>
      <c r="N236" s="1"/>
      <c r="O236" s="1"/>
      <c r="P236" s="1"/>
      <c r="Q236" s="59">
        <f t="shared" si="61"/>
        <v>0</v>
      </c>
      <c r="R236" s="59">
        <f t="shared" si="58"/>
        <v>0</v>
      </c>
    </row>
    <row r="237" spans="1:20" ht="15.75" customHeight="1" x14ac:dyDescent="0.3">
      <c r="A237" s="76" t="s">
        <v>225</v>
      </c>
      <c r="B237" s="1"/>
      <c r="C237" s="1"/>
      <c r="D237" s="1"/>
      <c r="E237" s="59">
        <f t="shared" si="63"/>
        <v>0</v>
      </c>
      <c r="F237" s="4">
        <v>4300</v>
      </c>
      <c r="H237" s="1"/>
      <c r="I237" s="59">
        <f t="shared" si="59"/>
        <v>4300</v>
      </c>
      <c r="J237" s="1"/>
      <c r="K237" s="1"/>
      <c r="L237" s="1"/>
      <c r="M237" s="59">
        <f t="shared" si="60"/>
        <v>0</v>
      </c>
      <c r="N237" s="1"/>
      <c r="O237" s="1"/>
      <c r="P237" s="1"/>
      <c r="Q237" s="59">
        <f t="shared" si="61"/>
        <v>0</v>
      </c>
      <c r="R237" s="59">
        <f t="shared" si="58"/>
        <v>4300</v>
      </c>
    </row>
    <row r="238" spans="1:20" ht="15.75" customHeight="1" x14ac:dyDescent="0.3">
      <c r="A238" s="102" t="s">
        <v>226</v>
      </c>
      <c r="B238" s="1"/>
      <c r="C238" s="1"/>
      <c r="D238" s="1"/>
      <c r="E238" s="59">
        <f t="shared" si="63"/>
        <v>0</v>
      </c>
      <c r="F238" s="1"/>
      <c r="G238" s="1"/>
      <c r="H238" s="1"/>
      <c r="I238" s="59">
        <f t="shared" si="59"/>
        <v>0</v>
      </c>
      <c r="J238" s="1"/>
      <c r="K238" s="1"/>
      <c r="L238" s="1"/>
      <c r="M238" s="59">
        <f t="shared" si="60"/>
        <v>0</v>
      </c>
      <c r="N238" s="1"/>
      <c r="O238" s="1"/>
      <c r="P238" s="1"/>
      <c r="Q238" s="59">
        <f t="shared" si="61"/>
        <v>0</v>
      </c>
      <c r="R238" s="59">
        <f t="shared" si="58"/>
        <v>0</v>
      </c>
      <c r="T238" s="4" t="s">
        <v>121</v>
      </c>
    </row>
    <row r="239" spans="1:20" ht="15.75" customHeight="1" x14ac:dyDescent="0.3">
      <c r="A239" s="76" t="s">
        <v>227</v>
      </c>
      <c r="B239" s="1"/>
      <c r="C239" s="1"/>
      <c r="D239" s="1"/>
      <c r="E239" s="59">
        <f t="shared" si="63"/>
        <v>0</v>
      </c>
      <c r="F239" s="1"/>
      <c r="G239" s="1"/>
      <c r="H239" s="1"/>
      <c r="I239" s="59">
        <f t="shared" si="59"/>
        <v>0</v>
      </c>
      <c r="J239" s="1"/>
      <c r="K239" s="1"/>
      <c r="L239" s="1"/>
      <c r="M239" s="59">
        <f t="shared" si="60"/>
        <v>0</v>
      </c>
      <c r="N239" s="1"/>
      <c r="O239" s="1"/>
      <c r="P239" s="1"/>
      <c r="Q239" s="59">
        <f>SUM(N239:P239)</f>
        <v>0</v>
      </c>
      <c r="R239" s="59">
        <f>+E239+I239+M239+Q239</f>
        <v>0</v>
      </c>
      <c r="S239" s="94"/>
      <c r="T239" s="4" t="s">
        <v>137</v>
      </c>
    </row>
    <row r="240" spans="1:20" ht="15.75" customHeight="1" x14ac:dyDescent="0.3">
      <c r="A240" s="102" t="s">
        <v>228</v>
      </c>
      <c r="B240" s="1"/>
      <c r="C240" s="1"/>
      <c r="D240" s="1"/>
      <c r="E240" s="59">
        <f>SUM(B240:D240)</f>
        <v>0</v>
      </c>
      <c r="F240" s="1"/>
      <c r="G240" s="1"/>
      <c r="H240" s="1"/>
      <c r="I240" s="59">
        <f t="shared" si="59"/>
        <v>0</v>
      </c>
      <c r="J240" s="1"/>
      <c r="K240" s="1"/>
      <c r="L240" s="1"/>
      <c r="M240" s="59">
        <f t="shared" si="60"/>
        <v>0</v>
      </c>
      <c r="N240" s="1"/>
      <c r="O240" s="1"/>
      <c r="P240" s="1"/>
      <c r="Q240" s="59">
        <f t="shared" si="61"/>
        <v>0</v>
      </c>
      <c r="R240" s="59">
        <f t="shared" si="58"/>
        <v>0</v>
      </c>
    </row>
    <row r="241" spans="1:21" ht="15.75" customHeight="1" x14ac:dyDescent="0.3">
      <c r="A241" s="102" t="s">
        <v>229</v>
      </c>
      <c r="B241" s="1"/>
      <c r="C241" s="1"/>
      <c r="D241" s="1"/>
      <c r="E241" s="59">
        <f t="shared" si="63"/>
        <v>0</v>
      </c>
      <c r="F241" s="1"/>
      <c r="G241" s="1"/>
      <c r="H241" s="1"/>
      <c r="I241" s="59">
        <f t="shared" si="59"/>
        <v>0</v>
      </c>
      <c r="J241" s="1"/>
      <c r="K241" s="1"/>
      <c r="L241" s="1"/>
      <c r="M241" s="59">
        <f t="shared" si="60"/>
        <v>0</v>
      </c>
      <c r="N241" s="1"/>
      <c r="O241" s="1"/>
      <c r="P241" s="1"/>
      <c r="Q241" s="59">
        <f t="shared" si="61"/>
        <v>0</v>
      </c>
      <c r="R241" s="59">
        <f t="shared" si="58"/>
        <v>0</v>
      </c>
    </row>
    <row r="242" spans="1:21" ht="15.75" customHeight="1" x14ac:dyDescent="0.3">
      <c r="A242" s="102" t="s">
        <v>231</v>
      </c>
      <c r="B242" s="1"/>
      <c r="C242" s="1"/>
      <c r="D242" s="1"/>
      <c r="E242" s="59">
        <f t="shared" ref="E242:E243" si="64">SUM(B242:D242)</f>
        <v>0</v>
      </c>
      <c r="F242" s="1"/>
      <c r="G242" s="1"/>
      <c r="H242" s="1"/>
      <c r="I242" s="59">
        <f t="shared" si="59"/>
        <v>0</v>
      </c>
      <c r="J242" s="1"/>
      <c r="K242" s="1"/>
      <c r="L242" s="1"/>
      <c r="M242" s="59">
        <f t="shared" si="60"/>
        <v>0</v>
      </c>
      <c r="N242" s="1"/>
      <c r="O242" s="1"/>
      <c r="P242" s="1"/>
      <c r="Q242" s="59">
        <f t="shared" si="61"/>
        <v>0</v>
      </c>
      <c r="R242" s="59">
        <f t="shared" si="58"/>
        <v>0</v>
      </c>
    </row>
    <row r="243" spans="1:21" ht="15.75" customHeight="1" x14ac:dyDescent="0.3">
      <c r="A243" s="102" t="s">
        <v>232</v>
      </c>
      <c r="B243" s="1"/>
      <c r="C243" s="1"/>
      <c r="D243" s="1"/>
      <c r="E243" s="59">
        <f t="shared" si="64"/>
        <v>0</v>
      </c>
      <c r="F243" s="1"/>
      <c r="G243" s="1"/>
      <c r="H243" s="1"/>
      <c r="I243" s="59">
        <f t="shared" si="59"/>
        <v>0</v>
      </c>
      <c r="J243" s="1"/>
      <c r="K243" s="1"/>
      <c r="L243" s="1"/>
      <c r="M243" s="59">
        <f t="shared" si="60"/>
        <v>0</v>
      </c>
      <c r="N243" s="1"/>
      <c r="O243" s="1"/>
      <c r="P243" s="1"/>
      <c r="Q243" s="59">
        <f t="shared" si="61"/>
        <v>0</v>
      </c>
      <c r="R243" s="59">
        <f t="shared" si="58"/>
        <v>0</v>
      </c>
    </row>
    <row r="244" spans="1:21" ht="15.75" customHeight="1" x14ac:dyDescent="0.3">
      <c r="A244" s="76" t="s">
        <v>233</v>
      </c>
      <c r="B244" s="1">
        <v>800</v>
      </c>
      <c r="C244" s="1">
        <v>728</v>
      </c>
      <c r="D244" s="1">
        <v>821</v>
      </c>
      <c r="E244" s="59">
        <f>SUM(B244:D244)</f>
        <v>2349</v>
      </c>
      <c r="F244" s="1">
        <v>909</v>
      </c>
      <c r="G244" s="1">
        <v>1006</v>
      </c>
      <c r="H244" s="1"/>
      <c r="I244" s="59">
        <f t="shared" ref="I244" si="65">SUM(F244:H244)</f>
        <v>1915</v>
      </c>
      <c r="J244" s="1"/>
      <c r="K244" s="1"/>
      <c r="L244" s="1"/>
      <c r="M244" s="59">
        <f t="shared" si="60"/>
        <v>0</v>
      </c>
      <c r="N244" s="1"/>
      <c r="O244" s="1"/>
      <c r="P244" s="1"/>
      <c r="Q244" s="59">
        <f t="shared" si="61"/>
        <v>0</v>
      </c>
      <c r="R244" s="59">
        <f t="shared" si="58"/>
        <v>4264</v>
      </c>
    </row>
    <row r="245" spans="1:21" ht="15.75" customHeight="1" x14ac:dyDescent="0.3">
      <c r="A245" s="91" t="s">
        <v>234</v>
      </c>
      <c r="B245" s="1"/>
      <c r="C245" s="1"/>
      <c r="D245" s="1"/>
      <c r="E245" s="59">
        <f>SUM(B245:D245)</f>
        <v>0</v>
      </c>
      <c r="F245" s="1"/>
      <c r="G245" s="1"/>
      <c r="H245" s="1"/>
      <c r="I245" s="59">
        <f t="shared" si="59"/>
        <v>0</v>
      </c>
      <c r="J245" s="1"/>
      <c r="K245" s="1"/>
      <c r="L245" s="1"/>
      <c r="M245" s="59">
        <f t="shared" si="60"/>
        <v>0</v>
      </c>
      <c r="N245" s="1"/>
      <c r="O245" s="1"/>
      <c r="P245" s="1">
        <v>34</v>
      </c>
      <c r="Q245" s="59">
        <f t="shared" si="61"/>
        <v>34</v>
      </c>
      <c r="R245" s="59">
        <f t="shared" si="58"/>
        <v>34</v>
      </c>
    </row>
    <row r="246" spans="1:21" ht="15.75" customHeight="1" x14ac:dyDescent="0.3">
      <c r="A246" s="91" t="s">
        <v>235</v>
      </c>
      <c r="B246" s="1"/>
      <c r="C246" s="1"/>
      <c r="D246" s="1"/>
      <c r="E246" s="59">
        <f>SUM(B246:D246)</f>
        <v>0</v>
      </c>
      <c r="F246" s="1"/>
      <c r="G246" s="1"/>
      <c r="H246" s="1"/>
      <c r="I246" s="59">
        <f t="shared" si="59"/>
        <v>0</v>
      </c>
      <c r="J246" s="1"/>
      <c r="K246" s="1"/>
      <c r="L246" s="1"/>
      <c r="M246" s="59">
        <f t="shared" si="60"/>
        <v>0</v>
      </c>
      <c r="N246" s="1"/>
      <c r="O246" s="1"/>
      <c r="P246" s="1"/>
      <c r="Q246" s="59">
        <f t="shared" si="61"/>
        <v>0</v>
      </c>
      <c r="R246" s="59">
        <f t="shared" si="58"/>
        <v>0</v>
      </c>
    </row>
    <row r="247" spans="1:21" ht="15.75" customHeight="1" x14ac:dyDescent="0.3">
      <c r="A247" s="91" t="s">
        <v>236</v>
      </c>
      <c r="B247" s="1"/>
      <c r="C247" s="1"/>
      <c r="D247" s="1"/>
      <c r="E247" s="59">
        <f>SUM(B247:D247)</f>
        <v>0</v>
      </c>
      <c r="F247" s="1"/>
      <c r="G247" s="1"/>
      <c r="H247" s="1"/>
      <c r="I247" s="59">
        <f t="shared" si="59"/>
        <v>0</v>
      </c>
      <c r="J247" s="1"/>
      <c r="K247" s="1"/>
      <c r="L247" s="1"/>
      <c r="M247" s="59">
        <f t="shared" si="60"/>
        <v>0</v>
      </c>
      <c r="N247" s="1"/>
      <c r="O247" s="1"/>
      <c r="P247" s="1"/>
      <c r="Q247" s="59">
        <f t="shared" si="61"/>
        <v>0</v>
      </c>
      <c r="R247" s="59">
        <f t="shared" si="58"/>
        <v>0</v>
      </c>
      <c r="T247" s="4" t="s">
        <v>121</v>
      </c>
    </row>
    <row r="248" spans="1:21" ht="15.75" customHeight="1" x14ac:dyDescent="0.3">
      <c r="A248" s="76" t="s">
        <v>237</v>
      </c>
      <c r="B248" s="1"/>
      <c r="C248" s="1"/>
      <c r="D248" s="1"/>
      <c r="E248" s="59">
        <f t="shared" ref="E248:E251" si="66">SUM(B248:D248)</f>
        <v>0</v>
      </c>
      <c r="F248" s="1">
        <f>1286+595</f>
        <v>1881</v>
      </c>
      <c r="G248" s="1"/>
      <c r="H248" s="1"/>
      <c r="I248" s="59">
        <f>SUM(F248:H248)</f>
        <v>1881</v>
      </c>
      <c r="J248" s="1"/>
      <c r="K248" s="1"/>
      <c r="L248" s="1"/>
      <c r="M248" s="59">
        <f t="shared" ref="M248:M249" si="67">SUM(J248:L248)</f>
        <v>0</v>
      </c>
      <c r="N248" s="1"/>
      <c r="O248" s="1"/>
      <c r="P248" s="1"/>
      <c r="Q248" s="59">
        <f t="shared" ref="Q248:Q249" si="68">SUM(N248:P248)</f>
        <v>0</v>
      </c>
      <c r="R248" s="59">
        <f t="shared" si="58"/>
        <v>1881</v>
      </c>
      <c r="S248" s="105" t="s">
        <v>136</v>
      </c>
    </row>
    <row r="249" spans="1:21" ht="15.75" customHeight="1" x14ac:dyDescent="0.3">
      <c r="A249" s="76" t="s">
        <v>238</v>
      </c>
      <c r="B249" s="1"/>
      <c r="C249" s="1"/>
      <c r="D249" s="1"/>
      <c r="E249" s="59">
        <f t="shared" si="66"/>
        <v>0</v>
      </c>
      <c r="F249" s="1">
        <f>4806</f>
        <v>4806</v>
      </c>
      <c r="G249" s="1">
        <v>8089</v>
      </c>
      <c r="H249" s="1"/>
      <c r="I249" s="59">
        <f>SUM(F249:H249)</f>
        <v>12895</v>
      </c>
      <c r="J249" s="1"/>
      <c r="K249" s="1"/>
      <c r="L249" s="1"/>
      <c r="M249" s="59">
        <f t="shared" si="67"/>
        <v>0</v>
      </c>
      <c r="N249" s="1"/>
      <c r="O249" s="1"/>
      <c r="P249" s="1"/>
      <c r="Q249" s="59">
        <f t="shared" si="68"/>
        <v>0</v>
      </c>
      <c r="R249" s="59">
        <f t="shared" si="58"/>
        <v>12895</v>
      </c>
      <c r="S249" s="4" t="s">
        <v>136</v>
      </c>
    </row>
    <row r="250" spans="1:21" ht="15.75" customHeight="1" x14ac:dyDescent="0.3">
      <c r="A250" s="76" t="s">
        <v>239</v>
      </c>
      <c r="B250" s="1">
        <v>213</v>
      </c>
      <c r="C250" s="1">
        <v>3576</v>
      </c>
      <c r="D250" s="1">
        <v>3455</v>
      </c>
      <c r="E250" s="59">
        <f t="shared" si="66"/>
        <v>7244</v>
      </c>
      <c r="F250" s="1">
        <f>4218+374</f>
        <v>4592</v>
      </c>
      <c r="G250" s="1"/>
      <c r="H250" s="1"/>
      <c r="I250" s="59">
        <f t="shared" si="59"/>
        <v>4592</v>
      </c>
      <c r="J250" s="1"/>
      <c r="K250" s="1"/>
      <c r="L250" s="1"/>
      <c r="M250" s="59">
        <f t="shared" si="60"/>
        <v>0</v>
      </c>
      <c r="N250" s="1"/>
      <c r="O250" s="1"/>
      <c r="P250" s="1"/>
      <c r="Q250" s="59">
        <f t="shared" si="61"/>
        <v>0</v>
      </c>
      <c r="R250" s="59">
        <f t="shared" si="58"/>
        <v>11836</v>
      </c>
      <c r="S250" s="4" t="s">
        <v>136</v>
      </c>
    </row>
    <row r="251" spans="1:21" ht="15.75" customHeight="1" x14ac:dyDescent="0.3">
      <c r="A251" s="76" t="s">
        <v>240</v>
      </c>
      <c r="B251" s="1"/>
      <c r="C251" s="1"/>
      <c r="D251" s="1"/>
      <c r="E251" s="59">
        <f t="shared" si="66"/>
        <v>0</v>
      </c>
      <c r="F251" s="1">
        <v>164</v>
      </c>
      <c r="G251" s="1"/>
      <c r="H251" s="1"/>
      <c r="I251" s="59">
        <f t="shared" si="59"/>
        <v>164</v>
      </c>
      <c r="J251" s="1"/>
      <c r="K251" s="1"/>
      <c r="L251" s="1"/>
      <c r="M251" s="59">
        <f t="shared" si="60"/>
        <v>0</v>
      </c>
      <c r="N251" s="1"/>
      <c r="O251" s="1"/>
      <c r="P251" s="1"/>
      <c r="Q251" s="59">
        <f>SUM(N251:P251)</f>
        <v>0</v>
      </c>
      <c r="R251" s="59">
        <f t="shared" si="58"/>
        <v>164</v>
      </c>
    </row>
    <row r="252" spans="1:21" ht="15.75" customHeight="1" x14ac:dyDescent="0.3">
      <c r="A252" s="76" t="s">
        <v>241</v>
      </c>
      <c r="B252" s="1"/>
      <c r="C252" s="1"/>
      <c r="D252" s="1"/>
      <c r="E252" s="59">
        <f>SUM(B252:D252)</f>
        <v>0</v>
      </c>
      <c r="F252" s="1"/>
      <c r="G252" s="1">
        <v>276</v>
      </c>
      <c r="H252" s="1">
        <v>500</v>
      </c>
      <c r="I252" s="59">
        <f t="shared" si="59"/>
        <v>776</v>
      </c>
      <c r="J252" s="1"/>
      <c r="K252" s="1"/>
      <c r="L252" s="1"/>
      <c r="M252" s="59">
        <f t="shared" si="60"/>
        <v>0</v>
      </c>
      <c r="N252" s="1"/>
      <c r="O252" s="1"/>
      <c r="P252" s="1"/>
      <c r="Q252" s="59">
        <f t="shared" si="61"/>
        <v>0</v>
      </c>
      <c r="R252" s="59">
        <f t="shared" si="58"/>
        <v>776</v>
      </c>
      <c r="S252" s="4" t="s">
        <v>136</v>
      </c>
      <c r="T252" s="4" t="s">
        <v>137</v>
      </c>
    </row>
    <row r="253" spans="1:21" ht="15.75" customHeight="1" x14ac:dyDescent="0.3">
      <c r="A253" s="76" t="s">
        <v>242</v>
      </c>
      <c r="B253" s="1"/>
      <c r="C253" s="1"/>
      <c r="D253" s="1"/>
      <c r="E253" s="59">
        <f t="shared" ref="E253" si="69">SUM(B253:D253)</f>
        <v>0</v>
      </c>
      <c r="F253" s="1"/>
      <c r="G253" s="1"/>
      <c r="H253" s="1">
        <v>721</v>
      </c>
      <c r="I253" s="59">
        <f t="shared" si="59"/>
        <v>721</v>
      </c>
      <c r="J253" s="1"/>
      <c r="K253" s="1"/>
      <c r="L253" s="1"/>
      <c r="M253" s="59">
        <f t="shared" si="60"/>
        <v>0</v>
      </c>
      <c r="N253" s="1"/>
      <c r="O253" s="1"/>
      <c r="P253" s="1"/>
      <c r="Q253" s="59">
        <f t="shared" si="61"/>
        <v>0</v>
      </c>
      <c r="R253" s="59">
        <f t="shared" si="58"/>
        <v>721</v>
      </c>
      <c r="S253" s="106" t="s">
        <v>136</v>
      </c>
      <c r="T253" s="106" t="s">
        <v>137</v>
      </c>
      <c r="U253" s="106"/>
    </row>
    <row r="254" spans="1:21" ht="15.75" customHeight="1" x14ac:dyDescent="0.3">
      <c r="A254" s="76" t="s">
        <v>243</v>
      </c>
      <c r="B254" s="1"/>
      <c r="C254" s="1">
        <v>555</v>
      </c>
      <c r="D254" s="1">
        <v>1259</v>
      </c>
      <c r="E254" s="59">
        <f>SUM(B254:D254)</f>
        <v>1814</v>
      </c>
      <c r="F254" s="1"/>
      <c r="G254" s="1"/>
      <c r="H254" s="1"/>
      <c r="I254" s="59">
        <f>SUM(F254:H254)</f>
        <v>0</v>
      </c>
      <c r="J254" s="1"/>
      <c r="K254" s="1"/>
      <c r="L254" s="1"/>
      <c r="M254" s="59">
        <f t="shared" si="60"/>
        <v>0</v>
      </c>
      <c r="N254" s="1"/>
      <c r="O254" s="1"/>
      <c r="P254" s="1"/>
      <c r="Q254" s="59">
        <f t="shared" si="61"/>
        <v>0</v>
      </c>
      <c r="R254" s="59">
        <f t="shared" si="58"/>
        <v>1814</v>
      </c>
      <c r="T254" s="4" t="s">
        <v>244</v>
      </c>
    </row>
    <row r="255" spans="1:21" ht="15.75" customHeight="1" x14ac:dyDescent="0.3">
      <c r="A255" s="91" t="s">
        <v>245</v>
      </c>
      <c r="B255" s="1"/>
      <c r="C255" s="1"/>
      <c r="D255" s="1"/>
      <c r="E255" s="59">
        <f>SUM(B255:D255)</f>
        <v>0</v>
      </c>
      <c r="F255" s="1"/>
      <c r="G255" s="1"/>
      <c r="H255" s="1"/>
      <c r="I255" s="59">
        <f>SUM(F255:H255)</f>
        <v>0</v>
      </c>
      <c r="J255" s="1"/>
      <c r="K255" s="1"/>
      <c r="L255" s="1"/>
      <c r="M255" s="59">
        <f t="shared" si="60"/>
        <v>0</v>
      </c>
      <c r="N255" s="1"/>
      <c r="O255" s="1"/>
      <c r="P255" s="1"/>
      <c r="Q255" s="59">
        <f>SUM(N255:P255)</f>
        <v>0</v>
      </c>
      <c r="R255" s="59">
        <f>+E255+I255+M255+Q255</f>
        <v>0</v>
      </c>
      <c r="T255" s="4" t="s">
        <v>134</v>
      </c>
    </row>
    <row r="256" spans="1:21" ht="15.75" customHeight="1" x14ac:dyDescent="0.3">
      <c r="A256" s="76" t="s">
        <v>436</v>
      </c>
      <c r="B256" s="1"/>
      <c r="C256" s="1"/>
      <c r="D256" s="1"/>
      <c r="E256" s="59">
        <f t="shared" si="63"/>
        <v>0</v>
      </c>
      <c r="F256" s="1"/>
      <c r="G256" s="1"/>
      <c r="H256" s="1"/>
      <c r="I256" s="59">
        <f t="shared" si="59"/>
        <v>0</v>
      </c>
      <c r="J256" s="1"/>
      <c r="K256" s="1"/>
      <c r="L256" s="1"/>
      <c r="M256" s="59">
        <f t="shared" si="60"/>
        <v>0</v>
      </c>
      <c r="N256" s="1"/>
      <c r="O256" s="1"/>
      <c r="P256" s="1"/>
      <c r="Q256" s="59">
        <f t="shared" si="61"/>
        <v>0</v>
      </c>
      <c r="R256" s="59">
        <f t="shared" si="58"/>
        <v>0</v>
      </c>
    </row>
    <row r="257" spans="1:20" ht="15.75" customHeight="1" x14ac:dyDescent="0.3">
      <c r="A257" s="76" t="s">
        <v>246</v>
      </c>
      <c r="B257" s="1"/>
      <c r="C257" s="1"/>
      <c r="D257" s="1"/>
      <c r="E257" s="59">
        <f t="shared" si="63"/>
        <v>0</v>
      </c>
      <c r="F257" s="1">
        <f>2378+75+1+2</f>
        <v>2456</v>
      </c>
      <c r="G257" s="1"/>
      <c r="H257" s="1"/>
      <c r="I257" s="59">
        <f t="shared" si="59"/>
        <v>2456</v>
      </c>
      <c r="J257" s="1"/>
      <c r="K257" s="1"/>
      <c r="L257" s="1"/>
      <c r="M257" s="59">
        <f t="shared" si="60"/>
        <v>0</v>
      </c>
      <c r="N257" s="1"/>
      <c r="O257" s="1"/>
      <c r="P257" s="1"/>
      <c r="Q257" s="59">
        <f t="shared" si="61"/>
        <v>0</v>
      </c>
      <c r="R257" s="59">
        <f t="shared" si="58"/>
        <v>2456</v>
      </c>
    </row>
    <row r="258" spans="1:20" ht="15.75" customHeight="1" x14ac:dyDescent="0.3">
      <c r="A258" s="76" t="s">
        <v>247</v>
      </c>
      <c r="B258" s="1"/>
      <c r="C258" s="1"/>
      <c r="D258" s="1"/>
      <c r="E258" s="59">
        <f t="shared" si="63"/>
        <v>0</v>
      </c>
      <c r="F258" s="1"/>
      <c r="G258" s="1"/>
      <c r="H258" s="1"/>
      <c r="I258" s="59">
        <f t="shared" si="59"/>
        <v>0</v>
      </c>
      <c r="J258" s="1"/>
      <c r="K258" s="1"/>
      <c r="L258" s="1"/>
      <c r="M258" s="59">
        <f t="shared" si="60"/>
        <v>0</v>
      </c>
      <c r="N258" s="1"/>
      <c r="O258" s="1"/>
      <c r="P258" s="1"/>
      <c r="Q258" s="59">
        <f t="shared" si="61"/>
        <v>0</v>
      </c>
      <c r="R258" s="59">
        <f t="shared" si="58"/>
        <v>0</v>
      </c>
    </row>
    <row r="259" spans="1:20" ht="15.75" customHeight="1" x14ac:dyDescent="0.3">
      <c r="A259" s="76" t="s">
        <v>248</v>
      </c>
      <c r="B259" s="1">
        <v>60</v>
      </c>
      <c r="C259" s="1"/>
      <c r="D259" s="1"/>
      <c r="E259" s="59">
        <f t="shared" si="63"/>
        <v>60</v>
      </c>
      <c r="F259" s="1"/>
      <c r="G259" s="1"/>
      <c r="H259" s="1"/>
      <c r="I259" s="59">
        <f t="shared" si="59"/>
        <v>0</v>
      </c>
      <c r="J259" s="1"/>
      <c r="K259" s="1"/>
      <c r="L259" s="1"/>
      <c r="M259" s="59">
        <f t="shared" si="60"/>
        <v>0</v>
      </c>
      <c r="N259" s="1"/>
      <c r="O259" s="1"/>
      <c r="P259" s="1"/>
      <c r="Q259" s="59">
        <f t="shared" si="61"/>
        <v>0</v>
      </c>
      <c r="R259" s="59">
        <f t="shared" si="58"/>
        <v>60</v>
      </c>
    </row>
    <row r="260" spans="1:20" ht="15.75" customHeight="1" x14ac:dyDescent="0.3">
      <c r="A260" s="76" t="s">
        <v>249</v>
      </c>
      <c r="B260" s="1">
        <v>60</v>
      </c>
      <c r="C260" s="1"/>
      <c r="D260" s="1"/>
      <c r="E260" s="59">
        <f t="shared" si="63"/>
        <v>60</v>
      </c>
      <c r="F260" s="1"/>
      <c r="G260" s="1"/>
      <c r="H260" s="1"/>
      <c r="I260" s="59">
        <f t="shared" si="59"/>
        <v>0</v>
      </c>
      <c r="J260" s="1"/>
      <c r="K260" s="1"/>
      <c r="L260" s="1"/>
      <c r="M260" s="59">
        <f t="shared" si="60"/>
        <v>0</v>
      </c>
      <c r="N260" s="1"/>
      <c r="O260" s="1"/>
      <c r="P260" s="1"/>
      <c r="Q260" s="59">
        <f t="shared" si="61"/>
        <v>0</v>
      </c>
      <c r="R260" s="59">
        <f t="shared" si="58"/>
        <v>60</v>
      </c>
      <c r="S260" s="4" t="s">
        <v>136</v>
      </c>
      <c r="T260" s="4" t="s">
        <v>137</v>
      </c>
    </row>
    <row r="261" spans="1:20" ht="15.75" customHeight="1" x14ac:dyDescent="0.3">
      <c r="A261" s="76" t="s">
        <v>250</v>
      </c>
      <c r="B261" s="1"/>
      <c r="C261" s="1"/>
      <c r="D261" s="1"/>
      <c r="E261" s="59">
        <f t="shared" si="63"/>
        <v>0</v>
      </c>
      <c r="F261" s="1"/>
      <c r="G261" s="1"/>
      <c r="H261" s="1"/>
      <c r="I261" s="59">
        <f t="shared" si="59"/>
        <v>0</v>
      </c>
      <c r="J261" s="1"/>
      <c r="K261" s="1"/>
      <c r="L261" s="1"/>
      <c r="M261" s="59">
        <f t="shared" si="60"/>
        <v>0</v>
      </c>
      <c r="N261" s="1"/>
      <c r="O261" s="1"/>
      <c r="P261" s="1"/>
      <c r="Q261" s="59">
        <f t="shared" si="61"/>
        <v>0</v>
      </c>
      <c r="R261" s="59">
        <f t="shared" si="58"/>
        <v>0</v>
      </c>
      <c r="T261" s="4" t="s">
        <v>137</v>
      </c>
    </row>
    <row r="262" spans="1:20" ht="15.75" customHeight="1" x14ac:dyDescent="0.3">
      <c r="A262" s="76" t="s">
        <v>251</v>
      </c>
      <c r="B262" s="1"/>
      <c r="C262" s="1"/>
      <c r="D262" s="1"/>
      <c r="E262" s="59">
        <f t="shared" ref="E262" si="70">SUM(B262:D262)</f>
        <v>0</v>
      </c>
      <c r="F262" s="1">
        <v>975</v>
      </c>
      <c r="G262" s="1">
        <v>765</v>
      </c>
      <c r="H262" s="1">
        <v>715</v>
      </c>
      <c r="I262" s="59">
        <f t="shared" ref="I262:I263" si="71">SUM(F262:H262)</f>
        <v>2455</v>
      </c>
      <c r="J262" s="1">
        <v>715</v>
      </c>
      <c r="K262" s="1">
        <v>726</v>
      </c>
      <c r="L262" s="1">
        <v>766</v>
      </c>
      <c r="M262" s="59">
        <f t="shared" ref="M262:M263" si="72">SUM(J262:L262)</f>
        <v>2207</v>
      </c>
      <c r="N262" s="1">
        <v>741</v>
      </c>
      <c r="O262" s="1">
        <v>866</v>
      </c>
      <c r="P262" s="1">
        <v>871</v>
      </c>
      <c r="Q262" s="59">
        <f t="shared" ref="Q262" si="73">SUM(N262:P262)</f>
        <v>2478</v>
      </c>
      <c r="R262" s="59">
        <f t="shared" si="58"/>
        <v>7140</v>
      </c>
      <c r="S262" s="4" t="s">
        <v>136</v>
      </c>
      <c r="T262" s="4" t="s">
        <v>137</v>
      </c>
    </row>
    <row r="263" spans="1:20" ht="15.75" customHeight="1" x14ac:dyDescent="0.3">
      <c r="A263" s="76" t="s">
        <v>252</v>
      </c>
      <c r="B263" s="1"/>
      <c r="C263" s="1"/>
      <c r="D263" s="1"/>
      <c r="E263" s="59">
        <f t="shared" si="63"/>
        <v>0</v>
      </c>
      <c r="F263" s="1"/>
      <c r="G263" s="1"/>
      <c r="H263" s="1">
        <v>7000</v>
      </c>
      <c r="I263" s="59">
        <f t="shared" si="71"/>
        <v>7000</v>
      </c>
      <c r="J263" s="1">
        <v>7000</v>
      </c>
      <c r="K263" s="1">
        <v>9000</v>
      </c>
      <c r="L263" s="1">
        <v>8400</v>
      </c>
      <c r="M263" s="59">
        <f t="shared" si="72"/>
        <v>24400</v>
      </c>
      <c r="N263" s="1">
        <v>7000</v>
      </c>
      <c r="O263" s="1">
        <v>2151</v>
      </c>
      <c r="P263" s="1"/>
      <c r="Q263" s="59">
        <f t="shared" si="61"/>
        <v>9151</v>
      </c>
      <c r="R263" s="59">
        <f>+E263+I263+M263+Q263</f>
        <v>40551</v>
      </c>
      <c r="S263" s="94" t="s">
        <v>136</v>
      </c>
      <c r="T263" s="4" t="s">
        <v>137</v>
      </c>
    </row>
    <row r="264" spans="1:20" ht="15.75" customHeight="1" x14ac:dyDescent="0.3">
      <c r="A264" s="91" t="s">
        <v>253</v>
      </c>
      <c r="B264" s="1"/>
      <c r="C264" s="1"/>
      <c r="D264" s="1"/>
      <c r="E264" s="59">
        <f t="shared" si="63"/>
        <v>0</v>
      </c>
      <c r="F264" s="1"/>
      <c r="G264" s="1"/>
      <c r="H264" s="1"/>
      <c r="I264" s="59">
        <f t="shared" si="59"/>
        <v>0</v>
      </c>
      <c r="J264" s="1"/>
      <c r="K264" s="1"/>
      <c r="L264" s="1"/>
      <c r="M264" s="59">
        <f t="shared" si="60"/>
        <v>0</v>
      </c>
      <c r="N264" s="1"/>
      <c r="O264" s="1"/>
      <c r="P264" s="1">
        <v>1000</v>
      </c>
      <c r="Q264" s="59">
        <f>SUM(N264:P264)</f>
        <v>1000</v>
      </c>
      <c r="R264" s="59">
        <f t="shared" si="58"/>
        <v>1000</v>
      </c>
      <c r="T264" s="4" t="s">
        <v>132</v>
      </c>
    </row>
    <row r="265" spans="1:20" ht="15.75" customHeight="1" x14ac:dyDescent="0.3">
      <c r="A265" s="91" t="s">
        <v>254</v>
      </c>
      <c r="B265" s="1"/>
      <c r="C265" s="1"/>
      <c r="D265" s="1"/>
      <c r="E265" s="59">
        <f>SUM(B265:D265)</f>
        <v>0</v>
      </c>
      <c r="F265" s="1"/>
      <c r="G265" s="1"/>
      <c r="H265" s="1"/>
      <c r="I265" s="59">
        <f t="shared" ref="I265:I266" si="74">SUM(F265:H265)</f>
        <v>0</v>
      </c>
      <c r="J265" s="1"/>
      <c r="K265" s="1"/>
      <c r="L265" s="1"/>
      <c r="M265" s="59">
        <f t="shared" ref="M265" si="75">SUM(J265:L265)</f>
        <v>0</v>
      </c>
      <c r="N265" s="1"/>
      <c r="O265" s="1">
        <v>994</v>
      </c>
      <c r="P265" s="1">
        <f>301+152</f>
        <v>453</v>
      </c>
      <c r="Q265" s="59">
        <f>SUM(N265:P265)</f>
        <v>1447</v>
      </c>
      <c r="R265" s="59">
        <f t="shared" si="58"/>
        <v>1447</v>
      </c>
      <c r="T265" s="4" t="s">
        <v>134</v>
      </c>
    </row>
    <row r="266" spans="1:20" ht="15.75" customHeight="1" x14ac:dyDescent="0.3">
      <c r="A266" s="76" t="s">
        <v>255</v>
      </c>
      <c r="B266" s="1"/>
      <c r="C266" s="1"/>
      <c r="D266" s="1"/>
      <c r="E266" s="59">
        <f>SUM(B266:D266)</f>
        <v>0</v>
      </c>
      <c r="F266" s="1"/>
      <c r="G266" s="1"/>
      <c r="H266" s="1"/>
      <c r="I266" s="59">
        <f t="shared" si="74"/>
        <v>0</v>
      </c>
      <c r="J266" s="1">
        <v>1171</v>
      </c>
      <c r="K266" s="1">
        <v>800</v>
      </c>
      <c r="L266" s="1"/>
      <c r="M266" s="59">
        <f>SUM(J266:L266)</f>
        <v>1971</v>
      </c>
      <c r="N266" s="1"/>
      <c r="O266" s="1"/>
      <c r="P266" s="1"/>
      <c r="Q266" s="59">
        <f t="shared" si="61"/>
        <v>0</v>
      </c>
      <c r="R266" s="59">
        <f t="shared" si="58"/>
        <v>1971</v>
      </c>
      <c r="S266" s="4" t="s">
        <v>136</v>
      </c>
      <c r="T266" s="4" t="s">
        <v>137</v>
      </c>
    </row>
    <row r="267" spans="1:20" ht="15.75" customHeight="1" x14ac:dyDescent="0.3">
      <c r="A267" s="76" t="s">
        <v>256</v>
      </c>
      <c r="B267" s="1"/>
      <c r="C267" s="1"/>
      <c r="D267" s="1">
        <v>419</v>
      </c>
      <c r="E267" s="59">
        <f t="shared" ref="E267:E268" si="76">SUM(B267:D267)</f>
        <v>419</v>
      </c>
      <c r="F267" s="1">
        <v>368</v>
      </c>
      <c r="G267" s="1">
        <v>571</v>
      </c>
      <c r="H267" s="1"/>
      <c r="I267" s="59">
        <f t="shared" si="59"/>
        <v>939</v>
      </c>
      <c r="J267" s="1"/>
      <c r="K267" s="1"/>
      <c r="L267" s="1"/>
      <c r="M267" s="59">
        <f t="shared" si="60"/>
        <v>0</v>
      </c>
      <c r="N267" s="1"/>
      <c r="O267" s="1"/>
      <c r="P267" s="1"/>
      <c r="Q267" s="59">
        <f t="shared" si="61"/>
        <v>0</v>
      </c>
      <c r="R267" s="59">
        <f t="shared" si="58"/>
        <v>1358</v>
      </c>
      <c r="T267" s="4" t="s">
        <v>137</v>
      </c>
    </row>
    <row r="268" spans="1:20" ht="15.75" customHeight="1" x14ac:dyDescent="0.3">
      <c r="A268" s="91" t="s">
        <v>257</v>
      </c>
      <c r="B268" s="1"/>
      <c r="C268" s="1">
        <v>572</v>
      </c>
      <c r="D268" s="1"/>
      <c r="E268" s="59">
        <f t="shared" si="76"/>
        <v>572</v>
      </c>
      <c r="F268" s="1"/>
      <c r="G268" s="1"/>
      <c r="H268" s="1"/>
      <c r="I268" s="59">
        <f t="shared" si="59"/>
        <v>0</v>
      </c>
      <c r="J268" s="1"/>
      <c r="K268" s="1"/>
      <c r="L268" s="1"/>
      <c r="M268" s="59">
        <f t="shared" si="60"/>
        <v>0</v>
      </c>
      <c r="N268" s="1"/>
      <c r="O268" s="1"/>
      <c r="P268" s="1"/>
      <c r="Q268" s="59">
        <f t="shared" ref="Q268" si="77">SUM(N268:P268)</f>
        <v>0</v>
      </c>
      <c r="R268" s="59">
        <f t="shared" si="58"/>
        <v>572</v>
      </c>
    </row>
    <row r="269" spans="1:20" ht="15.75" customHeight="1" x14ac:dyDescent="0.3">
      <c r="A269" s="76" t="s">
        <v>258</v>
      </c>
      <c r="B269" s="1">
        <v>1223</v>
      </c>
      <c r="C269" s="1">
        <v>1055</v>
      </c>
      <c r="D269" s="1"/>
      <c r="E269" s="59">
        <f t="shared" si="63"/>
        <v>2278</v>
      </c>
      <c r="F269" s="1"/>
      <c r="G269" s="1"/>
      <c r="H269" s="1"/>
      <c r="I269" s="59">
        <f t="shared" si="59"/>
        <v>0</v>
      </c>
      <c r="J269" s="1"/>
      <c r="K269" s="1"/>
      <c r="L269" s="1"/>
      <c r="M269" s="59">
        <f t="shared" si="60"/>
        <v>0</v>
      </c>
      <c r="N269" s="1"/>
      <c r="O269" s="1"/>
      <c r="P269" s="1"/>
      <c r="Q269" s="59">
        <f t="shared" si="61"/>
        <v>0</v>
      </c>
      <c r="R269" s="59">
        <f t="shared" si="58"/>
        <v>2278</v>
      </c>
      <c r="T269" s="4" t="s">
        <v>158</v>
      </c>
    </row>
    <row r="270" spans="1:20" ht="15.75" customHeight="1" x14ac:dyDescent="0.3">
      <c r="A270" s="76" t="s">
        <v>449</v>
      </c>
      <c r="B270" s="1"/>
      <c r="C270" s="1"/>
      <c r="D270" s="1"/>
      <c r="E270" s="59">
        <f t="shared" si="63"/>
        <v>0</v>
      </c>
      <c r="F270" s="1"/>
      <c r="G270" s="1"/>
      <c r="H270" s="1"/>
      <c r="I270" s="59">
        <f t="shared" si="59"/>
        <v>0</v>
      </c>
      <c r="J270" s="1"/>
      <c r="K270" s="1"/>
      <c r="L270" s="1"/>
      <c r="M270" s="59">
        <f t="shared" si="60"/>
        <v>0</v>
      </c>
      <c r="N270" s="1"/>
      <c r="O270" s="1"/>
      <c r="P270" s="1"/>
      <c r="Q270" s="59">
        <f t="shared" si="61"/>
        <v>0</v>
      </c>
      <c r="R270" s="59">
        <f t="shared" si="58"/>
        <v>0</v>
      </c>
    </row>
    <row r="271" spans="1:20" ht="15.75" customHeight="1" x14ac:dyDescent="0.3">
      <c r="A271" s="76" t="s">
        <v>259</v>
      </c>
      <c r="B271" s="1"/>
      <c r="C271" s="1"/>
      <c r="D271" s="1">
        <v>636</v>
      </c>
      <c r="E271" s="59">
        <f t="shared" si="63"/>
        <v>636</v>
      </c>
      <c r="F271" s="1"/>
      <c r="G271" s="1"/>
      <c r="H271" s="1"/>
      <c r="I271" s="59">
        <f>SUM(F271:H271)</f>
        <v>0</v>
      </c>
      <c r="J271" s="1"/>
      <c r="K271" s="1"/>
      <c r="L271" s="1"/>
      <c r="M271" s="59">
        <f t="shared" si="60"/>
        <v>0</v>
      </c>
      <c r="N271" s="1"/>
      <c r="O271" s="1"/>
      <c r="P271" s="1"/>
      <c r="Q271" s="59">
        <f t="shared" si="61"/>
        <v>0</v>
      </c>
      <c r="R271" s="59">
        <f t="shared" si="58"/>
        <v>636</v>
      </c>
      <c r="S271" s="4" t="s">
        <v>136</v>
      </c>
    </row>
    <row r="272" spans="1:20" ht="15.75" customHeight="1" x14ac:dyDescent="0.3">
      <c r="A272" s="76" t="s">
        <v>260</v>
      </c>
      <c r="B272" s="1"/>
      <c r="C272" s="1"/>
      <c r="D272" s="1">
        <v>605</v>
      </c>
      <c r="E272" s="59">
        <f t="shared" si="63"/>
        <v>605</v>
      </c>
      <c r="F272" s="1"/>
      <c r="G272" s="1"/>
      <c r="H272" s="1"/>
      <c r="I272" s="59">
        <f>SUM(F272:H272)</f>
        <v>0</v>
      </c>
      <c r="J272" s="1"/>
      <c r="K272" s="1"/>
      <c r="L272" s="1"/>
      <c r="M272" s="59">
        <f t="shared" si="60"/>
        <v>0</v>
      </c>
      <c r="N272" s="1"/>
      <c r="O272" s="1"/>
      <c r="P272" s="1"/>
      <c r="Q272" s="59">
        <f t="shared" ref="Q272" si="78">SUM(N272:P272)</f>
        <v>0</v>
      </c>
      <c r="R272" s="59">
        <f t="shared" si="58"/>
        <v>605</v>
      </c>
    </row>
    <row r="273" spans="1:20" ht="15.75" customHeight="1" x14ac:dyDescent="0.3">
      <c r="A273" s="76" t="s">
        <v>261</v>
      </c>
      <c r="B273" s="1">
        <v>95</v>
      </c>
      <c r="C273" s="1"/>
      <c r="D273" s="1"/>
      <c r="E273" s="59">
        <f t="shared" si="63"/>
        <v>95</v>
      </c>
      <c r="F273" s="1"/>
      <c r="G273" s="1"/>
      <c r="H273" s="1"/>
      <c r="I273" s="59">
        <f t="shared" si="59"/>
        <v>0</v>
      </c>
      <c r="J273" s="1"/>
      <c r="K273" s="1"/>
      <c r="L273" s="1"/>
      <c r="M273" s="59">
        <f t="shared" si="60"/>
        <v>0</v>
      </c>
      <c r="N273" s="1"/>
      <c r="O273" s="1"/>
      <c r="P273" s="1"/>
      <c r="Q273" s="59">
        <f t="shared" si="61"/>
        <v>0</v>
      </c>
      <c r="R273" s="59">
        <f t="shared" si="58"/>
        <v>95</v>
      </c>
    </row>
    <row r="274" spans="1:20" ht="15.75" customHeight="1" x14ac:dyDescent="0.3">
      <c r="A274" s="76" t="s">
        <v>262</v>
      </c>
      <c r="B274" s="1">
        <v>95</v>
      </c>
      <c r="C274" s="1"/>
      <c r="D274" s="1"/>
      <c r="E274" s="59">
        <f t="shared" si="63"/>
        <v>95</v>
      </c>
      <c r="F274" s="1"/>
      <c r="G274" s="1"/>
      <c r="H274" s="1"/>
      <c r="I274" s="59">
        <f t="shared" si="59"/>
        <v>0</v>
      </c>
      <c r="J274" s="1"/>
      <c r="K274" s="1"/>
      <c r="L274" s="1"/>
      <c r="M274" s="59">
        <f t="shared" si="60"/>
        <v>0</v>
      </c>
      <c r="N274" s="1"/>
      <c r="O274" s="1"/>
      <c r="P274" s="1"/>
      <c r="Q274" s="59">
        <f t="shared" si="61"/>
        <v>0</v>
      </c>
      <c r="R274" s="59">
        <f t="shared" si="58"/>
        <v>95</v>
      </c>
      <c r="S274" s="4" t="s">
        <v>136</v>
      </c>
      <c r="T274" s="4" t="s">
        <v>137</v>
      </c>
    </row>
    <row r="275" spans="1:20" ht="15.75" customHeight="1" x14ac:dyDescent="0.3">
      <c r="A275" s="76" t="s">
        <v>263</v>
      </c>
      <c r="B275" s="1">
        <v>678</v>
      </c>
      <c r="C275" s="1">
        <v>1915</v>
      </c>
      <c r="D275" s="1">
        <v>1450</v>
      </c>
      <c r="E275" s="59">
        <f>SUM(B275:D275)</f>
        <v>4043</v>
      </c>
      <c r="F275" s="1">
        <v>1387</v>
      </c>
      <c r="G275" s="1">
        <v>996</v>
      </c>
      <c r="H275" s="1">
        <v>400</v>
      </c>
      <c r="I275" s="59">
        <f>SUM(F275:H275)</f>
        <v>2783</v>
      </c>
      <c r="J275" s="1">
        <v>1600</v>
      </c>
      <c r="K275" s="1">
        <v>1000</v>
      </c>
      <c r="L275" s="1">
        <v>1100</v>
      </c>
      <c r="M275" s="59">
        <f>SUM(J275:L275)</f>
        <v>3700</v>
      </c>
      <c r="N275" s="1">
        <v>1200</v>
      </c>
      <c r="O275" s="1">
        <v>1100</v>
      </c>
      <c r="P275" s="1">
        <v>1174</v>
      </c>
      <c r="Q275" s="59">
        <f>SUM(N275:P275)</f>
        <v>3474</v>
      </c>
      <c r="R275" s="59">
        <f>+E275+I275+M275+Q275</f>
        <v>14000</v>
      </c>
      <c r="S275" s="4" t="s">
        <v>136</v>
      </c>
      <c r="T275" s="4" t="s">
        <v>137</v>
      </c>
    </row>
    <row r="276" spans="1:20" ht="15.75" customHeight="1" x14ac:dyDescent="0.3">
      <c r="A276" s="76" t="s">
        <v>265</v>
      </c>
      <c r="B276" s="1"/>
      <c r="C276" s="1"/>
      <c r="D276" s="1"/>
      <c r="E276" s="59">
        <f>SUM(B276:D276)</f>
        <v>0</v>
      </c>
      <c r="F276" s="1"/>
      <c r="G276" s="1"/>
      <c r="H276" s="1"/>
      <c r="I276" s="59">
        <f>SUM(F276:H276)</f>
        <v>0</v>
      </c>
      <c r="J276" s="1"/>
      <c r="K276" s="1"/>
      <c r="L276" s="1"/>
      <c r="M276" s="59">
        <f>SUM(J276:L276)</f>
        <v>0</v>
      </c>
      <c r="N276" s="1"/>
      <c r="O276" s="1"/>
      <c r="P276" s="1"/>
      <c r="Q276" s="59">
        <f t="shared" ref="Q276" si="79">SUM(N276:P276)</f>
        <v>0</v>
      </c>
      <c r="R276" s="59">
        <f>+E276+I276+M276+Q276</f>
        <v>0</v>
      </c>
      <c r="T276" s="4" t="s">
        <v>137</v>
      </c>
    </row>
    <row r="277" spans="1:20" ht="15.75" customHeight="1" x14ac:dyDescent="0.3">
      <c r="A277" s="76" t="s">
        <v>266</v>
      </c>
      <c r="B277" s="1"/>
      <c r="C277" s="1"/>
      <c r="D277" s="1"/>
      <c r="E277" s="59">
        <f t="shared" ref="E277" si="80">SUM(B277:D277)</f>
        <v>0</v>
      </c>
      <c r="F277" s="1"/>
      <c r="G277" s="1"/>
      <c r="H277" s="1"/>
      <c r="I277" s="59">
        <f t="shared" ref="I277" si="81">SUM(F277:H277)</f>
        <v>0</v>
      </c>
      <c r="J277" s="1"/>
      <c r="K277" s="1"/>
      <c r="L277" s="1"/>
      <c r="M277" s="59">
        <f t="shared" ref="M277" si="82">SUM(J277:L277)</f>
        <v>0</v>
      </c>
      <c r="N277" s="1"/>
      <c r="O277" s="1"/>
      <c r="P277" s="1"/>
      <c r="Q277" s="59">
        <f t="shared" ref="Q277" si="83">SUM(N277:P277)</f>
        <v>0</v>
      </c>
      <c r="R277" s="59">
        <f>+E277+I277+M277+Q277</f>
        <v>0</v>
      </c>
      <c r="T277" s="4" t="s">
        <v>137</v>
      </c>
    </row>
    <row r="278" spans="1:20" ht="15.75" customHeight="1" x14ac:dyDescent="0.3">
      <c r="A278" s="76" t="s">
        <v>860</v>
      </c>
      <c r="B278" s="1"/>
      <c r="C278" s="1"/>
      <c r="D278" s="1"/>
      <c r="E278" s="59">
        <f t="shared" ref="E278" si="84">SUM(B278:D278)</f>
        <v>0</v>
      </c>
      <c r="F278" s="1"/>
      <c r="G278" s="1"/>
      <c r="H278" s="1">
        <v>200</v>
      </c>
      <c r="I278" s="59">
        <f t="shared" ref="I278" si="85">SUM(F278:H278)</f>
        <v>200</v>
      </c>
      <c r="J278" s="1">
        <v>951</v>
      </c>
      <c r="K278" s="1">
        <v>737</v>
      </c>
      <c r="L278" s="1">
        <v>761</v>
      </c>
      <c r="M278" s="59">
        <f t="shared" ref="M278" si="86">SUM(J278:L278)</f>
        <v>2449</v>
      </c>
      <c r="N278" s="1">
        <v>761</v>
      </c>
      <c r="O278" s="1">
        <v>322</v>
      </c>
      <c r="P278" s="1"/>
      <c r="Q278" s="59">
        <f t="shared" si="61"/>
        <v>1083</v>
      </c>
      <c r="R278" s="59">
        <f t="shared" si="58"/>
        <v>3732</v>
      </c>
      <c r="S278" s="4" t="s">
        <v>136</v>
      </c>
    </row>
    <row r="279" spans="1:20" ht="15.75" customHeight="1" x14ac:dyDescent="0.3">
      <c r="A279" s="76" t="s">
        <v>270</v>
      </c>
      <c r="B279" s="1"/>
      <c r="C279" s="1"/>
      <c r="D279" s="1"/>
      <c r="E279" s="59">
        <f>SUM(B279:D279)</f>
        <v>0</v>
      </c>
      <c r="F279" s="1"/>
      <c r="G279" s="1">
        <v>225</v>
      </c>
      <c r="H279" s="1"/>
      <c r="I279" s="59">
        <f>SUM(F279:H279)</f>
        <v>225</v>
      </c>
      <c r="J279" s="1"/>
      <c r="K279" s="1"/>
      <c r="L279" s="1"/>
      <c r="M279" s="59">
        <f>SUM(J279:L279)</f>
        <v>0</v>
      </c>
      <c r="N279" s="1"/>
      <c r="O279" s="1"/>
      <c r="P279" s="1"/>
      <c r="Q279" s="59">
        <f>SUM(N279:P279)</f>
        <v>0</v>
      </c>
      <c r="R279" s="59">
        <f>+E279+I279+M279+Q279</f>
        <v>225</v>
      </c>
      <c r="S279" s="4" t="s">
        <v>136</v>
      </c>
    </row>
    <row r="280" spans="1:20" ht="15.75" customHeight="1" x14ac:dyDescent="0.3">
      <c r="A280" s="76" t="s">
        <v>271</v>
      </c>
      <c r="B280" s="1"/>
      <c r="C280" s="1"/>
      <c r="D280" s="1"/>
      <c r="E280" s="59">
        <f>SUM(B280:D280)</f>
        <v>0</v>
      </c>
      <c r="F280" s="1"/>
      <c r="G280" s="1"/>
      <c r="H280" s="1"/>
      <c r="I280" s="59">
        <f>SUM(F280:H280)</f>
        <v>0</v>
      </c>
      <c r="J280" s="1"/>
      <c r="K280" s="1"/>
      <c r="L280" s="1"/>
      <c r="M280" s="59">
        <f>SUM(J280:L280)</f>
        <v>0</v>
      </c>
      <c r="N280" s="1"/>
      <c r="O280" s="1"/>
      <c r="P280" s="1"/>
      <c r="Q280" s="59">
        <f>SUM(N280:P280)</f>
        <v>0</v>
      </c>
      <c r="R280" s="59">
        <f>+E280+I280+M280+Q280</f>
        <v>0</v>
      </c>
    </row>
    <row r="281" spans="1:20" ht="15.75" customHeight="1" x14ac:dyDescent="0.3">
      <c r="A281" s="76" t="s">
        <v>272</v>
      </c>
      <c r="B281" s="1"/>
      <c r="C281" s="1"/>
      <c r="D281" s="1"/>
      <c r="E281" s="59">
        <f t="shared" ref="E281" si="87">SUM(B281:D281)</f>
        <v>0</v>
      </c>
      <c r="F281" s="1"/>
      <c r="G281" s="1"/>
      <c r="H281" s="1"/>
      <c r="I281" s="59">
        <f t="shared" ref="I281" si="88">SUM(F281:H281)</f>
        <v>0</v>
      </c>
      <c r="J281" s="1"/>
      <c r="K281" s="1"/>
      <c r="L281" s="1"/>
      <c r="M281" s="59">
        <f t="shared" ref="M281" si="89">SUM(J281:L281)</f>
        <v>0</v>
      </c>
      <c r="N281" s="1"/>
      <c r="O281" s="1"/>
      <c r="P281" s="1"/>
      <c r="Q281" s="59">
        <f t="shared" ref="Q281" si="90">SUM(N281:P281)</f>
        <v>0</v>
      </c>
      <c r="R281" s="59">
        <f t="shared" ref="R281" si="91">+E281+I281+M281+Q281</f>
        <v>0</v>
      </c>
    </row>
    <row r="282" spans="1:20" ht="15.75" customHeight="1" x14ac:dyDescent="0.3">
      <c r="A282" s="76" t="s">
        <v>273</v>
      </c>
      <c r="B282" s="1">
        <v>500</v>
      </c>
      <c r="C282" s="1"/>
      <c r="D282" s="1"/>
      <c r="E282" s="59">
        <f t="shared" ref="E282" si="92">SUM(B282:D282)</f>
        <v>500</v>
      </c>
      <c r="F282" s="1"/>
      <c r="G282" s="1"/>
      <c r="H282" s="1"/>
      <c r="I282" s="59">
        <f t="shared" si="59"/>
        <v>0</v>
      </c>
      <c r="J282" s="1"/>
      <c r="K282" s="1"/>
      <c r="L282" s="1"/>
      <c r="M282" s="59">
        <f t="shared" si="60"/>
        <v>0</v>
      </c>
      <c r="N282" s="1"/>
      <c r="O282" s="1"/>
      <c r="P282" s="1"/>
      <c r="Q282" s="59">
        <f t="shared" si="61"/>
        <v>0</v>
      </c>
      <c r="R282" s="59">
        <f t="shared" si="58"/>
        <v>500</v>
      </c>
    </row>
    <row r="283" spans="1:20" ht="15.75" customHeight="1" thickBot="1" x14ac:dyDescent="0.35">
      <c r="A283" s="76" t="s">
        <v>275</v>
      </c>
      <c r="B283" s="1"/>
      <c r="C283" s="1"/>
      <c r="D283" s="1"/>
      <c r="E283" s="59">
        <f>SUM(B283:D283)</f>
        <v>0</v>
      </c>
      <c r="F283" s="1"/>
      <c r="G283" s="1"/>
      <c r="H283" s="1"/>
      <c r="I283" s="59">
        <f>SUM(F283:H283)</f>
        <v>0</v>
      </c>
      <c r="J283" s="1"/>
      <c r="K283" s="1"/>
      <c r="L283" s="1"/>
      <c r="M283" s="59">
        <f>SUM(J283:L283)</f>
        <v>0</v>
      </c>
      <c r="N283" s="1"/>
      <c r="O283" s="1"/>
      <c r="P283" s="1"/>
      <c r="Q283" s="59">
        <f>SUM(N283:P283)</f>
        <v>0</v>
      </c>
      <c r="R283" s="59">
        <f t="shared" si="58"/>
        <v>0</v>
      </c>
      <c r="S283" s="94" t="s">
        <v>136</v>
      </c>
    </row>
    <row r="284" spans="1:20" ht="16.5" customHeight="1" thickBot="1" x14ac:dyDescent="0.35">
      <c r="A284" s="62" t="s">
        <v>61</v>
      </c>
      <c r="B284" s="100">
        <f>SUM(B217:B283)</f>
        <v>6575</v>
      </c>
      <c r="C284" s="101">
        <f>SUM(C217:C283)</f>
        <v>8890</v>
      </c>
      <c r="D284" s="101">
        <f>SUM(D217:D283)</f>
        <v>10318</v>
      </c>
      <c r="E284" s="64">
        <f t="shared" ref="E284" si="93">SUM(B284:D284)</f>
        <v>25783</v>
      </c>
      <c r="F284" s="101">
        <f>SUM(F217:F283)</f>
        <v>22518</v>
      </c>
      <c r="G284" s="101">
        <f>SUM(G217:G283)</f>
        <v>12391</v>
      </c>
      <c r="H284" s="101">
        <f>SUM(H217:H283)</f>
        <v>10344</v>
      </c>
      <c r="I284" s="64">
        <f t="shared" ref="I284" si="94">SUM(F284:H284)</f>
        <v>45253</v>
      </c>
      <c r="J284" s="101">
        <f>SUM(J217:J283)</f>
        <v>13735</v>
      </c>
      <c r="K284" s="101">
        <f>SUM(K217:K283)</f>
        <v>12849</v>
      </c>
      <c r="L284" s="101">
        <f>SUM(L217:L283)</f>
        <v>11640</v>
      </c>
      <c r="M284" s="64">
        <f t="shared" ref="M284" si="95">SUM(J284:L284)</f>
        <v>38224</v>
      </c>
      <c r="N284" s="101">
        <f>SUM(N217:N283)</f>
        <v>11390</v>
      </c>
      <c r="O284" s="101">
        <f>SUM(O217:O283)</f>
        <v>9068</v>
      </c>
      <c r="P284" s="101">
        <f>SUM(P217:P283)</f>
        <v>3822</v>
      </c>
      <c r="Q284" s="64">
        <f t="shared" ref="Q284" si="96">SUM(N284:P284)</f>
        <v>24280</v>
      </c>
      <c r="R284" s="64">
        <f t="shared" si="58"/>
        <v>133540</v>
      </c>
    </row>
    <row r="285" spans="1:20" ht="15.75" customHeight="1" x14ac:dyDescent="0.3">
      <c r="A285" s="17" t="s">
        <v>62</v>
      </c>
      <c r="B285" s="1"/>
      <c r="C285" s="1"/>
      <c r="D285" s="1"/>
      <c r="E285" s="59" t="s">
        <v>7</v>
      </c>
      <c r="F285" s="1"/>
      <c r="G285" s="1"/>
      <c r="H285" s="1"/>
      <c r="I285" s="59" t="s">
        <v>7</v>
      </c>
      <c r="J285" s="1"/>
      <c r="K285" s="1"/>
      <c r="L285" s="1"/>
      <c r="M285" s="59" t="s">
        <v>7</v>
      </c>
      <c r="N285" s="1"/>
      <c r="O285" s="1"/>
      <c r="P285" s="1"/>
      <c r="Q285" s="59" t="s">
        <v>7</v>
      </c>
      <c r="R285" s="59" t="s">
        <v>7</v>
      </c>
    </row>
    <row r="286" spans="1:20" ht="15.75" customHeight="1" x14ac:dyDescent="0.3">
      <c r="A286" s="17" t="s">
        <v>63</v>
      </c>
      <c r="B286" s="1"/>
      <c r="C286" s="1"/>
      <c r="D286" s="1"/>
      <c r="E286" s="59" t="s">
        <v>7</v>
      </c>
      <c r="F286" s="1"/>
      <c r="G286" s="1"/>
      <c r="H286" s="1"/>
      <c r="I286" s="59" t="s">
        <v>7</v>
      </c>
      <c r="J286" s="1"/>
      <c r="K286" s="1"/>
      <c r="L286" s="1"/>
      <c r="M286" s="59" t="s">
        <v>7</v>
      </c>
      <c r="N286" s="1"/>
      <c r="O286" s="1"/>
      <c r="P286" s="1"/>
      <c r="Q286" s="59" t="s">
        <v>7</v>
      </c>
      <c r="R286" s="59" t="s">
        <v>7</v>
      </c>
    </row>
    <row r="287" spans="1:20" ht="15.75" customHeight="1" x14ac:dyDescent="0.3">
      <c r="A287" s="78" t="s">
        <v>854</v>
      </c>
      <c r="B287" s="1"/>
      <c r="C287" s="1"/>
      <c r="D287" s="1"/>
      <c r="E287" s="59">
        <f>SUM(B287:D287)</f>
        <v>0</v>
      </c>
      <c r="F287" s="1"/>
      <c r="G287" s="1"/>
      <c r="H287" s="1"/>
      <c r="I287" s="59">
        <f>SUM(F287:H287)</f>
        <v>0</v>
      </c>
      <c r="J287" s="1"/>
      <c r="K287" s="1"/>
      <c r="L287" s="1"/>
      <c r="M287" s="59">
        <f>SUM(J287:L287)</f>
        <v>0</v>
      </c>
      <c r="N287" s="1"/>
      <c r="O287" s="1"/>
      <c r="P287" s="1"/>
      <c r="Q287" s="59">
        <f>SUM(N287:P287)</f>
        <v>0</v>
      </c>
      <c r="R287" s="59">
        <f>+E287+I287+M287+Q287</f>
        <v>0</v>
      </c>
      <c r="T287" s="4" t="s">
        <v>137</v>
      </c>
    </row>
    <row r="288" spans="1:20" ht="15.75" customHeight="1" x14ac:dyDescent="0.3">
      <c r="A288" s="99" t="s">
        <v>276</v>
      </c>
      <c r="B288" s="1"/>
      <c r="C288" s="1"/>
      <c r="D288" s="1"/>
      <c r="E288" s="59">
        <f>SUM(B288:D288)</f>
        <v>0</v>
      </c>
      <c r="F288" s="1"/>
      <c r="G288" s="1"/>
      <c r="H288" s="1"/>
      <c r="I288" s="59">
        <f>SUM(F288:H288)</f>
        <v>0</v>
      </c>
      <c r="J288" s="1"/>
      <c r="K288" s="1"/>
      <c r="L288" s="1"/>
      <c r="M288" s="59">
        <f>SUM(J288:L288)</f>
        <v>0</v>
      </c>
      <c r="N288" s="1"/>
      <c r="O288" s="1"/>
      <c r="P288" s="1"/>
      <c r="Q288" s="59">
        <f>SUM(N288:P288)</f>
        <v>0</v>
      </c>
      <c r="R288" s="59">
        <f>+E288+I288+M288+Q288</f>
        <v>0</v>
      </c>
      <c r="T288" s="4" t="s">
        <v>132</v>
      </c>
    </row>
    <row r="289" spans="1:20" ht="15.75" customHeight="1" x14ac:dyDescent="0.3">
      <c r="A289" s="99" t="s">
        <v>277</v>
      </c>
      <c r="B289" s="1"/>
      <c r="C289" s="1"/>
      <c r="D289" s="1"/>
      <c r="E289" s="59">
        <f>SUM(B289:D289)</f>
        <v>0</v>
      </c>
      <c r="F289" s="1"/>
      <c r="G289" s="1"/>
      <c r="H289" s="1"/>
      <c r="I289" s="59">
        <f>SUM(F289:H289)</f>
        <v>0</v>
      </c>
      <c r="J289" s="1"/>
      <c r="K289" s="1"/>
      <c r="L289" s="1"/>
      <c r="M289" s="59">
        <f>SUM(J289:L289)</f>
        <v>0</v>
      </c>
      <c r="N289" s="1"/>
      <c r="O289" s="1"/>
      <c r="P289" s="1"/>
      <c r="Q289" s="59">
        <f>SUM(N289:P289)</f>
        <v>0</v>
      </c>
      <c r="R289" s="59">
        <f>+E289+I289+M289+Q289</f>
        <v>0</v>
      </c>
      <c r="T289" s="4" t="s">
        <v>134</v>
      </c>
    </row>
    <row r="290" spans="1:20" ht="15.75" customHeight="1" x14ac:dyDescent="0.3">
      <c r="A290" s="17" t="s">
        <v>64</v>
      </c>
      <c r="B290" s="1"/>
      <c r="C290" s="1"/>
      <c r="D290" s="1"/>
      <c r="E290" s="59" t="s">
        <v>7</v>
      </c>
      <c r="F290" s="1"/>
      <c r="G290" s="1"/>
      <c r="H290" s="1"/>
      <c r="I290" s="59" t="s">
        <v>7</v>
      </c>
      <c r="J290" s="1"/>
      <c r="K290" s="1"/>
      <c r="L290" s="1"/>
      <c r="M290" s="59" t="s">
        <v>7</v>
      </c>
      <c r="N290" s="1"/>
      <c r="O290" s="1"/>
      <c r="P290" s="1"/>
      <c r="Q290" s="59" t="s">
        <v>7</v>
      </c>
      <c r="R290" s="59" t="s">
        <v>7</v>
      </c>
    </row>
    <row r="291" spans="1:20" ht="15.75" customHeight="1" x14ac:dyDescent="0.3">
      <c r="A291" s="99" t="s">
        <v>278</v>
      </c>
      <c r="B291" s="1">
        <v>1335</v>
      </c>
      <c r="C291" s="1">
        <v>444</v>
      </c>
      <c r="D291" s="1"/>
      <c r="E291" s="59">
        <f>SUM(B291:D291)</f>
        <v>1779</v>
      </c>
      <c r="F291" s="1"/>
      <c r="G291" s="1"/>
      <c r="H291" s="1"/>
      <c r="I291" s="59">
        <f>SUM(F291:H291)</f>
        <v>0</v>
      </c>
      <c r="J291" s="1"/>
      <c r="K291" s="1"/>
      <c r="L291" s="1">
        <v>221</v>
      </c>
      <c r="M291" s="59">
        <f>SUM(J291:L291)</f>
        <v>221</v>
      </c>
      <c r="N291" s="1"/>
      <c r="O291" s="1"/>
      <c r="P291" s="1">
        <f>251+16</f>
        <v>267</v>
      </c>
      <c r="Q291" s="59">
        <f>SUM(N291:P291)</f>
        <v>267</v>
      </c>
      <c r="R291" s="59">
        <f>+E291+I291+M291+Q291</f>
        <v>2267</v>
      </c>
    </row>
    <row r="292" spans="1:20" ht="15.75" customHeight="1" x14ac:dyDescent="0.3">
      <c r="A292" s="99" t="s">
        <v>279</v>
      </c>
      <c r="B292" s="1"/>
      <c r="C292" s="1"/>
      <c r="D292" s="1"/>
      <c r="E292" s="59">
        <f>SUM(B292:D292)</f>
        <v>0</v>
      </c>
      <c r="F292" s="1"/>
      <c r="G292" s="1"/>
      <c r="H292" s="1"/>
      <c r="I292" s="59">
        <f>SUM(F292:H292)</f>
        <v>0</v>
      </c>
      <c r="J292" s="1"/>
      <c r="K292" s="1"/>
      <c r="L292" s="1">
        <v>652</v>
      </c>
      <c r="M292" s="59">
        <f>SUM(J292:L292)</f>
        <v>652</v>
      </c>
      <c r="N292" s="1">
        <v>924</v>
      </c>
      <c r="O292" s="1">
        <v>494</v>
      </c>
      <c r="P292" s="1">
        <v>300</v>
      </c>
      <c r="Q292" s="59">
        <f>SUM(N292:P292)</f>
        <v>1718</v>
      </c>
      <c r="R292" s="59">
        <f>+E292+I292+M292+Q292</f>
        <v>2370</v>
      </c>
      <c r="S292" s="4" t="s">
        <v>964</v>
      </c>
      <c r="T292" s="4">
        <f>24000-SUM(R148,R152,R169,R172,R185,R205,R241,R242,R264,R288,R291,R292)</f>
        <v>302</v>
      </c>
    </row>
    <row r="293" spans="1:20" ht="15.75" customHeight="1" x14ac:dyDescent="0.3">
      <c r="A293" s="74" t="s">
        <v>280</v>
      </c>
      <c r="B293" s="1"/>
      <c r="C293" s="1"/>
      <c r="D293" s="1"/>
      <c r="E293" s="59">
        <f t="shared" ref="E293:E298" si="97">SUM(B293:D293)</f>
        <v>0</v>
      </c>
      <c r="F293" s="1"/>
      <c r="G293" s="1"/>
      <c r="H293" s="1"/>
      <c r="I293" s="59">
        <f t="shared" ref="I293:I298" si="98">SUM(F293:H293)</f>
        <v>0</v>
      </c>
      <c r="J293" s="1"/>
      <c r="K293" s="1"/>
      <c r="L293" s="1"/>
      <c r="M293" s="59">
        <f t="shared" ref="M293:M298" si="99">SUM(J293:L293)</f>
        <v>0</v>
      </c>
      <c r="N293" s="1"/>
      <c r="O293" s="1"/>
      <c r="P293" s="1"/>
      <c r="Q293" s="59">
        <f t="shared" ref="Q293:Q298" si="100">SUM(N293:P293)</f>
        <v>0</v>
      </c>
      <c r="R293" s="59">
        <f t="shared" ref="R293:R298" si="101">+E293+I293+M293+Q293</f>
        <v>0</v>
      </c>
      <c r="S293" s="4" t="s">
        <v>136</v>
      </c>
    </row>
    <row r="294" spans="1:20" ht="15.75" customHeight="1" x14ac:dyDescent="0.3">
      <c r="A294" s="74" t="s">
        <v>281</v>
      </c>
      <c r="B294" s="1"/>
      <c r="C294" s="1"/>
      <c r="D294" s="1"/>
      <c r="E294" s="59">
        <f t="shared" si="97"/>
        <v>0</v>
      </c>
      <c r="F294" s="1"/>
      <c r="G294" s="1"/>
      <c r="H294" s="1"/>
      <c r="I294" s="59">
        <f t="shared" si="98"/>
        <v>0</v>
      </c>
      <c r="J294" s="1"/>
      <c r="K294" s="1"/>
      <c r="L294" s="1"/>
      <c r="M294" s="59">
        <f t="shared" si="99"/>
        <v>0</v>
      </c>
      <c r="N294" s="1"/>
      <c r="O294" s="1"/>
      <c r="P294" s="1"/>
      <c r="Q294" s="59">
        <f t="shared" si="100"/>
        <v>0</v>
      </c>
      <c r="R294" s="59">
        <f t="shared" si="101"/>
        <v>0</v>
      </c>
      <c r="S294" s="4" t="s">
        <v>964</v>
      </c>
    </row>
    <row r="295" spans="1:20" ht="15.75" customHeight="1" x14ac:dyDescent="0.3">
      <c r="A295" s="91" t="s">
        <v>282</v>
      </c>
      <c r="B295" s="1"/>
      <c r="C295" s="1">
        <v>1000</v>
      </c>
      <c r="D295" s="1"/>
      <c r="E295" s="59">
        <f t="shared" si="97"/>
        <v>1000</v>
      </c>
      <c r="F295" s="1">
        <v>1616</v>
      </c>
      <c r="G295" s="1">
        <v>1717</v>
      </c>
      <c r="H295" s="1"/>
      <c r="I295" s="59">
        <f t="shared" si="98"/>
        <v>3333</v>
      </c>
      <c r="J295" s="1"/>
      <c r="K295" s="1"/>
      <c r="L295" s="1">
        <v>980</v>
      </c>
      <c r="M295" s="59">
        <f t="shared" si="99"/>
        <v>980</v>
      </c>
      <c r="N295" s="1">
        <v>1698</v>
      </c>
      <c r="O295" s="1"/>
      <c r="P295" s="1"/>
      <c r="Q295" s="59">
        <f t="shared" si="100"/>
        <v>1698</v>
      </c>
      <c r="R295" s="59">
        <f t="shared" si="101"/>
        <v>7011</v>
      </c>
    </row>
    <row r="296" spans="1:20" ht="15.75" customHeight="1" x14ac:dyDescent="0.3">
      <c r="A296" s="91" t="s">
        <v>283</v>
      </c>
      <c r="B296" s="1"/>
      <c r="C296" s="1"/>
      <c r="D296" s="1"/>
      <c r="E296" s="59">
        <f t="shared" si="97"/>
        <v>0</v>
      </c>
      <c r="F296" s="1"/>
      <c r="G296" s="1"/>
      <c r="H296" s="1"/>
      <c r="I296" s="59">
        <f t="shared" si="98"/>
        <v>0</v>
      </c>
      <c r="J296" s="1"/>
      <c r="K296" s="1"/>
      <c r="L296" s="1"/>
      <c r="M296" s="59">
        <f t="shared" si="99"/>
        <v>0</v>
      </c>
      <c r="N296" s="1"/>
      <c r="O296" s="1"/>
      <c r="P296" s="1"/>
      <c r="Q296" s="59">
        <f t="shared" si="100"/>
        <v>0</v>
      </c>
      <c r="R296" s="59">
        <f t="shared" si="101"/>
        <v>0</v>
      </c>
      <c r="S296" s="4" t="s">
        <v>964</v>
      </c>
    </row>
    <row r="297" spans="1:20" ht="15.75" customHeight="1" x14ac:dyDescent="0.3">
      <c r="A297" s="61" t="s">
        <v>284</v>
      </c>
      <c r="B297" s="1"/>
      <c r="C297" s="1"/>
      <c r="D297" s="1"/>
      <c r="E297" s="59">
        <f t="shared" si="97"/>
        <v>0</v>
      </c>
      <c r="F297" s="1"/>
      <c r="G297" s="1"/>
      <c r="H297" s="1"/>
      <c r="I297" s="59">
        <f t="shared" si="98"/>
        <v>0</v>
      </c>
      <c r="J297" s="1"/>
      <c r="K297" s="1"/>
      <c r="L297" s="1"/>
      <c r="M297" s="59">
        <f t="shared" si="99"/>
        <v>0</v>
      </c>
      <c r="N297" s="1"/>
      <c r="O297" s="1"/>
      <c r="P297" s="1"/>
      <c r="Q297" s="59">
        <f t="shared" si="100"/>
        <v>0</v>
      </c>
      <c r="R297" s="59">
        <f t="shared" si="101"/>
        <v>0</v>
      </c>
    </row>
    <row r="298" spans="1:20" ht="15.75" customHeight="1" x14ac:dyDescent="0.3">
      <c r="A298" s="61" t="s">
        <v>285</v>
      </c>
      <c r="B298" s="1"/>
      <c r="C298" s="1"/>
      <c r="D298" s="1"/>
      <c r="E298" s="59">
        <f t="shared" si="97"/>
        <v>0</v>
      </c>
      <c r="F298" s="1"/>
      <c r="G298" s="1"/>
      <c r="H298" s="1"/>
      <c r="I298" s="59">
        <f t="shared" si="98"/>
        <v>0</v>
      </c>
      <c r="J298" s="1"/>
      <c r="K298" s="1"/>
      <c r="L298" s="1"/>
      <c r="M298" s="59">
        <f t="shared" si="99"/>
        <v>0</v>
      </c>
      <c r="N298" s="1"/>
      <c r="O298" s="1"/>
      <c r="P298" s="1"/>
      <c r="Q298" s="59">
        <f t="shared" si="100"/>
        <v>0</v>
      </c>
      <c r="R298" s="59">
        <f t="shared" si="101"/>
        <v>0</v>
      </c>
    </row>
    <row r="299" spans="1:20" ht="15.75" customHeight="1" x14ac:dyDescent="0.3">
      <c r="A299" s="17" t="s">
        <v>66</v>
      </c>
      <c r="B299" s="1"/>
      <c r="C299" s="1"/>
      <c r="D299" s="1"/>
      <c r="E299" s="59" t="s">
        <v>7</v>
      </c>
      <c r="F299" s="1"/>
      <c r="G299" s="1"/>
      <c r="H299" s="1"/>
      <c r="I299" s="59" t="s">
        <v>7</v>
      </c>
      <c r="J299" s="1"/>
      <c r="K299" s="1"/>
      <c r="L299" s="1"/>
      <c r="M299" s="59" t="s">
        <v>7</v>
      </c>
      <c r="N299" s="1"/>
      <c r="O299" s="1"/>
      <c r="P299" s="1"/>
      <c r="Q299" s="59" t="s">
        <v>7</v>
      </c>
      <c r="R299" s="59" t="s">
        <v>7</v>
      </c>
    </row>
    <row r="300" spans="1:20" ht="15.75" customHeight="1" x14ac:dyDescent="0.3">
      <c r="A300" s="99" t="s">
        <v>286</v>
      </c>
      <c r="B300" s="1"/>
      <c r="C300" s="1"/>
      <c r="D300" s="1"/>
      <c r="E300" s="59">
        <f t="shared" ref="E300" si="102">SUM(B300:D300)</f>
        <v>0</v>
      </c>
      <c r="F300" s="1"/>
      <c r="G300" s="1"/>
      <c r="H300" s="1"/>
      <c r="I300" s="59">
        <f t="shared" ref="I300" si="103">SUM(F300:H300)</f>
        <v>0</v>
      </c>
      <c r="J300" s="1"/>
      <c r="K300" s="1"/>
      <c r="L300" s="1"/>
      <c r="M300" s="59">
        <f t="shared" ref="M300" si="104">SUM(J300:L300)</f>
        <v>0</v>
      </c>
      <c r="N300" s="1"/>
      <c r="O300" s="1"/>
      <c r="P300" s="1"/>
      <c r="Q300" s="59">
        <f t="shared" ref="Q300" si="105">SUM(N300:P300)</f>
        <v>0</v>
      </c>
      <c r="R300" s="59">
        <f t="shared" ref="R300" si="106">+E300+I300+M300+Q300</f>
        <v>0</v>
      </c>
    </row>
    <row r="301" spans="1:20" ht="15.75" customHeight="1" x14ac:dyDescent="0.3">
      <c r="A301" s="17" t="s">
        <v>67</v>
      </c>
      <c r="B301" s="1"/>
      <c r="C301" s="1"/>
      <c r="D301" s="1"/>
      <c r="E301" s="59" t="s">
        <v>7</v>
      </c>
      <c r="F301" s="1"/>
      <c r="G301" s="1"/>
      <c r="H301" s="1"/>
      <c r="I301" s="59" t="s">
        <v>7</v>
      </c>
      <c r="J301" s="1"/>
      <c r="K301" s="1"/>
      <c r="L301" s="1"/>
      <c r="M301" s="59" t="s">
        <v>7</v>
      </c>
      <c r="N301" s="1"/>
      <c r="O301" s="1"/>
      <c r="P301" s="1"/>
      <c r="Q301" s="59" t="s">
        <v>7</v>
      </c>
      <c r="R301" s="59" t="s">
        <v>7</v>
      </c>
    </row>
    <row r="302" spans="1:20" ht="15.75" customHeight="1" thickBot="1" x14ac:dyDescent="0.35">
      <c r="A302" s="74" t="s">
        <v>287</v>
      </c>
      <c r="B302" s="1"/>
      <c r="C302" s="1"/>
      <c r="D302" s="1"/>
      <c r="E302" s="59">
        <f t="shared" ref="E302" si="107">SUM(B302:D302)</f>
        <v>0</v>
      </c>
      <c r="F302" s="1"/>
      <c r="G302" s="1"/>
      <c r="H302" s="1"/>
      <c r="I302" s="59">
        <f t="shared" ref="I302:I311" si="108">SUM(F302:H302)</f>
        <v>0</v>
      </c>
      <c r="J302" s="1"/>
      <c r="K302" s="1"/>
      <c r="L302" s="1"/>
      <c r="M302" s="59">
        <f t="shared" ref="M302:M311" si="109">SUM(J302:L302)</f>
        <v>0</v>
      </c>
      <c r="N302" s="1"/>
      <c r="O302" s="1"/>
      <c r="P302" s="1"/>
      <c r="Q302" s="59">
        <f t="shared" ref="Q302:Q311" si="110">SUM(N302:P302)</f>
        <v>0</v>
      </c>
      <c r="R302" s="59">
        <f t="shared" ref="R302:R311" si="111">+E302+I302+M302+Q302</f>
        <v>0</v>
      </c>
      <c r="S302" s="4" t="s">
        <v>136</v>
      </c>
    </row>
    <row r="303" spans="1:20" ht="16.5" customHeight="1" thickBot="1" x14ac:dyDescent="0.35">
      <c r="A303" s="62" t="s">
        <v>68</v>
      </c>
      <c r="B303" s="63">
        <f>SUM(B299:B302)</f>
        <v>0</v>
      </c>
      <c r="C303" s="63">
        <f>SUM(C299:C302)</f>
        <v>0</v>
      </c>
      <c r="D303" s="63">
        <f>SUM(D299:D302)</f>
        <v>0</v>
      </c>
      <c r="E303" s="334">
        <f t="shared" ref="E303:E308" si="112">SUM(B303:D303)</f>
        <v>0</v>
      </c>
      <c r="F303" s="63">
        <f>SUM(F299:F302)</f>
        <v>0</v>
      </c>
      <c r="G303" s="63">
        <f>SUM(G299:G302)</f>
        <v>0</v>
      </c>
      <c r="H303" s="63">
        <f>SUM(H299:H302)</f>
        <v>0</v>
      </c>
      <c r="I303" s="334">
        <f t="shared" si="108"/>
        <v>0</v>
      </c>
      <c r="J303" s="63">
        <f>SUM(J299:J302)</f>
        <v>0</v>
      </c>
      <c r="K303" s="63">
        <f>SUM(K299:K302)</f>
        <v>0</v>
      </c>
      <c r="L303" s="63">
        <f>SUM(L299:L302)</f>
        <v>0</v>
      </c>
      <c r="M303" s="334">
        <f t="shared" si="109"/>
        <v>0</v>
      </c>
      <c r="N303" s="63">
        <f>SUM(N299:N302)</f>
        <v>0</v>
      </c>
      <c r="O303" s="63">
        <f>SUM(O299:O302)</f>
        <v>0</v>
      </c>
      <c r="P303" s="63">
        <f>SUM(P299:P302)</f>
        <v>0</v>
      </c>
      <c r="Q303" s="334">
        <f t="shared" si="110"/>
        <v>0</v>
      </c>
      <c r="R303" s="64">
        <f t="shared" si="111"/>
        <v>0</v>
      </c>
    </row>
    <row r="304" spans="1:20" ht="16.5" customHeight="1" thickBot="1" x14ac:dyDescent="0.35">
      <c r="A304" s="62" t="s">
        <v>69</v>
      </c>
      <c r="B304" s="100">
        <f>SUM(B285:B302)</f>
        <v>1335</v>
      </c>
      <c r="C304" s="101">
        <f>SUM(C285:C302)</f>
        <v>1444</v>
      </c>
      <c r="D304" s="101">
        <f>SUM(D285:D302)</f>
        <v>0</v>
      </c>
      <c r="E304" s="64">
        <f t="shared" si="112"/>
        <v>2779</v>
      </c>
      <c r="F304" s="101">
        <f>SUM(F285:F302)</f>
        <v>1616</v>
      </c>
      <c r="G304" s="101">
        <f>SUM(G285:G302)</f>
        <v>1717</v>
      </c>
      <c r="H304" s="101">
        <f>SUM(H285:H302)</f>
        <v>0</v>
      </c>
      <c r="I304" s="64">
        <f t="shared" si="108"/>
        <v>3333</v>
      </c>
      <c r="J304" s="101">
        <f>SUM(J285:J302)</f>
        <v>0</v>
      </c>
      <c r="K304" s="101">
        <f>SUM(K285:K302)</f>
        <v>0</v>
      </c>
      <c r="L304" s="101">
        <f>SUM(L285:L302)</f>
        <v>1853</v>
      </c>
      <c r="M304" s="64">
        <f t="shared" si="109"/>
        <v>1853</v>
      </c>
      <c r="N304" s="101">
        <f>SUM(N285:N302)</f>
        <v>2622</v>
      </c>
      <c r="O304" s="101">
        <f>SUM(O285:O302)</f>
        <v>494</v>
      </c>
      <c r="P304" s="101">
        <f>SUM(P285:P302)</f>
        <v>567</v>
      </c>
      <c r="Q304" s="64">
        <f t="shared" si="110"/>
        <v>3683</v>
      </c>
      <c r="R304" s="64">
        <f t="shared" si="111"/>
        <v>11648</v>
      </c>
    </row>
    <row r="305" spans="1:20" ht="16.5" customHeight="1" thickBot="1" x14ac:dyDescent="0.35">
      <c r="A305" s="62" t="s">
        <v>70</v>
      </c>
      <c r="B305" s="107">
        <f>+B209+B216+B284+B304</f>
        <v>23569</v>
      </c>
      <c r="C305" s="63">
        <f>+C209+C216+C284+C304</f>
        <v>25208</v>
      </c>
      <c r="D305" s="63">
        <f>+D209+D216+D284+D304</f>
        <v>24021</v>
      </c>
      <c r="E305" s="88">
        <f t="shared" si="112"/>
        <v>72798</v>
      </c>
      <c r="F305" s="63">
        <f>+F209+F216+F284+F304</f>
        <v>37918</v>
      </c>
      <c r="G305" s="63">
        <f>+G209+G216+G284+G304</f>
        <v>37232</v>
      </c>
      <c r="H305" s="63">
        <f>+H209+H216+H284+H304</f>
        <v>46271</v>
      </c>
      <c r="I305" s="88">
        <f t="shared" si="108"/>
        <v>121421</v>
      </c>
      <c r="J305" s="63">
        <f>+J209+J216+J284+J304</f>
        <v>47665</v>
      </c>
      <c r="K305" s="63">
        <f>+K209+K216+K284+K304</f>
        <v>44597</v>
      </c>
      <c r="L305" s="63">
        <f>+L209+L216+L284+L304</f>
        <v>43230</v>
      </c>
      <c r="M305" s="88">
        <f t="shared" si="109"/>
        <v>135492</v>
      </c>
      <c r="N305" s="63">
        <f>+N209+N216+N284+N304</f>
        <v>35664</v>
      </c>
      <c r="O305" s="63">
        <f>+O209+O216+O284+O304</f>
        <v>32495</v>
      </c>
      <c r="P305" s="63">
        <f>+P209+P216+P284+P304</f>
        <v>29556</v>
      </c>
      <c r="Q305" s="88">
        <f t="shared" si="110"/>
        <v>97715</v>
      </c>
      <c r="R305" s="88">
        <f t="shared" si="111"/>
        <v>427426</v>
      </c>
    </row>
    <row r="306" spans="1:20" ht="15.75" customHeight="1" x14ac:dyDescent="0.3">
      <c r="A306" s="102" t="s">
        <v>288</v>
      </c>
      <c r="B306" s="1"/>
      <c r="C306" s="1">
        <v>1245</v>
      </c>
      <c r="D306" s="1">
        <v>1376</v>
      </c>
      <c r="E306" s="59">
        <f t="shared" si="112"/>
        <v>2621</v>
      </c>
      <c r="F306" s="1">
        <v>2992</v>
      </c>
      <c r="G306" s="1">
        <v>4839</v>
      </c>
      <c r="H306" s="1">
        <v>3560</v>
      </c>
      <c r="I306" s="59">
        <f t="shared" si="108"/>
        <v>11391</v>
      </c>
      <c r="J306" s="1">
        <v>3753</v>
      </c>
      <c r="K306" s="1">
        <v>2162</v>
      </c>
      <c r="L306" s="1">
        <v>3758</v>
      </c>
      <c r="M306" s="59">
        <f t="shared" si="109"/>
        <v>9673</v>
      </c>
      <c r="N306" s="1">
        <v>742</v>
      </c>
      <c r="O306" s="1">
        <v>4368</v>
      </c>
      <c r="P306" s="1">
        <v>1362</v>
      </c>
      <c r="Q306" s="59">
        <f t="shared" si="110"/>
        <v>6472</v>
      </c>
      <c r="R306" s="59">
        <f t="shared" si="111"/>
        <v>30157</v>
      </c>
      <c r="T306" s="4" t="s">
        <v>121</v>
      </c>
    </row>
    <row r="307" spans="1:20" ht="15.75" customHeight="1" x14ac:dyDescent="0.3">
      <c r="A307" s="108" t="s">
        <v>289</v>
      </c>
      <c r="B307" s="1"/>
      <c r="C307" s="1"/>
      <c r="D307" s="1"/>
      <c r="E307" s="59">
        <f t="shared" si="112"/>
        <v>0</v>
      </c>
      <c r="F307" s="1"/>
      <c r="G307" s="1"/>
      <c r="H307" s="1">
        <v>-2984</v>
      </c>
      <c r="I307" s="59">
        <f t="shared" si="108"/>
        <v>-2984</v>
      </c>
      <c r="J307" s="1">
        <v>-8893</v>
      </c>
      <c r="K307" s="1">
        <v>6441</v>
      </c>
      <c r="L307" s="1">
        <v>4836</v>
      </c>
      <c r="M307" s="59">
        <f t="shared" si="109"/>
        <v>2384</v>
      </c>
      <c r="N307" s="1">
        <v>2905</v>
      </c>
      <c r="O307" s="1">
        <v>10265</v>
      </c>
      <c r="P307" s="1">
        <v>6</v>
      </c>
      <c r="Q307" s="59">
        <f t="shared" si="110"/>
        <v>13176</v>
      </c>
      <c r="R307" s="59">
        <f t="shared" si="111"/>
        <v>12576</v>
      </c>
    </row>
    <row r="308" spans="1:20" ht="15.75" customHeight="1" x14ac:dyDescent="0.3">
      <c r="A308" s="74" t="s">
        <v>290</v>
      </c>
      <c r="B308" s="1"/>
      <c r="C308" s="1"/>
      <c r="D308" s="1"/>
      <c r="E308" s="59">
        <f t="shared" si="112"/>
        <v>0</v>
      </c>
      <c r="F308" s="1"/>
      <c r="G308" s="1"/>
      <c r="H308" s="1"/>
      <c r="I308" s="59">
        <f t="shared" si="108"/>
        <v>0</v>
      </c>
      <c r="J308" s="1"/>
      <c r="K308" s="1"/>
      <c r="L308" s="1"/>
      <c r="M308" s="59">
        <f t="shared" si="109"/>
        <v>0</v>
      </c>
      <c r="N308" s="1"/>
      <c r="O308" s="1"/>
      <c r="P308" s="1"/>
      <c r="Q308" s="59">
        <f t="shared" si="110"/>
        <v>0</v>
      </c>
      <c r="R308" s="59">
        <f t="shared" si="111"/>
        <v>0</v>
      </c>
    </row>
    <row r="309" spans="1:20" ht="15.75" customHeight="1" x14ac:dyDescent="0.3">
      <c r="A309" s="108" t="s">
        <v>291</v>
      </c>
      <c r="B309" s="1">
        <v>36</v>
      </c>
      <c r="C309" s="1">
        <v>25</v>
      </c>
      <c r="D309" s="1">
        <v>24</v>
      </c>
      <c r="E309" s="59">
        <f>SUM(B309:D309)</f>
        <v>85</v>
      </c>
      <c r="F309" s="1">
        <v>69</v>
      </c>
      <c r="G309" s="1">
        <v>187</v>
      </c>
      <c r="H309" s="1">
        <v>137</v>
      </c>
      <c r="I309" s="59">
        <f>SUM(F309:H309)</f>
        <v>393</v>
      </c>
      <c r="J309" s="1">
        <v>67</v>
      </c>
      <c r="K309" s="1">
        <v>48</v>
      </c>
      <c r="L309" s="1">
        <v>86</v>
      </c>
      <c r="M309" s="59">
        <f>SUM(J309:L309)</f>
        <v>201</v>
      </c>
      <c r="N309" s="1">
        <v>28</v>
      </c>
      <c r="O309" s="1">
        <v>65</v>
      </c>
      <c r="P309" s="1">
        <v>34</v>
      </c>
      <c r="Q309" s="59">
        <f>SUM(N309:P309)</f>
        <v>127</v>
      </c>
      <c r="R309" s="59">
        <f t="shared" si="111"/>
        <v>806</v>
      </c>
    </row>
    <row r="310" spans="1:20" ht="15.75" customHeight="1" x14ac:dyDescent="0.3">
      <c r="A310" s="91" t="s">
        <v>292</v>
      </c>
      <c r="B310" s="1">
        <v>42045</v>
      </c>
      <c r="C310" s="1">
        <v>51021</v>
      </c>
      <c r="D310" s="1">
        <v>46045</v>
      </c>
      <c r="E310" s="59">
        <f t="shared" ref="E310" si="113">SUM(B310:D310)</f>
        <v>139111</v>
      </c>
      <c r="F310" s="1">
        <v>10279</v>
      </c>
      <c r="G310" s="1">
        <v>4059</v>
      </c>
      <c r="H310" s="1"/>
      <c r="I310" s="59">
        <f t="shared" ref="I310" si="114">SUM(F310:H310)</f>
        <v>14338</v>
      </c>
      <c r="J310" s="1"/>
      <c r="K310" s="1"/>
      <c r="L310" s="1">
        <v>17967</v>
      </c>
      <c r="M310" s="59">
        <f t="shared" ref="M310" si="115">SUM(J310:L310)</f>
        <v>17967</v>
      </c>
      <c r="N310" s="1">
        <v>94204</v>
      </c>
      <c r="O310" s="1">
        <v>80702</v>
      </c>
      <c r="P310" s="1">
        <v>79076</v>
      </c>
      <c r="Q310" s="59">
        <f t="shared" si="110"/>
        <v>253982</v>
      </c>
      <c r="R310" s="59">
        <f t="shared" si="111"/>
        <v>425398</v>
      </c>
    </row>
    <row r="311" spans="1:20" ht="16.5" customHeight="1" thickBot="1" x14ac:dyDescent="0.35">
      <c r="A311" s="40" t="s">
        <v>37</v>
      </c>
      <c r="B311" s="25">
        <v>104</v>
      </c>
      <c r="C311" s="25">
        <v>268</v>
      </c>
      <c r="D311" s="25">
        <v>474</v>
      </c>
      <c r="E311" s="59">
        <f>SUM(B311:D311)</f>
        <v>846</v>
      </c>
      <c r="F311" s="25">
        <v>647</v>
      </c>
      <c r="G311" s="25">
        <v>742</v>
      </c>
      <c r="H311" s="25">
        <v>781</v>
      </c>
      <c r="I311" s="59">
        <f t="shared" si="108"/>
        <v>2170</v>
      </c>
      <c r="J311" s="25">
        <v>774</v>
      </c>
      <c r="K311" s="25">
        <v>596</v>
      </c>
      <c r="L311" s="25">
        <v>546</v>
      </c>
      <c r="M311" s="59">
        <f t="shared" si="109"/>
        <v>1916</v>
      </c>
      <c r="N311" s="25">
        <v>517</v>
      </c>
      <c r="O311" s="25">
        <v>413</v>
      </c>
      <c r="P311" s="25">
        <v>302</v>
      </c>
      <c r="Q311" s="59">
        <f t="shared" si="110"/>
        <v>1232</v>
      </c>
      <c r="R311" s="59">
        <f t="shared" si="111"/>
        <v>6164</v>
      </c>
    </row>
    <row r="312" spans="1:20" ht="16.5" customHeight="1" thickBot="1" x14ac:dyDescent="0.35">
      <c r="A312" s="80"/>
      <c r="B312" s="81"/>
      <c r="C312" s="81"/>
      <c r="D312" s="81"/>
      <c r="E312" s="334"/>
      <c r="F312" s="81"/>
      <c r="G312" s="81"/>
      <c r="H312" s="81"/>
      <c r="I312" s="64"/>
      <c r="J312" s="81"/>
      <c r="K312" s="81"/>
      <c r="L312" s="81"/>
      <c r="M312" s="64"/>
      <c r="N312" s="81"/>
      <c r="O312" s="81"/>
      <c r="P312" s="81"/>
      <c r="Q312" s="64"/>
      <c r="R312" s="64" t="s">
        <v>7</v>
      </c>
    </row>
    <row r="313" spans="1:20" ht="15.75" customHeight="1" x14ac:dyDescent="0.3">
      <c r="A313" s="335" t="s">
        <v>38</v>
      </c>
      <c r="B313" s="336">
        <f>SUM(B305:B311)</f>
        <v>65754</v>
      </c>
      <c r="C313" s="336">
        <f>SUM(C305:C311)</f>
        <v>77767</v>
      </c>
      <c r="D313" s="336">
        <f>SUM(D305:D311)</f>
        <v>71940</v>
      </c>
      <c r="E313" s="334">
        <f>SUM(B313:D313)</f>
        <v>215461</v>
      </c>
      <c r="F313" s="336">
        <f>SUM(F305:F311)</f>
        <v>51905</v>
      </c>
      <c r="G313" s="336">
        <f>SUM(G305:G311)</f>
        <v>47059</v>
      </c>
      <c r="H313" s="336">
        <f>SUM(H305:H311)</f>
        <v>47765</v>
      </c>
      <c r="I313" s="334">
        <f>SUM(F313:H313)</f>
        <v>146729</v>
      </c>
      <c r="J313" s="336">
        <f>SUM(J305:J311)</f>
        <v>43366</v>
      </c>
      <c r="K313" s="336">
        <f>SUM(K305:K311)</f>
        <v>53844</v>
      </c>
      <c r="L313" s="336">
        <f>SUM(L305:L311)</f>
        <v>70423</v>
      </c>
      <c r="M313" s="334">
        <f>SUM(J313:L313)</f>
        <v>167633</v>
      </c>
      <c r="N313" s="336">
        <f>SUM(N305:N311)</f>
        <v>134060</v>
      </c>
      <c r="O313" s="336">
        <f>SUM(O305:O311)</f>
        <v>128308</v>
      </c>
      <c r="P313" s="336">
        <f>SUM(P305:P311)</f>
        <v>110336</v>
      </c>
      <c r="Q313" s="337">
        <f>SUM(N313:P313)</f>
        <v>372704</v>
      </c>
      <c r="R313" s="334">
        <f>+E313+I313+M313+Q313</f>
        <v>902527</v>
      </c>
    </row>
    <row r="314" spans="1:20" ht="15.75" customHeight="1" x14ac:dyDescent="0.3">
      <c r="A314" s="85" t="s">
        <v>39</v>
      </c>
      <c r="B314" s="1">
        <f>(B313/B10)/1.983</f>
        <v>1069.6403299009321</v>
      </c>
      <c r="C314" s="1">
        <f>(C313/C10)/1.983</f>
        <v>1400.6015416756718</v>
      </c>
      <c r="D314" s="1">
        <f>(D313/D10)/1.983</f>
        <v>1170.2698745790833</v>
      </c>
      <c r="E314" s="59" t="s">
        <v>7</v>
      </c>
      <c r="F314" s="1">
        <f>(F313/F10)/1.983</f>
        <v>872.4995797613044</v>
      </c>
      <c r="G314" s="1">
        <f>(G313/G10)/1.983</f>
        <v>765.52307517121335</v>
      </c>
      <c r="H314" s="1">
        <f>(H313/H10)/1.983</f>
        <v>802.90805177340735</v>
      </c>
      <c r="I314" s="59" t="s">
        <v>7</v>
      </c>
      <c r="J314" s="1">
        <f>(J313/J10)/1.983</f>
        <v>705.44792022513946</v>
      </c>
      <c r="K314" s="1">
        <f>(K313/K10)/1.983</f>
        <v>875.89673515201798</v>
      </c>
      <c r="L314" s="1">
        <f>(L313/L10)/1.983</f>
        <v>1183.7787863506471</v>
      </c>
      <c r="M314" s="59" t="s">
        <v>7</v>
      </c>
      <c r="N314" s="1">
        <f>(N313/N10)/1.983</f>
        <v>2180.7948204902968</v>
      </c>
      <c r="O314" s="1">
        <f>(O313/O10)/1.983</f>
        <v>2156.7994620944696</v>
      </c>
      <c r="P314" s="1">
        <f>(P313/P10)/1.983</f>
        <v>1794.8692922095877</v>
      </c>
      <c r="Q314" s="110" t="s">
        <v>7</v>
      </c>
      <c r="R314" s="59" t="s">
        <v>7</v>
      </c>
    </row>
    <row r="315" spans="1:20" ht="15.75" customHeight="1" x14ac:dyDescent="0.3">
      <c r="A315" s="85" t="s">
        <v>293</v>
      </c>
      <c r="B315" s="1">
        <f>(+B313+B485)+B322</f>
        <v>88667</v>
      </c>
      <c r="C315" s="1">
        <f>(+C313+C485)+C322</f>
        <v>105580</v>
      </c>
      <c r="D315" s="1">
        <f>(+D313+D485)+D322</f>
        <v>133800</v>
      </c>
      <c r="E315" s="59">
        <f>SUM(B315:D315)</f>
        <v>328047</v>
      </c>
      <c r="F315" s="1">
        <f>(+F313+F485)+F322</f>
        <v>162267</v>
      </c>
      <c r="G315" s="1">
        <f>(+G313+G485)+G322</f>
        <v>172030</v>
      </c>
      <c r="H315" s="1">
        <f>(+H313+H485)+H322</f>
        <v>84340</v>
      </c>
      <c r="I315" s="59">
        <f>SUM(F315:H315)</f>
        <v>418637</v>
      </c>
      <c r="J315" s="1">
        <f>(+J313+J485)+J322</f>
        <v>70991</v>
      </c>
      <c r="K315" s="1">
        <f>(+K313+K485)+K322</f>
        <v>20509</v>
      </c>
      <c r="L315" s="1">
        <f>(+L313+L485)+L322</f>
        <v>159695</v>
      </c>
      <c r="M315" s="59">
        <f>SUM(J315:L315)</f>
        <v>251195</v>
      </c>
      <c r="N315" s="1">
        <f>(+N313+N485)+N322</f>
        <v>173627</v>
      </c>
      <c r="O315" s="1">
        <f>(+O313+O485)+O322</f>
        <v>167679</v>
      </c>
      <c r="P315" s="1">
        <f>(+P313+P485)+P322</f>
        <v>139832</v>
      </c>
      <c r="Q315" s="110">
        <f>SUM(N315:P315)</f>
        <v>481138</v>
      </c>
      <c r="R315" s="59">
        <f>+E315+I315+M315+Q315</f>
        <v>1479017</v>
      </c>
    </row>
    <row r="316" spans="1:20" ht="16.5" customHeight="1" thickBot="1" x14ac:dyDescent="0.35">
      <c r="A316" s="86" t="s">
        <v>294</v>
      </c>
      <c r="B316" s="87">
        <f>(B315/B10)/1.983</f>
        <v>1442.3730743578481</v>
      </c>
      <c r="C316" s="87">
        <f>(C315/C10)/1.983</f>
        <v>1901.5200633960089</v>
      </c>
      <c r="D316" s="87">
        <f>(D315/D10)/1.983</f>
        <v>2176.565321360597</v>
      </c>
      <c r="E316" s="88" t="s">
        <v>7</v>
      </c>
      <c r="F316" s="87">
        <f>(F315/F10)/1.983</f>
        <v>2727.6348966212804</v>
      </c>
      <c r="G316" s="87">
        <f>(G315/G10)/1.983</f>
        <v>2798.4643664698319</v>
      </c>
      <c r="H316" s="87">
        <f>(H315/H10)/1.983</f>
        <v>1417.7172634056144</v>
      </c>
      <c r="I316" s="88" t="s">
        <v>7</v>
      </c>
      <c r="J316" s="87">
        <f>(J315/J10)/1.983</f>
        <v>1154.8322027556812</v>
      </c>
      <c r="K316" s="87">
        <f>(K315/K10)/1.983</f>
        <v>333.62614481154327</v>
      </c>
      <c r="L316" s="87">
        <f>(L315/L10)/1.983</f>
        <v>2684.4007396201041</v>
      </c>
      <c r="M316" s="88" t="s">
        <v>7</v>
      </c>
      <c r="N316" s="87">
        <f>(N315/N10)/1.983</f>
        <v>2824.4432515087924</v>
      </c>
      <c r="O316" s="87">
        <f>(O315/O10)/1.983</f>
        <v>2818.6081694402419</v>
      </c>
      <c r="P316" s="87">
        <f>(P315/P10)/1.983</f>
        <v>2274.6897011696192</v>
      </c>
      <c r="Q316" s="111" t="s">
        <v>7</v>
      </c>
      <c r="R316" s="88" t="s">
        <v>7</v>
      </c>
    </row>
    <row r="317" spans="1:20" ht="16.5" customHeight="1" thickBot="1" x14ac:dyDescent="0.35">
      <c r="A317" s="112" t="s">
        <v>295</v>
      </c>
      <c r="B317" s="113">
        <f>+(B315-(B141+B142+B143+B144+B147+B148+B149+B152+B153+B154+B158+B160++B166+B167+B169+B170+B172+B173+B174+B175+B176+B185+B186+B187+B198+B203+B205+B206+B213+B220+B221+B223+B224+B225+B230+B238+B240+B241+B242+B243+B245+B246+B247+B255+B264+B265+B268+B288+B289+B291+B292+B295+B296+B300+B306+B310+B318)-B322)/(B10*1.983)</f>
        <v>764.56330421485848</v>
      </c>
      <c r="C317" s="113">
        <f>+(C315-(C141+C142+C143+C144+C147+C148+C149+C152+C153+C154+C158+C160++C166+C167+C169+C170+C172+C173+C174+C175+C176+C185+C186+C187+C198+C203+C205+C206+C213+C220+C221+C223+C224+C225+C230+C238+C240+C241+C242+C243+C245+C246+C247+C255+C264+C265+C268+C288+C289+C291+C292+C295+C296+C300+C306+C310+C318)-C322)/(C10*1.983)</f>
        <v>1096.8770261508537</v>
      </c>
      <c r="D317" s="113">
        <f>+(D315-(D141+D142+D143+D144+D147+D148+D149+D152+D153+D154+D158+D160++D166+D167+D169+D170+D172+D173+D174+D175+D176+D185+D186+D187+D198+D203+D205+D206+D213+D220+D221+D223+D224+D225+D230+D238+D240+D241+D242+D243+D245+D246+D247+D255+D264+D265+D268+D288+D289+D291+D292+D295+D296+D300+D306+D310+D318)-D322)/(D10*1.983)</f>
        <v>1566.0533892928602</v>
      </c>
      <c r="E317" s="114"/>
      <c r="F317" s="113">
        <f>+(F315-(F141+F142+F143+F144+F147+F148+F149+F152+F153+F154+F158+F160++F166+F167+F169+F170+F172+F173+F174+F175+F176+F185+F186+F187+F198+F203+F205+F206+F213+F220+F221+F223+F224+F225+F230+F238+F240+F241+F242+F243+F245+F246+F247+F255+F264+F265+F268+F288+F289+F291+F292+F295+F296+F300+F306+F310+F318)-F322)/(F10*1.983)</f>
        <v>2415.9522608841821</v>
      </c>
      <c r="G317" s="113">
        <f>+(G315-(G141+G142+G143+G144+G147+G148+G149+G152+G153+G154+G158+G160++G166+G167+G169+G170+G172+G173+G174+G175+G176+G185+G186+G187+G198+G203+G205+G206+G213+G220+G221+G223+G224+G225+G230+G238+G240+G241+G242+G243+G245+G246+G247+G255+G264+G265+G268+G288+G289+G291+G292+G295+G296+G300+G306+G310+G318)-G322)/(G10*1.983)</f>
        <v>2602.7036259821384</v>
      </c>
      <c r="H317" s="113">
        <f>+(H315-(H141+H142+H143+H144+H147+H148+H149+H152+H153+H154+H158+H160++H166+H167+H169+H170+H172+H173+H174+H175+H176+H185+H186+H187+H198+H203+H205+H206+H213+H220+H221+H223+H224+H225+H230+H238+H240+H241+H242+H243+H245+H246+H247+H255+H264+H265+H268+H288+H289+H291+H292+H295+H296+H300+H306+H310+H318)-H322)/(H10*1.983)</f>
        <v>3009.4469658766179</v>
      </c>
      <c r="I317" s="114"/>
      <c r="J317" s="113">
        <f>+(J315-(J141+J142+J143+J144+J147+J148+J149+J152+J153+J154+J158+J160++J166+J167+J169+J170+J172+J173+J174+J175+J176+J185+J186+J187+J198+J203+J205+J206+J213+J220+J221+J223+J224+J225+J230+J238+J240+J241+J242+J243+J245+J246+J247+J255+J264+J265+J268+J288+J289+J291+J292+J295+J296+J300+J306+J310+J318)-J322)/(J10*1.983)</f>
        <v>2919.6883184487497</v>
      </c>
      <c r="K317" s="113">
        <f>+(K315-(K141+K142+K143+K144+K147+K148+K149+K152+K153+K154+K158+K160++K166+K167+K169+K170+K172+K173+K174+K175+K176+K185+K186+K187+K198+K203+K205+K206+K213+K220+K221+K223+K224+K225+K230+K238+K240+K241+K242+K243+K245+K246+K247+K255+K264+K265+K268+K288+K289+K291+K292+K295+K296+K300+K306+K310+K318)-K322)/(K10*1.983)</f>
        <v>2784.1654059505795</v>
      </c>
      <c r="L317" s="113">
        <f>+(L315-(L141+L142+L143+L144+L147+L148+L149+L152+L153+L154+L158+L160++L166+L167+L169+L170+L172+L173+L174+L175+L176+L185+L186+L187+L198+L203+L205+L206+L213+L220+L221+L223+L224+L225+L230+L238+L240+L241+L242+L243+L245+L246+L247+L255+L264+L265+L268+L288+L289+L291+L292+L295+L296+L300+L306+L310+L318)-L322)/(L10*1.983)</f>
        <v>2334.2242393679608</v>
      </c>
      <c r="M317" s="114"/>
      <c r="N317" s="113">
        <f>+(N315-(N141+N142+N143+N144+N147+N148+N149+N152+N153+N154+N158+N160++N166+N167+N169+N170+N172+N173+N174+N175+N176+N185+N186+N187+N198+N203+N205+N206+N213+N220+N221+N223+N224+N225+N230+N238+N240+N241+N242+N243+N245+N246+N247+N255+N264+N265+N268+N288+N289+N291+N292+N295+N296+N300+N306+N310+N318)-N322)/(N10*1.983)</f>
        <v>1153.5308184080816</v>
      </c>
      <c r="O317" s="113">
        <f>+(O315-(O141+O142+O143+O144+O147+O148+O149+O152+O153+O154+O158+O160++O166+O167+O169+O170+O172+O173+O174+O175+O176+O185+O186+O187+O198+O203+O205+O206+O213+O220+O221+O223+O224+O225+O230+O238+O240+O241+O242+O243+O245+O246+O247+O255+O264+O265+O268+O288+O289+O291+O292+O295+O296+O300+O306+O310+O318)-O322)/(O10*1.983)</f>
        <v>1289.0906034627669</v>
      </c>
      <c r="P317" s="113">
        <f>+(P315-(P141+P142+P143+P144+P147+P148+P149+P152+P153+P154+P158+P160++P166+P167+P169+P170+P172+P173+P174+P175+P176+P185+P186+P187+P198+P203+P205+P206+P213+P220+P221+P223+P224+P225+P230+P238+P240+P241+P242+P243+P245+P246+P247+P255+P264+P265+P268+P288+P289+P291+P292+P295+P296+P300+P306+P310+P318)-P322)/(P10*1.983)</f>
        <v>918.58214175328999</v>
      </c>
      <c r="Q317" s="115"/>
      <c r="R317" s="114"/>
    </row>
    <row r="318" spans="1:20" ht="15.75" customHeight="1" x14ac:dyDescent="0.3">
      <c r="A318" s="116" t="s">
        <v>296</v>
      </c>
      <c r="B318" s="1"/>
      <c r="C318" s="1"/>
      <c r="D318" s="1"/>
      <c r="E318" s="1"/>
      <c r="F318" s="1"/>
      <c r="G318" s="1"/>
      <c r="H318" s="1"/>
      <c r="I318" s="1"/>
      <c r="J318" s="1"/>
      <c r="K318" s="1"/>
      <c r="L318" s="1"/>
      <c r="M318" s="1"/>
      <c r="N318" s="1"/>
      <c r="O318" s="1"/>
      <c r="P318" s="1"/>
      <c r="Q318" s="1"/>
      <c r="R318" s="28"/>
    </row>
    <row r="319" spans="1:20" ht="15.75" customHeight="1" thickBot="1" x14ac:dyDescent="0.35">
      <c r="A319" s="30"/>
      <c r="B319" s="1"/>
      <c r="C319" s="1"/>
      <c r="D319" s="1"/>
      <c r="E319" s="1"/>
      <c r="F319" s="1"/>
      <c r="G319" s="1"/>
      <c r="H319" s="1"/>
      <c r="I319" s="1"/>
      <c r="J319" s="1"/>
      <c r="K319" s="1"/>
      <c r="L319" s="1"/>
      <c r="M319" s="1"/>
      <c r="N319" s="1"/>
      <c r="O319" s="1"/>
      <c r="P319" s="1"/>
      <c r="Q319" s="1"/>
      <c r="R319" s="28"/>
    </row>
    <row r="320" spans="1:20" ht="16.5" customHeight="1" thickBot="1" x14ac:dyDescent="0.35">
      <c r="A320" s="31" t="s">
        <v>297</v>
      </c>
      <c r="B320" s="323" t="s">
        <v>36</v>
      </c>
      <c r="C320" s="324" t="s">
        <v>9</v>
      </c>
      <c r="D320" s="324" t="s">
        <v>10</v>
      </c>
      <c r="E320" s="325" t="s">
        <v>11</v>
      </c>
      <c r="F320" s="324" t="s">
        <v>12</v>
      </c>
      <c r="G320" s="324" t="s">
        <v>13</v>
      </c>
      <c r="H320" s="324" t="s">
        <v>14</v>
      </c>
      <c r="I320" s="34" t="s">
        <v>15</v>
      </c>
      <c r="J320" s="324" t="s">
        <v>16</v>
      </c>
      <c r="K320" s="324" t="s">
        <v>17</v>
      </c>
      <c r="L320" s="324" t="s">
        <v>18</v>
      </c>
      <c r="M320" s="34" t="s">
        <v>19</v>
      </c>
      <c r="N320" s="324" t="s">
        <v>20</v>
      </c>
      <c r="O320" s="324" t="s">
        <v>21</v>
      </c>
      <c r="P320" s="324" t="s">
        <v>22</v>
      </c>
      <c r="Q320" s="34" t="s">
        <v>23</v>
      </c>
      <c r="R320" s="326" t="s">
        <v>24</v>
      </c>
    </row>
    <row r="321" spans="1:20" ht="16.5" customHeight="1" thickBot="1" x14ac:dyDescent="0.35">
      <c r="A321" s="80"/>
      <c r="B321" s="81"/>
      <c r="C321" s="81"/>
      <c r="D321" s="81"/>
      <c r="E321" s="89"/>
      <c r="F321" s="81"/>
      <c r="G321" s="81"/>
      <c r="H321" s="81"/>
      <c r="I321" s="89"/>
      <c r="J321" s="81"/>
      <c r="K321" s="81"/>
      <c r="L321" s="81"/>
      <c r="M321" s="89"/>
      <c r="N321" s="81"/>
      <c r="O321" s="81"/>
      <c r="P321" s="81"/>
      <c r="Q321" s="89"/>
      <c r="R321" s="117"/>
    </row>
    <row r="322" spans="1:20" ht="15.75" customHeight="1" thickBot="1" x14ac:dyDescent="0.35">
      <c r="A322" s="74" t="s">
        <v>298</v>
      </c>
      <c r="B322" s="1">
        <v>-4721</v>
      </c>
      <c r="C322" s="1">
        <v>-14510</v>
      </c>
      <c r="D322" s="1">
        <v>-18985</v>
      </c>
      <c r="E322" s="59">
        <f>SUM(B322:D322)</f>
        <v>-38216</v>
      </c>
      <c r="F322" s="1">
        <v>-6618</v>
      </c>
      <c r="G322" s="1">
        <v>-4883</v>
      </c>
      <c r="H322" s="1">
        <v>-106895</v>
      </c>
      <c r="I322" s="59">
        <f>SUM(F322:H322)</f>
        <v>-118396</v>
      </c>
      <c r="J322" s="1">
        <v>-118035</v>
      </c>
      <c r="K322" s="1">
        <v>-157144</v>
      </c>
      <c r="L322" s="1">
        <v>-7983</v>
      </c>
      <c r="M322" s="59">
        <f>SUM(J322:L322)</f>
        <v>-283162</v>
      </c>
      <c r="N322" s="1"/>
      <c r="O322" s="1">
        <v>-109</v>
      </c>
      <c r="P322" s="1"/>
      <c r="Q322" s="59">
        <f>SUM(N322:P322)</f>
        <v>-109</v>
      </c>
      <c r="R322" s="59">
        <f>+E322+I322+M322+Q322</f>
        <v>-439883</v>
      </c>
    </row>
    <row r="323" spans="1:20" ht="16.5" customHeight="1" thickBot="1" x14ac:dyDescent="0.35">
      <c r="A323" s="338"/>
      <c r="B323" s="339"/>
      <c r="C323" s="339"/>
      <c r="D323" s="339"/>
      <c r="E323" s="340"/>
      <c r="F323" s="339"/>
      <c r="G323" s="339"/>
      <c r="H323" s="339"/>
      <c r="I323" s="340"/>
      <c r="J323" s="339"/>
      <c r="K323" s="339"/>
      <c r="L323" s="339"/>
      <c r="M323" s="340"/>
      <c r="N323" s="339"/>
      <c r="O323" s="339"/>
      <c r="P323" s="339"/>
      <c r="Q323" s="340"/>
      <c r="R323" s="341"/>
    </row>
    <row r="324" spans="1:20" ht="15.75" customHeight="1" x14ac:dyDescent="0.3">
      <c r="A324" s="17" t="s">
        <v>32</v>
      </c>
      <c r="B324" s="1">
        <f>B322</f>
        <v>-4721</v>
      </c>
      <c r="C324" s="1">
        <f>C322</f>
        <v>-14510</v>
      </c>
      <c r="D324" s="1">
        <f>D322</f>
        <v>-18985</v>
      </c>
      <c r="E324" s="59">
        <f>SUM(B324:D324)</f>
        <v>-38216</v>
      </c>
      <c r="F324" s="1">
        <f>F322</f>
        <v>-6618</v>
      </c>
      <c r="G324" s="1">
        <f>G322</f>
        <v>-4883</v>
      </c>
      <c r="H324" s="1">
        <f>H322</f>
        <v>-106895</v>
      </c>
      <c r="I324" s="59">
        <f>SUM(F324:H324)</f>
        <v>-118396</v>
      </c>
      <c r="J324" s="1">
        <f>J322</f>
        <v>-118035</v>
      </c>
      <c r="K324" s="1">
        <f>K322</f>
        <v>-157144</v>
      </c>
      <c r="L324" s="1">
        <f>L322</f>
        <v>-7983</v>
      </c>
      <c r="M324" s="59">
        <f>SUM(J324:L324)</f>
        <v>-283162</v>
      </c>
      <c r="N324" s="1">
        <f>N322</f>
        <v>0</v>
      </c>
      <c r="O324" s="1">
        <f>O322</f>
        <v>-109</v>
      </c>
      <c r="P324" s="1">
        <f>P322</f>
        <v>0</v>
      </c>
      <c r="Q324" s="59">
        <f>SUM(N324:P324)</f>
        <v>-109</v>
      </c>
      <c r="R324" s="122">
        <f>R322</f>
        <v>-439883</v>
      </c>
    </row>
    <row r="325" spans="1:20" ht="16.5" customHeight="1" thickBot="1" x14ac:dyDescent="0.35">
      <c r="A325" s="24" t="s">
        <v>39</v>
      </c>
      <c r="B325" s="25">
        <f>(B324/B10)/1.983</f>
        <v>-76.797943812730779</v>
      </c>
      <c r="C325" s="25">
        <f>(C324/C10)/1.983</f>
        <v>-261.32843455082485</v>
      </c>
      <c r="D325" s="25">
        <f>(D324/D10)/1.983</f>
        <v>-308.83477298976783</v>
      </c>
      <c r="E325" s="88"/>
      <c r="F325" s="25">
        <f>(F324/F10)/1.983</f>
        <v>-111.24558749369641</v>
      </c>
      <c r="G325" s="25">
        <f>(G324/G10)/1.983</f>
        <v>-79.433247116620308</v>
      </c>
      <c r="H325" s="25">
        <f>(H324/H10)/1.983</f>
        <v>-1796.8566145570683</v>
      </c>
      <c r="I325" s="88"/>
      <c r="J325" s="25">
        <f>(J324/J10)/1.983</f>
        <v>-1920.1112683617196</v>
      </c>
      <c r="K325" s="25">
        <f>(K324/K10)/1.983</f>
        <v>-2556.3092739902067</v>
      </c>
      <c r="L325" s="25">
        <f>(L324/L10)/1.983</f>
        <v>-134.19062027231467</v>
      </c>
      <c r="M325" s="88"/>
      <c r="N325" s="25">
        <f>(N324/N10)/1.983</f>
        <v>0</v>
      </c>
      <c r="O325" s="25">
        <f>(O324/O10)/1.983</f>
        <v>-1.8322407127248277</v>
      </c>
      <c r="P325" s="25">
        <f>(P324/P10)/1.983</f>
        <v>0</v>
      </c>
      <c r="Q325" s="88"/>
      <c r="R325" s="117" t="s">
        <v>7</v>
      </c>
    </row>
    <row r="326" spans="1:20" ht="15.75" customHeight="1" x14ac:dyDescent="0.3">
      <c r="A326" s="28"/>
      <c r="B326" s="1"/>
      <c r="C326" s="1"/>
      <c r="D326" s="1"/>
      <c r="E326" s="1"/>
      <c r="F326" s="1"/>
      <c r="G326" s="1"/>
      <c r="H326" s="1"/>
      <c r="I326" s="1"/>
      <c r="J326" s="1"/>
      <c r="K326" s="1"/>
      <c r="L326" s="1"/>
      <c r="M326" s="1"/>
      <c r="N326" s="1"/>
      <c r="O326" s="1"/>
      <c r="P326" s="1"/>
      <c r="Q326" s="1"/>
      <c r="R326" s="28"/>
    </row>
    <row r="327" spans="1:20" ht="16.5" customHeight="1" thickBot="1" x14ac:dyDescent="0.35">
      <c r="A327" s="123"/>
      <c r="B327" s="25"/>
      <c r="C327" s="25"/>
      <c r="D327" s="25"/>
      <c r="E327" s="25"/>
      <c r="F327" s="25"/>
      <c r="G327" s="25"/>
      <c r="H327" s="25"/>
      <c r="I327" s="25"/>
      <c r="J327" s="25"/>
      <c r="K327" s="25"/>
      <c r="L327" s="25"/>
      <c r="M327" s="25"/>
      <c r="N327" s="25"/>
      <c r="O327" s="25"/>
      <c r="P327" s="25"/>
      <c r="Q327" s="25"/>
      <c r="R327" s="123"/>
    </row>
    <row r="328" spans="1:20" ht="16.5" customHeight="1" thickBot="1" x14ac:dyDescent="0.35">
      <c r="A328" s="342" t="s">
        <v>299</v>
      </c>
      <c r="B328" s="323" t="s">
        <v>36</v>
      </c>
      <c r="C328" s="324" t="s">
        <v>9</v>
      </c>
      <c r="D328" s="324" t="s">
        <v>10</v>
      </c>
      <c r="E328" s="325" t="s">
        <v>11</v>
      </c>
      <c r="F328" s="324" t="s">
        <v>12</v>
      </c>
      <c r="G328" s="324" t="s">
        <v>13</v>
      </c>
      <c r="H328" s="324" t="s">
        <v>14</v>
      </c>
      <c r="I328" s="34" t="s">
        <v>15</v>
      </c>
      <c r="J328" s="324" t="s">
        <v>16</v>
      </c>
      <c r="K328" s="324" t="s">
        <v>17</v>
      </c>
      <c r="L328" s="324" t="s">
        <v>18</v>
      </c>
      <c r="M328" s="34" t="s">
        <v>19</v>
      </c>
      <c r="N328" s="324" t="s">
        <v>20</v>
      </c>
      <c r="O328" s="324" t="s">
        <v>21</v>
      </c>
      <c r="P328" s="324" t="s">
        <v>22</v>
      </c>
      <c r="Q328" s="34" t="s">
        <v>23</v>
      </c>
      <c r="R328" s="326" t="s">
        <v>24</v>
      </c>
    </row>
    <row r="329" spans="1:20" ht="16.5" customHeight="1" thickBot="1" x14ac:dyDescent="0.35">
      <c r="A329" s="64"/>
      <c r="B329" s="81"/>
      <c r="C329" s="81"/>
      <c r="D329" s="81"/>
      <c r="E329" s="72"/>
      <c r="F329" s="81"/>
      <c r="G329" s="81"/>
      <c r="H329" s="81"/>
      <c r="I329" s="89"/>
      <c r="J329" s="81"/>
      <c r="K329" s="81"/>
      <c r="L329" s="81"/>
      <c r="M329" s="89"/>
      <c r="N329" s="81"/>
      <c r="O329" s="81"/>
      <c r="P329" s="81"/>
      <c r="Q329" s="89"/>
      <c r="R329" s="122"/>
    </row>
    <row r="330" spans="1:20" ht="15.75" customHeight="1" x14ac:dyDescent="0.3">
      <c r="A330" s="17" t="s">
        <v>45</v>
      </c>
      <c r="B330" s="1"/>
      <c r="C330" s="1"/>
      <c r="D330" s="1"/>
      <c r="E330" s="59" t="s">
        <v>7</v>
      </c>
      <c r="F330" s="1" t="s">
        <v>7</v>
      </c>
      <c r="G330" s="1" t="s">
        <v>7</v>
      </c>
      <c r="H330" s="1" t="s">
        <v>7</v>
      </c>
      <c r="I330" s="59" t="s">
        <v>7</v>
      </c>
      <c r="J330" s="1" t="s">
        <v>7</v>
      </c>
      <c r="K330" s="1" t="s">
        <v>7</v>
      </c>
      <c r="L330" s="1" t="s">
        <v>7</v>
      </c>
      <c r="M330" s="59" t="s">
        <v>7</v>
      </c>
      <c r="N330" s="1" t="s">
        <v>7</v>
      </c>
      <c r="O330" s="1" t="s">
        <v>7</v>
      </c>
      <c r="P330" s="1" t="s">
        <v>7</v>
      </c>
      <c r="Q330" s="59" t="s">
        <v>7</v>
      </c>
      <c r="R330" s="334" t="s">
        <v>7</v>
      </c>
    </row>
    <row r="331" spans="1:20" ht="15.75" customHeight="1" x14ac:dyDescent="0.3">
      <c r="A331" s="17" t="s">
        <v>46</v>
      </c>
      <c r="B331" s="1"/>
      <c r="C331" s="1"/>
      <c r="D331" s="1"/>
      <c r="E331" s="59" t="s">
        <v>7</v>
      </c>
      <c r="F331" s="1"/>
      <c r="G331" s="1"/>
      <c r="H331" s="1"/>
      <c r="I331" s="59" t="s">
        <v>7</v>
      </c>
      <c r="J331" s="1"/>
      <c r="K331" s="1"/>
      <c r="L331" s="1"/>
      <c r="M331" s="59" t="s">
        <v>7</v>
      </c>
      <c r="N331" s="1"/>
      <c r="O331" s="1"/>
      <c r="P331" s="1"/>
      <c r="Q331" s="59" t="s">
        <v>7</v>
      </c>
      <c r="R331" s="59" t="s">
        <v>7</v>
      </c>
    </row>
    <row r="332" spans="1:20" ht="15.75" customHeight="1" x14ac:dyDescent="0.3">
      <c r="A332" s="76" t="s">
        <v>300</v>
      </c>
      <c r="B332" s="1"/>
      <c r="C332" s="1"/>
      <c r="D332" s="1"/>
      <c r="E332" s="59">
        <f t="shared" ref="E332:E358" si="116">SUM(B332:D332)</f>
        <v>0</v>
      </c>
      <c r="F332" s="1"/>
      <c r="G332" s="1">
        <v>108</v>
      </c>
      <c r="H332" s="1">
        <v>122</v>
      </c>
      <c r="I332" s="59">
        <f t="shared" ref="I332:I358" si="117">SUM(F332:H332)</f>
        <v>230</v>
      </c>
      <c r="J332" s="1">
        <f>104+2+4</f>
        <v>110</v>
      </c>
      <c r="K332" s="1">
        <f>120+1</f>
        <v>121</v>
      </c>
      <c r="L332" s="1">
        <f>104+2</f>
        <v>106</v>
      </c>
      <c r="M332" s="59">
        <f t="shared" ref="M332:M358" si="118">SUM(J332:L332)</f>
        <v>337</v>
      </c>
      <c r="N332" s="1">
        <v>67</v>
      </c>
      <c r="O332" s="1">
        <f>82+1</f>
        <v>83</v>
      </c>
      <c r="P332" s="1">
        <f>108+1</f>
        <v>109</v>
      </c>
      <c r="Q332" s="59">
        <f t="shared" ref="Q332:Q361" si="119">SUM(N332:P332)</f>
        <v>259</v>
      </c>
      <c r="R332" s="59">
        <f t="shared" ref="R332:R361" si="120">+E332+I332+M332+Q332</f>
        <v>826</v>
      </c>
      <c r="T332" s="4" t="s">
        <v>301</v>
      </c>
    </row>
    <row r="333" spans="1:20" ht="15.75" customHeight="1" x14ac:dyDescent="0.3">
      <c r="A333" s="76" t="s">
        <v>303</v>
      </c>
      <c r="B333" s="1"/>
      <c r="C333" s="1"/>
      <c r="D333" s="1"/>
      <c r="E333" s="59">
        <f t="shared" si="116"/>
        <v>0</v>
      </c>
      <c r="F333" s="1"/>
      <c r="G333" s="1">
        <v>34</v>
      </c>
      <c r="H333" s="1"/>
      <c r="I333" s="59">
        <f t="shared" si="117"/>
        <v>34</v>
      </c>
      <c r="J333" s="1"/>
      <c r="K333" s="1"/>
      <c r="L333" s="1"/>
      <c r="M333" s="59">
        <f t="shared" si="118"/>
        <v>0</v>
      </c>
      <c r="N333" s="1"/>
      <c r="O333" s="1"/>
      <c r="P333" s="1"/>
      <c r="Q333" s="59">
        <f t="shared" si="119"/>
        <v>0</v>
      </c>
      <c r="R333" s="59">
        <f t="shared" si="120"/>
        <v>34</v>
      </c>
    </row>
    <row r="334" spans="1:20" ht="15.75" customHeight="1" x14ac:dyDescent="0.3">
      <c r="A334" s="76" t="s">
        <v>304</v>
      </c>
      <c r="B334" s="1">
        <v>38</v>
      </c>
      <c r="C334" s="1">
        <v>76</v>
      </c>
      <c r="D334" s="1">
        <v>96</v>
      </c>
      <c r="E334" s="59">
        <f t="shared" si="116"/>
        <v>210</v>
      </c>
      <c r="F334" s="1">
        <v>285</v>
      </c>
      <c r="G334" s="1">
        <v>307</v>
      </c>
      <c r="H334" s="1">
        <v>346</v>
      </c>
      <c r="I334" s="59">
        <f t="shared" si="117"/>
        <v>938</v>
      </c>
      <c r="J334" s="1">
        <v>334</v>
      </c>
      <c r="K334" s="1">
        <v>264</v>
      </c>
      <c r="L334" s="1">
        <v>286</v>
      </c>
      <c r="M334" s="59">
        <f t="shared" si="118"/>
        <v>884</v>
      </c>
      <c r="N334" s="1">
        <v>250</v>
      </c>
      <c r="O334" s="1">
        <v>177</v>
      </c>
      <c r="P334" s="1">
        <v>63</v>
      </c>
      <c r="Q334" s="59">
        <f t="shared" si="119"/>
        <v>490</v>
      </c>
      <c r="R334" s="59">
        <f t="shared" si="120"/>
        <v>2522</v>
      </c>
      <c r="T334" s="4" t="s">
        <v>305</v>
      </c>
    </row>
    <row r="335" spans="1:20" ht="15.75" customHeight="1" x14ac:dyDescent="0.3">
      <c r="A335" s="76" t="s">
        <v>306</v>
      </c>
      <c r="B335" s="1"/>
      <c r="C335" s="1"/>
      <c r="D335" s="1"/>
      <c r="E335" s="59">
        <f>SUM(B335:D335)</f>
        <v>0</v>
      </c>
      <c r="F335" s="1"/>
      <c r="G335" s="1"/>
      <c r="H335" s="1"/>
      <c r="I335" s="59">
        <f t="shared" ref="I335" si="121">SUM(F335:H335)</f>
        <v>0</v>
      </c>
      <c r="J335" s="1"/>
      <c r="K335" s="1"/>
      <c r="L335" s="1"/>
      <c r="M335" s="59">
        <f t="shared" ref="M335" si="122">SUM(J335:L335)</f>
        <v>0</v>
      </c>
      <c r="N335" s="1"/>
      <c r="O335" s="1"/>
      <c r="P335" s="1"/>
      <c r="Q335" s="59">
        <f t="shared" ref="Q335" si="123">SUM(N335:P335)</f>
        <v>0</v>
      </c>
      <c r="R335" s="59">
        <f t="shared" si="120"/>
        <v>0</v>
      </c>
      <c r="T335" s="4" t="s">
        <v>307</v>
      </c>
    </row>
    <row r="336" spans="1:20" ht="15.75" customHeight="1" x14ac:dyDescent="0.3">
      <c r="A336" s="76" t="s">
        <v>308</v>
      </c>
      <c r="B336" s="1"/>
      <c r="C336" s="1"/>
      <c r="D336" s="1"/>
      <c r="E336" s="59">
        <f t="shared" si="116"/>
        <v>0</v>
      </c>
      <c r="F336" s="1"/>
      <c r="G336" s="1"/>
      <c r="H336" s="1">
        <v>300</v>
      </c>
      <c r="I336" s="59">
        <f t="shared" si="117"/>
        <v>300</v>
      </c>
      <c r="J336" s="1"/>
      <c r="K336" s="1"/>
      <c r="L336" s="1"/>
      <c r="M336" s="59">
        <f t="shared" si="118"/>
        <v>0</v>
      </c>
      <c r="N336" s="1"/>
      <c r="O336" s="1"/>
      <c r="P336" s="1"/>
      <c r="Q336" s="59">
        <f t="shared" si="119"/>
        <v>0</v>
      </c>
      <c r="R336" s="59">
        <f t="shared" si="120"/>
        <v>300</v>
      </c>
      <c r="T336" s="4" t="s">
        <v>307</v>
      </c>
    </row>
    <row r="337" spans="1:20" ht="15.75" customHeight="1" x14ac:dyDescent="0.3">
      <c r="A337" s="76" t="s">
        <v>309</v>
      </c>
      <c r="C337" s="1"/>
      <c r="D337" s="1"/>
      <c r="E337" s="59">
        <f>SUM(B337:D337)</f>
        <v>0</v>
      </c>
      <c r="F337" s="1"/>
      <c r="G337" s="1"/>
      <c r="H337" s="1">
        <v>2250</v>
      </c>
      <c r="I337" s="59">
        <f>SUM(F337:H337)</f>
        <v>2250</v>
      </c>
      <c r="J337" s="1"/>
      <c r="K337" s="1"/>
      <c r="L337" s="1"/>
      <c r="M337" s="59">
        <f t="shared" ref="M337:M342" si="124">SUM(J337:L337)</f>
        <v>0</v>
      </c>
      <c r="N337" s="1"/>
      <c r="O337" s="1"/>
      <c r="P337" s="1">
        <v>134</v>
      </c>
      <c r="Q337" s="59">
        <f>SUM(N337:P337)</f>
        <v>134</v>
      </c>
      <c r="R337" s="59">
        <f t="shared" si="120"/>
        <v>2384</v>
      </c>
      <c r="T337" s="4" t="s">
        <v>305</v>
      </c>
    </row>
    <row r="338" spans="1:20" ht="15.75" customHeight="1" x14ac:dyDescent="0.3">
      <c r="A338" s="76" t="s">
        <v>310</v>
      </c>
      <c r="B338" s="1"/>
      <c r="C338" s="1"/>
      <c r="D338" s="1"/>
      <c r="E338" s="59">
        <f t="shared" ref="E338:E342" si="125">SUM(B338:D338)</f>
        <v>0</v>
      </c>
      <c r="F338" s="1"/>
      <c r="G338" s="1"/>
      <c r="H338" s="1">
        <v>2000</v>
      </c>
      <c r="I338" s="59">
        <f t="shared" ref="I338:I342" si="126">SUM(F338:H338)</f>
        <v>2000</v>
      </c>
      <c r="J338" s="1"/>
      <c r="K338" s="1"/>
      <c r="L338" s="1"/>
      <c r="M338" s="59">
        <f t="shared" si="124"/>
        <v>0</v>
      </c>
      <c r="N338" s="1"/>
      <c r="O338" s="1"/>
      <c r="P338" s="1"/>
      <c r="Q338" s="59">
        <f>SUM(N338:P338)</f>
        <v>0</v>
      </c>
      <c r="R338" s="59">
        <f t="shared" si="120"/>
        <v>2000</v>
      </c>
      <c r="T338" s="4" t="s">
        <v>307</v>
      </c>
    </row>
    <row r="339" spans="1:20" ht="15.75" customHeight="1" x14ac:dyDescent="0.3">
      <c r="A339" s="76" t="s">
        <v>312</v>
      </c>
      <c r="B339" s="1">
        <v>74</v>
      </c>
      <c r="C339" s="1">
        <v>122</v>
      </c>
      <c r="D339" s="1">
        <v>180</v>
      </c>
      <c r="E339" s="59">
        <f t="shared" si="125"/>
        <v>376</v>
      </c>
      <c r="F339" s="1">
        <v>327</v>
      </c>
      <c r="G339" s="1">
        <v>454</v>
      </c>
      <c r="H339" s="1">
        <v>380</v>
      </c>
      <c r="I339" s="59">
        <f t="shared" si="126"/>
        <v>1161</v>
      </c>
      <c r="J339" s="1">
        <f>66+354</f>
        <v>420</v>
      </c>
      <c r="K339" s="1">
        <f>46+274</f>
        <v>320</v>
      </c>
      <c r="L339" s="1">
        <f>47+287</f>
        <v>334</v>
      </c>
      <c r="M339" s="59">
        <f t="shared" si="124"/>
        <v>1074</v>
      </c>
      <c r="N339" s="1">
        <f>31+179</f>
        <v>210</v>
      </c>
      <c r="O339" s="1">
        <f>24+151</f>
        <v>175</v>
      </c>
      <c r="P339" s="1">
        <f>18+70</f>
        <v>88</v>
      </c>
      <c r="Q339" s="59">
        <f>SUM(N339:P339)</f>
        <v>473</v>
      </c>
      <c r="R339" s="59">
        <f>+E339+I339+M339+Q339</f>
        <v>3084</v>
      </c>
      <c r="T339" s="4" t="s">
        <v>313</v>
      </c>
    </row>
    <row r="340" spans="1:20" ht="15.75" customHeight="1" x14ac:dyDescent="0.3">
      <c r="A340" s="76" t="s">
        <v>316</v>
      </c>
      <c r="B340" s="1"/>
      <c r="C340" s="1"/>
      <c r="D340" s="1"/>
      <c r="E340" s="59">
        <f t="shared" si="125"/>
        <v>0</v>
      </c>
      <c r="F340" s="1"/>
      <c r="G340" s="1">
        <v>3200</v>
      </c>
      <c r="H340" s="1"/>
      <c r="I340" s="59">
        <f t="shared" si="126"/>
        <v>3200</v>
      </c>
      <c r="J340" s="1"/>
      <c r="K340" s="1"/>
      <c r="L340" s="1"/>
      <c r="M340" s="59">
        <f t="shared" si="124"/>
        <v>0</v>
      </c>
      <c r="N340" s="1"/>
      <c r="O340" s="1"/>
      <c r="P340" s="1"/>
      <c r="Q340" s="59">
        <f>SUM(N340:P340)</f>
        <v>0</v>
      </c>
      <c r="R340" s="59">
        <f>+E340+I340+M340+Q340</f>
        <v>3200</v>
      </c>
      <c r="T340" s="4" t="s">
        <v>317</v>
      </c>
    </row>
    <row r="341" spans="1:20" ht="15.75" customHeight="1" x14ac:dyDescent="0.3">
      <c r="A341" s="76" t="s">
        <v>318</v>
      </c>
      <c r="B341" s="1"/>
      <c r="C341" s="1"/>
      <c r="D341" s="1"/>
      <c r="E341" s="59">
        <f t="shared" si="125"/>
        <v>0</v>
      </c>
      <c r="F341" s="1"/>
      <c r="G341" s="1"/>
      <c r="H341" s="1">
        <v>1146</v>
      </c>
      <c r="I341" s="59">
        <f t="shared" si="126"/>
        <v>1146</v>
      </c>
      <c r="J341" s="1">
        <v>6306</v>
      </c>
      <c r="K341" s="1">
        <v>5574</v>
      </c>
      <c r="L341" s="1">
        <v>5555</v>
      </c>
      <c r="M341" s="59">
        <f t="shared" si="124"/>
        <v>17435</v>
      </c>
      <c r="N341" s="1">
        <v>1867</v>
      </c>
      <c r="O341" s="1">
        <v>552</v>
      </c>
      <c r="P341" s="1"/>
      <c r="Q341" s="59">
        <f t="shared" ref="Q341" si="127">SUM(N341:P341)</f>
        <v>2419</v>
      </c>
      <c r="R341" s="59">
        <f>+E341+I341+M341+Q341</f>
        <v>21000</v>
      </c>
    </row>
    <row r="342" spans="1:20" ht="15.75" customHeight="1" x14ac:dyDescent="0.3">
      <c r="A342" s="76" t="s">
        <v>319</v>
      </c>
      <c r="B342" s="1"/>
      <c r="C342" s="1"/>
      <c r="D342" s="1">
        <v>315</v>
      </c>
      <c r="E342" s="59">
        <f t="shared" si="125"/>
        <v>315</v>
      </c>
      <c r="F342" s="1"/>
      <c r="G342" s="1"/>
      <c r="H342" s="1"/>
      <c r="I342" s="59">
        <f t="shared" si="126"/>
        <v>0</v>
      </c>
      <c r="J342" s="1"/>
      <c r="K342" s="1"/>
      <c r="L342" s="1"/>
      <c r="M342" s="59">
        <f t="shared" si="124"/>
        <v>0</v>
      </c>
      <c r="N342" s="1"/>
      <c r="O342" s="1"/>
      <c r="P342" s="1"/>
      <c r="Q342" s="59">
        <f>SUM(N342:P342)</f>
        <v>0</v>
      </c>
      <c r="R342" s="59">
        <f>+E342+I342+M342+Q342</f>
        <v>315</v>
      </c>
      <c r="S342" s="75" t="s">
        <v>80</v>
      </c>
    </row>
    <row r="343" spans="1:20" ht="15.75" customHeight="1" x14ac:dyDescent="0.3">
      <c r="A343" s="76" t="s">
        <v>320</v>
      </c>
      <c r="B343" s="1"/>
      <c r="C343" s="1"/>
      <c r="D343" s="1"/>
      <c r="E343" s="59">
        <f>SUM(B343:D343)</f>
        <v>0</v>
      </c>
      <c r="F343" s="1"/>
      <c r="G343" s="1"/>
      <c r="H343" s="1"/>
      <c r="I343" s="59">
        <f t="shared" ref="I343:I344" si="128">SUM(F343:H343)</f>
        <v>0</v>
      </c>
      <c r="J343" s="1"/>
      <c r="K343" s="1"/>
      <c r="L343" s="1"/>
      <c r="M343" s="59">
        <f t="shared" ref="M343:M344" si="129">SUM(J343:L343)</f>
        <v>0</v>
      </c>
      <c r="N343" s="1"/>
      <c r="O343" s="1"/>
      <c r="P343" s="1"/>
      <c r="Q343" s="59">
        <f t="shared" ref="Q343:Q344" si="130">SUM(N343:P343)</f>
        <v>0</v>
      </c>
      <c r="R343" s="59">
        <f t="shared" ref="R343:R344" si="131">+E343+I343+M343+Q343</f>
        <v>0</v>
      </c>
    </row>
    <row r="344" spans="1:20" ht="15.75" customHeight="1" x14ac:dyDescent="0.3">
      <c r="A344" s="76" t="s">
        <v>321</v>
      </c>
      <c r="B344" s="1"/>
      <c r="C344" s="1"/>
      <c r="D344" s="1">
        <v>28</v>
      </c>
      <c r="E344" s="59">
        <f>SUM(B344:D344)</f>
        <v>28</v>
      </c>
      <c r="F344" s="1">
        <v>2000</v>
      </c>
      <c r="G344" s="1"/>
      <c r="H344" s="1"/>
      <c r="I344" s="59">
        <f t="shared" si="128"/>
        <v>2000</v>
      </c>
      <c r="J344" s="1"/>
      <c r="K344" s="1"/>
      <c r="L344" s="1">
        <v>600</v>
      </c>
      <c r="M344" s="59">
        <f t="shared" si="129"/>
        <v>600</v>
      </c>
      <c r="N344" s="1"/>
      <c r="O344" s="1"/>
      <c r="P344" s="1"/>
      <c r="Q344" s="59">
        <f t="shared" si="130"/>
        <v>0</v>
      </c>
      <c r="R344" s="59">
        <f t="shared" si="131"/>
        <v>2628</v>
      </c>
      <c r="T344" s="4" t="s">
        <v>315</v>
      </c>
    </row>
    <row r="345" spans="1:20" ht="15.75" customHeight="1" x14ac:dyDescent="0.3">
      <c r="A345" s="76" t="s">
        <v>322</v>
      </c>
      <c r="B345" s="1"/>
      <c r="C345" s="1"/>
      <c r="D345" s="1"/>
      <c r="E345" s="59">
        <f t="shared" ref="E345:E346" si="132">SUM(B345:D345)</f>
        <v>0</v>
      </c>
      <c r="F345" s="1"/>
      <c r="G345" s="1"/>
      <c r="H345" s="1"/>
      <c r="I345" s="59">
        <f t="shared" ref="I345:I346" si="133">SUM(F345:H345)</f>
        <v>0</v>
      </c>
      <c r="J345" s="1"/>
      <c r="K345" s="1">
        <v>187</v>
      </c>
      <c r="L345" s="1">
        <v>1617</v>
      </c>
      <c r="M345" s="59">
        <f t="shared" ref="M345:M346" si="134">SUM(J345:L345)</f>
        <v>1804</v>
      </c>
      <c r="N345" s="1">
        <v>1684</v>
      </c>
      <c r="O345" s="1">
        <v>1285</v>
      </c>
      <c r="P345" s="1">
        <v>1125</v>
      </c>
      <c r="Q345" s="59">
        <f t="shared" si="119"/>
        <v>4094</v>
      </c>
      <c r="R345" s="59">
        <f t="shared" si="120"/>
        <v>5898</v>
      </c>
      <c r="T345" s="4" t="s">
        <v>217</v>
      </c>
    </row>
    <row r="346" spans="1:20" ht="15.75" customHeight="1" x14ac:dyDescent="0.3">
      <c r="A346" s="76" t="s">
        <v>887</v>
      </c>
      <c r="B346" s="1"/>
      <c r="C346" s="1"/>
      <c r="D346" s="1"/>
      <c r="E346" s="59">
        <f t="shared" si="132"/>
        <v>0</v>
      </c>
      <c r="F346" s="1"/>
      <c r="G346" s="1"/>
      <c r="H346" s="1">
        <v>1600</v>
      </c>
      <c r="I346" s="59">
        <f t="shared" si="133"/>
        <v>1600</v>
      </c>
      <c r="J346" s="1"/>
      <c r="K346" s="1"/>
      <c r="L346" s="1"/>
      <c r="M346" s="59">
        <f t="shared" si="134"/>
        <v>0</v>
      </c>
      <c r="N346" s="1"/>
      <c r="O346" s="1"/>
      <c r="P346" s="1"/>
      <c r="Q346" s="59">
        <f t="shared" si="119"/>
        <v>0</v>
      </c>
      <c r="R346" s="59">
        <f t="shared" si="120"/>
        <v>1600</v>
      </c>
      <c r="T346" s="4" t="s">
        <v>305</v>
      </c>
    </row>
    <row r="347" spans="1:20" ht="15.75" customHeight="1" x14ac:dyDescent="0.3">
      <c r="A347" s="76" t="s">
        <v>325</v>
      </c>
      <c r="B347" s="1"/>
      <c r="C347" s="1"/>
      <c r="D347" s="1"/>
      <c r="E347" s="59">
        <f t="shared" si="116"/>
        <v>0</v>
      </c>
      <c r="F347" s="1"/>
      <c r="G347" s="1"/>
      <c r="H347" s="1"/>
      <c r="I347" s="59">
        <f t="shared" si="117"/>
        <v>0</v>
      </c>
      <c r="J347" s="1"/>
      <c r="K347" s="1"/>
      <c r="L347" s="1"/>
      <c r="M347" s="59">
        <f t="shared" si="118"/>
        <v>0</v>
      </c>
      <c r="N347" s="1"/>
      <c r="O347" s="1"/>
      <c r="P347" s="1"/>
      <c r="Q347" s="59">
        <f t="shared" si="119"/>
        <v>0</v>
      </c>
      <c r="R347" s="59">
        <f t="shared" si="120"/>
        <v>0</v>
      </c>
      <c r="T347" s="4" t="s">
        <v>305</v>
      </c>
    </row>
    <row r="348" spans="1:20" ht="15.75" customHeight="1" x14ac:dyDescent="0.3">
      <c r="A348" s="76" t="s">
        <v>326</v>
      </c>
      <c r="B348" s="1">
        <v>1163</v>
      </c>
      <c r="C348" s="1">
        <v>265</v>
      </c>
      <c r="D348" s="1"/>
      <c r="E348" s="59">
        <f t="shared" si="116"/>
        <v>1428</v>
      </c>
      <c r="F348" s="1"/>
      <c r="G348" s="1"/>
      <c r="H348" s="1"/>
      <c r="I348" s="59">
        <f t="shared" si="117"/>
        <v>0</v>
      </c>
      <c r="J348" s="1"/>
      <c r="K348" s="1"/>
      <c r="L348" s="1"/>
      <c r="M348" s="59">
        <f t="shared" si="118"/>
        <v>0</v>
      </c>
      <c r="N348" s="1"/>
      <c r="O348" s="1"/>
      <c r="P348" s="1"/>
      <c r="Q348" s="59">
        <f t="shared" si="119"/>
        <v>0</v>
      </c>
      <c r="R348" s="59">
        <f t="shared" si="120"/>
        <v>1428</v>
      </c>
    </row>
    <row r="349" spans="1:20" ht="15.75" customHeight="1" x14ac:dyDescent="0.3">
      <c r="A349" s="76" t="s">
        <v>327</v>
      </c>
      <c r="B349" s="1"/>
      <c r="C349" s="1"/>
      <c r="D349" s="1"/>
      <c r="E349" s="59">
        <f>SUM(B349:D349)</f>
        <v>0</v>
      </c>
      <c r="F349" s="1"/>
      <c r="G349" s="1"/>
      <c r="H349" s="1"/>
      <c r="I349" s="59">
        <f>SUM(F349:H349)</f>
        <v>0</v>
      </c>
      <c r="J349" s="1"/>
      <c r="K349" s="1"/>
      <c r="L349" s="1"/>
      <c r="M349" s="59">
        <f t="shared" si="118"/>
        <v>0</v>
      </c>
      <c r="N349" s="1"/>
      <c r="O349" s="1"/>
      <c r="P349" s="1"/>
      <c r="Q349" s="59">
        <f>SUM(N349:P349)</f>
        <v>0</v>
      </c>
      <c r="R349" s="59">
        <f t="shared" si="120"/>
        <v>0</v>
      </c>
      <c r="T349" s="4" t="s">
        <v>315</v>
      </c>
    </row>
    <row r="350" spans="1:20" ht="15.75" customHeight="1" x14ac:dyDescent="0.3">
      <c r="A350" s="76" t="s">
        <v>328</v>
      </c>
      <c r="B350" s="1"/>
      <c r="C350" s="1"/>
      <c r="D350" s="1"/>
      <c r="E350" s="59">
        <f t="shared" ref="E350" si="135">SUM(B350:D350)</f>
        <v>0</v>
      </c>
      <c r="F350" s="1"/>
      <c r="G350" s="1"/>
      <c r="H350" s="1"/>
      <c r="I350" s="59">
        <f t="shared" ref="I350" si="136">SUM(F350:H350)</f>
        <v>0</v>
      </c>
      <c r="J350" s="1"/>
      <c r="K350" s="1">
        <v>994</v>
      </c>
      <c r="L350" s="1">
        <v>1713</v>
      </c>
      <c r="M350" s="59">
        <f t="shared" si="118"/>
        <v>2707</v>
      </c>
      <c r="N350" s="1">
        <v>1735</v>
      </c>
      <c r="O350" s="1">
        <v>1377</v>
      </c>
      <c r="P350" s="1">
        <v>1016</v>
      </c>
      <c r="Q350" s="59">
        <f t="shared" si="119"/>
        <v>4128</v>
      </c>
      <c r="R350" s="59">
        <f t="shared" si="120"/>
        <v>6835</v>
      </c>
      <c r="T350" s="4" t="s">
        <v>217</v>
      </c>
    </row>
    <row r="351" spans="1:20" ht="15.75" customHeight="1" x14ac:dyDescent="0.3">
      <c r="A351" s="76" t="s">
        <v>329</v>
      </c>
      <c r="B351" s="1"/>
      <c r="C351" s="1"/>
      <c r="D351" s="1"/>
      <c r="E351" s="59">
        <f>SUM(B351:D351)</f>
        <v>0</v>
      </c>
      <c r="F351" s="1"/>
      <c r="G351" s="1"/>
      <c r="H351" s="1"/>
      <c r="I351" s="59">
        <f>SUM(F351:H351)</f>
        <v>0</v>
      </c>
      <c r="J351" s="1"/>
      <c r="K351" s="1"/>
      <c r="L351" s="1"/>
      <c r="M351" s="59">
        <f>SUM(J351:L351)</f>
        <v>0</v>
      </c>
      <c r="N351" s="1"/>
      <c r="O351" s="1"/>
      <c r="P351" s="1"/>
      <c r="Q351" s="59">
        <f>SUM(N351:P351)</f>
        <v>0</v>
      </c>
      <c r="R351" s="59">
        <f t="shared" si="120"/>
        <v>0</v>
      </c>
      <c r="T351" s="4" t="s">
        <v>315</v>
      </c>
    </row>
    <row r="352" spans="1:20" ht="15.75" customHeight="1" x14ac:dyDescent="0.3">
      <c r="A352" s="76" t="s">
        <v>330</v>
      </c>
      <c r="B352" s="1"/>
      <c r="C352" s="1"/>
      <c r="D352" s="1"/>
      <c r="E352" s="59">
        <f t="shared" si="116"/>
        <v>0</v>
      </c>
      <c r="F352" s="1"/>
      <c r="G352" s="1"/>
      <c r="H352" s="1"/>
      <c r="I352" s="59">
        <f t="shared" si="117"/>
        <v>0</v>
      </c>
      <c r="J352" s="1"/>
      <c r="K352" s="1"/>
      <c r="L352" s="1"/>
      <c r="M352" s="59">
        <f t="shared" si="118"/>
        <v>0</v>
      </c>
      <c r="N352" s="1"/>
      <c r="O352" s="1"/>
      <c r="P352" s="1"/>
      <c r="Q352" s="59">
        <f t="shared" si="119"/>
        <v>0</v>
      </c>
      <c r="R352" s="59">
        <f t="shared" si="120"/>
        <v>0</v>
      </c>
      <c r="S352" s="125"/>
      <c r="T352" s="4" t="s">
        <v>331</v>
      </c>
    </row>
    <row r="353" spans="1:20" ht="15.75" customHeight="1" x14ac:dyDescent="0.3">
      <c r="A353" s="76" t="s">
        <v>332</v>
      </c>
      <c r="B353" s="1">
        <v>28</v>
      </c>
      <c r="C353" s="1">
        <v>25</v>
      </c>
      <c r="D353" s="1">
        <v>49</v>
      </c>
      <c r="E353" s="59">
        <f t="shared" si="116"/>
        <v>102</v>
      </c>
      <c r="F353" s="1">
        <v>43</v>
      </c>
      <c r="G353" s="1">
        <v>78</v>
      </c>
      <c r="H353" s="1">
        <v>69</v>
      </c>
      <c r="I353" s="59">
        <f>SUM(F353:H353)</f>
        <v>190</v>
      </c>
      <c r="J353" s="1">
        <v>74</v>
      </c>
      <c r="K353" s="1">
        <v>56</v>
      </c>
      <c r="L353" s="1">
        <v>11</v>
      </c>
      <c r="M353" s="59">
        <f>SUM(J353:L353)</f>
        <v>141</v>
      </c>
      <c r="N353" s="1"/>
      <c r="O353" s="1"/>
      <c r="P353" s="1"/>
      <c r="Q353" s="59">
        <f>SUM(N353:P353)</f>
        <v>0</v>
      </c>
      <c r="R353" s="59">
        <f>+E353+I353+M353+Q353</f>
        <v>433</v>
      </c>
      <c r="T353" s="4" t="s">
        <v>127</v>
      </c>
    </row>
    <row r="354" spans="1:20" ht="15.75" customHeight="1" x14ac:dyDescent="0.3">
      <c r="A354" s="76" t="s">
        <v>333</v>
      </c>
      <c r="B354" s="1">
        <v>2381</v>
      </c>
      <c r="C354" s="1"/>
      <c r="D354" s="1"/>
      <c r="E354" s="59">
        <f t="shared" ref="E354" si="137">SUM(B354:D354)</f>
        <v>2381</v>
      </c>
      <c r="F354" s="1">
        <v>2125</v>
      </c>
      <c r="G354" s="1">
        <v>267</v>
      </c>
      <c r="H354" s="1">
        <f>4619+1181</f>
        <v>5800</v>
      </c>
      <c r="I354" s="59">
        <f t="shared" ref="I354" si="138">SUM(F354:H354)</f>
        <v>8192</v>
      </c>
      <c r="J354" s="1">
        <f>1574+4118</f>
        <v>5692</v>
      </c>
      <c r="K354" s="1">
        <f>1898+3334</f>
        <v>5232</v>
      </c>
      <c r="L354" s="1">
        <f>1645+3079</f>
        <v>4724</v>
      </c>
      <c r="M354" s="59">
        <f t="shared" ref="M354" si="139">SUM(J354:L354)</f>
        <v>15648</v>
      </c>
      <c r="N354" s="1">
        <f>1558+2350</f>
        <v>3908</v>
      </c>
      <c r="O354" s="1">
        <f>1507+2796</f>
        <v>4303</v>
      </c>
      <c r="P354" s="1">
        <f>1461+3674</f>
        <v>5135</v>
      </c>
      <c r="Q354" s="59">
        <f t="shared" si="119"/>
        <v>13346</v>
      </c>
      <c r="R354" s="59">
        <f t="shared" si="120"/>
        <v>39567</v>
      </c>
      <c r="T354" s="4" t="s">
        <v>334</v>
      </c>
    </row>
    <row r="355" spans="1:20" ht="15.75" customHeight="1" x14ac:dyDescent="0.3">
      <c r="A355" s="76" t="s">
        <v>335</v>
      </c>
      <c r="B355" s="1"/>
      <c r="C355" s="1"/>
      <c r="D355" s="1"/>
      <c r="E355" s="59">
        <f t="shared" si="116"/>
        <v>0</v>
      </c>
      <c r="F355" s="1"/>
      <c r="G355" s="1"/>
      <c r="H355" s="1"/>
      <c r="I355" s="59">
        <f t="shared" si="117"/>
        <v>0</v>
      </c>
      <c r="J355" s="1"/>
      <c r="K355" s="1"/>
      <c r="L355" s="1"/>
      <c r="M355" s="59">
        <f t="shared" si="118"/>
        <v>0</v>
      </c>
      <c r="N355" s="1"/>
      <c r="O355" s="1"/>
      <c r="P355" s="1"/>
      <c r="Q355" s="59">
        <f t="shared" si="119"/>
        <v>0</v>
      </c>
      <c r="R355" s="59">
        <f t="shared" si="120"/>
        <v>0</v>
      </c>
      <c r="T355" s="4" t="s">
        <v>336</v>
      </c>
    </row>
    <row r="356" spans="1:20" ht="15.75" customHeight="1" x14ac:dyDescent="0.3">
      <c r="A356" s="76" t="s">
        <v>339</v>
      </c>
      <c r="B356" s="1">
        <v>417</v>
      </c>
      <c r="C356" s="1">
        <v>417</v>
      </c>
      <c r="D356" s="1">
        <v>417</v>
      </c>
      <c r="E356" s="59">
        <f t="shared" si="116"/>
        <v>1251</v>
      </c>
      <c r="F356" s="1">
        <v>417</v>
      </c>
      <c r="G356" s="1">
        <v>417</v>
      </c>
      <c r="H356" s="1">
        <v>417</v>
      </c>
      <c r="I356" s="59">
        <f t="shared" si="117"/>
        <v>1251</v>
      </c>
      <c r="J356" s="1">
        <v>417</v>
      </c>
      <c r="K356" s="1"/>
      <c r="L356" s="1">
        <f>657+1021+403</f>
        <v>2081</v>
      </c>
      <c r="M356" s="59">
        <f t="shared" si="118"/>
        <v>2498</v>
      </c>
      <c r="N356" s="1"/>
      <c r="O356" s="1"/>
      <c r="P356" s="1"/>
      <c r="Q356" s="59">
        <f t="shared" si="119"/>
        <v>0</v>
      </c>
      <c r="R356" s="59">
        <f t="shared" si="120"/>
        <v>5000</v>
      </c>
    </row>
    <row r="357" spans="1:20" ht="15.75" customHeight="1" x14ac:dyDescent="0.3">
      <c r="A357" s="76" t="s">
        <v>340</v>
      </c>
      <c r="B357" s="1"/>
      <c r="C357" s="1"/>
      <c r="D357" s="1"/>
      <c r="E357" s="59">
        <f t="shared" si="116"/>
        <v>0</v>
      </c>
      <c r="F357" s="1"/>
      <c r="G357" s="1"/>
      <c r="H357" s="1"/>
      <c r="I357" s="59">
        <f t="shared" si="117"/>
        <v>0</v>
      </c>
      <c r="J357" s="1"/>
      <c r="K357" s="1"/>
      <c r="L357" s="1"/>
      <c r="M357" s="59">
        <f t="shared" si="118"/>
        <v>0</v>
      </c>
      <c r="N357" s="1"/>
      <c r="O357" s="1"/>
      <c r="P357" s="1"/>
      <c r="Q357" s="59">
        <f t="shared" si="119"/>
        <v>0</v>
      </c>
      <c r="R357" s="59">
        <f t="shared" si="120"/>
        <v>0</v>
      </c>
      <c r="S357" s="75" t="s">
        <v>80</v>
      </c>
    </row>
    <row r="358" spans="1:20" ht="15.75" customHeight="1" x14ac:dyDescent="0.3">
      <c r="A358" s="76" t="s">
        <v>341</v>
      </c>
      <c r="B358" s="1"/>
      <c r="C358" s="1"/>
      <c r="D358" s="1"/>
      <c r="E358" s="59">
        <f t="shared" si="116"/>
        <v>0</v>
      </c>
      <c r="F358" s="1"/>
      <c r="G358" s="1"/>
      <c r="H358" s="1"/>
      <c r="I358" s="59">
        <f t="shared" si="117"/>
        <v>0</v>
      </c>
      <c r="J358" s="1"/>
      <c r="K358" s="1"/>
      <c r="L358" s="1">
        <v>1222</v>
      </c>
      <c r="M358" s="59">
        <f t="shared" si="118"/>
        <v>1222</v>
      </c>
      <c r="N358" s="1"/>
      <c r="O358" s="1"/>
      <c r="P358" s="1"/>
      <c r="Q358" s="59">
        <f>SUM(N358:P358)</f>
        <v>0</v>
      </c>
      <c r="R358" s="59">
        <f>+E358+I358+M358+Q358</f>
        <v>1222</v>
      </c>
      <c r="T358" s="4" t="s">
        <v>315</v>
      </c>
    </row>
    <row r="359" spans="1:20" ht="15.75" customHeight="1" x14ac:dyDescent="0.3">
      <c r="A359" s="76" t="s">
        <v>342</v>
      </c>
      <c r="B359" s="1">
        <v>28</v>
      </c>
      <c r="C359" s="1">
        <v>42</v>
      </c>
      <c r="D359" s="1">
        <v>37</v>
      </c>
      <c r="E359" s="59">
        <f>SUM(B359:D359)</f>
        <v>107</v>
      </c>
      <c r="F359" s="1">
        <v>47</v>
      </c>
      <c r="G359" s="1">
        <v>72</v>
      </c>
      <c r="H359" s="1">
        <v>77</v>
      </c>
      <c r="I359" s="59">
        <f>SUM(F359:H359)</f>
        <v>196</v>
      </c>
      <c r="J359" s="1">
        <v>85</v>
      </c>
      <c r="K359" s="1">
        <v>61</v>
      </c>
      <c r="L359" s="1">
        <v>54</v>
      </c>
      <c r="M359" s="59">
        <f>SUM(J359:L359)</f>
        <v>200</v>
      </c>
      <c r="N359" s="1">
        <v>41</v>
      </c>
      <c r="O359" s="1">
        <v>47</v>
      </c>
      <c r="P359" s="1">
        <v>35</v>
      </c>
      <c r="Q359" s="59">
        <f>SUM(N359:P359)</f>
        <v>123</v>
      </c>
      <c r="R359" s="59">
        <f>+E359+I359+M359+Q359</f>
        <v>626</v>
      </c>
      <c r="T359" s="4" t="s">
        <v>127</v>
      </c>
    </row>
    <row r="360" spans="1:20" ht="15.75" customHeight="1" x14ac:dyDescent="0.3">
      <c r="A360" s="74" t="s">
        <v>343</v>
      </c>
      <c r="B360" s="1"/>
      <c r="C360" s="1"/>
      <c r="D360" s="1"/>
      <c r="E360" s="59">
        <f>SUM(B360:D360)</f>
        <v>0</v>
      </c>
      <c r="F360" s="1"/>
      <c r="G360" s="1">
        <v>34</v>
      </c>
      <c r="H360" s="1"/>
      <c r="I360" s="59">
        <f>SUM(F360:H360)</f>
        <v>34</v>
      </c>
      <c r="J360" s="1"/>
      <c r="K360" s="1"/>
      <c r="L360" s="1"/>
      <c r="M360" s="59">
        <f>SUM(J360:L360)</f>
        <v>0</v>
      </c>
      <c r="N360" s="1"/>
      <c r="O360" s="1"/>
      <c r="P360" s="1"/>
      <c r="Q360" s="59">
        <f>SUM(N360:P360)</f>
        <v>0</v>
      </c>
      <c r="R360" s="59">
        <f t="shared" si="120"/>
        <v>34</v>
      </c>
    </row>
    <row r="361" spans="1:20" ht="15.75" customHeight="1" x14ac:dyDescent="0.3">
      <c r="A361" s="76" t="s">
        <v>344</v>
      </c>
      <c r="B361" s="1"/>
      <c r="C361" s="1"/>
      <c r="D361" s="1">
        <v>25</v>
      </c>
      <c r="E361" s="59">
        <f t="shared" ref="E361" si="140">SUM(B361:D361)</f>
        <v>25</v>
      </c>
      <c r="F361" s="1">
        <v>30</v>
      </c>
      <c r="G361" s="1">
        <v>55</v>
      </c>
      <c r="H361" s="1">
        <v>96</v>
      </c>
      <c r="I361" s="59">
        <f t="shared" ref="I361" si="141">SUM(F361:H361)</f>
        <v>181</v>
      </c>
      <c r="J361" s="1">
        <v>98</v>
      </c>
      <c r="K361" s="1">
        <v>111</v>
      </c>
      <c r="L361" s="1">
        <v>80</v>
      </c>
      <c r="M361" s="59">
        <f t="shared" ref="M361" si="142">SUM(J361:L361)</f>
        <v>289</v>
      </c>
      <c r="N361" s="1"/>
      <c r="O361" s="1"/>
      <c r="P361" s="1"/>
      <c r="Q361" s="59">
        <f t="shared" si="119"/>
        <v>0</v>
      </c>
      <c r="R361" s="59">
        <f t="shared" si="120"/>
        <v>495</v>
      </c>
      <c r="S361" s="4">
        <f>SUM(R332:R361)</f>
        <v>101431</v>
      </c>
      <c r="T361" s="4" t="s">
        <v>331</v>
      </c>
    </row>
    <row r="362" spans="1:20" ht="15.75" customHeight="1" x14ac:dyDescent="0.3">
      <c r="A362" s="76" t="s">
        <v>345</v>
      </c>
      <c r="B362" s="1">
        <v>15</v>
      </c>
      <c r="C362" s="1">
        <v>19</v>
      </c>
      <c r="D362" s="1">
        <v>40</v>
      </c>
      <c r="E362" s="59">
        <f>SUM(B362:D362)</f>
        <v>74</v>
      </c>
      <c r="F362" s="1">
        <v>45</v>
      </c>
      <c r="G362" s="1">
        <v>58</v>
      </c>
      <c r="H362" s="1">
        <v>57</v>
      </c>
      <c r="I362" s="59">
        <f>SUM(F362:H362)</f>
        <v>160</v>
      </c>
      <c r="J362" s="1">
        <v>69</v>
      </c>
      <c r="K362" s="1">
        <v>53</v>
      </c>
      <c r="L362" s="1">
        <v>63</v>
      </c>
      <c r="M362" s="59">
        <f>SUM(J362:L362)</f>
        <v>185</v>
      </c>
      <c r="N362" s="1">
        <v>47</v>
      </c>
      <c r="O362" s="1">
        <v>36</v>
      </c>
      <c r="P362" s="1">
        <v>16</v>
      </c>
      <c r="Q362" s="59">
        <f>SUM(N362:P362)</f>
        <v>99</v>
      </c>
      <c r="R362" s="59">
        <f>+E362+I362+M362+Q362</f>
        <v>518</v>
      </c>
      <c r="T362" s="4" t="s">
        <v>127</v>
      </c>
    </row>
    <row r="363" spans="1:20" ht="15.75" customHeight="1" x14ac:dyDescent="0.3">
      <c r="A363" s="17" t="s">
        <v>47</v>
      </c>
      <c r="B363" s="1"/>
      <c r="C363" s="1"/>
      <c r="D363" s="1"/>
      <c r="E363" s="59" t="s">
        <v>7</v>
      </c>
      <c r="F363" s="1"/>
      <c r="G363" s="1"/>
      <c r="H363" s="1"/>
      <c r="I363" s="59" t="s">
        <v>7</v>
      </c>
      <c r="J363" s="1"/>
      <c r="K363" s="1"/>
      <c r="L363" s="1"/>
      <c r="M363" s="59" t="s">
        <v>7</v>
      </c>
      <c r="N363" s="1"/>
      <c r="O363" s="1"/>
      <c r="P363" s="1"/>
      <c r="Q363" s="59" t="s">
        <v>7</v>
      </c>
      <c r="R363" s="59" t="s">
        <v>7</v>
      </c>
    </row>
    <row r="364" spans="1:20" ht="15.75" customHeight="1" x14ac:dyDescent="0.3">
      <c r="A364" s="76" t="s">
        <v>346</v>
      </c>
      <c r="B364" s="1"/>
      <c r="C364" s="1"/>
      <c r="D364" s="1"/>
      <c r="E364" s="59">
        <f t="shared" ref="E364:E375" si="143">SUM(B364:D364)</f>
        <v>0</v>
      </c>
      <c r="F364" s="1"/>
      <c r="G364" s="1"/>
      <c r="H364" s="1"/>
      <c r="I364" s="59">
        <f t="shared" ref="I364:I375" si="144">SUM(F364:H364)</f>
        <v>0</v>
      </c>
      <c r="J364" s="1"/>
      <c r="K364" s="1"/>
      <c r="L364" s="1"/>
      <c r="M364" s="59">
        <f t="shared" ref="M364:M375" si="145">SUM(J364:L364)</f>
        <v>0</v>
      </c>
      <c r="N364" s="1"/>
      <c r="O364" s="1"/>
      <c r="P364" s="1"/>
      <c r="Q364" s="59">
        <f t="shared" ref="Q364:Q375" si="146">SUM(N364:P364)</f>
        <v>0</v>
      </c>
      <c r="R364" s="59">
        <f t="shared" ref="R364:R375" si="147">+E364+I364+M364+Q364</f>
        <v>0</v>
      </c>
    </row>
    <row r="365" spans="1:20" ht="15.75" customHeight="1" x14ac:dyDescent="0.3">
      <c r="A365" s="76" t="s">
        <v>347</v>
      </c>
      <c r="B365" s="1"/>
      <c r="C365" s="1"/>
      <c r="D365" s="1"/>
      <c r="E365" s="59">
        <f>SUM(B365:D365)</f>
        <v>0</v>
      </c>
      <c r="F365" s="1"/>
      <c r="G365" s="1"/>
      <c r="H365" s="1"/>
      <c r="I365" s="59">
        <f>SUM(F365:H365)</f>
        <v>0</v>
      </c>
      <c r="J365" s="1"/>
      <c r="K365" s="1"/>
      <c r="L365" s="1"/>
      <c r="M365" s="59">
        <f>SUM(J365:L365)</f>
        <v>0</v>
      </c>
      <c r="N365" s="1"/>
      <c r="O365" s="1"/>
      <c r="P365" s="1"/>
      <c r="Q365" s="59">
        <f>SUM(N365:P365)</f>
        <v>0</v>
      </c>
      <c r="R365" s="59">
        <f>+E365+I365+M365+Q365</f>
        <v>0</v>
      </c>
      <c r="T365" s="4" t="s">
        <v>348</v>
      </c>
    </row>
    <row r="366" spans="1:20" ht="15.75" customHeight="1" x14ac:dyDescent="0.3">
      <c r="A366" s="76" t="s">
        <v>967</v>
      </c>
      <c r="B366" s="1"/>
      <c r="C366" s="1"/>
      <c r="D366" s="1"/>
      <c r="E366" s="59">
        <f>SUM(B366:D366)</f>
        <v>0</v>
      </c>
      <c r="F366" s="1"/>
      <c r="G366" s="1"/>
      <c r="H366" s="1"/>
      <c r="I366" s="59">
        <f>SUM(F366:H366)</f>
        <v>0</v>
      </c>
      <c r="J366" s="1"/>
      <c r="K366" s="1"/>
      <c r="L366" s="1"/>
      <c r="M366" s="59">
        <f>SUM(J366:L366)</f>
        <v>0</v>
      </c>
      <c r="N366" s="1"/>
      <c r="O366" s="1"/>
      <c r="P366" s="1">
        <v>147</v>
      </c>
      <c r="Q366" s="59">
        <f>SUM(N366:P366)</f>
        <v>147</v>
      </c>
      <c r="R366" s="59">
        <f>+E366+I366+M366+Q366</f>
        <v>147</v>
      </c>
      <c r="T366" s="4" t="s">
        <v>217</v>
      </c>
    </row>
    <row r="367" spans="1:20" ht="15.75" customHeight="1" x14ac:dyDescent="0.3">
      <c r="A367" s="76" t="s">
        <v>349</v>
      </c>
      <c r="B367" s="1"/>
      <c r="C367" s="1"/>
      <c r="D367" s="1"/>
      <c r="E367" s="59">
        <f>SUM(B367:D367)</f>
        <v>0</v>
      </c>
      <c r="F367" s="1"/>
      <c r="G367" s="1"/>
      <c r="H367" s="1"/>
      <c r="I367" s="59">
        <f>SUM(F367:H367)</f>
        <v>0</v>
      </c>
      <c r="J367" s="1"/>
      <c r="K367" s="1"/>
      <c r="L367" s="1"/>
      <c r="M367" s="59">
        <f>SUM(J367:L367)</f>
        <v>0</v>
      </c>
      <c r="N367" s="1"/>
      <c r="O367" s="1"/>
      <c r="P367" s="1"/>
      <c r="Q367" s="59">
        <f>SUM(N367:P367)</f>
        <v>0</v>
      </c>
      <c r="R367" s="59">
        <f>+E367+I367+M367+Q367</f>
        <v>0</v>
      </c>
      <c r="T367" s="4" t="s">
        <v>336</v>
      </c>
    </row>
    <row r="368" spans="1:20" ht="15.75" customHeight="1" x14ac:dyDescent="0.3">
      <c r="A368" s="76" t="s">
        <v>330</v>
      </c>
      <c r="B368" s="1"/>
      <c r="C368" s="1"/>
      <c r="D368" s="1"/>
      <c r="E368" s="59">
        <f t="shared" si="143"/>
        <v>0</v>
      </c>
      <c r="F368" s="1"/>
      <c r="G368" s="1"/>
      <c r="H368" s="1"/>
      <c r="I368" s="59">
        <f t="shared" si="144"/>
        <v>0</v>
      </c>
      <c r="J368" s="1"/>
      <c r="K368" s="1"/>
      <c r="L368" s="1"/>
      <c r="M368" s="59">
        <f t="shared" si="145"/>
        <v>0</v>
      </c>
      <c r="N368" s="1"/>
      <c r="O368" s="1"/>
      <c r="P368" s="1"/>
      <c r="Q368" s="59">
        <f t="shared" si="146"/>
        <v>0</v>
      </c>
      <c r="R368" s="59">
        <f>+E368+I368+M368+Q368</f>
        <v>0</v>
      </c>
      <c r="T368" s="4" t="s">
        <v>331</v>
      </c>
    </row>
    <row r="369" spans="1:23" ht="15.75" customHeight="1" x14ac:dyDescent="0.3">
      <c r="A369" s="76" t="s">
        <v>350</v>
      </c>
      <c r="B369" s="1"/>
      <c r="C369" s="1"/>
      <c r="D369" s="1"/>
      <c r="E369" s="59">
        <f>SUM(B369:D369)</f>
        <v>0</v>
      </c>
      <c r="F369" s="1"/>
      <c r="G369" s="1"/>
      <c r="H369" s="1"/>
      <c r="I369" s="59">
        <f>SUM(F369:H369)</f>
        <v>0</v>
      </c>
      <c r="J369" s="1"/>
      <c r="K369" s="1"/>
      <c r="L369" s="1"/>
      <c r="M369" s="59">
        <f>SUM(J369:L369)</f>
        <v>0</v>
      </c>
      <c r="N369" s="1"/>
      <c r="O369" s="1"/>
      <c r="P369" s="1"/>
      <c r="Q369" s="59">
        <f>SUM(N369:P369)</f>
        <v>0</v>
      </c>
      <c r="R369" s="59">
        <f>+E369+I369+M369+Q369</f>
        <v>0</v>
      </c>
      <c r="T369" s="4" t="s">
        <v>351</v>
      </c>
    </row>
    <row r="370" spans="1:23" ht="15.75" customHeight="1" x14ac:dyDescent="0.3">
      <c r="A370" s="76" t="s">
        <v>352</v>
      </c>
      <c r="B370" s="1"/>
      <c r="C370" s="1"/>
      <c r="D370" s="1"/>
      <c r="E370" s="59">
        <f t="shared" si="143"/>
        <v>0</v>
      </c>
      <c r="F370" s="1"/>
      <c r="G370" s="1"/>
      <c r="H370" s="1"/>
      <c r="I370" s="59">
        <f t="shared" si="144"/>
        <v>0</v>
      </c>
      <c r="J370" s="1"/>
      <c r="K370" s="1"/>
      <c r="L370" s="1"/>
      <c r="M370" s="59">
        <f t="shared" si="145"/>
        <v>0</v>
      </c>
      <c r="N370" s="1"/>
      <c r="O370" s="1"/>
      <c r="P370" s="1"/>
      <c r="Q370" s="59">
        <f t="shared" si="146"/>
        <v>0</v>
      </c>
      <c r="R370" s="59">
        <f t="shared" si="147"/>
        <v>0</v>
      </c>
    </row>
    <row r="371" spans="1:23" ht="15.75" customHeight="1" x14ac:dyDescent="0.3">
      <c r="A371" s="76" t="s">
        <v>353</v>
      </c>
      <c r="B371" s="1"/>
      <c r="C371" s="1"/>
      <c r="D371" s="1"/>
      <c r="E371" s="59">
        <f t="shared" si="143"/>
        <v>0</v>
      </c>
      <c r="F371" s="1"/>
      <c r="G371" s="1"/>
      <c r="H371" s="1"/>
      <c r="I371" s="59">
        <f t="shared" si="144"/>
        <v>0</v>
      </c>
      <c r="J371" s="1"/>
      <c r="K371" s="1"/>
      <c r="L371" s="1"/>
      <c r="M371" s="59">
        <f t="shared" si="145"/>
        <v>0</v>
      </c>
      <c r="N371" s="1"/>
      <c r="O371" s="1"/>
      <c r="P371" s="1"/>
      <c r="Q371" s="59">
        <f t="shared" si="146"/>
        <v>0</v>
      </c>
      <c r="R371" s="59">
        <f t="shared" si="147"/>
        <v>0</v>
      </c>
      <c r="T371" s="4" t="s">
        <v>354</v>
      </c>
    </row>
    <row r="372" spans="1:23" ht="15.75" customHeight="1" x14ac:dyDescent="0.3">
      <c r="A372" s="76" t="s">
        <v>355</v>
      </c>
      <c r="B372" s="1"/>
      <c r="C372" s="1"/>
      <c r="D372" s="1"/>
      <c r="E372" s="59">
        <f t="shared" si="143"/>
        <v>0</v>
      </c>
      <c r="F372" s="1"/>
      <c r="G372" s="1"/>
      <c r="H372" s="1"/>
      <c r="I372" s="59">
        <f t="shared" si="144"/>
        <v>0</v>
      </c>
      <c r="J372" s="1"/>
      <c r="K372" s="1"/>
      <c r="L372" s="1"/>
      <c r="M372" s="59">
        <f t="shared" si="145"/>
        <v>0</v>
      </c>
      <c r="N372" s="1"/>
      <c r="O372" s="1"/>
      <c r="P372" s="1"/>
      <c r="Q372" s="59">
        <f t="shared" si="146"/>
        <v>0</v>
      </c>
      <c r="R372" s="59">
        <f t="shared" si="147"/>
        <v>0</v>
      </c>
      <c r="T372" s="4" t="s">
        <v>354</v>
      </c>
    </row>
    <row r="373" spans="1:23" ht="15.75" customHeight="1" x14ac:dyDescent="0.3">
      <c r="A373" s="76" t="s">
        <v>356</v>
      </c>
      <c r="B373" s="1"/>
      <c r="C373" s="1"/>
      <c r="D373" s="1"/>
      <c r="E373" s="59">
        <f t="shared" si="143"/>
        <v>0</v>
      </c>
      <c r="F373" s="1"/>
      <c r="G373" s="1"/>
      <c r="H373" s="1"/>
      <c r="I373" s="59">
        <f t="shared" si="144"/>
        <v>0</v>
      </c>
      <c r="J373" s="1"/>
      <c r="K373" s="1"/>
      <c r="L373" s="1"/>
      <c r="M373" s="59">
        <f t="shared" si="145"/>
        <v>0</v>
      </c>
      <c r="N373" s="1"/>
      <c r="O373" s="1"/>
      <c r="P373" s="1"/>
      <c r="Q373" s="59">
        <f t="shared" si="146"/>
        <v>0</v>
      </c>
      <c r="R373" s="59">
        <f t="shared" si="147"/>
        <v>0</v>
      </c>
      <c r="T373" s="4" t="s">
        <v>127</v>
      </c>
    </row>
    <row r="374" spans="1:23" ht="15.75" customHeight="1" x14ac:dyDescent="0.3">
      <c r="A374" s="76" t="s">
        <v>357</v>
      </c>
      <c r="B374" s="1"/>
      <c r="C374" s="1"/>
      <c r="D374" s="1"/>
      <c r="E374" s="59">
        <f>SUM(B374:D374)</f>
        <v>0</v>
      </c>
      <c r="F374" s="1"/>
      <c r="G374" s="1"/>
      <c r="H374" s="1"/>
      <c r="I374" s="59">
        <f>SUM(F374:H374)</f>
        <v>0</v>
      </c>
      <c r="J374" s="1"/>
      <c r="K374" s="1"/>
      <c r="L374" s="1"/>
      <c r="M374" s="59">
        <f>SUM(J374:L374)</f>
        <v>0</v>
      </c>
      <c r="N374" s="1"/>
      <c r="O374" s="1"/>
      <c r="P374" s="1"/>
      <c r="Q374" s="59">
        <f>SUM(N374:P374)</f>
        <v>0</v>
      </c>
      <c r="R374" s="59">
        <f>+E374+I374+M374+Q374</f>
        <v>0</v>
      </c>
      <c r="T374" s="4" t="s">
        <v>127</v>
      </c>
    </row>
    <row r="375" spans="1:23" ht="15.75" customHeight="1" x14ac:dyDescent="0.3">
      <c r="A375" s="76" t="s">
        <v>358</v>
      </c>
      <c r="B375" s="1"/>
      <c r="C375" s="1"/>
      <c r="D375" s="1"/>
      <c r="E375" s="59">
        <f t="shared" si="143"/>
        <v>0</v>
      </c>
      <c r="F375" s="1"/>
      <c r="G375" s="1"/>
      <c r="H375" s="1"/>
      <c r="I375" s="59">
        <f t="shared" si="144"/>
        <v>0</v>
      </c>
      <c r="J375" s="1"/>
      <c r="K375" s="1"/>
      <c r="L375" s="1"/>
      <c r="M375" s="59">
        <f t="shared" si="145"/>
        <v>0</v>
      </c>
      <c r="N375" s="1"/>
      <c r="O375" s="1"/>
      <c r="P375" s="1"/>
      <c r="Q375" s="59">
        <f t="shared" si="146"/>
        <v>0</v>
      </c>
      <c r="R375" s="59">
        <f t="shared" si="147"/>
        <v>0</v>
      </c>
      <c r="T375" s="4" t="s">
        <v>359</v>
      </c>
    </row>
    <row r="376" spans="1:23" ht="15.75" customHeight="1" x14ac:dyDescent="0.3">
      <c r="A376" s="17" t="s">
        <v>49</v>
      </c>
      <c r="B376" s="1"/>
      <c r="C376" s="1"/>
      <c r="D376" s="1"/>
      <c r="E376" s="59" t="s">
        <v>7</v>
      </c>
      <c r="F376" s="1"/>
      <c r="G376" s="1"/>
      <c r="H376" s="1"/>
      <c r="I376" s="59" t="s">
        <v>7</v>
      </c>
      <c r="J376" s="1"/>
      <c r="K376" s="1"/>
      <c r="L376" s="1"/>
      <c r="M376" s="59" t="s">
        <v>7</v>
      </c>
      <c r="N376" s="1"/>
      <c r="O376" s="1"/>
      <c r="P376" s="1"/>
      <c r="Q376" s="59" t="s">
        <v>7</v>
      </c>
      <c r="R376" s="59" t="s">
        <v>7</v>
      </c>
    </row>
    <row r="377" spans="1:23" ht="15.75" customHeight="1" x14ac:dyDescent="0.3">
      <c r="A377" s="76" t="s">
        <v>360</v>
      </c>
      <c r="B377" s="1"/>
      <c r="C377" s="1"/>
      <c r="D377" s="1"/>
      <c r="E377" s="59">
        <f>SUM(B377:D377)</f>
        <v>0</v>
      </c>
      <c r="F377" s="1"/>
      <c r="G377" s="1"/>
      <c r="H377" s="1"/>
      <c r="I377" s="59">
        <f>SUM(F377:H377)</f>
        <v>0</v>
      </c>
      <c r="J377" s="1"/>
      <c r="K377" s="1"/>
      <c r="L377" s="1"/>
      <c r="M377" s="59">
        <f>SUM(J377:L377)</f>
        <v>0</v>
      </c>
      <c r="N377" s="1"/>
      <c r="O377" s="1"/>
      <c r="P377" s="1"/>
      <c r="Q377" s="59">
        <f>SUM(N377:P377)</f>
        <v>0</v>
      </c>
      <c r="R377" s="59">
        <f>+E377+I377+M377+Q377</f>
        <v>0</v>
      </c>
      <c r="S377" s="77" t="s">
        <v>90</v>
      </c>
      <c r="T377" s="4" t="s">
        <v>305</v>
      </c>
    </row>
    <row r="378" spans="1:23" ht="15.75" customHeight="1" x14ac:dyDescent="0.3">
      <c r="A378" s="76" t="s">
        <v>361</v>
      </c>
      <c r="B378" s="1"/>
      <c r="C378" s="1"/>
      <c r="D378" s="1"/>
      <c r="E378" s="59">
        <f>SUM(B378:D378)</f>
        <v>0</v>
      </c>
      <c r="F378" s="1"/>
      <c r="G378" s="1"/>
      <c r="H378" s="1"/>
      <c r="I378" s="59">
        <f>SUM(F378:H378)</f>
        <v>0</v>
      </c>
      <c r="J378" s="1"/>
      <c r="K378" s="1">
        <f>2151+1375+2257+2657</f>
        <v>8440</v>
      </c>
      <c r="L378" s="1">
        <v>560</v>
      </c>
      <c r="M378" s="59">
        <f>SUM(J378:L378)</f>
        <v>9000</v>
      </c>
      <c r="N378" s="1"/>
      <c r="O378" s="1"/>
      <c r="P378" s="1">
        <v>188</v>
      </c>
      <c r="Q378" s="59">
        <f>SUM(N378:P378)</f>
        <v>188</v>
      </c>
      <c r="R378" s="59">
        <f>+E378+I378+M378+Q378</f>
        <v>9188</v>
      </c>
      <c r="S378" s="77" t="s">
        <v>90</v>
      </c>
    </row>
    <row r="379" spans="1:23" ht="15.75" customHeight="1" x14ac:dyDescent="0.3">
      <c r="A379" s="76" t="s">
        <v>362</v>
      </c>
      <c r="B379" s="1"/>
      <c r="C379" s="1"/>
      <c r="D379" s="1"/>
      <c r="E379" s="59">
        <f>SUM(B379:D379)</f>
        <v>0</v>
      </c>
      <c r="F379" s="1"/>
      <c r="G379" s="1"/>
      <c r="H379" s="1"/>
      <c r="I379" s="59">
        <f>SUM(F379:H379)</f>
        <v>0</v>
      </c>
      <c r="J379" s="1">
        <f>131+266</f>
        <v>397</v>
      </c>
      <c r="K379" s="1">
        <f>52+1430</f>
        <v>1482</v>
      </c>
      <c r="L379" s="1">
        <f>21+172</f>
        <v>193</v>
      </c>
      <c r="M379" s="59">
        <f>SUM(J379:L379)</f>
        <v>2072</v>
      </c>
      <c r="N379" s="1">
        <v>665</v>
      </c>
      <c r="O379" s="1">
        <v>105</v>
      </c>
      <c r="P379" s="1">
        <v>543</v>
      </c>
      <c r="Q379" s="59">
        <f>SUM(N379:P379)</f>
        <v>1313</v>
      </c>
      <c r="R379" s="59">
        <f>+E379+I379+M379+Q379</f>
        <v>3385</v>
      </c>
      <c r="S379" s="77" t="s">
        <v>90</v>
      </c>
      <c r="T379" s="4" t="s">
        <v>331</v>
      </c>
    </row>
    <row r="380" spans="1:23" ht="15.75" customHeight="1" x14ac:dyDescent="0.3">
      <c r="A380" s="76" t="s">
        <v>363</v>
      </c>
      <c r="B380" s="1"/>
      <c r="C380" s="1">
        <v>1338</v>
      </c>
      <c r="D380" s="1">
        <v>2000</v>
      </c>
      <c r="E380" s="59">
        <f>SUM(B380:D380)</f>
        <v>3338</v>
      </c>
      <c r="F380" s="1">
        <v>677</v>
      </c>
      <c r="G380" s="1"/>
      <c r="H380" s="1"/>
      <c r="I380" s="59">
        <f>SUM(F380:H380)</f>
        <v>677</v>
      </c>
      <c r="J380" s="1"/>
      <c r="K380" s="1"/>
      <c r="L380" s="1"/>
      <c r="M380" s="59">
        <f>SUM(J380:L380)</f>
        <v>0</v>
      </c>
      <c r="N380" s="1">
        <v>1</v>
      </c>
      <c r="O380" s="1"/>
      <c r="P380" s="1"/>
      <c r="Q380" s="59">
        <f>SUM(N380:P380)</f>
        <v>1</v>
      </c>
      <c r="R380" s="59">
        <f>+E380+I380+M380+Q380</f>
        <v>4016</v>
      </c>
      <c r="S380" s="77" t="s">
        <v>90</v>
      </c>
      <c r="T380" s="4" t="s">
        <v>315</v>
      </c>
    </row>
    <row r="381" spans="1:23" ht="16.5" customHeight="1" thickBot="1" x14ac:dyDescent="0.35">
      <c r="A381" s="17" t="s">
        <v>51</v>
      </c>
      <c r="B381" s="1"/>
      <c r="C381" s="1"/>
      <c r="D381" s="1"/>
      <c r="E381" s="59" t="s">
        <v>7</v>
      </c>
      <c r="F381" s="1"/>
      <c r="G381" s="1"/>
      <c r="H381" s="1"/>
      <c r="I381" s="59" t="s">
        <v>7</v>
      </c>
      <c r="J381" s="1"/>
      <c r="K381" s="1"/>
      <c r="L381" s="1"/>
      <c r="M381" s="59" t="s">
        <v>7</v>
      </c>
      <c r="N381" s="1"/>
      <c r="O381" s="1"/>
      <c r="P381" s="1"/>
      <c r="Q381" s="59" t="s">
        <v>7</v>
      </c>
      <c r="R381" s="88" t="s">
        <v>7</v>
      </c>
      <c r="V381" s="4" t="s">
        <v>364</v>
      </c>
      <c r="W381" s="4" t="s">
        <v>365</v>
      </c>
    </row>
    <row r="382" spans="1:23" ht="16.5" customHeight="1" thickBot="1" x14ac:dyDescent="0.35">
      <c r="A382" s="126" t="s">
        <v>52</v>
      </c>
      <c r="B382" s="100">
        <f>SUM(B330:B381)</f>
        <v>4144</v>
      </c>
      <c r="C382" s="101">
        <f>SUM(C330:C381)</f>
        <v>2304</v>
      </c>
      <c r="D382" s="101">
        <f>SUM(D330:D381)</f>
        <v>3187</v>
      </c>
      <c r="E382" s="64">
        <f>SUM(B382:D382)</f>
        <v>9635</v>
      </c>
      <c r="F382" s="101">
        <f>SUM(F330:F381)</f>
        <v>5996</v>
      </c>
      <c r="G382" s="101">
        <f>SUM(G330:G381)</f>
        <v>5084</v>
      </c>
      <c r="H382" s="101">
        <f>SUM(H330:H381)</f>
        <v>14660</v>
      </c>
      <c r="I382" s="64">
        <f>SUM(F382:H382)</f>
        <v>25740</v>
      </c>
      <c r="J382" s="101">
        <f>SUM(J330:J381)</f>
        <v>14002</v>
      </c>
      <c r="K382" s="101">
        <f>SUM(K330:K381)</f>
        <v>22895</v>
      </c>
      <c r="L382" s="101">
        <f>SUM(L330:L381)</f>
        <v>19199</v>
      </c>
      <c r="M382" s="64">
        <f>SUM(J382:L382)</f>
        <v>56096</v>
      </c>
      <c r="N382" s="101">
        <f>SUM(N330:N381)</f>
        <v>10475</v>
      </c>
      <c r="O382" s="101">
        <f>SUM(O330:O381)</f>
        <v>8140</v>
      </c>
      <c r="P382" s="101">
        <f>SUM(P330:P381)</f>
        <v>8599</v>
      </c>
      <c r="Q382" s="64">
        <f>SUM(N382:P382)</f>
        <v>27214</v>
      </c>
      <c r="R382" s="64">
        <f>+E382+I382+M382+Q382</f>
        <v>118685</v>
      </c>
      <c r="T382" s="106"/>
      <c r="V382" s="4" t="s">
        <v>305</v>
      </c>
      <c r="W382" s="127">
        <v>0.18</v>
      </c>
    </row>
    <row r="383" spans="1:23" ht="15.75" customHeight="1" x14ac:dyDescent="0.3">
      <c r="A383" s="17" t="s">
        <v>53</v>
      </c>
      <c r="B383" s="1"/>
      <c r="C383" s="1"/>
      <c r="D383" s="1"/>
      <c r="E383" s="59" t="s">
        <v>7</v>
      </c>
      <c r="F383" s="1"/>
      <c r="G383" s="1"/>
      <c r="H383" s="1"/>
      <c r="I383" s="59" t="s">
        <v>7</v>
      </c>
      <c r="J383" s="1"/>
      <c r="K383" s="1"/>
      <c r="L383" s="1"/>
      <c r="M383" s="59" t="s">
        <v>7</v>
      </c>
      <c r="N383" s="1"/>
      <c r="O383" s="1"/>
      <c r="P383" s="1"/>
      <c r="Q383" s="59" t="s">
        <v>7</v>
      </c>
      <c r="R383" s="59" t="s">
        <v>7</v>
      </c>
      <c r="V383" s="4" t="s">
        <v>366</v>
      </c>
      <c r="W383" s="127">
        <v>0.52</v>
      </c>
    </row>
    <row r="384" spans="1:23" ht="15.75" customHeight="1" x14ac:dyDescent="0.3">
      <c r="A384" s="17" t="s">
        <v>367</v>
      </c>
      <c r="B384" s="1"/>
      <c r="C384" s="1"/>
      <c r="D384" s="1"/>
      <c r="E384" s="59"/>
      <c r="F384" s="1"/>
      <c r="G384" s="1"/>
      <c r="H384" s="1"/>
      <c r="I384" s="59"/>
      <c r="J384" s="1"/>
      <c r="K384" s="1"/>
      <c r="L384" s="1"/>
      <c r="M384" s="59"/>
      <c r="N384" s="1"/>
      <c r="O384" s="1"/>
      <c r="P384" s="1"/>
      <c r="Q384" s="59"/>
      <c r="R384" s="59"/>
      <c r="V384" s="4" t="s">
        <v>368</v>
      </c>
      <c r="W384" s="127">
        <v>0.3</v>
      </c>
    </row>
    <row r="385" spans="1:39" ht="15.75" customHeight="1" x14ac:dyDescent="0.3">
      <c r="A385" s="17" t="s">
        <v>55</v>
      </c>
      <c r="B385" s="1"/>
      <c r="C385" s="1"/>
      <c r="D385" s="1"/>
      <c r="E385" s="59" t="s">
        <v>7</v>
      </c>
      <c r="F385" s="1"/>
      <c r="G385" s="1"/>
      <c r="H385" s="1"/>
      <c r="I385" s="59" t="s">
        <v>7</v>
      </c>
      <c r="J385" s="1"/>
      <c r="K385" s="1"/>
      <c r="L385" s="1"/>
      <c r="M385" s="59" t="s">
        <v>7</v>
      </c>
      <c r="N385" s="1"/>
      <c r="O385" s="1"/>
      <c r="P385" s="1"/>
      <c r="Q385" s="59" t="s">
        <v>7</v>
      </c>
      <c r="R385" s="59" t="s">
        <v>7</v>
      </c>
      <c r="W385" s="128">
        <f>+SUM(W382:W384)</f>
        <v>1</v>
      </c>
    </row>
    <row r="386" spans="1:39" ht="15.75" customHeight="1" x14ac:dyDescent="0.3">
      <c r="A386" s="76" t="s">
        <v>369</v>
      </c>
      <c r="B386" s="1">
        <v>42</v>
      </c>
      <c r="C386" s="1">
        <v>24</v>
      </c>
      <c r="D386" s="1">
        <v>137</v>
      </c>
      <c r="E386" s="59">
        <f>SUM(B386:D386)</f>
        <v>203</v>
      </c>
      <c r="F386" s="1">
        <v>1559</v>
      </c>
      <c r="G386" s="1">
        <v>3028</v>
      </c>
      <c r="H386" s="1">
        <v>3048</v>
      </c>
      <c r="I386" s="59">
        <f>SUM(F386:H386)</f>
        <v>7635</v>
      </c>
      <c r="J386" s="1">
        <v>4207</v>
      </c>
      <c r="K386" s="1">
        <v>3863</v>
      </c>
      <c r="L386" s="1">
        <v>2992</v>
      </c>
      <c r="M386" s="59">
        <f>SUM(J386:L386)</f>
        <v>11062</v>
      </c>
      <c r="N386" s="1"/>
      <c r="O386" s="1">
        <v>1048</v>
      </c>
      <c r="P386" s="1">
        <v>27</v>
      </c>
      <c r="Q386" s="59">
        <f>SUM(N386:P386)</f>
        <v>1075</v>
      </c>
      <c r="R386" s="59">
        <f t="shared" ref="R386:R394" si="148">+E386+I386+M386+Q386</f>
        <v>19975</v>
      </c>
      <c r="T386" s="4" t="s">
        <v>305</v>
      </c>
      <c r="V386" s="129" t="s">
        <v>370</v>
      </c>
      <c r="W386" s="30" t="s">
        <v>36</v>
      </c>
      <c r="X386" s="2" t="s">
        <v>9</v>
      </c>
      <c r="Y386" s="2" t="s">
        <v>10</v>
      </c>
      <c r="Z386" s="130" t="s">
        <v>11</v>
      </c>
      <c r="AA386" s="2" t="s">
        <v>12</v>
      </c>
      <c r="AB386" s="2" t="s">
        <v>13</v>
      </c>
      <c r="AC386" s="2" t="s">
        <v>14</v>
      </c>
      <c r="AD386" s="130" t="s">
        <v>15</v>
      </c>
      <c r="AE386" s="2" t="s">
        <v>16</v>
      </c>
      <c r="AF386" s="2" t="s">
        <v>17</v>
      </c>
      <c r="AG386" s="2" t="s">
        <v>18</v>
      </c>
      <c r="AH386" s="130" t="s">
        <v>19</v>
      </c>
      <c r="AI386" s="2" t="s">
        <v>20</v>
      </c>
      <c r="AJ386" s="2" t="s">
        <v>21</v>
      </c>
      <c r="AK386" s="2" t="s">
        <v>22</v>
      </c>
      <c r="AL386" s="130" t="s">
        <v>23</v>
      </c>
      <c r="AM386" s="303" t="s">
        <v>24</v>
      </c>
    </row>
    <row r="387" spans="1:39" ht="15.75" customHeight="1" x14ac:dyDescent="0.3">
      <c r="A387" s="76" t="s">
        <v>371</v>
      </c>
      <c r="B387" s="1"/>
      <c r="C387" s="1"/>
      <c r="D387" s="1"/>
      <c r="E387" s="59">
        <f>SUM(B387:D387)</f>
        <v>0</v>
      </c>
      <c r="F387" s="1"/>
      <c r="G387" s="1"/>
      <c r="H387" s="1"/>
      <c r="I387" s="59">
        <f>SUM(F387:H387)</f>
        <v>0</v>
      </c>
      <c r="J387" s="1"/>
      <c r="K387" s="1"/>
      <c r="L387" s="1"/>
      <c r="M387" s="59">
        <f>SUM(J387:L387)</f>
        <v>0</v>
      </c>
      <c r="N387" s="1"/>
      <c r="O387" s="1"/>
      <c r="P387" s="1"/>
      <c r="Q387" s="59">
        <f>SUM(N387:P387)</f>
        <v>0</v>
      </c>
      <c r="R387" s="59">
        <f t="shared" si="148"/>
        <v>0</v>
      </c>
      <c r="T387" s="4" t="s">
        <v>331</v>
      </c>
      <c r="V387" s="95" t="s">
        <v>372</v>
      </c>
      <c r="W387" s="132">
        <v>1500</v>
      </c>
      <c r="X387" s="132">
        <v>1500</v>
      </c>
      <c r="Y387" s="132">
        <v>6800</v>
      </c>
      <c r="Z387" s="4">
        <f>+SUM(W387:Y387)</f>
        <v>9800</v>
      </c>
      <c r="AA387" s="132">
        <f>8000+1500</f>
        <v>9500</v>
      </c>
      <c r="AB387" s="132">
        <f>10000+2000</f>
        <v>12000</v>
      </c>
      <c r="AC387" s="132">
        <f>12000+1500</f>
        <v>13500</v>
      </c>
      <c r="AD387" s="4">
        <f>+SUM(AA387:AC387)</f>
        <v>35000</v>
      </c>
      <c r="AE387" s="132">
        <v>25500</v>
      </c>
      <c r="AF387" s="132">
        <v>19000</v>
      </c>
      <c r="AG387" s="132">
        <v>4000</v>
      </c>
      <c r="AH387" s="4">
        <f>+SUM(AE387:AG387)</f>
        <v>48500</v>
      </c>
      <c r="AI387" s="132">
        <v>1500</v>
      </c>
      <c r="AJ387" s="132">
        <v>1000</v>
      </c>
      <c r="AK387" s="132">
        <v>1069</v>
      </c>
      <c r="AL387" s="4">
        <f>+SUM(AI387:AK387)</f>
        <v>3569</v>
      </c>
      <c r="AM387" s="304">
        <f>+Z387+AD387+AH387+AL387</f>
        <v>96869</v>
      </c>
    </row>
    <row r="388" spans="1:39" ht="15.75" customHeight="1" x14ac:dyDescent="0.3">
      <c r="A388" s="76" t="s">
        <v>373</v>
      </c>
      <c r="B388" s="1">
        <v>888</v>
      </c>
      <c r="C388" s="1">
        <v>1287</v>
      </c>
      <c r="D388" s="1">
        <v>4975</v>
      </c>
      <c r="E388" s="59">
        <f t="shared" ref="E388:E389" si="149">SUM(B388:D388)</f>
        <v>7150</v>
      </c>
      <c r="F388" s="1">
        <v>9027</v>
      </c>
      <c r="G388" s="1">
        <v>10074</v>
      </c>
      <c r="H388" s="1">
        <v>1645</v>
      </c>
      <c r="I388" s="59">
        <f t="shared" ref="I388:I393" si="150">SUM(F388:H388)</f>
        <v>20746</v>
      </c>
      <c r="J388" s="1">
        <v>1121</v>
      </c>
      <c r="K388" s="1"/>
      <c r="L388" s="1"/>
      <c r="M388" s="59">
        <f t="shared" ref="M388:M393" si="151">SUM(J388:L388)</f>
        <v>1121</v>
      </c>
      <c r="N388" s="1"/>
      <c r="O388" s="1"/>
      <c r="P388" s="1">
        <v>67</v>
      </c>
      <c r="Q388" s="59">
        <f t="shared" ref="Q388:Q394" si="152">SUM(N388:P388)</f>
        <v>67</v>
      </c>
      <c r="R388" s="59">
        <f t="shared" si="148"/>
        <v>29084</v>
      </c>
      <c r="T388" s="4" t="s">
        <v>307</v>
      </c>
      <c r="V388" s="95" t="s">
        <v>305</v>
      </c>
      <c r="W388" s="4">
        <f>+$W$382*W387</f>
        <v>270</v>
      </c>
      <c r="X388" s="4">
        <f>+$W$382*X387</f>
        <v>270</v>
      </c>
      <c r="Y388" s="4">
        <f>+$W$382*Y387</f>
        <v>1224</v>
      </c>
      <c r="Z388" s="4">
        <f>+SUM(W388:Y388)</f>
        <v>1764</v>
      </c>
      <c r="AA388" s="4">
        <f>+$W$382*AA387</f>
        <v>1710</v>
      </c>
      <c r="AB388" s="4">
        <f>+$W$382*AB387</f>
        <v>2160</v>
      </c>
      <c r="AC388" s="4">
        <f>+$W$382*AC387</f>
        <v>2430</v>
      </c>
      <c r="AD388" s="4">
        <f>+SUM(AA388:AC388)</f>
        <v>6300</v>
      </c>
      <c r="AE388" s="4">
        <f>+$W$382*AE387</f>
        <v>4590</v>
      </c>
      <c r="AF388" s="4">
        <f>+$W$382*AF387</f>
        <v>3420</v>
      </c>
      <c r="AG388" s="4">
        <f>+$W$382*AG387</f>
        <v>720</v>
      </c>
      <c r="AH388" s="4">
        <f>+SUM(AE388:AG388)</f>
        <v>8730</v>
      </c>
      <c r="AI388" s="4">
        <f>+$W$382*AI387</f>
        <v>270</v>
      </c>
      <c r="AJ388" s="4">
        <f>+$W$382*AJ387</f>
        <v>180</v>
      </c>
      <c r="AK388" s="4">
        <f>+$W$382*AK387</f>
        <v>192.42</v>
      </c>
      <c r="AL388" s="4">
        <f>+SUM(AI388:AK388)</f>
        <v>642.41999999999996</v>
      </c>
      <c r="AM388" s="304">
        <f>+Z388+AD388+AH388+AL388</f>
        <v>17436.419999999998</v>
      </c>
    </row>
    <row r="389" spans="1:39" ht="15.75" customHeight="1" x14ac:dyDescent="0.3">
      <c r="A389" s="76" t="s">
        <v>374</v>
      </c>
      <c r="B389" s="1">
        <v>3020</v>
      </c>
      <c r="C389" s="1">
        <v>1804</v>
      </c>
      <c r="D389" s="1">
        <v>5323</v>
      </c>
      <c r="E389" s="59">
        <f t="shared" si="149"/>
        <v>10147</v>
      </c>
      <c r="F389" s="1">
        <v>14969</v>
      </c>
      <c r="G389" s="1">
        <v>20569</v>
      </c>
      <c r="H389" s="1">
        <v>20160</v>
      </c>
      <c r="I389" s="59">
        <f t="shared" ref="I389" si="153">SUM(F389:H389)</f>
        <v>55698</v>
      </c>
      <c r="J389" s="1">
        <v>15588</v>
      </c>
      <c r="K389" s="1">
        <v>8344</v>
      </c>
      <c r="L389" s="1">
        <v>178</v>
      </c>
      <c r="M389" s="59">
        <f t="shared" ref="M389" si="154">SUM(J389:L389)</f>
        <v>24110</v>
      </c>
      <c r="N389" s="1"/>
      <c r="O389" s="1">
        <v>571</v>
      </c>
      <c r="P389" s="1">
        <v>2160</v>
      </c>
      <c r="Q389" s="59">
        <f t="shared" si="152"/>
        <v>2731</v>
      </c>
      <c r="R389" s="59">
        <f t="shared" si="148"/>
        <v>92686</v>
      </c>
      <c r="T389" s="4" t="s">
        <v>305</v>
      </c>
      <c r="V389" s="95" t="s">
        <v>366</v>
      </c>
      <c r="W389" s="4">
        <f>+$W$383*W387</f>
        <v>780</v>
      </c>
      <c r="X389" s="4">
        <f>+$W$383*X387</f>
        <v>780</v>
      </c>
      <c r="Y389" s="4">
        <f>+$W$383*Y387</f>
        <v>3536</v>
      </c>
      <c r="Z389" s="4">
        <f>+SUM(W389:Y389)</f>
        <v>5096</v>
      </c>
      <c r="AA389" s="4">
        <f>+$W$383*AA387</f>
        <v>4940</v>
      </c>
      <c r="AB389" s="4">
        <f>+$W$383*AB387</f>
        <v>6240</v>
      </c>
      <c r="AC389" s="4">
        <f>+$W$383*AC387</f>
        <v>7020</v>
      </c>
      <c r="AD389" s="4">
        <f>+SUM(AA389:AC389)</f>
        <v>18200</v>
      </c>
      <c r="AE389" s="4">
        <f>+$W$383*AE387</f>
        <v>13260</v>
      </c>
      <c r="AF389" s="4">
        <f>+$W$383*AF387</f>
        <v>9880</v>
      </c>
      <c r="AG389" s="4">
        <f>+$W$383*AG387</f>
        <v>2080</v>
      </c>
      <c r="AH389" s="4">
        <f>+SUM(AE389:AG389)</f>
        <v>25220</v>
      </c>
      <c r="AI389" s="4">
        <f>+$W$383*AI387</f>
        <v>780</v>
      </c>
      <c r="AJ389" s="4">
        <f>+$W$383*AJ387</f>
        <v>520</v>
      </c>
      <c r="AK389" s="4">
        <f>+$W$383*AK387</f>
        <v>555.88</v>
      </c>
      <c r="AL389" s="4">
        <f>+SUM(AI389:AK389)</f>
        <v>1855.88</v>
      </c>
      <c r="AM389" s="304">
        <f>+Z389+AD389+AH389+AL389</f>
        <v>50371.88</v>
      </c>
    </row>
    <row r="390" spans="1:39" ht="15.75" customHeight="1" x14ac:dyDescent="0.3">
      <c r="A390" s="76" t="s">
        <v>375</v>
      </c>
      <c r="B390" s="1"/>
      <c r="C390" s="1"/>
      <c r="D390" s="1"/>
      <c r="E390" s="59">
        <f t="shared" ref="E390:E393" si="155">SUM(B390:D390)</f>
        <v>0</v>
      </c>
      <c r="F390" s="1"/>
      <c r="G390" s="1"/>
      <c r="H390" s="1"/>
      <c r="I390" s="59">
        <f t="shared" si="150"/>
        <v>0</v>
      </c>
      <c r="J390" s="1"/>
      <c r="K390" s="1"/>
      <c r="L390" s="1"/>
      <c r="M390" s="59">
        <f t="shared" si="151"/>
        <v>0</v>
      </c>
      <c r="N390" s="1"/>
      <c r="O390" s="1"/>
      <c r="P390" s="1"/>
      <c r="Q390" s="59">
        <f t="shared" si="152"/>
        <v>0</v>
      </c>
      <c r="R390" s="59">
        <f t="shared" si="148"/>
        <v>0</v>
      </c>
      <c r="T390" s="4" t="s">
        <v>376</v>
      </c>
      <c r="V390" s="95" t="s">
        <v>368</v>
      </c>
      <c r="W390" s="4">
        <f>+$W$384*W387</f>
        <v>450</v>
      </c>
      <c r="X390" s="4">
        <f>+$W$384*X387</f>
        <v>450</v>
      </c>
      <c r="Y390" s="4">
        <f>+$W$384*Y387</f>
        <v>2040</v>
      </c>
      <c r="Z390" s="4">
        <f>+SUM(W390:Y390)</f>
        <v>2940</v>
      </c>
      <c r="AA390" s="4">
        <f>+$W$384*AA387</f>
        <v>2850</v>
      </c>
      <c r="AB390" s="4">
        <f>+$W$384*AB387</f>
        <v>3600</v>
      </c>
      <c r="AC390" s="4">
        <f>+$W$384*AC387</f>
        <v>4050</v>
      </c>
      <c r="AD390" s="4">
        <f>+SUM(AA390:AC390)</f>
        <v>10500</v>
      </c>
      <c r="AE390" s="4">
        <f>+$W$384*AE387</f>
        <v>7650</v>
      </c>
      <c r="AF390" s="4">
        <f>+$W$384*AF387</f>
        <v>5700</v>
      </c>
      <c r="AG390" s="4">
        <f>+$W$384*AG387</f>
        <v>1200</v>
      </c>
      <c r="AH390" s="4">
        <f>+SUM(AE390:AG390)</f>
        <v>14550</v>
      </c>
      <c r="AI390" s="4">
        <f>+$W$384*AI387</f>
        <v>450</v>
      </c>
      <c r="AJ390" s="4">
        <f>+$W$384*AJ387</f>
        <v>300</v>
      </c>
      <c r="AK390" s="4">
        <f>+$W$384*AK387</f>
        <v>320.7</v>
      </c>
      <c r="AL390" s="4">
        <f>+$W$384*AL387</f>
        <v>1070.7</v>
      </c>
      <c r="AM390" s="304">
        <f>+Z390+AD390+AH390+AL390</f>
        <v>29060.7</v>
      </c>
    </row>
    <row r="391" spans="1:39" ht="15.75" customHeight="1" thickBot="1" x14ac:dyDescent="0.35">
      <c r="A391" s="76" t="s">
        <v>377</v>
      </c>
      <c r="B391" s="1">
        <v>630</v>
      </c>
      <c r="C391" s="1">
        <v>1157</v>
      </c>
      <c r="D391" s="1">
        <v>189</v>
      </c>
      <c r="E391" s="59">
        <f t="shared" ref="E391" si="156">SUM(B391:D391)</f>
        <v>1976</v>
      </c>
      <c r="F391" s="1">
        <v>924</v>
      </c>
      <c r="G391" s="1"/>
      <c r="H391" s="1"/>
      <c r="I391" s="59">
        <f t="shared" ref="I391" si="157">SUM(F391:H391)</f>
        <v>924</v>
      </c>
      <c r="J391" s="1"/>
      <c r="K391" s="1"/>
      <c r="L391" s="1"/>
      <c r="M391" s="59">
        <f t="shared" ref="M391" si="158">SUM(J391:L391)</f>
        <v>0</v>
      </c>
      <c r="N391" s="1"/>
      <c r="O391" s="1"/>
      <c r="P391" s="1"/>
      <c r="Q391" s="59">
        <f t="shared" si="152"/>
        <v>0</v>
      </c>
      <c r="R391" s="59">
        <f t="shared" si="148"/>
        <v>2900</v>
      </c>
      <c r="T391" s="4" t="s">
        <v>331</v>
      </c>
      <c r="V391" s="134"/>
      <c r="W391" s="135"/>
      <c r="X391" s="135"/>
      <c r="Y391" s="135"/>
      <c r="Z391" s="135"/>
      <c r="AA391" s="135"/>
      <c r="AB391" s="135"/>
      <c r="AC391" s="135"/>
      <c r="AD391" s="135"/>
      <c r="AE391" s="135"/>
      <c r="AF391" s="135"/>
      <c r="AG391" s="135"/>
      <c r="AH391" s="135"/>
      <c r="AI391" s="135"/>
      <c r="AJ391" s="135"/>
      <c r="AK391" s="135"/>
      <c r="AL391" s="135"/>
      <c r="AM391" s="136"/>
    </row>
    <row r="392" spans="1:39" s="20" customFormat="1" ht="15.75" customHeight="1" x14ac:dyDescent="0.3">
      <c r="A392" s="104" t="s">
        <v>378</v>
      </c>
      <c r="B392" s="92"/>
      <c r="C392" s="92"/>
      <c r="D392" s="92"/>
      <c r="E392" s="93">
        <f t="shared" si="155"/>
        <v>0</v>
      </c>
      <c r="F392" s="92"/>
      <c r="G392" s="92"/>
      <c r="H392" s="92"/>
      <c r="I392" s="93">
        <f t="shared" si="150"/>
        <v>0</v>
      </c>
      <c r="J392" s="92"/>
      <c r="K392" s="92"/>
      <c r="L392" s="92"/>
      <c r="M392" s="93">
        <f t="shared" si="151"/>
        <v>0</v>
      </c>
      <c r="N392" s="92"/>
      <c r="O392" s="92"/>
      <c r="P392" s="92"/>
      <c r="Q392" s="93">
        <f t="shared" ref="Q392" si="159">SUM(N392:P392)</f>
        <v>0</v>
      </c>
      <c r="R392" s="93">
        <f t="shared" si="148"/>
        <v>0</v>
      </c>
    </row>
    <row r="393" spans="1:39" ht="15.75" customHeight="1" x14ac:dyDescent="0.3">
      <c r="A393" s="76" t="s">
        <v>379</v>
      </c>
      <c r="B393" s="1"/>
      <c r="C393" s="1"/>
      <c r="D393" s="1"/>
      <c r="E393" s="59">
        <f t="shared" si="155"/>
        <v>0</v>
      </c>
      <c r="F393" s="1"/>
      <c r="G393" s="1"/>
      <c r="H393" s="1"/>
      <c r="I393" s="59">
        <f t="shared" si="150"/>
        <v>0</v>
      </c>
      <c r="J393" s="1"/>
      <c r="K393" s="1"/>
      <c r="L393" s="1"/>
      <c r="M393" s="59">
        <f t="shared" si="151"/>
        <v>0</v>
      </c>
      <c r="N393" s="1"/>
      <c r="O393" s="1"/>
      <c r="P393" s="1">
        <v>6</v>
      </c>
      <c r="Q393" s="59">
        <f t="shared" si="152"/>
        <v>6</v>
      </c>
      <c r="R393" s="59">
        <f t="shared" si="148"/>
        <v>6</v>
      </c>
      <c r="T393" s="4" t="s">
        <v>317</v>
      </c>
    </row>
    <row r="394" spans="1:39" ht="15.75" customHeight="1" x14ac:dyDescent="0.3">
      <c r="A394" s="76" t="s">
        <v>380</v>
      </c>
      <c r="B394" s="1"/>
      <c r="C394" s="1"/>
      <c r="D394" s="1"/>
      <c r="E394" s="59">
        <f t="shared" ref="E394" si="160">SUM(B394:D394)</f>
        <v>0</v>
      </c>
      <c r="F394" s="1"/>
      <c r="G394" s="1"/>
      <c r="H394" s="1">
        <v>226</v>
      </c>
      <c r="I394" s="59">
        <f t="shared" ref="I394" si="161">SUM(F394:H394)</f>
        <v>226</v>
      </c>
      <c r="J394" s="1">
        <v>1928</v>
      </c>
      <c r="K394" s="1">
        <v>1328</v>
      </c>
      <c r="L394" s="1">
        <v>1182</v>
      </c>
      <c r="M394" s="59">
        <f t="shared" ref="M394" si="162">SUM(J394:L394)</f>
        <v>4438</v>
      </c>
      <c r="N394" s="1">
        <v>35</v>
      </c>
      <c r="O394" s="1">
        <v>410</v>
      </c>
      <c r="P394" s="1">
        <v>399</v>
      </c>
      <c r="Q394" s="59">
        <f t="shared" si="152"/>
        <v>844</v>
      </c>
      <c r="R394" s="59">
        <f t="shared" si="148"/>
        <v>5508</v>
      </c>
    </row>
    <row r="395" spans="1:39" ht="15.75" customHeight="1" thickBot="1" x14ac:dyDescent="0.35">
      <c r="A395" s="17" t="s">
        <v>56</v>
      </c>
      <c r="B395" s="1"/>
      <c r="C395" s="1"/>
      <c r="D395" s="1"/>
      <c r="E395" s="59" t="s">
        <v>7</v>
      </c>
      <c r="F395" s="1"/>
      <c r="G395" s="1"/>
      <c r="H395" s="1"/>
      <c r="I395" s="59" t="s">
        <v>7</v>
      </c>
      <c r="J395" s="1"/>
      <c r="K395" s="1"/>
      <c r="L395" s="1"/>
      <c r="M395" s="59" t="s">
        <v>7</v>
      </c>
      <c r="N395" s="1"/>
      <c r="O395" s="1"/>
      <c r="P395" s="1"/>
      <c r="Q395" s="59" t="s">
        <v>7</v>
      </c>
      <c r="R395" s="59" t="s">
        <v>7</v>
      </c>
    </row>
    <row r="396" spans="1:39" ht="16.5" customHeight="1" thickBot="1" x14ac:dyDescent="0.35">
      <c r="A396" s="62" t="s">
        <v>57</v>
      </c>
      <c r="B396" s="100">
        <f>SUM(B383:B395)</f>
        <v>4580</v>
      </c>
      <c r="C396" s="101">
        <f>SUM(C383:C395)</f>
        <v>4272</v>
      </c>
      <c r="D396" s="101">
        <f>SUM(D383:D395)</f>
        <v>10624</v>
      </c>
      <c r="E396" s="64">
        <f>SUM(B396:D396)</f>
        <v>19476</v>
      </c>
      <c r="F396" s="101">
        <f>SUM(F383:F395)</f>
        <v>26479</v>
      </c>
      <c r="G396" s="101">
        <f>SUM(G383:G395)</f>
        <v>33671</v>
      </c>
      <c r="H396" s="101">
        <f>SUM(H383:H395)</f>
        <v>25079</v>
      </c>
      <c r="I396" s="64">
        <f>SUM(F396:H396)</f>
        <v>85229</v>
      </c>
      <c r="J396" s="101">
        <f>SUM(J383:J395)</f>
        <v>22844</v>
      </c>
      <c r="K396" s="101">
        <f>SUM(K383:K395)</f>
        <v>13535</v>
      </c>
      <c r="L396" s="101">
        <f>SUM(L383:L395)</f>
        <v>4352</v>
      </c>
      <c r="M396" s="64">
        <f>SUM(J396:L396)</f>
        <v>40731</v>
      </c>
      <c r="N396" s="101">
        <f>SUM(N383:N395)</f>
        <v>35</v>
      </c>
      <c r="O396" s="101">
        <f>SUM(O383:O395)</f>
        <v>2029</v>
      </c>
      <c r="P396" s="101">
        <f>SUM(P383:P395)</f>
        <v>2659</v>
      </c>
      <c r="Q396" s="64">
        <f>SUM(N396:P396)</f>
        <v>4723</v>
      </c>
      <c r="R396" s="64">
        <f>+E396+I396+M396+Q396</f>
        <v>150159</v>
      </c>
    </row>
    <row r="397" spans="1:39" ht="15.75" customHeight="1" x14ac:dyDescent="0.3">
      <c r="A397" s="17" t="s">
        <v>58</v>
      </c>
      <c r="B397" s="1"/>
      <c r="C397" s="1"/>
      <c r="D397" s="1"/>
      <c r="E397" s="59" t="s">
        <v>7</v>
      </c>
      <c r="F397" s="1"/>
      <c r="G397" s="1"/>
      <c r="H397" s="1"/>
      <c r="I397" s="59" t="s">
        <v>7</v>
      </c>
      <c r="J397" s="1"/>
      <c r="K397" s="1"/>
      <c r="L397" s="1"/>
      <c r="M397" s="59" t="s">
        <v>7</v>
      </c>
      <c r="N397" s="1"/>
      <c r="O397" s="1"/>
      <c r="P397" s="1"/>
      <c r="Q397" s="59" t="s">
        <v>7</v>
      </c>
      <c r="R397" s="59" t="s">
        <v>7</v>
      </c>
    </row>
    <row r="398" spans="1:39" ht="15.75" customHeight="1" x14ac:dyDescent="0.3">
      <c r="A398" s="17" t="s">
        <v>59</v>
      </c>
      <c r="B398" s="1"/>
      <c r="C398" s="1"/>
      <c r="D398" s="1"/>
      <c r="E398" s="59" t="s">
        <v>7</v>
      </c>
      <c r="F398" s="1"/>
      <c r="G398" s="1"/>
      <c r="H398" s="1"/>
      <c r="I398" s="59" t="s">
        <v>7</v>
      </c>
      <c r="J398" s="1"/>
      <c r="K398" s="1"/>
      <c r="L398" s="1"/>
      <c r="M398" s="59" t="s">
        <v>7</v>
      </c>
      <c r="N398" s="1"/>
      <c r="O398" s="1"/>
      <c r="P398" s="1"/>
      <c r="Q398" s="59" t="s">
        <v>7</v>
      </c>
      <c r="R398" s="59" t="s">
        <v>7</v>
      </c>
    </row>
    <row r="399" spans="1:39" ht="15.75" customHeight="1" x14ac:dyDescent="0.3">
      <c r="A399" s="76" t="s">
        <v>381</v>
      </c>
      <c r="B399" s="1">
        <v>2695</v>
      </c>
      <c r="C399" s="1">
        <v>2762</v>
      </c>
      <c r="D399" s="1">
        <v>7469</v>
      </c>
      <c r="E399" s="59">
        <f>SUM(B399:D399)</f>
        <v>12926</v>
      </c>
      <c r="F399" s="1">
        <v>8692</v>
      </c>
      <c r="G399" s="1">
        <v>12002</v>
      </c>
      <c r="H399" s="1">
        <v>11518</v>
      </c>
      <c r="I399" s="59">
        <f>SUM(F399:H399)</f>
        <v>32212</v>
      </c>
      <c r="J399" s="1">
        <v>9679</v>
      </c>
      <c r="K399" s="1">
        <v>6421</v>
      </c>
      <c r="L399" s="1">
        <v>4956</v>
      </c>
      <c r="M399" s="59">
        <f>SUM(J399:L399)</f>
        <v>21056</v>
      </c>
      <c r="N399" s="1">
        <v>459</v>
      </c>
      <c r="O399" s="1">
        <v>1030</v>
      </c>
      <c r="P399" s="1">
        <v>996</v>
      </c>
      <c r="Q399" s="59">
        <f>SUM(N399:P399)</f>
        <v>2485</v>
      </c>
      <c r="R399" s="59">
        <f>+E399+I399+M399+Q399</f>
        <v>68679</v>
      </c>
      <c r="T399" s="4" t="s">
        <v>305</v>
      </c>
    </row>
    <row r="400" spans="1:39" ht="15.75" customHeight="1" x14ac:dyDescent="0.3">
      <c r="A400" s="76" t="s">
        <v>382</v>
      </c>
      <c r="B400" s="1"/>
      <c r="C400" s="1">
        <f>468+47</f>
        <v>515</v>
      </c>
      <c r="D400" s="1">
        <f>323+326</f>
        <v>649</v>
      </c>
      <c r="E400" s="59">
        <f>SUM(B400:D400)</f>
        <v>1164</v>
      </c>
      <c r="F400" s="1">
        <f>593+117</f>
        <v>710</v>
      </c>
      <c r="G400" s="1">
        <f>730+2717</f>
        <v>3447</v>
      </c>
      <c r="H400" s="1">
        <f>1762+4636</f>
        <v>6398</v>
      </c>
      <c r="I400" s="59">
        <f>SUM(F400:H400)</f>
        <v>10555</v>
      </c>
      <c r="J400" s="1">
        <v>12927</v>
      </c>
      <c r="K400" s="1">
        <v>11204</v>
      </c>
      <c r="L400" s="1">
        <v>9302</v>
      </c>
      <c r="M400" s="59">
        <f>SUM(J400:L400)</f>
        <v>33433</v>
      </c>
      <c r="N400" s="1">
        <v>1742</v>
      </c>
      <c r="O400" s="1">
        <v>4665</v>
      </c>
      <c r="P400" s="1">
        <v>3248</v>
      </c>
      <c r="Q400" s="59">
        <f>SUM(N400:P400)</f>
        <v>9655</v>
      </c>
      <c r="R400" s="59">
        <f>+E400+I400+M400+Q400</f>
        <v>54807</v>
      </c>
      <c r="T400" s="4" t="s">
        <v>336</v>
      </c>
    </row>
    <row r="401" spans="1:20" ht="15.75" customHeight="1" x14ac:dyDescent="0.3">
      <c r="A401" s="17" t="s">
        <v>60</v>
      </c>
      <c r="B401" s="1"/>
      <c r="C401" s="1"/>
      <c r="D401" s="1"/>
      <c r="E401" s="59" t="s">
        <v>7</v>
      </c>
      <c r="F401" s="1"/>
      <c r="G401" s="1"/>
      <c r="H401" s="1"/>
      <c r="I401" s="59" t="s">
        <v>7</v>
      </c>
      <c r="J401" s="1"/>
      <c r="K401" s="1"/>
      <c r="L401" s="1"/>
      <c r="M401" s="59" t="s">
        <v>7</v>
      </c>
      <c r="N401" s="1"/>
      <c r="O401" s="1"/>
      <c r="P401" s="1"/>
      <c r="Q401" s="59" t="s">
        <v>7</v>
      </c>
      <c r="R401" s="59" t="s">
        <v>7</v>
      </c>
    </row>
    <row r="402" spans="1:20" ht="15.75" customHeight="1" x14ac:dyDescent="0.3">
      <c r="A402" s="76" t="s">
        <v>385</v>
      </c>
      <c r="B402" s="1"/>
      <c r="C402" s="1"/>
      <c r="D402" s="1"/>
      <c r="E402" s="59">
        <f>SUM(B402:D402)</f>
        <v>0</v>
      </c>
      <c r="F402" s="1"/>
      <c r="G402" s="1">
        <v>90</v>
      </c>
      <c r="H402" s="1">
        <v>4910</v>
      </c>
      <c r="I402" s="59">
        <f>SUM(F402:H402)</f>
        <v>5000</v>
      </c>
      <c r="J402" s="1"/>
      <c r="K402" s="1"/>
      <c r="L402" s="1"/>
      <c r="M402" s="59">
        <f>SUM(J402:L402)</f>
        <v>0</v>
      </c>
      <c r="N402" s="1"/>
      <c r="O402" s="1"/>
      <c r="P402" s="1"/>
      <c r="Q402" s="59">
        <f>SUM(N402:P402)</f>
        <v>0</v>
      </c>
      <c r="R402" s="59">
        <f t="shared" ref="R402:R450" si="163">+E402+I402+M402+Q402</f>
        <v>5000</v>
      </c>
    </row>
    <row r="403" spans="1:20" ht="15.75" customHeight="1" x14ac:dyDescent="0.3">
      <c r="A403" s="76" t="s">
        <v>388</v>
      </c>
      <c r="B403" s="1"/>
      <c r="C403" s="1"/>
      <c r="D403" s="1"/>
      <c r="E403" s="59">
        <f t="shared" ref="E403:E406" si="164">SUM(B403:D403)</f>
        <v>0</v>
      </c>
      <c r="F403" s="1"/>
      <c r="G403" s="1"/>
      <c r="H403" s="1"/>
      <c r="I403" s="59">
        <f t="shared" ref="I403:I450" si="165">SUM(F403:H403)</f>
        <v>0</v>
      </c>
      <c r="J403" s="1"/>
      <c r="K403" s="1"/>
      <c r="L403" s="1"/>
      <c r="M403" s="59">
        <f t="shared" ref="M403:M450" si="166">SUM(J403:L403)</f>
        <v>0</v>
      </c>
      <c r="N403" s="1"/>
      <c r="O403" s="1"/>
      <c r="P403" s="1"/>
      <c r="Q403" s="59">
        <f t="shared" ref="Q403:Q451" si="167">SUM(N403:P403)</f>
        <v>0</v>
      </c>
      <c r="R403" s="59">
        <f t="shared" si="163"/>
        <v>0</v>
      </c>
    </row>
    <row r="404" spans="1:20" ht="15.75" customHeight="1" x14ac:dyDescent="0.3">
      <c r="A404" s="76" t="s">
        <v>389</v>
      </c>
      <c r="B404" s="1"/>
      <c r="C404" s="1"/>
      <c r="D404" s="1">
        <v>972</v>
      </c>
      <c r="E404" s="59">
        <f t="shared" si="164"/>
        <v>972</v>
      </c>
      <c r="F404" s="1"/>
      <c r="G404" s="1"/>
      <c r="H404" s="1"/>
      <c r="I404" s="59">
        <f t="shared" si="165"/>
        <v>0</v>
      </c>
      <c r="J404" s="1"/>
      <c r="K404" s="1"/>
      <c r="L404" s="1"/>
      <c r="M404" s="59">
        <f t="shared" si="166"/>
        <v>0</v>
      </c>
      <c r="N404" s="1"/>
      <c r="O404" s="1"/>
      <c r="P404" s="1"/>
      <c r="Q404" s="59">
        <f t="shared" si="167"/>
        <v>0</v>
      </c>
      <c r="R404" s="59">
        <f t="shared" si="163"/>
        <v>972</v>
      </c>
      <c r="T404" s="4" t="s">
        <v>315</v>
      </c>
    </row>
    <row r="405" spans="1:20" ht="15.75" customHeight="1" x14ac:dyDescent="0.3">
      <c r="A405" s="76" t="s">
        <v>391</v>
      </c>
      <c r="B405" s="1">
        <v>786</v>
      </c>
      <c r="C405" s="1">
        <v>77</v>
      </c>
      <c r="D405" s="1"/>
      <c r="E405" s="59">
        <f t="shared" si="164"/>
        <v>863</v>
      </c>
      <c r="F405" s="1"/>
      <c r="G405" s="1"/>
      <c r="H405" s="1"/>
      <c r="I405" s="59">
        <f t="shared" si="165"/>
        <v>0</v>
      </c>
      <c r="J405" s="1"/>
      <c r="K405" s="1"/>
      <c r="L405" s="1"/>
      <c r="M405" s="59">
        <f t="shared" si="166"/>
        <v>0</v>
      </c>
      <c r="N405" s="1"/>
      <c r="O405" s="1"/>
      <c r="P405" s="1"/>
      <c r="Q405" s="59">
        <f t="shared" si="167"/>
        <v>0</v>
      </c>
      <c r="R405" s="59">
        <f t="shared" si="163"/>
        <v>863</v>
      </c>
      <c r="T405" s="4" t="s">
        <v>217</v>
      </c>
    </row>
    <row r="406" spans="1:20" ht="15.75" customHeight="1" x14ac:dyDescent="0.3">
      <c r="A406" s="76" t="s">
        <v>392</v>
      </c>
      <c r="B406" s="1"/>
      <c r="C406" s="1"/>
      <c r="D406" s="1"/>
      <c r="E406" s="59">
        <f t="shared" si="164"/>
        <v>0</v>
      </c>
      <c r="F406" s="1"/>
      <c r="G406" s="1"/>
      <c r="H406" s="1"/>
      <c r="I406" s="59">
        <f t="shared" si="165"/>
        <v>0</v>
      </c>
      <c r="J406" s="1"/>
      <c r="K406" s="1"/>
      <c r="L406" s="1"/>
      <c r="M406" s="59">
        <f t="shared" si="166"/>
        <v>0</v>
      </c>
      <c r="N406" s="1"/>
      <c r="O406" s="1"/>
      <c r="P406" s="1"/>
      <c r="Q406" s="59">
        <f t="shared" si="167"/>
        <v>0</v>
      </c>
      <c r="R406" s="59">
        <f t="shared" si="163"/>
        <v>0</v>
      </c>
      <c r="T406" s="4" t="s">
        <v>315</v>
      </c>
    </row>
    <row r="407" spans="1:20" ht="15.75" customHeight="1" x14ac:dyDescent="0.3">
      <c r="A407" s="76" t="s">
        <v>393</v>
      </c>
      <c r="B407" s="1"/>
      <c r="C407" s="1"/>
      <c r="D407" s="1"/>
      <c r="E407" s="59">
        <f t="shared" ref="E407:E450" si="168">SUM(B407:D407)</f>
        <v>0</v>
      </c>
      <c r="F407" s="1">
        <v>138</v>
      </c>
      <c r="G407" s="1">
        <v>489</v>
      </c>
      <c r="H407" s="1"/>
      <c r="I407" s="59">
        <f t="shared" si="165"/>
        <v>627</v>
      </c>
      <c r="J407" s="1"/>
      <c r="K407" s="1"/>
      <c r="L407" s="1"/>
      <c r="M407" s="59">
        <f t="shared" si="166"/>
        <v>0</v>
      </c>
      <c r="N407" s="1"/>
      <c r="O407" s="1"/>
      <c r="P407" s="1"/>
      <c r="Q407" s="59">
        <f t="shared" si="167"/>
        <v>0</v>
      </c>
      <c r="R407" s="59">
        <f t="shared" si="163"/>
        <v>627</v>
      </c>
    </row>
    <row r="408" spans="1:20" ht="15.75" customHeight="1" x14ac:dyDescent="0.3">
      <c r="A408" s="76" t="s">
        <v>394</v>
      </c>
      <c r="B408" s="1"/>
      <c r="C408" s="1"/>
      <c r="D408" s="1"/>
      <c r="E408" s="59">
        <f t="shared" si="168"/>
        <v>0</v>
      </c>
      <c r="F408" s="1"/>
      <c r="G408" s="1"/>
      <c r="H408" s="1"/>
      <c r="I408" s="59">
        <f t="shared" si="165"/>
        <v>0</v>
      </c>
      <c r="J408" s="1"/>
      <c r="K408" s="1"/>
      <c r="L408" s="1"/>
      <c r="M408" s="59">
        <f t="shared" si="166"/>
        <v>0</v>
      </c>
      <c r="N408" s="1"/>
      <c r="O408" s="1"/>
      <c r="P408" s="1"/>
      <c r="Q408" s="59">
        <f t="shared" si="167"/>
        <v>0</v>
      </c>
      <c r="R408" s="59">
        <f t="shared" si="163"/>
        <v>0</v>
      </c>
    </row>
    <row r="409" spans="1:20" ht="15.75" customHeight="1" x14ac:dyDescent="0.3">
      <c r="A409" s="76" t="s">
        <v>395</v>
      </c>
      <c r="B409" s="1"/>
      <c r="C409" s="1"/>
      <c r="D409" s="1"/>
      <c r="E409" s="59">
        <f t="shared" si="168"/>
        <v>0</v>
      </c>
      <c r="F409" s="1"/>
      <c r="G409" s="1"/>
      <c r="H409" s="1"/>
      <c r="I409" s="59">
        <f t="shared" si="165"/>
        <v>0</v>
      </c>
      <c r="J409" s="1"/>
      <c r="K409" s="1"/>
      <c r="L409" s="1"/>
      <c r="M409" s="59">
        <f t="shared" si="166"/>
        <v>0</v>
      </c>
      <c r="N409" s="1"/>
      <c r="O409" s="1"/>
      <c r="P409" s="1"/>
      <c r="Q409" s="59">
        <f t="shared" si="167"/>
        <v>0</v>
      </c>
      <c r="R409" s="59">
        <f>+E409+I409+M409+Q409</f>
        <v>0</v>
      </c>
      <c r="T409" s="4" t="s">
        <v>317</v>
      </c>
    </row>
    <row r="410" spans="1:20" ht="15.75" customHeight="1" x14ac:dyDescent="0.3">
      <c r="A410" s="76" t="s">
        <v>396</v>
      </c>
      <c r="B410" s="1"/>
      <c r="C410" s="1"/>
      <c r="D410" s="1"/>
      <c r="E410" s="59">
        <f t="shared" si="168"/>
        <v>0</v>
      </c>
      <c r="F410" s="1"/>
      <c r="G410" s="1"/>
      <c r="H410" s="1"/>
      <c r="I410" s="59">
        <f t="shared" si="165"/>
        <v>0</v>
      </c>
      <c r="J410" s="1"/>
      <c r="K410" s="1"/>
      <c r="L410" s="1"/>
      <c r="M410" s="59">
        <f t="shared" si="166"/>
        <v>0</v>
      </c>
      <c r="N410" s="1">
        <v>727</v>
      </c>
      <c r="O410" s="1"/>
      <c r="P410" s="1"/>
      <c r="Q410" s="59">
        <f t="shared" si="167"/>
        <v>727</v>
      </c>
      <c r="R410" s="59">
        <f t="shared" si="163"/>
        <v>727</v>
      </c>
      <c r="T410" s="4" t="s">
        <v>305</v>
      </c>
    </row>
    <row r="411" spans="1:20" ht="15.75" customHeight="1" x14ac:dyDescent="0.3">
      <c r="A411" s="76" t="s">
        <v>397</v>
      </c>
      <c r="B411" s="1">
        <v>317</v>
      </c>
      <c r="C411" s="1">
        <v>706</v>
      </c>
      <c r="D411" s="1">
        <v>1000</v>
      </c>
      <c r="E411" s="59">
        <f t="shared" si="168"/>
        <v>2023</v>
      </c>
      <c r="F411" s="1">
        <v>2927</v>
      </c>
      <c r="G411" s="1">
        <v>2769</v>
      </c>
      <c r="H411" s="1">
        <v>2000</v>
      </c>
      <c r="I411" s="59">
        <f t="shared" si="165"/>
        <v>7696</v>
      </c>
      <c r="J411" s="1">
        <f>2780+2475</f>
        <v>5255</v>
      </c>
      <c r="K411" s="1"/>
      <c r="L411" s="1">
        <v>26</v>
      </c>
      <c r="M411" s="59">
        <f t="shared" si="166"/>
        <v>5281</v>
      </c>
      <c r="N411" s="1"/>
      <c r="O411" s="1"/>
      <c r="P411" s="1"/>
      <c r="Q411" s="59">
        <f t="shared" si="167"/>
        <v>0</v>
      </c>
      <c r="R411" s="59">
        <f t="shared" si="163"/>
        <v>15000</v>
      </c>
    </row>
    <row r="412" spans="1:20" ht="15.75" customHeight="1" x14ac:dyDescent="0.3">
      <c r="A412" s="76" t="s">
        <v>398</v>
      </c>
      <c r="B412" s="1"/>
      <c r="C412" s="1">
        <v>1620</v>
      </c>
      <c r="D412" s="1">
        <v>3060</v>
      </c>
      <c r="E412" s="59">
        <f t="shared" si="168"/>
        <v>4680</v>
      </c>
      <c r="F412" s="1">
        <v>3580</v>
      </c>
      <c r="G412" s="1">
        <v>6080</v>
      </c>
      <c r="H412" s="1">
        <v>7630</v>
      </c>
      <c r="I412" s="59">
        <f t="shared" si="165"/>
        <v>17290</v>
      </c>
      <c r="J412" s="1">
        <v>4530</v>
      </c>
      <c r="K412" s="1">
        <v>3000</v>
      </c>
      <c r="L412" s="1">
        <v>5500</v>
      </c>
      <c r="M412" s="59">
        <f t="shared" si="166"/>
        <v>13030</v>
      </c>
      <c r="N412" s="1"/>
      <c r="O412" s="1">
        <v>6300</v>
      </c>
      <c r="P412" s="1">
        <v>1700</v>
      </c>
      <c r="Q412" s="59">
        <f t="shared" si="167"/>
        <v>8000</v>
      </c>
      <c r="R412" s="59">
        <f t="shared" si="163"/>
        <v>43000</v>
      </c>
      <c r="T412" s="4" t="s">
        <v>305</v>
      </c>
    </row>
    <row r="413" spans="1:20" ht="15.75" customHeight="1" x14ac:dyDescent="0.3">
      <c r="A413" s="76" t="s">
        <v>399</v>
      </c>
      <c r="B413" s="1"/>
      <c r="C413" s="1"/>
      <c r="D413" s="1"/>
      <c r="E413" s="59">
        <f t="shared" si="168"/>
        <v>0</v>
      </c>
      <c r="F413" s="1"/>
      <c r="G413" s="1"/>
      <c r="H413" s="1">
        <v>7282</v>
      </c>
      <c r="I413" s="59">
        <f t="shared" si="165"/>
        <v>7282</v>
      </c>
      <c r="J413" s="1">
        <f>12245+1506</f>
        <v>13751</v>
      </c>
      <c r="K413" s="1">
        <f>10823+1469</f>
        <v>12292</v>
      </c>
      <c r="L413" s="1">
        <f>6368+992</f>
        <v>7360</v>
      </c>
      <c r="M413" s="59">
        <f t="shared" si="166"/>
        <v>33403</v>
      </c>
      <c r="N413" s="1">
        <f>2809+21</f>
        <v>2830</v>
      </c>
      <c r="O413" s="1">
        <f>3339+105</f>
        <v>3444</v>
      </c>
      <c r="P413" s="1">
        <f>2714+327</f>
        <v>3041</v>
      </c>
      <c r="Q413" s="59">
        <f t="shared" si="167"/>
        <v>9315</v>
      </c>
      <c r="R413" s="59">
        <f t="shared" si="163"/>
        <v>50000</v>
      </c>
    </row>
    <row r="414" spans="1:20" ht="15.75" customHeight="1" x14ac:dyDescent="0.3">
      <c r="A414" s="76" t="s">
        <v>404</v>
      </c>
      <c r="B414" s="1"/>
      <c r="C414" s="1">
        <v>1572</v>
      </c>
      <c r="D414" s="1">
        <v>3774</v>
      </c>
      <c r="E414" s="59">
        <f t="shared" si="168"/>
        <v>5346</v>
      </c>
      <c r="F414" s="1">
        <v>5715</v>
      </c>
      <c r="G414" s="1">
        <v>939</v>
      </c>
      <c r="H414" s="1"/>
      <c r="I414" s="59">
        <f t="shared" si="165"/>
        <v>6654</v>
      </c>
      <c r="J414" s="1"/>
      <c r="K414" s="1"/>
      <c r="L414" s="1"/>
      <c r="M414" s="59">
        <f t="shared" si="166"/>
        <v>0</v>
      </c>
      <c r="N414" s="1"/>
      <c r="O414" s="1"/>
      <c r="P414" s="1"/>
      <c r="Q414" s="59">
        <f t="shared" si="167"/>
        <v>0</v>
      </c>
      <c r="R414" s="59">
        <f t="shared" si="163"/>
        <v>12000</v>
      </c>
    </row>
    <row r="415" spans="1:20" ht="15.75" customHeight="1" x14ac:dyDescent="0.3">
      <c r="A415" s="76" t="s">
        <v>405</v>
      </c>
      <c r="B415" s="1"/>
      <c r="C415" s="1"/>
      <c r="D415" s="1"/>
      <c r="E415" s="59">
        <f t="shared" si="168"/>
        <v>0</v>
      </c>
      <c r="F415" s="1"/>
      <c r="G415" s="1">
        <v>560</v>
      </c>
      <c r="H415" s="1"/>
      <c r="I415" s="59">
        <f t="shared" si="165"/>
        <v>560</v>
      </c>
      <c r="J415" s="1"/>
      <c r="K415" s="1"/>
      <c r="L415" s="1"/>
      <c r="M415" s="59">
        <f t="shared" si="166"/>
        <v>0</v>
      </c>
      <c r="N415" s="1"/>
      <c r="O415" s="1"/>
      <c r="P415" s="1"/>
      <c r="Q415" s="59">
        <f t="shared" ref="Q415" si="169">SUM(N415:P415)</f>
        <v>0</v>
      </c>
      <c r="R415" s="59">
        <f t="shared" si="163"/>
        <v>560</v>
      </c>
    </row>
    <row r="416" spans="1:20" ht="15.75" customHeight="1" x14ac:dyDescent="0.3">
      <c r="A416" s="76" t="s">
        <v>406</v>
      </c>
      <c r="B416" s="1">
        <v>117</v>
      </c>
      <c r="C416" s="1">
        <v>108</v>
      </c>
      <c r="D416" s="1">
        <v>117</v>
      </c>
      <c r="E416" s="59">
        <f t="shared" si="168"/>
        <v>342</v>
      </c>
      <c r="F416" s="1">
        <v>98</v>
      </c>
      <c r="G416" s="1"/>
      <c r="H416" s="1"/>
      <c r="I416" s="59">
        <f t="shared" si="165"/>
        <v>98</v>
      </c>
      <c r="J416" s="1"/>
      <c r="K416" s="1"/>
      <c r="L416" s="1"/>
      <c r="M416" s="59">
        <f t="shared" si="166"/>
        <v>0</v>
      </c>
      <c r="N416" s="1"/>
      <c r="O416" s="1"/>
      <c r="P416" s="1"/>
      <c r="Q416" s="59">
        <f t="shared" si="167"/>
        <v>0</v>
      </c>
      <c r="R416" s="59">
        <f t="shared" si="163"/>
        <v>440</v>
      </c>
    </row>
    <row r="417" spans="1:20" ht="15.75" customHeight="1" x14ac:dyDescent="0.3">
      <c r="A417" s="76" t="s">
        <v>407</v>
      </c>
      <c r="B417" s="1"/>
      <c r="C417" s="1"/>
      <c r="D417" s="1"/>
      <c r="E417" s="59">
        <f t="shared" si="168"/>
        <v>0</v>
      </c>
      <c r="F417" s="1"/>
      <c r="G417" s="1"/>
      <c r="H417" s="1"/>
      <c r="I417" s="59">
        <f t="shared" si="165"/>
        <v>0</v>
      </c>
      <c r="J417" s="1"/>
      <c r="K417" s="1"/>
      <c r="L417" s="1"/>
      <c r="M417" s="59">
        <f t="shared" si="166"/>
        <v>0</v>
      </c>
      <c r="N417" s="1"/>
      <c r="O417" s="1"/>
      <c r="P417" s="1"/>
      <c r="Q417" s="59">
        <f t="shared" si="167"/>
        <v>0</v>
      </c>
      <c r="R417" s="59">
        <f t="shared" si="163"/>
        <v>0</v>
      </c>
      <c r="T417" s="4" t="s">
        <v>315</v>
      </c>
    </row>
    <row r="418" spans="1:20" ht="15.75" customHeight="1" x14ac:dyDescent="0.3">
      <c r="A418" s="76" t="s">
        <v>408</v>
      </c>
      <c r="B418" s="1">
        <v>14</v>
      </c>
      <c r="C418" s="1">
        <v>17</v>
      </c>
      <c r="D418" s="1">
        <v>18</v>
      </c>
      <c r="E418" s="59">
        <f t="shared" si="168"/>
        <v>49</v>
      </c>
      <c r="F418" s="1">
        <v>22</v>
      </c>
      <c r="G418" s="1">
        <v>14</v>
      </c>
      <c r="H418" s="1">
        <v>36</v>
      </c>
      <c r="I418" s="59">
        <f t="shared" si="165"/>
        <v>72</v>
      </c>
      <c r="J418" s="1">
        <v>34</v>
      </c>
      <c r="K418" s="1">
        <v>36</v>
      </c>
      <c r="L418" s="1">
        <v>27</v>
      </c>
      <c r="M418" s="59">
        <f t="shared" si="166"/>
        <v>97</v>
      </c>
      <c r="N418" s="1">
        <v>18</v>
      </c>
      <c r="O418" s="1"/>
      <c r="P418" s="1">
        <v>18</v>
      </c>
      <c r="Q418" s="59">
        <f t="shared" si="167"/>
        <v>36</v>
      </c>
      <c r="R418" s="59">
        <f t="shared" si="163"/>
        <v>254</v>
      </c>
      <c r="T418" s="4" t="s">
        <v>348</v>
      </c>
    </row>
    <row r="419" spans="1:20" ht="15.75" customHeight="1" x14ac:dyDescent="0.3">
      <c r="A419" s="76" t="s">
        <v>409</v>
      </c>
      <c r="B419" s="1">
        <v>791</v>
      </c>
      <c r="C419" s="1">
        <v>509</v>
      </c>
      <c r="D419" s="1">
        <v>1173</v>
      </c>
      <c r="E419" s="59">
        <f t="shared" si="168"/>
        <v>2473</v>
      </c>
      <c r="F419" s="1">
        <v>1322</v>
      </c>
      <c r="G419" s="1">
        <v>1509</v>
      </c>
      <c r="H419" s="1">
        <v>712</v>
      </c>
      <c r="I419" s="59">
        <f t="shared" si="165"/>
        <v>3543</v>
      </c>
      <c r="J419" s="1"/>
      <c r="K419" s="1"/>
      <c r="L419" s="1"/>
      <c r="M419" s="59">
        <f t="shared" si="166"/>
        <v>0</v>
      </c>
      <c r="N419" s="1"/>
      <c r="O419" s="1"/>
      <c r="P419" s="1"/>
      <c r="Q419" s="59">
        <f t="shared" si="167"/>
        <v>0</v>
      </c>
      <c r="R419" s="59">
        <f t="shared" si="163"/>
        <v>6016</v>
      </c>
      <c r="T419" s="4" t="s">
        <v>217</v>
      </c>
    </row>
    <row r="420" spans="1:20" ht="15.75" customHeight="1" x14ac:dyDescent="0.3">
      <c r="A420" s="76" t="s">
        <v>410</v>
      </c>
      <c r="B420" s="1"/>
      <c r="C420" s="1">
        <v>2071</v>
      </c>
      <c r="D420" s="1">
        <v>3347</v>
      </c>
      <c r="E420" s="59">
        <f t="shared" si="168"/>
        <v>5418</v>
      </c>
      <c r="F420" s="1">
        <v>2028</v>
      </c>
      <c r="G420" s="1"/>
      <c r="H420" s="1"/>
      <c r="I420" s="59">
        <f t="shared" si="165"/>
        <v>2028</v>
      </c>
      <c r="J420" s="1"/>
      <c r="K420" s="1"/>
      <c r="L420" s="1"/>
      <c r="M420" s="59">
        <f t="shared" si="166"/>
        <v>0</v>
      </c>
      <c r="N420" s="1"/>
      <c r="O420" s="1"/>
      <c r="P420" s="1"/>
      <c r="Q420" s="59">
        <f t="shared" si="167"/>
        <v>0</v>
      </c>
      <c r="R420" s="59">
        <f>+E420+I420+M420+Q420</f>
        <v>7446</v>
      </c>
    </row>
    <row r="421" spans="1:20" ht="15.75" customHeight="1" x14ac:dyDescent="0.3">
      <c r="A421" s="76" t="s">
        <v>411</v>
      </c>
      <c r="B421" s="1"/>
      <c r="C421" s="1"/>
      <c r="D421" s="1"/>
      <c r="E421" s="59">
        <f t="shared" si="168"/>
        <v>0</v>
      </c>
      <c r="F421" s="1"/>
      <c r="G421" s="1"/>
      <c r="H421" s="1"/>
      <c r="I421" s="59">
        <f t="shared" si="165"/>
        <v>0</v>
      </c>
      <c r="J421" s="1"/>
      <c r="K421" s="1"/>
      <c r="L421" s="1"/>
      <c r="M421" s="59">
        <f t="shared" si="166"/>
        <v>0</v>
      </c>
      <c r="N421" s="1"/>
      <c r="O421" s="1"/>
      <c r="P421" s="1"/>
      <c r="Q421" s="59">
        <f t="shared" si="167"/>
        <v>0</v>
      </c>
      <c r="R421" s="59">
        <f>+E421+I421+M421+Q421</f>
        <v>0</v>
      </c>
    </row>
    <row r="422" spans="1:20" ht="15.75" customHeight="1" x14ac:dyDescent="0.3">
      <c r="A422" s="76" t="s">
        <v>412</v>
      </c>
      <c r="B422" s="1"/>
      <c r="C422" s="1"/>
      <c r="D422" s="1"/>
      <c r="E422" s="59">
        <f t="shared" si="168"/>
        <v>0</v>
      </c>
      <c r="F422" s="1"/>
      <c r="G422" s="1"/>
      <c r="H422" s="1"/>
      <c r="I422" s="59">
        <f t="shared" si="165"/>
        <v>0</v>
      </c>
      <c r="J422" s="1"/>
      <c r="K422" s="1"/>
      <c r="L422" s="1"/>
      <c r="M422" s="59">
        <f t="shared" si="166"/>
        <v>0</v>
      </c>
      <c r="N422" s="1"/>
      <c r="O422" s="1"/>
      <c r="P422" s="1"/>
      <c r="Q422" s="59">
        <f t="shared" si="167"/>
        <v>0</v>
      </c>
      <c r="R422" s="59">
        <f>+E422+I422+M422+Q422</f>
        <v>0</v>
      </c>
    </row>
    <row r="423" spans="1:20" ht="15.75" customHeight="1" x14ac:dyDescent="0.3">
      <c r="A423" s="76" t="s">
        <v>413</v>
      </c>
      <c r="B423" s="1"/>
      <c r="C423" s="1">
        <v>768</v>
      </c>
      <c r="D423" s="1">
        <v>165</v>
      </c>
      <c r="E423" s="59">
        <f t="shared" si="168"/>
        <v>933</v>
      </c>
      <c r="F423" s="1"/>
      <c r="G423" s="1"/>
      <c r="H423" s="1"/>
      <c r="I423" s="59">
        <f t="shared" si="165"/>
        <v>0</v>
      </c>
      <c r="J423" s="1"/>
      <c r="K423" s="1"/>
      <c r="L423" s="1"/>
      <c r="M423" s="59">
        <f t="shared" si="166"/>
        <v>0</v>
      </c>
      <c r="N423" s="1"/>
      <c r="O423" s="1"/>
      <c r="P423" s="1"/>
      <c r="Q423" s="59">
        <f t="shared" si="167"/>
        <v>0</v>
      </c>
      <c r="R423" s="59">
        <f>+E423+I423+M423+Q423</f>
        <v>933</v>
      </c>
      <c r="T423" s="4" t="s">
        <v>315</v>
      </c>
    </row>
    <row r="424" spans="1:20" ht="15.75" customHeight="1" x14ac:dyDescent="0.3">
      <c r="A424" s="76" t="s">
        <v>414</v>
      </c>
      <c r="B424" s="1"/>
      <c r="C424" s="1"/>
      <c r="D424" s="1"/>
      <c r="E424" s="59">
        <f t="shared" ref="E424" si="170">SUM(B424:D424)</f>
        <v>0</v>
      </c>
      <c r="F424" s="1"/>
      <c r="G424" s="1"/>
      <c r="H424" s="1"/>
      <c r="I424" s="59">
        <f t="shared" ref="I424" si="171">SUM(F424:H424)</f>
        <v>0</v>
      </c>
      <c r="J424" s="1"/>
      <c r="K424" s="1"/>
      <c r="L424" s="1"/>
      <c r="M424" s="59">
        <f t="shared" ref="M424" si="172">SUM(J424:L424)</f>
        <v>0</v>
      </c>
      <c r="N424" s="1"/>
      <c r="O424" s="1">
        <v>971</v>
      </c>
      <c r="P424" s="1">
        <v>29</v>
      </c>
      <c r="Q424" s="59">
        <f t="shared" ref="Q424" si="173">SUM(N424:P424)</f>
        <v>1000</v>
      </c>
      <c r="R424" s="59">
        <f t="shared" ref="R424:R425" si="174">+E424+I424+M424+Q424</f>
        <v>1000</v>
      </c>
      <c r="T424" s="4" t="s">
        <v>137</v>
      </c>
    </row>
    <row r="425" spans="1:20" ht="16.5" customHeight="1" x14ac:dyDescent="0.3">
      <c r="A425" s="76" t="s">
        <v>861</v>
      </c>
      <c r="B425" s="1"/>
      <c r="C425" s="1"/>
      <c r="D425" s="1">
        <v>2543</v>
      </c>
      <c r="E425" s="59">
        <f t="shared" si="168"/>
        <v>2543</v>
      </c>
      <c r="F425" s="1">
        <v>2000</v>
      </c>
      <c r="G425" s="1">
        <v>2500</v>
      </c>
      <c r="H425" s="1">
        <f>2470+1611+1600</f>
        <v>5681</v>
      </c>
      <c r="I425" s="59">
        <f t="shared" si="165"/>
        <v>10181</v>
      </c>
      <c r="J425" s="1">
        <v>1776</v>
      </c>
      <c r="K425" s="1"/>
      <c r="L425" s="1"/>
      <c r="M425" s="59">
        <f t="shared" si="166"/>
        <v>1776</v>
      </c>
      <c r="N425" s="1"/>
      <c r="O425" s="1"/>
      <c r="P425" s="1"/>
      <c r="Q425" s="59">
        <f t="shared" ref="Q425" si="175">SUM(N425:P425)</f>
        <v>0</v>
      </c>
      <c r="R425" s="59">
        <f t="shared" si="174"/>
        <v>14500</v>
      </c>
      <c r="T425" s="4" t="s">
        <v>376</v>
      </c>
    </row>
    <row r="426" spans="1:20" ht="15.75" customHeight="1" x14ac:dyDescent="0.3">
      <c r="A426" s="76" t="s">
        <v>416</v>
      </c>
      <c r="B426" s="1"/>
      <c r="C426" s="1"/>
      <c r="D426" s="1">
        <v>1960</v>
      </c>
      <c r="E426" s="59">
        <f t="shared" si="168"/>
        <v>1960</v>
      </c>
      <c r="F426" s="1">
        <v>2204</v>
      </c>
      <c r="G426" s="1">
        <f>2917+105</f>
        <v>3022</v>
      </c>
      <c r="H426" s="1">
        <f>2859+125</f>
        <v>2984</v>
      </c>
      <c r="I426" s="59">
        <f t="shared" si="165"/>
        <v>8210</v>
      </c>
      <c r="J426" s="1">
        <v>2830</v>
      </c>
      <c r="K426" s="1"/>
      <c r="L426" s="1"/>
      <c r="M426" s="59">
        <f t="shared" si="166"/>
        <v>2830</v>
      </c>
      <c r="N426" s="1"/>
      <c r="O426" s="1"/>
      <c r="P426" s="1"/>
      <c r="Q426" s="59">
        <f t="shared" ref="Q426" si="176">SUM(N426:P426)</f>
        <v>0</v>
      </c>
      <c r="R426" s="59">
        <f t="shared" si="163"/>
        <v>13000</v>
      </c>
      <c r="T426" s="4" t="s">
        <v>331</v>
      </c>
    </row>
    <row r="427" spans="1:20" ht="15.75" customHeight="1" x14ac:dyDescent="0.3">
      <c r="A427" s="76" t="s">
        <v>862</v>
      </c>
      <c r="B427" s="1"/>
      <c r="C427" s="1"/>
      <c r="D427" s="1"/>
      <c r="E427" s="59">
        <f t="shared" si="168"/>
        <v>0</v>
      </c>
      <c r="F427" s="1"/>
      <c r="G427" s="1"/>
      <c r="H427" s="1"/>
      <c r="I427" s="59">
        <f t="shared" si="165"/>
        <v>0</v>
      </c>
      <c r="J427" s="1"/>
      <c r="K427" s="1"/>
      <c r="L427" s="1"/>
      <c r="M427" s="59">
        <f t="shared" si="166"/>
        <v>0</v>
      </c>
      <c r="N427" s="1"/>
      <c r="O427" s="1"/>
      <c r="P427" s="1"/>
      <c r="Q427" s="59">
        <f t="shared" si="167"/>
        <v>0</v>
      </c>
      <c r="R427" s="59">
        <f t="shared" si="163"/>
        <v>0</v>
      </c>
      <c r="T427" s="4" t="s">
        <v>331</v>
      </c>
    </row>
    <row r="428" spans="1:20" ht="15.75" customHeight="1" x14ac:dyDescent="0.3">
      <c r="A428" s="76" t="s">
        <v>863</v>
      </c>
      <c r="B428" s="1"/>
      <c r="C428" s="1"/>
      <c r="D428" s="1"/>
      <c r="E428" s="59">
        <f t="shared" si="168"/>
        <v>0</v>
      </c>
      <c r="F428" s="1"/>
      <c r="G428" s="1"/>
      <c r="H428" s="1"/>
      <c r="I428" s="59">
        <f t="shared" si="165"/>
        <v>0</v>
      </c>
      <c r="J428" s="1"/>
      <c r="K428" s="1"/>
      <c r="L428" s="1"/>
      <c r="M428" s="59">
        <f t="shared" si="166"/>
        <v>0</v>
      </c>
      <c r="N428" s="1"/>
      <c r="O428" s="1"/>
      <c r="P428" s="1"/>
      <c r="Q428" s="59">
        <f t="shared" si="167"/>
        <v>0</v>
      </c>
      <c r="R428" s="59">
        <f t="shared" si="163"/>
        <v>0</v>
      </c>
      <c r="T428" s="4" t="s">
        <v>217</v>
      </c>
    </row>
    <row r="429" spans="1:20" ht="15.75" customHeight="1" x14ac:dyDescent="0.3">
      <c r="A429" s="76" t="s">
        <v>864</v>
      </c>
      <c r="B429" s="1"/>
      <c r="C429" s="1"/>
      <c r="D429" s="1"/>
      <c r="E429" s="59">
        <f t="shared" si="168"/>
        <v>0</v>
      </c>
      <c r="F429" s="1"/>
      <c r="G429" s="1"/>
      <c r="H429" s="1"/>
      <c r="I429" s="59">
        <f t="shared" si="165"/>
        <v>0</v>
      </c>
      <c r="J429" s="1"/>
      <c r="K429" s="1"/>
      <c r="L429" s="1"/>
      <c r="M429" s="59">
        <f t="shared" si="166"/>
        <v>0</v>
      </c>
      <c r="N429" s="1"/>
      <c r="O429" s="1"/>
      <c r="P429" s="1"/>
      <c r="Q429" s="59">
        <f t="shared" si="167"/>
        <v>0</v>
      </c>
      <c r="R429" s="59">
        <f t="shared" si="163"/>
        <v>0</v>
      </c>
    </row>
    <row r="430" spans="1:20" ht="15.75" customHeight="1" x14ac:dyDescent="0.3">
      <c r="A430" s="76" t="s">
        <v>865</v>
      </c>
      <c r="B430" s="1"/>
      <c r="C430" s="1"/>
      <c r="D430" s="1">
        <v>768</v>
      </c>
      <c r="E430" s="59">
        <f t="shared" si="168"/>
        <v>768</v>
      </c>
      <c r="F430" s="1"/>
      <c r="G430" s="1"/>
      <c r="H430" s="1"/>
      <c r="I430" s="59">
        <f t="shared" si="165"/>
        <v>0</v>
      </c>
      <c r="J430" s="1"/>
      <c r="K430" s="1"/>
      <c r="L430" s="1"/>
      <c r="M430" s="59">
        <f t="shared" si="166"/>
        <v>0</v>
      </c>
      <c r="N430" s="1"/>
      <c r="O430" s="1"/>
      <c r="P430" s="1"/>
      <c r="Q430" s="59">
        <f t="shared" si="167"/>
        <v>0</v>
      </c>
      <c r="R430" s="59">
        <f t="shared" si="163"/>
        <v>768</v>
      </c>
      <c r="T430" s="4" t="s">
        <v>315</v>
      </c>
    </row>
    <row r="431" spans="1:20" ht="15.75" customHeight="1" x14ac:dyDescent="0.3">
      <c r="A431" s="76" t="s">
        <v>421</v>
      </c>
      <c r="B431" s="1"/>
      <c r="C431" s="1"/>
      <c r="D431" s="1">
        <v>1100</v>
      </c>
      <c r="E431" s="59">
        <f t="shared" si="168"/>
        <v>1100</v>
      </c>
      <c r="F431" s="1">
        <v>1100</v>
      </c>
      <c r="G431" s="1">
        <v>1100</v>
      </c>
      <c r="H431" s="1">
        <v>1300</v>
      </c>
      <c r="I431" s="59">
        <f t="shared" si="165"/>
        <v>3500</v>
      </c>
      <c r="J431" s="1">
        <v>1500</v>
      </c>
      <c r="K431" s="1">
        <v>1500</v>
      </c>
      <c r="L431" s="1">
        <v>905</v>
      </c>
      <c r="M431" s="59">
        <f t="shared" si="166"/>
        <v>3905</v>
      </c>
      <c r="N431" s="1"/>
      <c r="O431" s="1"/>
      <c r="P431" s="1"/>
      <c r="Q431" s="59">
        <f t="shared" si="167"/>
        <v>0</v>
      </c>
      <c r="R431" s="59">
        <f t="shared" si="163"/>
        <v>8505</v>
      </c>
    </row>
    <row r="432" spans="1:20" ht="15.75" customHeight="1" x14ac:dyDescent="0.3">
      <c r="A432" s="76" t="s">
        <v>866</v>
      </c>
      <c r="B432" s="1"/>
      <c r="C432" s="1"/>
      <c r="D432" s="1"/>
      <c r="E432" s="59">
        <f>SUM(B432:D432)</f>
        <v>0</v>
      </c>
      <c r="F432" s="1"/>
      <c r="G432" s="1"/>
      <c r="H432" s="1"/>
      <c r="I432" s="59">
        <f>SUM(F432:H432)</f>
        <v>0</v>
      </c>
      <c r="J432" s="1"/>
      <c r="K432" s="1"/>
      <c r="L432" s="1"/>
      <c r="M432" s="59">
        <f>SUM(J432:L432)</f>
        <v>0</v>
      </c>
      <c r="N432" s="1"/>
      <c r="O432" s="1"/>
      <c r="P432" s="1"/>
      <c r="Q432" s="59">
        <f>SUM(N432:P432)</f>
        <v>0</v>
      </c>
      <c r="R432" s="59">
        <f>+E432+I432+M432+Q432</f>
        <v>0</v>
      </c>
    </row>
    <row r="433" spans="1:20" ht="15.75" customHeight="1" x14ac:dyDescent="0.3">
      <c r="A433" s="76" t="s">
        <v>428</v>
      </c>
      <c r="B433" s="1"/>
      <c r="C433" s="1"/>
      <c r="D433" s="1"/>
      <c r="E433" s="59">
        <f t="shared" si="168"/>
        <v>0</v>
      </c>
      <c r="F433" s="1"/>
      <c r="G433" s="1"/>
      <c r="H433" s="1"/>
      <c r="I433" s="59">
        <f t="shared" si="165"/>
        <v>0</v>
      </c>
      <c r="J433" s="1"/>
      <c r="K433" s="1"/>
      <c r="L433" s="1"/>
      <c r="M433" s="59">
        <f t="shared" si="166"/>
        <v>0</v>
      </c>
      <c r="N433" s="1"/>
      <c r="O433" s="1"/>
      <c r="P433" s="1"/>
      <c r="Q433" s="59">
        <f>SUM(N433:P433)</f>
        <v>0</v>
      </c>
      <c r="R433" s="59">
        <f t="shared" si="163"/>
        <v>0</v>
      </c>
    </row>
    <row r="434" spans="1:20" ht="15.75" customHeight="1" x14ac:dyDescent="0.3">
      <c r="A434" s="76" t="s">
        <v>429</v>
      </c>
      <c r="B434" s="1"/>
      <c r="C434" s="1">
        <v>1550</v>
      </c>
      <c r="D434" s="1">
        <v>1030</v>
      </c>
      <c r="E434" s="59">
        <f t="shared" si="168"/>
        <v>2580</v>
      </c>
      <c r="F434" s="1">
        <v>2327</v>
      </c>
      <c r="G434" s="1">
        <v>868</v>
      </c>
      <c r="H434" s="1"/>
      <c r="I434" s="59">
        <f t="shared" si="165"/>
        <v>3195</v>
      </c>
      <c r="J434" s="1"/>
      <c r="K434" s="1"/>
      <c r="L434" s="1"/>
      <c r="M434" s="59">
        <f t="shared" si="166"/>
        <v>0</v>
      </c>
      <c r="N434" s="1"/>
      <c r="O434" s="1"/>
      <c r="P434" s="1"/>
      <c r="Q434" s="59">
        <f t="shared" si="167"/>
        <v>0</v>
      </c>
      <c r="R434" s="59">
        <f t="shared" si="163"/>
        <v>5775</v>
      </c>
    </row>
    <row r="435" spans="1:20" ht="15.75" customHeight="1" x14ac:dyDescent="0.3">
      <c r="A435" s="76" t="s">
        <v>432</v>
      </c>
      <c r="B435" s="1"/>
      <c r="C435" s="1"/>
      <c r="D435" s="1"/>
      <c r="E435" s="59">
        <f t="shared" ref="E435" si="177">SUM(B435:D435)</f>
        <v>0</v>
      </c>
      <c r="F435" s="1"/>
      <c r="G435" s="1"/>
      <c r="H435" s="1">
        <v>928</v>
      </c>
      <c r="I435" s="59">
        <f t="shared" ref="I435" si="178">SUM(F435:H435)</f>
        <v>928</v>
      </c>
      <c r="J435" s="1">
        <v>882</v>
      </c>
      <c r="K435" s="1"/>
      <c r="L435" s="1"/>
      <c r="M435" s="59">
        <f t="shared" ref="M435" si="179">SUM(J435:L435)</f>
        <v>882</v>
      </c>
      <c r="N435" s="1"/>
      <c r="O435" s="1"/>
      <c r="P435" s="1"/>
      <c r="Q435" s="59">
        <f t="shared" ref="Q435" si="180">SUM(N435:P435)</f>
        <v>0</v>
      </c>
      <c r="R435" s="59">
        <f t="shared" si="163"/>
        <v>1810</v>
      </c>
      <c r="T435" s="4" t="s">
        <v>217</v>
      </c>
    </row>
    <row r="436" spans="1:20" ht="15.75" customHeight="1" x14ac:dyDescent="0.3">
      <c r="A436" s="76" t="s">
        <v>433</v>
      </c>
      <c r="B436" s="1"/>
      <c r="C436" s="1"/>
      <c r="D436" s="1"/>
      <c r="E436" s="59">
        <f t="shared" si="168"/>
        <v>0</v>
      </c>
      <c r="F436" s="1"/>
      <c r="G436" s="1"/>
      <c r="H436" s="1"/>
      <c r="I436" s="59">
        <f t="shared" si="165"/>
        <v>0</v>
      </c>
      <c r="J436" s="1"/>
      <c r="K436" s="1"/>
      <c r="L436" s="1"/>
      <c r="M436" s="59">
        <f t="shared" si="166"/>
        <v>0</v>
      </c>
      <c r="N436" s="1"/>
      <c r="O436" s="1"/>
      <c r="P436" s="1"/>
      <c r="Q436" s="59">
        <f t="shared" si="167"/>
        <v>0</v>
      </c>
      <c r="R436" s="59">
        <f t="shared" si="163"/>
        <v>0</v>
      </c>
      <c r="T436" s="4" t="s">
        <v>217</v>
      </c>
    </row>
    <row r="437" spans="1:20" ht="15.75" customHeight="1" x14ac:dyDescent="0.3">
      <c r="A437" s="76" t="s">
        <v>434</v>
      </c>
      <c r="B437" s="1"/>
      <c r="C437" s="1"/>
      <c r="D437" s="1"/>
      <c r="E437" s="59">
        <f t="shared" si="168"/>
        <v>0</v>
      </c>
      <c r="F437" s="1"/>
      <c r="G437" s="1"/>
      <c r="H437" s="1">
        <v>927</v>
      </c>
      <c r="I437" s="59">
        <f t="shared" si="165"/>
        <v>927</v>
      </c>
      <c r="J437" s="1">
        <v>1664</v>
      </c>
      <c r="K437" s="1">
        <v>776</v>
      </c>
      <c r="L437" s="1"/>
      <c r="M437" s="59">
        <f t="shared" si="166"/>
        <v>2440</v>
      </c>
      <c r="N437" s="1"/>
      <c r="O437" s="1"/>
      <c r="P437" s="1"/>
      <c r="Q437" s="59">
        <f t="shared" si="167"/>
        <v>0</v>
      </c>
      <c r="R437" s="59">
        <f t="shared" si="163"/>
        <v>3367</v>
      </c>
      <c r="T437" s="4" t="s">
        <v>217</v>
      </c>
    </row>
    <row r="438" spans="1:20" ht="15.75" customHeight="1" x14ac:dyDescent="0.3">
      <c r="A438" s="76" t="s">
        <v>435</v>
      </c>
      <c r="B438" s="1"/>
      <c r="C438" s="1"/>
      <c r="D438" s="1"/>
      <c r="E438" s="59">
        <f t="shared" si="168"/>
        <v>0</v>
      </c>
      <c r="F438" s="1"/>
      <c r="G438" s="1"/>
      <c r="H438" s="1"/>
      <c r="I438" s="59">
        <f t="shared" si="165"/>
        <v>0</v>
      </c>
      <c r="J438" s="1"/>
      <c r="K438" s="1"/>
      <c r="L438" s="1"/>
      <c r="M438" s="59">
        <f t="shared" si="166"/>
        <v>0</v>
      </c>
      <c r="N438" s="1"/>
      <c r="O438" s="1"/>
      <c r="P438" s="1"/>
      <c r="Q438" s="59">
        <f t="shared" si="167"/>
        <v>0</v>
      </c>
      <c r="R438" s="59">
        <f t="shared" si="163"/>
        <v>0</v>
      </c>
      <c r="T438" s="4" t="s">
        <v>315</v>
      </c>
    </row>
    <row r="439" spans="1:20" ht="15.75" customHeight="1" x14ac:dyDescent="0.3">
      <c r="A439" s="76" t="s">
        <v>436</v>
      </c>
      <c r="B439" s="1"/>
      <c r="C439" s="1"/>
      <c r="D439" s="1"/>
      <c r="E439" s="59">
        <f t="shared" si="168"/>
        <v>0</v>
      </c>
      <c r="F439" s="1"/>
      <c r="G439" s="1">
        <v>1669</v>
      </c>
      <c r="H439" s="1"/>
      <c r="I439" s="59">
        <f t="shared" si="165"/>
        <v>1669</v>
      </c>
      <c r="J439" s="1"/>
      <c r="K439" s="1"/>
      <c r="L439" s="1"/>
      <c r="M439" s="59">
        <f t="shared" si="166"/>
        <v>0</v>
      </c>
      <c r="N439" s="1"/>
      <c r="O439" s="1"/>
      <c r="P439" s="1"/>
      <c r="Q439" s="59">
        <f t="shared" si="167"/>
        <v>0</v>
      </c>
      <c r="R439" s="59">
        <f t="shared" si="163"/>
        <v>1669</v>
      </c>
    </row>
    <row r="440" spans="1:20" ht="15.75" customHeight="1" x14ac:dyDescent="0.3">
      <c r="A440" s="76" t="s">
        <v>867</v>
      </c>
      <c r="B440" s="1"/>
      <c r="C440" s="1"/>
      <c r="D440" s="1"/>
      <c r="E440" s="59">
        <f t="shared" si="168"/>
        <v>0</v>
      </c>
      <c r="F440" s="1"/>
      <c r="G440" s="1"/>
      <c r="H440" s="1"/>
      <c r="I440" s="59">
        <f t="shared" si="165"/>
        <v>0</v>
      </c>
      <c r="J440" s="1"/>
      <c r="K440" s="1"/>
      <c r="L440" s="1"/>
      <c r="M440" s="59">
        <f t="shared" si="166"/>
        <v>0</v>
      </c>
      <c r="N440" s="1"/>
      <c r="O440" s="1"/>
      <c r="P440" s="1"/>
      <c r="Q440" s="59">
        <f t="shared" si="167"/>
        <v>0</v>
      </c>
      <c r="R440" s="59">
        <f t="shared" si="163"/>
        <v>0</v>
      </c>
      <c r="T440" s="4" t="s">
        <v>315</v>
      </c>
    </row>
    <row r="441" spans="1:20" ht="15.75" customHeight="1" x14ac:dyDescent="0.3">
      <c r="A441" s="76" t="s">
        <v>439</v>
      </c>
      <c r="B441" s="1"/>
      <c r="C441" s="1"/>
      <c r="D441" s="1"/>
      <c r="E441" s="59">
        <f t="shared" si="168"/>
        <v>0</v>
      </c>
      <c r="F441" s="1"/>
      <c r="G441" s="1"/>
      <c r="H441" s="1"/>
      <c r="I441" s="59">
        <f t="shared" si="165"/>
        <v>0</v>
      </c>
      <c r="J441" s="1">
        <v>642</v>
      </c>
      <c r="K441" s="1">
        <v>1451</v>
      </c>
      <c r="L441" s="1"/>
      <c r="M441" s="59">
        <f t="shared" si="166"/>
        <v>2093</v>
      </c>
      <c r="N441" s="1"/>
      <c r="O441" s="1"/>
      <c r="P441" s="1"/>
      <c r="Q441" s="59">
        <f t="shared" si="167"/>
        <v>0</v>
      </c>
      <c r="R441" s="59">
        <f t="shared" si="163"/>
        <v>2093</v>
      </c>
      <c r="T441" s="4" t="s">
        <v>217</v>
      </c>
    </row>
    <row r="442" spans="1:20" ht="15.75" customHeight="1" x14ac:dyDescent="0.3">
      <c r="A442" s="76" t="s">
        <v>440</v>
      </c>
      <c r="B442" s="1"/>
      <c r="C442" s="1"/>
      <c r="D442" s="1"/>
      <c r="E442" s="59">
        <f t="shared" si="168"/>
        <v>0</v>
      </c>
      <c r="F442" s="1"/>
      <c r="G442" s="1"/>
      <c r="H442" s="1"/>
      <c r="I442" s="59">
        <f t="shared" si="165"/>
        <v>0</v>
      </c>
      <c r="J442" s="1"/>
      <c r="K442" s="1"/>
      <c r="L442" s="1"/>
      <c r="M442" s="59">
        <f t="shared" si="166"/>
        <v>0</v>
      </c>
      <c r="N442" s="1"/>
      <c r="O442" s="1"/>
      <c r="P442" s="1"/>
      <c r="Q442" s="59">
        <f t="shared" si="167"/>
        <v>0</v>
      </c>
      <c r="R442" s="59">
        <f>+E442+I442+M442+Q442</f>
        <v>0</v>
      </c>
    </row>
    <row r="443" spans="1:20" ht="15.75" customHeight="1" x14ac:dyDescent="0.3">
      <c r="A443" s="76" t="s">
        <v>441</v>
      </c>
      <c r="B443" s="1"/>
      <c r="C443" s="1"/>
      <c r="D443" s="1"/>
      <c r="E443" s="59">
        <f t="shared" si="168"/>
        <v>0</v>
      </c>
      <c r="F443" s="1"/>
      <c r="G443" s="1"/>
      <c r="H443" s="1"/>
      <c r="I443" s="59">
        <f t="shared" si="165"/>
        <v>0</v>
      </c>
      <c r="J443" s="1"/>
      <c r="K443" s="1"/>
      <c r="L443" s="1"/>
      <c r="M443" s="59">
        <f t="shared" si="166"/>
        <v>0</v>
      </c>
      <c r="N443" s="1"/>
      <c r="O443" s="1"/>
      <c r="P443" s="1"/>
      <c r="Q443" s="59">
        <f t="shared" si="167"/>
        <v>0</v>
      </c>
      <c r="R443" s="59">
        <f>+E443+I443+M443+Q443</f>
        <v>0</v>
      </c>
      <c r="T443" s="4" t="s">
        <v>315</v>
      </c>
    </row>
    <row r="444" spans="1:20" ht="15.75" customHeight="1" x14ac:dyDescent="0.3">
      <c r="A444" s="76" t="s">
        <v>442</v>
      </c>
      <c r="B444" s="1"/>
      <c r="C444" s="1">
        <v>339</v>
      </c>
      <c r="D444" s="1">
        <v>1116</v>
      </c>
      <c r="E444" s="59">
        <f t="shared" si="168"/>
        <v>1455</v>
      </c>
      <c r="F444" s="1">
        <v>1316</v>
      </c>
      <c r="G444" s="1">
        <v>1546</v>
      </c>
      <c r="H444" s="1">
        <v>749</v>
      </c>
      <c r="I444" s="59">
        <f t="shared" si="165"/>
        <v>3611</v>
      </c>
      <c r="J444" s="1"/>
      <c r="K444" s="1"/>
      <c r="L444" s="1"/>
      <c r="M444" s="59">
        <f t="shared" si="166"/>
        <v>0</v>
      </c>
      <c r="N444" s="1"/>
      <c r="O444" s="1"/>
      <c r="P444" s="1"/>
      <c r="Q444" s="59">
        <f t="shared" si="167"/>
        <v>0</v>
      </c>
      <c r="R444" s="59">
        <f t="shared" si="163"/>
        <v>5066</v>
      </c>
      <c r="T444" s="4" t="s">
        <v>217</v>
      </c>
    </row>
    <row r="445" spans="1:20" ht="15.75" customHeight="1" x14ac:dyDescent="0.3">
      <c r="A445" s="76" t="s">
        <v>443</v>
      </c>
      <c r="B445" s="1"/>
      <c r="C445" s="1"/>
      <c r="D445" s="1"/>
      <c r="E445" s="59">
        <f t="shared" si="168"/>
        <v>0</v>
      </c>
      <c r="F445" s="1"/>
      <c r="G445" s="1"/>
      <c r="H445" s="1"/>
      <c r="I445" s="59">
        <f t="shared" si="165"/>
        <v>0</v>
      </c>
      <c r="J445" s="1"/>
      <c r="K445" s="1"/>
      <c r="L445" s="1"/>
      <c r="M445" s="59">
        <f t="shared" si="166"/>
        <v>0</v>
      </c>
      <c r="N445" s="1"/>
      <c r="O445" s="1"/>
      <c r="P445" s="1"/>
      <c r="Q445" s="59">
        <f t="shared" si="167"/>
        <v>0</v>
      </c>
      <c r="R445" s="59">
        <f t="shared" si="163"/>
        <v>0</v>
      </c>
      <c r="T445" s="4" t="s">
        <v>315</v>
      </c>
    </row>
    <row r="446" spans="1:20" ht="15.75" customHeight="1" x14ac:dyDescent="0.3">
      <c r="A446" s="76" t="s">
        <v>868</v>
      </c>
      <c r="B446" s="1"/>
      <c r="C446" s="1"/>
      <c r="D446" s="1"/>
      <c r="E446" s="59">
        <f t="shared" ref="E446:E447" si="181">SUM(B446:D446)</f>
        <v>0</v>
      </c>
      <c r="F446" s="1"/>
      <c r="G446" s="1"/>
      <c r="H446" s="1"/>
      <c r="I446" s="59">
        <f t="shared" ref="I446:I448" si="182">SUM(F446:H446)</f>
        <v>0</v>
      </c>
      <c r="J446" s="1"/>
      <c r="K446" s="1"/>
      <c r="L446" s="1"/>
      <c r="M446" s="59">
        <f t="shared" ref="M446:M448" si="183">SUM(J446:L446)</f>
        <v>0</v>
      </c>
      <c r="N446" s="1"/>
      <c r="O446" s="1"/>
      <c r="P446" s="1"/>
      <c r="Q446" s="59">
        <f t="shared" ref="Q446:Q448" si="184">SUM(N446:P446)</f>
        <v>0</v>
      </c>
      <c r="R446" s="59">
        <f t="shared" si="163"/>
        <v>0</v>
      </c>
    </row>
    <row r="447" spans="1:20" ht="15.75" customHeight="1" x14ac:dyDescent="0.3">
      <c r="A447" s="76" t="s">
        <v>869</v>
      </c>
      <c r="B447" s="1"/>
      <c r="C447" s="1"/>
      <c r="D447" s="1"/>
      <c r="E447" s="59">
        <f t="shared" si="181"/>
        <v>0</v>
      </c>
      <c r="F447" s="1"/>
      <c r="G447" s="1"/>
      <c r="H447" s="1"/>
      <c r="I447" s="59">
        <f t="shared" si="182"/>
        <v>0</v>
      </c>
      <c r="J447" s="1"/>
      <c r="K447" s="1"/>
      <c r="L447" s="1"/>
      <c r="M447" s="59">
        <f t="shared" si="183"/>
        <v>0</v>
      </c>
      <c r="N447" s="1"/>
      <c r="O447" s="1"/>
      <c r="P447" s="1"/>
      <c r="Q447" s="59">
        <f t="shared" si="184"/>
        <v>0</v>
      </c>
      <c r="R447" s="59">
        <f>+E447+I447+M447+Q447</f>
        <v>0</v>
      </c>
    </row>
    <row r="448" spans="1:20" ht="15.75" customHeight="1" x14ac:dyDescent="0.3">
      <c r="A448" s="76" t="s">
        <v>870</v>
      </c>
      <c r="B448" s="1"/>
      <c r="C448" s="1"/>
      <c r="D448" s="1"/>
      <c r="E448" s="59">
        <f>SUM(B448:D448)</f>
        <v>0</v>
      </c>
      <c r="F448" s="1"/>
      <c r="G448" s="1"/>
      <c r="H448" s="1"/>
      <c r="I448" s="59">
        <f t="shared" si="182"/>
        <v>0</v>
      </c>
      <c r="J448" s="1"/>
      <c r="K448" s="1"/>
      <c r="L448" s="1"/>
      <c r="M448" s="59">
        <f t="shared" si="183"/>
        <v>0</v>
      </c>
      <c r="N448" s="1"/>
      <c r="O448" s="1"/>
      <c r="P448" s="1"/>
      <c r="Q448" s="59">
        <f t="shared" si="184"/>
        <v>0</v>
      </c>
      <c r="R448" s="59">
        <f t="shared" si="163"/>
        <v>0</v>
      </c>
    </row>
    <row r="449" spans="1:21" ht="15.75" customHeight="1" x14ac:dyDescent="0.3">
      <c r="A449" s="76" t="s">
        <v>449</v>
      </c>
      <c r="B449" s="1"/>
      <c r="C449" s="1"/>
      <c r="D449" s="1"/>
      <c r="E449" s="59">
        <f t="shared" si="168"/>
        <v>0</v>
      </c>
      <c r="F449" s="1"/>
      <c r="G449" s="1">
        <v>2622</v>
      </c>
      <c r="H449" s="1"/>
      <c r="I449" s="59">
        <f t="shared" si="165"/>
        <v>2622</v>
      </c>
      <c r="J449" s="1"/>
      <c r="K449" s="1"/>
      <c r="L449" s="1"/>
      <c r="M449" s="59">
        <f t="shared" si="166"/>
        <v>0</v>
      </c>
      <c r="N449" s="1"/>
      <c r="O449" s="1"/>
      <c r="P449" s="1"/>
      <c r="Q449" s="59">
        <f t="shared" si="167"/>
        <v>0</v>
      </c>
      <c r="R449" s="59">
        <f t="shared" si="163"/>
        <v>2622</v>
      </c>
    </row>
    <row r="450" spans="1:21" ht="15.75" customHeight="1" thickBot="1" x14ac:dyDescent="0.35">
      <c r="A450" s="76" t="s">
        <v>450</v>
      </c>
      <c r="B450" s="1">
        <v>317</v>
      </c>
      <c r="C450" s="1">
        <v>707</v>
      </c>
      <c r="D450" s="1">
        <v>1000</v>
      </c>
      <c r="E450" s="59">
        <f t="shared" si="168"/>
        <v>2024</v>
      </c>
      <c r="F450" s="1">
        <v>2000</v>
      </c>
      <c r="G450" s="1">
        <v>4000</v>
      </c>
      <c r="H450" s="1">
        <v>2000</v>
      </c>
      <c r="I450" s="59">
        <f t="shared" si="165"/>
        <v>8000</v>
      </c>
      <c r="J450" s="1">
        <v>3988</v>
      </c>
      <c r="K450" s="1"/>
      <c r="L450" s="1">
        <f>894+63</f>
        <v>957</v>
      </c>
      <c r="M450" s="59">
        <f t="shared" si="166"/>
        <v>4945</v>
      </c>
      <c r="N450" s="1">
        <f>826+295+764+708</f>
        <v>2593</v>
      </c>
      <c r="O450" s="1">
        <f>976+311+1423+1906</f>
        <v>4616</v>
      </c>
      <c r="P450" s="1">
        <f>187+724+411+1500</f>
        <v>2822</v>
      </c>
      <c r="Q450" s="59">
        <f t="shared" si="167"/>
        <v>10031</v>
      </c>
      <c r="R450" s="59">
        <f t="shared" si="163"/>
        <v>25000</v>
      </c>
    </row>
    <row r="451" spans="1:21" ht="16.5" customHeight="1" thickBot="1" x14ac:dyDescent="0.35">
      <c r="A451" s="137" t="s">
        <v>61</v>
      </c>
      <c r="B451" s="107">
        <f>SUM(B397:B450)</f>
        <v>5037</v>
      </c>
      <c r="C451" s="63">
        <f>SUM(C397:C450)</f>
        <v>13321</v>
      </c>
      <c r="D451" s="63">
        <f>SUM(D397:D450)</f>
        <v>31261</v>
      </c>
      <c r="E451" s="64">
        <f t="shared" ref="E451" si="185">SUM(B451:D451)</f>
        <v>49619</v>
      </c>
      <c r="F451" s="63">
        <f>SUM(F397:F450)</f>
        <v>36179</v>
      </c>
      <c r="G451" s="63">
        <f>SUM(G397:G450)</f>
        <v>45226</v>
      </c>
      <c r="H451" s="63">
        <f>SUM(H397:H450)</f>
        <v>55055</v>
      </c>
      <c r="I451" s="64">
        <f t="shared" ref="I451" si="186">SUM(F451:H451)</f>
        <v>136460</v>
      </c>
      <c r="J451" s="63">
        <f>SUM(J397:J450)</f>
        <v>59458</v>
      </c>
      <c r="K451" s="63">
        <f>SUM(K397:K450)</f>
        <v>36680</v>
      </c>
      <c r="L451" s="63">
        <f>SUM(L397:L450)</f>
        <v>29033</v>
      </c>
      <c r="M451" s="64">
        <f t="shared" ref="M451" si="187">SUM(J451:L451)</f>
        <v>125171</v>
      </c>
      <c r="N451" s="63">
        <f>SUM(N397:N450)</f>
        <v>8369</v>
      </c>
      <c r="O451" s="63">
        <f>SUM(O397:O450)</f>
        <v>21026</v>
      </c>
      <c r="P451" s="63">
        <f>SUM(P397:P450)</f>
        <v>11854</v>
      </c>
      <c r="Q451" s="64">
        <f t="shared" si="167"/>
        <v>41249</v>
      </c>
      <c r="R451" s="64">
        <f>+E451+I451+M451+Q451</f>
        <v>352499</v>
      </c>
      <c r="T451" s="106"/>
    </row>
    <row r="452" spans="1:21" ht="15.75" customHeight="1" x14ac:dyDescent="0.3">
      <c r="A452" s="17" t="s">
        <v>62</v>
      </c>
      <c r="B452" s="1"/>
      <c r="C452" s="1"/>
      <c r="D452" s="1"/>
      <c r="E452" s="59" t="s">
        <v>7</v>
      </c>
      <c r="F452" s="1"/>
      <c r="G452" s="1"/>
      <c r="H452" s="1"/>
      <c r="I452" s="59" t="s">
        <v>7</v>
      </c>
      <c r="J452" s="1"/>
      <c r="K452" s="1"/>
      <c r="L452" s="1"/>
      <c r="M452" s="59" t="s">
        <v>7</v>
      </c>
      <c r="N452" s="1"/>
      <c r="O452" s="1"/>
      <c r="P452" s="1"/>
      <c r="Q452" s="59" t="s">
        <v>7</v>
      </c>
      <c r="R452" s="59" t="s">
        <v>7</v>
      </c>
    </row>
    <row r="453" spans="1:21" ht="15.75" customHeight="1" x14ac:dyDescent="0.3">
      <c r="A453" s="17" t="s">
        <v>63</v>
      </c>
      <c r="B453" s="1"/>
      <c r="C453" s="1"/>
      <c r="D453" s="1"/>
      <c r="E453" s="59" t="s">
        <v>7</v>
      </c>
      <c r="F453" s="1"/>
      <c r="G453" s="1"/>
      <c r="H453" s="1"/>
      <c r="I453" s="59" t="s">
        <v>7</v>
      </c>
      <c r="J453" s="1"/>
      <c r="K453" s="1"/>
      <c r="L453" s="1"/>
      <c r="M453" s="59" t="s">
        <v>7</v>
      </c>
      <c r="N453" s="1"/>
      <c r="O453" s="1"/>
      <c r="P453" s="1"/>
      <c r="Q453" s="59" t="s">
        <v>7</v>
      </c>
      <c r="R453" s="59" t="s">
        <v>7</v>
      </c>
    </row>
    <row r="454" spans="1:21" ht="15.75" customHeight="1" x14ac:dyDescent="0.3">
      <c r="A454" s="76" t="s">
        <v>451</v>
      </c>
      <c r="B454" s="1"/>
      <c r="C454" s="1"/>
      <c r="D454" s="1"/>
      <c r="E454" s="59">
        <f>SUM(B454:D454)</f>
        <v>0</v>
      </c>
      <c r="F454" s="1"/>
      <c r="G454" s="1"/>
      <c r="H454" s="1"/>
      <c r="I454" s="59">
        <f>SUM(F454:H454)</f>
        <v>0</v>
      </c>
      <c r="J454" s="1"/>
      <c r="K454" s="1"/>
      <c r="L454" s="1"/>
      <c r="M454" s="59">
        <f>SUM(J454:L454)</f>
        <v>0</v>
      </c>
      <c r="N454" s="1"/>
      <c r="O454" s="1"/>
      <c r="P454" s="1"/>
      <c r="Q454" s="59">
        <f>SUM(N454:P454)</f>
        <v>0</v>
      </c>
      <c r="R454" s="59">
        <f>+E454+I454+M454+Q454</f>
        <v>0</v>
      </c>
      <c r="U454" s="20"/>
    </row>
    <row r="455" spans="1:21" ht="15.75" customHeight="1" x14ac:dyDescent="0.3">
      <c r="A455" s="17" t="s">
        <v>64</v>
      </c>
      <c r="B455" s="1"/>
      <c r="C455" s="1"/>
      <c r="D455" s="1"/>
      <c r="E455" s="59" t="s">
        <v>7</v>
      </c>
      <c r="F455" s="1"/>
      <c r="G455" s="1"/>
      <c r="H455" s="1"/>
      <c r="I455" s="59" t="s">
        <v>7</v>
      </c>
      <c r="J455" s="1"/>
      <c r="K455" s="1"/>
      <c r="L455" s="1"/>
      <c r="M455" s="59" t="s">
        <v>7</v>
      </c>
      <c r="N455" s="1"/>
      <c r="O455" s="1"/>
      <c r="P455" s="1"/>
      <c r="Q455" s="59" t="s">
        <v>7</v>
      </c>
      <c r="R455" s="59" t="s">
        <v>7</v>
      </c>
    </row>
    <row r="456" spans="1:21" ht="15.75" customHeight="1" x14ac:dyDescent="0.3">
      <c r="A456" s="76" t="s">
        <v>452</v>
      </c>
      <c r="B456" s="1"/>
      <c r="C456" s="1"/>
      <c r="D456" s="1"/>
      <c r="E456" s="59">
        <f>SUM(B456:D456)</f>
        <v>0</v>
      </c>
      <c r="F456" s="1"/>
      <c r="G456" s="1"/>
      <c r="H456" s="1"/>
      <c r="I456" s="59">
        <f>SUM(F456:H456)</f>
        <v>0</v>
      </c>
      <c r="J456" s="1"/>
      <c r="K456" s="1"/>
      <c r="L456" s="1"/>
      <c r="M456" s="59">
        <f>SUM(J456:L456)</f>
        <v>0</v>
      </c>
      <c r="N456" s="1"/>
      <c r="O456" s="1"/>
      <c r="P456" s="1"/>
      <c r="Q456" s="59">
        <f>SUM(N456:P456)</f>
        <v>0</v>
      </c>
      <c r="R456" s="59">
        <f>+E456+I456+M456+Q456</f>
        <v>0</v>
      </c>
    </row>
    <row r="457" spans="1:21" ht="15.75" customHeight="1" x14ac:dyDescent="0.3">
      <c r="A457" s="76" t="s">
        <v>453</v>
      </c>
      <c r="B457" s="1"/>
      <c r="C457" s="1"/>
      <c r="D457" s="1">
        <v>1000</v>
      </c>
      <c r="E457" s="59">
        <f>SUM(B457:D457)</f>
        <v>1000</v>
      </c>
      <c r="F457" s="1">
        <v>1000</v>
      </c>
      <c r="G457" s="1"/>
      <c r="H457" s="1"/>
      <c r="I457" s="59">
        <f>SUM(F457:H457)</f>
        <v>1000</v>
      </c>
      <c r="J457" s="1"/>
      <c r="K457" s="1"/>
      <c r="L457" s="1">
        <v>1490</v>
      </c>
      <c r="M457" s="59">
        <f>SUM(J457:L457)</f>
        <v>1490</v>
      </c>
      <c r="N457" s="1">
        <v>5197</v>
      </c>
      <c r="O457" s="1"/>
      <c r="P457" s="1"/>
      <c r="Q457" s="59">
        <f>SUM(N457:P457)</f>
        <v>5197</v>
      </c>
      <c r="R457" s="59">
        <f>+E457+I457+M457+Q457</f>
        <v>8687</v>
      </c>
    </row>
    <row r="458" spans="1:21" ht="15.75" customHeight="1" x14ac:dyDescent="0.3">
      <c r="A458" s="17" t="s">
        <v>66</v>
      </c>
      <c r="B458" s="1"/>
      <c r="C458" s="1"/>
      <c r="D458" s="1"/>
      <c r="E458" s="59" t="s">
        <v>7</v>
      </c>
      <c r="F458" s="1"/>
      <c r="G458" s="1"/>
      <c r="H458" s="1"/>
      <c r="I458" s="59" t="s">
        <v>7</v>
      </c>
      <c r="J458" s="1"/>
      <c r="K458" s="1"/>
      <c r="L458" s="1"/>
      <c r="M458" s="59" t="s">
        <v>7</v>
      </c>
      <c r="N458" s="1"/>
      <c r="O458" s="1"/>
      <c r="P458" s="1"/>
      <c r="Q458" s="59" t="s">
        <v>7</v>
      </c>
      <c r="R458" s="59" t="s">
        <v>7</v>
      </c>
    </row>
    <row r="459" spans="1:21" ht="15.75" customHeight="1" x14ac:dyDescent="0.3">
      <c r="A459" s="76" t="s">
        <v>454</v>
      </c>
      <c r="B459" s="1"/>
      <c r="C459" s="1"/>
      <c r="D459" s="1"/>
      <c r="E459" s="59">
        <f t="shared" ref="E459:E464" si="188">SUM(B459:D459)</f>
        <v>0</v>
      </c>
      <c r="F459" s="1"/>
      <c r="G459" s="1"/>
      <c r="H459" s="1"/>
      <c r="I459" s="59">
        <f t="shared" ref="I459:I464" si="189">SUM(F459:H459)</f>
        <v>0</v>
      </c>
      <c r="J459" s="1"/>
      <c r="K459" s="1"/>
      <c r="L459" s="1"/>
      <c r="M459" s="59">
        <f t="shared" ref="M459:M464" si="190">SUM(J459:L459)</f>
        <v>0</v>
      </c>
      <c r="N459" s="1"/>
      <c r="O459" s="1"/>
      <c r="P459" s="1"/>
      <c r="Q459" s="59">
        <f t="shared" ref="Q459:Q464" si="191">SUM(N459:P459)</f>
        <v>0</v>
      </c>
      <c r="R459" s="59">
        <f t="shared" ref="R459:R464" si="192">+E459+I459+M459+Q459</f>
        <v>0</v>
      </c>
      <c r="T459" s="4" t="s">
        <v>317</v>
      </c>
    </row>
    <row r="460" spans="1:21" ht="15.75" customHeight="1" x14ac:dyDescent="0.3">
      <c r="A460" s="76" t="s">
        <v>455</v>
      </c>
      <c r="B460" s="1"/>
      <c r="C460" s="1"/>
      <c r="D460" s="1"/>
      <c r="E460" s="59">
        <f t="shared" ref="E460" si="193">SUM(B460:D460)</f>
        <v>0</v>
      </c>
      <c r="F460" s="1"/>
      <c r="G460" s="1">
        <v>2000</v>
      </c>
      <c r="H460" s="1"/>
      <c r="I460" s="59">
        <f t="shared" si="189"/>
        <v>2000</v>
      </c>
      <c r="J460" s="1"/>
      <c r="K460" s="1"/>
      <c r="L460" s="1"/>
      <c r="M460" s="59">
        <f t="shared" si="190"/>
        <v>0</v>
      </c>
      <c r="N460" s="1"/>
      <c r="O460" s="1"/>
      <c r="P460" s="1"/>
      <c r="Q460" s="59">
        <f t="shared" si="191"/>
        <v>0</v>
      </c>
      <c r="R460" s="59">
        <f t="shared" si="192"/>
        <v>2000</v>
      </c>
      <c r="T460" s="4" t="s">
        <v>317</v>
      </c>
    </row>
    <row r="461" spans="1:21" ht="15.75" customHeight="1" x14ac:dyDescent="0.3">
      <c r="A461" s="76" t="s">
        <v>456</v>
      </c>
      <c r="B461" s="1"/>
      <c r="C461" s="1"/>
      <c r="D461" s="1"/>
      <c r="E461" s="59">
        <f t="shared" si="188"/>
        <v>0</v>
      </c>
      <c r="F461" s="1"/>
      <c r="G461" s="1"/>
      <c r="H461" s="1"/>
      <c r="I461" s="59">
        <f t="shared" si="189"/>
        <v>0</v>
      </c>
      <c r="J461" s="1"/>
      <c r="K461" s="1"/>
      <c r="L461" s="1"/>
      <c r="M461" s="59">
        <f t="shared" si="190"/>
        <v>0</v>
      </c>
      <c r="N461" s="1"/>
      <c r="O461" s="1"/>
      <c r="P461" s="1"/>
      <c r="Q461" s="59">
        <f t="shared" si="191"/>
        <v>0</v>
      </c>
      <c r="R461" s="59">
        <f t="shared" si="192"/>
        <v>0</v>
      </c>
      <c r="T461" s="4" t="s">
        <v>331</v>
      </c>
    </row>
    <row r="462" spans="1:21" ht="15.75" customHeight="1" x14ac:dyDescent="0.3">
      <c r="A462" s="76" t="s">
        <v>457</v>
      </c>
      <c r="B462" s="1"/>
      <c r="C462" s="1"/>
      <c r="D462" s="1"/>
      <c r="E462" s="59">
        <f t="shared" si="188"/>
        <v>0</v>
      </c>
      <c r="F462" s="1"/>
      <c r="G462" s="1"/>
      <c r="H462" s="1"/>
      <c r="I462" s="59">
        <f t="shared" si="189"/>
        <v>0</v>
      </c>
      <c r="J462" s="1"/>
      <c r="K462" s="1"/>
      <c r="L462" s="1"/>
      <c r="M462" s="59">
        <f t="shared" si="190"/>
        <v>0</v>
      </c>
      <c r="N462" s="1"/>
      <c r="O462" s="1"/>
      <c r="P462" s="1"/>
      <c r="Q462" s="59">
        <f t="shared" si="191"/>
        <v>0</v>
      </c>
      <c r="R462" s="59">
        <f t="shared" si="192"/>
        <v>0</v>
      </c>
    </row>
    <row r="463" spans="1:21" ht="15.75" customHeight="1" x14ac:dyDescent="0.3">
      <c r="A463" s="76" t="s">
        <v>458</v>
      </c>
      <c r="B463" s="1"/>
      <c r="C463" s="1"/>
      <c r="D463" s="1"/>
      <c r="E463" s="59">
        <f t="shared" si="188"/>
        <v>0</v>
      </c>
      <c r="F463" s="1"/>
      <c r="G463" s="1"/>
      <c r="H463" s="1"/>
      <c r="I463" s="59">
        <f t="shared" si="189"/>
        <v>0</v>
      </c>
      <c r="J463" s="1"/>
      <c r="K463" s="1"/>
      <c r="L463" s="1"/>
      <c r="M463" s="59">
        <f t="shared" si="190"/>
        <v>0</v>
      </c>
      <c r="N463" s="1"/>
      <c r="O463" s="1"/>
      <c r="P463" s="1"/>
      <c r="Q463" s="59">
        <f t="shared" si="191"/>
        <v>0</v>
      </c>
      <c r="R463" s="59">
        <f t="shared" si="192"/>
        <v>0</v>
      </c>
    </row>
    <row r="464" spans="1:21" ht="15.75" customHeight="1" x14ac:dyDescent="0.3">
      <c r="A464" s="76" t="s">
        <v>459</v>
      </c>
      <c r="B464" s="1"/>
      <c r="C464" s="1"/>
      <c r="D464" s="1"/>
      <c r="E464" s="59">
        <f t="shared" si="188"/>
        <v>0</v>
      </c>
      <c r="F464" s="1"/>
      <c r="G464" s="1"/>
      <c r="H464" s="1"/>
      <c r="I464" s="59">
        <f t="shared" si="189"/>
        <v>0</v>
      </c>
      <c r="J464" s="1"/>
      <c r="K464" s="1"/>
      <c r="L464" s="1"/>
      <c r="M464" s="59">
        <f t="shared" si="190"/>
        <v>0</v>
      </c>
      <c r="N464" s="1"/>
      <c r="O464" s="1"/>
      <c r="P464" s="1"/>
      <c r="Q464" s="59">
        <f t="shared" si="191"/>
        <v>0</v>
      </c>
      <c r="R464" s="59">
        <f t="shared" si="192"/>
        <v>0</v>
      </c>
      <c r="T464" s="4" t="s">
        <v>317</v>
      </c>
    </row>
    <row r="465" spans="1:21" ht="15.75" customHeight="1" x14ac:dyDescent="0.3">
      <c r="A465" s="17" t="s">
        <v>67</v>
      </c>
      <c r="B465" s="1"/>
      <c r="C465" s="1"/>
      <c r="D465" s="1"/>
      <c r="E465" s="59" t="s">
        <v>7</v>
      </c>
      <c r="F465" s="1"/>
      <c r="G465" s="1"/>
      <c r="H465" s="1"/>
      <c r="I465" s="59" t="s">
        <v>7</v>
      </c>
      <c r="J465" s="1"/>
      <c r="K465" s="1"/>
      <c r="L465" s="1"/>
      <c r="M465" s="59" t="s">
        <v>7</v>
      </c>
      <c r="N465" s="1"/>
      <c r="O465" s="1"/>
      <c r="P465" s="1"/>
      <c r="Q465" s="59" t="s">
        <v>7</v>
      </c>
      <c r="R465" s="59" t="s">
        <v>7</v>
      </c>
    </row>
    <row r="466" spans="1:21" ht="15.75" customHeight="1" x14ac:dyDescent="0.3">
      <c r="A466" s="76" t="s">
        <v>460</v>
      </c>
      <c r="B466" s="1"/>
      <c r="C466" s="1"/>
      <c r="D466" s="1"/>
      <c r="E466" s="59">
        <f>SUM(B466:D466)</f>
        <v>0</v>
      </c>
      <c r="F466" s="1"/>
      <c r="G466" s="1"/>
      <c r="H466" s="1"/>
      <c r="I466" s="59">
        <f>SUM(F466:H466)</f>
        <v>0</v>
      </c>
      <c r="J466" s="1"/>
      <c r="K466" s="1"/>
      <c r="L466" s="1"/>
      <c r="M466" s="59">
        <f>SUM(J466:L466)</f>
        <v>0</v>
      </c>
      <c r="N466" s="1"/>
      <c r="O466" s="1"/>
      <c r="P466" s="1"/>
      <c r="Q466" s="59">
        <f>SUM(N466:P466)</f>
        <v>0</v>
      </c>
      <c r="R466" s="59">
        <f>+E466+I466+M466+Q466</f>
        <v>0</v>
      </c>
      <c r="T466" s="4" t="s">
        <v>305</v>
      </c>
    </row>
    <row r="467" spans="1:21" ht="15.75" customHeight="1" x14ac:dyDescent="0.3">
      <c r="A467" s="76" t="s">
        <v>461</v>
      </c>
      <c r="B467" s="1"/>
      <c r="C467" s="1"/>
      <c r="D467" s="1"/>
      <c r="E467" s="59">
        <f>SUM(B467:D467)</f>
        <v>0</v>
      </c>
      <c r="F467" s="1"/>
      <c r="G467" s="1"/>
      <c r="H467" s="1"/>
      <c r="I467" s="59">
        <f>SUM(F467:H467)</f>
        <v>0</v>
      </c>
      <c r="J467" s="1"/>
      <c r="K467" s="1"/>
      <c r="L467" s="1"/>
      <c r="M467" s="59">
        <f>SUM(J467:L467)</f>
        <v>0</v>
      </c>
      <c r="N467" s="1"/>
      <c r="O467" s="1"/>
      <c r="P467" s="1"/>
      <c r="Q467" s="59">
        <f>SUM(N467:P467)</f>
        <v>0</v>
      </c>
      <c r="R467" s="59">
        <f>+E467+I467+M467+Q467</f>
        <v>0</v>
      </c>
      <c r="S467" s="4" t="s">
        <v>964</v>
      </c>
      <c r="T467" s="4" t="s">
        <v>305</v>
      </c>
    </row>
    <row r="468" spans="1:21" ht="15.75" customHeight="1" x14ac:dyDescent="0.3">
      <c r="A468" s="76" t="s">
        <v>462</v>
      </c>
      <c r="B468" s="1"/>
      <c r="C468" s="1"/>
      <c r="D468" s="1"/>
      <c r="E468" s="59">
        <f>SUM(B468:D468)</f>
        <v>0</v>
      </c>
      <c r="F468" s="1"/>
      <c r="G468" s="1"/>
      <c r="H468" s="1"/>
      <c r="I468" s="59">
        <f>SUM(F468:H468)</f>
        <v>0</v>
      </c>
      <c r="J468" s="1"/>
      <c r="K468" s="1"/>
      <c r="L468" s="1">
        <v>3000</v>
      </c>
      <c r="M468" s="59">
        <f>SUM(J468:L468)</f>
        <v>3000</v>
      </c>
      <c r="N468" s="1"/>
      <c r="O468" s="1"/>
      <c r="P468" s="1"/>
      <c r="Q468" s="59">
        <f>SUM(N468:P468)</f>
        <v>0</v>
      </c>
      <c r="R468" s="59">
        <f>+E468+I468+M468+Q468</f>
        <v>3000</v>
      </c>
      <c r="S468" s="4" t="s">
        <v>964</v>
      </c>
    </row>
    <row r="469" spans="1:21" ht="15.75" customHeight="1" x14ac:dyDescent="0.3">
      <c r="A469" s="76" t="s">
        <v>463</v>
      </c>
      <c r="B469" s="1"/>
      <c r="C469" s="1"/>
      <c r="D469" s="1"/>
      <c r="E469" s="59">
        <f>SUM(B469:D469)</f>
        <v>0</v>
      </c>
      <c r="F469" s="1"/>
      <c r="G469" s="1"/>
      <c r="H469" s="1"/>
      <c r="I469" s="59">
        <f>SUM(F469:H469)</f>
        <v>0</v>
      </c>
      <c r="J469" s="1"/>
      <c r="K469" s="1"/>
      <c r="L469" s="1"/>
      <c r="M469" s="59">
        <f>SUM(J469:L469)</f>
        <v>0</v>
      </c>
      <c r="N469" s="1"/>
      <c r="O469" s="1"/>
      <c r="P469" s="1"/>
      <c r="Q469" s="59">
        <f>SUM(N469:P469)</f>
        <v>0</v>
      </c>
      <c r="R469" s="59">
        <f>+E469+I469+M469+Q469</f>
        <v>0</v>
      </c>
    </row>
    <row r="470" spans="1:21" ht="15.75" customHeight="1" x14ac:dyDescent="0.3">
      <c r="A470" s="76" t="s">
        <v>464</v>
      </c>
      <c r="B470" s="1"/>
      <c r="C470" s="1"/>
      <c r="D470" s="1"/>
      <c r="E470" s="59">
        <f t="shared" ref="E470" si="194">SUM(B470:D470)</f>
        <v>0</v>
      </c>
      <c r="F470" s="1"/>
      <c r="G470" s="1">
        <v>536</v>
      </c>
      <c r="H470" s="1">
        <v>2164</v>
      </c>
      <c r="I470" s="59">
        <f t="shared" ref="I470" si="195">SUM(F470:H470)</f>
        <v>2700</v>
      </c>
      <c r="J470" s="1"/>
      <c r="K470" s="1"/>
      <c r="L470" s="1"/>
      <c r="M470" s="59">
        <f t="shared" ref="M470" si="196">SUM(J470:L470)</f>
        <v>0</v>
      </c>
      <c r="N470" s="1"/>
      <c r="O470" s="1"/>
      <c r="P470" s="1"/>
      <c r="Q470" s="59">
        <f t="shared" ref="Q470:Q481" si="197">SUM(N470:P470)</f>
        <v>0</v>
      </c>
      <c r="R470" s="59">
        <f t="shared" ref="R470:R481" si="198">+E470+I470+M470+Q470</f>
        <v>2700</v>
      </c>
    </row>
    <row r="471" spans="1:21" ht="15.75" customHeight="1" x14ac:dyDescent="0.3">
      <c r="A471" s="76" t="s">
        <v>465</v>
      </c>
      <c r="B471" s="1"/>
      <c r="C471" s="1"/>
      <c r="D471" s="1"/>
      <c r="E471" s="59">
        <f>SUM(B471:D471)</f>
        <v>0</v>
      </c>
      <c r="F471" s="1"/>
      <c r="G471" s="1"/>
      <c r="H471" s="1"/>
      <c r="I471" s="59">
        <f>SUM(F471:H471)</f>
        <v>0</v>
      </c>
      <c r="J471" s="1"/>
      <c r="K471" s="1"/>
      <c r="L471" s="1"/>
      <c r="M471" s="59">
        <f>SUM(J471:L471)</f>
        <v>0</v>
      </c>
      <c r="N471" s="1"/>
      <c r="O471" s="1"/>
      <c r="P471" s="1"/>
      <c r="Q471" s="59">
        <f>SUM(N471:P471)</f>
        <v>0</v>
      </c>
      <c r="R471" s="59">
        <f>+E471+I471+M471+Q471</f>
        <v>0</v>
      </c>
      <c r="S471" s="4" t="s">
        <v>964</v>
      </c>
    </row>
    <row r="472" spans="1:21" ht="15.75" customHeight="1" x14ac:dyDescent="0.3">
      <c r="A472" s="76" t="s">
        <v>466</v>
      </c>
      <c r="B472" s="1"/>
      <c r="C472" s="1"/>
      <c r="D472" s="1">
        <v>510</v>
      </c>
      <c r="E472" s="59">
        <f>SUM(B472:D472)</f>
        <v>510</v>
      </c>
      <c r="F472" s="1">
        <v>610</v>
      </c>
      <c r="G472" s="1">
        <v>710</v>
      </c>
      <c r="H472" s="1">
        <v>870</v>
      </c>
      <c r="I472" s="59">
        <f>SUM(F472:H472)</f>
        <v>2190</v>
      </c>
      <c r="J472" s="1"/>
      <c r="K472" s="1"/>
      <c r="L472" s="1">
        <v>2300</v>
      </c>
      <c r="M472" s="59">
        <f>SUM(J472:L472)</f>
        <v>2300</v>
      </c>
      <c r="N472" s="1">
        <v>1504</v>
      </c>
      <c r="O472" s="1">
        <v>1396</v>
      </c>
      <c r="P472" s="1">
        <v>500</v>
      </c>
      <c r="Q472" s="59">
        <f>SUM(N472:P472)</f>
        <v>3400</v>
      </c>
      <c r="R472" s="59">
        <f>+E472+I472+M472+Q472</f>
        <v>8400</v>
      </c>
      <c r="T472" s="4" t="s">
        <v>305</v>
      </c>
      <c r="U472" s="20"/>
    </row>
    <row r="473" spans="1:21" ht="15.75" customHeight="1" x14ac:dyDescent="0.3">
      <c r="A473" s="76" t="s">
        <v>467</v>
      </c>
      <c r="B473" s="1"/>
      <c r="C473" s="1"/>
      <c r="D473" s="1"/>
      <c r="E473" s="59">
        <f>SUM(B473:D473)</f>
        <v>0</v>
      </c>
      <c r="F473" s="1"/>
      <c r="G473" s="1"/>
      <c r="H473" s="1"/>
      <c r="I473" s="59">
        <f>SUM(F473:H473)</f>
        <v>0</v>
      </c>
      <c r="J473" s="1"/>
      <c r="K473" s="1"/>
      <c r="L473" s="1"/>
      <c r="M473" s="59">
        <f>SUM(J473:L473)</f>
        <v>0</v>
      </c>
      <c r="N473" s="1"/>
      <c r="O473" s="1"/>
      <c r="P473" s="1"/>
      <c r="Q473" s="59">
        <f>SUM(N473:P473)</f>
        <v>0</v>
      </c>
      <c r="R473" s="59">
        <f>+E473+I473+M473+Q473</f>
        <v>0</v>
      </c>
      <c r="S473" s="4" t="s">
        <v>964</v>
      </c>
    </row>
    <row r="474" spans="1:21" ht="15.75" customHeight="1" x14ac:dyDescent="0.3">
      <c r="A474" s="76" t="s">
        <v>468</v>
      </c>
      <c r="B474" s="1"/>
      <c r="C474" s="1"/>
      <c r="D474" s="1"/>
      <c r="E474" s="59">
        <f>SUM(B474:D474)</f>
        <v>0</v>
      </c>
      <c r="F474" s="1"/>
      <c r="G474" s="1"/>
      <c r="H474" s="1"/>
      <c r="I474" s="59">
        <f>SUM(F474:H474)</f>
        <v>0</v>
      </c>
      <c r="J474" s="1"/>
      <c r="K474" s="1">
        <v>1230</v>
      </c>
      <c r="L474" s="1">
        <v>1500</v>
      </c>
      <c r="M474" s="59">
        <f>SUM(J474:L474)</f>
        <v>2730</v>
      </c>
      <c r="N474" s="1"/>
      <c r="O474" s="1">
        <v>900</v>
      </c>
      <c r="P474" s="1"/>
      <c r="Q474" s="59">
        <f>SUM(N474:P474)</f>
        <v>900</v>
      </c>
      <c r="R474" s="59">
        <f>+E474+I474+M474+Q474</f>
        <v>3630</v>
      </c>
      <c r="S474" s="4" t="s">
        <v>964</v>
      </c>
      <c r="T474" s="4" t="s">
        <v>331</v>
      </c>
    </row>
    <row r="475" spans="1:21" ht="15.75" customHeight="1" thickBot="1" x14ac:dyDescent="0.35">
      <c r="A475" s="76" t="s">
        <v>469</v>
      </c>
      <c r="B475" s="1"/>
      <c r="C475" s="1"/>
      <c r="D475" s="1"/>
      <c r="E475" s="59">
        <f>SUM(B475:D475)</f>
        <v>0</v>
      </c>
      <c r="F475" s="1"/>
      <c r="G475" s="1"/>
      <c r="H475" s="1"/>
      <c r="I475" s="59">
        <f>SUM(F475:H475)</f>
        <v>0</v>
      </c>
      <c r="J475" s="1"/>
      <c r="K475" s="1"/>
      <c r="L475" s="1"/>
      <c r="M475" s="59">
        <f>SUM(J475:L475)</f>
        <v>0</v>
      </c>
      <c r="N475" s="1"/>
      <c r="O475" s="1"/>
      <c r="P475" s="1"/>
      <c r="Q475" s="59">
        <f>SUM(N475:P475)</f>
        <v>0</v>
      </c>
      <c r="R475" s="59">
        <f>+E475+I475+M475+Q475</f>
        <v>0</v>
      </c>
      <c r="T475" s="4" t="s">
        <v>331</v>
      </c>
    </row>
    <row r="476" spans="1:21" ht="16.5" customHeight="1" thickBot="1" x14ac:dyDescent="0.35">
      <c r="A476" s="62" t="s">
        <v>68</v>
      </c>
      <c r="B476" s="63">
        <f>SUM(B458:B475)</f>
        <v>0</v>
      </c>
      <c r="C476" s="63">
        <f>SUM(C458:C475)</f>
        <v>0</v>
      </c>
      <c r="D476" s="63">
        <f>SUM(D458:D475)</f>
        <v>510</v>
      </c>
      <c r="E476" s="334">
        <f t="shared" ref="E476:E481" si="199">SUM(B476:D476)</f>
        <v>510</v>
      </c>
      <c r="F476" s="63">
        <f>SUM(F458:F475)</f>
        <v>610</v>
      </c>
      <c r="G476" s="63">
        <f>SUM(G458:G475)</f>
        <v>3246</v>
      </c>
      <c r="H476" s="63">
        <f>SUM(H458:H475)</f>
        <v>3034</v>
      </c>
      <c r="I476" s="334">
        <f t="shared" ref="I476:I481" si="200">SUM(F476:H476)</f>
        <v>6890</v>
      </c>
      <c r="J476" s="63">
        <f>SUM(J458:J475)</f>
        <v>0</v>
      </c>
      <c r="K476" s="63">
        <f>SUM(K458:K475)</f>
        <v>1230</v>
      </c>
      <c r="L476" s="63">
        <f>SUM(L458:L475)</f>
        <v>6800</v>
      </c>
      <c r="M476" s="334">
        <f t="shared" ref="M476:M481" si="201">SUM(J476:L476)</f>
        <v>8030</v>
      </c>
      <c r="N476" s="63">
        <f>SUM(N458:N475)</f>
        <v>1504</v>
      </c>
      <c r="O476" s="63">
        <f>SUM(O458:O475)</f>
        <v>2296</v>
      </c>
      <c r="P476" s="63">
        <f>SUM(P458:P475)</f>
        <v>500</v>
      </c>
      <c r="Q476" s="334">
        <f t="shared" si="197"/>
        <v>4300</v>
      </c>
      <c r="R476" s="64">
        <f t="shared" si="198"/>
        <v>19730</v>
      </c>
    </row>
    <row r="477" spans="1:21" ht="16.5" customHeight="1" thickBot="1" x14ac:dyDescent="0.35">
      <c r="A477" s="137" t="s">
        <v>69</v>
      </c>
      <c r="B477" s="100">
        <f>SUM(B452:B475)</f>
        <v>0</v>
      </c>
      <c r="C477" s="101">
        <f>SUM(C452:C475)</f>
        <v>0</v>
      </c>
      <c r="D477" s="138">
        <f>SUM(D452:D475)</f>
        <v>1510</v>
      </c>
      <c r="E477" s="334">
        <f t="shared" si="199"/>
        <v>1510</v>
      </c>
      <c r="F477" s="101">
        <f>SUM(F452:F475)</f>
        <v>1610</v>
      </c>
      <c r="G477" s="101">
        <f>SUM(G452:G475)</f>
        <v>3246</v>
      </c>
      <c r="H477" s="101">
        <f>SUM(H452:H475)</f>
        <v>3034</v>
      </c>
      <c r="I477" s="334">
        <f t="shared" si="200"/>
        <v>7890</v>
      </c>
      <c r="J477" s="101">
        <f>SUM(J452:J475)</f>
        <v>0</v>
      </c>
      <c r="K477" s="101">
        <f>SUM(K452:K475)</f>
        <v>1230</v>
      </c>
      <c r="L477" s="101">
        <f>SUM(L452:L475)</f>
        <v>8290</v>
      </c>
      <c r="M477" s="334">
        <f t="shared" si="201"/>
        <v>9520</v>
      </c>
      <c r="N477" s="101">
        <f>SUM(N452:N475)</f>
        <v>6701</v>
      </c>
      <c r="O477" s="101">
        <f>SUM(O452:O475)</f>
        <v>2296</v>
      </c>
      <c r="P477" s="101">
        <f>SUM(P452:P475)</f>
        <v>500</v>
      </c>
      <c r="Q477" s="334">
        <f t="shared" si="197"/>
        <v>9497</v>
      </c>
      <c r="R477" s="64">
        <f t="shared" si="198"/>
        <v>28417</v>
      </c>
    </row>
    <row r="478" spans="1:21" ht="16.5" customHeight="1" thickBot="1" x14ac:dyDescent="0.35">
      <c r="A478" s="62" t="s">
        <v>70</v>
      </c>
      <c r="B478" s="107">
        <f>+B382+B396+B451+B477</f>
        <v>13761</v>
      </c>
      <c r="C478" s="63">
        <f>+C382+C396+C451+C477</f>
        <v>19897</v>
      </c>
      <c r="D478" s="63">
        <f>+D382+D396+D451+D477</f>
        <v>46582</v>
      </c>
      <c r="E478" s="64">
        <f t="shared" si="199"/>
        <v>80240</v>
      </c>
      <c r="F478" s="63">
        <f>+F382+F396+F451+F477</f>
        <v>70264</v>
      </c>
      <c r="G478" s="63">
        <f>+G382+G396+G451+G477</f>
        <v>87227</v>
      </c>
      <c r="H478" s="63">
        <f>+H382+H396+H451+H477</f>
        <v>97828</v>
      </c>
      <c r="I478" s="64">
        <f t="shared" si="200"/>
        <v>255319</v>
      </c>
      <c r="J478" s="63">
        <f>+J382+J396+J451+J477</f>
        <v>96304</v>
      </c>
      <c r="K478" s="63">
        <f>+K382+K396+K451+K477</f>
        <v>74340</v>
      </c>
      <c r="L478" s="63">
        <f>+L382+L396+L451+L477</f>
        <v>60874</v>
      </c>
      <c r="M478" s="64">
        <f t="shared" si="201"/>
        <v>231518</v>
      </c>
      <c r="N478" s="63">
        <f>+N382+N396+N451+N477</f>
        <v>25580</v>
      </c>
      <c r="O478" s="63">
        <f>+O382+O396+O451+O477</f>
        <v>33491</v>
      </c>
      <c r="P478" s="63">
        <f>+P382+P396+P451+P477</f>
        <v>23612</v>
      </c>
      <c r="Q478" s="64">
        <f t="shared" si="197"/>
        <v>82683</v>
      </c>
      <c r="R478" s="88">
        <f t="shared" si="198"/>
        <v>649760</v>
      </c>
    </row>
    <row r="479" spans="1:21" ht="15.75" customHeight="1" x14ac:dyDescent="0.3">
      <c r="A479" s="74" t="s">
        <v>470</v>
      </c>
      <c r="B479" s="1"/>
      <c r="C479" s="1"/>
      <c r="D479" s="1"/>
      <c r="E479" s="59">
        <f t="shared" si="199"/>
        <v>0</v>
      </c>
      <c r="F479" s="1"/>
      <c r="G479" s="1"/>
      <c r="H479" s="1"/>
      <c r="I479" s="59">
        <f t="shared" si="200"/>
        <v>0</v>
      </c>
      <c r="J479" s="1"/>
      <c r="K479" s="1"/>
      <c r="L479" s="1"/>
      <c r="M479" s="59">
        <f t="shared" si="201"/>
        <v>0</v>
      </c>
      <c r="N479" s="1"/>
      <c r="O479" s="1"/>
      <c r="P479" s="1"/>
      <c r="Q479" s="59">
        <f t="shared" si="197"/>
        <v>0</v>
      </c>
      <c r="R479" s="59">
        <f t="shared" si="198"/>
        <v>0</v>
      </c>
    </row>
    <row r="480" spans="1:21" ht="15.75" customHeight="1" x14ac:dyDescent="0.3">
      <c r="A480" s="74" t="s">
        <v>471</v>
      </c>
      <c r="B480" s="1"/>
      <c r="C480" s="1"/>
      <c r="D480" s="1"/>
      <c r="E480" s="59">
        <f t="shared" si="199"/>
        <v>0</v>
      </c>
      <c r="F480" s="1"/>
      <c r="G480" s="1"/>
      <c r="H480" s="1"/>
      <c r="I480" s="59">
        <f t="shared" si="200"/>
        <v>0</v>
      </c>
      <c r="J480" s="1"/>
      <c r="K480" s="1"/>
      <c r="L480" s="1"/>
      <c r="M480" s="59">
        <f t="shared" si="201"/>
        <v>0</v>
      </c>
      <c r="N480" s="1"/>
      <c r="O480" s="1"/>
      <c r="P480" s="1"/>
      <c r="Q480" s="59">
        <f t="shared" si="197"/>
        <v>0</v>
      </c>
      <c r="R480" s="59">
        <f t="shared" si="198"/>
        <v>0</v>
      </c>
    </row>
    <row r="481" spans="1:18" ht="16.5" customHeight="1" thickBot="1" x14ac:dyDescent="0.35">
      <c r="A481" s="79" t="s">
        <v>37</v>
      </c>
      <c r="B481" s="25">
        <v>155</v>
      </c>
      <c r="C481" s="25">
        <v>283</v>
      </c>
      <c r="D481" s="25">
        <v>435</v>
      </c>
      <c r="E481" s="88">
        <f t="shared" si="199"/>
        <v>873</v>
      </c>
      <c r="F481" s="25">
        <v>602</v>
      </c>
      <c r="G481" s="25">
        <v>711</v>
      </c>
      <c r="H481" s="25">
        <v>722</v>
      </c>
      <c r="I481" s="88">
        <f t="shared" si="200"/>
        <v>2035</v>
      </c>
      <c r="J481" s="25">
        <v>686</v>
      </c>
      <c r="K481" s="25">
        <v>519</v>
      </c>
      <c r="L481" s="25">
        <v>531</v>
      </c>
      <c r="M481" s="88">
        <f t="shared" si="201"/>
        <v>1736</v>
      </c>
      <c r="N481" s="25">
        <v>489</v>
      </c>
      <c r="O481" s="25">
        <v>389</v>
      </c>
      <c r="P481" s="25">
        <v>275</v>
      </c>
      <c r="Q481" s="88">
        <f t="shared" si="197"/>
        <v>1153</v>
      </c>
      <c r="R481" s="59">
        <f t="shared" si="198"/>
        <v>5797</v>
      </c>
    </row>
    <row r="482" spans="1:18" ht="16.5" customHeight="1" thickBot="1" x14ac:dyDescent="0.35">
      <c r="A482" s="80"/>
      <c r="B482" s="81"/>
      <c r="C482" s="81"/>
      <c r="D482" s="81"/>
      <c r="E482" s="64"/>
      <c r="F482" s="81"/>
      <c r="G482" s="81"/>
      <c r="H482" s="81"/>
      <c r="I482" s="64"/>
      <c r="J482" s="81"/>
      <c r="K482" s="81"/>
      <c r="L482" s="81"/>
      <c r="M482" s="64"/>
      <c r="N482" s="81"/>
      <c r="O482" s="81"/>
      <c r="P482" s="81"/>
      <c r="Q482" s="64"/>
      <c r="R482" s="64" t="s">
        <v>7</v>
      </c>
    </row>
    <row r="483" spans="1:18" ht="15.75" customHeight="1" x14ac:dyDescent="0.3">
      <c r="A483" s="335" t="s">
        <v>38</v>
      </c>
      <c r="B483" s="336">
        <f>SUM(B478:B481)</f>
        <v>13916</v>
      </c>
      <c r="C483" s="336">
        <f>SUM(C478:C481)</f>
        <v>20180</v>
      </c>
      <c r="D483" s="336">
        <f>SUM(D478:D481)</f>
        <v>47017</v>
      </c>
      <c r="E483" s="334">
        <f>SUM(B483:D483)</f>
        <v>81113</v>
      </c>
      <c r="F483" s="336">
        <f>SUM(F478:F481)</f>
        <v>70866</v>
      </c>
      <c r="G483" s="336">
        <f>SUM(G478:G481)</f>
        <v>87938</v>
      </c>
      <c r="H483" s="336">
        <f>SUM(H478:H481)</f>
        <v>98550</v>
      </c>
      <c r="I483" s="334">
        <f>SUM(F483:H483)</f>
        <v>257354</v>
      </c>
      <c r="J483" s="336">
        <f>SUM(J478:J481)</f>
        <v>96990</v>
      </c>
      <c r="K483" s="336">
        <f>SUM(K478:K481)</f>
        <v>74859</v>
      </c>
      <c r="L483" s="336">
        <f>SUM(L478:L481)</f>
        <v>61405</v>
      </c>
      <c r="M483" s="334">
        <f>SUM(J483:L483)</f>
        <v>233254</v>
      </c>
      <c r="N483" s="336">
        <f>SUM(N478:N481)</f>
        <v>26069</v>
      </c>
      <c r="O483" s="336">
        <f>SUM(O478:O481)</f>
        <v>33880</v>
      </c>
      <c r="P483" s="336">
        <f>SUM(P478:P481)</f>
        <v>23887</v>
      </c>
      <c r="Q483" s="334">
        <f>SUM(N483:P483)</f>
        <v>83836</v>
      </c>
      <c r="R483" s="334">
        <f>+E483+I483+M483+Q483</f>
        <v>655557</v>
      </c>
    </row>
    <row r="484" spans="1:18" ht="15.75" customHeight="1" x14ac:dyDescent="0.3">
      <c r="A484" s="85" t="s">
        <v>39</v>
      </c>
      <c r="B484" s="1">
        <f>(B483/B10)/1.983</f>
        <v>226.37580726497811</v>
      </c>
      <c r="C484" s="1">
        <f>(C483/C10)/1.983</f>
        <v>363.44643757654342</v>
      </c>
      <c r="D484" s="1">
        <f>(D483/D10)/1.983</f>
        <v>764.83984838872345</v>
      </c>
      <c r="E484" s="59" t="s">
        <v>7</v>
      </c>
      <c r="F484" s="1">
        <f>(F483/F10)/1.983</f>
        <v>1191.2254160363084</v>
      </c>
      <c r="G484" s="1">
        <f>(G483/G10)/1.983</f>
        <v>1430.5142094903451</v>
      </c>
      <c r="H484" s="1">
        <f>(H483/H10)/1.983</f>
        <v>1656.5809379727684</v>
      </c>
      <c r="I484" s="59" t="s">
        <v>7</v>
      </c>
      <c r="J484" s="1">
        <f>(J483/J10)/1.983</f>
        <v>1577.7658484212579</v>
      </c>
      <c r="K484" s="1">
        <f>(K483/K10)/1.983</f>
        <v>1217.7541359621298</v>
      </c>
      <c r="L484" s="1">
        <f>(L483/L10)/1.983</f>
        <v>1032.1902840813582</v>
      </c>
      <c r="M484" s="59" t="s">
        <v>7</v>
      </c>
      <c r="N484" s="1">
        <f>(N483/N10)/1.983</f>
        <v>424.07235696972651</v>
      </c>
      <c r="O484" s="1">
        <f>(O483/O10)/1.983</f>
        <v>569.50748024878123</v>
      </c>
      <c r="P484" s="1">
        <f>(P483/P10)/1.983</f>
        <v>388.57709888894306</v>
      </c>
      <c r="Q484" s="59" t="s">
        <v>7</v>
      </c>
      <c r="R484" s="59" t="s">
        <v>7</v>
      </c>
    </row>
    <row r="485" spans="1:18" ht="15.75" customHeight="1" x14ac:dyDescent="0.3">
      <c r="A485" s="85" t="s">
        <v>472</v>
      </c>
      <c r="B485" s="1">
        <f>B483+B535</f>
        <v>27634</v>
      </c>
      <c r="C485" s="1">
        <f>C483+C535</f>
        <v>42323</v>
      </c>
      <c r="D485" s="1">
        <f>D483+D535</f>
        <v>80845</v>
      </c>
      <c r="E485" s="59">
        <f>SUM(B485:D485)</f>
        <v>150802</v>
      </c>
      <c r="F485" s="1">
        <f>F483+F535</f>
        <v>116980</v>
      </c>
      <c r="G485" s="1">
        <f>G483+G535</f>
        <v>129854</v>
      </c>
      <c r="H485" s="1">
        <f>H483+H535</f>
        <v>143470</v>
      </c>
      <c r="I485" s="59">
        <f>SUM(F485:H485)</f>
        <v>390304</v>
      </c>
      <c r="J485" s="1">
        <f>J483+J535</f>
        <v>145660</v>
      </c>
      <c r="K485" s="1">
        <f>K483+K535</f>
        <v>123809</v>
      </c>
      <c r="L485" s="1">
        <f>L483+L535</f>
        <v>97255</v>
      </c>
      <c r="M485" s="59">
        <f>SUM(J485:L485)</f>
        <v>366724</v>
      </c>
      <c r="N485" s="1">
        <f>N483+N535</f>
        <v>39567</v>
      </c>
      <c r="O485" s="1">
        <f>O483+O535</f>
        <v>39480</v>
      </c>
      <c r="P485" s="1">
        <f>P483+P535</f>
        <v>29496</v>
      </c>
      <c r="Q485" s="59">
        <f>SUM(N485:P485)</f>
        <v>108543</v>
      </c>
      <c r="R485" s="59">
        <f>+E485+I485+M485+Q485</f>
        <v>1016373</v>
      </c>
    </row>
    <row r="486" spans="1:18" s="50" customFormat="1" ht="16.5" customHeight="1" thickBot="1" x14ac:dyDescent="0.35">
      <c r="A486" s="139" t="s">
        <v>473</v>
      </c>
      <c r="B486" s="140">
        <f>(B485/B10)/1.983</f>
        <v>449.53068826964682</v>
      </c>
      <c r="C486" s="140">
        <f>(C485/C10)/1.983</f>
        <v>762.24695627116193</v>
      </c>
      <c r="D486" s="140">
        <f>(D485/D10)/1.983</f>
        <v>1315.1302197712816</v>
      </c>
      <c r="E486" s="141" t="s">
        <v>7</v>
      </c>
      <c r="F486" s="140">
        <f>(F485/F10)/1.983</f>
        <v>1966.3809043536728</v>
      </c>
      <c r="G486" s="140">
        <f>(G485/G10)/1.983</f>
        <v>2112.3745384152394</v>
      </c>
      <c r="H486" s="140">
        <f>(H485/H10)/1.983</f>
        <v>2411.6658261892753</v>
      </c>
      <c r="I486" s="141" t="s">
        <v>7</v>
      </c>
      <c r="J486" s="140">
        <f>(J485/J10)/1.983</f>
        <v>2369.4955508922617</v>
      </c>
      <c r="K486" s="140">
        <f>(K485/K10)/1.983</f>
        <v>2014.0386836497323</v>
      </c>
      <c r="L486" s="140">
        <f>(L485/L10)/1.983</f>
        <v>1634.8125735417718</v>
      </c>
      <c r="M486" s="141" t="s">
        <v>7</v>
      </c>
      <c r="N486" s="140">
        <f>(N485/N10)/1.983</f>
        <v>643.6484310184959</v>
      </c>
      <c r="O486" s="140">
        <f>(O485/O10)/1.983</f>
        <v>663.6409480584972</v>
      </c>
      <c r="P486" s="140">
        <f>(P485/P10)/1.983</f>
        <v>479.82040896003122</v>
      </c>
      <c r="Q486" s="141" t="s">
        <v>7</v>
      </c>
      <c r="R486" s="141" t="s">
        <v>7</v>
      </c>
    </row>
    <row r="487" spans="1:18" ht="15.75" customHeight="1" x14ac:dyDescent="0.3">
      <c r="A487" s="142" t="s">
        <v>474</v>
      </c>
      <c r="B487" s="143">
        <f>B$488+(SUMIF($T$323:$T$462,"FLG",B$330:B$480)/B10/1.98)+(SUMIF($T$323:$T$462,"FCA",B$330:B$480)/B10/1.98)+(SUMIF($T$323:$T$462,"NSC",B$330:B$480)/B10/1.98)</f>
        <v>350.15064509720702</v>
      </c>
      <c r="C487" s="143">
        <f>C$488+(SUMIF($T$323:$T$462,"FLG",C$330:C$480)/C10/1.98)+(SUMIF($T$323:$T$462,"FCA",C$330:C$480)/C10/1.98)+(SUMIF($T$323:$T$462,"NSC",C$330:C$480)/C10/1.98)</f>
        <v>485.83154322564303</v>
      </c>
      <c r="D487" s="143">
        <f>D$488+(SUMIF($T$323:$T$462,"FLG",D$330:D$480)/D10/1.98)+(SUMIF($T$323:$T$462,"FCA",D$330:D$480)/D10/1.98)+(SUMIF($T$323:$T$462,"NSC",D$330:D$480)/D10/1.98)</f>
        <v>785.82311820562768</v>
      </c>
      <c r="E487" s="144"/>
      <c r="F487" s="143">
        <f>F$488+(SUMIF($T$323:$T$462,"FLG",F$330:F$480)/F10/1.98)+(SUMIF($T$323:$T$462,"FCA",F$330:F$480)/F10/1.98)+(SUMIF($T$323:$T$462,"NSC",F$330:F$480)/F10/1.98)</f>
        <v>1350.1049832668593</v>
      </c>
      <c r="G487" s="143">
        <f>G$488+(SUMIF($T$323:$T$462,"FLG",G$330:G$480)/G10/1.98)+(SUMIF($T$323:$T$462,"FCA",G$330:G$480)/G10/1.98)+(SUMIF($T$323:$T$462,"NSC",G$330:G$480)/G10/1.98)</f>
        <v>1310.2734928219288</v>
      </c>
      <c r="H487" s="143">
        <f>H$488+(SUMIF($T$323:$T$462,"FLG",H$330:H$480)/H10/1.98)+(SUMIF($T$323:$T$462,"FCA",H$330:H$480)/H10/1.98)+(SUMIF($T$323:$T$462,"NSC",H$330:H$480)/H10/1.98)</f>
        <v>1403.9737771053958</v>
      </c>
      <c r="I487" s="52"/>
      <c r="J487" s="143">
        <f>J$488+(SUMIF($T$323:$T$462,"FLG",J$330:J$480)/J10/1.98)+(SUMIF($T$323:$T$462,"FCA",J$330:J$480)/J10/1.98)+(SUMIF($T$323:$T$462,"NSC",J$330:J$480)/J10/1.98)</f>
        <v>1390.6381417020234</v>
      </c>
      <c r="K487" s="143">
        <f>K$488+(SUMIF($T$323:$T$462,"FLG",K$330:K$480)/K10/1.98)+(SUMIF($T$323:$T$462,"FCA",K$330:K$480)/K10/1.98)+(SUMIF($T$323:$T$462,"NSC",K$330:K$480)/K10/1.98)</f>
        <v>1194.6227686064688</v>
      </c>
      <c r="L487" s="143">
        <f>L$488+(SUMIF($T$323:$T$462,"FLG",L$330:L$480)/L10/1.98)+(SUMIF($T$323:$T$462,"FCA",L$330:L$480)/L10/1.98)+(SUMIF($T$323:$T$462,"NSC",L$330:L$480)/L10/1.98)</f>
        <v>860.2822221203462</v>
      </c>
      <c r="M487" s="52"/>
      <c r="N487" s="143">
        <f>N$488+(SUMIF($T$323:$T$462,"FLG",N$330:N$480)/N10/1.98)+(SUMIF($T$323:$T$462,"FCA",N$330:N$480)/N10/1.98)+(SUMIF($T$323:$T$462,"NSC",N$330:N$480)/N10/1.98)</f>
        <v>314.99803559976323</v>
      </c>
      <c r="O487" s="143">
        <f>O$488+(SUMIF($T$323:$T$462,"FLG",O$330:O$480)/O10/1.98)+(SUMIF($T$323:$T$462,"FCA",O$330:O$480)/O10/1.98)+(SUMIF($T$323:$T$462,"NSC",O$330:O$480)/O10/1.98)</f>
        <v>210.63178430803239</v>
      </c>
      <c r="P487" s="143">
        <f>P$488+(SUMIF($T$323:$T$462,"FLG",P$330:P$480)/P10/1.98)+(SUMIF($T$323:$T$462,"FCA",P$330:P$480)/P10/1.98)+(SUMIF($T$323:$T$462,"NSC",P$330:P$480)/P10/1.98)</f>
        <v>218.58120515091869</v>
      </c>
      <c r="Q487" s="52"/>
      <c r="R487" s="52"/>
    </row>
    <row r="488" spans="1:18" ht="15.75" customHeight="1" x14ac:dyDescent="0.3">
      <c r="A488" s="142" t="s">
        <v>475</v>
      </c>
      <c r="B488" s="143">
        <f>B$489+(SUMIF($T$323:$T$462,"FCI",B$330:B$480)/B10/1.98)+(SUMIF($T$323:$T$462,"FCC",B$330:B$480)/B10/1.98)</f>
        <v>350.15064509720702</v>
      </c>
      <c r="C488" s="143">
        <f>C$489+(SUMIF($T$323:$T$462,"FCI",C$330:C$480)/C10/1.98)+(SUMIF($T$323:$T$462,"FCC",C$330:C$480)/C10/1.98)</f>
        <v>485.83154322564303</v>
      </c>
      <c r="D488" s="143">
        <f>D$489+(SUMIF($T$323:$T$462,"FCI",D$330:D$480)/D10/1.98)+(SUMIF($T$323:$T$462,"FCC",D$330:D$480)/D10/1.98)</f>
        <v>785.82311820562768</v>
      </c>
      <c r="E488" s="144"/>
      <c r="F488" s="143">
        <f>F$489+(SUMIF($T$323:$T$462,"FCI",F$330:F$480)/F10/1.98)+(SUMIF($T$323:$T$462,"FCC",F$330:F$480)/F10/1.98)</f>
        <v>1350.1049832668593</v>
      </c>
      <c r="G488" s="143">
        <f>G$489+(SUMIF($T$323:$T$462,"FCI",G$330:G$480)/G10/1.98)+(SUMIF($T$323:$T$462,"FCC",G$330:G$480)/G10/1.98)</f>
        <v>1310.2734928219288</v>
      </c>
      <c r="H488" s="143">
        <f>H$489+(SUMIF($T$323:$T$462,"FCI",H$330:H$480)/H10/1.98)+(SUMIF($T$323:$T$462,"FCC",H$330:H$480)/H10/1.98)</f>
        <v>1403.9737771053958</v>
      </c>
      <c r="I488" s="52"/>
      <c r="J488" s="143">
        <f>J$489+(SUMIF($T$323:$T$462,"FCI",J$330:J$480)/J10/1.98)+(SUMIF($T$323:$T$462,"FCC",J$330:J$480)/J10/1.98)</f>
        <v>1390.6381417020234</v>
      </c>
      <c r="K488" s="143">
        <f>K$489+(SUMIF($T$323:$T$462,"FCI",K$330:K$480)/K10/1.98)+(SUMIF($T$323:$T$462,"FCC",K$330:K$480)/K10/1.98)</f>
        <v>1194.6227686064688</v>
      </c>
      <c r="L488" s="143">
        <f>L$489+(SUMIF($T$323:$T$462,"FCI",L$330:L$480)/L10/1.98)+(SUMIF($T$323:$T$462,"FCC",L$330:L$480)/L10/1.98)</f>
        <v>860.2822221203462</v>
      </c>
      <c r="M488" s="52"/>
      <c r="N488" s="143">
        <f>N$489+(SUMIF($T$323:$T$462,"FCI",N$330:N$480)/N10/1.98)+(SUMIF($T$323:$T$462,"FCC",N$330:N$480)/N10/1.98)</f>
        <v>314.99803559976323</v>
      </c>
      <c r="O488" s="143">
        <f>O$489+(SUMIF($T$323:$T$462,"FCI",O$330:O$480)/O10/1.98)+(SUMIF($T$323:$T$462,"FCC",O$330:O$480)/O10/1.98)</f>
        <v>210.63178430803239</v>
      </c>
      <c r="P488" s="143">
        <f>P$489+(SUMIF($T$323:$T$462,"FCI",P$330:P$480)/P10/1.98)+(SUMIF($T$323:$T$462,"FCC",P$330:P$480)/P10/1.98)</f>
        <v>218.58120515091869</v>
      </c>
      <c r="Q488" s="52"/>
      <c r="R488" s="52"/>
    </row>
    <row r="489" spans="1:18" ht="15.75" customHeight="1" x14ac:dyDescent="0.3">
      <c r="A489" s="142" t="s">
        <v>476</v>
      </c>
      <c r="B489" s="143">
        <f>B$490+(SUMIF($T$323:$T$462,"PIL",B$330:B$480)/B10/1.98)+(SUMIF($T$323:$T$462,"KLK",B$330:B$480)/B10/1.98)</f>
        <v>350.15064509720702</v>
      </c>
      <c r="C489" s="143">
        <f>C$490+(SUMIF($T$323:$T$462,"PIL",C$330:C$480)/C10/1.98)+(SUMIF($T$323:$T$462,"KLK",C$330:C$480)/C10/1.98)</f>
        <v>485.83154322564303</v>
      </c>
      <c r="D489" s="143">
        <f>D$490+(SUMIF($T$323:$T$462,"PIL",D$330:D$480)/D10/1.98)+(SUMIF($T$323:$T$462,"KLK",D$330:D$480)/D10/1.98)</f>
        <v>785.82311820562768</v>
      </c>
      <c r="E489" s="144"/>
      <c r="F489" s="143">
        <f>F$490+(SUMIF($T$323:$T$462,"PIL",F$330:F$480)/F10/1.98)+(SUMIF($T$323:$T$462,"KLK",F$330:F$480)/F10/1.98)</f>
        <v>1350.1049832668593</v>
      </c>
      <c r="G489" s="143">
        <f>G$490+(SUMIF($T$323:$T$462,"PIL",G$330:G$480)/G10/1.98)+(SUMIF($T$323:$T$462,"KLK",G$330:G$480)/G10/1.98)</f>
        <v>1310.2734928219288</v>
      </c>
      <c r="H489" s="143">
        <f>H$490+(SUMIF($T$323:$T$462,"PIL",H$330:H$480)/H10/1.98)+(SUMIF($T$323:$T$462,"KLK",H$330:H$480)/H10/1.98)</f>
        <v>1403.9737771053958</v>
      </c>
      <c r="I489" s="52"/>
      <c r="J489" s="143">
        <f>J$490+(SUMIF($T$323:$T$462,"PIL",J$330:J$480)/J10/1.98)+(SUMIF($T$323:$T$462,"KLK",J$330:J$480)/J10/1.98)</f>
        <v>1390.6381417020234</v>
      </c>
      <c r="K489" s="143">
        <f>K$490+(SUMIF($T$323:$T$462,"PIL",K$330:K$480)/K10/1.98)+(SUMIF($T$323:$T$462,"KLK",K$330:K$480)/K10/1.98)</f>
        <v>1194.6227686064688</v>
      </c>
      <c r="L489" s="143">
        <f>L$490+(SUMIF($T$323:$T$462,"PIL",L$330:L$480)/L10/1.98)+(SUMIF($T$323:$T$462,"KLK",L$330:L$480)/L10/1.98)</f>
        <v>860.2822221203462</v>
      </c>
      <c r="M489" s="52"/>
      <c r="N489" s="143">
        <f>N$490+(SUMIF($T$323:$T$462,"PIL",N$330:N$480)/N10/1.98)+(SUMIF($T$323:$T$462,"KLK",N$330:N$480)/N10/1.98)</f>
        <v>314.99803559976323</v>
      </c>
      <c r="O489" s="143">
        <f>O$490+(SUMIF($T$323:$T$462,"PIL",O$330:O$480)/O10/1.98)+(SUMIF($T$323:$T$462,"KLK",O$330:O$480)/O10/1.98)</f>
        <v>210.63178430803239</v>
      </c>
      <c r="P489" s="143">
        <f>P$490+(SUMIF($T$323:$T$462,"PIL",P$330:P$480)/P10/1.98)+(SUMIF($T$323:$T$462,"KLK",P$330:P$480)/P10/1.98)</f>
        <v>218.58120515091869</v>
      </c>
      <c r="Q489" s="52"/>
      <c r="R489" s="52"/>
    </row>
    <row r="490" spans="1:18" ht="15.75" customHeight="1" x14ac:dyDescent="0.3">
      <c r="A490" s="142" t="s">
        <v>477</v>
      </c>
      <c r="B490" s="143">
        <f>B$491+(SUMIF($T$323:$T$462,"CGE",B$330:B$480)/B10/1.98)</f>
        <v>349.90626582056967</v>
      </c>
      <c r="C490" s="143">
        <f>C$491+(SUMIF($T$323:$T$462,"CGE",C$330:C$480)/C10/1.98)</f>
        <v>485.48883038293019</v>
      </c>
      <c r="D490" s="143">
        <f>D$491+(SUMIF($T$323:$T$462,"CGE",D$330:D$480)/D10/1.98)</f>
        <v>785.17144013459472</v>
      </c>
      <c r="E490" s="144"/>
      <c r="F490" s="143">
        <f>F$491+(SUMIF($T$323:$T$462,"CGE",F$330:F$480)/F10/1.98)</f>
        <v>1347.0241751860513</v>
      </c>
      <c r="G490" s="143">
        <f>G$491+(SUMIF($T$323:$T$462,"CGE",G$330:G$480)/G10/1.98)</f>
        <v>1301.3617952005538</v>
      </c>
      <c r="H490" s="143">
        <f>H$491+(SUMIF($T$323:$T$462,"CGE",H$330:H$480)/H10/1.98)</f>
        <v>1403.0141811457997</v>
      </c>
      <c r="I490" s="52"/>
      <c r="J490" s="143">
        <f>J$491+(SUMIF($T$323:$T$462,"CGE",J$330:J$480)/J10/1.98)</f>
        <v>1389.5139970294917</v>
      </c>
      <c r="K490" s="143">
        <f>K$491+(SUMIF($T$323:$T$462,"CGE",K$330:K$480)/K10/1.98)</f>
        <v>1193.7592951623501</v>
      </c>
      <c r="L490" s="143">
        <f>L$491+(SUMIF($T$323:$T$462,"CGE",L$330:L$480)/L10/1.98)</f>
        <v>859.2216160597402</v>
      </c>
      <c r="M490" s="52"/>
      <c r="N490" s="143">
        <f>N$491+(SUMIF($T$323:$T$462,"CGE",N$330:N$480)/N10/1.98)</f>
        <v>314.23231386629953</v>
      </c>
      <c r="O490" s="143">
        <f>O$491+(SUMIF($T$323:$T$462,"CGE",O$330:O$480)/O10/1.98)</f>
        <v>210.0257237019718</v>
      </c>
      <c r="P490" s="143">
        <f>P$491+(SUMIF($T$323:$T$462,"CGE",P$330:P$480)/P10/1.98)</f>
        <v>218.32053392250552</v>
      </c>
      <c r="Q490" s="52"/>
      <c r="R490" s="52"/>
    </row>
    <row r="491" spans="1:18" ht="15.75" customHeight="1" x14ac:dyDescent="0.3">
      <c r="A491" s="142" t="s">
        <v>478</v>
      </c>
      <c r="B491" s="143">
        <f>B$492+(SUMIF($T$323:$T$462,"SRO",B$330:B$480)/B10/1.98)</f>
        <v>349.90626582056967</v>
      </c>
      <c r="C491" s="143">
        <f>C$492+(SUMIF($T$323:$T$462,"SRO",C$330:C$480)/C10/1.98)</f>
        <v>485.48883038293019</v>
      </c>
      <c r="D491" s="143">
        <f>D$492+(SUMIF($T$323:$T$462,"SRO",D$330:D$480)/D10/1.98)</f>
        <v>743.74100676867749</v>
      </c>
      <c r="E491" s="144"/>
      <c r="F491" s="143">
        <f>F$492+(SUMIF($T$323:$T$462,"SRO",F$330:F$480)/F10/1.98)</f>
        <v>1313.3541415160175</v>
      </c>
      <c r="G491" s="143">
        <f>G$492+(SUMIF($T$323:$T$462,"SRO",G$330:G$480)/G10/1.98)</f>
        <v>1260.6319157609969</v>
      </c>
      <c r="H491" s="143">
        <f>H$492+(SUMIF($T$323:$T$462,"SRO",H$330:H$480)/H10/1.98)</f>
        <v>1307.374450506069</v>
      </c>
      <c r="I491" s="52"/>
      <c r="J491" s="143">
        <f>J$492+(SUMIF($T$323:$T$462,"SRO",J$330:J$480)/J10/1.98)</f>
        <v>1360.5794906756305</v>
      </c>
      <c r="K491" s="143">
        <f>K$492+(SUMIF($T$323:$T$462,"SRO",K$330:K$480)/K10/1.98)</f>
        <v>1193.7592951623501</v>
      </c>
      <c r="L491" s="143">
        <f>L$492+(SUMIF($T$323:$T$462,"SRO",L$330:L$480)/L10/1.98)</f>
        <v>859.2216160597402</v>
      </c>
      <c r="M491" s="52"/>
      <c r="N491" s="143">
        <f>N$492+(SUMIF($T$323:$T$462,"SRO",N$330:N$480)/N10/1.98)</f>
        <v>314.23231386629953</v>
      </c>
      <c r="O491" s="143">
        <f>O$492+(SUMIF($T$323:$T$462,"SRO",O$330:O$480)/O10/1.98)</f>
        <v>210.0257237019718</v>
      </c>
      <c r="P491" s="143">
        <f>P$492+(SUMIF($T$323:$T$462,"SRO",P$330:P$480)/P10/1.98)</f>
        <v>218.32053392250552</v>
      </c>
      <c r="Q491" s="52"/>
      <c r="R491" s="52"/>
    </row>
    <row r="492" spans="1:18" ht="15.75" customHeight="1" x14ac:dyDescent="0.3">
      <c r="A492" s="142" t="s">
        <v>479</v>
      </c>
      <c r="B492" s="143">
        <f>B$535/B10/1.983</f>
        <v>223.15488100466871</v>
      </c>
      <c r="C492" s="143">
        <f>C$535/C10/1.983</f>
        <v>398.80051869461852</v>
      </c>
      <c r="D492" s="143">
        <f>D$535/D10/1.983</f>
        <v>550.29037138255819</v>
      </c>
      <c r="E492" s="98"/>
      <c r="F492" s="143">
        <f>F$535/F10/1.983</f>
        <v>775.1554883173643</v>
      </c>
      <c r="G492" s="143">
        <f>G$535/G10/1.983</f>
        <v>681.86032892489391</v>
      </c>
      <c r="H492" s="143">
        <f>H$535/H10/1.983</f>
        <v>755.0848882165069</v>
      </c>
      <c r="I492" s="1"/>
      <c r="J492" s="143">
        <f>J$535/J10/1.983</f>
        <v>791.72970247100352</v>
      </c>
      <c r="K492" s="143">
        <f>K$535/K10/1.983</f>
        <v>796.28454768760264</v>
      </c>
      <c r="L492" s="143">
        <f>L$535/L10/1.983</f>
        <v>602.62228946041353</v>
      </c>
      <c r="N492" s="143">
        <f>N$535/N10/1.983</f>
        <v>219.57607404876939</v>
      </c>
      <c r="O492" s="143">
        <f>O$535/O10/1.983</f>
        <v>94.13346780971591</v>
      </c>
      <c r="P492" s="143">
        <f>P$535/P10/1.983</f>
        <v>91.243310071088118</v>
      </c>
      <c r="R492" s="52"/>
    </row>
    <row r="493" spans="1:18" ht="15.75" customHeight="1" x14ac:dyDescent="0.3">
      <c r="A493" s="142"/>
      <c r="B493" s="143"/>
      <c r="C493" s="143"/>
      <c r="D493" s="143"/>
      <c r="E493" s="98"/>
      <c r="F493" s="143"/>
      <c r="G493" s="143"/>
      <c r="H493" s="143"/>
      <c r="I493" s="1"/>
      <c r="J493" s="143"/>
      <c r="K493" s="143"/>
      <c r="L493" s="143"/>
      <c r="N493" s="143"/>
      <c r="O493" s="143"/>
      <c r="P493" s="143"/>
      <c r="R493" s="52"/>
    </row>
    <row r="494" spans="1:18" ht="15.75" customHeight="1" thickBot="1" x14ac:dyDescent="0.35">
      <c r="A494" s="30"/>
      <c r="B494" s="1"/>
      <c r="C494" s="1"/>
      <c r="D494" s="1"/>
      <c r="E494" s="1"/>
      <c r="F494" s="1"/>
      <c r="G494" s="1"/>
      <c r="H494" s="1"/>
      <c r="I494" s="1"/>
      <c r="J494" s="1"/>
      <c r="K494" s="1"/>
      <c r="L494" s="1"/>
      <c r="M494" s="1"/>
      <c r="N494" s="1"/>
      <c r="O494" s="1"/>
      <c r="P494" s="1"/>
      <c r="Q494" s="1"/>
      <c r="R494" s="28"/>
    </row>
    <row r="495" spans="1:18" ht="16.5" customHeight="1" thickBot="1" x14ac:dyDescent="0.35">
      <c r="A495" s="31" t="s">
        <v>480</v>
      </c>
      <c r="B495" s="323" t="s">
        <v>36</v>
      </c>
      <c r="C495" s="324" t="s">
        <v>9</v>
      </c>
      <c r="D495" s="324" t="s">
        <v>10</v>
      </c>
      <c r="E495" s="325" t="s">
        <v>11</v>
      </c>
      <c r="F495" s="324" t="s">
        <v>12</v>
      </c>
      <c r="G495" s="324" t="s">
        <v>13</v>
      </c>
      <c r="H495" s="324" t="s">
        <v>14</v>
      </c>
      <c r="I495" s="34" t="s">
        <v>15</v>
      </c>
      <c r="J495" s="324" t="s">
        <v>16</v>
      </c>
      <c r="K495" s="324" t="s">
        <v>17</v>
      </c>
      <c r="L495" s="324" t="s">
        <v>18</v>
      </c>
      <c r="M495" s="34" t="s">
        <v>19</v>
      </c>
      <c r="N495" s="324" t="s">
        <v>20</v>
      </c>
      <c r="O495" s="324" t="s">
        <v>21</v>
      </c>
      <c r="P495" s="324" t="s">
        <v>22</v>
      </c>
      <c r="Q495" s="34" t="s">
        <v>23</v>
      </c>
      <c r="R495" s="326" t="s">
        <v>24</v>
      </c>
    </row>
    <row r="496" spans="1:18" ht="16.5" customHeight="1" thickBot="1" x14ac:dyDescent="0.35">
      <c r="A496" s="64"/>
      <c r="B496" s="81"/>
      <c r="C496" s="81"/>
      <c r="D496" s="81"/>
      <c r="E496" s="72"/>
      <c r="F496" s="81"/>
      <c r="G496" s="81"/>
      <c r="H496" s="81"/>
      <c r="I496" s="89"/>
      <c r="J496" s="81"/>
      <c r="K496" s="81"/>
      <c r="L496" s="81"/>
      <c r="M496" s="89"/>
      <c r="N496" s="81"/>
      <c r="O496" s="81"/>
      <c r="P496" s="81"/>
      <c r="Q496" s="89"/>
      <c r="R496" s="117"/>
    </row>
    <row r="497" spans="1:20" ht="15.75" customHeight="1" x14ac:dyDescent="0.3">
      <c r="A497" s="17" t="s">
        <v>45</v>
      </c>
      <c r="B497" s="1" t="s">
        <v>7</v>
      </c>
      <c r="C497" s="1" t="s">
        <v>7</v>
      </c>
      <c r="D497" s="1" t="s">
        <v>7</v>
      </c>
      <c r="E497" s="59" t="s">
        <v>7</v>
      </c>
      <c r="F497" s="1"/>
      <c r="G497" s="1"/>
      <c r="H497" s="1"/>
      <c r="I497" s="59" t="s">
        <v>7</v>
      </c>
      <c r="J497" s="1" t="s">
        <v>7</v>
      </c>
      <c r="K497" s="1" t="s">
        <v>7</v>
      </c>
      <c r="L497" s="1" t="s">
        <v>7</v>
      </c>
      <c r="M497" s="59" t="s">
        <v>7</v>
      </c>
      <c r="N497" s="1" t="s">
        <v>7</v>
      </c>
      <c r="O497" s="1" t="s">
        <v>7</v>
      </c>
      <c r="P497" s="1" t="s">
        <v>7</v>
      </c>
      <c r="Q497" s="59" t="s">
        <v>7</v>
      </c>
      <c r="R497" s="59" t="s">
        <v>7</v>
      </c>
    </row>
    <row r="498" spans="1:20" ht="15.75" customHeight="1" x14ac:dyDescent="0.3">
      <c r="A498" s="17" t="s">
        <v>46</v>
      </c>
      <c r="B498" s="1"/>
      <c r="C498" s="1"/>
      <c r="D498" s="1"/>
      <c r="E498" s="59" t="s">
        <v>7</v>
      </c>
      <c r="F498" s="1"/>
      <c r="G498" s="1"/>
      <c r="H498" s="1"/>
      <c r="I498" s="59" t="s">
        <v>7</v>
      </c>
      <c r="J498" s="1"/>
      <c r="K498" s="1"/>
      <c r="L498" s="1"/>
      <c r="M498" s="59" t="s">
        <v>7</v>
      </c>
      <c r="N498" s="1"/>
      <c r="O498" s="1"/>
      <c r="P498" s="1"/>
      <c r="Q498" s="59" t="s">
        <v>7</v>
      </c>
      <c r="R498" s="59" t="s">
        <v>7</v>
      </c>
    </row>
    <row r="499" spans="1:20" ht="15.75" customHeight="1" x14ac:dyDescent="0.3">
      <c r="A499" s="74" t="s">
        <v>481</v>
      </c>
      <c r="B499" s="1"/>
      <c r="C499" s="1"/>
      <c r="D499" s="1">
        <v>4</v>
      </c>
      <c r="E499" s="59">
        <f t="shared" ref="E499:E503" si="202">SUM(B499:D499)</f>
        <v>4</v>
      </c>
      <c r="F499" s="1">
        <v>17</v>
      </c>
      <c r="G499" s="1">
        <v>7</v>
      </c>
      <c r="H499" s="1">
        <v>17</v>
      </c>
      <c r="I499" s="59">
        <f t="shared" ref="I499:I503" si="203">SUM(F499:H499)</f>
        <v>41</v>
      </c>
      <c r="J499" s="1">
        <v>6</v>
      </c>
      <c r="K499" s="1">
        <v>9</v>
      </c>
      <c r="L499" s="1">
        <v>3</v>
      </c>
      <c r="M499" s="59">
        <f t="shared" ref="M499:M503" si="204">SUM(J499:L499)</f>
        <v>18</v>
      </c>
      <c r="N499" s="1"/>
      <c r="O499" s="1"/>
      <c r="P499" s="1"/>
      <c r="Q499" s="59">
        <f t="shared" ref="Q499:Q503" si="205">SUM(N499:P499)</f>
        <v>0</v>
      </c>
      <c r="R499" s="59">
        <f t="shared" ref="R499:R503" si="206">+E499+I499+M499+Q499</f>
        <v>63</v>
      </c>
      <c r="T499" s="4" t="s">
        <v>366</v>
      </c>
    </row>
    <row r="500" spans="1:20" ht="15.75" customHeight="1" x14ac:dyDescent="0.3">
      <c r="A500" s="74" t="s">
        <v>482</v>
      </c>
      <c r="B500" s="1"/>
      <c r="C500" s="1"/>
      <c r="D500" s="1"/>
      <c r="E500" s="59">
        <f t="shared" si="202"/>
        <v>0</v>
      </c>
      <c r="F500" s="1"/>
      <c r="G500" s="1"/>
      <c r="H500" s="1"/>
      <c r="I500" s="59">
        <f t="shared" si="203"/>
        <v>0</v>
      </c>
      <c r="J500" s="1"/>
      <c r="K500" s="1"/>
      <c r="L500" s="1"/>
      <c r="M500" s="59">
        <f t="shared" si="204"/>
        <v>0</v>
      </c>
      <c r="N500" s="1"/>
      <c r="O500" s="1"/>
      <c r="P500" s="1"/>
      <c r="Q500" s="59">
        <f t="shared" si="205"/>
        <v>0</v>
      </c>
      <c r="R500" s="59">
        <f t="shared" si="206"/>
        <v>0</v>
      </c>
      <c r="T500" s="4" t="s">
        <v>366</v>
      </c>
    </row>
    <row r="501" spans="1:20" ht="15.75" customHeight="1" x14ac:dyDescent="0.3">
      <c r="A501" s="74" t="s">
        <v>871</v>
      </c>
      <c r="B501" s="1"/>
      <c r="C501" s="1"/>
      <c r="D501" s="1"/>
      <c r="E501" s="59">
        <f t="shared" si="202"/>
        <v>0</v>
      </c>
      <c r="F501" s="1"/>
      <c r="G501" s="1"/>
      <c r="H501" s="1"/>
      <c r="I501" s="59">
        <f t="shared" si="203"/>
        <v>0</v>
      </c>
      <c r="J501" s="1"/>
      <c r="K501" s="1">
        <v>1073</v>
      </c>
      <c r="L501" s="1"/>
      <c r="M501" s="59">
        <f t="shared" si="204"/>
        <v>1073</v>
      </c>
      <c r="N501" s="1"/>
      <c r="O501" s="1"/>
      <c r="P501" s="1"/>
      <c r="Q501" s="59">
        <f t="shared" si="205"/>
        <v>0</v>
      </c>
      <c r="R501" s="59">
        <f t="shared" si="206"/>
        <v>1073</v>
      </c>
    </row>
    <row r="502" spans="1:20" ht="15.75" customHeight="1" x14ac:dyDescent="0.3">
      <c r="A502" s="74" t="s">
        <v>484</v>
      </c>
      <c r="C502" s="1"/>
      <c r="D502" s="1"/>
      <c r="E502" s="59">
        <f t="shared" si="202"/>
        <v>0</v>
      </c>
      <c r="F502" s="1"/>
      <c r="G502" s="1">
        <v>2300</v>
      </c>
      <c r="H502" s="1"/>
      <c r="I502" s="59">
        <f t="shared" si="203"/>
        <v>2300</v>
      </c>
      <c r="J502" s="1"/>
      <c r="K502" s="1"/>
      <c r="L502" s="1">
        <v>1150</v>
      </c>
      <c r="M502" s="59">
        <f t="shared" si="204"/>
        <v>1150</v>
      </c>
      <c r="N502" s="1"/>
      <c r="O502" s="1"/>
      <c r="P502" s="1"/>
      <c r="Q502" s="59">
        <f t="shared" si="205"/>
        <v>0</v>
      </c>
      <c r="R502" s="59">
        <f t="shared" si="206"/>
        <v>3450</v>
      </c>
      <c r="T502" s="4" t="s">
        <v>366</v>
      </c>
    </row>
    <row r="503" spans="1:20" ht="15.75" customHeight="1" x14ac:dyDescent="0.3">
      <c r="A503" s="76" t="s">
        <v>485</v>
      </c>
      <c r="B503" s="1"/>
      <c r="C503" s="1"/>
      <c r="D503" s="1"/>
      <c r="E503" s="59">
        <f t="shared" si="202"/>
        <v>0</v>
      </c>
      <c r="F503" s="1"/>
      <c r="G503" s="1"/>
      <c r="H503" s="1"/>
      <c r="I503" s="59">
        <f t="shared" si="203"/>
        <v>0</v>
      </c>
      <c r="J503" s="1"/>
      <c r="K503" s="1"/>
      <c r="L503" s="1"/>
      <c r="M503" s="59">
        <f t="shared" si="204"/>
        <v>0</v>
      </c>
      <c r="N503" s="1"/>
      <c r="O503" s="1"/>
      <c r="P503" s="1"/>
      <c r="Q503" s="59">
        <f t="shared" si="205"/>
        <v>0</v>
      </c>
      <c r="R503" s="59">
        <f t="shared" si="206"/>
        <v>0</v>
      </c>
      <c r="T503" s="4" t="s">
        <v>366</v>
      </c>
    </row>
    <row r="504" spans="1:20" ht="15.75" customHeight="1" x14ac:dyDescent="0.3">
      <c r="A504" s="17" t="s">
        <v>47</v>
      </c>
      <c r="B504" s="1"/>
      <c r="C504" s="1"/>
      <c r="D504" s="1"/>
      <c r="E504" s="59" t="s">
        <v>7</v>
      </c>
      <c r="F504" s="1"/>
      <c r="G504" s="1"/>
      <c r="H504" s="1"/>
      <c r="I504" s="59" t="s">
        <v>7</v>
      </c>
      <c r="J504" s="1"/>
      <c r="K504" s="1"/>
      <c r="L504" s="1"/>
      <c r="M504" s="59" t="s">
        <v>7</v>
      </c>
      <c r="N504" s="1"/>
      <c r="O504" s="1"/>
      <c r="P504" s="1"/>
      <c r="Q504" s="59" t="s">
        <v>7</v>
      </c>
      <c r="R504" s="59" t="s">
        <v>7</v>
      </c>
    </row>
    <row r="505" spans="1:20" ht="15.75" customHeight="1" x14ac:dyDescent="0.3">
      <c r="A505" s="74" t="s">
        <v>486</v>
      </c>
      <c r="B505" s="1"/>
      <c r="C505" s="1"/>
      <c r="D505" s="1"/>
      <c r="E505" s="59">
        <f>SUM(B505:D505)</f>
        <v>0</v>
      </c>
      <c r="F505" s="1"/>
      <c r="G505" s="1"/>
      <c r="H505" s="1"/>
      <c r="I505" s="59">
        <f>SUM(F505:H505)</f>
        <v>0</v>
      </c>
      <c r="J505" s="1"/>
      <c r="K505" s="1"/>
      <c r="L505" s="1"/>
      <c r="M505" s="59">
        <f>SUM(J505:L505)</f>
        <v>0</v>
      </c>
      <c r="N505" s="1"/>
      <c r="O505" s="1"/>
      <c r="P505" s="1"/>
      <c r="Q505" s="59">
        <f>SUM(N505:P505)</f>
        <v>0</v>
      </c>
      <c r="R505" s="59">
        <f>+E505+I505+M505+Q505</f>
        <v>0</v>
      </c>
    </row>
    <row r="506" spans="1:20" ht="15.75" customHeight="1" x14ac:dyDescent="0.3">
      <c r="A506" s="74" t="s">
        <v>487</v>
      </c>
      <c r="B506" s="1"/>
      <c r="C506" s="1"/>
      <c r="D506" s="1"/>
      <c r="E506" s="59">
        <f>SUM(B506:D506)</f>
        <v>0</v>
      </c>
      <c r="F506" s="1"/>
      <c r="G506" s="1"/>
      <c r="H506" s="1"/>
      <c r="I506" s="59">
        <f>SUM(F506:H506)</f>
        <v>0</v>
      </c>
      <c r="J506" s="1"/>
      <c r="K506" s="1"/>
      <c r="L506" s="1"/>
      <c r="M506" s="59">
        <f>SUM(J506:L506)</f>
        <v>0</v>
      </c>
      <c r="N506" s="1"/>
      <c r="O506" s="1"/>
      <c r="P506" s="1"/>
      <c r="Q506" s="59">
        <f>SUM(N506:P506)</f>
        <v>0</v>
      </c>
      <c r="R506" s="59">
        <f>+E506+I506+M506+Q506</f>
        <v>0</v>
      </c>
    </row>
    <row r="507" spans="1:20" ht="15.75" customHeight="1" x14ac:dyDescent="0.3">
      <c r="A507" s="17" t="s">
        <v>49</v>
      </c>
      <c r="B507" s="1"/>
      <c r="C507" s="1"/>
      <c r="D507" s="1"/>
      <c r="E507" s="59" t="s">
        <v>7</v>
      </c>
      <c r="F507" s="1"/>
      <c r="G507" s="1"/>
      <c r="H507" s="1"/>
      <c r="I507" s="59" t="s">
        <v>7</v>
      </c>
      <c r="J507" s="1"/>
      <c r="K507" s="1"/>
      <c r="L507" s="1"/>
      <c r="M507" s="59" t="s">
        <v>7</v>
      </c>
      <c r="N507" s="1"/>
      <c r="O507" s="1"/>
      <c r="P507" s="1"/>
      <c r="Q507" s="59" t="s">
        <v>7</v>
      </c>
      <c r="R507" s="59" t="s">
        <v>7</v>
      </c>
    </row>
    <row r="508" spans="1:20" ht="15.75" customHeight="1" thickBot="1" x14ac:dyDescent="0.35">
      <c r="A508" s="17" t="s">
        <v>51</v>
      </c>
      <c r="B508" s="1"/>
      <c r="C508" s="1"/>
      <c r="D508" s="1"/>
      <c r="E508" s="59" t="s">
        <v>7</v>
      </c>
      <c r="F508" s="1"/>
      <c r="G508" s="1"/>
      <c r="H508" s="1"/>
      <c r="I508" s="59" t="s">
        <v>7</v>
      </c>
      <c r="J508" s="1"/>
      <c r="K508" s="1"/>
      <c r="L508" s="1"/>
      <c r="M508" s="59" t="s">
        <v>7</v>
      </c>
      <c r="N508" s="1"/>
      <c r="O508" s="1"/>
      <c r="P508" s="1"/>
      <c r="Q508" s="59" t="s">
        <v>7</v>
      </c>
      <c r="R508" s="59" t="s">
        <v>7</v>
      </c>
    </row>
    <row r="509" spans="1:20" ht="16.5" customHeight="1" thickBot="1" x14ac:dyDescent="0.35">
      <c r="A509" s="126" t="s">
        <v>52</v>
      </c>
      <c r="B509" s="100">
        <f>SUM(B497:B508)</f>
        <v>0</v>
      </c>
      <c r="C509" s="101">
        <f>SUM(C497:C508)</f>
        <v>0</v>
      </c>
      <c r="D509" s="101">
        <f>SUM(D497:D508)</f>
        <v>4</v>
      </c>
      <c r="E509" s="64">
        <f>SUM(B509:D509)</f>
        <v>4</v>
      </c>
      <c r="F509" s="101">
        <f>SUM(F497:F508)</f>
        <v>17</v>
      </c>
      <c r="G509" s="101">
        <f>SUM(G497:G508)</f>
        <v>2307</v>
      </c>
      <c r="H509" s="101">
        <f>SUM(H497:H508)</f>
        <v>17</v>
      </c>
      <c r="I509" s="64">
        <f>SUM(F509:H509)</f>
        <v>2341</v>
      </c>
      <c r="J509" s="101">
        <f>SUM(J497:J508)</f>
        <v>6</v>
      </c>
      <c r="K509" s="101">
        <f>SUM(K497:K508)</f>
        <v>1082</v>
      </c>
      <c r="L509" s="101">
        <f>SUM(L497:L508)</f>
        <v>1153</v>
      </c>
      <c r="M509" s="64">
        <f>SUM(J509:L509)</f>
        <v>2241</v>
      </c>
      <c r="N509" s="101">
        <f>SUM(N497:N508)</f>
        <v>0</v>
      </c>
      <c r="O509" s="101">
        <f>SUM(O497:O508)</f>
        <v>0</v>
      </c>
      <c r="P509" s="101">
        <f>SUM(P497:P508)</f>
        <v>0</v>
      </c>
      <c r="Q509" s="64">
        <f>SUM(N509:P509)</f>
        <v>0</v>
      </c>
      <c r="R509" s="64">
        <f>+E509+I509+M509+Q509</f>
        <v>4586</v>
      </c>
    </row>
    <row r="510" spans="1:20" ht="15.75" customHeight="1" x14ac:dyDescent="0.3">
      <c r="A510" s="17" t="s">
        <v>53</v>
      </c>
      <c r="B510" s="1"/>
      <c r="C510" s="1"/>
      <c r="D510" s="1"/>
      <c r="E510" s="59" t="s">
        <v>7</v>
      </c>
      <c r="F510" s="1"/>
      <c r="G510" s="1"/>
      <c r="H510" s="1"/>
      <c r="I510" s="59" t="s">
        <v>7</v>
      </c>
      <c r="J510" s="1"/>
      <c r="K510" s="1"/>
      <c r="L510" s="1"/>
      <c r="M510" s="59" t="s">
        <v>7</v>
      </c>
      <c r="N510" s="1" t="s">
        <v>7</v>
      </c>
      <c r="O510" s="1"/>
      <c r="P510" s="1"/>
      <c r="Q510" s="59" t="s">
        <v>7</v>
      </c>
      <c r="R510" s="59" t="s">
        <v>7</v>
      </c>
    </row>
    <row r="511" spans="1:20" ht="15.75" customHeight="1" x14ac:dyDescent="0.3">
      <c r="A511" s="17" t="s">
        <v>55</v>
      </c>
      <c r="B511" s="1"/>
      <c r="C511" s="1"/>
      <c r="D511" s="1"/>
      <c r="E511" s="59" t="s">
        <v>7</v>
      </c>
      <c r="F511" s="1"/>
      <c r="G511" s="1"/>
      <c r="H511" s="1"/>
      <c r="I511" s="59" t="s">
        <v>7</v>
      </c>
      <c r="J511" s="1"/>
      <c r="K511" s="1"/>
      <c r="L511" s="1"/>
      <c r="M511" s="59" t="s">
        <v>7</v>
      </c>
      <c r="N511" s="1"/>
      <c r="O511" s="1"/>
      <c r="P511" s="1"/>
      <c r="Q511" s="59" t="s">
        <v>7</v>
      </c>
      <c r="R511" s="59" t="s">
        <v>7</v>
      </c>
    </row>
    <row r="512" spans="1:20" ht="15.75" customHeight="1" x14ac:dyDescent="0.3">
      <c r="A512" s="74" t="s">
        <v>488</v>
      </c>
      <c r="B512" s="1">
        <v>35</v>
      </c>
      <c r="C512" s="1">
        <v>104</v>
      </c>
      <c r="D512" s="1">
        <v>5031</v>
      </c>
      <c r="E512" s="59">
        <f>SUM(B512:D512)</f>
        <v>5170</v>
      </c>
      <c r="F512" s="1">
        <v>7188</v>
      </c>
      <c r="G512" s="1">
        <v>3337</v>
      </c>
      <c r="H512" s="1">
        <v>5857</v>
      </c>
      <c r="I512" s="59">
        <f>SUM(F512:H512)</f>
        <v>16382</v>
      </c>
      <c r="J512" s="1">
        <v>4003</v>
      </c>
      <c r="K512" s="1">
        <f>6283+3047</f>
        <v>9330</v>
      </c>
      <c r="L512" s="1">
        <f>2969</f>
        <v>2969</v>
      </c>
      <c r="M512" s="59">
        <f>SUM(J512:L512)</f>
        <v>16302</v>
      </c>
      <c r="N512" s="1">
        <v>75</v>
      </c>
      <c r="O512" s="1"/>
      <c r="P512" s="1">
        <v>106</v>
      </c>
      <c r="Q512" s="59">
        <f>SUM(N512:P512)</f>
        <v>181</v>
      </c>
      <c r="R512" s="59">
        <f>+E512+I512+M512+Q512</f>
        <v>38035</v>
      </c>
    </row>
    <row r="513" spans="1:20" ht="15.75" customHeight="1" thickBot="1" x14ac:dyDescent="0.35">
      <c r="A513" s="17" t="s">
        <v>56</v>
      </c>
      <c r="B513" s="1"/>
      <c r="C513" s="1"/>
      <c r="D513" s="1"/>
      <c r="E513" s="59" t="s">
        <v>7</v>
      </c>
      <c r="F513" s="1"/>
      <c r="G513" s="1"/>
      <c r="H513" s="1"/>
      <c r="I513" s="59" t="s">
        <v>7</v>
      </c>
      <c r="J513" s="1"/>
      <c r="K513" s="1"/>
      <c r="L513" s="1"/>
      <c r="M513" s="59" t="s">
        <v>7</v>
      </c>
      <c r="N513" s="1"/>
      <c r="O513" s="1"/>
      <c r="P513" s="1"/>
      <c r="Q513" s="59" t="s">
        <v>7</v>
      </c>
      <c r="R513" s="59" t="s">
        <v>7</v>
      </c>
    </row>
    <row r="514" spans="1:20" ht="16.5" customHeight="1" thickBot="1" x14ac:dyDescent="0.35">
      <c r="A514" s="62" t="s">
        <v>57</v>
      </c>
      <c r="B514" s="100">
        <f>SUM(B510:B513)</f>
        <v>35</v>
      </c>
      <c r="C514" s="101">
        <f>SUM(C510:C513)</f>
        <v>104</v>
      </c>
      <c r="D514" s="101">
        <f>SUM(D510:D513)</f>
        <v>5031</v>
      </c>
      <c r="E514" s="64">
        <f>SUM(B514:D514)</f>
        <v>5170</v>
      </c>
      <c r="F514" s="101">
        <f>SUM(F510:F513)</f>
        <v>7188</v>
      </c>
      <c r="G514" s="101">
        <f>SUM(G510:G513)</f>
        <v>3337</v>
      </c>
      <c r="H514" s="101">
        <f>SUM(H510:H513)</f>
        <v>5857</v>
      </c>
      <c r="I514" s="64">
        <f>SUM(F514:H514)</f>
        <v>16382</v>
      </c>
      <c r="J514" s="101">
        <f>SUM(J510:J513)</f>
        <v>4003</v>
      </c>
      <c r="K514" s="101">
        <f>SUM(K510:K513)</f>
        <v>9330</v>
      </c>
      <c r="L514" s="101">
        <f>SUM(L510:L513)</f>
        <v>2969</v>
      </c>
      <c r="M514" s="64">
        <f>SUM(J514:L514)</f>
        <v>16302</v>
      </c>
      <c r="N514" s="101">
        <f>SUM(N510:N513)</f>
        <v>75</v>
      </c>
      <c r="O514" s="101">
        <f>SUM(O510:O513)</f>
        <v>0</v>
      </c>
      <c r="P514" s="101">
        <f>SUM(P510:P513)</f>
        <v>106</v>
      </c>
      <c r="Q514" s="64">
        <f>SUM(N514:P514)</f>
        <v>181</v>
      </c>
      <c r="R514" s="64">
        <f>+E514+I514+M514+Q514</f>
        <v>38035</v>
      </c>
    </row>
    <row r="515" spans="1:20" ht="15.75" customHeight="1" x14ac:dyDescent="0.3">
      <c r="A515" s="17" t="s">
        <v>58</v>
      </c>
      <c r="B515" s="1"/>
      <c r="C515" s="1"/>
      <c r="D515" s="1"/>
      <c r="E515" s="59" t="s">
        <v>7</v>
      </c>
      <c r="F515" s="1"/>
      <c r="G515" s="1"/>
      <c r="H515" s="1"/>
      <c r="I515" s="59" t="s">
        <v>7</v>
      </c>
      <c r="J515" s="1"/>
      <c r="K515" s="1"/>
      <c r="L515" s="1"/>
      <c r="M515" s="59" t="s">
        <v>7</v>
      </c>
      <c r="N515" s="1"/>
      <c r="O515" s="1"/>
      <c r="P515" s="1"/>
      <c r="Q515" s="59" t="s">
        <v>7</v>
      </c>
      <c r="R515" s="59" t="s">
        <v>7</v>
      </c>
    </row>
    <row r="516" spans="1:20" ht="15.75" customHeight="1" x14ac:dyDescent="0.3">
      <c r="A516" s="17" t="s">
        <v>59</v>
      </c>
      <c r="B516" s="1"/>
      <c r="C516" s="1"/>
      <c r="D516" s="1"/>
      <c r="E516" s="59" t="s">
        <v>7</v>
      </c>
      <c r="F516" s="1"/>
      <c r="G516" s="1"/>
      <c r="H516" s="1"/>
      <c r="I516" s="59" t="s">
        <v>7</v>
      </c>
      <c r="J516" s="1"/>
      <c r="K516" s="1"/>
      <c r="L516" s="1"/>
      <c r="M516" s="59" t="s">
        <v>7</v>
      </c>
      <c r="N516" s="1"/>
      <c r="O516" s="1"/>
      <c r="P516" s="1"/>
      <c r="Q516" s="59" t="s">
        <v>7</v>
      </c>
      <c r="R516" s="59" t="s">
        <v>7</v>
      </c>
    </row>
    <row r="517" spans="1:20" ht="15.75" customHeight="1" x14ac:dyDescent="0.3">
      <c r="A517" s="17" t="s">
        <v>60</v>
      </c>
      <c r="B517" s="1"/>
      <c r="C517" s="1"/>
      <c r="D517" s="1"/>
      <c r="E517" s="59" t="s">
        <v>7</v>
      </c>
      <c r="F517" s="1"/>
      <c r="G517" s="1"/>
      <c r="H517" s="1"/>
      <c r="I517" s="59" t="s">
        <v>7</v>
      </c>
      <c r="J517" s="1"/>
      <c r="K517" s="1"/>
      <c r="L517" s="1"/>
      <c r="M517" s="59" t="s">
        <v>7</v>
      </c>
      <c r="N517" s="1"/>
      <c r="O517" s="1"/>
      <c r="P517" s="1"/>
      <c r="Q517" s="59" t="s">
        <v>7</v>
      </c>
      <c r="R517" s="59" t="s">
        <v>7</v>
      </c>
    </row>
    <row r="518" spans="1:20" ht="15.75" customHeight="1" x14ac:dyDescent="0.3">
      <c r="A518" s="74" t="s">
        <v>872</v>
      </c>
      <c r="B518" s="1"/>
      <c r="C518" s="1"/>
      <c r="D518" s="1"/>
      <c r="E518" s="59">
        <f>SUM(B518:D518)</f>
        <v>0</v>
      </c>
      <c r="F518" s="1"/>
      <c r="G518" s="1"/>
      <c r="H518" s="1">
        <v>4000</v>
      </c>
      <c r="I518" s="59">
        <f>SUM(F518:H518)</f>
        <v>4000</v>
      </c>
      <c r="J518" s="1">
        <v>4505</v>
      </c>
      <c r="K518" s="1"/>
      <c r="L518" s="1"/>
      <c r="M518" s="59">
        <f>SUM(J518:L518)</f>
        <v>4505</v>
      </c>
      <c r="N518" s="1"/>
      <c r="O518" s="1"/>
      <c r="P518" s="1"/>
      <c r="Q518" s="59">
        <f>SUM(N518:P518)</f>
        <v>0</v>
      </c>
      <c r="R518" s="59">
        <f>+E518+I518+M518+Q518</f>
        <v>8505</v>
      </c>
      <c r="T518" s="4" t="s">
        <v>366</v>
      </c>
    </row>
    <row r="519" spans="1:20" ht="15.75" customHeight="1" thickBot="1" x14ac:dyDescent="0.35">
      <c r="A519" s="103" t="s">
        <v>856</v>
      </c>
      <c r="B519" s="1"/>
      <c r="C519" s="1"/>
      <c r="E519" s="59">
        <f>SUM(B519:D519)</f>
        <v>0</v>
      </c>
      <c r="F519" s="1">
        <v>4000</v>
      </c>
      <c r="G519" s="1">
        <v>4000</v>
      </c>
      <c r="H519" s="1">
        <v>6000</v>
      </c>
      <c r="I519" s="59">
        <f>SUM(F519:H519)</f>
        <v>14000</v>
      </c>
      <c r="J519" s="1">
        <v>10000</v>
      </c>
      <c r="K519" s="1">
        <v>6000</v>
      </c>
      <c r="L519" s="1">
        <v>4000</v>
      </c>
      <c r="M519" s="59">
        <f>SUM(J519:L519)</f>
        <v>20000</v>
      </c>
      <c r="N519" s="1">
        <v>773</v>
      </c>
      <c r="O519" s="1">
        <v>22</v>
      </c>
      <c r="P519" s="1">
        <v>171</v>
      </c>
      <c r="Q519" s="59">
        <f>SUM(N519:P519)</f>
        <v>966</v>
      </c>
      <c r="R519" s="59">
        <f>+E519+I519+M519+Q519</f>
        <v>34966</v>
      </c>
      <c r="T519" s="4" t="s">
        <v>366</v>
      </c>
    </row>
    <row r="520" spans="1:20" ht="16.5" customHeight="1" thickBot="1" x14ac:dyDescent="0.35">
      <c r="A520" s="137" t="s">
        <v>61</v>
      </c>
      <c r="B520" s="100">
        <f>SUM(B515:B519)</f>
        <v>0</v>
      </c>
      <c r="C520" s="101">
        <f>SUM(C515:C519)</f>
        <v>0</v>
      </c>
      <c r="D520" s="101">
        <f>SUM(D515:D519)</f>
        <v>0</v>
      </c>
      <c r="E520" s="64">
        <f>SUM(B520:D520)</f>
        <v>0</v>
      </c>
      <c r="F520" s="101">
        <f>SUM(F515:F519)</f>
        <v>4000</v>
      </c>
      <c r="G520" s="101">
        <f>SUM(G515:G519)</f>
        <v>4000</v>
      </c>
      <c r="H520" s="101">
        <f>SUM(H515:H519)</f>
        <v>10000</v>
      </c>
      <c r="I520" s="64">
        <f>SUM(F520:H520)</f>
        <v>18000</v>
      </c>
      <c r="J520" s="101">
        <f>SUM(J515:J519)</f>
        <v>14505</v>
      </c>
      <c r="K520" s="101">
        <f>SUM(K515:K519)</f>
        <v>6000</v>
      </c>
      <c r="L520" s="101">
        <f>SUM(L515:L519)</f>
        <v>4000</v>
      </c>
      <c r="M520" s="64">
        <f>SUM(J520:L520)</f>
        <v>24505</v>
      </c>
      <c r="N520" s="101">
        <f>SUM(N515:N519)</f>
        <v>773</v>
      </c>
      <c r="O520" s="101">
        <f>SUM(O515:O519)</f>
        <v>22</v>
      </c>
      <c r="P520" s="101">
        <f>SUM(P515:P519)</f>
        <v>171</v>
      </c>
      <c r="Q520" s="64">
        <f>SUM(N520:P520)</f>
        <v>966</v>
      </c>
      <c r="R520" s="64">
        <f>+E520+I520+M520+Q520</f>
        <v>43471</v>
      </c>
    </row>
    <row r="521" spans="1:20" ht="15.75" customHeight="1" x14ac:dyDescent="0.3">
      <c r="A521" s="17" t="s">
        <v>62</v>
      </c>
      <c r="B521" s="1"/>
      <c r="C521" s="1"/>
      <c r="D521" s="1"/>
      <c r="E521" s="59" t="s">
        <v>7</v>
      </c>
      <c r="F521" s="1"/>
      <c r="G521" s="1"/>
      <c r="H521" s="1"/>
      <c r="I521" s="59" t="s">
        <v>7</v>
      </c>
      <c r="J521" s="1"/>
      <c r="K521" s="1"/>
      <c r="L521" s="1"/>
      <c r="M521" s="59" t="s">
        <v>7</v>
      </c>
      <c r="N521" s="1"/>
      <c r="O521" s="1"/>
      <c r="P521" s="1"/>
      <c r="Q521" s="59" t="s">
        <v>7</v>
      </c>
      <c r="R521" s="59" t="s">
        <v>7</v>
      </c>
    </row>
    <row r="522" spans="1:20" ht="15.75" customHeight="1" x14ac:dyDescent="0.3">
      <c r="A522" s="17" t="s">
        <v>63</v>
      </c>
      <c r="B522" s="1"/>
      <c r="C522" s="1"/>
      <c r="D522" s="1"/>
      <c r="E522" s="59" t="s">
        <v>7</v>
      </c>
      <c r="F522" s="1"/>
      <c r="G522" s="1"/>
      <c r="H522" s="1"/>
      <c r="I522" s="59" t="s">
        <v>7</v>
      </c>
      <c r="J522" s="1"/>
      <c r="K522" s="1"/>
      <c r="L522" s="1"/>
      <c r="M522" s="59" t="s">
        <v>7</v>
      </c>
      <c r="N522" s="1"/>
      <c r="O522" s="1"/>
      <c r="P522" s="1"/>
      <c r="Q522" s="59" t="s">
        <v>7</v>
      </c>
      <c r="R522" s="59" t="s">
        <v>7</v>
      </c>
    </row>
    <row r="523" spans="1:20" ht="15.75" customHeight="1" x14ac:dyDescent="0.3">
      <c r="A523" s="17" t="s">
        <v>64</v>
      </c>
      <c r="B523" s="1"/>
      <c r="C523" s="1"/>
      <c r="D523" s="1"/>
      <c r="E523" s="59" t="s">
        <v>7</v>
      </c>
      <c r="F523" s="1"/>
      <c r="G523" s="1"/>
      <c r="H523" s="1"/>
      <c r="I523" s="59" t="s">
        <v>7</v>
      </c>
      <c r="J523" s="1"/>
      <c r="K523" s="1"/>
      <c r="L523" s="1"/>
      <c r="M523" s="59" t="s">
        <v>7</v>
      </c>
      <c r="N523" s="1"/>
      <c r="O523" s="1"/>
      <c r="P523" s="1"/>
      <c r="Q523" s="59" t="s">
        <v>7</v>
      </c>
      <c r="R523" s="59" t="s">
        <v>7</v>
      </c>
    </row>
    <row r="524" spans="1:20" ht="15.75" customHeight="1" x14ac:dyDescent="0.3">
      <c r="A524" s="17" t="s">
        <v>66</v>
      </c>
      <c r="B524" s="1"/>
      <c r="C524" s="1"/>
      <c r="D524" s="1"/>
      <c r="E524" s="59" t="s">
        <v>7</v>
      </c>
      <c r="F524" s="1"/>
      <c r="G524" s="1"/>
      <c r="H524" s="1"/>
      <c r="I524" s="59" t="s">
        <v>7</v>
      </c>
      <c r="J524" s="1"/>
      <c r="K524" s="1"/>
      <c r="L524" s="1"/>
      <c r="M524" s="59" t="s">
        <v>7</v>
      </c>
      <c r="N524" s="1"/>
      <c r="O524" s="1"/>
      <c r="P524" s="1"/>
      <c r="Q524" s="59" t="s">
        <v>7</v>
      </c>
      <c r="R524" s="59" t="s">
        <v>7</v>
      </c>
    </row>
    <row r="525" spans="1:20" ht="15.75" customHeight="1" x14ac:dyDescent="0.3">
      <c r="A525" s="17" t="s">
        <v>67</v>
      </c>
      <c r="B525" s="1"/>
      <c r="C525" s="1"/>
      <c r="D525" s="1"/>
      <c r="E525" s="59" t="s">
        <v>7</v>
      </c>
      <c r="F525" s="1"/>
      <c r="G525" s="1"/>
      <c r="H525" s="1"/>
      <c r="I525" s="59" t="s">
        <v>7</v>
      </c>
      <c r="J525" s="1"/>
      <c r="K525" s="1"/>
      <c r="L525" s="1"/>
      <c r="M525" s="59" t="s">
        <v>7</v>
      </c>
      <c r="N525" s="1"/>
      <c r="O525" s="1"/>
      <c r="P525" s="1"/>
      <c r="Q525" s="59" t="s">
        <v>7</v>
      </c>
      <c r="R525" s="59" t="s">
        <v>7</v>
      </c>
    </row>
    <row r="526" spans="1:20" ht="15.75" customHeight="1" x14ac:dyDescent="0.3">
      <c r="A526" s="74" t="s">
        <v>460</v>
      </c>
      <c r="B526" s="1"/>
      <c r="C526" s="1"/>
      <c r="D526" s="1"/>
      <c r="E526" s="59">
        <f t="shared" ref="E526:E527" si="207">SUM(B526:D526)</f>
        <v>0</v>
      </c>
      <c r="F526" s="1"/>
      <c r="G526" s="1"/>
      <c r="H526" s="1"/>
      <c r="I526" s="59">
        <f t="shared" ref="I526:I527" si="208">SUM(F526:H526)</f>
        <v>0</v>
      </c>
      <c r="J526" s="1"/>
      <c r="K526" s="1"/>
      <c r="L526" s="1"/>
      <c r="M526" s="59">
        <f t="shared" ref="M526:M527" si="209">SUM(J526:L526)</f>
        <v>0</v>
      </c>
      <c r="N526" s="1"/>
      <c r="O526" s="1"/>
      <c r="P526" s="1"/>
      <c r="Q526" s="59">
        <f t="shared" ref="Q526:Q527" si="210">SUM(N526:P526)</f>
        <v>0</v>
      </c>
      <c r="R526" s="59">
        <f t="shared" ref="R526:R531" si="211">+E526+I526+M526+Q526</f>
        <v>0</v>
      </c>
      <c r="T526" s="4" t="s">
        <v>366</v>
      </c>
    </row>
    <row r="527" spans="1:20" ht="15.75" customHeight="1" thickBot="1" x14ac:dyDescent="0.35">
      <c r="A527" s="74" t="s">
        <v>491</v>
      </c>
      <c r="B527" s="1"/>
      <c r="C527" s="1"/>
      <c r="D527" s="1"/>
      <c r="E527" s="59">
        <f t="shared" si="207"/>
        <v>0</v>
      </c>
      <c r="F527" s="1"/>
      <c r="G527" s="1"/>
      <c r="H527" s="1"/>
      <c r="I527" s="59">
        <f t="shared" si="208"/>
        <v>0</v>
      </c>
      <c r="J527" s="1"/>
      <c r="K527" s="1"/>
      <c r="L527" s="1"/>
      <c r="M527" s="59">
        <f t="shared" si="209"/>
        <v>0</v>
      </c>
      <c r="N527" s="1"/>
      <c r="O527" s="1"/>
      <c r="P527" s="1"/>
      <c r="Q527" s="59">
        <f t="shared" si="210"/>
        <v>0</v>
      </c>
      <c r="R527" s="59">
        <f t="shared" si="211"/>
        <v>0</v>
      </c>
      <c r="S527" s="4" t="s">
        <v>964</v>
      </c>
      <c r="T527" s="4" t="s">
        <v>366</v>
      </c>
    </row>
    <row r="528" spans="1:20" ht="16.5" customHeight="1" thickBot="1" x14ac:dyDescent="0.35">
      <c r="A528" s="62" t="s">
        <v>68</v>
      </c>
      <c r="B528" s="63">
        <f>SUM(B524:B527)</f>
        <v>0</v>
      </c>
      <c r="C528" s="63">
        <f>SUM(C524:C527)</f>
        <v>0</v>
      </c>
      <c r="D528" s="63">
        <f>SUM(D524:D527)</f>
        <v>0</v>
      </c>
      <c r="E528" s="334">
        <f t="shared" ref="E528:E531" si="212">SUM(B528:D528)</f>
        <v>0</v>
      </c>
      <c r="F528" s="63">
        <f>SUM(F524:F527)</f>
        <v>0</v>
      </c>
      <c r="G528" s="63">
        <f>SUM(G524:G527)</f>
        <v>0</v>
      </c>
      <c r="H528" s="63">
        <f>SUM(H524:H527)</f>
        <v>0</v>
      </c>
      <c r="I528" s="334">
        <f t="shared" ref="I528:I531" si="213">SUM(F528:H528)</f>
        <v>0</v>
      </c>
      <c r="J528" s="63">
        <f>SUM(J524:J527)</f>
        <v>0</v>
      </c>
      <c r="K528" s="63">
        <f>SUM(K524:K527)</f>
        <v>0</v>
      </c>
      <c r="L528" s="63">
        <f>SUM(L524:L527)</f>
        <v>0</v>
      </c>
      <c r="M528" s="334">
        <f t="shared" ref="M528:M531" si="214">SUM(J528:L528)</f>
        <v>0</v>
      </c>
      <c r="N528" s="63">
        <f>SUM(N524:N527)</f>
        <v>0</v>
      </c>
      <c r="O528" s="63">
        <f>SUM(O524:O527)</f>
        <v>0</v>
      </c>
      <c r="P528" s="63">
        <f>SUM(P524:P527)</f>
        <v>0</v>
      </c>
      <c r="Q528" s="334">
        <f t="shared" ref="Q528:Q531" si="215">SUM(N528:P528)</f>
        <v>0</v>
      </c>
      <c r="R528" s="64">
        <f t="shared" si="211"/>
        <v>0</v>
      </c>
    </row>
    <row r="529" spans="1:20" ht="16.5" customHeight="1" thickBot="1" x14ac:dyDescent="0.35">
      <c r="A529" s="137" t="s">
        <v>69</v>
      </c>
      <c r="B529" s="100">
        <f>SUM(B521:B527)</f>
        <v>0</v>
      </c>
      <c r="C529" s="101">
        <f>SUM(C521:C527)</f>
        <v>0</v>
      </c>
      <c r="D529" s="138">
        <f>SUM(D521:D527)</f>
        <v>0</v>
      </c>
      <c r="E529" s="334">
        <f t="shared" si="212"/>
        <v>0</v>
      </c>
      <c r="F529" s="101">
        <f>SUM(F521:F527)</f>
        <v>0</v>
      </c>
      <c r="G529" s="101">
        <f>SUM(G521:G527)</f>
        <v>0</v>
      </c>
      <c r="H529" s="101">
        <f>SUM(H521:H527)</f>
        <v>0</v>
      </c>
      <c r="I529" s="334">
        <f t="shared" si="213"/>
        <v>0</v>
      </c>
      <c r="J529" s="101">
        <f>SUM(J521:J527)</f>
        <v>0</v>
      </c>
      <c r="K529" s="101">
        <f>SUM(K521:K527)</f>
        <v>0</v>
      </c>
      <c r="L529" s="101">
        <f>SUM(L521:L527)</f>
        <v>0</v>
      </c>
      <c r="M529" s="334">
        <f t="shared" si="214"/>
        <v>0</v>
      </c>
      <c r="N529" s="101">
        <f>SUM(N521:N527)</f>
        <v>0</v>
      </c>
      <c r="O529" s="101">
        <f>SUM(O521:O527)</f>
        <v>0</v>
      </c>
      <c r="P529" s="101">
        <f>SUM(P521:P527)</f>
        <v>0</v>
      </c>
      <c r="Q529" s="334">
        <f t="shared" si="215"/>
        <v>0</v>
      </c>
      <c r="R529" s="64">
        <f t="shared" si="211"/>
        <v>0</v>
      </c>
    </row>
    <row r="530" spans="1:20" ht="16.5" customHeight="1" thickBot="1" x14ac:dyDescent="0.35">
      <c r="A530" s="62" t="s">
        <v>70</v>
      </c>
      <c r="B530" s="107">
        <f>+B509+B514+B520+B529</f>
        <v>35</v>
      </c>
      <c r="C530" s="63">
        <f>+C509+C514+C520+C529</f>
        <v>104</v>
      </c>
      <c r="D530" s="63">
        <f>+D509+D514+D520+D529</f>
        <v>5035</v>
      </c>
      <c r="E530" s="64">
        <f t="shared" si="212"/>
        <v>5174</v>
      </c>
      <c r="F530" s="63">
        <f>+F509+F514+F520+F529</f>
        <v>11205</v>
      </c>
      <c r="G530" s="63">
        <f>+G509+G514+G520+G529</f>
        <v>9644</v>
      </c>
      <c r="H530" s="63">
        <f>+H509+H514+H520+H529</f>
        <v>15874</v>
      </c>
      <c r="I530" s="64">
        <f t="shared" si="213"/>
        <v>36723</v>
      </c>
      <c r="J530" s="63">
        <f>+J509+J514+J520+J529</f>
        <v>18514</v>
      </c>
      <c r="K530" s="63">
        <f>+K509+K514+K520+K529</f>
        <v>16412</v>
      </c>
      <c r="L530" s="63">
        <f>+L509+L514+L520+L529</f>
        <v>8122</v>
      </c>
      <c r="M530" s="64">
        <f t="shared" si="214"/>
        <v>43048</v>
      </c>
      <c r="N530" s="63">
        <f>+N509+N514+N520+N529</f>
        <v>848</v>
      </c>
      <c r="O530" s="63">
        <f>+O509+O514+O520+O529</f>
        <v>22</v>
      </c>
      <c r="P530" s="63">
        <f>+P509+P514+P520+P529</f>
        <v>277</v>
      </c>
      <c r="Q530" s="64">
        <f t="shared" si="215"/>
        <v>1147</v>
      </c>
      <c r="R530" s="88">
        <f>+E530+I530+M530+Q530</f>
        <v>86092</v>
      </c>
    </row>
    <row r="531" spans="1:20" ht="16.5" customHeight="1" thickBot="1" x14ac:dyDescent="0.35">
      <c r="A531" s="40" t="s">
        <v>37</v>
      </c>
      <c r="B531" s="25">
        <v>9</v>
      </c>
      <c r="C531" s="25">
        <v>16</v>
      </c>
      <c r="D531" s="25">
        <v>25</v>
      </c>
      <c r="E531" s="59">
        <f t="shared" si="212"/>
        <v>50</v>
      </c>
      <c r="F531" s="25">
        <v>34</v>
      </c>
      <c r="G531" s="25">
        <v>41</v>
      </c>
      <c r="H531" s="25">
        <v>41</v>
      </c>
      <c r="I531" s="59">
        <f t="shared" si="213"/>
        <v>116</v>
      </c>
      <c r="J531" s="25">
        <v>39</v>
      </c>
      <c r="K531" s="25">
        <v>30</v>
      </c>
      <c r="L531" s="25">
        <v>30</v>
      </c>
      <c r="M531" s="59">
        <f t="shared" si="214"/>
        <v>99</v>
      </c>
      <c r="N531" s="25">
        <v>28</v>
      </c>
      <c r="O531" s="25">
        <v>22</v>
      </c>
      <c r="P531" s="25">
        <v>16</v>
      </c>
      <c r="Q531" s="59">
        <f t="shared" si="215"/>
        <v>66</v>
      </c>
      <c r="R531" s="59">
        <f t="shared" si="211"/>
        <v>331</v>
      </c>
    </row>
    <row r="532" spans="1:20" ht="16.5" customHeight="1" thickBot="1" x14ac:dyDescent="0.35">
      <c r="A532" s="80"/>
      <c r="B532" s="81"/>
      <c r="C532" s="81"/>
      <c r="D532" s="81"/>
      <c r="E532" s="64"/>
      <c r="F532" s="81"/>
      <c r="G532" s="81"/>
      <c r="H532" s="81"/>
      <c r="I532" s="64"/>
      <c r="J532" s="81"/>
      <c r="K532" s="81"/>
      <c r="L532" s="81"/>
      <c r="M532" s="64"/>
      <c r="N532" s="81"/>
      <c r="O532" s="81"/>
      <c r="P532" s="81"/>
      <c r="Q532" s="64"/>
      <c r="R532" s="64" t="s">
        <v>7</v>
      </c>
    </row>
    <row r="533" spans="1:20" ht="15.75" customHeight="1" x14ac:dyDescent="0.3">
      <c r="A533" s="335" t="s">
        <v>38</v>
      </c>
      <c r="B533" s="336">
        <f>SUM(B530:B531)</f>
        <v>44</v>
      </c>
      <c r="C533" s="336">
        <f>SUM(C530:C531)</f>
        <v>120</v>
      </c>
      <c r="D533" s="336">
        <f>SUM(D530:D531)</f>
        <v>5060</v>
      </c>
      <c r="E533" s="334">
        <f>SUM(B533:D533)</f>
        <v>5224</v>
      </c>
      <c r="F533" s="336">
        <f>SUM(F530:F531)</f>
        <v>11239</v>
      </c>
      <c r="G533" s="336">
        <f>SUM(G530:G531)</f>
        <v>9685</v>
      </c>
      <c r="H533" s="336">
        <f>SUM(H530:H531)</f>
        <v>15915</v>
      </c>
      <c r="I533" s="334">
        <f>SUM(F533:H533)</f>
        <v>36839</v>
      </c>
      <c r="J533" s="336">
        <f>SUM(J530:J531)</f>
        <v>18553</v>
      </c>
      <c r="K533" s="336">
        <f>SUM(K530:K531)</f>
        <v>16442</v>
      </c>
      <c r="L533" s="336">
        <f>SUM(L530:L531)</f>
        <v>8152</v>
      </c>
      <c r="M533" s="334">
        <f>SUM(J533:L533)</f>
        <v>43147</v>
      </c>
      <c r="N533" s="336">
        <f>SUM(N530:N531)</f>
        <v>876</v>
      </c>
      <c r="O533" s="336">
        <f>SUM(O530:O531)</f>
        <v>44</v>
      </c>
      <c r="P533" s="336">
        <f>SUM(P530:P531)</f>
        <v>293</v>
      </c>
      <c r="Q533" s="334">
        <f>SUM(N533:P533)</f>
        <v>1213</v>
      </c>
      <c r="R533" s="334">
        <f>+E533+I533+M533+Q533</f>
        <v>86423</v>
      </c>
    </row>
    <row r="534" spans="1:20" ht="15.75" customHeight="1" x14ac:dyDescent="0.3">
      <c r="A534" s="85" t="s">
        <v>39</v>
      </c>
      <c r="B534" s="1">
        <f>(B533/B10)/1.983</f>
        <v>0.71576139117986759</v>
      </c>
      <c r="C534" s="1">
        <f>(C533/C10)/1.983</f>
        <v>2.1612275772638858</v>
      </c>
      <c r="D534" s="1">
        <f>(D533/D10)/1.983</f>
        <v>82.312559985684771</v>
      </c>
      <c r="E534" s="59" t="s">
        <v>7</v>
      </c>
      <c r="F534" s="1">
        <f>(F533/F10)/1.983</f>
        <v>188.9225079845352</v>
      </c>
      <c r="G534" s="1">
        <f>(G533/G10)/1.983</f>
        <v>157.54884258129584</v>
      </c>
      <c r="H534" s="1">
        <f>(H533/H10)/1.983</f>
        <v>267.52395360564799</v>
      </c>
      <c r="I534" s="59" t="s">
        <v>7</v>
      </c>
      <c r="J534" s="1">
        <f>(J533/J10)/1.983</f>
        <v>301.80729751272918</v>
      </c>
      <c r="K534" s="1">
        <f>(K533/K10)/1.983</f>
        <v>267.46701804044051</v>
      </c>
      <c r="L534" s="1">
        <f>(L533/L10)/1.983</f>
        <v>137.03143385442931</v>
      </c>
      <c r="M534" s="59" t="s">
        <v>7</v>
      </c>
      <c r="N534" s="1">
        <f>(N533/N10)/1.983</f>
        <v>14.250158606217363</v>
      </c>
      <c r="O534" s="1">
        <f>(O533/O10)/1.983</f>
        <v>0.73962010421919644</v>
      </c>
      <c r="P534" s="1">
        <f>(P533/P10)/1.983</f>
        <v>4.766320173084118</v>
      </c>
      <c r="Q534" s="59" t="s">
        <v>7</v>
      </c>
      <c r="R534" s="59" t="s">
        <v>7</v>
      </c>
    </row>
    <row r="535" spans="1:20" ht="15.75" customHeight="1" x14ac:dyDescent="0.3">
      <c r="A535" s="85" t="s">
        <v>492</v>
      </c>
      <c r="B535" s="1">
        <f>B533+B580</f>
        <v>13718</v>
      </c>
      <c r="C535" s="1">
        <f>C533+C580</f>
        <v>22143</v>
      </c>
      <c r="D535" s="1">
        <f>D533+D580</f>
        <v>33828</v>
      </c>
      <c r="E535" s="59">
        <f>SUM(B535:D535)</f>
        <v>69689</v>
      </c>
      <c r="F535" s="1">
        <f>F533+F580</f>
        <v>46114</v>
      </c>
      <c r="G535" s="1">
        <f>G533+G580</f>
        <v>41916</v>
      </c>
      <c r="H535" s="1">
        <f>H533+H580</f>
        <v>44920</v>
      </c>
      <c r="I535" s="59">
        <f>SUM(F535:H535)</f>
        <v>132950</v>
      </c>
      <c r="J535" s="1">
        <f>J533+J580</f>
        <v>48670</v>
      </c>
      <c r="K535" s="1">
        <f>K533+K580</f>
        <v>48950</v>
      </c>
      <c r="L535" s="1">
        <f>L533+L580</f>
        <v>35850</v>
      </c>
      <c r="M535" s="59">
        <f>SUM(J535:L535)</f>
        <v>133470</v>
      </c>
      <c r="N535" s="1">
        <f>N533+N580</f>
        <v>13498</v>
      </c>
      <c r="O535" s="1">
        <f>O533+O580</f>
        <v>5600</v>
      </c>
      <c r="P535" s="1">
        <f>P533+P580</f>
        <v>5609</v>
      </c>
      <c r="Q535" s="59">
        <f>SUM(N535:P535)</f>
        <v>24707</v>
      </c>
      <c r="R535" s="59">
        <f>+E535+I535+M535+Q535</f>
        <v>360816</v>
      </c>
    </row>
    <row r="536" spans="1:20" ht="16.5" customHeight="1" thickBot="1" x14ac:dyDescent="0.35">
      <c r="A536" s="86" t="s">
        <v>493</v>
      </c>
      <c r="B536" s="87">
        <f>(B535/B10)/1.983</f>
        <v>223.15488100466871</v>
      </c>
      <c r="C536" s="87">
        <f>(C535/C10)/1.983</f>
        <v>398.80051869461852</v>
      </c>
      <c r="D536" s="87">
        <f>(D535/D10)/1.983</f>
        <v>550.29037138255819</v>
      </c>
      <c r="E536" s="88" t="s">
        <v>7</v>
      </c>
      <c r="F536" s="87">
        <f>(F535/F10)/1.983</f>
        <v>775.1554883173643</v>
      </c>
      <c r="G536" s="87">
        <f>(G535/G10)/1.983</f>
        <v>681.86032892489391</v>
      </c>
      <c r="H536" s="87">
        <f>(H535/H10)/1.983</f>
        <v>755.0848882165069</v>
      </c>
      <c r="I536" s="88" t="s">
        <v>7</v>
      </c>
      <c r="J536" s="87">
        <f>(J535/J10)/1.983</f>
        <v>791.72970247100352</v>
      </c>
      <c r="K536" s="87">
        <f>(K535/K10)/1.983</f>
        <v>796.28454768760264</v>
      </c>
      <c r="L536" s="87">
        <f>(L535/L10)/1.983</f>
        <v>602.62228946041353</v>
      </c>
      <c r="M536" s="88" t="s">
        <v>7</v>
      </c>
      <c r="N536" s="87">
        <f>(N535/N10)/1.983</f>
        <v>219.57607404876939</v>
      </c>
      <c r="O536" s="87">
        <f>(O535/O10)/1.983</f>
        <v>94.13346780971591</v>
      </c>
      <c r="P536" s="87">
        <f>(P535/P10)/1.983</f>
        <v>91.243310071088118</v>
      </c>
      <c r="Q536" s="88" t="s">
        <v>7</v>
      </c>
      <c r="R536" s="88" t="s">
        <v>7</v>
      </c>
    </row>
    <row r="537" spans="1:20" ht="15.75" customHeight="1" x14ac:dyDescent="0.3">
      <c r="A537" s="28"/>
      <c r="B537" s="1"/>
      <c r="C537" s="1"/>
      <c r="D537" s="1"/>
      <c r="E537" s="1"/>
      <c r="F537" s="1"/>
      <c r="G537" s="1"/>
      <c r="H537" s="1"/>
      <c r="I537" s="1"/>
      <c r="J537" s="1"/>
      <c r="K537" s="1"/>
      <c r="L537" s="1"/>
      <c r="M537" s="1"/>
      <c r="N537" s="1"/>
      <c r="O537" s="1"/>
      <c r="P537" s="1"/>
      <c r="Q537" s="1"/>
      <c r="R537" s="28"/>
    </row>
    <row r="538" spans="1:20" ht="15.75" customHeight="1" thickBot="1" x14ac:dyDescent="0.35">
      <c r="A538" s="28"/>
      <c r="B538" s="1"/>
      <c r="C538" s="1"/>
      <c r="D538" s="1"/>
      <c r="E538" s="1"/>
      <c r="F538" s="1"/>
      <c r="G538" s="1"/>
      <c r="H538" s="1"/>
      <c r="I538" s="1"/>
      <c r="J538" s="1"/>
      <c r="K538" s="1"/>
      <c r="L538" s="1"/>
      <c r="M538" s="1"/>
      <c r="N538" s="1"/>
      <c r="O538" s="1"/>
      <c r="P538" s="1"/>
      <c r="Q538" s="1"/>
      <c r="R538" s="28"/>
    </row>
    <row r="539" spans="1:20" ht="16.5" customHeight="1" thickBot="1" x14ac:dyDescent="0.35">
      <c r="A539" s="343" t="s">
        <v>494</v>
      </c>
      <c r="B539" s="323" t="s">
        <v>36</v>
      </c>
      <c r="C539" s="324" t="s">
        <v>9</v>
      </c>
      <c r="D539" s="324" t="s">
        <v>10</v>
      </c>
      <c r="E539" s="325" t="s">
        <v>11</v>
      </c>
      <c r="F539" s="324" t="s">
        <v>12</v>
      </c>
      <c r="G539" s="324" t="s">
        <v>13</v>
      </c>
      <c r="H539" s="324" t="s">
        <v>14</v>
      </c>
      <c r="I539" s="34" t="s">
        <v>15</v>
      </c>
      <c r="J539" s="324" t="s">
        <v>16</v>
      </c>
      <c r="K539" s="324" t="s">
        <v>17</v>
      </c>
      <c r="L539" s="324" t="s">
        <v>18</v>
      </c>
      <c r="M539" s="34" t="s">
        <v>19</v>
      </c>
      <c r="N539" s="324" t="s">
        <v>20</v>
      </c>
      <c r="O539" s="324" t="s">
        <v>21</v>
      </c>
      <c r="P539" s="324" t="s">
        <v>22</v>
      </c>
      <c r="Q539" s="34" t="s">
        <v>23</v>
      </c>
      <c r="R539" s="326" t="s">
        <v>24</v>
      </c>
    </row>
    <row r="540" spans="1:20" ht="16.5" customHeight="1" thickBot="1" x14ac:dyDescent="0.35">
      <c r="A540" s="64"/>
      <c r="B540" s="81"/>
      <c r="C540" s="81"/>
      <c r="D540" s="81"/>
      <c r="E540" s="72"/>
      <c r="F540" s="81"/>
      <c r="G540" s="81"/>
      <c r="H540" s="81"/>
      <c r="I540" s="89"/>
      <c r="J540" s="81"/>
      <c r="K540" s="81"/>
      <c r="L540" s="81"/>
      <c r="M540" s="89"/>
      <c r="N540" s="81"/>
      <c r="O540" s="81"/>
      <c r="P540" s="81"/>
      <c r="Q540" s="89"/>
      <c r="R540" s="117"/>
    </row>
    <row r="541" spans="1:20" ht="15.75" customHeight="1" x14ac:dyDescent="0.3">
      <c r="A541" s="17" t="s">
        <v>45</v>
      </c>
      <c r="B541" s="1" t="s">
        <v>7</v>
      </c>
      <c r="C541" s="1" t="s">
        <v>7</v>
      </c>
      <c r="D541" s="1" t="s">
        <v>7</v>
      </c>
      <c r="E541" s="59" t="s">
        <v>7</v>
      </c>
      <c r="F541" s="1"/>
      <c r="G541" s="1"/>
      <c r="H541" s="1"/>
      <c r="I541" s="59" t="s">
        <v>7</v>
      </c>
      <c r="J541" s="1" t="s">
        <v>7</v>
      </c>
      <c r="K541" s="1" t="s">
        <v>7</v>
      </c>
      <c r="L541" s="1" t="s">
        <v>7</v>
      </c>
      <c r="M541" s="59" t="s">
        <v>7</v>
      </c>
      <c r="N541" s="1" t="s">
        <v>7</v>
      </c>
      <c r="O541" s="1" t="s">
        <v>7</v>
      </c>
      <c r="P541" s="1" t="s">
        <v>7</v>
      </c>
      <c r="Q541" s="59" t="s">
        <v>7</v>
      </c>
      <c r="R541" s="59" t="s">
        <v>7</v>
      </c>
    </row>
    <row r="542" spans="1:20" ht="15.75" customHeight="1" x14ac:dyDescent="0.3">
      <c r="A542" s="17" t="s">
        <v>46</v>
      </c>
      <c r="B542" s="1"/>
      <c r="C542" s="1"/>
      <c r="D542" s="1"/>
      <c r="E542" s="59" t="s">
        <v>7</v>
      </c>
      <c r="F542" s="1"/>
      <c r="G542" s="1"/>
      <c r="H542" s="1"/>
      <c r="I542" s="59" t="s">
        <v>7</v>
      </c>
      <c r="J542" s="1"/>
      <c r="K542" s="1"/>
      <c r="L542" s="1"/>
      <c r="M542" s="59" t="s">
        <v>7</v>
      </c>
      <c r="N542" s="1"/>
      <c r="O542" s="1"/>
      <c r="P542" s="1"/>
      <c r="Q542" s="59" t="s">
        <v>7</v>
      </c>
      <c r="R542" s="59" t="s">
        <v>7</v>
      </c>
    </row>
    <row r="543" spans="1:20" ht="15.75" customHeight="1" x14ac:dyDescent="0.3">
      <c r="A543" s="17" t="s">
        <v>495</v>
      </c>
      <c r="C543" s="1"/>
      <c r="D543" s="1"/>
      <c r="E543" s="59">
        <f>SUM(B543:D543)</f>
        <v>0</v>
      </c>
      <c r="F543" s="1"/>
      <c r="G543" s="1"/>
      <c r="H543" s="1"/>
      <c r="I543" s="59">
        <f>SUM(F543:H543)</f>
        <v>0</v>
      </c>
      <c r="J543" s="1"/>
      <c r="K543" s="1"/>
      <c r="L543" s="1"/>
      <c r="M543" s="59">
        <f>SUM(J543:L543)</f>
        <v>0</v>
      </c>
      <c r="N543" s="1"/>
      <c r="O543" s="1"/>
      <c r="P543" s="1"/>
      <c r="Q543" s="59">
        <f>SUM(N543:P543)</f>
        <v>0</v>
      </c>
      <c r="R543" s="59">
        <f>+E543+I543+M543+Q543</f>
        <v>0</v>
      </c>
      <c r="T543" s="4" t="s">
        <v>368</v>
      </c>
    </row>
    <row r="544" spans="1:20" ht="15.75" customHeight="1" x14ac:dyDescent="0.3">
      <c r="A544" s="74" t="s">
        <v>496</v>
      </c>
      <c r="B544" s="1"/>
      <c r="C544" s="1">
        <v>424</v>
      </c>
      <c r="D544" s="1"/>
      <c r="E544" s="59">
        <f>SUM(B544:D544)</f>
        <v>424</v>
      </c>
      <c r="F544" s="1"/>
      <c r="G544" s="1"/>
      <c r="H544" s="1"/>
      <c r="I544" s="59">
        <f>SUM(F544:H544)</f>
        <v>0</v>
      </c>
      <c r="J544" s="1">
        <v>440</v>
      </c>
      <c r="K544" s="1">
        <v>636</v>
      </c>
      <c r="L544" s="1"/>
      <c r="M544" s="59">
        <f>SUM(J544:L544)</f>
        <v>1076</v>
      </c>
      <c r="N544" s="1"/>
      <c r="O544" s="1"/>
      <c r="P544" s="1"/>
      <c r="Q544" s="59">
        <f>SUM(N544:P544)</f>
        <v>0</v>
      </c>
      <c r="R544" s="59">
        <f>+E544+I544+M544+Q544</f>
        <v>1500</v>
      </c>
    </row>
    <row r="545" spans="1:20" ht="15.75" customHeight="1" x14ac:dyDescent="0.3">
      <c r="A545" s="74" t="s">
        <v>497</v>
      </c>
      <c r="B545" s="1">
        <v>19</v>
      </c>
      <c r="C545" s="1"/>
      <c r="D545" s="1">
        <v>3</v>
      </c>
      <c r="E545" s="59">
        <f>SUM(B545:D545)</f>
        <v>22</v>
      </c>
      <c r="F545" s="1">
        <v>473</v>
      </c>
      <c r="G545" s="1">
        <v>1500</v>
      </c>
      <c r="H545" s="1">
        <v>857</v>
      </c>
      <c r="I545" s="59">
        <f>SUM(F545:H545)</f>
        <v>2830</v>
      </c>
      <c r="J545" s="1">
        <v>1148</v>
      </c>
      <c r="K545" s="1"/>
      <c r="L545" s="1"/>
      <c r="M545" s="59">
        <f>SUM(J545:L545)</f>
        <v>1148</v>
      </c>
      <c r="N545" s="1"/>
      <c r="O545" s="1"/>
      <c r="P545" s="1"/>
      <c r="Q545" s="59">
        <f>SUM(N545:P545)</f>
        <v>0</v>
      </c>
      <c r="R545" s="59">
        <f>+E545+I545+M545+Q545</f>
        <v>4000</v>
      </c>
    </row>
    <row r="546" spans="1:20" ht="15.75" customHeight="1" x14ac:dyDescent="0.3">
      <c r="A546" s="74" t="s">
        <v>498</v>
      </c>
      <c r="B546" s="1"/>
      <c r="C546" s="1"/>
      <c r="D546" s="1"/>
      <c r="E546" s="59">
        <f>SUM(B546:D546)</f>
        <v>0</v>
      </c>
      <c r="F546" s="1"/>
      <c r="G546" s="1"/>
      <c r="H546" s="1"/>
      <c r="I546" s="59">
        <f>SUM(F546:H546)</f>
        <v>0</v>
      </c>
      <c r="J546" s="1"/>
      <c r="K546" s="1"/>
      <c r="L546" s="1"/>
      <c r="M546" s="59">
        <f>SUM(J546:L546)</f>
        <v>0</v>
      </c>
      <c r="N546" s="1"/>
      <c r="O546" s="1"/>
      <c r="P546" s="1"/>
      <c r="Q546" s="59">
        <f>SUM(N546:P546)</f>
        <v>0</v>
      </c>
      <c r="R546" s="59">
        <f>+E546+I546+M546+Q546</f>
        <v>0</v>
      </c>
    </row>
    <row r="547" spans="1:20" ht="15.75" customHeight="1" x14ac:dyDescent="0.3">
      <c r="A547" s="74" t="s">
        <v>499</v>
      </c>
      <c r="B547" s="1"/>
      <c r="C547" s="1"/>
      <c r="D547" s="1"/>
      <c r="E547" s="59">
        <f>SUM(B547:D547)</f>
        <v>0</v>
      </c>
      <c r="F547" s="1"/>
      <c r="G547" s="1"/>
      <c r="H547" s="1"/>
      <c r="I547" s="59">
        <f>SUM(F547:H547)</f>
        <v>0</v>
      </c>
      <c r="J547" s="1"/>
      <c r="K547" s="1">
        <v>700</v>
      </c>
      <c r="L547" s="1"/>
      <c r="M547" s="59">
        <f>SUM(J547:L547)</f>
        <v>700</v>
      </c>
      <c r="N547" s="1"/>
      <c r="O547" s="1"/>
      <c r="P547" s="1"/>
      <c r="Q547" s="59">
        <f>SUM(N547:P547)</f>
        <v>0</v>
      </c>
      <c r="R547" s="59">
        <f>+E547+I547+M547+Q547</f>
        <v>700</v>
      </c>
    </row>
    <row r="548" spans="1:20" ht="15.75" customHeight="1" x14ac:dyDescent="0.3">
      <c r="A548" s="17" t="s">
        <v>47</v>
      </c>
      <c r="B548" s="1"/>
      <c r="C548" s="1"/>
      <c r="D548" s="1"/>
      <c r="E548" s="59" t="s">
        <v>7</v>
      </c>
      <c r="F548" s="1"/>
      <c r="G548" s="1"/>
      <c r="H548" s="1"/>
      <c r="I548" s="59" t="s">
        <v>7</v>
      </c>
      <c r="J548" s="1"/>
      <c r="K548" s="1"/>
      <c r="L548" s="1"/>
      <c r="M548" s="59" t="s">
        <v>7</v>
      </c>
      <c r="N548" s="1"/>
      <c r="O548" s="1"/>
      <c r="P548" s="1"/>
      <c r="Q548" s="59" t="s">
        <v>7</v>
      </c>
      <c r="R548" s="59" t="s">
        <v>7</v>
      </c>
    </row>
    <row r="549" spans="1:20" ht="15.75" customHeight="1" x14ac:dyDescent="0.3">
      <c r="A549" s="17" t="s">
        <v>49</v>
      </c>
      <c r="B549" s="1"/>
      <c r="C549" s="1"/>
      <c r="D549" s="1"/>
      <c r="E549" s="59" t="s">
        <v>7</v>
      </c>
      <c r="F549" s="1"/>
      <c r="G549" s="1"/>
      <c r="H549" s="1"/>
      <c r="I549" s="59" t="s">
        <v>7</v>
      </c>
      <c r="J549" s="1"/>
      <c r="K549" s="1"/>
      <c r="L549" s="1"/>
      <c r="M549" s="59" t="s">
        <v>7</v>
      </c>
      <c r="N549" s="1"/>
      <c r="O549" s="1"/>
      <c r="P549" s="1"/>
      <c r="Q549" s="59" t="s">
        <v>7</v>
      </c>
      <c r="R549" s="59" t="s">
        <v>7</v>
      </c>
    </row>
    <row r="550" spans="1:20" ht="15.75" customHeight="1" thickBot="1" x14ac:dyDescent="0.35">
      <c r="A550" s="17" t="s">
        <v>51</v>
      </c>
      <c r="B550" s="1"/>
      <c r="C550" s="1"/>
      <c r="D550" s="1"/>
      <c r="E550" s="59" t="s">
        <v>7</v>
      </c>
      <c r="F550" s="1"/>
      <c r="G550" s="1"/>
      <c r="H550" s="1"/>
      <c r="I550" s="59" t="s">
        <v>7</v>
      </c>
      <c r="J550" s="1"/>
      <c r="K550" s="1"/>
      <c r="L550" s="1"/>
      <c r="M550" s="59" t="s">
        <v>7</v>
      </c>
      <c r="N550" s="1"/>
      <c r="O550" s="1"/>
      <c r="P550" s="1"/>
      <c r="Q550" s="59" t="s">
        <v>7</v>
      </c>
      <c r="R550" s="59" t="s">
        <v>7</v>
      </c>
    </row>
    <row r="551" spans="1:20" ht="16.5" customHeight="1" thickBot="1" x14ac:dyDescent="0.35">
      <c r="A551" s="126" t="s">
        <v>52</v>
      </c>
      <c r="B551" s="100">
        <f>SUM(B541:B550)</f>
        <v>19</v>
      </c>
      <c r="C551" s="101">
        <f>SUM(C541:C550)</f>
        <v>424</v>
      </c>
      <c r="D551" s="101">
        <f>SUM(D541:D550)</f>
        <v>3</v>
      </c>
      <c r="E551" s="64">
        <f>SUM(B551:D551)</f>
        <v>446</v>
      </c>
      <c r="F551" s="101">
        <f>SUM(F541:F550)</f>
        <v>473</v>
      </c>
      <c r="G551" s="101">
        <f>SUM(G541:G550)</f>
        <v>1500</v>
      </c>
      <c r="H551" s="101">
        <f>SUM(H541:H550)</f>
        <v>857</v>
      </c>
      <c r="I551" s="64">
        <f>SUM(F551:H551)</f>
        <v>2830</v>
      </c>
      <c r="J551" s="101">
        <f>SUM(J541:J550)</f>
        <v>1588</v>
      </c>
      <c r="K551" s="101">
        <f>SUM(K541:K550)</f>
        <v>1336</v>
      </c>
      <c r="L551" s="101">
        <f>SUM(L541:L550)</f>
        <v>0</v>
      </c>
      <c r="M551" s="64">
        <f>SUM(J551:L551)</f>
        <v>2924</v>
      </c>
      <c r="N551" s="101">
        <f>SUM(N541:N550)</f>
        <v>0</v>
      </c>
      <c r="O551" s="101">
        <f>SUM(O541:O550)</f>
        <v>0</v>
      </c>
      <c r="P551" s="101">
        <f>SUM(P541:P550)</f>
        <v>0</v>
      </c>
      <c r="Q551" s="64">
        <f>SUM(N551:P551)</f>
        <v>0</v>
      </c>
      <c r="R551" s="64">
        <f>+E551+I551+M551+Q551</f>
        <v>6200</v>
      </c>
    </row>
    <row r="552" spans="1:20" ht="15.75" customHeight="1" x14ac:dyDescent="0.3">
      <c r="A552" s="17" t="s">
        <v>53</v>
      </c>
      <c r="B552" s="1"/>
      <c r="C552" s="1"/>
      <c r="D552" s="1"/>
      <c r="E552" s="334" t="s">
        <v>7</v>
      </c>
      <c r="F552" s="1"/>
      <c r="G552" s="1"/>
      <c r="H552" s="1"/>
      <c r="I552" s="334" t="s">
        <v>7</v>
      </c>
      <c r="J552" s="1"/>
      <c r="K552" s="1"/>
      <c r="L552" s="1"/>
      <c r="M552" s="334" t="s">
        <v>7</v>
      </c>
      <c r="N552" s="1"/>
      <c r="O552" s="1"/>
      <c r="P552" s="1"/>
      <c r="Q552" s="334" t="s">
        <v>7</v>
      </c>
      <c r="R552" s="305" t="s">
        <v>7</v>
      </c>
    </row>
    <row r="553" spans="1:20" ht="15.75" customHeight="1" x14ac:dyDescent="0.3">
      <c r="A553" s="17" t="s">
        <v>55</v>
      </c>
      <c r="B553" s="1"/>
      <c r="C553" s="1"/>
      <c r="D553" s="1"/>
      <c r="E553" s="59" t="s">
        <v>7</v>
      </c>
      <c r="F553" s="1"/>
      <c r="G553" s="1"/>
      <c r="H553" s="1"/>
      <c r="I553" s="59" t="s">
        <v>7</v>
      </c>
      <c r="J553" s="1"/>
      <c r="K553" s="1"/>
      <c r="L553" s="1"/>
      <c r="M553" s="59" t="s">
        <v>7</v>
      </c>
      <c r="N553" s="1"/>
      <c r="O553" s="1"/>
      <c r="P553" s="1"/>
      <c r="Q553" s="59" t="s">
        <v>7</v>
      </c>
      <c r="R553" s="305" t="s">
        <v>7</v>
      </c>
    </row>
    <row r="554" spans="1:20" ht="15.75" customHeight="1" x14ac:dyDescent="0.3">
      <c r="A554" s="74" t="s">
        <v>500</v>
      </c>
      <c r="B554" s="1">
        <v>7</v>
      </c>
      <c r="C554" s="1">
        <v>235</v>
      </c>
      <c r="D554" s="1">
        <v>1985</v>
      </c>
      <c r="E554" s="59">
        <f>SUM(B554:D554)</f>
        <v>2227</v>
      </c>
      <c r="F554" s="1">
        <v>5249</v>
      </c>
      <c r="G554" s="1">
        <v>3919</v>
      </c>
      <c r="H554" s="1">
        <v>5023</v>
      </c>
      <c r="I554" s="59">
        <f>SUM(F554:H554)</f>
        <v>14191</v>
      </c>
      <c r="J554" s="1">
        <v>5649</v>
      </c>
      <c r="K554" s="1">
        <v>2690</v>
      </c>
      <c r="L554" s="1">
        <v>2591</v>
      </c>
      <c r="M554" s="59">
        <f>SUM(J554:L554)</f>
        <v>10930</v>
      </c>
      <c r="N554" s="1">
        <v>68</v>
      </c>
      <c r="O554" s="1"/>
      <c r="P554" s="1"/>
      <c r="Q554" s="59">
        <f>SUM(N554:P554)</f>
        <v>68</v>
      </c>
      <c r="R554" s="59">
        <f>+E554+I554+M554+Q554</f>
        <v>27416</v>
      </c>
      <c r="S554" s="4">
        <f>+SUM(R554,R512,R386)</f>
        <v>85426</v>
      </c>
      <c r="T554" s="4" t="s">
        <v>501</v>
      </c>
    </row>
    <row r="555" spans="1:20" ht="15.75" customHeight="1" x14ac:dyDescent="0.3">
      <c r="A555" s="74" t="s">
        <v>502</v>
      </c>
      <c r="B555" s="1"/>
      <c r="C555" s="1"/>
      <c r="D555" s="1"/>
      <c r="E555" s="59">
        <f>SUM(B555:D555)</f>
        <v>0</v>
      </c>
      <c r="F555" s="1"/>
      <c r="G555" s="1"/>
      <c r="H555" s="1"/>
      <c r="I555" s="59">
        <f>SUM(F555:H555)</f>
        <v>0</v>
      </c>
      <c r="J555" s="1"/>
      <c r="K555" s="1"/>
      <c r="L555" s="1"/>
      <c r="M555" s="59">
        <f>SUM(J555:L555)</f>
        <v>0</v>
      </c>
      <c r="N555" s="1"/>
      <c r="O555" s="1"/>
      <c r="P555" s="1"/>
      <c r="Q555" s="59">
        <f>SUM(N555:P555)</f>
        <v>0</v>
      </c>
      <c r="R555" s="59">
        <f>+E555+I555+M555+Q555</f>
        <v>0</v>
      </c>
    </row>
    <row r="556" spans="1:20" ht="15.75" customHeight="1" thickBot="1" x14ac:dyDescent="0.35">
      <c r="A556" s="17" t="s">
        <v>56</v>
      </c>
      <c r="B556" s="1"/>
      <c r="C556" s="1"/>
      <c r="D556" s="1"/>
      <c r="E556" s="59" t="s">
        <v>7</v>
      </c>
      <c r="F556" s="1"/>
      <c r="G556" s="1"/>
      <c r="H556" s="1"/>
      <c r="I556" s="59" t="s">
        <v>7</v>
      </c>
      <c r="J556" s="1"/>
      <c r="K556" s="1"/>
      <c r="L556" s="1"/>
      <c r="M556" s="59" t="s">
        <v>7</v>
      </c>
      <c r="N556" s="1"/>
      <c r="O556" s="1"/>
      <c r="P556" s="1"/>
      <c r="Q556" s="59" t="s">
        <v>7</v>
      </c>
      <c r="R556" s="305" t="s">
        <v>7</v>
      </c>
    </row>
    <row r="557" spans="1:20" ht="16.5" customHeight="1" thickBot="1" x14ac:dyDescent="0.35">
      <c r="A557" s="62" t="s">
        <v>57</v>
      </c>
      <c r="B557" s="100">
        <f>SUM(B552:B556)</f>
        <v>7</v>
      </c>
      <c r="C557" s="101">
        <f>SUM(C552:C556)</f>
        <v>235</v>
      </c>
      <c r="D557" s="101">
        <f>SUM(D552:D556)</f>
        <v>1985</v>
      </c>
      <c r="E557" s="64">
        <f>SUM(B557:D557)</f>
        <v>2227</v>
      </c>
      <c r="F557" s="101">
        <f>SUM(F552:F556)</f>
        <v>5249</v>
      </c>
      <c r="G557" s="101">
        <f>SUM(G552:G556)</f>
        <v>3919</v>
      </c>
      <c r="H557" s="101">
        <f>SUM(H552:H556)</f>
        <v>5023</v>
      </c>
      <c r="I557" s="64">
        <f>SUM(F557:H557)</f>
        <v>14191</v>
      </c>
      <c r="J557" s="101">
        <f>SUM(J552:J556)</f>
        <v>5649</v>
      </c>
      <c r="K557" s="101">
        <f>SUM(K552:K556)</f>
        <v>2690</v>
      </c>
      <c r="L557" s="101">
        <f>SUM(L552:L556)</f>
        <v>2591</v>
      </c>
      <c r="M557" s="64">
        <f>SUM(J557:L557)</f>
        <v>10930</v>
      </c>
      <c r="N557" s="101">
        <f>SUM(N552:N556)</f>
        <v>68</v>
      </c>
      <c r="O557" s="101">
        <f>SUM(O552:O556)</f>
        <v>0</v>
      </c>
      <c r="P557" s="101">
        <f>SUM(P552:P556)</f>
        <v>0</v>
      </c>
      <c r="Q557" s="64">
        <f>SUM(N557:P557)</f>
        <v>68</v>
      </c>
      <c r="R557" s="64">
        <f>+E557+I557+M557+Q557</f>
        <v>27416</v>
      </c>
    </row>
    <row r="558" spans="1:20" ht="15.75" customHeight="1" x14ac:dyDescent="0.3">
      <c r="A558" s="17" t="s">
        <v>58</v>
      </c>
      <c r="B558" s="1"/>
      <c r="C558" s="1"/>
      <c r="D558" s="1"/>
      <c r="E558" s="59" t="s">
        <v>7</v>
      </c>
      <c r="F558" s="1"/>
      <c r="G558" s="1"/>
      <c r="H558" s="1"/>
      <c r="I558" s="59" t="s">
        <v>7</v>
      </c>
      <c r="J558" s="1"/>
      <c r="K558" s="1"/>
      <c r="L558" s="1"/>
      <c r="M558" s="59" t="s">
        <v>7</v>
      </c>
      <c r="N558" s="1"/>
      <c r="O558" s="1"/>
      <c r="P558" s="1"/>
      <c r="Q558" s="59" t="s">
        <v>7</v>
      </c>
      <c r="R558" s="59" t="s">
        <v>7</v>
      </c>
    </row>
    <row r="559" spans="1:20" ht="15.75" customHeight="1" x14ac:dyDescent="0.3">
      <c r="A559" s="17" t="s">
        <v>59</v>
      </c>
      <c r="B559" s="1"/>
      <c r="C559" s="1"/>
      <c r="D559" s="1"/>
      <c r="E559" s="59" t="s">
        <v>7</v>
      </c>
      <c r="F559" s="1"/>
      <c r="G559" s="1"/>
      <c r="H559" s="1"/>
      <c r="I559" s="59" t="s">
        <v>7</v>
      </c>
      <c r="J559" s="1"/>
      <c r="K559" s="1"/>
      <c r="L559" s="1"/>
      <c r="M559" s="59" t="s">
        <v>7</v>
      </c>
      <c r="N559" s="1"/>
      <c r="O559" s="1"/>
      <c r="P559" s="1"/>
      <c r="Q559" s="59" t="s">
        <v>7</v>
      </c>
      <c r="R559" s="59" t="s">
        <v>7</v>
      </c>
    </row>
    <row r="560" spans="1:20" ht="15.75" customHeight="1" x14ac:dyDescent="0.3">
      <c r="A560" s="17" t="s">
        <v>60</v>
      </c>
      <c r="B560" s="1"/>
      <c r="C560" s="1"/>
      <c r="D560" s="1"/>
      <c r="E560" s="59" t="s">
        <v>7</v>
      </c>
      <c r="F560" s="1"/>
      <c r="G560" s="1"/>
      <c r="H560" s="1"/>
      <c r="I560" s="59" t="s">
        <v>7</v>
      </c>
      <c r="J560" s="1"/>
      <c r="K560" s="1"/>
      <c r="L560" s="1"/>
      <c r="M560" s="59" t="s">
        <v>7</v>
      </c>
      <c r="N560" s="1"/>
      <c r="O560" s="1"/>
      <c r="P560" s="1"/>
      <c r="Q560" s="59" t="s">
        <v>7</v>
      </c>
      <c r="R560" s="59" t="s">
        <v>7</v>
      </c>
    </row>
    <row r="561" spans="1:20" ht="15.75" customHeight="1" thickBot="1" x14ac:dyDescent="0.35">
      <c r="A561" s="103" t="s">
        <v>856</v>
      </c>
      <c r="B561" s="1"/>
      <c r="C561" s="1"/>
      <c r="D561" s="1"/>
      <c r="E561" s="59">
        <f>SUM(B561:D561)</f>
        <v>0</v>
      </c>
      <c r="F561" s="1"/>
      <c r="G561" s="1"/>
      <c r="H561" s="1"/>
      <c r="I561" s="59">
        <f>SUM(F561:H561)</f>
        <v>0</v>
      </c>
      <c r="J561" s="1"/>
      <c r="K561" s="1"/>
      <c r="L561" s="1"/>
      <c r="M561" s="59">
        <f>SUM(J561:L561)</f>
        <v>0</v>
      </c>
      <c r="N561" s="1"/>
      <c r="O561" s="1">
        <v>307</v>
      </c>
      <c r="P561" s="1"/>
      <c r="Q561" s="59">
        <f>SUM(N561:P561)</f>
        <v>307</v>
      </c>
      <c r="R561" s="59">
        <f>+E561+I561+M561+Q561</f>
        <v>307</v>
      </c>
      <c r="T561" s="4" t="s">
        <v>368</v>
      </c>
    </row>
    <row r="562" spans="1:20" ht="16.5" customHeight="1" thickBot="1" x14ac:dyDescent="0.35">
      <c r="A562" s="137" t="s">
        <v>61</v>
      </c>
      <c r="B562" s="100">
        <f>SUM(B558:B561)</f>
        <v>0</v>
      </c>
      <c r="C562" s="101">
        <f>SUM(C558:C561)</f>
        <v>0</v>
      </c>
      <c r="D562" s="101">
        <f>SUM(D558:D561)</f>
        <v>0</v>
      </c>
      <c r="E562" s="64">
        <f>SUM(B562:D562)</f>
        <v>0</v>
      </c>
      <c r="F562" s="101">
        <f>SUM(F558:F561)</f>
        <v>0</v>
      </c>
      <c r="G562" s="101">
        <f>SUM(G558:G561)</f>
        <v>0</v>
      </c>
      <c r="H562" s="101">
        <f>SUM(H558:H561)</f>
        <v>0</v>
      </c>
      <c r="I562" s="64">
        <f>SUM(F562:H562)</f>
        <v>0</v>
      </c>
      <c r="J562" s="101">
        <f>SUM(J558:J561)</f>
        <v>0</v>
      </c>
      <c r="K562" s="101">
        <f>SUM(K558:K561)</f>
        <v>0</v>
      </c>
      <c r="L562" s="101">
        <f>SUM(L558:L561)</f>
        <v>0</v>
      </c>
      <c r="M562" s="64">
        <f>SUM(J562:L562)</f>
        <v>0</v>
      </c>
      <c r="N562" s="101">
        <f>SUM(N558:N561)</f>
        <v>0</v>
      </c>
      <c r="O562" s="101">
        <f>SUM(O558:O561)</f>
        <v>307</v>
      </c>
      <c r="P562" s="101">
        <f>SUM(P558:P561)</f>
        <v>0</v>
      </c>
      <c r="Q562" s="64">
        <f>SUM(N562:P562)</f>
        <v>307</v>
      </c>
      <c r="R562" s="64">
        <f>+E562+I562+M562+Q562</f>
        <v>307</v>
      </c>
    </row>
    <row r="563" spans="1:20" ht="15.75" customHeight="1" x14ac:dyDescent="0.3">
      <c r="A563" s="17" t="s">
        <v>62</v>
      </c>
      <c r="B563" s="1"/>
      <c r="C563" s="1"/>
      <c r="D563" s="1"/>
      <c r="E563" s="59" t="s">
        <v>7</v>
      </c>
      <c r="F563" s="1"/>
      <c r="G563" s="1"/>
      <c r="H563" s="1"/>
      <c r="I563" s="59" t="s">
        <v>7</v>
      </c>
      <c r="J563" s="1"/>
      <c r="K563" s="1"/>
      <c r="L563" s="1"/>
      <c r="M563" s="59" t="s">
        <v>7</v>
      </c>
      <c r="N563" s="1"/>
      <c r="O563" s="1"/>
      <c r="P563" s="1"/>
      <c r="Q563" s="59" t="s">
        <v>7</v>
      </c>
      <c r="R563" s="59" t="s">
        <v>7</v>
      </c>
    </row>
    <row r="564" spans="1:20" ht="15.75" customHeight="1" x14ac:dyDescent="0.3">
      <c r="A564" s="17" t="s">
        <v>63</v>
      </c>
      <c r="B564" s="1"/>
      <c r="C564" s="1"/>
      <c r="D564" s="1"/>
      <c r="E564" s="59" t="s">
        <v>7</v>
      </c>
      <c r="F564" s="1"/>
      <c r="G564" s="1"/>
      <c r="H564" s="1"/>
      <c r="I564" s="59" t="s">
        <v>7</v>
      </c>
      <c r="J564" s="1"/>
      <c r="K564" s="1"/>
      <c r="L564" s="1"/>
      <c r="M564" s="59" t="s">
        <v>7</v>
      </c>
      <c r="N564" s="1"/>
      <c r="O564" s="1"/>
      <c r="P564" s="1"/>
      <c r="Q564" s="59" t="s">
        <v>7</v>
      </c>
      <c r="R564" s="59" t="s">
        <v>7</v>
      </c>
    </row>
    <row r="565" spans="1:20" ht="15.75" customHeight="1" x14ac:dyDescent="0.3">
      <c r="A565" s="17" t="s">
        <v>64</v>
      </c>
      <c r="B565" s="1"/>
      <c r="C565" s="1"/>
      <c r="D565" s="1"/>
      <c r="E565" s="59" t="s">
        <v>7</v>
      </c>
      <c r="F565" s="1"/>
      <c r="G565" s="1"/>
      <c r="H565" s="1"/>
      <c r="I565" s="59" t="s">
        <v>7</v>
      </c>
      <c r="J565" s="1"/>
      <c r="K565" s="1"/>
      <c r="L565" s="1"/>
      <c r="M565" s="59" t="s">
        <v>7</v>
      </c>
      <c r="N565" s="1"/>
      <c r="O565" s="1"/>
      <c r="P565" s="1"/>
      <c r="Q565" s="59" t="s">
        <v>7</v>
      </c>
      <c r="R565" s="59" t="s">
        <v>7</v>
      </c>
    </row>
    <row r="566" spans="1:20" ht="15.75" customHeight="1" x14ac:dyDescent="0.3">
      <c r="A566" s="17" t="s">
        <v>66</v>
      </c>
      <c r="B566" s="1"/>
      <c r="C566" s="1"/>
      <c r="D566" s="1"/>
      <c r="E566" s="59" t="s">
        <v>7</v>
      </c>
      <c r="F566" s="1"/>
      <c r="G566" s="1"/>
      <c r="H566" s="1"/>
      <c r="I566" s="59" t="s">
        <v>7</v>
      </c>
      <c r="J566" s="1"/>
      <c r="K566" s="1"/>
      <c r="L566" s="1"/>
      <c r="M566" s="59" t="s">
        <v>7</v>
      </c>
      <c r="N566" s="1"/>
      <c r="O566" s="1"/>
      <c r="P566" s="1"/>
      <c r="Q566" s="59" t="s">
        <v>7</v>
      </c>
      <c r="R566" s="59" t="s">
        <v>7</v>
      </c>
    </row>
    <row r="567" spans="1:20" ht="15.75" customHeight="1" x14ac:dyDescent="0.3">
      <c r="A567" s="74" t="s">
        <v>503</v>
      </c>
      <c r="B567" s="1"/>
      <c r="C567" s="1"/>
      <c r="D567" s="1"/>
      <c r="E567" s="59">
        <f>SUM(B567:D567)</f>
        <v>0</v>
      </c>
      <c r="F567" s="1"/>
      <c r="G567" s="1"/>
      <c r="H567" s="1"/>
      <c r="I567" s="59">
        <f>SUM(F567:H567)</f>
        <v>0</v>
      </c>
      <c r="J567" s="1"/>
      <c r="K567" s="1"/>
      <c r="L567" s="1"/>
      <c r="M567" s="59">
        <f>SUM(J567:L567)</f>
        <v>0</v>
      </c>
      <c r="N567" s="1"/>
      <c r="O567" s="1"/>
      <c r="P567" s="1"/>
      <c r="Q567" s="59">
        <f>SUM(N567:P567)</f>
        <v>0</v>
      </c>
      <c r="R567" s="59">
        <f>+E567+I567+M567+Q567</f>
        <v>0</v>
      </c>
    </row>
    <row r="568" spans="1:20" ht="15.75" customHeight="1" x14ac:dyDescent="0.3">
      <c r="A568" s="17" t="s">
        <v>67</v>
      </c>
      <c r="B568" s="1"/>
      <c r="C568" s="1"/>
      <c r="D568" s="1"/>
      <c r="E568" s="59"/>
      <c r="F568" s="1"/>
      <c r="G568" s="1"/>
      <c r="H568" s="1"/>
      <c r="I568" s="59"/>
      <c r="J568" s="1"/>
      <c r="K568" s="1"/>
      <c r="L568" s="1"/>
      <c r="M568" s="59"/>
      <c r="N568" s="1"/>
      <c r="O568" s="1"/>
      <c r="P568" s="1"/>
      <c r="Q568" s="59"/>
      <c r="R568" s="59" t="s">
        <v>7</v>
      </c>
    </row>
    <row r="569" spans="1:20" ht="15.75" customHeight="1" x14ac:dyDescent="0.3">
      <c r="A569" s="74" t="s">
        <v>460</v>
      </c>
      <c r="B569" s="1"/>
      <c r="C569" s="1"/>
      <c r="D569" s="1"/>
      <c r="E569" s="59">
        <f t="shared" ref="E569:E576" si="216">SUM(B569:D569)</f>
        <v>0</v>
      </c>
      <c r="F569" s="1"/>
      <c r="G569" s="1"/>
      <c r="H569" s="1"/>
      <c r="I569" s="59">
        <f t="shared" ref="I569:I576" si="217">SUM(F569:H569)</f>
        <v>0</v>
      </c>
      <c r="J569" s="1"/>
      <c r="K569" s="1"/>
      <c r="L569" s="1"/>
      <c r="M569" s="59">
        <f t="shared" ref="M569:M576" si="218">SUM(J569:L569)</f>
        <v>0</v>
      </c>
      <c r="N569" s="1"/>
      <c r="O569" s="1"/>
      <c r="P569" s="1"/>
      <c r="Q569" s="59">
        <f t="shared" ref="Q569:Q576" si="219">SUM(N569:P569)</f>
        <v>0</v>
      </c>
      <c r="R569" s="59">
        <f t="shared" ref="R569:R576" si="220">+E569+I569+M569+Q569</f>
        <v>0</v>
      </c>
      <c r="T569" s="4" t="s">
        <v>368</v>
      </c>
    </row>
    <row r="570" spans="1:20" ht="15.75" customHeight="1" x14ac:dyDescent="0.3">
      <c r="A570" s="74" t="s">
        <v>504</v>
      </c>
      <c r="B570" s="1"/>
      <c r="C570" s="1"/>
      <c r="D570" s="1"/>
      <c r="E570" s="59">
        <f>SUM(B570:D570)</f>
        <v>0</v>
      </c>
      <c r="F570" s="1"/>
      <c r="G570" s="1"/>
      <c r="H570" s="1"/>
      <c r="I570" s="59">
        <f>SUM(F570:H570)</f>
        <v>0</v>
      </c>
      <c r="J570" s="1"/>
      <c r="K570" s="1"/>
      <c r="L570" s="1"/>
      <c r="M570" s="59">
        <f>SUM(J570:L570)</f>
        <v>0</v>
      </c>
      <c r="N570" s="1"/>
      <c r="O570" s="1"/>
      <c r="P570" s="1"/>
      <c r="Q570" s="59">
        <f>SUM(N570:P570)</f>
        <v>0</v>
      </c>
      <c r="R570" s="59">
        <f>+E570+I570+M570+Q570</f>
        <v>0</v>
      </c>
      <c r="S570" s="4" t="s">
        <v>964</v>
      </c>
      <c r="T570" s="4" t="s">
        <v>368</v>
      </c>
    </row>
    <row r="571" spans="1:20" ht="15.75" customHeight="1" x14ac:dyDescent="0.3">
      <c r="A571" s="74" t="s">
        <v>505</v>
      </c>
      <c r="B571" s="1"/>
      <c r="C571" s="1"/>
      <c r="D571" s="1"/>
      <c r="E571" s="59">
        <f t="shared" ref="E571" si="221">SUM(B571:D571)</f>
        <v>0</v>
      </c>
      <c r="F571" s="1"/>
      <c r="G571" s="1"/>
      <c r="H571" s="1"/>
      <c r="I571" s="59">
        <f t="shared" ref="I571" si="222">SUM(F571:H571)</f>
        <v>0</v>
      </c>
      <c r="J571" s="1"/>
      <c r="K571" s="1">
        <v>256</v>
      </c>
      <c r="L571" s="1">
        <v>973</v>
      </c>
      <c r="M571" s="59">
        <f t="shared" ref="M571" si="223">SUM(J571:L571)</f>
        <v>1229</v>
      </c>
      <c r="N571" s="1"/>
      <c r="O571" s="1"/>
      <c r="P571" s="1"/>
      <c r="Q571" s="59">
        <f t="shared" ref="Q571" si="224">SUM(N571:P571)</f>
        <v>0</v>
      </c>
      <c r="R571" s="59">
        <f t="shared" ref="R571" si="225">+E571+I571+M571+Q571</f>
        <v>1229</v>
      </c>
      <c r="S571" s="4" t="s">
        <v>964</v>
      </c>
    </row>
    <row r="572" spans="1:20" ht="15.75" customHeight="1" thickBot="1" x14ac:dyDescent="0.35">
      <c r="A572" s="74" t="s">
        <v>506</v>
      </c>
      <c r="B572" s="1"/>
      <c r="C572" s="1"/>
      <c r="D572" s="1"/>
      <c r="E572" s="59">
        <f t="shared" si="216"/>
        <v>0</v>
      </c>
      <c r="F572" s="1"/>
      <c r="G572" s="1"/>
      <c r="H572" s="1"/>
      <c r="I572" s="59">
        <f t="shared" si="217"/>
        <v>0</v>
      </c>
      <c r="J572" s="1"/>
      <c r="K572" s="1"/>
      <c r="L572" s="1">
        <v>61</v>
      </c>
      <c r="M572" s="59">
        <f t="shared" si="218"/>
        <v>61</v>
      </c>
      <c r="N572" s="1">
        <v>44</v>
      </c>
      <c r="O572" s="1"/>
      <c r="P572" s="1"/>
      <c r="Q572" s="59">
        <f t="shared" si="219"/>
        <v>44</v>
      </c>
      <c r="R572" s="59">
        <f t="shared" si="220"/>
        <v>105</v>
      </c>
    </row>
    <row r="573" spans="1:20" ht="16.5" customHeight="1" thickBot="1" x14ac:dyDescent="0.35">
      <c r="A573" s="62" t="s">
        <v>68</v>
      </c>
      <c r="B573" s="63">
        <f>SUM(B566:B572)</f>
        <v>0</v>
      </c>
      <c r="C573" s="63">
        <f>SUM(C566:C572)</f>
        <v>0</v>
      </c>
      <c r="D573" s="63">
        <f>SUM(D566:D572)</f>
        <v>0</v>
      </c>
      <c r="E573" s="334">
        <f t="shared" si="216"/>
        <v>0</v>
      </c>
      <c r="F573" s="63">
        <f>SUM(F566:F572)</f>
        <v>0</v>
      </c>
      <c r="G573" s="63">
        <f>SUM(G566:G572)</f>
        <v>0</v>
      </c>
      <c r="H573" s="63">
        <f>SUM(H566:H572)</f>
        <v>0</v>
      </c>
      <c r="I573" s="334">
        <f t="shared" si="217"/>
        <v>0</v>
      </c>
      <c r="J573" s="63">
        <f>SUM(J566:J572)</f>
        <v>0</v>
      </c>
      <c r="K573" s="63">
        <f>SUM(K566:K572)</f>
        <v>256</v>
      </c>
      <c r="L573" s="63">
        <f>SUM(L566:L572)</f>
        <v>1034</v>
      </c>
      <c r="M573" s="334">
        <f t="shared" si="218"/>
        <v>1290</v>
      </c>
      <c r="N573" s="63">
        <f>SUM(N566:N572)</f>
        <v>44</v>
      </c>
      <c r="O573" s="63">
        <f>SUM(O566:O572)</f>
        <v>0</v>
      </c>
      <c r="P573" s="63">
        <f>SUM(P566:P572)</f>
        <v>0</v>
      </c>
      <c r="Q573" s="334">
        <f t="shared" si="219"/>
        <v>44</v>
      </c>
      <c r="R573" s="64">
        <f t="shared" si="220"/>
        <v>1334</v>
      </c>
    </row>
    <row r="574" spans="1:20" ht="16.5" customHeight="1" thickBot="1" x14ac:dyDescent="0.35">
      <c r="A574" s="137" t="s">
        <v>69</v>
      </c>
      <c r="B574" s="100">
        <f>SUM(B563:B572)</f>
        <v>0</v>
      </c>
      <c r="C574" s="101">
        <f>SUM(C563:C572)</f>
        <v>0</v>
      </c>
      <c r="D574" s="138">
        <f>SUM(D563:D572)</f>
        <v>0</v>
      </c>
      <c r="E574" s="334">
        <f t="shared" si="216"/>
        <v>0</v>
      </c>
      <c r="F574" s="101">
        <f>SUM(F563:F572)</f>
        <v>0</v>
      </c>
      <c r="G574" s="101">
        <f>SUM(G563:G572)</f>
        <v>0</v>
      </c>
      <c r="H574" s="101">
        <f>SUM(H563:H572)</f>
        <v>0</v>
      </c>
      <c r="I574" s="334">
        <f t="shared" si="217"/>
        <v>0</v>
      </c>
      <c r="J574" s="101">
        <f>SUM(J563:J572)</f>
        <v>0</v>
      </c>
      <c r="K574" s="101">
        <f>SUM(K563:K572)</f>
        <v>256</v>
      </c>
      <c r="L574" s="101">
        <f>SUM(L563:L572)</f>
        <v>1034</v>
      </c>
      <c r="M574" s="334">
        <f t="shared" si="218"/>
        <v>1290</v>
      </c>
      <c r="N574" s="101">
        <f>SUM(N563:N572)</f>
        <v>44</v>
      </c>
      <c r="O574" s="101">
        <f>SUM(O563:O572)</f>
        <v>0</v>
      </c>
      <c r="P574" s="101">
        <f>SUM(P563:P572)</f>
        <v>0</v>
      </c>
      <c r="Q574" s="334">
        <f t="shared" si="219"/>
        <v>44</v>
      </c>
      <c r="R574" s="64">
        <f t="shared" si="220"/>
        <v>1334</v>
      </c>
    </row>
    <row r="575" spans="1:20" ht="16.5" customHeight="1" thickBot="1" x14ac:dyDescent="0.35">
      <c r="A575" s="62" t="s">
        <v>70</v>
      </c>
      <c r="B575" s="107">
        <f>+B551+B557+B562+B574</f>
        <v>26</v>
      </c>
      <c r="C575" s="63">
        <f>+C551+C557+C562+C574</f>
        <v>659</v>
      </c>
      <c r="D575" s="63">
        <f>+D551+D557+D562+D574</f>
        <v>1988</v>
      </c>
      <c r="E575" s="64">
        <f t="shared" si="216"/>
        <v>2673</v>
      </c>
      <c r="F575" s="63">
        <f>+F551+F557+F562+F574</f>
        <v>5722</v>
      </c>
      <c r="G575" s="63">
        <f>+G551+G557+G562+G574</f>
        <v>5419</v>
      </c>
      <c r="H575" s="63">
        <f>+H551+H557+H562+H574</f>
        <v>5880</v>
      </c>
      <c r="I575" s="64">
        <f t="shared" si="217"/>
        <v>17021</v>
      </c>
      <c r="J575" s="63">
        <f>+J551+J557+J562+J574</f>
        <v>7237</v>
      </c>
      <c r="K575" s="63">
        <f>+K551+K557+K562+K574</f>
        <v>4282</v>
      </c>
      <c r="L575" s="63">
        <f>+L551+L557+L562+L574</f>
        <v>3625</v>
      </c>
      <c r="M575" s="64">
        <f t="shared" si="218"/>
        <v>15144</v>
      </c>
      <c r="N575" s="63">
        <f>+N551+N557+N562+N574</f>
        <v>112</v>
      </c>
      <c r="O575" s="63">
        <f>+O551+O557+O562+O574</f>
        <v>307</v>
      </c>
      <c r="P575" s="63">
        <f>+P551+P557+P562+P574</f>
        <v>0</v>
      </c>
      <c r="Q575" s="64">
        <f t="shared" si="219"/>
        <v>419</v>
      </c>
      <c r="R575" s="88">
        <f t="shared" si="220"/>
        <v>35257</v>
      </c>
    </row>
    <row r="576" spans="1:20" ht="16.5" customHeight="1" thickBot="1" x14ac:dyDescent="0.35">
      <c r="A576" s="40" t="s">
        <v>37</v>
      </c>
      <c r="B576" s="25">
        <v>23</v>
      </c>
      <c r="C576" s="25">
        <v>43</v>
      </c>
      <c r="D576" s="25">
        <v>66</v>
      </c>
      <c r="E576" s="88">
        <f t="shared" si="216"/>
        <v>132</v>
      </c>
      <c r="F576" s="25">
        <v>91</v>
      </c>
      <c r="G576" s="25">
        <v>108</v>
      </c>
      <c r="H576" s="25">
        <v>109</v>
      </c>
      <c r="I576" s="88">
        <f t="shared" si="217"/>
        <v>308</v>
      </c>
      <c r="J576" s="25">
        <v>104</v>
      </c>
      <c r="K576" s="25">
        <v>79</v>
      </c>
      <c r="L576" s="25">
        <v>80</v>
      </c>
      <c r="M576" s="88">
        <f t="shared" si="218"/>
        <v>263</v>
      </c>
      <c r="N576" s="25">
        <v>74</v>
      </c>
      <c r="O576" s="25">
        <v>58</v>
      </c>
      <c r="P576" s="25">
        <v>42</v>
      </c>
      <c r="Q576" s="88">
        <f t="shared" si="219"/>
        <v>174</v>
      </c>
      <c r="R576" s="59">
        <f t="shared" si="220"/>
        <v>877</v>
      </c>
    </row>
    <row r="577" spans="1:20" ht="16.5" customHeight="1" thickBot="1" x14ac:dyDescent="0.35">
      <c r="A577" s="42"/>
      <c r="B577" s="37"/>
      <c r="C577" s="37"/>
      <c r="D577" s="37"/>
      <c r="E577" s="43"/>
      <c r="F577" s="37"/>
      <c r="G577" s="37"/>
      <c r="H577" s="37"/>
      <c r="I577" s="147"/>
      <c r="J577" s="37"/>
      <c r="K577" s="37"/>
      <c r="L577" s="37"/>
      <c r="M577" s="147"/>
      <c r="N577" s="37"/>
      <c r="O577" s="37"/>
      <c r="P577" s="37"/>
      <c r="Q577" s="147"/>
      <c r="R577" s="43"/>
    </row>
    <row r="578" spans="1:20" ht="15.75" customHeight="1" x14ac:dyDescent="0.3">
      <c r="A578" s="17" t="s">
        <v>507</v>
      </c>
      <c r="B578" s="336">
        <f>SUM(B575:B576)</f>
        <v>49</v>
      </c>
      <c r="C578" s="336">
        <f>SUM(C575:C576)</f>
        <v>702</v>
      </c>
      <c r="D578" s="336">
        <f>SUM(D575:D576)</f>
        <v>2054</v>
      </c>
      <c r="E578" s="334">
        <f>SUM(B578:D578)</f>
        <v>2805</v>
      </c>
      <c r="F578" s="336">
        <f>SUM(F575:F576)</f>
        <v>5813</v>
      </c>
      <c r="G578" s="336">
        <f>SUM(G575:G576)</f>
        <v>5527</v>
      </c>
      <c r="H578" s="336">
        <f>SUM(H575:H576)</f>
        <v>5989</v>
      </c>
      <c r="I578" s="334">
        <f>SUM(F578:H578)</f>
        <v>17329</v>
      </c>
      <c r="J578" s="336">
        <f>SUM(J575:J576)</f>
        <v>7341</v>
      </c>
      <c r="K578" s="336">
        <f>SUM(K575:K576)</f>
        <v>4361</v>
      </c>
      <c r="L578" s="336">
        <f>SUM(L575:L576)</f>
        <v>3705</v>
      </c>
      <c r="M578" s="334">
        <f>SUM(J578:L578)</f>
        <v>15407</v>
      </c>
      <c r="N578" s="336">
        <f>SUM(N575:N576)</f>
        <v>186</v>
      </c>
      <c r="O578" s="336">
        <f>SUM(O575:O576)</f>
        <v>365</v>
      </c>
      <c r="P578" s="336">
        <f>SUM(P575:P576)</f>
        <v>42</v>
      </c>
      <c r="Q578" s="334">
        <f>SUM(N578:P578)</f>
        <v>593</v>
      </c>
      <c r="R578" s="334">
        <f>+E578+I578+M578+Q578</f>
        <v>36134</v>
      </c>
    </row>
    <row r="579" spans="1:20" ht="15.75" customHeight="1" x14ac:dyDescent="0.3">
      <c r="A579" s="17" t="s">
        <v>39</v>
      </c>
      <c r="B579" s="1">
        <f>(B578/B10)/1.983</f>
        <v>0.79709791290485243</v>
      </c>
      <c r="C579" s="1">
        <f>(C578/C10)/1.983</f>
        <v>12.643181326993732</v>
      </c>
      <c r="D579" s="1">
        <f>(D578/D10)/1.983</f>
        <v>33.413043124623819</v>
      </c>
      <c r="E579" s="59" t="s">
        <v>7</v>
      </c>
      <c r="F579" s="1">
        <f>(F578/F10)/1.983</f>
        <v>97.713901496049758</v>
      </c>
      <c r="G579" s="1">
        <f>(G578/G10)/1.983</f>
        <v>89.909391114798353</v>
      </c>
      <c r="H579" s="1">
        <f>(H578/H10)/1.983</f>
        <v>100.67238191292654</v>
      </c>
      <c r="I579" s="59" t="s">
        <v>7</v>
      </c>
      <c r="J579" s="1">
        <f>(J578/J10)/1.983</f>
        <v>119.4182811966229</v>
      </c>
      <c r="K579" s="1">
        <f>(K578/K10)/1.983</f>
        <v>70.941714248531881</v>
      </c>
      <c r="L579" s="1">
        <f>(L578/L10)/1.983</f>
        <v>62.279374684820972</v>
      </c>
      <c r="M579" s="59" t="s">
        <v>7</v>
      </c>
      <c r="N579" s="1">
        <f>(N578/N10)/1.983</f>
        <v>3.02571860816944</v>
      </c>
      <c r="O579" s="1">
        <f>(O578/O10)/1.983</f>
        <v>6.1354849554546975</v>
      </c>
      <c r="P579" s="1">
        <f>(P578/P10)/1.983</f>
        <v>0.68322678248987356</v>
      </c>
      <c r="Q579" s="59" t="s">
        <v>7</v>
      </c>
      <c r="R579" s="59" t="s">
        <v>7</v>
      </c>
    </row>
    <row r="580" spans="1:20" ht="15.75" customHeight="1" x14ac:dyDescent="0.3">
      <c r="A580" s="17" t="s">
        <v>508</v>
      </c>
      <c r="B580" s="1">
        <f>B578+B644</f>
        <v>13674</v>
      </c>
      <c r="C580" s="1">
        <f>C578+C644</f>
        <v>22023</v>
      </c>
      <c r="D580" s="1">
        <f>D578+D644</f>
        <v>28768</v>
      </c>
      <c r="E580" s="59">
        <f>SUM(B580:D580)</f>
        <v>64465</v>
      </c>
      <c r="F580" s="1">
        <f>F578+F644</f>
        <v>34875</v>
      </c>
      <c r="G580" s="1">
        <f>G578+G644</f>
        <v>32231</v>
      </c>
      <c r="H580" s="1">
        <f>H578+H644</f>
        <v>29005</v>
      </c>
      <c r="I580" s="59">
        <f>SUM(F580:H580)</f>
        <v>96111</v>
      </c>
      <c r="J580" s="1">
        <f>J578+J644</f>
        <v>30117</v>
      </c>
      <c r="K580" s="1">
        <f>K578+K644</f>
        <v>32508</v>
      </c>
      <c r="L580" s="1">
        <f>L578+L644</f>
        <v>27698</v>
      </c>
      <c r="M580" s="59">
        <f>SUM(J580:L580)</f>
        <v>90323</v>
      </c>
      <c r="N580" s="1">
        <f>N578+N644</f>
        <v>12622</v>
      </c>
      <c r="O580" s="1">
        <f>O578+O644</f>
        <v>5556</v>
      </c>
      <c r="P580" s="1">
        <f>P578+P644</f>
        <v>5316</v>
      </c>
      <c r="Q580" s="59">
        <f>SUM(N580:P580)</f>
        <v>23494</v>
      </c>
      <c r="R580" s="59">
        <f>+E580+I580+M580+Q580</f>
        <v>274393</v>
      </c>
    </row>
    <row r="581" spans="1:20" ht="16.5" customHeight="1" thickBot="1" x14ac:dyDescent="0.35">
      <c r="A581" s="24" t="s">
        <v>509</v>
      </c>
      <c r="B581" s="87">
        <f>(B580/B10)/1.983</f>
        <v>222.43911961348886</v>
      </c>
      <c r="C581" s="87">
        <f>(C580/C10)/1.983</f>
        <v>396.63929111735467</v>
      </c>
      <c r="D581" s="87">
        <f>(D580/D10)/1.983</f>
        <v>467.97781139687339</v>
      </c>
      <c r="E581" s="88" t="s">
        <v>7</v>
      </c>
      <c r="F581" s="87">
        <f>(F580/F10)/1.983</f>
        <v>586.23298033282902</v>
      </c>
      <c r="G581" s="87">
        <f>(G580/G10)/1.983</f>
        <v>524.31148634359795</v>
      </c>
      <c r="H581" s="87">
        <f>(H580/H10)/1.983</f>
        <v>487.56093461085896</v>
      </c>
      <c r="I581" s="88" t="s">
        <v>7</v>
      </c>
      <c r="J581" s="87">
        <f>(J580/J10)/1.983</f>
        <v>489.92240495827434</v>
      </c>
      <c r="K581" s="87">
        <f>(K580/K10)/1.983</f>
        <v>528.81752964716225</v>
      </c>
      <c r="L581" s="87">
        <f>(L580/L10)/1.983</f>
        <v>465.59085560598419</v>
      </c>
      <c r="M581" s="88" t="s">
        <v>7</v>
      </c>
      <c r="N581" s="87">
        <f>(N580/N10)/1.983</f>
        <v>205.32591544255203</v>
      </c>
      <c r="O581" s="87">
        <f>(O580/O10)/1.983</f>
        <v>93.393847705496711</v>
      </c>
      <c r="P581" s="87">
        <f>(P580/P10)/1.983</f>
        <v>86.476989898003993</v>
      </c>
      <c r="Q581" s="88" t="s">
        <v>7</v>
      </c>
      <c r="R581" s="88" t="s">
        <v>7</v>
      </c>
    </row>
    <row r="582" spans="1:20" ht="15.75" customHeight="1" x14ac:dyDescent="0.3">
      <c r="A582" s="28"/>
      <c r="B582" s="1"/>
      <c r="C582" s="1"/>
      <c r="D582" s="1"/>
      <c r="E582" s="1"/>
      <c r="F582" s="1"/>
      <c r="G582" s="1"/>
      <c r="H582" s="1"/>
      <c r="I582" s="1"/>
      <c r="J582" s="1"/>
      <c r="K582" s="1"/>
      <c r="L582" s="1"/>
      <c r="M582" s="1"/>
      <c r="N582" s="1"/>
      <c r="O582" s="1"/>
      <c r="P582" s="1"/>
      <c r="Q582" s="1"/>
      <c r="R582" s="28"/>
    </row>
    <row r="583" spans="1:20" ht="15.75" customHeight="1" thickBot="1" x14ac:dyDescent="0.35">
      <c r="A583" s="28"/>
      <c r="B583" s="1"/>
      <c r="C583" s="1"/>
      <c r="D583" s="1"/>
      <c r="E583" s="1"/>
      <c r="F583" s="1"/>
      <c r="G583" s="1"/>
      <c r="H583" s="1"/>
      <c r="I583" s="1"/>
      <c r="J583" s="1"/>
      <c r="K583" s="1"/>
      <c r="L583" s="1"/>
      <c r="M583" s="1"/>
      <c r="N583" s="1"/>
      <c r="O583" s="1"/>
      <c r="P583" s="1"/>
      <c r="Q583" s="1"/>
      <c r="R583" s="28"/>
    </row>
    <row r="584" spans="1:20" ht="16.5" customHeight="1" thickBot="1" x14ac:dyDescent="0.35">
      <c r="A584" s="343" t="s">
        <v>510</v>
      </c>
      <c r="B584" s="323" t="s">
        <v>36</v>
      </c>
      <c r="C584" s="324" t="s">
        <v>9</v>
      </c>
      <c r="D584" s="324" t="s">
        <v>10</v>
      </c>
      <c r="E584" s="325" t="s">
        <v>11</v>
      </c>
      <c r="F584" s="324" t="s">
        <v>12</v>
      </c>
      <c r="G584" s="324" t="s">
        <v>13</v>
      </c>
      <c r="H584" s="324" t="s">
        <v>14</v>
      </c>
      <c r="I584" s="34" t="s">
        <v>15</v>
      </c>
      <c r="J584" s="324" t="s">
        <v>16</v>
      </c>
      <c r="K584" s="324" t="s">
        <v>17</v>
      </c>
      <c r="L584" s="324" t="s">
        <v>18</v>
      </c>
      <c r="M584" s="34" t="s">
        <v>19</v>
      </c>
      <c r="N584" s="324" t="s">
        <v>20</v>
      </c>
      <c r="O584" s="324" t="s">
        <v>21</v>
      </c>
      <c r="P584" s="324" t="s">
        <v>22</v>
      </c>
      <c r="Q584" s="34" t="s">
        <v>23</v>
      </c>
      <c r="R584" s="326" t="s">
        <v>24</v>
      </c>
    </row>
    <row r="585" spans="1:20" ht="16.5" customHeight="1" thickBot="1" x14ac:dyDescent="0.35">
      <c r="A585" s="64"/>
      <c r="B585" s="81"/>
      <c r="C585" s="81"/>
      <c r="D585" s="81"/>
      <c r="E585" s="72"/>
      <c r="F585" s="81"/>
      <c r="G585" s="81"/>
      <c r="H585" s="81"/>
      <c r="I585" s="89"/>
      <c r="J585" s="81"/>
      <c r="K585" s="81"/>
      <c r="L585" s="81"/>
      <c r="M585" s="89"/>
      <c r="N585" s="81"/>
      <c r="O585" s="81"/>
      <c r="P585" s="81"/>
      <c r="Q585" s="89"/>
      <c r="R585" s="117"/>
    </row>
    <row r="586" spans="1:20" ht="15.75" customHeight="1" x14ac:dyDescent="0.3">
      <c r="A586" s="17" t="s">
        <v>45</v>
      </c>
      <c r="B586" s="1"/>
      <c r="C586" s="1"/>
      <c r="D586" s="1"/>
      <c r="E586" s="59" t="s">
        <v>7</v>
      </c>
      <c r="F586" s="1"/>
      <c r="G586" s="1"/>
      <c r="H586" s="1"/>
      <c r="I586" s="59" t="s">
        <v>7</v>
      </c>
      <c r="J586" s="1" t="s">
        <v>7</v>
      </c>
      <c r="K586" s="1" t="s">
        <v>7</v>
      </c>
      <c r="L586" s="1" t="s">
        <v>7</v>
      </c>
      <c r="M586" s="59" t="s">
        <v>7</v>
      </c>
      <c r="N586" s="1" t="s">
        <v>7</v>
      </c>
      <c r="O586" s="1" t="s">
        <v>7</v>
      </c>
      <c r="P586" s="1" t="s">
        <v>7</v>
      </c>
      <c r="Q586" s="59" t="s">
        <v>7</v>
      </c>
      <c r="R586" s="59" t="s">
        <v>7</v>
      </c>
    </row>
    <row r="587" spans="1:20" ht="15.75" customHeight="1" x14ac:dyDescent="0.3">
      <c r="A587" s="17" t="s">
        <v>46</v>
      </c>
      <c r="B587" s="1"/>
      <c r="C587" s="1"/>
      <c r="D587" s="1"/>
      <c r="E587" s="59" t="s">
        <v>7</v>
      </c>
      <c r="F587" s="1"/>
      <c r="G587" s="1"/>
      <c r="H587" s="1"/>
      <c r="I587" s="59" t="s">
        <v>7</v>
      </c>
      <c r="J587" s="1"/>
      <c r="K587" s="1"/>
      <c r="L587" s="1"/>
      <c r="M587" s="59" t="s">
        <v>7</v>
      </c>
      <c r="N587" s="1"/>
      <c r="O587" s="1"/>
      <c r="P587" s="1"/>
      <c r="Q587" s="59" t="s">
        <v>7</v>
      </c>
      <c r="R587" s="59" t="s">
        <v>7</v>
      </c>
    </row>
    <row r="588" spans="1:20" ht="15.75" customHeight="1" x14ac:dyDescent="0.3">
      <c r="A588" s="74" t="s">
        <v>511</v>
      </c>
      <c r="B588" s="1">
        <v>108</v>
      </c>
      <c r="C588" s="1">
        <v>273</v>
      </c>
      <c r="D588" s="1">
        <v>378</v>
      </c>
      <c r="E588" s="59">
        <f t="shared" ref="E588" si="226">SUM(B588:D588)</f>
        <v>759</v>
      </c>
      <c r="F588" s="1">
        <v>281</v>
      </c>
      <c r="G588" s="1">
        <v>315</v>
      </c>
      <c r="H588" s="1"/>
      <c r="I588" s="59">
        <f t="shared" ref="I588" si="227">SUM(F588:H588)</f>
        <v>596</v>
      </c>
      <c r="J588" s="1">
        <v>433</v>
      </c>
      <c r="K588" s="1">
        <v>728</v>
      </c>
      <c r="L588" s="1">
        <v>584</v>
      </c>
      <c r="M588" s="59">
        <f t="shared" ref="M588" si="228">SUM(J588:L588)</f>
        <v>1745</v>
      </c>
      <c r="N588" s="1"/>
      <c r="O588" s="1"/>
      <c r="P588" s="1"/>
      <c r="Q588" s="59">
        <f t="shared" ref="Q588:Q596" si="229">SUM(N588:P588)</f>
        <v>0</v>
      </c>
      <c r="R588" s="59">
        <f t="shared" ref="R588:R598" si="230">+E588+I588+M588+Q588</f>
        <v>3100</v>
      </c>
    </row>
    <row r="589" spans="1:20" ht="15.75" customHeight="1" x14ac:dyDescent="0.3">
      <c r="A589" s="74" t="s">
        <v>512</v>
      </c>
      <c r="B589" s="1">
        <v>200</v>
      </c>
      <c r="C589" s="1">
        <v>213</v>
      </c>
      <c r="D589" s="1">
        <v>480</v>
      </c>
      <c r="E589" s="59">
        <f>SUM(B589:D589)</f>
        <v>893</v>
      </c>
      <c r="F589" s="1">
        <v>200</v>
      </c>
      <c r="G589" s="1">
        <v>200</v>
      </c>
      <c r="H589" s="1">
        <v>200</v>
      </c>
      <c r="I589" s="59">
        <f>SUM(F589:H589)</f>
        <v>600</v>
      </c>
      <c r="J589" s="1">
        <v>403</v>
      </c>
      <c r="K589" s="1">
        <v>104</v>
      </c>
      <c r="L589" s="1"/>
      <c r="M589" s="59">
        <f>SUM(J589:L589)</f>
        <v>507</v>
      </c>
      <c r="N589" s="1"/>
      <c r="O589" s="1"/>
      <c r="P589" s="1"/>
      <c r="Q589" s="59">
        <f>SUM(N589:P589)</f>
        <v>0</v>
      </c>
      <c r="R589" s="59">
        <f>+E589+I589+M589+Q589</f>
        <v>2000</v>
      </c>
    </row>
    <row r="590" spans="1:20" ht="15.75" customHeight="1" x14ac:dyDescent="0.3">
      <c r="A590" s="74" t="s">
        <v>513</v>
      </c>
      <c r="B590" s="1">
        <v>200</v>
      </c>
      <c r="C590" s="1">
        <v>300</v>
      </c>
      <c r="D590" s="1">
        <v>650</v>
      </c>
      <c r="E590" s="59">
        <f t="shared" ref="E590" si="231">SUM(B590:D590)</f>
        <v>1150</v>
      </c>
      <c r="F590" s="1">
        <v>1613</v>
      </c>
      <c r="G590" s="1">
        <v>635</v>
      </c>
      <c r="H590" s="1">
        <v>1780</v>
      </c>
      <c r="I590" s="59">
        <f t="shared" ref="I590" si="232">SUM(F590:H590)</f>
        <v>4028</v>
      </c>
      <c r="J590" s="1">
        <v>949</v>
      </c>
      <c r="K590" s="1">
        <v>673</v>
      </c>
      <c r="L590" s="1"/>
      <c r="M590" s="59">
        <f t="shared" ref="M590" si="233">SUM(J590:L590)</f>
        <v>1622</v>
      </c>
      <c r="N590" s="1"/>
      <c r="O590" s="1"/>
      <c r="P590" s="1"/>
      <c r="Q590" s="59">
        <f t="shared" si="229"/>
        <v>0</v>
      </c>
      <c r="R590" s="59">
        <f t="shared" si="230"/>
        <v>6800</v>
      </c>
      <c r="T590" s="4" t="s">
        <v>514</v>
      </c>
    </row>
    <row r="591" spans="1:20" ht="15.75" customHeight="1" x14ac:dyDescent="0.3">
      <c r="A591" s="74" t="s">
        <v>515</v>
      </c>
      <c r="B591" s="1"/>
      <c r="C591" s="1"/>
      <c r="D591" s="1"/>
      <c r="E591" s="59">
        <f>SUM(B591:D591)</f>
        <v>0</v>
      </c>
      <c r="F591" s="1"/>
      <c r="G591" s="1"/>
      <c r="H591" s="1"/>
      <c r="I591" s="59">
        <f>SUM(F591:H591)</f>
        <v>0</v>
      </c>
      <c r="J591" s="1"/>
      <c r="K591" s="1"/>
      <c r="L591" s="1"/>
      <c r="M591" s="59">
        <f>SUM(J591:L591)</f>
        <v>0</v>
      </c>
      <c r="N591" s="1"/>
      <c r="O591" s="1"/>
      <c r="P591" s="1"/>
      <c r="Q591" s="59">
        <f>SUM(N591:P591)</f>
        <v>0</v>
      </c>
      <c r="R591" s="59">
        <f>+E591+I591+M591+Q591</f>
        <v>0</v>
      </c>
      <c r="T591" s="4" t="s">
        <v>516</v>
      </c>
    </row>
    <row r="592" spans="1:20" ht="15.75" customHeight="1" x14ac:dyDescent="0.3">
      <c r="A592" s="74" t="s">
        <v>517</v>
      </c>
      <c r="B592" s="1">
        <v>277</v>
      </c>
      <c r="C592" s="1">
        <v>400</v>
      </c>
      <c r="D592" s="1">
        <v>1500</v>
      </c>
      <c r="E592" s="59">
        <f t="shared" ref="E592" si="234">SUM(B592:D592)</f>
        <v>2177</v>
      </c>
      <c r="F592" s="1">
        <v>1737</v>
      </c>
      <c r="G592" s="1"/>
      <c r="H592" s="1"/>
      <c r="I592" s="59">
        <f t="shared" ref="I592" si="235">SUM(F592:H592)</f>
        <v>1737</v>
      </c>
      <c r="J592" s="1">
        <v>29</v>
      </c>
      <c r="K592" s="1">
        <v>62</v>
      </c>
      <c r="L592" s="1"/>
      <c r="M592" s="59">
        <f t="shared" ref="M592" si="236">SUM(J592:L592)</f>
        <v>91</v>
      </c>
      <c r="N592" s="1"/>
      <c r="O592" s="1"/>
      <c r="P592" s="1"/>
      <c r="Q592" s="59">
        <f t="shared" si="229"/>
        <v>0</v>
      </c>
      <c r="R592" s="59">
        <f t="shared" si="230"/>
        <v>4005</v>
      </c>
      <c r="T592" s="4" t="s">
        <v>516</v>
      </c>
    </row>
    <row r="593" spans="1:20" ht="15.75" customHeight="1" x14ac:dyDescent="0.3">
      <c r="A593" s="74" t="s">
        <v>518</v>
      </c>
      <c r="B593" s="1">
        <v>500</v>
      </c>
      <c r="C593" s="1">
        <v>500</v>
      </c>
      <c r="D593" s="1">
        <v>500</v>
      </c>
      <c r="E593" s="59">
        <f>SUM(B593:D593)</f>
        <v>1500</v>
      </c>
      <c r="G593" s="1">
        <v>500</v>
      </c>
      <c r="H593" s="1">
        <v>338</v>
      </c>
      <c r="I593" s="59">
        <f>SUM(F593:H593)</f>
        <v>838</v>
      </c>
      <c r="J593" s="1">
        <v>662</v>
      </c>
      <c r="K593" s="1"/>
      <c r="L593" s="1"/>
      <c r="M593" s="59">
        <f>SUM(J593:L593)</f>
        <v>662</v>
      </c>
      <c r="N593" s="1"/>
      <c r="O593" s="1"/>
      <c r="P593" s="1"/>
      <c r="Q593" s="59">
        <f>SUM(N593:P593)</f>
        <v>0</v>
      </c>
      <c r="R593" s="59">
        <f t="shared" si="230"/>
        <v>3000</v>
      </c>
    </row>
    <row r="594" spans="1:20" ht="15.75" customHeight="1" x14ac:dyDescent="0.3">
      <c r="A594" s="74" t="s">
        <v>519</v>
      </c>
      <c r="B594" s="1"/>
      <c r="C594" s="1"/>
      <c r="D594" s="1"/>
      <c r="E594" s="59">
        <f t="shared" ref="E594:E599" si="237">SUM(B594:D594)</f>
        <v>0</v>
      </c>
      <c r="F594" s="1"/>
      <c r="G594" s="1"/>
      <c r="H594" s="1"/>
      <c r="I594" s="59">
        <f t="shared" ref="I594:I598" si="238">SUM(F594:H594)</f>
        <v>0</v>
      </c>
      <c r="J594" s="1"/>
      <c r="K594" s="1">
        <v>1000</v>
      </c>
      <c r="L594" s="1">
        <v>1800</v>
      </c>
      <c r="M594" s="59">
        <f t="shared" ref="M594:M598" si="239">SUM(J594:L594)</f>
        <v>2800</v>
      </c>
      <c r="N594" s="1"/>
      <c r="O594" s="1"/>
      <c r="P594" s="1"/>
      <c r="Q594" s="59">
        <f t="shared" si="229"/>
        <v>0</v>
      </c>
      <c r="R594" s="59">
        <f t="shared" si="230"/>
        <v>2800</v>
      </c>
      <c r="T594" s="4" t="s">
        <v>516</v>
      </c>
    </row>
    <row r="595" spans="1:20" ht="15.75" customHeight="1" x14ac:dyDescent="0.3">
      <c r="A595" s="74" t="s">
        <v>520</v>
      </c>
      <c r="B595" s="1"/>
      <c r="C595" s="1"/>
      <c r="D595" s="1"/>
      <c r="E595" s="59">
        <f t="shared" si="237"/>
        <v>0</v>
      </c>
      <c r="F595" s="1">
        <v>454</v>
      </c>
      <c r="G595" s="1">
        <v>709</v>
      </c>
      <c r="H595" s="1">
        <v>400</v>
      </c>
      <c r="I595" s="59">
        <f t="shared" si="238"/>
        <v>1563</v>
      </c>
      <c r="J595" s="1">
        <v>773</v>
      </c>
      <c r="K595" s="1"/>
      <c r="L595" s="1"/>
      <c r="M595" s="59">
        <f t="shared" si="239"/>
        <v>773</v>
      </c>
      <c r="N595" s="1"/>
      <c r="O595" s="1"/>
      <c r="P595" s="1"/>
      <c r="Q595" s="59">
        <f>SUM(N595:P595)</f>
        <v>0</v>
      </c>
      <c r="R595" s="59">
        <f>+E595+I595+M595+Q595</f>
        <v>2336</v>
      </c>
    </row>
    <row r="596" spans="1:20" ht="15.75" customHeight="1" x14ac:dyDescent="0.3">
      <c r="A596" s="74" t="s">
        <v>521</v>
      </c>
      <c r="B596" s="1"/>
      <c r="C596" s="1"/>
      <c r="D596" s="1"/>
      <c r="E596" s="59">
        <f t="shared" si="237"/>
        <v>0</v>
      </c>
      <c r="F596" s="1"/>
      <c r="G596" s="1"/>
      <c r="H596" s="1"/>
      <c r="I596" s="59">
        <f t="shared" si="238"/>
        <v>0</v>
      </c>
      <c r="J596" s="1"/>
      <c r="K596" s="1"/>
      <c r="L596" s="1"/>
      <c r="M596" s="59">
        <f t="shared" si="239"/>
        <v>0</v>
      </c>
      <c r="N596" s="1"/>
      <c r="O596" s="1"/>
      <c r="P596" s="1"/>
      <c r="Q596" s="59">
        <f t="shared" si="229"/>
        <v>0</v>
      </c>
      <c r="R596" s="59">
        <f t="shared" si="230"/>
        <v>0</v>
      </c>
      <c r="T596" s="4" t="s">
        <v>516</v>
      </c>
    </row>
    <row r="597" spans="1:20" ht="15.75" customHeight="1" x14ac:dyDescent="0.3">
      <c r="A597" s="74" t="s">
        <v>522</v>
      </c>
      <c r="B597" s="1">
        <v>326</v>
      </c>
      <c r="C597" s="1">
        <v>232</v>
      </c>
      <c r="D597" s="1">
        <v>742</v>
      </c>
      <c r="E597" s="59">
        <f t="shared" si="237"/>
        <v>1300</v>
      </c>
      <c r="F597" s="1">
        <v>650</v>
      </c>
      <c r="G597" s="1">
        <v>937</v>
      </c>
      <c r="H597" s="1"/>
      <c r="I597" s="59">
        <f t="shared" si="238"/>
        <v>1587</v>
      </c>
      <c r="J597" s="1"/>
      <c r="K597" s="1"/>
      <c r="L597" s="1"/>
      <c r="M597" s="59">
        <f t="shared" si="239"/>
        <v>0</v>
      </c>
      <c r="N597" s="1"/>
      <c r="O597" s="1"/>
      <c r="P597" s="1"/>
      <c r="Q597" s="59">
        <f t="shared" ref="Q597" si="240">SUM(N597:P597)</f>
        <v>0</v>
      </c>
      <c r="R597" s="59">
        <f t="shared" si="230"/>
        <v>2887</v>
      </c>
    </row>
    <row r="598" spans="1:20" ht="15.75" customHeight="1" x14ac:dyDescent="0.3">
      <c r="A598" s="74" t="s">
        <v>968</v>
      </c>
      <c r="B598" s="1"/>
      <c r="C598" s="1"/>
      <c r="D598" s="1"/>
      <c r="E598" s="59">
        <f t="shared" si="237"/>
        <v>0</v>
      </c>
      <c r="F598" s="1"/>
      <c r="G598" s="1"/>
      <c r="H598" s="1"/>
      <c r="I598" s="59">
        <f t="shared" si="238"/>
        <v>0</v>
      </c>
      <c r="J598" s="1"/>
      <c r="K598" s="1"/>
      <c r="L598" s="1">
        <v>163</v>
      </c>
      <c r="M598" s="59">
        <f t="shared" si="239"/>
        <v>163</v>
      </c>
      <c r="N598" s="1">
        <v>477</v>
      </c>
      <c r="O598" s="1"/>
      <c r="P598" s="1"/>
      <c r="Q598" s="59">
        <f t="shared" ref="Q598" si="241">SUM(N598:P598)</f>
        <v>477</v>
      </c>
      <c r="R598" s="59">
        <f t="shared" si="230"/>
        <v>640</v>
      </c>
    </row>
    <row r="599" spans="1:20" ht="15.75" customHeight="1" x14ac:dyDescent="0.3">
      <c r="A599" s="74" t="s">
        <v>524</v>
      </c>
      <c r="B599" s="1"/>
      <c r="C599" s="1"/>
      <c r="D599" s="1"/>
      <c r="E599" s="59">
        <f t="shared" si="237"/>
        <v>0</v>
      </c>
      <c r="F599" s="1"/>
      <c r="G599" s="1"/>
      <c r="H599" s="1"/>
      <c r="I599" s="59">
        <f>SUM(F599:H599)</f>
        <v>0</v>
      </c>
      <c r="J599" s="1"/>
      <c r="K599" s="1">
        <v>1128</v>
      </c>
      <c r="L599" s="1">
        <v>1726</v>
      </c>
      <c r="M599" s="59">
        <f>SUM(J599:L599)</f>
        <v>2854</v>
      </c>
      <c r="N599" s="1">
        <v>646</v>
      </c>
      <c r="O599" s="1"/>
      <c r="P599" s="1"/>
      <c r="Q599" s="59">
        <f>SUM(N599:P599)</f>
        <v>646</v>
      </c>
      <c r="R599" s="59">
        <f>+E599+I599+M599+Q599</f>
        <v>3500</v>
      </c>
      <c r="T599" s="4" t="s">
        <v>514</v>
      </c>
    </row>
    <row r="600" spans="1:20" ht="15.75" customHeight="1" x14ac:dyDescent="0.3">
      <c r="A600" s="17" t="s">
        <v>47</v>
      </c>
      <c r="B600" s="1"/>
      <c r="C600" s="1"/>
      <c r="D600" s="1"/>
      <c r="E600" s="59" t="s">
        <v>7</v>
      </c>
      <c r="F600" s="1"/>
      <c r="G600" s="1"/>
      <c r="H600" s="1"/>
      <c r="I600" s="59" t="s">
        <v>7</v>
      </c>
      <c r="J600" s="1"/>
      <c r="K600" s="1"/>
      <c r="L600" s="1"/>
      <c r="M600" s="59" t="s">
        <v>7</v>
      </c>
      <c r="N600" s="1"/>
      <c r="O600" s="1"/>
      <c r="P600" s="1"/>
      <c r="Q600" s="59" t="s">
        <v>7</v>
      </c>
      <c r="R600" s="59" t="s">
        <v>7</v>
      </c>
    </row>
    <row r="601" spans="1:20" ht="15.75" customHeight="1" x14ac:dyDescent="0.3">
      <c r="A601" s="74" t="s">
        <v>521</v>
      </c>
      <c r="B601" s="1"/>
      <c r="C601" s="1"/>
      <c r="D601" s="1"/>
      <c r="E601" s="59">
        <f>SUM(B601:D601)</f>
        <v>0</v>
      </c>
      <c r="F601" s="1"/>
      <c r="G601" s="1"/>
      <c r="H601" s="1"/>
      <c r="I601" s="59">
        <f>SUM(F601:H601)</f>
        <v>0</v>
      </c>
      <c r="J601" s="1"/>
      <c r="K601" s="1"/>
      <c r="L601" s="1"/>
      <c r="M601" s="59">
        <f>SUM(J601:L601)</f>
        <v>0</v>
      </c>
      <c r="N601" s="1"/>
      <c r="O601" s="1"/>
      <c r="P601" s="1"/>
      <c r="Q601" s="59">
        <f>SUM(N601:P601)</f>
        <v>0</v>
      </c>
      <c r="R601" s="59">
        <f>+E601+I601+M601+Q601</f>
        <v>0</v>
      </c>
      <c r="T601" s="4" t="s">
        <v>516</v>
      </c>
    </row>
    <row r="602" spans="1:20" ht="15.75" customHeight="1" x14ac:dyDescent="0.3">
      <c r="A602" s="17" t="s">
        <v>49</v>
      </c>
      <c r="B602" s="1"/>
      <c r="C602" s="1"/>
      <c r="D602" s="1"/>
      <c r="E602" s="59" t="s">
        <v>7</v>
      </c>
      <c r="F602" s="1"/>
      <c r="G602" s="1"/>
      <c r="H602" s="1"/>
      <c r="I602" s="59" t="s">
        <v>7</v>
      </c>
      <c r="J602" s="1"/>
      <c r="K602" s="1"/>
      <c r="L602" s="1"/>
      <c r="M602" s="59" t="s">
        <v>7</v>
      </c>
      <c r="N602" s="1"/>
      <c r="O602" s="1"/>
      <c r="P602" s="1"/>
      <c r="Q602" s="59" t="s">
        <v>7</v>
      </c>
      <c r="R602" s="59" t="s">
        <v>7</v>
      </c>
    </row>
    <row r="603" spans="1:20" ht="15.75" customHeight="1" x14ac:dyDescent="0.3">
      <c r="A603" s="74" t="s">
        <v>525</v>
      </c>
      <c r="B603" s="1"/>
      <c r="C603" s="1"/>
      <c r="D603" s="1">
        <v>190</v>
      </c>
      <c r="E603" s="59">
        <f>SUM(B603:D603)</f>
        <v>190</v>
      </c>
      <c r="F603" s="1"/>
      <c r="G603" s="1"/>
      <c r="H603" s="1"/>
      <c r="I603" s="59">
        <f>SUM(F603:H603)</f>
        <v>0</v>
      </c>
      <c r="J603" s="1"/>
      <c r="K603" s="1"/>
      <c r="L603" s="1"/>
      <c r="M603" s="59">
        <f>SUM(J603:L603)</f>
        <v>0</v>
      </c>
      <c r="N603" s="1"/>
      <c r="O603" s="1"/>
      <c r="P603" s="1"/>
      <c r="Q603" s="59">
        <f>SUM(N603:P603)</f>
        <v>0</v>
      </c>
      <c r="R603" s="59">
        <f>+E603+I603+M603+Q603</f>
        <v>190</v>
      </c>
      <c r="S603" s="77" t="s">
        <v>90</v>
      </c>
      <c r="T603" s="4" t="s">
        <v>516</v>
      </c>
    </row>
    <row r="604" spans="1:20" ht="15.75" customHeight="1" thickBot="1" x14ac:dyDescent="0.35">
      <c r="A604" s="17" t="s">
        <v>51</v>
      </c>
      <c r="B604" s="1"/>
      <c r="C604" s="1"/>
      <c r="D604" s="1"/>
      <c r="E604" s="59" t="s">
        <v>7</v>
      </c>
      <c r="F604" s="1"/>
      <c r="G604" s="1"/>
      <c r="H604" s="1"/>
      <c r="I604" s="59" t="s">
        <v>7</v>
      </c>
      <c r="J604" s="1"/>
      <c r="K604" s="1"/>
      <c r="L604" s="1"/>
      <c r="M604" s="59" t="s">
        <v>7</v>
      </c>
      <c r="N604" s="1"/>
      <c r="O604" s="1"/>
      <c r="P604" s="1"/>
      <c r="Q604" s="59" t="s">
        <v>7</v>
      </c>
      <c r="R604" s="59" t="s">
        <v>7</v>
      </c>
    </row>
    <row r="605" spans="1:20" ht="16.5" customHeight="1" thickBot="1" x14ac:dyDescent="0.35">
      <c r="A605" s="126" t="s">
        <v>52</v>
      </c>
      <c r="B605" s="100">
        <f>SUM(B586:B604)</f>
        <v>1611</v>
      </c>
      <c r="C605" s="101">
        <f>SUM(C586:C604)</f>
        <v>1918</v>
      </c>
      <c r="D605" s="101">
        <f>SUM(D586:D604)</f>
        <v>4440</v>
      </c>
      <c r="E605" s="64">
        <f>SUM(B605:D605)</f>
        <v>7969</v>
      </c>
      <c r="F605" s="101">
        <f>SUM(F586:F604)</f>
        <v>4935</v>
      </c>
      <c r="G605" s="101">
        <f>SUM(G586:G604)</f>
        <v>3296</v>
      </c>
      <c r="H605" s="101">
        <f>SUM(H586:H604)</f>
        <v>2718</v>
      </c>
      <c r="I605" s="64">
        <f>SUM(F605:H605)</f>
        <v>10949</v>
      </c>
      <c r="J605" s="101">
        <f>SUM(J586:J604)</f>
        <v>3249</v>
      </c>
      <c r="K605" s="101">
        <f>SUM(K586:K604)</f>
        <v>3695</v>
      </c>
      <c r="L605" s="101">
        <f>SUM(L586:L604)</f>
        <v>4273</v>
      </c>
      <c r="M605" s="64">
        <f>SUM(J605:L605)</f>
        <v>11217</v>
      </c>
      <c r="N605" s="101">
        <f>SUM(N586:N604)</f>
        <v>1123</v>
      </c>
      <c r="O605" s="101">
        <f>SUM(O586:O604)</f>
        <v>0</v>
      </c>
      <c r="P605" s="101">
        <f>SUM(P586:P604)</f>
        <v>0</v>
      </c>
      <c r="Q605" s="64">
        <f>SUM(N605:P605)</f>
        <v>1123</v>
      </c>
      <c r="R605" s="64">
        <f>+E605+I605+M605+Q605</f>
        <v>31258</v>
      </c>
    </row>
    <row r="606" spans="1:20" ht="15.75" customHeight="1" x14ac:dyDescent="0.3">
      <c r="A606" s="17" t="s">
        <v>53</v>
      </c>
      <c r="B606" s="1"/>
      <c r="C606" s="1"/>
      <c r="D606" s="1"/>
      <c r="E606" s="59" t="s">
        <v>7</v>
      </c>
      <c r="F606" s="1"/>
      <c r="G606" s="1"/>
      <c r="H606" s="1"/>
      <c r="I606" s="59" t="s">
        <v>7</v>
      </c>
      <c r="J606" s="1"/>
      <c r="K606" s="1"/>
      <c r="L606" s="1"/>
      <c r="M606" s="59" t="s">
        <v>7</v>
      </c>
      <c r="N606" s="1"/>
      <c r="O606" s="1"/>
      <c r="P606" s="1"/>
      <c r="Q606" s="59" t="s">
        <v>7</v>
      </c>
      <c r="R606" s="59" t="s">
        <v>7</v>
      </c>
    </row>
    <row r="607" spans="1:20" ht="15.75" customHeight="1" x14ac:dyDescent="0.3">
      <c r="A607" s="17" t="s">
        <v>55</v>
      </c>
      <c r="B607" s="1"/>
      <c r="C607" s="1"/>
      <c r="D607" s="1"/>
      <c r="E607" s="59" t="s">
        <v>7</v>
      </c>
      <c r="F607" s="1"/>
      <c r="G607" s="1"/>
      <c r="H607" s="1"/>
      <c r="I607" s="59" t="s">
        <v>7</v>
      </c>
      <c r="J607" s="1"/>
      <c r="K607" s="1"/>
      <c r="L607" s="1"/>
      <c r="M607" s="59" t="s">
        <v>7</v>
      </c>
      <c r="N607" s="1"/>
      <c r="O607" s="1"/>
      <c r="P607" s="1"/>
      <c r="Q607" s="59" t="s">
        <v>7</v>
      </c>
      <c r="R607" s="59" t="s">
        <v>7</v>
      </c>
    </row>
    <row r="608" spans="1:20" ht="15.75" customHeight="1" x14ac:dyDescent="0.3">
      <c r="A608" s="74" t="s">
        <v>526</v>
      </c>
      <c r="B608" s="1"/>
      <c r="C608" s="1"/>
      <c r="D608" s="1"/>
      <c r="E608" s="59">
        <f>SUM(B608:D608)</f>
        <v>0</v>
      </c>
      <c r="F608" s="1"/>
      <c r="G608" s="1"/>
      <c r="H608" s="1"/>
      <c r="I608" s="59">
        <f>SUM(F608:H608)</f>
        <v>0</v>
      </c>
      <c r="J608" s="1"/>
      <c r="K608" s="1"/>
      <c r="L608" s="1"/>
      <c r="M608" s="59">
        <f>SUM(J608:L608)</f>
        <v>0</v>
      </c>
      <c r="N608" s="1"/>
      <c r="O608" s="1"/>
      <c r="P608" s="1"/>
      <c r="Q608" s="59">
        <f>SUM(N608:P608)</f>
        <v>0</v>
      </c>
      <c r="R608" s="59">
        <f>+E608+I608+M608+Q608</f>
        <v>0</v>
      </c>
    </row>
    <row r="609" spans="1:20" ht="15.75" customHeight="1" x14ac:dyDescent="0.3">
      <c r="A609" s="74" t="s">
        <v>527</v>
      </c>
      <c r="B609" s="1"/>
      <c r="C609" s="1"/>
      <c r="D609" s="1"/>
      <c r="E609" s="59">
        <f>SUM(B609:D609)</f>
        <v>0</v>
      </c>
      <c r="F609" s="1"/>
      <c r="G609" s="1"/>
      <c r="H609" s="1"/>
      <c r="I609" s="59">
        <f>SUM(F609:H609)</f>
        <v>0</v>
      </c>
      <c r="J609" s="1"/>
      <c r="K609" s="1"/>
      <c r="L609" s="1"/>
      <c r="M609" s="59">
        <f>SUM(J609:L609)</f>
        <v>0</v>
      </c>
      <c r="N609" s="1"/>
      <c r="O609" s="1"/>
      <c r="P609" s="1"/>
      <c r="Q609" s="59">
        <f>SUM(N609:P609)</f>
        <v>0</v>
      </c>
      <c r="R609" s="59">
        <f>+E609+I609+M609+Q609</f>
        <v>0</v>
      </c>
    </row>
    <row r="610" spans="1:20" ht="15.75" customHeight="1" thickBot="1" x14ac:dyDescent="0.35">
      <c r="A610" s="17" t="s">
        <v>56</v>
      </c>
      <c r="B610" s="1"/>
      <c r="C610" s="1"/>
      <c r="D610" s="1"/>
      <c r="E610" s="59" t="s">
        <v>7</v>
      </c>
      <c r="F610" s="1"/>
      <c r="G610" s="1"/>
      <c r="H610" s="1"/>
      <c r="I610" s="59" t="s">
        <v>7</v>
      </c>
      <c r="J610" s="1"/>
      <c r="K610" s="1"/>
      <c r="L610" s="1"/>
      <c r="M610" s="59" t="s">
        <v>7</v>
      </c>
      <c r="N610" s="1"/>
      <c r="O610" s="1"/>
      <c r="P610" s="1"/>
      <c r="Q610" s="59" t="s">
        <v>7</v>
      </c>
      <c r="R610" s="59" t="s">
        <v>7</v>
      </c>
    </row>
    <row r="611" spans="1:20" ht="16.5" customHeight="1" thickBot="1" x14ac:dyDescent="0.35">
      <c r="A611" s="62" t="s">
        <v>57</v>
      </c>
      <c r="B611" s="100">
        <f>SUM(B606:B610)</f>
        <v>0</v>
      </c>
      <c r="C611" s="101">
        <f>SUM(C606:C610)</f>
        <v>0</v>
      </c>
      <c r="D611" s="101">
        <f>SUM(D606:D610)</f>
        <v>0</v>
      </c>
      <c r="E611" s="64">
        <f>SUM(B611:D611)</f>
        <v>0</v>
      </c>
      <c r="F611" s="101">
        <f>SUM(F606:F610)</f>
        <v>0</v>
      </c>
      <c r="G611" s="101">
        <f>SUM(G606:G610)</f>
        <v>0</v>
      </c>
      <c r="H611" s="101">
        <f>SUM(H606:H610)</f>
        <v>0</v>
      </c>
      <c r="I611" s="64">
        <f>SUM(F611:H611)</f>
        <v>0</v>
      </c>
      <c r="J611" s="101">
        <f>SUM(J606:J610)</f>
        <v>0</v>
      </c>
      <c r="K611" s="101">
        <f>SUM(K606:K610)</f>
        <v>0</v>
      </c>
      <c r="L611" s="101">
        <f>SUM(L606:L610)</f>
        <v>0</v>
      </c>
      <c r="M611" s="64">
        <f>SUM(J611:L611)</f>
        <v>0</v>
      </c>
      <c r="N611" s="101">
        <f>SUM(N606:N610)</f>
        <v>0</v>
      </c>
      <c r="O611" s="101">
        <f>SUM(O606:O610)</f>
        <v>0</v>
      </c>
      <c r="P611" s="101">
        <f>SUM(P606:P610)</f>
        <v>0</v>
      </c>
      <c r="Q611" s="64">
        <f>SUM(N611:P611)</f>
        <v>0</v>
      </c>
      <c r="R611" s="64">
        <f>+E611+I611+M611+Q611</f>
        <v>0</v>
      </c>
    </row>
    <row r="612" spans="1:20" ht="15.75" customHeight="1" x14ac:dyDescent="0.3">
      <c r="A612" s="17" t="s">
        <v>58</v>
      </c>
      <c r="B612" s="1"/>
      <c r="C612" s="1"/>
      <c r="D612" s="1"/>
      <c r="E612" s="59" t="s">
        <v>7</v>
      </c>
      <c r="F612" s="1"/>
      <c r="G612" s="1"/>
      <c r="H612" s="1"/>
      <c r="I612" s="59" t="s">
        <v>7</v>
      </c>
      <c r="J612" s="1"/>
      <c r="K612" s="1"/>
      <c r="L612" s="1"/>
      <c r="M612" s="59" t="s">
        <v>7</v>
      </c>
      <c r="N612" s="1"/>
      <c r="O612" s="1"/>
      <c r="P612" s="1"/>
      <c r="Q612" s="59" t="s">
        <v>7</v>
      </c>
      <c r="R612" s="59" t="s">
        <v>7</v>
      </c>
    </row>
    <row r="613" spans="1:20" ht="15.75" customHeight="1" x14ac:dyDescent="0.3">
      <c r="A613" s="17" t="s">
        <v>59</v>
      </c>
      <c r="B613" s="1"/>
      <c r="C613" s="1"/>
      <c r="D613" s="1"/>
      <c r="E613" s="59" t="s">
        <v>7</v>
      </c>
      <c r="F613" s="1"/>
      <c r="G613" s="1"/>
      <c r="H613" s="1"/>
      <c r="I613" s="59" t="s">
        <v>7</v>
      </c>
      <c r="J613" s="1"/>
      <c r="K613" s="1"/>
      <c r="L613" s="1"/>
      <c r="M613" s="59" t="s">
        <v>7</v>
      </c>
      <c r="N613" s="1"/>
      <c r="O613" s="1"/>
      <c r="P613" s="1"/>
      <c r="Q613" s="59" t="s">
        <v>7</v>
      </c>
      <c r="R613" s="59" t="s">
        <v>7</v>
      </c>
    </row>
    <row r="614" spans="1:20" ht="15.75" customHeight="1" x14ac:dyDescent="0.3">
      <c r="A614" s="17" t="s">
        <v>60</v>
      </c>
      <c r="B614" s="1"/>
      <c r="C614" s="1"/>
      <c r="D614" s="1"/>
      <c r="E614" s="59" t="s">
        <v>7</v>
      </c>
      <c r="F614" s="1"/>
      <c r="G614" s="1"/>
      <c r="H614" s="1"/>
      <c r="I614" s="59" t="s">
        <v>7</v>
      </c>
      <c r="J614" s="1"/>
      <c r="K614" s="1"/>
      <c r="L614" s="1"/>
      <c r="M614" s="59" t="s">
        <v>7</v>
      </c>
      <c r="N614" s="1"/>
      <c r="O614" s="1"/>
      <c r="P614" s="1"/>
      <c r="Q614" s="59" t="s">
        <v>7</v>
      </c>
      <c r="R614" s="59" t="s">
        <v>7</v>
      </c>
    </row>
    <row r="615" spans="1:20" ht="15.75" customHeight="1" x14ac:dyDescent="0.3">
      <c r="A615" s="74" t="s">
        <v>528</v>
      </c>
      <c r="B615" s="1"/>
      <c r="C615" s="1"/>
      <c r="D615" s="1"/>
      <c r="E615" s="59">
        <f t="shared" ref="E615:E616" si="242">SUM(B615:D615)</f>
        <v>0</v>
      </c>
      <c r="F615" s="1"/>
      <c r="G615" s="1"/>
      <c r="H615" s="1"/>
      <c r="I615" s="59">
        <f t="shared" ref="I615:I616" si="243">SUM(F615:H615)</f>
        <v>0</v>
      </c>
      <c r="J615" s="1"/>
      <c r="K615" s="1"/>
      <c r="L615" s="1"/>
      <c r="M615" s="59">
        <f t="shared" ref="M615:M616" si="244">SUM(J615:L615)</f>
        <v>0</v>
      </c>
      <c r="N615" s="1"/>
      <c r="O615" s="1"/>
      <c r="P615" s="1"/>
      <c r="Q615" s="59">
        <f>SUM(N615:P615)</f>
        <v>0</v>
      </c>
      <c r="R615" s="59">
        <f>+E615+I615+M615+Q615</f>
        <v>0</v>
      </c>
      <c r="T615" s="4" t="s">
        <v>516</v>
      </c>
    </row>
    <row r="616" spans="1:20" ht="15.75" customHeight="1" x14ac:dyDescent="0.3">
      <c r="A616" s="74" t="s">
        <v>529</v>
      </c>
      <c r="B616" s="1"/>
      <c r="C616" s="1"/>
      <c r="D616" s="1">
        <v>328</v>
      </c>
      <c r="E616" s="59">
        <f t="shared" si="242"/>
        <v>328</v>
      </c>
      <c r="F616" s="1">
        <v>767</v>
      </c>
      <c r="G616" s="1"/>
      <c r="H616" s="1"/>
      <c r="I616" s="59">
        <f t="shared" si="243"/>
        <v>767</v>
      </c>
      <c r="J616" s="1"/>
      <c r="K616" s="1"/>
      <c r="L616" s="1"/>
      <c r="M616" s="59">
        <f t="shared" si="244"/>
        <v>0</v>
      </c>
      <c r="N616" s="1"/>
      <c r="O616" s="1"/>
      <c r="P616" s="1"/>
      <c r="Q616" s="59">
        <f t="shared" ref="Q616" si="245">SUM(N616:P616)</f>
        <v>0</v>
      </c>
      <c r="R616" s="59">
        <f t="shared" ref="R616:R618" si="246">+E616+I616+M616+Q616</f>
        <v>1095</v>
      </c>
    </row>
    <row r="617" spans="1:20" ht="15.75" customHeight="1" x14ac:dyDescent="0.3">
      <c r="A617" s="74" t="s">
        <v>531</v>
      </c>
      <c r="B617" s="1"/>
      <c r="C617" s="1"/>
      <c r="D617" s="1"/>
      <c r="E617" s="59">
        <f>SUM(B617:D617)</f>
        <v>0</v>
      </c>
      <c r="F617" s="1">
        <v>276</v>
      </c>
      <c r="G617" s="1"/>
      <c r="H617" s="1"/>
      <c r="I617" s="59">
        <f>SUM(F617:H617)</f>
        <v>276</v>
      </c>
      <c r="J617" s="1"/>
      <c r="K617" s="1"/>
      <c r="L617" s="1"/>
      <c r="M617" s="59">
        <f>SUM(J617:L617)</f>
        <v>0</v>
      </c>
      <c r="N617" s="1"/>
      <c r="O617" s="1"/>
      <c r="P617" s="1"/>
      <c r="Q617" s="59">
        <f>SUM(N617:P617)</f>
        <v>0</v>
      </c>
      <c r="R617" s="59">
        <f t="shared" si="246"/>
        <v>276</v>
      </c>
    </row>
    <row r="618" spans="1:20" ht="15.75" customHeight="1" x14ac:dyDescent="0.3">
      <c r="A618" s="74" t="s">
        <v>533</v>
      </c>
      <c r="B618" s="1"/>
      <c r="C618" s="1"/>
      <c r="D618" s="1"/>
      <c r="E618" s="59">
        <f>SUM(B618:D618)</f>
        <v>0</v>
      </c>
      <c r="F618" s="1">
        <v>224</v>
      </c>
      <c r="G618" s="1"/>
      <c r="H618" s="1"/>
      <c r="I618" s="59">
        <f>SUM(F618:H618)</f>
        <v>224</v>
      </c>
      <c r="J618" s="1"/>
      <c r="K618" s="1"/>
      <c r="L618" s="1"/>
      <c r="M618" s="59">
        <f>SUM(J618:L618)</f>
        <v>0</v>
      </c>
      <c r="N618" s="1"/>
      <c r="O618" s="1"/>
      <c r="P618" s="1"/>
      <c r="Q618" s="59">
        <f>SUM(N618:P618)</f>
        <v>0</v>
      </c>
      <c r="R618" s="59">
        <f t="shared" si="246"/>
        <v>224</v>
      </c>
    </row>
    <row r="619" spans="1:20" ht="15.75" customHeight="1" thickBot="1" x14ac:dyDescent="0.35">
      <c r="A619" s="74" t="s">
        <v>534</v>
      </c>
      <c r="B619" s="1"/>
      <c r="C619" s="1"/>
      <c r="D619" s="1"/>
      <c r="E619" s="59">
        <f>SUM(B619:D619)</f>
        <v>0</v>
      </c>
      <c r="F619" s="1"/>
      <c r="G619" s="1"/>
      <c r="H619" s="1"/>
      <c r="I619" s="59">
        <f>SUM(F619:H619)</f>
        <v>0</v>
      </c>
      <c r="J619" s="1"/>
      <c r="K619" s="1"/>
      <c r="L619" s="1"/>
      <c r="M619" s="59">
        <f>SUM(J619:L619)</f>
        <v>0</v>
      </c>
      <c r="N619" s="1"/>
      <c r="O619" s="1"/>
      <c r="P619" s="1"/>
      <c r="Q619" s="59">
        <f>SUM(N619:P619)</f>
        <v>0</v>
      </c>
      <c r="R619" s="59">
        <f>+E619+I619+M619+Q619</f>
        <v>0</v>
      </c>
      <c r="T619" s="4" t="s">
        <v>516</v>
      </c>
    </row>
    <row r="620" spans="1:20" ht="16.5" customHeight="1" thickBot="1" x14ac:dyDescent="0.35">
      <c r="A620" s="137" t="s">
        <v>61</v>
      </c>
      <c r="B620" s="100">
        <f>SUM(B612:B619)</f>
        <v>0</v>
      </c>
      <c r="C620" s="101">
        <f>SUM(C612:C619)</f>
        <v>0</v>
      </c>
      <c r="D620" s="101">
        <f>SUM(D612:D619)</f>
        <v>328</v>
      </c>
      <c r="E620" s="64">
        <f>SUM(B620:D620)</f>
        <v>328</v>
      </c>
      <c r="F620" s="101">
        <f>SUM(F612:F619)</f>
        <v>1267</v>
      </c>
      <c r="G620" s="101">
        <f>SUM(G612:G619)</f>
        <v>0</v>
      </c>
      <c r="H620" s="101">
        <f>SUM(H612:H619)</f>
        <v>0</v>
      </c>
      <c r="I620" s="64">
        <f>SUM(F620:H620)</f>
        <v>1267</v>
      </c>
      <c r="J620" s="101">
        <f>SUM(J612:J619)</f>
        <v>0</v>
      </c>
      <c r="K620" s="101">
        <f>SUM(K612:K619)</f>
        <v>0</v>
      </c>
      <c r="L620" s="101">
        <f>SUM(L612:L619)</f>
        <v>0</v>
      </c>
      <c r="M620" s="64">
        <f>SUM(J620:L620)</f>
        <v>0</v>
      </c>
      <c r="N620" s="101">
        <f>SUM(N612:N619)</f>
        <v>0</v>
      </c>
      <c r="O620" s="101">
        <f>SUM(O612:O619)</f>
        <v>0</v>
      </c>
      <c r="P620" s="101">
        <f>SUM(P612:P619)</f>
        <v>0</v>
      </c>
      <c r="Q620" s="64">
        <f>SUM(N620:P620)</f>
        <v>0</v>
      </c>
      <c r="R620" s="64">
        <f>+E620+I620+M620+Q620</f>
        <v>1595</v>
      </c>
    </row>
    <row r="621" spans="1:20" ht="15.75" customHeight="1" x14ac:dyDescent="0.3">
      <c r="A621" s="17" t="s">
        <v>62</v>
      </c>
      <c r="B621" s="1"/>
      <c r="C621" s="1"/>
      <c r="D621" s="1"/>
      <c r="E621" s="59" t="s">
        <v>7</v>
      </c>
      <c r="F621" s="1"/>
      <c r="G621" s="1"/>
      <c r="H621" s="1"/>
      <c r="I621" s="59" t="s">
        <v>7</v>
      </c>
      <c r="J621" s="1"/>
      <c r="K621" s="1"/>
      <c r="L621" s="1"/>
      <c r="M621" s="59" t="s">
        <v>7</v>
      </c>
      <c r="N621" s="1"/>
      <c r="O621" s="1"/>
      <c r="P621" s="1"/>
      <c r="Q621" s="59" t="s">
        <v>7</v>
      </c>
      <c r="R621" s="59" t="s">
        <v>7</v>
      </c>
    </row>
    <row r="622" spans="1:20" ht="15.75" customHeight="1" x14ac:dyDescent="0.3">
      <c r="A622" s="17" t="s">
        <v>63</v>
      </c>
      <c r="B622" s="1"/>
      <c r="C622" s="1"/>
      <c r="D622" s="1"/>
      <c r="E622" s="59" t="s">
        <v>7</v>
      </c>
      <c r="F622" s="1"/>
      <c r="G622" s="1"/>
      <c r="H622" s="1"/>
      <c r="I622" s="59" t="s">
        <v>7</v>
      </c>
      <c r="J622" s="1"/>
      <c r="K622" s="1"/>
      <c r="L622" s="1"/>
      <c r="M622" s="59" t="s">
        <v>7</v>
      </c>
      <c r="N622" s="1"/>
      <c r="O622" s="1"/>
      <c r="P622" s="1"/>
      <c r="Q622" s="59" t="s">
        <v>7</v>
      </c>
      <c r="R622" s="59" t="s">
        <v>7</v>
      </c>
    </row>
    <row r="623" spans="1:20" ht="15.75" customHeight="1" x14ac:dyDescent="0.3">
      <c r="A623" s="74" t="s">
        <v>535</v>
      </c>
      <c r="B623" s="1"/>
      <c r="C623" s="1"/>
      <c r="D623" s="1"/>
      <c r="E623" s="59">
        <f>SUM(B623:D623)</f>
        <v>0</v>
      </c>
      <c r="F623" s="1"/>
      <c r="G623" s="1"/>
      <c r="H623" s="1"/>
      <c r="I623" s="59">
        <f>SUM(F623:H623)</f>
        <v>0</v>
      </c>
      <c r="J623" s="1"/>
      <c r="K623" s="1"/>
      <c r="L623" s="1"/>
      <c r="M623" s="59">
        <f>SUM(J623:L623)</f>
        <v>0</v>
      </c>
      <c r="N623" s="1"/>
      <c r="O623" s="1"/>
      <c r="P623" s="1"/>
      <c r="Q623" s="59">
        <f>SUM(N623:P623)</f>
        <v>0</v>
      </c>
      <c r="R623" s="59">
        <f>+E623+I623+M623+Q623</f>
        <v>0</v>
      </c>
      <c r="T623" s="4" t="s">
        <v>516</v>
      </c>
    </row>
    <row r="624" spans="1:20" ht="15.75" customHeight="1" x14ac:dyDescent="0.3">
      <c r="A624" s="74" t="s">
        <v>536</v>
      </c>
      <c r="B624" s="1"/>
      <c r="C624" s="1"/>
      <c r="D624" s="1"/>
      <c r="E624" s="59">
        <f>SUM(B624:D624)</f>
        <v>0</v>
      </c>
      <c r="F624" s="1"/>
      <c r="G624" s="1"/>
      <c r="H624" s="1"/>
      <c r="I624" s="59">
        <f>SUM(F624:H624)</f>
        <v>0</v>
      </c>
      <c r="J624" s="1"/>
      <c r="K624" s="1"/>
      <c r="L624" s="1"/>
      <c r="M624" s="59">
        <f>SUM(J624:L624)</f>
        <v>0</v>
      </c>
      <c r="N624" s="1"/>
      <c r="O624" s="1"/>
      <c r="P624" s="1"/>
      <c r="Q624" s="59">
        <f>SUM(N624:P624)</f>
        <v>0</v>
      </c>
      <c r="R624" s="59">
        <f>+E624+I624+M624+Q624</f>
        <v>0</v>
      </c>
      <c r="T624" s="4" t="s">
        <v>516</v>
      </c>
    </row>
    <row r="625" spans="1:20" ht="15.75" customHeight="1" x14ac:dyDescent="0.3">
      <c r="A625" s="17" t="s">
        <v>64</v>
      </c>
      <c r="B625" s="1"/>
      <c r="C625" s="1"/>
      <c r="D625" s="1"/>
      <c r="E625" s="59" t="s">
        <v>7</v>
      </c>
      <c r="F625" s="1"/>
      <c r="G625" s="1"/>
      <c r="H625" s="1"/>
      <c r="I625" s="59" t="s">
        <v>7</v>
      </c>
      <c r="J625" s="1"/>
      <c r="K625" s="1"/>
      <c r="L625" s="1"/>
      <c r="M625" s="59" t="s">
        <v>7</v>
      </c>
      <c r="N625" s="1"/>
      <c r="O625" s="1"/>
      <c r="P625" s="1"/>
      <c r="Q625" s="59" t="s">
        <v>7</v>
      </c>
      <c r="R625" s="59" t="s">
        <v>7</v>
      </c>
    </row>
    <row r="626" spans="1:20" ht="15.75" customHeight="1" x14ac:dyDescent="0.3">
      <c r="A626" s="74" t="s">
        <v>537</v>
      </c>
      <c r="B626" s="1"/>
      <c r="C626" s="1"/>
      <c r="D626" s="1"/>
      <c r="E626" s="59">
        <f>SUM(B626:D626)</f>
        <v>0</v>
      </c>
      <c r="F626" s="1"/>
      <c r="G626" s="1"/>
      <c r="H626" s="1"/>
      <c r="I626" s="59">
        <f>SUM(F626:H626)</f>
        <v>0</v>
      </c>
      <c r="J626" s="1"/>
      <c r="K626" s="1"/>
      <c r="L626" s="1"/>
      <c r="M626" s="59">
        <f>SUM(J626:L626)</f>
        <v>0</v>
      </c>
      <c r="N626" s="1"/>
      <c r="O626" s="1"/>
      <c r="P626" s="1"/>
      <c r="Q626" s="59">
        <f>SUM(N626:P626)</f>
        <v>0</v>
      </c>
      <c r="R626" s="59">
        <f>+E626+I626+M626+Q626</f>
        <v>0</v>
      </c>
    </row>
    <row r="627" spans="1:20" ht="15.75" customHeight="1" x14ac:dyDescent="0.3">
      <c r="A627" s="74" t="s">
        <v>538</v>
      </c>
      <c r="B627" s="1"/>
      <c r="C627" s="1"/>
      <c r="D627" s="1"/>
      <c r="E627" s="59">
        <f>SUM(B627:D627)</f>
        <v>0</v>
      </c>
      <c r="F627" s="1"/>
      <c r="G627" s="1"/>
      <c r="H627" s="1"/>
      <c r="I627" s="59">
        <f>SUM(F627:H627)</f>
        <v>0</v>
      </c>
      <c r="J627" s="1"/>
      <c r="K627" s="1"/>
      <c r="L627" s="1"/>
      <c r="M627" s="59">
        <f>SUM(J627:L627)</f>
        <v>0</v>
      </c>
      <c r="N627" s="1"/>
      <c r="O627" s="1"/>
      <c r="P627" s="1"/>
      <c r="Q627" s="59">
        <f>SUM(N627:P627)</f>
        <v>0</v>
      </c>
      <c r="R627" s="59">
        <f>+E627+I627+M627+Q627</f>
        <v>0</v>
      </c>
      <c r="S627" s="4" t="s">
        <v>964</v>
      </c>
    </row>
    <row r="628" spans="1:20" ht="15.75" customHeight="1" x14ac:dyDescent="0.3">
      <c r="A628" s="74" t="s">
        <v>539</v>
      </c>
      <c r="B628" s="1"/>
      <c r="C628" s="1">
        <v>2623</v>
      </c>
      <c r="D628" s="1">
        <v>2052</v>
      </c>
      <c r="E628" s="59">
        <f>SUM(B628:D628)</f>
        <v>4675</v>
      </c>
      <c r="F628" s="1"/>
      <c r="G628" s="1"/>
      <c r="H628" s="1"/>
      <c r="I628" s="59">
        <f>SUM(F628:H628)</f>
        <v>0</v>
      </c>
      <c r="J628" s="1"/>
      <c r="K628" s="1"/>
      <c r="L628" s="1"/>
      <c r="M628" s="59">
        <f>SUM(J628:L628)</f>
        <v>0</v>
      </c>
      <c r="N628" s="1">
        <v>1991</v>
      </c>
      <c r="O628" s="1"/>
      <c r="P628" s="1"/>
      <c r="Q628" s="59">
        <f>SUM(N628:P628)</f>
        <v>1991</v>
      </c>
      <c r="R628" s="59">
        <f>+E628+I628+M628+Q628</f>
        <v>6666</v>
      </c>
      <c r="T628" s="4" t="s">
        <v>516</v>
      </c>
    </row>
    <row r="629" spans="1:20" ht="15.75" customHeight="1" x14ac:dyDescent="0.3">
      <c r="A629" s="74" t="s">
        <v>540</v>
      </c>
      <c r="B629" s="1"/>
      <c r="C629" s="1"/>
      <c r="D629" s="1"/>
      <c r="E629" s="59">
        <f>SUM(B629:D629)</f>
        <v>0</v>
      </c>
      <c r="F629" s="1"/>
      <c r="G629" s="1"/>
      <c r="H629" s="1"/>
      <c r="I629" s="59">
        <f>SUM(F629:H629)</f>
        <v>0</v>
      </c>
      <c r="J629" s="1"/>
      <c r="K629" s="1"/>
      <c r="L629" s="1"/>
      <c r="M629" s="59">
        <f>SUM(J629:L629)</f>
        <v>0</v>
      </c>
      <c r="N629" s="1"/>
      <c r="O629" s="1"/>
      <c r="P629" s="1"/>
      <c r="Q629" s="59">
        <f>SUM(N629:P629)</f>
        <v>0</v>
      </c>
      <c r="R629" s="59">
        <f>+E629+I629+M629+Q629</f>
        <v>0</v>
      </c>
      <c r="S629" s="4" t="s">
        <v>964</v>
      </c>
      <c r="T629" s="4" t="s">
        <v>516</v>
      </c>
    </row>
    <row r="630" spans="1:20" ht="15.75" customHeight="1" x14ac:dyDescent="0.3">
      <c r="A630" s="17" t="s">
        <v>66</v>
      </c>
      <c r="B630" s="1"/>
      <c r="C630" s="1"/>
      <c r="D630" s="1"/>
      <c r="E630" s="59" t="s">
        <v>7</v>
      </c>
      <c r="F630" s="1"/>
      <c r="G630" s="1"/>
      <c r="H630" s="1"/>
      <c r="I630" s="59" t="s">
        <v>7</v>
      </c>
      <c r="J630" s="1"/>
      <c r="K630" s="1"/>
      <c r="L630" s="1"/>
      <c r="M630" s="59" t="s">
        <v>7</v>
      </c>
      <c r="N630" s="1"/>
      <c r="O630" s="1"/>
      <c r="P630" s="1"/>
      <c r="Q630" s="59" t="s">
        <v>7</v>
      </c>
      <c r="R630" s="59" t="s">
        <v>7</v>
      </c>
    </row>
    <row r="631" spans="1:20" ht="15.75" customHeight="1" x14ac:dyDescent="0.3">
      <c r="A631" s="74" t="s">
        <v>541</v>
      </c>
      <c r="B631" s="1"/>
      <c r="C631" s="1"/>
      <c r="D631" s="1"/>
      <c r="E631" s="59">
        <f>SUM(B631:D631)</f>
        <v>0</v>
      </c>
      <c r="F631" s="1"/>
      <c r="G631" s="1"/>
      <c r="H631" s="1"/>
      <c r="I631" s="59">
        <f>SUM(F631:H631)</f>
        <v>0</v>
      </c>
      <c r="J631" s="1"/>
      <c r="K631" s="1"/>
      <c r="L631" s="1"/>
      <c r="M631" s="59">
        <f>SUM(J631:L631)</f>
        <v>0</v>
      </c>
      <c r="N631" s="1">
        <v>227</v>
      </c>
      <c r="O631" s="1">
        <v>685</v>
      </c>
      <c r="P631" s="1">
        <v>88</v>
      </c>
      <c r="Q631" s="59">
        <f>SUM(N631:P631)</f>
        <v>1000</v>
      </c>
      <c r="R631" s="59">
        <f>+E631+I631+M631+Q631</f>
        <v>1000</v>
      </c>
    </row>
    <row r="632" spans="1:20" ht="15.75" customHeight="1" x14ac:dyDescent="0.3">
      <c r="A632" s="74" t="s">
        <v>542</v>
      </c>
      <c r="B632" s="1"/>
      <c r="C632" s="1"/>
      <c r="D632" s="1"/>
      <c r="E632" s="59">
        <f>SUM(B632:D632)</f>
        <v>0</v>
      </c>
      <c r="F632" s="1"/>
      <c r="G632" s="1">
        <v>500</v>
      </c>
      <c r="H632" s="1">
        <v>500</v>
      </c>
      <c r="I632" s="59">
        <f>SUM(F632:H632)</f>
        <v>1000</v>
      </c>
      <c r="J632" s="1"/>
      <c r="K632" s="1">
        <v>1000</v>
      </c>
      <c r="L632" s="1"/>
      <c r="M632" s="59">
        <f>SUM(J632:L632)</f>
        <v>1000</v>
      </c>
      <c r="N632" s="1"/>
      <c r="O632" s="1"/>
      <c r="P632" s="1"/>
      <c r="Q632" s="59">
        <f>SUM(N632:P632)</f>
        <v>0</v>
      </c>
      <c r="R632" s="59">
        <f>+E632+I632+M632+Q632</f>
        <v>2000</v>
      </c>
    </row>
    <row r="633" spans="1:20" ht="15.75" customHeight="1" x14ac:dyDescent="0.3">
      <c r="A633" s="17" t="s">
        <v>67</v>
      </c>
      <c r="B633" s="1"/>
      <c r="C633" s="1"/>
      <c r="D633" s="1"/>
      <c r="E633" s="59" t="s">
        <v>7</v>
      </c>
      <c r="F633" s="1"/>
      <c r="G633" s="1"/>
      <c r="H633" s="1"/>
      <c r="I633" s="59" t="s">
        <v>7</v>
      </c>
      <c r="J633" s="1"/>
      <c r="K633" s="1"/>
      <c r="L633" s="1"/>
      <c r="M633" s="59" t="s">
        <v>7</v>
      </c>
      <c r="N633" s="1"/>
      <c r="O633" s="1"/>
      <c r="P633" s="1"/>
      <c r="Q633" s="59" t="s">
        <v>7</v>
      </c>
      <c r="R633" s="59" t="s">
        <v>7</v>
      </c>
    </row>
    <row r="634" spans="1:20" ht="15.75" customHeight="1" x14ac:dyDescent="0.3">
      <c r="A634" s="74" t="s">
        <v>543</v>
      </c>
      <c r="B634" s="1"/>
      <c r="C634" s="1"/>
      <c r="D634" s="1"/>
      <c r="E634" s="59">
        <f t="shared" ref="E634:E636" si="247">SUM(B634:D634)</f>
        <v>0</v>
      </c>
      <c r="F634" s="1"/>
      <c r="G634" s="1"/>
      <c r="H634" s="1"/>
      <c r="I634" s="59">
        <f t="shared" ref="I634:I636" si="248">SUM(F634:H634)</f>
        <v>0</v>
      </c>
      <c r="J634" s="1"/>
      <c r="K634" s="1"/>
      <c r="L634" s="1"/>
      <c r="M634" s="59">
        <f t="shared" ref="M634:M636" si="249">SUM(J634:L634)</f>
        <v>0</v>
      </c>
      <c r="N634" s="1"/>
      <c r="O634" s="1"/>
      <c r="P634" s="1"/>
      <c r="Q634" s="59">
        <f t="shared" ref="Q634:Q640" si="250">SUM(N634:P634)</f>
        <v>0</v>
      </c>
      <c r="R634" s="59">
        <f t="shared" ref="R634:R640" si="251">+E634+I634+M634+Q634</f>
        <v>0</v>
      </c>
    </row>
    <row r="635" spans="1:20" ht="15.75" customHeight="1" x14ac:dyDescent="0.3">
      <c r="A635" s="74" t="s">
        <v>544</v>
      </c>
      <c r="B635" s="1"/>
      <c r="C635" s="1"/>
      <c r="D635" s="1"/>
      <c r="E635" s="59">
        <f t="shared" ref="E635" si="252">SUM(B635:D635)</f>
        <v>0</v>
      </c>
      <c r="F635" s="1"/>
      <c r="G635" s="1"/>
      <c r="H635" s="1"/>
      <c r="I635" s="59">
        <f t="shared" ref="I635" si="253">SUM(F635:H635)</f>
        <v>0</v>
      </c>
      <c r="J635" s="1"/>
      <c r="K635" s="1">
        <v>733</v>
      </c>
      <c r="L635" s="1">
        <v>758</v>
      </c>
      <c r="M635" s="59">
        <f t="shared" ref="M635" si="254">SUM(J635:L635)</f>
        <v>1491</v>
      </c>
      <c r="N635" s="1"/>
      <c r="O635" s="1">
        <v>5</v>
      </c>
      <c r="P635" s="1">
        <v>4</v>
      </c>
      <c r="Q635" s="59">
        <f t="shared" ref="Q635" si="255">SUM(N635:P635)</f>
        <v>9</v>
      </c>
      <c r="R635" s="59">
        <f t="shared" si="251"/>
        <v>1500</v>
      </c>
      <c r="S635" s="4" t="s">
        <v>964</v>
      </c>
    </row>
    <row r="636" spans="1:20" ht="15.75" customHeight="1" thickBot="1" x14ac:dyDescent="0.35">
      <c r="A636" s="74" t="s">
        <v>545</v>
      </c>
      <c r="B636" s="1"/>
      <c r="C636" s="1"/>
      <c r="D636" s="1"/>
      <c r="E636" s="59">
        <f t="shared" si="247"/>
        <v>0</v>
      </c>
      <c r="F636" s="1"/>
      <c r="G636" s="1"/>
      <c r="H636" s="1"/>
      <c r="I636" s="59">
        <f t="shared" si="248"/>
        <v>0</v>
      </c>
      <c r="J636" s="1">
        <v>1000</v>
      </c>
      <c r="K636" s="1"/>
      <c r="L636" s="1"/>
      <c r="M636" s="59">
        <f t="shared" si="249"/>
        <v>1000</v>
      </c>
      <c r="N636" s="1"/>
      <c r="O636" s="1"/>
      <c r="P636" s="1"/>
      <c r="Q636" s="59">
        <f t="shared" si="250"/>
        <v>0</v>
      </c>
      <c r="R636" s="59">
        <f t="shared" si="251"/>
        <v>1000</v>
      </c>
    </row>
    <row r="637" spans="1:20" ht="16.5" customHeight="1" thickBot="1" x14ac:dyDescent="0.35">
      <c r="A637" s="62" t="s">
        <v>68</v>
      </c>
      <c r="B637" s="344">
        <f>SUM(B630:B636)</f>
        <v>0</v>
      </c>
      <c r="C637" s="344">
        <f>SUM(C630:C636)</f>
        <v>0</v>
      </c>
      <c r="D637" s="344">
        <f>SUM(D630:D636)</f>
        <v>0</v>
      </c>
      <c r="E637" s="334">
        <f t="shared" ref="E637:E640" si="256">SUM(B637:D637)</f>
        <v>0</v>
      </c>
      <c r="F637" s="344">
        <f>SUM(F630:F636)</f>
        <v>0</v>
      </c>
      <c r="G637" s="344">
        <f>SUM(G630:G636)</f>
        <v>500</v>
      </c>
      <c r="H637" s="344">
        <f>SUM(H630:H636)</f>
        <v>500</v>
      </c>
      <c r="I637" s="334">
        <f t="shared" ref="I637:I640" si="257">SUM(F637:H637)</f>
        <v>1000</v>
      </c>
      <c r="J637" s="344">
        <f>SUM(J630:J636)</f>
        <v>1000</v>
      </c>
      <c r="K637" s="344">
        <f>SUM(K630:K636)</f>
        <v>1733</v>
      </c>
      <c r="L637" s="344">
        <f>SUM(L630:L636)</f>
        <v>758</v>
      </c>
      <c r="M637" s="334">
        <f t="shared" ref="M637:M640" si="258">SUM(J637:L637)</f>
        <v>3491</v>
      </c>
      <c r="N637" s="344">
        <f>SUM(N630:N636)</f>
        <v>227</v>
      </c>
      <c r="O637" s="344">
        <f>SUM(O630:O636)</f>
        <v>690</v>
      </c>
      <c r="P637" s="344">
        <f>SUM(P630:P636)</f>
        <v>92</v>
      </c>
      <c r="Q637" s="334">
        <f t="shared" si="250"/>
        <v>1009</v>
      </c>
      <c r="R637" s="64">
        <f t="shared" si="251"/>
        <v>5500</v>
      </c>
    </row>
    <row r="638" spans="1:20" ht="16.5" customHeight="1" thickBot="1" x14ac:dyDescent="0.35">
      <c r="A638" s="137" t="s">
        <v>69</v>
      </c>
      <c r="B638" s="100">
        <f>SUM(B621:B636)</f>
        <v>0</v>
      </c>
      <c r="C638" s="101">
        <f>SUM(C621:C636)</f>
        <v>2623</v>
      </c>
      <c r="D638" s="138">
        <f>SUM(D621:D636)</f>
        <v>2052</v>
      </c>
      <c r="E638" s="334">
        <f t="shared" si="256"/>
        <v>4675</v>
      </c>
      <c r="F638" s="100">
        <f>SUM(F621:F636)</f>
        <v>0</v>
      </c>
      <c r="G638" s="101">
        <f>SUM(G621:G636)</f>
        <v>500</v>
      </c>
      <c r="H638" s="138">
        <f>SUM(H621:H636)</f>
        <v>500</v>
      </c>
      <c r="I638" s="334">
        <f t="shared" si="257"/>
        <v>1000</v>
      </c>
      <c r="J638" s="100">
        <f>SUM(J621:J636)</f>
        <v>1000</v>
      </c>
      <c r="K638" s="101">
        <f>SUM(K621:K636)</f>
        <v>1733</v>
      </c>
      <c r="L638" s="138">
        <f>SUM(L621:L636)</f>
        <v>758</v>
      </c>
      <c r="M638" s="334">
        <f t="shared" si="258"/>
        <v>3491</v>
      </c>
      <c r="N638" s="100">
        <f>SUM(N621:N636)</f>
        <v>2218</v>
      </c>
      <c r="O638" s="101">
        <f>SUM(O621:O636)</f>
        <v>690</v>
      </c>
      <c r="P638" s="138">
        <f>SUM(P621:P636)</f>
        <v>92</v>
      </c>
      <c r="Q638" s="334">
        <f t="shared" si="250"/>
        <v>3000</v>
      </c>
      <c r="R638" s="64">
        <f t="shared" si="251"/>
        <v>12166</v>
      </c>
    </row>
    <row r="639" spans="1:20" ht="16.5" customHeight="1" thickBot="1" x14ac:dyDescent="0.35">
      <c r="A639" s="62" t="s">
        <v>70</v>
      </c>
      <c r="B639" s="149">
        <f>+B605+B611+B620+B638</f>
        <v>1611</v>
      </c>
      <c r="C639" s="150">
        <f>+C605+C611+C620+C638</f>
        <v>4541</v>
      </c>
      <c r="D639" s="150">
        <f>+D605+D611+D620+D638</f>
        <v>6820</v>
      </c>
      <c r="E639" s="64">
        <f t="shared" si="256"/>
        <v>12972</v>
      </c>
      <c r="F639" s="63">
        <f>+F605+F611+F620+F638</f>
        <v>6202</v>
      </c>
      <c r="G639" s="63">
        <f>+G605+G611+G620+G638</f>
        <v>3796</v>
      </c>
      <c r="H639" s="63">
        <f>+H605+H611+H620+H638</f>
        <v>3218</v>
      </c>
      <c r="I639" s="64">
        <f t="shared" si="257"/>
        <v>13216</v>
      </c>
      <c r="J639" s="63">
        <f>+J605+J611+J620+J638</f>
        <v>4249</v>
      </c>
      <c r="K639" s="63">
        <f>+K605+K611+K620+K638</f>
        <v>5428</v>
      </c>
      <c r="L639" s="63">
        <f>+L605+L611+L620+L638</f>
        <v>5031</v>
      </c>
      <c r="M639" s="64">
        <f t="shared" si="258"/>
        <v>14708</v>
      </c>
      <c r="N639" s="63">
        <f>+N605+N611+N620+N638</f>
        <v>3341</v>
      </c>
      <c r="O639" s="63">
        <f>+O605+O611+O620+O638</f>
        <v>690</v>
      </c>
      <c r="P639" s="63">
        <f>+P605+P611+P620+P638</f>
        <v>92</v>
      </c>
      <c r="Q639" s="64">
        <f t="shared" si="250"/>
        <v>4123</v>
      </c>
      <c r="R639" s="88">
        <f t="shared" si="251"/>
        <v>45019</v>
      </c>
    </row>
    <row r="640" spans="1:20" ht="16.5" customHeight="1" thickBot="1" x14ac:dyDescent="0.35">
      <c r="A640" s="40" t="s">
        <v>37</v>
      </c>
      <c r="B640" s="25">
        <v>17</v>
      </c>
      <c r="C640" s="25">
        <v>47</v>
      </c>
      <c r="D640" s="25">
        <v>84</v>
      </c>
      <c r="E640" s="59">
        <f t="shared" si="256"/>
        <v>148</v>
      </c>
      <c r="F640" s="25">
        <v>116</v>
      </c>
      <c r="G640" s="25">
        <v>132</v>
      </c>
      <c r="H640" s="25">
        <v>138</v>
      </c>
      <c r="I640" s="59">
        <f t="shared" si="257"/>
        <v>386</v>
      </c>
      <c r="J640" s="25">
        <v>126</v>
      </c>
      <c r="K640" s="25">
        <v>95</v>
      </c>
      <c r="L640" s="25">
        <v>99</v>
      </c>
      <c r="M640" s="59">
        <f t="shared" si="258"/>
        <v>320</v>
      </c>
      <c r="N640" s="25">
        <v>91</v>
      </c>
      <c r="O640" s="25">
        <v>67</v>
      </c>
      <c r="P640" s="25">
        <v>38</v>
      </c>
      <c r="Q640" s="59">
        <f t="shared" si="250"/>
        <v>196</v>
      </c>
      <c r="R640" s="59">
        <f t="shared" si="251"/>
        <v>1050</v>
      </c>
    </row>
    <row r="641" spans="1:18" ht="16.5" customHeight="1" thickBot="1" x14ac:dyDescent="0.35">
      <c r="A641" s="42"/>
      <c r="B641" s="37"/>
      <c r="C641" s="37"/>
      <c r="D641" s="37"/>
      <c r="E641" s="43"/>
      <c r="F641" s="37"/>
      <c r="G641" s="37"/>
      <c r="H641" s="37"/>
      <c r="I641" s="43"/>
      <c r="J641" s="37"/>
      <c r="K641" s="37"/>
      <c r="L641" s="37"/>
      <c r="M641" s="43"/>
      <c r="N641" s="37"/>
      <c r="O641" s="37"/>
      <c r="P641" s="37"/>
      <c r="Q641" s="43"/>
      <c r="R641" s="43"/>
    </row>
    <row r="642" spans="1:18" ht="15.75" customHeight="1" x14ac:dyDescent="0.3">
      <c r="A642" s="335" t="s">
        <v>507</v>
      </c>
      <c r="B642" s="336">
        <f>SUM(B639:B640)</f>
        <v>1628</v>
      </c>
      <c r="C642" s="336">
        <f>SUM(C639:C640)</f>
        <v>4588</v>
      </c>
      <c r="D642" s="336">
        <f>SUM(D639:D640)</f>
        <v>6904</v>
      </c>
      <c r="E642" s="334">
        <f>SUM(B642:D642)</f>
        <v>13120</v>
      </c>
      <c r="F642" s="336">
        <f>SUM(F639:F640)</f>
        <v>6318</v>
      </c>
      <c r="G642" s="336">
        <f>SUM(G639:G640)</f>
        <v>3928</v>
      </c>
      <c r="H642" s="336">
        <f>SUM(H639:H640)</f>
        <v>3356</v>
      </c>
      <c r="I642" s="334">
        <f>SUM(F642:H642)</f>
        <v>13602</v>
      </c>
      <c r="J642" s="336">
        <f>SUM(J639:J640)</f>
        <v>4375</v>
      </c>
      <c r="K642" s="336">
        <f>SUM(K639:K640)</f>
        <v>5523</v>
      </c>
      <c r="L642" s="336">
        <f>SUM(L639:L640)</f>
        <v>5130</v>
      </c>
      <c r="M642" s="334">
        <f>SUM(J642:L642)</f>
        <v>15028</v>
      </c>
      <c r="N642" s="336">
        <f>SUM(N639:N640)</f>
        <v>3432</v>
      </c>
      <c r="O642" s="336">
        <f>SUM(O639:O640)</f>
        <v>757</v>
      </c>
      <c r="P642" s="336">
        <f>SUM(P639:P640)</f>
        <v>130</v>
      </c>
      <c r="Q642" s="334">
        <f>SUM(N642:P642)</f>
        <v>4319</v>
      </c>
      <c r="R642" s="334">
        <f>+E642+I642+M642+Q642</f>
        <v>46069</v>
      </c>
    </row>
    <row r="643" spans="1:18" ht="15.75" customHeight="1" x14ac:dyDescent="0.3">
      <c r="A643" s="85" t="s">
        <v>39</v>
      </c>
      <c r="B643" s="1">
        <f>(B642/B10)/1.983</f>
        <v>26.483171473655098</v>
      </c>
      <c r="C643" s="1">
        <f>(C642/C10)/1.983</f>
        <v>82.630934370722571</v>
      </c>
      <c r="D643" s="1">
        <f>(D642/D10)/1.983</f>
        <v>112.30946919785922</v>
      </c>
      <c r="E643" s="59" t="s">
        <v>7</v>
      </c>
      <c r="F643" s="1">
        <f>(F642/F10)/1.983</f>
        <v>106.20272314674735</v>
      </c>
      <c r="G643" s="1">
        <f>(G642/G10)/1.983</f>
        <v>63.897971467148174</v>
      </c>
      <c r="H643" s="1">
        <f>(H642/H10)/1.983</f>
        <v>56.412842494536889</v>
      </c>
      <c r="I643" s="59" t="s">
        <v>7</v>
      </c>
      <c r="J643" s="1">
        <f>(J642/J10)/1.983</f>
        <v>71.169456509361822</v>
      </c>
      <c r="K643" s="1">
        <f>(K642/K10)/1.983</f>
        <v>89.844321897418368</v>
      </c>
      <c r="L643" s="1">
        <f>(L642/L10)/1.983</f>
        <v>86.232980332829044</v>
      </c>
      <c r="M643" s="59" t="s">
        <v>7</v>
      </c>
      <c r="N643" s="1">
        <f>(N642/N10)/1.983</f>
        <v>55.829388512029666</v>
      </c>
      <c r="O643" s="1">
        <f>(O642/O10)/1.983</f>
        <v>12.724827702134812</v>
      </c>
      <c r="P643" s="1">
        <f>(P642/P10)/1.983</f>
        <v>2.1147495648496086</v>
      </c>
      <c r="Q643" s="59" t="s">
        <v>7</v>
      </c>
      <c r="R643" s="59" t="s">
        <v>7</v>
      </c>
    </row>
    <row r="644" spans="1:18" ht="15.75" customHeight="1" x14ac:dyDescent="0.3">
      <c r="A644" s="85" t="s">
        <v>546</v>
      </c>
      <c r="B644" s="1">
        <f>B642+B654</f>
        <v>13625</v>
      </c>
      <c r="C644" s="1">
        <f>C642+C654</f>
        <v>21321</v>
      </c>
      <c r="D644" s="1">
        <f>D642+D654</f>
        <v>26714</v>
      </c>
      <c r="E644" s="59">
        <f>SUM(B644:D644)</f>
        <v>61660</v>
      </c>
      <c r="F644" s="1">
        <f>F642+F654</f>
        <v>29062</v>
      </c>
      <c r="G644" s="1">
        <f>G642+G654</f>
        <v>26704</v>
      </c>
      <c r="H644" s="1">
        <f>H642+H654</f>
        <v>23016</v>
      </c>
      <c r="I644" s="59">
        <f>SUM(F644:H644)</f>
        <v>78782</v>
      </c>
      <c r="J644" s="1">
        <f>J642+J654</f>
        <v>22776</v>
      </c>
      <c r="K644" s="1">
        <f>K642+K654</f>
        <v>28147</v>
      </c>
      <c r="L644" s="1">
        <f>L642+L654</f>
        <v>23993</v>
      </c>
      <c r="M644" s="59">
        <f>SUM(J644:L644)</f>
        <v>74916</v>
      </c>
      <c r="N644" s="1">
        <f>N642+N654</f>
        <v>12436</v>
      </c>
      <c r="O644" s="1">
        <f>O642+O654</f>
        <v>5191</v>
      </c>
      <c r="P644" s="1">
        <f>P642+P654</f>
        <v>5274</v>
      </c>
      <c r="Q644" s="59">
        <f>SUM(N644:P644)</f>
        <v>22901</v>
      </c>
      <c r="R644" s="59">
        <f>+E644+I644+M644+Q644</f>
        <v>238259</v>
      </c>
    </row>
    <row r="645" spans="1:18" ht="16.5" customHeight="1" thickBot="1" x14ac:dyDescent="0.35">
      <c r="A645" s="86" t="s">
        <v>547</v>
      </c>
      <c r="B645" s="87">
        <f>(B644/B10)/1.983</f>
        <v>221.64202170058397</v>
      </c>
      <c r="C645" s="87">
        <f>(C644/C10)/1.983</f>
        <v>383.99610979036089</v>
      </c>
      <c r="D645" s="87">
        <f>(D644/D10)/1.983</f>
        <v>434.56476827224958</v>
      </c>
      <c r="E645" s="88" t="s">
        <v>7</v>
      </c>
      <c r="F645" s="87">
        <f>(F644/F10)/1.983</f>
        <v>488.51907883677927</v>
      </c>
      <c r="G645" s="87">
        <f>(G644/G10)/1.983</f>
        <v>434.40209522879957</v>
      </c>
      <c r="H645" s="87">
        <f>(H644/H10)/1.983</f>
        <v>386.88855269793243</v>
      </c>
      <c r="I645" s="88" t="s">
        <v>7</v>
      </c>
      <c r="J645" s="87">
        <f>(J644/J10)/1.983</f>
        <v>370.50412376165144</v>
      </c>
      <c r="K645" s="87">
        <f>(K644/K10)/1.983</f>
        <v>457.87581539863027</v>
      </c>
      <c r="L645" s="87">
        <f>(L644/L10)/1.983</f>
        <v>403.3114809211632</v>
      </c>
      <c r="M645" s="88" t="s">
        <v>7</v>
      </c>
      <c r="N645" s="87">
        <f>(N644/N10)/1.983</f>
        <v>202.30019683438258</v>
      </c>
      <c r="O645" s="87">
        <f>(O644/O10)/1.983</f>
        <v>87.258362750042025</v>
      </c>
      <c r="P645" s="87">
        <f>(P644/P10)/1.983</f>
        <v>85.793763115514125</v>
      </c>
      <c r="Q645" s="88" t="s">
        <v>7</v>
      </c>
      <c r="R645" s="88" t="s">
        <v>7</v>
      </c>
    </row>
    <row r="646" spans="1:18" ht="15.75" customHeight="1" x14ac:dyDescent="0.3">
      <c r="A646" s="28"/>
      <c r="B646" s="1"/>
      <c r="C646" s="1"/>
      <c r="D646" s="1"/>
      <c r="E646" s="1"/>
      <c r="F646" s="1"/>
      <c r="G646" s="1"/>
      <c r="H646" s="1"/>
      <c r="I646" s="1"/>
      <c r="J646" s="1"/>
      <c r="K646" s="1"/>
      <c r="L646" s="1"/>
      <c r="M646" s="1"/>
      <c r="N646" s="1"/>
      <c r="O646" s="1"/>
      <c r="P646" s="1"/>
      <c r="Q646" s="1"/>
      <c r="R646" s="28"/>
    </row>
    <row r="647" spans="1:18" ht="16.5" customHeight="1" thickBot="1" x14ac:dyDescent="0.35">
      <c r="A647" s="123"/>
      <c r="B647" s="25"/>
      <c r="C647" s="25"/>
      <c r="D647" s="25"/>
      <c r="E647" s="25"/>
      <c r="F647" s="25"/>
      <c r="G647" s="25"/>
      <c r="H647" s="25"/>
      <c r="I647" s="25"/>
      <c r="J647" s="25"/>
      <c r="K647" s="25"/>
      <c r="L647" s="25"/>
      <c r="M647" s="25"/>
      <c r="N647" s="25"/>
      <c r="O647" s="25"/>
      <c r="P647" s="25"/>
      <c r="Q647" s="25"/>
      <c r="R647" s="123"/>
    </row>
    <row r="648" spans="1:18" ht="16.5" customHeight="1" thickBot="1" x14ac:dyDescent="0.35">
      <c r="A648" s="343" t="s">
        <v>548</v>
      </c>
      <c r="B648" s="323" t="s">
        <v>36</v>
      </c>
      <c r="C648" s="324" t="s">
        <v>9</v>
      </c>
      <c r="D648" s="324" t="s">
        <v>10</v>
      </c>
      <c r="E648" s="325" t="s">
        <v>11</v>
      </c>
      <c r="F648" s="324" t="s">
        <v>12</v>
      </c>
      <c r="G648" s="324" t="s">
        <v>13</v>
      </c>
      <c r="H648" s="324" t="s">
        <v>14</v>
      </c>
      <c r="I648" s="34" t="s">
        <v>15</v>
      </c>
      <c r="J648" s="324" t="s">
        <v>16</v>
      </c>
      <c r="K648" s="324" t="s">
        <v>17</v>
      </c>
      <c r="L648" s="324" t="s">
        <v>18</v>
      </c>
      <c r="M648" s="34" t="s">
        <v>19</v>
      </c>
      <c r="N648" s="324" t="s">
        <v>20</v>
      </c>
      <c r="O648" s="324" t="s">
        <v>21</v>
      </c>
      <c r="P648" s="324" t="s">
        <v>22</v>
      </c>
      <c r="Q648" s="325" t="s">
        <v>23</v>
      </c>
      <c r="R648" s="332" t="s">
        <v>24</v>
      </c>
    </row>
    <row r="649" spans="1:18" ht="16.5" customHeight="1" thickBot="1" x14ac:dyDescent="0.35">
      <c r="A649" s="42"/>
      <c r="B649" s="37"/>
      <c r="C649" s="37"/>
      <c r="D649" s="37"/>
      <c r="E649" s="38"/>
      <c r="F649" s="37"/>
      <c r="G649" s="37"/>
      <c r="H649" s="37"/>
      <c r="I649" s="38"/>
      <c r="J649" s="37"/>
      <c r="K649" s="37"/>
      <c r="L649" s="37"/>
      <c r="M649" s="38"/>
      <c r="N649" s="37"/>
      <c r="O649" s="37"/>
      <c r="P649" s="37"/>
      <c r="Q649" s="151"/>
      <c r="R649" s="152"/>
    </row>
    <row r="650" spans="1:18" ht="16.5" customHeight="1" thickBot="1" x14ac:dyDescent="0.35">
      <c r="A650" s="40" t="s">
        <v>37</v>
      </c>
      <c r="B650" s="25">
        <v>20</v>
      </c>
      <c r="C650" s="25">
        <v>22</v>
      </c>
      <c r="D650" s="25">
        <v>28</v>
      </c>
      <c r="E650" s="59">
        <f>SUM(B650:D650)</f>
        <v>70</v>
      </c>
      <c r="F650" s="25">
        <v>37</v>
      </c>
      <c r="G650" s="25">
        <v>42</v>
      </c>
      <c r="H650" s="25">
        <v>44</v>
      </c>
      <c r="I650" s="59">
        <f>SUM(F650:H650)</f>
        <v>123</v>
      </c>
      <c r="J650" s="25">
        <v>39</v>
      </c>
      <c r="K650" s="25">
        <v>36</v>
      </c>
      <c r="L650" s="25">
        <v>34</v>
      </c>
      <c r="M650" s="59">
        <f>SUM(J650:L650)</f>
        <v>109</v>
      </c>
      <c r="N650" s="25">
        <v>29</v>
      </c>
      <c r="O650" s="25">
        <v>23</v>
      </c>
      <c r="P650" s="25">
        <v>19</v>
      </c>
      <c r="Q650" s="59">
        <f>SUM(N650:P650)</f>
        <v>71</v>
      </c>
      <c r="R650" s="59">
        <f>+E650+I650+M650+Q650</f>
        <v>373</v>
      </c>
    </row>
    <row r="651" spans="1:18" ht="16.5" customHeight="1" thickBot="1" x14ac:dyDescent="0.35">
      <c r="A651" s="42"/>
      <c r="B651" s="37"/>
      <c r="C651" s="37"/>
      <c r="D651" s="37"/>
      <c r="E651" s="16"/>
      <c r="F651" s="37"/>
      <c r="G651" s="37"/>
      <c r="H651" s="37"/>
      <c r="I651" s="16"/>
      <c r="J651" s="37"/>
      <c r="K651" s="37"/>
      <c r="L651" s="37"/>
      <c r="M651" s="16"/>
      <c r="N651" s="37"/>
      <c r="O651" s="37"/>
      <c r="P651" s="37"/>
      <c r="Q651" s="16"/>
      <c r="R651" s="43"/>
    </row>
    <row r="652" spans="1:18" ht="15.75" customHeight="1" x14ac:dyDescent="0.3">
      <c r="A652" s="335" t="s">
        <v>507</v>
      </c>
      <c r="B652" s="336">
        <f>B650</f>
        <v>20</v>
      </c>
      <c r="C652" s="336">
        <f>C650</f>
        <v>22</v>
      </c>
      <c r="D652" s="336">
        <f>D650</f>
        <v>28</v>
      </c>
      <c r="E652" s="334">
        <f>SUM(B652:D652)</f>
        <v>70</v>
      </c>
      <c r="F652" s="336">
        <f>F650</f>
        <v>37</v>
      </c>
      <c r="G652" s="336">
        <f>G650</f>
        <v>42</v>
      </c>
      <c r="H652" s="336">
        <f>H650</f>
        <v>44</v>
      </c>
      <c r="I652" s="334">
        <f>SUM(F652:H652)</f>
        <v>123</v>
      </c>
      <c r="J652" s="336">
        <f>J650</f>
        <v>39</v>
      </c>
      <c r="K652" s="336">
        <f>K650</f>
        <v>36</v>
      </c>
      <c r="L652" s="336">
        <f>L650</f>
        <v>34</v>
      </c>
      <c r="M652" s="334">
        <f>SUM(J652:L652)</f>
        <v>109</v>
      </c>
      <c r="N652" s="336">
        <f>N650</f>
        <v>29</v>
      </c>
      <c r="O652" s="336">
        <f>O650</f>
        <v>23</v>
      </c>
      <c r="P652" s="336">
        <f>P650</f>
        <v>19</v>
      </c>
      <c r="Q652" s="334">
        <f>SUM(N652:P652)</f>
        <v>71</v>
      </c>
      <c r="R652" s="334">
        <f>+E652+I652+M652+Q652</f>
        <v>373</v>
      </c>
    </row>
    <row r="653" spans="1:18" ht="15.75" customHeight="1" x14ac:dyDescent="0.3">
      <c r="A653" s="85" t="s">
        <v>39</v>
      </c>
      <c r="B653" s="1">
        <f>(B652/B10)/1.983</f>
        <v>0.32534608689993977</v>
      </c>
      <c r="C653" s="1">
        <f>(C652/C10)/1.983</f>
        <v>0.39622505583171236</v>
      </c>
      <c r="D653" s="1">
        <f>(D652/D10)/1.983</f>
        <v>0.45548452165991571</v>
      </c>
      <c r="E653" s="59" t="s">
        <v>7</v>
      </c>
      <c r="F653" s="1">
        <f>(F652/F10)/1.983</f>
        <v>0.62195326945705165</v>
      </c>
      <c r="G653" s="1">
        <f>(G652/G10)/1.983</f>
        <v>0.68322678248987356</v>
      </c>
      <c r="H653" s="1">
        <f>(H652/H10)/1.983</f>
        <v>0.73962010421919644</v>
      </c>
      <c r="I653" s="59" t="s">
        <v>7</v>
      </c>
      <c r="J653" s="1">
        <f>(J652/J10)/1.983</f>
        <v>0.63442486945488263</v>
      </c>
      <c r="K653" s="1">
        <f>(K652/K10)/1.983</f>
        <v>0.5856229564198917</v>
      </c>
      <c r="L653" s="1">
        <f>(L652/L10)/1.983</f>
        <v>0.57152462598756093</v>
      </c>
      <c r="M653" s="59" t="s">
        <v>7</v>
      </c>
      <c r="N653" s="1">
        <f>(N652/N10)/1.983</f>
        <v>0.47175182600491267</v>
      </c>
      <c r="O653" s="1">
        <f>(O652/O10)/1.983</f>
        <v>0.38661959993276179</v>
      </c>
      <c r="P653" s="1">
        <f>(P652/P10)/1.983</f>
        <v>0.30907878255494281</v>
      </c>
      <c r="Q653" s="59" t="s">
        <v>7</v>
      </c>
      <c r="R653" s="59" t="s">
        <v>7</v>
      </c>
    </row>
    <row r="654" spans="1:18" ht="15.75" customHeight="1" x14ac:dyDescent="0.3">
      <c r="A654" s="85" t="s">
        <v>549</v>
      </c>
      <c r="B654" s="1">
        <f>B652+B690</f>
        <v>11997</v>
      </c>
      <c r="C654" s="1">
        <f>C652+C690</f>
        <v>16733</v>
      </c>
      <c r="D654" s="1">
        <f>D652+D690</f>
        <v>19810</v>
      </c>
      <c r="E654" s="59">
        <f>SUM(B654:D654)</f>
        <v>48540</v>
      </c>
      <c r="F654" s="1">
        <f>F652+F690</f>
        <v>22744</v>
      </c>
      <c r="G654" s="1">
        <f>G652+G690</f>
        <v>22776</v>
      </c>
      <c r="H654" s="1">
        <f>H652+H690</f>
        <v>19660</v>
      </c>
      <c r="I654" s="59">
        <f>SUM(F654:H654)</f>
        <v>65180</v>
      </c>
      <c r="J654" s="1">
        <f>J652+J690</f>
        <v>18401</v>
      </c>
      <c r="K654" s="1">
        <f>K652+K690</f>
        <v>22624</v>
      </c>
      <c r="L654" s="1">
        <f>L652+L690</f>
        <v>18863</v>
      </c>
      <c r="M654" s="59">
        <f>SUM(J654:L654)</f>
        <v>59888</v>
      </c>
      <c r="N654" s="1">
        <f>N652+N690</f>
        <v>9004</v>
      </c>
      <c r="O654" s="1">
        <f>O652+O690</f>
        <v>4434</v>
      </c>
      <c r="P654" s="1">
        <f>P652+P690</f>
        <v>5144</v>
      </c>
      <c r="Q654" s="59">
        <f>SUM(N654:P654)</f>
        <v>18582</v>
      </c>
      <c r="R654" s="59">
        <f>+E654+I654+M654+Q654</f>
        <v>192190</v>
      </c>
    </row>
    <row r="655" spans="1:18" ht="16.5" customHeight="1" thickBot="1" x14ac:dyDescent="0.35">
      <c r="A655" s="86" t="s">
        <v>550</v>
      </c>
      <c r="B655" s="87">
        <f>(B654/B10)/1.983</f>
        <v>195.15885022692888</v>
      </c>
      <c r="C655" s="87">
        <f>(C654/C10)/1.983</f>
        <v>301.36517541963838</v>
      </c>
      <c r="D655" s="87">
        <f>(D654/D10)/1.983</f>
        <v>322.25529907439034</v>
      </c>
      <c r="E655" s="88" t="s">
        <v>7</v>
      </c>
      <c r="F655" s="87">
        <f>(F654/F10)/1.983</f>
        <v>382.31635569003191</v>
      </c>
      <c r="G655" s="87">
        <f>(G654/G10)/1.983</f>
        <v>370.50412376165144</v>
      </c>
      <c r="H655" s="87">
        <f>(H654/H10)/1.983</f>
        <v>330.47571020339552</v>
      </c>
      <c r="I655" s="88" t="s">
        <v>7</v>
      </c>
      <c r="J655" s="87">
        <f>(J654/J10)/1.983</f>
        <v>299.33466725228965</v>
      </c>
      <c r="K655" s="87">
        <f>(K654/K10)/1.983</f>
        <v>368.03149350121186</v>
      </c>
      <c r="L655" s="87">
        <f>(L654/L10)/1.983</f>
        <v>317.07850058833412</v>
      </c>
      <c r="M655" s="88" t="s">
        <v>7</v>
      </c>
      <c r="N655" s="87">
        <f>(N654/N10)/1.983</f>
        <v>146.47080832235289</v>
      </c>
      <c r="O655" s="87">
        <f>(O654/O10)/1.983</f>
        <v>74.533535047907208</v>
      </c>
      <c r="P655" s="87">
        <f>(P654/P10)/1.983</f>
        <v>83.679013550664521</v>
      </c>
      <c r="Q655" s="88" t="s">
        <v>7</v>
      </c>
      <c r="R655" s="88" t="s">
        <v>7</v>
      </c>
    </row>
    <row r="656" spans="1:18" ht="15.75" customHeight="1" x14ac:dyDescent="0.3">
      <c r="A656" s="30"/>
      <c r="B656" s="1"/>
      <c r="C656" s="1"/>
      <c r="D656" s="1"/>
      <c r="E656" s="1"/>
      <c r="F656" s="1"/>
      <c r="G656" s="1"/>
      <c r="H656" s="1"/>
      <c r="I656" s="1"/>
      <c r="J656" s="1"/>
      <c r="K656" s="1"/>
      <c r="L656" s="1"/>
      <c r="M656" s="1"/>
      <c r="N656" s="1"/>
      <c r="O656" s="1"/>
      <c r="P656" s="1"/>
      <c r="Q656" s="1"/>
      <c r="R656" s="28"/>
    </row>
    <row r="657" spans="1:18" ht="15.75" customHeight="1" thickBot="1" x14ac:dyDescent="0.35">
      <c r="A657" s="30"/>
      <c r="B657" s="1"/>
      <c r="C657" s="1"/>
      <c r="D657" s="1"/>
      <c r="E657" s="1"/>
      <c r="F657" s="1"/>
      <c r="G657" s="1"/>
      <c r="H657" s="1"/>
      <c r="I657" s="1"/>
      <c r="J657" s="1"/>
      <c r="K657" s="1"/>
      <c r="L657" s="1"/>
      <c r="M657" s="1"/>
      <c r="N657" s="1"/>
      <c r="O657" s="1"/>
      <c r="P657" s="1"/>
      <c r="Q657" s="1"/>
      <c r="R657" s="28"/>
    </row>
    <row r="658" spans="1:18" ht="16.5" customHeight="1" thickBot="1" x14ac:dyDescent="0.35">
      <c r="A658" s="31" t="s">
        <v>551</v>
      </c>
      <c r="B658" s="323" t="s">
        <v>36</v>
      </c>
      <c r="C658" s="324" t="s">
        <v>9</v>
      </c>
      <c r="D658" s="324" t="s">
        <v>10</v>
      </c>
      <c r="E658" s="325" t="s">
        <v>11</v>
      </c>
      <c r="F658" s="324" t="s">
        <v>12</v>
      </c>
      <c r="G658" s="324" t="s">
        <v>13</v>
      </c>
      <c r="H658" s="324" t="s">
        <v>14</v>
      </c>
      <c r="I658" s="34" t="s">
        <v>15</v>
      </c>
      <c r="J658" s="324" t="s">
        <v>16</v>
      </c>
      <c r="K658" s="324" t="s">
        <v>17</v>
      </c>
      <c r="L658" s="324" t="s">
        <v>18</v>
      </c>
      <c r="M658" s="34" t="s">
        <v>19</v>
      </c>
      <c r="N658" s="324" t="s">
        <v>20</v>
      </c>
      <c r="O658" s="324" t="s">
        <v>21</v>
      </c>
      <c r="P658" s="324" t="s">
        <v>22</v>
      </c>
      <c r="Q658" s="34" t="s">
        <v>23</v>
      </c>
      <c r="R658" s="326" t="s">
        <v>24</v>
      </c>
    </row>
    <row r="659" spans="1:18" ht="16.5" customHeight="1" thickBot="1" x14ac:dyDescent="0.35">
      <c r="A659" s="42"/>
      <c r="B659" s="37"/>
      <c r="C659" s="37"/>
      <c r="D659" s="37"/>
      <c r="E659" s="16"/>
      <c r="F659" s="37"/>
      <c r="G659" s="37"/>
      <c r="H659" s="37"/>
      <c r="I659" s="16"/>
      <c r="J659" s="37"/>
      <c r="K659" s="37"/>
      <c r="L659" s="37"/>
      <c r="M659" s="16"/>
      <c r="N659" s="37"/>
      <c r="O659" s="37"/>
      <c r="P659" s="37"/>
      <c r="Q659" s="16"/>
      <c r="R659" s="39"/>
    </row>
    <row r="660" spans="1:18" ht="15.75" customHeight="1" x14ac:dyDescent="0.3">
      <c r="A660" s="17" t="s">
        <v>45</v>
      </c>
      <c r="B660" s="1" t="s">
        <v>7</v>
      </c>
      <c r="C660" s="1" t="s">
        <v>7</v>
      </c>
      <c r="D660" s="1" t="s">
        <v>7</v>
      </c>
      <c r="E660" s="59" t="s">
        <v>7</v>
      </c>
      <c r="F660" s="1" t="s">
        <v>7</v>
      </c>
      <c r="G660" s="1" t="s">
        <v>7</v>
      </c>
      <c r="H660" s="1" t="s">
        <v>7</v>
      </c>
      <c r="I660" s="59" t="s">
        <v>7</v>
      </c>
      <c r="J660" s="1" t="s">
        <v>7</v>
      </c>
      <c r="K660" s="1" t="s">
        <v>7</v>
      </c>
      <c r="L660" s="1" t="s">
        <v>7</v>
      </c>
      <c r="M660" s="59" t="s">
        <v>7</v>
      </c>
      <c r="N660" s="1" t="s">
        <v>7</v>
      </c>
      <c r="O660" s="1" t="s">
        <v>7</v>
      </c>
      <c r="P660" s="1" t="s">
        <v>7</v>
      </c>
      <c r="Q660" s="59" t="s">
        <v>7</v>
      </c>
      <c r="R660" s="59" t="s">
        <v>7</v>
      </c>
    </row>
    <row r="661" spans="1:18" ht="15.75" customHeight="1" x14ac:dyDescent="0.3">
      <c r="A661" s="17" t="s">
        <v>46</v>
      </c>
      <c r="B661" s="1"/>
      <c r="C661" s="1"/>
      <c r="D661" s="1"/>
      <c r="E661" s="59" t="s">
        <v>7</v>
      </c>
      <c r="F661" s="1"/>
      <c r="G661" s="1"/>
      <c r="H661" s="1"/>
      <c r="I661" s="59" t="s">
        <v>7</v>
      </c>
      <c r="J661" s="1"/>
      <c r="K661" s="1"/>
      <c r="L661" s="1"/>
      <c r="M661" s="59" t="s">
        <v>7</v>
      </c>
      <c r="N661" s="1"/>
      <c r="O661" s="1"/>
      <c r="P661" s="1"/>
      <c r="Q661" s="59" t="s">
        <v>7</v>
      </c>
      <c r="R661" s="59" t="s">
        <v>7</v>
      </c>
    </row>
    <row r="662" spans="1:18" ht="15.75" customHeight="1" x14ac:dyDescent="0.3">
      <c r="A662" s="74" t="s">
        <v>552</v>
      </c>
      <c r="B662" s="1">
        <v>114</v>
      </c>
      <c r="C662" s="1">
        <v>348</v>
      </c>
      <c r="D662" s="1">
        <v>332</v>
      </c>
      <c r="E662" s="59">
        <f>SUM(B662:D662)</f>
        <v>794</v>
      </c>
      <c r="F662" s="1">
        <v>782</v>
      </c>
      <c r="G662" s="1">
        <v>366</v>
      </c>
      <c r="H662" s="1">
        <v>772</v>
      </c>
      <c r="I662" s="59">
        <f>SUM(F662:H662)</f>
        <v>1920</v>
      </c>
      <c r="J662" s="1">
        <v>667</v>
      </c>
      <c r="K662" s="1">
        <f>1316+601</f>
        <v>1917</v>
      </c>
      <c r="L662" s="1">
        <f>1662+220</f>
        <v>1882</v>
      </c>
      <c r="M662" s="59">
        <f>SUM(J662:L662)</f>
        <v>4466</v>
      </c>
      <c r="N662" s="1">
        <v>104</v>
      </c>
      <c r="O662" s="1">
        <v>641</v>
      </c>
      <c r="P662" s="1">
        <v>817</v>
      </c>
      <c r="Q662" s="59">
        <f>SUM(N662:P662)</f>
        <v>1562</v>
      </c>
      <c r="R662" s="59">
        <f>+E662+I662+M662+Q662</f>
        <v>8742</v>
      </c>
    </row>
    <row r="663" spans="1:18" ht="15.75" customHeight="1" x14ac:dyDescent="0.3">
      <c r="A663" s="74" t="s">
        <v>553</v>
      </c>
      <c r="B663" s="1">
        <v>93</v>
      </c>
      <c r="C663" s="1">
        <v>490</v>
      </c>
      <c r="D663" s="1">
        <v>537</v>
      </c>
      <c r="E663" s="59">
        <f>SUM(B663:D663)</f>
        <v>1120</v>
      </c>
      <c r="F663" s="1">
        <v>444</v>
      </c>
      <c r="G663" s="1">
        <v>1079</v>
      </c>
      <c r="H663" s="1">
        <v>933</v>
      </c>
      <c r="I663" s="59">
        <f>SUM(F663:H663)</f>
        <v>2456</v>
      </c>
      <c r="J663" s="1">
        <v>874</v>
      </c>
      <c r="K663" s="1">
        <v>602</v>
      </c>
      <c r="L663" s="1">
        <v>170</v>
      </c>
      <c r="M663" s="59">
        <f>SUM(J663:L663)</f>
        <v>1646</v>
      </c>
      <c r="N663" s="1"/>
      <c r="O663" s="1"/>
      <c r="P663" s="1"/>
      <c r="Q663" s="59">
        <f>SUM(N663:P663)</f>
        <v>0</v>
      </c>
      <c r="R663" s="59">
        <f>+E663+I663+M663+Q663</f>
        <v>5222</v>
      </c>
    </row>
    <row r="664" spans="1:18" ht="15.75" customHeight="1" x14ac:dyDescent="0.3">
      <c r="A664" s="74" t="s">
        <v>554</v>
      </c>
      <c r="B664" s="1">
        <v>69</v>
      </c>
      <c r="C664" s="1">
        <v>37</v>
      </c>
      <c r="D664" s="1">
        <v>72</v>
      </c>
      <c r="E664" s="59">
        <f>SUM(B664:D664)</f>
        <v>178</v>
      </c>
      <c r="F664" s="1">
        <v>188</v>
      </c>
      <c r="G664" s="1">
        <v>69</v>
      </c>
      <c r="H664" s="1"/>
      <c r="I664" s="59">
        <f>SUM(F664:H664)</f>
        <v>257</v>
      </c>
      <c r="J664" s="1"/>
      <c r="K664" s="1"/>
      <c r="L664" s="1"/>
      <c r="M664" s="59">
        <f>SUM(J664:L664)</f>
        <v>0</v>
      </c>
      <c r="N664" s="1"/>
      <c r="O664" s="1"/>
      <c r="P664" s="1">
        <v>37</v>
      </c>
      <c r="Q664" s="59">
        <f>SUM(N664:P664)</f>
        <v>37</v>
      </c>
      <c r="R664" s="59">
        <f>+E664+I664+M664+Q664</f>
        <v>472</v>
      </c>
    </row>
    <row r="665" spans="1:18" ht="15.75" customHeight="1" x14ac:dyDescent="0.3">
      <c r="A665" s="17" t="s">
        <v>47</v>
      </c>
      <c r="B665" s="1"/>
      <c r="C665" s="1"/>
      <c r="D665" s="1"/>
      <c r="E665" s="59" t="s">
        <v>7</v>
      </c>
      <c r="F665" s="1"/>
      <c r="G665" s="1"/>
      <c r="H665" s="1"/>
      <c r="I665" s="59" t="s">
        <v>7</v>
      </c>
      <c r="J665" s="1"/>
      <c r="K665" s="1"/>
      <c r="L665" s="1"/>
      <c r="M665" s="59" t="s">
        <v>7</v>
      </c>
      <c r="N665" s="1"/>
      <c r="O665" s="1"/>
      <c r="P665" s="1"/>
      <c r="Q665" s="59" t="s">
        <v>7</v>
      </c>
      <c r="R665" s="59" t="s">
        <v>7</v>
      </c>
    </row>
    <row r="666" spans="1:18" ht="15.75" customHeight="1" x14ac:dyDescent="0.3">
      <c r="A666" s="17" t="s">
        <v>49</v>
      </c>
      <c r="B666" s="1"/>
      <c r="C666" s="1"/>
      <c r="D666" s="1"/>
      <c r="E666" s="59" t="s">
        <v>7</v>
      </c>
      <c r="F666" s="1"/>
      <c r="G666" s="1"/>
      <c r="H666" s="1"/>
      <c r="I666" s="59" t="s">
        <v>7</v>
      </c>
      <c r="J666" s="1"/>
      <c r="K666" s="1"/>
      <c r="L666" s="1"/>
      <c r="M666" s="59" t="s">
        <v>7</v>
      </c>
      <c r="N666" s="1"/>
      <c r="O666" s="1"/>
      <c r="P666" s="1"/>
      <c r="Q666" s="59" t="s">
        <v>7</v>
      </c>
      <c r="R666" s="59" t="s">
        <v>7</v>
      </c>
    </row>
    <row r="667" spans="1:18" ht="15.75" customHeight="1" thickBot="1" x14ac:dyDescent="0.35">
      <c r="A667" s="17" t="s">
        <v>51</v>
      </c>
      <c r="B667" s="1"/>
      <c r="C667" s="1"/>
      <c r="D667" s="1"/>
      <c r="E667" s="59" t="s">
        <v>7</v>
      </c>
      <c r="F667" s="1"/>
      <c r="G667" s="1"/>
      <c r="H667" s="1"/>
      <c r="I667" s="59" t="s">
        <v>7</v>
      </c>
      <c r="J667" s="1"/>
      <c r="K667" s="1"/>
      <c r="L667" s="1"/>
      <c r="M667" s="59" t="s">
        <v>7</v>
      </c>
      <c r="N667" s="1"/>
      <c r="O667" s="1"/>
      <c r="P667" s="1"/>
      <c r="Q667" s="59" t="s">
        <v>7</v>
      </c>
      <c r="R667" s="59" t="s">
        <v>7</v>
      </c>
    </row>
    <row r="668" spans="1:18" ht="16.5" customHeight="1" thickBot="1" x14ac:dyDescent="0.35">
      <c r="A668" s="126" t="s">
        <v>52</v>
      </c>
      <c r="B668" s="100">
        <f>SUM(B660:B667)</f>
        <v>276</v>
      </c>
      <c r="C668" s="101">
        <f>SUM(C660:C667)</f>
        <v>875</v>
      </c>
      <c r="D668" s="101">
        <f>SUM(D660:D667)</f>
        <v>941</v>
      </c>
      <c r="E668" s="64">
        <f>SUM(B668:D668)</f>
        <v>2092</v>
      </c>
      <c r="F668" s="101">
        <f>SUM(F660:F667)</f>
        <v>1414</v>
      </c>
      <c r="G668" s="101">
        <f>SUM(G660:G667)</f>
        <v>1514</v>
      </c>
      <c r="H668" s="101">
        <f>SUM(H660:H667)</f>
        <v>1705</v>
      </c>
      <c r="I668" s="64">
        <f>SUM(F668:H668)</f>
        <v>4633</v>
      </c>
      <c r="J668" s="101">
        <f>SUM(J660:J667)</f>
        <v>1541</v>
      </c>
      <c r="K668" s="101">
        <f>SUM(K660:K667)</f>
        <v>2519</v>
      </c>
      <c r="L668" s="101">
        <f>SUM(L660:L667)</f>
        <v>2052</v>
      </c>
      <c r="M668" s="64">
        <f>SUM(J668:L668)</f>
        <v>6112</v>
      </c>
      <c r="N668" s="101">
        <f>SUM(N660:N667)</f>
        <v>104</v>
      </c>
      <c r="O668" s="101">
        <f>SUM(O660:O667)</f>
        <v>641</v>
      </c>
      <c r="P668" s="101">
        <f>SUM(P660:P667)</f>
        <v>854</v>
      </c>
      <c r="Q668" s="64">
        <f>SUM(N668:P668)</f>
        <v>1599</v>
      </c>
      <c r="R668" s="64">
        <f>+E668+I668+M668+Q668</f>
        <v>14436</v>
      </c>
    </row>
    <row r="669" spans="1:18" ht="15.75" customHeight="1" x14ac:dyDescent="0.3">
      <c r="A669" s="17" t="s">
        <v>53</v>
      </c>
      <c r="B669" s="1"/>
      <c r="C669" s="1"/>
      <c r="D669" s="1"/>
      <c r="E669" s="59" t="s">
        <v>7</v>
      </c>
      <c r="F669" s="1"/>
      <c r="G669" s="1"/>
      <c r="H669" s="1"/>
      <c r="I669" s="59" t="s">
        <v>7</v>
      </c>
      <c r="J669" s="1"/>
      <c r="K669" s="1"/>
      <c r="L669" s="1"/>
      <c r="M669" s="59" t="s">
        <v>7</v>
      </c>
      <c r="N669" s="1"/>
      <c r="O669" s="1"/>
      <c r="P669" s="1"/>
      <c r="Q669" s="59" t="s">
        <v>7</v>
      </c>
      <c r="R669" s="59" t="s">
        <v>7</v>
      </c>
    </row>
    <row r="670" spans="1:18" ht="15.75" customHeight="1" x14ac:dyDescent="0.3">
      <c r="A670" s="17" t="s">
        <v>55</v>
      </c>
      <c r="B670" s="1"/>
      <c r="C670" s="1"/>
      <c r="D670" s="1"/>
      <c r="E670" s="59" t="s">
        <v>7</v>
      </c>
      <c r="F670" s="1"/>
      <c r="G670" s="1"/>
      <c r="H670" s="1"/>
      <c r="I670" s="59" t="s">
        <v>7</v>
      </c>
      <c r="J670" s="1"/>
      <c r="K670" s="1"/>
      <c r="L670" s="1"/>
      <c r="M670" s="59" t="s">
        <v>7</v>
      </c>
      <c r="N670" s="1"/>
      <c r="O670" s="1"/>
      <c r="P670" s="1"/>
      <c r="Q670" s="59" t="s">
        <v>7</v>
      </c>
      <c r="R670" s="59" t="s">
        <v>7</v>
      </c>
    </row>
    <row r="671" spans="1:18" ht="15.75" customHeight="1" thickBot="1" x14ac:dyDescent="0.35">
      <c r="A671" s="17" t="s">
        <v>56</v>
      </c>
      <c r="B671" s="1"/>
      <c r="C671" s="1"/>
      <c r="D671" s="1"/>
      <c r="E671" s="59" t="s">
        <v>7</v>
      </c>
      <c r="F671" s="1"/>
      <c r="G671" s="1"/>
      <c r="H671" s="1"/>
      <c r="I671" s="59" t="s">
        <v>7</v>
      </c>
      <c r="J671" s="1"/>
      <c r="K671" s="1"/>
      <c r="L671" s="1"/>
      <c r="M671" s="59" t="s">
        <v>7</v>
      </c>
      <c r="N671" s="1"/>
      <c r="O671" s="1"/>
      <c r="P671" s="1"/>
      <c r="Q671" s="59" t="s">
        <v>7</v>
      </c>
      <c r="R671" s="59" t="s">
        <v>7</v>
      </c>
    </row>
    <row r="672" spans="1:18" ht="16.5" customHeight="1" thickBot="1" x14ac:dyDescent="0.35">
      <c r="A672" s="62" t="s">
        <v>57</v>
      </c>
      <c r="B672" s="100">
        <f>SUM(B669:B671)</f>
        <v>0</v>
      </c>
      <c r="C672" s="101">
        <f>SUM(C669:C671)</f>
        <v>0</v>
      </c>
      <c r="D672" s="101">
        <f>SUM(D669:D671)</f>
        <v>0</v>
      </c>
      <c r="E672" s="64">
        <f>SUM(B672:D672)</f>
        <v>0</v>
      </c>
      <c r="F672" s="101">
        <f>SUM(F669:F671)</f>
        <v>0</v>
      </c>
      <c r="G672" s="101">
        <f>SUM(G669:G671)</f>
        <v>0</v>
      </c>
      <c r="H672" s="101">
        <f>SUM(H669:H671)</f>
        <v>0</v>
      </c>
      <c r="I672" s="64">
        <f>SUM(F672:H672)</f>
        <v>0</v>
      </c>
      <c r="J672" s="101">
        <f>SUM(J669:J671)</f>
        <v>0</v>
      </c>
      <c r="K672" s="101">
        <f>SUM(K669:K671)</f>
        <v>0</v>
      </c>
      <c r="L672" s="101">
        <f>SUM(L669:L671)</f>
        <v>0</v>
      </c>
      <c r="M672" s="64">
        <f>SUM(J672:L672)</f>
        <v>0</v>
      </c>
      <c r="N672" s="101">
        <f>SUM(N669:N671)</f>
        <v>0</v>
      </c>
      <c r="O672" s="101">
        <f>SUM(O669:O671)</f>
        <v>0</v>
      </c>
      <c r="P672" s="101">
        <f>SUM(P669:P671)</f>
        <v>0</v>
      </c>
      <c r="Q672" s="64">
        <f>SUM(N672:P672)</f>
        <v>0</v>
      </c>
      <c r="R672" s="64">
        <f>+E672+I672+M672+Q672</f>
        <v>0</v>
      </c>
    </row>
    <row r="673" spans="1:18" ht="15.75" customHeight="1" x14ac:dyDescent="0.3">
      <c r="A673" s="17" t="s">
        <v>58</v>
      </c>
      <c r="B673" s="1"/>
      <c r="C673" s="1"/>
      <c r="D673" s="1"/>
      <c r="E673" s="59" t="s">
        <v>7</v>
      </c>
      <c r="F673" s="1"/>
      <c r="G673" s="1"/>
      <c r="H673" s="1"/>
      <c r="I673" s="59" t="s">
        <v>7</v>
      </c>
      <c r="J673" s="1"/>
      <c r="K673" s="1"/>
      <c r="L673" s="1"/>
      <c r="M673" s="59" t="s">
        <v>7</v>
      </c>
      <c r="N673" s="1"/>
      <c r="O673" s="1"/>
      <c r="P673" s="1"/>
      <c r="Q673" s="59" t="s">
        <v>7</v>
      </c>
      <c r="R673" s="59" t="s">
        <v>7</v>
      </c>
    </row>
    <row r="674" spans="1:18" ht="15.75" customHeight="1" x14ac:dyDescent="0.3">
      <c r="A674" s="17" t="s">
        <v>59</v>
      </c>
      <c r="B674" s="1"/>
      <c r="C674" s="1"/>
      <c r="D674" s="1"/>
      <c r="E674" s="59" t="s">
        <v>7</v>
      </c>
      <c r="F674" s="1"/>
      <c r="G674" s="1"/>
      <c r="H674" s="1"/>
      <c r="I674" s="59" t="s">
        <v>7</v>
      </c>
      <c r="J674" s="1"/>
      <c r="K674" s="1"/>
      <c r="L674" s="1"/>
      <c r="M674" s="59" t="s">
        <v>7</v>
      </c>
      <c r="N674" s="1"/>
      <c r="O674" s="1"/>
      <c r="P674" s="1"/>
      <c r="Q674" s="59" t="s">
        <v>7</v>
      </c>
      <c r="R674" s="59" t="s">
        <v>7</v>
      </c>
    </row>
    <row r="675" spans="1:18" ht="15.75" customHeight="1" thickBot="1" x14ac:dyDescent="0.35">
      <c r="A675" s="17" t="s">
        <v>60</v>
      </c>
      <c r="B675" s="1"/>
      <c r="C675" s="1"/>
      <c r="D675" s="1"/>
      <c r="E675" s="59" t="s">
        <v>7</v>
      </c>
      <c r="F675" s="1"/>
      <c r="G675" s="1"/>
      <c r="H675" s="1"/>
      <c r="I675" s="59" t="s">
        <v>7</v>
      </c>
      <c r="J675" s="1"/>
      <c r="K675" s="1"/>
      <c r="L675" s="1"/>
      <c r="M675" s="59" t="s">
        <v>7</v>
      </c>
      <c r="N675" s="1"/>
      <c r="O675" s="1"/>
      <c r="P675" s="1"/>
      <c r="Q675" s="59" t="s">
        <v>7</v>
      </c>
      <c r="R675" s="59" t="s">
        <v>7</v>
      </c>
    </row>
    <row r="676" spans="1:18" ht="16.5" customHeight="1" thickBot="1" x14ac:dyDescent="0.35">
      <c r="A676" s="137" t="s">
        <v>61</v>
      </c>
      <c r="B676" s="100">
        <f>SUM(B673:B675)</f>
        <v>0</v>
      </c>
      <c r="C676" s="101">
        <f>SUM(C673:C675)</f>
        <v>0</v>
      </c>
      <c r="D676" s="101">
        <f>SUM(D673:D675)</f>
        <v>0</v>
      </c>
      <c r="E676" s="64">
        <f>SUM(B676:D676)</f>
        <v>0</v>
      </c>
      <c r="F676" s="101">
        <f>SUM(F673:F675)</f>
        <v>0</v>
      </c>
      <c r="G676" s="101">
        <f>SUM(G673:G675)</f>
        <v>0</v>
      </c>
      <c r="H676" s="101">
        <f>SUM(H673:H675)</f>
        <v>0</v>
      </c>
      <c r="I676" s="64">
        <f>SUM(F676:H676)</f>
        <v>0</v>
      </c>
      <c r="J676" s="101">
        <f>SUM(J673:J675)</f>
        <v>0</v>
      </c>
      <c r="K676" s="101">
        <f>SUM(K673:K675)</f>
        <v>0</v>
      </c>
      <c r="L676" s="101">
        <f>SUM(L673:L675)</f>
        <v>0</v>
      </c>
      <c r="M676" s="64">
        <f>SUM(J676:L676)</f>
        <v>0</v>
      </c>
      <c r="N676" s="101">
        <f>SUM(N673:N675)</f>
        <v>0</v>
      </c>
      <c r="O676" s="101">
        <f>SUM(O673:O675)</f>
        <v>0</v>
      </c>
      <c r="P676" s="101">
        <f>SUM(P673:P675)</f>
        <v>0</v>
      </c>
      <c r="Q676" s="64">
        <f>SUM(N676:P676)</f>
        <v>0</v>
      </c>
      <c r="R676" s="64">
        <f>+E676+I676+M676+Q676</f>
        <v>0</v>
      </c>
    </row>
    <row r="677" spans="1:18" ht="15.75" customHeight="1" x14ac:dyDescent="0.3">
      <c r="A677" s="17" t="s">
        <v>62</v>
      </c>
      <c r="B677" s="1"/>
      <c r="C677" s="1"/>
      <c r="D677" s="1"/>
      <c r="E677" s="59" t="s">
        <v>7</v>
      </c>
      <c r="F677" s="1"/>
      <c r="G677" s="1"/>
      <c r="H677" s="1"/>
      <c r="I677" s="59" t="s">
        <v>7</v>
      </c>
      <c r="J677" s="1"/>
      <c r="K677" s="1"/>
      <c r="L677" s="1"/>
      <c r="M677" s="59" t="s">
        <v>7</v>
      </c>
      <c r="N677" s="1"/>
      <c r="O677" s="1"/>
      <c r="P677" s="1"/>
      <c r="Q677" s="59" t="s">
        <v>7</v>
      </c>
      <c r="R677" s="59" t="s">
        <v>7</v>
      </c>
    </row>
    <row r="678" spans="1:18" ht="15.75" customHeight="1" x14ac:dyDescent="0.3">
      <c r="A678" s="17" t="s">
        <v>63</v>
      </c>
      <c r="B678" s="1"/>
      <c r="C678" s="1"/>
      <c r="D678" s="1"/>
      <c r="E678" s="59" t="s">
        <v>7</v>
      </c>
      <c r="F678" s="1"/>
      <c r="G678" s="1"/>
      <c r="H678" s="1"/>
      <c r="I678" s="59" t="s">
        <v>7</v>
      </c>
      <c r="J678" s="1"/>
      <c r="K678" s="1"/>
      <c r="L678" s="1"/>
      <c r="M678" s="59" t="s">
        <v>7</v>
      </c>
      <c r="N678" s="1"/>
      <c r="O678" s="1"/>
      <c r="P678" s="1"/>
      <c r="Q678" s="59" t="s">
        <v>7</v>
      </c>
      <c r="R678" s="59" t="s">
        <v>7</v>
      </c>
    </row>
    <row r="679" spans="1:18" ht="15.75" customHeight="1" x14ac:dyDescent="0.3">
      <c r="A679" s="17" t="s">
        <v>64</v>
      </c>
      <c r="B679" s="1"/>
      <c r="C679" s="1"/>
      <c r="D679" s="1"/>
      <c r="E679" s="59" t="s">
        <v>7</v>
      </c>
      <c r="F679" s="1"/>
      <c r="G679" s="1"/>
      <c r="H679" s="1"/>
      <c r="I679" s="59" t="s">
        <v>7</v>
      </c>
      <c r="J679" s="1"/>
      <c r="K679" s="1"/>
      <c r="L679" s="1"/>
      <c r="M679" s="59" t="s">
        <v>7</v>
      </c>
      <c r="N679" s="1"/>
      <c r="O679" s="1"/>
      <c r="P679" s="1"/>
      <c r="Q679" s="59" t="s">
        <v>7</v>
      </c>
      <c r="R679" s="59" t="s">
        <v>7</v>
      </c>
    </row>
    <row r="680" spans="1:18" ht="15.75" customHeight="1" x14ac:dyDescent="0.3">
      <c r="A680" s="74" t="s">
        <v>555</v>
      </c>
      <c r="B680" s="1"/>
      <c r="C680" s="1"/>
      <c r="D680" s="1"/>
      <c r="E680" s="59">
        <f>SUM(B680:D680)</f>
        <v>0</v>
      </c>
      <c r="F680" s="1"/>
      <c r="G680" s="1"/>
      <c r="H680" s="1"/>
      <c r="I680" s="59">
        <f>SUM(F680:H680)</f>
        <v>0</v>
      </c>
      <c r="J680" s="1"/>
      <c r="K680" s="1"/>
      <c r="L680" s="1"/>
      <c r="M680" s="59">
        <f>SUM(J680:L680)</f>
        <v>0</v>
      </c>
      <c r="N680" s="1"/>
      <c r="O680" s="1"/>
      <c r="P680" s="1"/>
      <c r="Q680" s="59">
        <f>SUM(N680:P680)</f>
        <v>0</v>
      </c>
      <c r="R680" s="59">
        <f>+E680+I680+M680+Q680</f>
        <v>0</v>
      </c>
    </row>
    <row r="681" spans="1:18" ht="15.75" customHeight="1" x14ac:dyDescent="0.3">
      <c r="A681" s="17" t="s">
        <v>66</v>
      </c>
      <c r="B681" s="1"/>
      <c r="C681" s="1"/>
      <c r="D681" s="1"/>
      <c r="E681" s="59" t="s">
        <v>7</v>
      </c>
      <c r="F681" s="1"/>
      <c r="G681" s="1"/>
      <c r="H681" s="1"/>
      <c r="I681" s="59" t="s">
        <v>7</v>
      </c>
      <c r="J681" s="1"/>
      <c r="K681" s="1"/>
      <c r="L681" s="1"/>
      <c r="M681" s="59" t="s">
        <v>7</v>
      </c>
      <c r="N681" s="1"/>
      <c r="O681" s="1"/>
      <c r="P681" s="1"/>
      <c r="Q681" s="59" t="s">
        <v>7</v>
      </c>
      <c r="R681" s="59" t="s">
        <v>7</v>
      </c>
    </row>
    <row r="682" spans="1:18" ht="15.75" customHeight="1" thickBot="1" x14ac:dyDescent="0.35">
      <c r="A682" s="17" t="s">
        <v>67</v>
      </c>
      <c r="B682" s="1"/>
      <c r="C682" s="1"/>
      <c r="D682" s="1"/>
      <c r="E682" s="59" t="s">
        <v>7</v>
      </c>
      <c r="F682" s="1"/>
      <c r="G682" s="1"/>
      <c r="H682" s="1"/>
      <c r="I682" s="59" t="s">
        <v>7</v>
      </c>
      <c r="J682" s="1"/>
      <c r="K682" s="1"/>
      <c r="L682" s="1"/>
      <c r="M682" s="59" t="s">
        <v>7</v>
      </c>
      <c r="N682" s="1"/>
      <c r="O682" s="1"/>
      <c r="P682" s="1"/>
      <c r="Q682" s="59" t="s">
        <v>7</v>
      </c>
      <c r="R682" s="59" t="s">
        <v>7</v>
      </c>
    </row>
    <row r="683" spans="1:18" ht="16.5" customHeight="1" thickBot="1" x14ac:dyDescent="0.35">
      <c r="A683" s="62" t="s">
        <v>68</v>
      </c>
      <c r="B683" s="63">
        <f>SUM(B681:B682)</f>
        <v>0</v>
      </c>
      <c r="C683" s="63">
        <f>SUM(C681:C682)</f>
        <v>0</v>
      </c>
      <c r="D683" s="63">
        <f>SUM(D681:D682)</f>
        <v>0</v>
      </c>
      <c r="E683" s="334">
        <f>SUM(B683:D683)</f>
        <v>0</v>
      </c>
      <c r="F683" s="63">
        <f>SUM(F681:F682)</f>
        <v>0</v>
      </c>
      <c r="G683" s="63">
        <f>SUM(G681:G682)</f>
        <v>0</v>
      </c>
      <c r="H683" s="63">
        <f>SUM(H681:H682)</f>
        <v>0</v>
      </c>
      <c r="I683" s="334">
        <f>SUM(F683:H683)</f>
        <v>0</v>
      </c>
      <c r="J683" s="63">
        <f>SUM(J681:J682)</f>
        <v>0</v>
      </c>
      <c r="K683" s="63">
        <f>SUM(K681:K682)</f>
        <v>0</v>
      </c>
      <c r="L683" s="63">
        <f>SUM(L681:L682)</f>
        <v>0</v>
      </c>
      <c r="M683" s="334">
        <f>SUM(J683:L683)</f>
        <v>0</v>
      </c>
      <c r="N683" s="63">
        <f>SUM(N681:N682)</f>
        <v>0</v>
      </c>
      <c r="O683" s="63">
        <f>SUM(O681:O682)</f>
        <v>0</v>
      </c>
      <c r="P683" s="63">
        <f>SUM(P681:P682)</f>
        <v>0</v>
      </c>
      <c r="Q683" s="334">
        <f>SUM(N683:P683)</f>
        <v>0</v>
      </c>
      <c r="R683" s="64">
        <f>+E683+I683+M683+Q683</f>
        <v>0</v>
      </c>
    </row>
    <row r="684" spans="1:18" ht="16.5" customHeight="1" thickBot="1" x14ac:dyDescent="0.35">
      <c r="A684" s="137" t="s">
        <v>69</v>
      </c>
      <c r="B684" s="100">
        <f>SUM(B677:B682)</f>
        <v>0</v>
      </c>
      <c r="C684" s="101">
        <f>SUM(C677:C682)</f>
        <v>0</v>
      </c>
      <c r="D684" s="138">
        <f>SUM(D677:D682)</f>
        <v>0</v>
      </c>
      <c r="E684" s="334">
        <f>SUM(B684:D684)</f>
        <v>0</v>
      </c>
      <c r="F684" s="101">
        <f>SUM(F677:F682)</f>
        <v>0</v>
      </c>
      <c r="G684" s="101">
        <f>SUM(G677:G682)</f>
        <v>0</v>
      </c>
      <c r="H684" s="101">
        <f>SUM(H677:H682)</f>
        <v>0</v>
      </c>
      <c r="I684" s="334">
        <f>SUM(F684:H684)</f>
        <v>0</v>
      </c>
      <c r="J684" s="101">
        <f>SUM(J677:J682)</f>
        <v>0</v>
      </c>
      <c r="K684" s="101">
        <f>SUM(K677:K682)</f>
        <v>0</v>
      </c>
      <c r="L684" s="101">
        <f>SUM(L677:L682)</f>
        <v>0</v>
      </c>
      <c r="M684" s="334">
        <f>SUM(J684:L684)</f>
        <v>0</v>
      </c>
      <c r="N684" s="101">
        <f>SUM(N677:N682)</f>
        <v>0</v>
      </c>
      <c r="O684" s="101">
        <f>SUM(O677:O682)</f>
        <v>0</v>
      </c>
      <c r="P684" s="101">
        <f>SUM(P677:P682)</f>
        <v>0</v>
      </c>
      <c r="Q684" s="334">
        <f>SUM(N684:P684)</f>
        <v>0</v>
      </c>
      <c r="R684" s="64">
        <f>+E684+I684+M684+Q684</f>
        <v>0</v>
      </c>
    </row>
    <row r="685" spans="1:18" ht="16.5" customHeight="1" thickBot="1" x14ac:dyDescent="0.35">
      <c r="A685" s="62" t="s">
        <v>70</v>
      </c>
      <c r="B685" s="107">
        <f>+B668+B672+B676+B684</f>
        <v>276</v>
      </c>
      <c r="C685" s="63">
        <f>+C668+C672+C676+C684</f>
        <v>875</v>
      </c>
      <c r="D685" s="63">
        <f>+D668+D672+D676+D684</f>
        <v>941</v>
      </c>
      <c r="E685" s="64">
        <f>SUM(B685:D685)</f>
        <v>2092</v>
      </c>
      <c r="F685" s="63">
        <f>+F668+F672+F676+F684</f>
        <v>1414</v>
      </c>
      <c r="G685" s="63">
        <f>+G668+G672+G676+G684</f>
        <v>1514</v>
      </c>
      <c r="H685" s="63">
        <f>+H668+H672+H676+H684</f>
        <v>1705</v>
      </c>
      <c r="I685" s="64">
        <f>SUM(F685:H685)</f>
        <v>4633</v>
      </c>
      <c r="J685" s="63">
        <f>+J668+J672+J676+J684</f>
        <v>1541</v>
      </c>
      <c r="K685" s="63">
        <f>+K668+K672+K676+K684</f>
        <v>2519</v>
      </c>
      <c r="L685" s="63">
        <f>+L668+L672+L676+L684</f>
        <v>2052</v>
      </c>
      <c r="M685" s="64">
        <f>SUM(J685:L685)</f>
        <v>6112</v>
      </c>
      <c r="N685" s="63">
        <f>+N668+N672+N676+N684</f>
        <v>104</v>
      </c>
      <c r="O685" s="63">
        <f>+O668+O672+O676+O684</f>
        <v>641</v>
      </c>
      <c r="P685" s="63">
        <f>+P668+P672+P676+P684</f>
        <v>854</v>
      </c>
      <c r="Q685" s="64">
        <f>SUM(N685:P685)</f>
        <v>1599</v>
      </c>
      <c r="R685" s="88">
        <f>+E685+I685+M685+Q685</f>
        <v>14436</v>
      </c>
    </row>
    <row r="686" spans="1:18" ht="16.5" customHeight="1" thickBot="1" x14ac:dyDescent="0.35">
      <c r="A686" s="40" t="s">
        <v>37</v>
      </c>
      <c r="B686" s="25">
        <v>10</v>
      </c>
      <c r="C686" s="25">
        <v>11</v>
      </c>
      <c r="D686" s="25">
        <v>14</v>
      </c>
      <c r="E686" s="59">
        <f>SUM(B686:D686)</f>
        <v>35</v>
      </c>
      <c r="F686" s="25">
        <v>18</v>
      </c>
      <c r="G686" s="25">
        <v>21</v>
      </c>
      <c r="H686" s="25">
        <v>22</v>
      </c>
      <c r="I686" s="59">
        <f>SUM(F686:H686)</f>
        <v>61</v>
      </c>
      <c r="J686" s="25">
        <v>19</v>
      </c>
      <c r="K686" s="25">
        <v>17</v>
      </c>
      <c r="L686" s="25">
        <v>17</v>
      </c>
      <c r="M686" s="59">
        <f>SUM(J686:L686)</f>
        <v>53</v>
      </c>
      <c r="N686" s="25">
        <v>14</v>
      </c>
      <c r="O686" s="25">
        <v>11</v>
      </c>
      <c r="P686" s="25">
        <v>9</v>
      </c>
      <c r="Q686" s="59">
        <f>SUM(N686:P686)</f>
        <v>34</v>
      </c>
      <c r="R686" s="59">
        <f>+E686+I686+M686+Q686</f>
        <v>183</v>
      </c>
    </row>
    <row r="687" spans="1:18" ht="16.5" customHeight="1" thickBot="1" x14ac:dyDescent="0.35">
      <c r="A687" s="42"/>
      <c r="B687" s="37"/>
      <c r="C687" s="37"/>
      <c r="D687" s="37"/>
      <c r="E687" s="16"/>
      <c r="F687" s="37"/>
      <c r="G687" s="37"/>
      <c r="H687" s="37"/>
      <c r="I687" s="16"/>
      <c r="J687" s="37"/>
      <c r="K687" s="37"/>
      <c r="L687" s="37"/>
      <c r="M687" s="345"/>
      <c r="N687" s="37"/>
      <c r="O687" s="37"/>
      <c r="P687" s="37"/>
      <c r="Q687" s="345"/>
      <c r="R687" s="327"/>
    </row>
    <row r="688" spans="1:18" ht="15.75" customHeight="1" x14ac:dyDescent="0.3">
      <c r="A688" s="17" t="s">
        <v>507</v>
      </c>
      <c r="B688" s="1">
        <f>SUM(B685:B686)</f>
        <v>286</v>
      </c>
      <c r="C688" s="1">
        <f>SUM(C685:C686)</f>
        <v>886</v>
      </c>
      <c r="D688" s="1">
        <f>SUM(D685:D686)</f>
        <v>955</v>
      </c>
      <c r="E688" s="59">
        <f>SUM(B688:D688)</f>
        <v>2127</v>
      </c>
      <c r="F688" s="1">
        <f>SUM(F685:F686)</f>
        <v>1432</v>
      </c>
      <c r="G688" s="1">
        <f>SUM(G685:G686)</f>
        <v>1535</v>
      </c>
      <c r="H688" s="1">
        <f>SUM(H685:H686)</f>
        <v>1727</v>
      </c>
      <c r="I688" s="334">
        <f>SUM(F688:H688)</f>
        <v>4694</v>
      </c>
      <c r="J688" s="1">
        <f>SUM(J685:J686)</f>
        <v>1560</v>
      </c>
      <c r="K688" s="1">
        <f>SUM(K685:K686)</f>
        <v>2536</v>
      </c>
      <c r="L688" s="1">
        <f>SUM(L685:L686)</f>
        <v>2069</v>
      </c>
      <c r="M688" s="334">
        <f>SUM(J688:L688)</f>
        <v>6165</v>
      </c>
      <c r="N688" s="1">
        <f>SUM(N685:N686)</f>
        <v>118</v>
      </c>
      <c r="O688" s="1">
        <f>SUM(O685:O686)</f>
        <v>652</v>
      </c>
      <c r="P688" s="1">
        <f>SUM(P685:P686)</f>
        <v>863</v>
      </c>
      <c r="Q688" s="334">
        <f>SUM(N688:P688)</f>
        <v>1633</v>
      </c>
      <c r="R688" s="334">
        <f>+E688+I688+M688+Q688</f>
        <v>14619</v>
      </c>
    </row>
    <row r="689" spans="1:18" ht="15.75" customHeight="1" x14ac:dyDescent="0.3">
      <c r="A689" s="17" t="s">
        <v>39</v>
      </c>
      <c r="B689" s="1">
        <f>(B688/B10)/1.983</f>
        <v>4.6524490426691392</v>
      </c>
      <c r="C689" s="1">
        <f>(C688/C10)/1.983</f>
        <v>15.957063612131689</v>
      </c>
      <c r="D689" s="1">
        <f>(D688/D10)/1.983</f>
        <v>15.535275649472124</v>
      </c>
      <c r="E689" s="59" t="s">
        <v>7</v>
      </c>
      <c r="F689" s="1">
        <f>(F688/F10)/1.983</f>
        <v>24.071272482770212</v>
      </c>
      <c r="G689" s="1">
        <f>(G688/G10)/1.983</f>
        <v>24.970312169570381</v>
      </c>
      <c r="H689" s="1">
        <f>(H688/H10)/1.983</f>
        <v>29.030089090603465</v>
      </c>
      <c r="I689" s="59" t="s">
        <v>7</v>
      </c>
      <c r="J689" s="1">
        <f>(J688/J10)/1.983</f>
        <v>25.376994778195304</v>
      </c>
      <c r="K689" s="1">
        <f>(K688/K10)/1.983</f>
        <v>41.253883818912371</v>
      </c>
      <c r="L689" s="1">
        <f>(L688/L10)/1.983</f>
        <v>34.778954446125397</v>
      </c>
      <c r="M689" s="59" t="s">
        <v>7</v>
      </c>
      <c r="N689" s="1">
        <f>(N688/N10)/1.983</f>
        <v>1.9195419127096449</v>
      </c>
      <c r="O689" s="1">
        <f>(O688/O10)/1.983</f>
        <v>10.959825180702639</v>
      </c>
      <c r="P689" s="1">
        <f>(P688/P10)/1.983</f>
        <v>14.038683649732402</v>
      </c>
      <c r="Q689" s="59" t="s">
        <v>7</v>
      </c>
      <c r="R689" s="59" t="s">
        <v>7</v>
      </c>
    </row>
    <row r="690" spans="1:18" ht="15.75" customHeight="1" x14ac:dyDescent="0.3">
      <c r="A690" s="17" t="s">
        <v>556</v>
      </c>
      <c r="B690" s="1">
        <f>B688+B741</f>
        <v>11977</v>
      </c>
      <c r="C690" s="1">
        <f>C688+C741</f>
        <v>16711</v>
      </c>
      <c r="D690" s="1">
        <f>D688+D741</f>
        <v>19782</v>
      </c>
      <c r="E690" s="59">
        <f>SUM(B690:D690)</f>
        <v>48470</v>
      </c>
      <c r="F690" s="1">
        <f>F688+F741</f>
        <v>22707</v>
      </c>
      <c r="G690" s="1">
        <f>G688+G741</f>
        <v>22734</v>
      </c>
      <c r="H690" s="1">
        <f>H688+H741</f>
        <v>19616</v>
      </c>
      <c r="I690" s="59">
        <f>SUM(F690:H690)</f>
        <v>65057</v>
      </c>
      <c r="J690" s="1">
        <f>J688+J741</f>
        <v>18362</v>
      </c>
      <c r="K690" s="1">
        <f>K688+K741</f>
        <v>22588</v>
      </c>
      <c r="L690" s="1">
        <f>L688+L741</f>
        <v>18829</v>
      </c>
      <c r="M690" s="59">
        <f>SUM(J690:L690)</f>
        <v>59779</v>
      </c>
      <c r="N690" s="1">
        <f>N688+N741</f>
        <v>8975</v>
      </c>
      <c r="O690" s="1">
        <f>O688+O741</f>
        <v>4411</v>
      </c>
      <c r="P690" s="1">
        <f>P688+P741</f>
        <v>5125</v>
      </c>
      <c r="Q690" s="59">
        <f>SUM(N690:P690)</f>
        <v>18511</v>
      </c>
      <c r="R690" s="59">
        <f>+E690+I690+M690+Q690</f>
        <v>191817</v>
      </c>
    </row>
    <row r="691" spans="1:18" ht="16.5" customHeight="1" thickBot="1" x14ac:dyDescent="0.35">
      <c r="A691" s="24" t="s">
        <v>557</v>
      </c>
      <c r="B691" s="25">
        <f>(B690/B10)/1.983</f>
        <v>194.83350414002896</v>
      </c>
      <c r="C691" s="25">
        <f>(C690/C10)/1.983</f>
        <v>300.96895036380664</v>
      </c>
      <c r="D691" s="25">
        <f>(D690/D10)/1.983</f>
        <v>321.79981455273042</v>
      </c>
      <c r="E691" s="88" t="s">
        <v>7</v>
      </c>
      <c r="F691" s="25">
        <f>(F690/F10)/1.983</f>
        <v>381.69440242057487</v>
      </c>
      <c r="G691" s="25">
        <f>(G690/G10)/1.983</f>
        <v>369.8208969791616</v>
      </c>
      <c r="H691" s="25">
        <f>(H690/H10)/1.983</f>
        <v>329.73609009917629</v>
      </c>
      <c r="I691" s="88" t="s">
        <v>7</v>
      </c>
      <c r="J691" s="25">
        <f>(J690/J10)/1.983</f>
        <v>298.70024238283474</v>
      </c>
      <c r="K691" s="25">
        <f>(K690/K10)/1.983</f>
        <v>367.445870544792</v>
      </c>
      <c r="L691" s="25">
        <f>(L690/L10)/1.983</f>
        <v>316.50697596234659</v>
      </c>
      <c r="M691" s="88" t="s">
        <v>7</v>
      </c>
      <c r="N691" s="25">
        <f>(N690/N10)/1.983</f>
        <v>145.99905649634798</v>
      </c>
      <c r="O691" s="25">
        <f>(O690/O10)/1.983</f>
        <v>74.14691544797445</v>
      </c>
      <c r="P691" s="25">
        <f>(P690/P10)/1.983</f>
        <v>83.369934768109573</v>
      </c>
      <c r="Q691" s="88" t="s">
        <v>7</v>
      </c>
      <c r="R691" s="88" t="s">
        <v>7</v>
      </c>
    </row>
    <row r="692" spans="1:18" ht="15.75" customHeight="1" x14ac:dyDescent="0.3">
      <c r="A692" s="28"/>
      <c r="B692" s="1"/>
      <c r="C692" s="1"/>
      <c r="D692" s="1"/>
      <c r="E692" s="1"/>
      <c r="F692" s="1"/>
      <c r="G692" s="1"/>
      <c r="H692" s="1"/>
      <c r="I692" s="1"/>
      <c r="J692" s="1"/>
      <c r="K692" s="1"/>
      <c r="L692" s="1"/>
      <c r="M692" s="1"/>
      <c r="N692" s="1"/>
      <c r="O692" s="1"/>
      <c r="P692" s="1"/>
      <c r="Q692" s="1"/>
      <c r="R692" s="28"/>
    </row>
    <row r="693" spans="1:18" ht="16.5" customHeight="1" thickBot="1" x14ac:dyDescent="0.35">
      <c r="A693" s="123"/>
      <c r="B693" s="25"/>
      <c r="C693" s="25"/>
      <c r="D693" s="25"/>
      <c r="E693" s="25"/>
      <c r="F693" s="25"/>
      <c r="G693" s="25"/>
      <c r="H693" s="25"/>
      <c r="I693" s="25"/>
      <c r="J693" s="25"/>
      <c r="K693" s="25"/>
      <c r="L693" s="25"/>
      <c r="M693" s="25"/>
      <c r="N693" s="25"/>
      <c r="O693" s="25"/>
      <c r="P693" s="25"/>
      <c r="Q693" s="25"/>
      <c r="R693" s="123"/>
    </row>
    <row r="694" spans="1:18" ht="15.75" customHeight="1" thickBot="1" x14ac:dyDescent="0.35">
      <c r="A694" s="342" t="s">
        <v>558</v>
      </c>
      <c r="B694" s="330" t="s">
        <v>36</v>
      </c>
      <c r="C694" s="331" t="s">
        <v>9</v>
      </c>
      <c r="D694" s="331" t="s">
        <v>10</v>
      </c>
      <c r="E694" s="325" t="s">
        <v>11</v>
      </c>
      <c r="F694" s="331" t="s">
        <v>12</v>
      </c>
      <c r="G694" s="331" t="s">
        <v>13</v>
      </c>
      <c r="H694" s="331" t="s">
        <v>14</v>
      </c>
      <c r="I694" s="325" t="s">
        <v>15</v>
      </c>
      <c r="J694" s="331" t="s">
        <v>16</v>
      </c>
      <c r="K694" s="331" t="s">
        <v>17</v>
      </c>
      <c r="L694" s="331" t="s">
        <v>18</v>
      </c>
      <c r="M694" s="325" t="s">
        <v>19</v>
      </c>
      <c r="N694" s="331" t="s">
        <v>20</v>
      </c>
      <c r="O694" s="331" t="s">
        <v>21</v>
      </c>
      <c r="P694" s="331" t="s">
        <v>22</v>
      </c>
      <c r="Q694" s="325" t="s">
        <v>23</v>
      </c>
      <c r="R694" s="332" t="s">
        <v>24</v>
      </c>
    </row>
    <row r="695" spans="1:18" ht="16.5" customHeight="1" thickBot="1" x14ac:dyDescent="0.35">
      <c r="A695" s="154"/>
      <c r="B695" s="56"/>
      <c r="C695" s="56"/>
      <c r="D695" s="56"/>
      <c r="E695" s="16"/>
      <c r="F695" s="56"/>
      <c r="G695" s="56"/>
      <c r="H695" s="56"/>
      <c r="I695" s="16"/>
      <c r="J695" s="56"/>
      <c r="K695" s="56"/>
      <c r="L695" s="56"/>
      <c r="M695" s="16"/>
      <c r="N695" s="56"/>
      <c r="O695" s="56"/>
      <c r="P695" s="56"/>
      <c r="Q695" s="16"/>
      <c r="R695" s="57"/>
    </row>
    <row r="696" spans="1:18" ht="15.75" customHeight="1" x14ac:dyDescent="0.3">
      <c r="A696" s="17" t="s">
        <v>45</v>
      </c>
      <c r="B696" s="1" t="s">
        <v>7</v>
      </c>
      <c r="C696" s="1" t="s">
        <v>7</v>
      </c>
      <c r="D696" s="1" t="s">
        <v>7</v>
      </c>
      <c r="E696" s="59" t="s">
        <v>7</v>
      </c>
      <c r="F696" s="1" t="s">
        <v>7</v>
      </c>
      <c r="G696" s="1" t="s">
        <v>7</v>
      </c>
      <c r="H696" s="1" t="s">
        <v>7</v>
      </c>
      <c r="I696" s="59" t="s">
        <v>7</v>
      </c>
      <c r="J696" s="1" t="s">
        <v>7</v>
      </c>
      <c r="K696" s="1" t="s">
        <v>7</v>
      </c>
      <c r="L696" s="1" t="s">
        <v>7</v>
      </c>
      <c r="M696" s="59" t="s">
        <v>7</v>
      </c>
      <c r="N696" s="1" t="s">
        <v>7</v>
      </c>
      <c r="O696" s="1" t="s">
        <v>7</v>
      </c>
      <c r="P696" s="1" t="s">
        <v>7</v>
      </c>
      <c r="Q696" s="59" t="s">
        <v>7</v>
      </c>
      <c r="R696" s="59" t="s">
        <v>7</v>
      </c>
    </row>
    <row r="697" spans="1:18" ht="15.75" customHeight="1" x14ac:dyDescent="0.3">
      <c r="A697" s="17" t="s">
        <v>46</v>
      </c>
      <c r="B697" s="1"/>
      <c r="C697" s="1"/>
      <c r="D697" s="1"/>
      <c r="E697" s="59" t="s">
        <v>7</v>
      </c>
      <c r="F697" s="1"/>
      <c r="G697" s="1"/>
      <c r="H697" s="1"/>
      <c r="I697" s="59" t="s">
        <v>7</v>
      </c>
      <c r="J697" s="1"/>
      <c r="K697" s="1"/>
      <c r="L697" s="1"/>
      <c r="M697" s="59" t="s">
        <v>7</v>
      </c>
      <c r="N697" s="1"/>
      <c r="O697" s="1"/>
      <c r="P697" s="1"/>
      <c r="Q697" s="59" t="s">
        <v>7</v>
      </c>
      <c r="R697" s="59" t="s">
        <v>7</v>
      </c>
    </row>
    <row r="698" spans="1:18" ht="15.75" customHeight="1" x14ac:dyDescent="0.3">
      <c r="A698" s="74" t="s">
        <v>559</v>
      </c>
      <c r="B698" s="1">
        <v>3597</v>
      </c>
      <c r="C698" s="1">
        <v>4903</v>
      </c>
      <c r="D698" s="1">
        <v>7716</v>
      </c>
      <c r="E698" s="59">
        <f t="shared" ref="E698:E699" si="259">SUM(B698:D698)</f>
        <v>16216</v>
      </c>
      <c r="F698" s="1">
        <v>7493</v>
      </c>
      <c r="G698" s="1">
        <v>7706</v>
      </c>
      <c r="H698" s="1">
        <v>5408</v>
      </c>
      <c r="I698" s="59">
        <f t="shared" ref="I698:I699" si="260">SUM(F698:H698)</f>
        <v>20607</v>
      </c>
      <c r="J698" s="1">
        <v>4387</v>
      </c>
      <c r="K698" s="1">
        <v>5554</v>
      </c>
      <c r="L698" s="1">
        <v>3676</v>
      </c>
      <c r="M698" s="59">
        <f t="shared" ref="M698:M699" si="261">SUM(J698:L698)</f>
        <v>13617</v>
      </c>
      <c r="N698" s="1">
        <v>173</v>
      </c>
      <c r="O698" s="1">
        <v>276</v>
      </c>
      <c r="P698" s="1">
        <f>1026+636</f>
        <v>1662</v>
      </c>
      <c r="Q698" s="59">
        <f t="shared" ref="Q698:Q703" si="262">SUM(N698:P698)</f>
        <v>2111</v>
      </c>
      <c r="R698" s="59">
        <f>+E698+I698+M698+Q698</f>
        <v>52551</v>
      </c>
    </row>
    <row r="699" spans="1:18" ht="15.75" customHeight="1" x14ac:dyDescent="0.3">
      <c r="A699" s="74" t="s">
        <v>560</v>
      </c>
      <c r="B699" s="1"/>
      <c r="C699" s="1">
        <v>2009</v>
      </c>
      <c r="D699" s="1">
        <v>3315</v>
      </c>
      <c r="E699" s="59">
        <f t="shared" si="259"/>
        <v>5324</v>
      </c>
      <c r="F699" s="1">
        <v>3023</v>
      </c>
      <c r="G699" s="1">
        <v>3264</v>
      </c>
      <c r="H699" s="1">
        <v>3048</v>
      </c>
      <c r="I699" s="59">
        <f t="shared" si="260"/>
        <v>9335</v>
      </c>
      <c r="J699" s="1">
        <v>3301</v>
      </c>
      <c r="K699" s="1">
        <v>4166</v>
      </c>
      <c r="L699" s="1">
        <v>3985</v>
      </c>
      <c r="M699" s="59">
        <f t="shared" si="261"/>
        <v>11452</v>
      </c>
      <c r="N699" s="1">
        <v>3976</v>
      </c>
      <c r="O699" s="1"/>
      <c r="P699" s="1">
        <v>66</v>
      </c>
      <c r="Q699" s="59">
        <f t="shared" si="262"/>
        <v>4042</v>
      </c>
      <c r="R699" s="59">
        <f t="shared" ref="R699:R703" si="263">+E699+I699+M699+Q699</f>
        <v>30153</v>
      </c>
    </row>
    <row r="700" spans="1:18" ht="15.75" customHeight="1" x14ac:dyDescent="0.3">
      <c r="A700" s="74" t="s">
        <v>561</v>
      </c>
      <c r="B700" s="1">
        <v>60</v>
      </c>
      <c r="C700" s="1"/>
      <c r="D700" s="1"/>
      <c r="E700" s="59">
        <f t="shared" ref="E700:E703" si="264">SUM(B700:D700)</f>
        <v>60</v>
      </c>
      <c r="F700" s="1"/>
      <c r="G700" s="1"/>
      <c r="H700" s="1"/>
      <c r="I700" s="59">
        <f t="shared" ref="I700:I703" si="265">SUM(F700:H700)</f>
        <v>0</v>
      </c>
      <c r="J700" s="1"/>
      <c r="K700" s="1"/>
      <c r="L700" s="1"/>
      <c r="M700" s="59">
        <f t="shared" ref="M700:M703" si="266">SUM(J700:L700)</f>
        <v>0</v>
      </c>
      <c r="N700" s="1"/>
      <c r="O700" s="1"/>
      <c r="P700" s="1"/>
      <c r="Q700" s="59">
        <f t="shared" si="262"/>
        <v>0</v>
      </c>
      <c r="R700" s="59">
        <f t="shared" si="263"/>
        <v>60</v>
      </c>
    </row>
    <row r="701" spans="1:18" ht="15.75" customHeight="1" x14ac:dyDescent="0.3">
      <c r="A701" s="74" t="s">
        <v>562</v>
      </c>
      <c r="B701" s="1">
        <v>3500</v>
      </c>
      <c r="C701" s="1">
        <v>4000</v>
      </c>
      <c r="D701" s="1">
        <v>3800</v>
      </c>
      <c r="E701" s="59">
        <f t="shared" si="264"/>
        <v>11300</v>
      </c>
      <c r="G701" s="1">
        <v>3800</v>
      </c>
      <c r="H701" s="1">
        <v>3800</v>
      </c>
      <c r="I701" s="59">
        <f t="shared" si="265"/>
        <v>7600</v>
      </c>
      <c r="J701" s="1">
        <v>3800</v>
      </c>
      <c r="K701" s="1">
        <v>3800</v>
      </c>
      <c r="L701" s="1">
        <v>3800</v>
      </c>
      <c r="M701" s="59">
        <f t="shared" si="266"/>
        <v>11400</v>
      </c>
      <c r="N701" s="1">
        <v>1400</v>
      </c>
      <c r="O701" s="1">
        <v>857</v>
      </c>
      <c r="P701" s="1">
        <v>143</v>
      </c>
      <c r="Q701" s="59">
        <f t="shared" si="262"/>
        <v>2400</v>
      </c>
      <c r="R701" s="59">
        <f t="shared" si="263"/>
        <v>32700</v>
      </c>
    </row>
    <row r="702" spans="1:18" ht="15.75" customHeight="1" x14ac:dyDescent="0.3">
      <c r="A702" s="74" t="s">
        <v>563</v>
      </c>
      <c r="B702" s="1">
        <v>250</v>
      </c>
      <c r="C702" s="1">
        <v>250</v>
      </c>
      <c r="D702" s="1">
        <v>250</v>
      </c>
      <c r="E702" s="59">
        <f t="shared" si="264"/>
        <v>750</v>
      </c>
      <c r="F702" s="1">
        <v>250</v>
      </c>
      <c r="G702" s="1">
        <v>250</v>
      </c>
      <c r="H702" s="1">
        <v>250</v>
      </c>
      <c r="I702" s="59">
        <f t="shared" si="265"/>
        <v>750</v>
      </c>
      <c r="J702" s="1">
        <v>250</v>
      </c>
      <c r="K702" s="1">
        <v>250</v>
      </c>
      <c r="L702" s="1">
        <v>300</v>
      </c>
      <c r="M702" s="59">
        <f t="shared" si="266"/>
        <v>800</v>
      </c>
      <c r="N702" s="1"/>
      <c r="O702" s="1"/>
      <c r="P702" s="1"/>
      <c r="Q702" s="59">
        <f t="shared" si="262"/>
        <v>0</v>
      </c>
      <c r="R702" s="59">
        <f t="shared" si="263"/>
        <v>2300</v>
      </c>
    </row>
    <row r="703" spans="1:18" ht="15.75" customHeight="1" x14ac:dyDescent="0.3">
      <c r="A703" s="74" t="s">
        <v>564</v>
      </c>
      <c r="B703" s="1">
        <v>100</v>
      </c>
      <c r="C703" s="1">
        <v>100</v>
      </c>
      <c r="D703" s="1">
        <v>100</v>
      </c>
      <c r="E703" s="59">
        <f t="shared" si="264"/>
        <v>300</v>
      </c>
      <c r="F703" s="1">
        <v>100</v>
      </c>
      <c r="G703" s="1">
        <v>100</v>
      </c>
      <c r="H703" s="1">
        <v>100</v>
      </c>
      <c r="I703" s="59">
        <f t="shared" si="265"/>
        <v>300</v>
      </c>
      <c r="J703" s="1">
        <v>100</v>
      </c>
      <c r="K703" s="1">
        <v>157</v>
      </c>
      <c r="L703" s="1"/>
      <c r="M703" s="59">
        <f t="shared" si="266"/>
        <v>257</v>
      </c>
      <c r="N703" s="1">
        <v>100</v>
      </c>
      <c r="O703" s="1">
        <v>100</v>
      </c>
      <c r="P703" s="1">
        <v>100</v>
      </c>
      <c r="Q703" s="59">
        <f t="shared" si="262"/>
        <v>300</v>
      </c>
      <c r="R703" s="59">
        <f t="shared" si="263"/>
        <v>1157</v>
      </c>
    </row>
    <row r="704" spans="1:18" ht="15.75" customHeight="1" x14ac:dyDescent="0.3">
      <c r="A704" s="17" t="s">
        <v>47</v>
      </c>
      <c r="B704" s="1"/>
      <c r="C704" s="1"/>
      <c r="D704" s="1"/>
      <c r="E704" s="59" t="s">
        <v>7</v>
      </c>
      <c r="F704" s="1"/>
      <c r="G704" s="1"/>
      <c r="H704" s="1"/>
      <c r="I704" s="59" t="s">
        <v>7</v>
      </c>
      <c r="J704" s="1"/>
      <c r="K704" s="1"/>
      <c r="L704" s="1"/>
      <c r="M704" s="59" t="s">
        <v>7</v>
      </c>
      <c r="N704" s="1"/>
      <c r="O704" s="1"/>
      <c r="P704" s="1"/>
      <c r="Q704" s="59" t="s">
        <v>7</v>
      </c>
      <c r="R704" s="59" t="s">
        <v>7</v>
      </c>
    </row>
    <row r="705" spans="1:20" ht="15.75" customHeight="1" x14ac:dyDescent="0.3">
      <c r="A705" s="17" t="s">
        <v>49</v>
      </c>
      <c r="B705" s="1"/>
      <c r="C705" s="1"/>
      <c r="D705" s="1"/>
      <c r="E705" s="59" t="s">
        <v>7</v>
      </c>
      <c r="F705" s="1"/>
      <c r="G705" s="1"/>
      <c r="H705" s="1"/>
      <c r="I705" s="59" t="s">
        <v>7</v>
      </c>
      <c r="J705" s="1"/>
      <c r="K705" s="1"/>
      <c r="L705" s="1"/>
      <c r="M705" s="59" t="s">
        <v>7</v>
      </c>
      <c r="N705" s="1"/>
      <c r="O705" s="1"/>
      <c r="P705" s="1"/>
      <c r="Q705" s="59" t="s">
        <v>7</v>
      </c>
      <c r="R705" s="59" t="s">
        <v>7</v>
      </c>
    </row>
    <row r="706" spans="1:20" ht="15.75" customHeight="1" thickBot="1" x14ac:dyDescent="0.35">
      <c r="A706" s="17" t="s">
        <v>51</v>
      </c>
      <c r="B706" s="1"/>
      <c r="C706" s="1"/>
      <c r="D706" s="1"/>
      <c r="E706" s="59" t="s">
        <v>7</v>
      </c>
      <c r="F706" s="1"/>
      <c r="G706" s="1"/>
      <c r="H706" s="1"/>
      <c r="I706" s="59" t="s">
        <v>7</v>
      </c>
      <c r="J706" s="1"/>
      <c r="K706" s="1"/>
      <c r="L706" s="1"/>
      <c r="M706" s="59" t="s">
        <v>7</v>
      </c>
      <c r="N706" s="1"/>
      <c r="O706" s="1"/>
      <c r="P706" s="1"/>
      <c r="Q706" s="59" t="s">
        <v>7</v>
      </c>
      <c r="R706" s="59" t="s">
        <v>7</v>
      </c>
    </row>
    <row r="707" spans="1:20" ht="16.5" customHeight="1" thickBot="1" x14ac:dyDescent="0.35">
      <c r="A707" s="126" t="s">
        <v>52</v>
      </c>
      <c r="B707" s="100">
        <f>SUM(B696:B706)</f>
        <v>7507</v>
      </c>
      <c r="C707" s="101">
        <f>SUM(C696:C706)</f>
        <v>11262</v>
      </c>
      <c r="D707" s="101">
        <f>SUM(D696:D706)</f>
        <v>15181</v>
      </c>
      <c r="E707" s="64">
        <f>SUM(B707:D707)</f>
        <v>33950</v>
      </c>
      <c r="F707" s="101">
        <f>SUM(F696:F706)</f>
        <v>10866</v>
      </c>
      <c r="G707" s="101">
        <f>SUM(G696:G706)</f>
        <v>15120</v>
      </c>
      <c r="H707" s="101">
        <f>SUM(H696:H706)</f>
        <v>12606</v>
      </c>
      <c r="I707" s="64">
        <f>SUM(F707:H707)</f>
        <v>38592</v>
      </c>
      <c r="J707" s="101">
        <f>SUM(J696:J706)</f>
        <v>11838</v>
      </c>
      <c r="K707" s="101">
        <f>SUM(K696:K706)</f>
        <v>13927</v>
      </c>
      <c r="L707" s="101">
        <f>SUM(L696:L706)</f>
        <v>11761</v>
      </c>
      <c r="M707" s="64">
        <f>SUM(J707:L707)</f>
        <v>37526</v>
      </c>
      <c r="N707" s="101">
        <f>SUM(N696:N706)</f>
        <v>5649</v>
      </c>
      <c r="O707" s="101">
        <f>SUM(O696:O706)</f>
        <v>1233</v>
      </c>
      <c r="P707" s="101">
        <f>SUM(P696:P706)</f>
        <v>1971</v>
      </c>
      <c r="Q707" s="64">
        <f>SUM(N707:P707)</f>
        <v>8853</v>
      </c>
      <c r="R707" s="64">
        <f>+E707+I707+M707+Q707</f>
        <v>118921</v>
      </c>
    </row>
    <row r="708" spans="1:20" ht="15.75" customHeight="1" x14ac:dyDescent="0.3">
      <c r="A708" s="17" t="s">
        <v>53</v>
      </c>
      <c r="B708" s="1"/>
      <c r="C708" s="1"/>
      <c r="D708" s="1"/>
      <c r="E708" s="59" t="s">
        <v>7</v>
      </c>
      <c r="F708" s="1"/>
      <c r="G708" s="1"/>
      <c r="H708" s="1"/>
      <c r="I708" s="59" t="s">
        <v>7</v>
      </c>
      <c r="J708" s="1"/>
      <c r="K708" s="1"/>
      <c r="L708" s="1"/>
      <c r="M708" s="59" t="s">
        <v>7</v>
      </c>
      <c r="N708" s="1"/>
      <c r="O708" s="1"/>
      <c r="P708" s="1"/>
      <c r="Q708" s="59" t="s">
        <v>7</v>
      </c>
      <c r="R708" s="59" t="s">
        <v>7</v>
      </c>
    </row>
    <row r="709" spans="1:20" ht="15.75" customHeight="1" x14ac:dyDescent="0.3">
      <c r="A709" s="17" t="s">
        <v>55</v>
      </c>
      <c r="B709" s="1"/>
      <c r="C709" s="1"/>
      <c r="D709" s="1"/>
      <c r="E709" s="59" t="s">
        <v>7</v>
      </c>
      <c r="F709" s="1"/>
      <c r="G709" s="1"/>
      <c r="H709" s="1"/>
      <c r="I709" s="59" t="s">
        <v>7</v>
      </c>
      <c r="J709" s="1"/>
      <c r="K709" s="1"/>
      <c r="L709" s="1"/>
      <c r="M709" s="59" t="s">
        <v>7</v>
      </c>
      <c r="N709" s="1"/>
      <c r="O709" s="1"/>
      <c r="P709" s="1"/>
      <c r="Q709" s="59" t="s">
        <v>7</v>
      </c>
      <c r="R709" s="59" t="s">
        <v>7</v>
      </c>
    </row>
    <row r="710" spans="1:20" ht="15.75" customHeight="1" thickBot="1" x14ac:dyDescent="0.35">
      <c r="A710" s="17" t="s">
        <v>56</v>
      </c>
      <c r="B710" s="1"/>
      <c r="C710" s="1"/>
      <c r="D710" s="1"/>
      <c r="E710" s="59" t="s">
        <v>7</v>
      </c>
      <c r="F710" s="1"/>
      <c r="G710" s="1"/>
      <c r="H710" s="1"/>
      <c r="I710" s="59" t="s">
        <v>7</v>
      </c>
      <c r="J710" s="1"/>
      <c r="K710" s="1"/>
      <c r="L710" s="1"/>
      <c r="M710" s="59" t="s">
        <v>7</v>
      </c>
      <c r="N710" s="1"/>
      <c r="O710" s="1"/>
      <c r="P710" s="1"/>
      <c r="Q710" s="59" t="s">
        <v>7</v>
      </c>
      <c r="R710" s="59" t="s">
        <v>7</v>
      </c>
    </row>
    <row r="711" spans="1:20" ht="16.5" customHeight="1" thickBot="1" x14ac:dyDescent="0.35">
      <c r="A711" s="62" t="s">
        <v>57</v>
      </c>
      <c r="B711" s="100">
        <f>SUM(B708:B710)</f>
        <v>0</v>
      </c>
      <c r="C711" s="101">
        <f>SUM(C708:C710)</f>
        <v>0</v>
      </c>
      <c r="D711" s="101">
        <f>SUM(D708:D710)</f>
        <v>0</v>
      </c>
      <c r="E711" s="64">
        <f>SUM(B711:D711)</f>
        <v>0</v>
      </c>
      <c r="F711" s="101">
        <f>SUM(F708:F710)</f>
        <v>0</v>
      </c>
      <c r="G711" s="101">
        <f>SUM(G708:G710)</f>
        <v>0</v>
      </c>
      <c r="H711" s="101">
        <f>SUM(H708:H710)</f>
        <v>0</v>
      </c>
      <c r="I711" s="64">
        <f>SUM(F711:H711)</f>
        <v>0</v>
      </c>
      <c r="J711" s="101">
        <f>SUM(J708:J710)</f>
        <v>0</v>
      </c>
      <c r="K711" s="101">
        <f>SUM(K708:K710)</f>
        <v>0</v>
      </c>
      <c r="L711" s="101">
        <f>SUM(L708:L710)</f>
        <v>0</v>
      </c>
      <c r="M711" s="64">
        <f>SUM(J711:L711)</f>
        <v>0</v>
      </c>
      <c r="N711" s="101">
        <f>SUM(N708:N710)</f>
        <v>0</v>
      </c>
      <c r="O711" s="101">
        <f>SUM(O708:O710)</f>
        <v>0</v>
      </c>
      <c r="P711" s="101">
        <f>SUM(P708:P710)</f>
        <v>0</v>
      </c>
      <c r="Q711" s="64">
        <f>SUM(N711:P711)</f>
        <v>0</v>
      </c>
      <c r="R711" s="64">
        <f>+E711+I711+M711+Q711</f>
        <v>0</v>
      </c>
    </row>
    <row r="712" spans="1:20" ht="15.75" customHeight="1" x14ac:dyDescent="0.3">
      <c r="A712" s="17" t="s">
        <v>58</v>
      </c>
      <c r="B712" s="1"/>
      <c r="C712" s="1"/>
      <c r="D712" s="1"/>
      <c r="E712" s="59" t="s">
        <v>7</v>
      </c>
      <c r="F712" s="1"/>
      <c r="G712" s="1"/>
      <c r="H712" s="1"/>
      <c r="I712" s="59" t="s">
        <v>7</v>
      </c>
      <c r="J712" s="1"/>
      <c r="K712" s="1"/>
      <c r="L712" s="1"/>
      <c r="M712" s="59" t="s">
        <v>7</v>
      </c>
      <c r="N712" s="1"/>
      <c r="O712" s="1"/>
      <c r="P712" s="1"/>
      <c r="Q712" s="59" t="s">
        <v>7</v>
      </c>
      <c r="R712" s="59" t="s">
        <v>7</v>
      </c>
    </row>
    <row r="713" spans="1:20" ht="15.75" customHeight="1" x14ac:dyDescent="0.3">
      <c r="A713" s="17" t="s">
        <v>59</v>
      </c>
      <c r="B713" s="1"/>
      <c r="C713" s="1"/>
      <c r="D713" s="1"/>
      <c r="E713" s="59" t="s">
        <v>7</v>
      </c>
      <c r="F713" s="1"/>
      <c r="G713" s="1"/>
      <c r="H713" s="1"/>
      <c r="I713" s="59" t="s">
        <v>7</v>
      </c>
      <c r="J713" s="1"/>
      <c r="K713" s="1"/>
      <c r="L713" s="1"/>
      <c r="M713" s="59" t="s">
        <v>7</v>
      </c>
      <c r="N713" s="1"/>
      <c r="O713" s="1"/>
      <c r="P713" s="1"/>
      <c r="Q713" s="59" t="s">
        <v>7</v>
      </c>
      <c r="R713" s="59" t="s">
        <v>7</v>
      </c>
    </row>
    <row r="714" spans="1:20" ht="15.75" customHeight="1" x14ac:dyDescent="0.3">
      <c r="A714" s="74" t="s">
        <v>565</v>
      </c>
      <c r="B714" s="1">
        <v>419</v>
      </c>
      <c r="C714" s="1">
        <v>436</v>
      </c>
      <c r="D714" s="1">
        <v>806</v>
      </c>
      <c r="E714" s="59">
        <f>SUM(B714:D714)</f>
        <v>1661</v>
      </c>
      <c r="F714" s="1">
        <v>2587</v>
      </c>
      <c r="G714" s="1">
        <v>1272</v>
      </c>
      <c r="H714" s="1">
        <v>1303</v>
      </c>
      <c r="I714" s="59">
        <f>SUM(F714:H714)</f>
        <v>5162</v>
      </c>
      <c r="J714" s="1">
        <v>1498</v>
      </c>
      <c r="K714" s="1">
        <v>1530</v>
      </c>
      <c r="L714" s="1">
        <v>854</v>
      </c>
      <c r="M714" s="59">
        <f>SUM(J714:L714)</f>
        <v>3882</v>
      </c>
      <c r="N714" s="1"/>
      <c r="O714" s="1">
        <v>359</v>
      </c>
      <c r="P714" s="1">
        <v>362</v>
      </c>
      <c r="Q714" s="59">
        <f>SUM(N714:P714)</f>
        <v>721</v>
      </c>
      <c r="R714" s="59">
        <f>+E714+I714+M714+Q714</f>
        <v>11426</v>
      </c>
      <c r="T714" s="4" t="s">
        <v>566</v>
      </c>
    </row>
    <row r="715" spans="1:20" ht="15.75" customHeight="1" x14ac:dyDescent="0.3">
      <c r="A715" s="17" t="s">
        <v>60</v>
      </c>
      <c r="B715" s="1"/>
      <c r="C715" s="1"/>
      <c r="D715" s="1"/>
      <c r="E715" s="59" t="s">
        <v>7</v>
      </c>
      <c r="F715" s="1"/>
      <c r="G715" s="1"/>
      <c r="H715" s="1"/>
      <c r="I715" s="59" t="s">
        <v>7</v>
      </c>
      <c r="J715" s="1"/>
      <c r="K715" s="1"/>
      <c r="L715" s="1"/>
      <c r="M715" s="59" t="s">
        <v>7</v>
      </c>
      <c r="N715" s="1"/>
      <c r="O715" s="1"/>
      <c r="P715" s="1"/>
      <c r="Q715" s="59" t="s">
        <v>7</v>
      </c>
      <c r="R715" s="59" t="s">
        <v>7</v>
      </c>
    </row>
    <row r="716" spans="1:20" ht="15.75" customHeight="1" x14ac:dyDescent="0.3">
      <c r="A716" s="74" t="s">
        <v>567</v>
      </c>
      <c r="B716" s="1"/>
      <c r="C716" s="1"/>
      <c r="D716" s="1"/>
      <c r="E716" s="59">
        <f t="shared" ref="E716:E724" si="267">SUM(B716:D716)</f>
        <v>0</v>
      </c>
      <c r="F716" s="1"/>
      <c r="G716" s="1"/>
      <c r="H716" s="1"/>
      <c r="I716" s="59">
        <f t="shared" ref="I716:I724" si="268">SUM(F716:H716)</f>
        <v>0</v>
      </c>
      <c r="J716" s="1"/>
      <c r="K716" s="1"/>
      <c r="L716" s="1"/>
      <c r="M716" s="59">
        <f t="shared" ref="M716:M724" si="269">SUM(J716:L716)</f>
        <v>0</v>
      </c>
      <c r="N716" s="1"/>
      <c r="O716" s="1"/>
      <c r="P716" s="1"/>
      <c r="Q716" s="59">
        <f t="shared" ref="Q716:Q724" si="270">SUM(N716:P716)</f>
        <v>0</v>
      </c>
      <c r="R716" s="59">
        <f t="shared" ref="R716:R724" si="271">+E716+I716+M716+Q716</f>
        <v>0</v>
      </c>
      <c r="T716" s="4" t="s">
        <v>568</v>
      </c>
    </row>
    <row r="717" spans="1:20" ht="15.75" customHeight="1" x14ac:dyDescent="0.3">
      <c r="A717" s="74" t="s">
        <v>569</v>
      </c>
      <c r="B717" s="1"/>
      <c r="C717" s="1"/>
      <c r="D717" s="1"/>
      <c r="E717" s="59">
        <f t="shared" si="267"/>
        <v>0</v>
      </c>
      <c r="F717" s="1"/>
      <c r="G717" s="1"/>
      <c r="H717" s="1"/>
      <c r="I717" s="59">
        <f t="shared" si="268"/>
        <v>0</v>
      </c>
      <c r="J717" s="1"/>
      <c r="K717" s="1"/>
      <c r="L717" s="1"/>
      <c r="M717" s="59">
        <f t="shared" si="269"/>
        <v>0</v>
      </c>
      <c r="N717" s="1"/>
      <c r="O717" s="1"/>
      <c r="P717" s="1"/>
      <c r="Q717" s="59">
        <f t="shared" si="270"/>
        <v>0</v>
      </c>
      <c r="R717" s="59">
        <f t="shared" si="271"/>
        <v>0</v>
      </c>
      <c r="T717" s="4" t="s">
        <v>568</v>
      </c>
    </row>
    <row r="718" spans="1:20" ht="15.75" customHeight="1" x14ac:dyDescent="0.3">
      <c r="A718" s="74" t="s">
        <v>570</v>
      </c>
      <c r="B718" s="1">
        <v>26</v>
      </c>
      <c r="C718" s="1">
        <v>32</v>
      </c>
      <c r="D718" s="1">
        <v>32</v>
      </c>
      <c r="E718" s="59">
        <f t="shared" si="267"/>
        <v>90</v>
      </c>
      <c r="F718" s="1">
        <v>32</v>
      </c>
      <c r="G718" s="1">
        <v>32</v>
      </c>
      <c r="H718" s="1">
        <v>32</v>
      </c>
      <c r="I718" s="59">
        <f t="shared" si="268"/>
        <v>96</v>
      </c>
      <c r="J718" s="1">
        <v>32</v>
      </c>
      <c r="K718" s="1">
        <v>30</v>
      </c>
      <c r="L718" s="1">
        <v>22</v>
      </c>
      <c r="M718" s="59">
        <f t="shared" si="269"/>
        <v>84</v>
      </c>
      <c r="N718" s="1"/>
      <c r="O718" s="1"/>
      <c r="P718" s="1"/>
      <c r="Q718" s="59">
        <f t="shared" si="270"/>
        <v>0</v>
      </c>
      <c r="R718" s="59">
        <f t="shared" si="271"/>
        <v>270</v>
      </c>
      <c r="T718" s="4" t="s">
        <v>568</v>
      </c>
    </row>
    <row r="719" spans="1:20" ht="15.75" customHeight="1" x14ac:dyDescent="0.3">
      <c r="A719" s="74" t="s">
        <v>572</v>
      </c>
      <c r="B719" s="1"/>
      <c r="C719" s="1"/>
      <c r="D719" s="1"/>
      <c r="E719" s="59">
        <f t="shared" si="267"/>
        <v>0</v>
      </c>
      <c r="F719" s="1">
        <v>3509</v>
      </c>
      <c r="G719" s="1"/>
      <c r="H719" s="1"/>
      <c r="I719" s="59">
        <f t="shared" si="268"/>
        <v>3509</v>
      </c>
      <c r="J719" s="1"/>
      <c r="K719" s="1"/>
      <c r="L719" s="1"/>
      <c r="M719" s="59">
        <f t="shared" si="269"/>
        <v>0</v>
      </c>
      <c r="N719" s="1"/>
      <c r="O719" s="1"/>
      <c r="P719" s="1"/>
      <c r="Q719" s="59">
        <f t="shared" si="270"/>
        <v>0</v>
      </c>
      <c r="R719" s="59">
        <f t="shared" si="271"/>
        <v>3509</v>
      </c>
    </row>
    <row r="720" spans="1:20" ht="15.75" customHeight="1" x14ac:dyDescent="0.3">
      <c r="A720" s="74" t="s">
        <v>573</v>
      </c>
      <c r="B720" s="1"/>
      <c r="C720" s="1"/>
      <c r="D720" s="1"/>
      <c r="E720" s="59">
        <f t="shared" si="267"/>
        <v>0</v>
      </c>
      <c r="F720" s="1"/>
      <c r="G720" s="1"/>
      <c r="H720" s="1"/>
      <c r="I720" s="59">
        <f t="shared" si="268"/>
        <v>0</v>
      </c>
      <c r="J720" s="1"/>
      <c r="K720" s="1"/>
      <c r="L720" s="1"/>
      <c r="M720" s="59">
        <f t="shared" si="269"/>
        <v>0</v>
      </c>
      <c r="N720" s="1"/>
      <c r="O720" s="1"/>
      <c r="P720" s="1"/>
      <c r="Q720" s="59">
        <f t="shared" si="270"/>
        <v>0</v>
      </c>
      <c r="R720" s="59">
        <f t="shared" si="271"/>
        <v>0</v>
      </c>
    </row>
    <row r="721" spans="1:20" ht="15.75" customHeight="1" x14ac:dyDescent="0.3">
      <c r="A721" s="74" t="s">
        <v>574</v>
      </c>
      <c r="B721" s="1"/>
      <c r="C721" s="1"/>
      <c r="D721" s="1"/>
      <c r="E721" s="59">
        <f t="shared" si="267"/>
        <v>0</v>
      </c>
      <c r="F721" s="1"/>
      <c r="G721" s="1"/>
      <c r="H721" s="1"/>
      <c r="I721" s="59">
        <f t="shared" si="268"/>
        <v>0</v>
      </c>
      <c r="J721" s="1"/>
      <c r="K721" s="1"/>
      <c r="L721" s="1"/>
      <c r="M721" s="59">
        <f t="shared" si="269"/>
        <v>0</v>
      </c>
      <c r="N721" s="1"/>
      <c r="O721" s="1"/>
      <c r="P721" s="1"/>
      <c r="Q721" s="59">
        <f t="shared" si="270"/>
        <v>0</v>
      </c>
      <c r="R721" s="59">
        <f t="shared" si="271"/>
        <v>0</v>
      </c>
    </row>
    <row r="722" spans="1:20" ht="15.75" customHeight="1" x14ac:dyDescent="0.3">
      <c r="A722" s="74" t="s">
        <v>575</v>
      </c>
      <c r="B722" s="1"/>
      <c r="C722" s="1"/>
      <c r="D722" s="1"/>
      <c r="E722" s="59">
        <f t="shared" si="267"/>
        <v>0</v>
      </c>
      <c r="F722" s="1">
        <v>291</v>
      </c>
      <c r="G722" s="1"/>
      <c r="H722" s="1"/>
      <c r="I722" s="59">
        <f t="shared" si="268"/>
        <v>291</v>
      </c>
      <c r="J722" s="1"/>
      <c r="K722" s="1"/>
      <c r="L722" s="1"/>
      <c r="M722" s="59">
        <f t="shared" si="269"/>
        <v>0</v>
      </c>
      <c r="N722" s="1"/>
      <c r="O722" s="1"/>
      <c r="P722" s="1"/>
      <c r="Q722" s="59">
        <f t="shared" ref="Q722" si="272">SUM(N722:P722)</f>
        <v>0</v>
      </c>
      <c r="R722" s="59">
        <f t="shared" si="271"/>
        <v>291</v>
      </c>
    </row>
    <row r="723" spans="1:20" ht="15.75" customHeight="1" thickBot="1" x14ac:dyDescent="0.35">
      <c r="A723" s="74" t="s">
        <v>576</v>
      </c>
      <c r="B723" s="1"/>
      <c r="C723" s="1"/>
      <c r="D723" s="1"/>
      <c r="E723" s="59">
        <f t="shared" si="267"/>
        <v>0</v>
      </c>
      <c r="F723" s="1"/>
      <c r="G723" s="1"/>
      <c r="H723" s="1"/>
      <c r="I723" s="59">
        <f t="shared" si="268"/>
        <v>0</v>
      </c>
      <c r="J723" s="1"/>
      <c r="K723" s="1"/>
      <c r="L723" s="1"/>
      <c r="M723" s="59">
        <f t="shared" si="269"/>
        <v>0</v>
      </c>
      <c r="N723" s="1"/>
      <c r="O723" s="1"/>
      <c r="P723" s="1"/>
      <c r="Q723" s="59">
        <f t="shared" si="270"/>
        <v>0</v>
      </c>
      <c r="R723" s="59">
        <f t="shared" si="271"/>
        <v>0</v>
      </c>
      <c r="T723" s="4" t="s">
        <v>568</v>
      </c>
    </row>
    <row r="724" spans="1:20" ht="16.5" customHeight="1" thickBot="1" x14ac:dyDescent="0.35">
      <c r="A724" s="62" t="s">
        <v>61</v>
      </c>
      <c r="B724" s="100">
        <f>SUM(B712:B723)</f>
        <v>445</v>
      </c>
      <c r="C724" s="101">
        <f>SUM(C712:C723)</f>
        <v>468</v>
      </c>
      <c r="D724" s="101">
        <f>SUM(D712:D723)</f>
        <v>838</v>
      </c>
      <c r="E724" s="64">
        <f t="shared" si="267"/>
        <v>1751</v>
      </c>
      <c r="F724" s="101">
        <f>SUM(F712:F723)</f>
        <v>6419</v>
      </c>
      <c r="G724" s="101">
        <f>SUM(G712:G723)</f>
        <v>1304</v>
      </c>
      <c r="H724" s="101">
        <f>SUM(H712:H723)</f>
        <v>1335</v>
      </c>
      <c r="I724" s="64">
        <f t="shared" si="268"/>
        <v>9058</v>
      </c>
      <c r="J724" s="101">
        <f>SUM(J712:J723)</f>
        <v>1530</v>
      </c>
      <c r="K724" s="101">
        <f>SUM(K712:K723)</f>
        <v>1560</v>
      </c>
      <c r="L724" s="101">
        <f>SUM(L712:L723)</f>
        <v>876</v>
      </c>
      <c r="M724" s="64">
        <f t="shared" si="269"/>
        <v>3966</v>
      </c>
      <c r="N724" s="101">
        <f>SUM(N712:N723)</f>
        <v>0</v>
      </c>
      <c r="O724" s="101">
        <f>SUM(O712:O723)</f>
        <v>359</v>
      </c>
      <c r="P724" s="101">
        <f>SUM(P712:P723)</f>
        <v>362</v>
      </c>
      <c r="Q724" s="64">
        <f t="shared" si="270"/>
        <v>721</v>
      </c>
      <c r="R724" s="138">
        <f t="shared" si="271"/>
        <v>15496</v>
      </c>
    </row>
    <row r="725" spans="1:20" ht="15.75" customHeight="1" x14ac:dyDescent="0.3">
      <c r="A725" s="17" t="s">
        <v>62</v>
      </c>
      <c r="B725" s="1"/>
      <c r="C725" s="1"/>
      <c r="D725" s="1"/>
      <c r="E725" s="59" t="s">
        <v>7</v>
      </c>
      <c r="F725" s="1"/>
      <c r="G725" s="1"/>
      <c r="H725" s="1"/>
      <c r="I725" s="59" t="s">
        <v>7</v>
      </c>
      <c r="J725" s="1"/>
      <c r="K725" s="1"/>
      <c r="L725" s="1"/>
      <c r="M725" s="59" t="s">
        <v>7</v>
      </c>
      <c r="N725" s="1"/>
      <c r="O725" s="1"/>
      <c r="P725" s="1"/>
      <c r="Q725" s="59" t="s">
        <v>7</v>
      </c>
      <c r="R725" s="59" t="s">
        <v>7</v>
      </c>
    </row>
    <row r="726" spans="1:20" ht="15.75" customHeight="1" x14ac:dyDescent="0.3">
      <c r="A726" s="17" t="s">
        <v>63</v>
      </c>
      <c r="B726" s="1"/>
      <c r="C726" s="1"/>
      <c r="D726" s="1"/>
      <c r="E726" s="59" t="s">
        <v>7</v>
      </c>
      <c r="F726" s="1"/>
      <c r="G726" s="1"/>
      <c r="H726" s="1"/>
      <c r="I726" s="59" t="s">
        <v>7</v>
      </c>
      <c r="J726" s="1"/>
      <c r="K726" s="1"/>
      <c r="L726" s="1"/>
      <c r="M726" s="59" t="s">
        <v>7</v>
      </c>
      <c r="N726" s="1"/>
      <c r="O726" s="1"/>
      <c r="P726" s="1"/>
      <c r="Q726" s="59" t="s">
        <v>7</v>
      </c>
      <c r="R726" s="59" t="s">
        <v>7</v>
      </c>
    </row>
    <row r="727" spans="1:20" ht="15.75" customHeight="1" x14ac:dyDescent="0.3">
      <c r="A727" s="17" t="s">
        <v>64</v>
      </c>
      <c r="B727" s="1"/>
      <c r="C727" s="1"/>
      <c r="D727" s="1"/>
      <c r="E727" s="59" t="s">
        <v>7</v>
      </c>
      <c r="F727" s="1"/>
      <c r="G727" s="1"/>
      <c r="H727" s="1"/>
      <c r="I727" s="59" t="s">
        <v>7</v>
      </c>
      <c r="J727" s="1"/>
      <c r="K727" s="1"/>
      <c r="L727" s="1"/>
      <c r="M727" s="59" t="s">
        <v>7</v>
      </c>
      <c r="N727" s="1"/>
      <c r="O727" s="1"/>
      <c r="P727" s="1"/>
      <c r="Q727" s="59" t="s">
        <v>7</v>
      </c>
      <c r="R727" s="59" t="s">
        <v>7</v>
      </c>
    </row>
    <row r="728" spans="1:20" ht="15.75" customHeight="1" x14ac:dyDescent="0.3">
      <c r="A728" s="74" t="s">
        <v>577</v>
      </c>
      <c r="B728" s="1"/>
      <c r="C728" s="1"/>
      <c r="D728" s="1"/>
      <c r="E728" s="59">
        <f>SUM(B728:D728)</f>
        <v>0</v>
      </c>
      <c r="F728" s="1"/>
      <c r="G728" s="1"/>
      <c r="H728" s="1"/>
      <c r="I728" s="59">
        <f>SUM(F728:H728)</f>
        <v>0</v>
      </c>
      <c r="J728" s="1"/>
      <c r="K728" s="1"/>
      <c r="L728" s="1"/>
      <c r="M728" s="59">
        <f>SUM(J728:L728)</f>
        <v>0</v>
      </c>
      <c r="N728" s="1"/>
      <c r="O728" s="1"/>
      <c r="P728" s="1"/>
      <c r="Q728" s="59">
        <f>SUM(N728:P728)</f>
        <v>0</v>
      </c>
      <c r="R728" s="59">
        <f>+E728+I728+M728+Q728</f>
        <v>0</v>
      </c>
    </row>
    <row r="729" spans="1:20" ht="15.75" customHeight="1" x14ac:dyDescent="0.3">
      <c r="A729" s="74" t="s">
        <v>578</v>
      </c>
      <c r="B729" s="1"/>
      <c r="C729" s="1"/>
      <c r="D729" s="1"/>
      <c r="E729" s="59">
        <f>SUM(B729:D729)</f>
        <v>0</v>
      </c>
      <c r="F729" s="1"/>
      <c r="G729" s="1"/>
      <c r="H729" s="1"/>
      <c r="I729" s="59">
        <f>SUM(F729:H729)</f>
        <v>0</v>
      </c>
      <c r="J729" s="1"/>
      <c r="K729" s="1"/>
      <c r="L729" s="1"/>
      <c r="M729" s="59">
        <f>SUM(J729:L729)</f>
        <v>0</v>
      </c>
      <c r="N729" s="1"/>
      <c r="O729" s="1"/>
      <c r="P729" s="1"/>
      <c r="Q729" s="59">
        <f>SUM(N729:P729)</f>
        <v>0</v>
      </c>
      <c r="R729" s="59">
        <f>+E729+I729+M729+Q729</f>
        <v>0</v>
      </c>
      <c r="S729" s="4" t="s">
        <v>964</v>
      </c>
    </row>
    <row r="730" spans="1:20" ht="15.75" customHeight="1" x14ac:dyDescent="0.3">
      <c r="A730" s="74" t="s">
        <v>579</v>
      </c>
      <c r="B730" s="1"/>
      <c r="C730" s="1"/>
      <c r="D730" s="1"/>
      <c r="E730" s="59">
        <f>SUM(B730:D730)</f>
        <v>0</v>
      </c>
      <c r="F730" s="1"/>
      <c r="G730" s="1"/>
      <c r="H730" s="1"/>
      <c r="I730" s="59">
        <f>SUM(F730:H730)</f>
        <v>0</v>
      </c>
      <c r="J730" s="1"/>
      <c r="K730" s="1"/>
      <c r="L730" s="1"/>
      <c r="M730" s="59">
        <f>SUM(J730:L730)</f>
        <v>0</v>
      </c>
      <c r="N730" s="1"/>
      <c r="O730" s="1"/>
      <c r="P730" s="1"/>
      <c r="Q730" s="59">
        <f>SUM(N730:P730)</f>
        <v>0</v>
      </c>
      <c r="R730" s="59">
        <f>+E730+I730+M730+Q730</f>
        <v>0</v>
      </c>
    </row>
    <row r="731" spans="1:20" ht="15.75" customHeight="1" x14ac:dyDescent="0.3">
      <c r="A731" s="74" t="s">
        <v>580</v>
      </c>
      <c r="B731" s="1"/>
      <c r="C731" s="1"/>
      <c r="D731" s="1"/>
      <c r="E731" s="59">
        <f>SUM(B731:D731)</f>
        <v>0</v>
      </c>
      <c r="F731" s="1"/>
      <c r="G731" s="1"/>
      <c r="H731" s="1"/>
      <c r="I731" s="59">
        <f>SUM(F731:H731)</f>
        <v>0</v>
      </c>
      <c r="J731" s="1"/>
      <c r="K731" s="1"/>
      <c r="L731" s="1"/>
      <c r="M731" s="59">
        <f>SUM(J731:L731)</f>
        <v>0</v>
      </c>
      <c r="N731" s="1"/>
      <c r="O731" s="1"/>
      <c r="P731" s="1"/>
      <c r="Q731" s="59">
        <f>SUM(N731:P731)</f>
        <v>0</v>
      </c>
      <c r="R731" s="59">
        <f>+E731+I731+M731+Q731</f>
        <v>0</v>
      </c>
      <c r="S731" s="4" t="s">
        <v>964</v>
      </c>
    </row>
    <row r="732" spans="1:20" ht="15.75" customHeight="1" x14ac:dyDescent="0.3">
      <c r="A732" s="17" t="s">
        <v>66</v>
      </c>
      <c r="B732" s="1"/>
      <c r="C732" s="1"/>
      <c r="D732" s="1"/>
      <c r="E732" s="59" t="s">
        <v>7</v>
      </c>
      <c r="F732" s="1"/>
      <c r="G732" s="1"/>
      <c r="H732" s="1"/>
      <c r="I732" s="59" t="s">
        <v>7</v>
      </c>
      <c r="J732" s="1"/>
      <c r="K732" s="1"/>
      <c r="L732" s="1"/>
      <c r="M732" s="59" t="s">
        <v>7</v>
      </c>
      <c r="N732" s="1"/>
      <c r="O732" s="1"/>
      <c r="P732" s="1"/>
      <c r="Q732" s="59" t="s">
        <v>7</v>
      </c>
      <c r="R732" s="59" t="s">
        <v>7</v>
      </c>
    </row>
    <row r="733" spans="1:20" ht="15.75" customHeight="1" thickBot="1" x14ac:dyDescent="0.35">
      <c r="A733" s="17" t="s">
        <v>67</v>
      </c>
      <c r="B733" s="1"/>
      <c r="C733" s="1"/>
      <c r="D733" s="1"/>
      <c r="E733" s="59" t="s">
        <v>7</v>
      </c>
      <c r="F733" s="1"/>
      <c r="G733" s="1"/>
      <c r="H733" s="1"/>
      <c r="I733" s="59" t="s">
        <v>7</v>
      </c>
      <c r="J733" s="1"/>
      <c r="K733" s="1"/>
      <c r="L733" s="1"/>
      <c r="M733" s="59" t="s">
        <v>7</v>
      </c>
      <c r="N733" s="1"/>
      <c r="O733" s="1"/>
      <c r="P733" s="1"/>
      <c r="Q733" s="59" t="s">
        <v>7</v>
      </c>
      <c r="R733" s="59" t="s">
        <v>7</v>
      </c>
    </row>
    <row r="734" spans="1:20" ht="16.5" customHeight="1" thickBot="1" x14ac:dyDescent="0.35">
      <c r="A734" s="62" t="s">
        <v>68</v>
      </c>
      <c r="B734" s="63">
        <f>SUM(B732:B733)</f>
        <v>0</v>
      </c>
      <c r="C734" s="63">
        <f>SUM(C732:C733)</f>
        <v>0</v>
      </c>
      <c r="D734" s="63">
        <f>SUM(D732:D733)</f>
        <v>0</v>
      </c>
      <c r="E734" s="334">
        <f>SUM(B734:D734)</f>
        <v>0</v>
      </c>
      <c r="F734" s="63">
        <f>SUM(F732:F733)</f>
        <v>0</v>
      </c>
      <c r="G734" s="63">
        <f>SUM(G732:G733)</f>
        <v>0</v>
      </c>
      <c r="H734" s="63">
        <f>SUM(H732:H733)</f>
        <v>0</v>
      </c>
      <c r="I734" s="334">
        <f>SUM(F734:H734)</f>
        <v>0</v>
      </c>
      <c r="J734" s="63">
        <f>SUM(J732:J733)</f>
        <v>0</v>
      </c>
      <c r="K734" s="63">
        <f>SUM(K732:K733)</f>
        <v>0</v>
      </c>
      <c r="L734" s="63">
        <f>SUM(L732:L733)</f>
        <v>0</v>
      </c>
      <c r="M734" s="334">
        <f>SUM(J734:L734)</f>
        <v>0</v>
      </c>
      <c r="N734" s="63">
        <f>SUM(N732:N733)</f>
        <v>0</v>
      </c>
      <c r="O734" s="63">
        <f>SUM(O732:O733)</f>
        <v>0</v>
      </c>
      <c r="P734" s="63">
        <f>SUM(P732:P733)</f>
        <v>0</v>
      </c>
      <c r="Q734" s="334">
        <f>SUM(N734:P734)</f>
        <v>0</v>
      </c>
      <c r="R734" s="64">
        <f>+E734+I734+M734+Q734</f>
        <v>0</v>
      </c>
    </row>
    <row r="735" spans="1:20" ht="16.5" customHeight="1" thickBot="1" x14ac:dyDescent="0.35">
      <c r="A735" s="137" t="s">
        <v>69</v>
      </c>
      <c r="B735" s="100">
        <f>SUM(B725:B733)</f>
        <v>0</v>
      </c>
      <c r="C735" s="101">
        <f>SUM(C725:C733)</f>
        <v>0</v>
      </c>
      <c r="D735" s="138">
        <f>SUM(D725:D733)</f>
        <v>0</v>
      </c>
      <c r="E735" s="334">
        <f>SUM(B735:D735)</f>
        <v>0</v>
      </c>
      <c r="F735" s="101">
        <f>SUM(F725:F733)</f>
        <v>0</v>
      </c>
      <c r="G735" s="101">
        <f>SUM(G725:G733)</f>
        <v>0</v>
      </c>
      <c r="H735" s="101">
        <f>SUM(H725:H733)</f>
        <v>0</v>
      </c>
      <c r="I735" s="334">
        <f>SUM(F735:H735)</f>
        <v>0</v>
      </c>
      <c r="J735" s="101">
        <f>SUM(J725:J733)</f>
        <v>0</v>
      </c>
      <c r="K735" s="101">
        <f>SUM(K725:K733)</f>
        <v>0</v>
      </c>
      <c r="L735" s="101">
        <f>SUM(L725:L733)</f>
        <v>0</v>
      </c>
      <c r="M735" s="334">
        <f>SUM(J735:L735)</f>
        <v>0</v>
      </c>
      <c r="N735" s="101">
        <f>SUM(N725:N733)</f>
        <v>0</v>
      </c>
      <c r="O735" s="101">
        <f>SUM(O725:O733)</f>
        <v>0</v>
      </c>
      <c r="P735" s="101">
        <f>SUM(P725:P733)</f>
        <v>0</v>
      </c>
      <c r="Q735" s="334">
        <f>SUM(N735:P735)</f>
        <v>0</v>
      </c>
      <c r="R735" s="64">
        <f>+E735+I735+M735+Q735</f>
        <v>0</v>
      </c>
    </row>
    <row r="736" spans="1:20" ht="16.5" customHeight="1" thickBot="1" x14ac:dyDescent="0.35">
      <c r="A736" s="62" t="s">
        <v>70</v>
      </c>
      <c r="B736" s="107">
        <f>+B707+B711+B724+B735</f>
        <v>7952</v>
      </c>
      <c r="C736" s="63">
        <f>+C707+C711+C724+C735</f>
        <v>11730</v>
      </c>
      <c r="D736" s="63">
        <f>+D707+D711+D724+D735</f>
        <v>16019</v>
      </c>
      <c r="E736" s="64">
        <f>SUM(B736:D736)</f>
        <v>35701</v>
      </c>
      <c r="F736" s="63">
        <f>+F707+F711+F724+F735</f>
        <v>17285</v>
      </c>
      <c r="G736" s="63">
        <f>+G707+G711+G724+G735</f>
        <v>16424</v>
      </c>
      <c r="H736" s="63">
        <f>+H707+H711+H724+H735</f>
        <v>13941</v>
      </c>
      <c r="I736" s="64">
        <f>SUM(F736:H736)</f>
        <v>47650</v>
      </c>
      <c r="J736" s="63">
        <f>+J707+J711+J724+J735</f>
        <v>13368</v>
      </c>
      <c r="K736" s="63">
        <f>+K707+K711+K724+K735</f>
        <v>15487</v>
      </c>
      <c r="L736" s="63">
        <f>+L707+L711+L724+L735</f>
        <v>12637</v>
      </c>
      <c r="M736" s="64">
        <f>SUM(J736:L736)</f>
        <v>41492</v>
      </c>
      <c r="N736" s="63">
        <f>+N707+N711+N724+N735</f>
        <v>5649</v>
      </c>
      <c r="O736" s="63">
        <f>+O707+O711+O724+O735</f>
        <v>1592</v>
      </c>
      <c r="P736" s="63">
        <f>+P707+P711+P724+P735</f>
        <v>2333</v>
      </c>
      <c r="Q736" s="64">
        <f>SUM(N736:P736)</f>
        <v>9574</v>
      </c>
      <c r="R736" s="88">
        <f>+E736+I736+M736+Q736</f>
        <v>134417</v>
      </c>
    </row>
    <row r="737" spans="1:18" ht="16.5" customHeight="1" thickBot="1" x14ac:dyDescent="0.35">
      <c r="A737" s="66" t="s">
        <v>37</v>
      </c>
      <c r="B737" s="25">
        <v>22</v>
      </c>
      <c r="C737" s="25">
        <v>24</v>
      </c>
      <c r="D737" s="25">
        <v>31</v>
      </c>
      <c r="E737" s="64">
        <f>SUM(B737:D737)</f>
        <v>77</v>
      </c>
      <c r="F737" s="25">
        <v>40</v>
      </c>
      <c r="G737" s="25">
        <v>45</v>
      </c>
      <c r="H737" s="25">
        <v>48</v>
      </c>
      <c r="I737" s="64">
        <f>SUM(F737:H737)</f>
        <v>133</v>
      </c>
      <c r="J737" s="25">
        <v>42</v>
      </c>
      <c r="K737" s="25">
        <v>39</v>
      </c>
      <c r="L737" s="25">
        <v>38</v>
      </c>
      <c r="M737" s="64">
        <f>SUM(J737:L737)</f>
        <v>119</v>
      </c>
      <c r="N737" s="25">
        <v>32</v>
      </c>
      <c r="O737" s="25">
        <v>25</v>
      </c>
      <c r="P737" s="25">
        <v>21</v>
      </c>
      <c r="Q737" s="64">
        <f>SUM(N737:P737)</f>
        <v>78</v>
      </c>
      <c r="R737" s="334">
        <f>+E737+I737+M737+Q737</f>
        <v>407</v>
      </c>
    </row>
    <row r="738" spans="1:18" ht="16.5" customHeight="1" thickBot="1" x14ac:dyDescent="0.35">
      <c r="A738" s="42"/>
      <c r="B738" s="37"/>
      <c r="C738" s="37"/>
      <c r="D738" s="37"/>
      <c r="E738" s="16"/>
      <c r="F738" s="37"/>
      <c r="G738" s="37"/>
      <c r="H738" s="37"/>
      <c r="I738" s="16"/>
      <c r="J738" s="37"/>
      <c r="K738" s="37"/>
      <c r="L738" s="37"/>
      <c r="M738" s="16"/>
      <c r="N738" s="37"/>
      <c r="O738" s="37"/>
      <c r="P738" s="37"/>
      <c r="Q738" s="16"/>
      <c r="R738" s="43"/>
    </row>
    <row r="739" spans="1:18" ht="15.75" customHeight="1" x14ac:dyDescent="0.3">
      <c r="A739" s="17" t="s">
        <v>507</v>
      </c>
      <c r="B739" s="1">
        <f>+SUM(B736:B737)</f>
        <v>7974</v>
      </c>
      <c r="C739" s="1">
        <f>+SUM(C736:C737)</f>
        <v>11754</v>
      </c>
      <c r="D739" s="1">
        <f>+SUM(D736:D737)</f>
        <v>16050</v>
      </c>
      <c r="E739" s="334">
        <f>SUM(B739:D739)</f>
        <v>35778</v>
      </c>
      <c r="F739" s="1">
        <f>+SUM(F736:F737)</f>
        <v>17325</v>
      </c>
      <c r="G739" s="1">
        <f>+SUM(G736:G737)</f>
        <v>16469</v>
      </c>
      <c r="H739" s="1">
        <f>+SUM(H736:H737)</f>
        <v>13989</v>
      </c>
      <c r="I739" s="334">
        <f>SUM(F739:H739)</f>
        <v>47783</v>
      </c>
      <c r="J739" s="1">
        <f>+SUM(J736:J737)</f>
        <v>13410</v>
      </c>
      <c r="K739" s="1">
        <f>+SUM(K736:K737)</f>
        <v>15526</v>
      </c>
      <c r="L739" s="1">
        <f>+SUM(L736:L737)</f>
        <v>12675</v>
      </c>
      <c r="M739" s="334">
        <f>SUM(J739:L739)</f>
        <v>41611</v>
      </c>
      <c r="N739" s="1">
        <f>+SUM(N736:N737)</f>
        <v>5681</v>
      </c>
      <c r="O739" s="1">
        <f>+SUM(O736:O737)</f>
        <v>1617</v>
      </c>
      <c r="P739" s="1">
        <f>+SUM(P736:P737)</f>
        <v>2354</v>
      </c>
      <c r="Q739" s="334">
        <f>SUM(N739:P739)</f>
        <v>9652</v>
      </c>
      <c r="R739" s="334">
        <f>+E739+I739+M739+Q739</f>
        <v>134824</v>
      </c>
    </row>
    <row r="740" spans="1:18" ht="15.75" customHeight="1" x14ac:dyDescent="0.3">
      <c r="A740" s="17" t="s">
        <v>39</v>
      </c>
      <c r="B740" s="1">
        <f>(B739/B10)/1.983</f>
        <v>129.715484847006</v>
      </c>
      <c r="C740" s="1">
        <f>(C739/C10)/1.983</f>
        <v>211.69224119299761</v>
      </c>
      <c r="D740" s="1">
        <f>(D739/D10)/1.983</f>
        <v>261.09023473720168</v>
      </c>
      <c r="E740" s="59" t="s">
        <v>7</v>
      </c>
      <c r="F740" s="1">
        <f>(F739/F10)/1.983</f>
        <v>291.22541603630862</v>
      </c>
      <c r="G740" s="1">
        <f>(G739/G10)/1.983</f>
        <v>267.90623525775544</v>
      </c>
      <c r="H740" s="1">
        <f>(H739/H10)/1.983</f>
        <v>235.14876449823498</v>
      </c>
      <c r="I740" s="59" t="s">
        <v>7</v>
      </c>
      <c r="J740" s="1">
        <f>(J739/J10)/1.983</f>
        <v>218.14455126640962</v>
      </c>
      <c r="K740" s="1">
        <f>(K739/K10)/1.983</f>
        <v>252.56616726042324</v>
      </c>
      <c r="L740" s="1">
        <f>(L739/L10)/1.983</f>
        <v>213.06101865859807</v>
      </c>
      <c r="M740" s="59" t="s">
        <v>7</v>
      </c>
      <c r="N740" s="1">
        <f>(N739/N10)/1.983</f>
        <v>92.414555983927897</v>
      </c>
      <c r="O740" s="1">
        <f>(O739/O10)/1.983</f>
        <v>27.181038830055471</v>
      </c>
      <c r="P740" s="1">
        <f>(P739/P10)/1.983</f>
        <v>38.293234428122915</v>
      </c>
      <c r="Q740" s="59" t="s">
        <v>7</v>
      </c>
      <c r="R740" s="59" t="s">
        <v>7</v>
      </c>
    </row>
    <row r="741" spans="1:18" ht="15.75" customHeight="1" x14ac:dyDescent="0.3">
      <c r="A741" s="17" t="s">
        <v>581</v>
      </c>
      <c r="B741" s="1">
        <f>B739+B751</f>
        <v>11691</v>
      </c>
      <c r="C741" s="1">
        <f>C739+C751</f>
        <v>15825</v>
      </c>
      <c r="D741" s="1">
        <f>D739+D751</f>
        <v>18827</v>
      </c>
      <c r="E741" s="59">
        <f>SUM(B741:D741)</f>
        <v>46343</v>
      </c>
      <c r="F741" s="1">
        <f>F739+F751</f>
        <v>21275</v>
      </c>
      <c r="G741" s="1">
        <f>G739+G751</f>
        <v>21199</v>
      </c>
      <c r="H741" s="1">
        <f>H739+H751</f>
        <v>17889</v>
      </c>
      <c r="I741" s="59">
        <f>SUM(F741:H741)</f>
        <v>60363</v>
      </c>
      <c r="J741" s="1">
        <f>J739+J751</f>
        <v>16802</v>
      </c>
      <c r="K741" s="1">
        <f>K739+K751</f>
        <v>20052</v>
      </c>
      <c r="L741" s="1">
        <f>L739+L751</f>
        <v>16760</v>
      </c>
      <c r="M741" s="59">
        <f>SUM(J741:L741)</f>
        <v>53614</v>
      </c>
      <c r="N741" s="1">
        <f>N739+N751</f>
        <v>8857</v>
      </c>
      <c r="O741" s="1">
        <f>O739+O751</f>
        <v>3759</v>
      </c>
      <c r="P741" s="1">
        <f>P739+P751</f>
        <v>4262</v>
      </c>
      <c r="Q741" s="59">
        <f>SUM(N741:P741)</f>
        <v>16878</v>
      </c>
      <c r="R741" s="59">
        <f>+E741+I741+M741+Q741</f>
        <v>177198</v>
      </c>
    </row>
    <row r="742" spans="1:18" ht="16.5" customHeight="1" thickBot="1" x14ac:dyDescent="0.35">
      <c r="A742" s="24" t="s">
        <v>582</v>
      </c>
      <c r="B742" s="25">
        <f>(B741/B10)/1.983</f>
        <v>190.1810550973598</v>
      </c>
      <c r="C742" s="25">
        <f>(C741/C10)/1.983</f>
        <v>285.01188675167492</v>
      </c>
      <c r="D742" s="25">
        <f>(D741/D10)/1.983</f>
        <v>306.26453890325837</v>
      </c>
      <c r="E742" s="88" t="s">
        <v>7</v>
      </c>
      <c r="F742" s="25">
        <f>(F741/F10)/1.983</f>
        <v>357.62312993780466</v>
      </c>
      <c r="G742" s="25">
        <f>(G741/G10)/1.983</f>
        <v>344.85058480959123</v>
      </c>
      <c r="H742" s="25">
        <f>(H741/H10)/1.983</f>
        <v>300.70600100857285</v>
      </c>
      <c r="I742" s="88" t="s">
        <v>7</v>
      </c>
      <c r="J742" s="25">
        <f>(J741/J10)/1.983</f>
        <v>273.32324760463945</v>
      </c>
      <c r="K742" s="25">
        <f>(K741/K10)/1.983</f>
        <v>326.19198672587964</v>
      </c>
      <c r="L742" s="25">
        <f>(L741/L10)/1.983</f>
        <v>281.72802151622119</v>
      </c>
      <c r="M742" s="88" t="s">
        <v>7</v>
      </c>
      <c r="N742" s="25">
        <f>(N741/N10)/1.983</f>
        <v>144.07951458363831</v>
      </c>
      <c r="O742" s="25">
        <f>(O741/O10)/1.983</f>
        <v>63.187090267271806</v>
      </c>
      <c r="P742" s="25">
        <f>(P741/P10)/1.983</f>
        <v>69.331251118377168</v>
      </c>
      <c r="Q742" s="88" t="s">
        <v>7</v>
      </c>
      <c r="R742" s="88" t="s">
        <v>7</v>
      </c>
    </row>
    <row r="743" spans="1:18" ht="15.75" customHeight="1" x14ac:dyDescent="0.3">
      <c r="A743" s="28"/>
      <c r="B743" s="1"/>
      <c r="C743" s="1"/>
      <c r="D743" s="1"/>
      <c r="E743" s="1"/>
      <c r="F743" s="1"/>
      <c r="G743" s="1"/>
      <c r="H743" s="1"/>
      <c r="I743" s="1"/>
      <c r="J743" s="1"/>
      <c r="K743" s="1"/>
      <c r="L743" s="1"/>
      <c r="M743" s="1"/>
      <c r="N743" s="1"/>
      <c r="O743" s="1"/>
      <c r="P743" s="1"/>
      <c r="Q743" s="1"/>
      <c r="R743" s="28"/>
    </row>
    <row r="744" spans="1:18" ht="15.75" customHeight="1" thickBot="1" x14ac:dyDescent="0.35">
      <c r="A744" s="28"/>
      <c r="B744" s="1"/>
      <c r="C744" s="1"/>
      <c r="D744" s="1"/>
      <c r="E744" s="1"/>
      <c r="F744" s="1"/>
      <c r="G744" s="1"/>
      <c r="H744" s="1"/>
      <c r="I744" s="1"/>
      <c r="J744" s="1"/>
      <c r="K744" s="1"/>
      <c r="L744" s="1"/>
      <c r="M744" s="1"/>
      <c r="N744" s="1"/>
      <c r="O744" s="1"/>
      <c r="P744" s="1"/>
      <c r="Q744" s="1"/>
      <c r="R744" s="28"/>
    </row>
    <row r="745" spans="1:18" ht="16.5" customHeight="1" thickBot="1" x14ac:dyDescent="0.35">
      <c r="A745" s="343" t="s">
        <v>583</v>
      </c>
      <c r="B745" s="323" t="s">
        <v>36</v>
      </c>
      <c r="C745" s="324" t="s">
        <v>9</v>
      </c>
      <c r="D745" s="324" t="s">
        <v>10</v>
      </c>
      <c r="E745" s="325" t="s">
        <v>11</v>
      </c>
      <c r="F745" s="324" t="s">
        <v>12</v>
      </c>
      <c r="G745" s="324" t="s">
        <v>13</v>
      </c>
      <c r="H745" s="324" t="s">
        <v>14</v>
      </c>
      <c r="I745" s="34" t="s">
        <v>15</v>
      </c>
      <c r="J745" s="324" t="s">
        <v>16</v>
      </c>
      <c r="K745" s="324" t="s">
        <v>17</v>
      </c>
      <c r="L745" s="324" t="s">
        <v>18</v>
      </c>
      <c r="M745" s="34" t="s">
        <v>19</v>
      </c>
      <c r="N745" s="324" t="s">
        <v>20</v>
      </c>
      <c r="O745" s="324" t="s">
        <v>21</v>
      </c>
      <c r="P745" s="324" t="s">
        <v>22</v>
      </c>
      <c r="Q745" s="34" t="s">
        <v>23</v>
      </c>
      <c r="R745" s="326" t="s">
        <v>24</v>
      </c>
    </row>
    <row r="746" spans="1:18" ht="16.5" customHeight="1" thickBot="1" x14ac:dyDescent="0.35">
      <c r="A746" s="42"/>
      <c r="B746" s="37"/>
      <c r="C746" s="37"/>
      <c r="D746" s="37"/>
      <c r="E746" s="38"/>
      <c r="F746" s="37"/>
      <c r="G746" s="37"/>
      <c r="H746" s="37"/>
      <c r="I746" s="38"/>
      <c r="J746" s="37"/>
      <c r="K746" s="37"/>
      <c r="L746" s="37"/>
      <c r="M746" s="38"/>
      <c r="N746" s="37"/>
      <c r="O746" s="37"/>
      <c r="P746" s="37"/>
      <c r="Q746" s="38"/>
      <c r="R746" s="42"/>
    </row>
    <row r="747" spans="1:18" ht="16.5" customHeight="1" thickBot="1" x14ac:dyDescent="0.35">
      <c r="A747" s="40" t="s">
        <v>37</v>
      </c>
      <c r="B747" s="25">
        <v>2</v>
      </c>
      <c r="C747" s="25">
        <v>3</v>
      </c>
      <c r="D747" s="25">
        <v>5</v>
      </c>
      <c r="E747" s="59">
        <f>SUM(B747:D747)</f>
        <v>10</v>
      </c>
      <c r="F747" s="25">
        <v>7</v>
      </c>
      <c r="G747" s="25">
        <v>8</v>
      </c>
      <c r="H747" s="25">
        <v>9</v>
      </c>
      <c r="I747" s="59">
        <f>SUM(F747:H747)</f>
        <v>24</v>
      </c>
      <c r="J747" s="25">
        <v>7</v>
      </c>
      <c r="K747" s="25">
        <v>6</v>
      </c>
      <c r="L747" s="25">
        <v>6</v>
      </c>
      <c r="M747" s="59">
        <f>SUM(J747:L747)</f>
        <v>19</v>
      </c>
      <c r="N747" s="25">
        <v>5</v>
      </c>
      <c r="O747" s="25">
        <v>3</v>
      </c>
      <c r="P747" s="25">
        <v>2</v>
      </c>
      <c r="Q747" s="59">
        <f>SUM(N747:P747)</f>
        <v>10</v>
      </c>
      <c r="R747" s="334">
        <f>+E747+I747+M747+Q747</f>
        <v>63</v>
      </c>
    </row>
    <row r="748" spans="1:18" ht="16.5" customHeight="1" thickBot="1" x14ac:dyDescent="0.35">
      <c r="A748" s="42"/>
      <c r="B748" s="37"/>
      <c r="C748" s="37"/>
      <c r="D748" s="37"/>
      <c r="E748" s="16"/>
      <c r="F748" s="37"/>
      <c r="G748" s="37"/>
      <c r="H748" s="37"/>
      <c r="I748" s="16"/>
      <c r="J748" s="37"/>
      <c r="K748" s="37"/>
      <c r="L748" s="37"/>
      <c r="M748" s="16"/>
      <c r="N748" s="37"/>
      <c r="O748" s="37"/>
      <c r="P748" s="37"/>
      <c r="Q748" s="16"/>
      <c r="R748" s="43"/>
    </row>
    <row r="749" spans="1:18" ht="15.75" customHeight="1" x14ac:dyDescent="0.3">
      <c r="A749" s="17" t="s">
        <v>507</v>
      </c>
      <c r="B749" s="1">
        <f>B747</f>
        <v>2</v>
      </c>
      <c r="C749" s="1">
        <f>C747</f>
        <v>3</v>
      </c>
      <c r="D749" s="1">
        <f>D747</f>
        <v>5</v>
      </c>
      <c r="E749" s="334">
        <f>SUM(B749:D749)</f>
        <v>10</v>
      </c>
      <c r="F749" s="1">
        <f>F747</f>
        <v>7</v>
      </c>
      <c r="G749" s="1">
        <f>G747</f>
        <v>8</v>
      </c>
      <c r="H749" s="1">
        <f>H747</f>
        <v>9</v>
      </c>
      <c r="I749" s="334">
        <f>SUM(F749:H749)</f>
        <v>24</v>
      </c>
      <c r="J749" s="1">
        <f>J747</f>
        <v>7</v>
      </c>
      <c r="K749" s="1">
        <f>K747</f>
        <v>6</v>
      </c>
      <c r="L749" s="1">
        <f>L747</f>
        <v>6</v>
      </c>
      <c r="M749" s="334">
        <f>SUM(J749:L749)</f>
        <v>19</v>
      </c>
      <c r="N749" s="1">
        <f>N747</f>
        <v>5</v>
      </c>
      <c r="O749" s="1">
        <f>O747</f>
        <v>3</v>
      </c>
      <c r="P749" s="1">
        <f>P747</f>
        <v>2</v>
      </c>
      <c r="Q749" s="334">
        <f>SUM(N749:P749)</f>
        <v>10</v>
      </c>
      <c r="R749" s="334">
        <f>+E749+I749+M749+Q749</f>
        <v>63</v>
      </c>
    </row>
    <row r="750" spans="1:18" ht="15.75" customHeight="1" x14ac:dyDescent="0.3">
      <c r="A750" s="17" t="s">
        <v>39</v>
      </c>
      <c r="B750" s="1">
        <f>(B749/B10)/1.983</f>
        <v>3.2534608689993978E-2</v>
      </c>
      <c r="C750" s="1">
        <f>(C749/C10)/1.983</f>
        <v>5.403068943159714E-2</v>
      </c>
      <c r="D750" s="1">
        <f>(D749/D10)/1.983</f>
        <v>8.1336521724984942E-2</v>
      </c>
      <c r="E750" s="59" t="s">
        <v>7</v>
      </c>
      <c r="F750" s="1">
        <f>(F749/F10)/1.983</f>
        <v>0.1176668347621449</v>
      </c>
      <c r="G750" s="1">
        <f>(G749/G10)/1.983</f>
        <v>0.13013843475997591</v>
      </c>
      <c r="H750" s="1">
        <f>(H749/H10)/1.983</f>
        <v>0.15128593040847199</v>
      </c>
      <c r="I750" s="59" t="s">
        <v>7</v>
      </c>
      <c r="J750" s="1">
        <f>(J749/J10)/1.983</f>
        <v>0.11387113041497893</v>
      </c>
      <c r="K750" s="1">
        <f>(K749/K10)/1.983</f>
        <v>9.7603826069981942E-2</v>
      </c>
      <c r="L750" s="1">
        <f>(L749/L10)/1.983</f>
        <v>0.10085728693898134</v>
      </c>
      <c r="M750" s="59" t="s">
        <v>7</v>
      </c>
      <c r="N750" s="1">
        <f>(N749/N10)/1.983</f>
        <v>8.1336521724984942E-2</v>
      </c>
      <c r="O750" s="1">
        <f>(O749/O10)/1.983</f>
        <v>5.0428643469490671E-2</v>
      </c>
      <c r="P750" s="1">
        <f>(P749/P10)/1.983</f>
        <v>3.2534608689993978E-2</v>
      </c>
      <c r="Q750" s="59" t="s">
        <v>7</v>
      </c>
      <c r="R750" s="59" t="s">
        <v>7</v>
      </c>
    </row>
    <row r="751" spans="1:18" ht="15.75" customHeight="1" x14ac:dyDescent="0.3">
      <c r="A751" s="17" t="s">
        <v>584</v>
      </c>
      <c r="B751" s="1">
        <f>B749+B785+B834-B780</f>
        <v>3717</v>
      </c>
      <c r="C751" s="1">
        <f>C749+C785+C834-C780</f>
        <v>4071</v>
      </c>
      <c r="D751" s="1">
        <f>D749+D785+D834-D780</f>
        <v>2777</v>
      </c>
      <c r="E751" s="59">
        <f>SUM(B751:D751)</f>
        <v>10565</v>
      </c>
      <c r="F751" s="1">
        <f>F749+F785+F834-F780</f>
        <v>3950</v>
      </c>
      <c r="G751" s="1">
        <f>G749+G785+G834-G780</f>
        <v>4730</v>
      </c>
      <c r="H751" s="1">
        <f>H749+H785+H834-H780</f>
        <v>3900</v>
      </c>
      <c r="I751" s="59">
        <f>SUM(F751:H751)</f>
        <v>12580</v>
      </c>
      <c r="J751" s="1">
        <f>J749+J785+J834-J780</f>
        <v>3392</v>
      </c>
      <c r="K751" s="1">
        <f>K749+K785+K834-K780</f>
        <v>4526</v>
      </c>
      <c r="L751" s="1">
        <f>L749+L785+L834-L780</f>
        <v>4085</v>
      </c>
      <c r="M751" s="59">
        <f>SUM(J751:L751)</f>
        <v>12003</v>
      </c>
      <c r="N751" s="1">
        <f>N749+N785+N834-N780</f>
        <v>3175.9999999999995</v>
      </c>
      <c r="O751" s="1">
        <f>O749+O785+O834-O780</f>
        <v>2142</v>
      </c>
      <c r="P751" s="1">
        <f>P749+P785+P834-P780</f>
        <v>1908</v>
      </c>
      <c r="Q751" s="59">
        <f>SUM(N751:P751)</f>
        <v>7226</v>
      </c>
      <c r="R751" s="59">
        <f>+E751+I751+M751+Q751</f>
        <v>42374</v>
      </c>
    </row>
    <row r="752" spans="1:18" ht="16.5" customHeight="1" thickBot="1" x14ac:dyDescent="0.35">
      <c r="A752" s="24" t="s">
        <v>585</v>
      </c>
      <c r="B752" s="25">
        <f>(B751/B10)/1.983</f>
        <v>60.465570250353814</v>
      </c>
      <c r="C752" s="25">
        <f>(C751/C10)/1.983</f>
        <v>73.319645558677323</v>
      </c>
      <c r="D752" s="25">
        <f>(D751/D10)/1.983</f>
        <v>45.174304166056636</v>
      </c>
      <c r="E752" s="88" t="s">
        <v>7</v>
      </c>
      <c r="F752" s="25">
        <f>(F751/F10)/1.983</f>
        <v>66.397713901496047</v>
      </c>
      <c r="G752" s="25">
        <f>(G751/G10)/1.983</f>
        <v>76.944349551835771</v>
      </c>
      <c r="H752" s="25">
        <f>(H751/H10)/1.983</f>
        <v>65.557236510337873</v>
      </c>
      <c r="I752" s="88" t="s">
        <v>7</v>
      </c>
      <c r="J752" s="25">
        <f>(J751/J10)/1.983</f>
        <v>55.178696338229791</v>
      </c>
      <c r="K752" s="25">
        <f>(K751/K10)/1.983</f>
        <v>73.625819465456374</v>
      </c>
      <c r="L752" s="25">
        <f>(L751/L10)/1.983</f>
        <v>68.667002857623118</v>
      </c>
      <c r="M752" s="88" t="s">
        <v>7</v>
      </c>
      <c r="N752" s="25">
        <f>(N751/N10)/1.983</f>
        <v>51.664958599710431</v>
      </c>
      <c r="O752" s="25">
        <f>(O751/O10)/1.983</f>
        <v>36.006051437216342</v>
      </c>
      <c r="P752" s="25">
        <f>(P751/P10)/1.983</f>
        <v>31.038016690254256</v>
      </c>
      <c r="Q752" s="88" t="s">
        <v>7</v>
      </c>
      <c r="R752" s="88" t="s">
        <v>7</v>
      </c>
    </row>
    <row r="753" spans="1:18" ht="15.75" customHeight="1" x14ac:dyDescent="0.3">
      <c r="A753" s="28"/>
      <c r="B753" s="1"/>
      <c r="C753" s="1"/>
      <c r="D753" s="1"/>
      <c r="E753" s="1"/>
      <c r="F753" s="1"/>
      <c r="G753" s="1"/>
      <c r="H753" s="1"/>
      <c r="I753" s="1"/>
      <c r="J753" s="1"/>
      <c r="K753" s="1"/>
      <c r="L753" s="1"/>
      <c r="M753" s="1"/>
      <c r="N753" s="1"/>
      <c r="O753" s="1"/>
      <c r="P753" s="1"/>
      <c r="Q753" s="1"/>
      <c r="R753" s="28"/>
    </row>
    <row r="754" spans="1:18" ht="15.75" customHeight="1" thickBot="1" x14ac:dyDescent="0.35">
      <c r="A754" s="28"/>
      <c r="B754" s="1"/>
      <c r="C754" s="1"/>
      <c r="D754" s="1"/>
      <c r="E754" s="1"/>
      <c r="F754" s="1"/>
      <c r="G754" s="1"/>
      <c r="H754" s="1"/>
      <c r="I754" s="1"/>
      <c r="J754" s="1"/>
      <c r="K754" s="1"/>
      <c r="L754" s="1"/>
      <c r="M754" s="1"/>
      <c r="N754" s="1"/>
      <c r="O754" s="1"/>
      <c r="P754" s="1"/>
      <c r="Q754" s="1"/>
      <c r="R754" s="28"/>
    </row>
    <row r="755" spans="1:18" ht="16.5" customHeight="1" thickBot="1" x14ac:dyDescent="0.35">
      <c r="A755" s="343" t="s">
        <v>586</v>
      </c>
      <c r="B755" s="323" t="s">
        <v>36</v>
      </c>
      <c r="C755" s="324" t="s">
        <v>9</v>
      </c>
      <c r="D755" s="324" t="s">
        <v>10</v>
      </c>
      <c r="E755" s="34" t="s">
        <v>11</v>
      </c>
      <c r="F755" s="324" t="s">
        <v>12</v>
      </c>
      <c r="G755" s="324" t="s">
        <v>13</v>
      </c>
      <c r="H755" s="324" t="s">
        <v>14</v>
      </c>
      <c r="I755" s="34" t="s">
        <v>15</v>
      </c>
      <c r="J755" s="324" t="s">
        <v>16</v>
      </c>
      <c r="K755" s="324" t="s">
        <v>17</v>
      </c>
      <c r="L755" s="324" t="s">
        <v>18</v>
      </c>
      <c r="M755" s="34" t="s">
        <v>19</v>
      </c>
      <c r="N755" s="324" t="s">
        <v>20</v>
      </c>
      <c r="O755" s="324" t="s">
        <v>21</v>
      </c>
      <c r="P755" s="324" t="s">
        <v>22</v>
      </c>
      <c r="Q755" s="34" t="s">
        <v>23</v>
      </c>
      <c r="R755" s="346" t="s">
        <v>24</v>
      </c>
    </row>
    <row r="756" spans="1:18" ht="16.5" customHeight="1" thickBot="1" x14ac:dyDescent="0.35">
      <c r="A756" s="42"/>
      <c r="B756" s="37"/>
      <c r="C756" s="37"/>
      <c r="D756" s="37"/>
      <c r="E756" s="156"/>
      <c r="F756" s="37"/>
      <c r="G756" s="37"/>
      <c r="H756" s="37"/>
      <c r="I756" s="156"/>
      <c r="J756" s="37"/>
      <c r="K756" s="37"/>
      <c r="L756" s="37"/>
      <c r="M756" s="156"/>
      <c r="N756" s="37"/>
      <c r="O756" s="37"/>
      <c r="P756" s="37"/>
      <c r="Q756" s="156"/>
      <c r="R756" s="39"/>
    </row>
    <row r="757" spans="1:18" ht="15.75" customHeight="1" x14ac:dyDescent="0.3">
      <c r="A757" s="17" t="s">
        <v>45</v>
      </c>
      <c r="B757" s="1" t="s">
        <v>7</v>
      </c>
      <c r="C757" s="1" t="s">
        <v>7</v>
      </c>
      <c r="D757" s="1" t="s">
        <v>7</v>
      </c>
      <c r="E757" s="59" t="s">
        <v>7</v>
      </c>
      <c r="F757" s="1" t="s">
        <v>7</v>
      </c>
      <c r="G757" s="1" t="s">
        <v>7</v>
      </c>
      <c r="H757" s="1" t="s">
        <v>7</v>
      </c>
      <c r="I757" s="59" t="s">
        <v>7</v>
      </c>
      <c r="J757" s="1" t="s">
        <v>7</v>
      </c>
      <c r="K757" s="1" t="s">
        <v>7</v>
      </c>
      <c r="L757" s="1" t="s">
        <v>7</v>
      </c>
      <c r="M757" s="59" t="s">
        <v>7</v>
      </c>
      <c r="N757" s="1" t="s">
        <v>7</v>
      </c>
      <c r="O757" s="1" t="s">
        <v>7</v>
      </c>
      <c r="P757" s="1" t="s">
        <v>7</v>
      </c>
      <c r="Q757" s="59" t="s">
        <v>7</v>
      </c>
      <c r="R757" s="59" t="s">
        <v>7</v>
      </c>
    </row>
    <row r="758" spans="1:18" ht="15.75" customHeight="1" x14ac:dyDescent="0.3">
      <c r="A758" s="17" t="s">
        <v>46</v>
      </c>
      <c r="B758" s="1"/>
      <c r="C758" s="1"/>
      <c r="D758" s="1"/>
      <c r="E758" s="59" t="s">
        <v>7</v>
      </c>
      <c r="F758" s="1"/>
      <c r="G758" s="1"/>
      <c r="H758" s="1"/>
      <c r="I758" s="59" t="s">
        <v>7</v>
      </c>
      <c r="J758" s="1"/>
      <c r="K758" s="1"/>
      <c r="L758" s="1"/>
      <c r="M758" s="59" t="s">
        <v>7</v>
      </c>
      <c r="N758" s="1"/>
      <c r="O758" s="1"/>
      <c r="P758" s="1"/>
      <c r="Q758" s="59" t="s">
        <v>7</v>
      </c>
      <c r="R758" s="59" t="s">
        <v>7</v>
      </c>
    </row>
    <row r="759" spans="1:18" ht="15.75" customHeight="1" x14ac:dyDescent="0.3">
      <c r="A759" s="74" t="s">
        <v>587</v>
      </c>
      <c r="B759" s="1"/>
      <c r="C759" s="1"/>
      <c r="D759" s="1">
        <v>27</v>
      </c>
      <c r="E759" s="59">
        <f>SUM(B759:D759)</f>
        <v>27</v>
      </c>
      <c r="F759" s="1"/>
      <c r="G759" s="1"/>
      <c r="H759" s="1"/>
      <c r="I759" s="59">
        <f>SUM(F759:H759)</f>
        <v>0</v>
      </c>
      <c r="J759" s="1"/>
      <c r="K759" s="1"/>
      <c r="L759" s="1"/>
      <c r="M759" s="59">
        <f>SUM(J759:L759)</f>
        <v>0</v>
      </c>
      <c r="N759" s="1"/>
      <c r="O759" s="1"/>
      <c r="P759" s="1">
        <v>20</v>
      </c>
      <c r="Q759" s="59">
        <f>SUM(N759:P759)</f>
        <v>20</v>
      </c>
      <c r="R759" s="59">
        <f>+E759+I759+M759+Q759</f>
        <v>47</v>
      </c>
    </row>
    <row r="760" spans="1:18" ht="15.75" customHeight="1" x14ac:dyDescent="0.3">
      <c r="A760" s="17" t="s">
        <v>47</v>
      </c>
      <c r="B760" s="1"/>
      <c r="C760" s="1"/>
      <c r="D760" s="1"/>
      <c r="E760" s="59" t="s">
        <v>7</v>
      </c>
      <c r="F760" s="1"/>
      <c r="G760" s="1"/>
      <c r="H760" s="1"/>
      <c r="I760" s="59" t="s">
        <v>7</v>
      </c>
      <c r="J760" s="1"/>
      <c r="K760" s="1"/>
      <c r="L760" s="1"/>
      <c r="M760" s="59" t="s">
        <v>7</v>
      </c>
      <c r="N760" s="1"/>
      <c r="O760" s="1"/>
      <c r="P760" s="1"/>
      <c r="Q760" s="59" t="s">
        <v>7</v>
      </c>
      <c r="R760" s="59" t="s">
        <v>7</v>
      </c>
    </row>
    <row r="761" spans="1:18" ht="15.75" customHeight="1" x14ac:dyDescent="0.3">
      <c r="A761" s="17" t="s">
        <v>49</v>
      </c>
      <c r="B761" s="1"/>
      <c r="C761" s="1"/>
      <c r="D761" s="1"/>
      <c r="E761" s="59" t="s">
        <v>7</v>
      </c>
      <c r="F761" s="1"/>
      <c r="G761" s="1"/>
      <c r="H761" s="1"/>
      <c r="I761" s="59" t="s">
        <v>7</v>
      </c>
      <c r="J761" s="1"/>
      <c r="K761" s="1"/>
      <c r="L761" s="1"/>
      <c r="M761" s="59" t="s">
        <v>7</v>
      </c>
      <c r="N761" s="1"/>
      <c r="O761" s="1"/>
      <c r="P761" s="1"/>
      <c r="Q761" s="59" t="s">
        <v>7</v>
      </c>
      <c r="R761" s="59" t="s">
        <v>7</v>
      </c>
    </row>
    <row r="762" spans="1:18" ht="15.75" customHeight="1" thickBot="1" x14ac:dyDescent="0.35">
      <c r="A762" s="17" t="s">
        <v>51</v>
      </c>
      <c r="B762" s="1"/>
      <c r="C762" s="1"/>
      <c r="D762" s="1"/>
      <c r="E762" s="59" t="s">
        <v>7</v>
      </c>
      <c r="F762" s="1"/>
      <c r="G762" s="1"/>
      <c r="H762" s="1"/>
      <c r="I762" s="59" t="s">
        <v>7</v>
      </c>
      <c r="J762" s="1"/>
      <c r="K762" s="1"/>
      <c r="L762" s="1"/>
      <c r="M762" s="59" t="s">
        <v>7</v>
      </c>
      <c r="N762" s="1"/>
      <c r="O762" s="1"/>
      <c r="P762" s="1"/>
      <c r="Q762" s="59" t="s">
        <v>7</v>
      </c>
      <c r="R762" s="59" t="s">
        <v>7</v>
      </c>
    </row>
    <row r="763" spans="1:18" ht="16.5" customHeight="1" thickBot="1" x14ac:dyDescent="0.35">
      <c r="A763" s="62" t="s">
        <v>52</v>
      </c>
      <c r="B763" s="100">
        <f>SUM(B757:B762)</f>
        <v>0</v>
      </c>
      <c r="C763" s="101">
        <f>SUM(C757:C762)</f>
        <v>0</v>
      </c>
      <c r="D763" s="101">
        <f>SUM(D757:D762)</f>
        <v>27</v>
      </c>
      <c r="E763" s="64">
        <f>SUM(B763:D763)</f>
        <v>27</v>
      </c>
      <c r="F763" s="101">
        <f>SUM(F757:F762)</f>
        <v>0</v>
      </c>
      <c r="G763" s="101">
        <f>SUM(G757:G762)</f>
        <v>0</v>
      </c>
      <c r="H763" s="101">
        <f>SUM(H757:H762)</f>
        <v>0</v>
      </c>
      <c r="I763" s="64">
        <f>SUM(F763:H763)</f>
        <v>0</v>
      </c>
      <c r="J763" s="101">
        <f>SUM(J757:J762)</f>
        <v>0</v>
      </c>
      <c r="K763" s="101">
        <f>SUM(K757:K762)</f>
        <v>0</v>
      </c>
      <c r="L763" s="101">
        <f>SUM(L757:L762)</f>
        <v>0</v>
      </c>
      <c r="M763" s="64">
        <f>SUM(J763:L763)</f>
        <v>0</v>
      </c>
      <c r="N763" s="101">
        <f>SUM(N757:N762)</f>
        <v>0</v>
      </c>
      <c r="O763" s="101">
        <f>SUM(O757:O762)</f>
        <v>0</v>
      </c>
      <c r="P763" s="101">
        <f>SUM(P757:P762)</f>
        <v>20</v>
      </c>
      <c r="Q763" s="64">
        <f>SUM(N763:P763)</f>
        <v>20</v>
      </c>
      <c r="R763" s="64">
        <f>+E763+I763+M763+Q763</f>
        <v>47</v>
      </c>
    </row>
    <row r="764" spans="1:18" ht="15.75" customHeight="1" x14ac:dyDescent="0.3">
      <c r="A764" s="17" t="s">
        <v>53</v>
      </c>
      <c r="B764" s="1"/>
      <c r="C764" s="1"/>
      <c r="D764" s="1"/>
      <c r="E764" s="59" t="s">
        <v>7</v>
      </c>
      <c r="F764" s="1"/>
      <c r="G764" s="1"/>
      <c r="H764" s="1"/>
      <c r="I764" s="59" t="s">
        <v>7</v>
      </c>
      <c r="J764" s="1"/>
      <c r="K764" s="1"/>
      <c r="L764" s="1"/>
      <c r="M764" s="59" t="s">
        <v>7</v>
      </c>
      <c r="N764" s="1"/>
      <c r="O764" s="1"/>
      <c r="P764" s="1"/>
      <c r="Q764" s="59" t="s">
        <v>7</v>
      </c>
      <c r="R764" s="59" t="s">
        <v>7</v>
      </c>
    </row>
    <row r="765" spans="1:18" ht="15.75" customHeight="1" x14ac:dyDescent="0.3">
      <c r="A765" s="17" t="s">
        <v>55</v>
      </c>
      <c r="B765" s="1"/>
      <c r="C765" s="1"/>
      <c r="D765" s="1"/>
      <c r="E765" s="59" t="s">
        <v>7</v>
      </c>
      <c r="F765" s="1"/>
      <c r="G765" s="1"/>
      <c r="H765" s="1"/>
      <c r="I765" s="59" t="s">
        <v>7</v>
      </c>
      <c r="J765" s="1"/>
      <c r="K765" s="1"/>
      <c r="L765" s="1"/>
      <c r="M765" s="59" t="s">
        <v>7</v>
      </c>
      <c r="N765" s="1"/>
      <c r="O765" s="1"/>
      <c r="P765" s="1"/>
      <c r="Q765" s="59" t="s">
        <v>7</v>
      </c>
      <c r="R765" s="59" t="s">
        <v>7</v>
      </c>
    </row>
    <row r="766" spans="1:18" ht="15.75" customHeight="1" thickBot="1" x14ac:dyDescent="0.35">
      <c r="A766" s="17" t="s">
        <v>56</v>
      </c>
      <c r="B766" s="1"/>
      <c r="C766" s="1"/>
      <c r="D766" s="1"/>
      <c r="E766" s="59" t="s">
        <v>7</v>
      </c>
      <c r="F766" s="1"/>
      <c r="G766" s="1"/>
      <c r="H766" s="1"/>
      <c r="I766" s="59" t="s">
        <v>7</v>
      </c>
      <c r="J766" s="1"/>
      <c r="K766" s="1"/>
      <c r="L766" s="1"/>
      <c r="M766" s="59" t="s">
        <v>7</v>
      </c>
      <c r="N766" s="1"/>
      <c r="O766" s="1"/>
      <c r="P766" s="1"/>
      <c r="Q766" s="59" t="s">
        <v>7</v>
      </c>
      <c r="R766" s="59" t="s">
        <v>7</v>
      </c>
    </row>
    <row r="767" spans="1:18" ht="16.5" customHeight="1" thickBot="1" x14ac:dyDescent="0.35">
      <c r="A767" s="62" t="s">
        <v>57</v>
      </c>
      <c r="B767" s="100">
        <f>SUM(B764:B766)</f>
        <v>0</v>
      </c>
      <c r="C767" s="101">
        <f>SUM(C764:C766)</f>
        <v>0</v>
      </c>
      <c r="D767" s="101">
        <f>SUM(D764:D766)</f>
        <v>0</v>
      </c>
      <c r="E767" s="64">
        <f>SUM(B767:D767)</f>
        <v>0</v>
      </c>
      <c r="F767" s="101">
        <f>SUM(F764:F766)</f>
        <v>0</v>
      </c>
      <c r="G767" s="101">
        <f>SUM(G764:G766)</f>
        <v>0</v>
      </c>
      <c r="H767" s="101">
        <f>SUM(H764:H766)</f>
        <v>0</v>
      </c>
      <c r="I767" s="64">
        <f>SUM(F767:H767)</f>
        <v>0</v>
      </c>
      <c r="J767" s="101">
        <f>SUM(J764:J766)</f>
        <v>0</v>
      </c>
      <c r="K767" s="101">
        <f>SUM(K764:K766)</f>
        <v>0</v>
      </c>
      <c r="L767" s="101">
        <f>SUM(L764:L766)</f>
        <v>0</v>
      </c>
      <c r="M767" s="64">
        <f>SUM(J767:L767)</f>
        <v>0</v>
      </c>
      <c r="N767" s="101">
        <f>SUM(N764:N766)</f>
        <v>0</v>
      </c>
      <c r="O767" s="101">
        <f>SUM(O764:O766)</f>
        <v>0</v>
      </c>
      <c r="P767" s="101">
        <f>SUM(P764:P766)</f>
        <v>0</v>
      </c>
      <c r="Q767" s="64">
        <f>SUM(N767:P767)</f>
        <v>0</v>
      </c>
      <c r="R767" s="64">
        <f>+E767+I767+M767+Q767</f>
        <v>0</v>
      </c>
    </row>
    <row r="768" spans="1:18" ht="15.75" customHeight="1" x14ac:dyDescent="0.3">
      <c r="A768" s="17" t="s">
        <v>58</v>
      </c>
      <c r="B768" s="1"/>
      <c r="C768" s="1"/>
      <c r="D768" s="1"/>
      <c r="E768" s="59" t="s">
        <v>7</v>
      </c>
      <c r="F768" s="1"/>
      <c r="G768" s="1"/>
      <c r="H768" s="1"/>
      <c r="I768" s="59" t="s">
        <v>7</v>
      </c>
      <c r="J768" s="1"/>
      <c r="K768" s="1"/>
      <c r="L768" s="1"/>
      <c r="M768" s="59" t="s">
        <v>7</v>
      </c>
      <c r="N768" s="1"/>
      <c r="O768" s="1"/>
      <c r="P768" s="1"/>
      <c r="Q768" s="59" t="s">
        <v>7</v>
      </c>
      <c r="R768" s="59" t="s">
        <v>7</v>
      </c>
    </row>
    <row r="769" spans="1:18" ht="15.75" customHeight="1" x14ac:dyDescent="0.3">
      <c r="A769" s="17" t="s">
        <v>59</v>
      </c>
      <c r="B769" s="1"/>
      <c r="C769" s="1"/>
      <c r="D769" s="1"/>
      <c r="E769" s="59" t="s">
        <v>7</v>
      </c>
      <c r="F769" s="1"/>
      <c r="G769" s="1"/>
      <c r="H769" s="1"/>
      <c r="I769" s="59" t="s">
        <v>7</v>
      </c>
      <c r="J769" s="1"/>
      <c r="K769" s="1"/>
      <c r="L769" s="1"/>
      <c r="M769" s="59" t="s">
        <v>7</v>
      </c>
      <c r="N769" s="1"/>
      <c r="O769" s="1"/>
      <c r="P769" s="1"/>
      <c r="Q769" s="59" t="s">
        <v>7</v>
      </c>
      <c r="R769" s="59" t="s">
        <v>7</v>
      </c>
    </row>
    <row r="770" spans="1:18" ht="15.75" customHeight="1" thickBot="1" x14ac:dyDescent="0.35">
      <c r="A770" s="17" t="s">
        <v>60</v>
      </c>
      <c r="B770" s="1"/>
      <c r="C770" s="1"/>
      <c r="D770" s="1"/>
      <c r="E770" s="59" t="s">
        <v>7</v>
      </c>
      <c r="F770" s="1"/>
      <c r="G770" s="1"/>
      <c r="H770" s="1"/>
      <c r="I770" s="59" t="s">
        <v>7</v>
      </c>
      <c r="J770" s="1"/>
      <c r="K770" s="1"/>
      <c r="L770" s="1"/>
      <c r="M770" s="59" t="s">
        <v>7</v>
      </c>
      <c r="N770" s="1"/>
      <c r="O770" s="1"/>
      <c r="P770" s="1"/>
      <c r="Q770" s="59" t="s">
        <v>7</v>
      </c>
      <c r="R770" s="59" t="s">
        <v>7</v>
      </c>
    </row>
    <row r="771" spans="1:18" ht="16.5" customHeight="1" thickBot="1" x14ac:dyDescent="0.35">
      <c r="A771" s="62" t="s">
        <v>61</v>
      </c>
      <c r="B771" s="100">
        <f>SUM(B768:B770)</f>
        <v>0</v>
      </c>
      <c r="C771" s="101">
        <f>SUM(C768:C770)</f>
        <v>0</v>
      </c>
      <c r="D771" s="101">
        <f>SUM(D768:D770)</f>
        <v>0</v>
      </c>
      <c r="E771" s="64">
        <f>SUM(B771:D771)</f>
        <v>0</v>
      </c>
      <c r="F771" s="101">
        <f>SUM(F768:F770)</f>
        <v>0</v>
      </c>
      <c r="G771" s="101">
        <f>SUM(G768:G770)</f>
        <v>0</v>
      </c>
      <c r="H771" s="101">
        <f>SUM(H768:H770)</f>
        <v>0</v>
      </c>
      <c r="I771" s="64">
        <f>SUM(F771:H771)</f>
        <v>0</v>
      </c>
      <c r="J771" s="101">
        <f>SUM(J768:J770)</f>
        <v>0</v>
      </c>
      <c r="K771" s="101">
        <f>SUM(K768:K770)</f>
        <v>0</v>
      </c>
      <c r="L771" s="101">
        <f>SUM(L768:L770)</f>
        <v>0</v>
      </c>
      <c r="M771" s="64">
        <f>SUM(J771:L771)</f>
        <v>0</v>
      </c>
      <c r="N771" s="101">
        <f>SUM(N768:N770)</f>
        <v>0</v>
      </c>
      <c r="O771" s="101">
        <f>SUM(O768:O770)</f>
        <v>0</v>
      </c>
      <c r="P771" s="101">
        <f>SUM(P768:P770)</f>
        <v>0</v>
      </c>
      <c r="Q771" s="64">
        <f>SUM(N771:P771)</f>
        <v>0</v>
      </c>
      <c r="R771" s="64">
        <f>+E771+I771+M771+Q771</f>
        <v>0</v>
      </c>
    </row>
    <row r="772" spans="1:18" ht="15.75" customHeight="1" x14ac:dyDescent="0.3">
      <c r="A772" s="17" t="s">
        <v>62</v>
      </c>
      <c r="B772" s="1"/>
      <c r="C772" s="1"/>
      <c r="D772" s="1"/>
      <c r="E772" s="59" t="s">
        <v>7</v>
      </c>
      <c r="F772" s="1"/>
      <c r="G772" s="1"/>
      <c r="H772" s="1"/>
      <c r="I772" s="59" t="s">
        <v>7</v>
      </c>
      <c r="J772" s="1"/>
      <c r="K772" s="1"/>
      <c r="L772" s="1"/>
      <c r="M772" s="59" t="s">
        <v>7</v>
      </c>
      <c r="N772" s="1"/>
      <c r="O772" s="1"/>
      <c r="P772" s="1"/>
      <c r="Q772" s="59" t="s">
        <v>7</v>
      </c>
      <c r="R772" s="59" t="s">
        <v>7</v>
      </c>
    </row>
    <row r="773" spans="1:18" ht="15.75" customHeight="1" x14ac:dyDescent="0.3">
      <c r="A773" s="17" t="s">
        <v>63</v>
      </c>
      <c r="B773" s="1"/>
      <c r="C773" s="1"/>
      <c r="D773" s="1"/>
      <c r="E773" s="59" t="s">
        <v>7</v>
      </c>
      <c r="F773" s="1"/>
      <c r="G773" s="1"/>
      <c r="H773" s="1"/>
      <c r="I773" s="59" t="s">
        <v>7</v>
      </c>
      <c r="J773" s="1"/>
      <c r="K773" s="1"/>
      <c r="L773" s="1"/>
      <c r="M773" s="59" t="s">
        <v>7</v>
      </c>
      <c r="N773" s="1"/>
      <c r="O773" s="1"/>
      <c r="P773" s="1"/>
      <c r="Q773" s="59" t="s">
        <v>7</v>
      </c>
      <c r="R773" s="59" t="s">
        <v>7</v>
      </c>
    </row>
    <row r="774" spans="1:18" ht="15.75" customHeight="1" x14ac:dyDescent="0.3">
      <c r="A774" s="17" t="s">
        <v>64</v>
      </c>
      <c r="B774" s="1"/>
      <c r="C774" s="1"/>
      <c r="D774" s="1"/>
      <c r="E774" s="59" t="s">
        <v>7</v>
      </c>
      <c r="F774" s="1"/>
      <c r="G774" s="1"/>
      <c r="H774" s="1"/>
      <c r="I774" s="59" t="s">
        <v>7</v>
      </c>
      <c r="J774" s="1"/>
      <c r="K774" s="1"/>
      <c r="L774" s="1"/>
      <c r="M774" s="59" t="s">
        <v>7</v>
      </c>
      <c r="N774" s="1"/>
      <c r="O774" s="1"/>
      <c r="P774" s="1"/>
      <c r="Q774" s="59" t="s">
        <v>7</v>
      </c>
      <c r="R774" s="59" t="s">
        <v>7</v>
      </c>
    </row>
    <row r="775" spans="1:18" ht="15.75" customHeight="1" x14ac:dyDescent="0.3">
      <c r="A775" s="17" t="s">
        <v>66</v>
      </c>
      <c r="B775" s="1"/>
      <c r="C775" s="1"/>
      <c r="D775" s="1"/>
      <c r="E775" s="59" t="s">
        <v>7</v>
      </c>
      <c r="F775" s="1"/>
      <c r="G775" s="1"/>
      <c r="H775" s="1"/>
      <c r="I775" s="59" t="s">
        <v>7</v>
      </c>
      <c r="J775" s="1"/>
      <c r="K775" s="1"/>
      <c r="L775" s="1"/>
      <c r="M775" s="59" t="s">
        <v>7</v>
      </c>
      <c r="N775" s="1"/>
      <c r="O775" s="1"/>
      <c r="P775" s="1"/>
      <c r="Q775" s="59" t="s">
        <v>7</v>
      </c>
      <c r="R775" s="59" t="s">
        <v>7</v>
      </c>
    </row>
    <row r="776" spans="1:18" ht="15.75" customHeight="1" thickBot="1" x14ac:dyDescent="0.35">
      <c r="A776" s="17" t="s">
        <v>67</v>
      </c>
      <c r="B776" s="1"/>
      <c r="C776" s="1"/>
      <c r="D776" s="1"/>
      <c r="E776" s="59" t="s">
        <v>7</v>
      </c>
      <c r="F776" s="1"/>
      <c r="G776" s="1"/>
      <c r="H776" s="1"/>
      <c r="I776" s="59" t="s">
        <v>7</v>
      </c>
      <c r="J776" s="1"/>
      <c r="K776" s="1"/>
      <c r="L776" s="1"/>
      <c r="M776" s="59" t="s">
        <v>7</v>
      </c>
      <c r="N776" s="1"/>
      <c r="O776" s="1"/>
      <c r="P776" s="1"/>
      <c r="Q776" s="59" t="s">
        <v>7</v>
      </c>
      <c r="R776" s="59" t="s">
        <v>7</v>
      </c>
    </row>
    <row r="777" spans="1:18" ht="16.5" customHeight="1" thickBot="1" x14ac:dyDescent="0.35">
      <c r="A777" s="62" t="s">
        <v>68</v>
      </c>
      <c r="B777" s="63">
        <f>SUM(B775:B776)</f>
        <v>0</v>
      </c>
      <c r="C777" s="63">
        <f>SUM(C775:C776)</f>
        <v>0</v>
      </c>
      <c r="D777" s="63">
        <f>SUM(D775:D776)</f>
        <v>0</v>
      </c>
      <c r="E777" s="334">
        <f>SUM(B777:D777)</f>
        <v>0</v>
      </c>
      <c r="F777" s="63">
        <f>SUM(F775:F776)</f>
        <v>0</v>
      </c>
      <c r="G777" s="63">
        <f>SUM(G775:G776)</f>
        <v>0</v>
      </c>
      <c r="H777" s="63">
        <f>SUM(H775:H776)</f>
        <v>0</v>
      </c>
      <c r="I777" s="334">
        <f>SUM(F777:H777)</f>
        <v>0</v>
      </c>
      <c r="J777" s="63">
        <f>SUM(J775:J776)</f>
        <v>0</v>
      </c>
      <c r="K777" s="63">
        <f>SUM(K775:K776)</f>
        <v>0</v>
      </c>
      <c r="L777" s="63">
        <f>SUM(L775:L776)</f>
        <v>0</v>
      </c>
      <c r="M777" s="334">
        <f>SUM(J777:L777)</f>
        <v>0</v>
      </c>
      <c r="N777" s="63">
        <f>SUM(N775:N776)</f>
        <v>0</v>
      </c>
      <c r="O777" s="63">
        <f>SUM(O775:O776)</f>
        <v>0</v>
      </c>
      <c r="P777" s="63">
        <f>SUM(P775:P776)</f>
        <v>0</v>
      </c>
      <c r="Q777" s="334">
        <f>SUM(N777:P777)</f>
        <v>0</v>
      </c>
      <c r="R777" s="64">
        <f>+E777+I777+M777+Q777</f>
        <v>0</v>
      </c>
    </row>
    <row r="778" spans="1:18" ht="16.5" customHeight="1" thickBot="1" x14ac:dyDescent="0.35">
      <c r="A778" s="62" t="s">
        <v>69</v>
      </c>
      <c r="B778" s="100">
        <f>SUM(B772:B776)</f>
        <v>0</v>
      </c>
      <c r="C778" s="101">
        <f>SUM(C772:C776)</f>
        <v>0</v>
      </c>
      <c r="D778" s="138">
        <f>SUM(D772:D776)</f>
        <v>0</v>
      </c>
      <c r="E778" s="334">
        <f>SUM(B778:D778)</f>
        <v>0</v>
      </c>
      <c r="F778" s="101">
        <f>SUM(F772:F776)</f>
        <v>0</v>
      </c>
      <c r="G778" s="101">
        <f>SUM(G772:G776)</f>
        <v>0</v>
      </c>
      <c r="H778" s="101">
        <f>SUM(H772:H776)</f>
        <v>0</v>
      </c>
      <c r="I778" s="334">
        <f>SUM(F778:H778)</f>
        <v>0</v>
      </c>
      <c r="J778" s="101">
        <f>SUM(J772:J776)</f>
        <v>0</v>
      </c>
      <c r="K778" s="101">
        <f>SUM(K772:K776)</f>
        <v>0</v>
      </c>
      <c r="L778" s="101">
        <f>SUM(L772:L776)</f>
        <v>0</v>
      </c>
      <c r="M778" s="334">
        <f>SUM(J778:L778)</f>
        <v>0</v>
      </c>
      <c r="N778" s="101">
        <f>SUM(N772:N776)</f>
        <v>0</v>
      </c>
      <c r="O778" s="101">
        <f>SUM(O772:O776)</f>
        <v>0</v>
      </c>
      <c r="P778" s="101">
        <f>SUM(P772:P776)</f>
        <v>0</v>
      </c>
      <c r="Q778" s="334">
        <f>SUM(N778:P778)</f>
        <v>0</v>
      </c>
      <c r="R778" s="64">
        <f>+E778+I778+M778+Q778</f>
        <v>0</v>
      </c>
    </row>
    <row r="779" spans="1:18" ht="16.5" customHeight="1" thickBot="1" x14ac:dyDescent="0.35">
      <c r="A779" s="62" t="s">
        <v>70</v>
      </c>
      <c r="B779" s="107">
        <f>+B763+B767+B771+B778</f>
        <v>0</v>
      </c>
      <c r="C779" s="63">
        <f>+C763+C767+C771+C778</f>
        <v>0</v>
      </c>
      <c r="D779" s="63">
        <f>+D763+D767+D771+D778</f>
        <v>27</v>
      </c>
      <c r="E779" s="64">
        <f>SUM(B779:D779)</f>
        <v>27</v>
      </c>
      <c r="F779" s="63">
        <f>+F763+F767+F771+F778</f>
        <v>0</v>
      </c>
      <c r="G779" s="63">
        <f>+G763+G767+G771+G778</f>
        <v>0</v>
      </c>
      <c r="H779" s="63">
        <f>+H763+H767+H771+H778</f>
        <v>0</v>
      </c>
      <c r="I779" s="64">
        <f>SUM(F779:H779)</f>
        <v>0</v>
      </c>
      <c r="J779" s="63">
        <f>+J763+J767+J771+J778</f>
        <v>0</v>
      </c>
      <c r="K779" s="63">
        <f>+K763+K767+K771+K778</f>
        <v>0</v>
      </c>
      <c r="L779" s="63">
        <f>+L763+L767+L771+L778</f>
        <v>0</v>
      </c>
      <c r="M779" s="64">
        <f>SUM(J779:L779)</f>
        <v>0</v>
      </c>
      <c r="N779" s="63">
        <f>+N763+N767+N771+N778</f>
        <v>0</v>
      </c>
      <c r="O779" s="63">
        <f>+O763+O767+O771+O778</f>
        <v>0</v>
      </c>
      <c r="P779" s="63">
        <f>+P763+P767+P771+P778</f>
        <v>20</v>
      </c>
      <c r="Q779" s="64">
        <f>SUM(N779:P779)</f>
        <v>20</v>
      </c>
      <c r="R779" s="88">
        <f>+E779+I779+M779+Q779</f>
        <v>47</v>
      </c>
    </row>
    <row r="780" spans="1:18" ht="15.75" customHeight="1" x14ac:dyDescent="0.3">
      <c r="A780" s="74" t="s">
        <v>588</v>
      </c>
      <c r="B780" s="1">
        <v>3753</v>
      </c>
      <c r="C780" s="1">
        <v>3023</v>
      </c>
      <c r="D780" s="1">
        <v>3753</v>
      </c>
      <c r="E780" s="59">
        <f>SUM(B780:D780)</f>
        <v>10529</v>
      </c>
      <c r="F780" s="1">
        <v>4566</v>
      </c>
      <c r="G780" s="1">
        <v>5871</v>
      </c>
      <c r="H780" s="1">
        <v>5822</v>
      </c>
      <c r="I780" s="59">
        <f>SUM(F780:H780)</f>
        <v>16259</v>
      </c>
      <c r="J780" s="1">
        <v>5226</v>
      </c>
      <c r="K780" s="1">
        <v>5706</v>
      </c>
      <c r="L780" s="1">
        <v>5582</v>
      </c>
      <c r="M780" s="59">
        <f>SUM(J780:L780)</f>
        <v>16514</v>
      </c>
      <c r="N780" s="1">
        <v>3589.6666666666665</v>
      </c>
      <c r="O780" s="1">
        <v>3783.8</v>
      </c>
      <c r="P780" s="1">
        <v>3294.2</v>
      </c>
      <c r="Q780" s="59">
        <f>SUM(N780:P780)</f>
        <v>10667.666666666668</v>
      </c>
      <c r="R780" s="59">
        <f>+E780+I780+M780+Q780</f>
        <v>53969.666666666672</v>
      </c>
    </row>
    <row r="781" spans="1:18" ht="15.75" customHeight="1" thickBot="1" x14ac:dyDescent="0.35">
      <c r="A781" s="74" t="s">
        <v>37</v>
      </c>
      <c r="B781" s="1">
        <v>0</v>
      </c>
      <c r="C781" s="1">
        <v>0</v>
      </c>
      <c r="D781" s="1">
        <v>0</v>
      </c>
      <c r="E781" s="59">
        <f>SUM(B781:D781)</f>
        <v>0</v>
      </c>
      <c r="F781" s="1">
        <v>0</v>
      </c>
      <c r="G781" s="1">
        <v>0</v>
      </c>
      <c r="H781" s="1">
        <v>0</v>
      </c>
      <c r="I781" s="59">
        <f>SUM(F781:H781)</f>
        <v>0</v>
      </c>
      <c r="J781" s="1">
        <v>0</v>
      </c>
      <c r="K781" s="1">
        <v>0</v>
      </c>
      <c r="L781" s="1">
        <v>0</v>
      </c>
      <c r="M781" s="59">
        <f>SUM(J781:L781)</f>
        <v>0</v>
      </c>
      <c r="N781" s="1">
        <v>0</v>
      </c>
      <c r="O781" s="1">
        <v>0</v>
      </c>
      <c r="P781" s="1">
        <v>0</v>
      </c>
      <c r="Q781" s="59">
        <f>SUM(N781:P781)</f>
        <v>0</v>
      </c>
      <c r="R781" s="59">
        <f>+E781+I781+M781+Q781</f>
        <v>0</v>
      </c>
    </row>
    <row r="782" spans="1:18" ht="16.5" customHeight="1" thickBot="1" x14ac:dyDescent="0.35">
      <c r="A782" s="154"/>
      <c r="B782" s="56"/>
      <c r="C782" s="56"/>
      <c r="D782" s="56"/>
      <c r="E782" s="64" t="s">
        <v>7</v>
      </c>
      <c r="F782" s="56"/>
      <c r="G782" s="56"/>
      <c r="H782" s="56"/>
      <c r="I782" s="64" t="s">
        <v>7</v>
      </c>
      <c r="J782" s="56"/>
      <c r="K782" s="56"/>
      <c r="L782" s="56"/>
      <c r="M782" s="64" t="s">
        <v>7</v>
      </c>
      <c r="N782" s="56"/>
      <c r="O782" s="56"/>
      <c r="P782" s="56"/>
      <c r="Q782" s="64"/>
      <c r="R782" s="64"/>
    </row>
    <row r="783" spans="1:18" ht="15.75" customHeight="1" x14ac:dyDescent="0.3">
      <c r="A783" s="17" t="s">
        <v>38</v>
      </c>
      <c r="B783" s="1">
        <f>SUM(B779:B781)</f>
        <v>3753</v>
      </c>
      <c r="C783" s="1">
        <f>SUM(C779:C781)</f>
        <v>3023</v>
      </c>
      <c r="D783" s="1">
        <f>SUM(D779:D781)</f>
        <v>3780</v>
      </c>
      <c r="E783" s="334">
        <f>SUM(B783:D783)</f>
        <v>10556</v>
      </c>
      <c r="F783" s="1">
        <f>SUM(F779:F781)</f>
        <v>4566</v>
      </c>
      <c r="G783" s="1">
        <f>SUM(G779:G781)</f>
        <v>5871</v>
      </c>
      <c r="H783" s="1">
        <f>SUM(H779:H781)</f>
        <v>5822</v>
      </c>
      <c r="I783" s="334">
        <f>SUM(F783:H783)</f>
        <v>16259</v>
      </c>
      <c r="J783" s="1">
        <f>SUM(J779:J781)</f>
        <v>5226</v>
      </c>
      <c r="K783" s="1">
        <f>SUM(K779:K781)</f>
        <v>5706</v>
      </c>
      <c r="L783" s="1">
        <f>SUM(L779:L781)</f>
        <v>5582</v>
      </c>
      <c r="M783" s="334">
        <f>SUM(J783:L783)</f>
        <v>16514</v>
      </c>
      <c r="N783" s="1">
        <f>SUM(N779:N781)</f>
        <v>3589.6666666666665</v>
      </c>
      <c r="O783" s="1">
        <f>SUM(O779:O781)</f>
        <v>3783.8</v>
      </c>
      <c r="P783" s="1">
        <f>SUM(P779:P781)</f>
        <v>3314.2</v>
      </c>
      <c r="Q783" s="334">
        <f>SUM(N783:P783)</f>
        <v>10687.666666666668</v>
      </c>
      <c r="R783" s="334">
        <f>+E783+I783+M783+Q783</f>
        <v>54016.666666666672</v>
      </c>
    </row>
    <row r="784" spans="1:18" ht="15.75" customHeight="1" x14ac:dyDescent="0.3">
      <c r="A784" s="17" t="s">
        <v>39</v>
      </c>
      <c r="B784" s="1">
        <f>(B783/B10)/1.983</f>
        <v>61.051193206773704</v>
      </c>
      <c r="C784" s="1">
        <f>(C783/C10)/1.983</f>
        <v>54.444924717239388</v>
      </c>
      <c r="D784" s="1">
        <f>(D783/D10)/1.983</f>
        <v>61.490410424088623</v>
      </c>
      <c r="E784" s="59" t="s">
        <v>7</v>
      </c>
      <c r="F784" s="1">
        <f>(F783/F10)/1.983</f>
        <v>76.75239536056479</v>
      </c>
      <c r="G784" s="1">
        <f>(G783/G10)/1.983</f>
        <v>95.505343809477324</v>
      </c>
      <c r="H784" s="1">
        <f>(H783/H10)/1.983</f>
        <v>97.86518742645822</v>
      </c>
      <c r="I784" s="59" t="s">
        <v>7</v>
      </c>
      <c r="J784" s="1">
        <f>(J783/J10)/1.983</f>
        <v>85.012932506954272</v>
      </c>
      <c r="K784" s="1">
        <f>(K783/K10)/1.983</f>
        <v>92.821238592552817</v>
      </c>
      <c r="L784" s="1">
        <f>(L783/L10)/1.983</f>
        <v>93.83089594889897</v>
      </c>
      <c r="M784" s="59" t="s">
        <v>7</v>
      </c>
      <c r="N784" s="1">
        <f>(N783/N10)/1.983</f>
        <v>58.394200163757532</v>
      </c>
      <c r="O784" s="1">
        <f>(O783/O10)/1.983</f>
        <v>63.603967053286269</v>
      </c>
      <c r="P784" s="1">
        <f>(P783/P10)/1.983</f>
        <v>53.913100060189024</v>
      </c>
      <c r="Q784" s="59" t="s">
        <v>7</v>
      </c>
      <c r="R784" s="59" t="s">
        <v>7</v>
      </c>
    </row>
    <row r="785" spans="1:20" ht="15.75" customHeight="1" x14ac:dyDescent="0.3">
      <c r="A785" s="17" t="s">
        <v>589</v>
      </c>
      <c r="B785" s="1">
        <f>B783</f>
        <v>3753</v>
      </c>
      <c r="C785" s="1">
        <f>C783</f>
        <v>3023</v>
      </c>
      <c r="D785" s="1">
        <f>D783</f>
        <v>3780</v>
      </c>
      <c r="E785" s="59">
        <f>SUM(B785:D785)</f>
        <v>10556</v>
      </c>
      <c r="F785" s="1">
        <f>F783</f>
        <v>4566</v>
      </c>
      <c r="G785" s="1">
        <f>G783</f>
        <v>5871</v>
      </c>
      <c r="H785" s="1">
        <f>H783</f>
        <v>5822</v>
      </c>
      <c r="I785" s="59">
        <f>SUM(F785:H785)</f>
        <v>16259</v>
      </c>
      <c r="J785" s="1">
        <f>J783</f>
        <v>5226</v>
      </c>
      <c r="K785" s="1">
        <f>K783</f>
        <v>5706</v>
      </c>
      <c r="L785" s="1">
        <f>L783</f>
        <v>5582</v>
      </c>
      <c r="M785" s="59">
        <f>SUM(J785:L785)</f>
        <v>16514</v>
      </c>
      <c r="N785" s="1">
        <f>N783</f>
        <v>3589.6666666666665</v>
      </c>
      <c r="O785" s="1">
        <f>O783</f>
        <v>3783.8</v>
      </c>
      <c r="P785" s="1">
        <f>P783</f>
        <v>3314.2</v>
      </c>
      <c r="Q785" s="59">
        <f>SUM(N785:P785)</f>
        <v>10687.666666666668</v>
      </c>
      <c r="R785" s="59">
        <f>+E785+I785+M785+Q785</f>
        <v>54016.666666666672</v>
      </c>
    </row>
    <row r="786" spans="1:20" ht="16.5" customHeight="1" thickBot="1" x14ac:dyDescent="0.35">
      <c r="A786" s="24" t="s">
        <v>590</v>
      </c>
      <c r="B786" s="25">
        <f>(B785/B10)/1.983</f>
        <v>61.051193206773704</v>
      </c>
      <c r="C786" s="25">
        <f>(C785/C10)/1.983</f>
        <v>54.444924717239388</v>
      </c>
      <c r="D786" s="25">
        <f>(D785/D10)/1.983</f>
        <v>61.490410424088623</v>
      </c>
      <c r="E786" s="88" t="s">
        <v>7</v>
      </c>
      <c r="F786" s="25">
        <f>(F785/F10)/1.983</f>
        <v>76.75239536056479</v>
      </c>
      <c r="G786" s="25">
        <f>(G785/G10)/1.983</f>
        <v>95.505343809477324</v>
      </c>
      <c r="H786" s="25">
        <f>(H785/H10)/1.983</f>
        <v>97.86518742645822</v>
      </c>
      <c r="I786" s="88" t="s">
        <v>7</v>
      </c>
      <c r="J786" s="25">
        <f>(J785/J10)/1.983</f>
        <v>85.012932506954272</v>
      </c>
      <c r="K786" s="25">
        <f>(K785/K10)/1.983</f>
        <v>92.821238592552817</v>
      </c>
      <c r="L786" s="25">
        <f>(L785/L10)/1.983</f>
        <v>93.83089594889897</v>
      </c>
      <c r="M786" s="88" t="s">
        <v>7</v>
      </c>
      <c r="N786" s="25">
        <f>(N785/N10)/1.983</f>
        <v>58.394200163757532</v>
      </c>
      <c r="O786" s="25">
        <f>(O785/O10)/1.983</f>
        <v>63.603967053286269</v>
      </c>
      <c r="P786" s="25">
        <f>(P785/P10)/1.983</f>
        <v>53.913100060189024</v>
      </c>
      <c r="Q786" s="88" t="s">
        <v>7</v>
      </c>
      <c r="R786" s="88" t="s">
        <v>7</v>
      </c>
    </row>
    <row r="787" spans="1:20" ht="15.75" customHeight="1" x14ac:dyDescent="0.3">
      <c r="A787" s="28"/>
      <c r="B787" s="1"/>
      <c r="C787" s="1"/>
      <c r="D787" s="1"/>
      <c r="E787" s="1"/>
      <c r="F787" s="1"/>
      <c r="G787" s="1"/>
      <c r="H787" s="1"/>
      <c r="I787" s="1"/>
      <c r="J787" s="1"/>
      <c r="K787" s="1"/>
      <c r="L787" s="1"/>
      <c r="M787" s="1"/>
      <c r="N787" s="1"/>
      <c r="O787" s="1"/>
      <c r="P787" s="1"/>
      <c r="Q787" s="1"/>
      <c r="R787" s="28"/>
    </row>
    <row r="788" spans="1:20" ht="15.75" customHeight="1" thickBot="1" x14ac:dyDescent="0.35">
      <c r="A788" s="28"/>
      <c r="B788" s="1"/>
      <c r="C788" s="1"/>
      <c r="D788" s="1"/>
      <c r="E788" s="1"/>
      <c r="F788" s="1"/>
      <c r="G788" s="1"/>
      <c r="H788" s="1"/>
      <c r="I788" s="1"/>
      <c r="J788" s="1"/>
      <c r="K788" s="1"/>
      <c r="L788" s="1"/>
      <c r="M788" s="1"/>
      <c r="N788" s="1"/>
      <c r="O788" s="1"/>
      <c r="P788" s="1"/>
      <c r="Q788" s="1"/>
      <c r="R788" s="28"/>
    </row>
    <row r="789" spans="1:20" ht="16.5" customHeight="1" thickBot="1" x14ac:dyDescent="0.35">
      <c r="A789" s="343" t="s">
        <v>591</v>
      </c>
      <c r="B789" s="323" t="s">
        <v>36</v>
      </c>
      <c r="C789" s="324" t="s">
        <v>9</v>
      </c>
      <c r="D789" s="324" t="s">
        <v>10</v>
      </c>
      <c r="E789" s="325" t="s">
        <v>11</v>
      </c>
      <c r="F789" s="324" t="s">
        <v>12</v>
      </c>
      <c r="G789" s="324" t="s">
        <v>13</v>
      </c>
      <c r="H789" s="324" t="s">
        <v>14</v>
      </c>
      <c r="I789" s="34" t="s">
        <v>15</v>
      </c>
      <c r="J789" s="324" t="s">
        <v>16</v>
      </c>
      <c r="K789" s="324" t="s">
        <v>17</v>
      </c>
      <c r="L789" s="324" t="s">
        <v>18</v>
      </c>
      <c r="M789" s="34" t="s">
        <v>19</v>
      </c>
      <c r="N789" s="324" t="s">
        <v>20</v>
      </c>
      <c r="O789" s="324" t="s">
        <v>21</v>
      </c>
      <c r="P789" s="324" t="s">
        <v>22</v>
      </c>
      <c r="Q789" s="34" t="s">
        <v>23</v>
      </c>
      <c r="R789" s="157" t="s">
        <v>24</v>
      </c>
    </row>
    <row r="790" spans="1:20" ht="16.5" customHeight="1" thickBot="1" x14ac:dyDescent="0.35">
      <c r="A790" s="42"/>
      <c r="B790" s="37"/>
      <c r="C790" s="37"/>
      <c r="D790" s="37"/>
      <c r="E790" s="16"/>
      <c r="F790" s="37"/>
      <c r="G790" s="37"/>
      <c r="H790" s="37"/>
      <c r="I790" s="156"/>
      <c r="J790" s="37"/>
      <c r="K790" s="37"/>
      <c r="L790" s="37"/>
      <c r="M790" s="156"/>
      <c r="N790" s="37"/>
      <c r="O790" s="37"/>
      <c r="P790" s="37"/>
      <c r="Q790" s="158"/>
      <c r="R790" s="159"/>
    </row>
    <row r="791" spans="1:20" ht="15.75" customHeight="1" x14ac:dyDescent="0.3">
      <c r="A791" s="17" t="s">
        <v>45</v>
      </c>
      <c r="B791" s="1" t="s">
        <v>7</v>
      </c>
      <c r="C791" s="1" t="s">
        <v>7</v>
      </c>
      <c r="D791" s="1" t="s">
        <v>7</v>
      </c>
      <c r="E791" s="160"/>
      <c r="F791" s="1" t="s">
        <v>7</v>
      </c>
      <c r="G791" s="1" t="s">
        <v>7</v>
      </c>
      <c r="H791" s="1" t="s">
        <v>7</v>
      </c>
      <c r="I791" s="160"/>
      <c r="J791" s="1" t="s">
        <v>7</v>
      </c>
      <c r="K791" s="1" t="s">
        <v>7</v>
      </c>
      <c r="L791" s="1" t="s">
        <v>7</v>
      </c>
      <c r="M791" s="160"/>
      <c r="N791" s="1" t="s">
        <v>7</v>
      </c>
      <c r="O791" s="1" t="s">
        <v>7</v>
      </c>
      <c r="P791" s="1" t="s">
        <v>7</v>
      </c>
      <c r="Q791" s="161"/>
      <c r="R791" s="162" t="s">
        <v>7</v>
      </c>
    </row>
    <row r="792" spans="1:20" ht="15.75" customHeight="1" x14ac:dyDescent="0.3">
      <c r="A792" s="17" t="s">
        <v>46</v>
      </c>
      <c r="B792" s="1"/>
      <c r="C792" s="1"/>
      <c r="D792" s="1"/>
      <c r="E792" s="59" t="s">
        <v>7</v>
      </c>
      <c r="F792" s="1"/>
      <c r="G792" s="1"/>
      <c r="H792" s="1"/>
      <c r="I792" s="59" t="s">
        <v>7</v>
      </c>
      <c r="J792" s="1"/>
      <c r="K792" s="1"/>
      <c r="L792" s="1"/>
      <c r="M792" s="59" t="s">
        <v>7</v>
      </c>
      <c r="N792" s="1"/>
      <c r="O792" s="1"/>
      <c r="P792" s="1"/>
      <c r="Q792" s="59" t="s">
        <v>7</v>
      </c>
      <c r="R792" s="59" t="s">
        <v>7</v>
      </c>
    </row>
    <row r="793" spans="1:20" ht="15.75" customHeight="1" x14ac:dyDescent="0.3">
      <c r="A793" s="74" t="s">
        <v>592</v>
      </c>
      <c r="B793" s="1"/>
      <c r="C793" s="1"/>
      <c r="D793" s="1"/>
      <c r="E793" s="59">
        <f>SUM(B793:D793)</f>
        <v>0</v>
      </c>
      <c r="F793" s="1"/>
      <c r="G793" s="1"/>
      <c r="H793" s="1"/>
      <c r="I793" s="59">
        <f>SUM(F793:H793)</f>
        <v>0</v>
      </c>
      <c r="J793" s="1"/>
      <c r="K793" s="1"/>
      <c r="L793" s="1"/>
      <c r="M793" s="59">
        <f>SUM(J793:L793)</f>
        <v>0</v>
      </c>
      <c r="N793" s="1"/>
      <c r="O793" s="1"/>
      <c r="P793" s="1"/>
      <c r="Q793" s="59">
        <f>SUM(N793:P793)</f>
        <v>0</v>
      </c>
      <c r="R793" s="59">
        <f>+E793+I793+M793+Q793</f>
        <v>0</v>
      </c>
      <c r="T793" s="4" t="s">
        <v>593</v>
      </c>
    </row>
    <row r="794" spans="1:20" ht="15.75" customHeight="1" x14ac:dyDescent="0.3">
      <c r="A794" s="74" t="s">
        <v>594</v>
      </c>
      <c r="B794" s="1"/>
      <c r="C794" s="1"/>
      <c r="D794" s="1"/>
      <c r="E794" s="59">
        <f>SUM(B794:D794)</f>
        <v>0</v>
      </c>
      <c r="F794" s="1"/>
      <c r="G794" s="1"/>
      <c r="H794" s="1"/>
      <c r="I794" s="59">
        <f>SUM(F794:H794)</f>
        <v>0</v>
      </c>
      <c r="J794" s="1"/>
      <c r="K794" s="1"/>
      <c r="L794" s="1"/>
      <c r="M794" s="59">
        <f>SUM(J794:L794)</f>
        <v>0</v>
      </c>
      <c r="N794" s="1"/>
      <c r="O794" s="1"/>
      <c r="P794" s="1"/>
      <c r="Q794" s="59">
        <f>SUM(N794:P794)</f>
        <v>0</v>
      </c>
      <c r="R794" s="59">
        <f>+E794+I794+M794+Q794</f>
        <v>0</v>
      </c>
    </row>
    <row r="795" spans="1:20" ht="15.75" customHeight="1" x14ac:dyDescent="0.3">
      <c r="A795" s="74" t="s">
        <v>595</v>
      </c>
      <c r="B795" s="1"/>
      <c r="C795" s="1"/>
      <c r="D795" s="1"/>
      <c r="E795" s="59">
        <f>SUM(B795:D795)</f>
        <v>0</v>
      </c>
      <c r="F795" s="1"/>
      <c r="G795" s="1"/>
      <c r="H795" s="1"/>
      <c r="I795" s="59">
        <f>SUM(F795:H795)</f>
        <v>0</v>
      </c>
      <c r="J795" s="1"/>
      <c r="K795" s="1"/>
      <c r="L795" s="1"/>
      <c r="M795" s="59">
        <f>SUM(J795:L795)</f>
        <v>0</v>
      </c>
      <c r="N795" s="1"/>
      <c r="O795" s="1"/>
      <c r="P795" s="1"/>
      <c r="Q795" s="59">
        <f>SUM(N795:P795)</f>
        <v>0</v>
      </c>
      <c r="R795" s="59">
        <f>+E795+I795+M795+Q795</f>
        <v>0</v>
      </c>
    </row>
    <row r="796" spans="1:20" ht="15.75" customHeight="1" x14ac:dyDescent="0.3">
      <c r="A796" s="74" t="s">
        <v>596</v>
      </c>
      <c r="B796" s="1">
        <v>150</v>
      </c>
      <c r="C796" s="1"/>
      <c r="D796" s="1"/>
      <c r="E796" s="59">
        <f>SUM(B796:D796)</f>
        <v>150</v>
      </c>
      <c r="F796" s="1"/>
      <c r="G796" s="1"/>
      <c r="H796" s="1"/>
      <c r="I796" s="59">
        <f>SUM(F796:H796)</f>
        <v>0</v>
      </c>
      <c r="J796" s="1"/>
      <c r="K796" s="1"/>
      <c r="L796" s="1"/>
      <c r="M796" s="59">
        <f>SUM(J796:L796)</f>
        <v>0</v>
      </c>
      <c r="N796" s="1"/>
      <c r="O796" s="1"/>
      <c r="P796" s="1"/>
      <c r="Q796" s="59">
        <f>SUM(N796:P796)</f>
        <v>0</v>
      </c>
      <c r="R796" s="59">
        <f>+E796+I796+M796+Q796</f>
        <v>150</v>
      </c>
    </row>
    <row r="797" spans="1:20" ht="15.75" customHeight="1" x14ac:dyDescent="0.3">
      <c r="A797" s="74" t="s">
        <v>598</v>
      </c>
      <c r="B797" s="1">
        <v>2285</v>
      </c>
      <c r="C797" s="1">
        <v>3095</v>
      </c>
      <c r="D797" s="1">
        <v>1485</v>
      </c>
      <c r="E797" s="59">
        <f>SUM(B797:D797)</f>
        <v>6865</v>
      </c>
      <c r="F797" s="1">
        <v>2460</v>
      </c>
      <c r="G797" s="1">
        <v>2646</v>
      </c>
      <c r="H797" s="1">
        <v>1821</v>
      </c>
      <c r="I797" s="59">
        <f>SUM(F797:H797)</f>
        <v>6927</v>
      </c>
      <c r="J797" s="1">
        <v>500</v>
      </c>
      <c r="K797" s="1">
        <v>2505</v>
      </c>
      <c r="L797" s="1">
        <v>2777</v>
      </c>
      <c r="M797" s="59">
        <f>SUM(J797:L797)</f>
        <v>5782</v>
      </c>
      <c r="N797" s="1">
        <v>1137</v>
      </c>
      <c r="O797" s="1">
        <v>249</v>
      </c>
      <c r="P797" s="1">
        <v>1040</v>
      </c>
      <c r="Q797" s="59">
        <f>SUM(N797:P797)</f>
        <v>2426</v>
      </c>
      <c r="R797" s="59">
        <f>+E797+I797+M797+Q797</f>
        <v>22000</v>
      </c>
    </row>
    <row r="798" spans="1:20" ht="15.75" customHeight="1" x14ac:dyDescent="0.3">
      <c r="A798" s="17" t="s">
        <v>47</v>
      </c>
      <c r="B798" s="1"/>
      <c r="C798" s="1"/>
      <c r="D798" s="1"/>
      <c r="E798" s="59" t="s">
        <v>7</v>
      </c>
      <c r="F798" s="1"/>
      <c r="G798" s="1"/>
      <c r="H798" s="1"/>
      <c r="I798" s="59" t="s">
        <v>7</v>
      </c>
      <c r="J798" s="1"/>
      <c r="K798" s="1"/>
      <c r="L798" s="1"/>
      <c r="M798" s="59" t="s">
        <v>7</v>
      </c>
      <c r="N798" s="1"/>
      <c r="O798" s="1"/>
      <c r="P798" s="1"/>
      <c r="Q798" s="59" t="s">
        <v>7</v>
      </c>
      <c r="R798" s="59" t="s">
        <v>7</v>
      </c>
    </row>
    <row r="799" spans="1:20" ht="15.75" customHeight="1" x14ac:dyDescent="0.3">
      <c r="A799" s="17" t="s">
        <v>49</v>
      </c>
      <c r="B799" s="1"/>
      <c r="C799" s="1"/>
      <c r="D799" s="1"/>
      <c r="E799" s="59" t="s">
        <v>7</v>
      </c>
      <c r="F799" s="1"/>
      <c r="G799" s="1"/>
      <c r="H799" s="1"/>
      <c r="I799" s="59" t="s">
        <v>7</v>
      </c>
      <c r="J799" s="1"/>
      <c r="K799" s="1"/>
      <c r="L799" s="1"/>
      <c r="M799" s="59" t="s">
        <v>7</v>
      </c>
      <c r="N799" s="1"/>
      <c r="O799" s="1"/>
      <c r="P799" s="1"/>
      <c r="Q799" s="59" t="s">
        <v>7</v>
      </c>
      <c r="R799" s="59" t="s">
        <v>7</v>
      </c>
    </row>
    <row r="800" spans="1:20" ht="15.75" customHeight="1" x14ac:dyDescent="0.3">
      <c r="A800" s="74" t="s">
        <v>599</v>
      </c>
      <c r="B800" s="1"/>
      <c r="C800" s="1"/>
      <c r="D800" s="1"/>
      <c r="E800" s="59">
        <f>SUM(B800:D800)</f>
        <v>0</v>
      </c>
      <c r="F800" s="1"/>
      <c r="G800" s="1"/>
      <c r="H800" s="1"/>
      <c r="I800" s="59">
        <f>SUM(F800:H800)</f>
        <v>0</v>
      </c>
      <c r="J800" s="1"/>
      <c r="K800" s="1"/>
      <c r="L800" s="1"/>
      <c r="M800" s="59">
        <f>SUM(J800:L800)</f>
        <v>0</v>
      </c>
      <c r="N800" s="1">
        <v>1136</v>
      </c>
      <c r="O800" s="1">
        <v>1214</v>
      </c>
      <c r="P800" s="1"/>
      <c r="Q800" s="59">
        <f>SUM(N800:P800)</f>
        <v>2350</v>
      </c>
      <c r="R800" s="59">
        <f>+E800+I800+M800+Q800</f>
        <v>2350</v>
      </c>
      <c r="S800" s="77" t="s">
        <v>90</v>
      </c>
    </row>
    <row r="801" spans="1:20" ht="15.75" customHeight="1" thickBot="1" x14ac:dyDescent="0.35">
      <c r="A801" s="17" t="s">
        <v>51</v>
      </c>
      <c r="B801" s="1"/>
      <c r="C801" s="1"/>
      <c r="D801" s="1"/>
      <c r="E801" s="59" t="s">
        <v>7</v>
      </c>
      <c r="F801" s="1"/>
      <c r="G801" s="1"/>
      <c r="H801" s="1"/>
      <c r="I801" s="59" t="s">
        <v>7</v>
      </c>
      <c r="J801" s="1"/>
      <c r="K801" s="1"/>
      <c r="L801" s="1"/>
      <c r="M801" s="59" t="s">
        <v>7</v>
      </c>
      <c r="N801" s="1"/>
      <c r="O801" s="1"/>
      <c r="P801" s="1"/>
      <c r="Q801" s="59" t="s">
        <v>7</v>
      </c>
      <c r="R801" s="59" t="s">
        <v>7</v>
      </c>
    </row>
    <row r="802" spans="1:20" ht="16.5" customHeight="1" thickBot="1" x14ac:dyDescent="0.35">
      <c r="A802" s="62" t="s">
        <v>52</v>
      </c>
      <c r="B802" s="100">
        <f>SUM(B791:B801)</f>
        <v>2435</v>
      </c>
      <c r="C802" s="101">
        <f>SUM(C791:C801)</f>
        <v>3095</v>
      </c>
      <c r="D802" s="101">
        <f>SUM(D791:D801)</f>
        <v>1485</v>
      </c>
      <c r="E802" s="64">
        <f>SUM(B802:D802)</f>
        <v>7015</v>
      </c>
      <c r="F802" s="101">
        <f>SUM(F791:F801)</f>
        <v>2460</v>
      </c>
      <c r="G802" s="101">
        <f>SUM(G791:G801)</f>
        <v>2646</v>
      </c>
      <c r="H802" s="101">
        <f>SUM(H791:H801)</f>
        <v>1821</v>
      </c>
      <c r="I802" s="64">
        <f>SUM(F802:H802)</f>
        <v>6927</v>
      </c>
      <c r="J802" s="101">
        <f>SUM(J791:J801)</f>
        <v>500</v>
      </c>
      <c r="K802" s="101">
        <f>SUM(K791:K801)</f>
        <v>2505</v>
      </c>
      <c r="L802" s="101">
        <f>SUM(L791:L801)</f>
        <v>2777</v>
      </c>
      <c r="M802" s="64">
        <f>SUM(J802:L802)</f>
        <v>5782</v>
      </c>
      <c r="N802" s="101">
        <f>SUM(N791:N801)</f>
        <v>2273</v>
      </c>
      <c r="O802" s="101">
        <f>SUM(O791:O801)</f>
        <v>1463</v>
      </c>
      <c r="P802" s="101">
        <f>SUM(P791:P801)</f>
        <v>1040</v>
      </c>
      <c r="Q802" s="64">
        <f>SUM(N802:P802)</f>
        <v>4776</v>
      </c>
      <c r="R802" s="64">
        <f>+E802+I802+M802+Q802</f>
        <v>24500</v>
      </c>
    </row>
    <row r="803" spans="1:20" ht="15.75" customHeight="1" x14ac:dyDescent="0.3">
      <c r="A803" s="17" t="s">
        <v>53</v>
      </c>
      <c r="B803" s="1"/>
      <c r="C803" s="1"/>
      <c r="D803" s="1"/>
      <c r="E803" s="59" t="s">
        <v>7</v>
      </c>
      <c r="F803" s="1"/>
      <c r="G803" s="1"/>
      <c r="H803" s="1"/>
      <c r="I803" s="59" t="s">
        <v>7</v>
      </c>
      <c r="J803" s="1"/>
      <c r="K803" s="1"/>
      <c r="L803" s="1"/>
      <c r="M803" s="59" t="s">
        <v>7</v>
      </c>
      <c r="N803" s="1"/>
      <c r="O803" s="1"/>
      <c r="P803" s="1"/>
      <c r="Q803" s="59" t="s">
        <v>7</v>
      </c>
      <c r="R803" s="59" t="s">
        <v>7</v>
      </c>
    </row>
    <row r="804" spans="1:20" ht="15.75" customHeight="1" x14ac:dyDescent="0.3">
      <c r="A804" s="17" t="s">
        <v>55</v>
      </c>
      <c r="B804" s="1"/>
      <c r="C804" s="1"/>
      <c r="D804" s="1"/>
      <c r="E804" s="59" t="s">
        <v>7</v>
      </c>
      <c r="F804" s="1"/>
      <c r="G804" s="1"/>
      <c r="H804" s="1"/>
      <c r="I804" s="59" t="s">
        <v>7</v>
      </c>
      <c r="J804" s="1"/>
      <c r="K804" s="1"/>
      <c r="L804" s="1"/>
      <c r="M804" s="59" t="s">
        <v>7</v>
      </c>
      <c r="N804" s="1"/>
      <c r="O804" s="1"/>
      <c r="P804" s="1"/>
      <c r="Q804" s="59" t="s">
        <v>7</v>
      </c>
      <c r="R804" s="59" t="s">
        <v>7</v>
      </c>
    </row>
    <row r="805" spans="1:20" ht="15.75" customHeight="1" x14ac:dyDescent="0.3">
      <c r="A805" s="74" t="s">
        <v>600</v>
      </c>
      <c r="B805" s="1"/>
      <c r="C805" s="1"/>
      <c r="D805" s="1"/>
      <c r="E805" s="59">
        <f>SUM(B805:D805)</f>
        <v>0</v>
      </c>
      <c r="F805" s="1"/>
      <c r="G805" s="1"/>
      <c r="H805" s="1"/>
      <c r="I805" s="59">
        <f>SUM(F805:H805)</f>
        <v>0</v>
      </c>
      <c r="J805" s="1"/>
      <c r="K805" s="1"/>
      <c r="L805" s="1"/>
      <c r="M805" s="59">
        <f>SUM(J805:L805)</f>
        <v>0</v>
      </c>
      <c r="N805" s="1"/>
      <c r="O805" s="1"/>
      <c r="P805" s="1"/>
      <c r="Q805" s="59">
        <f>SUM(N805:P805)</f>
        <v>0</v>
      </c>
      <c r="R805" s="59">
        <f>+E805+I805+M805+Q805</f>
        <v>0</v>
      </c>
    </row>
    <row r="806" spans="1:20" ht="15.75" customHeight="1" thickBot="1" x14ac:dyDescent="0.35">
      <c r="A806" s="17" t="s">
        <v>56</v>
      </c>
      <c r="B806" s="1"/>
      <c r="C806" s="1"/>
      <c r="D806" s="1"/>
      <c r="E806" s="59" t="s">
        <v>7</v>
      </c>
      <c r="F806" s="1"/>
      <c r="G806" s="1"/>
      <c r="H806" s="1"/>
      <c r="I806" s="59" t="s">
        <v>7</v>
      </c>
      <c r="J806" s="1"/>
      <c r="K806" s="1"/>
      <c r="L806" s="1"/>
      <c r="M806" s="59" t="s">
        <v>7</v>
      </c>
      <c r="N806" s="1"/>
      <c r="O806" s="1"/>
      <c r="P806" s="1"/>
      <c r="Q806" s="59" t="s">
        <v>7</v>
      </c>
      <c r="R806" s="59" t="s">
        <v>7</v>
      </c>
    </row>
    <row r="807" spans="1:20" ht="16.5" customHeight="1" thickBot="1" x14ac:dyDescent="0.35">
      <c r="A807" s="62" t="s">
        <v>57</v>
      </c>
      <c r="B807" s="100">
        <f>SUM(B803:B806)</f>
        <v>0</v>
      </c>
      <c r="C807" s="101">
        <f>SUM(C803:C806)</f>
        <v>0</v>
      </c>
      <c r="D807" s="101">
        <f>SUM(D803:D806)</f>
        <v>0</v>
      </c>
      <c r="E807" s="64">
        <f>SUM(B807:D807)</f>
        <v>0</v>
      </c>
      <c r="F807" s="101">
        <f>SUM(F803:F806)</f>
        <v>0</v>
      </c>
      <c r="G807" s="101">
        <f>SUM(G803:G806)</f>
        <v>0</v>
      </c>
      <c r="H807" s="101">
        <f>SUM(H803:H806)</f>
        <v>0</v>
      </c>
      <c r="I807" s="64">
        <f>SUM(F807:H807)</f>
        <v>0</v>
      </c>
      <c r="J807" s="101">
        <f>SUM(J803:J806)</f>
        <v>0</v>
      </c>
      <c r="K807" s="101">
        <f>SUM(K803:K806)</f>
        <v>0</v>
      </c>
      <c r="L807" s="101">
        <f>SUM(L803:L806)</f>
        <v>0</v>
      </c>
      <c r="M807" s="64">
        <f>SUM(J807:L807)</f>
        <v>0</v>
      </c>
      <c r="N807" s="101">
        <f>SUM(N803:N806)</f>
        <v>0</v>
      </c>
      <c r="O807" s="101">
        <f>SUM(O803:O806)</f>
        <v>0</v>
      </c>
      <c r="P807" s="101">
        <f>SUM(P803:P806)</f>
        <v>0</v>
      </c>
      <c r="Q807" s="64">
        <f>SUM(N807:P807)</f>
        <v>0</v>
      </c>
      <c r="R807" s="64">
        <f>+E807+I807+M807+Q807</f>
        <v>0</v>
      </c>
    </row>
    <row r="808" spans="1:20" ht="15.75" customHeight="1" x14ac:dyDescent="0.3">
      <c r="A808" s="17" t="s">
        <v>58</v>
      </c>
      <c r="B808" s="1"/>
      <c r="C808" s="1"/>
      <c r="D808" s="1"/>
      <c r="E808" s="59" t="s">
        <v>7</v>
      </c>
      <c r="F808" s="1"/>
      <c r="G808" s="1"/>
      <c r="H808" s="1"/>
      <c r="I808" s="59" t="s">
        <v>7</v>
      </c>
      <c r="J808" s="1" t="s">
        <v>7</v>
      </c>
      <c r="K808" s="1"/>
      <c r="L808" s="1"/>
      <c r="M808" s="59" t="s">
        <v>7</v>
      </c>
      <c r="N808" s="1"/>
      <c r="O808" s="1"/>
      <c r="P808" s="1"/>
      <c r="Q808" s="59" t="s">
        <v>7</v>
      </c>
      <c r="R808" s="59" t="s">
        <v>7</v>
      </c>
    </row>
    <row r="809" spans="1:20" ht="18" customHeight="1" x14ac:dyDescent="0.3">
      <c r="A809" s="17" t="s">
        <v>59</v>
      </c>
      <c r="B809" s="1"/>
      <c r="C809" s="1"/>
      <c r="D809" s="1"/>
      <c r="E809" s="59" t="s">
        <v>7</v>
      </c>
      <c r="F809" s="1"/>
      <c r="G809" s="1"/>
      <c r="H809" s="1"/>
      <c r="I809" s="59" t="s">
        <v>7</v>
      </c>
      <c r="J809" s="1"/>
      <c r="K809" s="1"/>
      <c r="L809" s="1"/>
      <c r="M809" s="59" t="s">
        <v>7</v>
      </c>
      <c r="N809" s="1"/>
      <c r="O809" s="1"/>
      <c r="P809" s="1"/>
      <c r="Q809" s="59" t="s">
        <v>7</v>
      </c>
      <c r="R809" s="59" t="s">
        <v>7</v>
      </c>
    </row>
    <row r="810" spans="1:20" ht="15.75" customHeight="1" x14ac:dyDescent="0.3">
      <c r="A810" s="74" t="s">
        <v>601</v>
      </c>
      <c r="B810" s="1">
        <v>475</v>
      </c>
      <c r="C810" s="1">
        <v>267</v>
      </c>
      <c r="D810" s="1">
        <v>516</v>
      </c>
      <c r="E810" s="59">
        <f>SUM(B810:D810)</f>
        <v>1258</v>
      </c>
      <c r="F810" s="1">
        <v>756</v>
      </c>
      <c r="G810" s="1">
        <v>1248</v>
      </c>
      <c r="H810" s="1">
        <v>1198</v>
      </c>
      <c r="I810" s="59">
        <f>SUM(F810:H810)</f>
        <v>3202</v>
      </c>
      <c r="J810" s="1">
        <v>723</v>
      </c>
      <c r="K810" s="1">
        <v>1072</v>
      </c>
      <c r="L810" s="1">
        <v>478</v>
      </c>
      <c r="M810" s="59">
        <f>SUM(J810:L810)</f>
        <v>2273</v>
      </c>
      <c r="N810" s="1">
        <v>304</v>
      </c>
      <c r="O810" s="1">
        <v>426</v>
      </c>
      <c r="P810" s="1">
        <v>301</v>
      </c>
      <c r="Q810" s="59">
        <f>SUM(N810:P810)</f>
        <v>1031</v>
      </c>
      <c r="R810" s="59">
        <f>+E810+I810+M810+Q810</f>
        <v>7764</v>
      </c>
      <c r="T810" s="4" t="s">
        <v>602</v>
      </c>
    </row>
    <row r="811" spans="1:20" ht="15.75" customHeight="1" x14ac:dyDescent="0.3">
      <c r="A811" s="74" t="s">
        <v>603</v>
      </c>
      <c r="B811" s="1">
        <v>30</v>
      </c>
      <c r="C811" s="1">
        <v>22</v>
      </c>
      <c r="D811" s="1">
        <v>47</v>
      </c>
      <c r="E811" s="59">
        <f>SUM(B811:D811)</f>
        <v>99</v>
      </c>
      <c r="F811" s="1">
        <v>89</v>
      </c>
      <c r="G811" s="1">
        <v>88</v>
      </c>
      <c r="H811" s="1">
        <v>94</v>
      </c>
      <c r="I811" s="59">
        <f>SUM(F811:H811)</f>
        <v>271</v>
      </c>
      <c r="J811" s="1">
        <v>59</v>
      </c>
      <c r="K811" s="1">
        <v>71</v>
      </c>
      <c r="L811" s="1"/>
      <c r="M811" s="59">
        <f>SUM(J811:L811)</f>
        <v>130</v>
      </c>
      <c r="N811" s="1"/>
      <c r="O811" s="1"/>
      <c r="P811" s="1"/>
      <c r="Q811" s="59">
        <f>SUM(N811:P811)</f>
        <v>0</v>
      </c>
      <c r="R811" s="59">
        <f>+E811+I811+M811+Q811</f>
        <v>500</v>
      </c>
      <c r="T811" s="4" t="s">
        <v>604</v>
      </c>
    </row>
    <row r="812" spans="1:20" ht="15.75" customHeight="1" x14ac:dyDescent="0.3">
      <c r="A812" s="17" t="s">
        <v>60</v>
      </c>
      <c r="B812" s="1"/>
      <c r="C812" s="1"/>
      <c r="D812" s="1"/>
      <c r="E812" s="59" t="s">
        <v>7</v>
      </c>
      <c r="F812" s="1"/>
      <c r="G812" s="1"/>
      <c r="H812" s="1"/>
      <c r="I812" s="59" t="s">
        <v>7</v>
      </c>
      <c r="J812" s="1"/>
      <c r="K812" s="1"/>
      <c r="L812" s="1"/>
      <c r="M812" s="59" t="s">
        <v>7</v>
      </c>
      <c r="N812" s="1"/>
      <c r="O812" s="1"/>
      <c r="P812" s="1"/>
      <c r="Q812" s="59" t="s">
        <v>7</v>
      </c>
      <c r="R812" s="59" t="s">
        <v>7</v>
      </c>
    </row>
    <row r="813" spans="1:20" ht="15.75" customHeight="1" x14ac:dyDescent="0.3">
      <c r="A813" s="74" t="s">
        <v>606</v>
      </c>
      <c r="B813" s="1"/>
      <c r="C813" s="1"/>
      <c r="D813" s="1"/>
      <c r="E813" s="59">
        <f>SUM(B813:D813)</f>
        <v>0</v>
      </c>
      <c r="F813" s="1"/>
      <c r="G813" s="1"/>
      <c r="H813" s="1"/>
      <c r="I813" s="59">
        <f>SUM(F813:H813)</f>
        <v>0</v>
      </c>
      <c r="J813" s="1"/>
      <c r="K813" s="1"/>
      <c r="L813" s="1"/>
      <c r="M813" s="59">
        <f>SUM(J813:L813)</f>
        <v>0</v>
      </c>
      <c r="N813" s="1"/>
      <c r="O813" s="1"/>
      <c r="P813" s="1"/>
      <c r="Q813" s="59">
        <f>SUM(N813:P813)</f>
        <v>0</v>
      </c>
      <c r="R813" s="59">
        <f>+E813+I813+M813+Q813</f>
        <v>0</v>
      </c>
      <c r="T813" s="4" t="s">
        <v>604</v>
      </c>
    </row>
    <row r="814" spans="1:20" ht="15.75" customHeight="1" x14ac:dyDescent="0.3">
      <c r="A814" s="74" t="s">
        <v>607</v>
      </c>
      <c r="B814" s="1"/>
      <c r="C814" s="1"/>
      <c r="D814" s="1"/>
      <c r="E814" s="59">
        <f>SUM(B814:D814)</f>
        <v>0</v>
      </c>
      <c r="F814" s="1"/>
      <c r="G814" s="1"/>
      <c r="H814" s="1"/>
      <c r="I814" s="59">
        <f>SUM(F814:H814)</f>
        <v>0</v>
      </c>
      <c r="J814" s="1"/>
      <c r="K814" s="1">
        <v>5</v>
      </c>
      <c r="L814" s="1">
        <v>51</v>
      </c>
      <c r="M814" s="59">
        <f>SUM(J814:L814)</f>
        <v>56</v>
      </c>
      <c r="N814" s="1">
        <v>69</v>
      </c>
      <c r="O814" s="1">
        <v>31</v>
      </c>
      <c r="P814" s="1">
        <v>21</v>
      </c>
      <c r="Q814" s="59">
        <f>SUM(N814:P814)</f>
        <v>121</v>
      </c>
      <c r="R814" s="59">
        <f>+E814+I814+M814+Q814</f>
        <v>177</v>
      </c>
    </row>
    <row r="815" spans="1:20" ht="15.75" customHeight="1" x14ac:dyDescent="0.3">
      <c r="A815" s="74" t="s">
        <v>609</v>
      </c>
      <c r="B815" s="1"/>
      <c r="C815" s="1"/>
      <c r="D815" s="1"/>
      <c r="E815" s="59">
        <f>SUM(B815:D815)</f>
        <v>0</v>
      </c>
      <c r="F815" s="1"/>
      <c r="G815" s="1"/>
      <c r="H815" s="1"/>
      <c r="I815" s="59">
        <f>SUM(F815:H815)</f>
        <v>0</v>
      </c>
      <c r="J815" s="1"/>
      <c r="K815" s="1"/>
      <c r="L815" s="1"/>
      <c r="M815" s="59">
        <f>SUM(J815:L815)</f>
        <v>0</v>
      </c>
      <c r="N815" s="1"/>
      <c r="O815" s="1"/>
      <c r="P815" s="1"/>
      <c r="Q815" s="59">
        <f>SUM(N815:P815)</f>
        <v>0</v>
      </c>
      <c r="R815" s="59">
        <f>+E815+I815+M815+Q815</f>
        <v>0</v>
      </c>
      <c r="T815" s="4" t="s">
        <v>593</v>
      </c>
    </row>
    <row r="816" spans="1:20" ht="15.75" customHeight="1" thickBot="1" x14ac:dyDescent="0.35">
      <c r="A816" s="74" t="s">
        <v>610</v>
      </c>
      <c r="B816" s="1">
        <v>764</v>
      </c>
      <c r="C816" s="1">
        <v>671</v>
      </c>
      <c r="D816" s="1">
        <v>680</v>
      </c>
      <c r="E816" s="59">
        <f>SUM(B816:D816)</f>
        <v>2115</v>
      </c>
      <c r="F816" s="1">
        <v>617</v>
      </c>
      <c r="G816" s="1">
        <v>717</v>
      </c>
      <c r="H816" s="1">
        <v>753</v>
      </c>
      <c r="I816" s="59">
        <f>SUM(F816:H816)</f>
        <v>2087</v>
      </c>
      <c r="J816" s="1">
        <f>44+763</f>
        <v>807</v>
      </c>
      <c r="K816" s="1">
        <f>42+804</f>
        <v>846</v>
      </c>
      <c r="L816" s="1">
        <f>22+732</f>
        <v>754</v>
      </c>
      <c r="M816" s="59">
        <f>SUM(J816:L816)</f>
        <v>2407</v>
      </c>
      <c r="N816" s="1">
        <f>11+468</f>
        <v>479</v>
      </c>
      <c r="O816" s="1">
        <f>1+205</f>
        <v>206</v>
      </c>
      <c r="P816" s="1">
        <f>4+509</f>
        <v>513</v>
      </c>
      <c r="Q816" s="59">
        <f>SUM(N816:P816)</f>
        <v>1198</v>
      </c>
      <c r="R816" s="59">
        <f>+E816+I816+M816+Q816</f>
        <v>7807</v>
      </c>
      <c r="T816" s="4" t="s">
        <v>611</v>
      </c>
    </row>
    <row r="817" spans="1:19" ht="16.5" customHeight="1" thickBot="1" x14ac:dyDescent="0.35">
      <c r="A817" s="62" t="s">
        <v>61</v>
      </c>
      <c r="B817" s="100">
        <f>SUM(B808:B816)</f>
        <v>1269</v>
      </c>
      <c r="C817" s="101">
        <f>SUM(C808:C816)</f>
        <v>960</v>
      </c>
      <c r="D817" s="101">
        <f>SUM(D808:D816)</f>
        <v>1243</v>
      </c>
      <c r="E817" s="64">
        <f>SUM(B817:D817)</f>
        <v>3472</v>
      </c>
      <c r="F817" s="101">
        <f>SUM(F808:F816)</f>
        <v>1462</v>
      </c>
      <c r="G817" s="101">
        <f>SUM(G808:G816)</f>
        <v>2053</v>
      </c>
      <c r="H817" s="101">
        <f>SUM(H808:H816)</f>
        <v>2045</v>
      </c>
      <c r="I817" s="64">
        <f>SUM(F817:H817)</f>
        <v>5560</v>
      </c>
      <c r="J817" s="101">
        <f>SUM(J808:J816)</f>
        <v>1589</v>
      </c>
      <c r="K817" s="101">
        <f>SUM(K808:K816)</f>
        <v>1994</v>
      </c>
      <c r="L817" s="101">
        <f>SUM(L808:L816)</f>
        <v>1283</v>
      </c>
      <c r="M817" s="64">
        <f>SUM(J817:L817)</f>
        <v>4866</v>
      </c>
      <c r="N817" s="101">
        <f>SUM(N808:N816)</f>
        <v>852</v>
      </c>
      <c r="O817" s="101">
        <f>SUM(O808:O816)</f>
        <v>663</v>
      </c>
      <c r="P817" s="101">
        <f>SUM(P808:P816)</f>
        <v>835</v>
      </c>
      <c r="Q817" s="64">
        <f>SUM(N817:P817)</f>
        <v>2350</v>
      </c>
      <c r="R817" s="64">
        <f>+E817+I817+M817+Q817</f>
        <v>16248</v>
      </c>
    </row>
    <row r="818" spans="1:19" ht="15.75" customHeight="1" x14ac:dyDescent="0.3">
      <c r="A818" s="17" t="s">
        <v>62</v>
      </c>
      <c r="B818" s="1"/>
      <c r="C818" s="1"/>
      <c r="D818" s="1"/>
      <c r="E818" s="59" t="s">
        <v>7</v>
      </c>
      <c r="F818" s="1"/>
      <c r="G818" s="1"/>
      <c r="H818" s="1"/>
      <c r="I818" s="59" t="s">
        <v>7</v>
      </c>
      <c r="J818" s="1"/>
      <c r="K818" s="1"/>
      <c r="L818" s="1"/>
      <c r="M818" s="59" t="s">
        <v>7</v>
      </c>
      <c r="N818" s="1"/>
      <c r="O818" s="1"/>
      <c r="P818" s="1"/>
      <c r="Q818" s="59" t="s">
        <v>7</v>
      </c>
      <c r="R818" s="59" t="s">
        <v>7</v>
      </c>
    </row>
    <row r="819" spans="1:19" ht="15.75" customHeight="1" x14ac:dyDescent="0.3">
      <c r="A819" s="17" t="s">
        <v>63</v>
      </c>
      <c r="B819" s="1"/>
      <c r="C819" s="1"/>
      <c r="D819" s="1"/>
      <c r="E819" s="59" t="s">
        <v>7</v>
      </c>
      <c r="F819" s="1"/>
      <c r="G819" s="1"/>
      <c r="H819" s="1"/>
      <c r="I819" s="59" t="s">
        <v>7</v>
      </c>
      <c r="J819" s="1"/>
      <c r="K819" s="1"/>
      <c r="L819" s="1"/>
      <c r="M819" s="59" t="s">
        <v>7</v>
      </c>
      <c r="N819" s="1"/>
      <c r="O819" s="1"/>
      <c r="P819" s="1"/>
      <c r="Q819" s="59" t="s">
        <v>7</v>
      </c>
      <c r="R819" s="59" t="s">
        <v>7</v>
      </c>
    </row>
    <row r="820" spans="1:19" ht="15.75" customHeight="1" x14ac:dyDescent="0.3">
      <c r="A820" s="74" t="s">
        <v>612</v>
      </c>
      <c r="B820" s="1"/>
      <c r="C820" s="1"/>
      <c r="D820" s="1"/>
      <c r="E820" s="59">
        <f>SUM(B820:D820)</f>
        <v>0</v>
      </c>
      <c r="F820" s="1"/>
      <c r="G820" s="1"/>
      <c r="H820" s="1"/>
      <c r="I820" s="59">
        <f>SUM(F820:H820)</f>
        <v>0</v>
      </c>
      <c r="J820" s="1"/>
      <c r="K820" s="1"/>
      <c r="L820" s="1"/>
      <c r="M820" s="59">
        <f>SUM(J820:L820)</f>
        <v>0</v>
      </c>
      <c r="N820" s="1"/>
      <c r="O820" s="1"/>
      <c r="P820" s="1"/>
      <c r="Q820" s="59">
        <f>SUM(N820:P820)</f>
        <v>0</v>
      </c>
      <c r="R820" s="59">
        <f>+E820+I820+M820+Q820</f>
        <v>0</v>
      </c>
    </row>
    <row r="821" spans="1:19" ht="15.75" customHeight="1" x14ac:dyDescent="0.3">
      <c r="A821" s="74" t="s">
        <v>613</v>
      </c>
      <c r="B821" s="1"/>
      <c r="C821" s="1"/>
      <c r="D821" s="1"/>
      <c r="E821" s="59">
        <f>SUM(B821:D821)</f>
        <v>0</v>
      </c>
      <c r="F821" s="1"/>
      <c r="G821" s="1"/>
      <c r="H821" s="1"/>
      <c r="I821" s="59">
        <f>SUM(F821:H821)</f>
        <v>0</v>
      </c>
      <c r="J821" s="1"/>
      <c r="K821" s="1"/>
      <c r="L821" s="1"/>
      <c r="M821" s="59">
        <f>SUM(J821:L821)</f>
        <v>0</v>
      </c>
      <c r="N821" s="1"/>
      <c r="O821" s="1"/>
      <c r="P821" s="1"/>
      <c r="Q821" s="59">
        <f>SUM(N821:P821)</f>
        <v>0</v>
      </c>
      <c r="R821" s="59">
        <f>+E821+I821+M821+Q821</f>
        <v>0</v>
      </c>
    </row>
    <row r="822" spans="1:19" ht="15.75" customHeight="1" x14ac:dyDescent="0.3">
      <c r="A822" s="17" t="s">
        <v>64</v>
      </c>
      <c r="B822" s="1"/>
      <c r="C822" s="1"/>
      <c r="D822" s="1"/>
      <c r="E822" s="59" t="s">
        <v>7</v>
      </c>
      <c r="F822" s="1"/>
      <c r="G822" s="1"/>
      <c r="H822" s="1"/>
      <c r="I822" s="59" t="s">
        <v>7</v>
      </c>
      <c r="J822" s="1"/>
      <c r="K822" s="1"/>
      <c r="L822" s="1"/>
      <c r="M822" s="59" t="s">
        <v>7</v>
      </c>
      <c r="N822" s="1"/>
      <c r="O822" s="1"/>
      <c r="P822" s="1"/>
      <c r="Q822" s="59" t="s">
        <v>7</v>
      </c>
      <c r="R822" s="59" t="s">
        <v>7</v>
      </c>
    </row>
    <row r="823" spans="1:19" ht="15.75" customHeight="1" x14ac:dyDescent="0.3">
      <c r="A823" s="74" t="s">
        <v>614</v>
      </c>
      <c r="B823" s="1"/>
      <c r="C823" s="1"/>
      <c r="D823" s="1"/>
      <c r="E823" s="59">
        <f>SUM(B823:D823)</f>
        <v>0</v>
      </c>
      <c r="F823" s="1"/>
      <c r="G823" s="1"/>
      <c r="H823" s="1"/>
      <c r="I823" s="59">
        <f>SUM(F823:H823)</f>
        <v>0</v>
      </c>
      <c r="J823" s="1"/>
      <c r="K823" s="1"/>
      <c r="L823" s="1"/>
      <c r="M823" s="59">
        <f>SUM(J823:L823)</f>
        <v>0</v>
      </c>
      <c r="N823" s="1">
        <v>29</v>
      </c>
      <c r="O823" s="1"/>
      <c r="P823" s="1"/>
      <c r="Q823" s="59">
        <f>SUM(N823:P823)</f>
        <v>29</v>
      </c>
      <c r="R823" s="59">
        <f>+E823+I823+M823+Q823</f>
        <v>29</v>
      </c>
    </row>
    <row r="824" spans="1:19" ht="15.75" customHeight="1" x14ac:dyDescent="0.3">
      <c r="A824" s="74" t="s">
        <v>615</v>
      </c>
      <c r="B824" s="1"/>
      <c r="C824" s="1"/>
      <c r="D824" s="1"/>
      <c r="E824" s="59">
        <f>SUM(B824:D824)</f>
        <v>0</v>
      </c>
      <c r="F824" s="1"/>
      <c r="G824" s="1"/>
      <c r="H824" s="1"/>
      <c r="I824" s="59">
        <f>SUM(F824:H824)</f>
        <v>0</v>
      </c>
      <c r="J824" s="1">
        <v>1271</v>
      </c>
      <c r="K824" s="1"/>
      <c r="L824" s="1"/>
      <c r="M824" s="59">
        <f>SUM(J824:L824)</f>
        <v>1271</v>
      </c>
      <c r="N824" s="1"/>
      <c r="O824" s="1"/>
      <c r="P824" s="1"/>
      <c r="Q824" s="59">
        <f>SUM(N824:P824)</f>
        <v>0</v>
      </c>
      <c r="R824" s="59">
        <f>+E824+I824+M824+Q824</f>
        <v>1271</v>
      </c>
      <c r="S824" s="4" t="s">
        <v>964</v>
      </c>
    </row>
    <row r="825" spans="1:19" ht="15.75" customHeight="1" x14ac:dyDescent="0.3">
      <c r="A825" s="17" t="s">
        <v>66</v>
      </c>
      <c r="B825" s="1"/>
      <c r="C825" s="1"/>
      <c r="D825" s="1"/>
      <c r="E825" s="59" t="s">
        <v>7</v>
      </c>
      <c r="F825" s="1"/>
      <c r="G825" s="1"/>
      <c r="H825" s="1"/>
      <c r="I825" s="59" t="s">
        <v>7</v>
      </c>
      <c r="J825" s="1"/>
      <c r="K825" s="1"/>
      <c r="L825" s="1"/>
      <c r="M825" s="59" t="s">
        <v>7</v>
      </c>
      <c r="N825" s="1"/>
      <c r="O825" s="1"/>
      <c r="P825" s="1"/>
      <c r="Q825" s="59" t="s">
        <v>7</v>
      </c>
      <c r="R825" s="59" t="s">
        <v>7</v>
      </c>
    </row>
    <row r="826" spans="1:19" ht="15.75" customHeight="1" thickBot="1" x14ac:dyDescent="0.35">
      <c r="A826" s="17" t="s">
        <v>67</v>
      </c>
      <c r="B826" s="1"/>
      <c r="C826" s="1"/>
      <c r="D826" s="1"/>
      <c r="E826" s="59" t="s">
        <v>7</v>
      </c>
      <c r="F826" s="1"/>
      <c r="G826" s="1"/>
      <c r="H826" s="1"/>
      <c r="I826" s="59" t="s">
        <v>7</v>
      </c>
      <c r="J826" s="1"/>
      <c r="K826" s="1"/>
      <c r="L826" s="1"/>
      <c r="M826" s="59" t="s">
        <v>7</v>
      </c>
      <c r="N826" s="1"/>
      <c r="O826" s="1"/>
      <c r="P826" s="1"/>
      <c r="Q826" s="59" t="s">
        <v>7</v>
      </c>
      <c r="R826" s="59" t="s">
        <v>7</v>
      </c>
    </row>
    <row r="827" spans="1:19" ht="16.5" customHeight="1" thickBot="1" x14ac:dyDescent="0.35">
      <c r="A827" s="62" t="s">
        <v>68</v>
      </c>
      <c r="B827" s="63">
        <f>SUM(B825:B826)</f>
        <v>0</v>
      </c>
      <c r="C827" s="63">
        <f>SUM(C825:C826)</f>
        <v>0</v>
      </c>
      <c r="D827" s="63">
        <f>SUM(D825:D826)</f>
        <v>0</v>
      </c>
      <c r="E827" s="334">
        <f>SUM(B827:D827)</f>
        <v>0</v>
      </c>
      <c r="F827" s="63">
        <f>SUM(F825:F826)</f>
        <v>0</v>
      </c>
      <c r="G827" s="63">
        <f>SUM(G825:G826)</f>
        <v>0</v>
      </c>
      <c r="H827" s="63">
        <f>SUM(H825:H826)</f>
        <v>0</v>
      </c>
      <c r="I827" s="334">
        <f>SUM(F827:H827)</f>
        <v>0</v>
      </c>
      <c r="J827" s="63">
        <f>SUM(J825:J826)</f>
        <v>0</v>
      </c>
      <c r="K827" s="63">
        <f>SUM(K825:K826)</f>
        <v>0</v>
      </c>
      <c r="L827" s="63">
        <f>SUM(L825:L826)</f>
        <v>0</v>
      </c>
      <c r="M827" s="334">
        <f>SUM(J827:L827)</f>
        <v>0</v>
      </c>
      <c r="N827" s="63">
        <f>SUM(N825:N826)</f>
        <v>0</v>
      </c>
      <c r="O827" s="63">
        <f>SUM(O825:O826)</f>
        <v>0</v>
      </c>
      <c r="P827" s="63">
        <f>SUM(P825:P826)</f>
        <v>0</v>
      </c>
      <c r="Q827" s="334">
        <f>SUM(N827:P827)</f>
        <v>0</v>
      </c>
      <c r="R827" s="64">
        <f>+E827+I827+M827+Q827</f>
        <v>0</v>
      </c>
    </row>
    <row r="828" spans="1:19" ht="16.5" customHeight="1" thickBot="1" x14ac:dyDescent="0.35">
      <c r="A828" s="62" t="s">
        <v>69</v>
      </c>
      <c r="B828" s="100">
        <f>SUM(B818:B826)</f>
        <v>0</v>
      </c>
      <c r="C828" s="101">
        <f>SUM(C818:C826)</f>
        <v>0</v>
      </c>
      <c r="D828" s="138">
        <f>SUM(D818:D826)</f>
        <v>0</v>
      </c>
      <c r="E828" s="334">
        <f>SUM(B828:D828)</f>
        <v>0</v>
      </c>
      <c r="F828" s="101">
        <f>SUM(F818:F826)</f>
        <v>0</v>
      </c>
      <c r="G828" s="101">
        <f>SUM(G818:G826)</f>
        <v>0</v>
      </c>
      <c r="H828" s="101">
        <f>SUM(H818:H826)</f>
        <v>0</v>
      </c>
      <c r="I828" s="334">
        <f>SUM(F828:H828)</f>
        <v>0</v>
      </c>
      <c r="J828" s="101">
        <f>SUM(J818:J826)</f>
        <v>1271</v>
      </c>
      <c r="K828" s="101">
        <f>SUM(K818:K826)</f>
        <v>0</v>
      </c>
      <c r="L828" s="101">
        <f>SUM(L818:L826)</f>
        <v>0</v>
      </c>
      <c r="M828" s="334">
        <f>SUM(J828:L828)</f>
        <v>1271</v>
      </c>
      <c r="N828" s="101">
        <f>SUM(N818:N826)</f>
        <v>29</v>
      </c>
      <c r="O828" s="101">
        <f>SUM(O818:O826)</f>
        <v>0</v>
      </c>
      <c r="P828" s="101">
        <f>SUM(P818:P826)</f>
        <v>0</v>
      </c>
      <c r="Q828" s="334">
        <f>SUM(N828:P828)</f>
        <v>29</v>
      </c>
      <c r="R828" s="64">
        <f>+E828+I828+M828+Q828</f>
        <v>1300</v>
      </c>
    </row>
    <row r="829" spans="1:19" ht="16.5" customHeight="1" thickBot="1" x14ac:dyDescent="0.35">
      <c r="A829" s="62" t="s">
        <v>70</v>
      </c>
      <c r="B829" s="107">
        <f>+B802+B807+B817+B828</f>
        <v>3704</v>
      </c>
      <c r="C829" s="63">
        <f>+C802+C807+C817+C828</f>
        <v>4055</v>
      </c>
      <c r="D829" s="63">
        <f>+D802+D807+D817+D828</f>
        <v>2728</v>
      </c>
      <c r="E829" s="64">
        <f>SUM(B829:D829)</f>
        <v>10487</v>
      </c>
      <c r="F829" s="63">
        <f>+F802+F807+F817+F828</f>
        <v>3922</v>
      </c>
      <c r="G829" s="63">
        <f>+G802+G807+G817+G828</f>
        <v>4699</v>
      </c>
      <c r="H829" s="63">
        <f>+H802+H807+H817+H828</f>
        <v>3866</v>
      </c>
      <c r="I829" s="64">
        <f>SUM(F829:H829)</f>
        <v>12487</v>
      </c>
      <c r="J829" s="63">
        <f>+J802+J807+J817+J828</f>
        <v>3360</v>
      </c>
      <c r="K829" s="63">
        <f>+K802+K807+K817+K828</f>
        <v>4499</v>
      </c>
      <c r="L829" s="63">
        <f>+L802+L807+L817+L828</f>
        <v>4060</v>
      </c>
      <c r="M829" s="64">
        <f>SUM(J829:L829)</f>
        <v>11919</v>
      </c>
      <c r="N829" s="63">
        <f>+N802+N807+N817+N828</f>
        <v>3154</v>
      </c>
      <c r="O829" s="63">
        <f>+O802+O807+O817+O828</f>
        <v>2126</v>
      </c>
      <c r="P829" s="63">
        <f>+P802+P807+P817+P828</f>
        <v>1875</v>
      </c>
      <c r="Q829" s="64">
        <f>SUM(N829:P829)</f>
        <v>7155</v>
      </c>
      <c r="R829" s="88">
        <f>+E829+I829+M829+Q829</f>
        <v>42048</v>
      </c>
    </row>
    <row r="830" spans="1:19" ht="16.5" customHeight="1" thickBot="1" x14ac:dyDescent="0.35">
      <c r="A830" s="40" t="s">
        <v>37</v>
      </c>
      <c r="B830" s="25">
        <v>11</v>
      </c>
      <c r="C830" s="25">
        <v>13</v>
      </c>
      <c r="D830" s="25">
        <v>17</v>
      </c>
      <c r="E830" s="59">
        <f>SUM(B830:D830)</f>
        <v>41</v>
      </c>
      <c r="F830" s="25">
        <v>21</v>
      </c>
      <c r="G830" s="25">
        <v>23</v>
      </c>
      <c r="H830" s="25">
        <v>25</v>
      </c>
      <c r="I830" s="59">
        <f>SUM(F830:H830)</f>
        <v>69</v>
      </c>
      <c r="J830" s="25">
        <v>25</v>
      </c>
      <c r="K830" s="25">
        <v>21</v>
      </c>
      <c r="L830" s="25">
        <v>19</v>
      </c>
      <c r="M830" s="59">
        <f>SUM(J830:L830)</f>
        <v>65</v>
      </c>
      <c r="N830" s="25">
        <v>17</v>
      </c>
      <c r="O830" s="25">
        <v>13</v>
      </c>
      <c r="P830" s="25">
        <v>11</v>
      </c>
      <c r="Q830" s="59">
        <f>SUM(N830:P830)</f>
        <v>41</v>
      </c>
      <c r="R830" s="59">
        <f>+E830+I830+M830+Q830</f>
        <v>216</v>
      </c>
    </row>
    <row r="831" spans="1:19" ht="16.5" customHeight="1" thickBot="1" x14ac:dyDescent="0.35">
      <c r="A831" s="42"/>
      <c r="B831" s="37"/>
      <c r="C831" s="37"/>
      <c r="D831" s="37"/>
      <c r="E831" s="64" t="s">
        <v>7</v>
      </c>
      <c r="F831" s="37"/>
      <c r="G831" s="37"/>
      <c r="H831" s="37"/>
      <c r="I831" s="64" t="s">
        <v>7</v>
      </c>
      <c r="J831" s="37"/>
      <c r="K831" s="37"/>
      <c r="L831" s="37"/>
      <c r="M831" s="64" t="s">
        <v>7</v>
      </c>
      <c r="N831" s="37"/>
      <c r="O831" s="37"/>
      <c r="P831" s="37"/>
      <c r="Q831" s="64" t="s">
        <v>7</v>
      </c>
      <c r="R831" s="64" t="s">
        <v>7</v>
      </c>
    </row>
    <row r="832" spans="1:19" ht="15.75" customHeight="1" x14ac:dyDescent="0.3">
      <c r="A832" s="17" t="s">
        <v>38</v>
      </c>
      <c r="B832" s="1">
        <f>SUM(B829:B830)</f>
        <v>3715</v>
      </c>
      <c r="C832" s="1">
        <f>SUM(C829:C830)</f>
        <v>4068</v>
      </c>
      <c r="D832" s="1">
        <f>SUM(D829:D830)</f>
        <v>2745</v>
      </c>
      <c r="E832" s="334">
        <f>SUM(B832:D832)</f>
        <v>10528</v>
      </c>
      <c r="F832" s="1">
        <f>SUM(F829:F830)</f>
        <v>3943</v>
      </c>
      <c r="G832" s="1">
        <f>SUM(G829:G830)</f>
        <v>4722</v>
      </c>
      <c r="H832" s="1">
        <f>SUM(H829:H830)</f>
        <v>3891</v>
      </c>
      <c r="I832" s="334">
        <f>SUM(F832:H832)</f>
        <v>12556</v>
      </c>
      <c r="J832" s="1">
        <f>SUM(J829:J830)</f>
        <v>3385</v>
      </c>
      <c r="K832" s="1">
        <f>SUM(K829:K830)</f>
        <v>4520</v>
      </c>
      <c r="L832" s="1">
        <f>SUM(L829:L830)</f>
        <v>4079</v>
      </c>
      <c r="M832" s="334">
        <f>SUM(J832:L832)</f>
        <v>11984</v>
      </c>
      <c r="N832" s="1">
        <f>SUM(N829:N830)</f>
        <v>3171</v>
      </c>
      <c r="O832" s="1">
        <f>SUM(O829:O830)</f>
        <v>2139</v>
      </c>
      <c r="P832" s="1">
        <f>SUM(P829:P830)</f>
        <v>1886</v>
      </c>
      <c r="Q832" s="334">
        <f>SUM(N832:P832)</f>
        <v>7196</v>
      </c>
      <c r="R832" s="334">
        <f>+E832+I832+M832+Q832</f>
        <v>42264</v>
      </c>
    </row>
    <row r="833" spans="1:18" ht="15.75" customHeight="1" x14ac:dyDescent="0.3">
      <c r="A833" s="17" t="s">
        <v>39</v>
      </c>
      <c r="B833" s="1">
        <f>(B832/B10)/1.983</f>
        <v>60.433035641663821</v>
      </c>
      <c r="C833" s="1">
        <f>(C832/C10)/1.983</f>
        <v>73.265614869245724</v>
      </c>
      <c r="D833" s="1">
        <f>(D832/D10)/1.983</f>
        <v>44.653750427016739</v>
      </c>
      <c r="E833" s="59" t="s">
        <v>7</v>
      </c>
      <c r="F833" s="1">
        <f>(F832/F10)/1.983</f>
        <v>66.2800470667339</v>
      </c>
      <c r="G833" s="1">
        <f>(G832/G10)/1.983</f>
        <v>76.814211117075786</v>
      </c>
      <c r="H833" s="1">
        <f>(H832/H10)/1.983</f>
        <v>65.405950579929396</v>
      </c>
      <c r="I833" s="59" t="s">
        <v>7</v>
      </c>
      <c r="J833" s="1">
        <f>(J832/J10)/1.983</f>
        <v>55.064825207814806</v>
      </c>
      <c r="K833" s="1">
        <f>(K832/K10)/1.983</f>
        <v>73.528215639386403</v>
      </c>
      <c r="L833" s="1">
        <f>(L832/L10)/1.983</f>
        <v>68.566145570684142</v>
      </c>
      <c r="M833" s="59" t="s">
        <v>7</v>
      </c>
      <c r="N833" s="1">
        <f>(N832/N10)/1.983</f>
        <v>51.58362207798546</v>
      </c>
      <c r="O833" s="1">
        <f>(O832/O10)/1.983</f>
        <v>35.955622793746848</v>
      </c>
      <c r="P833" s="1">
        <f>(P832/P10)/1.983</f>
        <v>30.680135994664322</v>
      </c>
      <c r="Q833" s="59" t="s">
        <v>7</v>
      </c>
      <c r="R833" s="59" t="s">
        <v>7</v>
      </c>
    </row>
    <row r="834" spans="1:18" ht="15.75" customHeight="1" x14ac:dyDescent="0.3">
      <c r="A834" s="17" t="s">
        <v>616</v>
      </c>
      <c r="B834" s="1">
        <f>B832</f>
        <v>3715</v>
      </c>
      <c r="C834" s="1">
        <f>C832</f>
        <v>4068</v>
      </c>
      <c r="D834" s="1">
        <f>D832</f>
        <v>2745</v>
      </c>
      <c r="E834" s="59">
        <f>SUM(B834:D834)</f>
        <v>10528</v>
      </c>
      <c r="F834" s="1">
        <f>F832</f>
        <v>3943</v>
      </c>
      <c r="G834" s="1">
        <f>G832</f>
        <v>4722</v>
      </c>
      <c r="H834" s="1">
        <f>H832</f>
        <v>3891</v>
      </c>
      <c r="I834" s="59">
        <f>SUM(F834:H834)</f>
        <v>12556</v>
      </c>
      <c r="J834" s="1">
        <f>J832</f>
        <v>3385</v>
      </c>
      <c r="K834" s="1">
        <f>K832</f>
        <v>4520</v>
      </c>
      <c r="L834" s="1">
        <f>L832</f>
        <v>4079</v>
      </c>
      <c r="M834" s="59">
        <f>SUM(J834:L834)</f>
        <v>11984</v>
      </c>
      <c r="N834" s="1">
        <f>N832</f>
        <v>3171</v>
      </c>
      <c r="O834" s="1">
        <f>O832</f>
        <v>2139</v>
      </c>
      <c r="P834" s="1">
        <f>P832</f>
        <v>1886</v>
      </c>
      <c r="Q834" s="59">
        <f>SUM(N834:P834)</f>
        <v>7196</v>
      </c>
      <c r="R834" s="59">
        <f>+E834+I834+M834+Q834</f>
        <v>42264</v>
      </c>
    </row>
    <row r="835" spans="1:18" ht="16.5" customHeight="1" thickBot="1" x14ac:dyDescent="0.35">
      <c r="A835" s="24" t="s">
        <v>617</v>
      </c>
      <c r="B835" s="25">
        <f>(B834/B10)/1.983</f>
        <v>60.433035641663821</v>
      </c>
      <c r="C835" s="25">
        <f>(C834/C10)/1.983</f>
        <v>73.265614869245724</v>
      </c>
      <c r="D835" s="25">
        <f>(D834/D10)/1.983</f>
        <v>44.653750427016739</v>
      </c>
      <c r="E835" s="88" t="s">
        <v>7</v>
      </c>
      <c r="F835" s="25">
        <f>(F834/F10)/1.983</f>
        <v>66.2800470667339</v>
      </c>
      <c r="G835" s="25">
        <f>(G834/G10)/1.983</f>
        <v>76.814211117075786</v>
      </c>
      <c r="H835" s="25">
        <f>(H834/H10)/1.983</f>
        <v>65.405950579929396</v>
      </c>
      <c r="I835" s="88" t="s">
        <v>7</v>
      </c>
      <c r="J835" s="25">
        <f>(J834/J10)/1.983</f>
        <v>55.064825207814806</v>
      </c>
      <c r="K835" s="25">
        <f>(K834/K10)/1.983</f>
        <v>73.528215639386403</v>
      </c>
      <c r="L835" s="25">
        <f>(L834/L10)/1.983</f>
        <v>68.566145570684142</v>
      </c>
      <c r="M835" s="88" t="s">
        <v>7</v>
      </c>
      <c r="N835" s="25">
        <f>(N834/N10)/1.983</f>
        <v>51.58362207798546</v>
      </c>
      <c r="O835" s="25">
        <f>(O834/O10)/1.983</f>
        <v>35.955622793746848</v>
      </c>
      <c r="P835" s="25">
        <f>(P834/P10)/1.983</f>
        <v>30.680135994664322</v>
      </c>
      <c r="Q835" s="88" t="s">
        <v>7</v>
      </c>
      <c r="R835" s="88" t="s">
        <v>7</v>
      </c>
    </row>
    <row r="836" spans="1:18" ht="15.75" customHeight="1" x14ac:dyDescent="0.3">
      <c r="A836" s="30"/>
      <c r="B836" s="1"/>
      <c r="C836" s="1"/>
      <c r="D836" s="1"/>
      <c r="E836" s="28"/>
      <c r="F836" s="1"/>
      <c r="G836" s="1"/>
      <c r="H836" s="1"/>
      <c r="I836" s="28"/>
      <c r="J836" s="1"/>
      <c r="K836" s="1"/>
      <c r="L836" s="1"/>
      <c r="M836" s="28"/>
      <c r="N836" s="1"/>
      <c r="O836" s="1"/>
      <c r="P836" s="1"/>
      <c r="Q836" s="28"/>
      <c r="R836" s="28"/>
    </row>
    <row r="837" spans="1:18" ht="15.75" customHeight="1" x14ac:dyDescent="0.3">
      <c r="A837" s="30"/>
      <c r="B837" s="1"/>
      <c r="C837" s="1"/>
      <c r="D837" s="1"/>
      <c r="E837" s="1"/>
      <c r="F837" s="1"/>
      <c r="G837" s="1"/>
      <c r="H837" s="1"/>
      <c r="I837" s="1"/>
      <c r="J837" s="1"/>
      <c r="K837" s="1"/>
      <c r="L837" s="1"/>
      <c r="M837" s="1"/>
      <c r="N837" s="1"/>
      <c r="O837" s="1"/>
      <c r="P837" s="1"/>
      <c r="Q837" s="2" t="str">
        <f>+Q1</f>
        <v xml:space="preserve">PRINTED:  </v>
      </c>
      <c r="R837" s="163">
        <f ca="1">+R1</f>
        <v>44894.658168402777</v>
      </c>
    </row>
    <row r="838" spans="1:18" ht="15.75" customHeight="1" x14ac:dyDescent="0.3">
      <c r="A838" s="383" t="s">
        <v>1</v>
      </c>
      <c r="B838" s="383"/>
      <c r="C838" s="383"/>
      <c r="D838" s="383"/>
      <c r="E838" s="383"/>
      <c r="F838" s="383"/>
      <c r="G838" s="383"/>
      <c r="H838" s="383"/>
      <c r="I838" s="383"/>
      <c r="J838" s="383"/>
      <c r="K838" s="383"/>
      <c r="L838" s="383"/>
      <c r="M838" s="383"/>
      <c r="N838" s="383"/>
      <c r="O838" s="383"/>
      <c r="P838" s="383"/>
      <c r="Q838" s="383"/>
      <c r="R838" s="383"/>
    </row>
    <row r="839" spans="1:18" ht="15.75" customHeight="1" x14ac:dyDescent="0.3">
      <c r="A839" s="383" t="s">
        <v>2</v>
      </c>
      <c r="B839" s="383"/>
      <c r="C839" s="383"/>
      <c r="D839" s="383"/>
      <c r="E839" s="383"/>
      <c r="F839" s="383"/>
      <c r="G839" s="383"/>
      <c r="H839" s="383"/>
      <c r="I839" s="383"/>
      <c r="J839" s="383"/>
      <c r="K839" s="383"/>
      <c r="L839" s="383"/>
      <c r="M839" s="383"/>
      <c r="N839" s="383"/>
      <c r="O839" s="383"/>
      <c r="P839" s="383"/>
      <c r="Q839" s="383"/>
      <c r="R839" s="383"/>
    </row>
    <row r="840" spans="1:18" ht="15.75" customHeight="1" x14ac:dyDescent="0.3">
      <c r="A840" s="383" t="s">
        <v>3</v>
      </c>
      <c r="B840" s="383"/>
      <c r="C840" s="383"/>
      <c r="D840" s="383"/>
      <c r="E840" s="383"/>
      <c r="F840" s="383"/>
      <c r="G840" s="383"/>
      <c r="H840" s="383"/>
      <c r="I840" s="383"/>
      <c r="J840" s="383"/>
      <c r="K840" s="383"/>
      <c r="L840" s="383"/>
      <c r="M840" s="383"/>
      <c r="N840" s="383"/>
      <c r="O840" s="383"/>
      <c r="P840" s="383"/>
      <c r="Q840" s="383"/>
      <c r="R840" s="383"/>
    </row>
    <row r="841" spans="1:18" ht="15.75" customHeight="1" x14ac:dyDescent="0.3">
      <c r="A841" s="391">
        <f>+A5</f>
        <v>2018</v>
      </c>
      <c r="B841" s="391"/>
      <c r="C841" s="391"/>
      <c r="D841" s="391"/>
      <c r="E841" s="391"/>
      <c r="F841" s="391"/>
      <c r="G841" s="391"/>
      <c r="H841" s="391"/>
      <c r="I841" s="391"/>
      <c r="J841" s="391"/>
      <c r="K841" s="391"/>
      <c r="L841" s="391"/>
      <c r="M841" s="391"/>
      <c r="N841" s="391"/>
      <c r="O841" s="391"/>
      <c r="P841" s="391"/>
      <c r="Q841" s="391"/>
      <c r="R841" s="391"/>
    </row>
    <row r="842" spans="1:18" ht="15.75" customHeight="1" x14ac:dyDescent="0.3">
      <c r="A842" s="1"/>
      <c r="B842" s="1"/>
      <c r="C842" s="1"/>
      <c r="D842" s="7"/>
      <c r="E842" s="7"/>
      <c r="F842" s="7"/>
      <c r="G842" s="8"/>
      <c r="H842" s="7"/>
      <c r="I842" s="7"/>
      <c r="J842" s="8"/>
      <c r="K842" s="8"/>
      <c r="L842" s="8"/>
      <c r="M842" s="8"/>
      <c r="N842" s="1"/>
      <c r="O842" s="8"/>
      <c r="P842" s="8"/>
      <c r="Q842" s="8"/>
      <c r="R842" s="8"/>
    </row>
    <row r="843" spans="1:18" ht="15.75" customHeight="1" x14ac:dyDescent="0.3">
      <c r="A843" s="383" t="str">
        <f>+A8</f>
        <v>Revised:  3/2/2019</v>
      </c>
      <c r="B843" s="383"/>
      <c r="C843" s="383"/>
      <c r="D843" s="383"/>
      <c r="E843" s="383"/>
      <c r="F843" s="383"/>
      <c r="G843" s="383"/>
      <c r="H843" s="383"/>
      <c r="I843" s="383"/>
      <c r="J843" s="383"/>
      <c r="K843" s="383"/>
      <c r="L843" s="383"/>
      <c r="M843" s="383"/>
      <c r="N843" s="383"/>
      <c r="O843" s="383"/>
      <c r="P843" s="383"/>
      <c r="Q843" s="383"/>
      <c r="R843" s="383"/>
    </row>
    <row r="844" spans="1:18" ht="15.75" customHeight="1" x14ac:dyDescent="0.3">
      <c r="A844" s="6"/>
      <c r="B844" s="6"/>
      <c r="C844" s="6"/>
      <c r="D844" s="6"/>
      <c r="E844" s="6"/>
      <c r="F844" s="6"/>
      <c r="G844" s="6"/>
      <c r="H844" s="6"/>
      <c r="I844" s="6"/>
      <c r="J844" s="6"/>
      <c r="K844" s="6"/>
      <c r="L844" s="6"/>
      <c r="M844" s="6"/>
      <c r="N844" s="6"/>
      <c r="O844" s="6"/>
      <c r="P844" s="6"/>
      <c r="Q844" s="6"/>
      <c r="R844" s="6"/>
    </row>
    <row r="845" spans="1:18" ht="15.75" customHeight="1" x14ac:dyDescent="0.3">
      <c r="A845" s="6"/>
      <c r="B845" s="6"/>
      <c r="C845" s="6"/>
      <c r="D845" s="6"/>
      <c r="E845" s="6"/>
      <c r="F845" s="6"/>
      <c r="G845" s="6"/>
      <c r="H845" s="6"/>
      <c r="I845" s="6"/>
      <c r="J845" s="6"/>
      <c r="K845" s="6"/>
      <c r="L845" s="6"/>
      <c r="M845" s="6"/>
      <c r="N845" s="6"/>
      <c r="O845" s="6"/>
      <c r="P845" s="6"/>
      <c r="Q845" s="6"/>
      <c r="R845" s="6"/>
    </row>
    <row r="846" spans="1:18" ht="15.75" customHeight="1" thickBot="1" x14ac:dyDescent="0.35">
      <c r="A846" s="30"/>
      <c r="B846" s="1"/>
      <c r="C846" s="1"/>
      <c r="D846" s="1"/>
      <c r="E846" s="1"/>
      <c r="F846" s="1"/>
      <c r="G846" s="1"/>
      <c r="H846" s="1"/>
      <c r="I846" s="1"/>
      <c r="J846" s="1"/>
      <c r="K846" s="1"/>
      <c r="L846" s="1"/>
      <c r="M846" s="1"/>
      <c r="N846" s="1"/>
      <c r="O846" s="1"/>
      <c r="P846" s="1"/>
      <c r="Q846" s="1"/>
      <c r="R846" s="28"/>
    </row>
    <row r="847" spans="1:18" ht="16.5" customHeight="1" thickBot="1" x14ac:dyDescent="0.35">
      <c r="A847" s="343" t="s">
        <v>618</v>
      </c>
      <c r="B847" s="323" t="s">
        <v>36</v>
      </c>
      <c r="C847" s="324" t="s">
        <v>9</v>
      </c>
      <c r="D847" s="324" t="s">
        <v>10</v>
      </c>
      <c r="E847" s="325" t="s">
        <v>11</v>
      </c>
      <c r="F847" s="324" t="s">
        <v>12</v>
      </c>
      <c r="G847" s="324" t="s">
        <v>13</v>
      </c>
      <c r="H847" s="324" t="s">
        <v>14</v>
      </c>
      <c r="I847" s="34" t="s">
        <v>15</v>
      </c>
      <c r="J847" s="324" t="s">
        <v>16</v>
      </c>
      <c r="K847" s="324" t="s">
        <v>17</v>
      </c>
      <c r="L847" s="324" t="s">
        <v>18</v>
      </c>
      <c r="M847" s="34" t="s">
        <v>19</v>
      </c>
      <c r="N847" s="324" t="s">
        <v>20</v>
      </c>
      <c r="O847" s="324" t="s">
        <v>21</v>
      </c>
      <c r="P847" s="324" t="s">
        <v>22</v>
      </c>
      <c r="Q847" s="34" t="s">
        <v>23</v>
      </c>
      <c r="R847" s="157" t="s">
        <v>24</v>
      </c>
    </row>
    <row r="848" spans="1:18" ht="16.5" customHeight="1" thickBot="1" x14ac:dyDescent="0.35">
      <c r="A848" s="42"/>
      <c r="B848" s="37"/>
      <c r="C848" s="37"/>
      <c r="D848" s="37"/>
      <c r="E848" s="16"/>
      <c r="F848" s="37"/>
      <c r="G848" s="37"/>
      <c r="H848" s="37"/>
      <c r="I848" s="156"/>
      <c r="J848" s="37"/>
      <c r="K848" s="37"/>
      <c r="L848" s="37"/>
      <c r="M848" s="156"/>
      <c r="N848" s="37"/>
      <c r="O848" s="37"/>
      <c r="P848" s="37"/>
      <c r="Q848" s="158"/>
      <c r="R848" s="159"/>
    </row>
    <row r="849" spans="1:20" ht="15.75" customHeight="1" x14ac:dyDescent="0.3">
      <c r="A849" s="17" t="s">
        <v>45</v>
      </c>
      <c r="B849" s="1" t="s">
        <v>7</v>
      </c>
      <c r="C849" s="1" t="s">
        <v>7</v>
      </c>
      <c r="D849" s="1" t="s">
        <v>7</v>
      </c>
      <c r="E849" s="160"/>
      <c r="F849" s="1" t="s">
        <v>7</v>
      </c>
      <c r="G849" s="1" t="s">
        <v>7</v>
      </c>
      <c r="H849" s="1" t="s">
        <v>7</v>
      </c>
      <c r="I849" s="160"/>
      <c r="J849" s="1" t="s">
        <v>7</v>
      </c>
      <c r="K849" s="1" t="s">
        <v>7</v>
      </c>
      <c r="L849" s="1" t="s">
        <v>7</v>
      </c>
      <c r="M849" s="160"/>
      <c r="N849" s="1" t="s">
        <v>7</v>
      </c>
      <c r="O849" s="1" t="s">
        <v>7</v>
      </c>
      <c r="P849" s="1" t="s">
        <v>7</v>
      </c>
      <c r="Q849" s="161"/>
      <c r="R849" s="162" t="s">
        <v>7</v>
      </c>
    </row>
    <row r="850" spans="1:20" ht="15.75" customHeight="1" x14ac:dyDescent="0.3">
      <c r="A850" s="164" t="s">
        <v>46</v>
      </c>
      <c r="B850" s="1">
        <f>+SUM(B71:B82)+SUM(B140:B190)+SUM(B331:B362)+SUM(B498:B503)+SUM(B542:B547)+SUM(B587:B599)+SUM(B661:B664)+SUM(B697:B703)+SUM(B758:B759)+SUM(B792:B797)</f>
        <v>31616</v>
      </c>
      <c r="C850" s="1">
        <f>+SUM(C71:C82)+SUM(C140:C190)+SUM(C331:C362)+SUM(C498:C503)+SUM(C542:C547)+SUM(C587:C599)+SUM(C661:C664)+SUM(C697:C703)+SUM(C758:C759)+SUM(C792:C797)</f>
        <v>33389</v>
      </c>
      <c r="D850" s="1">
        <f>+SUM(D71:D82)+SUM(D140:D190)+SUM(D331:D362)+SUM(D498:D503)+SUM(D542:D547)+SUM(D587:D599)+SUM(D661:D664)+SUM(D697:D703)+SUM(D758:D759)+SUM(D792:D797)</f>
        <v>36712</v>
      </c>
      <c r="E850" s="59">
        <f t="shared" ref="E850:E856" si="273">SUM(B850:D850)</f>
        <v>101717</v>
      </c>
      <c r="F850" s="1">
        <f>+SUM(F71:F82)+SUM(F140:F190)+SUM(F331:F362)+SUM(F498:F503)+SUM(F542:F547)+SUM(F587:F599)+SUM(F661:F664)+SUM(F697:F703)+SUM(F758:F759)+SUM(F792:F797)</f>
        <v>37647</v>
      </c>
      <c r="G850" s="1">
        <f>+SUM(G71:G82)+SUM(G140:G190)+SUM(G331:G362)+SUM(G498:G503)+SUM(G542:G547)+SUM(G587:G599)+SUM(G661:G664)+SUM(G697:G703)+SUM(G758:G759)+SUM(G792:G797)</f>
        <v>54972</v>
      </c>
      <c r="H850" s="1">
        <f>+SUM(H71:H82)+SUM(H140:H190)+SUM(H331:H362)+SUM(H498:H503)+SUM(H542:H547)+SUM(H587:H599)+SUM(H661:H664)+SUM(H697:H703)+SUM(H758:H759)+SUM(H792:H797)</f>
        <v>70691</v>
      </c>
      <c r="I850" s="59">
        <f t="shared" ref="I850:I856" si="274">SUM(F850:H850)</f>
        <v>163310</v>
      </c>
      <c r="J850" s="1">
        <f>+SUM(J71:J82)+SUM(J140:J190)+SUM(J331:J362)+SUM(J498:J503)+SUM(J542:J547)+SUM(J587:J599)+SUM(J661:J664)+SUM(J697:J703)+SUM(J758:J759)+SUM(J792:J797)</f>
        <v>66608</v>
      </c>
      <c r="K850" s="1">
        <f>+SUM(K71:K82)+SUM(K140:K190)+SUM(K331:K362)+SUM(K498:K503)+SUM(K542:K547)+SUM(K587:K599)+SUM(K661:K664)+SUM(K697:K703)+SUM(K758:K759)+SUM(K792:K797)</f>
        <v>70141</v>
      </c>
      <c r="L850" s="1">
        <f>+SUM(L71:L82)+SUM(L140:L190)+SUM(L331:L362)+SUM(L498:L503)+SUM(L542:L547)+SUM(L587:L599)+SUM(L661:L664)+SUM(L697:L703)+SUM(L758:L759)+SUM(L792:L797)</f>
        <v>70045</v>
      </c>
      <c r="M850" s="59">
        <f t="shared" ref="M850:M856" si="275">SUM(J850:L850)</f>
        <v>206794</v>
      </c>
      <c r="N850" s="1">
        <f>+SUM(N71:N82)+SUM(N140:N190)+SUM(N331:N362)+SUM(N498:N503)+SUM(N542:N547)+SUM(N587:N599)+SUM(N661:N664)+SUM(N697:N703)+SUM(N758:N759)+SUM(N792:N797)</f>
        <v>39458</v>
      </c>
      <c r="O850" s="1">
        <f>+SUM(O71:O82)+SUM(O140:O190)+SUM(O331:O362)+SUM(O498:O503)+SUM(O542:O547)+SUM(O587:O599)+SUM(O661:O664)+SUM(O697:O703)+SUM(O758:O759)+SUM(O792:O797)</f>
        <v>33038</v>
      </c>
      <c r="P850" s="1">
        <f>+SUM(P71:P82)+SUM(P140:P190)+SUM(P331:P362)+SUM(P498:P503)+SUM(P542:P547)+SUM(P587:P599)+SUM(P661:P664)+SUM(P697:P703)+SUM(P758:P759)+SUM(P792:P797)</f>
        <v>36327</v>
      </c>
      <c r="Q850" s="59">
        <f t="shared" ref="Q850:Q856" si="276">SUM(N850:P850)</f>
        <v>108823</v>
      </c>
      <c r="R850" s="59">
        <f t="shared" ref="R850:R856" si="277">+E850+I850+M850+Q850</f>
        <v>580644</v>
      </c>
    </row>
    <row r="851" spans="1:20" ht="15.75" customHeight="1" x14ac:dyDescent="0.3">
      <c r="A851" s="17" t="s">
        <v>619</v>
      </c>
      <c r="B851" s="1">
        <f>+B38+SUM(B83:B84)+SUM(B192:B203)+SUM(B364:B375)+SUM(B505:B506)+B548+SUM(B600:B601)+B665+B704+B760+SUM(B798:B798)</f>
        <v>0</v>
      </c>
      <c r="C851" s="1">
        <f>+C38+SUM(C83:C84)+SUM(C192:C203)+SUM(C364:C375)+SUM(C505:C506)+C548+SUM(C600:C601)+C665+C704+C760+SUM(C798:C798)</f>
        <v>0</v>
      </c>
      <c r="D851" s="1">
        <f>+D38+SUM(D83:D84)+SUM(D192:D203)+SUM(D364:D375)+SUM(D505:D506)+D548+SUM(D600:D601)+D665+D704+D760+SUM(D798:D798)</f>
        <v>0</v>
      </c>
      <c r="E851" s="59">
        <f t="shared" si="273"/>
        <v>0</v>
      </c>
      <c r="F851" s="1">
        <f>+F38+SUM(F83:F84)+SUM(F192:F203)+SUM(F364:F375)+SUM(F505:F506)+F548+SUM(F600:F601)+F665+F704+F760+SUM(F798:F798)</f>
        <v>0</v>
      </c>
      <c r="G851" s="1">
        <f>+G38+SUM(G83:G84)+SUM(G192:G203)+SUM(G364:G375)+SUM(G505:G506)+G548+SUM(G600:G601)+G665+G704+G760+SUM(G798:G798)</f>
        <v>0</v>
      </c>
      <c r="H851" s="1">
        <f>+H38+SUM(H83:H84)+SUM(H192:H203)+SUM(H364:H375)+SUM(H505:H506)+H548+SUM(H600:H601)+H665+H704+H760+SUM(H798:H798)</f>
        <v>0</v>
      </c>
      <c r="I851" s="59">
        <f t="shared" si="274"/>
        <v>0</v>
      </c>
      <c r="J851" s="1">
        <f>+J38+SUM(J83:J84)+SUM(J192:J203)+SUM(J364:J375)+SUM(J505:J506)+J548+SUM(J600:J601)+J665+J704+J760+SUM(J798:J798)</f>
        <v>0</v>
      </c>
      <c r="K851" s="1">
        <f>+K38+SUM(K83:K84)+SUM(K192:K203)+SUM(K364:K375)+SUM(K505:K506)+K548+SUM(K600:K601)+K665+K704+K760+SUM(K798:K798)</f>
        <v>0</v>
      </c>
      <c r="L851" s="1">
        <f>+L38+SUM(L83:L84)+SUM(L192:L203)+SUM(L364:L375)+SUM(L505:L506)+L548+SUM(L600:L601)+L665+L704+L760+SUM(L798:L798)</f>
        <v>0</v>
      </c>
      <c r="M851" s="59">
        <f t="shared" si="275"/>
        <v>0</v>
      </c>
      <c r="N851" s="1">
        <f>+N38+SUM(N83:N84)+SUM(N192:N203)+SUM(N364:N375)+SUM(N505:N506)+N548+SUM(N600:N601)+N665+N704+N760+SUM(N798:N798)</f>
        <v>0</v>
      </c>
      <c r="O851" s="1">
        <f>+O38+SUM(O83:O84)+SUM(O192:O203)+SUM(O364:O375)+SUM(O505:O506)+O548+SUM(O600:O601)+O665+O704+O760+SUM(O798:O798)</f>
        <v>0</v>
      </c>
      <c r="P851" s="1">
        <f>+P38+SUM(P83:P84)+SUM(P192:P203)+SUM(P364:P375)+SUM(P505:P506)+P548+SUM(P600:P601)+P665+P704+P760+SUM(P798:P798)</f>
        <v>579</v>
      </c>
      <c r="Q851" s="59">
        <f t="shared" si="276"/>
        <v>579</v>
      </c>
      <c r="R851" s="59">
        <f t="shared" si="277"/>
        <v>579</v>
      </c>
    </row>
    <row r="852" spans="1:20" ht="15.75" customHeight="1" x14ac:dyDescent="0.3">
      <c r="A852" s="164" t="s">
        <v>620</v>
      </c>
      <c r="B852" s="1">
        <f>+SUM(B85:B87)+SUM(B204:B207)+SUM(B376:B380)+B507+B549+SUM(B602:B603)+B666+B705+B761+SUM(B799:B800)</f>
        <v>315</v>
      </c>
      <c r="C852" s="1">
        <f>+SUM(C85:C87)+SUM(C204:C207)+SUM(C376:C380)+C507+C549+SUM(C602:C603)+C666+C705+C761+SUM(C799:C800)</f>
        <v>1963</v>
      </c>
      <c r="D852" s="1">
        <f>+SUM(D85:D87)+SUM(D204:D207)+SUM(D376:D380)+D507+D549+SUM(D602:D603)+D666+D705+D761+SUM(D799:D800)</f>
        <v>3938</v>
      </c>
      <c r="E852" s="59">
        <f t="shared" si="273"/>
        <v>6216</v>
      </c>
      <c r="F852" s="1">
        <f>+SUM(F85:F87)+SUM(F204:F207)+SUM(F376:F380)+F507+F549+SUM(F602:F603)+F666+F705+F761+SUM(F799:F800)</f>
        <v>4161</v>
      </c>
      <c r="G852" s="1">
        <f>+SUM(G85:G87)+SUM(G204:G207)+SUM(G376:G380)+G507+G549+SUM(G602:G603)+G666+G705+G761+SUM(G799:G800)</f>
        <v>2011</v>
      </c>
      <c r="H852" s="1">
        <f>+SUM(H85:H87)+SUM(H204:H207)+SUM(H376:H380)+H507+H549+SUM(H602:H603)+H666+H705+H761+SUM(H799:H800)</f>
        <v>1876</v>
      </c>
      <c r="I852" s="59">
        <f t="shared" si="274"/>
        <v>8048</v>
      </c>
      <c r="J852" s="1">
        <f>+SUM(J85:J87)+SUM(J204:J207)+SUM(J376:J380)+J507+J549+SUM(J602:J603)+J666+J705+J761+SUM(J799:J800)</f>
        <v>2058</v>
      </c>
      <c r="K852" s="1">
        <f>+SUM(K85:K87)+SUM(K204:K207)+SUM(K376:K380)+K507+K549+SUM(K602:K603)+K666+K705+K761+SUM(K799:K800)</f>
        <v>11705</v>
      </c>
      <c r="L852" s="1">
        <f>+SUM(L85:L87)+SUM(L204:L207)+SUM(L376:L380)+L507+L549+SUM(L602:L603)+L666+L705+L761+SUM(L799:L800)</f>
        <v>2722</v>
      </c>
      <c r="M852" s="59">
        <f t="shared" si="275"/>
        <v>16485</v>
      </c>
      <c r="N852" s="1">
        <f>+SUM(N85:N87)+SUM(N204:N207)+SUM(N376:N380)+N507+N549+SUM(N602:N603)+N666+N705+N761+SUM(N799:N800)</f>
        <v>1830</v>
      </c>
      <c r="O852" s="1">
        <f>+SUM(O85:O87)+SUM(O204:O207)+SUM(O376:O380)+O507+O549+SUM(O602:O603)+O666+O705+O761+SUM(O799:O800)</f>
        <v>1372</v>
      </c>
      <c r="P852" s="1">
        <f>+SUM(P85:P87)+SUM(P204:P207)+SUM(P376:P380)+P507+P549+SUM(P602:P603)+P666+P705+P761+SUM(P799:P800)</f>
        <v>745</v>
      </c>
      <c r="Q852" s="59">
        <f t="shared" si="276"/>
        <v>3947</v>
      </c>
      <c r="R852" s="59">
        <f>+E852+I852+M852+Q852</f>
        <v>34696</v>
      </c>
    </row>
    <row r="853" spans="1:20" ht="15.75" customHeight="1" x14ac:dyDescent="0.3">
      <c r="A853" s="17" t="s">
        <v>621</v>
      </c>
      <c r="B853" s="1">
        <f>+B308+B479+B480</f>
        <v>0</v>
      </c>
      <c r="C853" s="1">
        <f>+C308+C479+C480</f>
        <v>0</v>
      </c>
      <c r="D853" s="1">
        <f>+D308+D479+D480</f>
        <v>0</v>
      </c>
      <c r="E853" s="59">
        <f t="shared" si="273"/>
        <v>0</v>
      </c>
      <c r="F853" s="1">
        <f>+F308+F479+F480</f>
        <v>0</v>
      </c>
      <c r="G853" s="1">
        <f>+G308+G479+G480</f>
        <v>0</v>
      </c>
      <c r="H853" s="1">
        <f>+H308+H479+H480</f>
        <v>0</v>
      </c>
      <c r="I853" s="59">
        <f t="shared" si="274"/>
        <v>0</v>
      </c>
      <c r="J853" s="1">
        <f>+J308+J479+J480</f>
        <v>0</v>
      </c>
      <c r="K853" s="1">
        <f>+K308+K479+K480</f>
        <v>0</v>
      </c>
      <c r="L853" s="1">
        <f>+L308+L479+L480</f>
        <v>0</v>
      </c>
      <c r="M853" s="59">
        <f t="shared" si="275"/>
        <v>0</v>
      </c>
      <c r="N853" s="1">
        <f>+N308+N479+N480</f>
        <v>0</v>
      </c>
      <c r="O853" s="1">
        <f>+O308+O479+O480</f>
        <v>0</v>
      </c>
      <c r="P853" s="1">
        <f>+P308+P479+P480</f>
        <v>0</v>
      </c>
      <c r="Q853" s="59">
        <f t="shared" si="276"/>
        <v>0</v>
      </c>
      <c r="R853" s="59">
        <f t="shared" si="277"/>
        <v>0</v>
      </c>
    </row>
    <row r="854" spans="1:20" ht="15.75" customHeight="1" x14ac:dyDescent="0.3">
      <c r="A854" s="164" t="s">
        <v>622</v>
      </c>
      <c r="B854" s="1">
        <f>+B309</f>
        <v>36</v>
      </c>
      <c r="C854" s="1">
        <f>+C309</f>
        <v>25</v>
      </c>
      <c r="D854" s="1">
        <f>+D309</f>
        <v>24</v>
      </c>
      <c r="E854" s="59">
        <f>SUM(B854:D854)</f>
        <v>85</v>
      </c>
      <c r="F854" s="1">
        <f>+F309</f>
        <v>69</v>
      </c>
      <c r="G854" s="1">
        <f>+G309</f>
        <v>187</v>
      </c>
      <c r="H854" s="1">
        <f>+H309</f>
        <v>137</v>
      </c>
      <c r="I854" s="59">
        <f>SUM(F854:H854)</f>
        <v>393</v>
      </c>
      <c r="J854" s="1">
        <f>+J309</f>
        <v>67</v>
      </c>
      <c r="K854" s="1">
        <f>+K309</f>
        <v>48</v>
      </c>
      <c r="L854" s="1">
        <f>+L309</f>
        <v>86</v>
      </c>
      <c r="M854" s="59">
        <f>SUM(J854:L854)</f>
        <v>201</v>
      </c>
      <c r="N854" s="1">
        <f>+N309</f>
        <v>28</v>
      </c>
      <c r="O854" s="1">
        <f>+O309</f>
        <v>65</v>
      </c>
      <c r="P854" s="1">
        <f>+P309</f>
        <v>34</v>
      </c>
      <c r="Q854" s="59">
        <f t="shared" si="276"/>
        <v>127</v>
      </c>
      <c r="R854" s="59">
        <f>+E854+I854+M854+Q854</f>
        <v>806</v>
      </c>
    </row>
    <row r="855" spans="1:20" ht="15.75" customHeight="1" thickBot="1" x14ac:dyDescent="0.35">
      <c r="A855" s="17" t="s">
        <v>51</v>
      </c>
      <c r="B855" s="1">
        <f>+B88+B508+B550+B604+B667+B706+B762+B801</f>
        <v>0</v>
      </c>
      <c r="C855" s="1">
        <f>+C88+C508+C550+C604+C667+C706+C762+C801</f>
        <v>0</v>
      </c>
      <c r="D855" s="1">
        <f>+D88+D508+D550+D604+D667+D706+D762+D801</f>
        <v>0</v>
      </c>
      <c r="E855" s="59">
        <f t="shared" si="273"/>
        <v>0</v>
      </c>
      <c r="F855" s="1">
        <f>+F88+F508+F550+F604+F667+F706+F762+F801</f>
        <v>0</v>
      </c>
      <c r="G855" s="1">
        <f>+G88+G508+G550+G604+G667+G706+G762+G801</f>
        <v>0</v>
      </c>
      <c r="H855" s="1">
        <f>+H88+H508+H550+H604+H667+H706+H762+H801</f>
        <v>0</v>
      </c>
      <c r="I855" s="59">
        <f t="shared" si="274"/>
        <v>0</v>
      </c>
      <c r="J855" s="1">
        <f>+J88+J508+J550+J604+J667+J706+J762+J801</f>
        <v>0</v>
      </c>
      <c r="K855" s="1">
        <f>+K88+K508+K550+K604+K667+K706+K762+K801</f>
        <v>0</v>
      </c>
      <c r="L855" s="1">
        <f>+L88+L508+L550+L604+L667+L706+L762+L801</f>
        <v>0</v>
      </c>
      <c r="M855" s="59">
        <f t="shared" si="275"/>
        <v>0</v>
      </c>
      <c r="N855" s="1">
        <f>+N88+N508+N550+N604+N667+N706+N762+N801</f>
        <v>0</v>
      </c>
      <c r="O855" s="1">
        <f>+O88+O508+O550+O604+O667+O706+O762+O801</f>
        <v>0</v>
      </c>
      <c r="P855" s="1">
        <f>+P88+P508+P550+P604+P667+P706+P762+P801</f>
        <v>0</v>
      </c>
      <c r="Q855" s="59">
        <f t="shared" si="276"/>
        <v>0</v>
      </c>
      <c r="R855" s="59">
        <f t="shared" si="277"/>
        <v>0</v>
      </c>
    </row>
    <row r="856" spans="1:20" ht="16.5" customHeight="1" thickBot="1" x14ac:dyDescent="0.35">
      <c r="A856" s="62" t="s">
        <v>52</v>
      </c>
      <c r="B856" s="100">
        <f>SUM(B849:B855)</f>
        <v>31967</v>
      </c>
      <c r="C856" s="101">
        <f>SUM(C849:C855)</f>
        <v>35377</v>
      </c>
      <c r="D856" s="101">
        <f>SUM(D849:D855)</f>
        <v>40674</v>
      </c>
      <c r="E856" s="64">
        <f t="shared" si="273"/>
        <v>108018</v>
      </c>
      <c r="F856" s="101">
        <f>SUM(F849:F855)</f>
        <v>41877</v>
      </c>
      <c r="G856" s="101">
        <f>SUM(G849:G855)</f>
        <v>57170</v>
      </c>
      <c r="H856" s="101">
        <f>SUM(H849:H855)</f>
        <v>72704</v>
      </c>
      <c r="I856" s="64">
        <f t="shared" si="274"/>
        <v>171751</v>
      </c>
      <c r="J856" s="101">
        <f>SUM(J849:J855)</f>
        <v>68733</v>
      </c>
      <c r="K856" s="101">
        <f>SUM(K849:K855)</f>
        <v>81894</v>
      </c>
      <c r="L856" s="101">
        <f>SUM(L849:L855)</f>
        <v>72853</v>
      </c>
      <c r="M856" s="64">
        <f t="shared" si="275"/>
        <v>223480</v>
      </c>
      <c r="N856" s="101">
        <f>SUM(N849:N855)</f>
        <v>41316</v>
      </c>
      <c r="O856" s="101">
        <f>SUM(O849:O855)</f>
        <v>34475</v>
      </c>
      <c r="P856" s="101">
        <f>SUM(P849:P855)</f>
        <v>37685</v>
      </c>
      <c r="Q856" s="64">
        <f t="shared" si="276"/>
        <v>113476</v>
      </c>
      <c r="R856" s="64">
        <f t="shared" si="277"/>
        <v>616725</v>
      </c>
      <c r="T856" s="4">
        <f>+R856-R853-R852</f>
        <v>582029</v>
      </c>
    </row>
    <row r="857" spans="1:20" ht="15.75" customHeight="1" x14ac:dyDescent="0.3">
      <c r="A857" s="17" t="s">
        <v>53</v>
      </c>
      <c r="B857" s="1"/>
      <c r="C857" s="1"/>
      <c r="D857" s="1"/>
      <c r="E857" s="59" t="s">
        <v>7</v>
      </c>
      <c r="F857" s="1"/>
      <c r="G857" s="1"/>
      <c r="H857" s="1"/>
      <c r="I857" s="59" t="s">
        <v>7</v>
      </c>
      <c r="J857" s="1"/>
      <c r="K857" s="1"/>
      <c r="L857" s="1"/>
      <c r="M857" s="59" t="s">
        <v>7</v>
      </c>
      <c r="N857" s="1"/>
      <c r="O857" s="1"/>
      <c r="P857" s="1"/>
      <c r="Q857" s="59" t="s">
        <v>7</v>
      </c>
      <c r="R857" s="59" t="s">
        <v>7</v>
      </c>
    </row>
    <row r="858" spans="1:20" ht="15.75" customHeight="1" x14ac:dyDescent="0.3">
      <c r="A858" s="17" t="s">
        <v>54</v>
      </c>
      <c r="B858" s="1">
        <f>SUM(B43:B43)+SUM(B211:B211)+SUM(B91:B91)+SUM(B384:B384)</f>
        <v>0</v>
      </c>
      <c r="C858" s="1">
        <f>SUM(C43:C43)+SUM(C211:C211)+SUM(C91:C91)+SUM(C384:C384)</f>
        <v>0</v>
      </c>
      <c r="D858" s="1">
        <f>SUM(D43:D43)+SUM(D211:D211)+SUM(D91:D91)+SUM(D384:D384)</f>
        <v>0</v>
      </c>
      <c r="E858" s="59">
        <f>SUM(B858:D858)</f>
        <v>0</v>
      </c>
      <c r="F858" s="1">
        <f>SUM(F43:F43)+SUM(F211:F211)+SUM(F91:F91)+SUM(F384:F384)</f>
        <v>0</v>
      </c>
      <c r="G858" s="1">
        <f>SUM(G43:G43)+SUM(G211:G211)+SUM(G91:G91)+SUM(G384:G384)</f>
        <v>0</v>
      </c>
      <c r="H858" s="1">
        <f>SUM(H43:H43)+SUM(H211:H211)+SUM(H91:H91)+SUM(H384:H384)</f>
        <v>0</v>
      </c>
      <c r="I858" s="59">
        <f>SUM(F858:H858)</f>
        <v>0</v>
      </c>
      <c r="J858" s="1">
        <f>SUM(J43:J43)+SUM(J211:J211)+SUM(J91:J91)+SUM(J384:J384)</f>
        <v>0</v>
      </c>
      <c r="K858" s="1">
        <f>SUM(K43:K43)+SUM(K211:K211)+SUM(K91:K91)+SUM(K384:K384)</f>
        <v>0</v>
      </c>
      <c r="L858" s="1">
        <f>SUM(L43:L43)+SUM(L211:L211)+SUM(L91:L91)+SUM(L384:L384)</f>
        <v>0</v>
      </c>
      <c r="M858" s="59">
        <f>SUM(J858:L858)</f>
        <v>0</v>
      </c>
      <c r="N858" s="1">
        <f>SUM(N43:N43)+SUM(N211:N211)+SUM(N91:N91)+SUM(N384:N384)</f>
        <v>0</v>
      </c>
      <c r="O858" s="1">
        <f>SUM(O43:O43)+SUM(O211:O211)+SUM(O91:O91)+SUM(O384:O384)</f>
        <v>0</v>
      </c>
      <c r="P858" s="1">
        <f>SUM(P43:P43)+SUM(P211:P211)+SUM(P91:P91)+SUM(P384:P384)</f>
        <v>0</v>
      </c>
      <c r="Q858" s="59">
        <f>SUM(N858:P858)</f>
        <v>0</v>
      </c>
      <c r="R858" s="59">
        <f>+E858+I858+M858+Q858</f>
        <v>0</v>
      </c>
    </row>
    <row r="859" spans="1:20" ht="15.75" customHeight="1" x14ac:dyDescent="0.3">
      <c r="A859" s="164" t="s">
        <v>55</v>
      </c>
      <c r="B859" s="1">
        <f>+SUM(B93:B94)+SUM(B212:B214)+SUM(B385:B394)+B512+SUM(B553:B555)+SUM(B607:B609)+SUM(B670:B670)+B709+B765+SUM(B804:B805)</f>
        <v>5022</v>
      </c>
      <c r="C859" s="1">
        <f>+SUM(C93:C94)+SUM(C212:C214)+SUM(C385:C394)+C512+SUM(C553:C555)+SUM(C607:C609)+SUM(C670:C670)+C709+C765+SUM(C804:C805)</f>
        <v>5022</v>
      </c>
      <c r="D859" s="1">
        <f>+SUM(D93:D94)+SUM(D212:D214)+SUM(D385:D394)+D512+SUM(D553:D555)+SUM(D607:D609)+SUM(D670:D670)+D709+D765+SUM(D804:D805)</f>
        <v>18750</v>
      </c>
      <c r="E859" s="59">
        <f>SUM(B859:D859)</f>
        <v>28794</v>
      </c>
      <c r="F859" s="1">
        <f>+SUM(F93:F94)+SUM(F212:F214)+SUM(F385:F394)+F512+SUM(F553:F555)+SUM(F607:F609)+SUM(F670:F670)+F709+F765+SUM(F804:F805)</f>
        <v>42093</v>
      </c>
      <c r="G859" s="1">
        <f>+SUM(G93:G94)+SUM(G212:G214)+SUM(G385:G394)+G512+SUM(G553:G555)+SUM(G607:G609)+SUM(G670:G670)+G709+G765+SUM(G804:G805)</f>
        <v>44361</v>
      </c>
      <c r="H859" s="1">
        <f>+SUM(H93:H94)+SUM(H212:H214)+SUM(H385:H394)+H512+SUM(H553:H555)+SUM(H607:H609)+SUM(H670:H670)+H709+H765+SUM(H804:H805)</f>
        <v>39913</v>
      </c>
      <c r="I859" s="59">
        <f>SUM(F859:H859)</f>
        <v>126367</v>
      </c>
      <c r="J859" s="1">
        <f>+SUM(J93:J94)+SUM(J212:J214)+SUM(J385:J394)+J512+SUM(J553:J555)+SUM(J607:J609)+SUM(J670:J670)+J709+J765+SUM(J804:J805)</f>
        <v>36677</v>
      </c>
      <c r="K859" s="1">
        <f>+SUM(K93:K94)+SUM(K212:K214)+SUM(K385:K394)+K512+SUM(K553:K555)+SUM(K607:K609)+SUM(K670:K670)+K709+K765+SUM(K804:K805)</f>
        <v>29640</v>
      </c>
      <c r="L859" s="1">
        <f>+SUM(L93:L94)+SUM(L212:L214)+SUM(L385:L394)+L512+SUM(L553:L555)+SUM(L607:L609)+SUM(L670:L670)+L709+L765+SUM(L804:L805)</f>
        <v>12019</v>
      </c>
      <c r="M859" s="59">
        <f>SUM(J859:L859)</f>
        <v>78336</v>
      </c>
      <c r="N859" s="1">
        <f>+SUM(N93:N94)+SUM(N212:N214)+SUM(N385:N394)+N512+SUM(N553:N555)+SUM(N607:N609)+SUM(N670:N670)+N709+N765+SUM(N804:N805)</f>
        <v>589</v>
      </c>
      <c r="O859" s="1">
        <f>+SUM(O93:O94)+SUM(O212:O214)+SUM(O385:O394)+O512+SUM(O553:O555)+SUM(O607:O609)+SUM(O670:O670)+O709+O765+SUM(O804:O805)</f>
        <v>4170</v>
      </c>
      <c r="P859" s="1">
        <f>+SUM(P93:P94)+SUM(P212:P214)+SUM(P385:P394)+P512+SUM(P553:P555)+SUM(P607:P609)+SUM(P670:P670)+P709+P765+SUM(P804:P805)</f>
        <v>4593</v>
      </c>
      <c r="Q859" s="59">
        <f>SUM(N859:P859)</f>
        <v>9352</v>
      </c>
      <c r="R859" s="59">
        <f>+E859+I859+M859+Q859</f>
        <v>242849</v>
      </c>
    </row>
    <row r="860" spans="1:20" ht="15.75" customHeight="1" thickBot="1" x14ac:dyDescent="0.35">
      <c r="A860" s="17" t="s">
        <v>56</v>
      </c>
      <c r="B860" s="1">
        <f>+B95+B513+B556+B610+B671+B710+B766+B806+B395+B215+B45</f>
        <v>0</v>
      </c>
      <c r="C860" s="1">
        <f>+C95+C513+C556+C610+C671+C710+C766+C806+C395+C215+C45</f>
        <v>0</v>
      </c>
      <c r="D860" s="1">
        <f>+D95+D513+D556+D610+D671+D710+D766+D806+D395+D215+D45</f>
        <v>0</v>
      </c>
      <c r="E860" s="59">
        <f>SUM(B860:D860)</f>
        <v>0</v>
      </c>
      <c r="F860" s="1">
        <f>+F95+F513+F556+F610+F671+F710+F766+F806+F395+F215+F45</f>
        <v>0</v>
      </c>
      <c r="G860" s="1">
        <f>+G95+G513+G556+G610+G671+G710+G766+G806+G395+G215+G45</f>
        <v>0</v>
      </c>
      <c r="H860" s="1">
        <f>+H95+H513+H556+H610+H671+H710+H766+H806+H395+H215+H45</f>
        <v>0</v>
      </c>
      <c r="I860" s="59">
        <f>SUM(F860:H860)</f>
        <v>0</v>
      </c>
      <c r="J860" s="1">
        <f>+J95+J513+J556+J610+J671+J710+J766+J806+J395+J215+J45</f>
        <v>0</v>
      </c>
      <c r="K860" s="1">
        <f>+K95+K513+K556+K610+K671+K710+K766+K806+K395+K215+K45</f>
        <v>0</v>
      </c>
      <c r="L860" s="1">
        <f>+L95+L513+L556+L610+L671+L710+L766+L806+L395+L215+L45</f>
        <v>0</v>
      </c>
      <c r="M860" s="59">
        <f>SUM(J860:L860)</f>
        <v>0</v>
      </c>
      <c r="N860" s="1">
        <f>+N95+N513+N556+N610+N671+N710+N766+N806+N395+N215+N45</f>
        <v>0</v>
      </c>
      <c r="O860" s="1">
        <f>+O95+O513+O556+O610+O671+O710+O766+O806+O395+O215+O45</f>
        <v>0</v>
      </c>
      <c r="P860" s="1">
        <f>+P95+P513+P556+P610+P671+P710+P766+P806+P395+P215+P45</f>
        <v>0</v>
      </c>
      <c r="Q860" s="59">
        <f>SUM(N860:P860)</f>
        <v>0</v>
      </c>
      <c r="R860" s="59">
        <f>+E860+I860+M860+Q860</f>
        <v>0</v>
      </c>
    </row>
    <row r="861" spans="1:20" ht="16.5" customHeight="1" thickBot="1" x14ac:dyDescent="0.35">
      <c r="A861" s="62" t="s">
        <v>57</v>
      </c>
      <c r="B861" s="100">
        <f>SUM(B857:B860)</f>
        <v>5022</v>
      </c>
      <c r="C861" s="101">
        <f>SUM(C857:C860)</f>
        <v>5022</v>
      </c>
      <c r="D861" s="101">
        <f>SUM(D857:D860)</f>
        <v>18750</v>
      </c>
      <c r="E861" s="64">
        <f>SUM(B861:D861)</f>
        <v>28794</v>
      </c>
      <c r="F861" s="101">
        <f>SUM(F857:F860)</f>
        <v>42093</v>
      </c>
      <c r="G861" s="101">
        <f>SUM(G857:G860)</f>
        <v>44361</v>
      </c>
      <c r="H861" s="101">
        <f>SUM(H857:H860)</f>
        <v>39913</v>
      </c>
      <c r="I861" s="64">
        <f>SUM(F861:H861)</f>
        <v>126367</v>
      </c>
      <c r="J861" s="101">
        <f>SUM(J857:J860)</f>
        <v>36677</v>
      </c>
      <c r="K861" s="101">
        <f>SUM(K857:K860)</f>
        <v>29640</v>
      </c>
      <c r="L861" s="101">
        <f>SUM(L857:L860)</f>
        <v>12019</v>
      </c>
      <c r="M861" s="64">
        <f>SUM(J861:L861)</f>
        <v>78336</v>
      </c>
      <c r="N861" s="101">
        <f>SUM(N857:N860)</f>
        <v>589</v>
      </c>
      <c r="O861" s="101">
        <f>SUM(O857:O860)</f>
        <v>4170</v>
      </c>
      <c r="P861" s="101">
        <f>SUM(P857:P860)</f>
        <v>4593</v>
      </c>
      <c r="Q861" s="64">
        <f>SUM(N861:P861)</f>
        <v>9352</v>
      </c>
      <c r="R861" s="64">
        <f>+E861+I861+M861+Q861</f>
        <v>242849</v>
      </c>
    </row>
    <row r="862" spans="1:20" ht="15.75" customHeight="1" x14ac:dyDescent="0.3">
      <c r="A862" s="17" t="s">
        <v>58</v>
      </c>
      <c r="B862" s="1"/>
      <c r="C862" s="1"/>
      <c r="D862" s="1"/>
      <c r="E862" s="59" t="s">
        <v>7</v>
      </c>
      <c r="F862" s="1"/>
      <c r="G862" s="1"/>
      <c r="H862" s="1"/>
      <c r="I862" s="59" t="s">
        <v>7</v>
      </c>
      <c r="J862" s="1"/>
      <c r="K862" s="1"/>
      <c r="L862" s="1"/>
      <c r="M862" s="59" t="s">
        <v>7</v>
      </c>
      <c r="N862" s="1"/>
      <c r="O862" s="1"/>
      <c r="P862" s="1"/>
      <c r="Q862" s="59" t="s">
        <v>7</v>
      </c>
      <c r="R862" s="59" t="s">
        <v>7</v>
      </c>
    </row>
    <row r="863" spans="1:20" ht="15.75" customHeight="1" x14ac:dyDescent="0.3">
      <c r="A863" s="164" t="s">
        <v>59</v>
      </c>
      <c r="B863" s="1">
        <f>+B48+B98+B218+SUM(B398:B400)+B516+B559+B613+B674+SUM(B713:B714)+B769+SUM(B809:B811)</f>
        <v>3619</v>
      </c>
      <c r="C863" s="1">
        <f>+C48+C98+C218+SUM(C398:C400)+C516+C559+C613+C674+SUM(C713:C714)+C769+SUM(C809:C811)</f>
        <v>4002</v>
      </c>
      <c r="D863" s="1">
        <f>+D48+D98+D218+SUM(D398:D400)+D516+D559+D613+D674+SUM(D713:D714)+D769+SUM(D809:D811)</f>
        <v>9487</v>
      </c>
      <c r="E863" s="59">
        <f>SUM(B863:D863)</f>
        <v>17108</v>
      </c>
      <c r="F863" s="1">
        <f>+F48+F98+F218+SUM(F398:F400)+F516+F559+F613+F674+SUM(F713:F714)+F769+SUM(F809:F811)</f>
        <v>12834</v>
      </c>
      <c r="G863" s="1">
        <f>+G48+G98+G218+SUM(G398:G400)+G516+G559+G613+G674+SUM(G713:G714)+G769+SUM(G809:G811)</f>
        <v>18057</v>
      </c>
      <c r="H863" s="1">
        <f>+H48+H98+H218+SUM(H398:H400)+H516+H559+H613+H674+SUM(H713:H714)+H769+SUM(H809:H811)</f>
        <v>20511</v>
      </c>
      <c r="I863" s="59">
        <f>SUM(F863:H863)</f>
        <v>51402</v>
      </c>
      <c r="J863" s="1">
        <f>+J48+J98+J218+SUM(J398:J400)+J516+J559+J613+J674+SUM(J713:J714)+J769+SUM(J809:J811)</f>
        <v>24886</v>
      </c>
      <c r="K863" s="1">
        <f>+K48+K98+K218+SUM(K398:K400)+K516+K559+K613+K674+SUM(K713:K714)+K769+SUM(K809:K811)</f>
        <v>20298</v>
      </c>
      <c r="L863" s="1">
        <f>+L48+L98+L218+SUM(L398:L400)+L516+L559+L613+L674+SUM(L713:L714)+L769+SUM(L809:L811)</f>
        <v>15590</v>
      </c>
      <c r="M863" s="59">
        <f>SUM(J863:L863)</f>
        <v>60774</v>
      </c>
      <c r="N863" s="1">
        <f>+N48+N98+N218+SUM(N398:N400)+N516+N559+N613+N674+SUM(N713:N714)+N769+SUM(N809:N811)</f>
        <v>2505</v>
      </c>
      <c r="O863" s="1">
        <f>+O48+O98+O218+SUM(O398:O400)+O516+O559+O613+O674+SUM(O713:O714)+O769+SUM(O809:O811)</f>
        <v>6480</v>
      </c>
      <c r="P863" s="1">
        <f>+P48+P98+P218+SUM(P398:P400)+P516+P559+P613+P674+SUM(P713:P714)+P769+SUM(P809:P811)</f>
        <v>4907</v>
      </c>
      <c r="Q863" s="59">
        <f>SUM(N863:P863)</f>
        <v>13892</v>
      </c>
      <c r="R863" s="59">
        <f>+E863+I863+M863+Q863</f>
        <v>143176</v>
      </c>
    </row>
    <row r="864" spans="1:20" ht="15.75" customHeight="1" thickBot="1" x14ac:dyDescent="0.35">
      <c r="A864" s="164" t="s">
        <v>60</v>
      </c>
      <c r="B864" s="1">
        <f>+B49+SUM(B99:B106)+SUM(B219:B283)+SUM(B401:B450)+SUM(B517:B519)+SUM(B560:B561)+SUM(B614:B619)+B675+SUM(B715:B723)+B770+SUM(B812:B816)</f>
        <v>9707</v>
      </c>
      <c r="C864" s="1">
        <f>+C49+SUM(C99:C106)+SUM(C219:C283)+SUM(C401:C450)+SUM(C517:C519)+SUM(C560:C561)+SUM(C614:C619)+C675+SUM(C715:C723)+C770+SUM(C812:C816)</f>
        <v>19637</v>
      </c>
      <c r="D864" s="1">
        <f>+D49+SUM(D99:D106)+SUM(D219:D283)+SUM(D401:D450)+SUM(D517:D519)+SUM(D560:D561)+SUM(D614:D619)+D675+SUM(D715:D723)+D770+SUM(D812:D816)</f>
        <v>34501</v>
      </c>
      <c r="E864" s="59">
        <f>SUM(B864:D864)</f>
        <v>63845</v>
      </c>
      <c r="F864" s="1">
        <f>+F49+SUM(F99:F106)+SUM(F219:F283)+SUM(F401:F450)+SUM(F517:F519)+SUM(F560:F561)+SUM(F614:F619)+F675+SUM(F715:F723)+F770+SUM(F812:F816)</f>
        <v>59011</v>
      </c>
      <c r="G864" s="1">
        <f>+G49+SUM(G99:G106)+SUM(G219:G283)+SUM(G401:G450)+SUM(G517:G519)+SUM(G560:G561)+SUM(G614:G619)+G675+SUM(G715:G723)+G770+SUM(G812:G816)</f>
        <v>46917</v>
      </c>
      <c r="H864" s="1">
        <f>+H49+SUM(H99:H106)+SUM(H219:H283)+SUM(H401:H450)+SUM(H517:H519)+SUM(H560:H561)+SUM(H614:H619)+H675+SUM(H715:H723)+H770+SUM(H812:H816)</f>
        <v>58268</v>
      </c>
      <c r="I864" s="59">
        <f>SUM(F864:H864)</f>
        <v>164196</v>
      </c>
      <c r="J864" s="1">
        <f>+J49+SUM(J99:J106)+SUM(J219:J283)+SUM(J401:J450)+SUM(J517:J519)+SUM(J560:J561)+SUM(J614:J619)+J675+SUM(J715:J723)+J770+SUM(J812:J816)</f>
        <v>65931</v>
      </c>
      <c r="K864" s="1">
        <f>+K49+SUM(K99:K106)+SUM(K219:K283)+SUM(K401:K450)+SUM(K517:K519)+SUM(K560:K561)+SUM(K614:K619)+K675+SUM(K715:K723)+K770+SUM(K812:K816)</f>
        <v>38785</v>
      </c>
      <c r="L864" s="1">
        <f>+L49+SUM(L99:L106)+SUM(L219:L283)+SUM(L401:L450)+SUM(L517:L519)+SUM(L560:L561)+SUM(L614:L619)+L675+SUM(L715:L723)+L770+SUM(L812:L816)</f>
        <v>31242</v>
      </c>
      <c r="M864" s="59">
        <f>SUM(J864:L864)</f>
        <v>135958</v>
      </c>
      <c r="N864" s="1">
        <f>+N49+SUM(N99:N106)+SUM(N219:N283)+SUM(N401:N450)+SUM(N517:N519)+SUM(N560:N561)+SUM(N614:N619)+N675+SUM(N715:N723)+N770+SUM(N812:N816)</f>
        <v>18879</v>
      </c>
      <c r="O864" s="1">
        <f>+O49+SUM(O99:O106)+SUM(O219:O283)+SUM(O401:O450)+SUM(O517:O519)+SUM(O560:O561)+SUM(O614:O619)+O675+SUM(O715:O723)+O770+SUM(O812:O816)</f>
        <v>24965</v>
      </c>
      <c r="P864" s="1">
        <f>+P49+SUM(P99:P106)+SUM(P219:P283)+SUM(P401:P450)+SUM(P517:P519)+SUM(P560:P561)+SUM(P614:P619)+P675+SUM(P715:P723)+P770+SUM(P812:P816)</f>
        <v>12137</v>
      </c>
      <c r="Q864" s="59">
        <f>SUM(N864:P864)</f>
        <v>55981</v>
      </c>
      <c r="R864" s="59">
        <f>+E864+I864+M864+Q864</f>
        <v>419980</v>
      </c>
    </row>
    <row r="865" spans="1:20" ht="16.5" customHeight="1" thickBot="1" x14ac:dyDescent="0.35">
      <c r="A865" s="62" t="s">
        <v>61</v>
      </c>
      <c r="B865" s="100">
        <f>SUM(B862:B864)</f>
        <v>13326</v>
      </c>
      <c r="C865" s="101">
        <f>SUM(C862:C864)</f>
        <v>23639</v>
      </c>
      <c r="D865" s="138">
        <f>SUM(D862:D864)</f>
        <v>43988</v>
      </c>
      <c r="E865" s="64">
        <f>SUM(B865:D865)</f>
        <v>80953</v>
      </c>
      <c r="F865" s="101">
        <f>SUM(F862:F864)</f>
        <v>71845</v>
      </c>
      <c r="G865" s="101">
        <f>SUM(G862:G864)</f>
        <v>64974</v>
      </c>
      <c r="H865" s="101">
        <f>SUM(H862:H864)</f>
        <v>78779</v>
      </c>
      <c r="I865" s="64">
        <f>SUM(F865:H865)</f>
        <v>215598</v>
      </c>
      <c r="J865" s="101">
        <f>SUM(J862:J864)</f>
        <v>90817</v>
      </c>
      <c r="K865" s="101">
        <f>SUM(K862:K864)</f>
        <v>59083</v>
      </c>
      <c r="L865" s="101">
        <f>SUM(L862:L864)</f>
        <v>46832</v>
      </c>
      <c r="M865" s="64">
        <f>SUM(J865:L865)</f>
        <v>196732</v>
      </c>
      <c r="N865" s="101">
        <f>SUM(N862:N864)</f>
        <v>21384</v>
      </c>
      <c r="O865" s="101">
        <f>SUM(O862:O864)</f>
        <v>31445</v>
      </c>
      <c r="P865" s="101">
        <f>SUM(P862:P864)</f>
        <v>17044</v>
      </c>
      <c r="Q865" s="64">
        <f>SUM(N865:P865)</f>
        <v>69873</v>
      </c>
      <c r="R865" s="64">
        <f>+E865+I865+M865+Q865</f>
        <v>563156</v>
      </c>
      <c r="T865" s="4">
        <v>1600000</v>
      </c>
    </row>
    <row r="866" spans="1:20" ht="20.25" customHeight="1" x14ac:dyDescent="0.3">
      <c r="A866" s="17" t="s">
        <v>623</v>
      </c>
      <c r="B866" s="1"/>
      <c r="C866" s="1"/>
      <c r="D866" s="1"/>
      <c r="E866" s="59" t="s">
        <v>7</v>
      </c>
      <c r="F866" s="1"/>
      <c r="G866" s="1"/>
      <c r="H866" s="1"/>
      <c r="I866" s="59" t="s">
        <v>7</v>
      </c>
      <c r="J866" s="1"/>
      <c r="K866" s="1"/>
      <c r="L866" s="1"/>
      <c r="M866" s="59" t="s">
        <v>7</v>
      </c>
      <c r="N866" s="1"/>
      <c r="O866" s="1"/>
      <c r="P866" s="1"/>
      <c r="Q866" s="59" t="s">
        <v>7</v>
      </c>
      <c r="R866" s="59" t="s">
        <v>7</v>
      </c>
      <c r="T866" s="4">
        <f>+T865-28000-R850-R851-400000-R863-R864+12000</f>
        <v>39621</v>
      </c>
    </row>
    <row r="867" spans="1:20" ht="15.75" customHeight="1" x14ac:dyDescent="0.3">
      <c r="A867" s="17" t="s">
        <v>624</v>
      </c>
      <c r="B867" s="1">
        <f>SUM(B52:B52)+SUM(B109:B117)+SUM(B286:B289)+SUM(B453:B454)+SUM(B522:B522)+B564+SUM(B622:B624)+B678+B726+B773+SUM(B819:B821)</f>
        <v>0</v>
      </c>
      <c r="C867" s="1">
        <f>SUM(C52:C52)+SUM(C109:C117)+SUM(C286:C289)+SUM(C453:C454)+SUM(C522:C522)+C564+SUM(C622:C624)+C678+C726+C773+SUM(C819:C821)</f>
        <v>0</v>
      </c>
      <c r="D867" s="1">
        <f>SUM(D52:D52)+SUM(D109:D117)+SUM(D286:D289)+SUM(D453:D454)+SUM(D522:D522)+D564+SUM(D622:D624)+D678+D726+D773+SUM(D819:D821)</f>
        <v>0</v>
      </c>
      <c r="E867" s="59">
        <f t="shared" ref="E867:E875" si="278">SUM(B867:D867)</f>
        <v>0</v>
      </c>
      <c r="F867" s="1">
        <f>SUM(F52:F52)+SUM(F109:F117)+SUM(F286:F289)+SUM(F453:F454)+SUM(F522:F522)+F564+SUM(F622:F624)+F678+F726+F773+SUM(F819:F821)</f>
        <v>0</v>
      </c>
      <c r="G867" s="1">
        <f>SUM(G52:G52)+SUM(G109:G117)+SUM(G286:G289)+SUM(G453:G454)+SUM(G522:G522)+G564+SUM(G622:G624)+G678+G726+G773+SUM(G819:G821)</f>
        <v>0</v>
      </c>
      <c r="H867" s="1">
        <f>SUM(H52:H52)+SUM(H109:H117)+SUM(H286:H289)+SUM(H453:H454)+SUM(H522:H522)+H564+SUM(H622:H624)+H678+H726+H773+SUM(H819:H821)</f>
        <v>0</v>
      </c>
      <c r="I867" s="59">
        <f t="shared" ref="I867:I875" si="279">SUM(F867:H867)</f>
        <v>0</v>
      </c>
      <c r="J867" s="1">
        <f>SUM(J52:J52)+SUM(J109:J117)+SUM(J286:J289)+SUM(J453:J454)+SUM(J522:J522)+J564+SUM(J622:J624)+J678+J726+J773+SUM(J819:J821)</f>
        <v>0</v>
      </c>
      <c r="K867" s="1">
        <f>SUM(K52:K52)+SUM(K109:K117)+SUM(K286:K289)+SUM(K453:K454)+SUM(K522:K522)+K564+SUM(K622:K624)+K678+K726+K773+SUM(K819:K821)</f>
        <v>0</v>
      </c>
      <c r="L867" s="1">
        <f>SUM(L52:L52)+SUM(L109:L117)+SUM(L286:L289)+SUM(L453:L454)+SUM(L522:L522)+L564+SUM(L622:L624)+L678+L726+L773+SUM(L819:L821)</f>
        <v>0</v>
      </c>
      <c r="M867" s="59">
        <f t="shared" ref="M867:M875" si="280">SUM(J867:L867)</f>
        <v>0</v>
      </c>
      <c r="N867" s="1">
        <f>SUM(N52:N52)+SUM(N109:N117)+SUM(N286:N289)+SUM(N453:N454)+SUM(N522:N522)+N564+SUM(N622:N624)+N678+N726+N773+SUM(N819:N821)</f>
        <v>0</v>
      </c>
      <c r="O867" s="1">
        <f>SUM(O52:O52)+SUM(O109:O117)+SUM(O286:O289)+SUM(O453:O454)+SUM(O522:O522)+O564+SUM(O622:O624)+O678+O726+O773+SUM(O819:O821)</f>
        <v>0</v>
      </c>
      <c r="P867" s="1">
        <f>SUM(P52:P52)+SUM(P109:P117)+SUM(P286:P289)+SUM(P453:P454)+SUM(P522:P522)+P564+SUM(P622:P624)+P678+P726+P773+SUM(P819:P821)</f>
        <v>0</v>
      </c>
      <c r="Q867" s="59">
        <f t="shared" ref="Q867:Q875" si="281">SUM(N867:P867)</f>
        <v>0</v>
      </c>
      <c r="R867" s="59">
        <f>+E867+I867+M867+Q867</f>
        <v>0</v>
      </c>
    </row>
    <row r="868" spans="1:20" ht="15.75" customHeight="1" x14ac:dyDescent="0.3">
      <c r="A868" s="17" t="s">
        <v>64</v>
      </c>
      <c r="B868" s="1">
        <f>SUM(B53:B54)+SUM(B118:B119)+SUM(B290:B291)+B293+B295+B297+B298+SUM(B455:B457)+B523+B565+SUM(B625:B626)+B628+SUM(B679:B680)+B728+B730+B774+SUM(B822:B823)</f>
        <v>1335</v>
      </c>
      <c r="C868" s="1">
        <f>SUM(C53:C54)+SUM(C118:C119)+SUM(C290:C291)+C293+C295+C297+C298+SUM(C455:C457)+C523+C565+SUM(C625:C626)+C628+SUM(C679:C680)+C728+C730+C774+SUM(C822:C823)</f>
        <v>4067</v>
      </c>
      <c r="D868" s="1">
        <f>SUM(D53:D54)+SUM(D118:D119)+SUM(D290:D291)+D293+D295+D297+D298+SUM(D455:D457)+D523+D565+SUM(D625:D626)+D628+SUM(D679:D680)+D728+D730+D774+SUM(D822:D823)</f>
        <v>3052</v>
      </c>
      <c r="E868" s="59">
        <f t="shared" si="278"/>
        <v>8454</v>
      </c>
      <c r="F868" s="1">
        <f>SUM(F53:F54)+SUM(F118:F119)+SUM(F290:F291)+F293+F295+F297+F298+SUM(F455:F457)+F523+F565+SUM(F625:F626)+F628+SUM(F679:F680)+F728+F730+F774+SUM(F822:F823)</f>
        <v>2616</v>
      </c>
      <c r="G868" s="1">
        <f>SUM(G53:G54)+SUM(G118:G119)+SUM(G290:G291)+G293+G295+G297+G298+SUM(G455:G457)+G523+G565+SUM(G625:G626)+G628+SUM(G679:G680)+G728+G730+G774+SUM(G822:G823)</f>
        <v>1717</v>
      </c>
      <c r="H868" s="1">
        <f>SUM(H53:H54)+SUM(H118:H119)+SUM(H290:H291)+H293+H295+H297+H298+SUM(H455:H457)+H523+H565+SUM(H625:H626)+H628+SUM(H679:H680)+H728+H730+H774+SUM(H822:H823)</f>
        <v>0</v>
      </c>
      <c r="I868" s="59">
        <f t="shared" si="279"/>
        <v>4333</v>
      </c>
      <c r="J868" s="1">
        <f>SUM(J53:J54)+SUM(J118:J119)+SUM(J290:J291)+J293+J295+J297+J298+SUM(J455:J457)+J523+J565+SUM(J625:J626)+J628+SUM(J679:J680)+J728+J730+J774+SUM(J822:J823)</f>
        <v>0</v>
      </c>
      <c r="K868" s="1">
        <f>SUM(K53:K54)+SUM(K118:K119)+SUM(K290:K291)+K293+K295+K297+K298+SUM(K455:K457)+K523+K565+SUM(K625:K626)+K628+SUM(K679:K680)+K728+K730+K774+SUM(K822:K823)</f>
        <v>0</v>
      </c>
      <c r="L868" s="1">
        <f>SUM(L53:L54)+SUM(L118:L119)+SUM(L290:L291)+L293+L295+L297+L298+SUM(L455:L457)+L523+L565+SUM(L625:L626)+L628+SUM(L679:L680)+L728+L730+L774+SUM(L822:L823)</f>
        <v>2691</v>
      </c>
      <c r="M868" s="59">
        <f t="shared" si="280"/>
        <v>2691</v>
      </c>
      <c r="N868" s="1">
        <f>SUM(N53:N54)+SUM(N118:N119)+SUM(N290:N291)+N293+N295+N297+N298+SUM(N455:N457)+N523+N565+SUM(N625:N626)+N628+SUM(N679:N680)+N728+N730+N774+SUM(N822:N823)</f>
        <v>8915</v>
      </c>
      <c r="O868" s="1">
        <f>SUM(O53:O54)+SUM(O118:O119)+SUM(O290:O291)+O293+O295+O297+O298+SUM(O455:O457)+O523+O565+SUM(O625:O626)+O628+SUM(O679:O680)+O728+O730+O774+SUM(O822:O823)</f>
        <v>0</v>
      </c>
      <c r="P868" s="1">
        <f>SUM(P53:P54)+SUM(P118:P119)+SUM(P290:P291)+P293+P295+P297+P298+SUM(P455:P457)+P523+P565+SUM(P625:P626)+P628+SUM(P679:P680)+P728+P730+P774+SUM(P822:P823)</f>
        <v>267</v>
      </c>
      <c r="Q868" s="59">
        <f t="shared" si="281"/>
        <v>9182</v>
      </c>
      <c r="R868" s="59">
        <f t="shared" ref="R868:R875" si="282">+E868+I868+M868+Q868</f>
        <v>24660</v>
      </c>
    </row>
    <row r="869" spans="1:20" ht="17.399999999999999" x14ac:dyDescent="0.3">
      <c r="A869" s="74" t="s">
        <v>625</v>
      </c>
      <c r="B869" s="1">
        <f>B120+B292+B294+B296+B627+B629+B729+B731+B824</f>
        <v>0</v>
      </c>
      <c r="C869" s="1">
        <f>C120+C292+C294+C296+C627+C629+C729+C731+C824</f>
        <v>0</v>
      </c>
      <c r="D869" s="1">
        <f>D120+D292+D294+D296+D627+D629+D729+D731+D824</f>
        <v>0</v>
      </c>
      <c r="E869" s="59">
        <f t="shared" si="278"/>
        <v>0</v>
      </c>
      <c r="F869" s="1">
        <f>F120+F292+F294+F296+F627+F629+F729+F731+F824</f>
        <v>0</v>
      </c>
      <c r="G869" s="1">
        <f>G120+G292+G294+G296+G627+G629+G729+G731+G824</f>
        <v>0</v>
      </c>
      <c r="H869" s="1">
        <f>H120+H292+H294+H296+H627+H629+H729+H731+H824</f>
        <v>0</v>
      </c>
      <c r="I869" s="59">
        <f t="shared" si="279"/>
        <v>0</v>
      </c>
      <c r="J869" s="1">
        <f>J120+J292+J294+J296+J627+J629+J729+J731+J824</f>
        <v>1271</v>
      </c>
      <c r="K869" s="1">
        <f>K120+K292+K294+K296+K627+K629+K729+K731+K824</f>
        <v>0</v>
      </c>
      <c r="L869" s="1">
        <f>L120+L292+L294+L296+L627+L629+L729+L731+L824</f>
        <v>652</v>
      </c>
      <c r="M869" s="59">
        <f t="shared" si="280"/>
        <v>1923</v>
      </c>
      <c r="N869" s="1">
        <f>N120+N292+N294+N296+N627+N629+N729+N731+N824</f>
        <v>924</v>
      </c>
      <c r="O869" s="1">
        <f>O120+O292+O294+O296+O627+O629+O729+O731+O824</f>
        <v>494</v>
      </c>
      <c r="P869" s="1">
        <f>P120+P292+P294+P296+P627+P629+P729+P731+P824</f>
        <v>300</v>
      </c>
      <c r="Q869" s="59">
        <f t="shared" si="281"/>
        <v>1718</v>
      </c>
      <c r="R869" s="59">
        <f t="shared" si="282"/>
        <v>3641</v>
      </c>
    </row>
    <row r="870" spans="1:20" ht="15.75" customHeight="1" x14ac:dyDescent="0.3">
      <c r="A870" s="17" t="s">
        <v>626</v>
      </c>
      <c r="B870" s="1">
        <f>+B55+SUM(B121:B122)+SUM(B299:B300)+SUM(B458:B464)+SUM(B524:B524)+SUM(B566:B567)+SUM(B630:B632)+B681+B732+B825+B825+B775</f>
        <v>0</v>
      </c>
      <c r="C870" s="1">
        <f>+C55+SUM(C121:C122)+SUM(C299:C300)+SUM(C458:C464)+SUM(C524:C524)+SUM(C566:C567)+SUM(C630:C632)+C681+C732+C825+C825+C775</f>
        <v>0</v>
      </c>
      <c r="D870" s="1">
        <f>+D55+SUM(D121:D122)+SUM(D299:D300)+SUM(D458:D464)+SUM(D524:D524)+SUM(D566:D567)+SUM(D630:D632)+D681+D732+D825+D825+D775</f>
        <v>0</v>
      </c>
      <c r="E870" s="59">
        <f t="shared" si="278"/>
        <v>0</v>
      </c>
      <c r="F870" s="1">
        <f>+F55+SUM(F121:F122)+SUM(F299:F300)+SUM(F458:F464)+SUM(F524:F524)+SUM(F566:F567)+SUM(F630:F632)+F681+F732+F825+F825+F775</f>
        <v>0</v>
      </c>
      <c r="G870" s="1">
        <f>+G55+SUM(G121:G122)+SUM(G299:G300)+SUM(G458:G464)+SUM(G524:G524)+SUM(G566:G567)+SUM(G630:G632)+G681+G732+G825+G825+G775</f>
        <v>2500</v>
      </c>
      <c r="H870" s="1">
        <f>+H55+SUM(H121:H122)+SUM(H299:H300)+SUM(H458:H464)+SUM(H524:H524)+SUM(H566:H567)+SUM(H630:H632)+H681+H732+H825+H825+H775</f>
        <v>500</v>
      </c>
      <c r="I870" s="59">
        <f t="shared" si="279"/>
        <v>3000</v>
      </c>
      <c r="J870" s="1">
        <f>+J55+SUM(J121:J122)+SUM(J299:J300)+SUM(J458:J464)+SUM(J524:J524)+SUM(J566:J567)+SUM(J630:J632)+J681+J732+J825+J825+J775</f>
        <v>0</v>
      </c>
      <c r="K870" s="1">
        <f>+K55+SUM(K121:K122)+SUM(K299:K300)+SUM(K458:K464)+SUM(K524:K524)+SUM(K566:K567)+SUM(K630:K632)+K681+K732+K825+K825+K775</f>
        <v>1000</v>
      </c>
      <c r="L870" s="1">
        <f>+L55+SUM(L121:L122)+SUM(L299:L300)+SUM(L458:L464)+SUM(L524:L524)+SUM(L566:L567)+SUM(L630:L632)+L681+L732+L825+L825+L775</f>
        <v>0</v>
      </c>
      <c r="M870" s="59">
        <f t="shared" si="280"/>
        <v>1000</v>
      </c>
      <c r="N870" s="1">
        <f>+N55+SUM(N121:N122)+SUM(N299:N300)+SUM(N458:N464)+SUM(N524:N524)+SUM(N566:N567)+SUM(N630:N632)+N681+N732+N825+N825+N775</f>
        <v>227</v>
      </c>
      <c r="O870" s="1">
        <f>+O55+SUM(O121:O122)+SUM(O299:O300)+SUM(O458:O464)+SUM(O524:O524)+SUM(O566:O567)+SUM(O630:O632)+O681+O732+O825+O825+O775</f>
        <v>685</v>
      </c>
      <c r="P870" s="1">
        <f>+P55+SUM(P121:P122)+SUM(P299:P300)+SUM(P458:P464)+SUM(P524:P524)+SUM(P566:P567)+SUM(P630:P632)+P681+P732+P825+P825+P775</f>
        <v>88</v>
      </c>
      <c r="Q870" s="59">
        <f t="shared" si="281"/>
        <v>1000</v>
      </c>
      <c r="R870" s="59">
        <f>+E870+I870+M870+Q870</f>
        <v>5000</v>
      </c>
    </row>
    <row r="871" spans="1:20" ht="22.5" customHeight="1" x14ac:dyDescent="0.3">
      <c r="A871" s="17" t="s">
        <v>67</v>
      </c>
      <c r="B871" s="1">
        <f>SUM(B125:B125)+SUM(B301:B302)+B466+B469+B470+B472+B475+SUM(B525:B526)+B569+B572+B633+B634+B636+B682+B733+B776+B826</f>
        <v>0</v>
      </c>
      <c r="C871" s="1">
        <f>SUM(C125:C125)+SUM(C301:C302)+C466+C469+C470+C472+C475+SUM(C525:C526)+C569+C572+C633+C634+C636+C682+C733+C776+C826</f>
        <v>0</v>
      </c>
      <c r="D871" s="1">
        <f>SUM(D125:D125)+SUM(D301:D302)+D466+D469+D470+D472+D475+SUM(D525:D526)+D569+D572+D633+D634+D636+D682+D733+D776+D826</f>
        <v>510</v>
      </c>
      <c r="E871" s="59">
        <f t="shared" si="278"/>
        <v>510</v>
      </c>
      <c r="F871" s="1">
        <f>SUM(F125:F125)+SUM(F301:F302)+F466+F469+F470+F472+F475+SUM(F525:F526)+F569+F572+F633+F634+F636+F682+F733+F776+F826</f>
        <v>610</v>
      </c>
      <c r="G871" s="1">
        <f>SUM(G125:G125)+SUM(G301:G302)+G466+G469+G470+G472+G475+SUM(G525:G526)+G569+G572+G633+G634+G636+G682+G733+G776+G826</f>
        <v>1246</v>
      </c>
      <c r="H871" s="1">
        <f>SUM(H125:H125)+SUM(H301:H302)+H466+H469+H470+H472+H475+SUM(H525:H526)+H569+H572+H633+H634+H636+H682+H733+H776+H826</f>
        <v>3034</v>
      </c>
      <c r="I871" s="59">
        <f t="shared" si="279"/>
        <v>4890</v>
      </c>
      <c r="J871" s="1">
        <f>SUM(J125:J125)+SUM(J301:J302)+J466+J469+J470+J472+J475+SUM(J525:J526)+J569+J572+J633+J634+J636+J682+J733+J776+J826</f>
        <v>1000</v>
      </c>
      <c r="K871" s="1">
        <f>SUM(K125:K125)+SUM(K301:K302)+K466+K469+K470+K472+K475+SUM(K525:K526)+K569+K572+K633+K634+K636+K682+K733+K776+K826</f>
        <v>302</v>
      </c>
      <c r="L871" s="1">
        <f>SUM(L125:L125)+SUM(L301:L302)+L466+L469+L470+L472+L475+SUM(L525:L526)+L569+L572+L633+L634+L636+L682+L733+L776+L826</f>
        <v>2761</v>
      </c>
      <c r="M871" s="59">
        <f t="shared" si="280"/>
        <v>4063</v>
      </c>
      <c r="N871" s="1">
        <f>SUM(N125:N125)+SUM(N301:N302)+N466+N469+N470+N472+N475+SUM(N525:N526)+N569+N572+N633+N634+N636+N682+N733+N776+N826</f>
        <v>1624</v>
      </c>
      <c r="O871" s="1">
        <f>SUM(O125:O125)+SUM(O301:O302)+O466+O469+O470+O472+O475+SUM(O525:O526)+O569+O572+O633+O634+O636+O682+O733+O776+O826</f>
        <v>1657</v>
      </c>
      <c r="P871" s="1">
        <f>SUM(P125:P125)+SUM(P301:P302)+P466+P469+P470+P472+P475+SUM(P525:P526)+P569+P572+P633+P634+P636+P682+P733+P776+P826</f>
        <v>596</v>
      </c>
      <c r="Q871" s="59">
        <f t="shared" si="281"/>
        <v>3877</v>
      </c>
      <c r="R871" s="59">
        <f>+E871+I871+M871+Q871</f>
        <v>13340</v>
      </c>
    </row>
    <row r="872" spans="1:20" ht="18" thickBot="1" x14ac:dyDescent="0.35">
      <c r="A872" s="74" t="s">
        <v>627</v>
      </c>
      <c r="B872" s="1">
        <f>+B467+B471+B473+B527+B124+B468+B474+B570+B571+B635</f>
        <v>0</v>
      </c>
      <c r="C872" s="1">
        <f>+C467+C471+C473+C527+C124+C468+C474+C570+C571+C635</f>
        <v>0</v>
      </c>
      <c r="D872" s="1">
        <f>+D467+D471+D473+D527+D124+D468+D474+D570+D571+D635</f>
        <v>0</v>
      </c>
      <c r="E872" s="59">
        <f>SUM(B872:D872)</f>
        <v>0</v>
      </c>
      <c r="F872" s="1">
        <f>+F467+F471+F473+F527+F124+F468+F474+F570+F571+F635</f>
        <v>0</v>
      </c>
      <c r="G872" s="1">
        <f>+G467+G471+G473+G527+G124+G468+G474+G570+G571+G635</f>
        <v>0</v>
      </c>
      <c r="H872" s="1">
        <f>+H467+H471+H473+H527+H124+H468+H474+H570+H571+H635</f>
        <v>0</v>
      </c>
      <c r="I872" s="59">
        <f>SUM(F872:H872)</f>
        <v>0</v>
      </c>
      <c r="J872" s="1">
        <f>+J467+J471+J473+J527+J124+J468+J474+J570+J571+J635</f>
        <v>0</v>
      </c>
      <c r="K872" s="1">
        <f>+K467+K471+K473+K527+K124+K468+K474+K570+K571+K635</f>
        <v>2319</v>
      </c>
      <c r="L872" s="1">
        <f>+L467+L471+L473+L527+L124+L468+L474+L570+L571+L635</f>
        <v>6331</v>
      </c>
      <c r="M872" s="59">
        <f>SUM(J872:L872)</f>
        <v>8650</v>
      </c>
      <c r="N872" s="1">
        <f>+N467+N471+N473+N527+N124+N468+N474+N570+N571+N635</f>
        <v>25</v>
      </c>
      <c r="O872" s="1">
        <f>+O467+O471+O473+O527+O124+O468+O474+O570+O571+O635</f>
        <v>1180</v>
      </c>
      <c r="P872" s="1">
        <f>+P467+P471+P473+P527+P124+P468+P474+P570+P571+P635</f>
        <v>4</v>
      </c>
      <c r="Q872" s="59">
        <f>SUM(N872:P872)</f>
        <v>1209</v>
      </c>
      <c r="R872" s="59">
        <f>+E872+I872+M872+Q872</f>
        <v>9859</v>
      </c>
    </row>
    <row r="873" spans="1:20" ht="16.5" customHeight="1" thickBot="1" x14ac:dyDescent="0.35">
      <c r="A873" s="62" t="s">
        <v>68</v>
      </c>
      <c r="B873" s="344">
        <f>SUM(B870:B872)</f>
        <v>0</v>
      </c>
      <c r="C873" s="344">
        <f>SUM(C870:C872)</f>
        <v>0</v>
      </c>
      <c r="D873" s="344">
        <f>SUM(D870:D872)</f>
        <v>510</v>
      </c>
      <c r="E873" s="334">
        <f t="shared" si="278"/>
        <v>510</v>
      </c>
      <c r="F873" s="344">
        <f>SUM(F870:F872)</f>
        <v>610</v>
      </c>
      <c r="G873" s="344">
        <f>SUM(G870:G872)</f>
        <v>3746</v>
      </c>
      <c r="H873" s="344">
        <f>SUM(H870:H872)</f>
        <v>3534</v>
      </c>
      <c r="I873" s="334">
        <f t="shared" si="279"/>
        <v>7890</v>
      </c>
      <c r="J873" s="344">
        <f>SUM(J870:J872)</f>
        <v>1000</v>
      </c>
      <c r="K873" s="344">
        <f>SUM(K870:K872)</f>
        <v>3621</v>
      </c>
      <c r="L873" s="344">
        <f>SUM(L870:L872)</f>
        <v>9092</v>
      </c>
      <c r="M873" s="334">
        <f t="shared" si="280"/>
        <v>13713</v>
      </c>
      <c r="N873" s="344">
        <f>SUM(N870:N872)</f>
        <v>1876</v>
      </c>
      <c r="O873" s="344">
        <f>SUM(O870:O872)</f>
        <v>3522</v>
      </c>
      <c r="P873" s="344">
        <f>SUM(P870:P872)</f>
        <v>688</v>
      </c>
      <c r="Q873" s="334">
        <f t="shared" si="281"/>
        <v>6086</v>
      </c>
      <c r="R873" s="64">
        <f t="shared" si="282"/>
        <v>28199</v>
      </c>
    </row>
    <row r="874" spans="1:20" ht="16.5" customHeight="1" thickBot="1" x14ac:dyDescent="0.35">
      <c r="A874" s="137" t="s">
        <v>69</v>
      </c>
      <c r="B874" s="100">
        <f>SUM(B866:B872)</f>
        <v>1335</v>
      </c>
      <c r="C874" s="101">
        <f>SUM(C866:C872)</f>
        <v>4067</v>
      </c>
      <c r="D874" s="138">
        <f>SUM(D866:D872)</f>
        <v>3562</v>
      </c>
      <c r="E874" s="347">
        <f t="shared" si="278"/>
        <v>8964</v>
      </c>
      <c r="F874" s="100">
        <f>SUM(F866:F872)</f>
        <v>3226</v>
      </c>
      <c r="G874" s="101">
        <f>SUM(G866:G872)</f>
        <v>5463</v>
      </c>
      <c r="H874" s="138">
        <f>SUM(H866:H872)</f>
        <v>3534</v>
      </c>
      <c r="I874" s="334">
        <f t="shared" si="279"/>
        <v>12223</v>
      </c>
      <c r="J874" s="100">
        <f>SUM(J866:J872)</f>
        <v>2271</v>
      </c>
      <c r="K874" s="101">
        <f>SUM(K866:K872)</f>
        <v>3621</v>
      </c>
      <c r="L874" s="138">
        <f>SUM(L866:L872)</f>
        <v>12435</v>
      </c>
      <c r="M874" s="334">
        <f t="shared" si="280"/>
        <v>18327</v>
      </c>
      <c r="N874" s="100">
        <f>SUM(N866:N872)</f>
        <v>11715</v>
      </c>
      <c r="O874" s="101">
        <f>SUM(O866:O872)</f>
        <v>4016</v>
      </c>
      <c r="P874" s="138">
        <f>SUM(P866:P872)</f>
        <v>1255</v>
      </c>
      <c r="Q874" s="334">
        <f t="shared" si="281"/>
        <v>16986</v>
      </c>
      <c r="R874" s="64">
        <f t="shared" si="282"/>
        <v>56500</v>
      </c>
    </row>
    <row r="875" spans="1:20" ht="16.5" customHeight="1" thickBot="1" x14ac:dyDescent="0.35">
      <c r="A875" s="62" t="s">
        <v>70</v>
      </c>
      <c r="B875" s="149">
        <f>+B856+B861+B865+B874</f>
        <v>51650</v>
      </c>
      <c r="C875" s="150">
        <f>+C856+C861+C865+C874</f>
        <v>68105</v>
      </c>
      <c r="D875" s="150">
        <f>+D856+D861+D865+D874</f>
        <v>106974</v>
      </c>
      <c r="E875" s="64">
        <f t="shared" si="278"/>
        <v>226729</v>
      </c>
      <c r="F875" s="63">
        <f>+F856+F861+F865+F874</f>
        <v>159041</v>
      </c>
      <c r="G875" s="63">
        <f>+G856+G861+G865+G874</f>
        <v>171968</v>
      </c>
      <c r="H875" s="63">
        <f>+H856+H861+H865+H874</f>
        <v>194930</v>
      </c>
      <c r="I875" s="64">
        <f t="shared" si="279"/>
        <v>525939</v>
      </c>
      <c r="J875" s="63">
        <f>+J856+J861+J865+J874</f>
        <v>198498</v>
      </c>
      <c r="K875" s="63">
        <f>+K856+K861+K865+K874</f>
        <v>174238</v>
      </c>
      <c r="L875" s="63">
        <f>+L856+L861+L865+L874</f>
        <v>144139</v>
      </c>
      <c r="M875" s="64">
        <f t="shared" si="280"/>
        <v>516875</v>
      </c>
      <c r="N875" s="63">
        <f>+N856+N861+N865+N874</f>
        <v>75004</v>
      </c>
      <c r="O875" s="63">
        <f>+O856+O861+O865+O874</f>
        <v>74106</v>
      </c>
      <c r="P875" s="63">
        <f>+P856+P861+P865+P874</f>
        <v>60577</v>
      </c>
      <c r="Q875" s="64">
        <f t="shared" si="281"/>
        <v>209687</v>
      </c>
      <c r="R875" s="88">
        <f t="shared" si="282"/>
        <v>1479230</v>
      </c>
    </row>
    <row r="876" spans="1:20" ht="15.75" customHeight="1" x14ac:dyDescent="0.3">
      <c r="A876" s="1" t="s">
        <v>628</v>
      </c>
      <c r="B876" s="1"/>
      <c r="C876" s="1"/>
      <c r="D876" s="1"/>
      <c r="E876" s="1"/>
      <c r="F876" s="1"/>
      <c r="G876" s="1"/>
      <c r="H876" s="1"/>
      <c r="I876" s="1"/>
      <c r="J876" s="1"/>
      <c r="K876" s="1"/>
      <c r="L876" s="1"/>
      <c r="M876" s="1"/>
      <c r="N876" s="1"/>
      <c r="O876" s="166"/>
      <c r="P876" s="1"/>
      <c r="Q876" s="1"/>
      <c r="R876" s="28"/>
    </row>
    <row r="877" spans="1:20" ht="15.75" customHeight="1" x14ac:dyDescent="0.3">
      <c r="A877" s="1" t="s">
        <v>629</v>
      </c>
      <c r="B877" s="1"/>
      <c r="C877" s="1"/>
      <c r="D877" s="1"/>
      <c r="E877" s="1"/>
      <c r="F877" s="1"/>
      <c r="G877" s="1"/>
      <c r="H877" s="1"/>
      <c r="I877" s="1"/>
      <c r="J877" s="1"/>
      <c r="K877" s="1"/>
      <c r="L877" s="1"/>
      <c r="M877" s="1"/>
      <c r="N877" s="1"/>
      <c r="O877" s="166"/>
      <c r="P877" s="1"/>
      <c r="Q877" s="1"/>
      <c r="R877" s="28"/>
    </row>
    <row r="878" spans="1:20" ht="15.75" customHeight="1" x14ac:dyDescent="0.3">
      <c r="A878" s="1"/>
      <c r="B878" s="1"/>
      <c r="C878" s="1"/>
      <c r="D878" s="1"/>
      <c r="E878" s="1"/>
      <c r="F878" s="1"/>
      <c r="G878" s="1"/>
      <c r="H878" s="1"/>
      <c r="I878" s="1"/>
      <c r="J878" s="1"/>
      <c r="K878" s="1"/>
      <c r="L878" s="1"/>
      <c r="M878" s="1"/>
      <c r="N878" s="1"/>
      <c r="O878" s="166"/>
      <c r="P878" s="1"/>
      <c r="Q878" s="2" t="str">
        <f>+Q1</f>
        <v xml:space="preserve">PRINTED:  </v>
      </c>
      <c r="R878" s="163">
        <f ca="1">+R1</f>
        <v>44894.658168402777</v>
      </c>
    </row>
    <row r="879" spans="1:20" ht="15.75" customHeight="1" x14ac:dyDescent="0.3">
      <c r="A879" s="383" t="s">
        <v>1</v>
      </c>
      <c r="B879" s="383"/>
      <c r="C879" s="383"/>
      <c r="D879" s="383"/>
      <c r="E879" s="383"/>
      <c r="F879" s="383"/>
      <c r="G879" s="383"/>
      <c r="H879" s="383"/>
      <c r="I879" s="383"/>
      <c r="J879" s="383"/>
      <c r="K879" s="383"/>
      <c r="L879" s="383"/>
      <c r="M879" s="383"/>
      <c r="N879" s="383"/>
      <c r="O879" s="383"/>
      <c r="P879" s="383"/>
      <c r="Q879" s="383"/>
      <c r="R879" s="383"/>
    </row>
    <row r="880" spans="1:20" ht="15.75" customHeight="1" x14ac:dyDescent="0.3">
      <c r="A880" s="383" t="s">
        <v>2</v>
      </c>
      <c r="B880" s="383"/>
      <c r="C880" s="383"/>
      <c r="D880" s="383"/>
      <c r="E880" s="383"/>
      <c r="F880" s="383"/>
      <c r="G880" s="383"/>
      <c r="H880" s="383"/>
      <c r="I880" s="383"/>
      <c r="J880" s="383"/>
      <c r="K880" s="383"/>
      <c r="L880" s="383"/>
      <c r="M880" s="383"/>
      <c r="N880" s="383"/>
      <c r="O880" s="383"/>
      <c r="P880" s="383"/>
      <c r="Q880" s="383"/>
      <c r="R880" s="383"/>
    </row>
    <row r="881" spans="1:46" ht="15.75" customHeight="1" x14ac:dyDescent="0.3">
      <c r="A881" s="383" t="s">
        <v>3</v>
      </c>
      <c r="B881" s="383"/>
      <c r="C881" s="383"/>
      <c r="D881" s="383"/>
      <c r="E881" s="383"/>
      <c r="F881" s="383"/>
      <c r="G881" s="383"/>
      <c r="H881" s="383"/>
      <c r="I881" s="383"/>
      <c r="J881" s="383"/>
      <c r="K881" s="383"/>
      <c r="L881" s="383"/>
      <c r="M881" s="383"/>
      <c r="N881" s="383"/>
      <c r="O881" s="383"/>
      <c r="P881" s="383"/>
      <c r="Q881" s="383"/>
      <c r="R881" s="383"/>
    </row>
    <row r="882" spans="1:46" ht="15.75" customHeight="1" x14ac:dyDescent="0.3">
      <c r="A882" s="392">
        <f>+A5</f>
        <v>2018</v>
      </c>
      <c r="B882" s="392"/>
      <c r="C882" s="392"/>
      <c r="D882" s="392"/>
      <c r="E882" s="392"/>
      <c r="F882" s="392"/>
      <c r="G882" s="392"/>
      <c r="H882" s="392"/>
      <c r="I882" s="392"/>
      <c r="J882" s="392"/>
      <c r="K882" s="392"/>
      <c r="L882" s="392"/>
      <c r="M882" s="392"/>
      <c r="N882" s="392"/>
      <c r="O882" s="392"/>
      <c r="P882" s="392"/>
      <c r="Q882" s="392"/>
      <c r="R882" s="392"/>
    </row>
    <row r="883" spans="1:46" ht="15.75" customHeight="1" x14ac:dyDescent="0.3">
      <c r="A883" s="1"/>
      <c r="B883" s="1"/>
      <c r="C883" s="1"/>
      <c r="D883" s="7"/>
      <c r="E883" s="7"/>
      <c r="F883" s="7"/>
      <c r="G883" s="8"/>
      <c r="H883" s="7"/>
      <c r="I883" s="7"/>
      <c r="J883" s="8"/>
      <c r="K883" s="8"/>
      <c r="L883" s="8"/>
      <c r="M883" s="8"/>
      <c r="N883" s="1"/>
      <c r="O883" s="8"/>
      <c r="P883" s="8"/>
      <c r="Q883" s="8"/>
      <c r="R883" s="8"/>
    </row>
    <row r="884" spans="1:46" ht="15.75" customHeight="1" x14ac:dyDescent="0.3">
      <c r="A884" s="383" t="str">
        <f>+A8</f>
        <v>Revised:  3/2/2019</v>
      </c>
      <c r="B884" s="383"/>
      <c r="C884" s="383"/>
      <c r="D884" s="383"/>
      <c r="E884" s="383"/>
      <c r="F884" s="383"/>
      <c r="G884" s="383"/>
      <c r="H884" s="383"/>
      <c r="I884" s="383"/>
      <c r="J884" s="383"/>
      <c r="K884" s="383"/>
      <c r="L884" s="383"/>
      <c r="M884" s="383"/>
      <c r="N884" s="383"/>
      <c r="O884" s="383"/>
      <c r="P884" s="383"/>
      <c r="Q884" s="383"/>
      <c r="R884" s="383"/>
    </row>
    <row r="885" spans="1:46" ht="15.75" customHeight="1" x14ac:dyDescent="0.3">
      <c r="A885" s="6"/>
      <c r="B885" s="6"/>
      <c r="C885" s="6"/>
      <c r="D885" s="6"/>
      <c r="E885" s="6"/>
      <c r="F885" s="6"/>
      <c r="G885" s="6"/>
      <c r="H885" s="6"/>
      <c r="I885" s="6"/>
      <c r="J885" s="6"/>
      <c r="K885" s="6"/>
      <c r="L885" s="6"/>
      <c r="M885" s="6"/>
      <c r="N885" s="6"/>
      <c r="O885" s="6"/>
      <c r="P885" s="6"/>
      <c r="Q885" s="6"/>
      <c r="R885" s="6"/>
    </row>
    <row r="886" spans="1:46" ht="15.75" customHeight="1" x14ac:dyDescent="0.3">
      <c r="A886" s="30"/>
      <c r="B886" s="1"/>
      <c r="C886" s="1"/>
      <c r="D886" s="1"/>
      <c r="E886" s="1"/>
      <c r="F886" s="1"/>
      <c r="G886" s="1"/>
      <c r="H886" s="1"/>
      <c r="I886" s="1"/>
      <c r="J886" s="1"/>
      <c r="K886" s="1"/>
      <c r="L886" s="1"/>
      <c r="M886" s="1"/>
      <c r="N886" s="1"/>
      <c r="O886" s="1"/>
      <c r="P886" s="1"/>
      <c r="Q886" s="1"/>
      <c r="R886" s="28"/>
    </row>
    <row r="887" spans="1:46" ht="15.75" customHeight="1" thickBot="1" x14ac:dyDescent="0.35">
      <c r="A887" s="1"/>
      <c r="B887" s="1"/>
      <c r="C887" s="1"/>
      <c r="D887" s="1"/>
      <c r="E887" s="1"/>
      <c r="F887" s="1"/>
      <c r="G887" s="1"/>
      <c r="H887" s="1"/>
      <c r="I887" s="1"/>
      <c r="J887" s="1"/>
      <c r="K887" s="1"/>
      <c r="L887" s="1"/>
      <c r="M887" s="1"/>
      <c r="N887" s="1"/>
      <c r="O887" s="166"/>
      <c r="P887" s="1"/>
      <c r="Q887" s="1"/>
      <c r="R887" s="28"/>
    </row>
    <row r="888" spans="1:46" ht="15.75" customHeight="1" thickBot="1" x14ac:dyDescent="0.35">
      <c r="A888" s="342" t="s">
        <v>630</v>
      </c>
      <c r="B888" s="330" t="s">
        <v>36</v>
      </c>
      <c r="C888" s="331" t="s">
        <v>9</v>
      </c>
      <c r="D888" s="331" t="s">
        <v>10</v>
      </c>
      <c r="E888" s="325" t="s">
        <v>11</v>
      </c>
      <c r="F888" s="331" t="s">
        <v>12</v>
      </c>
      <c r="G888" s="331" t="s">
        <v>13</v>
      </c>
      <c r="H888" s="331" t="s">
        <v>14</v>
      </c>
      <c r="I888" s="325" t="s">
        <v>15</v>
      </c>
      <c r="J888" s="331" t="s">
        <v>16</v>
      </c>
      <c r="K888" s="331" t="s">
        <v>17</v>
      </c>
      <c r="L888" s="331" t="s">
        <v>18</v>
      </c>
      <c r="M888" s="325" t="s">
        <v>19</v>
      </c>
      <c r="N888" s="331" t="s">
        <v>20</v>
      </c>
      <c r="O888" s="331" t="s">
        <v>21</v>
      </c>
      <c r="P888" s="331" t="s">
        <v>22</v>
      </c>
      <c r="Q888" s="325" t="s">
        <v>23</v>
      </c>
      <c r="R888" s="348" t="s">
        <v>24</v>
      </c>
    </row>
    <row r="889" spans="1:46" ht="16.5" customHeight="1" thickBot="1" x14ac:dyDescent="0.35">
      <c r="A889" s="168"/>
      <c r="B889" s="169"/>
      <c r="C889" s="169"/>
      <c r="D889" s="169"/>
      <c r="E889" s="16"/>
      <c r="F889" s="169"/>
      <c r="G889" s="169"/>
      <c r="H889" s="169"/>
      <c r="I889" s="38"/>
      <c r="J889" s="169"/>
      <c r="K889" s="169"/>
      <c r="L889" s="169"/>
      <c r="M889" s="38"/>
      <c r="N889" s="169"/>
      <c r="O889" s="169"/>
      <c r="P889" s="169"/>
      <c r="Q889" s="151"/>
      <c r="R889" s="349"/>
    </row>
    <row r="890" spans="1:46" ht="16.5" customHeight="1" thickBot="1" x14ac:dyDescent="0.35">
      <c r="A890" s="171" t="s">
        <v>26</v>
      </c>
      <c r="B890" s="172">
        <f>+B856</f>
        <v>31967</v>
      </c>
      <c r="C890" s="172">
        <f>+C856</f>
        <v>35377</v>
      </c>
      <c r="D890" s="172">
        <f>+D856</f>
        <v>40674</v>
      </c>
      <c r="E890" s="100">
        <f>+SUM(B890:D890)</f>
        <v>108018</v>
      </c>
      <c r="F890" s="172">
        <f>+F856</f>
        <v>41877</v>
      </c>
      <c r="G890" s="172">
        <f>+G856</f>
        <v>57170</v>
      </c>
      <c r="H890" s="172">
        <f>+H856</f>
        <v>72704</v>
      </c>
      <c r="I890" s="100">
        <f>+SUM(F890:H890)</f>
        <v>171751</v>
      </c>
      <c r="J890" s="172">
        <f>+J856</f>
        <v>68733</v>
      </c>
      <c r="K890" s="172">
        <f>+K856</f>
        <v>81894</v>
      </c>
      <c r="L890" s="172">
        <f>+L856</f>
        <v>72853</v>
      </c>
      <c r="M890" s="100">
        <f>+SUM(J890:L890)</f>
        <v>223480</v>
      </c>
      <c r="N890" s="172">
        <f>+N856</f>
        <v>41316</v>
      </c>
      <c r="O890" s="172">
        <f>+O856</f>
        <v>34475</v>
      </c>
      <c r="P890" s="172">
        <f>+P856</f>
        <v>37685</v>
      </c>
      <c r="Q890" s="100">
        <f>+SUM(N890:P890)</f>
        <v>113476</v>
      </c>
      <c r="R890" s="64">
        <f>+E890+I890+M890+Q890</f>
        <v>616725</v>
      </c>
    </row>
    <row r="891" spans="1:46" ht="16.5" customHeight="1" thickBot="1" x14ac:dyDescent="0.35">
      <c r="A891" s="34"/>
      <c r="B891" s="100"/>
      <c r="C891" s="100"/>
      <c r="D891" s="100"/>
      <c r="E891" s="100"/>
      <c r="F891" s="100"/>
      <c r="G891" s="100"/>
      <c r="H891" s="100"/>
      <c r="I891" s="100"/>
      <c r="J891" s="100"/>
      <c r="K891" s="100"/>
      <c r="L891" s="100"/>
      <c r="M891" s="100"/>
      <c r="N891" s="100"/>
      <c r="O891" s="100"/>
      <c r="P891" s="100"/>
      <c r="Q891" s="100"/>
      <c r="R891" s="64"/>
    </row>
    <row r="892" spans="1:46" ht="16.5" customHeight="1" thickBot="1" x14ac:dyDescent="0.35">
      <c r="A892" s="171" t="s">
        <v>631</v>
      </c>
      <c r="B892" s="172">
        <f>+B861</f>
        <v>5022</v>
      </c>
      <c r="C892" s="172">
        <f>+C861</f>
        <v>5022</v>
      </c>
      <c r="D892" s="172">
        <f>+D861</f>
        <v>18750</v>
      </c>
      <c r="E892" s="100">
        <f>+SUM(B892:D892)</f>
        <v>28794</v>
      </c>
      <c r="F892" s="172">
        <f>+F861</f>
        <v>42093</v>
      </c>
      <c r="G892" s="172">
        <f>+G861</f>
        <v>44361</v>
      </c>
      <c r="H892" s="172">
        <f>+H861</f>
        <v>39913</v>
      </c>
      <c r="I892" s="100">
        <f>+SUM(F892:H892)</f>
        <v>126367</v>
      </c>
      <c r="J892" s="172">
        <f>+J861</f>
        <v>36677</v>
      </c>
      <c r="K892" s="172">
        <f>+K861</f>
        <v>29640</v>
      </c>
      <c r="L892" s="172">
        <f>+L861</f>
        <v>12019</v>
      </c>
      <c r="M892" s="100">
        <f>+SUM(J892:L892)</f>
        <v>78336</v>
      </c>
      <c r="N892" s="172">
        <f>+N861</f>
        <v>589</v>
      </c>
      <c r="O892" s="172">
        <f>+O861</f>
        <v>4170</v>
      </c>
      <c r="P892" s="172">
        <f>+P861</f>
        <v>4593</v>
      </c>
      <c r="Q892" s="100">
        <f>+SUM(N892:P892)</f>
        <v>9352</v>
      </c>
      <c r="R892" s="64">
        <f>+E892+I892+M892+Q892</f>
        <v>242849</v>
      </c>
    </row>
    <row r="893" spans="1:46" ht="16.5" customHeight="1" thickBot="1" x14ac:dyDescent="0.35">
      <c r="A893" s="34"/>
      <c r="B893" s="100"/>
      <c r="C893" s="100"/>
      <c r="D893" s="100"/>
      <c r="E893" s="100"/>
      <c r="F893" s="100"/>
      <c r="G893" s="100"/>
      <c r="H893" s="100"/>
      <c r="I893" s="100"/>
      <c r="J893" s="100"/>
      <c r="K893" s="100"/>
      <c r="L893" s="100"/>
      <c r="M893" s="100"/>
      <c r="N893" s="100"/>
      <c r="O893" s="100"/>
      <c r="P893" s="100"/>
      <c r="Q893" s="100"/>
      <c r="R893" s="64"/>
      <c r="AC893" s="350"/>
      <c r="AD893" s="351"/>
      <c r="AE893" s="352" t="s">
        <v>632</v>
      </c>
      <c r="AF893" s="351"/>
      <c r="AG893" s="351"/>
      <c r="AH893" s="351"/>
      <c r="AI893" s="351"/>
      <c r="AJ893" s="351"/>
      <c r="AK893" s="351" t="s">
        <v>633</v>
      </c>
      <c r="AL893" s="351"/>
      <c r="AM893" s="351" t="s">
        <v>7</v>
      </c>
      <c r="AN893" s="353" t="str">
        <f>+A8</f>
        <v>Revised:  3/2/2019</v>
      </c>
      <c r="AO893" s="351"/>
      <c r="AP893" s="351"/>
      <c r="AQ893" s="351"/>
      <c r="AR893" s="351"/>
      <c r="AS893" s="354" t="str">
        <f>+Q1</f>
        <v xml:space="preserve">PRINTED:  </v>
      </c>
      <c r="AT893" s="355">
        <f ca="1">+R1</f>
        <v>44894.658168402777</v>
      </c>
    </row>
    <row r="894" spans="1:46" ht="16.5" customHeight="1" thickBot="1" x14ac:dyDescent="0.35">
      <c r="A894" s="171" t="s">
        <v>28</v>
      </c>
      <c r="B894" s="172">
        <f>+B865</f>
        <v>13326</v>
      </c>
      <c r="C894" s="172">
        <f>+C865</f>
        <v>23639</v>
      </c>
      <c r="D894" s="172">
        <f>+D865</f>
        <v>43988</v>
      </c>
      <c r="E894" s="100">
        <f>+SUM(B894:D894)</f>
        <v>80953</v>
      </c>
      <c r="F894" s="172">
        <f>+F865</f>
        <v>71845</v>
      </c>
      <c r="G894" s="172">
        <f>+G865</f>
        <v>64974</v>
      </c>
      <c r="H894" s="172">
        <f>+H865</f>
        <v>78779</v>
      </c>
      <c r="I894" s="100">
        <f>+SUM(F894:H894)</f>
        <v>215598</v>
      </c>
      <c r="J894" s="172">
        <f>+J865</f>
        <v>90817</v>
      </c>
      <c r="K894" s="172">
        <f>+K865</f>
        <v>59083</v>
      </c>
      <c r="L894" s="172">
        <f>+L865</f>
        <v>46832</v>
      </c>
      <c r="M894" s="100">
        <f>+SUM(J894:L894)</f>
        <v>196732</v>
      </c>
      <c r="N894" s="172">
        <f>+N865</f>
        <v>21384</v>
      </c>
      <c r="O894" s="172">
        <f>+O865</f>
        <v>31445</v>
      </c>
      <c r="P894" s="172">
        <f>+P865</f>
        <v>17044</v>
      </c>
      <c r="Q894" s="100">
        <f>+SUM(N894:P894)</f>
        <v>69873</v>
      </c>
      <c r="R894" s="64">
        <f>+E894+I894+M894+Q894</f>
        <v>563156</v>
      </c>
      <c r="AC894" s="179"/>
      <c r="AD894" s="180"/>
      <c r="AE894" s="180"/>
      <c r="AF894" s="180">
        <f>++A5</f>
        <v>2018</v>
      </c>
      <c r="AG894" s="180"/>
      <c r="AH894" s="180"/>
      <c r="AI894" s="180"/>
      <c r="AJ894" s="180"/>
      <c r="AK894" s="180"/>
      <c r="AL894" s="180"/>
      <c r="AM894" s="180"/>
      <c r="AN894" s="180"/>
      <c r="AO894" s="180"/>
      <c r="AP894" s="180"/>
      <c r="AQ894" s="180"/>
      <c r="AR894" s="180"/>
      <c r="AS894" s="180"/>
      <c r="AT894" s="306"/>
    </row>
    <row r="895" spans="1:46" ht="16.5" customHeight="1" thickBot="1" x14ac:dyDescent="0.35">
      <c r="A895" s="34"/>
      <c r="B895" s="100"/>
      <c r="C895" s="100"/>
      <c r="D895" s="100"/>
      <c r="E895" s="100"/>
      <c r="F895" s="100"/>
      <c r="G895" s="100"/>
      <c r="H895" s="100"/>
      <c r="I895" s="100"/>
      <c r="J895" s="100"/>
      <c r="K895" s="100"/>
      <c r="L895" s="100"/>
      <c r="M895" s="100"/>
      <c r="N895" s="100"/>
      <c r="O895" s="100"/>
      <c r="P895" s="100"/>
      <c r="Q895" s="100"/>
      <c r="R895" s="64"/>
      <c r="AC895" s="179"/>
      <c r="AD895" s="180"/>
      <c r="AE895" s="180"/>
      <c r="AF895" s="180"/>
      <c r="AG895" s="180"/>
      <c r="AH895" s="180"/>
      <c r="AI895" s="180"/>
      <c r="AJ895" s="180"/>
      <c r="AK895" s="180"/>
      <c r="AL895" s="180"/>
      <c r="AM895" s="180"/>
      <c r="AN895" s="180"/>
      <c r="AO895" s="180"/>
      <c r="AP895" s="180"/>
      <c r="AQ895" s="180"/>
      <c r="AR895" s="180"/>
      <c r="AS895" s="180"/>
      <c r="AT895" s="306"/>
    </row>
    <row r="896" spans="1:46" ht="16.5" customHeight="1" thickBot="1" x14ac:dyDescent="0.35">
      <c r="A896" s="171" t="s">
        <v>634</v>
      </c>
      <c r="B896" s="172">
        <f>+B874</f>
        <v>1335</v>
      </c>
      <c r="C896" s="172">
        <f>+C874</f>
        <v>4067</v>
      </c>
      <c r="D896" s="172">
        <f>+D874</f>
        <v>3562</v>
      </c>
      <c r="E896" s="100">
        <f>+SUM(B896:D896)</f>
        <v>8964</v>
      </c>
      <c r="F896" s="172">
        <f>+F874</f>
        <v>3226</v>
      </c>
      <c r="G896" s="172">
        <f>+G874</f>
        <v>5463</v>
      </c>
      <c r="H896" s="172">
        <f>+H874</f>
        <v>3534</v>
      </c>
      <c r="I896" s="100">
        <f>+SUM(F896:H896)</f>
        <v>12223</v>
      </c>
      <c r="J896" s="172">
        <f>+J874</f>
        <v>2271</v>
      </c>
      <c r="K896" s="172">
        <f>+K874</f>
        <v>3621</v>
      </c>
      <c r="L896" s="172">
        <f>+L874</f>
        <v>12435</v>
      </c>
      <c r="M896" s="100">
        <f>+SUM(J896:L896)</f>
        <v>18327</v>
      </c>
      <c r="N896" s="172">
        <f>+N874</f>
        <v>11715</v>
      </c>
      <c r="O896" s="172">
        <f>+O874</f>
        <v>4016</v>
      </c>
      <c r="P896" s="172">
        <f>+P874</f>
        <v>1255</v>
      </c>
      <c r="Q896" s="100">
        <f>+SUM(N896:P896)</f>
        <v>16986</v>
      </c>
      <c r="R896" s="64">
        <f>+E896+I896+M896+Q896</f>
        <v>56500</v>
      </c>
      <c r="AC896" s="179"/>
      <c r="AD896" s="180"/>
      <c r="AE896" s="180"/>
      <c r="AF896" s="180"/>
      <c r="AG896" s="180"/>
      <c r="AH896" s="180"/>
      <c r="AI896" s="182" t="s">
        <v>635</v>
      </c>
      <c r="AJ896" s="180"/>
      <c r="AK896" s="180"/>
      <c r="AL896" s="180"/>
      <c r="AM896" s="180"/>
      <c r="AN896" s="180"/>
      <c r="AO896" s="180"/>
      <c r="AP896" s="180"/>
      <c r="AQ896" s="180"/>
      <c r="AR896" s="180"/>
      <c r="AS896" s="180"/>
      <c r="AT896" s="306"/>
    </row>
    <row r="897" spans="1:46" ht="16.5" customHeight="1" thickBot="1" x14ac:dyDescent="0.35">
      <c r="A897" s="34"/>
      <c r="B897" s="100"/>
      <c r="C897" s="100"/>
      <c r="D897" s="100"/>
      <c r="E897" s="100"/>
      <c r="F897" s="100"/>
      <c r="G897" s="100"/>
      <c r="H897" s="100"/>
      <c r="I897" s="100"/>
      <c r="J897" s="100"/>
      <c r="K897" s="100"/>
      <c r="L897" s="100"/>
      <c r="M897" s="100"/>
      <c r="N897" s="100"/>
      <c r="O897" s="100"/>
      <c r="P897" s="100"/>
      <c r="Q897" s="100"/>
      <c r="R897" s="64"/>
      <c r="AC897" s="179"/>
      <c r="AD897" s="180" t="s">
        <v>633</v>
      </c>
      <c r="AE897" s="180"/>
      <c r="AF897" s="182" t="s">
        <v>636</v>
      </c>
      <c r="AG897" s="182" t="s">
        <v>636</v>
      </c>
      <c r="AH897" s="182" t="s">
        <v>637</v>
      </c>
      <c r="AI897" s="182" t="s">
        <v>638</v>
      </c>
      <c r="AJ897" s="182" t="s">
        <v>639</v>
      </c>
      <c r="AK897" s="182" t="s">
        <v>640</v>
      </c>
      <c r="AL897" s="182" t="s">
        <v>641</v>
      </c>
      <c r="AM897" s="180" t="s">
        <v>633</v>
      </c>
      <c r="AN897" s="182" t="s">
        <v>642</v>
      </c>
      <c r="AO897" s="182" t="s">
        <v>642</v>
      </c>
      <c r="AP897" s="182" t="s">
        <v>642</v>
      </c>
      <c r="AQ897" s="180"/>
      <c r="AR897" s="180"/>
      <c r="AS897" s="180"/>
      <c r="AT897" s="306"/>
    </row>
    <row r="898" spans="1:46" ht="16.5" customHeight="1" thickBot="1" x14ac:dyDescent="0.4">
      <c r="A898" s="34" t="s">
        <v>643</v>
      </c>
      <c r="B898" s="107">
        <f t="shared" ref="B898:Q898" si="283">+SUM(B890:B896)</f>
        <v>51650</v>
      </c>
      <c r="C898" s="107">
        <f t="shared" si="283"/>
        <v>68105</v>
      </c>
      <c r="D898" s="107">
        <f t="shared" si="283"/>
        <v>106974</v>
      </c>
      <c r="E898" s="107">
        <f t="shared" si="283"/>
        <v>226729</v>
      </c>
      <c r="F898" s="107">
        <f t="shared" si="283"/>
        <v>159041</v>
      </c>
      <c r="G898" s="107">
        <f t="shared" si="283"/>
        <v>171968</v>
      </c>
      <c r="H898" s="107">
        <f t="shared" si="283"/>
        <v>194930</v>
      </c>
      <c r="I898" s="107">
        <f t="shared" si="283"/>
        <v>525939</v>
      </c>
      <c r="J898" s="107">
        <f t="shared" si="283"/>
        <v>198498</v>
      </c>
      <c r="K898" s="107">
        <f t="shared" si="283"/>
        <v>174238</v>
      </c>
      <c r="L898" s="107">
        <f t="shared" si="283"/>
        <v>144139</v>
      </c>
      <c r="M898" s="107">
        <f t="shared" si="283"/>
        <v>516875</v>
      </c>
      <c r="N898" s="107">
        <f t="shared" si="283"/>
        <v>75004</v>
      </c>
      <c r="O898" s="107">
        <f t="shared" si="283"/>
        <v>74106</v>
      </c>
      <c r="P898" s="107">
        <f t="shared" si="283"/>
        <v>60577</v>
      </c>
      <c r="Q898" s="107">
        <f t="shared" si="283"/>
        <v>209687</v>
      </c>
      <c r="R898" s="183">
        <f>+SUM(R890:R896)</f>
        <v>1479230</v>
      </c>
      <c r="AC898" s="179"/>
      <c r="AD898" s="182" t="s">
        <v>644</v>
      </c>
      <c r="AE898" s="182" t="s">
        <v>645</v>
      </c>
      <c r="AF898" s="182" t="s">
        <v>646</v>
      </c>
      <c r="AG898" s="182" t="s">
        <v>646</v>
      </c>
      <c r="AH898" s="182" t="s">
        <v>647</v>
      </c>
      <c r="AI898" s="184" t="s">
        <v>648</v>
      </c>
      <c r="AJ898" s="182" t="s">
        <v>649</v>
      </c>
      <c r="AK898" s="182" t="s">
        <v>650</v>
      </c>
      <c r="AL898" s="182" t="s">
        <v>651</v>
      </c>
      <c r="AM898" s="180" t="s">
        <v>633</v>
      </c>
      <c r="AN898" s="182" t="s">
        <v>652</v>
      </c>
      <c r="AO898" s="182" t="s">
        <v>648</v>
      </c>
      <c r="AP898" s="182" t="s">
        <v>653</v>
      </c>
      <c r="AQ898" s="180"/>
      <c r="AR898" s="180"/>
      <c r="AS898" s="180"/>
      <c r="AT898" s="306"/>
    </row>
    <row r="899" spans="1:46" ht="15.75" customHeight="1" x14ac:dyDescent="0.35">
      <c r="A899" s="185"/>
      <c r="B899" s="186"/>
      <c r="C899" s="186"/>
      <c r="D899" s="186"/>
      <c r="E899" s="186"/>
      <c r="F899" s="186"/>
      <c r="G899" s="186"/>
      <c r="H899" s="187" t="s">
        <v>654</v>
      </c>
      <c r="I899" s="186"/>
      <c r="J899" s="186"/>
      <c r="K899" s="186"/>
      <c r="L899" s="186"/>
      <c r="M899" s="186"/>
      <c r="N899" s="186"/>
      <c r="O899" s="186"/>
      <c r="P899" s="186"/>
      <c r="Q899" s="186"/>
      <c r="R899" s="186"/>
      <c r="AC899" s="179"/>
      <c r="AD899" s="182" t="s">
        <v>127</v>
      </c>
      <c r="AE899" s="182" t="s">
        <v>655</v>
      </c>
      <c r="AF899" s="182" t="s">
        <v>656</v>
      </c>
      <c r="AG899" s="182" t="s">
        <v>657</v>
      </c>
      <c r="AH899" s="182" t="s">
        <v>658</v>
      </c>
      <c r="AI899" s="182" t="s">
        <v>658</v>
      </c>
      <c r="AJ899" s="182" t="s">
        <v>658</v>
      </c>
      <c r="AK899" s="182" t="s">
        <v>658</v>
      </c>
      <c r="AL899" s="182" t="s">
        <v>659</v>
      </c>
      <c r="AM899" s="180" t="s">
        <v>633</v>
      </c>
      <c r="AN899" s="182" t="s">
        <v>660</v>
      </c>
      <c r="AO899" s="182" t="s">
        <v>661</v>
      </c>
      <c r="AP899" s="182" t="s">
        <v>661</v>
      </c>
      <c r="AQ899" s="180"/>
      <c r="AR899" s="180"/>
      <c r="AS899" s="180"/>
      <c r="AT899" s="306"/>
    </row>
    <row r="900" spans="1:46" ht="6" customHeight="1" x14ac:dyDescent="0.35">
      <c r="A900" s="185"/>
      <c r="B900" s="186"/>
      <c r="C900" s="186"/>
      <c r="D900" s="186"/>
      <c r="E900" s="186"/>
      <c r="F900" s="186"/>
      <c r="G900" s="186"/>
      <c r="H900" s="186"/>
      <c r="I900" s="186"/>
      <c r="J900" s="186"/>
      <c r="K900" s="186"/>
      <c r="L900" s="186"/>
      <c r="M900" s="186"/>
      <c r="N900" s="186"/>
      <c r="O900" s="186"/>
      <c r="P900" s="186"/>
      <c r="Q900" s="186"/>
      <c r="R900" s="186"/>
      <c r="AC900" s="179"/>
      <c r="AD900" s="182" t="s">
        <v>662</v>
      </c>
      <c r="AE900" s="182" t="s">
        <v>663</v>
      </c>
      <c r="AF900" s="182" t="s">
        <v>664</v>
      </c>
      <c r="AG900" s="182" t="s">
        <v>664</v>
      </c>
      <c r="AH900" s="182" t="s">
        <v>664</v>
      </c>
      <c r="AI900" s="182" t="s">
        <v>664</v>
      </c>
      <c r="AJ900" s="182" t="s">
        <v>664</v>
      </c>
      <c r="AK900" s="182" t="s">
        <v>664</v>
      </c>
      <c r="AL900" s="182" t="s">
        <v>664</v>
      </c>
      <c r="AM900" s="180" t="s">
        <v>633</v>
      </c>
      <c r="AN900" s="182" t="s">
        <v>665</v>
      </c>
      <c r="AO900" s="182" t="s">
        <v>665</v>
      </c>
      <c r="AP900" s="182" t="s">
        <v>665</v>
      </c>
      <c r="AQ900" s="180"/>
      <c r="AR900" s="180"/>
      <c r="AS900" s="180"/>
      <c r="AT900" s="306"/>
    </row>
    <row r="901" spans="1:46" ht="6" customHeight="1" thickBot="1" x14ac:dyDescent="0.4">
      <c r="A901" s="185"/>
      <c r="B901" s="186"/>
      <c r="C901" s="186"/>
      <c r="D901" s="186"/>
      <c r="E901" s="186"/>
      <c r="F901" s="186"/>
      <c r="G901" s="186"/>
      <c r="H901" s="187"/>
      <c r="I901" s="186"/>
      <c r="J901" s="186"/>
      <c r="K901" s="186"/>
      <c r="L901" s="186"/>
      <c r="M901" s="186"/>
      <c r="N901" s="186"/>
      <c r="O901" s="186"/>
      <c r="P901" s="186"/>
      <c r="Q901" s="186"/>
      <c r="R901" s="186"/>
      <c r="AC901" s="179"/>
      <c r="AD901" s="180" t="s">
        <v>666</v>
      </c>
      <c r="AE901" s="180" t="s">
        <v>666</v>
      </c>
      <c r="AF901" s="180" t="s">
        <v>666</v>
      </c>
      <c r="AG901" s="180" t="s">
        <v>666</v>
      </c>
      <c r="AH901" s="180" t="s">
        <v>666</v>
      </c>
      <c r="AI901" s="180" t="s">
        <v>666</v>
      </c>
      <c r="AJ901" s="180" t="s">
        <v>666</v>
      </c>
      <c r="AK901" s="180" t="s">
        <v>666</v>
      </c>
      <c r="AL901" s="180" t="s">
        <v>666</v>
      </c>
      <c r="AM901" s="180" t="s">
        <v>633</v>
      </c>
      <c r="AN901" s="180" t="s">
        <v>666</v>
      </c>
      <c r="AO901" s="180" t="s">
        <v>666</v>
      </c>
      <c r="AP901" s="180" t="s">
        <v>666</v>
      </c>
      <c r="AQ901" s="180"/>
      <c r="AR901" s="180"/>
      <c r="AS901" s="180"/>
      <c r="AT901" s="306"/>
    </row>
    <row r="902" spans="1:46" ht="15.75" customHeight="1" x14ac:dyDescent="0.3">
      <c r="A902" s="356"/>
      <c r="B902" s="423" t="s">
        <v>667</v>
      </c>
      <c r="C902" s="423"/>
      <c r="D902" s="423"/>
      <c r="E902" s="423"/>
      <c r="F902" s="423"/>
      <c r="G902" s="423"/>
      <c r="H902" s="423"/>
      <c r="I902" s="423"/>
      <c r="J902" s="423"/>
      <c r="K902" s="423"/>
      <c r="L902" s="423"/>
      <c r="M902" s="423"/>
      <c r="N902" s="423"/>
      <c r="O902" s="423"/>
      <c r="P902" s="423"/>
      <c r="Q902" s="354" t="str">
        <f>+Q1</f>
        <v xml:space="preserve">PRINTED:  </v>
      </c>
      <c r="R902" s="355">
        <f ca="1">+R1</f>
        <v>44894.658168402777</v>
      </c>
      <c r="AC902" s="189" t="s">
        <v>668</v>
      </c>
      <c r="AD902" s="180">
        <f t="shared" ref="AD902:AD913" si="284">(F911)</f>
        <v>42045</v>
      </c>
      <c r="AE902" s="180">
        <f t="shared" ref="AE902:AE913" si="285">SUM($B$966:$E$966)+(T911-1526.8)/0.7702</f>
        <v>1638.1524430019012</v>
      </c>
      <c r="AF902" s="180">
        <f>(AD902*AE902/1000)</f>
        <v>68876.119466014934</v>
      </c>
      <c r="AG902" s="180">
        <f t="shared" ref="AG902:AG913" si="286">(((B911-F911)*B$966)+((C911-F911)*C$966)+((D911-F911)*D$966)+((E911-F911)*E$966))/1000</f>
        <v>67708.956000000006</v>
      </c>
      <c r="AH902" s="180">
        <f>(AF902+AG902)</f>
        <v>136585.07546601494</v>
      </c>
      <c r="AI902" s="180">
        <f t="shared" ref="AI902:AI913" si="287">SUM(H968:Q968)</f>
        <v>21027</v>
      </c>
      <c r="AJ902" s="180">
        <f>+AH902+AI902</f>
        <v>157612.07546601494</v>
      </c>
      <c r="AK902" s="180">
        <f t="shared" ref="AK902:AK909" si="288">(G996)</f>
        <v>702.99006867204707</v>
      </c>
      <c r="AL902" s="180">
        <f t="shared" ref="AL902:AL913" si="289">(AJ902-AK902)</f>
        <v>156909.08539734289</v>
      </c>
      <c r="AM902" s="180" t="s">
        <v>633</v>
      </c>
      <c r="AN902" s="180">
        <f>+B911/31/1.98</f>
        <v>1461.5998696643858</v>
      </c>
      <c r="AO902" s="180">
        <f>(AD902*43560/31/24/3600)</f>
        <v>683.79637096774195</v>
      </c>
      <c r="AP902" s="180">
        <f>+B325</f>
        <v>-76.797943812730779</v>
      </c>
      <c r="AQ902" s="180"/>
      <c r="AR902" s="180"/>
      <c r="AS902" s="180"/>
      <c r="AT902" s="306"/>
    </row>
    <row r="903" spans="1:46" ht="15.75" customHeight="1" x14ac:dyDescent="0.3">
      <c r="A903" s="189"/>
      <c r="B903" s="394" t="str">
        <f>+A8</f>
        <v>Revised:  3/2/2019</v>
      </c>
      <c r="C903" s="394"/>
      <c r="D903" s="394"/>
      <c r="E903" s="394"/>
      <c r="F903" s="394"/>
      <c r="G903" s="394"/>
      <c r="H903" s="394"/>
      <c r="I903" s="394"/>
      <c r="J903" s="394"/>
      <c r="K903" s="394"/>
      <c r="L903" s="394"/>
      <c r="M903" s="394"/>
      <c r="N903" s="394"/>
      <c r="O903" s="394"/>
      <c r="P903" s="394"/>
      <c r="Q903" s="180"/>
      <c r="R903" s="306"/>
      <c r="AC903" s="189" t="s">
        <v>669</v>
      </c>
      <c r="AD903" s="180">
        <f t="shared" si="284"/>
        <v>51021</v>
      </c>
      <c r="AE903" s="180">
        <f t="shared" si="285"/>
        <v>1642.6450272656455</v>
      </c>
      <c r="AF903" s="180">
        <f>(AD903*AE903/1000)</f>
        <v>83809.39193612049</v>
      </c>
      <c r="AG903" s="180">
        <f t="shared" si="286"/>
        <v>79633.322</v>
      </c>
      <c r="AH903" s="180">
        <f t="shared" ref="AH903:AH913" si="290">(AF903+AG903)</f>
        <v>163442.7139361205</v>
      </c>
      <c r="AI903" s="180">
        <f t="shared" si="287"/>
        <v>29930</v>
      </c>
      <c r="AJ903" s="180">
        <f t="shared" ref="AJ903:AJ913" si="291">+AH903+AI903</f>
        <v>193372.7139361205</v>
      </c>
      <c r="AK903" s="180">
        <f t="shared" si="288"/>
        <v>2236.3113790504899</v>
      </c>
      <c r="AL903" s="180">
        <f t="shared" si="289"/>
        <v>191136.40255707002</v>
      </c>
      <c r="AM903" s="180" t="s">
        <v>633</v>
      </c>
      <c r="AN903" s="180">
        <f>+B912/28/1.98</f>
        <v>1932.6118326118326</v>
      </c>
      <c r="AO903" s="180">
        <f>(AD903*43560/29/24/3600)</f>
        <v>887.00301724137933</v>
      </c>
      <c r="AP903" s="180">
        <f>+C325</f>
        <v>-261.32843455082485</v>
      </c>
      <c r="AQ903" s="180"/>
      <c r="AR903" s="180"/>
      <c r="AS903" s="180"/>
      <c r="AT903" s="306"/>
    </row>
    <row r="904" spans="1:46" ht="15.75" customHeight="1" x14ac:dyDescent="0.3">
      <c r="A904" s="189"/>
      <c r="B904" s="394" t="s">
        <v>670</v>
      </c>
      <c r="C904" s="394"/>
      <c r="D904" s="394"/>
      <c r="E904" s="394"/>
      <c r="F904" s="394"/>
      <c r="G904" s="394"/>
      <c r="H904" s="394"/>
      <c r="I904" s="394"/>
      <c r="J904" s="394"/>
      <c r="K904" s="394"/>
      <c r="L904" s="394"/>
      <c r="M904" s="394"/>
      <c r="N904" s="394"/>
      <c r="O904" s="394"/>
      <c r="P904" s="394"/>
      <c r="Q904" s="180"/>
      <c r="R904" s="306"/>
      <c r="AC904" s="189" t="s">
        <v>671</v>
      </c>
      <c r="AD904" s="180">
        <f t="shared" si="284"/>
        <v>46045</v>
      </c>
      <c r="AE904" s="180">
        <f t="shared" si="285"/>
        <v>1646.592054011945</v>
      </c>
      <c r="AF904" s="180">
        <f t="shared" ref="AF904:AF913" si="292">(AD904*AE904/1000)</f>
        <v>75817.331126980003</v>
      </c>
      <c r="AG904" s="180">
        <f t="shared" si="286"/>
        <v>129617.287</v>
      </c>
      <c r="AH904" s="180">
        <f t="shared" si="290"/>
        <v>205434.61812698</v>
      </c>
      <c r="AI904" s="180">
        <f t="shared" si="287"/>
        <v>39462</v>
      </c>
      <c r="AJ904" s="180">
        <f t="shared" si="291"/>
        <v>244896.61812698</v>
      </c>
      <c r="AK904" s="180">
        <f t="shared" si="288"/>
        <v>3012.9924642049727</v>
      </c>
      <c r="AL904" s="180">
        <f t="shared" si="289"/>
        <v>241883.62566277504</v>
      </c>
      <c r="AM904" s="180" t="s">
        <v>633</v>
      </c>
      <c r="AN904" s="180">
        <f>+B913/31/1.98</f>
        <v>2241.6911045943307</v>
      </c>
      <c r="AO904" s="180">
        <f>(AD904*43560/31/24/3600)</f>
        <v>748.85013440860212</v>
      </c>
      <c r="AP904" s="180">
        <f>+D325</f>
        <v>-308.83477298976783</v>
      </c>
      <c r="AQ904" s="180"/>
      <c r="AR904" s="180"/>
      <c r="AS904" s="180"/>
      <c r="AT904" s="306"/>
    </row>
    <row r="905" spans="1:46" ht="15.75" customHeight="1" x14ac:dyDescent="0.3">
      <c r="A905" s="189"/>
      <c r="B905" s="394"/>
      <c r="C905" s="394"/>
      <c r="D905" s="394"/>
      <c r="E905" s="394"/>
      <c r="F905" s="394"/>
      <c r="G905" s="394"/>
      <c r="H905" s="394"/>
      <c r="I905" s="394"/>
      <c r="J905" s="394"/>
      <c r="K905" s="394"/>
      <c r="L905" s="394"/>
      <c r="M905" s="394"/>
      <c r="N905" s="394"/>
      <c r="O905" s="394"/>
      <c r="P905" s="394"/>
      <c r="Q905" s="180"/>
      <c r="R905" s="306"/>
      <c r="AC905" s="189" t="s">
        <v>672</v>
      </c>
      <c r="AD905" s="180">
        <f t="shared" si="284"/>
        <v>10279</v>
      </c>
      <c r="AE905" s="180">
        <f t="shared" si="285"/>
        <v>1645.8271291131655</v>
      </c>
      <c r="AF905" s="180">
        <f t="shared" si="292"/>
        <v>16917.457060154229</v>
      </c>
      <c r="AG905" s="180">
        <f t="shared" si="286"/>
        <v>224306.24</v>
      </c>
      <c r="AH905" s="180">
        <f t="shared" si="290"/>
        <v>241223.69706015423</v>
      </c>
      <c r="AI905" s="180">
        <f t="shared" si="287"/>
        <v>49349</v>
      </c>
      <c r="AJ905" s="180">
        <f t="shared" si="291"/>
        <v>290572.69706015423</v>
      </c>
      <c r="AK905" s="180">
        <f t="shared" si="288"/>
        <v>1044.425677996546</v>
      </c>
      <c r="AL905" s="180">
        <f t="shared" si="289"/>
        <v>289528.27138215769</v>
      </c>
      <c r="AM905" s="180" t="s">
        <v>633</v>
      </c>
      <c r="AN905" s="180">
        <f>+B914/30/1.98</f>
        <v>2839.2760942760942</v>
      </c>
      <c r="AO905" s="180">
        <f>(AD905*43560/30/24/3600)</f>
        <v>172.74430555555554</v>
      </c>
      <c r="AP905" s="180">
        <f>+F325</f>
        <v>-111.24558749369641</v>
      </c>
      <c r="AQ905" s="180"/>
      <c r="AR905" s="180"/>
      <c r="AS905" s="180"/>
      <c r="AT905" s="306"/>
    </row>
    <row r="906" spans="1:46" ht="15.75" customHeight="1" x14ac:dyDescent="0.3">
      <c r="A906" s="189"/>
      <c r="B906" s="395">
        <f>+A5</f>
        <v>2018</v>
      </c>
      <c r="C906" s="395"/>
      <c r="D906" s="395"/>
      <c r="E906" s="395"/>
      <c r="F906" s="395"/>
      <c r="G906" s="395"/>
      <c r="H906" s="395"/>
      <c r="I906" s="395"/>
      <c r="J906" s="395"/>
      <c r="K906" s="395"/>
      <c r="L906" s="395"/>
      <c r="M906" s="395"/>
      <c r="N906" s="395"/>
      <c r="O906" s="395"/>
      <c r="P906" s="395"/>
      <c r="Q906" s="180"/>
      <c r="R906" s="306"/>
      <c r="AC906" s="189" t="s">
        <v>673</v>
      </c>
      <c r="AD906" s="180">
        <f t="shared" si="284"/>
        <v>4059</v>
      </c>
      <c r="AE906" s="180">
        <f t="shared" si="285"/>
        <v>1642.8008309529996</v>
      </c>
      <c r="AF906" s="180">
        <f t="shared" si="292"/>
        <v>6668.1285728382254</v>
      </c>
      <c r="AG906" s="180">
        <f t="shared" si="286"/>
        <v>248274.18599999999</v>
      </c>
      <c r="AH906" s="180">
        <f t="shared" si="290"/>
        <v>254942.31457283822</v>
      </c>
      <c r="AI906" s="180">
        <f t="shared" si="287"/>
        <v>49585</v>
      </c>
      <c r="AJ906" s="180">
        <f t="shared" si="291"/>
        <v>304527.31457283825</v>
      </c>
      <c r="AK906" s="180">
        <f t="shared" si="288"/>
        <v>753.46125094197532</v>
      </c>
      <c r="AL906" s="180">
        <f t="shared" si="289"/>
        <v>303773.85332189628</v>
      </c>
      <c r="AM906" s="180" t="s">
        <v>633</v>
      </c>
      <c r="AN906" s="180">
        <f>+B915/31/1.98</f>
        <v>2922.9064841968066</v>
      </c>
      <c r="AO906" s="180">
        <f>(AD906*43560/31/24/3600)</f>
        <v>66.013306451612905</v>
      </c>
      <c r="AP906" s="180">
        <f>+G325</f>
        <v>-79.433247116620308</v>
      </c>
      <c r="AQ906" s="180"/>
      <c r="AR906" s="180"/>
      <c r="AS906" s="180"/>
      <c r="AT906" s="306"/>
    </row>
    <row r="907" spans="1:46" ht="15.75" customHeight="1" x14ac:dyDescent="0.3">
      <c r="A907" s="189"/>
      <c r="B907" s="394" t="s">
        <v>674</v>
      </c>
      <c r="C907" s="394"/>
      <c r="D907" s="394"/>
      <c r="E907" s="394"/>
      <c r="F907" s="394"/>
      <c r="G907" s="394"/>
      <c r="H907" s="394"/>
      <c r="I907" s="394"/>
      <c r="J907" s="394"/>
      <c r="K907" s="394"/>
      <c r="L907" s="394"/>
      <c r="M907" s="394"/>
      <c r="N907" s="394"/>
      <c r="O907" s="394"/>
      <c r="P907" s="394"/>
      <c r="Q907" s="180"/>
      <c r="R907" s="306"/>
      <c r="AC907" s="189" t="s">
        <v>675</v>
      </c>
      <c r="AD907" s="180">
        <f t="shared" si="284"/>
        <v>0</v>
      </c>
      <c r="AE907" s="180">
        <f t="shared" si="285"/>
        <v>1626.3375746559338</v>
      </c>
      <c r="AF907" s="180">
        <f t="shared" si="292"/>
        <v>0</v>
      </c>
      <c r="AG907" s="180">
        <f t="shared" si="286"/>
        <v>129450.04700000001</v>
      </c>
      <c r="AH907" s="180">
        <f t="shared" si="290"/>
        <v>129450.04700000001</v>
      </c>
      <c r="AI907" s="180">
        <f t="shared" si="287"/>
        <v>47563</v>
      </c>
      <c r="AJ907" s="180">
        <f t="shared" si="291"/>
        <v>177013.04700000002</v>
      </c>
      <c r="AK907" s="180">
        <f t="shared" si="288"/>
        <v>14451.36623963829</v>
      </c>
      <c r="AL907" s="180">
        <f t="shared" si="289"/>
        <v>162561.68076036172</v>
      </c>
      <c r="AM907" s="180" t="s">
        <v>633</v>
      </c>
      <c r="AN907" s="180">
        <f>+B916/30/1.98</f>
        <v>1550.0841750841751</v>
      </c>
      <c r="AO907" s="180">
        <f t="shared" ref="AO907:AO912" si="293">(AD907*43560/30/24/3600)</f>
        <v>0</v>
      </c>
      <c r="AP907" s="180">
        <f>+H325</f>
        <v>-1796.8566145570683</v>
      </c>
      <c r="AQ907" s="180"/>
      <c r="AR907" s="180"/>
      <c r="AS907" s="180"/>
      <c r="AT907" s="306"/>
    </row>
    <row r="908" spans="1:46" ht="15.75" customHeight="1" x14ac:dyDescent="0.3">
      <c r="A908" s="189"/>
      <c r="B908" s="180"/>
      <c r="C908" s="180"/>
      <c r="D908" s="180"/>
      <c r="E908" s="180"/>
      <c r="F908" s="180"/>
      <c r="G908" s="180"/>
      <c r="H908" s="180"/>
      <c r="I908" s="180"/>
      <c r="J908" s="180"/>
      <c r="K908" s="180"/>
      <c r="L908" s="180"/>
      <c r="M908" s="180"/>
      <c r="N908" s="180"/>
      <c r="O908" s="180"/>
      <c r="P908" s="180"/>
      <c r="Q908" s="180"/>
      <c r="R908" s="306"/>
      <c r="AC908" s="189" t="s">
        <v>676</v>
      </c>
      <c r="AD908" s="180">
        <f t="shared" si="284"/>
        <v>0</v>
      </c>
      <c r="AE908" s="180">
        <f t="shared" si="285"/>
        <v>1614.093965893418</v>
      </c>
      <c r="AF908" s="180">
        <f t="shared" si="292"/>
        <v>0</v>
      </c>
      <c r="AG908" s="180">
        <f t="shared" si="286"/>
        <v>110389.53200000001</v>
      </c>
      <c r="AH908" s="180">
        <f t="shared" si="290"/>
        <v>110389.53200000001</v>
      </c>
      <c r="AI908" s="180">
        <f t="shared" si="287"/>
        <v>47519</v>
      </c>
      <c r="AJ908" s="180">
        <f t="shared" si="291"/>
        <v>157908.53200000001</v>
      </c>
      <c r="AK908" s="180">
        <f t="shared" si="288"/>
        <v>14279.828496924818</v>
      </c>
      <c r="AL908" s="180">
        <f t="shared" si="289"/>
        <v>143628.7035030752</v>
      </c>
      <c r="AM908" s="180" t="s">
        <v>633</v>
      </c>
      <c r="AN908" s="180">
        <f>+B917/31/1.98</f>
        <v>1282.258064516129</v>
      </c>
      <c r="AO908" s="180">
        <f t="shared" si="293"/>
        <v>0</v>
      </c>
      <c r="AP908" s="180">
        <f>+J325</f>
        <v>-1920.1112683617196</v>
      </c>
      <c r="AQ908" s="180"/>
      <c r="AR908" s="180"/>
      <c r="AS908" s="180"/>
      <c r="AT908" s="306"/>
    </row>
    <row r="909" spans="1:46" ht="15.75" customHeight="1" thickBot="1" x14ac:dyDescent="0.35">
      <c r="A909" s="189" t="s">
        <v>647</v>
      </c>
      <c r="B909" s="191" t="s">
        <v>677</v>
      </c>
      <c r="C909" s="191" t="s">
        <v>678</v>
      </c>
      <c r="D909" s="191" t="s">
        <v>679</v>
      </c>
      <c r="E909" s="191" t="s">
        <v>680</v>
      </c>
      <c r="F909" s="191" t="s">
        <v>644</v>
      </c>
      <c r="G909" s="191" t="s">
        <v>644</v>
      </c>
      <c r="H909" s="191" t="s">
        <v>681</v>
      </c>
      <c r="I909" s="191" t="s">
        <v>682</v>
      </c>
      <c r="J909" s="191" t="s">
        <v>683</v>
      </c>
      <c r="K909" s="191" t="s">
        <v>684</v>
      </c>
      <c r="L909" s="191" t="s">
        <v>685</v>
      </c>
      <c r="M909" s="191" t="s">
        <v>686</v>
      </c>
      <c r="N909" s="191" t="s">
        <v>687</v>
      </c>
      <c r="O909" s="191" t="s">
        <v>688</v>
      </c>
      <c r="P909" s="191" t="s">
        <v>689</v>
      </c>
      <c r="Q909" s="191" t="s">
        <v>638</v>
      </c>
      <c r="R909" s="306"/>
      <c r="T909" s="52" t="s">
        <v>690</v>
      </c>
      <c r="AC909" s="189" t="s">
        <v>691</v>
      </c>
      <c r="AD909" s="180">
        <f t="shared" si="284"/>
        <v>0</v>
      </c>
      <c r="AE909" s="180">
        <f t="shared" si="285"/>
        <v>1600.6037637565339</v>
      </c>
      <c r="AF909" s="180">
        <f t="shared" si="292"/>
        <v>0</v>
      </c>
      <c r="AG909" s="180">
        <f t="shared" si="286"/>
        <v>38597.786999999997</v>
      </c>
      <c r="AH909" s="180">
        <f t="shared" si="290"/>
        <v>38597.786999999997</v>
      </c>
      <c r="AI909" s="180">
        <f t="shared" si="287"/>
        <v>50060</v>
      </c>
      <c r="AJ909" s="180">
        <f t="shared" si="291"/>
        <v>88657.786999999997</v>
      </c>
      <c r="AK909" s="180">
        <f t="shared" si="288"/>
        <v>16550.405806515493</v>
      </c>
      <c r="AL909" s="180">
        <f t="shared" si="289"/>
        <v>72107.3811934845</v>
      </c>
      <c r="AM909" s="180" t="s">
        <v>633</v>
      </c>
      <c r="AN909" s="180">
        <f>+B918/31/1.98</f>
        <v>462.03975236233305</v>
      </c>
      <c r="AO909" s="180">
        <f t="shared" si="293"/>
        <v>0</v>
      </c>
      <c r="AP909" s="180">
        <f>+K325</f>
        <v>-2556.3092739902067</v>
      </c>
      <c r="AQ909" s="180"/>
      <c r="AR909" s="180"/>
      <c r="AS909" s="180"/>
      <c r="AT909" s="306"/>
    </row>
    <row r="910" spans="1:46" ht="15.75" customHeight="1" x14ac:dyDescent="0.3">
      <c r="A910" s="189"/>
      <c r="B910" s="180"/>
      <c r="C910" s="180"/>
      <c r="D910" s="180"/>
      <c r="E910" s="180"/>
      <c r="F910" s="182" t="s">
        <v>127</v>
      </c>
      <c r="G910" s="182" t="s">
        <v>653</v>
      </c>
      <c r="H910" s="180"/>
      <c r="I910" s="180"/>
      <c r="J910" s="180"/>
      <c r="K910" s="180"/>
      <c r="L910" s="180"/>
      <c r="M910" s="180"/>
      <c r="N910" s="180"/>
      <c r="O910" s="180"/>
      <c r="P910" s="180"/>
      <c r="Q910" s="180"/>
      <c r="R910" s="306"/>
      <c r="AC910" s="189" t="s">
        <v>692</v>
      </c>
      <c r="AD910" s="180">
        <f t="shared" si="284"/>
        <v>17967</v>
      </c>
      <c r="AE910" s="180">
        <f t="shared" si="285"/>
        <v>1598.5266164632565</v>
      </c>
      <c r="AF910" s="180">
        <f t="shared" si="292"/>
        <v>28720.727717995327</v>
      </c>
      <c r="AG910" s="180">
        <f t="shared" si="286"/>
        <v>208722.867</v>
      </c>
      <c r="AH910" s="180">
        <f t="shared" si="290"/>
        <v>237443.59471799532</v>
      </c>
      <c r="AI910" s="180">
        <f t="shared" si="287"/>
        <v>41141</v>
      </c>
      <c r="AJ910" s="180">
        <f t="shared" si="291"/>
        <v>278584.59471799532</v>
      </c>
      <c r="AK910" s="180">
        <v>0</v>
      </c>
      <c r="AL910" s="180">
        <f t="shared" si="289"/>
        <v>278584.59471799532</v>
      </c>
      <c r="AM910" s="180" t="s">
        <v>633</v>
      </c>
      <c r="AN910" s="180">
        <f>+B919/30/1.98</f>
        <v>2782.4242424242425</v>
      </c>
      <c r="AO910" s="180">
        <f t="shared" si="293"/>
        <v>301.94541666666669</v>
      </c>
      <c r="AP910" s="180">
        <f>+L325</f>
        <v>-134.19062027231467</v>
      </c>
      <c r="AQ910" s="180"/>
      <c r="AR910" s="180"/>
      <c r="AS910" s="180"/>
      <c r="AT910" s="306"/>
    </row>
    <row r="911" spans="1:46" ht="15.75" customHeight="1" x14ac:dyDescent="0.3">
      <c r="A911" s="192" t="s">
        <v>8</v>
      </c>
      <c r="B911" s="180">
        <f>+B29</f>
        <v>89713</v>
      </c>
      <c r="C911" s="180">
        <f>+B64</f>
        <v>89616</v>
      </c>
      <c r="D911" s="180">
        <f>+B133</f>
        <v>89520</v>
      </c>
      <c r="E911" s="180">
        <f>+B315</f>
        <v>88667</v>
      </c>
      <c r="F911" s="180">
        <f>+B310</f>
        <v>42045</v>
      </c>
      <c r="G911" s="180">
        <f>+B322</f>
        <v>-4721</v>
      </c>
      <c r="H911" s="180">
        <f>+B485</f>
        <v>27634</v>
      </c>
      <c r="I911" s="180">
        <f>+B535</f>
        <v>13718</v>
      </c>
      <c r="J911" s="180">
        <f>+B580</f>
        <v>13674</v>
      </c>
      <c r="K911" s="180">
        <f>+B644</f>
        <v>13625</v>
      </c>
      <c r="L911" s="180">
        <f>+B654</f>
        <v>11997</v>
      </c>
      <c r="M911" s="180">
        <f>+B690</f>
        <v>11977</v>
      </c>
      <c r="N911" s="180">
        <f>+B741</f>
        <v>11691</v>
      </c>
      <c r="O911" s="180">
        <f>+B751</f>
        <v>3717</v>
      </c>
      <c r="P911" s="180">
        <f>+B785</f>
        <v>3753</v>
      </c>
      <c r="Q911" s="180">
        <f>+B834</f>
        <v>3715</v>
      </c>
      <c r="R911" s="306"/>
      <c r="T911" s="193">
        <f>'[2]Lake Pleasant Forecast'!B35</f>
        <v>1690.1998116000643</v>
      </c>
      <c r="AC911" s="189" t="s">
        <v>693</v>
      </c>
      <c r="AD911" s="180">
        <f t="shared" si="284"/>
        <v>94204</v>
      </c>
      <c r="AE911" s="180">
        <f t="shared" si="285"/>
        <v>1607.0828356271095</v>
      </c>
      <c r="AF911" s="180">
        <f t="shared" si="292"/>
        <v>151393.63144741621</v>
      </c>
      <c r="AG911" s="180">
        <f t="shared" si="286"/>
        <v>115047.329</v>
      </c>
      <c r="AH911" s="180">
        <f t="shared" si="290"/>
        <v>266440.96044741618</v>
      </c>
      <c r="AI911" s="180">
        <f t="shared" si="287"/>
        <v>19810</v>
      </c>
      <c r="AJ911" s="180">
        <f t="shared" si="291"/>
        <v>286250.96044741618</v>
      </c>
      <c r="AK911" s="180">
        <v>0</v>
      </c>
      <c r="AL911" s="180">
        <f t="shared" si="289"/>
        <v>286250.96044741618</v>
      </c>
      <c r="AM911" s="180" t="s">
        <v>633</v>
      </c>
      <c r="AN911" s="180">
        <f>+B920/31/1.98</f>
        <v>2854.317367220593</v>
      </c>
      <c r="AO911" s="180">
        <f t="shared" si="293"/>
        <v>1583.1505555555555</v>
      </c>
      <c r="AP911" s="180">
        <f>+N325</f>
        <v>0</v>
      </c>
      <c r="AQ911" s="180"/>
      <c r="AR911" s="180"/>
      <c r="AS911" s="180"/>
      <c r="AT911" s="306"/>
    </row>
    <row r="912" spans="1:46" ht="15.75" customHeight="1" x14ac:dyDescent="0.3">
      <c r="A912" s="192" t="s">
        <v>9</v>
      </c>
      <c r="B912" s="180">
        <f>+C29</f>
        <v>107144</v>
      </c>
      <c r="C912" s="180">
        <f>+C64</f>
        <v>106996</v>
      </c>
      <c r="D912" s="180">
        <f>+C133</f>
        <v>106851</v>
      </c>
      <c r="E912" s="180">
        <f>+C315</f>
        <v>105580</v>
      </c>
      <c r="F912" s="180">
        <f>+C310</f>
        <v>51021</v>
      </c>
      <c r="G912" s="180">
        <f>+C322</f>
        <v>-14510</v>
      </c>
      <c r="H912" s="180">
        <f>+C485</f>
        <v>42323</v>
      </c>
      <c r="I912" s="180">
        <f>+C535</f>
        <v>22143</v>
      </c>
      <c r="J912" s="180">
        <f>+C580</f>
        <v>22023</v>
      </c>
      <c r="K912" s="180">
        <f>+C644</f>
        <v>21321</v>
      </c>
      <c r="L912" s="180">
        <f>+C654</f>
        <v>16733</v>
      </c>
      <c r="M912" s="180">
        <f>+C690</f>
        <v>16711</v>
      </c>
      <c r="N912" s="180">
        <f>+C741</f>
        <v>15825</v>
      </c>
      <c r="O912" s="180">
        <f>+C751</f>
        <v>4071</v>
      </c>
      <c r="P912" s="180">
        <f>+C785</f>
        <v>3023</v>
      </c>
      <c r="Q912" s="180">
        <f>+C834</f>
        <v>4068</v>
      </c>
      <c r="R912" s="306"/>
      <c r="T912" s="193">
        <f>'[2]Lake Pleasant Forecast'!B37</f>
        <v>1693.66</v>
      </c>
      <c r="AC912" s="189" t="s">
        <v>694</v>
      </c>
      <c r="AD912" s="180">
        <f t="shared" si="284"/>
        <v>80702</v>
      </c>
      <c r="AE912" s="180">
        <f t="shared" si="285"/>
        <v>1617.5216826798235</v>
      </c>
      <c r="AF912" s="180">
        <f t="shared" si="292"/>
        <v>130537.23483562711</v>
      </c>
      <c r="AG912" s="180">
        <f t="shared" si="286"/>
        <v>128220.33900000001</v>
      </c>
      <c r="AH912" s="180">
        <f t="shared" si="290"/>
        <v>258757.57383562712</v>
      </c>
      <c r="AI912" s="180">
        <f t="shared" si="287"/>
        <v>12024</v>
      </c>
      <c r="AJ912" s="180">
        <f t="shared" si="291"/>
        <v>270781.57383562712</v>
      </c>
      <c r="AK912" s="180">
        <f>(G1006)</f>
        <v>13.620482290881665</v>
      </c>
      <c r="AL912" s="180">
        <f t="shared" si="289"/>
        <v>270767.95335333626</v>
      </c>
      <c r="AM912" s="180" t="s">
        <v>633</v>
      </c>
      <c r="AN912" s="180">
        <f>+B921/30/1.98</f>
        <v>2882.5589225589224</v>
      </c>
      <c r="AO912" s="180">
        <f t="shared" si="293"/>
        <v>1356.2419444444445</v>
      </c>
      <c r="AP912" s="180">
        <f>+O325</f>
        <v>-1.8322407127248277</v>
      </c>
      <c r="AQ912" s="180"/>
      <c r="AR912" s="180"/>
      <c r="AS912" s="180"/>
      <c r="AT912" s="306"/>
    </row>
    <row r="913" spans="1:50" ht="15.75" customHeight="1" x14ac:dyDescent="0.3">
      <c r="A913" s="192" t="s">
        <v>10</v>
      </c>
      <c r="B913" s="180">
        <f>+D29</f>
        <v>137595</v>
      </c>
      <c r="C913" s="180">
        <f>+D64</f>
        <v>137321</v>
      </c>
      <c r="D913" s="180">
        <f>+D133</f>
        <v>137060</v>
      </c>
      <c r="E913" s="180">
        <f>+D315</f>
        <v>133800</v>
      </c>
      <c r="F913" s="180">
        <f>+D310</f>
        <v>46045</v>
      </c>
      <c r="G913" s="180">
        <f>+D322</f>
        <v>-18985</v>
      </c>
      <c r="H913" s="180">
        <f>+D485</f>
        <v>80845</v>
      </c>
      <c r="I913" s="180">
        <f>+D535</f>
        <v>33828</v>
      </c>
      <c r="J913" s="180">
        <f>+D580</f>
        <v>28768</v>
      </c>
      <c r="K913" s="180">
        <f>+D644</f>
        <v>26714</v>
      </c>
      <c r="L913" s="180">
        <f>+D654</f>
        <v>19810</v>
      </c>
      <c r="M913" s="180">
        <f>+D690</f>
        <v>19782</v>
      </c>
      <c r="N913" s="180">
        <f>+D741</f>
        <v>18827</v>
      </c>
      <c r="O913" s="180">
        <f>+D751</f>
        <v>2777</v>
      </c>
      <c r="P913" s="180">
        <f>+D785</f>
        <v>3780</v>
      </c>
      <c r="Q913" s="180">
        <f>+D834</f>
        <v>2745</v>
      </c>
      <c r="R913" s="306"/>
      <c r="T913" s="193">
        <f>'[2]Lake Pleasant Forecast'!B39</f>
        <v>1696.7</v>
      </c>
      <c r="AC913" s="189" t="s">
        <v>695</v>
      </c>
      <c r="AD913" s="180">
        <f t="shared" si="284"/>
        <v>79076</v>
      </c>
      <c r="AE913" s="180">
        <f t="shared" si="285"/>
        <v>1621.0530797648637</v>
      </c>
      <c r="AF913" s="180">
        <f t="shared" si="292"/>
        <v>128186.39333548637</v>
      </c>
      <c r="AG913" s="180">
        <f t="shared" si="286"/>
        <v>89721.327999999994</v>
      </c>
      <c r="AH913" s="180">
        <f t="shared" si="290"/>
        <v>217907.72133548636</v>
      </c>
      <c r="AI913" s="180">
        <f t="shared" si="287"/>
        <v>10982</v>
      </c>
      <c r="AJ913" s="180">
        <f t="shared" si="291"/>
        <v>228889.72133548636</v>
      </c>
      <c r="AK913" s="180">
        <f>(G1007)</f>
        <v>0</v>
      </c>
      <c r="AL913" s="180">
        <f t="shared" si="289"/>
        <v>228889.72133548636</v>
      </c>
      <c r="AM913" s="180" t="s">
        <v>633</v>
      </c>
      <c r="AN913" s="180">
        <f>+B922/31/1.98</f>
        <v>2320.690778755295</v>
      </c>
      <c r="AO913" s="180">
        <f>(AD913*43560/31/24/3600)</f>
        <v>1286.0478494623655</v>
      </c>
      <c r="AP913" s="180">
        <f>+P325</f>
        <v>0</v>
      </c>
      <c r="AQ913" s="180"/>
      <c r="AR913" s="180"/>
      <c r="AS913" s="180"/>
      <c r="AT913" s="306"/>
    </row>
    <row r="914" spans="1:50" ht="15.75" customHeight="1" x14ac:dyDescent="0.3">
      <c r="A914" s="192" t="s">
        <v>12</v>
      </c>
      <c r="B914" s="180">
        <f>+F29</f>
        <v>168653</v>
      </c>
      <c r="C914" s="180">
        <f>+F64</f>
        <v>168286</v>
      </c>
      <c r="D914" s="180">
        <f>+F133</f>
        <v>167936</v>
      </c>
      <c r="E914" s="180">
        <f>+F315</f>
        <v>162267</v>
      </c>
      <c r="F914" s="180">
        <f>+F310</f>
        <v>10279</v>
      </c>
      <c r="G914" s="180">
        <f>+F322</f>
        <v>-6618</v>
      </c>
      <c r="H914" s="180">
        <f>+F485</f>
        <v>116980</v>
      </c>
      <c r="I914" s="180">
        <f>+F535</f>
        <v>46114</v>
      </c>
      <c r="J914" s="180">
        <f>+F580</f>
        <v>34875</v>
      </c>
      <c r="K914" s="180">
        <f>+F644</f>
        <v>29062</v>
      </c>
      <c r="L914" s="180">
        <f>+F654</f>
        <v>22744</v>
      </c>
      <c r="M914" s="180">
        <f>+F690</f>
        <v>22707</v>
      </c>
      <c r="N914" s="180">
        <f>+F741</f>
        <v>21275</v>
      </c>
      <c r="O914" s="180">
        <f>+F751</f>
        <v>3950</v>
      </c>
      <c r="P914" s="180">
        <f>+F785</f>
        <v>4566</v>
      </c>
      <c r="Q914" s="180">
        <f>+F834</f>
        <v>3943</v>
      </c>
      <c r="R914" s="306"/>
      <c r="T914" s="193">
        <f>'[2]Lake Pleasant Forecast'!B41</f>
        <v>1696.11085484296</v>
      </c>
      <c r="AC914" s="179"/>
      <c r="AD914" s="180"/>
      <c r="AE914" s="180"/>
      <c r="AF914" s="180"/>
      <c r="AG914" s="180"/>
      <c r="AH914" s="180"/>
      <c r="AI914" s="180"/>
      <c r="AJ914" s="180"/>
      <c r="AK914" s="180"/>
      <c r="AL914" s="180"/>
      <c r="AM914" s="180" t="s">
        <v>633</v>
      </c>
      <c r="AN914" s="180"/>
      <c r="AO914" s="180"/>
      <c r="AP914" s="180"/>
      <c r="AQ914" s="180"/>
      <c r="AR914" s="180"/>
      <c r="AS914" s="180"/>
      <c r="AT914" s="306"/>
    </row>
    <row r="915" spans="1:50" ht="15.75" customHeight="1" x14ac:dyDescent="0.3">
      <c r="A915" s="192" t="s">
        <v>13</v>
      </c>
      <c r="B915" s="180">
        <f>+G29</f>
        <v>179408</v>
      </c>
      <c r="C915" s="180">
        <f>+G64</f>
        <v>178983</v>
      </c>
      <c r="D915" s="180">
        <f>+G133</f>
        <v>178581</v>
      </c>
      <c r="E915" s="180">
        <f>+G315</f>
        <v>172030</v>
      </c>
      <c r="F915" s="180">
        <f>+G310</f>
        <v>4059</v>
      </c>
      <c r="G915" s="180">
        <f>+G322</f>
        <v>-4883</v>
      </c>
      <c r="H915" s="180">
        <f>+G485</f>
        <v>129854</v>
      </c>
      <c r="I915" s="180">
        <f>+G535</f>
        <v>41916</v>
      </c>
      <c r="J915" s="180">
        <f>+G580</f>
        <v>32231</v>
      </c>
      <c r="K915" s="180">
        <f>+G644</f>
        <v>26704</v>
      </c>
      <c r="L915" s="180">
        <f>+G654</f>
        <v>22776</v>
      </c>
      <c r="M915" s="180">
        <f>+G690</f>
        <v>22734</v>
      </c>
      <c r="N915" s="180">
        <f>+G741</f>
        <v>21199</v>
      </c>
      <c r="O915" s="180">
        <f>+G751</f>
        <v>4730</v>
      </c>
      <c r="P915" s="180">
        <f>+G785</f>
        <v>5871</v>
      </c>
      <c r="Q915" s="180">
        <f>+G834</f>
        <v>4722</v>
      </c>
      <c r="R915" s="306"/>
      <c r="T915" s="193">
        <f>'[2]Lake Pleasant Forecast'!B43</f>
        <v>1693.7800000000002</v>
      </c>
      <c r="AC915" s="179" t="s">
        <v>641</v>
      </c>
      <c r="AD915" s="180">
        <f>SUM(AD902:AD913)</f>
        <v>425398</v>
      </c>
      <c r="AE915" s="180"/>
      <c r="AF915" s="180">
        <f t="shared" ref="AF915:AL915" si="294">SUM(AF902:AF913)</f>
        <v>690926.41549863294</v>
      </c>
      <c r="AG915" s="180">
        <f t="shared" si="294"/>
        <v>1569689.2199999997</v>
      </c>
      <c r="AH915" s="180">
        <f t="shared" si="294"/>
        <v>2260615.6354986331</v>
      </c>
      <c r="AI915" s="180">
        <f t="shared" si="294"/>
        <v>418452</v>
      </c>
      <c r="AJ915" s="180">
        <f t="shared" si="294"/>
        <v>2679067.6354986331</v>
      </c>
      <c r="AK915" s="180">
        <f t="shared" si="294"/>
        <v>53045.401866235516</v>
      </c>
      <c r="AL915" s="180">
        <f t="shared" si="294"/>
        <v>2626022.2336323974</v>
      </c>
      <c r="AM915" s="180"/>
      <c r="AN915" s="180"/>
      <c r="AO915" s="180"/>
      <c r="AP915" s="180"/>
      <c r="AQ915" s="180"/>
      <c r="AR915" s="180"/>
      <c r="AS915" s="180"/>
      <c r="AT915" s="306"/>
    </row>
    <row r="916" spans="1:50" ht="15.75" customHeight="1" x14ac:dyDescent="0.3">
      <c r="A916" s="192" t="s">
        <v>14</v>
      </c>
      <c r="B916" s="180">
        <f>+H29</f>
        <v>92075</v>
      </c>
      <c r="C916" s="180">
        <f>+H64</f>
        <v>91658</v>
      </c>
      <c r="D916" s="180">
        <f>+H133</f>
        <v>91262</v>
      </c>
      <c r="E916" s="180">
        <f>+H315</f>
        <v>84340</v>
      </c>
      <c r="F916" s="180">
        <f>+H310</f>
        <v>0</v>
      </c>
      <c r="G916" s="180">
        <f>+H322</f>
        <v>-106895</v>
      </c>
      <c r="H916" s="180">
        <f>+H485</f>
        <v>143470</v>
      </c>
      <c r="I916" s="180">
        <f>+H535</f>
        <v>44920</v>
      </c>
      <c r="J916" s="180">
        <f>+H580</f>
        <v>29005</v>
      </c>
      <c r="K916" s="180">
        <f>+H644</f>
        <v>23016</v>
      </c>
      <c r="L916" s="180">
        <f>+H654</f>
        <v>19660</v>
      </c>
      <c r="M916" s="180">
        <f>+H690</f>
        <v>19616</v>
      </c>
      <c r="N916" s="180">
        <f>+H741</f>
        <v>17889</v>
      </c>
      <c r="O916" s="180">
        <f>+H751</f>
        <v>3900</v>
      </c>
      <c r="P916" s="180">
        <f>+H785</f>
        <v>5822</v>
      </c>
      <c r="Q916" s="180">
        <f>+H834</f>
        <v>3891</v>
      </c>
      <c r="R916" s="306"/>
      <c r="T916" s="193">
        <f>'[2]Lake Pleasant Forecast'!B45</f>
        <v>1681.1000000000001</v>
      </c>
      <c r="AC916" s="179"/>
      <c r="AD916" s="180"/>
      <c r="AE916" s="180"/>
      <c r="AF916" s="180"/>
      <c r="AG916" s="180"/>
      <c r="AH916" s="180"/>
      <c r="AI916" s="180"/>
      <c r="AJ916" s="180"/>
      <c r="AK916" s="180"/>
      <c r="AL916" s="180"/>
      <c r="AM916" s="180"/>
      <c r="AN916" s="180"/>
      <c r="AO916" s="180"/>
      <c r="AP916" s="180"/>
      <c r="AQ916" s="180"/>
      <c r="AR916" s="180"/>
      <c r="AS916" s="180"/>
      <c r="AT916" s="306"/>
    </row>
    <row r="917" spans="1:50" ht="15.75" customHeight="1" x14ac:dyDescent="0.3">
      <c r="A917" s="192" t="s">
        <v>16</v>
      </c>
      <c r="B917" s="180">
        <f>+J29</f>
        <v>78705</v>
      </c>
      <c r="C917" s="180">
        <f>+J64</f>
        <v>78289</v>
      </c>
      <c r="D917" s="180">
        <f>+J133</f>
        <v>77895</v>
      </c>
      <c r="E917" s="180">
        <f>+J315</f>
        <v>70991</v>
      </c>
      <c r="F917" s="180">
        <f>+J310</f>
        <v>0</v>
      </c>
      <c r="G917" s="180">
        <f>+J322</f>
        <v>-118035</v>
      </c>
      <c r="H917" s="180">
        <f>+J485</f>
        <v>145660</v>
      </c>
      <c r="I917" s="180">
        <f>+J535</f>
        <v>48670</v>
      </c>
      <c r="J917" s="180">
        <f>+J580</f>
        <v>30117</v>
      </c>
      <c r="K917" s="180">
        <f>+J644</f>
        <v>22776</v>
      </c>
      <c r="L917" s="180">
        <f>+J654</f>
        <v>18401</v>
      </c>
      <c r="M917" s="180">
        <f>+J690</f>
        <v>18362</v>
      </c>
      <c r="N917" s="180">
        <f>+J741</f>
        <v>16802</v>
      </c>
      <c r="O917" s="180">
        <f>+J751</f>
        <v>3392</v>
      </c>
      <c r="P917" s="180">
        <f>+J785</f>
        <v>5226</v>
      </c>
      <c r="Q917" s="180">
        <f>+J834</f>
        <v>3385</v>
      </c>
      <c r="R917" s="306"/>
      <c r="T917" s="193">
        <f>'[2]Lake Pleasant Forecast'!B47</f>
        <v>1671.6699725311105</v>
      </c>
      <c r="AC917" s="179" t="s">
        <v>696</v>
      </c>
      <c r="AD917" s="180"/>
      <c r="AE917" s="180"/>
      <c r="AF917" s="180"/>
      <c r="AG917" s="180"/>
      <c r="AH917" s="180"/>
      <c r="AI917" s="180"/>
      <c r="AJ917" s="180"/>
      <c r="AK917" s="180"/>
      <c r="AL917" s="180"/>
      <c r="AM917" s="180"/>
      <c r="AN917" s="180"/>
      <c r="AO917" s="180"/>
      <c r="AP917" s="180"/>
      <c r="AQ917" s="180"/>
      <c r="AR917" s="180"/>
      <c r="AS917" s="180"/>
      <c r="AT917" s="306"/>
    </row>
    <row r="918" spans="1:50" ht="15.75" customHeight="1" x14ac:dyDescent="0.3">
      <c r="A918" s="192" t="s">
        <v>17</v>
      </c>
      <c r="B918" s="180">
        <f>+K29</f>
        <v>28360</v>
      </c>
      <c r="C918" s="180">
        <f>+K64</f>
        <v>28026</v>
      </c>
      <c r="D918" s="180">
        <f>+K133</f>
        <v>27708</v>
      </c>
      <c r="E918" s="180">
        <f>+K315</f>
        <v>20509</v>
      </c>
      <c r="F918" s="180">
        <f>+K310</f>
        <v>0</v>
      </c>
      <c r="G918" s="180">
        <f>+K322</f>
        <v>-157144</v>
      </c>
      <c r="H918" s="180">
        <f>+K485</f>
        <v>123809</v>
      </c>
      <c r="I918" s="180">
        <f>+K535</f>
        <v>48950</v>
      </c>
      <c r="J918" s="180">
        <f>+K580</f>
        <v>32508</v>
      </c>
      <c r="K918" s="180">
        <f>+K644</f>
        <v>28147</v>
      </c>
      <c r="L918" s="180">
        <f>+K654</f>
        <v>22624</v>
      </c>
      <c r="M918" s="180">
        <f>+K690</f>
        <v>22588</v>
      </c>
      <c r="N918" s="180">
        <f>+K741</f>
        <v>20052</v>
      </c>
      <c r="O918" s="180">
        <f>+K751</f>
        <v>4526</v>
      </c>
      <c r="P918" s="180">
        <f>+K785</f>
        <v>5706</v>
      </c>
      <c r="Q918" s="180">
        <f>+K834</f>
        <v>4520</v>
      </c>
      <c r="R918" s="306"/>
      <c r="T918" s="193">
        <f>'[2]Lake Pleasant Forecast'!B49</f>
        <v>1661.2798188452823</v>
      </c>
      <c r="AC918" s="179" t="s">
        <v>697</v>
      </c>
      <c r="AD918" s="180"/>
      <c r="AE918" s="180"/>
      <c r="AF918" s="180"/>
      <c r="AG918" s="180"/>
      <c r="AH918" s="180"/>
      <c r="AI918" s="180"/>
      <c r="AJ918" s="180"/>
      <c r="AK918" s="180"/>
      <c r="AL918" s="180"/>
      <c r="AM918" s="180"/>
      <c r="AN918" s="180"/>
      <c r="AO918" s="180"/>
      <c r="AP918" s="180"/>
      <c r="AQ918" s="180"/>
      <c r="AR918" s="180"/>
      <c r="AS918" s="180"/>
      <c r="AT918" s="306"/>
    </row>
    <row r="919" spans="1:50" ht="15.75" customHeight="1" x14ac:dyDescent="0.3">
      <c r="A919" s="192" t="s">
        <v>18</v>
      </c>
      <c r="B919" s="180">
        <f>+L29</f>
        <v>165276</v>
      </c>
      <c r="C919" s="180">
        <f>+L64</f>
        <v>164960</v>
      </c>
      <c r="D919" s="180">
        <f>+L133</f>
        <v>164659</v>
      </c>
      <c r="E919" s="180">
        <f>+L315</f>
        <v>159695</v>
      </c>
      <c r="F919" s="180">
        <f>+L310</f>
        <v>17967</v>
      </c>
      <c r="G919" s="180">
        <f>+L322</f>
        <v>-7983</v>
      </c>
      <c r="H919" s="180">
        <f>+L485</f>
        <v>97255</v>
      </c>
      <c r="I919" s="180">
        <f>+L535</f>
        <v>35850</v>
      </c>
      <c r="J919" s="180">
        <f>+L580</f>
        <v>27698</v>
      </c>
      <c r="K919" s="180">
        <f>+L644</f>
        <v>23993</v>
      </c>
      <c r="L919" s="180">
        <f>+L654</f>
        <v>18863</v>
      </c>
      <c r="M919" s="180">
        <f>+L690</f>
        <v>18829</v>
      </c>
      <c r="N919" s="180">
        <f>+L741</f>
        <v>16760</v>
      </c>
      <c r="O919" s="180">
        <f>+L751</f>
        <v>4085</v>
      </c>
      <c r="P919" s="180">
        <f>+L785</f>
        <v>5582</v>
      </c>
      <c r="Q919" s="180">
        <f>+L834</f>
        <v>4079</v>
      </c>
      <c r="R919" s="306"/>
      <c r="T919" s="193">
        <f>'[2]Lake Pleasant Forecast'!B51</f>
        <v>1659.68</v>
      </c>
      <c r="AC919" s="179"/>
      <c r="AD919" s="180"/>
      <c r="AE919" s="180"/>
      <c r="AF919" s="180"/>
      <c r="AG919" s="180"/>
      <c r="AH919" s="180"/>
      <c r="AI919" s="180"/>
      <c r="AJ919" s="180"/>
      <c r="AK919" s="180"/>
      <c r="AL919" s="180"/>
      <c r="AM919" s="180"/>
      <c r="AN919" s="180"/>
      <c r="AO919" s="180"/>
      <c r="AP919" s="180"/>
      <c r="AQ919" s="180"/>
      <c r="AR919" s="180"/>
      <c r="AS919" s="180"/>
      <c r="AT919" s="306"/>
    </row>
    <row r="920" spans="1:50" ht="15.75" customHeight="1" x14ac:dyDescent="0.3">
      <c r="A920" s="192" t="s">
        <v>20</v>
      </c>
      <c r="B920" s="180">
        <f>+N29</f>
        <v>175198</v>
      </c>
      <c r="C920" s="180">
        <f>+N64</f>
        <v>174913</v>
      </c>
      <c r="D920" s="180">
        <f>+N133</f>
        <v>174641</v>
      </c>
      <c r="E920" s="180">
        <f>+N315</f>
        <v>173627</v>
      </c>
      <c r="F920" s="180">
        <f>+N310</f>
        <v>94204</v>
      </c>
      <c r="G920" s="180">
        <f>+N322</f>
        <v>0</v>
      </c>
      <c r="H920" s="180">
        <f>+N485</f>
        <v>39567</v>
      </c>
      <c r="I920" s="180">
        <f>+N535</f>
        <v>13498</v>
      </c>
      <c r="J920" s="180">
        <f>+N580</f>
        <v>12622</v>
      </c>
      <c r="K920" s="180">
        <f>+N644</f>
        <v>12436</v>
      </c>
      <c r="L920" s="180">
        <f>+N654</f>
        <v>9004</v>
      </c>
      <c r="M920" s="180">
        <f>+N690</f>
        <v>8975</v>
      </c>
      <c r="N920" s="180">
        <f>+N741</f>
        <v>8857</v>
      </c>
      <c r="O920" s="180">
        <f>+N751</f>
        <v>3175.9999999999995</v>
      </c>
      <c r="P920" s="180">
        <f>+N785</f>
        <v>3589.6666666666665</v>
      </c>
      <c r="Q920" s="180">
        <f>+N834</f>
        <v>3171</v>
      </c>
      <c r="R920" s="306"/>
      <c r="T920" s="193">
        <f>'[2]Lake Pleasant Forecast'!B53</f>
        <v>1666.2699999999998</v>
      </c>
      <c r="AC920" s="179" t="s">
        <v>698</v>
      </c>
      <c r="AD920" s="180"/>
      <c r="AE920" s="180"/>
      <c r="AF920" s="180"/>
      <c r="AG920" s="180"/>
      <c r="AH920" s="180"/>
      <c r="AI920" s="180"/>
      <c r="AJ920" s="180"/>
      <c r="AK920" s="180"/>
      <c r="AL920" s="180"/>
      <c r="AM920" s="180"/>
      <c r="AN920" s="180"/>
      <c r="AO920" s="180"/>
      <c r="AP920" s="180"/>
      <c r="AQ920" s="180"/>
      <c r="AR920" s="180"/>
      <c r="AS920" s="180"/>
      <c r="AT920" s="306"/>
    </row>
    <row r="921" spans="1:50" ht="15.75" customHeight="1" x14ac:dyDescent="0.3">
      <c r="A921" s="192" t="s">
        <v>21</v>
      </c>
      <c r="B921" s="180">
        <f>+O29</f>
        <v>171224</v>
      </c>
      <c r="C921" s="180">
        <f>+O64</f>
        <v>170989</v>
      </c>
      <c r="D921" s="180">
        <f>+O133</f>
        <v>170763</v>
      </c>
      <c r="E921" s="180">
        <f>+O315</f>
        <v>167679</v>
      </c>
      <c r="F921" s="180">
        <f>+O310</f>
        <v>80702</v>
      </c>
      <c r="G921" s="180">
        <f>+O322</f>
        <v>-109</v>
      </c>
      <c r="H921" s="180">
        <f>+O485</f>
        <v>39480</v>
      </c>
      <c r="I921" s="180">
        <f>+O535</f>
        <v>5600</v>
      </c>
      <c r="J921" s="180">
        <f>+O580</f>
        <v>5556</v>
      </c>
      <c r="K921" s="180">
        <f>+O644</f>
        <v>5191</v>
      </c>
      <c r="L921" s="180">
        <f>+O654</f>
        <v>4434</v>
      </c>
      <c r="M921" s="180">
        <f>+O690</f>
        <v>4411</v>
      </c>
      <c r="N921" s="180">
        <f>+O741</f>
        <v>3759</v>
      </c>
      <c r="O921" s="180">
        <f>+O751</f>
        <v>2142</v>
      </c>
      <c r="P921" s="180">
        <f>+O785</f>
        <v>3783.8</v>
      </c>
      <c r="Q921" s="180">
        <f>+O834</f>
        <v>2139</v>
      </c>
      <c r="R921" s="306"/>
      <c r="T921" s="193">
        <f>'[2]Lake Pleasant Forecast'!B55</f>
        <v>1674.31</v>
      </c>
      <c r="AC921" s="179"/>
      <c r="AD921" s="180"/>
      <c r="AE921" s="180"/>
      <c r="AF921" s="180"/>
      <c r="AG921" s="180"/>
      <c r="AH921" s="180"/>
      <c r="AI921" s="180"/>
      <c r="AJ921" s="180"/>
      <c r="AK921" s="180"/>
      <c r="AL921" s="180"/>
      <c r="AM921" s="180"/>
      <c r="AN921" s="180"/>
      <c r="AO921" s="180"/>
      <c r="AP921" s="180"/>
      <c r="AQ921" s="180"/>
      <c r="AR921" s="180"/>
      <c r="AS921" s="180"/>
      <c r="AT921" s="306"/>
    </row>
    <row r="922" spans="1:50" ht="15.75" customHeight="1" thickBot="1" x14ac:dyDescent="0.35">
      <c r="A922" s="192" t="s">
        <v>22</v>
      </c>
      <c r="B922" s="180">
        <f>+P29</f>
        <v>142444</v>
      </c>
      <c r="C922" s="180">
        <f>+P64</f>
        <v>142258</v>
      </c>
      <c r="D922" s="180">
        <f>+P133</f>
        <v>142079</v>
      </c>
      <c r="E922" s="180">
        <f>+P315</f>
        <v>139832</v>
      </c>
      <c r="F922" s="180">
        <f>+P310</f>
        <v>79076</v>
      </c>
      <c r="G922" s="180">
        <f>+P322</f>
        <v>0</v>
      </c>
      <c r="H922" s="180">
        <f>+P485</f>
        <v>29496</v>
      </c>
      <c r="I922" s="180">
        <f>+P535</f>
        <v>5609</v>
      </c>
      <c r="J922" s="180">
        <f>+P580</f>
        <v>5316</v>
      </c>
      <c r="K922" s="180">
        <f>+P644</f>
        <v>5274</v>
      </c>
      <c r="L922" s="180">
        <f>+P654</f>
        <v>5144</v>
      </c>
      <c r="M922" s="180">
        <f>+P690</f>
        <v>5125</v>
      </c>
      <c r="N922" s="180">
        <f>+P741</f>
        <v>4262</v>
      </c>
      <c r="O922" s="180">
        <f>+P751</f>
        <v>1908</v>
      </c>
      <c r="P922" s="180">
        <f>+P785</f>
        <v>3314.2</v>
      </c>
      <c r="Q922" s="180">
        <f>+P834</f>
        <v>1886</v>
      </c>
      <c r="R922" s="306"/>
      <c r="T922" s="193">
        <f>'[2]Lake Pleasant Forecast'!B57</f>
        <v>1677.029882034898</v>
      </c>
      <c r="AC922" s="194" t="s">
        <v>699</v>
      </c>
      <c r="AD922" s="195"/>
      <c r="AE922" s="195"/>
      <c r="AF922" s="195"/>
      <c r="AG922" s="195"/>
      <c r="AH922" s="195"/>
      <c r="AI922" s="195"/>
      <c r="AJ922" s="195"/>
      <c r="AK922" s="195"/>
      <c r="AL922" s="195"/>
      <c r="AM922" s="195"/>
      <c r="AN922" s="195"/>
      <c r="AO922" s="195"/>
      <c r="AP922" s="195"/>
      <c r="AQ922" s="195"/>
      <c r="AR922" s="195"/>
      <c r="AS922" s="195"/>
      <c r="AT922" s="196"/>
    </row>
    <row r="923" spans="1:50" ht="15.75" customHeight="1" x14ac:dyDescent="0.3">
      <c r="A923" s="189"/>
      <c r="B923" s="180"/>
      <c r="C923" s="180"/>
      <c r="D923" s="180"/>
      <c r="E923" s="180"/>
      <c r="F923" s="180"/>
      <c r="G923" s="180"/>
      <c r="H923" s="180"/>
      <c r="I923" s="180"/>
      <c r="J923" s="180"/>
      <c r="K923" s="180"/>
      <c r="L923" s="180"/>
      <c r="M923" s="180"/>
      <c r="N923" s="180"/>
      <c r="O923" s="180"/>
      <c r="P923" s="180"/>
      <c r="Q923" s="180"/>
      <c r="R923" s="306"/>
    </row>
    <row r="924" spans="1:50" ht="15.75" customHeight="1" thickBot="1" x14ac:dyDescent="0.35">
      <c r="A924" s="189" t="s">
        <v>641</v>
      </c>
      <c r="B924" s="180">
        <f t="shared" ref="B924:Q924" si="295">SUM(B911:B922)</f>
        <v>1535795</v>
      </c>
      <c r="C924" s="180">
        <f t="shared" si="295"/>
        <v>1532295</v>
      </c>
      <c r="D924" s="180">
        <f t="shared" si="295"/>
        <v>1528955</v>
      </c>
      <c r="E924" s="180">
        <f t="shared" si="295"/>
        <v>1479017</v>
      </c>
      <c r="F924" s="180">
        <f t="shared" si="295"/>
        <v>425398</v>
      </c>
      <c r="G924" s="180">
        <f t="shared" si="295"/>
        <v>-439883</v>
      </c>
      <c r="H924" s="180">
        <f t="shared" si="295"/>
        <v>1016373</v>
      </c>
      <c r="I924" s="180">
        <f t="shared" si="295"/>
        <v>360816</v>
      </c>
      <c r="J924" s="180">
        <f t="shared" si="295"/>
        <v>274393</v>
      </c>
      <c r="K924" s="180">
        <f t="shared" si="295"/>
        <v>238259</v>
      </c>
      <c r="L924" s="180">
        <f t="shared" si="295"/>
        <v>192190</v>
      </c>
      <c r="M924" s="180">
        <f t="shared" si="295"/>
        <v>191817</v>
      </c>
      <c r="N924" s="180">
        <f t="shared" si="295"/>
        <v>177198</v>
      </c>
      <c r="O924" s="180">
        <f t="shared" si="295"/>
        <v>42374</v>
      </c>
      <c r="P924" s="180">
        <f t="shared" si="295"/>
        <v>54016.666666666664</v>
      </c>
      <c r="Q924" s="180">
        <f t="shared" si="295"/>
        <v>42264</v>
      </c>
      <c r="R924" s="306"/>
    </row>
    <row r="925" spans="1:50" ht="15.75" customHeight="1" thickBot="1" x14ac:dyDescent="0.35">
      <c r="A925" s="135"/>
      <c r="B925" s="135"/>
      <c r="C925" s="135"/>
      <c r="D925" s="135"/>
      <c r="E925" s="135"/>
      <c r="F925" s="135"/>
      <c r="G925" s="135"/>
      <c r="H925" s="135"/>
      <c r="I925" s="135"/>
      <c r="J925" s="135"/>
      <c r="K925" s="135"/>
      <c r="L925" s="135"/>
      <c r="M925" s="135"/>
      <c r="N925" s="135"/>
      <c r="O925" s="135"/>
      <c r="P925" s="135"/>
      <c r="Q925" s="135"/>
      <c r="R925" s="196"/>
      <c r="AC925" s="350"/>
      <c r="AD925" s="351"/>
      <c r="AE925" s="351"/>
      <c r="AF925" s="351"/>
      <c r="AG925" s="351"/>
      <c r="AH925" s="351"/>
      <c r="AI925" s="351"/>
      <c r="AJ925" s="351"/>
      <c r="AK925" s="351"/>
      <c r="AL925" s="351"/>
      <c r="AM925" s="351"/>
      <c r="AN925" s="351"/>
      <c r="AO925" s="351"/>
      <c r="AP925" s="351"/>
      <c r="AQ925" s="351"/>
      <c r="AR925" s="351"/>
      <c r="AS925" s="354" t="str">
        <f>+Q1</f>
        <v xml:space="preserve">PRINTED:  </v>
      </c>
      <c r="AT925" s="357">
        <f ca="1">+R1</f>
        <v>44894.658168402777</v>
      </c>
      <c r="AU925" s="358"/>
      <c r="AW925" s="199" t="s">
        <v>700</v>
      </c>
      <c r="AX925" s="180"/>
    </row>
    <row r="926" spans="1:50" ht="15.75" customHeight="1" x14ac:dyDescent="0.35">
      <c r="A926" s="359"/>
      <c r="B926" s="359"/>
      <c r="C926" s="359"/>
      <c r="D926" s="359"/>
      <c r="E926" s="359"/>
      <c r="F926" s="359"/>
      <c r="G926" s="359"/>
      <c r="H926" s="359"/>
      <c r="I926" s="359"/>
      <c r="J926" s="359"/>
      <c r="K926" s="359"/>
      <c r="L926" s="359"/>
      <c r="M926" s="359"/>
      <c r="N926" s="359"/>
      <c r="O926" s="359"/>
      <c r="P926" s="359"/>
      <c r="Q926" s="359"/>
      <c r="R926" s="351"/>
      <c r="AC926" s="179"/>
      <c r="AD926" s="180"/>
      <c r="AE926" s="199" t="s">
        <v>701</v>
      </c>
      <c r="AF926" s="180"/>
      <c r="AG926" s="180"/>
      <c r="AH926" s="180"/>
      <c r="AI926" s="180"/>
      <c r="AJ926" s="180"/>
      <c r="AK926" s="180"/>
      <c r="AL926" s="180"/>
      <c r="AM926" s="180"/>
      <c r="AN926" s="201"/>
      <c r="AO926" s="199" t="s">
        <v>702</v>
      </c>
      <c r="AP926" s="180"/>
      <c r="AQ926" s="180"/>
      <c r="AR926" s="180"/>
      <c r="AS926" s="180"/>
      <c r="AT926" s="180"/>
      <c r="AU926" s="304"/>
      <c r="AW926" s="180" t="s">
        <v>703</v>
      </c>
      <c r="AX926" s="180"/>
    </row>
    <row r="927" spans="1:50" ht="16.5" customHeight="1" x14ac:dyDescent="0.3">
      <c r="A927" s="189" t="s">
        <v>7</v>
      </c>
      <c r="B927" s="180"/>
      <c r="C927" s="180"/>
      <c r="D927" s="180"/>
      <c r="E927" s="180"/>
      <c r="F927" s="180"/>
      <c r="G927" s="180"/>
      <c r="H927" s="180"/>
      <c r="I927" s="180"/>
      <c r="J927" s="180"/>
      <c r="K927" s="180"/>
      <c r="L927" s="180"/>
      <c r="M927" s="180"/>
      <c r="N927" s="180"/>
      <c r="O927" s="180"/>
      <c r="P927" s="180"/>
      <c r="Q927" s="180"/>
      <c r="R927" s="180"/>
      <c r="AC927" s="179"/>
      <c r="AD927" s="180"/>
      <c r="AE927" s="180"/>
      <c r="AF927" s="180"/>
      <c r="AG927" s="180" t="s">
        <v>7</v>
      </c>
      <c r="AH927" s="202" t="str">
        <f>+A8</f>
        <v>Revised:  3/2/2019</v>
      </c>
      <c r="AI927" s="180"/>
      <c r="AJ927" s="180"/>
      <c r="AK927" s="180"/>
      <c r="AL927" s="180"/>
      <c r="AM927" s="180"/>
      <c r="AN927" s="180"/>
      <c r="AO927" s="180"/>
      <c r="AP927" s="180"/>
      <c r="AQ927" s="180"/>
      <c r="AR927" s="180" t="s">
        <v>7</v>
      </c>
      <c r="AS927" s="202" t="str">
        <f>+A8</f>
        <v>Revised:  3/2/2019</v>
      </c>
      <c r="AT927" s="180"/>
      <c r="AU927" s="304"/>
      <c r="AW927" s="180"/>
      <c r="AX927" s="180"/>
    </row>
    <row r="928" spans="1:50" ht="15.75" customHeight="1" x14ac:dyDescent="0.3">
      <c r="A928" s="182"/>
      <c r="B928" s="180"/>
      <c r="C928" s="180"/>
      <c r="D928" s="180"/>
      <c r="E928" s="180"/>
      <c r="F928" s="180"/>
      <c r="G928" s="180"/>
      <c r="H928" s="180"/>
      <c r="I928" s="180"/>
      <c r="J928" s="180"/>
      <c r="K928" s="180"/>
      <c r="L928" s="180"/>
      <c r="M928" s="180"/>
      <c r="N928" s="180"/>
      <c r="O928" s="180"/>
      <c r="P928" s="180"/>
      <c r="Q928" s="180"/>
      <c r="R928" s="180"/>
      <c r="AC928" s="179"/>
      <c r="AD928" s="180"/>
      <c r="AE928" s="180"/>
      <c r="AF928" s="180" t="s">
        <v>704</v>
      </c>
      <c r="AG928" s="180"/>
      <c r="AH928" s="180"/>
      <c r="AI928" s="180"/>
      <c r="AJ928" s="180"/>
      <c r="AK928" s="180"/>
      <c r="AL928" s="180"/>
      <c r="AM928" s="180"/>
      <c r="AN928" s="180"/>
      <c r="AO928" s="180"/>
      <c r="AP928" s="180" t="s">
        <v>704</v>
      </c>
      <c r="AQ928" s="180"/>
      <c r="AR928" s="180"/>
      <c r="AS928" s="180"/>
      <c r="AT928" s="180"/>
      <c r="AU928" s="304"/>
      <c r="AW928" s="180" t="s">
        <v>633</v>
      </c>
      <c r="AX928" s="182" t="s">
        <v>658</v>
      </c>
    </row>
    <row r="929" spans="1:50" ht="15.75" customHeight="1" x14ac:dyDescent="0.3">
      <c r="A929" s="192"/>
      <c r="AC929" s="179"/>
      <c r="AD929" s="180"/>
      <c r="AE929" s="180"/>
      <c r="AF929" s="180"/>
      <c r="AG929" s="180"/>
      <c r="AH929" s="180"/>
      <c r="AI929" s="180"/>
      <c r="AJ929" s="180"/>
      <c r="AK929" s="180"/>
      <c r="AL929" s="180"/>
      <c r="AM929" s="180"/>
      <c r="AN929" s="180"/>
      <c r="AO929" s="180"/>
      <c r="AP929" s="180"/>
      <c r="AQ929" s="180"/>
      <c r="AR929" s="180"/>
      <c r="AS929" s="180"/>
      <c r="AT929" s="180"/>
      <c r="AU929" s="304"/>
      <c r="AW929" s="182" t="s">
        <v>658</v>
      </c>
      <c r="AX929" s="182" t="s">
        <v>655</v>
      </c>
    </row>
    <row r="930" spans="1:50" ht="15.75" customHeight="1" thickBot="1" x14ac:dyDescent="0.35">
      <c r="A930" s="192"/>
      <c r="AC930" s="179"/>
      <c r="AD930" s="180"/>
      <c r="AE930" s="180"/>
      <c r="AF930" s="180"/>
      <c r="AG930" s="180">
        <f>+A5</f>
        <v>2018</v>
      </c>
      <c r="AH930" s="180"/>
      <c r="AI930" s="180"/>
      <c r="AJ930" s="180"/>
      <c r="AK930" s="180"/>
      <c r="AL930" s="180"/>
      <c r="AM930" s="180"/>
      <c r="AN930" s="180"/>
      <c r="AO930" s="180"/>
      <c r="AP930" s="180"/>
      <c r="AQ930" s="180"/>
      <c r="AR930" s="180">
        <f>+A5</f>
        <v>2018</v>
      </c>
      <c r="AS930" s="180"/>
      <c r="AT930" s="180"/>
      <c r="AU930" s="304"/>
      <c r="AW930" s="182" t="s">
        <v>705</v>
      </c>
      <c r="AX930" s="182" t="s">
        <v>706</v>
      </c>
    </row>
    <row r="931" spans="1:50" ht="15.75" customHeight="1" x14ac:dyDescent="0.3">
      <c r="A931" s="356"/>
      <c r="B931" s="423" t="s">
        <v>707</v>
      </c>
      <c r="C931" s="423"/>
      <c r="D931" s="423"/>
      <c r="E931" s="423"/>
      <c r="F931" s="423"/>
      <c r="G931" s="423"/>
      <c r="H931" s="423"/>
      <c r="I931" s="423"/>
      <c r="J931" s="423"/>
      <c r="K931" s="423"/>
      <c r="L931" s="423"/>
      <c r="M931" s="423"/>
      <c r="N931" s="423"/>
      <c r="O931" s="423"/>
      <c r="P931" s="423"/>
      <c r="Q931" s="354" t="str">
        <f>+Q1</f>
        <v xml:space="preserve">PRINTED:  </v>
      </c>
      <c r="R931" s="355">
        <f ca="1">+R1</f>
        <v>44894.658168402777</v>
      </c>
      <c r="AC931" s="179"/>
      <c r="AD931" s="180"/>
      <c r="AE931" s="180"/>
      <c r="AF931" s="180"/>
      <c r="AG931" s="180" t="s">
        <v>708</v>
      </c>
      <c r="AH931" s="180"/>
      <c r="AI931" s="180"/>
      <c r="AJ931" s="180"/>
      <c r="AK931" s="180"/>
      <c r="AL931" s="180"/>
      <c r="AM931" s="180"/>
      <c r="AN931" s="180"/>
      <c r="AO931" s="180"/>
      <c r="AP931" s="180"/>
      <c r="AQ931" s="180"/>
      <c r="AR931" s="180" t="s">
        <v>708</v>
      </c>
      <c r="AS931" s="180"/>
      <c r="AT931" s="180"/>
      <c r="AU931" s="304"/>
      <c r="AW931" s="182" t="s">
        <v>666</v>
      </c>
      <c r="AX931" s="182" t="s">
        <v>666</v>
      </c>
    </row>
    <row r="932" spans="1:50" ht="15.75" customHeight="1" x14ac:dyDescent="0.3">
      <c r="A932" s="189"/>
      <c r="B932" s="394" t="str">
        <f>+A8</f>
        <v>Revised:  3/2/2019</v>
      </c>
      <c r="C932" s="394"/>
      <c r="D932" s="394"/>
      <c r="E932" s="394"/>
      <c r="F932" s="394"/>
      <c r="G932" s="394"/>
      <c r="H932" s="394"/>
      <c r="I932" s="394"/>
      <c r="J932" s="394"/>
      <c r="K932" s="394"/>
      <c r="L932" s="394"/>
      <c r="M932" s="394"/>
      <c r="N932" s="394"/>
      <c r="O932" s="394"/>
      <c r="P932" s="394"/>
      <c r="Q932" s="180"/>
      <c r="R932" s="306"/>
      <c r="AC932" s="179"/>
      <c r="AD932" s="180"/>
      <c r="AE932" s="180"/>
      <c r="AF932" s="180"/>
      <c r="AG932" s="180"/>
      <c r="AH932" s="180"/>
      <c r="AI932" s="180"/>
      <c r="AJ932" s="180"/>
      <c r="AK932" s="180"/>
      <c r="AL932" s="180"/>
      <c r="AM932" s="180"/>
      <c r="AN932" s="180"/>
      <c r="AO932" s="180"/>
      <c r="AP932" s="180"/>
      <c r="AQ932" s="180"/>
      <c r="AR932" s="180"/>
      <c r="AS932" s="180"/>
      <c r="AT932" s="180"/>
      <c r="AU932" s="304"/>
      <c r="AW932" s="180">
        <f t="shared" ref="AW932:AW943" si="296">SUM(L968:Q968)</f>
        <v>9190</v>
      </c>
      <c r="AX932" s="203">
        <v>2.4700000000000002</v>
      </c>
    </row>
    <row r="933" spans="1:50" ht="15.75" customHeight="1" x14ac:dyDescent="0.3">
      <c r="A933" s="189"/>
      <c r="B933" s="394" t="s">
        <v>670</v>
      </c>
      <c r="C933" s="394"/>
      <c r="D933" s="394"/>
      <c r="E933" s="394"/>
      <c r="F933" s="394"/>
      <c r="G933" s="394"/>
      <c r="H933" s="394"/>
      <c r="I933" s="394"/>
      <c r="J933" s="394"/>
      <c r="K933" s="394"/>
      <c r="L933" s="394"/>
      <c r="M933" s="394"/>
      <c r="N933" s="394"/>
      <c r="O933" s="394"/>
      <c r="P933" s="394"/>
      <c r="Q933" s="180"/>
      <c r="R933" s="306"/>
      <c r="AC933" s="179" t="s">
        <v>709</v>
      </c>
      <c r="AD933" s="182" t="s">
        <v>677</v>
      </c>
      <c r="AE933" s="182" t="s">
        <v>678</v>
      </c>
      <c r="AF933" s="182" t="s">
        <v>679</v>
      </c>
      <c r="AG933" s="182" t="s">
        <v>680</v>
      </c>
      <c r="AH933" s="182" t="s">
        <v>644</v>
      </c>
      <c r="AI933" s="180"/>
      <c r="AJ933" s="182" t="s">
        <v>641</v>
      </c>
      <c r="AK933" s="180"/>
      <c r="AL933" s="180"/>
      <c r="AM933" s="180"/>
      <c r="AN933" s="180" t="s">
        <v>709</v>
      </c>
      <c r="AO933" s="182" t="s">
        <v>677</v>
      </c>
      <c r="AP933" s="182" t="s">
        <v>678</v>
      </c>
      <c r="AQ933" s="182" t="s">
        <v>679</v>
      </c>
      <c r="AR933" s="182" t="s">
        <v>680</v>
      </c>
      <c r="AS933" s="182" t="s">
        <v>644</v>
      </c>
      <c r="AT933" s="182" t="s">
        <v>641</v>
      </c>
      <c r="AU933" s="304"/>
      <c r="AW933" s="180">
        <f t="shared" si="296"/>
        <v>11233</v>
      </c>
      <c r="AX933" s="203">
        <v>2.4700000000000002</v>
      </c>
    </row>
    <row r="934" spans="1:50" ht="15.75" customHeight="1" x14ac:dyDescent="0.3">
      <c r="A934" s="189"/>
      <c r="B934" s="394"/>
      <c r="C934" s="394"/>
      <c r="D934" s="394"/>
      <c r="E934" s="394"/>
      <c r="F934" s="394"/>
      <c r="G934" s="394"/>
      <c r="H934" s="394"/>
      <c r="I934" s="394"/>
      <c r="J934" s="394"/>
      <c r="K934" s="394"/>
      <c r="L934" s="394"/>
      <c r="M934" s="394"/>
      <c r="N934" s="394"/>
      <c r="O934" s="394"/>
      <c r="P934" s="394"/>
      <c r="Q934" s="180"/>
      <c r="R934" s="306"/>
      <c r="AC934" s="179" t="s">
        <v>710</v>
      </c>
      <c r="AD934" s="180"/>
      <c r="AE934" s="180"/>
      <c r="AF934" s="180"/>
      <c r="AG934" s="180"/>
      <c r="AH934" s="182" t="s">
        <v>127</v>
      </c>
      <c r="AI934" s="180"/>
      <c r="AJ934" s="182" t="s">
        <v>711</v>
      </c>
      <c r="AK934" s="180"/>
      <c r="AL934" s="180"/>
      <c r="AM934" s="180"/>
      <c r="AN934" s="180" t="s">
        <v>710</v>
      </c>
      <c r="AO934" s="180"/>
      <c r="AP934" s="180"/>
      <c r="AQ934" s="180"/>
      <c r="AR934" s="180"/>
      <c r="AS934" s="182" t="s">
        <v>127</v>
      </c>
      <c r="AT934" s="182" t="s">
        <v>711</v>
      </c>
      <c r="AU934" s="304"/>
      <c r="AW934" s="180">
        <f t="shared" si="296"/>
        <v>12070</v>
      </c>
      <c r="AX934" s="203">
        <v>2.4700000000000002</v>
      </c>
    </row>
    <row r="935" spans="1:50" ht="15.75" customHeight="1" x14ac:dyDescent="0.3">
      <c r="A935" s="189"/>
      <c r="B935" s="395">
        <f>+A5</f>
        <v>2018</v>
      </c>
      <c r="C935" s="395"/>
      <c r="D935" s="395"/>
      <c r="E935" s="395"/>
      <c r="F935" s="395"/>
      <c r="G935" s="395"/>
      <c r="H935" s="395"/>
      <c r="I935" s="395"/>
      <c r="J935" s="395"/>
      <c r="K935" s="395"/>
      <c r="L935" s="395"/>
      <c r="M935" s="395"/>
      <c r="N935" s="395"/>
      <c r="O935" s="395"/>
      <c r="P935" s="395"/>
      <c r="Q935" s="180"/>
      <c r="R935" s="306"/>
      <c r="AC935" s="179" t="s">
        <v>712</v>
      </c>
      <c r="AD935" s="180">
        <f>+$B$966</f>
        <v>957</v>
      </c>
      <c r="AE935" s="180">
        <f>+C$966</f>
        <v>122</v>
      </c>
      <c r="AF935" s="180">
        <f>+D$966</f>
        <v>128</v>
      </c>
      <c r="AG935" s="180">
        <f>+E$966</f>
        <v>219</v>
      </c>
      <c r="AH935" s="180"/>
      <c r="AI935" s="180"/>
      <c r="AJ935" s="182" t="s">
        <v>658</v>
      </c>
      <c r="AK935" s="180"/>
      <c r="AL935" s="180"/>
      <c r="AM935" s="180"/>
      <c r="AN935" s="180" t="s">
        <v>712</v>
      </c>
      <c r="AO935" s="180">
        <f>+$B$966</f>
        <v>957</v>
      </c>
      <c r="AP935" s="180">
        <f>+C$966</f>
        <v>122</v>
      </c>
      <c r="AQ935" s="180">
        <f>+D$966</f>
        <v>128</v>
      </c>
      <c r="AR935" s="180">
        <f>+E$966</f>
        <v>219</v>
      </c>
      <c r="AS935" s="180"/>
      <c r="AT935" s="182" t="s">
        <v>658</v>
      </c>
      <c r="AU935" s="304"/>
      <c r="AW935" s="180">
        <f t="shared" si="296"/>
        <v>14349</v>
      </c>
      <c r="AX935" s="203">
        <v>2.4700000000000002</v>
      </c>
    </row>
    <row r="936" spans="1:50" ht="15.75" customHeight="1" x14ac:dyDescent="0.3">
      <c r="A936" s="189"/>
      <c r="B936" s="394" t="s">
        <v>713</v>
      </c>
      <c r="C936" s="394"/>
      <c r="D936" s="394"/>
      <c r="E936" s="394"/>
      <c r="F936" s="394"/>
      <c r="G936" s="394"/>
      <c r="H936" s="394"/>
      <c r="I936" s="394"/>
      <c r="J936" s="394"/>
      <c r="K936" s="394"/>
      <c r="L936" s="394"/>
      <c r="M936" s="394"/>
      <c r="N936" s="394"/>
      <c r="O936" s="394"/>
      <c r="P936" s="394"/>
      <c r="Q936" s="180"/>
      <c r="R936" s="306"/>
      <c r="AC936" s="179"/>
      <c r="AD936" s="180" t="s">
        <v>666</v>
      </c>
      <c r="AE936" s="180" t="s">
        <v>666</v>
      </c>
      <c r="AF936" s="180" t="s">
        <v>666</v>
      </c>
      <c r="AG936" s="180" t="s">
        <v>666</v>
      </c>
      <c r="AH936" s="180" t="s">
        <v>666</v>
      </c>
      <c r="AI936" s="180"/>
      <c r="AJ936" s="180" t="s">
        <v>714</v>
      </c>
      <c r="AK936" s="180"/>
      <c r="AL936" s="180"/>
      <c r="AM936" s="180"/>
      <c r="AN936" s="180"/>
      <c r="AO936" s="180" t="s">
        <v>666</v>
      </c>
      <c r="AP936" s="180" t="s">
        <v>666</v>
      </c>
      <c r="AQ936" s="180" t="s">
        <v>666</v>
      </c>
      <c r="AR936" s="180" t="s">
        <v>666</v>
      </c>
      <c r="AS936" s="180" t="s">
        <v>666</v>
      </c>
      <c r="AT936" s="180" t="s">
        <v>714</v>
      </c>
      <c r="AU936" s="304"/>
      <c r="AW936" s="180">
        <f t="shared" si="296"/>
        <v>15281</v>
      </c>
      <c r="AX936" s="203">
        <v>2.4700000000000002</v>
      </c>
    </row>
    <row r="937" spans="1:50" ht="15.75" customHeight="1" x14ac:dyDescent="0.3">
      <c r="A937" s="189"/>
      <c r="B937" s="180"/>
      <c r="C937" s="180"/>
      <c r="D937" s="180"/>
      <c r="E937" s="180"/>
      <c r="F937" s="180"/>
      <c r="G937" s="180"/>
      <c r="H937" s="180"/>
      <c r="I937" s="180"/>
      <c r="J937" s="180"/>
      <c r="K937" s="180"/>
      <c r="L937" s="180"/>
      <c r="M937" s="180"/>
      <c r="N937" s="180"/>
      <c r="O937" s="180"/>
      <c r="P937" s="180"/>
      <c r="Q937" s="180"/>
      <c r="R937" s="306"/>
      <c r="AC937" s="189" t="s">
        <v>668</v>
      </c>
      <c r="AD937" s="180">
        <f t="shared" ref="AD937:AD948" si="297">ROUND($F911*$AD$935/1000,0)</f>
        <v>40237</v>
      </c>
      <c r="AE937" s="180">
        <f t="shared" ref="AE937:AE948" si="298">ROUND($F911*$AE$935/1000,0)</f>
        <v>5129</v>
      </c>
      <c r="AF937" s="180">
        <f t="shared" ref="AF937:AF948" si="299">ROUND($F911*$AF$935/1000,0)</f>
        <v>5382</v>
      </c>
      <c r="AG937" s="180">
        <f t="shared" ref="AG937:AG948" si="300">ROUND($F911*$AG$935/1000,0)</f>
        <v>9208</v>
      </c>
      <c r="AH937" s="180">
        <f t="shared" ref="AH937:AH948" si="301">(F911*((T911-1526.8)/0.7702))/1000</f>
        <v>8919.9494660149376</v>
      </c>
      <c r="AI937" s="180"/>
      <c r="AJ937" s="180">
        <f t="shared" ref="AJ937:AJ948" si="302">SUM(AD937:AH937)</f>
        <v>68875.949466014936</v>
      </c>
      <c r="AK937" s="180"/>
      <c r="AL937" s="180"/>
      <c r="AM937" s="180"/>
      <c r="AN937" s="182" t="s">
        <v>668</v>
      </c>
      <c r="AO937" s="180">
        <f t="shared" ref="AO937:AO948" si="303">ROUND((B911-$F911)*$AO$935/1000,0)</f>
        <v>45618</v>
      </c>
      <c r="AP937" s="180">
        <f t="shared" ref="AP937:AP948" si="304">ROUND((C911-$F911)*$AP$935/1000,0)</f>
        <v>5804</v>
      </c>
      <c r="AQ937" s="180">
        <f t="shared" ref="AQ937:AQ948" si="305">ROUND((D911-$F911)*$AQ$935/1000,0)</f>
        <v>6077</v>
      </c>
      <c r="AR937" s="180">
        <f t="shared" ref="AR937:AR948" si="306">ROUND((E911-$F911)*$AR$935/1000,0)</f>
        <v>10210</v>
      </c>
      <c r="AS937" s="180">
        <f>((F911-$F911)*(('[2]Lake Pleasant Forecast'!B35-1526.8)/0.7702))/1000</f>
        <v>0</v>
      </c>
      <c r="AT937" s="180">
        <f t="shared" ref="AT937:AT948" si="307">SUM(AN937:AR937)</f>
        <v>67709</v>
      </c>
      <c r="AU937" s="304"/>
      <c r="AW937" s="180">
        <f t="shared" si="296"/>
        <v>13224</v>
      </c>
      <c r="AX937" s="203">
        <v>2.4700000000000002</v>
      </c>
    </row>
    <row r="938" spans="1:50" ht="15.75" customHeight="1" thickBot="1" x14ac:dyDescent="0.35">
      <c r="A938" s="189" t="s">
        <v>647</v>
      </c>
      <c r="B938" s="191" t="s">
        <v>677</v>
      </c>
      <c r="C938" s="191" t="s">
        <v>678</v>
      </c>
      <c r="D938" s="191" t="s">
        <v>679</v>
      </c>
      <c r="E938" s="191" t="s">
        <v>680</v>
      </c>
      <c r="F938" s="191" t="s">
        <v>644</v>
      </c>
      <c r="G938" s="191" t="s">
        <v>644</v>
      </c>
      <c r="H938" s="191" t="s">
        <v>681</v>
      </c>
      <c r="I938" s="191" t="s">
        <v>682</v>
      </c>
      <c r="J938" s="191" t="s">
        <v>683</v>
      </c>
      <c r="K938" s="191" t="s">
        <v>684</v>
      </c>
      <c r="L938" s="191" t="s">
        <v>685</v>
      </c>
      <c r="M938" s="191" t="s">
        <v>686</v>
      </c>
      <c r="N938" s="191" t="s">
        <v>687</v>
      </c>
      <c r="O938" s="191" t="s">
        <v>688</v>
      </c>
      <c r="P938" s="191" t="s">
        <v>689</v>
      </c>
      <c r="Q938" s="191" t="s">
        <v>638</v>
      </c>
      <c r="R938" s="306"/>
      <c r="AC938" s="189" t="s">
        <v>669</v>
      </c>
      <c r="AD938" s="180">
        <f t="shared" si="297"/>
        <v>48827</v>
      </c>
      <c r="AE938" s="180">
        <f t="shared" si="298"/>
        <v>6225</v>
      </c>
      <c r="AF938" s="180">
        <f t="shared" si="299"/>
        <v>6531</v>
      </c>
      <c r="AG938" s="180">
        <f t="shared" si="300"/>
        <v>11174</v>
      </c>
      <c r="AH938" s="180">
        <f t="shared" si="301"/>
        <v>11053.445936120497</v>
      </c>
      <c r="AI938" s="180"/>
      <c r="AJ938" s="180">
        <f t="shared" si="302"/>
        <v>83810.445936120494</v>
      </c>
      <c r="AK938" s="180"/>
      <c r="AL938" s="180"/>
      <c r="AM938" s="180"/>
      <c r="AN938" s="182" t="s">
        <v>669</v>
      </c>
      <c r="AO938" s="180">
        <f t="shared" si="303"/>
        <v>53710</v>
      </c>
      <c r="AP938" s="180">
        <f t="shared" si="304"/>
        <v>6829</v>
      </c>
      <c r="AQ938" s="180">
        <f t="shared" si="305"/>
        <v>7146</v>
      </c>
      <c r="AR938" s="180">
        <f t="shared" si="306"/>
        <v>11948</v>
      </c>
      <c r="AS938" s="180">
        <f>((F912-$F912)*(('[2]Lake Pleasant Forecast'!B37-1526.8)/0.7702))/1000</f>
        <v>0</v>
      </c>
      <c r="AT938" s="180">
        <f t="shared" si="307"/>
        <v>79633</v>
      </c>
      <c r="AU938" s="304"/>
      <c r="AW938" s="180">
        <f t="shared" si="296"/>
        <v>12152</v>
      </c>
      <c r="AX938" s="203">
        <v>2.4700000000000002</v>
      </c>
    </row>
    <row r="939" spans="1:50" ht="15.75" customHeight="1" x14ac:dyDescent="0.3">
      <c r="A939" s="189"/>
      <c r="B939" s="180"/>
      <c r="C939" s="180"/>
      <c r="D939" s="180"/>
      <c r="E939" s="180"/>
      <c r="F939" s="182" t="s">
        <v>127</v>
      </c>
      <c r="G939" s="182" t="s">
        <v>653</v>
      </c>
      <c r="H939" s="180"/>
      <c r="I939" s="180"/>
      <c r="J939" s="180"/>
      <c r="K939" s="180"/>
      <c r="L939" s="180"/>
      <c r="M939" s="180"/>
      <c r="N939" s="180"/>
      <c r="O939" s="180"/>
      <c r="P939" s="180"/>
      <c r="Q939" s="180"/>
      <c r="R939" s="306"/>
      <c r="AC939" s="189" t="s">
        <v>671</v>
      </c>
      <c r="AD939" s="180">
        <f t="shared" si="297"/>
        <v>44065</v>
      </c>
      <c r="AE939" s="180">
        <f t="shared" si="298"/>
        <v>5617</v>
      </c>
      <c r="AF939" s="180">
        <f t="shared" si="299"/>
        <v>5894</v>
      </c>
      <c r="AG939" s="180">
        <f t="shared" si="300"/>
        <v>10084</v>
      </c>
      <c r="AH939" s="180">
        <f t="shared" si="301"/>
        <v>10157.161126980011</v>
      </c>
      <c r="AI939" s="180"/>
      <c r="AJ939" s="180">
        <f t="shared" si="302"/>
        <v>75817.161126980005</v>
      </c>
      <c r="AK939" s="180"/>
      <c r="AL939" s="180"/>
      <c r="AM939" s="180"/>
      <c r="AN939" s="182" t="s">
        <v>671</v>
      </c>
      <c r="AO939" s="180">
        <f t="shared" si="303"/>
        <v>87613</v>
      </c>
      <c r="AP939" s="180">
        <f t="shared" si="304"/>
        <v>11136</v>
      </c>
      <c r="AQ939" s="180">
        <f t="shared" si="305"/>
        <v>11650</v>
      </c>
      <c r="AR939" s="180">
        <f t="shared" si="306"/>
        <v>19218</v>
      </c>
      <c r="AS939" s="180">
        <f>((F913-$F913)*(('[2]Lake Pleasant Forecast'!B39-1526.8)/0.7702))/1000</f>
        <v>0</v>
      </c>
      <c r="AT939" s="180">
        <f t="shared" si="307"/>
        <v>129617</v>
      </c>
      <c r="AU939" s="304"/>
      <c r="AW939" s="180">
        <f t="shared" si="296"/>
        <v>14774</v>
      </c>
      <c r="AX939" s="203">
        <v>2.4700000000000002</v>
      </c>
    </row>
    <row r="940" spans="1:50" ht="15.75" customHeight="1" x14ac:dyDescent="0.3">
      <c r="A940" s="192" t="s">
        <v>8</v>
      </c>
      <c r="B940" s="180">
        <f t="shared" ref="B940:Q940" si="308">(B911/$B$10/1.983)</f>
        <v>1459.388674702715</v>
      </c>
      <c r="C940" s="180">
        <f t="shared" si="308"/>
        <v>1457.8107461812504</v>
      </c>
      <c r="D940" s="180">
        <f t="shared" si="308"/>
        <v>1456.2490849641304</v>
      </c>
      <c r="E940" s="180">
        <f t="shared" si="308"/>
        <v>1442.3730743578481</v>
      </c>
      <c r="F940" s="180">
        <f t="shared" si="308"/>
        <v>683.95881118539842</v>
      </c>
      <c r="G940" s="180">
        <f t="shared" si="308"/>
        <v>-76.797943812730779</v>
      </c>
      <c r="H940" s="180">
        <f t="shared" si="308"/>
        <v>449.53068826964682</v>
      </c>
      <c r="I940" s="180">
        <f t="shared" si="308"/>
        <v>223.15488100466871</v>
      </c>
      <c r="J940" s="180">
        <f t="shared" si="308"/>
        <v>222.43911961348886</v>
      </c>
      <c r="K940" s="180">
        <f t="shared" si="308"/>
        <v>221.64202170058397</v>
      </c>
      <c r="L940" s="180">
        <f t="shared" si="308"/>
        <v>195.15885022692888</v>
      </c>
      <c r="M940" s="180">
        <f t="shared" si="308"/>
        <v>194.83350414002896</v>
      </c>
      <c r="N940" s="180">
        <f t="shared" si="308"/>
        <v>190.1810550973598</v>
      </c>
      <c r="O940" s="180">
        <f t="shared" si="308"/>
        <v>60.465570250353814</v>
      </c>
      <c r="P940" s="180">
        <f t="shared" si="308"/>
        <v>61.051193206773704</v>
      </c>
      <c r="Q940" s="180">
        <f t="shared" si="308"/>
        <v>60.433035641663821</v>
      </c>
      <c r="R940" s="306"/>
      <c r="AC940" s="189" t="s">
        <v>672</v>
      </c>
      <c r="AD940" s="180">
        <f t="shared" si="297"/>
        <v>9837</v>
      </c>
      <c r="AE940" s="180">
        <f t="shared" si="298"/>
        <v>1254</v>
      </c>
      <c r="AF940" s="180">
        <f t="shared" si="299"/>
        <v>1316</v>
      </c>
      <c r="AG940" s="180">
        <f t="shared" si="300"/>
        <v>2251</v>
      </c>
      <c r="AH940" s="180">
        <f t="shared" si="301"/>
        <v>2259.603060154227</v>
      </c>
      <c r="AI940" s="180"/>
      <c r="AJ940" s="180">
        <f t="shared" si="302"/>
        <v>16917.603060154226</v>
      </c>
      <c r="AK940" s="180"/>
      <c r="AL940" s="180"/>
      <c r="AM940" s="180"/>
      <c r="AN940" s="182" t="s">
        <v>672</v>
      </c>
      <c r="AO940" s="180">
        <f t="shared" si="303"/>
        <v>151564</v>
      </c>
      <c r="AP940" s="180">
        <f t="shared" si="304"/>
        <v>19277</v>
      </c>
      <c r="AQ940" s="180">
        <f t="shared" si="305"/>
        <v>20180</v>
      </c>
      <c r="AR940" s="180">
        <f t="shared" si="306"/>
        <v>33285</v>
      </c>
      <c r="AS940" s="180">
        <f>((F914-$F914)*(('[2]Lake Pleasant Forecast'!B41-1526.8)/0.7702))/1000</f>
        <v>0</v>
      </c>
      <c r="AT940" s="180">
        <f t="shared" si="307"/>
        <v>224306</v>
      </c>
      <c r="AU940" s="304"/>
      <c r="AW940" s="180">
        <f t="shared" si="296"/>
        <v>12808</v>
      </c>
      <c r="AX940" s="203">
        <v>2.4700000000000002</v>
      </c>
    </row>
    <row r="941" spans="1:50" ht="15.75" customHeight="1" x14ac:dyDescent="0.3">
      <c r="A941" s="192" t="s">
        <v>9</v>
      </c>
      <c r="B941" s="180">
        <f t="shared" ref="B941:Q941" si="309">(B912/$C$10/1.983)</f>
        <v>1929.6880628196814</v>
      </c>
      <c r="C941" s="180">
        <f t="shared" si="309"/>
        <v>1927.0225488077226</v>
      </c>
      <c r="D941" s="180">
        <f t="shared" si="309"/>
        <v>1924.4110654851954</v>
      </c>
      <c r="E941" s="180">
        <f t="shared" si="309"/>
        <v>1901.5200633960089</v>
      </c>
      <c r="F941" s="180">
        <f t="shared" si="309"/>
        <v>918.89993516317259</v>
      </c>
      <c r="G941" s="180">
        <f t="shared" si="309"/>
        <v>-261.32843455082485</v>
      </c>
      <c r="H941" s="180">
        <f t="shared" si="309"/>
        <v>762.24695627116193</v>
      </c>
      <c r="I941" s="180">
        <f t="shared" si="309"/>
        <v>398.80051869461852</v>
      </c>
      <c r="J941" s="180">
        <f t="shared" si="309"/>
        <v>396.63929111735467</v>
      </c>
      <c r="K941" s="180">
        <f t="shared" si="309"/>
        <v>383.99610979036089</v>
      </c>
      <c r="L941" s="180">
        <f t="shared" si="309"/>
        <v>301.36517541963838</v>
      </c>
      <c r="M941" s="180">
        <f t="shared" si="309"/>
        <v>300.96895036380664</v>
      </c>
      <c r="N941" s="180">
        <f t="shared" si="309"/>
        <v>285.01188675167492</v>
      </c>
      <c r="O941" s="180">
        <f t="shared" si="309"/>
        <v>73.319645558677323</v>
      </c>
      <c r="P941" s="180">
        <f t="shared" si="309"/>
        <v>54.444924717239388</v>
      </c>
      <c r="Q941" s="180">
        <f t="shared" si="309"/>
        <v>73.265614869245724</v>
      </c>
      <c r="R941" s="306"/>
      <c r="AC941" s="189" t="s">
        <v>673</v>
      </c>
      <c r="AD941" s="180">
        <f t="shared" si="297"/>
        <v>3884</v>
      </c>
      <c r="AE941" s="180">
        <f t="shared" si="298"/>
        <v>495</v>
      </c>
      <c r="AF941" s="180">
        <f t="shared" si="299"/>
        <v>520</v>
      </c>
      <c r="AG941" s="180">
        <f t="shared" si="300"/>
        <v>889</v>
      </c>
      <c r="AH941" s="180">
        <f t="shared" si="301"/>
        <v>879.99457283822517</v>
      </c>
      <c r="AI941" s="180"/>
      <c r="AJ941" s="180">
        <f t="shared" si="302"/>
        <v>6667.9945728382254</v>
      </c>
      <c r="AK941" s="180"/>
      <c r="AL941" s="180"/>
      <c r="AM941" s="180"/>
      <c r="AN941" s="182" t="s">
        <v>673</v>
      </c>
      <c r="AO941" s="180">
        <f t="shared" si="303"/>
        <v>167809</v>
      </c>
      <c r="AP941" s="180">
        <f t="shared" si="304"/>
        <v>21341</v>
      </c>
      <c r="AQ941" s="180">
        <f t="shared" si="305"/>
        <v>22339</v>
      </c>
      <c r="AR941" s="180">
        <f t="shared" si="306"/>
        <v>36786</v>
      </c>
      <c r="AS941" s="180">
        <f>((F915-$F915)*(('[2]Lake Pleasant Forecast'!B43-1526.8)/0.7702))/1000</f>
        <v>0</v>
      </c>
      <c r="AT941" s="180">
        <f t="shared" si="307"/>
        <v>248275</v>
      </c>
      <c r="AU941" s="304"/>
      <c r="AW941" s="180">
        <f t="shared" si="296"/>
        <v>7423</v>
      </c>
      <c r="AX941" s="203">
        <v>2.4700000000000002</v>
      </c>
    </row>
    <row r="942" spans="1:50" ht="15.75" customHeight="1" x14ac:dyDescent="0.3">
      <c r="A942" s="192" t="s">
        <v>10</v>
      </c>
      <c r="B942" s="180">
        <f t="shared" ref="B942:Q942" si="310">(B913/$D$10/1.983)</f>
        <v>2238.2997413498611</v>
      </c>
      <c r="C942" s="180">
        <f t="shared" si="310"/>
        <v>2233.8424999593317</v>
      </c>
      <c r="D942" s="180">
        <f t="shared" si="310"/>
        <v>2229.5967335252872</v>
      </c>
      <c r="E942" s="180">
        <f t="shared" si="310"/>
        <v>2176.565321360597</v>
      </c>
      <c r="F942" s="180">
        <f t="shared" si="310"/>
        <v>749.02802856538631</v>
      </c>
      <c r="G942" s="180">
        <f t="shared" si="310"/>
        <v>-308.83477298976783</v>
      </c>
      <c r="H942" s="180">
        <f t="shared" si="310"/>
        <v>1315.1302197712816</v>
      </c>
      <c r="I942" s="180">
        <f t="shared" si="310"/>
        <v>550.29037138255819</v>
      </c>
      <c r="J942" s="180">
        <f t="shared" si="310"/>
        <v>467.97781139687339</v>
      </c>
      <c r="K942" s="180">
        <f t="shared" si="310"/>
        <v>434.56476827224958</v>
      </c>
      <c r="L942" s="180">
        <f t="shared" si="310"/>
        <v>322.25529907439034</v>
      </c>
      <c r="M942" s="180">
        <f t="shared" si="310"/>
        <v>321.79981455273042</v>
      </c>
      <c r="N942" s="180">
        <f t="shared" si="310"/>
        <v>306.26453890325837</v>
      </c>
      <c r="O942" s="180">
        <f t="shared" si="310"/>
        <v>45.174304166056636</v>
      </c>
      <c r="P942" s="180">
        <f t="shared" si="310"/>
        <v>61.490410424088623</v>
      </c>
      <c r="Q942" s="180">
        <f t="shared" si="310"/>
        <v>44.653750427016739</v>
      </c>
      <c r="R942" s="306"/>
      <c r="AC942" s="189" t="s">
        <v>675</v>
      </c>
      <c r="AD942" s="180">
        <f t="shared" si="297"/>
        <v>0</v>
      </c>
      <c r="AE942" s="180">
        <f t="shared" si="298"/>
        <v>0</v>
      </c>
      <c r="AF942" s="180">
        <f t="shared" si="299"/>
        <v>0</v>
      </c>
      <c r="AG942" s="180">
        <f t="shared" si="300"/>
        <v>0</v>
      </c>
      <c r="AH942" s="180">
        <f t="shared" si="301"/>
        <v>0</v>
      </c>
      <c r="AI942" s="180"/>
      <c r="AJ942" s="180">
        <f t="shared" si="302"/>
        <v>0</v>
      </c>
      <c r="AK942" s="180"/>
      <c r="AL942" s="180"/>
      <c r="AM942" s="180"/>
      <c r="AN942" s="182" t="s">
        <v>675</v>
      </c>
      <c r="AO942" s="180">
        <f t="shared" si="303"/>
        <v>88116</v>
      </c>
      <c r="AP942" s="180">
        <f t="shared" si="304"/>
        <v>11182</v>
      </c>
      <c r="AQ942" s="180">
        <f t="shared" si="305"/>
        <v>11682</v>
      </c>
      <c r="AR942" s="180">
        <f t="shared" si="306"/>
        <v>18470</v>
      </c>
      <c r="AS942" s="180">
        <f>((F916-$F916)*(('[2]Lake Pleasant Forecast'!B45-1526.8)/0.7702))/1000</f>
        <v>0</v>
      </c>
      <c r="AT942" s="180">
        <f t="shared" si="307"/>
        <v>129450</v>
      </c>
      <c r="AU942" s="304"/>
      <c r="AW942" s="180">
        <f t="shared" si="296"/>
        <v>4559</v>
      </c>
      <c r="AX942" s="203">
        <v>2.4700000000000002</v>
      </c>
    </row>
    <row r="943" spans="1:50" ht="15.75" customHeight="1" x14ac:dyDescent="0.3">
      <c r="A943" s="192" t="s">
        <v>12</v>
      </c>
      <c r="B943" s="180">
        <f t="shared" ref="B943:Q943" si="311">(B914/$F$10/1.983)</f>
        <v>2834.980669020003</v>
      </c>
      <c r="C943" s="180">
        <f t="shared" si="311"/>
        <v>2828.8115649689025</v>
      </c>
      <c r="D943" s="180">
        <f t="shared" si="311"/>
        <v>2822.9282232307951</v>
      </c>
      <c r="E943" s="180">
        <f t="shared" si="311"/>
        <v>2727.6348966212804</v>
      </c>
      <c r="F943" s="180">
        <f t="shared" si="311"/>
        <v>172.7853420742982</v>
      </c>
      <c r="G943" s="180">
        <f t="shared" si="311"/>
        <v>-111.24558749369641</v>
      </c>
      <c r="H943" s="180">
        <f t="shared" si="311"/>
        <v>1966.3809043536728</v>
      </c>
      <c r="I943" s="180">
        <f t="shared" si="311"/>
        <v>775.1554883173643</v>
      </c>
      <c r="J943" s="180">
        <f t="shared" si="311"/>
        <v>586.23298033282902</v>
      </c>
      <c r="K943" s="180">
        <f t="shared" si="311"/>
        <v>488.51907883677927</v>
      </c>
      <c r="L943" s="180">
        <f t="shared" si="311"/>
        <v>382.31635569003191</v>
      </c>
      <c r="M943" s="180">
        <f t="shared" si="311"/>
        <v>381.69440242057487</v>
      </c>
      <c r="N943" s="180">
        <f t="shared" si="311"/>
        <v>357.62312993780466</v>
      </c>
      <c r="O943" s="180">
        <f t="shared" si="311"/>
        <v>66.397713901496047</v>
      </c>
      <c r="P943" s="180">
        <f t="shared" si="311"/>
        <v>76.75239536056479</v>
      </c>
      <c r="Q943" s="180">
        <f t="shared" si="311"/>
        <v>66.2800470667339</v>
      </c>
      <c r="R943" s="306"/>
      <c r="AC943" s="189" t="s">
        <v>676</v>
      </c>
      <c r="AD943" s="180">
        <f t="shared" si="297"/>
        <v>0</v>
      </c>
      <c r="AE943" s="180">
        <f t="shared" si="298"/>
        <v>0</v>
      </c>
      <c r="AF943" s="180">
        <f t="shared" si="299"/>
        <v>0</v>
      </c>
      <c r="AG943" s="180">
        <f t="shared" si="300"/>
        <v>0</v>
      </c>
      <c r="AH943" s="180">
        <f t="shared" si="301"/>
        <v>0</v>
      </c>
      <c r="AI943" s="180"/>
      <c r="AJ943" s="180">
        <f t="shared" si="302"/>
        <v>0</v>
      </c>
      <c r="AK943" s="180"/>
      <c r="AL943" s="180"/>
      <c r="AM943" s="180"/>
      <c r="AN943" s="182" t="s">
        <v>676</v>
      </c>
      <c r="AO943" s="180">
        <f t="shared" si="303"/>
        <v>75321</v>
      </c>
      <c r="AP943" s="180">
        <f t="shared" si="304"/>
        <v>9551</v>
      </c>
      <c r="AQ943" s="180">
        <f t="shared" si="305"/>
        <v>9971</v>
      </c>
      <c r="AR943" s="180">
        <f t="shared" si="306"/>
        <v>15547</v>
      </c>
      <c r="AS943" s="180">
        <f>((F917-$F917)*(('[2]Lake Pleasant Forecast'!B47-1526.8)/0.7702))/1000</f>
        <v>0</v>
      </c>
      <c r="AT943" s="180">
        <f t="shared" si="307"/>
        <v>110390</v>
      </c>
      <c r="AU943" s="304"/>
      <c r="AW943" s="180">
        <f t="shared" si="296"/>
        <v>4524</v>
      </c>
      <c r="AX943" s="203">
        <v>2.4700000000000002</v>
      </c>
    </row>
    <row r="944" spans="1:50" ht="15.75" customHeight="1" x14ac:dyDescent="0.3">
      <c r="A944" s="192" t="s">
        <v>13</v>
      </c>
      <c r="B944" s="180">
        <f t="shared" ref="B944:Q944" si="312">(B915/$G$10/1.983)</f>
        <v>2918.4845379272197</v>
      </c>
      <c r="C944" s="180">
        <f t="shared" si="312"/>
        <v>2911.5709335805964</v>
      </c>
      <c r="D944" s="180">
        <f t="shared" si="312"/>
        <v>2905.0314772339075</v>
      </c>
      <c r="E944" s="180">
        <f t="shared" si="312"/>
        <v>2798.4643664698319</v>
      </c>
      <c r="F944" s="180">
        <f t="shared" si="312"/>
        <v>66.028988336342778</v>
      </c>
      <c r="G944" s="180">
        <f>(G915/$G$10/1.983)</f>
        <v>-79.433247116620308</v>
      </c>
      <c r="H944" s="180">
        <f t="shared" si="312"/>
        <v>2112.3745384152394</v>
      </c>
      <c r="I944" s="180">
        <f t="shared" si="312"/>
        <v>681.86032892489391</v>
      </c>
      <c r="J944" s="180">
        <f t="shared" si="312"/>
        <v>524.31148634359795</v>
      </c>
      <c r="K944" s="180">
        <f t="shared" si="312"/>
        <v>434.40209522879957</v>
      </c>
      <c r="L944" s="180">
        <f t="shared" si="312"/>
        <v>370.50412376165144</v>
      </c>
      <c r="M944" s="180">
        <f t="shared" si="312"/>
        <v>369.8208969791616</v>
      </c>
      <c r="N944" s="180">
        <f t="shared" si="312"/>
        <v>344.85058480959123</v>
      </c>
      <c r="O944" s="180">
        <f t="shared" si="312"/>
        <v>76.944349551835771</v>
      </c>
      <c r="P944" s="180">
        <f t="shared" si="312"/>
        <v>95.505343809477324</v>
      </c>
      <c r="Q944" s="180">
        <f t="shared" si="312"/>
        <v>76.814211117075786</v>
      </c>
      <c r="R944" s="306"/>
      <c r="AC944" s="189" t="s">
        <v>691</v>
      </c>
      <c r="AD944" s="180">
        <f t="shared" si="297"/>
        <v>0</v>
      </c>
      <c r="AE944" s="180">
        <f t="shared" si="298"/>
        <v>0</v>
      </c>
      <c r="AF944" s="180">
        <f t="shared" si="299"/>
        <v>0</v>
      </c>
      <c r="AG944" s="180">
        <f t="shared" si="300"/>
        <v>0</v>
      </c>
      <c r="AH944" s="180">
        <f t="shared" si="301"/>
        <v>0</v>
      </c>
      <c r="AI944" s="180"/>
      <c r="AJ944" s="180">
        <f t="shared" si="302"/>
        <v>0</v>
      </c>
      <c r="AK944" s="180"/>
      <c r="AL944" s="180"/>
      <c r="AM944" s="180"/>
      <c r="AN944" s="182" t="s">
        <v>691</v>
      </c>
      <c r="AO944" s="180">
        <f t="shared" si="303"/>
        <v>27141</v>
      </c>
      <c r="AP944" s="180">
        <f t="shared" si="304"/>
        <v>3419</v>
      </c>
      <c r="AQ944" s="180">
        <f t="shared" si="305"/>
        <v>3547</v>
      </c>
      <c r="AR944" s="180">
        <f t="shared" si="306"/>
        <v>4491</v>
      </c>
      <c r="AS944" s="180">
        <f>((F918-$F918)*(('[2]Lake Pleasant Forecast'!B49-1526.8)/0.7702))/1000</f>
        <v>0</v>
      </c>
      <c r="AT944" s="180">
        <f t="shared" si="307"/>
        <v>38598</v>
      </c>
      <c r="AU944" s="304"/>
      <c r="AW944" s="180"/>
      <c r="AX944" s="203"/>
    </row>
    <row r="945" spans="1:50" ht="15.75" customHeight="1" x14ac:dyDescent="0.3">
      <c r="A945" s="192" t="s">
        <v>14</v>
      </c>
      <c r="B945" s="180">
        <f t="shared" ref="B945:Q945" si="313">(B916/$H$10/1.983)</f>
        <v>1547.7391158177843</v>
      </c>
      <c r="C945" s="180">
        <f t="shared" si="313"/>
        <v>1540.7295343755254</v>
      </c>
      <c r="D945" s="180">
        <f t="shared" si="313"/>
        <v>1534.0729534375523</v>
      </c>
      <c r="E945" s="180">
        <f t="shared" si="313"/>
        <v>1417.7172634056144</v>
      </c>
      <c r="F945" s="180">
        <f t="shared" si="313"/>
        <v>0</v>
      </c>
      <c r="G945" s="180">
        <f t="shared" si="313"/>
        <v>-1796.8566145570683</v>
      </c>
      <c r="H945" s="180">
        <f t="shared" si="313"/>
        <v>2411.6658261892753</v>
      </c>
      <c r="I945" s="180">
        <f t="shared" si="313"/>
        <v>755.0848882165069</v>
      </c>
      <c r="J945" s="180">
        <f t="shared" si="313"/>
        <v>487.56093461085896</v>
      </c>
      <c r="K945" s="180">
        <f t="shared" si="313"/>
        <v>386.88855269793243</v>
      </c>
      <c r="L945" s="180">
        <f t="shared" si="313"/>
        <v>330.47571020339552</v>
      </c>
      <c r="M945" s="180">
        <f t="shared" si="313"/>
        <v>329.73609009917629</v>
      </c>
      <c r="N945" s="180">
        <f t="shared" si="313"/>
        <v>300.70600100857285</v>
      </c>
      <c r="O945" s="180">
        <f t="shared" si="313"/>
        <v>65.557236510337873</v>
      </c>
      <c r="P945" s="180">
        <f t="shared" si="313"/>
        <v>97.86518742645822</v>
      </c>
      <c r="Q945" s="180">
        <f t="shared" si="313"/>
        <v>65.405950579929396</v>
      </c>
      <c r="R945" s="306"/>
      <c r="AC945" s="189" t="s">
        <v>692</v>
      </c>
      <c r="AD945" s="180">
        <f t="shared" si="297"/>
        <v>17194</v>
      </c>
      <c r="AE945" s="180">
        <f t="shared" si="298"/>
        <v>2192</v>
      </c>
      <c r="AF945" s="180">
        <f t="shared" si="299"/>
        <v>2300</v>
      </c>
      <c r="AG945" s="180">
        <f t="shared" si="300"/>
        <v>3935</v>
      </c>
      <c r="AH945" s="180">
        <f t="shared" si="301"/>
        <v>3099.7857179953285</v>
      </c>
      <c r="AI945" s="180"/>
      <c r="AJ945" s="180">
        <f t="shared" si="302"/>
        <v>28720.785717995328</v>
      </c>
      <c r="AK945" s="180"/>
      <c r="AL945" s="180"/>
      <c r="AM945" s="180"/>
      <c r="AN945" s="182" t="s">
        <v>692</v>
      </c>
      <c r="AO945" s="180">
        <f t="shared" si="303"/>
        <v>140975</v>
      </c>
      <c r="AP945" s="180">
        <f t="shared" si="304"/>
        <v>17933</v>
      </c>
      <c r="AQ945" s="180">
        <f t="shared" si="305"/>
        <v>18777</v>
      </c>
      <c r="AR945" s="180">
        <f t="shared" si="306"/>
        <v>31038</v>
      </c>
      <c r="AS945" s="180">
        <f>((F919-$F919)*(('[2]Lake Pleasant Forecast'!B51-1526.8)/0.7702))/1000</f>
        <v>0</v>
      </c>
      <c r="AT945" s="180">
        <f t="shared" si="307"/>
        <v>208723</v>
      </c>
      <c r="AU945" s="304"/>
      <c r="AW945" s="180">
        <f>(SUM(AW932:AW943))</f>
        <v>131587</v>
      </c>
      <c r="AX945" s="203"/>
    </row>
    <row r="946" spans="1:50" ht="15.75" customHeight="1" x14ac:dyDescent="0.3">
      <c r="A946" s="192" t="s">
        <v>16</v>
      </c>
      <c r="B946" s="180">
        <f t="shared" ref="B946:Q946" si="314">(B917/$J$10/1.983)</f>
        <v>1280.3181884729881</v>
      </c>
      <c r="C946" s="180">
        <f t="shared" si="314"/>
        <v>1273.5509898654693</v>
      </c>
      <c r="D946" s="180">
        <f t="shared" si="314"/>
        <v>1267.1416719535405</v>
      </c>
      <c r="E946" s="180">
        <f t="shared" si="314"/>
        <v>1154.8322027556812</v>
      </c>
      <c r="F946" s="180">
        <f t="shared" si="314"/>
        <v>0</v>
      </c>
      <c r="G946" s="180">
        <f t="shared" si="314"/>
        <v>-1920.1112683617196</v>
      </c>
      <c r="H946" s="180">
        <f t="shared" si="314"/>
        <v>2369.4955508922617</v>
      </c>
      <c r="I946" s="180">
        <f t="shared" si="314"/>
        <v>791.72970247100352</v>
      </c>
      <c r="J946" s="180">
        <f t="shared" si="314"/>
        <v>489.92240495827434</v>
      </c>
      <c r="K946" s="180">
        <f t="shared" si="314"/>
        <v>370.50412376165144</v>
      </c>
      <c r="L946" s="180">
        <f t="shared" si="314"/>
        <v>299.33466725228965</v>
      </c>
      <c r="M946" s="180">
        <f t="shared" si="314"/>
        <v>298.70024238283474</v>
      </c>
      <c r="N946" s="180">
        <f t="shared" si="314"/>
        <v>273.32324760463945</v>
      </c>
      <c r="O946" s="180">
        <f t="shared" si="314"/>
        <v>55.178696338229791</v>
      </c>
      <c r="P946" s="180">
        <f t="shared" si="314"/>
        <v>85.012932506954272</v>
      </c>
      <c r="Q946" s="180">
        <f t="shared" si="314"/>
        <v>55.064825207814806</v>
      </c>
      <c r="R946" s="306"/>
      <c r="AC946" s="189" t="s">
        <v>693</v>
      </c>
      <c r="AD946" s="180">
        <f t="shared" si="297"/>
        <v>90153</v>
      </c>
      <c r="AE946" s="180">
        <f t="shared" si="298"/>
        <v>11493</v>
      </c>
      <c r="AF946" s="180">
        <f t="shared" si="299"/>
        <v>12058</v>
      </c>
      <c r="AG946" s="180">
        <f t="shared" si="300"/>
        <v>20631</v>
      </c>
      <c r="AH946" s="180">
        <f t="shared" si="301"/>
        <v>17058.72744741623</v>
      </c>
      <c r="AI946" s="180"/>
      <c r="AJ946" s="180">
        <f t="shared" si="302"/>
        <v>151393.72744741623</v>
      </c>
      <c r="AK946" s="180"/>
      <c r="AL946" s="180"/>
      <c r="AM946" s="180"/>
      <c r="AN946" s="182" t="s">
        <v>693</v>
      </c>
      <c r="AO946" s="180">
        <f t="shared" si="303"/>
        <v>77511</v>
      </c>
      <c r="AP946" s="180">
        <f t="shared" si="304"/>
        <v>9846</v>
      </c>
      <c r="AQ946" s="180">
        <f t="shared" si="305"/>
        <v>10296</v>
      </c>
      <c r="AR946" s="180">
        <f t="shared" si="306"/>
        <v>17394</v>
      </c>
      <c r="AS946" s="180">
        <f>((F920-$F920)*(('[2]Lake Pleasant Forecast'!B53-1526.8)/0.7702))/1000</f>
        <v>0</v>
      </c>
      <c r="AT946" s="180">
        <f t="shared" si="307"/>
        <v>115047</v>
      </c>
      <c r="AU946" s="304"/>
    </row>
    <row r="947" spans="1:50" ht="15.75" customHeight="1" x14ac:dyDescent="0.3">
      <c r="A947" s="192" t="s">
        <v>17</v>
      </c>
      <c r="B947" s="180">
        <f t="shared" ref="B947:Q947" si="315">(B918/$K$10/1.983)</f>
        <v>461.34075122411463</v>
      </c>
      <c r="C947" s="180">
        <f t="shared" si="315"/>
        <v>455.90747157288564</v>
      </c>
      <c r="D947" s="180">
        <f t="shared" si="315"/>
        <v>450.73446879117654</v>
      </c>
      <c r="E947" s="180">
        <f t="shared" si="315"/>
        <v>333.62614481154327</v>
      </c>
      <c r="F947" s="180">
        <f t="shared" si="315"/>
        <v>0</v>
      </c>
      <c r="G947" s="180">
        <f t="shared" si="315"/>
        <v>-2556.3092739902067</v>
      </c>
      <c r="H947" s="180">
        <f t="shared" si="315"/>
        <v>2014.0386836497323</v>
      </c>
      <c r="I947" s="180">
        <f t="shared" si="315"/>
        <v>796.28454768760264</v>
      </c>
      <c r="J947" s="180">
        <f t="shared" si="315"/>
        <v>528.81752964716225</v>
      </c>
      <c r="K947" s="180">
        <f t="shared" si="315"/>
        <v>457.87581539863027</v>
      </c>
      <c r="L947" s="180">
        <f t="shared" si="315"/>
        <v>368.03149350121186</v>
      </c>
      <c r="M947" s="180">
        <f t="shared" si="315"/>
        <v>367.445870544792</v>
      </c>
      <c r="N947" s="180">
        <f t="shared" si="315"/>
        <v>326.19198672587964</v>
      </c>
      <c r="O947" s="180">
        <f t="shared" si="315"/>
        <v>73.625819465456374</v>
      </c>
      <c r="P947" s="180">
        <f t="shared" si="315"/>
        <v>92.821238592552817</v>
      </c>
      <c r="Q947" s="180">
        <f t="shared" si="315"/>
        <v>73.528215639386403</v>
      </c>
      <c r="R947" s="306"/>
      <c r="AC947" s="189" t="s">
        <v>694</v>
      </c>
      <c r="AD947" s="180">
        <f t="shared" si="297"/>
        <v>77232</v>
      </c>
      <c r="AE947" s="180">
        <f t="shared" si="298"/>
        <v>9846</v>
      </c>
      <c r="AF947" s="180">
        <f t="shared" si="299"/>
        <v>10330</v>
      </c>
      <c r="AG947" s="180">
        <f t="shared" si="300"/>
        <v>17674</v>
      </c>
      <c r="AH947" s="180">
        <f t="shared" si="301"/>
        <v>15456.182835627109</v>
      </c>
      <c r="AI947" s="180"/>
      <c r="AJ947" s="180">
        <f t="shared" si="302"/>
        <v>130538.18283562711</v>
      </c>
      <c r="AK947" s="180"/>
      <c r="AL947" s="180"/>
      <c r="AM947" s="180"/>
      <c r="AN947" s="182" t="s">
        <v>694</v>
      </c>
      <c r="AO947" s="180">
        <f t="shared" si="303"/>
        <v>86630</v>
      </c>
      <c r="AP947" s="180">
        <f t="shared" si="304"/>
        <v>11015</v>
      </c>
      <c r="AQ947" s="180">
        <f t="shared" si="305"/>
        <v>11528</v>
      </c>
      <c r="AR947" s="180">
        <f t="shared" si="306"/>
        <v>19048</v>
      </c>
      <c r="AS947" s="180">
        <f>((F921-$F921)*(('[2]Lake Pleasant Forecast'!B55-1526.8)/0.7702))/1000</f>
        <v>0</v>
      </c>
      <c r="AT947" s="180">
        <f t="shared" si="307"/>
        <v>128221</v>
      </c>
      <c r="AU947" s="304"/>
    </row>
    <row r="948" spans="1:50" ht="15.75" customHeight="1" x14ac:dyDescent="0.3">
      <c r="A948" s="192" t="s">
        <v>18</v>
      </c>
      <c r="B948" s="180">
        <f t="shared" ref="B948:Q948" si="316">(B919/$L$10/1.983)</f>
        <v>2778.2148260211798</v>
      </c>
      <c r="C948" s="180">
        <f t="shared" si="316"/>
        <v>2772.9030089090602</v>
      </c>
      <c r="D948" s="180">
        <f t="shared" si="316"/>
        <v>2767.8433350142877</v>
      </c>
      <c r="E948" s="180">
        <f t="shared" si="316"/>
        <v>2684.4007396201041</v>
      </c>
      <c r="F948" s="180">
        <f t="shared" si="316"/>
        <v>302.01714573877962</v>
      </c>
      <c r="G948" s="180">
        <f t="shared" si="316"/>
        <v>-134.19062027231467</v>
      </c>
      <c r="H948" s="180">
        <f t="shared" si="316"/>
        <v>1634.8125735417718</v>
      </c>
      <c r="I948" s="180">
        <f t="shared" si="316"/>
        <v>602.62228946041353</v>
      </c>
      <c r="J948" s="180">
        <f t="shared" si="316"/>
        <v>465.59085560598419</v>
      </c>
      <c r="K948" s="180">
        <f t="shared" si="316"/>
        <v>403.3114809211632</v>
      </c>
      <c r="L948" s="180">
        <f t="shared" si="316"/>
        <v>317.07850058833412</v>
      </c>
      <c r="M948" s="180">
        <f t="shared" si="316"/>
        <v>316.50697596234659</v>
      </c>
      <c r="N948" s="180">
        <f t="shared" si="316"/>
        <v>281.72802151622119</v>
      </c>
      <c r="O948" s="180">
        <f t="shared" si="316"/>
        <v>68.667002857623118</v>
      </c>
      <c r="P948" s="180">
        <f t="shared" si="316"/>
        <v>93.83089594889897</v>
      </c>
      <c r="Q948" s="180">
        <f t="shared" si="316"/>
        <v>68.566145570684142</v>
      </c>
      <c r="R948" s="306"/>
      <c r="AC948" s="189" t="s">
        <v>695</v>
      </c>
      <c r="AD948" s="180">
        <f t="shared" si="297"/>
        <v>75676</v>
      </c>
      <c r="AE948" s="180">
        <f t="shared" si="298"/>
        <v>9647</v>
      </c>
      <c r="AF948" s="180">
        <f t="shared" si="299"/>
        <v>10122</v>
      </c>
      <c r="AG948" s="180">
        <f t="shared" si="300"/>
        <v>17318</v>
      </c>
      <c r="AH948" s="180">
        <f t="shared" si="301"/>
        <v>15424.017335486369</v>
      </c>
      <c r="AI948" s="180"/>
      <c r="AJ948" s="180">
        <f t="shared" si="302"/>
        <v>128187.01733548637</v>
      </c>
      <c r="AK948" s="180"/>
      <c r="AL948" s="180"/>
      <c r="AM948" s="180"/>
      <c r="AN948" s="182" t="s">
        <v>695</v>
      </c>
      <c r="AO948" s="180">
        <f t="shared" si="303"/>
        <v>60643</v>
      </c>
      <c r="AP948" s="180">
        <f t="shared" si="304"/>
        <v>7708</v>
      </c>
      <c r="AQ948" s="180">
        <f t="shared" si="305"/>
        <v>8064</v>
      </c>
      <c r="AR948" s="180">
        <f t="shared" si="306"/>
        <v>13306</v>
      </c>
      <c r="AS948" s="180">
        <f>((F922-$F922)*(('[2]Lake Pleasant Forecast'!B57-1526.8)/0.7702))/1000</f>
        <v>0</v>
      </c>
      <c r="AT948" s="180">
        <f t="shared" si="307"/>
        <v>89721</v>
      </c>
      <c r="AU948" s="304"/>
    </row>
    <row r="949" spans="1:50" ht="15.75" customHeight="1" x14ac:dyDescent="0.3">
      <c r="A949" s="192" t="s">
        <v>20</v>
      </c>
      <c r="B949" s="180">
        <f t="shared" ref="B949:Q949" si="317">(B920/$N$10/1.983)</f>
        <v>2849.9991866347827</v>
      </c>
      <c r="C949" s="180">
        <f t="shared" si="317"/>
        <v>2845.3630048964583</v>
      </c>
      <c r="D949" s="180">
        <f t="shared" si="317"/>
        <v>2840.9382981146196</v>
      </c>
      <c r="E949" s="180">
        <f t="shared" si="317"/>
        <v>2824.4432515087924</v>
      </c>
      <c r="F949" s="180">
        <f t="shared" si="317"/>
        <v>1532.4451385160964</v>
      </c>
      <c r="G949" s="180">
        <f t="shared" si="317"/>
        <v>0</v>
      </c>
      <c r="H949" s="180">
        <f t="shared" si="317"/>
        <v>643.6484310184959</v>
      </c>
      <c r="I949" s="180">
        <f t="shared" si="317"/>
        <v>219.57607404876939</v>
      </c>
      <c r="J949" s="180">
        <f t="shared" si="317"/>
        <v>205.32591544255203</v>
      </c>
      <c r="K949" s="180">
        <f t="shared" si="317"/>
        <v>202.30019683438258</v>
      </c>
      <c r="L949" s="180">
        <f t="shared" si="317"/>
        <v>146.47080832235289</v>
      </c>
      <c r="M949" s="180">
        <f t="shared" si="317"/>
        <v>145.99905649634798</v>
      </c>
      <c r="N949" s="180">
        <f t="shared" si="317"/>
        <v>144.07951458363831</v>
      </c>
      <c r="O949" s="180">
        <f t="shared" si="317"/>
        <v>51.664958599710431</v>
      </c>
      <c r="P949" s="180">
        <f t="shared" si="317"/>
        <v>58.394200163757532</v>
      </c>
      <c r="Q949" s="180">
        <f t="shared" si="317"/>
        <v>51.58362207798546</v>
      </c>
      <c r="R949" s="306"/>
      <c r="AC949" s="179"/>
      <c r="AD949" s="180"/>
      <c r="AE949" s="180"/>
      <c r="AF949" s="180"/>
      <c r="AG949" s="180"/>
      <c r="AH949" s="180"/>
      <c r="AI949" s="180"/>
      <c r="AJ949" s="180"/>
      <c r="AK949" s="180"/>
      <c r="AL949" s="180"/>
      <c r="AM949" s="180"/>
      <c r="AN949" s="180"/>
      <c r="AO949" s="180"/>
      <c r="AP949" s="180"/>
      <c r="AQ949" s="180"/>
      <c r="AR949" s="180"/>
      <c r="AS949" s="180"/>
      <c r="AT949" s="180"/>
      <c r="AU949" s="304"/>
    </row>
    <row r="950" spans="1:50" ht="15.75" customHeight="1" thickBot="1" x14ac:dyDescent="0.35">
      <c r="A950" s="192" t="s">
        <v>21</v>
      </c>
      <c r="B950" s="180">
        <f t="shared" ref="B950:Q950" si="318">(B921/$O$10/1.983)</f>
        <v>2878.1980164733563</v>
      </c>
      <c r="C950" s="180">
        <f t="shared" si="318"/>
        <v>2874.2477727349133</v>
      </c>
      <c r="D950" s="180">
        <f t="shared" si="318"/>
        <v>2870.4488149268786</v>
      </c>
      <c r="E950" s="180">
        <f t="shared" si="318"/>
        <v>2818.6081694402419</v>
      </c>
      <c r="F950" s="180">
        <f t="shared" si="318"/>
        <v>1356.5641284249452</v>
      </c>
      <c r="G950" s="180">
        <f t="shared" si="318"/>
        <v>-1.8322407127248277</v>
      </c>
      <c r="H950" s="180">
        <f t="shared" si="318"/>
        <v>663.6409480584972</v>
      </c>
      <c r="I950" s="180">
        <f t="shared" si="318"/>
        <v>94.13346780971591</v>
      </c>
      <c r="J950" s="180">
        <f t="shared" si="318"/>
        <v>93.393847705496711</v>
      </c>
      <c r="K950" s="180">
        <f t="shared" si="318"/>
        <v>87.258362750042025</v>
      </c>
      <c r="L950" s="180">
        <f t="shared" si="318"/>
        <v>74.533535047907208</v>
      </c>
      <c r="M950" s="180">
        <f t="shared" si="318"/>
        <v>74.14691544797445</v>
      </c>
      <c r="N950" s="180">
        <f t="shared" si="318"/>
        <v>63.187090267271806</v>
      </c>
      <c r="O950" s="180">
        <f t="shared" si="318"/>
        <v>36.006051437216342</v>
      </c>
      <c r="P950" s="180">
        <f t="shared" si="318"/>
        <v>63.603967053286269</v>
      </c>
      <c r="Q950" s="180">
        <f t="shared" si="318"/>
        <v>35.955622793746848</v>
      </c>
      <c r="R950" s="306"/>
      <c r="AC950" s="204" t="s">
        <v>641</v>
      </c>
      <c r="AD950" s="195">
        <f>SUM(AD937:AD948)</f>
        <v>407105</v>
      </c>
      <c r="AE950" s="195">
        <f>SUM(AE937:AE948)</f>
        <v>51898</v>
      </c>
      <c r="AF950" s="195">
        <f>SUM(AF937:AF948)</f>
        <v>54453</v>
      </c>
      <c r="AG950" s="195">
        <f>SUM(AG937:AG948)</f>
        <v>93164</v>
      </c>
      <c r="AH950" s="195">
        <f>SUM(AH937:AH948)</f>
        <v>84308.867498632942</v>
      </c>
      <c r="AI950" s="195"/>
      <c r="AJ950" s="195">
        <f>SUM(AJ937:AJ948)</f>
        <v>690928.86749863299</v>
      </c>
      <c r="AK950" s="195"/>
      <c r="AL950" s="195"/>
      <c r="AM950" s="195"/>
      <c r="AN950" s="205" t="s">
        <v>641</v>
      </c>
      <c r="AO950" s="195">
        <f t="shared" ref="AO950:AT950" si="319">SUM(AO937:AO948)</f>
        <v>1062651</v>
      </c>
      <c r="AP950" s="195">
        <f t="shared" si="319"/>
        <v>135041</v>
      </c>
      <c r="AQ950" s="195">
        <f t="shared" si="319"/>
        <v>141257</v>
      </c>
      <c r="AR950" s="195">
        <f t="shared" si="319"/>
        <v>230741</v>
      </c>
      <c r="AS950" s="195">
        <f t="shared" si="319"/>
        <v>0</v>
      </c>
      <c r="AT950" s="195">
        <f t="shared" si="319"/>
        <v>1569690</v>
      </c>
      <c r="AU950" s="136"/>
    </row>
    <row r="951" spans="1:50" ht="15.75" customHeight="1" thickBot="1" x14ac:dyDescent="0.35">
      <c r="A951" s="206" t="s">
        <v>22</v>
      </c>
      <c r="B951" s="195">
        <f t="shared" ref="B951:Q951" si="320">(B922/$P$10/1.983)</f>
        <v>2317.1799001187514</v>
      </c>
      <c r="C951" s="195">
        <f t="shared" si="320"/>
        <v>2314.1541815105816</v>
      </c>
      <c r="D951" s="195">
        <f t="shared" si="320"/>
        <v>2311.2423340328273</v>
      </c>
      <c r="E951" s="195">
        <f t="shared" si="320"/>
        <v>2274.6897011696192</v>
      </c>
      <c r="F951" s="195">
        <f t="shared" si="320"/>
        <v>1286.3533583849821</v>
      </c>
      <c r="G951" s="195">
        <f t="shared" si="320"/>
        <v>0</v>
      </c>
      <c r="H951" s="195">
        <f t="shared" si="320"/>
        <v>479.82040896003122</v>
      </c>
      <c r="I951" s="195">
        <f t="shared" si="320"/>
        <v>91.243310071088118</v>
      </c>
      <c r="J951" s="195">
        <f t="shared" si="320"/>
        <v>86.476989898003993</v>
      </c>
      <c r="K951" s="195">
        <f t="shared" si="320"/>
        <v>85.793763115514125</v>
      </c>
      <c r="L951" s="195">
        <f t="shared" si="320"/>
        <v>83.679013550664521</v>
      </c>
      <c r="M951" s="195">
        <f t="shared" si="320"/>
        <v>83.369934768109573</v>
      </c>
      <c r="N951" s="195">
        <f t="shared" si="320"/>
        <v>69.331251118377168</v>
      </c>
      <c r="O951" s="195">
        <f t="shared" si="320"/>
        <v>31.038016690254256</v>
      </c>
      <c r="P951" s="195">
        <f t="shared" si="320"/>
        <v>53.913100060189024</v>
      </c>
      <c r="Q951" s="195">
        <f t="shared" si="320"/>
        <v>30.680135994664322</v>
      </c>
      <c r="R951" s="196"/>
    </row>
    <row r="952" spans="1:50" ht="15.75" customHeight="1" x14ac:dyDescent="0.3">
      <c r="R952" s="351"/>
      <c r="AC952" s="360"/>
      <c r="AD952" s="423" t="s">
        <v>715</v>
      </c>
      <c r="AE952" s="427"/>
      <c r="AF952" s="427"/>
      <c r="AG952" s="427"/>
      <c r="AH952" s="427"/>
      <c r="AI952" s="427"/>
      <c r="AJ952" s="427"/>
      <c r="AK952" s="427"/>
      <c r="AL952" s="427"/>
      <c r="AM952" s="427"/>
      <c r="AN952" s="427"/>
      <c r="AO952" s="427"/>
      <c r="AP952" s="427"/>
      <c r="AQ952" s="427"/>
      <c r="AR952" s="354" t="str">
        <f>$Q$1</f>
        <v xml:space="preserve">PRINTED:  </v>
      </c>
      <c r="AS952" s="361">
        <f ca="1">$R$1</f>
        <v>44894.658168402777</v>
      </c>
    </row>
    <row r="953" spans="1:50" ht="15.75" customHeight="1" x14ac:dyDescent="0.3">
      <c r="R953" s="180"/>
      <c r="AC953" s="95"/>
      <c r="AD953" s="394" t="str">
        <f>+$A$8</f>
        <v>Revised:  3/2/2019</v>
      </c>
      <c r="AE953" s="396"/>
      <c r="AF953" s="396"/>
      <c r="AG953" s="396"/>
      <c r="AH953" s="396"/>
      <c r="AI953" s="396"/>
      <c r="AJ953" s="396"/>
      <c r="AK953" s="396"/>
      <c r="AL953" s="396"/>
      <c r="AM953" s="396"/>
      <c r="AN953" s="396"/>
      <c r="AO953" s="396"/>
      <c r="AP953" s="396"/>
      <c r="AQ953" s="396"/>
      <c r="AR953" s="192"/>
      <c r="AS953" s="304"/>
    </row>
    <row r="954" spans="1:50" ht="15.75" customHeight="1" x14ac:dyDescent="0.3">
      <c r="A954" s="192"/>
      <c r="AC954" s="95"/>
      <c r="AD954" s="394" t="s">
        <v>670</v>
      </c>
      <c r="AE954" s="397"/>
      <c r="AF954" s="397"/>
      <c r="AG954" s="397"/>
      <c r="AH954" s="397"/>
      <c r="AI954" s="397"/>
      <c r="AJ954" s="397"/>
      <c r="AK954" s="397"/>
      <c r="AL954" s="397"/>
      <c r="AM954" s="397"/>
      <c r="AN954" s="397"/>
      <c r="AO954" s="397"/>
      <c r="AP954" s="397"/>
      <c r="AQ954" s="397"/>
      <c r="AS954" s="304"/>
    </row>
    <row r="955" spans="1:50" ht="15.75" customHeight="1" x14ac:dyDescent="0.3">
      <c r="A955" s="192"/>
      <c r="AC955" s="95"/>
      <c r="AS955" s="304"/>
    </row>
    <row r="956" spans="1:50" ht="15.75" customHeight="1" thickBot="1" x14ac:dyDescent="0.35">
      <c r="A956" s="192"/>
      <c r="AC956" s="95"/>
      <c r="AD956" s="395">
        <f>$A$5</f>
        <v>2018</v>
      </c>
      <c r="AE956" s="397"/>
      <c r="AF956" s="397"/>
      <c r="AG956" s="397"/>
      <c r="AH956" s="397"/>
      <c r="AI956" s="397"/>
      <c r="AJ956" s="397"/>
      <c r="AK956" s="397"/>
      <c r="AL956" s="397"/>
      <c r="AM956" s="397"/>
      <c r="AN956" s="397"/>
      <c r="AO956" s="397"/>
      <c r="AP956" s="397"/>
      <c r="AQ956" s="397"/>
      <c r="AS956" s="304"/>
    </row>
    <row r="957" spans="1:50" ht="15.75" customHeight="1" x14ac:dyDescent="0.3">
      <c r="A957" s="356"/>
      <c r="B957" s="423" t="s">
        <v>716</v>
      </c>
      <c r="C957" s="423"/>
      <c r="D957" s="423"/>
      <c r="E957" s="423"/>
      <c r="F957" s="423"/>
      <c r="G957" s="423"/>
      <c r="H957" s="423"/>
      <c r="I957" s="423"/>
      <c r="J957" s="423"/>
      <c r="K957" s="423"/>
      <c r="L957" s="423"/>
      <c r="M957" s="423"/>
      <c r="N957" s="423"/>
      <c r="O957" s="423"/>
      <c r="P957" s="423"/>
      <c r="Q957" s="354" t="str">
        <f>+Q1</f>
        <v xml:space="preserve">PRINTED:  </v>
      </c>
      <c r="R957" s="355">
        <f ca="1">+R1</f>
        <v>44894.658168402777</v>
      </c>
      <c r="AC957" s="95"/>
      <c r="AD957" s="394" t="s">
        <v>717</v>
      </c>
      <c r="AE957" s="396"/>
      <c r="AF957" s="396"/>
      <c r="AG957" s="396"/>
      <c r="AH957" s="396"/>
      <c r="AI957" s="396"/>
      <c r="AJ957" s="396"/>
      <c r="AK957" s="396"/>
      <c r="AL957" s="396"/>
      <c r="AM957" s="396"/>
      <c r="AN957" s="396"/>
      <c r="AO957" s="396"/>
      <c r="AP957" s="396"/>
      <c r="AQ957" s="396"/>
      <c r="AR957" s="182"/>
      <c r="AS957" s="304"/>
    </row>
    <row r="958" spans="1:50" ht="16.5" customHeight="1" x14ac:dyDescent="0.3">
      <c r="A958" s="189"/>
      <c r="B958" s="394" t="str">
        <f>+A8</f>
        <v>Revised:  3/2/2019</v>
      </c>
      <c r="C958" s="394"/>
      <c r="D958" s="394"/>
      <c r="E958" s="394"/>
      <c r="F958" s="394"/>
      <c r="G958" s="394"/>
      <c r="H958" s="394"/>
      <c r="I958" s="394"/>
      <c r="J958" s="394"/>
      <c r="K958" s="394"/>
      <c r="L958" s="394"/>
      <c r="M958" s="394"/>
      <c r="N958" s="394"/>
      <c r="O958" s="394"/>
      <c r="P958" s="394"/>
      <c r="Q958" s="180"/>
      <c r="R958" s="306"/>
      <c r="AC958" s="95"/>
      <c r="AK958" s="190"/>
      <c r="AS958" s="304"/>
    </row>
    <row r="959" spans="1:50" ht="15.75" customHeight="1" thickBot="1" x14ac:dyDescent="0.35">
      <c r="A959" s="189"/>
      <c r="B959" s="394" t="s">
        <v>670</v>
      </c>
      <c r="C959" s="394"/>
      <c r="D959" s="394"/>
      <c r="E959" s="394"/>
      <c r="F959" s="394"/>
      <c r="G959" s="394"/>
      <c r="H959" s="394"/>
      <c r="I959" s="394"/>
      <c r="J959" s="394"/>
      <c r="K959" s="394"/>
      <c r="L959" s="394"/>
      <c r="M959" s="394"/>
      <c r="N959" s="394"/>
      <c r="O959" s="394"/>
      <c r="P959" s="394"/>
      <c r="Q959" s="180"/>
      <c r="R959" s="306"/>
      <c r="AC959" s="95"/>
      <c r="AD959" s="191" t="s">
        <v>677</v>
      </c>
      <c r="AE959" s="191" t="s">
        <v>678</v>
      </c>
      <c r="AF959" s="191" t="s">
        <v>679</v>
      </c>
      <c r="AG959" s="191" t="s">
        <v>680</v>
      </c>
      <c r="AH959" s="191" t="s">
        <v>644</v>
      </c>
      <c r="AI959" s="191" t="s">
        <v>681</v>
      </c>
      <c r="AJ959" s="191" t="s">
        <v>682</v>
      </c>
      <c r="AK959" s="191" t="s">
        <v>683</v>
      </c>
      <c r="AL959" s="191" t="s">
        <v>684</v>
      </c>
      <c r="AM959" s="191" t="s">
        <v>685</v>
      </c>
      <c r="AN959" s="191" t="s">
        <v>686</v>
      </c>
      <c r="AO959" s="191" t="s">
        <v>687</v>
      </c>
      <c r="AP959" s="191" t="s">
        <v>688</v>
      </c>
      <c r="AQ959" s="191" t="s">
        <v>689</v>
      </c>
      <c r="AR959" s="191" t="s">
        <v>638</v>
      </c>
      <c r="AS959" s="209" t="s">
        <v>641</v>
      </c>
    </row>
    <row r="960" spans="1:50" ht="15.75" customHeight="1" x14ac:dyDescent="0.3">
      <c r="A960" s="189"/>
      <c r="B960" s="180"/>
      <c r="C960" s="180"/>
      <c r="D960" s="180"/>
      <c r="E960" s="180"/>
      <c r="F960" s="180"/>
      <c r="G960" s="180"/>
      <c r="H960" s="180"/>
      <c r="I960" s="180"/>
      <c r="J960" s="180"/>
      <c r="K960" s="180"/>
      <c r="L960" s="180"/>
      <c r="M960" s="180"/>
      <c r="N960" s="180"/>
      <c r="O960" s="180"/>
      <c r="P960" s="180"/>
      <c r="Q960" s="180"/>
      <c r="R960" s="306"/>
      <c r="AC960" s="95"/>
      <c r="AD960" s="180"/>
      <c r="AE960" s="180"/>
      <c r="AF960" s="180"/>
      <c r="AG960" s="180"/>
      <c r="AH960" s="182" t="s">
        <v>718</v>
      </c>
      <c r="AI960" s="180"/>
      <c r="AJ960" s="180"/>
      <c r="AK960" s="180"/>
      <c r="AL960" s="180"/>
      <c r="AM960" s="180"/>
      <c r="AN960" s="180"/>
      <c r="AO960" s="180"/>
      <c r="AP960" s="180"/>
      <c r="AQ960" s="180"/>
      <c r="AR960" s="180"/>
      <c r="AS960" s="210"/>
    </row>
    <row r="961" spans="1:48" ht="15.75" customHeight="1" x14ac:dyDescent="0.3">
      <c r="A961" s="189"/>
      <c r="B961" s="395">
        <f>A5</f>
        <v>2018</v>
      </c>
      <c r="C961" s="395"/>
      <c r="D961" s="395"/>
      <c r="E961" s="395"/>
      <c r="F961" s="395"/>
      <c r="G961" s="395"/>
      <c r="H961" s="395"/>
      <c r="I961" s="395"/>
      <c r="J961" s="395"/>
      <c r="K961" s="395"/>
      <c r="L961" s="395"/>
      <c r="M961" s="395"/>
      <c r="N961" s="395"/>
      <c r="O961" s="395"/>
      <c r="P961" s="395"/>
      <c r="Q961" s="180"/>
      <c r="R961" s="306"/>
      <c r="S961" s="180"/>
      <c r="AC961" s="211" t="s">
        <v>719</v>
      </c>
      <c r="AD961" s="212">
        <v>1.7000000000000001E-2</v>
      </c>
      <c r="AE961" s="212">
        <v>1.7000000000000001E-2</v>
      </c>
      <c r="AF961" s="212">
        <v>1.7000000000000001E-2</v>
      </c>
      <c r="AG961" s="212">
        <v>1.7000000000000001E-2</v>
      </c>
      <c r="AH961" s="212"/>
      <c r="AI961" s="212"/>
      <c r="AJ961" s="212"/>
      <c r="AK961" s="212"/>
      <c r="AL961" s="212"/>
      <c r="AM961" s="212"/>
      <c r="AN961" s="212"/>
      <c r="AO961" s="212"/>
      <c r="AP961" s="212"/>
      <c r="AQ961" s="212"/>
      <c r="AR961" s="212"/>
      <c r="AS961" s="213"/>
    </row>
    <row r="962" spans="1:48" ht="15.75" customHeight="1" x14ac:dyDescent="0.3">
      <c r="A962" s="189"/>
      <c r="B962" s="394" t="s">
        <v>717</v>
      </c>
      <c r="C962" s="394"/>
      <c r="D962" s="394"/>
      <c r="E962" s="394"/>
      <c r="F962" s="394"/>
      <c r="G962" s="394"/>
      <c r="H962" s="394"/>
      <c r="I962" s="394"/>
      <c r="J962" s="394"/>
      <c r="K962" s="394"/>
      <c r="L962" s="394"/>
      <c r="M962" s="394"/>
      <c r="N962" s="394"/>
      <c r="O962" s="394"/>
      <c r="P962" s="394"/>
      <c r="Q962" s="180"/>
      <c r="R962" s="306"/>
      <c r="S962" s="180"/>
      <c r="AC962" s="211" t="s">
        <v>720</v>
      </c>
      <c r="AD962" s="212"/>
      <c r="AE962" s="212">
        <v>0.03</v>
      </c>
      <c r="AF962" s="212"/>
      <c r="AG962" s="212"/>
      <c r="AH962" s="212"/>
      <c r="AI962" s="212"/>
      <c r="AJ962" s="212"/>
      <c r="AK962" s="212"/>
      <c r="AL962" s="212"/>
      <c r="AM962" s="212">
        <v>0.03</v>
      </c>
      <c r="AN962" s="212">
        <v>0.03</v>
      </c>
      <c r="AO962" s="212">
        <v>0.03</v>
      </c>
      <c r="AP962" s="212">
        <v>0.03</v>
      </c>
      <c r="AQ962" s="212">
        <v>0.03</v>
      </c>
      <c r="AR962" s="212">
        <v>0.03</v>
      </c>
      <c r="AS962" s="213"/>
    </row>
    <row r="963" spans="1:48" ht="15.75" customHeight="1" x14ac:dyDescent="0.3">
      <c r="A963" s="189"/>
      <c r="B963" s="180"/>
      <c r="C963" s="180"/>
      <c r="D963" s="180"/>
      <c r="E963" s="180"/>
      <c r="F963" s="180"/>
      <c r="G963" s="180"/>
      <c r="H963" s="180"/>
      <c r="I963" s="180"/>
      <c r="J963" s="180"/>
      <c r="K963" s="180"/>
      <c r="L963" s="180"/>
      <c r="M963" s="180"/>
      <c r="N963" s="180"/>
      <c r="O963" s="180"/>
      <c r="P963" s="180"/>
      <c r="Q963" s="180"/>
      <c r="R963" s="306"/>
      <c r="S963" s="180"/>
      <c r="AC963" s="211" t="s">
        <v>721</v>
      </c>
      <c r="AD963" s="212"/>
      <c r="AE963" s="212"/>
      <c r="AF963" s="212">
        <v>0.03</v>
      </c>
      <c r="AG963" s="212">
        <v>0.03</v>
      </c>
      <c r="AH963" s="212"/>
      <c r="AI963" s="212"/>
      <c r="AJ963" s="212"/>
      <c r="AK963" s="212"/>
      <c r="AL963" s="212"/>
      <c r="AM963" s="212"/>
      <c r="AN963" s="212"/>
      <c r="AO963" s="212"/>
      <c r="AP963" s="212"/>
      <c r="AQ963" s="212"/>
      <c r="AR963" s="212"/>
      <c r="AS963" s="213"/>
    </row>
    <row r="964" spans="1:48" ht="15.75" customHeight="1" thickBot="1" x14ac:dyDescent="0.35">
      <c r="A964" s="189" t="s">
        <v>647</v>
      </c>
      <c r="B964" s="191" t="s">
        <v>677</v>
      </c>
      <c r="C964" s="191" t="s">
        <v>678</v>
      </c>
      <c r="D964" s="191" t="s">
        <v>679</v>
      </c>
      <c r="E964" s="191" t="s">
        <v>680</v>
      </c>
      <c r="F964" s="191" t="s">
        <v>644</v>
      </c>
      <c r="G964" s="191" t="s">
        <v>644</v>
      </c>
      <c r="H964" s="191" t="s">
        <v>681</v>
      </c>
      <c r="I964" s="191" t="s">
        <v>682</v>
      </c>
      <c r="J964" s="191" t="s">
        <v>683</v>
      </c>
      <c r="K964" s="191" t="s">
        <v>684</v>
      </c>
      <c r="L964" s="191" t="s">
        <v>685</v>
      </c>
      <c r="M964" s="191" t="s">
        <v>686</v>
      </c>
      <c r="N964" s="191" t="s">
        <v>687</v>
      </c>
      <c r="O964" s="191" t="s">
        <v>688</v>
      </c>
      <c r="P964" s="191" t="s">
        <v>689</v>
      </c>
      <c r="Q964" s="191" t="s">
        <v>638</v>
      </c>
      <c r="R964" s="209" t="s">
        <v>641</v>
      </c>
      <c r="S964" s="182"/>
      <c r="AC964" s="211" t="s">
        <v>137</v>
      </c>
      <c r="AD964" s="212"/>
      <c r="AE964" s="212"/>
      <c r="AF964" s="212"/>
      <c r="AG964" s="212"/>
      <c r="AH964" s="212"/>
      <c r="AI964" s="212">
        <v>0.03</v>
      </c>
      <c r="AJ964" s="212"/>
      <c r="AK964" s="212"/>
      <c r="AL964" s="212"/>
      <c r="AM964" s="212"/>
      <c r="AN964" s="212"/>
      <c r="AO964" s="212"/>
      <c r="AP964" s="212"/>
      <c r="AQ964" s="212"/>
      <c r="AR964" s="212"/>
      <c r="AS964" s="213"/>
    </row>
    <row r="965" spans="1:48" ht="15.75" customHeight="1" x14ac:dyDescent="0.3">
      <c r="A965" s="189"/>
      <c r="B965" s="180"/>
      <c r="C965" s="180"/>
      <c r="D965" s="180"/>
      <c r="E965" s="180"/>
      <c r="F965" s="182" t="s">
        <v>127</v>
      </c>
      <c r="G965" s="182" t="s">
        <v>653</v>
      </c>
      <c r="H965" s="180"/>
      <c r="I965" s="180"/>
      <c r="J965" s="180"/>
      <c r="K965" s="180"/>
      <c r="L965" s="180"/>
      <c r="M965" s="180"/>
      <c r="N965" s="180"/>
      <c r="O965" s="180"/>
      <c r="P965" s="180"/>
      <c r="Q965" s="180"/>
      <c r="R965" s="213" t="s">
        <v>722</v>
      </c>
      <c r="S965" s="182"/>
      <c r="AC965" s="211" t="s">
        <v>723</v>
      </c>
      <c r="AD965" s="212">
        <v>0.03</v>
      </c>
      <c r="AE965" s="212"/>
      <c r="AF965" s="212"/>
      <c r="AG965" s="212"/>
      <c r="AH965" s="212"/>
      <c r="AI965" s="212"/>
      <c r="AJ965" s="212">
        <v>0.03</v>
      </c>
      <c r="AK965" s="212">
        <v>0.03</v>
      </c>
      <c r="AL965" s="212">
        <v>0.03</v>
      </c>
      <c r="AM965" s="212"/>
      <c r="AN965" s="212"/>
      <c r="AO965" s="212"/>
      <c r="AP965" s="212"/>
      <c r="AQ965" s="212"/>
      <c r="AR965" s="212"/>
      <c r="AS965" s="213"/>
    </row>
    <row r="966" spans="1:48" ht="15.75" customHeight="1" x14ac:dyDescent="0.3">
      <c r="A966" s="189" t="s">
        <v>724</v>
      </c>
      <c r="B966" s="214">
        <v>957</v>
      </c>
      <c r="C966" s="214">
        <v>122</v>
      </c>
      <c r="D966" s="214">
        <v>128</v>
      </c>
      <c r="E966" s="214">
        <v>219</v>
      </c>
      <c r="F966" s="214"/>
      <c r="G966" s="214"/>
      <c r="H966" s="214">
        <v>97</v>
      </c>
      <c r="I966" s="214">
        <v>160</v>
      </c>
      <c r="J966" s="214">
        <v>250</v>
      </c>
      <c r="K966" s="214">
        <v>260</v>
      </c>
      <c r="L966" s="214">
        <v>100</v>
      </c>
      <c r="M966" s="214">
        <v>118</v>
      </c>
      <c r="N966" s="214">
        <v>250</v>
      </c>
      <c r="O966" s="214">
        <v>190</v>
      </c>
      <c r="P966" s="214">
        <v>340</v>
      </c>
      <c r="Q966" s="214">
        <v>450</v>
      </c>
      <c r="R966" s="213" t="s">
        <v>658</v>
      </c>
      <c r="S966" s="182"/>
      <c r="AC966" s="211" t="s">
        <v>641</v>
      </c>
      <c r="AD966" s="215">
        <f>SUM(AD961:AD965)</f>
        <v>4.7E-2</v>
      </c>
      <c r="AE966" s="215">
        <f t="shared" ref="AE966:AR966" si="321">SUM(AE961:AE965)</f>
        <v>4.7E-2</v>
      </c>
      <c r="AF966" s="215">
        <f t="shared" si="321"/>
        <v>4.7E-2</v>
      </c>
      <c r="AG966" s="215">
        <f t="shared" si="321"/>
        <v>4.7E-2</v>
      </c>
      <c r="AH966" s="215">
        <f t="shared" si="321"/>
        <v>0</v>
      </c>
      <c r="AI966" s="215">
        <f t="shared" si="321"/>
        <v>0.03</v>
      </c>
      <c r="AJ966" s="215">
        <f t="shared" si="321"/>
        <v>0.03</v>
      </c>
      <c r="AK966" s="215">
        <f t="shared" si="321"/>
        <v>0.03</v>
      </c>
      <c r="AL966" s="215">
        <f t="shared" si="321"/>
        <v>0.03</v>
      </c>
      <c r="AM966" s="215">
        <f t="shared" si="321"/>
        <v>0.03</v>
      </c>
      <c r="AN966" s="215">
        <f t="shared" si="321"/>
        <v>0.03</v>
      </c>
      <c r="AO966" s="215">
        <f t="shared" si="321"/>
        <v>0.03</v>
      </c>
      <c r="AP966" s="215">
        <f t="shared" si="321"/>
        <v>0.03</v>
      </c>
      <c r="AQ966" s="215">
        <f t="shared" si="321"/>
        <v>0.03</v>
      </c>
      <c r="AR966" s="215">
        <f t="shared" si="321"/>
        <v>0.03</v>
      </c>
      <c r="AS966" s="213"/>
      <c r="AU966" s="192" t="s">
        <v>725</v>
      </c>
      <c r="AV966" s="4" t="s">
        <v>726</v>
      </c>
    </row>
    <row r="967" spans="1:48" ht="15.75" customHeight="1" x14ac:dyDescent="0.3">
      <c r="A967" s="189"/>
      <c r="B967" s="182" t="s">
        <v>666</v>
      </c>
      <c r="C967" s="182" t="s">
        <v>666</v>
      </c>
      <c r="D967" s="182" t="s">
        <v>666</v>
      </c>
      <c r="E967" s="182" t="s">
        <v>666</v>
      </c>
      <c r="F967" s="182" t="s">
        <v>666</v>
      </c>
      <c r="G967" s="182" t="s">
        <v>666</v>
      </c>
      <c r="H967" s="182" t="s">
        <v>666</v>
      </c>
      <c r="I967" s="182" t="s">
        <v>666</v>
      </c>
      <c r="J967" s="182" t="s">
        <v>666</v>
      </c>
      <c r="K967" s="182" t="s">
        <v>666</v>
      </c>
      <c r="L967" s="182" t="s">
        <v>666</v>
      </c>
      <c r="M967" s="182" t="s">
        <v>666</v>
      </c>
      <c r="N967" s="182" t="s">
        <v>666</v>
      </c>
      <c r="O967" s="182" t="s">
        <v>666</v>
      </c>
      <c r="P967" s="182" t="s">
        <v>666</v>
      </c>
      <c r="Q967" s="182" t="s">
        <v>666</v>
      </c>
      <c r="R967" s="213" t="s">
        <v>714</v>
      </c>
      <c r="S967" s="182"/>
      <c r="T967" s="182"/>
      <c r="AC967" s="189" t="s">
        <v>666</v>
      </c>
      <c r="AD967" s="182" t="s">
        <v>666</v>
      </c>
      <c r="AE967" s="182" t="s">
        <v>666</v>
      </c>
      <c r="AF967" s="182" t="s">
        <v>666</v>
      </c>
      <c r="AG967" s="182" t="s">
        <v>666</v>
      </c>
      <c r="AH967" s="182" t="s">
        <v>666</v>
      </c>
      <c r="AI967" s="182" t="s">
        <v>666</v>
      </c>
      <c r="AJ967" s="182" t="s">
        <v>666</v>
      </c>
      <c r="AK967" s="182" t="s">
        <v>666</v>
      </c>
      <c r="AL967" s="182" t="s">
        <v>666</v>
      </c>
      <c r="AM967" s="182" t="s">
        <v>666</v>
      </c>
      <c r="AN967" s="182" t="s">
        <v>666</v>
      </c>
      <c r="AO967" s="182" t="s">
        <v>666</v>
      </c>
      <c r="AP967" s="182" t="s">
        <v>666</v>
      </c>
      <c r="AQ967" s="182" t="s">
        <v>666</v>
      </c>
      <c r="AR967" s="182" t="s">
        <v>666</v>
      </c>
      <c r="AS967" s="213" t="s">
        <v>666</v>
      </c>
    </row>
    <row r="968" spans="1:48" ht="15.75" customHeight="1" x14ac:dyDescent="0.3">
      <c r="A968" s="192" t="s">
        <v>8</v>
      </c>
      <c r="B968" s="180">
        <f>ROUND((B911*$B$966)/1000,0)</f>
        <v>85855</v>
      </c>
      <c r="C968" s="180">
        <f t="shared" ref="C968:C979" si="322">ROUND((C911*$C$966)/1000,0)</f>
        <v>10933</v>
      </c>
      <c r="D968" s="180">
        <f t="shared" ref="D968:D979" si="323">ROUND((D911*$D$966)/1000,0)</f>
        <v>11459</v>
      </c>
      <c r="E968" s="180">
        <f t="shared" ref="E968:E979" si="324">ROUND((E911*$E$966)/1000,0)</f>
        <v>19418</v>
      </c>
      <c r="F968" s="180">
        <f>(F911*((T911-1526.8)/0.7702))/1000</f>
        <v>8919.9494660149376</v>
      </c>
      <c r="G968" s="180">
        <f t="shared" ref="G968:G979" si="325">(G911*((T911-1591.4)/0.6635))/1000</f>
        <v>-702.99006867204707</v>
      </c>
      <c r="H968" s="180">
        <f t="shared" ref="H968:H979" si="326">ROUND((H911*$H$966)/1000,0)</f>
        <v>2680</v>
      </c>
      <c r="I968" s="180">
        <f t="shared" ref="I968:I979" si="327">ROUND((I911*$I$966)/1000,0)</f>
        <v>2195</v>
      </c>
      <c r="J968" s="180">
        <f t="shared" ref="J968:J979" si="328">ROUND((J911*$J$966)/1000,0)</f>
        <v>3419</v>
      </c>
      <c r="K968" s="180">
        <f t="shared" ref="K968:K979" si="329">ROUND((K911*$K$966)/1000,0)</f>
        <v>3543</v>
      </c>
      <c r="L968" s="180">
        <f t="shared" ref="L968:L979" si="330">ROUND((L911*$L$966)/1000,0)</f>
        <v>1200</v>
      </c>
      <c r="M968" s="180">
        <f t="shared" ref="M968:M979" si="331">ROUND((M911*$M$966)/1000,0)</f>
        <v>1413</v>
      </c>
      <c r="N968" s="180">
        <f t="shared" ref="N968:N979" si="332">ROUND((N911*$N$966)/1000,0)</f>
        <v>2923</v>
      </c>
      <c r="O968" s="180">
        <f t="shared" ref="O968:O979" si="333">ROUND((O911*$O$966)/1000,0)</f>
        <v>706</v>
      </c>
      <c r="P968" s="180">
        <f t="shared" ref="P968:P979" si="334">ROUND((P911*$P$966)/1000,0)</f>
        <v>1276</v>
      </c>
      <c r="Q968" s="180">
        <f t="shared" ref="Q968:Q979" si="335">ROUND((Q911*$Q$966)/1000,0)</f>
        <v>1672</v>
      </c>
      <c r="R968" s="216">
        <f>(SUM(B968:Q968))</f>
        <v>156908.9593973429</v>
      </c>
      <c r="S968" s="217"/>
      <c r="AC968" s="211" t="s">
        <v>8</v>
      </c>
      <c r="AD968" s="180">
        <f>ROUND(B968*$AD$966, 0)</f>
        <v>4035</v>
      </c>
      <c r="AE968" s="180">
        <f>ROUND(C968*$AE$966,0)</f>
        <v>514</v>
      </c>
      <c r="AF968" s="180">
        <f>ROUND(D968*$AF$966,0)</f>
        <v>539</v>
      </c>
      <c r="AG968" s="180">
        <f>ROUND(E968*$AG$966,0)</f>
        <v>913</v>
      </c>
      <c r="AH968" s="180">
        <f>ROUND(F968*$AH$966,0)</f>
        <v>0</v>
      </c>
      <c r="AI968" s="180">
        <f>ROUND(H968*$AI$966,0)</f>
        <v>80</v>
      </c>
      <c r="AJ968" s="180">
        <f>ROUND(I968*$AJ$966,0)</f>
        <v>66</v>
      </c>
      <c r="AK968" s="180">
        <f>ROUND(J968*$AK$966,0)</f>
        <v>103</v>
      </c>
      <c r="AL968" s="180">
        <f>ROUND(K968*$AL$966,0)</f>
        <v>106</v>
      </c>
      <c r="AM968" s="180">
        <f>ROUND(L968*$AM$966,0)</f>
        <v>36</v>
      </c>
      <c r="AN968" s="180">
        <f>ROUND(M968*$AN$966,0)</f>
        <v>42</v>
      </c>
      <c r="AO968" s="180">
        <f>ROUND(N968*$AO$966,0)</f>
        <v>88</v>
      </c>
      <c r="AP968" s="180">
        <f>ROUND(O968*$AP$966,0)</f>
        <v>21</v>
      </c>
      <c r="AQ968" s="180">
        <f>ROUND(P968*$AQ$966,0)</f>
        <v>38</v>
      </c>
      <c r="AR968" s="180">
        <f>ROUND(Q968*$AR$966,0)</f>
        <v>50</v>
      </c>
      <c r="AS968" s="210">
        <f>SUM(AD968:AR968)</f>
        <v>6631</v>
      </c>
      <c r="AU968" s="218">
        <f>AS968/R968</f>
        <v>4.2260174469758729E-2</v>
      </c>
    </row>
    <row r="969" spans="1:48" ht="15.75" customHeight="1" x14ac:dyDescent="0.3">
      <c r="A969" s="192" t="s">
        <v>9</v>
      </c>
      <c r="B969" s="180">
        <f t="shared" ref="B969:B979" si="336">ROUND((B912*$B$966)/1000,0)</f>
        <v>102537</v>
      </c>
      <c r="C969" s="180">
        <f t="shared" si="322"/>
        <v>13054</v>
      </c>
      <c r="D969" s="180">
        <f t="shared" si="323"/>
        <v>13677</v>
      </c>
      <c r="E969" s="180">
        <f t="shared" si="324"/>
        <v>23122</v>
      </c>
      <c r="F969" s="180">
        <f t="shared" ref="F969:F979" si="337">(F912*((T912-1526.8)/0.7702))/1000</f>
        <v>11053.445936120497</v>
      </c>
      <c r="G969" s="180">
        <f>(G912*((T912-1591.4)/0.6635))/1000</f>
        <v>-2236.3113790504899</v>
      </c>
      <c r="H969" s="180">
        <f t="shared" si="326"/>
        <v>4105</v>
      </c>
      <c r="I969" s="180">
        <f t="shared" si="327"/>
        <v>3543</v>
      </c>
      <c r="J969" s="180">
        <f t="shared" si="328"/>
        <v>5506</v>
      </c>
      <c r="K969" s="180">
        <f t="shared" si="329"/>
        <v>5543</v>
      </c>
      <c r="L969" s="180">
        <f t="shared" si="330"/>
        <v>1673</v>
      </c>
      <c r="M969" s="180">
        <f t="shared" si="331"/>
        <v>1972</v>
      </c>
      <c r="N969" s="180">
        <f t="shared" si="332"/>
        <v>3956</v>
      </c>
      <c r="O969" s="180">
        <f t="shared" si="333"/>
        <v>773</v>
      </c>
      <c r="P969" s="180">
        <f t="shared" si="334"/>
        <v>1028</v>
      </c>
      <c r="Q969" s="180">
        <f t="shared" si="335"/>
        <v>1831</v>
      </c>
      <c r="R969" s="216">
        <f>(SUM(B969:Q969))</f>
        <v>191137.13455707001</v>
      </c>
      <c r="S969" s="217"/>
      <c r="AC969" s="211" t="s">
        <v>9</v>
      </c>
      <c r="AD969" s="180">
        <f t="shared" ref="AD969:AD979" si="338">ROUND(B969*$AD$966, 0)</f>
        <v>4819</v>
      </c>
      <c r="AE969" s="180">
        <f t="shared" ref="AE969:AE979" si="339">ROUND(C969*$AE$966,0)</f>
        <v>614</v>
      </c>
      <c r="AF969" s="180">
        <f t="shared" ref="AF969:AF979" si="340">ROUND(D969*$AF$966,0)</f>
        <v>643</v>
      </c>
      <c r="AG969" s="180">
        <f t="shared" ref="AG969:AG979" si="341">ROUND(E969*$AG$966,0)</f>
        <v>1087</v>
      </c>
      <c r="AH969" s="180">
        <f t="shared" ref="AH969:AH979" si="342">ROUND(F969*$AH$966,0)</f>
        <v>0</v>
      </c>
      <c r="AI969" s="180">
        <f t="shared" ref="AI969:AI979" si="343">ROUND(H969*$AI$966,0)</f>
        <v>123</v>
      </c>
      <c r="AJ969" s="180">
        <f t="shared" ref="AJ969:AJ979" si="344">ROUND(I969*$AJ$966,0)</f>
        <v>106</v>
      </c>
      <c r="AK969" s="180">
        <f t="shared" ref="AK969:AK979" si="345">ROUND(J969*$AK$966,0)</f>
        <v>165</v>
      </c>
      <c r="AL969" s="180">
        <f t="shared" ref="AL969:AL979" si="346">ROUND(K969*$AL$966,0)</f>
        <v>166</v>
      </c>
      <c r="AM969" s="180">
        <f t="shared" ref="AM969:AM979" si="347">ROUND(L969*$AM$966,0)</f>
        <v>50</v>
      </c>
      <c r="AN969" s="180">
        <f t="shared" ref="AN969:AN979" si="348">ROUND(M969*$AN$966,0)</f>
        <v>59</v>
      </c>
      <c r="AO969" s="180">
        <f t="shared" ref="AO969:AO979" si="349">ROUND(N969*$AO$966,0)</f>
        <v>119</v>
      </c>
      <c r="AP969" s="180">
        <f t="shared" ref="AP969:AP979" si="350">ROUND(O969*$AP$966,0)</f>
        <v>23</v>
      </c>
      <c r="AQ969" s="180">
        <f t="shared" ref="AQ969:AQ979" si="351">ROUND(P969*$AQ$966,0)</f>
        <v>31</v>
      </c>
      <c r="AR969" s="180">
        <f t="shared" ref="AR969:AR979" si="352">ROUND(Q969*$AR$966,0)</f>
        <v>55</v>
      </c>
      <c r="AS969" s="210">
        <f t="shared" ref="AS969:AS979" si="353">SUM(AD969:AR969)</f>
        <v>8060</v>
      </c>
      <c r="AU969" s="218">
        <f t="shared" ref="AU969:AU981" si="354">AS969/R969</f>
        <v>4.2168676529957254E-2</v>
      </c>
    </row>
    <row r="970" spans="1:48" ht="15.75" customHeight="1" x14ac:dyDescent="0.3">
      <c r="A970" s="192" t="s">
        <v>10</v>
      </c>
      <c r="B970" s="180">
        <f t="shared" si="336"/>
        <v>131678</v>
      </c>
      <c r="C970" s="180">
        <f t="shared" si="322"/>
        <v>16753</v>
      </c>
      <c r="D970" s="180">
        <f t="shared" si="323"/>
        <v>17544</v>
      </c>
      <c r="E970" s="180">
        <f t="shared" si="324"/>
        <v>29302</v>
      </c>
      <c r="F970" s="180">
        <f t="shared" si="337"/>
        <v>10157.161126980011</v>
      </c>
      <c r="G970" s="180">
        <f t="shared" si="325"/>
        <v>-3012.9924642049727</v>
      </c>
      <c r="H970" s="180">
        <f t="shared" si="326"/>
        <v>7842</v>
      </c>
      <c r="I970" s="180">
        <f t="shared" si="327"/>
        <v>5412</v>
      </c>
      <c r="J970" s="180">
        <f t="shared" si="328"/>
        <v>7192</v>
      </c>
      <c r="K970" s="180">
        <f t="shared" si="329"/>
        <v>6946</v>
      </c>
      <c r="L970" s="180">
        <f t="shared" si="330"/>
        <v>1981</v>
      </c>
      <c r="M970" s="180">
        <f t="shared" si="331"/>
        <v>2334</v>
      </c>
      <c r="N970" s="180">
        <f t="shared" si="332"/>
        <v>4707</v>
      </c>
      <c r="O970" s="180">
        <f t="shared" si="333"/>
        <v>528</v>
      </c>
      <c r="P970" s="180">
        <f t="shared" si="334"/>
        <v>1285</v>
      </c>
      <c r="Q970" s="180">
        <f t="shared" si="335"/>
        <v>1235</v>
      </c>
      <c r="R970" s="216">
        <f t="shared" ref="R970:R979" si="355">(SUM(B970:Q970))</f>
        <v>241883.16866277505</v>
      </c>
      <c r="S970" s="217"/>
      <c r="AC970" s="211" t="s">
        <v>10</v>
      </c>
      <c r="AD970" s="180">
        <f t="shared" si="338"/>
        <v>6189</v>
      </c>
      <c r="AE970" s="180">
        <f t="shared" si="339"/>
        <v>787</v>
      </c>
      <c r="AF970" s="180">
        <f t="shared" si="340"/>
        <v>825</v>
      </c>
      <c r="AG970" s="180">
        <f t="shared" si="341"/>
        <v>1377</v>
      </c>
      <c r="AH970" s="180">
        <f t="shared" si="342"/>
        <v>0</v>
      </c>
      <c r="AI970" s="180">
        <f t="shared" si="343"/>
        <v>235</v>
      </c>
      <c r="AJ970" s="180">
        <f t="shared" si="344"/>
        <v>162</v>
      </c>
      <c r="AK970" s="180">
        <f t="shared" si="345"/>
        <v>216</v>
      </c>
      <c r="AL970" s="180">
        <f t="shared" si="346"/>
        <v>208</v>
      </c>
      <c r="AM970" s="180">
        <f t="shared" si="347"/>
        <v>59</v>
      </c>
      <c r="AN970" s="180">
        <f t="shared" si="348"/>
        <v>70</v>
      </c>
      <c r="AO970" s="180">
        <f t="shared" si="349"/>
        <v>141</v>
      </c>
      <c r="AP970" s="180">
        <f t="shared" si="350"/>
        <v>16</v>
      </c>
      <c r="AQ970" s="180">
        <f t="shared" si="351"/>
        <v>39</v>
      </c>
      <c r="AR970" s="180">
        <f t="shared" si="352"/>
        <v>37</v>
      </c>
      <c r="AS970" s="210">
        <f t="shared" si="353"/>
        <v>10361</v>
      </c>
      <c r="AU970" s="218">
        <f t="shared" si="354"/>
        <v>4.2834729085449261E-2</v>
      </c>
    </row>
    <row r="971" spans="1:48" ht="15.75" customHeight="1" x14ac:dyDescent="0.3">
      <c r="A971" s="192" t="s">
        <v>12</v>
      </c>
      <c r="B971" s="180">
        <f t="shared" si="336"/>
        <v>161401</v>
      </c>
      <c r="C971" s="180">
        <f t="shared" si="322"/>
        <v>20531</v>
      </c>
      <c r="D971" s="180">
        <f t="shared" si="323"/>
        <v>21496</v>
      </c>
      <c r="E971" s="180">
        <f t="shared" si="324"/>
        <v>35536</v>
      </c>
      <c r="F971" s="180">
        <f t="shared" si="337"/>
        <v>2259.603060154227</v>
      </c>
      <c r="G971" s="180">
        <f t="shared" si="325"/>
        <v>-1044.425677996546</v>
      </c>
      <c r="H971" s="180">
        <f t="shared" si="326"/>
        <v>11347</v>
      </c>
      <c r="I971" s="180">
        <f t="shared" si="327"/>
        <v>7378</v>
      </c>
      <c r="J971" s="180">
        <f t="shared" si="328"/>
        <v>8719</v>
      </c>
      <c r="K971" s="180">
        <f t="shared" si="329"/>
        <v>7556</v>
      </c>
      <c r="L971" s="180">
        <f t="shared" si="330"/>
        <v>2274</v>
      </c>
      <c r="M971" s="180">
        <f t="shared" si="331"/>
        <v>2679</v>
      </c>
      <c r="N971" s="180">
        <f t="shared" si="332"/>
        <v>5319</v>
      </c>
      <c r="O971" s="180">
        <f t="shared" si="333"/>
        <v>751</v>
      </c>
      <c r="P971" s="180">
        <f t="shared" si="334"/>
        <v>1552</v>
      </c>
      <c r="Q971" s="180">
        <f t="shared" si="335"/>
        <v>1774</v>
      </c>
      <c r="R971" s="216">
        <f t="shared" si="355"/>
        <v>289528.17738215765</v>
      </c>
      <c r="S971" s="217"/>
      <c r="AC971" s="211" t="s">
        <v>12</v>
      </c>
      <c r="AD971" s="180">
        <f t="shared" si="338"/>
        <v>7586</v>
      </c>
      <c r="AE971" s="180">
        <f t="shared" si="339"/>
        <v>965</v>
      </c>
      <c r="AF971" s="180">
        <f t="shared" si="340"/>
        <v>1010</v>
      </c>
      <c r="AG971" s="180">
        <f t="shared" si="341"/>
        <v>1670</v>
      </c>
      <c r="AH971" s="180">
        <f t="shared" si="342"/>
        <v>0</v>
      </c>
      <c r="AI971" s="180">
        <f t="shared" si="343"/>
        <v>340</v>
      </c>
      <c r="AJ971" s="180">
        <f t="shared" si="344"/>
        <v>221</v>
      </c>
      <c r="AK971" s="180">
        <f t="shared" si="345"/>
        <v>262</v>
      </c>
      <c r="AL971" s="180">
        <f t="shared" si="346"/>
        <v>227</v>
      </c>
      <c r="AM971" s="180">
        <f t="shared" si="347"/>
        <v>68</v>
      </c>
      <c r="AN971" s="180">
        <f t="shared" si="348"/>
        <v>80</v>
      </c>
      <c r="AO971" s="180">
        <f t="shared" si="349"/>
        <v>160</v>
      </c>
      <c r="AP971" s="180">
        <f t="shared" si="350"/>
        <v>23</v>
      </c>
      <c r="AQ971" s="180">
        <f t="shared" si="351"/>
        <v>47</v>
      </c>
      <c r="AR971" s="180">
        <f t="shared" si="352"/>
        <v>53</v>
      </c>
      <c r="AS971" s="210">
        <f t="shared" si="353"/>
        <v>12712</v>
      </c>
      <c r="AU971" s="218">
        <f t="shared" si="354"/>
        <v>4.3905916567219011E-2</v>
      </c>
    </row>
    <row r="972" spans="1:48" ht="15.75" customHeight="1" x14ac:dyDescent="0.3">
      <c r="A972" s="192" t="s">
        <v>13</v>
      </c>
      <c r="B972" s="180">
        <f t="shared" si="336"/>
        <v>171693</v>
      </c>
      <c r="C972" s="180">
        <f t="shared" si="322"/>
        <v>21836</v>
      </c>
      <c r="D972" s="180">
        <f t="shared" si="323"/>
        <v>22858</v>
      </c>
      <c r="E972" s="180">
        <f t="shared" si="324"/>
        <v>37675</v>
      </c>
      <c r="F972" s="180">
        <f t="shared" si="337"/>
        <v>879.99457283822517</v>
      </c>
      <c r="G972" s="180">
        <f t="shared" si="325"/>
        <v>-753.46125094197532</v>
      </c>
      <c r="H972" s="180">
        <f t="shared" si="326"/>
        <v>12596</v>
      </c>
      <c r="I972" s="180">
        <f t="shared" si="327"/>
        <v>6707</v>
      </c>
      <c r="J972" s="180">
        <f t="shared" si="328"/>
        <v>8058</v>
      </c>
      <c r="K972" s="180">
        <f t="shared" si="329"/>
        <v>6943</v>
      </c>
      <c r="L972" s="180">
        <f t="shared" si="330"/>
        <v>2278</v>
      </c>
      <c r="M972" s="180">
        <f t="shared" si="331"/>
        <v>2683</v>
      </c>
      <c r="N972" s="180">
        <f t="shared" si="332"/>
        <v>5300</v>
      </c>
      <c r="O972" s="180">
        <f t="shared" si="333"/>
        <v>899</v>
      </c>
      <c r="P972" s="180">
        <f t="shared" si="334"/>
        <v>1996</v>
      </c>
      <c r="Q972" s="180">
        <f t="shared" si="335"/>
        <v>2125</v>
      </c>
      <c r="R972" s="216">
        <f t="shared" si="355"/>
        <v>303773.53332189622</v>
      </c>
      <c r="S972" s="217"/>
      <c r="AC972" s="211" t="s">
        <v>13</v>
      </c>
      <c r="AD972" s="180">
        <f t="shared" si="338"/>
        <v>8070</v>
      </c>
      <c r="AE972" s="180">
        <f t="shared" si="339"/>
        <v>1026</v>
      </c>
      <c r="AF972" s="180">
        <f t="shared" si="340"/>
        <v>1074</v>
      </c>
      <c r="AG972" s="180">
        <f t="shared" si="341"/>
        <v>1771</v>
      </c>
      <c r="AH972" s="180">
        <f t="shared" si="342"/>
        <v>0</v>
      </c>
      <c r="AI972" s="180">
        <f t="shared" si="343"/>
        <v>378</v>
      </c>
      <c r="AJ972" s="180">
        <f t="shared" si="344"/>
        <v>201</v>
      </c>
      <c r="AK972" s="180">
        <f t="shared" si="345"/>
        <v>242</v>
      </c>
      <c r="AL972" s="180">
        <f t="shared" si="346"/>
        <v>208</v>
      </c>
      <c r="AM972" s="180">
        <f t="shared" si="347"/>
        <v>68</v>
      </c>
      <c r="AN972" s="180">
        <f t="shared" si="348"/>
        <v>80</v>
      </c>
      <c r="AO972" s="180">
        <f t="shared" si="349"/>
        <v>159</v>
      </c>
      <c r="AP972" s="180">
        <f t="shared" si="350"/>
        <v>27</v>
      </c>
      <c r="AQ972" s="180">
        <f t="shared" si="351"/>
        <v>60</v>
      </c>
      <c r="AR972" s="180">
        <f t="shared" si="352"/>
        <v>64</v>
      </c>
      <c r="AS972" s="210">
        <f t="shared" si="353"/>
        <v>13428</v>
      </c>
      <c r="AU972" s="218">
        <f t="shared" si="354"/>
        <v>4.4203982661553683E-2</v>
      </c>
    </row>
    <row r="973" spans="1:48" ht="15.75" customHeight="1" x14ac:dyDescent="0.3">
      <c r="A973" s="192" t="s">
        <v>14</v>
      </c>
      <c r="B973" s="180">
        <f t="shared" si="336"/>
        <v>88116</v>
      </c>
      <c r="C973" s="180">
        <f t="shared" si="322"/>
        <v>11182</v>
      </c>
      <c r="D973" s="180">
        <f t="shared" si="323"/>
        <v>11682</v>
      </c>
      <c r="E973" s="180">
        <f t="shared" si="324"/>
        <v>18470</v>
      </c>
      <c r="F973" s="180">
        <f t="shared" si="337"/>
        <v>0</v>
      </c>
      <c r="G973" s="180">
        <f t="shared" si="325"/>
        <v>-14451.36623963829</v>
      </c>
      <c r="H973" s="180">
        <f t="shared" si="326"/>
        <v>13917</v>
      </c>
      <c r="I973" s="180">
        <f t="shared" si="327"/>
        <v>7187</v>
      </c>
      <c r="J973" s="180">
        <f t="shared" si="328"/>
        <v>7251</v>
      </c>
      <c r="K973" s="180">
        <f t="shared" si="329"/>
        <v>5984</v>
      </c>
      <c r="L973" s="180">
        <f t="shared" si="330"/>
        <v>1966</v>
      </c>
      <c r="M973" s="180">
        <f t="shared" si="331"/>
        <v>2315</v>
      </c>
      <c r="N973" s="180">
        <f t="shared" si="332"/>
        <v>4472</v>
      </c>
      <c r="O973" s="180">
        <f t="shared" si="333"/>
        <v>741</v>
      </c>
      <c r="P973" s="180">
        <f t="shared" si="334"/>
        <v>1979</v>
      </c>
      <c r="Q973" s="180">
        <f t="shared" si="335"/>
        <v>1751</v>
      </c>
      <c r="R973" s="216">
        <f>(SUM(B973:Q973))</f>
        <v>162561.6337603617</v>
      </c>
      <c r="S973" s="217"/>
      <c r="AC973" s="211" t="s">
        <v>14</v>
      </c>
      <c r="AD973" s="180">
        <f t="shared" si="338"/>
        <v>4141</v>
      </c>
      <c r="AE973" s="180">
        <f t="shared" si="339"/>
        <v>526</v>
      </c>
      <c r="AF973" s="180">
        <f t="shared" si="340"/>
        <v>549</v>
      </c>
      <c r="AG973" s="180">
        <f t="shared" si="341"/>
        <v>868</v>
      </c>
      <c r="AH973" s="180">
        <f t="shared" si="342"/>
        <v>0</v>
      </c>
      <c r="AI973" s="180">
        <f t="shared" si="343"/>
        <v>418</v>
      </c>
      <c r="AJ973" s="180">
        <f t="shared" si="344"/>
        <v>216</v>
      </c>
      <c r="AK973" s="180">
        <f t="shared" si="345"/>
        <v>218</v>
      </c>
      <c r="AL973" s="180">
        <f t="shared" si="346"/>
        <v>180</v>
      </c>
      <c r="AM973" s="180">
        <f t="shared" si="347"/>
        <v>59</v>
      </c>
      <c r="AN973" s="180">
        <f t="shared" si="348"/>
        <v>69</v>
      </c>
      <c r="AO973" s="180">
        <f t="shared" si="349"/>
        <v>134</v>
      </c>
      <c r="AP973" s="180">
        <f t="shared" si="350"/>
        <v>22</v>
      </c>
      <c r="AQ973" s="180">
        <f t="shared" si="351"/>
        <v>59</v>
      </c>
      <c r="AR973" s="180">
        <f t="shared" si="352"/>
        <v>53</v>
      </c>
      <c r="AS973" s="210">
        <f t="shared" si="353"/>
        <v>7512</v>
      </c>
      <c r="AU973" s="218">
        <f t="shared" si="354"/>
        <v>4.621016549989726E-2</v>
      </c>
    </row>
    <row r="974" spans="1:48" ht="15.75" customHeight="1" x14ac:dyDescent="0.3">
      <c r="A974" s="192" t="s">
        <v>16</v>
      </c>
      <c r="B974" s="180">
        <f t="shared" si="336"/>
        <v>75321</v>
      </c>
      <c r="C974" s="180">
        <f t="shared" si="322"/>
        <v>9551</v>
      </c>
      <c r="D974" s="180">
        <f t="shared" si="323"/>
        <v>9971</v>
      </c>
      <c r="E974" s="180">
        <f t="shared" si="324"/>
        <v>15547</v>
      </c>
      <c r="F974" s="180">
        <f t="shared" si="337"/>
        <v>0</v>
      </c>
      <c r="G974" s="180">
        <f t="shared" si="325"/>
        <v>-14279.828496924818</v>
      </c>
      <c r="H974" s="180">
        <f t="shared" si="326"/>
        <v>14129</v>
      </c>
      <c r="I974" s="180">
        <f t="shared" si="327"/>
        <v>7787</v>
      </c>
      <c r="J974" s="180">
        <f t="shared" si="328"/>
        <v>7529</v>
      </c>
      <c r="K974" s="180">
        <f t="shared" si="329"/>
        <v>5922</v>
      </c>
      <c r="L974" s="180">
        <f t="shared" si="330"/>
        <v>1840</v>
      </c>
      <c r="M974" s="180">
        <f t="shared" si="331"/>
        <v>2167</v>
      </c>
      <c r="N974" s="180">
        <f t="shared" si="332"/>
        <v>4201</v>
      </c>
      <c r="O974" s="180">
        <f t="shared" si="333"/>
        <v>644</v>
      </c>
      <c r="P974" s="180">
        <f t="shared" si="334"/>
        <v>1777</v>
      </c>
      <c r="Q974" s="180">
        <f t="shared" si="335"/>
        <v>1523</v>
      </c>
      <c r="R974" s="216">
        <f t="shared" si="355"/>
        <v>143629.17150307517</v>
      </c>
      <c r="S974" s="217"/>
      <c r="AC974" s="211" t="s">
        <v>16</v>
      </c>
      <c r="AD974" s="180">
        <f t="shared" si="338"/>
        <v>3540</v>
      </c>
      <c r="AE974" s="180">
        <f t="shared" si="339"/>
        <v>449</v>
      </c>
      <c r="AF974" s="180">
        <f t="shared" si="340"/>
        <v>469</v>
      </c>
      <c r="AG974" s="180">
        <f t="shared" si="341"/>
        <v>731</v>
      </c>
      <c r="AH974" s="180">
        <f t="shared" si="342"/>
        <v>0</v>
      </c>
      <c r="AI974" s="180">
        <f t="shared" si="343"/>
        <v>424</v>
      </c>
      <c r="AJ974" s="180">
        <f t="shared" si="344"/>
        <v>234</v>
      </c>
      <c r="AK974" s="180">
        <f t="shared" si="345"/>
        <v>226</v>
      </c>
      <c r="AL974" s="180">
        <f t="shared" si="346"/>
        <v>178</v>
      </c>
      <c r="AM974" s="180">
        <f t="shared" si="347"/>
        <v>55</v>
      </c>
      <c r="AN974" s="180">
        <f t="shared" si="348"/>
        <v>65</v>
      </c>
      <c r="AO974" s="180">
        <f t="shared" si="349"/>
        <v>126</v>
      </c>
      <c r="AP974" s="180">
        <f t="shared" si="350"/>
        <v>19</v>
      </c>
      <c r="AQ974" s="180">
        <f t="shared" si="351"/>
        <v>53</v>
      </c>
      <c r="AR974" s="180">
        <f t="shared" si="352"/>
        <v>46</v>
      </c>
      <c r="AS974" s="210">
        <f t="shared" si="353"/>
        <v>6615</v>
      </c>
      <c r="AU974" s="218">
        <f t="shared" si="354"/>
        <v>4.6056103581008055E-2</v>
      </c>
    </row>
    <row r="975" spans="1:48" ht="15.75" customHeight="1" x14ac:dyDescent="0.3">
      <c r="A975" s="192" t="s">
        <v>17</v>
      </c>
      <c r="B975" s="180">
        <f t="shared" si="336"/>
        <v>27141</v>
      </c>
      <c r="C975" s="180">
        <f t="shared" si="322"/>
        <v>3419</v>
      </c>
      <c r="D975" s="180">
        <f t="shared" si="323"/>
        <v>3547</v>
      </c>
      <c r="E975" s="180">
        <f t="shared" si="324"/>
        <v>4491</v>
      </c>
      <c r="F975" s="180">
        <f t="shared" si="337"/>
        <v>0</v>
      </c>
      <c r="G975" s="180">
        <f t="shared" si="325"/>
        <v>-16550.405806515493</v>
      </c>
      <c r="H975" s="180">
        <f t="shared" si="326"/>
        <v>12009</v>
      </c>
      <c r="I975" s="180">
        <f t="shared" si="327"/>
        <v>7832</v>
      </c>
      <c r="J975" s="180">
        <f t="shared" si="328"/>
        <v>8127</v>
      </c>
      <c r="K975" s="180">
        <f t="shared" si="329"/>
        <v>7318</v>
      </c>
      <c r="L975" s="180">
        <f t="shared" si="330"/>
        <v>2262</v>
      </c>
      <c r="M975" s="180">
        <f t="shared" si="331"/>
        <v>2665</v>
      </c>
      <c r="N975" s="180">
        <f t="shared" si="332"/>
        <v>5013</v>
      </c>
      <c r="O975" s="180">
        <f t="shared" si="333"/>
        <v>860</v>
      </c>
      <c r="P975" s="180">
        <f t="shared" si="334"/>
        <v>1940</v>
      </c>
      <c r="Q975" s="180">
        <f t="shared" si="335"/>
        <v>2034</v>
      </c>
      <c r="R975" s="216">
        <f t="shared" si="355"/>
        <v>72107.594193484503</v>
      </c>
      <c r="S975" s="217"/>
      <c r="AC975" s="211" t="s">
        <v>17</v>
      </c>
      <c r="AD975" s="180">
        <f t="shared" si="338"/>
        <v>1276</v>
      </c>
      <c r="AE975" s="180">
        <f t="shared" si="339"/>
        <v>161</v>
      </c>
      <c r="AF975" s="180">
        <f t="shared" si="340"/>
        <v>167</v>
      </c>
      <c r="AG975" s="180">
        <f t="shared" si="341"/>
        <v>211</v>
      </c>
      <c r="AH975" s="180">
        <f t="shared" si="342"/>
        <v>0</v>
      </c>
      <c r="AI975" s="180">
        <f t="shared" si="343"/>
        <v>360</v>
      </c>
      <c r="AJ975" s="180">
        <f t="shared" si="344"/>
        <v>235</v>
      </c>
      <c r="AK975" s="180">
        <f t="shared" si="345"/>
        <v>244</v>
      </c>
      <c r="AL975" s="180">
        <f t="shared" si="346"/>
        <v>220</v>
      </c>
      <c r="AM975" s="180">
        <f t="shared" si="347"/>
        <v>68</v>
      </c>
      <c r="AN975" s="180">
        <f t="shared" si="348"/>
        <v>80</v>
      </c>
      <c r="AO975" s="180">
        <f t="shared" si="349"/>
        <v>150</v>
      </c>
      <c r="AP975" s="180">
        <f t="shared" si="350"/>
        <v>26</v>
      </c>
      <c r="AQ975" s="180">
        <f t="shared" si="351"/>
        <v>58</v>
      </c>
      <c r="AR975" s="180">
        <f t="shared" si="352"/>
        <v>61</v>
      </c>
      <c r="AS975" s="210">
        <f t="shared" si="353"/>
        <v>3317</v>
      </c>
      <c r="AU975" s="218">
        <f t="shared" si="354"/>
        <v>4.600070265968903E-2</v>
      </c>
    </row>
    <row r="976" spans="1:48" ht="15.75" customHeight="1" x14ac:dyDescent="0.3">
      <c r="A976" s="192" t="s">
        <v>18</v>
      </c>
      <c r="B976" s="180">
        <f t="shared" si="336"/>
        <v>158169</v>
      </c>
      <c r="C976" s="180">
        <f t="shared" si="322"/>
        <v>20125</v>
      </c>
      <c r="D976" s="180">
        <f t="shared" si="323"/>
        <v>21076</v>
      </c>
      <c r="E976" s="180">
        <f t="shared" si="324"/>
        <v>34973</v>
      </c>
      <c r="F976" s="180">
        <f t="shared" si="337"/>
        <v>3099.7857179953285</v>
      </c>
      <c r="G976" s="180">
        <f t="shared" si="325"/>
        <v>-821.52108515448356</v>
      </c>
      <c r="H976" s="180">
        <f t="shared" si="326"/>
        <v>9434</v>
      </c>
      <c r="I976" s="180">
        <f t="shared" si="327"/>
        <v>5736</v>
      </c>
      <c r="J976" s="180">
        <f t="shared" si="328"/>
        <v>6925</v>
      </c>
      <c r="K976" s="180">
        <f t="shared" si="329"/>
        <v>6238</v>
      </c>
      <c r="L976" s="180">
        <f t="shared" si="330"/>
        <v>1886</v>
      </c>
      <c r="M976" s="180">
        <f t="shared" si="331"/>
        <v>2222</v>
      </c>
      <c r="N976" s="180">
        <f t="shared" si="332"/>
        <v>4190</v>
      </c>
      <c r="O976" s="180">
        <f t="shared" si="333"/>
        <v>776</v>
      </c>
      <c r="P976" s="180">
        <f t="shared" si="334"/>
        <v>1898</v>
      </c>
      <c r="Q976" s="180">
        <f t="shared" si="335"/>
        <v>1836</v>
      </c>
      <c r="R976" s="216">
        <f t="shared" si="355"/>
        <v>277762.26463284087</v>
      </c>
      <c r="S976" s="217"/>
      <c r="AC976" s="211" t="s">
        <v>18</v>
      </c>
      <c r="AD976" s="180">
        <f t="shared" si="338"/>
        <v>7434</v>
      </c>
      <c r="AE976" s="180">
        <f t="shared" si="339"/>
        <v>946</v>
      </c>
      <c r="AF976" s="180">
        <f t="shared" si="340"/>
        <v>991</v>
      </c>
      <c r="AG976" s="180">
        <f t="shared" si="341"/>
        <v>1644</v>
      </c>
      <c r="AH976" s="180">
        <f t="shared" si="342"/>
        <v>0</v>
      </c>
      <c r="AI976" s="180">
        <f t="shared" si="343"/>
        <v>283</v>
      </c>
      <c r="AJ976" s="180">
        <f t="shared" si="344"/>
        <v>172</v>
      </c>
      <c r="AK976" s="180">
        <f t="shared" si="345"/>
        <v>208</v>
      </c>
      <c r="AL976" s="180">
        <f t="shared" si="346"/>
        <v>187</v>
      </c>
      <c r="AM976" s="180">
        <f t="shared" si="347"/>
        <v>57</v>
      </c>
      <c r="AN976" s="180">
        <f t="shared" si="348"/>
        <v>67</v>
      </c>
      <c r="AO976" s="180">
        <f t="shared" si="349"/>
        <v>126</v>
      </c>
      <c r="AP976" s="180">
        <f t="shared" si="350"/>
        <v>23</v>
      </c>
      <c r="AQ976" s="180">
        <f t="shared" si="351"/>
        <v>57</v>
      </c>
      <c r="AR976" s="180">
        <f t="shared" si="352"/>
        <v>55</v>
      </c>
      <c r="AS976" s="210">
        <f t="shared" si="353"/>
        <v>12250</v>
      </c>
      <c r="AU976" s="218">
        <f t="shared" si="354"/>
        <v>4.4102463004442385E-2</v>
      </c>
    </row>
    <row r="977" spans="1:47" ht="15.75" customHeight="1" x14ac:dyDescent="0.3">
      <c r="A977" s="192" t="s">
        <v>20</v>
      </c>
      <c r="B977" s="180">
        <f t="shared" si="336"/>
        <v>167664</v>
      </c>
      <c r="C977" s="180">
        <f t="shared" si="322"/>
        <v>21339</v>
      </c>
      <c r="D977" s="180">
        <f t="shared" si="323"/>
        <v>22354</v>
      </c>
      <c r="E977" s="180">
        <f t="shared" si="324"/>
        <v>38024</v>
      </c>
      <c r="F977" s="180">
        <f t="shared" si="337"/>
        <v>17058.72744741623</v>
      </c>
      <c r="G977" s="180">
        <f t="shared" si="325"/>
        <v>0</v>
      </c>
      <c r="H977" s="180">
        <f t="shared" si="326"/>
        <v>3838</v>
      </c>
      <c r="I977" s="180">
        <f t="shared" si="327"/>
        <v>2160</v>
      </c>
      <c r="J977" s="180">
        <f t="shared" si="328"/>
        <v>3156</v>
      </c>
      <c r="K977" s="180">
        <f t="shared" si="329"/>
        <v>3233</v>
      </c>
      <c r="L977" s="180">
        <f t="shared" si="330"/>
        <v>900</v>
      </c>
      <c r="M977" s="180">
        <f t="shared" si="331"/>
        <v>1059</v>
      </c>
      <c r="N977" s="180">
        <f t="shared" si="332"/>
        <v>2214</v>
      </c>
      <c r="O977" s="180">
        <f t="shared" si="333"/>
        <v>603</v>
      </c>
      <c r="P977" s="180">
        <f t="shared" si="334"/>
        <v>1220</v>
      </c>
      <c r="Q977" s="180">
        <f t="shared" si="335"/>
        <v>1427</v>
      </c>
      <c r="R977" s="216">
        <f t="shared" si="355"/>
        <v>286249.72744741623</v>
      </c>
      <c r="S977" s="217"/>
      <c r="AC977" s="211" t="s">
        <v>20</v>
      </c>
      <c r="AD977" s="180">
        <f t="shared" si="338"/>
        <v>7880</v>
      </c>
      <c r="AE977" s="180">
        <f t="shared" si="339"/>
        <v>1003</v>
      </c>
      <c r="AF977" s="180">
        <f t="shared" si="340"/>
        <v>1051</v>
      </c>
      <c r="AG977" s="180">
        <f t="shared" si="341"/>
        <v>1787</v>
      </c>
      <c r="AH977" s="180">
        <f t="shared" si="342"/>
        <v>0</v>
      </c>
      <c r="AI977" s="180">
        <f t="shared" si="343"/>
        <v>115</v>
      </c>
      <c r="AJ977" s="180">
        <f t="shared" si="344"/>
        <v>65</v>
      </c>
      <c r="AK977" s="180">
        <f t="shared" si="345"/>
        <v>95</v>
      </c>
      <c r="AL977" s="180">
        <f t="shared" si="346"/>
        <v>97</v>
      </c>
      <c r="AM977" s="180">
        <f t="shared" si="347"/>
        <v>27</v>
      </c>
      <c r="AN977" s="180">
        <f t="shared" si="348"/>
        <v>32</v>
      </c>
      <c r="AO977" s="180">
        <f t="shared" si="349"/>
        <v>66</v>
      </c>
      <c r="AP977" s="180">
        <f t="shared" si="350"/>
        <v>18</v>
      </c>
      <c r="AQ977" s="180">
        <f t="shared" si="351"/>
        <v>37</v>
      </c>
      <c r="AR977" s="180">
        <f t="shared" si="352"/>
        <v>43</v>
      </c>
      <c r="AS977" s="210">
        <f t="shared" si="353"/>
        <v>12316</v>
      </c>
      <c r="AU977" s="218">
        <f t="shared" si="354"/>
        <v>4.3025368477468462E-2</v>
      </c>
    </row>
    <row r="978" spans="1:47" ht="15.75" customHeight="1" x14ac:dyDescent="0.3">
      <c r="A978" s="192" t="s">
        <v>21</v>
      </c>
      <c r="B978" s="180">
        <f t="shared" si="336"/>
        <v>163861</v>
      </c>
      <c r="C978" s="180">
        <f t="shared" si="322"/>
        <v>20861</v>
      </c>
      <c r="D978" s="180">
        <f t="shared" si="323"/>
        <v>21858</v>
      </c>
      <c r="E978" s="180">
        <f t="shared" si="324"/>
        <v>36722</v>
      </c>
      <c r="F978" s="180">
        <f t="shared" si="337"/>
        <v>15456.182835627109</v>
      </c>
      <c r="G978" s="180">
        <f t="shared" si="325"/>
        <v>-13.620482290881665</v>
      </c>
      <c r="H978" s="180">
        <f t="shared" si="326"/>
        <v>3830</v>
      </c>
      <c r="I978" s="180">
        <f t="shared" si="327"/>
        <v>896</v>
      </c>
      <c r="J978" s="180">
        <f t="shared" si="328"/>
        <v>1389</v>
      </c>
      <c r="K978" s="180">
        <f t="shared" si="329"/>
        <v>1350</v>
      </c>
      <c r="L978" s="180">
        <f t="shared" si="330"/>
        <v>443</v>
      </c>
      <c r="M978" s="180">
        <f t="shared" si="331"/>
        <v>520</v>
      </c>
      <c r="N978" s="180">
        <f t="shared" si="332"/>
        <v>940</v>
      </c>
      <c r="O978" s="180">
        <f t="shared" si="333"/>
        <v>407</v>
      </c>
      <c r="P978" s="180">
        <f t="shared" si="334"/>
        <v>1286</v>
      </c>
      <c r="Q978" s="180">
        <f t="shared" si="335"/>
        <v>963</v>
      </c>
      <c r="R978" s="216">
        <f t="shared" si="355"/>
        <v>270768.56235333625</v>
      </c>
      <c r="S978" s="217"/>
      <c r="AC978" s="211" t="s">
        <v>21</v>
      </c>
      <c r="AD978" s="180">
        <f t="shared" si="338"/>
        <v>7701</v>
      </c>
      <c r="AE978" s="180">
        <f t="shared" si="339"/>
        <v>980</v>
      </c>
      <c r="AF978" s="180">
        <f t="shared" si="340"/>
        <v>1027</v>
      </c>
      <c r="AG978" s="180">
        <f t="shared" si="341"/>
        <v>1726</v>
      </c>
      <c r="AH978" s="180">
        <f t="shared" si="342"/>
        <v>0</v>
      </c>
      <c r="AI978" s="180">
        <f t="shared" si="343"/>
        <v>115</v>
      </c>
      <c r="AJ978" s="180">
        <f t="shared" si="344"/>
        <v>27</v>
      </c>
      <c r="AK978" s="180">
        <f t="shared" si="345"/>
        <v>42</v>
      </c>
      <c r="AL978" s="180">
        <f t="shared" si="346"/>
        <v>41</v>
      </c>
      <c r="AM978" s="180">
        <f t="shared" si="347"/>
        <v>13</v>
      </c>
      <c r="AN978" s="180">
        <f t="shared" si="348"/>
        <v>16</v>
      </c>
      <c r="AO978" s="180">
        <f t="shared" si="349"/>
        <v>28</v>
      </c>
      <c r="AP978" s="180">
        <f t="shared" si="350"/>
        <v>12</v>
      </c>
      <c r="AQ978" s="180">
        <f t="shared" si="351"/>
        <v>39</v>
      </c>
      <c r="AR978" s="180">
        <f t="shared" si="352"/>
        <v>29</v>
      </c>
      <c r="AS978" s="210">
        <f t="shared" si="353"/>
        <v>11796</v>
      </c>
      <c r="AU978" s="218">
        <f t="shared" si="354"/>
        <v>4.3564880270727101E-2</v>
      </c>
    </row>
    <row r="979" spans="1:47" ht="15.75" customHeight="1" x14ac:dyDescent="0.3">
      <c r="A979" s="192" t="s">
        <v>22</v>
      </c>
      <c r="B979" s="180">
        <f t="shared" si="336"/>
        <v>136319</v>
      </c>
      <c r="C979" s="180">
        <f t="shared" si="322"/>
        <v>17355</v>
      </c>
      <c r="D979" s="180">
        <f t="shared" si="323"/>
        <v>18186</v>
      </c>
      <c r="E979" s="180">
        <f t="shared" si="324"/>
        <v>30623</v>
      </c>
      <c r="F979" s="180">
        <f t="shared" si="337"/>
        <v>15424.017335486369</v>
      </c>
      <c r="G979" s="180">
        <f t="shared" si="325"/>
        <v>0</v>
      </c>
      <c r="H979" s="180">
        <f t="shared" si="326"/>
        <v>2861</v>
      </c>
      <c r="I979" s="180">
        <f t="shared" si="327"/>
        <v>897</v>
      </c>
      <c r="J979" s="180">
        <f t="shared" si="328"/>
        <v>1329</v>
      </c>
      <c r="K979" s="180">
        <f t="shared" si="329"/>
        <v>1371</v>
      </c>
      <c r="L979" s="180">
        <f t="shared" si="330"/>
        <v>514</v>
      </c>
      <c r="M979" s="180">
        <f t="shared" si="331"/>
        <v>605</v>
      </c>
      <c r="N979" s="180">
        <f t="shared" si="332"/>
        <v>1066</v>
      </c>
      <c r="O979" s="180">
        <f t="shared" si="333"/>
        <v>363</v>
      </c>
      <c r="P979" s="180">
        <f t="shared" si="334"/>
        <v>1127</v>
      </c>
      <c r="Q979" s="180">
        <f t="shared" si="335"/>
        <v>849</v>
      </c>
      <c r="R979" s="216">
        <f t="shared" si="355"/>
        <v>228889.01733548637</v>
      </c>
      <c r="S979" s="217"/>
      <c r="AC979" s="211" t="s">
        <v>22</v>
      </c>
      <c r="AD979" s="180">
        <f t="shared" si="338"/>
        <v>6407</v>
      </c>
      <c r="AE979" s="180">
        <f t="shared" si="339"/>
        <v>816</v>
      </c>
      <c r="AF979" s="180">
        <f t="shared" si="340"/>
        <v>855</v>
      </c>
      <c r="AG979" s="180">
        <f t="shared" si="341"/>
        <v>1439</v>
      </c>
      <c r="AH979" s="180">
        <f t="shared" si="342"/>
        <v>0</v>
      </c>
      <c r="AI979" s="180">
        <f t="shared" si="343"/>
        <v>86</v>
      </c>
      <c r="AJ979" s="180">
        <f t="shared" si="344"/>
        <v>27</v>
      </c>
      <c r="AK979" s="180">
        <f t="shared" si="345"/>
        <v>40</v>
      </c>
      <c r="AL979" s="180">
        <f t="shared" si="346"/>
        <v>41</v>
      </c>
      <c r="AM979" s="180">
        <f t="shared" si="347"/>
        <v>15</v>
      </c>
      <c r="AN979" s="180">
        <f t="shared" si="348"/>
        <v>18</v>
      </c>
      <c r="AO979" s="180">
        <f t="shared" si="349"/>
        <v>32</v>
      </c>
      <c r="AP979" s="180">
        <f t="shared" si="350"/>
        <v>11</v>
      </c>
      <c r="AQ979" s="180">
        <f t="shared" si="351"/>
        <v>34</v>
      </c>
      <c r="AR979" s="180">
        <f t="shared" si="352"/>
        <v>25</v>
      </c>
      <c r="AS979" s="210">
        <f t="shared" si="353"/>
        <v>9846</v>
      </c>
      <c r="AU979" s="218">
        <f t="shared" si="354"/>
        <v>4.3016480714618811E-2</v>
      </c>
    </row>
    <row r="980" spans="1:47" ht="15.75" customHeight="1" x14ac:dyDescent="0.3">
      <c r="A980" s="189"/>
      <c r="B980" s="180"/>
      <c r="C980" s="180"/>
      <c r="D980" s="180"/>
      <c r="E980" s="180"/>
      <c r="F980" s="180"/>
      <c r="G980" s="180"/>
      <c r="H980" s="180"/>
      <c r="I980" s="180"/>
      <c r="J980" s="180"/>
      <c r="K980" s="180"/>
      <c r="L980" s="180"/>
      <c r="M980" s="180"/>
      <c r="N980" s="180"/>
      <c r="O980" s="180"/>
      <c r="P980" s="180"/>
      <c r="Q980" s="180"/>
      <c r="R980" s="210"/>
      <c r="S980" s="217"/>
      <c r="AC980" s="95"/>
      <c r="AD980" s="180"/>
      <c r="AE980" s="180"/>
      <c r="AF980" s="180"/>
      <c r="AG980" s="180"/>
      <c r="AH980" s="180"/>
      <c r="AI980" s="180"/>
      <c r="AJ980" s="180"/>
      <c r="AK980" s="180"/>
      <c r="AL980" s="180"/>
      <c r="AM980" s="180"/>
      <c r="AN980" s="180"/>
      <c r="AO980" s="180"/>
      <c r="AP980" s="180"/>
      <c r="AQ980" s="180"/>
      <c r="AR980" s="180"/>
      <c r="AS980" s="210"/>
    </row>
    <row r="981" spans="1:47" ht="15.75" customHeight="1" thickBot="1" x14ac:dyDescent="0.35">
      <c r="A981" s="189" t="s">
        <v>641</v>
      </c>
      <c r="B981" s="180">
        <f>SUM(B968:B979)</f>
        <v>1469755</v>
      </c>
      <c r="C981" s="180">
        <f t="shared" ref="C981:Q981" si="356">SUM(C968:C979)</f>
        <v>186939</v>
      </c>
      <c r="D981" s="180">
        <f t="shared" si="356"/>
        <v>195708</v>
      </c>
      <c r="E981" s="180">
        <f t="shared" si="356"/>
        <v>323903</v>
      </c>
      <c r="F981" s="180">
        <f t="shared" si="356"/>
        <v>84308.867498632942</v>
      </c>
      <c r="G981" s="180">
        <f t="shared" si="356"/>
        <v>-53866.922951389999</v>
      </c>
      <c r="H981" s="180">
        <f t="shared" si="356"/>
        <v>98588</v>
      </c>
      <c r="I981" s="180">
        <f t="shared" si="356"/>
        <v>57730</v>
      </c>
      <c r="J981" s="180">
        <f t="shared" si="356"/>
        <v>68600</v>
      </c>
      <c r="K981" s="180">
        <f t="shared" si="356"/>
        <v>61947</v>
      </c>
      <c r="L981" s="180">
        <f t="shared" si="356"/>
        <v>19217</v>
      </c>
      <c r="M981" s="180">
        <f t="shared" si="356"/>
        <v>22634</v>
      </c>
      <c r="N981" s="180">
        <f t="shared" si="356"/>
        <v>44301</v>
      </c>
      <c r="O981" s="180">
        <f t="shared" si="356"/>
        <v>8051</v>
      </c>
      <c r="P981" s="180">
        <f t="shared" si="356"/>
        <v>18364</v>
      </c>
      <c r="Q981" s="180">
        <f t="shared" si="356"/>
        <v>19020</v>
      </c>
      <c r="R981" s="219">
        <f>SUM(R968:R979)</f>
        <v>2625198.9445472425</v>
      </c>
      <c r="S981" s="217"/>
      <c r="AC981" s="220" t="s">
        <v>641</v>
      </c>
      <c r="AD981" s="195">
        <f>SUM(AD968:AD979)</f>
        <v>69078</v>
      </c>
      <c r="AE981" s="195">
        <f t="shared" ref="AE981:AS981" si="357">SUM(AE968:AE979)</f>
        <v>8787</v>
      </c>
      <c r="AF981" s="195">
        <f t="shared" si="357"/>
        <v>9200</v>
      </c>
      <c r="AG981" s="195">
        <f t="shared" si="357"/>
        <v>15224</v>
      </c>
      <c r="AH981" s="195">
        <f t="shared" si="357"/>
        <v>0</v>
      </c>
      <c r="AI981" s="195">
        <f t="shared" si="357"/>
        <v>2957</v>
      </c>
      <c r="AJ981" s="195">
        <f t="shared" si="357"/>
        <v>1732</v>
      </c>
      <c r="AK981" s="195">
        <f t="shared" si="357"/>
        <v>2061</v>
      </c>
      <c r="AL981" s="195">
        <f t="shared" si="357"/>
        <v>1859</v>
      </c>
      <c r="AM981" s="195">
        <f t="shared" si="357"/>
        <v>575</v>
      </c>
      <c r="AN981" s="195">
        <f t="shared" si="357"/>
        <v>678</v>
      </c>
      <c r="AO981" s="195">
        <f t="shared" si="357"/>
        <v>1329</v>
      </c>
      <c r="AP981" s="195">
        <f t="shared" si="357"/>
        <v>241</v>
      </c>
      <c r="AQ981" s="195">
        <f t="shared" si="357"/>
        <v>552</v>
      </c>
      <c r="AR981" s="195">
        <f t="shared" si="357"/>
        <v>571</v>
      </c>
      <c r="AS981" s="221">
        <f t="shared" si="357"/>
        <v>114844</v>
      </c>
      <c r="AU981" s="218">
        <f t="shared" si="354"/>
        <v>4.3746779739699572E-2</v>
      </c>
    </row>
    <row r="982" spans="1:47" ht="16.5" customHeight="1" thickBot="1" x14ac:dyDescent="0.35">
      <c r="A982" s="204" t="s">
        <v>7</v>
      </c>
      <c r="B982" s="195"/>
      <c r="C982" s="195"/>
      <c r="D982" s="195"/>
      <c r="E982" s="195"/>
      <c r="F982" s="195"/>
      <c r="G982" s="195"/>
      <c r="H982" s="195"/>
      <c r="I982" s="195"/>
      <c r="J982" s="195"/>
      <c r="K982" s="195"/>
      <c r="L982" s="195"/>
      <c r="M982" s="195"/>
      <c r="N982" s="195"/>
      <c r="O982" s="195"/>
      <c r="P982" s="195"/>
      <c r="Q982" s="195"/>
      <c r="R982" s="221"/>
      <c r="S982" s="180"/>
    </row>
    <row r="983" spans="1:47" ht="15.75" customHeight="1" x14ac:dyDescent="0.3">
      <c r="A983" s="180"/>
      <c r="B983" s="180"/>
      <c r="C983" s="180"/>
      <c r="D983" s="180"/>
      <c r="E983" s="180"/>
      <c r="F983" s="180"/>
      <c r="G983" s="180"/>
      <c r="H983" s="180"/>
      <c r="I983" s="180"/>
      <c r="J983" s="180"/>
      <c r="K983" s="180"/>
      <c r="L983" s="180"/>
      <c r="M983" s="180"/>
      <c r="N983" s="180"/>
      <c r="O983" s="180"/>
      <c r="P983" s="180"/>
      <c r="Q983" s="180"/>
      <c r="R983" s="180"/>
    </row>
    <row r="984" spans="1:47" ht="15.75" customHeight="1" x14ac:dyDescent="0.3"/>
    <row r="985" spans="1:47" ht="15.75" customHeight="1" thickBot="1" x14ac:dyDescent="0.35"/>
    <row r="986" spans="1:47" ht="15.75" customHeight="1" thickBot="1" x14ac:dyDescent="0.35">
      <c r="B986" s="428" t="s">
        <v>727</v>
      </c>
      <c r="C986" s="423"/>
      <c r="D986" s="423"/>
      <c r="E986" s="423"/>
      <c r="F986" s="423"/>
      <c r="G986" s="423"/>
      <c r="H986" s="423"/>
      <c r="I986" s="423"/>
      <c r="J986" s="423"/>
      <c r="K986" s="423"/>
      <c r="L986" s="423"/>
      <c r="M986" s="423"/>
      <c r="N986" s="423"/>
      <c r="O986" s="423"/>
      <c r="P986" s="423"/>
      <c r="Q986" s="354" t="str">
        <f>+Q1</f>
        <v xml:space="preserve">PRINTED:  </v>
      </c>
      <c r="R986" s="357">
        <f ca="1">+R1</f>
        <v>44894.658168402777</v>
      </c>
      <c r="S986" s="351"/>
      <c r="T986" s="359"/>
      <c r="U986" s="359"/>
      <c r="V986" s="358"/>
    </row>
    <row r="987" spans="1:47" ht="15.75" customHeight="1" x14ac:dyDescent="0.3">
      <c r="B987" s="399">
        <f>+A5</f>
        <v>2018</v>
      </c>
      <c r="C987" s="395"/>
      <c r="D987" s="395"/>
      <c r="E987" s="395"/>
      <c r="F987" s="395"/>
      <c r="G987" s="395"/>
      <c r="H987" s="395"/>
      <c r="I987" s="395"/>
      <c r="J987" s="395"/>
      <c r="K987" s="395"/>
      <c r="L987" s="395"/>
      <c r="M987" s="395"/>
      <c r="N987" s="395"/>
      <c r="O987" s="395"/>
      <c r="P987" s="395"/>
      <c r="Q987" s="180"/>
      <c r="R987" s="180"/>
      <c r="S987" s="180"/>
      <c r="V987" s="304"/>
      <c r="AC987" s="360"/>
      <c r="AD987" s="423" t="s">
        <v>728</v>
      </c>
      <c r="AE987" s="427"/>
      <c r="AF987" s="427"/>
      <c r="AG987" s="427"/>
      <c r="AH987" s="427"/>
      <c r="AI987" s="427"/>
      <c r="AJ987" s="427"/>
      <c r="AK987" s="427"/>
      <c r="AL987" s="427"/>
      <c r="AM987" s="427"/>
      <c r="AN987" s="427"/>
      <c r="AO987" s="427"/>
      <c r="AP987" s="427"/>
      <c r="AQ987" s="427"/>
      <c r="AR987" s="354" t="str">
        <f>$Q$1</f>
        <v xml:space="preserve">PRINTED:  </v>
      </c>
      <c r="AS987" s="361">
        <f ca="1">$R$1</f>
        <v>44894.658168402777</v>
      </c>
    </row>
    <row r="988" spans="1:47" ht="15.75" customHeight="1" x14ac:dyDescent="0.3">
      <c r="B988" s="400" t="str">
        <f>+A8</f>
        <v>Revised:  3/2/2019</v>
      </c>
      <c r="C988" s="394"/>
      <c r="D988" s="394"/>
      <c r="E988" s="394"/>
      <c r="F988" s="394"/>
      <c r="G988" s="394"/>
      <c r="H988" s="394"/>
      <c r="I988" s="394"/>
      <c r="J988" s="394"/>
      <c r="K988" s="394"/>
      <c r="L988" s="394"/>
      <c r="M988" s="394"/>
      <c r="N988" s="394"/>
      <c r="O988" s="394"/>
      <c r="P988" s="394"/>
      <c r="Q988" s="180"/>
      <c r="R988" s="180"/>
      <c r="S988" s="180"/>
      <c r="V988" s="304"/>
      <c r="AC988" s="95"/>
      <c r="AD988" s="394" t="str">
        <f>+$A$8</f>
        <v>Revised:  3/2/2019</v>
      </c>
      <c r="AE988" s="396"/>
      <c r="AF988" s="396"/>
      <c r="AG988" s="396"/>
      <c r="AH988" s="396"/>
      <c r="AI988" s="396"/>
      <c r="AJ988" s="396"/>
      <c r="AK988" s="396"/>
      <c r="AL988" s="396"/>
      <c r="AM988" s="396"/>
      <c r="AN988" s="396"/>
      <c r="AO988" s="396"/>
      <c r="AP988" s="396"/>
      <c r="AQ988" s="396"/>
      <c r="AR988" s="192"/>
      <c r="AS988" s="304"/>
    </row>
    <row r="989" spans="1:47" ht="15.75" customHeight="1" thickBot="1" x14ac:dyDescent="0.35">
      <c r="B989" s="401" t="s">
        <v>729</v>
      </c>
      <c r="C989" s="402"/>
      <c r="D989" s="402"/>
      <c r="E989" s="402"/>
      <c r="F989" s="402"/>
      <c r="G989" s="402"/>
      <c r="H989" s="402"/>
      <c r="I989" s="402"/>
      <c r="J989" s="402"/>
      <c r="K989" s="402"/>
      <c r="L989" s="402"/>
      <c r="M989" s="402"/>
      <c r="N989" s="402"/>
      <c r="O989" s="402"/>
      <c r="P989" s="402"/>
      <c r="Q989" s="180"/>
      <c r="R989" s="180"/>
      <c r="S989" s="195"/>
      <c r="V989" s="304"/>
      <c r="AC989" s="95"/>
      <c r="AD989" s="394" t="s">
        <v>670</v>
      </c>
      <c r="AE989" s="397"/>
      <c r="AF989" s="397"/>
      <c r="AG989" s="397"/>
      <c r="AH989" s="397"/>
      <c r="AI989" s="397"/>
      <c r="AJ989" s="397"/>
      <c r="AK989" s="397"/>
      <c r="AL989" s="397"/>
      <c r="AM989" s="397"/>
      <c r="AN989" s="397"/>
      <c r="AO989" s="397"/>
      <c r="AP989" s="397"/>
      <c r="AQ989" s="397"/>
      <c r="AS989" s="304"/>
    </row>
    <row r="990" spans="1:47" ht="15.75" customHeight="1" thickBot="1" x14ac:dyDescent="0.35">
      <c r="A990" s="222"/>
      <c r="B990" s="403" t="s">
        <v>730</v>
      </c>
      <c r="C990" s="404"/>
      <c r="D990" s="404"/>
      <c r="E990" s="404"/>
      <c r="F990" s="405"/>
      <c r="G990" s="403" t="s">
        <v>731</v>
      </c>
      <c r="H990" s="404"/>
      <c r="I990" s="404"/>
      <c r="J990" s="404"/>
      <c r="K990" s="404"/>
      <c r="L990" s="404"/>
      <c r="M990" s="406" t="s">
        <v>732</v>
      </c>
      <c r="N990" s="429"/>
      <c r="O990" s="429"/>
      <c r="P990" s="429"/>
      <c r="Q990" s="429"/>
      <c r="R990" s="430"/>
      <c r="S990" s="403" t="s">
        <v>733</v>
      </c>
      <c r="T990" s="431"/>
      <c r="U990" s="432"/>
      <c r="V990" s="304"/>
      <c r="AC990" s="95"/>
      <c r="AS990" s="304"/>
    </row>
    <row r="991" spans="1:47" ht="15.75" customHeight="1" x14ac:dyDescent="0.3">
      <c r="A991" s="222"/>
      <c r="B991" s="189" t="s">
        <v>639</v>
      </c>
      <c r="C991" s="182"/>
      <c r="D991" s="182" t="s">
        <v>734</v>
      </c>
      <c r="E991" s="182" t="s">
        <v>735</v>
      </c>
      <c r="F991" s="307" t="s">
        <v>736</v>
      </c>
      <c r="G991" s="189" t="s">
        <v>737</v>
      </c>
      <c r="H991" s="182"/>
      <c r="I991" s="182"/>
      <c r="J991" s="182" t="s">
        <v>738</v>
      </c>
      <c r="K991" s="182" t="s">
        <v>739</v>
      </c>
      <c r="L991" s="182" t="s">
        <v>740</v>
      </c>
      <c r="M991" s="433" t="s">
        <v>741</v>
      </c>
      <c r="N991" s="442"/>
      <c r="O991" s="443"/>
      <c r="P991" s="226"/>
      <c r="Q991" s="227"/>
      <c r="R991" s="362"/>
      <c r="S991" s="182" t="s">
        <v>742</v>
      </c>
      <c r="T991" s="228" t="s">
        <v>743</v>
      </c>
      <c r="U991" s="308" t="s">
        <v>744</v>
      </c>
      <c r="V991" s="304"/>
      <c r="AC991" s="95"/>
      <c r="AD991" s="395">
        <f>$A$5</f>
        <v>2018</v>
      </c>
      <c r="AE991" s="397"/>
      <c r="AF991" s="397"/>
      <c r="AG991" s="397"/>
      <c r="AH991" s="397"/>
      <c r="AI991" s="397"/>
      <c r="AJ991" s="397"/>
      <c r="AK991" s="397"/>
      <c r="AL991" s="397"/>
      <c r="AM991" s="397"/>
      <c r="AN991" s="397"/>
      <c r="AO991" s="397"/>
      <c r="AP991" s="397"/>
      <c r="AQ991" s="397"/>
      <c r="AS991" s="304"/>
    </row>
    <row r="992" spans="1:47" ht="15.75" customHeight="1" x14ac:dyDescent="0.3">
      <c r="A992" s="222"/>
      <c r="B992" s="230" t="s">
        <v>745</v>
      </c>
      <c r="C992" s="231" t="s">
        <v>746</v>
      </c>
      <c r="D992" s="231" t="s">
        <v>747</v>
      </c>
      <c r="E992" s="182" t="s">
        <v>658</v>
      </c>
      <c r="F992" s="309" t="s">
        <v>748</v>
      </c>
      <c r="G992" s="189" t="s">
        <v>640</v>
      </c>
      <c r="H992" s="182" t="s">
        <v>749</v>
      </c>
      <c r="I992" s="182" t="s">
        <v>750</v>
      </c>
      <c r="J992" s="231" t="s">
        <v>751</v>
      </c>
      <c r="K992" s="182" t="s">
        <v>723</v>
      </c>
      <c r="L992" s="231" t="s">
        <v>752</v>
      </c>
      <c r="M992" s="233" t="s">
        <v>753</v>
      </c>
      <c r="N992" s="226" t="s">
        <v>754</v>
      </c>
      <c r="O992" s="310" t="s">
        <v>641</v>
      </c>
      <c r="P992" s="226" t="s">
        <v>755</v>
      </c>
      <c r="Q992" s="226" t="s">
        <v>755</v>
      </c>
      <c r="R992" s="310" t="s">
        <v>756</v>
      </c>
      <c r="S992" s="182" t="s">
        <v>757</v>
      </c>
      <c r="T992" s="182" t="s">
        <v>758</v>
      </c>
      <c r="U992" s="307" t="s">
        <v>759</v>
      </c>
      <c r="V992" s="304"/>
      <c r="AC992" s="95"/>
      <c r="AD992" s="394" t="s">
        <v>717</v>
      </c>
      <c r="AE992" s="396"/>
      <c r="AF992" s="396"/>
      <c r="AG992" s="396"/>
      <c r="AH992" s="396"/>
      <c r="AI992" s="396"/>
      <c r="AJ992" s="396"/>
      <c r="AK992" s="396"/>
      <c r="AL992" s="396"/>
      <c r="AM992" s="396"/>
      <c r="AN992" s="396"/>
      <c r="AO992" s="396"/>
      <c r="AP992" s="396"/>
      <c r="AQ992" s="396"/>
      <c r="AR992" s="182"/>
      <c r="AS992" s="304"/>
    </row>
    <row r="993" spans="1:45" ht="15.75" customHeight="1" x14ac:dyDescent="0.3">
      <c r="A993" s="222"/>
      <c r="B993" s="235" t="s">
        <v>760</v>
      </c>
      <c r="C993" s="215">
        <v>0</v>
      </c>
      <c r="D993" s="215"/>
      <c r="E993" s="182" t="s">
        <v>761</v>
      </c>
      <c r="F993" s="311" t="s">
        <v>762</v>
      </c>
      <c r="G993" s="189" t="s">
        <v>763</v>
      </c>
      <c r="H993" s="182" t="s">
        <v>658</v>
      </c>
      <c r="I993" s="182" t="s">
        <v>658</v>
      </c>
      <c r="J993" s="182" t="s">
        <v>658</v>
      </c>
      <c r="K993" s="182" t="s">
        <v>743</v>
      </c>
      <c r="L993" s="182" t="s">
        <v>764</v>
      </c>
      <c r="M993" s="237" t="s">
        <v>648</v>
      </c>
      <c r="N993" s="227" t="s">
        <v>765</v>
      </c>
      <c r="O993" s="310" t="s">
        <v>766</v>
      </c>
      <c r="P993" s="227" t="s">
        <v>767</v>
      </c>
      <c r="Q993" s="226" t="s">
        <v>767</v>
      </c>
      <c r="R993" s="310" t="s">
        <v>766</v>
      </c>
      <c r="S993" s="182" t="s">
        <v>658</v>
      </c>
      <c r="T993" s="182" t="s">
        <v>658</v>
      </c>
      <c r="U993" s="307" t="s">
        <v>658</v>
      </c>
      <c r="V993" s="304"/>
      <c r="AC993" s="95"/>
      <c r="AK993" s="190"/>
      <c r="AS993" s="304"/>
    </row>
    <row r="994" spans="1:45" ht="15.75" customHeight="1" thickBot="1" x14ac:dyDescent="0.35">
      <c r="A994" s="213" t="s">
        <v>768</v>
      </c>
      <c r="B994" s="189" t="s">
        <v>705</v>
      </c>
      <c r="C994" s="182" t="s">
        <v>705</v>
      </c>
      <c r="D994" s="182" t="s">
        <v>705</v>
      </c>
      <c r="E994" s="182" t="s">
        <v>705</v>
      </c>
      <c r="F994" s="307" t="s">
        <v>705</v>
      </c>
      <c r="G994" s="189" t="s">
        <v>705</v>
      </c>
      <c r="H994" s="182" t="s">
        <v>705</v>
      </c>
      <c r="I994" s="182" t="s">
        <v>705</v>
      </c>
      <c r="J994" s="182" t="s">
        <v>705</v>
      </c>
      <c r="K994" s="182" t="s">
        <v>705</v>
      </c>
      <c r="L994" s="182" t="s">
        <v>705</v>
      </c>
      <c r="M994" s="237" t="s">
        <v>705</v>
      </c>
      <c r="N994" s="227" t="s">
        <v>705</v>
      </c>
      <c r="O994" s="310" t="s">
        <v>705</v>
      </c>
      <c r="P994" s="227" t="s">
        <v>365</v>
      </c>
      <c r="Q994" s="226" t="s">
        <v>705</v>
      </c>
      <c r="R994" s="310" t="s">
        <v>705</v>
      </c>
      <c r="S994" s="182" t="s">
        <v>705</v>
      </c>
      <c r="T994" s="182" t="s">
        <v>705</v>
      </c>
      <c r="U994" s="307" t="s">
        <v>705</v>
      </c>
      <c r="V994" s="304"/>
      <c r="AC994" s="95"/>
      <c r="AD994" s="191" t="s">
        <v>677</v>
      </c>
      <c r="AE994" s="191" t="s">
        <v>678</v>
      </c>
      <c r="AF994" s="191" t="s">
        <v>679</v>
      </c>
      <c r="AG994" s="191" t="s">
        <v>680</v>
      </c>
      <c r="AH994" s="191" t="s">
        <v>644</v>
      </c>
      <c r="AI994" s="191" t="s">
        <v>681</v>
      </c>
      <c r="AJ994" s="191" t="s">
        <v>682</v>
      </c>
      <c r="AK994" s="191" t="s">
        <v>683</v>
      </c>
      <c r="AL994" s="191" t="s">
        <v>684</v>
      </c>
      <c r="AM994" s="191" t="s">
        <v>685</v>
      </c>
      <c r="AN994" s="191" t="s">
        <v>686</v>
      </c>
      <c r="AO994" s="191" t="s">
        <v>687</v>
      </c>
      <c r="AP994" s="191" t="s">
        <v>688</v>
      </c>
      <c r="AQ994" s="191" t="s">
        <v>689</v>
      </c>
      <c r="AR994" s="191" t="s">
        <v>638</v>
      </c>
      <c r="AS994" s="209" t="s">
        <v>641</v>
      </c>
    </row>
    <row r="995" spans="1:45" ht="15.75" customHeight="1" x14ac:dyDescent="0.3">
      <c r="A995" s="213" t="s">
        <v>666</v>
      </c>
      <c r="B995" s="189" t="s">
        <v>666</v>
      </c>
      <c r="C995" s="182" t="s">
        <v>666</v>
      </c>
      <c r="D995" s="182" t="s">
        <v>666</v>
      </c>
      <c r="E995" s="182" t="s">
        <v>769</v>
      </c>
      <c r="F995" s="307" t="s">
        <v>666</v>
      </c>
      <c r="G995" s="189" t="s">
        <v>666</v>
      </c>
      <c r="H995" s="182" t="s">
        <v>770</v>
      </c>
      <c r="I995" s="182" t="s">
        <v>770</v>
      </c>
      <c r="J995" s="182" t="s">
        <v>666</v>
      </c>
      <c r="K995" s="182" t="s">
        <v>666</v>
      </c>
      <c r="L995" s="182" t="s">
        <v>666</v>
      </c>
      <c r="M995" s="237" t="s">
        <v>666</v>
      </c>
      <c r="N995" s="227" t="s">
        <v>666</v>
      </c>
      <c r="O995" s="310" t="s">
        <v>666</v>
      </c>
      <c r="P995" s="237" t="s">
        <v>666</v>
      </c>
      <c r="Q995" s="227" t="s">
        <v>666</v>
      </c>
      <c r="R995" s="310" t="s">
        <v>666</v>
      </c>
      <c r="S995" s="182" t="s">
        <v>666</v>
      </c>
      <c r="T995" s="182" t="s">
        <v>666</v>
      </c>
      <c r="U995" s="307" t="s">
        <v>666</v>
      </c>
      <c r="V995" s="304"/>
      <c r="AC995" s="95"/>
      <c r="AD995" s="180"/>
      <c r="AE995" s="180"/>
      <c r="AF995" s="180"/>
      <c r="AG995" s="180"/>
      <c r="AH995" s="182" t="s">
        <v>718</v>
      </c>
      <c r="AI995" s="180"/>
      <c r="AJ995" s="180"/>
      <c r="AK995" s="180"/>
      <c r="AL995" s="180"/>
      <c r="AM995" s="180"/>
      <c r="AN995" s="180"/>
      <c r="AO995" s="180"/>
      <c r="AP995" s="180"/>
      <c r="AQ995" s="180"/>
      <c r="AR995" s="180"/>
      <c r="AS995" s="210"/>
    </row>
    <row r="996" spans="1:45" ht="15.75" customHeight="1" x14ac:dyDescent="0.3">
      <c r="A996" s="192" t="s">
        <v>8</v>
      </c>
      <c r="B996" s="189">
        <f>ROUND(R968-G968,0)</f>
        <v>157612</v>
      </c>
      <c r="C996" s="182">
        <f>+ROUND(B996*$C$993,0)</f>
        <v>0</v>
      </c>
      <c r="D996" s="182">
        <f>AS968</f>
        <v>6631</v>
      </c>
      <c r="E996" s="182">
        <f>+B996+C996</f>
        <v>157612</v>
      </c>
      <c r="F996" s="307">
        <f>(D996+E996)</f>
        <v>164243</v>
      </c>
      <c r="G996" s="189">
        <f>ABS(G968)</f>
        <v>702.99006867204707</v>
      </c>
      <c r="H996" s="238">
        <v>8917</v>
      </c>
      <c r="I996" s="238">
        <v>0</v>
      </c>
      <c r="J996" s="182">
        <f>(H996+I996)</f>
        <v>8917</v>
      </c>
      <c r="K996" s="238">
        <v>0</v>
      </c>
      <c r="L996" s="238">
        <v>0</v>
      </c>
      <c r="M996" s="239">
        <f>D996+E996-G996-J996-K996-L996</f>
        <v>154623.00993132795</v>
      </c>
      <c r="N996" s="240">
        <v>0</v>
      </c>
      <c r="O996" s="310">
        <f>M996+N996</f>
        <v>154623.00993132795</v>
      </c>
      <c r="P996" s="241">
        <v>0.2</v>
      </c>
      <c r="Q996" s="227">
        <f>-O996*P996</f>
        <v>-30924.601986265592</v>
      </c>
      <c r="R996" s="310">
        <f>O996+Q996</f>
        <v>123698.40794506235</v>
      </c>
      <c r="S996" s="242">
        <f t="shared" ref="S996:S1007" si="358">(F996-G996-J996-K996-L996-R996)</f>
        <v>30924.601986265596</v>
      </c>
      <c r="T996" s="182">
        <f>+IF(S996&gt;=0,ABS(S996),"")</f>
        <v>30924.601986265596</v>
      </c>
      <c r="U996" s="307" t="str">
        <f>+IF(S996&lt;=0,ABS(S996),"")</f>
        <v/>
      </c>
      <c r="V996" s="304"/>
      <c r="AC996" s="211" t="s">
        <v>771</v>
      </c>
      <c r="AD996" s="212"/>
      <c r="AE996" s="212"/>
      <c r="AF996" s="212"/>
      <c r="AG996" s="212"/>
      <c r="AH996" s="212">
        <v>1.6E-2</v>
      </c>
      <c r="AI996" s="212">
        <v>1.6E-2</v>
      </c>
      <c r="AJ996" s="212">
        <v>1.6E-2</v>
      </c>
      <c r="AK996" s="212">
        <v>1.6E-2</v>
      </c>
      <c r="AL996" s="212">
        <v>1.6E-2</v>
      </c>
      <c r="AM996" s="212">
        <v>1.6E-2</v>
      </c>
      <c r="AN996" s="212">
        <v>1.6E-2</v>
      </c>
      <c r="AO996" s="212">
        <v>1.6E-2</v>
      </c>
      <c r="AP996" s="212">
        <v>1.6E-2</v>
      </c>
      <c r="AQ996" s="212">
        <v>1.6E-2</v>
      </c>
      <c r="AR996" s="212">
        <v>1.6E-2</v>
      </c>
      <c r="AS996" s="213"/>
    </row>
    <row r="997" spans="1:45" ht="15.75" customHeight="1" x14ac:dyDescent="0.3">
      <c r="A997" s="192" t="s">
        <v>9</v>
      </c>
      <c r="B997" s="189">
        <f>ROUND(R969-G969,0)</f>
        <v>193373</v>
      </c>
      <c r="C997" s="182">
        <f t="shared" ref="C997:C1007" si="359">+ROUND(B997*$C$993,0)</f>
        <v>0</v>
      </c>
      <c r="D997" s="182">
        <f t="shared" ref="D997:D1007" si="360">AS969</f>
        <v>8060</v>
      </c>
      <c r="E997" s="182">
        <f t="shared" ref="E997:E1009" si="361">+B997+C997</f>
        <v>193373</v>
      </c>
      <c r="F997" s="307">
        <f t="shared" ref="F997:F1007" si="362">(D997+E997)</f>
        <v>201433</v>
      </c>
      <c r="G997" s="189">
        <f t="shared" ref="G997:G1007" si="363">ABS(G969)</f>
        <v>2236.3113790504899</v>
      </c>
      <c r="H997" s="238">
        <v>11170</v>
      </c>
      <c r="I997" s="238">
        <v>0</v>
      </c>
      <c r="J997" s="182">
        <f t="shared" ref="J997:J1006" si="364">(H997+I997)</f>
        <v>11170</v>
      </c>
      <c r="K997" s="238">
        <v>0</v>
      </c>
      <c r="L997" s="238">
        <v>0</v>
      </c>
      <c r="M997" s="239">
        <f t="shared" ref="M997:M1007" si="365">D997+E997-G997-J997-K997-L997</f>
        <v>188026.68862094951</v>
      </c>
      <c r="N997" s="240">
        <v>0</v>
      </c>
      <c r="O997" s="310">
        <f t="shared" ref="O997:O1007" si="366">M997+N997</f>
        <v>188026.68862094951</v>
      </c>
      <c r="P997" s="241">
        <v>0.25</v>
      </c>
      <c r="Q997" s="227">
        <f t="shared" ref="Q997:Q1007" si="367">-O997*P997</f>
        <v>-47006.672155237378</v>
      </c>
      <c r="R997" s="310">
        <f t="shared" ref="R997:R1007" si="368">O997+Q997</f>
        <v>141020.01646571213</v>
      </c>
      <c r="S997" s="242">
        <f t="shared" si="358"/>
        <v>47006.672155237378</v>
      </c>
      <c r="T997" s="182">
        <f t="shared" ref="T997:T1007" si="369">+IF(S997&gt;=0,ABS(S997),"")</f>
        <v>47006.672155237378</v>
      </c>
      <c r="U997" s="307" t="str">
        <f t="shared" ref="U997:U1007" si="370">+IF(S997&lt;=0,ABS(S997),"")</f>
        <v/>
      </c>
      <c r="V997" s="304"/>
      <c r="AC997" s="211" t="s">
        <v>720</v>
      </c>
      <c r="AD997" s="212"/>
      <c r="AE997" s="212"/>
      <c r="AF997" s="212"/>
      <c r="AG997" s="212"/>
      <c r="AH997" s="212"/>
      <c r="AI997" s="212"/>
      <c r="AJ997" s="212"/>
      <c r="AK997" s="212"/>
      <c r="AL997" s="212"/>
      <c r="AM997" s="212"/>
      <c r="AN997" s="212"/>
      <c r="AO997" s="212"/>
      <c r="AP997" s="212"/>
      <c r="AQ997" s="212"/>
      <c r="AR997" s="212"/>
      <c r="AS997" s="213"/>
    </row>
    <row r="998" spans="1:45" ht="15.75" customHeight="1" x14ac:dyDescent="0.3">
      <c r="A998" s="192" t="s">
        <v>10</v>
      </c>
      <c r="B998" s="189">
        <f t="shared" ref="B998:B1007" si="371">ROUND(R970-G970,0)</f>
        <v>244896</v>
      </c>
      <c r="C998" s="182">
        <f t="shared" si="359"/>
        <v>0</v>
      </c>
      <c r="D998" s="182">
        <f t="shared" si="360"/>
        <v>10361</v>
      </c>
      <c r="E998" s="182">
        <f t="shared" si="361"/>
        <v>244896</v>
      </c>
      <c r="F998" s="307">
        <f t="shared" si="362"/>
        <v>255257</v>
      </c>
      <c r="G998" s="189">
        <f t="shared" si="363"/>
        <v>3012.9924642049727</v>
      </c>
      <c r="H998" s="238">
        <v>7738</v>
      </c>
      <c r="I998" s="238">
        <v>0</v>
      </c>
      <c r="J998" s="182">
        <f t="shared" si="364"/>
        <v>7738</v>
      </c>
      <c r="K998" s="238">
        <v>0</v>
      </c>
      <c r="L998" s="238">
        <v>0</v>
      </c>
      <c r="M998" s="239">
        <f t="shared" si="365"/>
        <v>244506.00753579504</v>
      </c>
      <c r="N998" s="240">
        <v>0</v>
      </c>
      <c r="O998" s="310">
        <f t="shared" si="366"/>
        <v>244506.00753579504</v>
      </c>
      <c r="P998" s="241">
        <v>0.3</v>
      </c>
      <c r="Q998" s="227">
        <f t="shared" si="367"/>
        <v>-73351.802260738506</v>
      </c>
      <c r="R998" s="310">
        <f t="shared" si="368"/>
        <v>171154.20527505653</v>
      </c>
      <c r="S998" s="242">
        <f t="shared" si="358"/>
        <v>73351.802260738506</v>
      </c>
      <c r="T998" s="182">
        <f t="shared" si="369"/>
        <v>73351.802260738506</v>
      </c>
      <c r="U998" s="307" t="str">
        <f t="shared" si="370"/>
        <v/>
      </c>
      <c r="V998" s="304"/>
      <c r="AC998" s="211" t="s">
        <v>721</v>
      </c>
      <c r="AD998" s="212"/>
      <c r="AE998" s="212"/>
      <c r="AF998" s="212"/>
      <c r="AG998" s="212"/>
      <c r="AH998" s="212"/>
      <c r="AI998" s="212"/>
      <c r="AJ998" s="212"/>
      <c r="AK998" s="212"/>
      <c r="AL998" s="212"/>
      <c r="AM998" s="212"/>
      <c r="AN998" s="212"/>
      <c r="AO998" s="212"/>
      <c r="AP998" s="212"/>
      <c r="AQ998" s="212"/>
      <c r="AR998" s="212"/>
      <c r="AS998" s="213"/>
    </row>
    <row r="999" spans="1:45" ht="15.75" customHeight="1" x14ac:dyDescent="0.3">
      <c r="A999" s="192" t="s">
        <v>12</v>
      </c>
      <c r="B999" s="189">
        <f t="shared" si="371"/>
        <v>290573</v>
      </c>
      <c r="C999" s="182">
        <f t="shared" si="359"/>
        <v>0</v>
      </c>
      <c r="D999" s="182">
        <f t="shared" si="360"/>
        <v>12712</v>
      </c>
      <c r="E999" s="182">
        <f t="shared" si="361"/>
        <v>290573</v>
      </c>
      <c r="F999" s="307">
        <f t="shared" si="362"/>
        <v>303285</v>
      </c>
      <c r="G999" s="189">
        <f t="shared" si="363"/>
        <v>1044.425677996546</v>
      </c>
      <c r="H999" s="238">
        <v>11080</v>
      </c>
      <c r="I999" s="238">
        <v>0</v>
      </c>
      <c r="J999" s="182">
        <f t="shared" si="364"/>
        <v>11080</v>
      </c>
      <c r="K999" s="238">
        <v>0</v>
      </c>
      <c r="L999" s="238">
        <v>0</v>
      </c>
      <c r="M999" s="239">
        <f t="shared" si="365"/>
        <v>291160.57432200346</v>
      </c>
      <c r="N999" s="240">
        <v>-22320</v>
      </c>
      <c r="O999" s="310">
        <f t="shared" si="366"/>
        <v>268840.57432200346</v>
      </c>
      <c r="P999" s="241">
        <v>0.35</v>
      </c>
      <c r="Q999" s="227">
        <f t="shared" si="367"/>
        <v>-94094.201012701204</v>
      </c>
      <c r="R999" s="310">
        <f t="shared" si="368"/>
        <v>174746.37330930226</v>
      </c>
      <c r="S999" s="242">
        <f t="shared" si="358"/>
        <v>116414.2010127012</v>
      </c>
      <c r="T999" s="182">
        <f t="shared" si="369"/>
        <v>116414.2010127012</v>
      </c>
      <c r="U999" s="307" t="str">
        <f t="shared" si="370"/>
        <v/>
      </c>
      <c r="V999" s="304"/>
      <c r="AC999" s="211" t="s">
        <v>137</v>
      </c>
      <c r="AD999" s="212"/>
      <c r="AE999" s="212"/>
      <c r="AF999" s="212"/>
      <c r="AG999" s="212"/>
      <c r="AH999" s="212"/>
      <c r="AI999" s="212"/>
      <c r="AJ999" s="212"/>
      <c r="AK999" s="212"/>
      <c r="AL999" s="212"/>
      <c r="AM999" s="212"/>
      <c r="AN999" s="212"/>
      <c r="AO999" s="212"/>
      <c r="AP999" s="212"/>
      <c r="AQ999" s="212"/>
      <c r="AR999" s="212"/>
      <c r="AS999" s="213"/>
    </row>
    <row r="1000" spans="1:45" ht="15.75" customHeight="1" x14ac:dyDescent="0.3">
      <c r="A1000" s="192" t="s">
        <v>13</v>
      </c>
      <c r="B1000" s="189">
        <f t="shared" si="371"/>
        <v>304527</v>
      </c>
      <c r="C1000" s="182">
        <f t="shared" si="359"/>
        <v>0</v>
      </c>
      <c r="D1000" s="182">
        <f t="shared" si="360"/>
        <v>13428</v>
      </c>
      <c r="E1000" s="182">
        <f t="shared" si="361"/>
        <v>304527</v>
      </c>
      <c r="F1000" s="307">
        <f t="shared" si="362"/>
        <v>317955</v>
      </c>
      <c r="G1000" s="189">
        <f t="shared" si="363"/>
        <v>753.46125094197532</v>
      </c>
      <c r="H1000" s="238">
        <v>9265</v>
      </c>
      <c r="I1000" s="238">
        <v>0</v>
      </c>
      <c r="J1000" s="182">
        <f t="shared" si="364"/>
        <v>9265</v>
      </c>
      <c r="K1000" s="238">
        <v>0</v>
      </c>
      <c r="L1000" s="238">
        <v>0</v>
      </c>
      <c r="M1000" s="239">
        <f t="shared" si="365"/>
        <v>307936.53874905803</v>
      </c>
      <c r="N1000" s="240">
        <v>0</v>
      </c>
      <c r="O1000" s="310">
        <f t="shared" si="366"/>
        <v>307936.53874905803</v>
      </c>
      <c r="P1000" s="241">
        <v>0.35</v>
      </c>
      <c r="Q1000" s="227">
        <f t="shared" si="367"/>
        <v>-107777.7885621703</v>
      </c>
      <c r="R1000" s="310">
        <f t="shared" si="368"/>
        <v>200158.75018688774</v>
      </c>
      <c r="S1000" s="242">
        <f t="shared" si="358"/>
        <v>107777.78856217029</v>
      </c>
      <c r="T1000" s="182">
        <f t="shared" si="369"/>
        <v>107777.78856217029</v>
      </c>
      <c r="U1000" s="307" t="str">
        <f t="shared" si="370"/>
        <v/>
      </c>
      <c r="V1000" s="304"/>
      <c r="AC1000" s="211" t="s">
        <v>772</v>
      </c>
      <c r="AD1000" s="212"/>
      <c r="AE1000" s="212"/>
      <c r="AF1000" s="212"/>
      <c r="AG1000" s="212"/>
      <c r="AH1000" s="212"/>
      <c r="AI1000" s="212"/>
      <c r="AJ1000" s="212">
        <v>2.5000000000000001E-2</v>
      </c>
      <c r="AK1000" s="212">
        <v>2.5000000000000001E-2</v>
      </c>
      <c r="AL1000" s="212">
        <v>2.5000000000000001E-2</v>
      </c>
      <c r="AM1000" s="212">
        <v>2.5000000000000001E-2</v>
      </c>
      <c r="AN1000" s="212">
        <v>2.5000000000000001E-2</v>
      </c>
      <c r="AO1000" s="212">
        <v>2.5000000000000001E-2</v>
      </c>
      <c r="AP1000" s="212">
        <v>2.5000000000000001E-2</v>
      </c>
      <c r="AQ1000" s="212">
        <v>2.5000000000000001E-2</v>
      </c>
      <c r="AR1000" s="212">
        <v>2.5000000000000001E-2</v>
      </c>
      <c r="AS1000" s="213"/>
    </row>
    <row r="1001" spans="1:45" ht="15.75" customHeight="1" x14ac:dyDescent="0.3">
      <c r="A1001" s="192" t="s">
        <v>14</v>
      </c>
      <c r="B1001" s="189">
        <f>ROUND(R973-G973,0)</f>
        <v>177013</v>
      </c>
      <c r="C1001" s="182">
        <f t="shared" si="359"/>
        <v>0</v>
      </c>
      <c r="D1001" s="182">
        <f t="shared" si="360"/>
        <v>7512</v>
      </c>
      <c r="E1001" s="182">
        <f t="shared" si="361"/>
        <v>177013</v>
      </c>
      <c r="F1001" s="307">
        <f t="shared" si="362"/>
        <v>184525</v>
      </c>
      <c r="G1001" s="189">
        <f t="shared" si="363"/>
        <v>14451.36623963829</v>
      </c>
      <c r="H1001" s="238">
        <v>15931</v>
      </c>
      <c r="I1001" s="238">
        <v>0</v>
      </c>
      <c r="J1001" s="182">
        <f t="shared" si="364"/>
        <v>15931</v>
      </c>
      <c r="K1001" s="238">
        <v>0</v>
      </c>
      <c r="L1001" s="238">
        <v>0</v>
      </c>
      <c r="M1001" s="239">
        <f t="shared" si="365"/>
        <v>154142.6337603617</v>
      </c>
      <c r="N1001" s="240">
        <v>47280</v>
      </c>
      <c r="O1001" s="310">
        <f t="shared" si="366"/>
        <v>201422.6337603617</v>
      </c>
      <c r="P1001" s="241">
        <v>7.4999999999999997E-2</v>
      </c>
      <c r="Q1001" s="227">
        <f t="shared" si="367"/>
        <v>-15106.697532027127</v>
      </c>
      <c r="R1001" s="310">
        <f t="shared" si="368"/>
        <v>186315.93622833458</v>
      </c>
      <c r="S1001" s="242">
        <f t="shared" si="358"/>
        <v>-32173.302467972884</v>
      </c>
      <c r="T1001" s="182" t="str">
        <f t="shared" si="369"/>
        <v/>
      </c>
      <c r="U1001" s="307">
        <f t="shared" si="370"/>
        <v>32173.302467972884</v>
      </c>
      <c r="V1001" s="304"/>
      <c r="AC1001" s="211" t="s">
        <v>641</v>
      </c>
      <c r="AD1001" s="215">
        <f>SUM(AD996:AD1000)</f>
        <v>0</v>
      </c>
      <c r="AE1001" s="215">
        <f t="shared" ref="AE1001:AR1001" si="372">SUM(AE996:AE1000)</f>
        <v>0</v>
      </c>
      <c r="AF1001" s="215">
        <f t="shared" si="372"/>
        <v>0</v>
      </c>
      <c r="AG1001" s="215">
        <f t="shared" si="372"/>
        <v>0</v>
      </c>
      <c r="AH1001" s="215">
        <f t="shared" si="372"/>
        <v>1.6E-2</v>
      </c>
      <c r="AI1001" s="215">
        <f t="shared" si="372"/>
        <v>1.6E-2</v>
      </c>
      <c r="AJ1001" s="215">
        <f t="shared" si="372"/>
        <v>4.1000000000000002E-2</v>
      </c>
      <c r="AK1001" s="215">
        <f t="shared" si="372"/>
        <v>4.1000000000000002E-2</v>
      </c>
      <c r="AL1001" s="215">
        <f t="shared" si="372"/>
        <v>4.1000000000000002E-2</v>
      </c>
      <c r="AM1001" s="215">
        <f t="shared" si="372"/>
        <v>4.1000000000000002E-2</v>
      </c>
      <c r="AN1001" s="215">
        <f t="shared" si="372"/>
        <v>4.1000000000000002E-2</v>
      </c>
      <c r="AO1001" s="215">
        <f t="shared" si="372"/>
        <v>4.1000000000000002E-2</v>
      </c>
      <c r="AP1001" s="215">
        <f t="shared" si="372"/>
        <v>4.1000000000000002E-2</v>
      </c>
      <c r="AQ1001" s="215">
        <f t="shared" si="372"/>
        <v>4.1000000000000002E-2</v>
      </c>
      <c r="AR1001" s="215">
        <f t="shared" si="372"/>
        <v>4.1000000000000002E-2</v>
      </c>
      <c r="AS1001" s="213"/>
    </row>
    <row r="1002" spans="1:45" ht="15.75" customHeight="1" x14ac:dyDescent="0.3">
      <c r="A1002" s="192" t="s">
        <v>16</v>
      </c>
      <c r="B1002" s="189">
        <f t="shared" si="371"/>
        <v>157909</v>
      </c>
      <c r="C1002" s="182">
        <f t="shared" si="359"/>
        <v>0</v>
      </c>
      <c r="D1002" s="182">
        <f t="shared" si="360"/>
        <v>6615</v>
      </c>
      <c r="E1002" s="182">
        <f t="shared" si="361"/>
        <v>157909</v>
      </c>
      <c r="F1002" s="307">
        <f t="shared" si="362"/>
        <v>164524</v>
      </c>
      <c r="G1002" s="189">
        <f t="shared" si="363"/>
        <v>14279.828496924818</v>
      </c>
      <c r="H1002" s="238">
        <v>16823</v>
      </c>
      <c r="I1002" s="238">
        <v>0</v>
      </c>
      <c r="J1002" s="182">
        <f t="shared" si="364"/>
        <v>16823</v>
      </c>
      <c r="K1002" s="238">
        <v>0</v>
      </c>
      <c r="L1002" s="238">
        <v>0</v>
      </c>
      <c r="M1002" s="239">
        <f t="shared" si="365"/>
        <v>133421.17150307519</v>
      </c>
      <c r="N1002" s="240">
        <v>47120</v>
      </c>
      <c r="O1002" s="310">
        <f t="shared" si="366"/>
        <v>180541.17150307519</v>
      </c>
      <c r="P1002" s="241">
        <v>0.05</v>
      </c>
      <c r="Q1002" s="227">
        <f t="shared" si="367"/>
        <v>-9027.0585751537601</v>
      </c>
      <c r="R1002" s="310">
        <f t="shared" si="368"/>
        <v>171514.11292792144</v>
      </c>
      <c r="S1002" s="242">
        <f t="shared" si="358"/>
        <v>-38092.941424846242</v>
      </c>
      <c r="T1002" s="182" t="str">
        <f t="shared" si="369"/>
        <v/>
      </c>
      <c r="U1002" s="307">
        <f t="shared" si="370"/>
        <v>38092.941424846242</v>
      </c>
      <c r="V1002" s="304"/>
      <c r="AC1002" s="189" t="s">
        <v>666</v>
      </c>
      <c r="AD1002" s="182" t="s">
        <v>666</v>
      </c>
      <c r="AE1002" s="182" t="s">
        <v>666</v>
      </c>
      <c r="AF1002" s="182" t="s">
        <v>666</v>
      </c>
      <c r="AG1002" s="182" t="s">
        <v>666</v>
      </c>
      <c r="AH1002" s="182" t="s">
        <v>666</v>
      </c>
      <c r="AI1002" s="182" t="s">
        <v>666</v>
      </c>
      <c r="AJ1002" s="182" t="s">
        <v>666</v>
      </c>
      <c r="AK1002" s="182" t="s">
        <v>666</v>
      </c>
      <c r="AL1002" s="182" t="s">
        <v>666</v>
      </c>
      <c r="AM1002" s="182" t="s">
        <v>666</v>
      </c>
      <c r="AN1002" s="182" t="s">
        <v>666</v>
      </c>
      <c r="AO1002" s="182" t="s">
        <v>666</v>
      </c>
      <c r="AP1002" s="182" t="s">
        <v>666</v>
      </c>
      <c r="AQ1002" s="182" t="s">
        <v>666</v>
      </c>
      <c r="AR1002" s="182" t="s">
        <v>666</v>
      </c>
      <c r="AS1002" s="213" t="s">
        <v>666</v>
      </c>
    </row>
    <row r="1003" spans="1:45" ht="15.75" customHeight="1" x14ac:dyDescent="0.3">
      <c r="A1003" s="192" t="s">
        <v>17</v>
      </c>
      <c r="B1003" s="189">
        <f t="shared" si="371"/>
        <v>88658</v>
      </c>
      <c r="C1003" s="182">
        <f t="shared" si="359"/>
        <v>0</v>
      </c>
      <c r="D1003" s="182">
        <f t="shared" si="360"/>
        <v>3317</v>
      </c>
      <c r="E1003" s="182">
        <f t="shared" si="361"/>
        <v>88658</v>
      </c>
      <c r="F1003" s="307">
        <f t="shared" si="362"/>
        <v>91975</v>
      </c>
      <c r="G1003" s="189">
        <f t="shared" si="363"/>
        <v>16550.405806515493</v>
      </c>
      <c r="H1003" s="238">
        <v>14521</v>
      </c>
      <c r="I1003" s="238">
        <v>0</v>
      </c>
      <c r="J1003" s="182">
        <f t="shared" si="364"/>
        <v>14521</v>
      </c>
      <c r="K1003" s="238">
        <v>0</v>
      </c>
      <c r="L1003" s="238">
        <v>0</v>
      </c>
      <c r="M1003" s="239">
        <f t="shared" si="365"/>
        <v>60903.594193484503</v>
      </c>
      <c r="N1003" s="240">
        <v>58776</v>
      </c>
      <c r="O1003" s="310">
        <f t="shared" si="366"/>
        <v>119679.5941934845</v>
      </c>
      <c r="P1003" s="241">
        <v>0</v>
      </c>
      <c r="Q1003" s="227">
        <f t="shared" si="367"/>
        <v>0</v>
      </c>
      <c r="R1003" s="310">
        <f t="shared" si="368"/>
        <v>119679.5941934845</v>
      </c>
      <c r="S1003" s="242">
        <f t="shared" si="358"/>
        <v>-58776</v>
      </c>
      <c r="T1003" s="182" t="str">
        <f t="shared" si="369"/>
        <v/>
      </c>
      <c r="U1003" s="307">
        <f t="shared" si="370"/>
        <v>58776</v>
      </c>
      <c r="V1003" s="304"/>
      <c r="AC1003" s="211" t="s">
        <v>8</v>
      </c>
      <c r="AD1003" s="180">
        <f>ROUND(B968*$AD$1001, 0)</f>
        <v>0</v>
      </c>
      <c r="AE1003" s="180">
        <f>ROUND(C968*$AE$1001,0)</f>
        <v>0</v>
      </c>
      <c r="AF1003" s="180">
        <f>ROUND(D968*$AF$1001,0)</f>
        <v>0</v>
      </c>
      <c r="AG1003" s="180">
        <f>ROUND(E968*$AG$1001,0)</f>
        <v>0</v>
      </c>
      <c r="AH1003" s="180">
        <f>ROUND(F968*$AH$1001,0)</f>
        <v>143</v>
      </c>
      <c r="AI1003" s="180">
        <f>ROUND(H968*$AI$1001,0)</f>
        <v>43</v>
      </c>
      <c r="AJ1003" s="180">
        <f>ROUND(I968*$AJ$1001,0)</f>
        <v>90</v>
      </c>
      <c r="AK1003" s="180">
        <f>ROUND(J968*$AK$1001,0)</f>
        <v>140</v>
      </c>
      <c r="AL1003" s="180">
        <f>ROUND(K968*$AL$1001,0)</f>
        <v>145</v>
      </c>
      <c r="AM1003" s="180">
        <f>ROUND(L968*$AM$1001,0)</f>
        <v>49</v>
      </c>
      <c r="AN1003" s="180">
        <f>ROUND(M968*$AN$1001,0)</f>
        <v>58</v>
      </c>
      <c r="AO1003" s="180">
        <f>ROUND(N968*$AO$1001,0)</f>
        <v>120</v>
      </c>
      <c r="AP1003" s="180">
        <f>ROUND(O968*$AP$1001,0)</f>
        <v>29</v>
      </c>
      <c r="AQ1003" s="180">
        <f>ROUND(P968*$AQ$1001,0)</f>
        <v>52</v>
      </c>
      <c r="AR1003" s="180">
        <f>ROUND(Q968*$AR$1001,0)</f>
        <v>69</v>
      </c>
      <c r="AS1003" s="210">
        <f>SUM(AD1003:AR1003)</f>
        <v>938</v>
      </c>
    </row>
    <row r="1004" spans="1:45" ht="15.75" customHeight="1" x14ac:dyDescent="0.3">
      <c r="A1004" s="192" t="s">
        <v>18</v>
      </c>
      <c r="B1004" s="189">
        <f t="shared" si="371"/>
        <v>278584</v>
      </c>
      <c r="C1004" s="182">
        <f t="shared" si="359"/>
        <v>0</v>
      </c>
      <c r="D1004" s="182">
        <f t="shared" si="360"/>
        <v>12250</v>
      </c>
      <c r="E1004" s="182">
        <f t="shared" si="361"/>
        <v>278584</v>
      </c>
      <c r="F1004" s="307">
        <f t="shared" si="362"/>
        <v>290834</v>
      </c>
      <c r="G1004" s="189">
        <f t="shared" si="363"/>
        <v>821.52108515448356</v>
      </c>
      <c r="H1004" s="238">
        <v>12767</v>
      </c>
      <c r="I1004" s="238">
        <v>0</v>
      </c>
      <c r="J1004" s="182">
        <f t="shared" si="364"/>
        <v>12767</v>
      </c>
      <c r="K1004" s="238">
        <v>0</v>
      </c>
      <c r="L1004" s="238">
        <v>0</v>
      </c>
      <c r="M1004" s="239">
        <f t="shared" si="365"/>
        <v>277245.4789148455</v>
      </c>
      <c r="N1004" s="240">
        <v>0</v>
      </c>
      <c r="O1004" s="310">
        <f t="shared" si="366"/>
        <v>277245.4789148455</v>
      </c>
      <c r="P1004" s="241">
        <v>0.05</v>
      </c>
      <c r="Q1004" s="227">
        <f t="shared" si="367"/>
        <v>-13862.273945742276</v>
      </c>
      <c r="R1004" s="310">
        <f t="shared" si="368"/>
        <v>263383.20496910322</v>
      </c>
      <c r="S1004" s="242">
        <f t="shared" si="358"/>
        <v>13862.273945742287</v>
      </c>
      <c r="T1004" s="182">
        <f t="shared" si="369"/>
        <v>13862.273945742287</v>
      </c>
      <c r="U1004" s="307" t="str">
        <f t="shared" si="370"/>
        <v/>
      </c>
      <c r="V1004" s="304"/>
      <c r="AC1004" s="211" t="s">
        <v>9</v>
      </c>
      <c r="AD1004" s="180">
        <f t="shared" ref="AD1004:AD1014" si="373">ROUND(B969*$AD$1001, 0)</f>
        <v>0</v>
      </c>
      <c r="AE1004" s="180">
        <f t="shared" ref="AE1004:AE1014" si="374">ROUND(C969*$AE$1001,0)</f>
        <v>0</v>
      </c>
      <c r="AF1004" s="180">
        <f t="shared" ref="AF1004:AF1014" si="375">ROUND(D969*$AF$1001,0)</f>
        <v>0</v>
      </c>
      <c r="AG1004" s="180">
        <f t="shared" ref="AG1004:AG1014" si="376">ROUND(E969*$AG$1001,0)</f>
        <v>0</v>
      </c>
      <c r="AH1004" s="180">
        <f t="shared" ref="AH1004:AH1014" si="377">ROUND(F969*$AH$1001,0)</f>
        <v>177</v>
      </c>
      <c r="AI1004" s="180">
        <f t="shared" ref="AI1004:AI1014" si="378">ROUND(H969*$AI$1001,0)</f>
        <v>66</v>
      </c>
      <c r="AJ1004" s="180">
        <f t="shared" ref="AJ1004:AJ1014" si="379">ROUND(I969*$AJ$1001,0)</f>
        <v>145</v>
      </c>
      <c r="AK1004" s="180">
        <f t="shared" ref="AK1004:AK1014" si="380">ROUND(J969*$AK$1001,0)</f>
        <v>226</v>
      </c>
      <c r="AL1004" s="180">
        <f t="shared" ref="AL1004:AL1014" si="381">ROUND(K969*$AL$1001,0)</f>
        <v>227</v>
      </c>
      <c r="AM1004" s="180">
        <f t="shared" ref="AM1004:AM1014" si="382">ROUND(L969*$AM$1001,0)</f>
        <v>69</v>
      </c>
      <c r="AN1004" s="180">
        <f t="shared" ref="AN1004:AN1014" si="383">ROUND(M969*$AN$1001,0)</f>
        <v>81</v>
      </c>
      <c r="AO1004" s="180">
        <f t="shared" ref="AO1004:AO1014" si="384">ROUND(N969*$AO$1001,0)</f>
        <v>162</v>
      </c>
      <c r="AP1004" s="180">
        <f t="shared" ref="AP1004:AP1014" si="385">ROUND(O969*$AP$1001,0)</f>
        <v>32</v>
      </c>
      <c r="AQ1004" s="180">
        <f t="shared" ref="AQ1004:AQ1014" si="386">ROUND(P969*$AQ$1001,0)</f>
        <v>42</v>
      </c>
      <c r="AR1004" s="180">
        <f t="shared" ref="AR1004:AR1014" si="387">ROUND(Q969*$AR$1001,0)</f>
        <v>75</v>
      </c>
      <c r="AS1004" s="210">
        <f t="shared" ref="AS1004:AS1014" si="388">SUM(AD1004:AR1004)</f>
        <v>1302</v>
      </c>
    </row>
    <row r="1005" spans="1:45" ht="15.75" customHeight="1" x14ac:dyDescent="0.3">
      <c r="A1005" s="192" t="s">
        <v>20</v>
      </c>
      <c r="B1005" s="189">
        <f t="shared" si="371"/>
        <v>286250</v>
      </c>
      <c r="C1005" s="182">
        <f t="shared" si="359"/>
        <v>0</v>
      </c>
      <c r="D1005" s="182">
        <f t="shared" si="360"/>
        <v>12316</v>
      </c>
      <c r="E1005" s="182">
        <f t="shared" si="361"/>
        <v>286250</v>
      </c>
      <c r="F1005" s="307">
        <f t="shared" si="362"/>
        <v>298566</v>
      </c>
      <c r="G1005" s="189">
        <f t="shared" si="363"/>
        <v>0</v>
      </c>
      <c r="H1005" s="238">
        <v>12362</v>
      </c>
      <c r="I1005" s="238">
        <v>0</v>
      </c>
      <c r="J1005" s="182">
        <f t="shared" si="364"/>
        <v>12362</v>
      </c>
      <c r="K1005" s="238">
        <v>0</v>
      </c>
      <c r="L1005" s="238">
        <v>0</v>
      </c>
      <c r="M1005" s="239">
        <f t="shared" si="365"/>
        <v>286204</v>
      </c>
      <c r="N1005" s="240">
        <v>0</v>
      </c>
      <c r="O1005" s="310">
        <f t="shared" si="366"/>
        <v>286204</v>
      </c>
      <c r="P1005" s="241">
        <v>0.2</v>
      </c>
      <c r="Q1005" s="227">
        <f t="shared" si="367"/>
        <v>-57240.800000000003</v>
      </c>
      <c r="R1005" s="310">
        <f t="shared" si="368"/>
        <v>228963.20000000001</v>
      </c>
      <c r="S1005" s="242">
        <f t="shared" si="358"/>
        <v>57240.799999999988</v>
      </c>
      <c r="T1005" s="182">
        <f t="shared" si="369"/>
        <v>57240.799999999988</v>
      </c>
      <c r="U1005" s="307" t="str">
        <f t="shared" si="370"/>
        <v/>
      </c>
      <c r="V1005" s="304"/>
      <c r="AC1005" s="211" t="s">
        <v>10</v>
      </c>
      <c r="AD1005" s="180">
        <f t="shared" si="373"/>
        <v>0</v>
      </c>
      <c r="AE1005" s="180">
        <f t="shared" si="374"/>
        <v>0</v>
      </c>
      <c r="AF1005" s="180">
        <f t="shared" si="375"/>
        <v>0</v>
      </c>
      <c r="AG1005" s="180">
        <f t="shared" si="376"/>
        <v>0</v>
      </c>
      <c r="AH1005" s="180">
        <f t="shared" si="377"/>
        <v>163</v>
      </c>
      <c r="AI1005" s="180">
        <f t="shared" si="378"/>
        <v>125</v>
      </c>
      <c r="AJ1005" s="180">
        <f t="shared" si="379"/>
        <v>222</v>
      </c>
      <c r="AK1005" s="180">
        <f t="shared" si="380"/>
        <v>295</v>
      </c>
      <c r="AL1005" s="180">
        <f t="shared" si="381"/>
        <v>285</v>
      </c>
      <c r="AM1005" s="180">
        <f t="shared" si="382"/>
        <v>81</v>
      </c>
      <c r="AN1005" s="180">
        <f t="shared" si="383"/>
        <v>96</v>
      </c>
      <c r="AO1005" s="180">
        <f t="shared" si="384"/>
        <v>193</v>
      </c>
      <c r="AP1005" s="180">
        <f t="shared" si="385"/>
        <v>22</v>
      </c>
      <c r="AQ1005" s="180">
        <f t="shared" si="386"/>
        <v>53</v>
      </c>
      <c r="AR1005" s="180">
        <f t="shared" si="387"/>
        <v>51</v>
      </c>
      <c r="AS1005" s="210">
        <f t="shared" si="388"/>
        <v>1586</v>
      </c>
    </row>
    <row r="1006" spans="1:45" ht="15.75" customHeight="1" x14ac:dyDescent="0.3">
      <c r="A1006" s="192" t="s">
        <v>21</v>
      </c>
      <c r="B1006" s="189">
        <f t="shared" si="371"/>
        <v>270782</v>
      </c>
      <c r="C1006" s="182">
        <f t="shared" si="359"/>
        <v>0</v>
      </c>
      <c r="D1006" s="182">
        <f t="shared" si="360"/>
        <v>11796</v>
      </c>
      <c r="E1006" s="182">
        <f t="shared" si="361"/>
        <v>270782</v>
      </c>
      <c r="F1006" s="307">
        <f t="shared" si="362"/>
        <v>282578</v>
      </c>
      <c r="G1006" s="189">
        <f t="shared" si="363"/>
        <v>13.620482290881665</v>
      </c>
      <c r="H1006" s="238">
        <v>11454</v>
      </c>
      <c r="I1006" s="238">
        <v>0</v>
      </c>
      <c r="J1006" s="182">
        <f t="shared" si="364"/>
        <v>11454</v>
      </c>
      <c r="K1006" s="238">
        <v>0</v>
      </c>
      <c r="L1006" s="238">
        <v>0</v>
      </c>
      <c r="M1006" s="239">
        <f t="shared" si="365"/>
        <v>271110.37951770914</v>
      </c>
      <c r="N1006" s="240">
        <v>0</v>
      </c>
      <c r="O1006" s="310">
        <f t="shared" si="366"/>
        <v>271110.37951770914</v>
      </c>
      <c r="P1006" s="241">
        <v>0.2</v>
      </c>
      <c r="Q1006" s="227">
        <f t="shared" si="367"/>
        <v>-54222.07590354183</v>
      </c>
      <c r="R1006" s="310">
        <f t="shared" si="368"/>
        <v>216888.30361416732</v>
      </c>
      <c r="S1006" s="242">
        <f t="shared" si="358"/>
        <v>54222.075903541816</v>
      </c>
      <c r="T1006" s="182">
        <f t="shared" si="369"/>
        <v>54222.075903541816</v>
      </c>
      <c r="U1006" s="307" t="str">
        <f t="shared" si="370"/>
        <v/>
      </c>
      <c r="V1006" s="304"/>
      <c r="AC1006" s="211" t="s">
        <v>12</v>
      </c>
      <c r="AD1006" s="180">
        <f t="shared" si="373"/>
        <v>0</v>
      </c>
      <c r="AE1006" s="180">
        <f t="shared" si="374"/>
        <v>0</v>
      </c>
      <c r="AF1006" s="180">
        <f t="shared" si="375"/>
        <v>0</v>
      </c>
      <c r="AG1006" s="180">
        <f t="shared" si="376"/>
        <v>0</v>
      </c>
      <c r="AH1006" s="180">
        <f t="shared" si="377"/>
        <v>36</v>
      </c>
      <c r="AI1006" s="180">
        <f t="shared" si="378"/>
        <v>182</v>
      </c>
      <c r="AJ1006" s="180">
        <f t="shared" si="379"/>
        <v>302</v>
      </c>
      <c r="AK1006" s="180">
        <f t="shared" si="380"/>
        <v>357</v>
      </c>
      <c r="AL1006" s="180">
        <f t="shared" si="381"/>
        <v>310</v>
      </c>
      <c r="AM1006" s="180">
        <f t="shared" si="382"/>
        <v>93</v>
      </c>
      <c r="AN1006" s="180">
        <f t="shared" si="383"/>
        <v>110</v>
      </c>
      <c r="AO1006" s="180">
        <f t="shared" si="384"/>
        <v>218</v>
      </c>
      <c r="AP1006" s="180">
        <f t="shared" si="385"/>
        <v>31</v>
      </c>
      <c r="AQ1006" s="180">
        <f t="shared" si="386"/>
        <v>64</v>
      </c>
      <c r="AR1006" s="180">
        <f t="shared" si="387"/>
        <v>73</v>
      </c>
      <c r="AS1006" s="210">
        <f t="shared" si="388"/>
        <v>1776</v>
      </c>
    </row>
    <row r="1007" spans="1:45" ht="15.75" customHeight="1" x14ac:dyDescent="0.3">
      <c r="A1007" s="192" t="s">
        <v>22</v>
      </c>
      <c r="B1007" s="189">
        <f t="shared" si="371"/>
        <v>228889</v>
      </c>
      <c r="C1007" s="182">
        <f t="shared" si="359"/>
        <v>0</v>
      </c>
      <c r="D1007" s="182">
        <f t="shared" si="360"/>
        <v>9846</v>
      </c>
      <c r="E1007" s="182">
        <f t="shared" si="361"/>
        <v>228889</v>
      </c>
      <c r="F1007" s="307">
        <f t="shared" si="362"/>
        <v>238735</v>
      </c>
      <c r="G1007" s="189">
        <f t="shared" si="363"/>
        <v>0</v>
      </c>
      <c r="H1007" s="238">
        <v>10317</v>
      </c>
      <c r="I1007" s="238">
        <v>0</v>
      </c>
      <c r="J1007" s="182">
        <f>(H1007+I1007)</f>
        <v>10317</v>
      </c>
      <c r="K1007" s="238">
        <v>0</v>
      </c>
      <c r="L1007" s="238">
        <v>0</v>
      </c>
      <c r="M1007" s="239">
        <f t="shared" si="365"/>
        <v>228418</v>
      </c>
      <c r="N1007" s="240">
        <v>0</v>
      </c>
      <c r="O1007" s="310">
        <f t="shared" si="366"/>
        <v>228418</v>
      </c>
      <c r="P1007" s="241">
        <v>0.2</v>
      </c>
      <c r="Q1007" s="227">
        <f t="shared" si="367"/>
        <v>-45683.600000000006</v>
      </c>
      <c r="R1007" s="310">
        <f t="shared" si="368"/>
        <v>182734.4</v>
      </c>
      <c r="S1007" s="242">
        <f t="shared" si="358"/>
        <v>45683.600000000006</v>
      </c>
      <c r="T1007" s="182">
        <f t="shared" si="369"/>
        <v>45683.600000000006</v>
      </c>
      <c r="U1007" s="307" t="str">
        <f t="shared" si="370"/>
        <v/>
      </c>
      <c r="V1007" s="304"/>
      <c r="AC1007" s="211" t="s">
        <v>13</v>
      </c>
      <c r="AD1007" s="180">
        <f t="shared" si="373"/>
        <v>0</v>
      </c>
      <c r="AE1007" s="180">
        <f t="shared" si="374"/>
        <v>0</v>
      </c>
      <c r="AF1007" s="180">
        <f t="shared" si="375"/>
        <v>0</v>
      </c>
      <c r="AG1007" s="180">
        <f t="shared" si="376"/>
        <v>0</v>
      </c>
      <c r="AH1007" s="180">
        <f t="shared" si="377"/>
        <v>14</v>
      </c>
      <c r="AI1007" s="180">
        <f t="shared" si="378"/>
        <v>202</v>
      </c>
      <c r="AJ1007" s="180">
        <f t="shared" si="379"/>
        <v>275</v>
      </c>
      <c r="AK1007" s="180">
        <f t="shared" si="380"/>
        <v>330</v>
      </c>
      <c r="AL1007" s="180">
        <f t="shared" si="381"/>
        <v>285</v>
      </c>
      <c r="AM1007" s="180">
        <f t="shared" si="382"/>
        <v>93</v>
      </c>
      <c r="AN1007" s="180">
        <f t="shared" si="383"/>
        <v>110</v>
      </c>
      <c r="AO1007" s="180">
        <f t="shared" si="384"/>
        <v>217</v>
      </c>
      <c r="AP1007" s="180">
        <f t="shared" si="385"/>
        <v>37</v>
      </c>
      <c r="AQ1007" s="180">
        <f t="shared" si="386"/>
        <v>82</v>
      </c>
      <c r="AR1007" s="180">
        <f t="shared" si="387"/>
        <v>87</v>
      </c>
      <c r="AS1007" s="210">
        <f t="shared" si="388"/>
        <v>1732</v>
      </c>
    </row>
    <row r="1008" spans="1:45" ht="15.75" customHeight="1" x14ac:dyDescent="0.3">
      <c r="A1008" s="213" t="s">
        <v>633</v>
      </c>
      <c r="B1008" s="189" t="s">
        <v>633</v>
      </c>
      <c r="C1008" s="182"/>
      <c r="D1008" s="182"/>
      <c r="E1008" s="182" t="s">
        <v>7</v>
      </c>
      <c r="F1008" s="307"/>
      <c r="G1008" s="189"/>
      <c r="H1008" s="182"/>
      <c r="I1008" s="182" t="s">
        <v>7</v>
      </c>
      <c r="J1008" s="182" t="s">
        <v>7</v>
      </c>
      <c r="K1008" s="243"/>
      <c r="L1008" s="182"/>
      <c r="M1008" s="239"/>
      <c r="N1008" s="240"/>
      <c r="O1008" s="310"/>
      <c r="P1008" s="241"/>
      <c r="Q1008" s="240"/>
      <c r="R1008" s="310"/>
      <c r="S1008" s="242"/>
      <c r="T1008" s="182"/>
      <c r="U1008" s="307"/>
      <c r="V1008" s="304"/>
      <c r="AC1008" s="211" t="s">
        <v>14</v>
      </c>
      <c r="AD1008" s="180">
        <f t="shared" si="373"/>
        <v>0</v>
      </c>
      <c r="AE1008" s="180">
        <f t="shared" si="374"/>
        <v>0</v>
      </c>
      <c r="AF1008" s="180">
        <f t="shared" si="375"/>
        <v>0</v>
      </c>
      <c r="AG1008" s="180">
        <f t="shared" si="376"/>
        <v>0</v>
      </c>
      <c r="AH1008" s="180">
        <f t="shared" si="377"/>
        <v>0</v>
      </c>
      <c r="AI1008" s="180">
        <f t="shared" si="378"/>
        <v>223</v>
      </c>
      <c r="AJ1008" s="180">
        <f t="shared" si="379"/>
        <v>295</v>
      </c>
      <c r="AK1008" s="180">
        <f t="shared" si="380"/>
        <v>297</v>
      </c>
      <c r="AL1008" s="180">
        <f t="shared" si="381"/>
        <v>245</v>
      </c>
      <c r="AM1008" s="180">
        <f t="shared" si="382"/>
        <v>81</v>
      </c>
      <c r="AN1008" s="180">
        <f t="shared" si="383"/>
        <v>95</v>
      </c>
      <c r="AO1008" s="180">
        <f t="shared" si="384"/>
        <v>183</v>
      </c>
      <c r="AP1008" s="180">
        <f t="shared" si="385"/>
        <v>30</v>
      </c>
      <c r="AQ1008" s="180">
        <f t="shared" si="386"/>
        <v>81</v>
      </c>
      <c r="AR1008" s="180">
        <f t="shared" si="387"/>
        <v>72</v>
      </c>
      <c r="AS1008" s="210">
        <f t="shared" si="388"/>
        <v>1602</v>
      </c>
    </row>
    <row r="1009" spans="1:45" ht="16.5" customHeight="1" thickBot="1" x14ac:dyDescent="0.35">
      <c r="A1009" s="244" t="s">
        <v>641</v>
      </c>
      <c r="B1009" s="204">
        <f>SUM(B996:B1007)</f>
        <v>2679066</v>
      </c>
      <c r="C1009" s="205">
        <f>+SUM(C996:C1007)</f>
        <v>0</v>
      </c>
      <c r="D1009" s="205">
        <f>SUM(D996:D1007)</f>
        <v>114844</v>
      </c>
      <c r="E1009" s="205">
        <f t="shared" si="361"/>
        <v>2679066</v>
      </c>
      <c r="F1009" s="245">
        <f>SUM(F996:F1007)</f>
        <v>2793910</v>
      </c>
      <c r="G1009" s="204">
        <f>SUM(G996:G1007)</f>
        <v>53866.922951389999</v>
      </c>
      <c r="H1009" s="205">
        <f>SUM(H996:H1007)</f>
        <v>142345</v>
      </c>
      <c r="I1009" s="205">
        <f>SUM(I996:I1007)</f>
        <v>0</v>
      </c>
      <c r="J1009" s="205">
        <f>(H1009+I1009)</f>
        <v>142345</v>
      </c>
      <c r="K1009" s="205">
        <f>SUM(K996:K1007)</f>
        <v>0</v>
      </c>
      <c r="L1009" s="205">
        <f>SUM(L996:L1007)</f>
        <v>0</v>
      </c>
      <c r="M1009" s="246">
        <f>SUM(M996:M1007)</f>
        <v>2597698.07704861</v>
      </c>
      <c r="N1009" s="247">
        <f>SUM(N996:N1007)</f>
        <v>130856</v>
      </c>
      <c r="O1009" s="248">
        <f>+M1009+N1009</f>
        <v>2728554.07704861</v>
      </c>
      <c r="P1009" s="249">
        <f>Q1009/O1009</f>
        <v>-0.2009480319798734</v>
      </c>
      <c r="Q1009" s="250">
        <f>SUM(Q996:Q1007)</f>
        <v>-548297.571933578</v>
      </c>
      <c r="R1009" s="248">
        <f>SUM(R996:R1007)</f>
        <v>2180256.5051150317</v>
      </c>
      <c r="S1009" s="251">
        <f>(F1009-G1009-J1009-K1009-L1009-R1009)</f>
        <v>417441.57193357823</v>
      </c>
      <c r="T1009" s="205">
        <f>+SUM(T996:T1007)</f>
        <v>546483.81582639704</v>
      </c>
      <c r="U1009" s="245">
        <f>+SUM(U996:U1007)</f>
        <v>129042.24389281913</v>
      </c>
      <c r="V1009" s="304"/>
      <c r="AC1009" s="211" t="s">
        <v>16</v>
      </c>
      <c r="AD1009" s="180">
        <f t="shared" si="373"/>
        <v>0</v>
      </c>
      <c r="AE1009" s="180">
        <f t="shared" si="374"/>
        <v>0</v>
      </c>
      <c r="AF1009" s="180">
        <f t="shared" si="375"/>
        <v>0</v>
      </c>
      <c r="AG1009" s="180">
        <f t="shared" si="376"/>
        <v>0</v>
      </c>
      <c r="AH1009" s="180">
        <f t="shared" si="377"/>
        <v>0</v>
      </c>
      <c r="AI1009" s="180">
        <f t="shared" si="378"/>
        <v>226</v>
      </c>
      <c r="AJ1009" s="180">
        <f t="shared" si="379"/>
        <v>319</v>
      </c>
      <c r="AK1009" s="180">
        <f t="shared" si="380"/>
        <v>309</v>
      </c>
      <c r="AL1009" s="180">
        <f t="shared" si="381"/>
        <v>243</v>
      </c>
      <c r="AM1009" s="180">
        <f t="shared" si="382"/>
        <v>75</v>
      </c>
      <c r="AN1009" s="180">
        <f t="shared" si="383"/>
        <v>89</v>
      </c>
      <c r="AO1009" s="180">
        <f t="shared" si="384"/>
        <v>172</v>
      </c>
      <c r="AP1009" s="180">
        <f t="shared" si="385"/>
        <v>26</v>
      </c>
      <c r="AQ1009" s="180">
        <f t="shared" si="386"/>
        <v>73</v>
      </c>
      <c r="AR1009" s="180">
        <f t="shared" si="387"/>
        <v>62</v>
      </c>
      <c r="AS1009" s="210">
        <f t="shared" si="388"/>
        <v>1594</v>
      </c>
    </row>
    <row r="1010" spans="1:45" ht="15.75" customHeight="1" x14ac:dyDescent="0.3">
      <c r="A1010" s="95"/>
      <c r="B1010" s="180"/>
      <c r="C1010" s="180"/>
      <c r="D1010" s="180"/>
      <c r="E1010" s="180"/>
      <c r="F1010" s="180" t="s">
        <v>633</v>
      </c>
      <c r="G1010" s="180"/>
      <c r="H1010" s="180"/>
      <c r="I1010" s="180"/>
      <c r="K1010" s="180"/>
      <c r="L1010" s="180"/>
      <c r="M1010" s="252"/>
      <c r="O1010" s="359"/>
      <c r="P1010" s="351"/>
      <c r="V1010" s="304"/>
      <c r="AC1010" s="211" t="s">
        <v>17</v>
      </c>
      <c r="AD1010" s="180">
        <f t="shared" si="373"/>
        <v>0</v>
      </c>
      <c r="AE1010" s="180">
        <f t="shared" si="374"/>
        <v>0</v>
      </c>
      <c r="AF1010" s="180">
        <f t="shared" si="375"/>
        <v>0</v>
      </c>
      <c r="AG1010" s="180">
        <f t="shared" si="376"/>
        <v>0</v>
      </c>
      <c r="AH1010" s="180">
        <f t="shared" si="377"/>
        <v>0</v>
      </c>
      <c r="AI1010" s="180">
        <f t="shared" si="378"/>
        <v>192</v>
      </c>
      <c r="AJ1010" s="180">
        <f t="shared" si="379"/>
        <v>321</v>
      </c>
      <c r="AK1010" s="180">
        <f t="shared" si="380"/>
        <v>333</v>
      </c>
      <c r="AL1010" s="180">
        <f t="shared" si="381"/>
        <v>300</v>
      </c>
      <c r="AM1010" s="180">
        <f t="shared" si="382"/>
        <v>93</v>
      </c>
      <c r="AN1010" s="180">
        <f t="shared" si="383"/>
        <v>109</v>
      </c>
      <c r="AO1010" s="180">
        <f t="shared" si="384"/>
        <v>206</v>
      </c>
      <c r="AP1010" s="180">
        <f t="shared" si="385"/>
        <v>35</v>
      </c>
      <c r="AQ1010" s="180">
        <f t="shared" si="386"/>
        <v>80</v>
      </c>
      <c r="AR1010" s="180">
        <f t="shared" si="387"/>
        <v>83</v>
      </c>
      <c r="AS1010" s="210">
        <f t="shared" si="388"/>
        <v>1752</v>
      </c>
    </row>
    <row r="1011" spans="1:45" ht="15.75" customHeight="1" x14ac:dyDescent="0.3">
      <c r="A1011" s="179" t="s">
        <v>773</v>
      </c>
      <c r="P1011" s="180"/>
      <c r="Q1011" s="180"/>
      <c r="R1011" s="180"/>
      <c r="V1011" s="304"/>
      <c r="AC1011" s="211" t="s">
        <v>18</v>
      </c>
      <c r="AD1011" s="180">
        <f t="shared" si="373"/>
        <v>0</v>
      </c>
      <c r="AE1011" s="180">
        <f t="shared" si="374"/>
        <v>0</v>
      </c>
      <c r="AF1011" s="180">
        <f t="shared" si="375"/>
        <v>0</v>
      </c>
      <c r="AG1011" s="180">
        <f t="shared" si="376"/>
        <v>0</v>
      </c>
      <c r="AH1011" s="180">
        <f t="shared" si="377"/>
        <v>50</v>
      </c>
      <c r="AI1011" s="180">
        <f t="shared" si="378"/>
        <v>151</v>
      </c>
      <c r="AJ1011" s="180">
        <f t="shared" si="379"/>
        <v>235</v>
      </c>
      <c r="AK1011" s="180">
        <f t="shared" si="380"/>
        <v>284</v>
      </c>
      <c r="AL1011" s="180">
        <f t="shared" si="381"/>
        <v>256</v>
      </c>
      <c r="AM1011" s="180">
        <f t="shared" si="382"/>
        <v>77</v>
      </c>
      <c r="AN1011" s="180">
        <f t="shared" si="383"/>
        <v>91</v>
      </c>
      <c r="AO1011" s="180">
        <f t="shared" si="384"/>
        <v>172</v>
      </c>
      <c r="AP1011" s="180">
        <f t="shared" si="385"/>
        <v>32</v>
      </c>
      <c r="AQ1011" s="180">
        <f t="shared" si="386"/>
        <v>78</v>
      </c>
      <c r="AR1011" s="180">
        <f t="shared" si="387"/>
        <v>75</v>
      </c>
      <c r="AS1011" s="210">
        <f t="shared" si="388"/>
        <v>1501</v>
      </c>
    </row>
    <row r="1012" spans="1:45" ht="15.75" customHeight="1" x14ac:dyDescent="0.3">
      <c r="A1012" s="179" t="s">
        <v>774</v>
      </c>
      <c r="D1012" s="180"/>
      <c r="E1012" s="180"/>
      <c r="F1012" s="180"/>
      <c r="G1012" s="180"/>
      <c r="H1012" s="180"/>
      <c r="I1012" s="180"/>
      <c r="J1012" s="180"/>
      <c r="K1012" s="180"/>
      <c r="L1012" s="180"/>
      <c r="M1012" s="180"/>
      <c r="N1012" s="180"/>
      <c r="O1012" s="180"/>
      <c r="P1012" s="180"/>
      <c r="Q1012" s="180"/>
      <c r="R1012" s="180"/>
      <c r="V1012" s="304"/>
      <c r="AC1012" s="211" t="s">
        <v>20</v>
      </c>
      <c r="AD1012" s="180">
        <f t="shared" si="373"/>
        <v>0</v>
      </c>
      <c r="AE1012" s="180">
        <f t="shared" si="374"/>
        <v>0</v>
      </c>
      <c r="AF1012" s="180">
        <f t="shared" si="375"/>
        <v>0</v>
      </c>
      <c r="AG1012" s="180">
        <f t="shared" si="376"/>
        <v>0</v>
      </c>
      <c r="AH1012" s="180">
        <f t="shared" si="377"/>
        <v>273</v>
      </c>
      <c r="AI1012" s="180">
        <f t="shared" si="378"/>
        <v>61</v>
      </c>
      <c r="AJ1012" s="180">
        <f t="shared" si="379"/>
        <v>89</v>
      </c>
      <c r="AK1012" s="180">
        <f t="shared" si="380"/>
        <v>129</v>
      </c>
      <c r="AL1012" s="180">
        <f t="shared" si="381"/>
        <v>133</v>
      </c>
      <c r="AM1012" s="180">
        <f t="shared" si="382"/>
        <v>37</v>
      </c>
      <c r="AN1012" s="180">
        <f t="shared" si="383"/>
        <v>43</v>
      </c>
      <c r="AO1012" s="180">
        <f t="shared" si="384"/>
        <v>91</v>
      </c>
      <c r="AP1012" s="180">
        <f t="shared" si="385"/>
        <v>25</v>
      </c>
      <c r="AQ1012" s="180">
        <f t="shared" si="386"/>
        <v>50</v>
      </c>
      <c r="AR1012" s="180">
        <f t="shared" si="387"/>
        <v>59</v>
      </c>
      <c r="AS1012" s="210">
        <f t="shared" si="388"/>
        <v>990</v>
      </c>
    </row>
    <row r="1013" spans="1:45" ht="15.75" customHeight="1" x14ac:dyDescent="0.3">
      <c r="A1013" s="179" t="s">
        <v>775</v>
      </c>
      <c r="D1013" s="180"/>
      <c r="E1013" s="180"/>
      <c r="F1013" s="180"/>
      <c r="G1013" s="180"/>
      <c r="H1013" s="180"/>
      <c r="I1013" s="180"/>
      <c r="J1013" s="180"/>
      <c r="K1013" s="180"/>
      <c r="L1013" s="180"/>
      <c r="M1013" s="180"/>
      <c r="N1013" s="180"/>
      <c r="O1013" s="180"/>
      <c r="P1013" s="180"/>
      <c r="Q1013" s="180"/>
      <c r="R1013" s="180"/>
      <c r="V1013" s="304"/>
      <c r="AC1013" s="211" t="s">
        <v>21</v>
      </c>
      <c r="AD1013" s="180">
        <f t="shared" si="373"/>
        <v>0</v>
      </c>
      <c r="AE1013" s="180">
        <f t="shared" si="374"/>
        <v>0</v>
      </c>
      <c r="AF1013" s="180">
        <f t="shared" si="375"/>
        <v>0</v>
      </c>
      <c r="AG1013" s="180">
        <f t="shared" si="376"/>
        <v>0</v>
      </c>
      <c r="AH1013" s="180">
        <f t="shared" si="377"/>
        <v>247</v>
      </c>
      <c r="AI1013" s="180">
        <f t="shared" si="378"/>
        <v>61</v>
      </c>
      <c r="AJ1013" s="180">
        <f t="shared" si="379"/>
        <v>37</v>
      </c>
      <c r="AK1013" s="180">
        <f t="shared" si="380"/>
        <v>57</v>
      </c>
      <c r="AL1013" s="180">
        <f t="shared" si="381"/>
        <v>55</v>
      </c>
      <c r="AM1013" s="180">
        <f t="shared" si="382"/>
        <v>18</v>
      </c>
      <c r="AN1013" s="180">
        <f t="shared" si="383"/>
        <v>21</v>
      </c>
      <c r="AO1013" s="180">
        <f t="shared" si="384"/>
        <v>39</v>
      </c>
      <c r="AP1013" s="180">
        <f t="shared" si="385"/>
        <v>17</v>
      </c>
      <c r="AQ1013" s="180">
        <f t="shared" si="386"/>
        <v>53</v>
      </c>
      <c r="AR1013" s="180">
        <f t="shared" si="387"/>
        <v>39</v>
      </c>
      <c r="AS1013" s="210">
        <f t="shared" si="388"/>
        <v>644</v>
      </c>
    </row>
    <row r="1014" spans="1:45" ht="15.75" customHeight="1" thickBot="1" x14ac:dyDescent="0.35">
      <c r="A1014" s="194" t="s">
        <v>776</v>
      </c>
      <c r="B1014" s="135"/>
      <c r="C1014" s="135"/>
      <c r="D1014" s="195"/>
      <c r="E1014" s="195"/>
      <c r="F1014" s="195"/>
      <c r="G1014" s="195"/>
      <c r="H1014" s="195"/>
      <c r="I1014" s="195"/>
      <c r="J1014" s="195"/>
      <c r="K1014" s="195"/>
      <c r="L1014" s="195"/>
      <c r="M1014" s="195"/>
      <c r="N1014" s="195"/>
      <c r="O1014" s="195"/>
      <c r="P1014" s="195"/>
      <c r="Q1014" s="195"/>
      <c r="R1014" s="195"/>
      <c r="S1014" s="135"/>
      <c r="T1014" s="135"/>
      <c r="U1014" s="135"/>
      <c r="V1014" s="136"/>
      <c r="AC1014" s="211" t="s">
        <v>22</v>
      </c>
      <c r="AD1014" s="180">
        <f t="shared" si="373"/>
        <v>0</v>
      </c>
      <c r="AE1014" s="180">
        <f t="shared" si="374"/>
        <v>0</v>
      </c>
      <c r="AF1014" s="180">
        <f t="shared" si="375"/>
        <v>0</v>
      </c>
      <c r="AG1014" s="180">
        <f t="shared" si="376"/>
        <v>0</v>
      </c>
      <c r="AH1014" s="180">
        <f t="shared" si="377"/>
        <v>247</v>
      </c>
      <c r="AI1014" s="180">
        <f t="shared" si="378"/>
        <v>46</v>
      </c>
      <c r="AJ1014" s="180">
        <f t="shared" si="379"/>
        <v>37</v>
      </c>
      <c r="AK1014" s="180">
        <f t="shared" si="380"/>
        <v>54</v>
      </c>
      <c r="AL1014" s="180">
        <f t="shared" si="381"/>
        <v>56</v>
      </c>
      <c r="AM1014" s="180">
        <f t="shared" si="382"/>
        <v>21</v>
      </c>
      <c r="AN1014" s="180">
        <f t="shared" si="383"/>
        <v>25</v>
      </c>
      <c r="AO1014" s="180">
        <f t="shared" si="384"/>
        <v>44</v>
      </c>
      <c r="AP1014" s="180">
        <f t="shared" si="385"/>
        <v>15</v>
      </c>
      <c r="AQ1014" s="180">
        <f t="shared" si="386"/>
        <v>46</v>
      </c>
      <c r="AR1014" s="180">
        <f t="shared" si="387"/>
        <v>35</v>
      </c>
      <c r="AS1014" s="210">
        <f t="shared" si="388"/>
        <v>626</v>
      </c>
    </row>
    <row r="1015" spans="1:45" ht="15.75" customHeight="1" thickBot="1" x14ac:dyDescent="0.35">
      <c r="A1015" s="179"/>
      <c r="D1015" s="180"/>
      <c r="E1015" s="180"/>
      <c r="F1015" s="180"/>
      <c r="G1015" s="180"/>
      <c r="H1015" s="180"/>
      <c r="I1015" s="180"/>
      <c r="J1015" s="180"/>
      <c r="K1015" s="180"/>
      <c r="L1015" s="180"/>
      <c r="M1015" s="180"/>
      <c r="N1015" s="180"/>
      <c r="O1015" s="180"/>
      <c r="P1015" s="180"/>
      <c r="Q1015" s="180"/>
      <c r="R1015" s="180"/>
      <c r="S1015" s="359"/>
      <c r="V1015" s="223"/>
      <c r="AC1015" s="95"/>
      <c r="AD1015" s="180"/>
      <c r="AE1015" s="180"/>
      <c r="AF1015" s="180"/>
      <c r="AG1015" s="180"/>
      <c r="AH1015" s="180"/>
      <c r="AI1015" s="180"/>
      <c r="AJ1015" s="180"/>
      <c r="AK1015" s="180"/>
      <c r="AL1015" s="180"/>
      <c r="AM1015" s="180"/>
      <c r="AN1015" s="180"/>
      <c r="AO1015" s="180"/>
      <c r="AP1015" s="180"/>
      <c r="AQ1015" s="180"/>
      <c r="AR1015" s="180"/>
      <c r="AS1015" s="210"/>
    </row>
    <row r="1016" spans="1:45" ht="15.75" customHeight="1" thickBot="1" x14ac:dyDescent="0.35">
      <c r="A1016" s="192"/>
      <c r="B1016" s="412" t="s">
        <v>777</v>
      </c>
      <c r="C1016" s="413"/>
      <c r="D1016" s="413"/>
      <c r="E1016" s="413"/>
      <c r="F1016" s="413"/>
      <c r="G1016" s="413"/>
      <c r="H1016" s="413"/>
      <c r="I1016" s="413"/>
      <c r="J1016" s="413"/>
      <c r="K1016" s="413"/>
      <c r="L1016" s="413"/>
      <c r="M1016" s="413"/>
      <c r="N1016" s="413"/>
      <c r="O1016" s="413"/>
      <c r="P1016" s="413"/>
      <c r="Q1016" s="351"/>
      <c r="R1016" s="351"/>
      <c r="S1016" s="223"/>
      <c r="T1016" s="359"/>
      <c r="U1016" s="359"/>
      <c r="V1016" s="358"/>
      <c r="AC1016" s="220" t="s">
        <v>641</v>
      </c>
      <c r="AD1016" s="195">
        <f>SUM(AD1003:AD1014)</f>
        <v>0</v>
      </c>
      <c r="AE1016" s="195">
        <f t="shared" ref="AE1016:AS1016" si="389">SUM(AE1003:AE1014)</f>
        <v>0</v>
      </c>
      <c r="AF1016" s="195">
        <f t="shared" si="389"/>
        <v>0</v>
      </c>
      <c r="AG1016" s="195">
        <f t="shared" si="389"/>
        <v>0</v>
      </c>
      <c r="AH1016" s="195">
        <f t="shared" si="389"/>
        <v>1350</v>
      </c>
      <c r="AI1016" s="195">
        <f t="shared" si="389"/>
        <v>1578</v>
      </c>
      <c r="AJ1016" s="195">
        <f t="shared" si="389"/>
        <v>2367</v>
      </c>
      <c r="AK1016" s="195">
        <f t="shared" si="389"/>
        <v>2811</v>
      </c>
      <c r="AL1016" s="195">
        <f t="shared" si="389"/>
        <v>2540</v>
      </c>
      <c r="AM1016" s="195">
        <f t="shared" si="389"/>
        <v>787</v>
      </c>
      <c r="AN1016" s="195">
        <f t="shared" si="389"/>
        <v>928</v>
      </c>
      <c r="AO1016" s="195">
        <f t="shared" si="389"/>
        <v>1817</v>
      </c>
      <c r="AP1016" s="195">
        <f t="shared" si="389"/>
        <v>331</v>
      </c>
      <c r="AQ1016" s="195">
        <f t="shared" si="389"/>
        <v>754</v>
      </c>
      <c r="AR1016" s="195">
        <f t="shared" si="389"/>
        <v>780</v>
      </c>
      <c r="AS1016" s="221">
        <f t="shared" si="389"/>
        <v>16043</v>
      </c>
    </row>
    <row r="1017" spans="1:45" ht="15.75" customHeight="1" thickBot="1" x14ac:dyDescent="0.35">
      <c r="A1017" s="192"/>
      <c r="B1017" s="403" t="s">
        <v>730</v>
      </c>
      <c r="C1017" s="404"/>
      <c r="D1017" s="404"/>
      <c r="E1017" s="404"/>
      <c r="F1017" s="405"/>
      <c r="G1017" s="403" t="s">
        <v>731</v>
      </c>
      <c r="H1017" s="404"/>
      <c r="I1017" s="404"/>
      <c r="J1017" s="404"/>
      <c r="K1017" s="404"/>
      <c r="L1017" s="404"/>
      <c r="M1017" s="406" t="s">
        <v>732</v>
      </c>
      <c r="N1017" s="407"/>
      <c r="O1017" s="407"/>
      <c r="P1017" s="429"/>
      <c r="Q1017" s="429"/>
      <c r="R1017" s="430"/>
      <c r="S1017" s="403" t="s">
        <v>733</v>
      </c>
      <c r="T1017" s="431"/>
      <c r="U1017" s="432"/>
      <c r="V1017" s="304"/>
    </row>
    <row r="1018" spans="1:45" ht="15.75" customHeight="1" x14ac:dyDescent="0.3">
      <c r="A1018" s="213"/>
      <c r="B1018" s="189" t="s">
        <v>639</v>
      </c>
      <c r="C1018" s="182"/>
      <c r="D1018" s="182" t="s">
        <v>734</v>
      </c>
      <c r="E1018" s="182" t="s">
        <v>735</v>
      </c>
      <c r="F1018" s="307" t="s">
        <v>736</v>
      </c>
      <c r="G1018" s="189" t="s">
        <v>737</v>
      </c>
      <c r="H1018" s="182"/>
      <c r="I1018" s="182"/>
      <c r="J1018" s="182" t="s">
        <v>738</v>
      </c>
      <c r="K1018" s="182" t="s">
        <v>739</v>
      </c>
      <c r="L1018" s="182" t="s">
        <v>740</v>
      </c>
      <c r="M1018" s="409" t="str">
        <f>+M991</f>
        <v>(NE)* per WAPA</v>
      </c>
      <c r="N1018" s="410"/>
      <c r="O1018" s="410"/>
      <c r="P1018" s="363"/>
      <c r="Q1018" s="227"/>
      <c r="R1018" s="310"/>
      <c r="S1018" s="189" t="s">
        <v>742</v>
      </c>
      <c r="T1018" s="228" t="s">
        <v>743</v>
      </c>
      <c r="U1018" s="308" t="s">
        <v>744</v>
      </c>
      <c r="V1018" s="304"/>
    </row>
    <row r="1019" spans="1:45" ht="15.75" customHeight="1" x14ac:dyDescent="0.3">
      <c r="A1019" s="213"/>
      <c r="B1019" s="230" t="s">
        <v>745</v>
      </c>
      <c r="C1019" s="231" t="s">
        <v>746</v>
      </c>
      <c r="D1019" s="231" t="s">
        <v>747</v>
      </c>
      <c r="E1019" s="182" t="s">
        <v>658</v>
      </c>
      <c r="F1019" s="309" t="s">
        <v>748</v>
      </c>
      <c r="G1019" s="189" t="s">
        <v>640</v>
      </c>
      <c r="H1019" s="182" t="s">
        <v>749</v>
      </c>
      <c r="I1019" s="182" t="s">
        <v>750</v>
      </c>
      <c r="J1019" s="231" t="s">
        <v>751</v>
      </c>
      <c r="K1019" s="182" t="s">
        <v>723</v>
      </c>
      <c r="L1019" s="231" t="s">
        <v>752</v>
      </c>
      <c r="M1019" s="233" t="s">
        <v>753</v>
      </c>
      <c r="N1019" s="226" t="s">
        <v>754</v>
      </c>
      <c r="O1019" s="227" t="s">
        <v>641</v>
      </c>
      <c r="P1019" s="233" t="s">
        <v>755</v>
      </c>
      <c r="Q1019" s="226" t="s">
        <v>755</v>
      </c>
      <c r="R1019" s="310" t="s">
        <v>756</v>
      </c>
      <c r="S1019" s="189" t="s">
        <v>757</v>
      </c>
      <c r="T1019" s="182" t="s">
        <v>758</v>
      </c>
      <c r="U1019" s="307" t="s">
        <v>759</v>
      </c>
      <c r="V1019" s="304"/>
    </row>
    <row r="1020" spans="1:45" ht="15.75" customHeight="1" x14ac:dyDescent="0.3">
      <c r="A1020" s="213"/>
      <c r="B1020" s="235" t="s">
        <v>760</v>
      </c>
      <c r="C1020" s="215">
        <v>5.0000000000000001E-3</v>
      </c>
      <c r="D1020" s="215">
        <v>4.2999999999999997E-2</v>
      </c>
      <c r="E1020" s="182" t="s">
        <v>761</v>
      </c>
      <c r="F1020" s="311" t="s">
        <v>762</v>
      </c>
      <c r="G1020" s="189" t="s">
        <v>763</v>
      </c>
      <c r="H1020" s="182" t="s">
        <v>658</v>
      </c>
      <c r="I1020" s="182" t="s">
        <v>658</v>
      </c>
      <c r="J1020" s="182" t="s">
        <v>658</v>
      </c>
      <c r="K1020" s="182" t="s">
        <v>743</v>
      </c>
      <c r="L1020" s="182" t="s">
        <v>764</v>
      </c>
      <c r="M1020" s="237" t="s">
        <v>648</v>
      </c>
      <c r="N1020" s="227" t="s">
        <v>765</v>
      </c>
      <c r="O1020" s="227" t="s">
        <v>766</v>
      </c>
      <c r="P1020" s="237" t="s">
        <v>767</v>
      </c>
      <c r="Q1020" s="226" t="s">
        <v>767</v>
      </c>
      <c r="R1020" s="310" t="s">
        <v>766</v>
      </c>
      <c r="S1020" s="189" t="s">
        <v>658</v>
      </c>
      <c r="T1020" s="182" t="s">
        <v>658</v>
      </c>
      <c r="U1020" s="307" t="s">
        <v>658</v>
      </c>
      <c r="V1020" s="304"/>
    </row>
    <row r="1021" spans="1:45" ht="15.75" customHeight="1" x14ac:dyDescent="0.3">
      <c r="A1021" s="213" t="s">
        <v>768</v>
      </c>
      <c r="B1021" s="189" t="s">
        <v>778</v>
      </c>
      <c r="C1021" s="182" t="s">
        <v>778</v>
      </c>
      <c r="D1021" s="182" t="s">
        <v>778</v>
      </c>
      <c r="E1021" s="182" t="s">
        <v>778</v>
      </c>
      <c r="F1021" s="182" t="s">
        <v>778</v>
      </c>
      <c r="G1021" s="189" t="s">
        <v>778</v>
      </c>
      <c r="H1021" s="182" t="s">
        <v>778</v>
      </c>
      <c r="I1021" s="182" t="s">
        <v>778</v>
      </c>
      <c r="J1021" s="182" t="s">
        <v>778</v>
      </c>
      <c r="K1021" s="182" t="s">
        <v>778</v>
      </c>
      <c r="L1021" s="182" t="s">
        <v>778</v>
      </c>
      <c r="M1021" s="237" t="s">
        <v>778</v>
      </c>
      <c r="N1021" s="227" t="s">
        <v>779</v>
      </c>
      <c r="O1021" s="227" t="s">
        <v>778</v>
      </c>
      <c r="P1021" s="237" t="s">
        <v>365</v>
      </c>
      <c r="Q1021" s="226" t="s">
        <v>705</v>
      </c>
      <c r="R1021" s="310" t="s">
        <v>705</v>
      </c>
      <c r="S1021" s="189" t="s">
        <v>778</v>
      </c>
      <c r="T1021" s="182" t="s">
        <v>778</v>
      </c>
      <c r="U1021" s="307" t="s">
        <v>778</v>
      </c>
      <c r="V1021" s="304"/>
    </row>
    <row r="1022" spans="1:45" ht="15.75" customHeight="1" x14ac:dyDescent="0.3">
      <c r="A1022" s="213" t="s">
        <v>666</v>
      </c>
      <c r="B1022" s="189" t="s">
        <v>666</v>
      </c>
      <c r="C1022" s="182" t="s">
        <v>666</v>
      </c>
      <c r="D1022" s="182" t="s">
        <v>666</v>
      </c>
      <c r="E1022" s="182" t="s">
        <v>769</v>
      </c>
      <c r="F1022" s="307" t="s">
        <v>666</v>
      </c>
      <c r="G1022" s="189" t="s">
        <v>666</v>
      </c>
      <c r="H1022" s="182" t="s">
        <v>770</v>
      </c>
      <c r="I1022" s="182" t="s">
        <v>770</v>
      </c>
      <c r="J1022" s="182" t="s">
        <v>666</v>
      </c>
      <c r="K1022" s="182" t="s">
        <v>666</v>
      </c>
      <c r="L1022" s="182" t="s">
        <v>666</v>
      </c>
      <c r="M1022" s="237" t="s">
        <v>666</v>
      </c>
      <c r="N1022" s="227" t="s">
        <v>666</v>
      </c>
      <c r="O1022" s="227" t="s">
        <v>666</v>
      </c>
      <c r="P1022" s="237" t="s">
        <v>666</v>
      </c>
      <c r="Q1022" s="227" t="s">
        <v>666</v>
      </c>
      <c r="R1022" s="310" t="s">
        <v>666</v>
      </c>
      <c r="S1022" s="189" t="s">
        <v>666</v>
      </c>
      <c r="T1022" s="182" t="s">
        <v>666</v>
      </c>
      <c r="U1022" s="307" t="s">
        <v>666</v>
      </c>
      <c r="V1022" s="304"/>
    </row>
    <row r="1023" spans="1:45" ht="15.75" customHeight="1" x14ac:dyDescent="0.3">
      <c r="A1023" s="192" t="s">
        <v>8</v>
      </c>
      <c r="B1023" s="189">
        <f>+B996/($B$10*24)</f>
        <v>211.84408602150538</v>
      </c>
      <c r="C1023" s="182">
        <f t="shared" ref="C1023:L1023" si="390">+C996/($B$10*24)</f>
        <v>0</v>
      </c>
      <c r="D1023" s="182">
        <f t="shared" si="390"/>
        <v>8.9126344086021501</v>
      </c>
      <c r="E1023" s="182">
        <f t="shared" si="390"/>
        <v>211.84408602150538</v>
      </c>
      <c r="F1023" s="307">
        <f t="shared" si="390"/>
        <v>220.75672043010752</v>
      </c>
      <c r="G1023" s="182">
        <f t="shared" si="390"/>
        <v>0.94487912455920309</v>
      </c>
      <c r="H1023" s="182">
        <f t="shared" si="390"/>
        <v>11.98521505376344</v>
      </c>
      <c r="I1023" s="182">
        <f t="shared" si="390"/>
        <v>0</v>
      </c>
      <c r="J1023" s="182">
        <f t="shared" si="390"/>
        <v>11.98521505376344</v>
      </c>
      <c r="K1023" s="182">
        <f t="shared" si="390"/>
        <v>0</v>
      </c>
      <c r="L1023" s="182">
        <f t="shared" si="390"/>
        <v>0</v>
      </c>
      <c r="M1023" s="237">
        <f>+M996/($B$10*24)</f>
        <v>207.82662625178489</v>
      </c>
      <c r="N1023" s="227">
        <f t="shared" ref="N1023" si="391">+N996/($B$10*24)</f>
        <v>0</v>
      </c>
      <c r="O1023" s="227">
        <f>+O996/($B$10*24)</f>
        <v>207.82662625178489</v>
      </c>
      <c r="P1023" s="254">
        <f>P996</f>
        <v>0.2</v>
      </c>
      <c r="Q1023" s="227">
        <f>-O1023*P1023</f>
        <v>-41.565325250356977</v>
      </c>
      <c r="R1023" s="310">
        <f>O1023+Q1023</f>
        <v>166.26130100142791</v>
      </c>
      <c r="S1023" s="255">
        <f>+S996/($B$10*24)</f>
        <v>41.565325250356985</v>
      </c>
      <c r="T1023" s="182">
        <f>+IF(S1023&gt;=0,ABS(S1023),"")</f>
        <v>41.565325250356985</v>
      </c>
      <c r="U1023" s="307" t="str">
        <f>+IF(S1023&lt;=0,ABS(S1023),"")</f>
        <v/>
      </c>
      <c r="V1023" s="304"/>
    </row>
    <row r="1024" spans="1:45" ht="15.75" customHeight="1" x14ac:dyDescent="0.3">
      <c r="A1024" s="192" t="s">
        <v>9</v>
      </c>
      <c r="B1024" s="189">
        <f>+B997/($C$10*24)</f>
        <v>287.75744047619048</v>
      </c>
      <c r="C1024" s="182">
        <f t="shared" ref="C1024:N1024" si="392">+C997/($C$10*24)</f>
        <v>0</v>
      </c>
      <c r="D1024" s="182">
        <f t="shared" si="392"/>
        <v>11.994047619047619</v>
      </c>
      <c r="E1024" s="182">
        <f t="shared" si="392"/>
        <v>287.75744047619048</v>
      </c>
      <c r="F1024" s="307">
        <f t="shared" si="392"/>
        <v>299.75148809523807</v>
      </c>
      <c r="G1024" s="182">
        <f t="shared" si="392"/>
        <v>3.327844314063229</v>
      </c>
      <c r="H1024" s="182">
        <f t="shared" si="392"/>
        <v>16.62202380952381</v>
      </c>
      <c r="I1024" s="182">
        <f t="shared" si="392"/>
        <v>0</v>
      </c>
      <c r="J1024" s="182">
        <f t="shared" si="392"/>
        <v>16.62202380952381</v>
      </c>
      <c r="K1024" s="182">
        <f t="shared" si="392"/>
        <v>0</v>
      </c>
      <c r="L1024" s="182">
        <f t="shared" si="392"/>
        <v>0</v>
      </c>
      <c r="M1024" s="237">
        <f t="shared" si="392"/>
        <v>279.80161997165106</v>
      </c>
      <c r="N1024" s="227">
        <f t="shared" si="392"/>
        <v>0</v>
      </c>
      <c r="O1024" s="227">
        <f t="shared" ref="O1024:O1034" si="393">+O997/($B$10*24)</f>
        <v>252.72404384536225</v>
      </c>
      <c r="P1024" s="254">
        <f t="shared" ref="P1024:P1034" si="394">P997</f>
        <v>0.25</v>
      </c>
      <c r="Q1024" s="227">
        <f t="shared" ref="Q1024:Q1034" si="395">-O1024*P1024</f>
        <v>-63.181010961340561</v>
      </c>
      <c r="R1024" s="310">
        <f t="shared" ref="R1024:R1034" si="396">O1024+Q1024</f>
        <v>189.54303288402167</v>
      </c>
      <c r="S1024" s="255">
        <f>+S997/($C$10*24)</f>
        <v>69.950404992912766</v>
      </c>
      <c r="T1024" s="182">
        <f t="shared" ref="T1024:T1034" si="397">+IF(S1024&gt;=0,ABS(S1024),"")</f>
        <v>69.950404992912766</v>
      </c>
      <c r="U1024" s="307" t="str">
        <f t="shared" ref="U1024:U1034" si="398">+IF(S1024&lt;=0,ABS(S1024),"")</f>
        <v/>
      </c>
      <c r="V1024" s="304"/>
    </row>
    <row r="1025" spans="1:22" ht="15.75" customHeight="1" x14ac:dyDescent="0.3">
      <c r="A1025" s="192" t="s">
        <v>10</v>
      </c>
      <c r="B1025" s="189">
        <f>+B998/($D$10*24)</f>
        <v>329.16129032258067</v>
      </c>
      <c r="C1025" s="182">
        <f t="shared" ref="C1025:N1025" si="399">+C998/($D$10*24)</f>
        <v>0</v>
      </c>
      <c r="D1025" s="182">
        <f t="shared" si="399"/>
        <v>13.926075268817204</v>
      </c>
      <c r="E1025" s="182">
        <f t="shared" si="399"/>
        <v>329.16129032258067</v>
      </c>
      <c r="F1025" s="307">
        <f t="shared" si="399"/>
        <v>343.08736559139783</v>
      </c>
      <c r="G1025" s="182">
        <f t="shared" si="399"/>
        <v>4.0497210540389421</v>
      </c>
      <c r="H1025" s="182">
        <f>+H998/($D$10*24)</f>
        <v>10.400537634408602</v>
      </c>
      <c r="I1025" s="182">
        <f t="shared" si="399"/>
        <v>0</v>
      </c>
      <c r="J1025" s="182">
        <f t="shared" si="399"/>
        <v>10.400537634408602</v>
      </c>
      <c r="K1025" s="182">
        <f t="shared" si="399"/>
        <v>0</v>
      </c>
      <c r="L1025" s="182">
        <f t="shared" si="399"/>
        <v>0</v>
      </c>
      <c r="M1025" s="237">
        <f t="shared" si="399"/>
        <v>328.63710690295034</v>
      </c>
      <c r="N1025" s="227">
        <f t="shared" si="399"/>
        <v>0</v>
      </c>
      <c r="O1025" s="227">
        <f t="shared" si="393"/>
        <v>328.63710690295034</v>
      </c>
      <c r="P1025" s="254">
        <f t="shared" si="394"/>
        <v>0.3</v>
      </c>
      <c r="Q1025" s="227">
        <f t="shared" si="395"/>
        <v>-98.591132070885095</v>
      </c>
      <c r="R1025" s="310">
        <f t="shared" si="396"/>
        <v>230.04597483206524</v>
      </c>
      <c r="S1025" s="255">
        <f>+S998/($D$10*24)</f>
        <v>98.591132070885095</v>
      </c>
      <c r="T1025" s="182">
        <f t="shared" si="397"/>
        <v>98.591132070885095</v>
      </c>
      <c r="U1025" s="307" t="str">
        <f t="shared" si="398"/>
        <v/>
      </c>
      <c r="V1025" s="304"/>
    </row>
    <row r="1026" spans="1:22" ht="15.75" customHeight="1" x14ac:dyDescent="0.3">
      <c r="A1026" s="192" t="s">
        <v>12</v>
      </c>
      <c r="B1026" s="189">
        <f>+B999/($F$10*24)</f>
        <v>403.57361111111112</v>
      </c>
      <c r="C1026" s="182">
        <f t="shared" ref="C1026:N1026" si="400">+C999/($F$10*24)</f>
        <v>0</v>
      </c>
      <c r="D1026" s="182">
        <f t="shared" si="400"/>
        <v>17.655555555555555</v>
      </c>
      <c r="E1026" s="182">
        <f t="shared" si="400"/>
        <v>403.57361111111112</v>
      </c>
      <c r="F1026" s="307">
        <f t="shared" si="400"/>
        <v>421.22916666666669</v>
      </c>
      <c r="G1026" s="182">
        <f t="shared" si="400"/>
        <v>1.4505912194396473</v>
      </c>
      <c r="H1026" s="182">
        <f t="shared" si="400"/>
        <v>15.388888888888889</v>
      </c>
      <c r="I1026" s="182">
        <f t="shared" si="400"/>
        <v>0</v>
      </c>
      <c r="J1026" s="182">
        <f t="shared" si="400"/>
        <v>15.388888888888889</v>
      </c>
      <c r="K1026" s="182">
        <f t="shared" si="400"/>
        <v>0</v>
      </c>
      <c r="L1026" s="182">
        <f t="shared" si="400"/>
        <v>0</v>
      </c>
      <c r="M1026" s="237">
        <f t="shared" si="400"/>
        <v>404.38968655833816</v>
      </c>
      <c r="N1026" s="227">
        <f t="shared" si="400"/>
        <v>-31</v>
      </c>
      <c r="O1026" s="227">
        <f t="shared" si="393"/>
        <v>361.34485795968209</v>
      </c>
      <c r="P1026" s="254">
        <f t="shared" si="394"/>
        <v>0.35</v>
      </c>
      <c r="Q1026" s="227">
        <f t="shared" si="395"/>
        <v>-126.47070028588873</v>
      </c>
      <c r="R1026" s="310">
        <f t="shared" si="396"/>
        <v>234.87415767379338</v>
      </c>
      <c r="S1026" s="255">
        <f>+S999/($F$10*24)</f>
        <v>161.68639029541833</v>
      </c>
      <c r="T1026" s="182">
        <f t="shared" si="397"/>
        <v>161.68639029541833</v>
      </c>
      <c r="U1026" s="307" t="str">
        <f t="shared" si="398"/>
        <v/>
      </c>
      <c r="V1026" s="304"/>
    </row>
    <row r="1027" spans="1:22" ht="15.75" customHeight="1" x14ac:dyDescent="0.3">
      <c r="A1027" s="192" t="s">
        <v>13</v>
      </c>
      <c r="B1027" s="189">
        <f>+B1000/($G$10*24)</f>
        <v>409.31048387096774</v>
      </c>
      <c r="C1027" s="182">
        <f t="shared" ref="C1027:N1027" si="401">+C1000/($G$10*24)</f>
        <v>0</v>
      </c>
      <c r="D1027" s="182">
        <f t="shared" si="401"/>
        <v>18.048387096774192</v>
      </c>
      <c r="E1027" s="182">
        <f t="shared" si="401"/>
        <v>409.31048387096774</v>
      </c>
      <c r="F1027" s="307">
        <f t="shared" si="401"/>
        <v>427.35887096774195</v>
      </c>
      <c r="G1027" s="182">
        <f t="shared" si="401"/>
        <v>1.0127167351370636</v>
      </c>
      <c r="H1027" s="182">
        <f t="shared" si="401"/>
        <v>12.452956989247312</v>
      </c>
      <c r="I1027" s="182">
        <f t="shared" si="401"/>
        <v>0</v>
      </c>
      <c r="J1027" s="182">
        <f t="shared" si="401"/>
        <v>12.452956989247312</v>
      </c>
      <c r="K1027" s="182">
        <f t="shared" si="401"/>
        <v>0</v>
      </c>
      <c r="L1027" s="182">
        <f t="shared" si="401"/>
        <v>0</v>
      </c>
      <c r="M1027" s="237">
        <f t="shared" si="401"/>
        <v>413.89319724335758</v>
      </c>
      <c r="N1027" s="227">
        <f t="shared" si="401"/>
        <v>0</v>
      </c>
      <c r="O1027" s="227">
        <f t="shared" si="393"/>
        <v>413.89319724335758</v>
      </c>
      <c r="P1027" s="254">
        <f t="shared" si="394"/>
        <v>0.35</v>
      </c>
      <c r="Q1027" s="227">
        <f t="shared" si="395"/>
        <v>-144.86261903517513</v>
      </c>
      <c r="R1027" s="310">
        <f t="shared" si="396"/>
        <v>269.03057820818242</v>
      </c>
      <c r="S1027" s="255">
        <f>+S1000/($G$10*24)</f>
        <v>144.86261903517513</v>
      </c>
      <c r="T1027" s="182">
        <f t="shared" si="397"/>
        <v>144.86261903517513</v>
      </c>
      <c r="U1027" s="307" t="str">
        <f t="shared" si="398"/>
        <v/>
      </c>
      <c r="V1027" s="304"/>
    </row>
    <row r="1028" spans="1:22" ht="15.75" customHeight="1" x14ac:dyDescent="0.3">
      <c r="A1028" s="192" t="s">
        <v>14</v>
      </c>
      <c r="B1028" s="189">
        <f>+B1001/($H$10*24)</f>
        <v>245.85138888888889</v>
      </c>
      <c r="C1028" s="182">
        <f t="shared" ref="C1028:N1028" si="402">+C1001/($H$10*24)</f>
        <v>0</v>
      </c>
      <c r="D1028" s="182">
        <f t="shared" si="402"/>
        <v>10.433333333333334</v>
      </c>
      <c r="E1028" s="182">
        <f t="shared" si="402"/>
        <v>245.85138888888889</v>
      </c>
      <c r="F1028" s="307">
        <f t="shared" si="402"/>
        <v>256.28472222222223</v>
      </c>
      <c r="G1028" s="182">
        <f t="shared" si="402"/>
        <v>20.071341999497626</v>
      </c>
      <c r="H1028" s="182">
        <f t="shared" si="402"/>
        <v>22.12638888888889</v>
      </c>
      <c r="I1028" s="182">
        <f t="shared" si="402"/>
        <v>0</v>
      </c>
      <c r="J1028" s="182">
        <f t="shared" si="402"/>
        <v>22.12638888888889</v>
      </c>
      <c r="K1028" s="182">
        <f t="shared" si="402"/>
        <v>0</v>
      </c>
      <c r="L1028" s="182">
        <f t="shared" si="402"/>
        <v>0</v>
      </c>
      <c r="M1028" s="237">
        <f t="shared" si="402"/>
        <v>214.0869913338357</v>
      </c>
      <c r="N1028" s="227">
        <f t="shared" si="402"/>
        <v>65.666666666666671</v>
      </c>
      <c r="O1028" s="227">
        <f t="shared" si="393"/>
        <v>270.72934645209904</v>
      </c>
      <c r="P1028" s="254">
        <f t="shared" si="394"/>
        <v>7.4999999999999997E-2</v>
      </c>
      <c r="Q1028" s="227">
        <f t="shared" si="395"/>
        <v>-20.304700983907427</v>
      </c>
      <c r="R1028" s="310">
        <f t="shared" si="396"/>
        <v>250.42464546819161</v>
      </c>
      <c r="S1028" s="255">
        <f>+S1001/($H$10*24)</f>
        <v>-44.685142316629005</v>
      </c>
      <c r="T1028" s="182" t="str">
        <f t="shared" si="397"/>
        <v/>
      </c>
      <c r="U1028" s="307">
        <f t="shared" si="398"/>
        <v>44.685142316629005</v>
      </c>
      <c r="V1028" s="304"/>
    </row>
    <row r="1029" spans="1:22" ht="15.75" customHeight="1" x14ac:dyDescent="0.3">
      <c r="A1029" s="192" t="s">
        <v>16</v>
      </c>
      <c r="B1029" s="189">
        <f>+B1002/($J$10*24)</f>
        <v>212.24327956989248</v>
      </c>
      <c r="C1029" s="182">
        <f t="shared" ref="C1029:N1029" si="403">+C1002/($J$10*24)</f>
        <v>0</v>
      </c>
      <c r="D1029" s="182">
        <f t="shared" si="403"/>
        <v>8.8911290322580641</v>
      </c>
      <c r="E1029" s="182">
        <f t="shared" si="403"/>
        <v>212.24327956989248</v>
      </c>
      <c r="F1029" s="307">
        <f t="shared" si="403"/>
        <v>221.13440860215053</v>
      </c>
      <c r="G1029" s="182">
        <f t="shared" si="403"/>
        <v>19.193317872210777</v>
      </c>
      <c r="H1029" s="182">
        <f t="shared" si="403"/>
        <v>22.611559139784948</v>
      </c>
      <c r="I1029" s="182">
        <f t="shared" si="403"/>
        <v>0</v>
      </c>
      <c r="J1029" s="182">
        <f t="shared" si="403"/>
        <v>22.611559139784948</v>
      </c>
      <c r="K1029" s="182">
        <f t="shared" si="403"/>
        <v>0</v>
      </c>
      <c r="L1029" s="182">
        <f t="shared" si="403"/>
        <v>0</v>
      </c>
      <c r="M1029" s="237">
        <f t="shared" si="403"/>
        <v>179.32953159015483</v>
      </c>
      <c r="N1029" s="227">
        <f t="shared" si="403"/>
        <v>63.333333333333336</v>
      </c>
      <c r="O1029" s="227">
        <f t="shared" si="393"/>
        <v>242.66286492348817</v>
      </c>
      <c r="P1029" s="254">
        <f t="shared" si="394"/>
        <v>0.05</v>
      </c>
      <c r="Q1029" s="227">
        <f t="shared" si="395"/>
        <v>-12.133143246174409</v>
      </c>
      <c r="R1029" s="310">
        <f t="shared" si="396"/>
        <v>230.52972167731377</v>
      </c>
      <c r="S1029" s="255">
        <f>+S1002/($J$10*24)</f>
        <v>-51.20019008715893</v>
      </c>
      <c r="T1029" s="182" t="str">
        <f t="shared" si="397"/>
        <v/>
      </c>
      <c r="U1029" s="307">
        <f t="shared" si="398"/>
        <v>51.20019008715893</v>
      </c>
      <c r="V1029" s="304"/>
    </row>
    <row r="1030" spans="1:22" ht="15.75" customHeight="1" x14ac:dyDescent="0.3">
      <c r="A1030" s="192" t="s">
        <v>17</v>
      </c>
      <c r="B1030" s="189">
        <f>+B1003/($K$10*24)</f>
        <v>119.16397849462365</v>
      </c>
      <c r="C1030" s="182">
        <f t="shared" ref="C1030:N1030" si="404">+C1003/($K$10*24)</f>
        <v>0</v>
      </c>
      <c r="D1030" s="182">
        <f t="shared" si="404"/>
        <v>4.458333333333333</v>
      </c>
      <c r="E1030" s="182">
        <f t="shared" si="404"/>
        <v>119.16397849462365</v>
      </c>
      <c r="F1030" s="307">
        <f t="shared" si="404"/>
        <v>123.62231182795699</v>
      </c>
      <c r="G1030" s="182">
        <f t="shared" si="404"/>
        <v>22.245169094778888</v>
      </c>
      <c r="H1030" s="182">
        <f t="shared" si="404"/>
        <v>19.517473118279568</v>
      </c>
      <c r="I1030" s="182">
        <f t="shared" si="404"/>
        <v>0</v>
      </c>
      <c r="J1030" s="182">
        <f t="shared" si="404"/>
        <v>19.517473118279568</v>
      </c>
      <c r="K1030" s="182">
        <f t="shared" si="404"/>
        <v>0</v>
      </c>
      <c r="L1030" s="182">
        <f t="shared" si="404"/>
        <v>0</v>
      </c>
      <c r="M1030" s="237">
        <f t="shared" si="404"/>
        <v>81.859669614898522</v>
      </c>
      <c r="N1030" s="227">
        <f t="shared" si="404"/>
        <v>79</v>
      </c>
      <c r="O1030" s="227">
        <f t="shared" si="393"/>
        <v>160.85966961489854</v>
      </c>
      <c r="P1030" s="254">
        <f t="shared" si="394"/>
        <v>0</v>
      </c>
      <c r="Q1030" s="227">
        <f t="shared" si="395"/>
        <v>0</v>
      </c>
      <c r="R1030" s="310">
        <f t="shared" si="396"/>
        <v>160.85966961489854</v>
      </c>
      <c r="S1030" s="255">
        <f>+S1003/($K$10*24)</f>
        <v>-79</v>
      </c>
      <c r="T1030" s="182" t="str">
        <f t="shared" si="397"/>
        <v/>
      </c>
      <c r="U1030" s="307">
        <f t="shared" si="398"/>
        <v>79</v>
      </c>
      <c r="V1030" s="304"/>
    </row>
    <row r="1031" spans="1:22" ht="15.75" customHeight="1" x14ac:dyDescent="0.3">
      <c r="A1031" s="192" t="s">
        <v>18</v>
      </c>
      <c r="B1031" s="189">
        <f>+B1004/($L$10*24)</f>
        <v>386.92222222222222</v>
      </c>
      <c r="C1031" s="182">
        <f t="shared" ref="C1031:N1031" si="405">+C1004/($L$10*24)</f>
        <v>0</v>
      </c>
      <c r="D1031" s="182">
        <f t="shared" si="405"/>
        <v>17.013888888888889</v>
      </c>
      <c r="E1031" s="182">
        <f t="shared" si="405"/>
        <v>386.92222222222222</v>
      </c>
      <c r="F1031" s="307">
        <f t="shared" si="405"/>
        <v>403.93611111111113</v>
      </c>
      <c r="G1031" s="182">
        <f t="shared" si="405"/>
        <v>1.1410015071590049</v>
      </c>
      <c r="H1031" s="182">
        <f t="shared" si="405"/>
        <v>17.731944444444444</v>
      </c>
      <c r="I1031" s="182">
        <f t="shared" si="405"/>
        <v>0</v>
      </c>
      <c r="J1031" s="182">
        <f t="shared" si="405"/>
        <v>17.731944444444444</v>
      </c>
      <c r="K1031" s="182">
        <f t="shared" si="405"/>
        <v>0</v>
      </c>
      <c r="L1031" s="182">
        <f t="shared" si="405"/>
        <v>0</v>
      </c>
      <c r="M1031" s="237">
        <f t="shared" si="405"/>
        <v>385.06316515950766</v>
      </c>
      <c r="N1031" s="227">
        <f t="shared" si="405"/>
        <v>0</v>
      </c>
      <c r="O1031" s="227">
        <f t="shared" si="393"/>
        <v>372.64177273500741</v>
      </c>
      <c r="P1031" s="254">
        <f t="shared" si="394"/>
        <v>0.05</v>
      </c>
      <c r="Q1031" s="227">
        <f t="shared" si="395"/>
        <v>-18.632088636750371</v>
      </c>
      <c r="R1031" s="310">
        <f t="shared" si="396"/>
        <v>354.00968409825703</v>
      </c>
      <c r="S1031" s="255">
        <f>+S1004/($L$10*24)</f>
        <v>19.253158257975397</v>
      </c>
      <c r="T1031" s="182">
        <f t="shared" si="397"/>
        <v>19.253158257975397</v>
      </c>
      <c r="U1031" s="307" t="str">
        <f t="shared" si="398"/>
        <v/>
      </c>
      <c r="V1031" s="304"/>
    </row>
    <row r="1032" spans="1:22" ht="15.75" customHeight="1" x14ac:dyDescent="0.3">
      <c r="A1032" s="192" t="s">
        <v>20</v>
      </c>
      <c r="B1032" s="189">
        <f>+B1005/($N$10*24)</f>
        <v>384.74462365591398</v>
      </c>
      <c r="C1032" s="182">
        <f t="shared" ref="C1032:N1032" si="406">+C1005/($N$10*24)</f>
        <v>0</v>
      </c>
      <c r="D1032" s="182">
        <f t="shared" si="406"/>
        <v>16.553763440860216</v>
      </c>
      <c r="E1032" s="182">
        <f t="shared" si="406"/>
        <v>384.74462365591398</v>
      </c>
      <c r="F1032" s="307">
        <f t="shared" si="406"/>
        <v>401.29838709677421</v>
      </c>
      <c r="G1032" s="182">
        <f t="shared" si="406"/>
        <v>0</v>
      </c>
      <c r="H1032" s="182">
        <f t="shared" si="406"/>
        <v>16.615591397849464</v>
      </c>
      <c r="I1032" s="182">
        <f t="shared" si="406"/>
        <v>0</v>
      </c>
      <c r="J1032" s="182">
        <f t="shared" si="406"/>
        <v>16.615591397849464</v>
      </c>
      <c r="K1032" s="182">
        <f t="shared" si="406"/>
        <v>0</v>
      </c>
      <c r="L1032" s="182">
        <f t="shared" si="406"/>
        <v>0</v>
      </c>
      <c r="M1032" s="237">
        <f t="shared" si="406"/>
        <v>384.68279569892474</v>
      </c>
      <c r="N1032" s="227">
        <f t="shared" si="406"/>
        <v>0</v>
      </c>
      <c r="O1032" s="227">
        <f t="shared" si="393"/>
        <v>384.68279569892474</v>
      </c>
      <c r="P1032" s="254">
        <f t="shared" si="394"/>
        <v>0.2</v>
      </c>
      <c r="Q1032" s="227">
        <f t="shared" si="395"/>
        <v>-76.936559139784947</v>
      </c>
      <c r="R1032" s="310">
        <f t="shared" si="396"/>
        <v>307.74623655913979</v>
      </c>
      <c r="S1032" s="255">
        <f>+S1005/($N$10*24)</f>
        <v>76.936559139784933</v>
      </c>
      <c r="T1032" s="182">
        <f t="shared" si="397"/>
        <v>76.936559139784933</v>
      </c>
      <c r="U1032" s="307" t="str">
        <f t="shared" si="398"/>
        <v/>
      </c>
      <c r="V1032" s="304"/>
    </row>
    <row r="1033" spans="1:22" ht="15.75" customHeight="1" x14ac:dyDescent="0.3">
      <c r="A1033" s="192" t="s">
        <v>21</v>
      </c>
      <c r="B1033" s="189">
        <f>+B1006/($O$10*24)</f>
        <v>376.08611111111111</v>
      </c>
      <c r="C1033" s="182">
        <f t="shared" ref="C1033:N1033" si="407">+C1006/($O$10*24)</f>
        <v>0</v>
      </c>
      <c r="D1033" s="182">
        <f t="shared" si="407"/>
        <v>16.383333333333333</v>
      </c>
      <c r="E1033" s="182">
        <f t="shared" si="407"/>
        <v>376.08611111111111</v>
      </c>
      <c r="F1033" s="307">
        <f t="shared" si="407"/>
        <v>392.46944444444443</v>
      </c>
      <c r="G1033" s="182">
        <f t="shared" si="407"/>
        <v>1.8917336515113424E-2</v>
      </c>
      <c r="H1033" s="182">
        <f t="shared" si="407"/>
        <v>15.908333333333333</v>
      </c>
      <c r="I1033" s="182">
        <f t="shared" si="407"/>
        <v>0</v>
      </c>
      <c r="J1033" s="182">
        <f t="shared" si="407"/>
        <v>15.908333333333333</v>
      </c>
      <c r="K1033" s="182">
        <f t="shared" si="407"/>
        <v>0</v>
      </c>
      <c r="L1033" s="182">
        <f t="shared" si="407"/>
        <v>0</v>
      </c>
      <c r="M1033" s="237">
        <f t="shared" si="407"/>
        <v>376.542193774596</v>
      </c>
      <c r="N1033" s="227">
        <f t="shared" si="407"/>
        <v>0</v>
      </c>
      <c r="O1033" s="227">
        <f t="shared" si="393"/>
        <v>364.39567139477037</v>
      </c>
      <c r="P1033" s="254">
        <f t="shared" si="394"/>
        <v>0.2</v>
      </c>
      <c r="Q1033" s="227">
        <f t="shared" si="395"/>
        <v>-72.879134278954083</v>
      </c>
      <c r="R1033" s="310">
        <f t="shared" si="396"/>
        <v>291.51653711581628</v>
      </c>
      <c r="S1033" s="255">
        <f>+S1006/($O$10*24)</f>
        <v>75.308438754919194</v>
      </c>
      <c r="T1033" s="182">
        <f t="shared" si="397"/>
        <v>75.308438754919194</v>
      </c>
      <c r="U1033" s="307" t="str">
        <f t="shared" si="398"/>
        <v/>
      </c>
      <c r="V1033" s="304"/>
    </row>
    <row r="1034" spans="1:22" ht="15.75" customHeight="1" thickBot="1" x14ac:dyDescent="0.35">
      <c r="A1034" s="192" t="s">
        <v>22</v>
      </c>
      <c r="B1034" s="204">
        <f>+B1007/($P$10*24)</f>
        <v>307.64650537634407</v>
      </c>
      <c r="C1034" s="205">
        <f t="shared" ref="C1034:N1034" si="408">+C1007/($P$10*24)</f>
        <v>0</v>
      </c>
      <c r="D1034" s="205">
        <f t="shared" si="408"/>
        <v>13.233870967741936</v>
      </c>
      <c r="E1034" s="205">
        <f t="shared" si="408"/>
        <v>307.64650537634407</v>
      </c>
      <c r="F1034" s="245">
        <f t="shared" si="408"/>
        <v>320.88037634408602</v>
      </c>
      <c r="G1034" s="205">
        <f t="shared" si="408"/>
        <v>0</v>
      </c>
      <c r="H1034" s="205">
        <f t="shared" si="408"/>
        <v>13.866935483870968</v>
      </c>
      <c r="I1034" s="205">
        <f t="shared" si="408"/>
        <v>0</v>
      </c>
      <c r="J1034" s="205">
        <f t="shared" si="408"/>
        <v>13.866935483870968</v>
      </c>
      <c r="K1034" s="205">
        <f t="shared" si="408"/>
        <v>0</v>
      </c>
      <c r="L1034" s="205">
        <f t="shared" si="408"/>
        <v>0</v>
      </c>
      <c r="M1034" s="246">
        <f t="shared" si="408"/>
        <v>307.01344086021504</v>
      </c>
      <c r="N1034" s="247">
        <f t="shared" si="408"/>
        <v>0</v>
      </c>
      <c r="O1034" s="248">
        <f t="shared" si="393"/>
        <v>307.01344086021504</v>
      </c>
      <c r="P1034" s="249">
        <f t="shared" si="394"/>
        <v>0.2</v>
      </c>
      <c r="Q1034" s="247">
        <f t="shared" si="395"/>
        <v>-61.402688172043014</v>
      </c>
      <c r="R1034" s="248">
        <f t="shared" si="396"/>
        <v>245.61075268817203</v>
      </c>
      <c r="S1034" s="256">
        <f>+S1007/($P$10*24)</f>
        <v>61.402688172043021</v>
      </c>
      <c r="T1034" s="205">
        <f t="shared" si="397"/>
        <v>61.402688172043021</v>
      </c>
      <c r="U1034" s="245" t="str">
        <f t="shared" si="398"/>
        <v/>
      </c>
      <c r="V1034" s="304"/>
    </row>
    <row r="1035" spans="1:22" ht="15.75" customHeight="1" x14ac:dyDescent="0.3">
      <c r="A1035" s="257"/>
      <c r="V1035" s="304"/>
    </row>
    <row r="1036" spans="1:22" ht="16.5" customHeight="1" thickBot="1" x14ac:dyDescent="0.35">
      <c r="A1036" s="258"/>
      <c r="B1036" s="135"/>
      <c r="C1036" s="135"/>
      <c r="D1036" s="135"/>
      <c r="E1036" s="135"/>
      <c r="F1036" s="135"/>
      <c r="G1036" s="135"/>
      <c r="H1036" s="135"/>
      <c r="I1036" s="135"/>
      <c r="J1036" s="135"/>
      <c r="K1036" s="135"/>
      <c r="L1036" s="135"/>
      <c r="M1036" s="135"/>
      <c r="N1036" s="135"/>
      <c r="O1036" s="135"/>
      <c r="P1036" s="135"/>
      <c r="Q1036" s="135"/>
      <c r="R1036" s="135"/>
      <c r="S1036" s="135"/>
      <c r="T1036" s="135"/>
      <c r="U1036" s="135"/>
      <c r="V1036" s="136"/>
    </row>
    <row r="1037" spans="1:22" ht="15.75" customHeight="1" x14ac:dyDescent="0.3">
      <c r="A1037" s="259"/>
      <c r="B1037" s="180"/>
      <c r="C1037" s="180"/>
      <c r="D1037" s="180"/>
      <c r="E1037" s="180"/>
      <c r="F1037" s="180"/>
      <c r="G1037" s="180"/>
      <c r="H1037" s="180"/>
      <c r="I1037" s="180"/>
      <c r="J1037" s="180"/>
      <c r="K1037" s="180"/>
      <c r="L1037" s="180"/>
      <c r="M1037" s="180"/>
      <c r="N1037" s="180"/>
      <c r="O1037" s="180"/>
      <c r="P1037" s="180"/>
      <c r="Q1037" s="180"/>
      <c r="R1037" s="180"/>
    </row>
    <row r="1038" spans="1:22" ht="15.75" customHeight="1" x14ac:dyDescent="0.3">
      <c r="A1038" s="260"/>
    </row>
    <row r="1039" spans="1:22" ht="15.75" customHeight="1" thickBot="1" x14ac:dyDescent="0.35">
      <c r="A1039" s="260"/>
    </row>
    <row r="1040" spans="1:22" ht="15.75" customHeight="1" x14ac:dyDescent="0.3">
      <c r="A1040" s="364"/>
      <c r="B1040" s="423" t="s">
        <v>780</v>
      </c>
      <c r="C1040" s="423"/>
      <c r="D1040" s="423"/>
      <c r="E1040" s="423"/>
      <c r="F1040" s="423"/>
      <c r="G1040" s="423"/>
      <c r="H1040" s="423"/>
      <c r="I1040" s="423"/>
      <c r="J1040" s="423"/>
      <c r="K1040" s="423"/>
      <c r="L1040" s="423"/>
      <c r="M1040" s="423"/>
      <c r="N1040" s="423"/>
      <c r="O1040" s="423"/>
      <c r="P1040" s="423"/>
      <c r="Q1040" s="354" t="str">
        <f>+Q1</f>
        <v xml:space="preserve">PRINTED:  </v>
      </c>
      <c r="R1040" s="357">
        <f ca="1">+R1</f>
        <v>44894.658168402777</v>
      </c>
      <c r="S1040" s="358"/>
    </row>
    <row r="1041" spans="1:50" ht="15.75" customHeight="1" x14ac:dyDescent="0.3">
      <c r="A1041" s="262"/>
      <c r="B1041" s="394" t="str">
        <f>+A8</f>
        <v>Revised:  3/2/2019</v>
      </c>
      <c r="C1041" s="394"/>
      <c r="D1041" s="394"/>
      <c r="E1041" s="394"/>
      <c r="F1041" s="394"/>
      <c r="G1041" s="394"/>
      <c r="H1041" s="394"/>
      <c r="I1041" s="394"/>
      <c r="J1041" s="394"/>
      <c r="K1041" s="394"/>
      <c r="L1041" s="394"/>
      <c r="M1041" s="394"/>
      <c r="N1041" s="394"/>
      <c r="O1041" s="394"/>
      <c r="P1041" s="394"/>
      <c r="Q1041" s="180"/>
      <c r="R1041" s="180"/>
      <c r="S1041" s="304"/>
    </row>
    <row r="1042" spans="1:50" ht="16.5" customHeight="1" x14ac:dyDescent="0.3">
      <c r="A1042" s="262"/>
      <c r="B1042" s="394" t="s">
        <v>670</v>
      </c>
      <c r="C1042" s="394"/>
      <c r="D1042" s="394"/>
      <c r="E1042" s="394"/>
      <c r="F1042" s="394"/>
      <c r="G1042" s="394"/>
      <c r="H1042" s="394"/>
      <c r="I1042" s="394"/>
      <c r="J1042" s="394"/>
      <c r="K1042" s="394"/>
      <c r="L1042" s="394"/>
      <c r="M1042" s="394"/>
      <c r="N1042" s="394"/>
      <c r="O1042" s="394"/>
      <c r="P1042" s="394"/>
      <c r="Q1042" s="180"/>
      <c r="R1042" s="180"/>
      <c r="S1042" s="304"/>
    </row>
    <row r="1043" spans="1:50" ht="15.75" customHeight="1" x14ac:dyDescent="0.3">
      <c r="A1043" s="262"/>
      <c r="B1043" s="180"/>
      <c r="C1043" s="180"/>
      <c r="D1043" s="180"/>
      <c r="E1043" s="180"/>
      <c r="F1043" s="180"/>
      <c r="G1043" s="180"/>
      <c r="H1043" s="180"/>
      <c r="I1043" s="180"/>
      <c r="J1043" s="180"/>
      <c r="K1043" s="180"/>
      <c r="L1043" s="180"/>
      <c r="M1043" s="180"/>
      <c r="N1043" s="180"/>
      <c r="O1043" s="180"/>
      <c r="P1043" s="180"/>
      <c r="Q1043" s="180"/>
      <c r="R1043" s="180"/>
      <c r="S1043" s="304"/>
      <c r="AG1043" s="192"/>
    </row>
    <row r="1044" spans="1:50" ht="15.75" customHeight="1" x14ac:dyDescent="0.3">
      <c r="A1044" s="262"/>
      <c r="B1044" s="415">
        <f>+A5</f>
        <v>2018</v>
      </c>
      <c r="C1044" s="395"/>
      <c r="D1044" s="395"/>
      <c r="E1044" s="395"/>
      <c r="F1044" s="395"/>
      <c r="G1044" s="395"/>
      <c r="H1044" s="395"/>
      <c r="I1044" s="395"/>
      <c r="J1044" s="395"/>
      <c r="K1044" s="395"/>
      <c r="L1044" s="395"/>
      <c r="M1044" s="395"/>
      <c r="N1044" s="395"/>
      <c r="O1044" s="395"/>
      <c r="P1044" s="395"/>
      <c r="Q1044" s="180"/>
      <c r="R1044" s="180"/>
      <c r="S1044" s="304"/>
      <c r="AE1044" s="4" t="s">
        <v>781</v>
      </c>
      <c r="AF1044" s="4" t="s">
        <v>782</v>
      </c>
    </row>
    <row r="1045" spans="1:50" ht="15.75" customHeight="1" thickBot="1" x14ac:dyDescent="0.35">
      <c r="A1045" s="262"/>
      <c r="B1045" s="394" t="s">
        <v>708</v>
      </c>
      <c r="C1045" s="394"/>
      <c r="D1045" s="394"/>
      <c r="E1045" s="394"/>
      <c r="F1045" s="394"/>
      <c r="G1045" s="394"/>
      <c r="H1045" s="394"/>
      <c r="I1045" s="394"/>
      <c r="J1045" s="394"/>
      <c r="K1045" s="394"/>
      <c r="L1045" s="394"/>
      <c r="M1045" s="394"/>
      <c r="N1045" s="394"/>
      <c r="O1045" s="394"/>
      <c r="P1045" s="394"/>
      <c r="Q1045" s="180"/>
      <c r="R1045" s="180"/>
      <c r="S1045" s="304"/>
      <c r="V1045" s="4" t="s">
        <v>783</v>
      </c>
      <c r="AC1045" s="4" t="s">
        <v>784</v>
      </c>
      <c r="AD1045" s="263" t="s">
        <v>785</v>
      </c>
      <c r="AE1045" s="4">
        <f>DAY(DATE($A$5,MONTH(CONCATENATE(1,"-",AD1045,"-",$A$5))+1,1)-1)</f>
        <v>28</v>
      </c>
      <c r="AI1045" s="264"/>
      <c r="AJ1045" s="264"/>
    </row>
    <row r="1046" spans="1:50" ht="15.75" customHeight="1" x14ac:dyDescent="0.3">
      <c r="A1046" s="262"/>
      <c r="B1046" s="439" t="s">
        <v>786</v>
      </c>
      <c r="C1046" s="440"/>
      <c r="D1046" s="441"/>
      <c r="E1046" s="182"/>
      <c r="F1046" s="182"/>
      <c r="G1046" s="182"/>
      <c r="H1046" s="182"/>
      <c r="I1046" s="182"/>
      <c r="J1046" s="182"/>
      <c r="K1046" s="182"/>
      <c r="L1046" s="182"/>
      <c r="M1046" s="182"/>
      <c r="N1046" s="182"/>
      <c r="O1046" s="182"/>
      <c r="P1046" s="182"/>
      <c r="Q1046" s="180"/>
      <c r="R1046" s="180"/>
      <c r="S1046" s="265"/>
      <c r="T1046" s="444" t="s">
        <v>787</v>
      </c>
      <c r="U1046" s="445"/>
      <c r="V1046" s="445" t="s">
        <v>788</v>
      </c>
      <c r="W1046" s="445"/>
      <c r="X1046" s="266" t="s">
        <v>640</v>
      </c>
      <c r="Y1046" s="266" t="s">
        <v>789</v>
      </c>
      <c r="Z1046" s="266" t="s">
        <v>790</v>
      </c>
    </row>
    <row r="1047" spans="1:50" ht="15.75" customHeight="1" thickBot="1" x14ac:dyDescent="0.35">
      <c r="A1047" s="191" t="s">
        <v>768</v>
      </c>
      <c r="B1047" s="267" t="s">
        <v>791</v>
      </c>
      <c r="C1047" s="268" t="s">
        <v>792</v>
      </c>
      <c r="D1047" s="269" t="s">
        <v>793</v>
      </c>
      <c r="E1047" s="268" t="s">
        <v>678</v>
      </c>
      <c r="F1047" s="268" t="s">
        <v>679</v>
      </c>
      <c r="G1047" s="268" t="s">
        <v>680</v>
      </c>
      <c r="H1047" s="268" t="s">
        <v>794</v>
      </c>
      <c r="I1047" s="268" t="s">
        <v>795</v>
      </c>
      <c r="J1047" s="268" t="s">
        <v>681</v>
      </c>
      <c r="K1047" s="268" t="s">
        <v>682</v>
      </c>
      <c r="L1047" s="268" t="s">
        <v>683</v>
      </c>
      <c r="M1047" s="268" t="s">
        <v>684</v>
      </c>
      <c r="N1047" s="268" t="s">
        <v>685</v>
      </c>
      <c r="O1047" s="268" t="s">
        <v>686</v>
      </c>
      <c r="P1047" s="268" t="s">
        <v>687</v>
      </c>
      <c r="Q1047" s="268" t="s">
        <v>688</v>
      </c>
      <c r="R1047" s="268" t="s">
        <v>689</v>
      </c>
      <c r="S1047" s="269" t="s">
        <v>638</v>
      </c>
      <c r="T1047" s="268" t="s">
        <v>796</v>
      </c>
      <c r="U1047" s="268" t="s">
        <v>792</v>
      </c>
      <c r="V1047" s="268" t="s">
        <v>797</v>
      </c>
      <c r="W1047" s="268" t="s">
        <v>792</v>
      </c>
      <c r="X1047" s="268" t="s">
        <v>127</v>
      </c>
      <c r="Y1047" s="268" t="s">
        <v>798</v>
      </c>
      <c r="Z1047" s="268" t="s">
        <v>799</v>
      </c>
      <c r="AD1047" s="191" t="s">
        <v>677</v>
      </c>
      <c r="AE1047" s="191" t="s">
        <v>678</v>
      </c>
      <c r="AF1047" s="191" t="s">
        <v>679</v>
      </c>
      <c r="AG1047" s="191" t="s">
        <v>680</v>
      </c>
      <c r="AH1047" s="191" t="s">
        <v>644</v>
      </c>
      <c r="AI1047" s="191" t="s">
        <v>681</v>
      </c>
      <c r="AJ1047" s="191" t="s">
        <v>682</v>
      </c>
      <c r="AK1047" s="191" t="s">
        <v>683</v>
      </c>
      <c r="AL1047" s="191" t="s">
        <v>684</v>
      </c>
      <c r="AM1047" s="191" t="s">
        <v>685</v>
      </c>
      <c r="AN1047" s="191" t="s">
        <v>686</v>
      </c>
      <c r="AO1047" s="191" t="s">
        <v>687</v>
      </c>
      <c r="AP1047" s="191" t="s">
        <v>688</v>
      </c>
      <c r="AQ1047" s="191" t="s">
        <v>689</v>
      </c>
      <c r="AR1047" s="191" t="s">
        <v>638</v>
      </c>
      <c r="AS1047" s="191" t="s">
        <v>641</v>
      </c>
      <c r="AT1047" s="191" t="s">
        <v>800</v>
      </c>
      <c r="AU1047" s="191" t="s">
        <v>641</v>
      </c>
      <c r="AW1047" s="270" t="s">
        <v>801</v>
      </c>
      <c r="AX1047" s="270" t="s">
        <v>802</v>
      </c>
    </row>
    <row r="1048" spans="1:50" ht="15.75" customHeight="1" x14ac:dyDescent="0.3">
      <c r="A1048" s="211" t="s">
        <v>8</v>
      </c>
      <c r="B1048" s="211">
        <f>+F1075</f>
        <v>196</v>
      </c>
      <c r="C1048" s="192">
        <f t="shared" ref="B1048:C1059" si="409">+G1075</f>
        <v>0</v>
      </c>
      <c r="D1048" s="312" t="s">
        <v>803</v>
      </c>
      <c r="E1048" s="192">
        <f>+C968/$B$10/24</f>
        <v>14.69489247311828</v>
      </c>
      <c r="F1048" s="192">
        <f t="shared" ref="F1048:S1048" si="410">+D968/$B$10/24</f>
        <v>15.401881720430106</v>
      </c>
      <c r="G1048" s="192">
        <f t="shared" si="410"/>
        <v>26.099462365591396</v>
      </c>
      <c r="H1048" s="192">
        <f t="shared" si="410"/>
        <v>11.989179389805024</v>
      </c>
      <c r="I1048" s="192">
        <f t="shared" si="410"/>
        <v>-0.94487912455920309</v>
      </c>
      <c r="J1048" s="192">
        <f t="shared" si="410"/>
        <v>3.6021505376344085</v>
      </c>
      <c r="K1048" s="192">
        <f t="shared" si="410"/>
        <v>2.9502688172043015</v>
      </c>
      <c r="L1048" s="192">
        <f t="shared" si="410"/>
        <v>4.595430107526882</v>
      </c>
      <c r="M1048" s="192">
        <f t="shared" si="410"/>
        <v>4.7620967741935489</v>
      </c>
      <c r="N1048" s="192">
        <f t="shared" si="410"/>
        <v>1.6129032258064517</v>
      </c>
      <c r="O1048" s="192">
        <f t="shared" si="410"/>
        <v>1.8991935483870968</v>
      </c>
      <c r="P1048" s="192">
        <f t="shared" si="410"/>
        <v>3.9287634408602155</v>
      </c>
      <c r="Q1048" s="192">
        <f t="shared" si="410"/>
        <v>0.94892473118279563</v>
      </c>
      <c r="R1048" s="192">
        <f t="shared" si="410"/>
        <v>1.7150537634408602</v>
      </c>
      <c r="S1048" s="312">
        <f t="shared" si="410"/>
        <v>2.2473118279569895</v>
      </c>
      <c r="T1048" s="192">
        <f>+B1048+SUM(E1048:S1048)</f>
        <v>291.50263359857917</v>
      </c>
      <c r="U1048" s="192">
        <f t="shared" ref="U1048:U1059" si="411">+C1048+SUM(E1048:S1048)</f>
        <v>95.502633598579166</v>
      </c>
      <c r="V1048" s="192">
        <f>+B1048+SUM(E1048:G1048)</f>
        <v>252.19623655913978</v>
      </c>
      <c r="W1048" s="192">
        <f>+C1048+SUM(E1048:G1048)</f>
        <v>56.196236559139777</v>
      </c>
      <c r="X1048" s="192">
        <f>+H1048</f>
        <v>11.989179389805024</v>
      </c>
      <c r="Y1048" s="192">
        <f>+I1048</f>
        <v>-0.94487912455920309</v>
      </c>
      <c r="Z1048" s="192">
        <f>+SUM(J1048:S1048)</f>
        <v>28.262096774193548</v>
      </c>
      <c r="AC1048" s="4">
        <v>1</v>
      </c>
      <c r="AD1048" s="192">
        <f>IF($AF$1045=1,VLOOKUP($AD$1045,$A$1075:$P$1086,12,FALSE),VLOOKUP($AD$1045,$A$1048:$S$1059,2,FALSE))</f>
        <v>98</v>
      </c>
      <c r="AE1048" s="192">
        <f>VLOOKUP($AD$1045,$A$1048:$S$1059,5,FALSE)</f>
        <v>19.425595238095237</v>
      </c>
      <c r="AF1048" s="192">
        <f>VLOOKUP($AD$1045,$A$1048:$S$1059,6,FALSE)</f>
        <v>20.352678571428573</v>
      </c>
      <c r="AG1048" s="192">
        <f>VLOOKUP($AD$1045,$A$1048:$S$1059,7,FALSE)</f>
        <v>34.407738095238095</v>
      </c>
      <c r="AH1048" s="192">
        <f>VLOOKUP($AD$1045,$A$1048:$S$1059,8,FALSE)</f>
        <v>16.448580262084075</v>
      </c>
      <c r="AI1048" s="192">
        <f>VLOOKUP($AD$1045,$A$1048:$S$1059,10,FALSE)</f>
        <v>6.1086309523809526</v>
      </c>
      <c r="AJ1048" s="192">
        <f>VLOOKUP($AD$1045,$A$1048:$S$1059,11,FALSE)</f>
        <v>5.2723214285714288</v>
      </c>
      <c r="AK1048" s="192">
        <f>VLOOKUP($AD$1045,$A$1048:$S$1059,12,FALSE)</f>
        <v>8.1934523809523814</v>
      </c>
      <c r="AL1048" s="192">
        <f>VLOOKUP($AD$1045,$A$1048:$S$1059,13,FALSE)</f>
        <v>8.2485119047619051</v>
      </c>
      <c r="AM1048" s="192">
        <f>VLOOKUP($AD$1045,$A$1048:$S$1059,14,FALSE)</f>
        <v>2.4895833333333335</v>
      </c>
      <c r="AN1048" s="192">
        <f>VLOOKUP($AD$1045,$A$1048:$S$1059,15,FALSE)</f>
        <v>2.9345238095238098</v>
      </c>
      <c r="AO1048" s="192">
        <f>VLOOKUP($AD$1045,$A$1048:$S$1059,16,FALSE)</f>
        <v>5.8869047619047619</v>
      </c>
      <c r="AP1048" s="192">
        <f>VLOOKUP($AD$1045,$A$1048:$S$1059,17,FALSE)</f>
        <v>1.1502976190476191</v>
      </c>
      <c r="AQ1048" s="192">
        <f>VLOOKUP($AD$1045,$A$1048:$S$1059,18,FALSE)</f>
        <v>1.5297619047619049</v>
      </c>
      <c r="AR1048" s="192">
        <f>VLOOKUP($AD$1045,$A$1048:$S$1059,19,FALSE)</f>
        <v>2.7247023809523809</v>
      </c>
      <c r="AS1048" s="192">
        <f>SUM(AD1048:AR1048)</f>
        <v>233.17328264303646</v>
      </c>
      <c r="AT1048" s="192">
        <f>VLOOKUP($AD$1045,$AC$968:$AS$979,17,FALSE)/$AE$1045*(AS1048/$AS$1072)</f>
        <v>16.662847355546393</v>
      </c>
      <c r="AU1048" s="192">
        <f>AS1048+AT1048</f>
        <v>249.83612999858286</v>
      </c>
      <c r="AW1048" s="192">
        <f>VLOOKUP($AD$1045,$A$996:$O$1009,15,FALSE)/$AE$1045/24</f>
        <v>279.80161997165106</v>
      </c>
      <c r="AX1048" s="192">
        <f>AU1048-AW1048</f>
        <v>-29.965489973068202</v>
      </c>
    </row>
    <row r="1049" spans="1:50" ht="15.75" customHeight="1" x14ac:dyDescent="0.3">
      <c r="A1049" s="211" t="s">
        <v>9</v>
      </c>
      <c r="B1049" s="211">
        <f t="shared" si="409"/>
        <v>98</v>
      </c>
      <c r="C1049" s="192">
        <f t="shared" si="409"/>
        <v>0</v>
      </c>
      <c r="D1049" s="312" t="s">
        <v>803</v>
      </c>
      <c r="E1049" s="192">
        <f t="shared" ref="E1049:S1049" si="412">+C969/$C$10/24</f>
        <v>19.425595238095237</v>
      </c>
      <c r="F1049" s="192">
        <f t="shared" si="412"/>
        <v>20.352678571428573</v>
      </c>
      <c r="G1049" s="192">
        <f t="shared" si="412"/>
        <v>34.407738095238095</v>
      </c>
      <c r="H1049" s="192">
        <f t="shared" si="412"/>
        <v>16.448580262084075</v>
      </c>
      <c r="I1049" s="192">
        <f t="shared" si="412"/>
        <v>-3.327844314063229</v>
      </c>
      <c r="J1049" s="192">
        <f t="shared" si="412"/>
        <v>6.1086309523809526</v>
      </c>
      <c r="K1049" s="192">
        <f t="shared" si="412"/>
        <v>5.2723214285714288</v>
      </c>
      <c r="L1049" s="192">
        <f t="shared" si="412"/>
        <v>8.1934523809523814</v>
      </c>
      <c r="M1049" s="192">
        <f t="shared" si="412"/>
        <v>8.2485119047619051</v>
      </c>
      <c r="N1049" s="192">
        <f t="shared" si="412"/>
        <v>2.4895833333333335</v>
      </c>
      <c r="O1049" s="192">
        <f t="shared" si="412"/>
        <v>2.9345238095238098</v>
      </c>
      <c r="P1049" s="192">
        <f t="shared" si="412"/>
        <v>5.8869047619047619</v>
      </c>
      <c r="Q1049" s="192">
        <f t="shared" si="412"/>
        <v>1.1502976190476191</v>
      </c>
      <c r="R1049" s="192">
        <f t="shared" si="412"/>
        <v>1.5297619047619049</v>
      </c>
      <c r="S1049" s="312">
        <f t="shared" si="412"/>
        <v>2.7247023809523809</v>
      </c>
      <c r="T1049" s="192">
        <f t="shared" ref="T1049:T1059" si="413">+B1049+SUM(E1049:S1049)</f>
        <v>229.84543832897322</v>
      </c>
      <c r="U1049" s="192">
        <f t="shared" si="411"/>
        <v>131.84543832897322</v>
      </c>
      <c r="V1049" s="192">
        <f t="shared" ref="V1049:V1059" si="414">+B1049+SUM(E1049:G1049)</f>
        <v>172.1860119047619</v>
      </c>
      <c r="W1049" s="192">
        <f t="shared" ref="W1049:W1059" si="415">+C1049+SUM(E1049:G1049)</f>
        <v>74.186011904761898</v>
      </c>
      <c r="X1049" s="192">
        <f t="shared" ref="X1049:Y1059" si="416">+H1049</f>
        <v>16.448580262084075</v>
      </c>
      <c r="Y1049" s="192">
        <f t="shared" si="416"/>
        <v>-3.327844314063229</v>
      </c>
      <c r="Z1049" s="192">
        <f t="shared" ref="Z1049:Z1059" si="417">+SUM(J1049:S1049)</f>
        <v>44.538690476190474</v>
      </c>
      <c r="AC1049" s="4">
        <v>2</v>
      </c>
      <c r="AD1049" s="192">
        <f t="shared" ref="AD1049:AD1053" si="418">IF($AF$1045=1,VLOOKUP($AD$1045,$A$1075:$P$1086,12,FALSE),VLOOKUP($AD$1045,$A$1048:$S$1059,2,FALSE))</f>
        <v>98</v>
      </c>
      <c r="AE1049" s="192">
        <f t="shared" ref="AE1049:AE1071" si="419">VLOOKUP($AD$1045,$A$1048:$S$1059,5,FALSE)</f>
        <v>19.425595238095237</v>
      </c>
      <c r="AF1049" s="192">
        <f t="shared" ref="AF1049:AF1071" si="420">VLOOKUP($AD$1045,$A$1048:$S$1059,6,FALSE)</f>
        <v>20.352678571428573</v>
      </c>
      <c r="AG1049" s="192">
        <f t="shared" ref="AG1049:AG1071" si="421">VLOOKUP($AD$1045,$A$1048:$S$1059,7,FALSE)</f>
        <v>34.407738095238095</v>
      </c>
      <c r="AH1049" s="192">
        <f t="shared" ref="AH1049:AH1071" si="422">VLOOKUP($AD$1045,$A$1048:$S$1059,8,FALSE)</f>
        <v>16.448580262084075</v>
      </c>
      <c r="AI1049" s="192">
        <f t="shared" ref="AI1049:AI1071" si="423">VLOOKUP($AD$1045,$A$1048:$S$1059,10,FALSE)</f>
        <v>6.1086309523809526</v>
      </c>
      <c r="AJ1049" s="192">
        <f t="shared" ref="AJ1049:AJ1071" si="424">VLOOKUP($AD$1045,$A$1048:$S$1059,11,FALSE)</f>
        <v>5.2723214285714288</v>
      </c>
      <c r="AK1049" s="192">
        <f t="shared" ref="AK1049:AK1071" si="425">VLOOKUP($AD$1045,$A$1048:$S$1059,12,FALSE)</f>
        <v>8.1934523809523814</v>
      </c>
      <c r="AL1049" s="192">
        <f t="shared" ref="AL1049:AL1071" si="426">VLOOKUP($AD$1045,$A$1048:$S$1059,13,FALSE)</f>
        <v>8.2485119047619051</v>
      </c>
      <c r="AM1049" s="192">
        <f t="shared" ref="AM1049:AM1071" si="427">VLOOKUP($AD$1045,$A$1048:$S$1059,14,FALSE)</f>
        <v>2.4895833333333335</v>
      </c>
      <c r="AN1049" s="192">
        <f t="shared" ref="AN1049:AN1071" si="428">VLOOKUP($AD$1045,$A$1048:$S$1059,15,FALSE)</f>
        <v>2.9345238095238098</v>
      </c>
      <c r="AO1049" s="192">
        <f t="shared" ref="AO1049:AO1071" si="429">VLOOKUP($AD$1045,$A$1048:$S$1059,16,FALSE)</f>
        <v>5.8869047619047619</v>
      </c>
      <c r="AP1049" s="192">
        <f t="shared" ref="AP1049:AP1071" si="430">VLOOKUP($AD$1045,$A$1048:$S$1059,17,FALSE)</f>
        <v>1.1502976190476191</v>
      </c>
      <c r="AQ1049" s="192">
        <f t="shared" ref="AQ1049:AQ1071" si="431">VLOOKUP($AD$1045,$A$1048:$S$1059,18,FALSE)</f>
        <v>1.5297619047619049</v>
      </c>
      <c r="AR1049" s="192">
        <f t="shared" ref="AR1049:AR1071" si="432">VLOOKUP($AD$1045,$A$1048:$S$1059,19,FALSE)</f>
        <v>2.7247023809523809</v>
      </c>
      <c r="AS1049" s="192">
        <f t="shared" ref="AS1049:AS1071" si="433">SUM(AD1049:AR1049)</f>
        <v>233.17328264303646</v>
      </c>
      <c r="AT1049" s="192">
        <f t="shared" ref="AT1049:AT1071" si="434">VLOOKUP($AD$1045,$AC$968:$AS$979,17,FALSE)/$AE$1045*(AS1049/$AS$1072)</f>
        <v>16.662847355546393</v>
      </c>
      <c r="AU1049" s="192">
        <f t="shared" ref="AU1049:AU1071" si="435">AS1049+AT1049</f>
        <v>249.83612999858286</v>
      </c>
      <c r="AW1049" s="192">
        <f t="shared" ref="AW1049:AW1071" si="436">VLOOKUP($AD$1045,$A$996:$O$1009,15,FALSE)/$AE$1045/24</f>
        <v>279.80161997165106</v>
      </c>
      <c r="AX1049" s="192">
        <f t="shared" ref="AX1049:AX1071" si="437">AU1049-AW1049</f>
        <v>-29.965489973068202</v>
      </c>
    </row>
    <row r="1050" spans="1:50" ht="15.75" customHeight="1" x14ac:dyDescent="0.3">
      <c r="A1050" s="211" t="s">
        <v>10</v>
      </c>
      <c r="B1050" s="211">
        <f t="shared" si="409"/>
        <v>294</v>
      </c>
      <c r="C1050" s="192">
        <f t="shared" si="409"/>
        <v>0</v>
      </c>
      <c r="D1050" s="312" t="s">
        <v>803</v>
      </c>
      <c r="E1050" s="192">
        <f t="shared" ref="E1050:S1050" si="438">+C970/$D$10/24</f>
        <v>22.517473118279568</v>
      </c>
      <c r="F1050" s="192">
        <f t="shared" si="438"/>
        <v>23.58064516129032</v>
      </c>
      <c r="G1050" s="192">
        <f t="shared" si="438"/>
        <v>39.384408602150536</v>
      </c>
      <c r="H1050" s="192">
        <f t="shared" si="438"/>
        <v>13.652098288951628</v>
      </c>
      <c r="I1050" s="192">
        <f t="shared" si="438"/>
        <v>-4.0497210540389421</v>
      </c>
      <c r="J1050" s="192">
        <f t="shared" si="438"/>
        <v>10.540322580645162</v>
      </c>
      <c r="K1050" s="192">
        <f t="shared" si="438"/>
        <v>7.274193548387097</v>
      </c>
      <c r="L1050" s="192">
        <f t="shared" si="438"/>
        <v>9.6666666666666661</v>
      </c>
      <c r="M1050" s="192">
        <f t="shared" si="438"/>
        <v>9.336021505376344</v>
      </c>
      <c r="N1050" s="192">
        <f t="shared" si="438"/>
        <v>2.6626344086021505</v>
      </c>
      <c r="O1050" s="192">
        <f t="shared" si="438"/>
        <v>3.1370967741935485</v>
      </c>
      <c r="P1050" s="192">
        <f t="shared" si="438"/>
        <v>6.3266129032258069</v>
      </c>
      <c r="Q1050" s="192">
        <f t="shared" si="438"/>
        <v>0.70967741935483863</v>
      </c>
      <c r="R1050" s="192">
        <f t="shared" si="438"/>
        <v>1.7271505376344087</v>
      </c>
      <c r="S1050" s="312">
        <f t="shared" si="438"/>
        <v>1.6599462365591398</v>
      </c>
      <c r="T1050" s="192">
        <f t="shared" si="413"/>
        <v>442.12522669727826</v>
      </c>
      <c r="U1050" s="192">
        <f t="shared" si="411"/>
        <v>148.12522669727826</v>
      </c>
      <c r="V1050" s="192">
        <f t="shared" si="414"/>
        <v>379.48252688172045</v>
      </c>
      <c r="W1050" s="192">
        <f t="shared" si="415"/>
        <v>85.482526881720418</v>
      </c>
      <c r="X1050" s="192">
        <f t="shared" si="416"/>
        <v>13.652098288951628</v>
      </c>
      <c r="Y1050" s="192">
        <f t="shared" si="416"/>
        <v>-4.0497210540389421</v>
      </c>
      <c r="Z1050" s="192">
        <f t="shared" si="417"/>
        <v>53.040322580645167</v>
      </c>
      <c r="AC1050" s="4">
        <v>3</v>
      </c>
      <c r="AD1050" s="192">
        <f t="shared" si="418"/>
        <v>98</v>
      </c>
      <c r="AE1050" s="192">
        <f t="shared" si="419"/>
        <v>19.425595238095237</v>
      </c>
      <c r="AF1050" s="192">
        <f t="shared" si="420"/>
        <v>20.352678571428573</v>
      </c>
      <c r="AG1050" s="192">
        <f t="shared" si="421"/>
        <v>34.407738095238095</v>
      </c>
      <c r="AH1050" s="192">
        <f t="shared" si="422"/>
        <v>16.448580262084075</v>
      </c>
      <c r="AI1050" s="192">
        <f t="shared" si="423"/>
        <v>6.1086309523809526</v>
      </c>
      <c r="AJ1050" s="192">
        <f t="shared" si="424"/>
        <v>5.2723214285714288</v>
      </c>
      <c r="AK1050" s="192">
        <f t="shared" si="425"/>
        <v>8.1934523809523814</v>
      </c>
      <c r="AL1050" s="192">
        <f t="shared" si="426"/>
        <v>8.2485119047619051</v>
      </c>
      <c r="AM1050" s="192">
        <f t="shared" si="427"/>
        <v>2.4895833333333335</v>
      </c>
      <c r="AN1050" s="192">
        <f t="shared" si="428"/>
        <v>2.9345238095238098</v>
      </c>
      <c r="AO1050" s="192">
        <f t="shared" si="429"/>
        <v>5.8869047619047619</v>
      </c>
      <c r="AP1050" s="192">
        <f t="shared" si="430"/>
        <v>1.1502976190476191</v>
      </c>
      <c r="AQ1050" s="192">
        <f t="shared" si="431"/>
        <v>1.5297619047619049</v>
      </c>
      <c r="AR1050" s="192">
        <f t="shared" si="432"/>
        <v>2.7247023809523809</v>
      </c>
      <c r="AS1050" s="192">
        <f t="shared" si="433"/>
        <v>233.17328264303646</v>
      </c>
      <c r="AT1050" s="192">
        <f t="shared" si="434"/>
        <v>16.662847355546393</v>
      </c>
      <c r="AU1050" s="192">
        <f t="shared" si="435"/>
        <v>249.83612999858286</v>
      </c>
      <c r="AW1050" s="192">
        <f t="shared" si="436"/>
        <v>279.80161997165106</v>
      </c>
      <c r="AX1050" s="192">
        <f t="shared" si="437"/>
        <v>-29.965489973068202</v>
      </c>
    </row>
    <row r="1051" spans="1:50" ht="15.75" customHeight="1" x14ac:dyDescent="0.3">
      <c r="A1051" s="211" t="s">
        <v>12</v>
      </c>
      <c r="B1051" s="211">
        <f t="shared" si="409"/>
        <v>294</v>
      </c>
      <c r="C1051" s="192">
        <f t="shared" si="409"/>
        <v>0</v>
      </c>
      <c r="D1051" s="312" t="s">
        <v>803</v>
      </c>
      <c r="E1051" s="192">
        <f t="shared" ref="E1051:S1051" si="439">+C971/$F$10/24</f>
        <v>28.515277777777779</v>
      </c>
      <c r="F1051" s="192">
        <f t="shared" si="439"/>
        <v>29.855555555555554</v>
      </c>
      <c r="G1051" s="192">
        <f t="shared" si="439"/>
        <v>49.355555555555554</v>
      </c>
      <c r="H1051" s="192">
        <f t="shared" si="439"/>
        <v>3.1383375835475373</v>
      </c>
      <c r="I1051" s="192">
        <f t="shared" si="439"/>
        <v>-1.4505912194396473</v>
      </c>
      <c r="J1051" s="192">
        <f t="shared" si="439"/>
        <v>15.759722222222223</v>
      </c>
      <c r="K1051" s="192">
        <f t="shared" si="439"/>
        <v>10.247222222222222</v>
      </c>
      <c r="L1051" s="192">
        <f t="shared" si="439"/>
        <v>12.109722222222222</v>
      </c>
      <c r="M1051" s="192">
        <f t="shared" si="439"/>
        <v>10.494444444444445</v>
      </c>
      <c r="N1051" s="192">
        <f t="shared" si="439"/>
        <v>3.1583333333333332</v>
      </c>
      <c r="O1051" s="192">
        <f t="shared" si="439"/>
        <v>3.7208333333333332</v>
      </c>
      <c r="P1051" s="192">
        <f t="shared" si="439"/>
        <v>7.3875000000000002</v>
      </c>
      <c r="Q1051" s="192">
        <f t="shared" si="439"/>
        <v>1.0430555555555556</v>
      </c>
      <c r="R1051" s="192">
        <f t="shared" si="439"/>
        <v>2.1555555555555554</v>
      </c>
      <c r="S1051" s="312">
        <f t="shared" si="439"/>
        <v>2.463888888888889</v>
      </c>
      <c r="T1051" s="192">
        <f t="shared" si="413"/>
        <v>471.95441303077456</v>
      </c>
      <c r="U1051" s="192">
        <f t="shared" si="411"/>
        <v>177.95441303077456</v>
      </c>
      <c r="V1051" s="192">
        <f t="shared" si="414"/>
        <v>401.72638888888889</v>
      </c>
      <c r="W1051" s="192">
        <f t="shared" si="415"/>
        <v>107.72638888888889</v>
      </c>
      <c r="X1051" s="192">
        <f t="shared" si="416"/>
        <v>3.1383375835475373</v>
      </c>
      <c r="Y1051" s="192">
        <f t="shared" si="416"/>
        <v>-1.4505912194396473</v>
      </c>
      <c r="Z1051" s="192">
        <f t="shared" si="417"/>
        <v>68.540277777777774</v>
      </c>
      <c r="AC1051" s="4">
        <v>4</v>
      </c>
      <c r="AD1051" s="192">
        <f t="shared" si="418"/>
        <v>98</v>
      </c>
      <c r="AE1051" s="192">
        <f t="shared" si="419"/>
        <v>19.425595238095237</v>
      </c>
      <c r="AF1051" s="192">
        <f t="shared" si="420"/>
        <v>20.352678571428573</v>
      </c>
      <c r="AG1051" s="192">
        <f t="shared" si="421"/>
        <v>34.407738095238095</v>
      </c>
      <c r="AH1051" s="192">
        <f t="shared" si="422"/>
        <v>16.448580262084075</v>
      </c>
      <c r="AI1051" s="192">
        <f t="shared" si="423"/>
        <v>6.1086309523809526</v>
      </c>
      <c r="AJ1051" s="192">
        <f t="shared" si="424"/>
        <v>5.2723214285714288</v>
      </c>
      <c r="AK1051" s="192">
        <f t="shared" si="425"/>
        <v>8.1934523809523814</v>
      </c>
      <c r="AL1051" s="192">
        <f t="shared" si="426"/>
        <v>8.2485119047619051</v>
      </c>
      <c r="AM1051" s="192">
        <f t="shared" si="427"/>
        <v>2.4895833333333335</v>
      </c>
      <c r="AN1051" s="192">
        <f t="shared" si="428"/>
        <v>2.9345238095238098</v>
      </c>
      <c r="AO1051" s="192">
        <f t="shared" si="429"/>
        <v>5.8869047619047619</v>
      </c>
      <c r="AP1051" s="192">
        <f t="shared" si="430"/>
        <v>1.1502976190476191</v>
      </c>
      <c r="AQ1051" s="192">
        <f t="shared" si="431"/>
        <v>1.5297619047619049</v>
      </c>
      <c r="AR1051" s="192">
        <f t="shared" si="432"/>
        <v>2.7247023809523809</v>
      </c>
      <c r="AS1051" s="192">
        <f t="shared" si="433"/>
        <v>233.17328264303646</v>
      </c>
      <c r="AT1051" s="192">
        <f t="shared" si="434"/>
        <v>16.662847355546393</v>
      </c>
      <c r="AU1051" s="192">
        <f t="shared" si="435"/>
        <v>249.83612999858286</v>
      </c>
      <c r="AW1051" s="192">
        <f t="shared" si="436"/>
        <v>279.80161997165106</v>
      </c>
      <c r="AX1051" s="192">
        <f t="shared" si="437"/>
        <v>-29.965489973068202</v>
      </c>
    </row>
    <row r="1052" spans="1:50" ht="15.75" customHeight="1" x14ac:dyDescent="0.3">
      <c r="A1052" s="211" t="s">
        <v>13</v>
      </c>
      <c r="B1052" s="211">
        <f t="shared" si="409"/>
        <v>294</v>
      </c>
      <c r="C1052" s="192">
        <f t="shared" si="409"/>
        <v>0</v>
      </c>
      <c r="D1052" s="312" t="s">
        <v>803</v>
      </c>
      <c r="E1052" s="192">
        <f t="shared" ref="E1052:S1052" si="440">+C972/$G$10/24</f>
        <v>29.349462365591396</v>
      </c>
      <c r="F1052" s="192">
        <f t="shared" si="440"/>
        <v>30.723118279569892</v>
      </c>
      <c r="G1052" s="192">
        <f t="shared" si="440"/>
        <v>50.638440860215049</v>
      </c>
      <c r="H1052" s="192">
        <f t="shared" si="440"/>
        <v>1.1827884043524532</v>
      </c>
      <c r="I1052" s="192">
        <f t="shared" si="440"/>
        <v>-1.0127167351370636</v>
      </c>
      <c r="J1052" s="192">
        <f t="shared" si="440"/>
        <v>16.93010752688172</v>
      </c>
      <c r="K1052" s="192">
        <f t="shared" si="440"/>
        <v>9.0147849462365581</v>
      </c>
      <c r="L1052" s="192">
        <f t="shared" si="440"/>
        <v>10.830645161290322</v>
      </c>
      <c r="M1052" s="192">
        <f t="shared" si="440"/>
        <v>9.331989247311828</v>
      </c>
      <c r="N1052" s="192">
        <f t="shared" si="440"/>
        <v>3.0618279569892475</v>
      </c>
      <c r="O1052" s="192">
        <f t="shared" si="440"/>
        <v>3.6061827956989245</v>
      </c>
      <c r="P1052" s="192">
        <f t="shared" si="440"/>
        <v>7.123655913978495</v>
      </c>
      <c r="Q1052" s="192">
        <f t="shared" si="440"/>
        <v>1.2083333333333333</v>
      </c>
      <c r="R1052" s="192">
        <f t="shared" si="440"/>
        <v>2.6827956989247315</v>
      </c>
      <c r="S1052" s="312">
        <f t="shared" si="440"/>
        <v>2.8561827956989245</v>
      </c>
      <c r="T1052" s="192">
        <f t="shared" si="413"/>
        <v>471.52759855093581</v>
      </c>
      <c r="U1052" s="192">
        <f t="shared" si="411"/>
        <v>177.52759855093581</v>
      </c>
      <c r="V1052" s="192">
        <f t="shared" si="414"/>
        <v>404.71102150537632</v>
      </c>
      <c r="W1052" s="192">
        <f t="shared" si="415"/>
        <v>110.71102150537634</v>
      </c>
      <c r="X1052" s="192">
        <f t="shared" si="416"/>
        <v>1.1827884043524532</v>
      </c>
      <c r="Y1052" s="192">
        <f t="shared" si="416"/>
        <v>-1.0127167351370636</v>
      </c>
      <c r="Z1052" s="192">
        <f t="shared" si="417"/>
        <v>66.646505376344095</v>
      </c>
      <c r="AC1052" s="4">
        <v>5</v>
      </c>
      <c r="AD1052" s="192">
        <f t="shared" si="418"/>
        <v>98</v>
      </c>
      <c r="AE1052" s="192">
        <f t="shared" si="419"/>
        <v>19.425595238095237</v>
      </c>
      <c r="AF1052" s="192">
        <f t="shared" si="420"/>
        <v>20.352678571428573</v>
      </c>
      <c r="AG1052" s="192">
        <f t="shared" si="421"/>
        <v>34.407738095238095</v>
      </c>
      <c r="AH1052" s="192">
        <f t="shared" si="422"/>
        <v>16.448580262084075</v>
      </c>
      <c r="AI1052" s="192">
        <f t="shared" si="423"/>
        <v>6.1086309523809526</v>
      </c>
      <c r="AJ1052" s="192">
        <f t="shared" si="424"/>
        <v>5.2723214285714288</v>
      </c>
      <c r="AK1052" s="192">
        <f t="shared" si="425"/>
        <v>8.1934523809523814</v>
      </c>
      <c r="AL1052" s="192">
        <f t="shared" si="426"/>
        <v>8.2485119047619051</v>
      </c>
      <c r="AM1052" s="192">
        <f t="shared" si="427"/>
        <v>2.4895833333333335</v>
      </c>
      <c r="AN1052" s="192">
        <f t="shared" si="428"/>
        <v>2.9345238095238098</v>
      </c>
      <c r="AO1052" s="192">
        <f t="shared" si="429"/>
        <v>5.8869047619047619</v>
      </c>
      <c r="AP1052" s="192">
        <f t="shared" si="430"/>
        <v>1.1502976190476191</v>
      </c>
      <c r="AQ1052" s="192">
        <f t="shared" si="431"/>
        <v>1.5297619047619049</v>
      </c>
      <c r="AR1052" s="192">
        <f t="shared" si="432"/>
        <v>2.7247023809523809</v>
      </c>
      <c r="AS1052" s="192">
        <f t="shared" si="433"/>
        <v>233.17328264303646</v>
      </c>
      <c r="AT1052" s="192">
        <f t="shared" si="434"/>
        <v>16.662847355546393</v>
      </c>
      <c r="AU1052" s="192">
        <f t="shared" si="435"/>
        <v>249.83612999858286</v>
      </c>
      <c r="AW1052" s="192">
        <f t="shared" si="436"/>
        <v>279.80161997165106</v>
      </c>
      <c r="AX1052" s="192">
        <f t="shared" si="437"/>
        <v>-29.965489973068202</v>
      </c>
    </row>
    <row r="1053" spans="1:50" ht="15.75" customHeight="1" x14ac:dyDescent="0.3">
      <c r="A1053" s="211" t="s">
        <v>14</v>
      </c>
      <c r="B1053" s="211">
        <f t="shared" si="409"/>
        <v>147</v>
      </c>
      <c r="C1053" s="192">
        <f t="shared" si="409"/>
        <v>0</v>
      </c>
      <c r="D1053" s="312" t="str">
        <f>H1080</f>
        <v>n/a</v>
      </c>
      <c r="E1053" s="192">
        <f t="shared" ref="E1053:S1053" si="441">+C973/$H$10/24</f>
        <v>15.530555555555557</v>
      </c>
      <c r="F1053" s="192">
        <f t="shared" si="441"/>
        <v>16.224999999999998</v>
      </c>
      <c r="G1053" s="192">
        <f t="shared" si="441"/>
        <v>25.652777777777775</v>
      </c>
      <c r="H1053" s="192">
        <f t="shared" si="441"/>
        <v>0</v>
      </c>
      <c r="I1053" s="192">
        <f t="shared" si="441"/>
        <v>-20.071341999497623</v>
      </c>
      <c r="J1053" s="192">
        <f t="shared" si="441"/>
        <v>19.329166666666666</v>
      </c>
      <c r="K1053" s="192">
        <f t="shared" si="441"/>
        <v>9.9819444444444443</v>
      </c>
      <c r="L1053" s="192">
        <f t="shared" si="441"/>
        <v>10.070833333333333</v>
      </c>
      <c r="M1053" s="192">
        <f t="shared" si="441"/>
        <v>8.3111111111111118</v>
      </c>
      <c r="N1053" s="192">
        <f t="shared" si="441"/>
        <v>2.7305555555555556</v>
      </c>
      <c r="O1053" s="192">
        <f t="shared" si="441"/>
        <v>3.2152777777777781</v>
      </c>
      <c r="P1053" s="192">
        <f t="shared" si="441"/>
        <v>6.2111111111111112</v>
      </c>
      <c r="Q1053" s="192">
        <f t="shared" si="441"/>
        <v>1.0291666666666666</v>
      </c>
      <c r="R1053" s="192">
        <f t="shared" si="441"/>
        <v>2.7486111111111113</v>
      </c>
      <c r="S1053" s="312">
        <f t="shared" si="441"/>
        <v>2.4319444444444445</v>
      </c>
      <c r="T1053" s="192">
        <f t="shared" si="413"/>
        <v>250.39671355605793</v>
      </c>
      <c r="U1053" s="192">
        <f t="shared" si="411"/>
        <v>103.39671355605793</v>
      </c>
      <c r="V1053" s="192">
        <f t="shared" si="414"/>
        <v>204.40833333333333</v>
      </c>
      <c r="W1053" s="192">
        <f t="shared" si="415"/>
        <v>57.408333333333331</v>
      </c>
      <c r="X1053" s="192">
        <f t="shared" si="416"/>
        <v>0</v>
      </c>
      <c r="Y1053" s="192">
        <f t="shared" si="416"/>
        <v>-20.071341999497623</v>
      </c>
      <c r="Z1053" s="192">
        <f t="shared" si="417"/>
        <v>66.05972222222222</v>
      </c>
      <c r="AC1053" s="4">
        <v>6</v>
      </c>
      <c r="AD1053" s="192">
        <f t="shared" si="418"/>
        <v>98</v>
      </c>
      <c r="AE1053" s="192">
        <f t="shared" si="419"/>
        <v>19.425595238095237</v>
      </c>
      <c r="AF1053" s="192">
        <f t="shared" si="420"/>
        <v>20.352678571428573</v>
      </c>
      <c r="AG1053" s="192">
        <f t="shared" si="421"/>
        <v>34.407738095238095</v>
      </c>
      <c r="AH1053" s="192">
        <f t="shared" si="422"/>
        <v>16.448580262084075</v>
      </c>
      <c r="AI1053" s="192">
        <f t="shared" si="423"/>
        <v>6.1086309523809526</v>
      </c>
      <c r="AJ1053" s="192">
        <f t="shared" si="424"/>
        <v>5.2723214285714288</v>
      </c>
      <c r="AK1053" s="192">
        <f t="shared" si="425"/>
        <v>8.1934523809523814</v>
      </c>
      <c r="AL1053" s="192">
        <f t="shared" si="426"/>
        <v>8.2485119047619051</v>
      </c>
      <c r="AM1053" s="192">
        <f t="shared" si="427"/>
        <v>2.4895833333333335</v>
      </c>
      <c r="AN1053" s="192">
        <f t="shared" si="428"/>
        <v>2.9345238095238098</v>
      </c>
      <c r="AO1053" s="192">
        <f t="shared" si="429"/>
        <v>5.8869047619047619</v>
      </c>
      <c r="AP1053" s="192">
        <f t="shared" si="430"/>
        <v>1.1502976190476191</v>
      </c>
      <c r="AQ1053" s="192">
        <f t="shared" si="431"/>
        <v>1.5297619047619049</v>
      </c>
      <c r="AR1053" s="192">
        <f t="shared" si="432"/>
        <v>2.7247023809523809</v>
      </c>
      <c r="AS1053" s="192">
        <f t="shared" si="433"/>
        <v>233.17328264303646</v>
      </c>
      <c r="AT1053" s="192">
        <f t="shared" si="434"/>
        <v>16.662847355546393</v>
      </c>
      <c r="AU1053" s="192">
        <f t="shared" si="435"/>
        <v>249.83612999858286</v>
      </c>
      <c r="AW1053" s="192">
        <f t="shared" si="436"/>
        <v>279.80161997165106</v>
      </c>
      <c r="AX1053" s="192">
        <f t="shared" si="437"/>
        <v>-29.965489973068202</v>
      </c>
    </row>
    <row r="1054" spans="1:50" ht="15.75" customHeight="1" x14ac:dyDescent="0.3">
      <c r="A1054" s="211" t="s">
        <v>16</v>
      </c>
      <c r="B1054" s="211">
        <f t="shared" si="409"/>
        <v>147</v>
      </c>
      <c r="C1054" s="192">
        <f t="shared" si="409"/>
        <v>0</v>
      </c>
      <c r="D1054" s="312" t="str">
        <f>H1081</f>
        <v>n/a</v>
      </c>
      <c r="E1054" s="192">
        <f t="shared" ref="E1054:S1054" si="442">+C974/$J$10/24</f>
        <v>12.83736559139785</v>
      </c>
      <c r="F1054" s="192">
        <f t="shared" si="442"/>
        <v>13.401881720430106</v>
      </c>
      <c r="G1054" s="192">
        <f t="shared" si="442"/>
        <v>20.896505376344084</v>
      </c>
      <c r="H1054" s="192">
        <f t="shared" si="442"/>
        <v>0</v>
      </c>
      <c r="I1054" s="192">
        <f t="shared" si="442"/>
        <v>-19.193317872210777</v>
      </c>
      <c r="J1054" s="192">
        <f t="shared" si="442"/>
        <v>18.99059139784946</v>
      </c>
      <c r="K1054" s="192">
        <f t="shared" si="442"/>
        <v>10.466397849462366</v>
      </c>
      <c r="L1054" s="192">
        <f t="shared" si="442"/>
        <v>10.119623655913978</v>
      </c>
      <c r="M1054" s="192">
        <f t="shared" si="442"/>
        <v>7.959677419354839</v>
      </c>
      <c r="N1054" s="192">
        <f t="shared" si="442"/>
        <v>2.4731182795698925</v>
      </c>
      <c r="O1054" s="192">
        <f t="shared" si="442"/>
        <v>2.9126344086021505</v>
      </c>
      <c r="P1054" s="192">
        <f t="shared" si="442"/>
        <v>5.6465053763440869</v>
      </c>
      <c r="Q1054" s="192">
        <f t="shared" si="442"/>
        <v>0.86559139784946237</v>
      </c>
      <c r="R1054" s="192">
        <f t="shared" si="442"/>
        <v>2.3884408602150535</v>
      </c>
      <c r="S1054" s="312">
        <f t="shared" si="442"/>
        <v>2.0470430107526885</v>
      </c>
      <c r="T1054" s="192">
        <f t="shared" si="413"/>
        <v>238.81205847187522</v>
      </c>
      <c r="U1054" s="192">
        <f t="shared" si="411"/>
        <v>91.812058471875218</v>
      </c>
      <c r="V1054" s="192">
        <f t="shared" si="414"/>
        <v>194.13575268817203</v>
      </c>
      <c r="W1054" s="192">
        <f t="shared" si="415"/>
        <v>47.13575268817204</v>
      </c>
      <c r="X1054" s="192">
        <f t="shared" si="416"/>
        <v>0</v>
      </c>
      <c r="Y1054" s="192">
        <f t="shared" si="416"/>
        <v>-19.193317872210777</v>
      </c>
      <c r="Z1054" s="192">
        <f t="shared" si="417"/>
        <v>63.869623655913983</v>
      </c>
      <c r="AC1054" s="4">
        <v>7</v>
      </c>
      <c r="AD1054" s="192">
        <f>IF($AF$1045=1,VLOOKUP($AD$1045,$A$1075:$P$1086,12,FALSE),IF(OR($AD$1045="JAN",$AD$1045="FEB",$AD$1045="NOV",$AD$1045="DEC"),VLOOKUP($AD$1045,$A$1048:$S$1059,2,FALSE),VLOOKUP($AD$1045,$A$1048:$S$1059,3,FALSE)))</f>
        <v>98</v>
      </c>
      <c r="AE1054" s="192">
        <f t="shared" si="419"/>
        <v>19.425595238095237</v>
      </c>
      <c r="AF1054" s="192">
        <f t="shared" si="420"/>
        <v>20.352678571428573</v>
      </c>
      <c r="AG1054" s="192">
        <f t="shared" si="421"/>
        <v>34.407738095238095</v>
      </c>
      <c r="AH1054" s="192">
        <f t="shared" si="422"/>
        <v>16.448580262084075</v>
      </c>
      <c r="AI1054" s="192">
        <f t="shared" si="423"/>
        <v>6.1086309523809526</v>
      </c>
      <c r="AJ1054" s="192">
        <f t="shared" si="424"/>
        <v>5.2723214285714288</v>
      </c>
      <c r="AK1054" s="192">
        <f t="shared" si="425"/>
        <v>8.1934523809523814</v>
      </c>
      <c r="AL1054" s="192">
        <f t="shared" si="426"/>
        <v>8.2485119047619051</v>
      </c>
      <c r="AM1054" s="192">
        <f t="shared" si="427"/>
        <v>2.4895833333333335</v>
      </c>
      <c r="AN1054" s="192">
        <f t="shared" si="428"/>
        <v>2.9345238095238098</v>
      </c>
      <c r="AO1054" s="192">
        <f t="shared" si="429"/>
        <v>5.8869047619047619</v>
      </c>
      <c r="AP1054" s="192">
        <f t="shared" si="430"/>
        <v>1.1502976190476191</v>
      </c>
      <c r="AQ1054" s="192">
        <f t="shared" si="431"/>
        <v>1.5297619047619049</v>
      </c>
      <c r="AR1054" s="192">
        <f t="shared" si="432"/>
        <v>2.7247023809523809</v>
      </c>
      <c r="AS1054" s="192">
        <f t="shared" si="433"/>
        <v>233.17328264303646</v>
      </c>
      <c r="AT1054" s="192">
        <f t="shared" si="434"/>
        <v>16.662847355546393</v>
      </c>
      <c r="AU1054" s="192">
        <f t="shared" si="435"/>
        <v>249.83612999858286</v>
      </c>
      <c r="AW1054" s="192">
        <f t="shared" si="436"/>
        <v>279.80161997165106</v>
      </c>
      <c r="AX1054" s="192">
        <f t="shared" si="437"/>
        <v>-29.965489973068202</v>
      </c>
    </row>
    <row r="1055" spans="1:50" ht="15.75" customHeight="1" x14ac:dyDescent="0.3">
      <c r="A1055" s="211" t="s">
        <v>17</v>
      </c>
      <c r="B1055" s="211">
        <f t="shared" si="409"/>
        <v>147</v>
      </c>
      <c r="C1055" s="192">
        <f t="shared" si="409"/>
        <v>0</v>
      </c>
      <c r="D1055" s="312" t="str">
        <f>H1082</f>
        <v>n/a</v>
      </c>
      <c r="E1055" s="192">
        <f t="shared" ref="E1055:S1055" si="443">+C975/$K$10/24</f>
        <v>4.595430107526882</v>
      </c>
      <c r="F1055" s="192">
        <f t="shared" si="443"/>
        <v>4.76747311827957</v>
      </c>
      <c r="G1055" s="192">
        <f t="shared" si="443"/>
        <v>6.036290322580645</v>
      </c>
      <c r="H1055" s="192">
        <f t="shared" si="443"/>
        <v>0</v>
      </c>
      <c r="I1055" s="192">
        <f t="shared" si="443"/>
        <v>-22.245169094778888</v>
      </c>
      <c r="J1055" s="192">
        <f t="shared" si="443"/>
        <v>16.141129032258064</v>
      </c>
      <c r="K1055" s="192">
        <f t="shared" si="443"/>
        <v>10.526881720430108</v>
      </c>
      <c r="L1055" s="192">
        <f t="shared" si="443"/>
        <v>10.923387096774194</v>
      </c>
      <c r="M1055" s="192">
        <f t="shared" si="443"/>
        <v>9.836021505376344</v>
      </c>
      <c r="N1055" s="192">
        <f t="shared" si="443"/>
        <v>3.0403225806451615</v>
      </c>
      <c r="O1055" s="192">
        <f t="shared" si="443"/>
        <v>3.581989247311828</v>
      </c>
      <c r="P1055" s="192">
        <f t="shared" si="443"/>
        <v>6.737903225806452</v>
      </c>
      <c r="Q1055" s="192">
        <f t="shared" si="443"/>
        <v>1.1559139784946237</v>
      </c>
      <c r="R1055" s="192">
        <f t="shared" si="443"/>
        <v>2.60752688172043</v>
      </c>
      <c r="S1055" s="312">
        <f t="shared" si="443"/>
        <v>2.7338709677419355</v>
      </c>
      <c r="T1055" s="192">
        <f t="shared" si="413"/>
        <v>207.43897069016737</v>
      </c>
      <c r="U1055" s="192">
        <f t="shared" si="411"/>
        <v>60.438970690167352</v>
      </c>
      <c r="V1055" s="192">
        <f t="shared" si="414"/>
        <v>162.3991935483871</v>
      </c>
      <c r="W1055" s="192">
        <f t="shared" si="415"/>
        <v>15.399193548387096</v>
      </c>
      <c r="X1055" s="192">
        <f t="shared" si="416"/>
        <v>0</v>
      </c>
      <c r="Y1055" s="192">
        <f t="shared" si="416"/>
        <v>-22.245169094778888</v>
      </c>
      <c r="Z1055" s="192">
        <f t="shared" si="417"/>
        <v>67.284946236559136</v>
      </c>
      <c r="AC1055" s="4">
        <v>8</v>
      </c>
      <c r="AD1055" s="192">
        <f>IF($AF$1045=1,VLOOKUP($AD$1045,$A$1075:$P$1086,12,FALSE),VLOOKUP($AD$1045,$A$1048:$S$1059,3,FALSE))</f>
        <v>0</v>
      </c>
      <c r="AE1055" s="192">
        <f t="shared" si="419"/>
        <v>19.425595238095237</v>
      </c>
      <c r="AF1055" s="192">
        <f t="shared" si="420"/>
        <v>20.352678571428573</v>
      </c>
      <c r="AG1055" s="192">
        <f t="shared" si="421"/>
        <v>34.407738095238095</v>
      </c>
      <c r="AH1055" s="192">
        <f t="shared" si="422"/>
        <v>16.448580262084075</v>
      </c>
      <c r="AI1055" s="192">
        <f t="shared" si="423"/>
        <v>6.1086309523809526</v>
      </c>
      <c r="AJ1055" s="192">
        <f t="shared" si="424"/>
        <v>5.2723214285714288</v>
      </c>
      <c r="AK1055" s="192">
        <f t="shared" si="425"/>
        <v>8.1934523809523814</v>
      </c>
      <c r="AL1055" s="192">
        <f t="shared" si="426"/>
        <v>8.2485119047619051</v>
      </c>
      <c r="AM1055" s="192">
        <f t="shared" si="427"/>
        <v>2.4895833333333335</v>
      </c>
      <c r="AN1055" s="192">
        <f t="shared" si="428"/>
        <v>2.9345238095238098</v>
      </c>
      <c r="AO1055" s="192">
        <f t="shared" si="429"/>
        <v>5.8869047619047619</v>
      </c>
      <c r="AP1055" s="192">
        <f t="shared" si="430"/>
        <v>1.1502976190476191</v>
      </c>
      <c r="AQ1055" s="192">
        <f t="shared" si="431"/>
        <v>1.5297619047619049</v>
      </c>
      <c r="AR1055" s="192">
        <f t="shared" si="432"/>
        <v>2.7247023809523809</v>
      </c>
      <c r="AS1055" s="192">
        <f t="shared" si="433"/>
        <v>135.17328264303643</v>
      </c>
      <c r="AT1055" s="192">
        <f t="shared" si="434"/>
        <v>9.6596477507982215</v>
      </c>
      <c r="AU1055" s="192">
        <f t="shared" si="435"/>
        <v>144.83293039383466</v>
      </c>
      <c r="AW1055" s="192">
        <f t="shared" si="436"/>
        <v>279.80161997165106</v>
      </c>
      <c r="AX1055" s="192">
        <f t="shared" si="437"/>
        <v>-134.96868957781641</v>
      </c>
    </row>
    <row r="1056" spans="1:50" ht="15.75" customHeight="1" x14ac:dyDescent="0.3">
      <c r="A1056" s="211" t="s">
        <v>18</v>
      </c>
      <c r="B1056" s="211">
        <f t="shared" si="409"/>
        <v>245</v>
      </c>
      <c r="C1056" s="192">
        <f t="shared" si="409"/>
        <v>0</v>
      </c>
      <c r="D1056" s="312" t="s">
        <v>803</v>
      </c>
      <c r="E1056" s="192">
        <f t="shared" ref="E1056:S1056" si="444">+C976/$L$10/24</f>
        <v>27.951388888888889</v>
      </c>
      <c r="F1056" s="192">
        <f t="shared" si="444"/>
        <v>29.272222222222222</v>
      </c>
      <c r="G1056" s="192">
        <f t="shared" si="444"/>
        <v>48.573611111111113</v>
      </c>
      <c r="H1056" s="192">
        <f t="shared" si="444"/>
        <v>4.3052579416601784</v>
      </c>
      <c r="I1056" s="192">
        <f t="shared" si="444"/>
        <v>-1.1410015071590049</v>
      </c>
      <c r="J1056" s="192">
        <f t="shared" si="444"/>
        <v>13.102777777777776</v>
      </c>
      <c r="K1056" s="192">
        <f t="shared" si="444"/>
        <v>7.9666666666666659</v>
      </c>
      <c r="L1056" s="192">
        <f t="shared" si="444"/>
        <v>9.6180555555555554</v>
      </c>
      <c r="M1056" s="192">
        <f t="shared" si="444"/>
        <v>8.6638888888888896</v>
      </c>
      <c r="N1056" s="192">
        <f t="shared" si="444"/>
        <v>2.6194444444444445</v>
      </c>
      <c r="O1056" s="192">
        <f t="shared" si="444"/>
        <v>3.0861111111111108</v>
      </c>
      <c r="P1056" s="192">
        <f t="shared" si="444"/>
        <v>5.8194444444444438</v>
      </c>
      <c r="Q1056" s="192">
        <f t="shared" si="444"/>
        <v>1.0777777777777777</v>
      </c>
      <c r="R1056" s="192">
        <f t="shared" si="444"/>
        <v>2.6361111111111111</v>
      </c>
      <c r="S1056" s="312">
        <f t="shared" si="444"/>
        <v>2.5500000000000003</v>
      </c>
      <c r="T1056" s="192">
        <f t="shared" si="413"/>
        <v>411.10175643450117</v>
      </c>
      <c r="U1056" s="192">
        <f t="shared" si="411"/>
        <v>166.10175643450117</v>
      </c>
      <c r="V1056" s="192">
        <f t="shared" si="414"/>
        <v>350.79722222222222</v>
      </c>
      <c r="W1056" s="192">
        <f t="shared" si="415"/>
        <v>105.79722222222222</v>
      </c>
      <c r="X1056" s="192">
        <f t="shared" si="416"/>
        <v>4.3052579416601784</v>
      </c>
      <c r="Y1056" s="192">
        <f t="shared" si="416"/>
        <v>-1.1410015071590049</v>
      </c>
      <c r="Z1056" s="192">
        <f t="shared" si="417"/>
        <v>57.140277777777776</v>
      </c>
      <c r="AC1056" s="4">
        <v>9</v>
      </c>
      <c r="AD1056" s="192">
        <f>IF($AF$1045=1,VLOOKUP($AD$1045,$A$1075:$P$1086,12,FALSE),VLOOKUP($AD$1045,$A$1048:$S$1059,3,FALSE))</f>
        <v>0</v>
      </c>
      <c r="AE1056" s="192">
        <f t="shared" si="419"/>
        <v>19.425595238095237</v>
      </c>
      <c r="AF1056" s="192">
        <f t="shared" si="420"/>
        <v>20.352678571428573</v>
      </c>
      <c r="AG1056" s="192">
        <f t="shared" si="421"/>
        <v>34.407738095238095</v>
      </c>
      <c r="AH1056" s="192">
        <f t="shared" si="422"/>
        <v>16.448580262084075</v>
      </c>
      <c r="AI1056" s="192">
        <f t="shared" si="423"/>
        <v>6.1086309523809526</v>
      </c>
      <c r="AJ1056" s="192">
        <f t="shared" si="424"/>
        <v>5.2723214285714288</v>
      </c>
      <c r="AK1056" s="192">
        <f t="shared" si="425"/>
        <v>8.1934523809523814</v>
      </c>
      <c r="AL1056" s="192">
        <f t="shared" si="426"/>
        <v>8.2485119047619051</v>
      </c>
      <c r="AM1056" s="192">
        <f t="shared" si="427"/>
        <v>2.4895833333333335</v>
      </c>
      <c r="AN1056" s="192">
        <f t="shared" si="428"/>
        <v>2.9345238095238098</v>
      </c>
      <c r="AO1056" s="192">
        <f t="shared" si="429"/>
        <v>5.8869047619047619</v>
      </c>
      <c r="AP1056" s="192">
        <f t="shared" si="430"/>
        <v>1.1502976190476191</v>
      </c>
      <c r="AQ1056" s="192">
        <f t="shared" si="431"/>
        <v>1.5297619047619049</v>
      </c>
      <c r="AR1056" s="192">
        <f t="shared" si="432"/>
        <v>2.7247023809523809</v>
      </c>
      <c r="AS1056" s="192">
        <f t="shared" si="433"/>
        <v>135.17328264303643</v>
      </c>
      <c r="AT1056" s="192">
        <f t="shared" si="434"/>
        <v>9.6596477507982215</v>
      </c>
      <c r="AU1056" s="192">
        <f t="shared" si="435"/>
        <v>144.83293039383466</v>
      </c>
      <c r="AW1056" s="192">
        <f t="shared" si="436"/>
        <v>279.80161997165106</v>
      </c>
      <c r="AX1056" s="192">
        <f t="shared" si="437"/>
        <v>-134.96868957781641</v>
      </c>
    </row>
    <row r="1057" spans="1:50" ht="15.75" customHeight="1" x14ac:dyDescent="0.3">
      <c r="A1057" s="211" t="s">
        <v>20</v>
      </c>
      <c r="B1057" s="211">
        <f t="shared" si="409"/>
        <v>245</v>
      </c>
      <c r="C1057" s="192">
        <f t="shared" si="409"/>
        <v>0</v>
      </c>
      <c r="D1057" s="312" t="s">
        <v>803</v>
      </c>
      <c r="E1057" s="192">
        <f t="shared" ref="E1057:S1057" si="445">+C977/$N$10/24</f>
        <v>28.681451612903228</v>
      </c>
      <c r="F1057" s="192">
        <f t="shared" si="445"/>
        <v>30.045698924731184</v>
      </c>
      <c r="G1057" s="192">
        <f t="shared" si="445"/>
        <v>51.107526881720425</v>
      </c>
      <c r="H1057" s="192">
        <f t="shared" si="445"/>
        <v>22.928397106742242</v>
      </c>
      <c r="I1057" s="192">
        <f t="shared" si="445"/>
        <v>0</v>
      </c>
      <c r="J1057" s="192">
        <f t="shared" si="445"/>
        <v>5.1586021505376349</v>
      </c>
      <c r="K1057" s="192">
        <f t="shared" si="445"/>
        <v>2.9032258064516125</v>
      </c>
      <c r="L1057" s="192">
        <f t="shared" si="445"/>
        <v>4.241935483870968</v>
      </c>
      <c r="M1057" s="192">
        <f t="shared" si="445"/>
        <v>4.345430107526882</v>
      </c>
      <c r="N1057" s="192">
        <f t="shared" si="445"/>
        <v>1.2096774193548387</v>
      </c>
      <c r="O1057" s="192">
        <f t="shared" si="445"/>
        <v>1.4233870967741937</v>
      </c>
      <c r="P1057" s="192">
        <f t="shared" si="445"/>
        <v>2.9758064516129035</v>
      </c>
      <c r="Q1057" s="192">
        <f t="shared" si="445"/>
        <v>0.81048387096774199</v>
      </c>
      <c r="R1057" s="192">
        <f t="shared" si="445"/>
        <v>1.639784946236559</v>
      </c>
      <c r="S1057" s="312">
        <f t="shared" si="445"/>
        <v>1.918010752688172</v>
      </c>
      <c r="T1057" s="192">
        <f t="shared" si="413"/>
        <v>404.38941861211856</v>
      </c>
      <c r="U1057" s="192">
        <f t="shared" si="411"/>
        <v>159.38941861211859</v>
      </c>
      <c r="V1057" s="192">
        <f t="shared" si="414"/>
        <v>354.83467741935488</v>
      </c>
      <c r="W1057" s="192">
        <f t="shared" si="415"/>
        <v>109.83467741935485</v>
      </c>
      <c r="X1057" s="192">
        <f t="shared" si="416"/>
        <v>22.928397106742242</v>
      </c>
      <c r="Y1057" s="192">
        <f t="shared" si="416"/>
        <v>0</v>
      </c>
      <c r="Z1057" s="192">
        <f t="shared" si="417"/>
        <v>26.626344086021508</v>
      </c>
      <c r="AC1057" s="4">
        <v>10</v>
      </c>
      <c r="AD1057" s="192">
        <f>IF($AF$1045=1,VLOOKUP($AD$1045,$A$1075:$P$1086,12,FALSE),VLOOKUP($AD$1045,$A$1048:$S$1059,3,FALSE))</f>
        <v>0</v>
      </c>
      <c r="AE1057" s="192">
        <f t="shared" si="419"/>
        <v>19.425595238095237</v>
      </c>
      <c r="AF1057" s="192">
        <f t="shared" si="420"/>
        <v>20.352678571428573</v>
      </c>
      <c r="AG1057" s="192">
        <f t="shared" si="421"/>
        <v>34.407738095238095</v>
      </c>
      <c r="AH1057" s="192">
        <f t="shared" si="422"/>
        <v>16.448580262084075</v>
      </c>
      <c r="AI1057" s="192">
        <f t="shared" si="423"/>
        <v>6.1086309523809526</v>
      </c>
      <c r="AJ1057" s="192">
        <f t="shared" si="424"/>
        <v>5.2723214285714288</v>
      </c>
      <c r="AK1057" s="192">
        <f t="shared" si="425"/>
        <v>8.1934523809523814</v>
      </c>
      <c r="AL1057" s="192">
        <f t="shared" si="426"/>
        <v>8.2485119047619051</v>
      </c>
      <c r="AM1057" s="192">
        <f t="shared" si="427"/>
        <v>2.4895833333333335</v>
      </c>
      <c r="AN1057" s="192">
        <f t="shared" si="428"/>
        <v>2.9345238095238098</v>
      </c>
      <c r="AO1057" s="192">
        <f t="shared" si="429"/>
        <v>5.8869047619047619</v>
      </c>
      <c r="AP1057" s="192">
        <f t="shared" si="430"/>
        <v>1.1502976190476191</v>
      </c>
      <c r="AQ1057" s="192">
        <f t="shared" si="431"/>
        <v>1.5297619047619049</v>
      </c>
      <c r="AR1057" s="192">
        <f t="shared" si="432"/>
        <v>2.7247023809523809</v>
      </c>
      <c r="AS1057" s="192">
        <f t="shared" si="433"/>
        <v>135.17328264303643</v>
      </c>
      <c r="AT1057" s="192">
        <f t="shared" si="434"/>
        <v>9.6596477507982215</v>
      </c>
      <c r="AU1057" s="192">
        <f t="shared" si="435"/>
        <v>144.83293039383466</v>
      </c>
      <c r="AW1057" s="192">
        <f t="shared" si="436"/>
        <v>279.80161997165106</v>
      </c>
      <c r="AX1057" s="192">
        <f t="shared" si="437"/>
        <v>-134.96868957781641</v>
      </c>
    </row>
    <row r="1058" spans="1:50" ht="15.75" customHeight="1" x14ac:dyDescent="0.3">
      <c r="A1058" s="211" t="s">
        <v>21</v>
      </c>
      <c r="B1058" s="211">
        <f t="shared" si="409"/>
        <v>245</v>
      </c>
      <c r="C1058" s="192">
        <f t="shared" si="409"/>
        <v>0</v>
      </c>
      <c r="D1058" s="312" t="s">
        <v>803</v>
      </c>
      <c r="E1058" s="192">
        <f t="shared" ref="E1058:S1058" si="446">+C978/$O$10/24</f>
        <v>28.973611111111111</v>
      </c>
      <c r="F1058" s="192">
        <f t="shared" si="446"/>
        <v>30.358333333333334</v>
      </c>
      <c r="G1058" s="192">
        <f t="shared" si="446"/>
        <v>51.002777777777773</v>
      </c>
      <c r="H1058" s="192">
        <f t="shared" si="446"/>
        <v>21.466920605037654</v>
      </c>
      <c r="I1058" s="192">
        <f t="shared" si="446"/>
        <v>-1.8917336515113424E-2</v>
      </c>
      <c r="J1058" s="192">
        <f t="shared" si="446"/>
        <v>5.3194444444444446</v>
      </c>
      <c r="K1058" s="192">
        <f t="shared" si="446"/>
        <v>1.2444444444444445</v>
      </c>
      <c r="L1058" s="192">
        <f t="shared" si="446"/>
        <v>1.9291666666666665</v>
      </c>
      <c r="M1058" s="192">
        <f t="shared" si="446"/>
        <v>1.875</v>
      </c>
      <c r="N1058" s="192">
        <f t="shared" si="446"/>
        <v>0.61527777777777781</v>
      </c>
      <c r="O1058" s="192">
        <f t="shared" si="446"/>
        <v>0.72222222222222221</v>
      </c>
      <c r="P1058" s="192">
        <f t="shared" si="446"/>
        <v>1.3055555555555556</v>
      </c>
      <c r="Q1058" s="192">
        <f t="shared" si="446"/>
        <v>0.56527777777777777</v>
      </c>
      <c r="R1058" s="192">
        <f t="shared" si="446"/>
        <v>1.7861111111111112</v>
      </c>
      <c r="S1058" s="312">
        <f t="shared" si="446"/>
        <v>1.3375000000000001</v>
      </c>
      <c r="T1058" s="192">
        <f t="shared" si="413"/>
        <v>393.48272549074477</v>
      </c>
      <c r="U1058" s="192">
        <f t="shared" si="411"/>
        <v>148.48272549074474</v>
      </c>
      <c r="V1058" s="192">
        <f t="shared" si="414"/>
        <v>355.33472222222224</v>
      </c>
      <c r="W1058" s="192">
        <f t="shared" si="415"/>
        <v>110.33472222222221</v>
      </c>
      <c r="X1058" s="192">
        <f t="shared" si="416"/>
        <v>21.466920605037654</v>
      </c>
      <c r="Y1058" s="192">
        <f t="shared" si="416"/>
        <v>-1.8917336515113424E-2</v>
      </c>
      <c r="Z1058" s="192">
        <f t="shared" si="417"/>
        <v>16.7</v>
      </c>
      <c r="AC1058" s="4">
        <v>11</v>
      </c>
      <c r="AD1058" s="192">
        <f>IF($AF$1045=1,VLOOKUP($AD$1045,$A$1075:$P$1086,12,FALSE),VLOOKUP($AD$1045,$A$1048:$S$1059,3,FALSE))</f>
        <v>0</v>
      </c>
      <c r="AE1058" s="192">
        <f t="shared" si="419"/>
        <v>19.425595238095237</v>
      </c>
      <c r="AF1058" s="192">
        <f t="shared" si="420"/>
        <v>20.352678571428573</v>
      </c>
      <c r="AG1058" s="192">
        <f t="shared" si="421"/>
        <v>34.407738095238095</v>
      </c>
      <c r="AH1058" s="192">
        <f t="shared" si="422"/>
        <v>16.448580262084075</v>
      </c>
      <c r="AI1058" s="192">
        <f t="shared" si="423"/>
        <v>6.1086309523809526</v>
      </c>
      <c r="AJ1058" s="192">
        <f t="shared" si="424"/>
        <v>5.2723214285714288</v>
      </c>
      <c r="AK1058" s="192">
        <f t="shared" si="425"/>
        <v>8.1934523809523814</v>
      </c>
      <c r="AL1058" s="192">
        <f t="shared" si="426"/>
        <v>8.2485119047619051</v>
      </c>
      <c r="AM1058" s="192">
        <f t="shared" si="427"/>
        <v>2.4895833333333335</v>
      </c>
      <c r="AN1058" s="192">
        <f t="shared" si="428"/>
        <v>2.9345238095238098</v>
      </c>
      <c r="AO1058" s="192">
        <f t="shared" si="429"/>
        <v>5.8869047619047619</v>
      </c>
      <c r="AP1058" s="192">
        <f t="shared" si="430"/>
        <v>1.1502976190476191</v>
      </c>
      <c r="AQ1058" s="192">
        <f t="shared" si="431"/>
        <v>1.5297619047619049</v>
      </c>
      <c r="AR1058" s="192">
        <f t="shared" si="432"/>
        <v>2.7247023809523809</v>
      </c>
      <c r="AS1058" s="192">
        <f t="shared" si="433"/>
        <v>135.17328264303643</v>
      </c>
      <c r="AT1058" s="192">
        <f t="shared" si="434"/>
        <v>9.6596477507982215</v>
      </c>
      <c r="AU1058" s="192">
        <f t="shared" si="435"/>
        <v>144.83293039383466</v>
      </c>
      <c r="AW1058" s="192">
        <f t="shared" si="436"/>
        <v>279.80161997165106</v>
      </c>
      <c r="AX1058" s="192">
        <f t="shared" si="437"/>
        <v>-134.96868957781641</v>
      </c>
    </row>
    <row r="1059" spans="1:50" ht="15.75" customHeight="1" thickBot="1" x14ac:dyDescent="0.35">
      <c r="A1059" s="220" t="s">
        <v>22</v>
      </c>
      <c r="B1059" s="220">
        <f t="shared" si="409"/>
        <v>245</v>
      </c>
      <c r="C1059" s="206">
        <f t="shared" si="409"/>
        <v>0</v>
      </c>
      <c r="D1059" s="272" t="s">
        <v>803</v>
      </c>
      <c r="E1059" s="206">
        <f t="shared" ref="E1059:S1059" si="447">+C979/$P$10/24</f>
        <v>23.326612903225808</v>
      </c>
      <c r="F1059" s="206">
        <f t="shared" si="447"/>
        <v>24.443548387096772</v>
      </c>
      <c r="G1059" s="206">
        <f t="shared" si="447"/>
        <v>41.159946236559144</v>
      </c>
      <c r="H1059" s="206">
        <f t="shared" si="447"/>
        <v>20.731206096083827</v>
      </c>
      <c r="I1059" s="206">
        <f t="shared" si="447"/>
        <v>0</v>
      </c>
      <c r="J1059" s="206">
        <f t="shared" si="447"/>
        <v>3.845430107526882</v>
      </c>
      <c r="K1059" s="206">
        <f t="shared" si="447"/>
        <v>1.2056451612903225</v>
      </c>
      <c r="L1059" s="206">
        <f t="shared" si="447"/>
        <v>1.786290322580645</v>
      </c>
      <c r="M1059" s="206">
        <f t="shared" si="447"/>
        <v>1.842741935483871</v>
      </c>
      <c r="N1059" s="206">
        <f t="shared" si="447"/>
        <v>0.69086021505376349</v>
      </c>
      <c r="O1059" s="206">
        <f t="shared" si="447"/>
        <v>0.81317204301075263</v>
      </c>
      <c r="P1059" s="206">
        <f t="shared" si="447"/>
        <v>1.4327956989247312</v>
      </c>
      <c r="Q1059" s="206">
        <f t="shared" si="447"/>
        <v>0.48790322580645157</v>
      </c>
      <c r="R1059" s="206">
        <f t="shared" si="447"/>
        <v>1.514784946236559</v>
      </c>
      <c r="S1059" s="272">
        <f t="shared" si="447"/>
        <v>1.1411290322580645</v>
      </c>
      <c r="T1059" s="192">
        <f t="shared" si="413"/>
        <v>369.4220663111376</v>
      </c>
      <c r="U1059" s="192">
        <f t="shared" si="411"/>
        <v>124.42206631113758</v>
      </c>
      <c r="V1059" s="192">
        <f t="shared" si="414"/>
        <v>333.93010752688173</v>
      </c>
      <c r="W1059" s="192">
        <f t="shared" si="415"/>
        <v>88.930107526881727</v>
      </c>
      <c r="X1059" s="192">
        <f t="shared" si="416"/>
        <v>20.731206096083827</v>
      </c>
      <c r="Y1059" s="192">
        <f t="shared" si="416"/>
        <v>0</v>
      </c>
      <c r="Z1059" s="192">
        <f t="shared" si="417"/>
        <v>14.760752688172044</v>
      </c>
      <c r="AC1059" s="4">
        <v>12</v>
      </c>
      <c r="AD1059" s="192">
        <f>IF($AF$1045=1,VLOOKUP($AD$1045,$A$1075:$P$1086,12,FALSE),VLOOKUP($AD$1045,$A$1048:$S$1059,3,FALSE))</f>
        <v>0</v>
      </c>
      <c r="AE1059" s="192">
        <f t="shared" si="419"/>
        <v>19.425595238095237</v>
      </c>
      <c r="AF1059" s="192">
        <f t="shared" si="420"/>
        <v>20.352678571428573</v>
      </c>
      <c r="AG1059" s="192">
        <f t="shared" si="421"/>
        <v>34.407738095238095</v>
      </c>
      <c r="AH1059" s="192">
        <f t="shared" si="422"/>
        <v>16.448580262084075</v>
      </c>
      <c r="AI1059" s="192">
        <f t="shared" si="423"/>
        <v>6.1086309523809526</v>
      </c>
      <c r="AJ1059" s="192">
        <f t="shared" si="424"/>
        <v>5.2723214285714288</v>
      </c>
      <c r="AK1059" s="192">
        <f t="shared" si="425"/>
        <v>8.1934523809523814</v>
      </c>
      <c r="AL1059" s="192">
        <f t="shared" si="426"/>
        <v>8.2485119047619051</v>
      </c>
      <c r="AM1059" s="192">
        <f t="shared" si="427"/>
        <v>2.4895833333333335</v>
      </c>
      <c r="AN1059" s="192">
        <f t="shared" si="428"/>
        <v>2.9345238095238098</v>
      </c>
      <c r="AO1059" s="192">
        <f t="shared" si="429"/>
        <v>5.8869047619047619</v>
      </c>
      <c r="AP1059" s="192">
        <f t="shared" si="430"/>
        <v>1.1502976190476191</v>
      </c>
      <c r="AQ1059" s="192">
        <f t="shared" si="431"/>
        <v>1.5297619047619049</v>
      </c>
      <c r="AR1059" s="192">
        <f t="shared" si="432"/>
        <v>2.7247023809523809</v>
      </c>
      <c r="AS1059" s="192">
        <f t="shared" si="433"/>
        <v>135.17328264303643</v>
      </c>
      <c r="AT1059" s="192">
        <f t="shared" si="434"/>
        <v>9.6596477507982215</v>
      </c>
      <c r="AU1059" s="192">
        <f t="shared" si="435"/>
        <v>144.83293039383466</v>
      </c>
      <c r="AW1059" s="192">
        <f t="shared" si="436"/>
        <v>279.80161997165106</v>
      </c>
      <c r="AX1059" s="192">
        <f t="shared" si="437"/>
        <v>-134.96868957781641</v>
      </c>
    </row>
    <row r="1060" spans="1:50" ht="15.75" customHeight="1" x14ac:dyDescent="0.3">
      <c r="A1060" s="260"/>
      <c r="AC1060" s="4">
        <v>13</v>
      </c>
      <c r="AD1060" s="192">
        <f>IF($AF$1045=1,VLOOKUP($AD$1045,$A$1075:$P$1086,12,FALSE),IF(OR($AD$1045="JUN",$AD$1045="JUL",$AD$1045="AUG"),VLOOKUP($AD$1045,$A$1048:$S$1059,4,FALSE),VLOOKUP($AD$1045,$A$1048:$S$1059,3,FALSE)))</f>
        <v>0</v>
      </c>
      <c r="AE1060" s="192">
        <f t="shared" si="419"/>
        <v>19.425595238095237</v>
      </c>
      <c r="AF1060" s="192">
        <f t="shared" si="420"/>
        <v>20.352678571428573</v>
      </c>
      <c r="AG1060" s="192">
        <f t="shared" si="421"/>
        <v>34.407738095238095</v>
      </c>
      <c r="AH1060" s="192">
        <f t="shared" si="422"/>
        <v>16.448580262084075</v>
      </c>
      <c r="AI1060" s="192">
        <f t="shared" si="423"/>
        <v>6.1086309523809526</v>
      </c>
      <c r="AJ1060" s="192">
        <f t="shared" si="424"/>
        <v>5.2723214285714288</v>
      </c>
      <c r="AK1060" s="192">
        <f t="shared" si="425"/>
        <v>8.1934523809523814</v>
      </c>
      <c r="AL1060" s="192">
        <f t="shared" si="426"/>
        <v>8.2485119047619051</v>
      </c>
      <c r="AM1060" s="192">
        <f t="shared" si="427"/>
        <v>2.4895833333333335</v>
      </c>
      <c r="AN1060" s="192">
        <f t="shared" si="428"/>
        <v>2.9345238095238098</v>
      </c>
      <c r="AO1060" s="192">
        <f t="shared" si="429"/>
        <v>5.8869047619047619</v>
      </c>
      <c r="AP1060" s="192">
        <f t="shared" si="430"/>
        <v>1.1502976190476191</v>
      </c>
      <c r="AQ1060" s="192">
        <f t="shared" si="431"/>
        <v>1.5297619047619049</v>
      </c>
      <c r="AR1060" s="192">
        <f t="shared" si="432"/>
        <v>2.7247023809523809</v>
      </c>
      <c r="AS1060" s="192">
        <f t="shared" si="433"/>
        <v>135.17328264303643</v>
      </c>
      <c r="AT1060" s="192">
        <f t="shared" si="434"/>
        <v>9.6596477507982215</v>
      </c>
      <c r="AU1060" s="192">
        <f t="shared" si="435"/>
        <v>144.83293039383466</v>
      </c>
      <c r="AW1060" s="192">
        <f t="shared" si="436"/>
        <v>279.80161997165106</v>
      </c>
      <c r="AX1060" s="192">
        <f t="shared" si="437"/>
        <v>-134.96868957781641</v>
      </c>
    </row>
    <row r="1061" spans="1:50" ht="27.75" customHeight="1" x14ac:dyDescent="0.3">
      <c r="A1061" s="260" t="s">
        <v>804</v>
      </c>
      <c r="AC1061" s="4">
        <v>14</v>
      </c>
      <c r="AD1061" s="192">
        <f t="shared" ref="AD1061:AD1067" si="448">IF($AF$1045=1,VLOOKUP($AD$1045,$A$1075:$P$1086,12,FALSE),IF(OR($AD$1045="JUN",$AD$1045="JUL",$AD$1045="AUG"),VLOOKUP($AD$1045,$A$1048:$S$1059,4,FALSE),VLOOKUP($AD$1045,$A$1048:$S$1059,3,FALSE)))</f>
        <v>0</v>
      </c>
      <c r="AE1061" s="192">
        <f t="shared" si="419"/>
        <v>19.425595238095237</v>
      </c>
      <c r="AF1061" s="192">
        <f t="shared" si="420"/>
        <v>20.352678571428573</v>
      </c>
      <c r="AG1061" s="192">
        <f t="shared" si="421"/>
        <v>34.407738095238095</v>
      </c>
      <c r="AH1061" s="192">
        <f t="shared" si="422"/>
        <v>16.448580262084075</v>
      </c>
      <c r="AI1061" s="192">
        <f t="shared" si="423"/>
        <v>6.1086309523809526</v>
      </c>
      <c r="AJ1061" s="192">
        <f t="shared" si="424"/>
        <v>5.2723214285714288</v>
      </c>
      <c r="AK1061" s="192">
        <f t="shared" si="425"/>
        <v>8.1934523809523814</v>
      </c>
      <c r="AL1061" s="192">
        <f t="shared" si="426"/>
        <v>8.2485119047619051</v>
      </c>
      <c r="AM1061" s="192">
        <f t="shared" si="427"/>
        <v>2.4895833333333335</v>
      </c>
      <c r="AN1061" s="192">
        <f t="shared" si="428"/>
        <v>2.9345238095238098</v>
      </c>
      <c r="AO1061" s="192">
        <f t="shared" si="429"/>
        <v>5.8869047619047619</v>
      </c>
      <c r="AP1061" s="192">
        <f t="shared" si="430"/>
        <v>1.1502976190476191</v>
      </c>
      <c r="AQ1061" s="192">
        <f t="shared" si="431"/>
        <v>1.5297619047619049</v>
      </c>
      <c r="AR1061" s="192">
        <f t="shared" si="432"/>
        <v>2.7247023809523809</v>
      </c>
      <c r="AS1061" s="192">
        <f t="shared" si="433"/>
        <v>135.17328264303643</v>
      </c>
      <c r="AT1061" s="192">
        <f t="shared" si="434"/>
        <v>9.6596477507982215</v>
      </c>
      <c r="AU1061" s="192">
        <f t="shared" si="435"/>
        <v>144.83293039383466</v>
      </c>
      <c r="AW1061" s="192">
        <f t="shared" si="436"/>
        <v>279.80161997165106</v>
      </c>
      <c r="AX1061" s="192">
        <f t="shared" si="437"/>
        <v>-134.96868957781641</v>
      </c>
    </row>
    <row r="1062" spans="1:50" ht="15.75" customHeight="1" x14ac:dyDescent="0.3">
      <c r="A1062" s="260"/>
      <c r="AC1062" s="4">
        <v>15</v>
      </c>
      <c r="AD1062" s="192">
        <f t="shared" si="448"/>
        <v>0</v>
      </c>
      <c r="AE1062" s="192">
        <f t="shared" si="419"/>
        <v>19.425595238095237</v>
      </c>
      <c r="AF1062" s="192">
        <f t="shared" si="420"/>
        <v>20.352678571428573</v>
      </c>
      <c r="AG1062" s="192">
        <f t="shared" si="421"/>
        <v>34.407738095238095</v>
      </c>
      <c r="AH1062" s="192">
        <f t="shared" si="422"/>
        <v>16.448580262084075</v>
      </c>
      <c r="AI1062" s="192">
        <f t="shared" si="423"/>
        <v>6.1086309523809526</v>
      </c>
      <c r="AJ1062" s="192">
        <f t="shared" si="424"/>
        <v>5.2723214285714288</v>
      </c>
      <c r="AK1062" s="192">
        <f t="shared" si="425"/>
        <v>8.1934523809523814</v>
      </c>
      <c r="AL1062" s="192">
        <f t="shared" si="426"/>
        <v>8.2485119047619051</v>
      </c>
      <c r="AM1062" s="192">
        <f t="shared" si="427"/>
        <v>2.4895833333333335</v>
      </c>
      <c r="AN1062" s="192">
        <f t="shared" si="428"/>
        <v>2.9345238095238098</v>
      </c>
      <c r="AO1062" s="192">
        <f t="shared" si="429"/>
        <v>5.8869047619047619</v>
      </c>
      <c r="AP1062" s="192">
        <f t="shared" si="430"/>
        <v>1.1502976190476191</v>
      </c>
      <c r="AQ1062" s="192">
        <f t="shared" si="431"/>
        <v>1.5297619047619049</v>
      </c>
      <c r="AR1062" s="192">
        <f t="shared" si="432"/>
        <v>2.7247023809523809</v>
      </c>
      <c r="AS1062" s="192">
        <f t="shared" si="433"/>
        <v>135.17328264303643</v>
      </c>
      <c r="AT1062" s="192">
        <f t="shared" si="434"/>
        <v>9.6596477507982215</v>
      </c>
      <c r="AU1062" s="192">
        <f t="shared" si="435"/>
        <v>144.83293039383466</v>
      </c>
      <c r="AW1062" s="192">
        <f t="shared" si="436"/>
        <v>279.80161997165106</v>
      </c>
      <c r="AX1062" s="192">
        <f t="shared" si="437"/>
        <v>-134.96868957781641</v>
      </c>
    </row>
    <row r="1063" spans="1:50" ht="15.75" customHeight="1" x14ac:dyDescent="0.3">
      <c r="A1063" s="260"/>
      <c r="AC1063" s="4">
        <v>16</v>
      </c>
      <c r="AD1063" s="192">
        <f t="shared" si="448"/>
        <v>0</v>
      </c>
      <c r="AE1063" s="192">
        <f t="shared" si="419"/>
        <v>19.425595238095237</v>
      </c>
      <c r="AF1063" s="192">
        <f t="shared" si="420"/>
        <v>20.352678571428573</v>
      </c>
      <c r="AG1063" s="192">
        <f t="shared" si="421"/>
        <v>34.407738095238095</v>
      </c>
      <c r="AH1063" s="192">
        <f t="shared" si="422"/>
        <v>16.448580262084075</v>
      </c>
      <c r="AI1063" s="192">
        <f t="shared" si="423"/>
        <v>6.1086309523809526</v>
      </c>
      <c r="AJ1063" s="192">
        <f t="shared" si="424"/>
        <v>5.2723214285714288</v>
      </c>
      <c r="AK1063" s="192">
        <f t="shared" si="425"/>
        <v>8.1934523809523814</v>
      </c>
      <c r="AL1063" s="192">
        <f t="shared" si="426"/>
        <v>8.2485119047619051</v>
      </c>
      <c r="AM1063" s="192">
        <f t="shared" si="427"/>
        <v>2.4895833333333335</v>
      </c>
      <c r="AN1063" s="192">
        <f t="shared" si="428"/>
        <v>2.9345238095238098</v>
      </c>
      <c r="AO1063" s="192">
        <f t="shared" si="429"/>
        <v>5.8869047619047619</v>
      </c>
      <c r="AP1063" s="192">
        <f t="shared" si="430"/>
        <v>1.1502976190476191</v>
      </c>
      <c r="AQ1063" s="192">
        <f t="shared" si="431"/>
        <v>1.5297619047619049</v>
      </c>
      <c r="AR1063" s="192">
        <f t="shared" si="432"/>
        <v>2.7247023809523809</v>
      </c>
      <c r="AS1063" s="192">
        <f t="shared" si="433"/>
        <v>135.17328264303643</v>
      </c>
      <c r="AT1063" s="192">
        <f t="shared" si="434"/>
        <v>9.6596477507982215</v>
      </c>
      <c r="AU1063" s="192">
        <f t="shared" si="435"/>
        <v>144.83293039383466</v>
      </c>
      <c r="AW1063" s="192">
        <f t="shared" si="436"/>
        <v>279.80161997165106</v>
      </c>
      <c r="AX1063" s="192">
        <f t="shared" si="437"/>
        <v>-134.96868957781641</v>
      </c>
    </row>
    <row r="1064" spans="1:50" ht="15.75" customHeight="1" thickBot="1" x14ac:dyDescent="0.35">
      <c r="A1064" s="260"/>
      <c r="AC1064" s="4">
        <v>17</v>
      </c>
      <c r="AD1064" s="192">
        <f t="shared" si="448"/>
        <v>0</v>
      </c>
      <c r="AE1064" s="192">
        <f t="shared" si="419"/>
        <v>19.425595238095237</v>
      </c>
      <c r="AF1064" s="192">
        <f t="shared" si="420"/>
        <v>20.352678571428573</v>
      </c>
      <c r="AG1064" s="192">
        <f t="shared" si="421"/>
        <v>34.407738095238095</v>
      </c>
      <c r="AH1064" s="192">
        <f t="shared" si="422"/>
        <v>16.448580262084075</v>
      </c>
      <c r="AI1064" s="192">
        <f t="shared" si="423"/>
        <v>6.1086309523809526</v>
      </c>
      <c r="AJ1064" s="192">
        <f t="shared" si="424"/>
        <v>5.2723214285714288</v>
      </c>
      <c r="AK1064" s="192">
        <f t="shared" si="425"/>
        <v>8.1934523809523814</v>
      </c>
      <c r="AL1064" s="192">
        <f t="shared" si="426"/>
        <v>8.2485119047619051</v>
      </c>
      <c r="AM1064" s="192">
        <f t="shared" si="427"/>
        <v>2.4895833333333335</v>
      </c>
      <c r="AN1064" s="192">
        <f t="shared" si="428"/>
        <v>2.9345238095238098</v>
      </c>
      <c r="AO1064" s="192">
        <f t="shared" si="429"/>
        <v>5.8869047619047619</v>
      </c>
      <c r="AP1064" s="192">
        <f t="shared" si="430"/>
        <v>1.1502976190476191</v>
      </c>
      <c r="AQ1064" s="192">
        <f t="shared" si="431"/>
        <v>1.5297619047619049</v>
      </c>
      <c r="AR1064" s="192">
        <f t="shared" si="432"/>
        <v>2.7247023809523809</v>
      </c>
      <c r="AS1064" s="192">
        <f t="shared" si="433"/>
        <v>135.17328264303643</v>
      </c>
      <c r="AT1064" s="192">
        <f t="shared" si="434"/>
        <v>9.6596477507982215</v>
      </c>
      <c r="AU1064" s="192">
        <f t="shared" si="435"/>
        <v>144.83293039383466</v>
      </c>
      <c r="AW1064" s="192">
        <f t="shared" si="436"/>
        <v>279.80161997165106</v>
      </c>
      <c r="AX1064" s="192">
        <f t="shared" si="437"/>
        <v>-134.96868957781641</v>
      </c>
    </row>
    <row r="1065" spans="1:50" ht="15.75" customHeight="1" x14ac:dyDescent="0.3">
      <c r="A1065" s="365"/>
      <c r="B1065" s="423" t="s">
        <v>805</v>
      </c>
      <c r="C1065" s="423"/>
      <c r="D1065" s="423"/>
      <c r="E1065" s="423"/>
      <c r="F1065" s="423"/>
      <c r="G1065" s="423"/>
      <c r="H1065" s="423"/>
      <c r="I1065" s="423"/>
      <c r="J1065" s="423"/>
      <c r="K1065" s="423"/>
      <c r="L1065" s="423"/>
      <c r="M1065" s="423"/>
      <c r="N1065" s="423"/>
      <c r="O1065" s="423"/>
      <c r="P1065" s="423"/>
      <c r="Q1065" s="354" t="str">
        <f>+Q1</f>
        <v xml:space="preserve">PRINTED:  </v>
      </c>
      <c r="R1065" s="355">
        <f ca="1">+R1</f>
        <v>44894.658168402777</v>
      </c>
      <c r="AC1065" s="4">
        <v>18</v>
      </c>
      <c r="AD1065" s="192">
        <f t="shared" si="448"/>
        <v>0</v>
      </c>
      <c r="AE1065" s="192">
        <f t="shared" si="419"/>
        <v>19.425595238095237</v>
      </c>
      <c r="AF1065" s="192">
        <f t="shared" si="420"/>
        <v>20.352678571428573</v>
      </c>
      <c r="AG1065" s="192">
        <f t="shared" si="421"/>
        <v>34.407738095238095</v>
      </c>
      <c r="AH1065" s="192">
        <f t="shared" si="422"/>
        <v>16.448580262084075</v>
      </c>
      <c r="AI1065" s="192">
        <f t="shared" si="423"/>
        <v>6.1086309523809526</v>
      </c>
      <c r="AJ1065" s="192">
        <f t="shared" si="424"/>
        <v>5.2723214285714288</v>
      </c>
      <c r="AK1065" s="192">
        <f t="shared" si="425"/>
        <v>8.1934523809523814</v>
      </c>
      <c r="AL1065" s="192">
        <f t="shared" si="426"/>
        <v>8.2485119047619051</v>
      </c>
      <c r="AM1065" s="192">
        <f t="shared" si="427"/>
        <v>2.4895833333333335</v>
      </c>
      <c r="AN1065" s="192">
        <f t="shared" si="428"/>
        <v>2.9345238095238098</v>
      </c>
      <c r="AO1065" s="192">
        <f t="shared" si="429"/>
        <v>5.8869047619047619</v>
      </c>
      <c r="AP1065" s="192">
        <f t="shared" si="430"/>
        <v>1.1502976190476191</v>
      </c>
      <c r="AQ1065" s="192">
        <f t="shared" si="431"/>
        <v>1.5297619047619049</v>
      </c>
      <c r="AR1065" s="192">
        <f t="shared" si="432"/>
        <v>2.7247023809523809</v>
      </c>
      <c r="AS1065" s="192">
        <f t="shared" si="433"/>
        <v>135.17328264303643</v>
      </c>
      <c r="AT1065" s="192">
        <f t="shared" si="434"/>
        <v>9.6596477507982215</v>
      </c>
      <c r="AU1065" s="192">
        <f t="shared" si="435"/>
        <v>144.83293039383466</v>
      </c>
      <c r="AW1065" s="192">
        <f t="shared" si="436"/>
        <v>279.80161997165106</v>
      </c>
      <c r="AX1065" s="192">
        <f t="shared" si="437"/>
        <v>-134.96868957781641</v>
      </c>
    </row>
    <row r="1066" spans="1:50" ht="16.5" customHeight="1" x14ac:dyDescent="0.3">
      <c r="A1066" s="257"/>
      <c r="B1066" s="394" t="str">
        <f>+A8</f>
        <v>Revised:  3/2/2019</v>
      </c>
      <c r="C1066" s="394"/>
      <c r="D1066" s="394"/>
      <c r="E1066" s="394"/>
      <c r="F1066" s="394"/>
      <c r="G1066" s="394"/>
      <c r="H1066" s="394"/>
      <c r="I1066" s="394"/>
      <c r="J1066" s="394"/>
      <c r="K1066" s="394"/>
      <c r="L1066" s="394"/>
      <c r="M1066" s="394"/>
      <c r="N1066" s="394"/>
      <c r="O1066" s="394"/>
      <c r="P1066" s="394"/>
      <c r="R1066" s="304"/>
      <c r="AC1066" s="4">
        <v>19</v>
      </c>
      <c r="AD1066" s="192">
        <f t="shared" si="448"/>
        <v>0</v>
      </c>
      <c r="AE1066" s="192">
        <f t="shared" si="419"/>
        <v>19.425595238095237</v>
      </c>
      <c r="AF1066" s="192">
        <f t="shared" si="420"/>
        <v>20.352678571428573</v>
      </c>
      <c r="AG1066" s="192">
        <f t="shared" si="421"/>
        <v>34.407738095238095</v>
      </c>
      <c r="AH1066" s="192">
        <f t="shared" si="422"/>
        <v>16.448580262084075</v>
      </c>
      <c r="AI1066" s="192">
        <f t="shared" si="423"/>
        <v>6.1086309523809526</v>
      </c>
      <c r="AJ1066" s="192">
        <f t="shared" si="424"/>
        <v>5.2723214285714288</v>
      </c>
      <c r="AK1066" s="192">
        <f t="shared" si="425"/>
        <v>8.1934523809523814</v>
      </c>
      <c r="AL1066" s="192">
        <f t="shared" si="426"/>
        <v>8.2485119047619051</v>
      </c>
      <c r="AM1066" s="192">
        <f t="shared" si="427"/>
        <v>2.4895833333333335</v>
      </c>
      <c r="AN1066" s="192">
        <f t="shared" si="428"/>
        <v>2.9345238095238098</v>
      </c>
      <c r="AO1066" s="192">
        <f t="shared" si="429"/>
        <v>5.8869047619047619</v>
      </c>
      <c r="AP1066" s="192">
        <f t="shared" si="430"/>
        <v>1.1502976190476191</v>
      </c>
      <c r="AQ1066" s="192">
        <f t="shared" si="431"/>
        <v>1.5297619047619049</v>
      </c>
      <c r="AR1066" s="192">
        <f t="shared" si="432"/>
        <v>2.7247023809523809</v>
      </c>
      <c r="AS1066" s="192">
        <f t="shared" si="433"/>
        <v>135.17328264303643</v>
      </c>
      <c r="AT1066" s="192">
        <f t="shared" si="434"/>
        <v>9.6596477507982215</v>
      </c>
      <c r="AU1066" s="192">
        <f t="shared" si="435"/>
        <v>144.83293039383466</v>
      </c>
      <c r="AW1066" s="192">
        <f t="shared" si="436"/>
        <v>279.80161997165106</v>
      </c>
      <c r="AX1066" s="192">
        <f t="shared" si="437"/>
        <v>-134.96868957781641</v>
      </c>
    </row>
    <row r="1067" spans="1:50" ht="16.5" customHeight="1" x14ac:dyDescent="0.3">
      <c r="A1067" s="257"/>
      <c r="B1067" s="394" t="s">
        <v>670</v>
      </c>
      <c r="C1067" s="394"/>
      <c r="D1067" s="394"/>
      <c r="E1067" s="394"/>
      <c r="F1067" s="394"/>
      <c r="G1067" s="394"/>
      <c r="H1067" s="394"/>
      <c r="I1067" s="394"/>
      <c r="J1067" s="394"/>
      <c r="K1067" s="394"/>
      <c r="L1067" s="394"/>
      <c r="M1067" s="394"/>
      <c r="N1067" s="394"/>
      <c r="O1067" s="394"/>
      <c r="P1067" s="394"/>
      <c r="R1067" s="304"/>
      <c r="AC1067" s="4">
        <v>20</v>
      </c>
      <c r="AD1067" s="192">
        <f t="shared" si="448"/>
        <v>0</v>
      </c>
      <c r="AE1067" s="192">
        <f t="shared" si="419"/>
        <v>19.425595238095237</v>
      </c>
      <c r="AF1067" s="192">
        <f t="shared" si="420"/>
        <v>20.352678571428573</v>
      </c>
      <c r="AG1067" s="192">
        <f t="shared" si="421"/>
        <v>34.407738095238095</v>
      </c>
      <c r="AH1067" s="192">
        <f t="shared" si="422"/>
        <v>16.448580262084075</v>
      </c>
      <c r="AI1067" s="192">
        <f t="shared" si="423"/>
        <v>6.1086309523809526</v>
      </c>
      <c r="AJ1067" s="192">
        <f t="shared" si="424"/>
        <v>5.2723214285714288</v>
      </c>
      <c r="AK1067" s="192">
        <f t="shared" si="425"/>
        <v>8.1934523809523814</v>
      </c>
      <c r="AL1067" s="192">
        <f t="shared" si="426"/>
        <v>8.2485119047619051</v>
      </c>
      <c r="AM1067" s="192">
        <f t="shared" si="427"/>
        <v>2.4895833333333335</v>
      </c>
      <c r="AN1067" s="192">
        <f t="shared" si="428"/>
        <v>2.9345238095238098</v>
      </c>
      <c r="AO1067" s="192">
        <f t="shared" si="429"/>
        <v>5.8869047619047619</v>
      </c>
      <c r="AP1067" s="192">
        <f t="shared" si="430"/>
        <v>1.1502976190476191</v>
      </c>
      <c r="AQ1067" s="192">
        <f t="shared" si="431"/>
        <v>1.5297619047619049</v>
      </c>
      <c r="AR1067" s="192">
        <f t="shared" si="432"/>
        <v>2.7247023809523809</v>
      </c>
      <c r="AS1067" s="192">
        <f t="shared" si="433"/>
        <v>135.17328264303643</v>
      </c>
      <c r="AT1067" s="192">
        <f t="shared" si="434"/>
        <v>9.6596477507982215</v>
      </c>
      <c r="AU1067" s="192">
        <f t="shared" si="435"/>
        <v>144.83293039383466</v>
      </c>
      <c r="AW1067" s="192">
        <f t="shared" si="436"/>
        <v>279.80161997165106</v>
      </c>
      <c r="AX1067" s="192">
        <f t="shared" si="437"/>
        <v>-134.96868957781641</v>
      </c>
    </row>
    <row r="1068" spans="1:50" ht="16.5" customHeight="1" x14ac:dyDescent="0.3">
      <c r="A1068" s="257"/>
      <c r="B1068" s="180"/>
      <c r="C1068" s="180"/>
      <c r="D1068" s="180"/>
      <c r="E1068" s="180"/>
      <c r="F1068" s="180"/>
      <c r="G1068" s="180"/>
      <c r="H1068" s="180"/>
      <c r="I1068" s="180"/>
      <c r="J1068" s="180"/>
      <c r="K1068" s="180"/>
      <c r="L1068" s="180"/>
      <c r="M1068" s="180"/>
      <c r="N1068" s="180"/>
      <c r="O1068" s="180"/>
      <c r="P1068" s="180"/>
      <c r="R1068" s="304"/>
      <c r="AC1068" s="4">
        <v>21</v>
      </c>
      <c r="AD1068" s="192">
        <f>IF($AF$1045=1,VLOOKUP($AD$1045,$A$1075:$P$1086,12,FALSE),VLOOKUP($AD$1045,$A$1048:$S$1059,3,FALSE))</f>
        <v>0</v>
      </c>
      <c r="AE1068" s="192">
        <f t="shared" si="419"/>
        <v>19.425595238095237</v>
      </c>
      <c r="AF1068" s="192">
        <f t="shared" si="420"/>
        <v>20.352678571428573</v>
      </c>
      <c r="AG1068" s="192">
        <f t="shared" si="421"/>
        <v>34.407738095238095</v>
      </c>
      <c r="AH1068" s="192">
        <f t="shared" si="422"/>
        <v>16.448580262084075</v>
      </c>
      <c r="AI1068" s="192">
        <f t="shared" si="423"/>
        <v>6.1086309523809526</v>
      </c>
      <c r="AJ1068" s="192">
        <f t="shared" si="424"/>
        <v>5.2723214285714288</v>
      </c>
      <c r="AK1068" s="192">
        <f t="shared" si="425"/>
        <v>8.1934523809523814</v>
      </c>
      <c r="AL1068" s="192">
        <f t="shared" si="426"/>
        <v>8.2485119047619051</v>
      </c>
      <c r="AM1068" s="192">
        <f t="shared" si="427"/>
        <v>2.4895833333333335</v>
      </c>
      <c r="AN1068" s="192">
        <f t="shared" si="428"/>
        <v>2.9345238095238098</v>
      </c>
      <c r="AO1068" s="192">
        <f t="shared" si="429"/>
        <v>5.8869047619047619</v>
      </c>
      <c r="AP1068" s="192">
        <f t="shared" si="430"/>
        <v>1.1502976190476191</v>
      </c>
      <c r="AQ1068" s="192">
        <f t="shared" si="431"/>
        <v>1.5297619047619049</v>
      </c>
      <c r="AR1068" s="192">
        <f t="shared" si="432"/>
        <v>2.7247023809523809</v>
      </c>
      <c r="AS1068" s="192">
        <f t="shared" si="433"/>
        <v>135.17328264303643</v>
      </c>
      <c r="AT1068" s="192">
        <f t="shared" si="434"/>
        <v>9.6596477507982215</v>
      </c>
      <c r="AU1068" s="192">
        <f t="shared" si="435"/>
        <v>144.83293039383466</v>
      </c>
      <c r="AW1068" s="192">
        <f t="shared" si="436"/>
        <v>279.80161997165106</v>
      </c>
      <c r="AX1068" s="192">
        <f t="shared" si="437"/>
        <v>-134.96868957781641</v>
      </c>
    </row>
    <row r="1069" spans="1:50" ht="16.5" customHeight="1" x14ac:dyDescent="0.3">
      <c r="A1069" s="257"/>
      <c r="B1069" s="415">
        <f>+A5</f>
        <v>2018</v>
      </c>
      <c r="C1069" s="395"/>
      <c r="D1069" s="395"/>
      <c r="E1069" s="395"/>
      <c r="F1069" s="395"/>
      <c r="G1069" s="395"/>
      <c r="H1069" s="395"/>
      <c r="I1069" s="395"/>
      <c r="J1069" s="395"/>
      <c r="K1069" s="395"/>
      <c r="L1069" s="395"/>
      <c r="M1069" s="395"/>
      <c r="N1069" s="395"/>
      <c r="O1069" s="395"/>
      <c r="P1069" s="395"/>
      <c r="R1069" s="304"/>
      <c r="AC1069" s="4">
        <v>22</v>
      </c>
      <c r="AD1069" s="192">
        <f>IF($AF$1045=1,VLOOKUP($AD$1045,$A$1075:$P$1086,12,FALSE),VLOOKUP($AD$1045,$A$1048:$S$1059,3,FALSE))</f>
        <v>0</v>
      </c>
      <c r="AE1069" s="192">
        <f t="shared" si="419"/>
        <v>19.425595238095237</v>
      </c>
      <c r="AF1069" s="192">
        <f t="shared" si="420"/>
        <v>20.352678571428573</v>
      </c>
      <c r="AG1069" s="192">
        <f t="shared" si="421"/>
        <v>34.407738095238095</v>
      </c>
      <c r="AH1069" s="192">
        <f t="shared" si="422"/>
        <v>16.448580262084075</v>
      </c>
      <c r="AI1069" s="192">
        <f t="shared" si="423"/>
        <v>6.1086309523809526</v>
      </c>
      <c r="AJ1069" s="192">
        <f t="shared" si="424"/>
        <v>5.2723214285714288</v>
      </c>
      <c r="AK1069" s="192">
        <f t="shared" si="425"/>
        <v>8.1934523809523814</v>
      </c>
      <c r="AL1069" s="192">
        <f t="shared" si="426"/>
        <v>8.2485119047619051</v>
      </c>
      <c r="AM1069" s="192">
        <f t="shared" si="427"/>
        <v>2.4895833333333335</v>
      </c>
      <c r="AN1069" s="192">
        <f t="shared" si="428"/>
        <v>2.9345238095238098</v>
      </c>
      <c r="AO1069" s="192">
        <f t="shared" si="429"/>
        <v>5.8869047619047619</v>
      </c>
      <c r="AP1069" s="192">
        <f t="shared" si="430"/>
        <v>1.1502976190476191</v>
      </c>
      <c r="AQ1069" s="192">
        <f t="shared" si="431"/>
        <v>1.5297619047619049</v>
      </c>
      <c r="AR1069" s="192">
        <f t="shared" si="432"/>
        <v>2.7247023809523809</v>
      </c>
      <c r="AS1069" s="192">
        <f t="shared" si="433"/>
        <v>135.17328264303643</v>
      </c>
      <c r="AT1069" s="192">
        <f t="shared" si="434"/>
        <v>9.6596477507982215</v>
      </c>
      <c r="AU1069" s="192">
        <f t="shared" si="435"/>
        <v>144.83293039383466</v>
      </c>
      <c r="AW1069" s="192">
        <f t="shared" si="436"/>
        <v>279.80161997165106</v>
      </c>
      <c r="AX1069" s="192">
        <f t="shared" si="437"/>
        <v>-134.96868957781641</v>
      </c>
    </row>
    <row r="1070" spans="1:50" ht="15.75" customHeight="1" x14ac:dyDescent="0.3">
      <c r="A1070" s="257"/>
      <c r="B1070" s="394" t="s">
        <v>708</v>
      </c>
      <c r="C1070" s="394"/>
      <c r="D1070" s="394"/>
      <c r="E1070" s="394"/>
      <c r="F1070" s="394"/>
      <c r="G1070" s="394"/>
      <c r="H1070" s="394"/>
      <c r="I1070" s="394"/>
      <c r="J1070" s="394"/>
      <c r="K1070" s="394"/>
      <c r="L1070" s="394"/>
      <c r="M1070" s="394"/>
      <c r="N1070" s="394"/>
      <c r="O1070" s="394"/>
      <c r="P1070" s="394"/>
      <c r="R1070" s="304"/>
      <c r="AC1070" s="4">
        <v>23</v>
      </c>
      <c r="AD1070" s="192">
        <f>IF($AF$1045=1,VLOOKUP($AD$1045,$A$1075:$P$1086,12,FALSE),IF(OR($AD$1045="JAN",$AD$1045="FEB",$AD$1045="NOV",$AD$1045="DEC"),VLOOKUP($AD$1045,$A$1048:$S$1059,3,FALSE),VLOOKUP($AD$1045,$A$1048:$S$1059,2,FALSE)))</f>
        <v>0</v>
      </c>
      <c r="AE1070" s="192">
        <f t="shared" si="419"/>
        <v>19.425595238095237</v>
      </c>
      <c r="AF1070" s="192">
        <f t="shared" si="420"/>
        <v>20.352678571428573</v>
      </c>
      <c r="AG1070" s="192">
        <f t="shared" si="421"/>
        <v>34.407738095238095</v>
      </c>
      <c r="AH1070" s="192">
        <f t="shared" si="422"/>
        <v>16.448580262084075</v>
      </c>
      <c r="AI1070" s="192">
        <f t="shared" si="423"/>
        <v>6.1086309523809526</v>
      </c>
      <c r="AJ1070" s="192">
        <f t="shared" si="424"/>
        <v>5.2723214285714288</v>
      </c>
      <c r="AK1070" s="192">
        <f t="shared" si="425"/>
        <v>8.1934523809523814</v>
      </c>
      <c r="AL1070" s="192">
        <f t="shared" si="426"/>
        <v>8.2485119047619051</v>
      </c>
      <c r="AM1070" s="192">
        <f t="shared" si="427"/>
        <v>2.4895833333333335</v>
      </c>
      <c r="AN1070" s="192">
        <f t="shared" si="428"/>
        <v>2.9345238095238098</v>
      </c>
      <c r="AO1070" s="192">
        <f t="shared" si="429"/>
        <v>5.8869047619047619</v>
      </c>
      <c r="AP1070" s="192">
        <f t="shared" si="430"/>
        <v>1.1502976190476191</v>
      </c>
      <c r="AQ1070" s="192">
        <f t="shared" si="431"/>
        <v>1.5297619047619049</v>
      </c>
      <c r="AR1070" s="192">
        <f t="shared" si="432"/>
        <v>2.7247023809523809</v>
      </c>
      <c r="AS1070" s="192">
        <f t="shared" si="433"/>
        <v>135.17328264303643</v>
      </c>
      <c r="AT1070" s="192">
        <f t="shared" si="434"/>
        <v>9.6596477507982215</v>
      </c>
      <c r="AU1070" s="192">
        <f t="shared" si="435"/>
        <v>144.83293039383466</v>
      </c>
      <c r="AW1070" s="192">
        <f t="shared" si="436"/>
        <v>279.80161997165106</v>
      </c>
      <c r="AX1070" s="192">
        <f t="shared" si="437"/>
        <v>-134.96868957781641</v>
      </c>
    </row>
    <row r="1071" spans="1:50" ht="15.75" customHeight="1" thickBot="1" x14ac:dyDescent="0.35">
      <c r="A1071" s="257"/>
      <c r="R1071" s="304"/>
      <c r="AC1071" s="4">
        <v>24</v>
      </c>
      <c r="AD1071" s="192">
        <f>IF($AF$1045=1,VLOOKUP($AD$1045,$A$1075:$P$1086,12,FALSE),VLOOKUP($AD$1045,$A$1048:$S$1059,2,FALSE))</f>
        <v>98</v>
      </c>
      <c r="AE1071" s="192">
        <f t="shared" si="419"/>
        <v>19.425595238095237</v>
      </c>
      <c r="AF1071" s="192">
        <f t="shared" si="420"/>
        <v>20.352678571428573</v>
      </c>
      <c r="AG1071" s="192">
        <f t="shared" si="421"/>
        <v>34.407738095238095</v>
      </c>
      <c r="AH1071" s="192">
        <f t="shared" si="422"/>
        <v>16.448580262084075</v>
      </c>
      <c r="AI1071" s="192">
        <f t="shared" si="423"/>
        <v>6.1086309523809526</v>
      </c>
      <c r="AJ1071" s="192">
        <f t="shared" si="424"/>
        <v>5.2723214285714288</v>
      </c>
      <c r="AK1071" s="192">
        <f t="shared" si="425"/>
        <v>8.1934523809523814</v>
      </c>
      <c r="AL1071" s="192">
        <f t="shared" si="426"/>
        <v>8.2485119047619051</v>
      </c>
      <c r="AM1071" s="192">
        <f t="shared" si="427"/>
        <v>2.4895833333333335</v>
      </c>
      <c r="AN1071" s="192">
        <f t="shared" si="428"/>
        <v>2.9345238095238098</v>
      </c>
      <c r="AO1071" s="192">
        <f t="shared" si="429"/>
        <v>5.8869047619047619</v>
      </c>
      <c r="AP1071" s="192">
        <f t="shared" si="430"/>
        <v>1.1502976190476191</v>
      </c>
      <c r="AQ1071" s="192">
        <f t="shared" si="431"/>
        <v>1.5297619047619049</v>
      </c>
      <c r="AR1071" s="192">
        <f t="shared" si="432"/>
        <v>2.7247023809523809</v>
      </c>
      <c r="AS1071" s="192">
        <f t="shared" si="433"/>
        <v>233.17328264303646</v>
      </c>
      <c r="AT1071" s="192">
        <f t="shared" si="434"/>
        <v>16.662847355546393</v>
      </c>
      <c r="AU1071" s="192">
        <f t="shared" si="435"/>
        <v>249.83612999858286</v>
      </c>
      <c r="AW1071" s="192">
        <f t="shared" si="436"/>
        <v>279.80161997165106</v>
      </c>
      <c r="AX1071" s="192">
        <f t="shared" si="437"/>
        <v>-29.965489973068202</v>
      </c>
    </row>
    <row r="1072" spans="1:50" ht="15.75" customHeight="1" x14ac:dyDescent="0.3">
      <c r="A1072" s="257"/>
      <c r="B1072" s="435" t="s">
        <v>806</v>
      </c>
      <c r="C1072" s="436"/>
      <c r="D1072" s="436"/>
      <c r="E1072" s="436"/>
      <c r="F1072" s="436"/>
      <c r="G1072" s="436"/>
      <c r="H1072" s="436"/>
      <c r="I1072" s="436"/>
      <c r="J1072" s="436"/>
      <c r="K1072" s="436"/>
      <c r="L1072" s="437"/>
      <c r="M1072" s="438" t="s">
        <v>807</v>
      </c>
      <c r="N1072" s="436"/>
      <c r="O1072" s="436"/>
      <c r="P1072" s="436"/>
      <c r="Q1072" s="192" t="s">
        <v>808</v>
      </c>
      <c r="R1072" s="312" t="s">
        <v>809</v>
      </c>
      <c r="S1072" s="192" t="s">
        <v>810</v>
      </c>
      <c r="T1072" s="192" t="s">
        <v>782</v>
      </c>
      <c r="AC1072" s="4" t="s">
        <v>641</v>
      </c>
      <c r="AD1072" s="192">
        <f>SUM(AD1048:AD1071)</f>
        <v>784</v>
      </c>
      <c r="AE1072" s="192">
        <f>SUM(AE1048:AE1071)</f>
        <v>466.21428571428572</v>
      </c>
      <c r="AF1072" s="192">
        <f t="shared" ref="AF1072:AW1072" si="449">SUM(AF1048:AF1071)</f>
        <v>488.46428571428561</v>
      </c>
      <c r="AG1072" s="192">
        <f t="shared" si="449"/>
        <v>825.78571428571399</v>
      </c>
      <c r="AH1072" s="192">
        <f t="shared" si="449"/>
        <v>394.76592629001783</v>
      </c>
      <c r="AI1072" s="192">
        <f t="shared" si="449"/>
        <v>146.60714285714286</v>
      </c>
      <c r="AJ1072" s="192">
        <f t="shared" si="449"/>
        <v>126.53571428571432</v>
      </c>
      <c r="AK1072" s="192">
        <f t="shared" si="449"/>
        <v>196.64285714285714</v>
      </c>
      <c r="AL1072" s="192">
        <f t="shared" si="449"/>
        <v>197.96428571428561</v>
      </c>
      <c r="AM1072" s="192">
        <f t="shared" si="449"/>
        <v>59.750000000000021</v>
      </c>
      <c r="AN1072" s="192">
        <f t="shared" si="449"/>
        <v>70.428571428571431</v>
      </c>
      <c r="AO1072" s="192">
        <f t="shared" si="449"/>
        <v>141.28571428571425</v>
      </c>
      <c r="AP1072" s="192">
        <f t="shared" si="449"/>
        <v>27.607142857142868</v>
      </c>
      <c r="AQ1072" s="192">
        <f t="shared" si="449"/>
        <v>36.714285714285715</v>
      </c>
      <c r="AR1072" s="192">
        <f t="shared" si="449"/>
        <v>65.392857142857125</v>
      </c>
      <c r="AS1072" s="192">
        <f t="shared" si="449"/>
        <v>4028.1587834328766</v>
      </c>
      <c r="AT1072" s="192">
        <f t="shared" si="449"/>
        <v>287.85714285714278</v>
      </c>
      <c r="AU1072" s="192">
        <f t="shared" si="449"/>
        <v>4316.0159262900142</v>
      </c>
      <c r="AW1072" s="192">
        <f t="shared" si="449"/>
        <v>6715.2388793196278</v>
      </c>
      <c r="AX1072" s="192">
        <f>SUMIF(AX1048:AX1071,"&gt;0")</f>
        <v>0</v>
      </c>
    </row>
    <row r="1073" spans="1:50" ht="15.75" customHeight="1" thickBot="1" x14ac:dyDescent="0.35">
      <c r="A1073" s="257" t="s">
        <v>768</v>
      </c>
      <c r="B1073" s="274" t="s">
        <v>811</v>
      </c>
      <c r="C1073" s="275" t="s">
        <v>791</v>
      </c>
      <c r="D1073" s="275" t="s">
        <v>792</v>
      </c>
      <c r="E1073" s="275" t="s">
        <v>812</v>
      </c>
      <c r="F1073" s="275" t="s">
        <v>791</v>
      </c>
      <c r="G1073" s="275" t="s">
        <v>792</v>
      </c>
      <c r="H1073" s="275" t="s">
        <v>793</v>
      </c>
      <c r="I1073" s="275" t="s">
        <v>791</v>
      </c>
      <c r="J1073" s="275" t="s">
        <v>792</v>
      </c>
      <c r="K1073" s="275" t="s">
        <v>793</v>
      </c>
      <c r="L1073" s="276" t="s">
        <v>813</v>
      </c>
      <c r="M1073" s="274" t="s">
        <v>814</v>
      </c>
      <c r="N1073" s="275" t="s">
        <v>791</v>
      </c>
      <c r="O1073" s="275" t="s">
        <v>791</v>
      </c>
      <c r="P1073" s="276" t="s">
        <v>813</v>
      </c>
      <c r="Q1073" s="277" t="s">
        <v>641</v>
      </c>
      <c r="R1073" s="313" t="s">
        <v>815</v>
      </c>
      <c r="S1073" s="275" t="s">
        <v>816</v>
      </c>
      <c r="T1073" s="275" t="s">
        <v>816</v>
      </c>
      <c r="AU1073" s="192"/>
      <c r="AW1073" s="192"/>
      <c r="AX1073" s="192"/>
    </row>
    <row r="1074" spans="1:50" ht="15.75" customHeight="1" thickTop="1" thickBot="1" x14ac:dyDescent="0.35">
      <c r="A1074" s="257"/>
      <c r="B1074" s="279"/>
      <c r="C1074" s="280" t="s">
        <v>817</v>
      </c>
      <c r="D1074" s="280" t="s">
        <v>817</v>
      </c>
      <c r="E1074" s="280" t="s">
        <v>817</v>
      </c>
      <c r="F1074" s="281" t="s">
        <v>779</v>
      </c>
      <c r="G1074" s="281" t="s">
        <v>779</v>
      </c>
      <c r="H1074" s="281" t="s">
        <v>779</v>
      </c>
      <c r="I1074" s="281" t="s">
        <v>818</v>
      </c>
      <c r="J1074" s="281" t="s">
        <v>818</v>
      </c>
      <c r="K1074" s="281" t="s">
        <v>818</v>
      </c>
      <c r="L1074" s="314" t="s">
        <v>819</v>
      </c>
      <c r="M1074" s="283"/>
      <c r="N1074" s="280" t="s">
        <v>817</v>
      </c>
      <c r="O1074" s="281" t="s">
        <v>779</v>
      </c>
      <c r="P1074" s="314" t="s">
        <v>818</v>
      </c>
      <c r="Q1074" s="277" t="s">
        <v>818</v>
      </c>
      <c r="R1074" s="313" t="s">
        <v>818</v>
      </c>
      <c r="S1074" s="281" t="s">
        <v>820</v>
      </c>
      <c r="T1074" s="281" t="s">
        <v>820</v>
      </c>
    </row>
    <row r="1075" spans="1:50" ht="15.75" customHeight="1" x14ac:dyDescent="0.3">
      <c r="A1075" s="257" t="s">
        <v>8</v>
      </c>
      <c r="B1075" s="211" t="e">
        <f ca="1">+$B$10-M1075</f>
        <v>#NAME?</v>
      </c>
      <c r="C1075" s="284">
        <v>4</v>
      </c>
      <c r="D1075" s="284">
        <v>0</v>
      </c>
      <c r="E1075" s="284" t="s">
        <v>803</v>
      </c>
      <c r="F1075" s="192">
        <f>+I1075/(24-S1075)</f>
        <v>196</v>
      </c>
      <c r="G1075" s="192">
        <f>+J1075/S1075</f>
        <v>0</v>
      </c>
      <c r="H1075" s="192" t="s">
        <v>803</v>
      </c>
      <c r="I1075" s="192">
        <f>+C1075*49*(24-S1075)</f>
        <v>3724</v>
      </c>
      <c r="J1075" s="192">
        <f>+D1075*49*S1075</f>
        <v>0</v>
      </c>
      <c r="K1075" s="192" t="s">
        <v>803</v>
      </c>
      <c r="L1075" s="312">
        <f>+J1075+I1075</f>
        <v>3724</v>
      </c>
      <c r="M1075" s="211" t="e">
        <f ca="1">SUMPRODUCT(--(WEEKDAY(ROW(INDIRECT(DATE($B$1069,MonthFromText(A1075),1)&amp;":"&amp;DATE($B$1069,MonthFromText(A1075),$B$10))),1)=1))</f>
        <v>#NAME?</v>
      </c>
      <c r="N1075" s="284">
        <v>4</v>
      </c>
      <c r="O1075" s="4">
        <f>+P1075/(24-T1075)</f>
        <v>196</v>
      </c>
      <c r="P1075" s="312">
        <f>+N1075*49*(24-T1075)</f>
        <v>3724</v>
      </c>
      <c r="Q1075" s="192" t="e">
        <f ca="1">+(L1075*B1075)+(M1075*P1075)</f>
        <v>#NAME?</v>
      </c>
      <c r="R1075" s="312" t="e">
        <f ca="1">+Q1075-B968</f>
        <v>#NAME?</v>
      </c>
      <c r="S1075" s="285">
        <v>5</v>
      </c>
      <c r="T1075" s="285">
        <v>5</v>
      </c>
      <c r="AD1075" s="360"/>
      <c r="AE1075" s="359"/>
      <c r="AF1075" s="366" t="s">
        <v>821</v>
      </c>
      <c r="AG1075" s="367" t="s">
        <v>822</v>
      </c>
      <c r="AH1075" s="367" t="s">
        <v>823</v>
      </c>
      <c r="AI1075" s="367" t="s">
        <v>824</v>
      </c>
      <c r="AJ1075" s="358"/>
    </row>
    <row r="1076" spans="1:50" ht="15.75" customHeight="1" x14ac:dyDescent="0.3">
      <c r="A1076" s="257" t="s">
        <v>9</v>
      </c>
      <c r="B1076" s="211" t="e">
        <f ca="1">+$C$10-M1076</f>
        <v>#NAME?</v>
      </c>
      <c r="C1076" s="284">
        <v>2</v>
      </c>
      <c r="D1076" s="284">
        <v>0</v>
      </c>
      <c r="E1076" s="284" t="s">
        <v>803</v>
      </c>
      <c r="F1076" s="192">
        <f t="shared" ref="F1076:F1086" si="450">+I1076/(24-S1076)</f>
        <v>98</v>
      </c>
      <c r="G1076" s="192">
        <f t="shared" ref="G1076:G1086" si="451">+J1076/S1076</f>
        <v>0</v>
      </c>
      <c r="H1076" s="192" t="s">
        <v>803</v>
      </c>
      <c r="I1076" s="192">
        <f t="shared" ref="I1076:I1086" si="452">+C1076*49*(24-S1076)</f>
        <v>1862</v>
      </c>
      <c r="J1076" s="192">
        <f t="shared" ref="J1076:J1086" si="453">+D1076*49*S1076</f>
        <v>0</v>
      </c>
      <c r="K1076" s="192" t="s">
        <v>803</v>
      </c>
      <c r="L1076" s="312">
        <f t="shared" ref="L1076:L1086" si="454">+J1076+I1076</f>
        <v>1862</v>
      </c>
      <c r="M1076" s="211" t="e">
        <f ca="1">SUMPRODUCT(--(WEEKDAY(ROW(INDIRECT(DATE($B$1069,MonthFromText(A1076),1)&amp;":"&amp;DATE($B$1069,MonthFromText(A1076),$C$10))),1)=1))</f>
        <v>#NAME?</v>
      </c>
      <c r="N1076" s="284">
        <f t="shared" ref="N1076:N1084" si="455">+C1076</f>
        <v>2</v>
      </c>
      <c r="O1076" s="4">
        <f t="shared" ref="O1076:O1086" si="456">+P1076/24</f>
        <v>98</v>
      </c>
      <c r="P1076" s="312">
        <f t="shared" ref="P1076:P1086" si="457">+N1076*49*24</f>
        <v>2352</v>
      </c>
      <c r="Q1076" s="192" t="e">
        <f ca="1">+(L1076*B1076)+(M1076*P1076)</f>
        <v>#NAME?</v>
      </c>
      <c r="R1076" s="312" t="e">
        <f t="shared" ref="R1076:R1086" ca="1" si="458">+Q1076-B969</f>
        <v>#NAME?</v>
      </c>
      <c r="S1076" s="285">
        <v>5</v>
      </c>
      <c r="T1076" s="285">
        <v>5</v>
      </c>
      <c r="AD1076" s="288" t="s">
        <v>668</v>
      </c>
      <c r="AE1076" s="289" t="s">
        <v>825</v>
      </c>
      <c r="AF1076" s="4">
        <f>V1048</f>
        <v>252.19623655913978</v>
      </c>
      <c r="AG1076" s="4">
        <f>X1048</f>
        <v>11.989179389805024</v>
      </c>
      <c r="AH1076" s="4">
        <f>Y1048</f>
        <v>-0.94487912455920309</v>
      </c>
      <c r="AI1076" s="4">
        <f>Z1048</f>
        <v>28.262096774193548</v>
      </c>
      <c r="AJ1076" s="304"/>
    </row>
    <row r="1077" spans="1:50" ht="16.5" customHeight="1" x14ac:dyDescent="0.3">
      <c r="A1077" s="257" t="s">
        <v>10</v>
      </c>
      <c r="B1077" s="211" t="e">
        <f ca="1">+$D$10-M1077</f>
        <v>#NAME?</v>
      </c>
      <c r="C1077" s="284">
        <v>6</v>
      </c>
      <c r="D1077" s="284">
        <v>0</v>
      </c>
      <c r="E1077" s="284" t="s">
        <v>803</v>
      </c>
      <c r="F1077" s="192">
        <f t="shared" si="450"/>
        <v>294</v>
      </c>
      <c r="G1077" s="192">
        <f t="shared" si="451"/>
        <v>0</v>
      </c>
      <c r="H1077" s="192" t="s">
        <v>803</v>
      </c>
      <c r="I1077" s="192">
        <f t="shared" si="452"/>
        <v>5586</v>
      </c>
      <c r="J1077" s="192">
        <f t="shared" si="453"/>
        <v>0</v>
      </c>
      <c r="K1077" s="192" t="s">
        <v>803</v>
      </c>
      <c r="L1077" s="312">
        <f t="shared" si="454"/>
        <v>5586</v>
      </c>
      <c r="M1077" s="211" t="e">
        <f ca="1">SUMPRODUCT(--(WEEKDAY(ROW(INDIRECT(DATE($B$1069,MonthFromText(A1077),1)&amp;":"&amp;DATE($B$1069,MonthFromText(A1077),$D$10))),1)=1))</f>
        <v>#NAME?</v>
      </c>
      <c r="N1077" s="284">
        <v>3</v>
      </c>
      <c r="O1077" s="4">
        <f t="shared" si="456"/>
        <v>147</v>
      </c>
      <c r="P1077" s="312">
        <f t="shared" si="457"/>
        <v>3528</v>
      </c>
      <c r="Q1077" s="192" t="e">
        <f t="shared" ref="Q1077:Q1086" ca="1" si="459">+(L1077*B1077)+(M1077*P1077)</f>
        <v>#NAME?</v>
      </c>
      <c r="R1077" s="312" t="e">
        <f t="shared" ca="1" si="458"/>
        <v>#NAME?</v>
      </c>
      <c r="S1077" s="285">
        <v>5</v>
      </c>
      <c r="T1077" s="285">
        <v>5</v>
      </c>
      <c r="AD1077" s="288"/>
      <c r="AE1077" s="289" t="s">
        <v>816</v>
      </c>
      <c r="AF1077" s="4">
        <f>W1048</f>
        <v>56.196236559139777</v>
      </c>
      <c r="AG1077" s="4">
        <f>X1048</f>
        <v>11.989179389805024</v>
      </c>
      <c r="AH1077" s="4">
        <f>Y1048</f>
        <v>-0.94487912455920309</v>
      </c>
      <c r="AI1077" s="4">
        <f>Z1048</f>
        <v>28.262096774193548</v>
      </c>
      <c r="AJ1077" s="304"/>
    </row>
    <row r="1078" spans="1:50" ht="16.5" customHeight="1" x14ac:dyDescent="0.3">
      <c r="A1078" s="257" t="s">
        <v>12</v>
      </c>
      <c r="B1078" s="211" t="e">
        <f ca="1">+$F$10-M1078</f>
        <v>#NAME?</v>
      </c>
      <c r="C1078" s="284">
        <v>6</v>
      </c>
      <c r="D1078" s="284">
        <v>0</v>
      </c>
      <c r="E1078" s="284" t="s">
        <v>803</v>
      </c>
      <c r="F1078" s="192">
        <f t="shared" si="450"/>
        <v>294</v>
      </c>
      <c r="G1078" s="192">
        <f t="shared" si="451"/>
        <v>0</v>
      </c>
      <c r="H1078" s="192" t="s">
        <v>803</v>
      </c>
      <c r="I1078" s="192">
        <f t="shared" si="452"/>
        <v>5586</v>
      </c>
      <c r="J1078" s="192">
        <f t="shared" si="453"/>
        <v>0</v>
      </c>
      <c r="K1078" s="192" t="s">
        <v>803</v>
      </c>
      <c r="L1078" s="312">
        <f t="shared" si="454"/>
        <v>5586</v>
      </c>
      <c r="M1078" s="211" t="e">
        <f ca="1">SUMPRODUCT(--(WEEKDAY(ROW(INDIRECT(DATE($B$1069,MonthFromText(A1078),1)&amp;":"&amp;DATE($B$1069,MonthFromText(A1078),$F$10))),1)=1))</f>
        <v>#NAME?</v>
      </c>
      <c r="N1078" s="284">
        <v>5</v>
      </c>
      <c r="O1078" s="4">
        <f t="shared" si="456"/>
        <v>245</v>
      </c>
      <c r="P1078" s="312">
        <f t="shared" si="457"/>
        <v>5880</v>
      </c>
      <c r="Q1078" s="192" t="e">
        <f t="shared" ca="1" si="459"/>
        <v>#NAME?</v>
      </c>
      <c r="R1078" s="312" t="e">
        <f t="shared" ca="1" si="458"/>
        <v>#NAME?</v>
      </c>
      <c r="S1078" s="285">
        <v>5</v>
      </c>
      <c r="T1078" s="285">
        <v>5</v>
      </c>
      <c r="AD1078" s="288" t="s">
        <v>826</v>
      </c>
      <c r="AE1078" s="289" t="s">
        <v>7</v>
      </c>
      <c r="AJ1078" s="304"/>
    </row>
    <row r="1079" spans="1:50" ht="15.75" customHeight="1" x14ac:dyDescent="0.3">
      <c r="A1079" s="257" t="s">
        <v>13</v>
      </c>
      <c r="B1079" s="211" t="e">
        <f ca="1">+$G$10-M1079</f>
        <v>#NAME?</v>
      </c>
      <c r="C1079" s="284">
        <v>6</v>
      </c>
      <c r="D1079" s="284">
        <v>0</v>
      </c>
      <c r="E1079" s="284" t="s">
        <v>803</v>
      </c>
      <c r="F1079" s="192">
        <f t="shared" si="450"/>
        <v>294</v>
      </c>
      <c r="G1079" s="192">
        <f t="shared" si="451"/>
        <v>0</v>
      </c>
      <c r="H1079" s="192" t="s">
        <v>803</v>
      </c>
      <c r="I1079" s="192">
        <f t="shared" si="452"/>
        <v>5586</v>
      </c>
      <c r="J1079" s="192">
        <f t="shared" si="453"/>
        <v>0</v>
      </c>
      <c r="K1079" s="192" t="s">
        <v>803</v>
      </c>
      <c r="L1079" s="312">
        <f t="shared" si="454"/>
        <v>5586</v>
      </c>
      <c r="M1079" s="211" t="e">
        <f ca="1">SUMPRODUCT(--(WEEKDAY(ROW(INDIRECT(DATE($B$1069,MonthFromText(A1079),1)&amp;":"&amp;DATE($B$1069,MonthFromText(A1079),$G$10))),1)=1))</f>
        <v>#NAME?</v>
      </c>
      <c r="N1079" s="284">
        <f t="shared" si="455"/>
        <v>6</v>
      </c>
      <c r="O1079" s="4">
        <f t="shared" si="456"/>
        <v>294</v>
      </c>
      <c r="P1079" s="312">
        <f t="shared" si="457"/>
        <v>7056</v>
      </c>
      <c r="Q1079" s="192" t="e">
        <f t="shared" ca="1" si="459"/>
        <v>#NAME?</v>
      </c>
      <c r="R1079" s="312" t="e">
        <f t="shared" ca="1" si="458"/>
        <v>#NAME?</v>
      </c>
      <c r="S1079" s="285">
        <v>5</v>
      </c>
      <c r="T1079" s="285">
        <v>5</v>
      </c>
      <c r="AD1079" s="288" t="s">
        <v>669</v>
      </c>
      <c r="AE1079" s="289" t="s">
        <v>825</v>
      </c>
      <c r="AF1079" s="4">
        <f>V1049</f>
        <v>172.1860119047619</v>
      </c>
      <c r="AG1079" s="4">
        <f>X1049</f>
        <v>16.448580262084075</v>
      </c>
      <c r="AH1079" s="4">
        <f>Y1049</f>
        <v>-3.327844314063229</v>
      </c>
      <c r="AI1079" s="4">
        <f>Z1049</f>
        <v>44.538690476190474</v>
      </c>
      <c r="AJ1079" s="304"/>
    </row>
    <row r="1080" spans="1:50" ht="15.75" customHeight="1" x14ac:dyDescent="0.3">
      <c r="A1080" s="257" t="s">
        <v>14</v>
      </c>
      <c r="B1080" s="211" t="e">
        <f ca="1">+$H$10-M1080</f>
        <v>#NAME?</v>
      </c>
      <c r="C1080" s="284">
        <v>3</v>
      </c>
      <c r="D1080" s="284">
        <v>0</v>
      </c>
      <c r="E1080" s="284">
        <v>0</v>
      </c>
      <c r="F1080" s="192">
        <f t="shared" si="450"/>
        <v>147</v>
      </c>
      <c r="G1080" s="192">
        <f t="shared" si="451"/>
        <v>0</v>
      </c>
      <c r="H1080" s="192" t="s">
        <v>803</v>
      </c>
      <c r="I1080" s="192">
        <f t="shared" si="452"/>
        <v>2205</v>
      </c>
      <c r="J1080" s="192">
        <f t="shared" si="453"/>
        <v>0</v>
      </c>
      <c r="K1080" s="192" t="s">
        <v>803</v>
      </c>
      <c r="L1080" s="312">
        <f t="shared" si="454"/>
        <v>2205</v>
      </c>
      <c r="M1080" s="211" t="e">
        <f ca="1">SUMPRODUCT(--(WEEKDAY(ROW(INDIRECT(DATE($B$1069,MonthFromText(A1080),1)&amp;":"&amp;DATE($B$1069,MonthFromText(A1080),$H$10))),1)=1))</f>
        <v>#NAME?</v>
      </c>
      <c r="N1080" s="284">
        <f t="shared" si="455"/>
        <v>3</v>
      </c>
      <c r="O1080" s="4">
        <f t="shared" si="456"/>
        <v>147</v>
      </c>
      <c r="P1080" s="312">
        <f t="shared" si="457"/>
        <v>3528</v>
      </c>
      <c r="Q1080" s="192" t="e">
        <f ca="1">+(L1080*B1080)+(M1080*P1080)</f>
        <v>#NAME?</v>
      </c>
      <c r="R1080" s="312" t="e">
        <f t="shared" ca="1" si="458"/>
        <v>#NAME?</v>
      </c>
      <c r="S1080" s="285">
        <v>9</v>
      </c>
      <c r="T1080" s="285">
        <v>9</v>
      </c>
      <c r="AD1080" s="288"/>
      <c r="AE1080" s="289" t="s">
        <v>816</v>
      </c>
      <c r="AF1080" s="4">
        <f>W1049</f>
        <v>74.186011904761898</v>
      </c>
      <c r="AG1080" s="4">
        <f>X1049</f>
        <v>16.448580262084075</v>
      </c>
      <c r="AH1080" s="4">
        <f>Y1049</f>
        <v>-3.327844314063229</v>
      </c>
      <c r="AI1080" s="4">
        <f>Z1049</f>
        <v>44.538690476190474</v>
      </c>
      <c r="AJ1080" s="304"/>
    </row>
    <row r="1081" spans="1:50" ht="15.75" customHeight="1" x14ac:dyDescent="0.3">
      <c r="A1081" s="257" t="s">
        <v>16</v>
      </c>
      <c r="B1081" s="211" t="e">
        <f ca="1">+$J$10-M1081</f>
        <v>#NAME?</v>
      </c>
      <c r="C1081" s="284">
        <v>3</v>
      </c>
      <c r="D1081" s="284">
        <v>0</v>
      </c>
      <c r="E1081" s="284">
        <v>0</v>
      </c>
      <c r="F1081" s="192">
        <f t="shared" si="450"/>
        <v>147</v>
      </c>
      <c r="G1081" s="192">
        <f t="shared" si="451"/>
        <v>0</v>
      </c>
      <c r="H1081" s="192" t="s">
        <v>803</v>
      </c>
      <c r="I1081" s="192">
        <f t="shared" si="452"/>
        <v>2205</v>
      </c>
      <c r="J1081" s="192">
        <f t="shared" si="453"/>
        <v>0</v>
      </c>
      <c r="K1081" s="192" t="s">
        <v>803</v>
      </c>
      <c r="L1081" s="312">
        <f t="shared" si="454"/>
        <v>2205</v>
      </c>
      <c r="M1081" s="211" t="e">
        <f ca="1">SUMPRODUCT(--(WEEKDAY(ROW(INDIRECT(DATE($B$1069,MonthFromText(A1081),1)&amp;":"&amp;DATE($B$1069,MonthFromText(A1081),$J$10))),1)=1))</f>
        <v>#NAME?</v>
      </c>
      <c r="N1081" s="284">
        <f t="shared" si="455"/>
        <v>3</v>
      </c>
      <c r="O1081" s="4">
        <f t="shared" si="456"/>
        <v>147</v>
      </c>
      <c r="P1081" s="312">
        <f t="shared" si="457"/>
        <v>3528</v>
      </c>
      <c r="Q1081" s="192" t="e">
        <f t="shared" ca="1" si="459"/>
        <v>#NAME?</v>
      </c>
      <c r="R1081" s="312" t="e">
        <f t="shared" ca="1" si="458"/>
        <v>#NAME?</v>
      </c>
      <c r="S1081" s="285">
        <v>9</v>
      </c>
      <c r="T1081" s="285">
        <v>9</v>
      </c>
      <c r="AD1081" s="288" t="s">
        <v>826</v>
      </c>
      <c r="AE1081" s="289" t="s">
        <v>7</v>
      </c>
      <c r="AJ1081" s="304"/>
    </row>
    <row r="1082" spans="1:50" ht="15.75" customHeight="1" x14ac:dyDescent="0.3">
      <c r="A1082" s="257" t="s">
        <v>17</v>
      </c>
      <c r="B1082" s="211" t="e">
        <f ca="1">+$K$10-M1082</f>
        <v>#NAME?</v>
      </c>
      <c r="C1082" s="284">
        <v>3</v>
      </c>
      <c r="D1082" s="284">
        <v>0</v>
      </c>
      <c r="E1082" s="284">
        <v>0</v>
      </c>
      <c r="F1082" s="192">
        <f t="shared" si="450"/>
        <v>147</v>
      </c>
      <c r="G1082" s="192">
        <f t="shared" si="451"/>
        <v>0</v>
      </c>
      <c r="H1082" s="192" t="s">
        <v>803</v>
      </c>
      <c r="I1082" s="192">
        <f t="shared" si="452"/>
        <v>2205</v>
      </c>
      <c r="J1082" s="192">
        <f t="shared" si="453"/>
        <v>0</v>
      </c>
      <c r="K1082" s="192" t="s">
        <v>803</v>
      </c>
      <c r="L1082" s="312">
        <f t="shared" si="454"/>
        <v>2205</v>
      </c>
      <c r="M1082" s="211" t="e">
        <f ca="1">SUMPRODUCT(--(WEEKDAY(ROW(INDIRECT(DATE($B$1069,MonthFromText(A1082),1)&amp;":"&amp;DATE($B$1069,MonthFromText(A1082),$K$10))),1)=1))</f>
        <v>#NAME?</v>
      </c>
      <c r="N1082" s="284">
        <f t="shared" si="455"/>
        <v>3</v>
      </c>
      <c r="O1082" s="4">
        <f t="shared" si="456"/>
        <v>147</v>
      </c>
      <c r="P1082" s="312">
        <f t="shared" si="457"/>
        <v>3528</v>
      </c>
      <c r="Q1082" s="192" t="e">
        <f t="shared" ca="1" si="459"/>
        <v>#NAME?</v>
      </c>
      <c r="R1082" s="312" t="e">
        <f t="shared" ca="1" si="458"/>
        <v>#NAME?</v>
      </c>
      <c r="S1082" s="285">
        <v>9</v>
      </c>
      <c r="T1082" s="285">
        <v>9</v>
      </c>
      <c r="AD1082" s="288" t="s">
        <v>671</v>
      </c>
      <c r="AE1082" s="289" t="s">
        <v>825</v>
      </c>
      <c r="AF1082" s="4">
        <f>V1050</f>
        <v>379.48252688172045</v>
      </c>
      <c r="AG1082" s="4">
        <f>X1050</f>
        <v>13.652098288951628</v>
      </c>
      <c r="AH1082" s="4">
        <f>Y1050</f>
        <v>-4.0497210540389421</v>
      </c>
      <c r="AI1082" s="4">
        <f>Z1050</f>
        <v>53.040322580645167</v>
      </c>
      <c r="AJ1082" s="304"/>
    </row>
    <row r="1083" spans="1:50" ht="15.75" customHeight="1" x14ac:dyDescent="0.3">
      <c r="A1083" s="257" t="s">
        <v>18</v>
      </c>
      <c r="B1083" s="211" t="e">
        <f ca="1">+$L$10-M1083</f>
        <v>#NAME?</v>
      </c>
      <c r="C1083" s="284">
        <v>5</v>
      </c>
      <c r="D1083" s="284">
        <v>0</v>
      </c>
      <c r="E1083" s="284" t="s">
        <v>803</v>
      </c>
      <c r="F1083" s="192">
        <f t="shared" si="450"/>
        <v>245</v>
      </c>
      <c r="G1083" s="192">
        <f t="shared" si="451"/>
        <v>0</v>
      </c>
      <c r="H1083" s="192" t="s">
        <v>803</v>
      </c>
      <c r="I1083" s="192">
        <f t="shared" si="452"/>
        <v>4410</v>
      </c>
      <c r="J1083" s="192">
        <f t="shared" si="453"/>
        <v>0</v>
      </c>
      <c r="K1083" s="192" t="s">
        <v>803</v>
      </c>
      <c r="L1083" s="312">
        <f t="shared" si="454"/>
        <v>4410</v>
      </c>
      <c r="M1083" s="211" t="e">
        <f ca="1">SUMPRODUCT(--(WEEKDAY(ROW(INDIRECT(DATE($B$1069,MonthFromText(A1083),1)&amp;":"&amp;DATE($B$1069,MonthFromText(A1083),$L$10))),1)=1))</f>
        <v>#NAME?</v>
      </c>
      <c r="N1083" s="284">
        <f t="shared" si="455"/>
        <v>5</v>
      </c>
      <c r="O1083" s="4">
        <f t="shared" si="456"/>
        <v>245</v>
      </c>
      <c r="P1083" s="312">
        <f t="shared" si="457"/>
        <v>5880</v>
      </c>
      <c r="Q1083" s="192" t="e">
        <f t="shared" ca="1" si="459"/>
        <v>#NAME?</v>
      </c>
      <c r="R1083" s="312" t="e">
        <f t="shared" ca="1" si="458"/>
        <v>#NAME?</v>
      </c>
      <c r="S1083" s="285">
        <v>6</v>
      </c>
      <c r="T1083" s="285">
        <v>4</v>
      </c>
      <c r="AD1083" s="288"/>
      <c r="AE1083" s="289" t="s">
        <v>816</v>
      </c>
      <c r="AF1083" s="4">
        <f>W1050</f>
        <v>85.482526881720418</v>
      </c>
      <c r="AG1083" s="4">
        <f>X1050</f>
        <v>13.652098288951628</v>
      </c>
      <c r="AH1083" s="4">
        <f>Y1050</f>
        <v>-4.0497210540389421</v>
      </c>
      <c r="AI1083" s="4">
        <f>Z1050</f>
        <v>53.040322580645167</v>
      </c>
      <c r="AJ1083" s="304"/>
    </row>
    <row r="1084" spans="1:50" ht="15.75" customHeight="1" x14ac:dyDescent="0.3">
      <c r="A1084" s="257" t="s">
        <v>20</v>
      </c>
      <c r="B1084" s="211" t="e">
        <f ca="1">+$N$10-M1084</f>
        <v>#NAME?</v>
      </c>
      <c r="C1084" s="284">
        <v>5</v>
      </c>
      <c r="D1084" s="284">
        <v>0</v>
      </c>
      <c r="E1084" s="284" t="s">
        <v>803</v>
      </c>
      <c r="F1084" s="192">
        <f t="shared" si="450"/>
        <v>245</v>
      </c>
      <c r="G1084" s="192">
        <f t="shared" si="451"/>
        <v>0</v>
      </c>
      <c r="H1084" s="192" t="s">
        <v>803</v>
      </c>
      <c r="I1084" s="192">
        <f t="shared" si="452"/>
        <v>4410</v>
      </c>
      <c r="J1084" s="192">
        <f t="shared" si="453"/>
        <v>0</v>
      </c>
      <c r="K1084" s="192" t="s">
        <v>803</v>
      </c>
      <c r="L1084" s="312">
        <f t="shared" si="454"/>
        <v>4410</v>
      </c>
      <c r="M1084" s="211" t="e">
        <f ca="1">SUMPRODUCT(--(WEEKDAY(ROW(INDIRECT(DATE($B$1069,MonthFromText(A1084),1)&amp;":"&amp;DATE($B$1069,MonthFromText(A1084),$N$10))),1)=1))</f>
        <v>#NAME?</v>
      </c>
      <c r="N1084" s="284">
        <f t="shared" si="455"/>
        <v>5</v>
      </c>
      <c r="O1084" s="4">
        <f t="shared" si="456"/>
        <v>245</v>
      </c>
      <c r="P1084" s="312">
        <f t="shared" si="457"/>
        <v>5880</v>
      </c>
      <c r="Q1084" s="192" t="e">
        <f t="shared" ca="1" si="459"/>
        <v>#NAME?</v>
      </c>
      <c r="R1084" s="312" t="e">
        <f t="shared" ca="1" si="458"/>
        <v>#NAME?</v>
      </c>
      <c r="S1084" s="285">
        <v>6</v>
      </c>
      <c r="T1084" s="285">
        <v>4</v>
      </c>
      <c r="AD1084" s="288" t="s">
        <v>826</v>
      </c>
      <c r="AE1084" s="289" t="s">
        <v>7</v>
      </c>
      <c r="AJ1084" s="304"/>
    </row>
    <row r="1085" spans="1:50" ht="15.75" customHeight="1" x14ac:dyDescent="0.3">
      <c r="A1085" s="257" t="s">
        <v>21</v>
      </c>
      <c r="B1085" s="211" t="e">
        <f ca="1">+$O$10-M1085</f>
        <v>#NAME?</v>
      </c>
      <c r="C1085" s="284">
        <v>5</v>
      </c>
      <c r="D1085" s="284">
        <v>0</v>
      </c>
      <c r="E1085" s="284" t="s">
        <v>803</v>
      </c>
      <c r="F1085" s="192">
        <f t="shared" si="450"/>
        <v>245</v>
      </c>
      <c r="G1085" s="192">
        <f t="shared" si="451"/>
        <v>0</v>
      </c>
      <c r="H1085" s="192" t="s">
        <v>803</v>
      </c>
      <c r="I1085" s="192">
        <f t="shared" si="452"/>
        <v>4410</v>
      </c>
      <c r="J1085" s="192">
        <f t="shared" si="453"/>
        <v>0</v>
      </c>
      <c r="K1085" s="192" t="s">
        <v>803</v>
      </c>
      <c r="L1085" s="312">
        <f t="shared" si="454"/>
        <v>4410</v>
      </c>
      <c r="M1085" s="211" t="e">
        <f ca="1">SUMPRODUCT(--(WEEKDAY(ROW(INDIRECT(DATE($B$1069,MonthFromText(A1085),1)&amp;":"&amp;DATE($B$1069,MonthFromText(A1085),$O$10))),1)=1))</f>
        <v>#NAME?</v>
      </c>
      <c r="N1085" s="284">
        <v>3</v>
      </c>
      <c r="O1085" s="4">
        <f t="shared" si="456"/>
        <v>147</v>
      </c>
      <c r="P1085" s="312">
        <f t="shared" si="457"/>
        <v>3528</v>
      </c>
      <c r="Q1085" s="192" t="e">
        <f t="shared" ca="1" si="459"/>
        <v>#NAME?</v>
      </c>
      <c r="R1085" s="312" t="e">
        <f t="shared" ca="1" si="458"/>
        <v>#NAME?</v>
      </c>
      <c r="S1085" s="285">
        <v>6</v>
      </c>
      <c r="T1085" s="285">
        <v>4</v>
      </c>
      <c r="AD1085" s="288" t="s">
        <v>672</v>
      </c>
      <c r="AE1085" s="289" t="s">
        <v>825</v>
      </c>
      <c r="AF1085" s="4">
        <f>V1051</f>
        <v>401.72638888888889</v>
      </c>
      <c r="AG1085" s="4">
        <f>X1051</f>
        <v>3.1383375835475373</v>
      </c>
      <c r="AH1085" s="4">
        <f>Y1051</f>
        <v>-1.4505912194396473</v>
      </c>
      <c r="AI1085" s="4">
        <f>Z1051</f>
        <v>68.540277777777774</v>
      </c>
      <c r="AJ1085" s="304"/>
    </row>
    <row r="1086" spans="1:50" ht="15.75" customHeight="1" thickBot="1" x14ac:dyDescent="0.35">
      <c r="A1086" s="257" t="s">
        <v>22</v>
      </c>
      <c r="B1086" s="220" t="e">
        <f ca="1">+$P$10-M1086</f>
        <v>#NAME?</v>
      </c>
      <c r="C1086" s="290">
        <v>5</v>
      </c>
      <c r="D1086" s="290">
        <v>0</v>
      </c>
      <c r="E1086" s="284" t="s">
        <v>803</v>
      </c>
      <c r="F1086" s="192">
        <f t="shared" si="450"/>
        <v>245</v>
      </c>
      <c r="G1086" s="192">
        <f t="shared" si="451"/>
        <v>0</v>
      </c>
      <c r="H1086" s="192" t="s">
        <v>803</v>
      </c>
      <c r="I1086" s="192">
        <f t="shared" si="452"/>
        <v>4410</v>
      </c>
      <c r="J1086" s="192">
        <f t="shared" si="453"/>
        <v>0</v>
      </c>
      <c r="K1086" s="192" t="s">
        <v>803</v>
      </c>
      <c r="L1086" s="312">
        <f t="shared" si="454"/>
        <v>4410</v>
      </c>
      <c r="M1086" s="220" t="e">
        <f ca="1">SUMPRODUCT(--(WEEKDAY(ROW(INDIRECT(DATE($B$1069,MonthFromText(A1086),1)&amp;":"&amp;DATE($B$1069,MonthFromText(A1086),$P$10))),1)=1))</f>
        <v>#NAME?</v>
      </c>
      <c r="N1086" s="284">
        <v>3</v>
      </c>
      <c r="O1086" s="135">
        <f t="shared" si="456"/>
        <v>147</v>
      </c>
      <c r="P1086" s="272">
        <f t="shared" si="457"/>
        <v>3528</v>
      </c>
      <c r="Q1086" s="291" t="e">
        <f t="shared" ca="1" si="459"/>
        <v>#NAME?</v>
      </c>
      <c r="R1086" s="292" t="e">
        <f t="shared" ca="1" si="458"/>
        <v>#NAME?</v>
      </c>
      <c r="S1086" s="285">
        <v>6</v>
      </c>
      <c r="T1086" s="285">
        <v>4</v>
      </c>
      <c r="AD1086" s="288"/>
      <c r="AE1086" s="289" t="s">
        <v>816</v>
      </c>
      <c r="AF1086" s="4">
        <f>W1051</f>
        <v>107.72638888888889</v>
      </c>
      <c r="AG1086" s="4">
        <f>X1051</f>
        <v>3.1383375835475373</v>
      </c>
      <c r="AH1086" s="4">
        <f>Y1051</f>
        <v>-1.4505912194396473</v>
      </c>
      <c r="AI1086" s="4">
        <f>Z1051</f>
        <v>68.540277777777774</v>
      </c>
      <c r="AJ1086" s="304"/>
    </row>
    <row r="1087" spans="1:50" ht="15.75" customHeight="1" thickBot="1" x14ac:dyDescent="0.35">
      <c r="A1087" s="134"/>
      <c r="B1087" s="135"/>
      <c r="C1087" s="135"/>
      <c r="D1087" s="135"/>
      <c r="E1087" s="223"/>
      <c r="F1087" s="223"/>
      <c r="G1087" s="223"/>
      <c r="H1087" s="223"/>
      <c r="I1087" s="223"/>
      <c r="J1087" s="223"/>
      <c r="K1087" s="223"/>
      <c r="L1087" s="223"/>
      <c r="M1087" s="135"/>
      <c r="N1087" s="135"/>
      <c r="O1087" s="135"/>
      <c r="P1087" s="135"/>
      <c r="Q1087" s="206" t="e">
        <f ca="1">+SUM(Q1075:Q1086)</f>
        <v>#NAME?</v>
      </c>
      <c r="R1087" s="272" t="e">
        <f ca="1">+Q1087-B981</f>
        <v>#NAME?</v>
      </c>
      <c r="AD1087" s="288" t="s">
        <v>826</v>
      </c>
      <c r="AE1087" s="289" t="s">
        <v>7</v>
      </c>
      <c r="AJ1087" s="304"/>
    </row>
    <row r="1088" spans="1:50" ht="15.75" customHeight="1" x14ac:dyDescent="0.3">
      <c r="A1088" s="260" t="s">
        <v>827</v>
      </c>
      <c r="J1088" s="192"/>
      <c r="AD1088" s="288" t="s">
        <v>673</v>
      </c>
      <c r="AE1088" s="289" t="s">
        <v>825</v>
      </c>
      <c r="AF1088" s="4">
        <f>V1052</f>
        <v>404.71102150537632</v>
      </c>
      <c r="AG1088" s="4">
        <f>X1052</f>
        <v>1.1827884043524532</v>
      </c>
      <c r="AH1088" s="4">
        <f>Y1052</f>
        <v>-1.0127167351370636</v>
      </c>
      <c r="AI1088" s="4">
        <f>Z1052</f>
        <v>66.646505376344095</v>
      </c>
      <c r="AJ1088" s="304"/>
    </row>
    <row r="1089" spans="1:36" ht="15.75" customHeight="1" x14ac:dyDescent="0.3">
      <c r="A1089" s="260" t="s">
        <v>828</v>
      </c>
      <c r="AD1089" s="288"/>
      <c r="AE1089" s="289" t="s">
        <v>816</v>
      </c>
      <c r="AF1089" s="4">
        <f>W1052</f>
        <v>110.71102150537634</v>
      </c>
      <c r="AG1089" s="4">
        <f>X1052</f>
        <v>1.1827884043524532</v>
      </c>
      <c r="AH1089" s="4">
        <f>Y1052</f>
        <v>-1.0127167351370636</v>
      </c>
      <c r="AI1089" s="4">
        <f>Z1052</f>
        <v>66.646505376344095</v>
      </c>
      <c r="AJ1089" s="304"/>
    </row>
    <row r="1090" spans="1:36" ht="15.75" customHeight="1" x14ac:dyDescent="0.3">
      <c r="A1090" s="260" t="s">
        <v>829</v>
      </c>
      <c r="AD1090" s="288" t="s">
        <v>826</v>
      </c>
      <c r="AE1090" s="289" t="s">
        <v>7</v>
      </c>
      <c r="AJ1090" s="304"/>
    </row>
    <row r="1091" spans="1:36" ht="15.75" customHeight="1" x14ac:dyDescent="0.3">
      <c r="AD1091" s="288" t="s">
        <v>675</v>
      </c>
      <c r="AE1091" s="289" t="s">
        <v>825</v>
      </c>
      <c r="AF1091" s="4">
        <f>V1053</f>
        <v>204.40833333333333</v>
      </c>
      <c r="AG1091" s="4">
        <f>X1053</f>
        <v>0</v>
      </c>
      <c r="AH1091" s="4">
        <f>Y1053</f>
        <v>-20.071341999497623</v>
      </c>
      <c r="AI1091" s="4">
        <f>Z1053</f>
        <v>66.05972222222222</v>
      </c>
      <c r="AJ1091" s="304"/>
    </row>
    <row r="1092" spans="1:36" ht="15.75" customHeight="1" x14ac:dyDescent="0.3">
      <c r="A1092" s="4" t="s">
        <v>830</v>
      </c>
      <c r="AD1092" s="288"/>
      <c r="AE1092" s="289" t="s">
        <v>816</v>
      </c>
      <c r="AF1092" s="4">
        <f>W1053</f>
        <v>57.408333333333331</v>
      </c>
      <c r="AG1092" s="4">
        <f>X1053</f>
        <v>0</v>
      </c>
      <c r="AH1092" s="4">
        <f>Y1053</f>
        <v>-20.071341999497623</v>
      </c>
      <c r="AI1092" s="4">
        <f>Z1053</f>
        <v>66.05972222222222</v>
      </c>
      <c r="AJ1092" s="304"/>
    </row>
    <row r="1093" spans="1:36" ht="15.75" customHeight="1" x14ac:dyDescent="0.3">
      <c r="AD1093" s="288" t="s">
        <v>826</v>
      </c>
      <c r="AE1093" s="289" t="s">
        <v>7</v>
      </c>
      <c r="AJ1093" s="304"/>
    </row>
    <row r="1094" spans="1:36" ht="15.75" customHeight="1" x14ac:dyDescent="0.3">
      <c r="AD1094" s="288" t="s">
        <v>676</v>
      </c>
      <c r="AE1094" s="289" t="s">
        <v>825</v>
      </c>
      <c r="AF1094" s="4">
        <f>V1054</f>
        <v>194.13575268817203</v>
      </c>
      <c r="AG1094" s="4">
        <f>X1054</f>
        <v>0</v>
      </c>
      <c r="AH1094" s="4">
        <f>Y1054</f>
        <v>-19.193317872210777</v>
      </c>
      <c r="AI1094" s="4">
        <f>Z1054</f>
        <v>63.869623655913983</v>
      </c>
      <c r="AJ1094" s="304"/>
    </row>
    <row r="1095" spans="1:36" ht="16.5" customHeight="1" x14ac:dyDescent="0.3">
      <c r="AD1095" s="288"/>
      <c r="AE1095" s="289" t="s">
        <v>816</v>
      </c>
      <c r="AF1095" s="4">
        <f>W1054</f>
        <v>47.13575268817204</v>
      </c>
      <c r="AG1095" s="4">
        <f>X1054</f>
        <v>0</v>
      </c>
      <c r="AH1095" s="4">
        <f>Y1054</f>
        <v>-19.193317872210777</v>
      </c>
      <c r="AI1095" s="4">
        <f>Z1054</f>
        <v>63.869623655913983</v>
      </c>
      <c r="AJ1095" s="304"/>
    </row>
    <row r="1096" spans="1:36" ht="15.75" customHeight="1" x14ac:dyDescent="0.3">
      <c r="AD1096" s="288" t="s">
        <v>826</v>
      </c>
      <c r="AE1096" s="289" t="s">
        <v>7</v>
      </c>
      <c r="AJ1096" s="304"/>
    </row>
    <row r="1097" spans="1:36" ht="16.5" customHeight="1" x14ac:dyDescent="0.3">
      <c r="AD1097" s="288" t="s">
        <v>691</v>
      </c>
      <c r="AE1097" s="289" t="s">
        <v>825</v>
      </c>
      <c r="AF1097" s="4">
        <f>V1055</f>
        <v>162.3991935483871</v>
      </c>
      <c r="AG1097" s="4">
        <f>X1055</f>
        <v>0</v>
      </c>
      <c r="AH1097" s="4">
        <f>Y1055</f>
        <v>-22.245169094778888</v>
      </c>
      <c r="AI1097" s="4">
        <f>Z1055</f>
        <v>67.284946236559136</v>
      </c>
      <c r="AJ1097" s="304"/>
    </row>
    <row r="1098" spans="1:36" ht="15.75" customHeight="1" x14ac:dyDescent="0.3">
      <c r="AD1098" s="288"/>
      <c r="AE1098" s="289" t="s">
        <v>816</v>
      </c>
      <c r="AF1098" s="4">
        <f>W1055</f>
        <v>15.399193548387096</v>
      </c>
      <c r="AG1098" s="4">
        <f>X1055</f>
        <v>0</v>
      </c>
      <c r="AH1098" s="4">
        <f>Y1055</f>
        <v>-22.245169094778888</v>
      </c>
      <c r="AI1098" s="4">
        <f>Z1055</f>
        <v>67.284946236559136</v>
      </c>
      <c r="AJ1098" s="304"/>
    </row>
    <row r="1099" spans="1:36" ht="15.75" customHeight="1" x14ac:dyDescent="0.3">
      <c r="AD1099" s="288" t="s">
        <v>826</v>
      </c>
      <c r="AE1099" s="289" t="s">
        <v>7</v>
      </c>
      <c r="AJ1099" s="304"/>
    </row>
    <row r="1100" spans="1:36" ht="15.75" customHeight="1" x14ac:dyDescent="0.3">
      <c r="AD1100" s="288" t="s">
        <v>831</v>
      </c>
      <c r="AE1100" s="289" t="s">
        <v>825</v>
      </c>
      <c r="AF1100" s="4">
        <f>V1056</f>
        <v>350.79722222222222</v>
      </c>
      <c r="AG1100" s="4">
        <f>X1056</f>
        <v>4.3052579416601784</v>
      </c>
      <c r="AH1100" s="4">
        <f>Y1056</f>
        <v>-1.1410015071590049</v>
      </c>
      <c r="AI1100" s="4">
        <f>Z1056</f>
        <v>57.140277777777776</v>
      </c>
      <c r="AJ1100" s="304"/>
    </row>
    <row r="1101" spans="1:36" ht="15.75" customHeight="1" x14ac:dyDescent="0.3">
      <c r="AD1101" s="288"/>
      <c r="AE1101" s="289" t="s">
        <v>816</v>
      </c>
      <c r="AF1101" s="4">
        <f>W1056</f>
        <v>105.79722222222222</v>
      </c>
      <c r="AG1101" s="4">
        <f>X1056</f>
        <v>4.3052579416601784</v>
      </c>
      <c r="AH1101" s="4">
        <f>Y1056</f>
        <v>-1.1410015071590049</v>
      </c>
      <c r="AI1101" s="4">
        <f>Z1056</f>
        <v>57.140277777777776</v>
      </c>
      <c r="AJ1101" s="304"/>
    </row>
    <row r="1102" spans="1:36" ht="15.75" customHeight="1" x14ac:dyDescent="0.3">
      <c r="I1102" s="192"/>
      <c r="J1102" s="192"/>
      <c r="AD1102" s="288" t="s">
        <v>826</v>
      </c>
      <c r="AE1102" s="289" t="s">
        <v>7</v>
      </c>
      <c r="AJ1102" s="304"/>
    </row>
    <row r="1103" spans="1:36" ht="15.75" customHeight="1" x14ac:dyDescent="0.3">
      <c r="AD1103" s="288" t="s">
        <v>693</v>
      </c>
      <c r="AE1103" s="289" t="s">
        <v>825</v>
      </c>
      <c r="AF1103" s="4">
        <f>V1057</f>
        <v>354.83467741935488</v>
      </c>
      <c r="AG1103" s="4">
        <f>X1057</f>
        <v>22.928397106742242</v>
      </c>
      <c r="AH1103" s="4">
        <f>Y1057</f>
        <v>0</v>
      </c>
      <c r="AI1103" s="4">
        <f>Z1057</f>
        <v>26.626344086021508</v>
      </c>
      <c r="AJ1103" s="304"/>
    </row>
    <row r="1104" spans="1:36" ht="15.75" customHeight="1" x14ac:dyDescent="0.3">
      <c r="AD1104" s="288"/>
      <c r="AE1104" s="289" t="s">
        <v>816</v>
      </c>
      <c r="AF1104" s="4">
        <f>W1057</f>
        <v>109.83467741935485</v>
      </c>
      <c r="AG1104" s="4">
        <f>X1057</f>
        <v>22.928397106742242</v>
      </c>
      <c r="AH1104" s="4">
        <f>Y1057</f>
        <v>0</v>
      </c>
      <c r="AI1104" s="4">
        <f>Z1057</f>
        <v>26.626344086021508</v>
      </c>
      <c r="AJ1104" s="304"/>
    </row>
    <row r="1105" spans="1:36" ht="15.75" customHeight="1" x14ac:dyDescent="0.3">
      <c r="AD1105" s="288" t="s">
        <v>826</v>
      </c>
      <c r="AE1105" s="289" t="s">
        <v>7</v>
      </c>
      <c r="AJ1105" s="304"/>
    </row>
    <row r="1106" spans="1:36" ht="15.75" customHeight="1" x14ac:dyDescent="0.3">
      <c r="AD1106" s="288" t="s">
        <v>694</v>
      </c>
      <c r="AE1106" s="289" t="s">
        <v>825</v>
      </c>
      <c r="AF1106" s="4">
        <f>V1058</f>
        <v>355.33472222222224</v>
      </c>
      <c r="AG1106" s="4">
        <f>X1058</f>
        <v>21.466920605037654</v>
      </c>
      <c r="AH1106" s="4">
        <f>Y1058</f>
        <v>-1.8917336515113424E-2</v>
      </c>
      <c r="AI1106" s="4">
        <f>Z1058</f>
        <v>16.7</v>
      </c>
      <c r="AJ1106" s="304"/>
    </row>
    <row r="1107" spans="1:36" ht="15.75" customHeight="1" x14ac:dyDescent="0.3">
      <c r="AD1107" s="288"/>
      <c r="AE1107" s="289" t="s">
        <v>816</v>
      </c>
      <c r="AF1107" s="4">
        <f>W1058</f>
        <v>110.33472222222221</v>
      </c>
      <c r="AG1107" s="4">
        <f>X1058</f>
        <v>21.466920605037654</v>
      </c>
      <c r="AH1107" s="4">
        <f>Y1058</f>
        <v>-1.8917336515113424E-2</v>
      </c>
      <c r="AI1107" s="4">
        <f>Z1058</f>
        <v>16.7</v>
      </c>
      <c r="AJ1107" s="304"/>
    </row>
    <row r="1108" spans="1:36" ht="15.75" customHeight="1" x14ac:dyDescent="0.3">
      <c r="AD1108" s="288" t="s">
        <v>826</v>
      </c>
      <c r="AE1108" s="289" t="s">
        <v>7</v>
      </c>
      <c r="AJ1108" s="304"/>
    </row>
    <row r="1109" spans="1:36" ht="15.75" customHeight="1" thickBot="1" x14ac:dyDescent="0.35">
      <c r="AD1109" s="288" t="s">
        <v>695</v>
      </c>
      <c r="AE1109" s="289" t="s">
        <v>825</v>
      </c>
      <c r="AF1109" s="4">
        <f>V1059</f>
        <v>333.93010752688173</v>
      </c>
      <c r="AG1109" s="4">
        <f>X1059</f>
        <v>20.731206096083827</v>
      </c>
      <c r="AH1109" s="4">
        <f>Y1059</f>
        <v>0</v>
      </c>
      <c r="AI1109" s="4">
        <f>Z1059</f>
        <v>14.760752688172044</v>
      </c>
      <c r="AJ1109" s="304"/>
    </row>
    <row r="1110" spans="1:36" ht="15.75" customHeight="1" x14ac:dyDescent="0.35">
      <c r="A1110" s="350"/>
      <c r="B1110" s="351"/>
      <c r="C1110" s="369"/>
      <c r="D1110" s="369"/>
      <c r="E1110" s="369"/>
      <c r="F1110" s="369"/>
      <c r="G1110" s="369"/>
      <c r="H1110" s="352" t="s">
        <v>832</v>
      </c>
      <c r="I1110" s="351"/>
      <c r="J1110" s="351"/>
      <c r="K1110" s="351"/>
      <c r="L1110" s="351"/>
      <c r="M1110" s="351"/>
      <c r="N1110" s="351"/>
      <c r="O1110" s="351"/>
      <c r="P1110" s="351"/>
      <c r="Q1110" s="354" t="str">
        <f>+Q1</f>
        <v xml:space="preserve">PRINTED:  </v>
      </c>
      <c r="R1110" s="357">
        <f ca="1">+R1</f>
        <v>44894.658168402777</v>
      </c>
      <c r="S1110" s="358"/>
      <c r="AD1110" s="288"/>
      <c r="AE1110" s="289" t="s">
        <v>816</v>
      </c>
      <c r="AF1110" s="4">
        <f>W1059</f>
        <v>88.930107526881727</v>
      </c>
      <c r="AG1110" s="4">
        <f>X1059</f>
        <v>20.731206096083827</v>
      </c>
      <c r="AH1110" s="4">
        <f>Y1059</f>
        <v>0</v>
      </c>
      <c r="AI1110" s="4">
        <f>Z1059</f>
        <v>14.760752688172044</v>
      </c>
      <c r="AJ1110" s="304"/>
    </row>
    <row r="1111" spans="1:36" ht="15.75" customHeight="1" thickBot="1" x14ac:dyDescent="0.4">
      <c r="A1111" s="179"/>
      <c r="B1111" s="180"/>
      <c r="C1111" s="201"/>
      <c r="D1111" s="201"/>
      <c r="E1111" s="201"/>
      <c r="F1111" s="201"/>
      <c r="G1111" s="201"/>
      <c r="H1111" s="180" t="s">
        <v>633</v>
      </c>
      <c r="I1111" s="180" t="s">
        <v>7</v>
      </c>
      <c r="J1111" s="202" t="str">
        <f>+A8</f>
        <v>Revised:  3/2/2019</v>
      </c>
      <c r="K1111" s="180"/>
      <c r="L1111" s="180"/>
      <c r="M1111" s="180"/>
      <c r="N1111" s="180"/>
      <c r="O1111" s="180"/>
      <c r="P1111" s="180"/>
      <c r="Q1111" s="180"/>
      <c r="R1111" s="180"/>
      <c r="S1111" s="304"/>
      <c r="AD1111" s="295" t="s">
        <v>826</v>
      </c>
      <c r="AE1111" s="296" t="s">
        <v>7</v>
      </c>
      <c r="AF1111" s="135"/>
      <c r="AG1111" s="135"/>
      <c r="AH1111" s="135"/>
      <c r="AI1111" s="135"/>
      <c r="AJ1111" s="136"/>
    </row>
    <row r="1112" spans="1:36" ht="15.75" customHeight="1" x14ac:dyDescent="0.35">
      <c r="A1112" s="179"/>
      <c r="B1112" s="180"/>
      <c r="C1112" s="201"/>
      <c r="D1112" s="201"/>
      <c r="E1112" s="201"/>
      <c r="F1112" s="201"/>
      <c r="G1112" s="201"/>
      <c r="H1112" s="180" t="s">
        <v>833</v>
      </c>
      <c r="I1112" s="180"/>
      <c r="J1112" s="180"/>
      <c r="K1112" s="180"/>
      <c r="L1112" s="180"/>
      <c r="M1112" s="180"/>
      <c r="N1112" s="180"/>
      <c r="O1112" s="180"/>
      <c r="P1112" s="180"/>
      <c r="Q1112" s="180"/>
      <c r="R1112" s="180"/>
      <c r="S1112" s="304"/>
    </row>
    <row r="1113" spans="1:36" ht="15.75" customHeight="1" x14ac:dyDescent="0.35">
      <c r="A1113" s="179"/>
      <c r="B1113" s="180"/>
      <c r="C1113" s="201"/>
      <c r="D1113" s="201"/>
      <c r="E1113" s="201"/>
      <c r="F1113" s="201"/>
      <c r="G1113" s="201"/>
      <c r="H1113" s="180"/>
      <c r="I1113" s="180"/>
      <c r="J1113" s="180"/>
      <c r="K1113" s="180"/>
      <c r="L1113" s="180"/>
      <c r="M1113" s="180"/>
      <c r="N1113" s="180"/>
      <c r="O1113" s="180"/>
      <c r="P1113" s="180"/>
      <c r="Q1113" s="180"/>
      <c r="R1113" s="180"/>
      <c r="S1113" s="304"/>
    </row>
    <row r="1114" spans="1:36" ht="15.75" customHeight="1" x14ac:dyDescent="0.35">
      <c r="A1114" s="179"/>
      <c r="B1114" s="180"/>
      <c r="C1114" s="201"/>
      <c r="D1114" s="201"/>
      <c r="E1114" s="201"/>
      <c r="F1114" s="201"/>
      <c r="G1114" s="201"/>
      <c r="H1114" s="180" t="s">
        <v>633</v>
      </c>
      <c r="I1114" s="297">
        <f>+A5</f>
        <v>2018</v>
      </c>
      <c r="J1114" s="180"/>
      <c r="K1114" s="180"/>
      <c r="L1114" s="180"/>
      <c r="M1114" s="180"/>
      <c r="N1114" s="180"/>
      <c r="O1114" s="180"/>
      <c r="P1114" s="180"/>
      <c r="Q1114" s="180"/>
      <c r="R1114" s="180"/>
      <c r="S1114" s="304"/>
    </row>
    <row r="1115" spans="1:36" ht="15.75" customHeight="1" x14ac:dyDescent="0.3">
      <c r="A1115" s="179"/>
      <c r="B1115" s="180"/>
      <c r="C1115" s="180"/>
      <c r="D1115" s="180"/>
      <c r="E1115" s="180"/>
      <c r="F1115" s="180"/>
      <c r="G1115" s="180"/>
      <c r="H1115" s="180"/>
      <c r="I1115" s="180"/>
      <c r="J1115" s="180"/>
      <c r="K1115" s="180"/>
      <c r="L1115" s="180"/>
      <c r="M1115" s="180"/>
      <c r="N1115" s="180"/>
      <c r="O1115" s="180"/>
      <c r="P1115" s="180"/>
      <c r="Q1115" s="180"/>
      <c r="R1115" s="180"/>
      <c r="S1115" s="304"/>
    </row>
    <row r="1116" spans="1:36" ht="15.75" customHeight="1" x14ac:dyDescent="0.3">
      <c r="A1116" s="179"/>
      <c r="B1116" s="180"/>
      <c r="C1116" s="199" t="s">
        <v>834</v>
      </c>
      <c r="D1116" s="180"/>
      <c r="E1116" s="180"/>
      <c r="F1116" s="180"/>
      <c r="G1116" s="199" t="s">
        <v>835</v>
      </c>
      <c r="H1116" s="180"/>
      <c r="I1116" s="180"/>
      <c r="J1116" s="180"/>
      <c r="K1116" s="298" t="s">
        <v>836</v>
      </c>
      <c r="L1116" s="180"/>
      <c r="M1116" s="180"/>
      <c r="N1116" s="180"/>
      <c r="O1116" s="298" t="s">
        <v>837</v>
      </c>
      <c r="P1116" s="180"/>
      <c r="Q1116" s="180"/>
      <c r="R1116" s="180"/>
      <c r="S1116" s="304"/>
    </row>
    <row r="1117" spans="1:36" ht="15.75" customHeight="1" x14ac:dyDescent="0.3">
      <c r="A1117" s="179"/>
      <c r="B1117" s="180"/>
      <c r="C1117" s="180">
        <f>+A5</f>
        <v>2018</v>
      </c>
      <c r="D1117" s="180"/>
      <c r="E1117" s="180"/>
      <c r="F1117" s="180" t="s">
        <v>838</v>
      </c>
      <c r="G1117" s="180"/>
      <c r="H1117" s="180"/>
      <c r="I1117" s="180"/>
      <c r="J1117" s="180"/>
      <c r="K1117" s="180">
        <f>+A5</f>
        <v>2018</v>
      </c>
      <c r="L1117" s="180"/>
      <c r="M1117" s="180"/>
      <c r="N1117" s="180"/>
      <c r="O1117" s="180">
        <f>+A5</f>
        <v>2018</v>
      </c>
      <c r="P1117" s="180"/>
      <c r="Q1117" s="180"/>
      <c r="R1117" s="180"/>
      <c r="S1117" s="304"/>
    </row>
    <row r="1118" spans="1:36" ht="15.75" customHeight="1" x14ac:dyDescent="0.3">
      <c r="A1118" s="179"/>
      <c r="B1118" s="180"/>
      <c r="C1118" s="180"/>
      <c r="D1118" s="180"/>
      <c r="E1118" s="180"/>
      <c r="F1118" s="180"/>
      <c r="G1118" s="180">
        <f>+A5</f>
        <v>2018</v>
      </c>
      <c r="H1118" s="180"/>
      <c r="I1118" s="180"/>
      <c r="J1118" s="180"/>
      <c r="K1118" s="180"/>
      <c r="L1118" s="180"/>
      <c r="M1118" s="180"/>
      <c r="N1118" s="180"/>
      <c r="O1118" s="180"/>
      <c r="P1118" s="180"/>
      <c r="Q1118" s="180"/>
      <c r="R1118" s="180"/>
      <c r="S1118" s="304"/>
    </row>
    <row r="1119" spans="1:36" ht="15.75" customHeight="1" x14ac:dyDescent="0.3">
      <c r="A1119" s="179"/>
      <c r="B1119" s="180"/>
      <c r="C1119" s="182" t="s">
        <v>839</v>
      </c>
      <c r="D1119" s="182" t="s">
        <v>840</v>
      </c>
      <c r="E1119" s="182" t="s">
        <v>841</v>
      </c>
      <c r="F1119" s="180"/>
      <c r="G1119" s="182" t="s">
        <v>842</v>
      </c>
      <c r="H1119" s="182" t="s">
        <v>840</v>
      </c>
      <c r="I1119" s="182" t="s">
        <v>843</v>
      </c>
      <c r="J1119" s="180"/>
      <c r="K1119" s="182" t="s">
        <v>738</v>
      </c>
      <c r="L1119" s="182" t="s">
        <v>840</v>
      </c>
      <c r="M1119" s="182" t="s">
        <v>844</v>
      </c>
      <c r="N1119" s="180"/>
      <c r="O1119" s="182" t="s">
        <v>738</v>
      </c>
      <c r="P1119" s="182" t="s">
        <v>840</v>
      </c>
      <c r="Q1119" s="182" t="s">
        <v>844</v>
      </c>
      <c r="R1119" s="180"/>
      <c r="S1119" s="304"/>
    </row>
    <row r="1120" spans="1:36" ht="15.75" customHeight="1" x14ac:dyDescent="0.3">
      <c r="A1120" s="179"/>
      <c r="B1120" s="180"/>
      <c r="C1120" s="182" t="s">
        <v>845</v>
      </c>
      <c r="D1120" s="182" t="s">
        <v>658</v>
      </c>
      <c r="E1120" s="182" t="s">
        <v>846</v>
      </c>
      <c r="F1120" s="180"/>
      <c r="G1120" s="182" t="s">
        <v>847</v>
      </c>
      <c r="H1120" s="182" t="s">
        <v>658</v>
      </c>
      <c r="I1120" s="182" t="s">
        <v>846</v>
      </c>
      <c r="J1120" s="180"/>
      <c r="K1120" s="182" t="s">
        <v>848</v>
      </c>
      <c r="L1120" s="182" t="s">
        <v>658</v>
      </c>
      <c r="M1120" s="182" t="s">
        <v>846</v>
      </c>
      <c r="N1120" s="180"/>
      <c r="O1120" s="182" t="s">
        <v>848</v>
      </c>
      <c r="P1120" s="182" t="s">
        <v>658</v>
      </c>
      <c r="Q1120" s="182" t="s">
        <v>846</v>
      </c>
      <c r="R1120" s="180"/>
      <c r="S1120" s="304"/>
    </row>
    <row r="1121" spans="1:19" ht="15.75" customHeight="1" x14ac:dyDescent="0.3">
      <c r="A1121" s="179"/>
      <c r="B1121" s="180"/>
      <c r="C1121" s="182" t="s">
        <v>658</v>
      </c>
      <c r="D1121" s="182" t="s">
        <v>655</v>
      </c>
      <c r="E1121" s="182" t="s">
        <v>849</v>
      </c>
      <c r="F1121" s="180"/>
      <c r="G1121" s="182" t="s">
        <v>743</v>
      </c>
      <c r="H1121" s="182" t="s">
        <v>655</v>
      </c>
      <c r="I1121" s="182" t="s">
        <v>849</v>
      </c>
      <c r="J1121" s="180"/>
      <c r="K1121" s="182" t="s">
        <v>658</v>
      </c>
      <c r="L1121" s="182" t="s">
        <v>655</v>
      </c>
      <c r="M1121" s="182" t="s">
        <v>849</v>
      </c>
      <c r="N1121" s="180"/>
      <c r="O1121" s="182" t="s">
        <v>658</v>
      </c>
      <c r="P1121" s="182" t="s">
        <v>655</v>
      </c>
      <c r="Q1121" s="182" t="s">
        <v>849</v>
      </c>
      <c r="R1121" s="180"/>
      <c r="S1121" s="304"/>
    </row>
    <row r="1122" spans="1:19" ht="15.75" customHeight="1" x14ac:dyDescent="0.3">
      <c r="A1122" s="179"/>
      <c r="B1122" s="180"/>
      <c r="C1122" s="182" t="s">
        <v>664</v>
      </c>
      <c r="D1122" s="182" t="s">
        <v>850</v>
      </c>
      <c r="E1122" s="182" t="s">
        <v>851</v>
      </c>
      <c r="F1122" s="180"/>
      <c r="G1122" s="182" t="s">
        <v>664</v>
      </c>
      <c r="H1122" s="182" t="s">
        <v>850</v>
      </c>
      <c r="I1122" s="182" t="s">
        <v>851</v>
      </c>
      <c r="J1122" s="180"/>
      <c r="K1122" s="182" t="s">
        <v>664</v>
      </c>
      <c r="L1122" s="182" t="s">
        <v>850</v>
      </c>
      <c r="M1122" s="182" t="s">
        <v>851</v>
      </c>
      <c r="N1122" s="180"/>
      <c r="O1122" s="182" t="s">
        <v>664</v>
      </c>
      <c r="P1122" s="182" t="s">
        <v>850</v>
      </c>
      <c r="Q1122" s="182" t="s">
        <v>851</v>
      </c>
      <c r="R1122" s="180"/>
      <c r="S1122" s="304"/>
    </row>
    <row r="1123" spans="1:19" ht="15.75" customHeight="1" x14ac:dyDescent="0.3">
      <c r="A1123" s="179"/>
      <c r="B1123" s="180"/>
      <c r="C1123" s="180" t="s">
        <v>666</v>
      </c>
      <c r="D1123" s="180" t="s">
        <v>666</v>
      </c>
      <c r="E1123" s="180" t="s">
        <v>666</v>
      </c>
      <c r="F1123" s="180"/>
      <c r="G1123" s="182" t="s">
        <v>666</v>
      </c>
      <c r="H1123" s="182" t="s">
        <v>666</v>
      </c>
      <c r="I1123" s="182" t="s">
        <v>666</v>
      </c>
      <c r="J1123" s="180"/>
      <c r="K1123" s="180" t="s">
        <v>666</v>
      </c>
      <c r="L1123" s="180" t="s">
        <v>666</v>
      </c>
      <c r="M1123" s="180" t="s">
        <v>666</v>
      </c>
      <c r="N1123" s="180"/>
      <c r="O1123" s="180" t="s">
        <v>666</v>
      </c>
      <c r="P1123" s="180" t="s">
        <v>666</v>
      </c>
      <c r="Q1123" s="180" t="s">
        <v>666</v>
      </c>
      <c r="R1123" s="180"/>
      <c r="S1123" s="304"/>
    </row>
    <row r="1124" spans="1:19" ht="15.75" customHeight="1" x14ac:dyDescent="0.3">
      <c r="A1124" s="189" t="s">
        <v>668</v>
      </c>
      <c r="B1124" s="180"/>
      <c r="C1124" s="180">
        <f t="shared" ref="C1124:C1135" si="460">(P996)</f>
        <v>0.2</v>
      </c>
      <c r="D1124" s="203">
        <v>0</v>
      </c>
      <c r="E1124" s="217">
        <f t="shared" ref="E1124:E1135" si="461">(P996*D1124/1000)</f>
        <v>0</v>
      </c>
      <c r="F1124" s="180"/>
      <c r="G1124" s="180">
        <v>0</v>
      </c>
      <c r="H1124" s="203">
        <v>0</v>
      </c>
      <c r="I1124" s="217">
        <f t="shared" ref="I1124:I1135" si="462">(G1124*H1124/1000)</f>
        <v>0</v>
      </c>
      <c r="J1124" s="180"/>
      <c r="K1124" s="299">
        <v>11848</v>
      </c>
      <c r="L1124" s="300">
        <v>0</v>
      </c>
      <c r="M1124" s="217">
        <f t="shared" ref="M1124:M1135" si="463">(K1124*L1124/1000)</f>
        <v>0</v>
      </c>
      <c r="N1124" s="180"/>
      <c r="O1124" s="299">
        <v>0</v>
      </c>
      <c r="P1124" s="203">
        <v>0</v>
      </c>
      <c r="Q1124" s="217">
        <f t="shared" ref="Q1124:Q1135" si="464">(O1124*P1124/1000)</f>
        <v>0</v>
      </c>
      <c r="R1124" s="180"/>
      <c r="S1124" s="304"/>
    </row>
    <row r="1125" spans="1:19" ht="15.75" customHeight="1" x14ac:dyDescent="0.3">
      <c r="A1125" s="189" t="s">
        <v>669</v>
      </c>
      <c r="B1125" s="180"/>
      <c r="C1125" s="180">
        <f t="shared" si="460"/>
        <v>0.25</v>
      </c>
      <c r="D1125" s="203">
        <v>0</v>
      </c>
      <c r="E1125" s="217">
        <f t="shared" si="461"/>
        <v>0</v>
      </c>
      <c r="F1125" s="180"/>
      <c r="G1125" s="180" t="e">
        <f>#REF!</f>
        <v>#REF!</v>
      </c>
      <c r="H1125" s="203">
        <v>0</v>
      </c>
      <c r="I1125" s="217" t="e">
        <f t="shared" si="462"/>
        <v>#REF!</v>
      </c>
      <c r="J1125" s="180"/>
      <c r="K1125" s="299">
        <v>11489</v>
      </c>
      <c r="L1125" s="300">
        <v>0</v>
      </c>
      <c r="M1125" s="217">
        <f t="shared" si="463"/>
        <v>0</v>
      </c>
      <c r="N1125" s="180"/>
      <c r="O1125" s="299">
        <v>0</v>
      </c>
      <c r="P1125" s="203">
        <v>0</v>
      </c>
      <c r="Q1125" s="217">
        <f t="shared" si="464"/>
        <v>0</v>
      </c>
      <c r="R1125" s="180"/>
      <c r="S1125" s="304"/>
    </row>
    <row r="1126" spans="1:19" ht="15.75" customHeight="1" x14ac:dyDescent="0.3">
      <c r="A1126" s="189" t="s">
        <v>671</v>
      </c>
      <c r="B1126" s="180"/>
      <c r="C1126" s="180">
        <f t="shared" si="460"/>
        <v>0.3</v>
      </c>
      <c r="D1126" s="203">
        <v>0</v>
      </c>
      <c r="E1126" s="217">
        <f t="shared" si="461"/>
        <v>0</v>
      </c>
      <c r="F1126" s="180">
        <f>SUM(E1124:E1126)</f>
        <v>0</v>
      </c>
      <c r="G1126" s="180" t="e">
        <f>#REF!</f>
        <v>#REF!</v>
      </c>
      <c r="H1126" s="203">
        <v>0</v>
      </c>
      <c r="I1126" s="217" t="e">
        <f t="shared" si="462"/>
        <v>#REF!</v>
      </c>
      <c r="J1126" s="180" t="e">
        <f>SUM(I1124:I1126)</f>
        <v>#REF!</v>
      </c>
      <c r="K1126" s="299">
        <v>16247</v>
      </c>
      <c r="L1126" s="300">
        <v>0</v>
      </c>
      <c r="M1126" s="217">
        <f t="shared" si="463"/>
        <v>0</v>
      </c>
      <c r="N1126" s="180">
        <f>SUM(M1124:M1126)</f>
        <v>0</v>
      </c>
      <c r="O1126" s="299">
        <v>0</v>
      </c>
      <c r="P1126" s="203">
        <v>0</v>
      </c>
      <c r="Q1126" s="217">
        <f t="shared" si="464"/>
        <v>0</v>
      </c>
      <c r="R1126" s="180">
        <f>SUM(Q1124:Q1126)</f>
        <v>0</v>
      </c>
      <c r="S1126" s="304"/>
    </row>
    <row r="1127" spans="1:19" ht="15.75" customHeight="1" x14ac:dyDescent="0.3">
      <c r="A1127" s="189" t="s">
        <v>672</v>
      </c>
      <c r="B1127" s="180"/>
      <c r="C1127" s="180">
        <f t="shared" si="460"/>
        <v>0.35</v>
      </c>
      <c r="D1127" s="203">
        <v>0</v>
      </c>
      <c r="E1127" s="217">
        <f t="shared" si="461"/>
        <v>0</v>
      </c>
      <c r="F1127" s="180"/>
      <c r="G1127" s="180" t="e">
        <f>#REF!</f>
        <v>#REF!</v>
      </c>
      <c r="H1127" s="203">
        <v>0</v>
      </c>
      <c r="I1127" s="217" t="e">
        <f t="shared" si="462"/>
        <v>#REF!</v>
      </c>
      <c r="J1127" s="180"/>
      <c r="K1127" s="299">
        <v>17740</v>
      </c>
      <c r="L1127" s="300">
        <v>0</v>
      </c>
      <c r="M1127" s="217">
        <f t="shared" si="463"/>
        <v>0</v>
      </c>
      <c r="N1127" s="180"/>
      <c r="O1127" s="299">
        <v>0</v>
      </c>
      <c r="P1127" s="203">
        <v>0</v>
      </c>
      <c r="Q1127" s="217">
        <f t="shared" si="464"/>
        <v>0</v>
      </c>
      <c r="R1127" s="180"/>
      <c r="S1127" s="304"/>
    </row>
    <row r="1128" spans="1:19" ht="15.75" customHeight="1" x14ac:dyDescent="0.3">
      <c r="A1128" s="189" t="s">
        <v>673</v>
      </c>
      <c r="B1128" s="180"/>
      <c r="C1128" s="180">
        <f t="shared" si="460"/>
        <v>0.35</v>
      </c>
      <c r="D1128" s="203">
        <v>0</v>
      </c>
      <c r="E1128" s="217">
        <f t="shared" si="461"/>
        <v>0</v>
      </c>
      <c r="F1128" s="180"/>
      <c r="G1128" s="180" t="e">
        <f>#REF!</f>
        <v>#REF!</v>
      </c>
      <c r="H1128" s="203">
        <v>0</v>
      </c>
      <c r="I1128" s="217" t="e">
        <f t="shared" si="462"/>
        <v>#REF!</v>
      </c>
      <c r="J1128" s="180"/>
      <c r="K1128" s="299">
        <v>15434</v>
      </c>
      <c r="L1128" s="300">
        <v>0</v>
      </c>
      <c r="M1128" s="217">
        <f t="shared" si="463"/>
        <v>0</v>
      </c>
      <c r="N1128" s="180"/>
      <c r="O1128" s="299">
        <v>0</v>
      </c>
      <c r="P1128" s="203">
        <v>0</v>
      </c>
      <c r="Q1128" s="217">
        <f t="shared" si="464"/>
        <v>0</v>
      </c>
      <c r="R1128" s="180"/>
      <c r="S1128" s="304"/>
    </row>
    <row r="1129" spans="1:19" ht="15.75" customHeight="1" x14ac:dyDescent="0.3">
      <c r="A1129" s="189" t="s">
        <v>675</v>
      </c>
      <c r="B1129" s="180"/>
      <c r="C1129" s="180">
        <f t="shared" si="460"/>
        <v>7.4999999999999997E-2</v>
      </c>
      <c r="D1129" s="203">
        <v>0</v>
      </c>
      <c r="E1129" s="217">
        <f t="shared" si="461"/>
        <v>0</v>
      </c>
      <c r="F1129" s="180">
        <f>SUM(E1127:E1129)</f>
        <v>0</v>
      </c>
      <c r="G1129" s="180" t="e">
        <f>#REF!</f>
        <v>#REF!</v>
      </c>
      <c r="H1129" s="203">
        <v>0</v>
      </c>
      <c r="I1129" s="217" t="e">
        <f t="shared" si="462"/>
        <v>#REF!</v>
      </c>
      <c r="J1129" s="180" t="e">
        <f>SUM(I1127:I1129)</f>
        <v>#REF!</v>
      </c>
      <c r="K1129" s="299">
        <v>14355</v>
      </c>
      <c r="L1129" s="300">
        <v>0</v>
      </c>
      <c r="M1129" s="217">
        <f t="shared" si="463"/>
        <v>0</v>
      </c>
      <c r="N1129" s="180">
        <f>SUM(M1127:M1129)</f>
        <v>0</v>
      </c>
      <c r="O1129" s="299">
        <v>0</v>
      </c>
      <c r="P1129" s="203">
        <v>0</v>
      </c>
      <c r="Q1129" s="217">
        <f t="shared" si="464"/>
        <v>0</v>
      </c>
      <c r="R1129" s="180">
        <f>SUM(Q1127:Q1129)</f>
        <v>0</v>
      </c>
      <c r="S1129" s="304"/>
    </row>
    <row r="1130" spans="1:19" ht="15.75" customHeight="1" x14ac:dyDescent="0.3">
      <c r="A1130" s="189" t="s">
        <v>676</v>
      </c>
      <c r="B1130" s="180"/>
      <c r="C1130" s="180">
        <f t="shared" si="460"/>
        <v>0.05</v>
      </c>
      <c r="D1130" s="203">
        <v>0</v>
      </c>
      <c r="E1130" s="217">
        <f t="shared" si="461"/>
        <v>0</v>
      </c>
      <c r="F1130" s="180"/>
      <c r="G1130" s="180" t="e">
        <f>#REF!</f>
        <v>#REF!</v>
      </c>
      <c r="H1130" s="203">
        <v>0</v>
      </c>
      <c r="I1130" s="217" t="e">
        <f t="shared" si="462"/>
        <v>#REF!</v>
      </c>
      <c r="J1130" s="180"/>
      <c r="K1130" s="299">
        <v>13129</v>
      </c>
      <c r="L1130" s="300">
        <v>0</v>
      </c>
      <c r="M1130" s="217">
        <f t="shared" si="463"/>
        <v>0</v>
      </c>
      <c r="N1130" s="180"/>
      <c r="O1130" s="299">
        <v>0</v>
      </c>
      <c r="P1130" s="203">
        <v>0</v>
      </c>
      <c r="Q1130" s="217">
        <f t="shared" si="464"/>
        <v>0</v>
      </c>
      <c r="R1130" s="180"/>
      <c r="S1130" s="304"/>
    </row>
    <row r="1131" spans="1:19" ht="15.75" customHeight="1" x14ac:dyDescent="0.3">
      <c r="A1131" s="189" t="s">
        <v>691</v>
      </c>
      <c r="B1131" s="180"/>
      <c r="C1131" s="180">
        <f t="shared" si="460"/>
        <v>0</v>
      </c>
      <c r="D1131" s="203">
        <v>0</v>
      </c>
      <c r="E1131" s="217">
        <f t="shared" si="461"/>
        <v>0</v>
      </c>
      <c r="F1131" s="180"/>
      <c r="G1131" s="180" t="e">
        <f>#REF!</f>
        <v>#REF!</v>
      </c>
      <c r="H1131" s="203">
        <v>0</v>
      </c>
      <c r="I1131" s="217" t="e">
        <f t="shared" si="462"/>
        <v>#REF!</v>
      </c>
      <c r="J1131" s="180"/>
      <c r="K1131" s="299">
        <v>12545</v>
      </c>
      <c r="L1131" s="300">
        <v>0</v>
      </c>
      <c r="M1131" s="217">
        <f t="shared" si="463"/>
        <v>0</v>
      </c>
      <c r="N1131" s="180"/>
      <c r="O1131" s="299">
        <v>0</v>
      </c>
      <c r="P1131" s="203">
        <v>0</v>
      </c>
      <c r="Q1131" s="217">
        <f t="shared" si="464"/>
        <v>0</v>
      </c>
      <c r="R1131" s="180"/>
      <c r="S1131" s="304"/>
    </row>
    <row r="1132" spans="1:19" ht="15.75" customHeight="1" x14ac:dyDescent="0.3">
      <c r="A1132" s="189" t="s">
        <v>692</v>
      </c>
      <c r="B1132" s="180"/>
      <c r="C1132" s="180">
        <f t="shared" si="460"/>
        <v>0.05</v>
      </c>
      <c r="D1132" s="203">
        <v>0</v>
      </c>
      <c r="E1132" s="217">
        <f t="shared" si="461"/>
        <v>0</v>
      </c>
      <c r="F1132" s="180">
        <f>SUM(E1130:E1132)</f>
        <v>0</v>
      </c>
      <c r="G1132" s="180" t="e">
        <f>#REF!</f>
        <v>#REF!</v>
      </c>
      <c r="H1132" s="203">
        <v>0</v>
      </c>
      <c r="I1132" s="217" t="e">
        <f t="shared" si="462"/>
        <v>#REF!</v>
      </c>
      <c r="J1132" s="180" t="e">
        <f>SUM(I1130:I1132)</f>
        <v>#REF!</v>
      </c>
      <c r="K1132" s="299">
        <v>9350</v>
      </c>
      <c r="L1132" s="300">
        <v>0</v>
      </c>
      <c r="M1132" s="217">
        <f t="shared" si="463"/>
        <v>0</v>
      </c>
      <c r="N1132" s="180">
        <f>SUM(M1130:M1132)</f>
        <v>0</v>
      </c>
      <c r="O1132" s="299">
        <v>0</v>
      </c>
      <c r="P1132" s="203">
        <v>0</v>
      </c>
      <c r="Q1132" s="217">
        <f t="shared" si="464"/>
        <v>0</v>
      </c>
      <c r="R1132" s="180">
        <f>SUM(Q1130:Q1132)</f>
        <v>0</v>
      </c>
      <c r="S1132" s="304"/>
    </row>
    <row r="1133" spans="1:19" ht="15.75" customHeight="1" x14ac:dyDescent="0.3">
      <c r="A1133" s="189" t="s">
        <v>693</v>
      </c>
      <c r="B1133" s="180"/>
      <c r="C1133" s="180">
        <f t="shared" si="460"/>
        <v>0.2</v>
      </c>
      <c r="D1133" s="203">
        <v>0</v>
      </c>
      <c r="E1133" s="217">
        <f t="shared" si="461"/>
        <v>0</v>
      </c>
      <c r="F1133" s="180"/>
      <c r="G1133" s="180" t="e">
        <f>#REF!</f>
        <v>#REF!</v>
      </c>
      <c r="H1133" s="203">
        <v>0</v>
      </c>
      <c r="I1133" s="217" t="e">
        <f t="shared" si="462"/>
        <v>#REF!</v>
      </c>
      <c r="J1133" s="180"/>
      <c r="K1133" s="299">
        <v>11649</v>
      </c>
      <c r="L1133" s="300">
        <v>0</v>
      </c>
      <c r="M1133" s="217">
        <f t="shared" si="463"/>
        <v>0</v>
      </c>
      <c r="N1133" s="180"/>
      <c r="O1133" s="299">
        <v>0</v>
      </c>
      <c r="P1133" s="203">
        <v>0</v>
      </c>
      <c r="Q1133" s="217">
        <f t="shared" si="464"/>
        <v>0</v>
      </c>
      <c r="R1133" s="180"/>
      <c r="S1133" s="304"/>
    </row>
    <row r="1134" spans="1:19" ht="15.75" customHeight="1" x14ac:dyDescent="0.3">
      <c r="A1134" s="189" t="s">
        <v>694</v>
      </c>
      <c r="B1134" s="180"/>
      <c r="C1134" s="180">
        <f t="shared" si="460"/>
        <v>0.2</v>
      </c>
      <c r="D1134" s="203">
        <v>0</v>
      </c>
      <c r="E1134" s="217">
        <f t="shared" si="461"/>
        <v>0</v>
      </c>
      <c r="F1134" s="180"/>
      <c r="G1134" s="180" t="e">
        <f>#REF!</f>
        <v>#REF!</v>
      </c>
      <c r="H1134" s="203">
        <v>0</v>
      </c>
      <c r="I1134" s="217" t="e">
        <f t="shared" si="462"/>
        <v>#REF!</v>
      </c>
      <c r="J1134" s="180"/>
      <c r="K1134" s="299">
        <v>8035</v>
      </c>
      <c r="L1134" s="300">
        <v>0</v>
      </c>
      <c r="M1134" s="217">
        <f t="shared" si="463"/>
        <v>0</v>
      </c>
      <c r="N1134" s="180"/>
      <c r="O1134" s="299">
        <v>0</v>
      </c>
      <c r="P1134" s="203">
        <v>0</v>
      </c>
      <c r="Q1134" s="217">
        <f t="shared" si="464"/>
        <v>0</v>
      </c>
      <c r="R1134" s="180"/>
      <c r="S1134" s="304"/>
    </row>
    <row r="1135" spans="1:19" ht="15.75" customHeight="1" x14ac:dyDescent="0.3">
      <c r="A1135" s="189" t="s">
        <v>695</v>
      </c>
      <c r="B1135" s="180"/>
      <c r="C1135" s="180">
        <f t="shared" si="460"/>
        <v>0.2</v>
      </c>
      <c r="D1135" s="203">
        <v>0</v>
      </c>
      <c r="E1135" s="217">
        <f t="shared" si="461"/>
        <v>0</v>
      </c>
      <c r="F1135" s="180">
        <f>SUM(E1133:E1135)</f>
        <v>0</v>
      </c>
      <c r="G1135" s="180" t="e">
        <f>#REF!</f>
        <v>#REF!</v>
      </c>
      <c r="H1135" s="203">
        <v>0</v>
      </c>
      <c r="I1135" s="217" t="e">
        <f t="shared" si="462"/>
        <v>#REF!</v>
      </c>
      <c r="J1135" s="180" t="e">
        <f>SUM(I1133:I1135)</f>
        <v>#REF!</v>
      </c>
      <c r="K1135" s="299">
        <v>8092</v>
      </c>
      <c r="L1135" s="300">
        <v>0</v>
      </c>
      <c r="M1135" s="217">
        <f t="shared" si="463"/>
        <v>0</v>
      </c>
      <c r="N1135" s="180">
        <f>SUM(M1133:M1135)</f>
        <v>0</v>
      </c>
      <c r="O1135" s="299">
        <v>0</v>
      </c>
      <c r="P1135" s="203">
        <v>0</v>
      </c>
      <c r="Q1135" s="217">
        <f t="shared" si="464"/>
        <v>0</v>
      </c>
      <c r="R1135" s="180">
        <f>SUM(Q1133:Q1135)</f>
        <v>0</v>
      </c>
      <c r="S1135" s="304"/>
    </row>
    <row r="1136" spans="1:19" ht="15.75" customHeight="1" x14ac:dyDescent="0.3">
      <c r="A1136" s="179"/>
      <c r="B1136" s="180"/>
      <c r="C1136" s="180"/>
      <c r="D1136" s="180"/>
      <c r="E1136" s="180"/>
      <c r="F1136" s="180"/>
      <c r="G1136" s="180"/>
      <c r="H1136" s="180"/>
      <c r="I1136" s="180"/>
      <c r="J1136" s="180"/>
      <c r="K1136" s="180"/>
      <c r="L1136" s="180"/>
      <c r="M1136" s="180"/>
      <c r="N1136" s="180"/>
      <c r="O1136" s="180"/>
      <c r="P1136" s="180"/>
      <c r="Q1136" s="180"/>
      <c r="R1136" s="180"/>
      <c r="S1136" s="304"/>
    </row>
    <row r="1137" spans="1:19" ht="15.75" customHeight="1" x14ac:dyDescent="0.3">
      <c r="A1137" s="179"/>
      <c r="B1137" s="180"/>
      <c r="C1137" s="180"/>
      <c r="D1137" s="180"/>
      <c r="E1137" s="180"/>
      <c r="F1137" s="180"/>
      <c r="G1137" s="180"/>
      <c r="H1137" s="180"/>
      <c r="I1137" s="180"/>
      <c r="J1137" s="180"/>
      <c r="K1137" s="180"/>
      <c r="L1137" s="180"/>
      <c r="M1137" s="180"/>
      <c r="N1137" s="180"/>
      <c r="O1137" s="180"/>
      <c r="P1137" s="180"/>
      <c r="Q1137" s="180"/>
      <c r="R1137" s="180"/>
      <c r="S1137" s="304"/>
    </row>
    <row r="1138" spans="1:19" ht="16.5" customHeight="1" thickBot="1" x14ac:dyDescent="0.35">
      <c r="A1138" s="194" t="s">
        <v>641</v>
      </c>
      <c r="B1138" s="195"/>
      <c r="C1138" s="195">
        <f>SUM(C1124:C1135)</f>
        <v>2.2250000000000005</v>
      </c>
      <c r="D1138" s="195"/>
      <c r="E1138" s="301">
        <f>SUM(E1124:E1135)</f>
        <v>0</v>
      </c>
      <c r="F1138" s="195"/>
      <c r="G1138" s="195" t="e">
        <f>SUM(G1124:G1135)</f>
        <v>#REF!</v>
      </c>
      <c r="H1138" s="195" t="s">
        <v>633</v>
      </c>
      <c r="I1138" s="301" t="e">
        <f>SUM(I1124:I1135)</f>
        <v>#REF!</v>
      </c>
      <c r="J1138" s="195"/>
      <c r="K1138" s="195">
        <f>SUM(K1124:K1135)</f>
        <v>149913</v>
      </c>
      <c r="L1138" s="195" t="s">
        <v>633</v>
      </c>
      <c r="M1138" s="301">
        <f>SUM(M1124:M1135)</f>
        <v>0</v>
      </c>
      <c r="N1138" s="195"/>
      <c r="O1138" s="195">
        <f>(SUM(O1124:O1135))</f>
        <v>0</v>
      </c>
      <c r="P1138" s="195" t="s">
        <v>633</v>
      </c>
      <c r="Q1138" s="301">
        <f>SUM(Q1124:Q1135)</f>
        <v>0</v>
      </c>
      <c r="R1138" s="195"/>
      <c r="S1138" s="136"/>
    </row>
  </sheetData>
  <scenarios current="0">
    <scenario name="Jan" count="1" user="Windows User" comment="Created by Windows User on 4/11/2013">
      <inputCells r="B310" val="57771.3688407242" numFmtId="37"/>
    </scenario>
  </scenarios>
  <autoFilter ref="A31:R899" xr:uid="{00000000-0009-0000-0000-000001000000}"/>
  <mergeCells count="73">
    <mergeCell ref="B1069:P1069"/>
    <mergeCell ref="B1070:P1070"/>
    <mergeCell ref="B1072:L1072"/>
    <mergeCell ref="M1072:P1072"/>
    <mergeCell ref="B1046:D1046"/>
    <mergeCell ref="T1046:U1046"/>
    <mergeCell ref="V1046:W1046"/>
    <mergeCell ref="B1065:P1065"/>
    <mergeCell ref="B1066:P1066"/>
    <mergeCell ref="B1067:P1067"/>
    <mergeCell ref="B1045:P1045"/>
    <mergeCell ref="M991:O991"/>
    <mergeCell ref="AD991:AQ991"/>
    <mergeCell ref="AD992:AQ992"/>
    <mergeCell ref="B1016:P1016"/>
    <mergeCell ref="B1017:F1017"/>
    <mergeCell ref="G1017:L1017"/>
    <mergeCell ref="M1017:R1017"/>
    <mergeCell ref="S1017:U1017"/>
    <mergeCell ref="M1018:O1018"/>
    <mergeCell ref="B1040:P1040"/>
    <mergeCell ref="B1041:P1041"/>
    <mergeCell ref="B1042:P1042"/>
    <mergeCell ref="B1044:P1044"/>
    <mergeCell ref="B989:P989"/>
    <mergeCell ref="AD989:AQ989"/>
    <mergeCell ref="B990:F990"/>
    <mergeCell ref="G990:L990"/>
    <mergeCell ref="M990:R990"/>
    <mergeCell ref="S990:U990"/>
    <mergeCell ref="B988:P988"/>
    <mergeCell ref="AD988:AQ988"/>
    <mergeCell ref="AD954:AQ954"/>
    <mergeCell ref="AD956:AQ956"/>
    <mergeCell ref="B957:P957"/>
    <mergeCell ref="AD957:AQ957"/>
    <mergeCell ref="B958:P958"/>
    <mergeCell ref="B959:P959"/>
    <mergeCell ref="B961:P961"/>
    <mergeCell ref="B962:P962"/>
    <mergeCell ref="B986:P986"/>
    <mergeCell ref="B987:P987"/>
    <mergeCell ref="AD987:AQ987"/>
    <mergeCell ref="AD953:AQ953"/>
    <mergeCell ref="B904:P904"/>
    <mergeCell ref="B905:P905"/>
    <mergeCell ref="B906:P906"/>
    <mergeCell ref="B907:P907"/>
    <mergeCell ref="B931:P931"/>
    <mergeCell ref="B932:P932"/>
    <mergeCell ref="B933:P933"/>
    <mergeCell ref="B934:P934"/>
    <mergeCell ref="B935:P935"/>
    <mergeCell ref="B936:P936"/>
    <mergeCell ref="AD952:AQ952"/>
    <mergeCell ref="B903:P903"/>
    <mergeCell ref="A838:R838"/>
    <mergeCell ref="A839:R839"/>
    <mergeCell ref="A840:R840"/>
    <mergeCell ref="A841:R841"/>
    <mergeCell ref="A843:R843"/>
    <mergeCell ref="A879:R879"/>
    <mergeCell ref="A880:R880"/>
    <mergeCell ref="A881:R881"/>
    <mergeCell ref="A882:R882"/>
    <mergeCell ref="A884:R884"/>
    <mergeCell ref="B902:P902"/>
    <mergeCell ref="A8:R8"/>
    <mergeCell ref="A2:R2"/>
    <mergeCell ref="A3:R3"/>
    <mergeCell ref="A4:R4"/>
    <mergeCell ref="A5:R5"/>
    <mergeCell ref="A6:R6"/>
  </mergeCells>
  <conditionalFormatting sqref="S996:S1007 S1009">
    <cfRule type="cellIs" dxfId="27" priority="3" operator="lessThan">
      <formula>0</formula>
    </cfRule>
    <cfRule type="cellIs" dxfId="26" priority="4" operator="greaterThan">
      <formula>0</formula>
    </cfRule>
  </conditionalFormatting>
  <conditionalFormatting sqref="S1023:S1034">
    <cfRule type="cellIs" dxfId="25" priority="1" operator="lessThan">
      <formula>0</formula>
    </cfRule>
    <cfRule type="cellIs" dxfId="24" priority="2" operator="greaterThan">
      <formula>0</formula>
    </cfRule>
  </conditionalFormatting>
  <printOptions horizontalCentered="1"/>
  <pageMargins left="0.25" right="0.25" top="0.25" bottom="0.25" header="0" footer="0"/>
  <pageSetup paperSize="17" scale="81" orientation="landscape" r:id="rId1"/>
  <headerFooter alignWithMargins="0"/>
  <rowBreaks count="5" manualBreakCount="5">
    <brk id="835" max="17" man="1"/>
    <brk id="875" max="17" man="1"/>
    <brk id="928" max="18" man="1"/>
    <brk id="956" max="18" man="1"/>
    <brk id="924" min="28" max="46"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38A3D-C87E-4660-B93F-C1417F2ADC8E}">
  <sheetPr codeName="Sheet28">
    <pageSetUpPr fitToPage="1"/>
  </sheetPr>
  <dimension ref="A1:AX1128"/>
  <sheetViews>
    <sheetView zoomScale="90" zoomScaleNormal="90" workbookViewId="0">
      <selection activeCell="B10" sqref="B10:P10"/>
    </sheetView>
  </sheetViews>
  <sheetFormatPr defaultColWidth="8.77734375" defaultRowHeight="15.6" x14ac:dyDescent="0.3"/>
  <cols>
    <col min="1" max="1" width="48.21875" style="4" customWidth="1"/>
    <col min="2" max="3" width="11.21875" style="4" customWidth="1"/>
    <col min="4" max="4" width="12.44140625" style="4" customWidth="1"/>
    <col min="5" max="5" width="13.88671875" style="4" customWidth="1"/>
    <col min="6" max="7" width="11.21875" style="4" customWidth="1"/>
    <col min="8" max="8" width="11.77734375" style="4" bestFit="1" customWidth="1"/>
    <col min="9" max="9" width="13.109375" style="4" customWidth="1"/>
    <col min="10" max="10" width="11.77734375" style="4" bestFit="1" customWidth="1"/>
    <col min="11" max="12" width="11.21875" style="4" bestFit="1" customWidth="1"/>
    <col min="13" max="13" width="15" style="4" customWidth="1"/>
    <col min="14" max="14" width="11.21875" style="4" bestFit="1" customWidth="1"/>
    <col min="15" max="15" width="11.77734375" style="4" bestFit="1" customWidth="1"/>
    <col min="16" max="16" width="11.21875" style="4" bestFit="1" customWidth="1"/>
    <col min="17" max="17" width="13" style="4" customWidth="1"/>
    <col min="18" max="18" width="14.21875" style="4" customWidth="1"/>
    <col min="19" max="19" width="15.109375" style="4" customWidth="1"/>
    <col min="20" max="20" width="11.21875" style="4" bestFit="1" customWidth="1"/>
    <col min="21" max="21" width="8.77734375" style="4"/>
    <col min="22" max="22" width="11.6640625" style="4" customWidth="1"/>
    <col min="23" max="23" width="13.6640625" style="4" customWidth="1"/>
    <col min="24" max="24" width="12.44140625" style="4" customWidth="1"/>
    <col min="25" max="25" width="13.21875" style="4" customWidth="1"/>
    <col min="26" max="26" width="12.33203125" style="4" bestFit="1" customWidth="1"/>
    <col min="27" max="28" width="8.77734375" style="4"/>
    <col min="29" max="29" width="13.6640625" style="4" customWidth="1"/>
    <col min="30" max="34" width="8.77734375" style="4"/>
    <col min="35" max="35" width="11.6640625" style="4" customWidth="1"/>
    <col min="36" max="48" width="8.77734375" style="4"/>
    <col min="49" max="49" width="21.5546875" style="4" customWidth="1"/>
    <col min="50" max="50" width="20.88671875" style="4" bestFit="1" customWidth="1"/>
    <col min="51" max="16384" width="8.77734375" style="4"/>
  </cols>
  <sheetData>
    <row r="1" spans="1:36" x14ac:dyDescent="0.3">
      <c r="A1" s="1"/>
      <c r="B1" s="1"/>
      <c r="C1" s="1"/>
      <c r="D1" s="1"/>
      <c r="E1" s="1"/>
      <c r="F1" s="1"/>
      <c r="G1" s="1"/>
      <c r="H1" s="1"/>
      <c r="I1" s="1"/>
      <c r="J1" s="1"/>
      <c r="K1" s="1"/>
      <c r="L1" s="1"/>
      <c r="M1" s="1"/>
      <c r="N1" s="1"/>
      <c r="O1" s="1"/>
      <c r="P1" s="1"/>
      <c r="Q1" s="2" t="s">
        <v>0</v>
      </c>
      <c r="R1" s="3">
        <f ca="1">NOW()</f>
        <v>44894.658168518516</v>
      </c>
    </row>
    <row r="2" spans="1:36" ht="19.5" customHeight="1" x14ac:dyDescent="0.35">
      <c r="A2" s="384" t="s">
        <v>1</v>
      </c>
      <c r="B2" s="384"/>
      <c r="C2" s="384"/>
      <c r="D2" s="384"/>
      <c r="E2" s="384"/>
      <c r="F2" s="384"/>
      <c r="G2" s="384"/>
      <c r="H2" s="384"/>
      <c r="I2" s="384"/>
      <c r="J2" s="384"/>
      <c r="K2" s="384"/>
      <c r="L2" s="384"/>
      <c r="M2" s="384"/>
      <c r="N2" s="384"/>
      <c r="O2" s="384"/>
      <c r="P2" s="384"/>
      <c r="Q2" s="384"/>
      <c r="R2" s="384"/>
    </row>
    <row r="3" spans="1:36" ht="19.5" customHeight="1" x14ac:dyDescent="0.35">
      <c r="A3" s="384" t="s">
        <v>2</v>
      </c>
      <c r="B3" s="384"/>
      <c r="C3" s="384"/>
      <c r="D3" s="384"/>
      <c r="E3" s="384"/>
      <c r="F3" s="384"/>
      <c r="G3" s="384"/>
      <c r="H3" s="384"/>
      <c r="I3" s="384"/>
      <c r="J3" s="384"/>
      <c r="K3" s="384"/>
      <c r="L3" s="384"/>
      <c r="M3" s="384"/>
      <c r="N3" s="384"/>
      <c r="O3" s="384"/>
      <c r="P3" s="384"/>
      <c r="Q3" s="384"/>
      <c r="R3" s="384"/>
    </row>
    <row r="4" spans="1:36" ht="19.5" customHeight="1" x14ac:dyDescent="0.35">
      <c r="A4" s="385" t="s">
        <v>3</v>
      </c>
      <c r="B4" s="385"/>
      <c r="C4" s="385"/>
      <c r="D4" s="385"/>
      <c r="E4" s="385"/>
      <c r="F4" s="385"/>
      <c r="G4" s="385"/>
      <c r="H4" s="385"/>
      <c r="I4" s="385"/>
      <c r="J4" s="385"/>
      <c r="K4" s="385"/>
      <c r="L4" s="385"/>
      <c r="M4" s="385"/>
      <c r="N4" s="385"/>
      <c r="O4" s="385"/>
      <c r="P4" s="385"/>
      <c r="Q4" s="385"/>
      <c r="R4" s="385"/>
    </row>
    <row r="5" spans="1:36" ht="19.5" customHeight="1" x14ac:dyDescent="0.35">
      <c r="A5" s="386">
        <v>2018</v>
      </c>
      <c r="B5" s="386"/>
      <c r="C5" s="386"/>
      <c r="D5" s="386"/>
      <c r="E5" s="386"/>
      <c r="F5" s="386"/>
      <c r="G5" s="386"/>
      <c r="H5" s="386"/>
      <c r="I5" s="386"/>
      <c r="J5" s="386"/>
      <c r="K5" s="386"/>
      <c r="L5" s="386"/>
      <c r="M5" s="386"/>
      <c r="N5" s="386"/>
      <c r="O5" s="386"/>
      <c r="P5" s="386"/>
      <c r="Q5" s="386"/>
      <c r="R5" s="386"/>
    </row>
    <row r="6" spans="1:36" ht="19.5" customHeight="1" x14ac:dyDescent="0.35">
      <c r="A6" s="385" t="s">
        <v>873</v>
      </c>
      <c r="B6" s="385"/>
      <c r="C6" s="385"/>
      <c r="D6" s="385"/>
      <c r="E6" s="385"/>
      <c r="F6" s="385"/>
      <c r="G6" s="385"/>
      <c r="H6" s="385"/>
      <c r="I6" s="385"/>
      <c r="J6" s="385"/>
      <c r="K6" s="385"/>
      <c r="L6" s="385"/>
      <c r="M6" s="385"/>
      <c r="N6" s="385"/>
      <c r="O6" s="385"/>
      <c r="P6" s="385"/>
      <c r="Q6" s="385"/>
      <c r="R6" s="385"/>
    </row>
    <row r="7" spans="1:36" ht="19.5" customHeight="1" x14ac:dyDescent="0.35">
      <c r="A7" s="5"/>
      <c r="B7" s="5"/>
      <c r="C7" s="5"/>
      <c r="D7" s="5"/>
      <c r="E7" s="5"/>
      <c r="F7" s="5"/>
      <c r="G7" s="5"/>
      <c r="H7" s="5"/>
      <c r="I7" s="5"/>
      <c r="J7" s="5"/>
      <c r="K7" s="5"/>
      <c r="L7" s="5"/>
      <c r="M7" s="5"/>
      <c r="N7" s="5"/>
      <c r="O7" s="5"/>
      <c r="P7" s="5"/>
      <c r="Q7" s="5"/>
      <c r="R7" s="5"/>
    </row>
    <row r="8" spans="1:36" ht="15.75" customHeight="1" x14ac:dyDescent="0.3">
      <c r="A8" s="383" t="s">
        <v>874</v>
      </c>
      <c r="B8" s="383"/>
      <c r="C8" s="383"/>
      <c r="D8" s="383"/>
      <c r="E8" s="383"/>
      <c r="F8" s="383"/>
      <c r="G8" s="383"/>
      <c r="H8" s="383"/>
      <c r="I8" s="383"/>
      <c r="J8" s="383"/>
      <c r="K8" s="383"/>
      <c r="L8" s="383"/>
      <c r="M8" s="383"/>
      <c r="N8" s="383"/>
      <c r="O8" s="383"/>
      <c r="P8" s="383"/>
      <c r="Q8" s="383"/>
      <c r="R8" s="383"/>
    </row>
    <row r="9" spans="1:36" ht="15.75" customHeight="1" x14ac:dyDescent="0.3">
      <c r="A9" s="7"/>
      <c r="B9" s="8"/>
      <c r="C9" s="8"/>
      <c r="D9" s="8"/>
      <c r="E9" s="8"/>
      <c r="F9" s="8"/>
      <c r="G9" s="8"/>
      <c r="H9" s="8"/>
      <c r="I9" s="8"/>
      <c r="J9" s="8"/>
      <c r="K9" s="8"/>
      <c r="L9" s="8"/>
      <c r="M9" s="8"/>
      <c r="N9" s="8"/>
      <c r="O9" s="8"/>
      <c r="P9" s="8"/>
      <c r="Q9" s="8"/>
      <c r="R9" s="8"/>
    </row>
    <row r="10" spans="1:36" ht="16.2" thickBot="1" x14ac:dyDescent="0.35">
      <c r="A10" s="1" t="s">
        <v>6</v>
      </c>
      <c r="B10" s="1">
        <v>31</v>
      </c>
      <c r="C10" s="1">
        <v>28</v>
      </c>
      <c r="D10" s="1">
        <v>31</v>
      </c>
      <c r="E10" s="1"/>
      <c r="F10" s="1">
        <v>30</v>
      </c>
      <c r="G10" s="1">
        <v>31</v>
      </c>
      <c r="H10" s="1">
        <v>30</v>
      </c>
      <c r="I10" s="1"/>
      <c r="J10" s="1">
        <v>31</v>
      </c>
      <c r="K10" s="1">
        <v>31</v>
      </c>
      <c r="L10" s="1">
        <v>30</v>
      </c>
      <c r="M10" s="1"/>
      <c r="N10" s="1">
        <v>31</v>
      </c>
      <c r="O10" s="1">
        <v>30</v>
      </c>
      <c r="P10" s="1">
        <v>31</v>
      </c>
      <c r="Q10" s="1"/>
      <c r="R10" s="1"/>
    </row>
    <row r="11" spans="1:36" ht="15.75" customHeight="1" thickBot="1" x14ac:dyDescent="0.35">
      <c r="A11" s="9" t="s">
        <v>7</v>
      </c>
      <c r="B11" s="10" t="s">
        <v>8</v>
      </c>
      <c r="C11" s="11" t="s">
        <v>9</v>
      </c>
      <c r="D11" s="11" t="s">
        <v>10</v>
      </c>
      <c r="E11" s="12" t="s">
        <v>11</v>
      </c>
      <c r="F11" s="11" t="s">
        <v>12</v>
      </c>
      <c r="G11" s="11" t="s">
        <v>13</v>
      </c>
      <c r="H11" s="11" t="s">
        <v>14</v>
      </c>
      <c r="I11" s="12" t="s">
        <v>15</v>
      </c>
      <c r="J11" s="11" t="s">
        <v>16</v>
      </c>
      <c r="K11" s="11" t="s">
        <v>17</v>
      </c>
      <c r="L11" s="11" t="s">
        <v>18</v>
      </c>
      <c r="M11" s="12" t="s">
        <v>19</v>
      </c>
      <c r="N11" s="11" t="s">
        <v>20</v>
      </c>
      <c r="O11" s="11" t="s">
        <v>21</v>
      </c>
      <c r="P11" s="11" t="s">
        <v>22</v>
      </c>
      <c r="Q11" s="12" t="s">
        <v>23</v>
      </c>
      <c r="R11" s="13" t="s">
        <v>24</v>
      </c>
    </row>
    <row r="12" spans="1:36" ht="16.5" customHeight="1" thickBot="1" x14ac:dyDescent="0.35">
      <c r="A12" s="14"/>
      <c r="B12" s="56"/>
      <c r="C12" s="56"/>
      <c r="D12" s="56"/>
      <c r="E12" s="16"/>
      <c r="F12" s="56"/>
      <c r="G12" s="56"/>
      <c r="H12" s="56"/>
      <c r="I12" s="16"/>
      <c r="J12" s="56"/>
      <c r="K12" s="56"/>
      <c r="L12" s="56"/>
      <c r="M12" s="16"/>
      <c r="N12" s="56"/>
      <c r="O12" s="56"/>
      <c r="P12" s="56"/>
      <c r="Q12" s="16"/>
      <c r="R12" s="16"/>
    </row>
    <row r="13" spans="1:36" ht="15.75" customHeight="1" x14ac:dyDescent="0.3">
      <c r="A13" s="17" t="s">
        <v>25</v>
      </c>
      <c r="B13" s="1">
        <f>+B888</f>
        <v>66072</v>
      </c>
      <c r="C13" s="1">
        <f>+C888</f>
        <v>72463</v>
      </c>
      <c r="D13" s="1">
        <f>+D888</f>
        <v>119776</v>
      </c>
      <c r="E13" s="18">
        <f>SUM(B13:D13)</f>
        <v>258311</v>
      </c>
      <c r="F13" s="1">
        <f>+F888</f>
        <v>140413</v>
      </c>
      <c r="G13" s="1">
        <f>+G888</f>
        <v>163074</v>
      </c>
      <c r="H13" s="1">
        <f>+H888</f>
        <v>193422</v>
      </c>
      <c r="I13" s="18">
        <f t="shared" ref="I13:I19" si="0">SUM(F13:H13)</f>
        <v>496909</v>
      </c>
      <c r="J13" s="1">
        <f>+J888</f>
        <v>197566</v>
      </c>
      <c r="K13" s="1">
        <f>+K888</f>
        <v>183518</v>
      </c>
      <c r="L13" s="1">
        <f>+L888</f>
        <v>138626</v>
      </c>
      <c r="M13" s="18">
        <f t="shared" ref="M13:M20" si="1">SUM(J13:L13)</f>
        <v>519710</v>
      </c>
      <c r="N13" s="1">
        <f>+N888</f>
        <v>98190</v>
      </c>
      <c r="O13" s="1">
        <f>+O888</f>
        <v>68640</v>
      </c>
      <c r="P13" s="1">
        <f>+P888</f>
        <v>71360</v>
      </c>
      <c r="Q13" s="19">
        <f t="shared" ref="Q13:Q19" si="2">SUM(N13:P13)</f>
        <v>238190</v>
      </c>
      <c r="R13" s="18">
        <f t="shared" ref="R13:R20" si="3">+E13+I13+M13+Q13</f>
        <v>1513120</v>
      </c>
      <c r="S13" s="4">
        <f>R13-13500</f>
        <v>1499620</v>
      </c>
      <c r="T13" s="4">
        <f>+R13-S13</f>
        <v>13500</v>
      </c>
      <c r="V13" s="21"/>
      <c r="W13" s="21"/>
      <c r="X13" s="21"/>
      <c r="Z13" s="21"/>
      <c r="AA13" s="21"/>
      <c r="AB13" s="21"/>
      <c r="AD13" s="21"/>
      <c r="AE13" s="21"/>
      <c r="AF13" s="21"/>
      <c r="AH13" s="21"/>
      <c r="AI13" s="21"/>
      <c r="AJ13" s="21"/>
    </row>
    <row r="14" spans="1:36" ht="15.75" customHeight="1" x14ac:dyDescent="0.3">
      <c r="A14" s="17" t="s">
        <v>27</v>
      </c>
      <c r="B14" s="1">
        <f>B25+B60+B129+B305+B474+B524+B569+B631+B641+B677+B727+B737+B771+B820</f>
        <v>739</v>
      </c>
      <c r="C14" s="1">
        <f>C25+C60+C129+C305+C474+C524+C569+C631+C641+C677+C727+C737+C771+C820</f>
        <v>1283</v>
      </c>
      <c r="D14" s="1">
        <f>D25+D60+D129+D305+D474+D524+D569+D631+D641+D677+D727+D737+D771+D820</f>
        <v>2185</v>
      </c>
      <c r="E14" s="18">
        <f t="shared" ref="E14:E19" si="4">SUM(B14:D14)</f>
        <v>4207</v>
      </c>
      <c r="F14" s="1">
        <f>F25+F60+F129+F305+F474+F524+F569+F631+F641+F677+F727+F737+F771+F820</f>
        <v>2959</v>
      </c>
      <c r="G14" s="1">
        <f>G25+G60+G129+G305+G474+G524+G569+G631+G641+G677+G727+G737+G771+G820</f>
        <v>3425</v>
      </c>
      <c r="H14" s="1">
        <f>H25+H60+H129+H305+H474+H524+H569+H631+H641+H677+H727+H737+H771+H820</f>
        <v>3464</v>
      </c>
      <c r="I14" s="18">
        <f t="shared" si="0"/>
        <v>9848</v>
      </c>
      <c r="J14" s="1">
        <f>J25+J60+J129+J305+J474+J524+J569+J631+J641+J677+J727+J737+J771+J820</f>
        <v>3382</v>
      </c>
      <c r="K14" s="1">
        <f>K25+K60+K129+K305+K474+K524+K569+K631+K641+K677+K727+K737+K771+K820</f>
        <v>2663</v>
      </c>
      <c r="L14" s="1">
        <f>L25+L60+L129+L305+L474+L524+L569+L631+L641+L677+L727+L737+L771+L820</f>
        <v>2559</v>
      </c>
      <c r="M14" s="18">
        <f t="shared" si="1"/>
        <v>8604</v>
      </c>
      <c r="N14" s="1">
        <f>N25+N60+N129+N305+N474+N524+N569+N631+N641+N677+N727+N737+N771+N820</f>
        <v>2343</v>
      </c>
      <c r="O14" s="1">
        <f>O25+O60+O129+O305+O474+O524+O569+O631+O641+O677+O727+O737+O771+O820</f>
        <v>1892</v>
      </c>
      <c r="P14" s="1">
        <f>P25+P60+P129+P305+P474+P524+P569+P631+P641+P677+P727+P737+P771+P820</f>
        <v>1423</v>
      </c>
      <c r="Q14" s="19">
        <f t="shared" si="2"/>
        <v>5658</v>
      </c>
      <c r="R14" s="18">
        <f t="shared" si="3"/>
        <v>28317</v>
      </c>
    </row>
    <row r="15" spans="1:36" ht="15.75" customHeight="1" x14ac:dyDescent="0.3">
      <c r="A15" s="17" t="s">
        <v>29</v>
      </c>
      <c r="B15" s="1">
        <f>B300</f>
        <v>0</v>
      </c>
      <c r="C15" s="1">
        <f>C300</f>
        <v>1647</v>
      </c>
      <c r="D15" s="1">
        <f>D300</f>
        <v>2938</v>
      </c>
      <c r="E15" s="18">
        <f t="shared" si="4"/>
        <v>4585</v>
      </c>
      <c r="F15" s="1">
        <f>F300</f>
        <v>2764</v>
      </c>
      <c r="G15" s="1">
        <f>G300</f>
        <v>1945</v>
      </c>
      <c r="H15" s="1">
        <f>H300</f>
        <v>1747</v>
      </c>
      <c r="I15" s="18">
        <f t="shared" si="0"/>
        <v>6456</v>
      </c>
      <c r="J15" s="1">
        <f>J300</f>
        <v>2124</v>
      </c>
      <c r="K15" s="1">
        <f>K300</f>
        <v>1510</v>
      </c>
      <c r="L15" s="1">
        <f>L300</f>
        <v>3229</v>
      </c>
      <c r="M15" s="18">
        <f t="shared" si="1"/>
        <v>6863</v>
      </c>
      <c r="N15" s="1">
        <f>N300</f>
        <v>2777</v>
      </c>
      <c r="O15" s="1">
        <f>O300</f>
        <v>3586</v>
      </c>
      <c r="P15" s="1">
        <f>P300</f>
        <v>882</v>
      </c>
      <c r="Q15" s="19">
        <f t="shared" si="2"/>
        <v>7245</v>
      </c>
      <c r="R15" s="18">
        <f t="shared" si="3"/>
        <v>25149</v>
      </c>
    </row>
    <row r="16" spans="1:36" ht="15.75" customHeight="1" x14ac:dyDescent="0.3">
      <c r="A16" s="22" t="s">
        <v>30</v>
      </c>
      <c r="B16" s="1">
        <f>+B301</f>
        <v>0</v>
      </c>
      <c r="C16" s="1">
        <f>+C301</f>
        <v>0</v>
      </c>
      <c r="D16" s="1">
        <f>+D301</f>
        <v>0</v>
      </c>
      <c r="E16" s="18">
        <f t="shared" si="4"/>
        <v>0</v>
      </c>
      <c r="F16" s="1">
        <f>+F301</f>
        <v>0</v>
      </c>
      <c r="G16" s="1">
        <f>+G301</f>
        <v>0</v>
      </c>
      <c r="H16" s="1">
        <f>+H301</f>
        <v>0</v>
      </c>
      <c r="I16" s="18">
        <f t="shared" si="0"/>
        <v>0</v>
      </c>
      <c r="J16" s="1">
        <f>+J301</f>
        <v>0</v>
      </c>
      <c r="K16" s="1">
        <f>+K301</f>
        <v>0</v>
      </c>
      <c r="L16" s="1">
        <f>+L301</f>
        <v>0</v>
      </c>
      <c r="M16" s="18">
        <f t="shared" si="1"/>
        <v>0</v>
      </c>
      <c r="N16" s="1">
        <f>+N301</f>
        <v>0</v>
      </c>
      <c r="O16" s="1">
        <f>+O301</f>
        <v>0</v>
      </c>
      <c r="P16" s="1">
        <f>+P301</f>
        <v>0</v>
      </c>
      <c r="Q16" s="19">
        <f t="shared" si="2"/>
        <v>0</v>
      </c>
      <c r="R16" s="18">
        <f t="shared" si="3"/>
        <v>0</v>
      </c>
    </row>
    <row r="17" spans="1:20" ht="15.75" customHeight="1" x14ac:dyDescent="0.3">
      <c r="A17" s="23" t="s">
        <v>31</v>
      </c>
      <c r="B17" s="1">
        <f>B304</f>
        <v>22000</v>
      </c>
      <c r="C17" s="1">
        <f>C304</f>
        <v>35000</v>
      </c>
      <c r="D17" s="1">
        <f>D304</f>
        <v>56000</v>
      </c>
      <c r="E17" s="18">
        <f t="shared" si="4"/>
        <v>113000</v>
      </c>
      <c r="F17" s="1">
        <f>F304</f>
        <v>28000</v>
      </c>
      <c r="G17" s="1">
        <f>G304</f>
        <v>18000</v>
      </c>
      <c r="H17" s="1">
        <f>H304</f>
        <v>0</v>
      </c>
      <c r="I17" s="18">
        <f t="shared" si="0"/>
        <v>46000</v>
      </c>
      <c r="J17" s="1">
        <f>J304</f>
        <v>0</v>
      </c>
      <c r="K17" s="1">
        <f>K304</f>
        <v>0</v>
      </c>
      <c r="L17" s="1">
        <f>L304</f>
        <v>7000</v>
      </c>
      <c r="M17" s="18">
        <f t="shared" si="1"/>
        <v>7000</v>
      </c>
      <c r="N17" s="1">
        <f>N304</f>
        <v>59000</v>
      </c>
      <c r="O17" s="1">
        <f>O304</f>
        <v>83000</v>
      </c>
      <c r="P17" s="1">
        <f>P304</f>
        <v>80000</v>
      </c>
      <c r="Q17" s="19">
        <f t="shared" si="2"/>
        <v>222000</v>
      </c>
      <c r="R17" s="18">
        <f t="shared" si="3"/>
        <v>388000</v>
      </c>
    </row>
    <row r="18" spans="1:20" ht="15.75" customHeight="1" x14ac:dyDescent="0.3">
      <c r="A18" s="23" t="s">
        <v>32</v>
      </c>
      <c r="B18" s="1">
        <f>B316</f>
        <v>0</v>
      </c>
      <c r="C18" s="1">
        <f>C316</f>
        <v>0</v>
      </c>
      <c r="D18" s="1">
        <f>D316</f>
        <v>0</v>
      </c>
      <c r="E18" s="18">
        <f t="shared" si="4"/>
        <v>0</v>
      </c>
      <c r="F18" s="1">
        <f>F316</f>
        <v>0</v>
      </c>
      <c r="G18" s="1">
        <f>G316</f>
        <v>0</v>
      </c>
      <c r="H18" s="1">
        <f>H316</f>
        <v>-126000</v>
      </c>
      <c r="I18" s="18">
        <f t="shared" si="0"/>
        <v>-126000</v>
      </c>
      <c r="J18" s="1">
        <f>J316</f>
        <v>-129000</v>
      </c>
      <c r="K18" s="1">
        <f>K316</f>
        <v>-155000</v>
      </c>
      <c r="L18" s="1">
        <f>L316</f>
        <v>0</v>
      </c>
      <c r="M18" s="18">
        <f t="shared" si="1"/>
        <v>-284000</v>
      </c>
      <c r="N18" s="1">
        <f>N316</f>
        <v>0</v>
      </c>
      <c r="O18" s="1">
        <f>O316</f>
        <v>0</v>
      </c>
      <c r="P18" s="1">
        <f>P316</f>
        <v>0</v>
      </c>
      <c r="Q18" s="19">
        <f t="shared" si="2"/>
        <v>0</v>
      </c>
      <c r="R18" s="18">
        <f t="shared" si="3"/>
        <v>-410000</v>
      </c>
    </row>
    <row r="19" spans="1:20" ht="16.5" customHeight="1" thickBot="1" x14ac:dyDescent="0.35">
      <c r="A19" s="24" t="s">
        <v>33</v>
      </c>
      <c r="B19" s="25">
        <f>(B29)</f>
        <v>88811</v>
      </c>
      <c r="C19" s="25">
        <f>(C29)</f>
        <v>110393</v>
      </c>
      <c r="D19" s="25">
        <f>(D29)</f>
        <v>180899</v>
      </c>
      <c r="E19" s="26">
        <f t="shared" si="4"/>
        <v>380103</v>
      </c>
      <c r="F19" s="25">
        <f>(F29)</f>
        <v>174136</v>
      </c>
      <c r="G19" s="25">
        <f>(G29)</f>
        <v>186444</v>
      </c>
      <c r="H19" s="25">
        <f>(H29)</f>
        <v>72633</v>
      </c>
      <c r="I19" s="26">
        <f t="shared" si="0"/>
        <v>433213</v>
      </c>
      <c r="J19" s="25">
        <f>(J29)</f>
        <v>74072</v>
      </c>
      <c r="K19" s="25">
        <f>(K29)</f>
        <v>32691</v>
      </c>
      <c r="L19" s="25">
        <f>(L29)</f>
        <v>151414</v>
      </c>
      <c r="M19" s="26">
        <f t="shared" si="1"/>
        <v>258177</v>
      </c>
      <c r="N19" s="25">
        <f>(N29)</f>
        <v>162310</v>
      </c>
      <c r="O19" s="25">
        <f>(O29)</f>
        <v>157118</v>
      </c>
      <c r="P19" s="25">
        <f>(P29)</f>
        <v>153665</v>
      </c>
      <c r="Q19" s="27">
        <f t="shared" si="2"/>
        <v>473093</v>
      </c>
      <c r="R19" s="26">
        <f t="shared" si="3"/>
        <v>1544586</v>
      </c>
    </row>
    <row r="20" spans="1:20" ht="16.5" customHeight="1" thickBot="1" x14ac:dyDescent="0.35">
      <c r="A20" s="24" t="s">
        <v>34</v>
      </c>
      <c r="B20" s="25">
        <f>+B19</f>
        <v>88811</v>
      </c>
      <c r="C20" s="25">
        <f>+C19</f>
        <v>110393</v>
      </c>
      <c r="D20" s="25">
        <f>+D19</f>
        <v>180899</v>
      </c>
      <c r="E20" s="26">
        <f>SUM(B20:D20)</f>
        <v>380103</v>
      </c>
      <c r="F20" s="25">
        <f>+F19</f>
        <v>174136</v>
      </c>
      <c r="G20" s="25">
        <f>+G19</f>
        <v>186444</v>
      </c>
      <c r="H20" s="25">
        <f>+H19</f>
        <v>72633</v>
      </c>
      <c r="I20" s="26">
        <f>SUM(F20:H20)</f>
        <v>433213</v>
      </c>
      <c r="J20" s="25">
        <f>+J19</f>
        <v>74072</v>
      </c>
      <c r="K20" s="25">
        <f>+K19</f>
        <v>32691</v>
      </c>
      <c r="L20" s="25">
        <f>+L19</f>
        <v>151414</v>
      </c>
      <c r="M20" s="26">
        <f t="shared" si="1"/>
        <v>258177</v>
      </c>
      <c r="N20" s="25">
        <f>+N19</f>
        <v>162310</v>
      </c>
      <c r="O20" s="25">
        <f>+O19</f>
        <v>157118</v>
      </c>
      <c r="P20" s="25">
        <f>+P19</f>
        <v>153665</v>
      </c>
      <c r="Q20" s="27">
        <f>SUM(N20:P20)</f>
        <v>473093</v>
      </c>
      <c r="R20" s="26">
        <f t="shared" si="3"/>
        <v>1544586</v>
      </c>
    </row>
    <row r="21" spans="1:20" ht="15.75" customHeight="1" x14ac:dyDescent="0.3">
      <c r="A21" s="1"/>
      <c r="B21" s="1"/>
      <c r="C21" s="1"/>
      <c r="D21" s="1"/>
      <c r="E21" s="1"/>
      <c r="F21" s="1"/>
      <c r="G21" s="1"/>
      <c r="H21" s="1"/>
      <c r="I21" s="1"/>
      <c r="J21" s="1"/>
      <c r="K21" s="1"/>
      <c r="L21" s="1"/>
      <c r="M21" s="1"/>
      <c r="N21" s="1"/>
      <c r="O21" s="1"/>
      <c r="P21" s="1"/>
      <c r="Q21" s="1"/>
      <c r="R21" s="28"/>
    </row>
    <row r="22" spans="1:20" ht="15.75" customHeight="1" thickBot="1" x14ac:dyDescent="0.35">
      <c r="A22" s="1"/>
      <c r="B22" s="1"/>
      <c r="C22" s="1"/>
      <c r="D22" s="1"/>
      <c r="E22" s="1"/>
      <c r="F22" s="29" t="s">
        <v>7</v>
      </c>
      <c r="G22" s="29" t="s">
        <v>7</v>
      </c>
      <c r="H22" s="1"/>
      <c r="I22" s="1"/>
      <c r="J22" s="1"/>
      <c r="K22" s="1"/>
      <c r="L22" s="1"/>
      <c r="M22" s="1"/>
      <c r="N22" s="29" t="s">
        <v>7</v>
      </c>
      <c r="O22" s="29" t="s">
        <v>7</v>
      </c>
      <c r="P22" s="29" t="s">
        <v>7</v>
      </c>
      <c r="Q22" s="29"/>
      <c r="R22" s="30" t="s">
        <v>7</v>
      </c>
    </row>
    <row r="23" spans="1:20" ht="16.5" customHeight="1" thickBot="1" x14ac:dyDescent="0.35">
      <c r="A23" s="31" t="s">
        <v>35</v>
      </c>
      <c r="B23" s="32" t="s">
        <v>36</v>
      </c>
      <c r="C23" s="33" t="s">
        <v>9</v>
      </c>
      <c r="D23" s="33" t="s">
        <v>10</v>
      </c>
      <c r="E23" s="12" t="s">
        <v>11</v>
      </c>
      <c r="F23" s="33" t="s">
        <v>12</v>
      </c>
      <c r="G23" s="33" t="s">
        <v>13</v>
      </c>
      <c r="H23" s="33" t="s">
        <v>14</v>
      </c>
      <c r="I23" s="34" t="s">
        <v>15</v>
      </c>
      <c r="J23" s="33" t="s">
        <v>16</v>
      </c>
      <c r="K23" s="33" t="s">
        <v>17</v>
      </c>
      <c r="L23" s="33" t="s">
        <v>18</v>
      </c>
      <c r="M23" s="34" t="s">
        <v>19</v>
      </c>
      <c r="N23" s="33" t="s">
        <v>20</v>
      </c>
      <c r="O23" s="33" t="s">
        <v>21</v>
      </c>
      <c r="P23" s="33" t="s">
        <v>22</v>
      </c>
      <c r="Q23" s="34" t="s">
        <v>23</v>
      </c>
      <c r="R23" s="35" t="s">
        <v>24</v>
      </c>
    </row>
    <row r="24" spans="1:20" ht="16.5" customHeight="1" thickBot="1" x14ac:dyDescent="0.35">
      <c r="A24" s="36"/>
      <c r="B24" s="37"/>
      <c r="C24" s="37"/>
      <c r="D24" s="37"/>
      <c r="E24" s="38"/>
      <c r="F24" s="37"/>
      <c r="G24" s="37"/>
      <c r="H24" s="37"/>
      <c r="I24" s="38"/>
      <c r="J24" s="37"/>
      <c r="K24" s="37"/>
      <c r="L24" s="37"/>
      <c r="M24" s="38"/>
      <c r="N24" s="37"/>
      <c r="O24" s="37"/>
      <c r="P24" s="37"/>
      <c r="Q24" s="38"/>
      <c r="R24" s="39"/>
    </row>
    <row r="25" spans="1:20" ht="16.5" customHeight="1" thickBot="1" x14ac:dyDescent="0.35">
      <c r="A25" s="40" t="s">
        <v>37</v>
      </c>
      <c r="B25" s="25">
        <v>97</v>
      </c>
      <c r="C25" s="25">
        <v>148</v>
      </c>
      <c r="D25" s="25">
        <v>274</v>
      </c>
      <c r="E25" s="41">
        <f>SUM(B25:D25)</f>
        <v>519</v>
      </c>
      <c r="F25" s="25">
        <v>367</v>
      </c>
      <c r="G25" s="25">
        <v>425</v>
      </c>
      <c r="H25" s="25">
        <v>417</v>
      </c>
      <c r="I25" s="41">
        <f>SUM(F25:H25)</f>
        <v>1209</v>
      </c>
      <c r="J25" s="25">
        <v>416</v>
      </c>
      <c r="K25" s="25">
        <v>334</v>
      </c>
      <c r="L25" s="25">
        <v>316</v>
      </c>
      <c r="M25" s="41">
        <f>SUM(J25:L25)</f>
        <v>1066</v>
      </c>
      <c r="N25" s="25">
        <v>285</v>
      </c>
      <c r="O25" s="25">
        <v>235</v>
      </c>
      <c r="P25" s="25">
        <v>186</v>
      </c>
      <c r="Q25" s="41">
        <f>SUM(N25:P25)</f>
        <v>706</v>
      </c>
      <c r="R25" s="26">
        <f>+E25+I25+M25+Q25</f>
        <v>3500</v>
      </c>
    </row>
    <row r="26" spans="1:20" ht="17.25" customHeight="1" thickBot="1" x14ac:dyDescent="0.35">
      <c r="A26" s="42"/>
      <c r="B26" s="37"/>
      <c r="C26" s="37"/>
      <c r="D26" s="37"/>
      <c r="E26" s="43"/>
      <c r="F26" s="37"/>
      <c r="G26" s="37"/>
      <c r="H26" s="37"/>
      <c r="I26" s="43"/>
      <c r="J26" s="37"/>
      <c r="K26" s="37"/>
      <c r="L26" s="37"/>
      <c r="M26" s="43"/>
      <c r="N26" s="37"/>
      <c r="O26" s="37"/>
      <c r="P26" s="37"/>
      <c r="Q26" s="43"/>
      <c r="R26" s="44"/>
    </row>
    <row r="27" spans="1:20" ht="15.75" customHeight="1" x14ac:dyDescent="0.3">
      <c r="A27" s="17" t="s">
        <v>38</v>
      </c>
      <c r="B27" s="1">
        <f>B25</f>
        <v>97</v>
      </c>
      <c r="C27" s="1">
        <f>C25</f>
        <v>148</v>
      </c>
      <c r="D27" s="1">
        <f>D25</f>
        <v>274</v>
      </c>
      <c r="E27" s="41">
        <f>SUM(B27:D27)</f>
        <v>519</v>
      </c>
      <c r="F27" s="1">
        <f>F25</f>
        <v>367</v>
      </c>
      <c r="G27" s="1">
        <f>G25</f>
        <v>425</v>
      </c>
      <c r="H27" s="1">
        <f>H25</f>
        <v>417</v>
      </c>
      <c r="I27" s="41">
        <f>SUM(F27:H27)</f>
        <v>1209</v>
      </c>
      <c r="J27" s="1">
        <f>J25</f>
        <v>416</v>
      </c>
      <c r="K27" s="1">
        <f>K25</f>
        <v>334</v>
      </c>
      <c r="L27" s="1">
        <f>L25</f>
        <v>316</v>
      </c>
      <c r="M27" s="41">
        <f>SUM(J27:L27)</f>
        <v>1066</v>
      </c>
      <c r="N27" s="1">
        <f>N25</f>
        <v>285</v>
      </c>
      <c r="O27" s="1">
        <f>O25</f>
        <v>235</v>
      </c>
      <c r="P27" s="1">
        <f>P25</f>
        <v>186</v>
      </c>
      <c r="Q27" s="45">
        <f>SUM(N27:P27)</f>
        <v>706</v>
      </c>
      <c r="R27" s="41">
        <f>+E27+I27+M27+Q27</f>
        <v>3500</v>
      </c>
    </row>
    <row r="28" spans="1:20" ht="15.75" customHeight="1" x14ac:dyDescent="0.3">
      <c r="A28" s="17" t="s">
        <v>39</v>
      </c>
      <c r="B28" s="1">
        <f>(B27/B10)/1.983</f>
        <v>1.5779285214647079</v>
      </c>
      <c r="C28" s="1">
        <f>(C27/C10)/1.983</f>
        <v>2.6655140119587926</v>
      </c>
      <c r="D28" s="1">
        <f>(D27/D10)/1.983</f>
        <v>4.457241390529175</v>
      </c>
      <c r="E28" s="18"/>
      <c r="F28" s="1">
        <f>(F27/F10)/1.983</f>
        <v>6.1691040511010247</v>
      </c>
      <c r="G28" s="1">
        <f>(G27/G10)/1.983</f>
        <v>6.9136043466237203</v>
      </c>
      <c r="H28" s="1">
        <f>(H27/H10)/1.983</f>
        <v>7.0095814422592033</v>
      </c>
      <c r="I28" s="18"/>
      <c r="J28" s="1">
        <f>(J27/J10)/1.983</f>
        <v>6.7671986075187478</v>
      </c>
      <c r="K28" s="1">
        <f>(K27/K10)/1.983</f>
        <v>5.433279651228994</v>
      </c>
      <c r="L28" s="1">
        <f>(L27/L10)/1.983</f>
        <v>5.3118171121196838</v>
      </c>
      <c r="M28" s="18"/>
      <c r="N28" s="1">
        <f>(N27/N10)/1.983</f>
        <v>4.6361817383241419</v>
      </c>
      <c r="O28" s="1">
        <f>(O27/O10)/1.983</f>
        <v>3.9502437384434357</v>
      </c>
      <c r="P28" s="1">
        <f>(P27/P10)/1.983</f>
        <v>3.02571860816944</v>
      </c>
      <c r="Q28" s="19"/>
      <c r="R28" s="18"/>
    </row>
    <row r="29" spans="1:20" ht="15.75" customHeight="1" x14ac:dyDescent="0.3">
      <c r="A29" s="17" t="s">
        <v>40</v>
      </c>
      <c r="B29" s="1">
        <f>B27+B64</f>
        <v>88811</v>
      </c>
      <c r="C29" s="1">
        <f>C27+C64</f>
        <v>110393</v>
      </c>
      <c r="D29" s="1">
        <f>D27+D64</f>
        <v>180899</v>
      </c>
      <c r="E29" s="18">
        <f>SUM(B29:D29)</f>
        <v>380103</v>
      </c>
      <c r="F29" s="1">
        <f>F27+F64</f>
        <v>174136</v>
      </c>
      <c r="G29" s="1">
        <f>G27+G64</f>
        <v>186444</v>
      </c>
      <c r="H29" s="1">
        <f>H27+H64</f>
        <v>72633</v>
      </c>
      <c r="I29" s="18">
        <f>SUM(F29:H29)</f>
        <v>433213</v>
      </c>
      <c r="J29" s="1">
        <f>J27+J64</f>
        <v>74072</v>
      </c>
      <c r="K29" s="1">
        <f>K27+K64</f>
        <v>32691</v>
      </c>
      <c r="L29" s="1">
        <f>L27+L64</f>
        <v>151414</v>
      </c>
      <c r="M29" s="18">
        <f>SUM(J29:L29)</f>
        <v>258177</v>
      </c>
      <c r="N29" s="1">
        <f>N27+N64</f>
        <v>162310</v>
      </c>
      <c r="O29" s="1">
        <f>O27+O64</f>
        <v>157118</v>
      </c>
      <c r="P29" s="1">
        <f>P27+P64</f>
        <v>153665</v>
      </c>
      <c r="Q29" s="19">
        <f>SUM(N29:P29)</f>
        <v>473093</v>
      </c>
      <c r="R29" s="18">
        <f>+E29+I29+M29+Q29</f>
        <v>1544586</v>
      </c>
    </row>
    <row r="30" spans="1:20" s="50" customFormat="1" ht="16.5" customHeight="1" thickBot="1" x14ac:dyDescent="0.35">
      <c r="A30" s="46" t="s">
        <v>41</v>
      </c>
      <c r="B30" s="47">
        <f>(B29/B10)/1.983</f>
        <v>1444.7155661835277</v>
      </c>
      <c r="C30" s="47">
        <f>(C29/C10)/1.983</f>
        <v>1988.2032994741012</v>
      </c>
      <c r="D30" s="47">
        <f>(D29/D10)/1.983</f>
        <v>2942.7390887056104</v>
      </c>
      <c r="E30" s="48"/>
      <c r="F30" s="47">
        <f>(F29/F10)/1.983</f>
        <v>2927.1474197344091</v>
      </c>
      <c r="G30" s="47">
        <f>(G29/G10)/1.983</f>
        <v>3032.9412912986186</v>
      </c>
      <c r="H30" s="47">
        <f>(H29/H10)/1.983</f>
        <v>1220.9278870398384</v>
      </c>
      <c r="I30" s="48"/>
      <c r="J30" s="47">
        <f>(J29/J10)/1.983</f>
        <v>1204.951767442617</v>
      </c>
      <c r="K30" s="47">
        <f>(K29/K10)/1.983</f>
        <v>531.79444634229662</v>
      </c>
      <c r="L30" s="47">
        <f>(L29/L10)/1.983</f>
        <v>2545.2008740964866</v>
      </c>
      <c r="M30" s="48"/>
      <c r="N30" s="47">
        <f>(N29/N10)/1.983</f>
        <v>2640.3461682364614</v>
      </c>
      <c r="O30" s="47">
        <f>(O29/O10)/1.983</f>
        <v>2641.0825348798116</v>
      </c>
      <c r="P30" s="47">
        <f>(P29/P10)/1.983</f>
        <v>2499.7153221739622</v>
      </c>
      <c r="Q30" s="49"/>
      <c r="R30" s="48"/>
      <c r="T30" s="51" t="s">
        <v>42</v>
      </c>
    </row>
    <row r="31" spans="1:20" ht="15.75" customHeight="1" x14ac:dyDescent="0.3">
      <c r="A31" s="28"/>
      <c r="B31" s="1"/>
      <c r="C31" s="1"/>
      <c r="D31" s="1"/>
      <c r="E31" s="1"/>
      <c r="F31" s="1"/>
      <c r="G31" s="1"/>
      <c r="H31" s="1"/>
      <c r="I31" s="1"/>
      <c r="J31" s="1"/>
      <c r="K31" s="1"/>
      <c r="L31" s="1"/>
      <c r="M31" s="1"/>
      <c r="N31" s="1"/>
      <c r="O31" s="1"/>
      <c r="P31" s="1"/>
      <c r="Q31" s="1"/>
      <c r="R31" s="28"/>
      <c r="T31" s="52" t="s">
        <v>43</v>
      </c>
    </row>
    <row r="32" spans="1:20" ht="15.75" customHeight="1" thickBot="1" x14ac:dyDescent="0.35">
      <c r="A32" s="28"/>
      <c r="B32" s="1"/>
      <c r="C32" s="1"/>
      <c r="D32" s="1"/>
      <c r="E32" s="1"/>
      <c r="F32" s="1"/>
      <c r="G32" s="1"/>
      <c r="H32" s="1"/>
      <c r="I32" s="1"/>
      <c r="J32" s="1"/>
      <c r="K32" s="1"/>
      <c r="L32" s="1"/>
      <c r="M32" s="1"/>
      <c r="N32" s="1"/>
      <c r="O32" s="1"/>
      <c r="P32" s="1"/>
      <c r="Q32" s="1"/>
      <c r="R32" s="28"/>
    </row>
    <row r="33" spans="1:18" ht="15.75" customHeight="1" thickBot="1" x14ac:dyDescent="0.35">
      <c r="A33" s="53" t="s">
        <v>44</v>
      </c>
      <c r="B33" s="54" t="s">
        <v>36</v>
      </c>
      <c r="C33" s="11" t="s">
        <v>9</v>
      </c>
      <c r="D33" s="11" t="s">
        <v>10</v>
      </c>
      <c r="E33" s="12" t="s">
        <v>11</v>
      </c>
      <c r="F33" s="11" t="s">
        <v>12</v>
      </c>
      <c r="G33" s="11" t="s">
        <v>13</v>
      </c>
      <c r="H33" s="11" t="s">
        <v>14</v>
      </c>
      <c r="I33" s="12" t="s">
        <v>15</v>
      </c>
      <c r="J33" s="11" t="s">
        <v>16</v>
      </c>
      <c r="K33" s="11" t="s">
        <v>17</v>
      </c>
      <c r="L33" s="11" t="s">
        <v>18</v>
      </c>
      <c r="M33" s="12" t="s">
        <v>19</v>
      </c>
      <c r="N33" s="11" t="s">
        <v>20</v>
      </c>
      <c r="O33" s="11" t="s">
        <v>21</v>
      </c>
      <c r="P33" s="11" t="s">
        <v>22</v>
      </c>
      <c r="Q33" s="12" t="s">
        <v>23</v>
      </c>
      <c r="R33" s="13" t="s">
        <v>24</v>
      </c>
    </row>
    <row r="34" spans="1:18" ht="16.5" customHeight="1" thickBot="1" x14ac:dyDescent="0.35">
      <c r="A34" s="43"/>
      <c r="B34" s="55"/>
      <c r="C34" s="56"/>
      <c r="D34" s="56"/>
      <c r="E34" s="16"/>
      <c r="F34" s="56"/>
      <c r="G34" s="56"/>
      <c r="H34" s="56"/>
      <c r="I34" s="16"/>
      <c r="J34" s="56"/>
      <c r="K34" s="56"/>
      <c r="L34" s="56"/>
      <c r="M34" s="16"/>
      <c r="N34" s="56"/>
      <c r="O34" s="56"/>
      <c r="P34" s="56"/>
      <c r="Q34" s="16"/>
      <c r="R34" s="57"/>
    </row>
    <row r="35" spans="1:18" ht="15.75" customHeight="1" x14ac:dyDescent="0.3">
      <c r="A35" s="58" t="s">
        <v>45</v>
      </c>
      <c r="B35" s="30"/>
      <c r="C35" s="30"/>
      <c r="D35" s="30"/>
      <c r="E35" s="59" t="s">
        <v>7</v>
      </c>
      <c r="F35" s="30"/>
      <c r="G35" s="30"/>
      <c r="H35" s="30"/>
      <c r="I35" s="59" t="s">
        <v>7</v>
      </c>
      <c r="J35" s="30"/>
      <c r="K35" s="30"/>
      <c r="L35" s="30"/>
      <c r="M35" s="59" t="s">
        <v>7</v>
      </c>
      <c r="N35" s="30"/>
      <c r="O35" s="30"/>
      <c r="P35" s="30"/>
      <c r="Q35" s="59" t="s">
        <v>7</v>
      </c>
      <c r="R35" s="59" t="s">
        <v>7</v>
      </c>
    </row>
    <row r="36" spans="1:18" ht="15.75" customHeight="1" x14ac:dyDescent="0.3">
      <c r="A36" s="22" t="s">
        <v>46</v>
      </c>
      <c r="B36" s="30" t="s">
        <v>7</v>
      </c>
      <c r="C36" s="60"/>
      <c r="D36" s="60"/>
      <c r="E36" s="59" t="s">
        <v>7</v>
      </c>
      <c r="F36" s="60"/>
      <c r="G36" s="60"/>
      <c r="H36" s="60"/>
      <c r="I36" s="59" t="s">
        <v>7</v>
      </c>
      <c r="J36" s="60"/>
      <c r="K36" s="60"/>
      <c r="L36" s="60"/>
      <c r="M36" s="59" t="s">
        <v>7</v>
      </c>
      <c r="N36" s="60"/>
      <c r="O36" s="60"/>
      <c r="P36" s="60"/>
      <c r="Q36" s="59" t="s">
        <v>7</v>
      </c>
      <c r="R36" s="59" t="s">
        <v>7</v>
      </c>
    </row>
    <row r="37" spans="1:18" ht="15.75" customHeight="1" x14ac:dyDescent="0.3">
      <c r="A37" s="22" t="s">
        <v>47</v>
      </c>
      <c r="B37" s="30"/>
      <c r="C37" s="30"/>
      <c r="D37" s="30"/>
      <c r="E37" s="59" t="s">
        <v>7</v>
      </c>
      <c r="F37" s="30"/>
      <c r="G37" s="30"/>
      <c r="H37" s="30"/>
      <c r="I37" s="59" t="s">
        <v>7</v>
      </c>
      <c r="J37" s="30"/>
      <c r="K37" s="30"/>
      <c r="L37" s="30"/>
      <c r="M37" s="59" t="s">
        <v>7</v>
      </c>
      <c r="N37" s="30"/>
      <c r="O37" s="30"/>
      <c r="P37" s="30"/>
      <c r="Q37" s="59" t="s">
        <v>7</v>
      </c>
      <c r="R37" s="59" t="s">
        <v>7</v>
      </c>
    </row>
    <row r="38" spans="1:18" ht="15.75" customHeight="1" x14ac:dyDescent="0.3">
      <c r="A38" s="61" t="s">
        <v>48</v>
      </c>
      <c r="B38" s="1"/>
      <c r="C38" s="1"/>
      <c r="D38" s="1"/>
      <c r="E38" s="59">
        <f>SUM(B38:D38)</f>
        <v>0</v>
      </c>
      <c r="F38" s="1"/>
      <c r="G38" s="1"/>
      <c r="H38" s="1"/>
      <c r="I38" s="59">
        <f>SUM(F38:H38)</f>
        <v>0</v>
      </c>
      <c r="J38" s="1"/>
      <c r="K38" s="1"/>
      <c r="L38" s="1"/>
      <c r="M38" s="59">
        <f>SUM(J38:L38)</f>
        <v>0</v>
      </c>
      <c r="N38" s="1"/>
      <c r="O38" s="1"/>
      <c r="P38" s="1"/>
      <c r="Q38" s="59">
        <f>SUM(N38:P38)</f>
        <v>0</v>
      </c>
      <c r="R38" s="59">
        <f>+E38+I38+M38+Q38</f>
        <v>0</v>
      </c>
    </row>
    <row r="39" spans="1:18" ht="15.75" customHeight="1" x14ac:dyDescent="0.3">
      <c r="A39" s="22" t="s">
        <v>49</v>
      </c>
      <c r="B39" s="30"/>
      <c r="C39" s="30"/>
      <c r="D39" s="30"/>
      <c r="E39" s="59" t="s">
        <v>50</v>
      </c>
      <c r="F39" s="30"/>
      <c r="G39" s="30"/>
      <c r="H39" s="30"/>
      <c r="I39" s="59" t="s">
        <v>50</v>
      </c>
      <c r="J39" s="30"/>
      <c r="K39" s="30"/>
      <c r="L39" s="30"/>
      <c r="M39" s="59" t="s">
        <v>50</v>
      </c>
      <c r="N39" s="30"/>
      <c r="O39" s="30"/>
      <c r="P39" s="30"/>
      <c r="Q39" s="59" t="s">
        <v>50</v>
      </c>
      <c r="R39" s="59" t="s">
        <v>50</v>
      </c>
    </row>
    <row r="40" spans="1:18" ht="15.75" customHeight="1" thickBot="1" x14ac:dyDescent="0.35">
      <c r="A40" s="22" t="s">
        <v>51</v>
      </c>
      <c r="B40" s="60"/>
      <c r="C40" s="60"/>
      <c r="D40" s="60"/>
      <c r="E40" s="59" t="s">
        <v>7</v>
      </c>
      <c r="F40" s="60"/>
      <c r="G40" s="60"/>
      <c r="H40" s="60"/>
      <c r="I40" s="59" t="s">
        <v>7</v>
      </c>
      <c r="J40" s="60"/>
      <c r="K40" s="60"/>
      <c r="L40" s="60"/>
      <c r="M40" s="59" t="s">
        <v>7</v>
      </c>
      <c r="N40" s="60"/>
      <c r="O40" s="60"/>
      <c r="P40" s="60"/>
      <c r="Q40" s="59" t="s">
        <v>7</v>
      </c>
      <c r="R40" s="59" t="s">
        <v>7</v>
      </c>
    </row>
    <row r="41" spans="1:18" ht="16.5" customHeight="1" thickBot="1" x14ac:dyDescent="0.35">
      <c r="A41" s="62" t="s">
        <v>52</v>
      </c>
      <c r="B41" s="63">
        <f>SUM(B35:B40)</f>
        <v>0</v>
      </c>
      <c r="C41" s="63">
        <f>SUM(C35:C40)</f>
        <v>0</v>
      </c>
      <c r="D41" s="63">
        <f>SUM(D35:D40)</f>
        <v>0</v>
      </c>
      <c r="E41" s="64">
        <f>SUM(B41:D41)</f>
        <v>0</v>
      </c>
      <c r="F41" s="63">
        <f>SUM(F35:F40)</f>
        <v>0</v>
      </c>
      <c r="G41" s="63">
        <f>SUM(G35:G40)</f>
        <v>0</v>
      </c>
      <c r="H41" s="63">
        <f>SUM(H35:H40)</f>
        <v>0</v>
      </c>
      <c r="I41" s="64">
        <f>SUM(F41:H41)</f>
        <v>0</v>
      </c>
      <c r="J41" s="63">
        <f>SUM(J35:J40)</f>
        <v>0</v>
      </c>
      <c r="K41" s="63">
        <f>SUM(K35:K40)</f>
        <v>0</v>
      </c>
      <c r="L41" s="63">
        <f>SUM(L35:L40)</f>
        <v>0</v>
      </c>
      <c r="M41" s="64">
        <f>SUM(J41:L41)</f>
        <v>0</v>
      </c>
      <c r="N41" s="63">
        <f>SUM(N35:N40)</f>
        <v>0</v>
      </c>
      <c r="O41" s="63">
        <f>SUM(O35:O40)</f>
        <v>0</v>
      </c>
      <c r="P41" s="63">
        <f>SUM(P35:P40)</f>
        <v>0</v>
      </c>
      <c r="Q41" s="64">
        <f>SUM(N41:P41)</f>
        <v>0</v>
      </c>
      <c r="R41" s="64">
        <f>+E41+I41+M41+Q41</f>
        <v>0</v>
      </c>
    </row>
    <row r="42" spans="1:18" ht="15.75" customHeight="1" x14ac:dyDescent="0.3">
      <c r="A42" s="22" t="s">
        <v>53</v>
      </c>
      <c r="B42" s="60"/>
      <c r="C42" s="60"/>
      <c r="D42" s="60"/>
      <c r="E42" s="59" t="s">
        <v>7</v>
      </c>
      <c r="F42" s="60"/>
      <c r="G42" s="60"/>
      <c r="H42" s="60"/>
      <c r="I42" s="59" t="s">
        <v>7</v>
      </c>
      <c r="J42" s="60"/>
      <c r="K42" s="60"/>
      <c r="L42" s="60"/>
      <c r="M42" s="59" t="s">
        <v>7</v>
      </c>
      <c r="N42" s="60"/>
      <c r="O42" s="60"/>
      <c r="P42" s="60"/>
      <c r="Q42" s="59" t="s">
        <v>7</v>
      </c>
      <c r="R42" s="65" t="s">
        <v>7</v>
      </c>
    </row>
    <row r="43" spans="1:18" ht="15.75" customHeight="1" x14ac:dyDescent="0.3">
      <c r="A43" s="22" t="s">
        <v>54</v>
      </c>
      <c r="B43" s="60"/>
      <c r="C43" s="60"/>
      <c r="D43" s="60"/>
      <c r="E43" s="59"/>
      <c r="F43" s="60"/>
      <c r="G43" s="60"/>
      <c r="H43" s="60"/>
      <c r="I43" s="59"/>
      <c r="J43" s="60"/>
      <c r="K43" s="60"/>
      <c r="L43" s="60"/>
      <c r="M43" s="59"/>
      <c r="N43" s="60"/>
      <c r="O43" s="60"/>
      <c r="P43" s="60"/>
      <c r="Q43" s="59"/>
      <c r="R43" s="59"/>
    </row>
    <row r="44" spans="1:18" ht="15.75" customHeight="1" x14ac:dyDescent="0.3">
      <c r="A44" s="22" t="s">
        <v>55</v>
      </c>
      <c r="B44" s="60"/>
      <c r="C44" s="60"/>
      <c r="D44" s="60"/>
      <c r="E44" s="59" t="s">
        <v>7</v>
      </c>
      <c r="F44" s="60"/>
      <c r="G44" s="60"/>
      <c r="H44" s="60"/>
      <c r="I44" s="59" t="s">
        <v>7</v>
      </c>
      <c r="J44" s="60"/>
      <c r="K44" s="60"/>
      <c r="L44" s="60"/>
      <c r="M44" s="59" t="s">
        <v>7</v>
      </c>
      <c r="N44" s="60"/>
      <c r="O44" s="60"/>
      <c r="P44" s="60"/>
      <c r="Q44" s="59" t="s">
        <v>7</v>
      </c>
      <c r="R44" s="59" t="s">
        <v>7</v>
      </c>
    </row>
    <row r="45" spans="1:18" ht="15.75" customHeight="1" thickBot="1" x14ac:dyDescent="0.35">
      <c r="A45" s="22" t="s">
        <v>56</v>
      </c>
      <c r="B45" s="60"/>
      <c r="C45" s="60"/>
      <c r="D45" s="60"/>
      <c r="E45" s="59" t="s">
        <v>7</v>
      </c>
      <c r="F45" s="60"/>
      <c r="G45" s="60"/>
      <c r="H45" s="60"/>
      <c r="I45" s="59" t="s">
        <v>7</v>
      </c>
      <c r="J45" s="60"/>
      <c r="K45" s="60"/>
      <c r="L45" s="60"/>
      <c r="M45" s="59" t="s">
        <v>7</v>
      </c>
      <c r="N45" s="60"/>
      <c r="O45" s="60"/>
      <c r="P45" s="60"/>
      <c r="Q45" s="59" t="s">
        <v>7</v>
      </c>
      <c r="R45" s="59" t="s">
        <v>7</v>
      </c>
    </row>
    <row r="46" spans="1:18" ht="16.5" customHeight="1" thickBot="1" x14ac:dyDescent="0.35">
      <c r="A46" s="62" t="s">
        <v>57</v>
      </c>
      <c r="B46" s="63">
        <f>SUM(B42:B45)</f>
        <v>0</v>
      </c>
      <c r="C46" s="63">
        <f>SUM(C42:C45)</f>
        <v>0</v>
      </c>
      <c r="D46" s="63">
        <f>SUM(D42:D45)</f>
        <v>0</v>
      </c>
      <c r="E46" s="64">
        <f>SUM(B46:D46)</f>
        <v>0</v>
      </c>
      <c r="F46" s="63">
        <f>SUM(F42:F45)</f>
        <v>0</v>
      </c>
      <c r="G46" s="63">
        <f>SUM(G42:G45)</f>
        <v>0</v>
      </c>
      <c r="H46" s="63">
        <f>SUM(H42:H45)</f>
        <v>0</v>
      </c>
      <c r="I46" s="64">
        <f>SUM(F46:H46)</f>
        <v>0</v>
      </c>
      <c r="J46" s="63">
        <f>SUM(J42:J45)</f>
        <v>0</v>
      </c>
      <c r="K46" s="63">
        <f>SUM(K42:K45)</f>
        <v>0</v>
      </c>
      <c r="L46" s="63">
        <f>SUM(L42:L45)</f>
        <v>0</v>
      </c>
      <c r="M46" s="64">
        <f>SUM(J46:L46)</f>
        <v>0</v>
      </c>
      <c r="N46" s="63">
        <f>SUM(N42:N45)</f>
        <v>0</v>
      </c>
      <c r="O46" s="63">
        <f>SUM(O42:O45)</f>
        <v>0</v>
      </c>
      <c r="P46" s="63">
        <f>SUM(P42:P45)</f>
        <v>0</v>
      </c>
      <c r="Q46" s="64">
        <f>SUM(N46:P46)</f>
        <v>0</v>
      </c>
      <c r="R46" s="64">
        <f>+E46+I46+M46+Q46</f>
        <v>0</v>
      </c>
    </row>
    <row r="47" spans="1:18" ht="15.75" customHeight="1" x14ac:dyDescent="0.3">
      <c r="A47" s="22" t="s">
        <v>58</v>
      </c>
      <c r="B47" s="60"/>
      <c r="C47" s="60"/>
      <c r="D47" s="60"/>
      <c r="E47" s="59" t="s">
        <v>7</v>
      </c>
      <c r="F47" s="60"/>
      <c r="G47" s="60"/>
      <c r="H47" s="60"/>
      <c r="I47" s="59" t="s">
        <v>7</v>
      </c>
      <c r="J47" s="60"/>
      <c r="K47" s="60"/>
      <c r="L47" s="60"/>
      <c r="M47" s="59" t="s">
        <v>7</v>
      </c>
      <c r="N47" s="60"/>
      <c r="O47" s="60"/>
      <c r="P47" s="60"/>
      <c r="Q47" s="59" t="s">
        <v>7</v>
      </c>
      <c r="R47" s="59" t="s">
        <v>7</v>
      </c>
    </row>
    <row r="48" spans="1:18" ht="15.75" customHeight="1" x14ac:dyDescent="0.3">
      <c r="A48" s="22" t="s">
        <v>59</v>
      </c>
      <c r="B48" s="60"/>
      <c r="C48" s="60"/>
      <c r="D48" s="60"/>
      <c r="E48" s="59" t="s">
        <v>7</v>
      </c>
      <c r="F48" s="60"/>
      <c r="G48" s="60"/>
      <c r="H48" s="60"/>
      <c r="I48" s="59" t="s">
        <v>7</v>
      </c>
      <c r="J48" s="60"/>
      <c r="K48" s="60"/>
      <c r="L48" s="60"/>
      <c r="M48" s="59" t="s">
        <v>7</v>
      </c>
      <c r="N48" s="60"/>
      <c r="O48" s="60"/>
      <c r="P48" s="60"/>
      <c r="Q48" s="59" t="s">
        <v>7</v>
      </c>
      <c r="R48" s="59" t="s">
        <v>7</v>
      </c>
    </row>
    <row r="49" spans="1:18" ht="15.75" customHeight="1" thickBot="1" x14ac:dyDescent="0.35">
      <c r="A49" s="22" t="s">
        <v>60</v>
      </c>
      <c r="B49" s="60"/>
      <c r="C49" s="60"/>
      <c r="D49" s="60"/>
      <c r="E49" s="59"/>
      <c r="F49" s="60"/>
      <c r="G49" s="60"/>
      <c r="H49" s="60"/>
      <c r="I49" s="59"/>
      <c r="J49" s="60"/>
      <c r="K49" s="60"/>
      <c r="L49" s="60"/>
      <c r="M49" s="59"/>
      <c r="N49" s="60"/>
      <c r="O49" s="60"/>
      <c r="P49" s="60"/>
      <c r="Q49" s="59"/>
      <c r="R49" s="59"/>
    </row>
    <row r="50" spans="1:18" ht="16.5" customHeight="1" thickBot="1" x14ac:dyDescent="0.35">
      <c r="A50" s="62" t="s">
        <v>61</v>
      </c>
      <c r="B50" s="63">
        <f>SUM(B47:B49)</f>
        <v>0</v>
      </c>
      <c r="C50" s="63">
        <f>SUM(C47:C49)</f>
        <v>0</v>
      </c>
      <c r="D50" s="63">
        <f>SUM(D47:D49)</f>
        <v>0</v>
      </c>
      <c r="E50" s="64">
        <f>SUM(B50:D50)</f>
        <v>0</v>
      </c>
      <c r="F50" s="63">
        <f>SUM(F47:F49)</f>
        <v>0</v>
      </c>
      <c r="G50" s="63">
        <f>SUM(G47:G49)</f>
        <v>0</v>
      </c>
      <c r="H50" s="63">
        <f>SUM(H47:H49)</f>
        <v>0</v>
      </c>
      <c r="I50" s="64">
        <f>SUM(F50:H50)</f>
        <v>0</v>
      </c>
      <c r="J50" s="63">
        <f>SUM(J47:J49)</f>
        <v>0</v>
      </c>
      <c r="K50" s="63">
        <f>SUM(K47:K49)</f>
        <v>0</v>
      </c>
      <c r="L50" s="63">
        <f>SUM(L47:L49)</f>
        <v>0</v>
      </c>
      <c r="M50" s="64">
        <f>SUM(J50:L50)</f>
        <v>0</v>
      </c>
      <c r="N50" s="63">
        <f>SUM(N47:N49)</f>
        <v>0</v>
      </c>
      <c r="O50" s="63">
        <f>SUM(O47:O49)</f>
        <v>0</v>
      </c>
      <c r="P50" s="63">
        <f>SUM(P47:P49)</f>
        <v>0</v>
      </c>
      <c r="Q50" s="64">
        <f>SUM(N50:P50)</f>
        <v>0</v>
      </c>
      <c r="R50" s="64">
        <f>+E50+I50+M50+Q50</f>
        <v>0</v>
      </c>
    </row>
    <row r="51" spans="1:18" ht="15.75" customHeight="1" x14ac:dyDescent="0.3">
      <c r="A51" s="22" t="s">
        <v>62</v>
      </c>
      <c r="B51" s="60"/>
      <c r="C51" s="60"/>
      <c r="D51" s="60"/>
      <c r="E51" s="59" t="s">
        <v>7</v>
      </c>
      <c r="F51" s="60"/>
      <c r="G51" s="60"/>
      <c r="H51" s="60"/>
      <c r="I51" s="59" t="s">
        <v>7</v>
      </c>
      <c r="J51" s="60"/>
      <c r="K51" s="60"/>
      <c r="L51" s="60"/>
      <c r="M51" s="59" t="s">
        <v>7</v>
      </c>
      <c r="N51" s="60"/>
      <c r="O51" s="60"/>
      <c r="P51" s="60"/>
      <c r="Q51" s="59" t="s">
        <v>7</v>
      </c>
      <c r="R51" s="59" t="s">
        <v>7</v>
      </c>
    </row>
    <row r="52" spans="1:18" ht="15.75" customHeight="1" x14ac:dyDescent="0.3">
      <c r="A52" s="22" t="s">
        <v>63</v>
      </c>
      <c r="B52" s="60"/>
      <c r="C52" s="60"/>
      <c r="D52" s="60"/>
      <c r="E52" s="59" t="s">
        <v>7</v>
      </c>
      <c r="F52" s="60"/>
      <c r="G52" s="60"/>
      <c r="H52" s="60"/>
      <c r="I52" s="59" t="s">
        <v>7</v>
      </c>
      <c r="J52" s="60"/>
      <c r="K52" s="60"/>
      <c r="L52" s="60"/>
      <c r="M52" s="59" t="s">
        <v>7</v>
      </c>
      <c r="N52" s="60"/>
      <c r="O52" s="60"/>
      <c r="P52" s="60"/>
      <c r="Q52" s="59" t="s">
        <v>7</v>
      </c>
      <c r="R52" s="59" t="s">
        <v>7</v>
      </c>
    </row>
    <row r="53" spans="1:18" ht="15.75" customHeight="1" x14ac:dyDescent="0.3">
      <c r="A53" s="22" t="s">
        <v>64</v>
      </c>
      <c r="B53" s="60"/>
      <c r="C53" s="60"/>
      <c r="D53" s="60"/>
      <c r="E53" s="59" t="s">
        <v>7</v>
      </c>
      <c r="F53" s="60"/>
      <c r="G53" s="60"/>
      <c r="H53" s="60"/>
      <c r="I53" s="59" t="s">
        <v>7</v>
      </c>
      <c r="J53" s="60"/>
      <c r="K53" s="60"/>
      <c r="L53" s="60"/>
      <c r="M53" s="59" t="s">
        <v>7</v>
      </c>
      <c r="N53" s="60"/>
      <c r="O53" s="60"/>
      <c r="P53" s="60"/>
      <c r="Q53" s="59" t="s">
        <v>7</v>
      </c>
      <c r="R53" s="59" t="s">
        <v>7</v>
      </c>
    </row>
    <row r="54" spans="1:18" ht="15.75" customHeight="1" x14ac:dyDescent="0.3">
      <c r="A54" s="61" t="s">
        <v>65</v>
      </c>
      <c r="B54" s="1"/>
      <c r="C54" s="1"/>
      <c r="D54" s="1"/>
      <c r="E54" s="59">
        <f>SUM(B54:D54)</f>
        <v>0</v>
      </c>
      <c r="F54" s="1"/>
      <c r="G54" s="1"/>
      <c r="H54" s="1"/>
      <c r="I54" s="59">
        <f>SUM(F54:H54)</f>
        <v>0</v>
      </c>
      <c r="J54" s="1"/>
      <c r="K54" s="1"/>
      <c r="L54" s="1"/>
      <c r="M54" s="59">
        <f>SUM(J54:L54)</f>
        <v>0</v>
      </c>
      <c r="N54" s="1"/>
      <c r="O54" s="1"/>
      <c r="P54" s="1"/>
      <c r="Q54" s="59">
        <f>SUM(N54:P54)</f>
        <v>0</v>
      </c>
      <c r="R54" s="59">
        <f>+E54+I54+M54+Q54</f>
        <v>0</v>
      </c>
    </row>
    <row r="55" spans="1:18" ht="15.75" customHeight="1" x14ac:dyDescent="0.3">
      <c r="A55" s="22" t="s">
        <v>66</v>
      </c>
      <c r="B55" s="60"/>
      <c r="C55" s="60"/>
      <c r="D55" s="60"/>
      <c r="E55" s="59" t="s">
        <v>7</v>
      </c>
      <c r="F55" s="60"/>
      <c r="G55" s="60"/>
      <c r="H55" s="60"/>
      <c r="I55" s="59" t="s">
        <v>7</v>
      </c>
      <c r="J55" s="60"/>
      <c r="K55" s="60"/>
      <c r="L55" s="60"/>
      <c r="M55" s="59" t="s">
        <v>7</v>
      </c>
      <c r="N55" s="60"/>
      <c r="O55" s="60"/>
      <c r="P55" s="60"/>
      <c r="Q55" s="59" t="s">
        <v>7</v>
      </c>
      <c r="R55" s="59" t="s">
        <v>7</v>
      </c>
    </row>
    <row r="56" spans="1:18" ht="15.75" customHeight="1" thickBot="1" x14ac:dyDescent="0.35">
      <c r="A56" s="22" t="s">
        <v>67</v>
      </c>
      <c r="B56" s="60"/>
      <c r="C56" s="60"/>
      <c r="D56" s="60"/>
      <c r="E56" s="59" t="s">
        <v>7</v>
      </c>
      <c r="F56" s="60"/>
      <c r="G56" s="60"/>
      <c r="H56" s="60"/>
      <c r="I56" s="59" t="s">
        <v>7</v>
      </c>
      <c r="J56" s="60"/>
      <c r="K56" s="60"/>
      <c r="L56" s="60"/>
      <c r="M56" s="59" t="s">
        <v>7</v>
      </c>
      <c r="N56" s="60"/>
      <c r="O56" s="60"/>
      <c r="P56" s="60"/>
      <c r="Q56" s="59" t="s">
        <v>7</v>
      </c>
      <c r="R56" s="59" t="s">
        <v>7</v>
      </c>
    </row>
    <row r="57" spans="1:18" ht="16.5" customHeight="1" thickBot="1" x14ac:dyDescent="0.35">
      <c r="A57" s="62" t="s">
        <v>68</v>
      </c>
      <c r="B57" s="63">
        <f>SUM(B55:B56)</f>
        <v>0</v>
      </c>
      <c r="C57" s="63">
        <f>SUM(C55:C56)</f>
        <v>0</v>
      </c>
      <c r="D57" s="63">
        <f>SUM(D55:D56)</f>
        <v>0</v>
      </c>
      <c r="E57" s="65">
        <f>SUM(B57:D57)</f>
        <v>0</v>
      </c>
      <c r="F57" s="63">
        <f>SUM(F55:F56)</f>
        <v>0</v>
      </c>
      <c r="G57" s="63">
        <f>SUM(G55:G56)</f>
        <v>0</v>
      </c>
      <c r="H57" s="63">
        <f>SUM(H55:H56)</f>
        <v>0</v>
      </c>
      <c r="I57" s="65">
        <f>SUM(F57:H57)</f>
        <v>0</v>
      </c>
      <c r="J57" s="63">
        <f>SUM(J55:J56)</f>
        <v>0</v>
      </c>
      <c r="K57" s="63">
        <f>SUM(K55:K56)</f>
        <v>0</v>
      </c>
      <c r="L57" s="63">
        <f>SUM(L55:L56)</f>
        <v>0</v>
      </c>
      <c r="M57" s="65">
        <f>SUM(J57:L57)</f>
        <v>0</v>
      </c>
      <c r="N57" s="63">
        <f>SUM(N55:N56)</f>
        <v>0</v>
      </c>
      <c r="O57" s="63">
        <f>SUM(O55:O56)</f>
        <v>0</v>
      </c>
      <c r="P57" s="63">
        <f>SUM(P55:P56)</f>
        <v>0</v>
      </c>
      <c r="Q57" s="65">
        <f>SUM(N57:P57)</f>
        <v>0</v>
      </c>
      <c r="R57" s="64">
        <f>+E57+I57+M57+Q57</f>
        <v>0</v>
      </c>
    </row>
    <row r="58" spans="1:18" ht="16.5" customHeight="1" thickBot="1" x14ac:dyDescent="0.35">
      <c r="A58" s="62" t="s">
        <v>69</v>
      </c>
      <c r="B58" s="63">
        <f>SUM(B51:B56)</f>
        <v>0</v>
      </c>
      <c r="C58" s="63">
        <f>SUM(C51:C56)</f>
        <v>0</v>
      </c>
      <c r="D58" s="63">
        <f>SUM(D51:D56)</f>
        <v>0</v>
      </c>
      <c r="E58" s="65">
        <f>SUM(B58:D58)</f>
        <v>0</v>
      </c>
      <c r="F58" s="63">
        <f>SUM(F51:F56)</f>
        <v>0</v>
      </c>
      <c r="G58" s="63">
        <f>SUM(G51:G56)</f>
        <v>0</v>
      </c>
      <c r="H58" s="63">
        <f>SUM(H51:H56)</f>
        <v>0</v>
      </c>
      <c r="I58" s="65">
        <f>SUM(F58:H58)</f>
        <v>0</v>
      </c>
      <c r="J58" s="63">
        <f>SUM(J51:J56)</f>
        <v>0</v>
      </c>
      <c r="K58" s="63">
        <f>SUM(K51:K56)</f>
        <v>0</v>
      </c>
      <c r="L58" s="63">
        <f>SUM(L51:L56)</f>
        <v>0</v>
      </c>
      <c r="M58" s="65">
        <f>SUM(J58:L58)</f>
        <v>0</v>
      </c>
      <c r="N58" s="63">
        <f>SUM(N51:N56)</f>
        <v>0</v>
      </c>
      <c r="O58" s="63">
        <f>SUM(O51:O56)</f>
        <v>0</v>
      </c>
      <c r="P58" s="63">
        <f>SUM(P51:P56)</f>
        <v>0</v>
      </c>
      <c r="Q58" s="65">
        <f>SUM(N58:P58)</f>
        <v>0</v>
      </c>
      <c r="R58" s="64">
        <f>+E58+I58+M58+Q58</f>
        <v>0</v>
      </c>
    </row>
    <row r="59" spans="1:18" ht="16.5" customHeight="1" thickBot="1" x14ac:dyDescent="0.35">
      <c r="A59" s="62" t="s">
        <v>70</v>
      </c>
      <c r="B59" s="63">
        <f>+B41+B46+B50+B58</f>
        <v>0</v>
      </c>
      <c r="C59" s="63">
        <f>+C41+C46+C50+C58</f>
        <v>0</v>
      </c>
      <c r="D59" s="63">
        <f>+D41+D46+D50+D58</f>
        <v>0</v>
      </c>
      <c r="E59" s="64">
        <f>SUM(B59:D59)</f>
        <v>0</v>
      </c>
      <c r="F59" s="63">
        <f>+F41+F46+F50+F58</f>
        <v>0</v>
      </c>
      <c r="G59" s="63">
        <f>+G41+G46+G50+G58</f>
        <v>0</v>
      </c>
      <c r="H59" s="63">
        <f>+H41+H46+H50+H58</f>
        <v>0</v>
      </c>
      <c r="I59" s="64">
        <f>SUM(F59:H59)</f>
        <v>0</v>
      </c>
      <c r="J59" s="63">
        <f>+J41+J46+J50+J58</f>
        <v>0</v>
      </c>
      <c r="K59" s="63">
        <f>+K41+K46+K50+K58</f>
        <v>0</v>
      </c>
      <c r="L59" s="63">
        <f>+L41+L46+L50+L58</f>
        <v>0</v>
      </c>
      <c r="M59" s="64">
        <f>SUM(J59:L59)</f>
        <v>0</v>
      </c>
      <c r="N59" s="63">
        <f>+N41+N46+N50+N58</f>
        <v>0</v>
      </c>
      <c r="O59" s="63">
        <f>+O41+O46+O50+O58</f>
        <v>0</v>
      </c>
      <c r="P59" s="63">
        <f>+P41+P46+P50+P58</f>
        <v>0</v>
      </c>
      <c r="Q59" s="64">
        <f>SUM(N59:P59)</f>
        <v>0</v>
      </c>
      <c r="R59" s="64">
        <f>+E59+I59+M59+Q59</f>
        <v>0</v>
      </c>
    </row>
    <row r="60" spans="1:18" ht="16.5" customHeight="1" thickBot="1" x14ac:dyDescent="0.35">
      <c r="A60" s="66" t="s">
        <v>37</v>
      </c>
      <c r="B60" s="67">
        <v>96</v>
      </c>
      <c r="C60" s="67">
        <v>145</v>
      </c>
      <c r="D60" s="67">
        <v>261</v>
      </c>
      <c r="E60" s="43">
        <f>SUM(B60:D60)</f>
        <v>502</v>
      </c>
      <c r="F60" s="67">
        <v>350</v>
      </c>
      <c r="G60" s="67">
        <v>402</v>
      </c>
      <c r="H60" s="67">
        <v>396</v>
      </c>
      <c r="I60" s="43">
        <f>SUM(F60:H60)</f>
        <v>1148</v>
      </c>
      <c r="J60" s="67">
        <v>394</v>
      </c>
      <c r="K60" s="67">
        <v>318</v>
      </c>
      <c r="L60" s="67">
        <v>301</v>
      </c>
      <c r="M60" s="43">
        <f>SUM(J60:L60)</f>
        <v>1013</v>
      </c>
      <c r="N60" s="67">
        <v>272</v>
      </c>
      <c r="O60" s="67">
        <v>226</v>
      </c>
      <c r="P60" s="67">
        <v>179</v>
      </c>
      <c r="Q60" s="43">
        <f>SUM(N60:P60)</f>
        <v>677</v>
      </c>
      <c r="R60" s="43">
        <f>+E60+I60+M60+Q60</f>
        <v>3340</v>
      </c>
    </row>
    <row r="61" spans="1:18" ht="16.5" customHeight="1" thickBot="1" x14ac:dyDescent="0.35">
      <c r="A61" s="42"/>
      <c r="B61" s="37"/>
      <c r="C61" s="37"/>
      <c r="D61" s="37"/>
      <c r="E61" s="26"/>
      <c r="F61" s="37"/>
      <c r="G61" s="37"/>
      <c r="H61" s="37"/>
      <c r="I61" s="26"/>
      <c r="J61" s="37"/>
      <c r="K61" s="37"/>
      <c r="L61" s="37"/>
      <c r="M61" s="26"/>
      <c r="N61" s="37"/>
      <c r="O61" s="37"/>
      <c r="P61" s="37"/>
      <c r="Q61" s="26"/>
      <c r="R61" s="42"/>
    </row>
    <row r="62" spans="1:18" ht="15.75" customHeight="1" x14ac:dyDescent="0.3">
      <c r="A62" s="17" t="s">
        <v>38</v>
      </c>
      <c r="B62" s="1">
        <f>+B59+B60</f>
        <v>96</v>
      </c>
      <c r="C62" s="1">
        <f>+C59+C60</f>
        <v>145</v>
      </c>
      <c r="D62" s="1">
        <f>+D59+D60</f>
        <v>261</v>
      </c>
      <c r="E62" s="41">
        <f>SUM(B62:D62)</f>
        <v>502</v>
      </c>
      <c r="F62" s="1">
        <f>+F59+F60</f>
        <v>350</v>
      </c>
      <c r="G62" s="1">
        <f>+G59+G60</f>
        <v>402</v>
      </c>
      <c r="H62" s="1">
        <f>+H59+H60</f>
        <v>396</v>
      </c>
      <c r="I62" s="41">
        <f>SUM(F62:H62)</f>
        <v>1148</v>
      </c>
      <c r="J62" s="1">
        <f>+J59+J60</f>
        <v>394</v>
      </c>
      <c r="K62" s="1">
        <f>+K59+K60</f>
        <v>318</v>
      </c>
      <c r="L62" s="1">
        <f>+L59+L60</f>
        <v>301</v>
      </c>
      <c r="M62" s="41">
        <f>SUM(J62:L62)</f>
        <v>1013</v>
      </c>
      <c r="N62" s="1">
        <f>+N59+N60</f>
        <v>272</v>
      </c>
      <c r="O62" s="1">
        <f>+O59+O60</f>
        <v>226</v>
      </c>
      <c r="P62" s="1">
        <f>+P59+P60</f>
        <v>179</v>
      </c>
      <c r="Q62" s="45">
        <f>SUM(N62:P62)</f>
        <v>677</v>
      </c>
      <c r="R62" s="18">
        <f>+E62+I62+M62+Q62</f>
        <v>3340</v>
      </c>
    </row>
    <row r="63" spans="1:18" ht="15.75" customHeight="1" x14ac:dyDescent="0.3">
      <c r="A63" s="17" t="s">
        <v>39</v>
      </c>
      <c r="B63" s="1">
        <f>(B62/B10)/1.983</f>
        <v>1.5616612171197111</v>
      </c>
      <c r="C63" s="1">
        <f>(C62/C10)/1.983</f>
        <v>2.6114833225271954</v>
      </c>
      <c r="D63" s="1">
        <f>(D62/D10)/1.983</f>
        <v>4.2457664340442145</v>
      </c>
      <c r="E63" s="18"/>
      <c r="F63" s="1">
        <f>(F62/F10)/1.983</f>
        <v>5.8833417381072444</v>
      </c>
      <c r="G63" s="1">
        <f>(G62/G10)/1.983</f>
        <v>6.5394563466887892</v>
      </c>
      <c r="H63" s="1">
        <f>(H62/H10)/1.983</f>
        <v>6.6565809379727678</v>
      </c>
      <c r="I63" s="18"/>
      <c r="J63" s="1">
        <f>(J62/J10)/1.983</f>
        <v>6.4093179119288139</v>
      </c>
      <c r="K63" s="1">
        <f>(K62/K10)/1.983</f>
        <v>5.1730027817090427</v>
      </c>
      <c r="L63" s="1">
        <f>(L62/L10)/1.983</f>
        <v>5.0596738947722306</v>
      </c>
      <c r="M63" s="18"/>
      <c r="N63" s="1">
        <f>(N62/N10)/1.983</f>
        <v>4.4247067818391805</v>
      </c>
      <c r="O63" s="1">
        <f>(O62/O10)/1.983</f>
        <v>3.7989578080349635</v>
      </c>
      <c r="P63" s="1">
        <f>(P62/P10)/1.983</f>
        <v>2.9118474777544612</v>
      </c>
      <c r="Q63" s="19"/>
      <c r="R63" s="68"/>
    </row>
    <row r="64" spans="1:18" ht="15.75" customHeight="1" x14ac:dyDescent="0.3">
      <c r="A64" s="17" t="s">
        <v>71</v>
      </c>
      <c r="B64" s="1">
        <f>B62+B133</f>
        <v>88714</v>
      </c>
      <c r="C64" s="1">
        <f>C62+C133</f>
        <v>110245</v>
      </c>
      <c r="D64" s="1">
        <f>D62+D133</f>
        <v>180625</v>
      </c>
      <c r="E64" s="18">
        <f>SUM(B64:D64)</f>
        <v>379584</v>
      </c>
      <c r="F64" s="1">
        <f>F62+F133</f>
        <v>173769</v>
      </c>
      <c r="G64" s="1">
        <f>G62+G133</f>
        <v>186019</v>
      </c>
      <c r="H64" s="1">
        <f>H62+H133</f>
        <v>72216</v>
      </c>
      <c r="I64" s="18">
        <f>SUM(F64:H64)</f>
        <v>432004</v>
      </c>
      <c r="J64" s="1">
        <f>J62+J133</f>
        <v>73656</v>
      </c>
      <c r="K64" s="1">
        <f>K62+K133</f>
        <v>32357</v>
      </c>
      <c r="L64" s="1">
        <f>L62+L133</f>
        <v>151098</v>
      </c>
      <c r="M64" s="18">
        <f>SUM(J64:L64)</f>
        <v>257111</v>
      </c>
      <c r="N64" s="1">
        <f>N62+N133</f>
        <v>162025</v>
      </c>
      <c r="O64" s="1">
        <f>O62+O133</f>
        <v>156883</v>
      </c>
      <c r="P64" s="1">
        <f>P62+P133</f>
        <v>153479</v>
      </c>
      <c r="Q64" s="19">
        <f>SUM(N64:P64)</f>
        <v>472387</v>
      </c>
      <c r="R64" s="18">
        <f>+E64+I64+M64+Q64</f>
        <v>1541086</v>
      </c>
    </row>
    <row r="65" spans="1:20" ht="16.5" customHeight="1" thickBot="1" x14ac:dyDescent="0.35">
      <c r="A65" s="24" t="s">
        <v>72</v>
      </c>
      <c r="B65" s="25">
        <f>(B64/B10)/1.983</f>
        <v>1443.1376376620628</v>
      </c>
      <c r="C65" s="25">
        <f>(C64/C10)/1.983</f>
        <v>1985.5377854621424</v>
      </c>
      <c r="D65" s="25">
        <f>(D64/D10)/1.983</f>
        <v>2938.2818473150814</v>
      </c>
      <c r="E65" s="26"/>
      <c r="F65" s="25">
        <f>(F64/F10)/1.983</f>
        <v>2920.9783156833082</v>
      </c>
      <c r="G65" s="25">
        <f>(G64/G10)/1.983</f>
        <v>3026.0276869519953</v>
      </c>
      <c r="H65" s="25">
        <f>(H64/H10)/1.983</f>
        <v>1213.9183055975793</v>
      </c>
      <c r="I65" s="26"/>
      <c r="J65" s="25">
        <f>(J64/J10)/1.983</f>
        <v>1198.1845688350984</v>
      </c>
      <c r="K65" s="25">
        <f>(K64/K10)/1.983</f>
        <v>526.36116669106764</v>
      </c>
      <c r="L65" s="25">
        <f>(L64/L10)/1.983</f>
        <v>2539.889056984367</v>
      </c>
      <c r="M65" s="26"/>
      <c r="N65" s="25">
        <f>(N64/N10)/1.983</f>
        <v>2635.7099864981374</v>
      </c>
      <c r="O65" s="25">
        <f>(O64/O10)/1.983</f>
        <v>2637.1322911413681</v>
      </c>
      <c r="P65" s="25">
        <f>(P64/P10)/1.983</f>
        <v>2496.6896035657928</v>
      </c>
      <c r="Q65" s="27"/>
      <c r="R65" s="69" t="s">
        <v>7</v>
      </c>
    </row>
    <row r="66" spans="1:20" ht="15.75" customHeight="1" x14ac:dyDescent="0.3">
      <c r="A66" s="28"/>
      <c r="B66" s="1"/>
      <c r="C66" s="1"/>
      <c r="D66" s="1"/>
      <c r="E66" s="1"/>
      <c r="F66" s="1"/>
      <c r="G66" s="1"/>
      <c r="H66" s="1"/>
      <c r="I66" s="1"/>
      <c r="J66" s="1"/>
      <c r="K66" s="1"/>
      <c r="L66" s="1"/>
      <c r="M66" s="1"/>
      <c r="N66" s="1"/>
      <c r="O66" s="1"/>
      <c r="P66" s="1"/>
      <c r="Q66" s="1"/>
      <c r="R66" s="28"/>
    </row>
    <row r="67" spans="1:20" ht="15.75" customHeight="1" thickBot="1" x14ac:dyDescent="0.35">
      <c r="A67" s="28"/>
      <c r="B67" s="1"/>
      <c r="C67" s="1"/>
      <c r="D67" s="1"/>
      <c r="E67" s="1"/>
      <c r="F67" s="1"/>
      <c r="G67" s="1"/>
      <c r="H67" s="1"/>
      <c r="I67" s="1"/>
      <c r="J67" s="1"/>
      <c r="K67" s="1"/>
      <c r="L67" s="1"/>
      <c r="M67" s="1"/>
      <c r="N67" s="1"/>
      <c r="O67" s="1"/>
      <c r="P67" s="1"/>
      <c r="Q67" s="1"/>
      <c r="R67" s="28"/>
    </row>
    <row r="68" spans="1:20" ht="16.5" customHeight="1" thickBot="1" x14ac:dyDescent="0.35">
      <c r="A68" s="31" t="s">
        <v>73</v>
      </c>
      <c r="B68" s="32" t="s">
        <v>36</v>
      </c>
      <c r="C68" s="33" t="s">
        <v>9</v>
      </c>
      <c r="D68" s="33" t="s">
        <v>10</v>
      </c>
      <c r="E68" s="12" t="s">
        <v>11</v>
      </c>
      <c r="F68" s="33" t="s">
        <v>12</v>
      </c>
      <c r="G68" s="33" t="s">
        <v>13</v>
      </c>
      <c r="H68" s="33" t="s">
        <v>14</v>
      </c>
      <c r="I68" s="34" t="s">
        <v>15</v>
      </c>
      <c r="J68" s="33" t="s">
        <v>16</v>
      </c>
      <c r="K68" s="33" t="s">
        <v>17</v>
      </c>
      <c r="L68" s="33" t="s">
        <v>18</v>
      </c>
      <c r="M68" s="34" t="s">
        <v>19</v>
      </c>
      <c r="N68" s="33" t="s">
        <v>20</v>
      </c>
      <c r="O68" s="33" t="s">
        <v>21</v>
      </c>
      <c r="P68" s="33" t="s">
        <v>22</v>
      </c>
      <c r="Q68" s="34" t="s">
        <v>23</v>
      </c>
      <c r="R68" s="35" t="s">
        <v>24</v>
      </c>
    </row>
    <row r="69" spans="1:20" ht="16.5" customHeight="1" thickBot="1" x14ac:dyDescent="0.35">
      <c r="A69" s="70"/>
      <c r="B69" s="14"/>
      <c r="C69" s="71"/>
      <c r="D69" s="71"/>
      <c r="E69" s="72"/>
      <c r="F69" s="71"/>
      <c r="G69" s="71"/>
      <c r="H69" s="71"/>
      <c r="I69" s="72"/>
      <c r="J69" s="71"/>
      <c r="K69" s="71"/>
      <c r="L69" s="71"/>
      <c r="M69" s="72"/>
      <c r="N69" s="71"/>
      <c r="O69" s="71"/>
      <c r="P69" s="73"/>
      <c r="Q69" s="72"/>
      <c r="R69" s="64"/>
    </row>
    <row r="70" spans="1:20" ht="15.75" customHeight="1" x14ac:dyDescent="0.3">
      <c r="A70" s="58" t="s">
        <v>45</v>
      </c>
      <c r="B70" s="30"/>
      <c r="C70" s="30"/>
      <c r="D70" s="30"/>
      <c r="E70" s="59" t="s">
        <v>7</v>
      </c>
      <c r="F70" s="30"/>
      <c r="G70" s="30"/>
      <c r="H70" s="30"/>
      <c r="I70" s="59" t="s">
        <v>7</v>
      </c>
      <c r="J70" s="30"/>
      <c r="K70" s="30"/>
      <c r="L70" s="30"/>
      <c r="M70" s="59" t="s">
        <v>7</v>
      </c>
      <c r="N70" s="30"/>
      <c r="O70" s="30"/>
      <c r="P70" s="30"/>
      <c r="Q70" s="59" t="s">
        <v>7</v>
      </c>
      <c r="R70" s="59" t="s">
        <v>7</v>
      </c>
    </row>
    <row r="71" spans="1:20" ht="15.75" customHeight="1" x14ac:dyDescent="0.3">
      <c r="A71" s="22" t="s">
        <v>46</v>
      </c>
      <c r="B71" s="30"/>
      <c r="C71" s="60"/>
      <c r="D71" s="60"/>
      <c r="E71" s="59" t="s">
        <v>7</v>
      </c>
      <c r="F71" s="60"/>
      <c r="G71" s="60"/>
      <c r="H71" s="60"/>
      <c r="I71" s="59" t="s">
        <v>7</v>
      </c>
      <c r="J71" s="60"/>
      <c r="K71" s="60"/>
      <c r="L71" s="60"/>
      <c r="M71" s="59" t="s">
        <v>7</v>
      </c>
      <c r="N71" s="60"/>
      <c r="O71" s="60"/>
      <c r="P71" s="60"/>
      <c r="Q71" s="59" t="s">
        <v>7</v>
      </c>
      <c r="R71" s="59" t="s">
        <v>7</v>
      </c>
    </row>
    <row r="72" spans="1:20" ht="15.75" customHeight="1" x14ac:dyDescent="0.3">
      <c r="A72" s="74" t="s">
        <v>74</v>
      </c>
      <c r="B72" s="1"/>
      <c r="C72" s="1"/>
      <c r="D72" s="1"/>
      <c r="E72" s="59">
        <f t="shared" ref="E72:E82" si="5">SUM(B72:D72)</f>
        <v>0</v>
      </c>
      <c r="F72" s="1"/>
      <c r="G72" s="1"/>
      <c r="H72" s="1"/>
      <c r="I72" s="59">
        <f t="shared" ref="I72:I82" si="6">SUM(F72:H72)</f>
        <v>0</v>
      </c>
      <c r="J72" s="1"/>
      <c r="K72" s="1"/>
      <c r="L72" s="1"/>
      <c r="M72" s="59">
        <f t="shared" ref="M72:M82" si="7">SUM(J72:L72)</f>
        <v>0</v>
      </c>
      <c r="N72" s="1"/>
      <c r="O72" s="1"/>
      <c r="P72" s="1"/>
      <c r="Q72" s="59">
        <f t="shared" ref="Q72:Q82" si="8">SUM(N72:P72)</f>
        <v>0</v>
      </c>
      <c r="R72" s="59">
        <f t="shared" ref="R72:R82" si="9">+E72+I72+M72+Q72</f>
        <v>0</v>
      </c>
    </row>
    <row r="73" spans="1:20" ht="15.75" customHeight="1" x14ac:dyDescent="0.3">
      <c r="A73" s="74" t="s">
        <v>75</v>
      </c>
      <c r="B73" s="1"/>
      <c r="C73" s="1"/>
      <c r="D73" s="1"/>
      <c r="E73" s="59">
        <f>SUM(B73:D73)</f>
        <v>0</v>
      </c>
      <c r="F73" s="1"/>
      <c r="G73" s="1"/>
      <c r="H73" s="1"/>
      <c r="I73" s="59">
        <f>SUM(F73:H73)</f>
        <v>0</v>
      </c>
      <c r="J73" s="1"/>
      <c r="K73" s="1"/>
      <c r="L73" s="1"/>
      <c r="M73" s="59">
        <f>SUM(J73:L73)</f>
        <v>0</v>
      </c>
      <c r="N73" s="1"/>
      <c r="O73" s="1"/>
      <c r="P73" s="1"/>
      <c r="Q73" s="59">
        <f>SUM(N73:P73)</f>
        <v>0</v>
      </c>
      <c r="R73" s="59">
        <f>+E73+I73+M73+Q73</f>
        <v>0</v>
      </c>
    </row>
    <row r="74" spans="1:20" ht="15.75" customHeight="1" x14ac:dyDescent="0.3">
      <c r="A74" s="74" t="s">
        <v>76</v>
      </c>
      <c r="B74" s="1"/>
      <c r="C74" s="1"/>
      <c r="D74" s="1"/>
      <c r="E74" s="59">
        <f t="shared" si="5"/>
        <v>0</v>
      </c>
      <c r="F74" s="1"/>
      <c r="G74" s="1"/>
      <c r="H74" s="1"/>
      <c r="I74" s="59">
        <f t="shared" si="6"/>
        <v>0</v>
      </c>
      <c r="J74" s="1"/>
      <c r="K74" s="1"/>
      <c r="L74" s="1"/>
      <c r="M74" s="59">
        <f t="shared" si="7"/>
        <v>0</v>
      </c>
      <c r="N74" s="1"/>
      <c r="O74" s="1"/>
      <c r="P74" s="1"/>
      <c r="Q74" s="59">
        <f t="shared" si="8"/>
        <v>0</v>
      </c>
      <c r="R74" s="59">
        <f t="shared" si="9"/>
        <v>0</v>
      </c>
    </row>
    <row r="75" spans="1:20" ht="15.75" customHeight="1" x14ac:dyDescent="0.3">
      <c r="A75" s="74" t="s">
        <v>77</v>
      </c>
      <c r="B75" s="1"/>
      <c r="C75" s="1"/>
      <c r="D75" s="1"/>
      <c r="E75" s="59">
        <f t="shared" si="5"/>
        <v>0</v>
      </c>
      <c r="F75" s="1"/>
      <c r="G75" s="1"/>
      <c r="H75" s="1"/>
      <c r="I75" s="59">
        <f t="shared" si="6"/>
        <v>0</v>
      </c>
      <c r="K75" s="1"/>
      <c r="L75" s="1"/>
      <c r="M75" s="59">
        <f t="shared" si="7"/>
        <v>0</v>
      </c>
      <c r="N75" s="1"/>
      <c r="O75" s="1"/>
      <c r="P75" s="1"/>
      <c r="Q75" s="59">
        <f t="shared" si="8"/>
        <v>0</v>
      </c>
      <c r="R75" s="59">
        <f t="shared" si="9"/>
        <v>0</v>
      </c>
      <c r="T75" s="4" t="s">
        <v>78</v>
      </c>
    </row>
    <row r="76" spans="1:20" ht="15.75" customHeight="1" x14ac:dyDescent="0.3">
      <c r="A76" s="74" t="s">
        <v>79</v>
      </c>
      <c r="B76" s="1"/>
      <c r="C76" s="1"/>
      <c r="D76" s="1"/>
      <c r="E76" s="59">
        <f t="shared" si="5"/>
        <v>0</v>
      </c>
      <c r="F76" s="1"/>
      <c r="G76" s="1"/>
      <c r="H76" s="1"/>
      <c r="I76" s="59">
        <f t="shared" si="6"/>
        <v>0</v>
      </c>
      <c r="J76" s="1"/>
      <c r="K76" s="1"/>
      <c r="L76" s="1"/>
      <c r="M76" s="59">
        <f t="shared" si="7"/>
        <v>0</v>
      </c>
      <c r="N76" s="1"/>
      <c r="O76" s="1"/>
      <c r="P76" s="1"/>
      <c r="Q76" s="59">
        <f t="shared" si="8"/>
        <v>0</v>
      </c>
      <c r="R76" s="59">
        <f t="shared" si="9"/>
        <v>0</v>
      </c>
      <c r="S76" s="75" t="s">
        <v>80</v>
      </c>
      <c r="T76" s="4" t="s">
        <v>78</v>
      </c>
    </row>
    <row r="77" spans="1:20" ht="15.75" customHeight="1" x14ac:dyDescent="0.3">
      <c r="A77" s="74" t="s">
        <v>81</v>
      </c>
      <c r="B77" s="1"/>
      <c r="C77" s="1"/>
      <c r="D77" s="1"/>
      <c r="E77" s="59">
        <f t="shared" si="5"/>
        <v>0</v>
      </c>
      <c r="F77" s="1"/>
      <c r="G77" s="1"/>
      <c r="H77" s="1"/>
      <c r="I77" s="59">
        <f t="shared" si="6"/>
        <v>0</v>
      </c>
      <c r="J77" s="1"/>
      <c r="K77" s="1"/>
      <c r="L77" s="1"/>
      <c r="M77" s="59">
        <f t="shared" si="7"/>
        <v>0</v>
      </c>
      <c r="N77" s="1"/>
      <c r="O77" s="1"/>
      <c r="P77" s="1"/>
      <c r="Q77" s="59">
        <f t="shared" si="8"/>
        <v>0</v>
      </c>
      <c r="R77" s="59">
        <f t="shared" si="9"/>
        <v>0</v>
      </c>
    </row>
    <row r="78" spans="1:20" ht="15.75" customHeight="1" x14ac:dyDescent="0.3">
      <c r="A78" s="74" t="s">
        <v>82</v>
      </c>
      <c r="B78" s="1"/>
      <c r="C78" s="1"/>
      <c r="D78" s="1"/>
      <c r="E78" s="59">
        <f t="shared" si="5"/>
        <v>0</v>
      </c>
      <c r="F78" s="1"/>
      <c r="G78" s="1"/>
      <c r="H78" s="1"/>
      <c r="I78" s="59">
        <f t="shared" si="6"/>
        <v>0</v>
      </c>
      <c r="J78" s="1"/>
      <c r="K78" s="1"/>
      <c r="L78" s="1"/>
      <c r="M78" s="59">
        <f t="shared" si="7"/>
        <v>0</v>
      </c>
      <c r="N78" s="1"/>
      <c r="O78" s="1"/>
      <c r="P78" s="1"/>
      <c r="Q78" s="59">
        <f t="shared" si="8"/>
        <v>0</v>
      </c>
      <c r="R78" s="59">
        <f t="shared" si="9"/>
        <v>0</v>
      </c>
      <c r="T78" s="4" t="s">
        <v>83</v>
      </c>
    </row>
    <row r="79" spans="1:20" ht="15.75" customHeight="1" x14ac:dyDescent="0.3">
      <c r="A79" s="76" t="s">
        <v>84</v>
      </c>
      <c r="B79" s="1"/>
      <c r="C79" s="1"/>
      <c r="D79" s="1"/>
      <c r="E79" s="59">
        <f t="shared" si="5"/>
        <v>0</v>
      </c>
      <c r="F79" s="1"/>
      <c r="G79" s="1">
        <v>512</v>
      </c>
      <c r="H79" s="1">
        <v>512</v>
      </c>
      <c r="I79" s="59">
        <f t="shared" si="6"/>
        <v>1024</v>
      </c>
      <c r="J79" s="1">
        <v>512</v>
      </c>
      <c r="K79" s="1">
        <v>512</v>
      </c>
      <c r="L79" s="1"/>
      <c r="M79" s="59">
        <f t="shared" si="7"/>
        <v>1024</v>
      </c>
      <c r="N79" s="1"/>
      <c r="O79" s="1"/>
      <c r="P79" s="1"/>
      <c r="Q79" s="59">
        <f t="shared" si="8"/>
        <v>0</v>
      </c>
      <c r="R79" s="59">
        <f t="shared" si="9"/>
        <v>2048</v>
      </c>
    </row>
    <row r="80" spans="1:20" ht="15.75" customHeight="1" x14ac:dyDescent="0.3">
      <c r="A80" s="76" t="s">
        <v>85</v>
      </c>
      <c r="B80" s="1"/>
      <c r="C80" s="1"/>
      <c r="D80" s="1"/>
      <c r="E80" s="59">
        <f t="shared" si="5"/>
        <v>0</v>
      </c>
      <c r="F80" s="1"/>
      <c r="G80" s="1"/>
      <c r="H80" s="1"/>
      <c r="I80" s="59">
        <f t="shared" si="6"/>
        <v>0</v>
      </c>
      <c r="J80" s="1"/>
      <c r="K80" s="1"/>
      <c r="L80" s="1"/>
      <c r="M80" s="59">
        <f t="shared" si="7"/>
        <v>0</v>
      </c>
      <c r="N80" s="1"/>
      <c r="O80" s="1"/>
      <c r="P80" s="1"/>
      <c r="Q80" s="59">
        <f t="shared" si="8"/>
        <v>0</v>
      </c>
      <c r="R80" s="59">
        <f t="shared" si="9"/>
        <v>0</v>
      </c>
    </row>
    <row r="81" spans="1:20" ht="15.75" customHeight="1" x14ac:dyDescent="0.3">
      <c r="A81" s="76" t="s">
        <v>86</v>
      </c>
      <c r="B81" s="1"/>
      <c r="C81" s="1"/>
      <c r="D81" s="1"/>
      <c r="E81" s="59">
        <f>SUM(B81:D81)</f>
        <v>0</v>
      </c>
      <c r="F81" s="1"/>
      <c r="G81" s="1"/>
      <c r="H81" s="1"/>
      <c r="I81" s="59">
        <f>SUM(F81:H81)</f>
        <v>0</v>
      </c>
      <c r="J81" s="1"/>
      <c r="K81" s="1"/>
      <c r="L81" s="1"/>
      <c r="M81" s="59">
        <f>SUM(J81:L81)</f>
        <v>0</v>
      </c>
      <c r="N81" s="1"/>
      <c r="O81" s="1"/>
      <c r="P81" s="1"/>
      <c r="Q81" s="59">
        <f>SUM(N81:P81)</f>
        <v>0</v>
      </c>
      <c r="R81" s="59">
        <f t="shared" si="9"/>
        <v>0</v>
      </c>
    </row>
    <row r="82" spans="1:20" ht="15.75" customHeight="1" x14ac:dyDescent="0.3">
      <c r="A82" s="76" t="s">
        <v>87</v>
      </c>
      <c r="B82" s="1"/>
      <c r="C82" s="1"/>
      <c r="D82" s="1"/>
      <c r="E82" s="59">
        <f t="shared" si="5"/>
        <v>0</v>
      </c>
      <c r="F82" s="1"/>
      <c r="G82" s="1"/>
      <c r="H82" s="1"/>
      <c r="I82" s="59">
        <f t="shared" si="6"/>
        <v>0</v>
      </c>
      <c r="J82" s="1"/>
      <c r="K82" s="1"/>
      <c r="L82" s="1"/>
      <c r="M82" s="59">
        <f t="shared" si="7"/>
        <v>0</v>
      </c>
      <c r="N82" s="1"/>
      <c r="O82" s="1"/>
      <c r="P82" s="1"/>
      <c r="Q82" s="59">
        <f t="shared" si="8"/>
        <v>0</v>
      </c>
      <c r="R82" s="59">
        <f t="shared" si="9"/>
        <v>0</v>
      </c>
      <c r="S82" s="4">
        <f>SUM(R72:R82)</f>
        <v>2048</v>
      </c>
    </row>
    <row r="83" spans="1:20" ht="15.75" customHeight="1" x14ac:dyDescent="0.3">
      <c r="A83" s="22" t="s">
        <v>47</v>
      </c>
      <c r="B83" s="30"/>
      <c r="C83" s="30"/>
      <c r="D83" s="30"/>
      <c r="E83" s="59" t="s">
        <v>7</v>
      </c>
      <c r="F83" s="30"/>
      <c r="G83" s="30"/>
      <c r="H83" s="30"/>
      <c r="I83" s="59" t="s">
        <v>7</v>
      </c>
      <c r="J83" s="30"/>
      <c r="K83" s="30"/>
      <c r="L83" s="30"/>
      <c r="M83" s="59" t="s">
        <v>7</v>
      </c>
      <c r="N83" s="30"/>
      <c r="O83" s="30"/>
      <c r="P83" s="30"/>
      <c r="Q83" s="59" t="s">
        <v>7</v>
      </c>
      <c r="R83" s="59" t="s">
        <v>7</v>
      </c>
    </row>
    <row r="84" spans="1:20" ht="15.75" customHeight="1" x14ac:dyDescent="0.3">
      <c r="A84" s="76" t="s">
        <v>88</v>
      </c>
      <c r="B84" s="1"/>
      <c r="C84" s="1"/>
      <c r="D84" s="1"/>
      <c r="E84" s="59">
        <f>SUM(B84:D84)</f>
        <v>0</v>
      </c>
      <c r="F84" s="1"/>
      <c r="G84" s="1"/>
      <c r="H84" s="1"/>
      <c r="I84" s="59">
        <f>SUM(F84:H84)</f>
        <v>0</v>
      </c>
      <c r="J84" s="1"/>
      <c r="K84" s="1"/>
      <c r="L84" s="1"/>
      <c r="M84" s="59">
        <f>SUM(J84:L84)</f>
        <v>0</v>
      </c>
      <c r="N84" s="1"/>
      <c r="O84" s="1"/>
      <c r="P84" s="1"/>
      <c r="Q84" s="59">
        <f>SUM(N84:P84)</f>
        <v>0</v>
      </c>
      <c r="R84" s="59">
        <f>+E84+I84+M84+Q84</f>
        <v>0</v>
      </c>
    </row>
    <row r="85" spans="1:20" ht="15.75" customHeight="1" x14ac:dyDescent="0.3">
      <c r="A85" s="22" t="s">
        <v>49</v>
      </c>
      <c r="B85" s="30"/>
      <c r="C85" s="30"/>
      <c r="D85" s="30"/>
      <c r="E85" s="59" t="s">
        <v>50</v>
      </c>
      <c r="F85" s="30"/>
      <c r="G85" s="30"/>
      <c r="H85" s="30"/>
      <c r="I85" s="59" t="s">
        <v>50</v>
      </c>
      <c r="J85" s="30"/>
      <c r="K85" s="30"/>
      <c r="L85" s="30"/>
      <c r="M85" s="59" t="s">
        <v>50</v>
      </c>
      <c r="N85" s="30"/>
      <c r="O85" s="30"/>
      <c r="P85" s="30"/>
      <c r="Q85" s="59" t="s">
        <v>50</v>
      </c>
      <c r="R85" s="59" t="s">
        <v>50</v>
      </c>
    </row>
    <row r="86" spans="1:20" ht="15.75" customHeight="1" x14ac:dyDescent="0.3">
      <c r="A86" s="61" t="s">
        <v>89</v>
      </c>
      <c r="B86" s="1"/>
      <c r="C86" s="1"/>
      <c r="D86" s="1"/>
      <c r="E86" s="59">
        <f>SUM(B86:D86)</f>
        <v>0</v>
      </c>
      <c r="F86" s="1"/>
      <c r="G86" s="1"/>
      <c r="H86" s="1"/>
      <c r="I86" s="59">
        <f>SUM(F86:H86)</f>
        <v>0</v>
      </c>
      <c r="J86" s="1"/>
      <c r="K86" s="1"/>
      <c r="L86" s="1"/>
      <c r="M86" s="59">
        <f>SUM(J86:L86)</f>
        <v>0</v>
      </c>
      <c r="N86" s="1"/>
      <c r="O86" s="1"/>
      <c r="P86" s="1"/>
      <c r="Q86" s="59">
        <f>SUM(N86:P86)</f>
        <v>0</v>
      </c>
      <c r="R86" s="59">
        <f>+E86+I86+M86+Q86</f>
        <v>0</v>
      </c>
      <c r="S86" s="77" t="s">
        <v>90</v>
      </c>
    </row>
    <row r="87" spans="1:20" ht="15.75" customHeight="1" x14ac:dyDescent="0.3">
      <c r="A87" s="61" t="s">
        <v>91</v>
      </c>
      <c r="B87" s="1">
        <v>400</v>
      </c>
      <c r="C87" s="1">
        <v>500</v>
      </c>
      <c r="D87" s="1">
        <v>1500</v>
      </c>
      <c r="E87" s="59">
        <f>SUM(B87:D87)</f>
        <v>2400</v>
      </c>
      <c r="F87" s="1">
        <v>2000</v>
      </c>
      <c r="G87" s="1">
        <v>1700</v>
      </c>
      <c r="H87" s="1">
        <v>1900</v>
      </c>
      <c r="I87" s="59">
        <f>SUM(F87:H87)</f>
        <v>5600</v>
      </c>
      <c r="J87" s="1">
        <v>1745</v>
      </c>
      <c r="K87" s="1">
        <v>1467</v>
      </c>
      <c r="L87" s="1">
        <v>1188</v>
      </c>
      <c r="M87" s="59">
        <f>SUM(J87:L87)</f>
        <v>4400</v>
      </c>
      <c r="N87" s="1">
        <v>600</v>
      </c>
      <c r="O87" s="1"/>
      <c r="P87" s="1"/>
      <c r="Q87" s="59">
        <f>SUM(N87:P87)</f>
        <v>600</v>
      </c>
      <c r="R87" s="59">
        <f>+E87+I87+M87+Q87</f>
        <v>13000</v>
      </c>
      <c r="S87" s="77" t="s">
        <v>90</v>
      </c>
      <c r="T87" s="4" t="s">
        <v>78</v>
      </c>
    </row>
    <row r="88" spans="1:20" ht="15.75" customHeight="1" thickBot="1" x14ac:dyDescent="0.35">
      <c r="A88" s="22" t="s">
        <v>51</v>
      </c>
      <c r="B88" s="60"/>
      <c r="C88" s="60"/>
      <c r="D88" s="60"/>
      <c r="E88" s="59" t="s">
        <v>7</v>
      </c>
      <c r="F88" s="60"/>
      <c r="G88" s="60"/>
      <c r="H88" s="60"/>
      <c r="I88" s="59" t="s">
        <v>7</v>
      </c>
      <c r="J88" s="60"/>
      <c r="K88" s="60"/>
      <c r="L88" s="60"/>
      <c r="M88" s="59" t="s">
        <v>7</v>
      </c>
      <c r="N88" s="60"/>
      <c r="O88" s="60"/>
      <c r="P88" s="60"/>
      <c r="Q88" s="59" t="s">
        <v>7</v>
      </c>
      <c r="R88" s="59" t="s">
        <v>7</v>
      </c>
    </row>
    <row r="89" spans="1:20" ht="16.5" customHeight="1" thickBot="1" x14ac:dyDescent="0.35">
      <c r="A89" s="62" t="s">
        <v>52</v>
      </c>
      <c r="B89" s="63">
        <f>SUM(B70:B88)</f>
        <v>400</v>
      </c>
      <c r="C89" s="63">
        <f>SUM(C70:C88)</f>
        <v>500</v>
      </c>
      <c r="D89" s="63">
        <f>SUM(D70:D88)</f>
        <v>1500</v>
      </c>
      <c r="E89" s="64">
        <f>SUM(B89:D89)</f>
        <v>2400</v>
      </c>
      <c r="F89" s="63">
        <f>SUM(F70:F88)</f>
        <v>2000</v>
      </c>
      <c r="G89" s="63">
        <f>SUM(G70:G88)</f>
        <v>2212</v>
      </c>
      <c r="H89" s="63">
        <f>SUM(H70:H88)</f>
        <v>2412</v>
      </c>
      <c r="I89" s="64">
        <f>SUM(F89:H89)</f>
        <v>6624</v>
      </c>
      <c r="J89" s="63">
        <f>SUM(J70:J88)</f>
        <v>2257</v>
      </c>
      <c r="K89" s="63">
        <f>SUM(K70:K88)</f>
        <v>1979</v>
      </c>
      <c r="L89" s="63">
        <f>SUM(L70:L88)</f>
        <v>1188</v>
      </c>
      <c r="M89" s="64">
        <f>SUM(J89:L89)</f>
        <v>5424</v>
      </c>
      <c r="N89" s="63">
        <f>SUM(N70:N88)</f>
        <v>600</v>
      </c>
      <c r="O89" s="63">
        <f>SUM(O70:O88)</f>
        <v>0</v>
      </c>
      <c r="P89" s="63">
        <f>SUM(P70:P88)</f>
        <v>0</v>
      </c>
      <c r="Q89" s="64">
        <f>SUM(N89:P89)</f>
        <v>600</v>
      </c>
      <c r="R89" s="64">
        <f>+E89+I89+M89+Q89</f>
        <v>15048</v>
      </c>
    </row>
    <row r="90" spans="1:20" ht="15.75" customHeight="1" x14ac:dyDescent="0.3">
      <c r="A90" s="22" t="s">
        <v>53</v>
      </c>
      <c r="B90" s="60"/>
      <c r="C90" s="60"/>
      <c r="D90" s="60"/>
      <c r="E90" s="59" t="s">
        <v>7</v>
      </c>
      <c r="F90" s="60"/>
      <c r="G90" s="60"/>
      <c r="H90" s="60"/>
      <c r="I90" s="59" t="s">
        <v>7</v>
      </c>
      <c r="J90" s="60"/>
      <c r="K90" s="60"/>
      <c r="L90" s="60"/>
      <c r="M90" s="59" t="s">
        <v>7</v>
      </c>
      <c r="N90" s="60"/>
      <c r="O90" s="60"/>
      <c r="P90" s="60"/>
      <c r="Q90" s="59" t="s">
        <v>7</v>
      </c>
      <c r="R90" s="65" t="s">
        <v>7</v>
      </c>
    </row>
    <row r="91" spans="1:20" ht="15.75" customHeight="1" x14ac:dyDescent="0.3">
      <c r="A91" s="22" t="s">
        <v>54</v>
      </c>
      <c r="B91" s="60"/>
      <c r="C91" s="60"/>
      <c r="D91" s="60"/>
      <c r="E91" s="59" t="s">
        <v>7</v>
      </c>
      <c r="F91" s="60"/>
      <c r="G91" s="60"/>
      <c r="H91" s="60"/>
      <c r="I91" s="59" t="s">
        <v>7</v>
      </c>
      <c r="J91" s="60"/>
      <c r="K91" s="60"/>
      <c r="L91" s="60"/>
      <c r="M91" s="59" t="s">
        <v>7</v>
      </c>
      <c r="N91" s="60"/>
      <c r="O91" s="60"/>
      <c r="P91" s="60"/>
      <c r="Q91" s="59" t="s">
        <v>7</v>
      </c>
      <c r="R91" s="59" t="s">
        <v>7</v>
      </c>
    </row>
    <row r="92" spans="1:20" ht="15.75" customHeight="1" x14ac:dyDescent="0.3">
      <c r="A92" s="22" t="s">
        <v>55</v>
      </c>
      <c r="B92" s="60"/>
      <c r="C92" s="60"/>
      <c r="D92" s="60"/>
      <c r="E92" s="59" t="s">
        <v>7</v>
      </c>
      <c r="F92" s="60"/>
      <c r="G92" s="60"/>
      <c r="H92" s="60"/>
      <c r="I92" s="59" t="s">
        <v>7</v>
      </c>
      <c r="J92" s="60"/>
      <c r="K92" s="60"/>
      <c r="L92" s="60"/>
      <c r="M92" s="59" t="s">
        <v>7</v>
      </c>
      <c r="N92" s="60"/>
      <c r="O92" s="60"/>
      <c r="P92" s="60"/>
      <c r="Q92" s="59" t="s">
        <v>7</v>
      </c>
      <c r="R92" s="59" t="s">
        <v>7</v>
      </c>
    </row>
    <row r="93" spans="1:20" ht="15.75" customHeight="1" x14ac:dyDescent="0.3">
      <c r="A93" s="76" t="s">
        <v>92</v>
      </c>
      <c r="B93" s="1">
        <v>500</v>
      </c>
      <c r="C93" s="1">
        <v>500</v>
      </c>
      <c r="D93" s="1">
        <v>3000</v>
      </c>
      <c r="E93" s="59">
        <f>SUM(B93:D93)</f>
        <v>4000</v>
      </c>
      <c r="F93" s="1">
        <v>4000</v>
      </c>
      <c r="G93" s="1">
        <v>4000</v>
      </c>
      <c r="H93" s="1">
        <v>3500</v>
      </c>
      <c r="I93" s="59">
        <f>SUM(F93:H93)</f>
        <v>11500</v>
      </c>
      <c r="J93" s="1">
        <v>3500</v>
      </c>
      <c r="K93" s="1">
        <v>3500</v>
      </c>
      <c r="L93" s="1">
        <v>1875</v>
      </c>
      <c r="M93" s="59">
        <f>SUM(J93:L93)</f>
        <v>8875</v>
      </c>
      <c r="N93" s="1">
        <v>400</v>
      </c>
      <c r="O93" s="1">
        <v>200</v>
      </c>
      <c r="P93" s="1">
        <v>803</v>
      </c>
      <c r="Q93" s="59">
        <f>SUM(N93:P93)</f>
        <v>1403</v>
      </c>
      <c r="R93" s="59">
        <f>+E93+I93+M93+Q93</f>
        <v>25778</v>
      </c>
      <c r="T93" s="4" t="s">
        <v>93</v>
      </c>
    </row>
    <row r="94" spans="1:20" ht="15.75" customHeight="1" x14ac:dyDescent="0.3">
      <c r="A94" s="76" t="s">
        <v>94</v>
      </c>
      <c r="B94" s="1"/>
      <c r="C94" s="1"/>
      <c r="D94" s="1"/>
      <c r="E94" s="59">
        <f>SUM(B94:D94)</f>
        <v>0</v>
      </c>
      <c r="F94" s="1"/>
      <c r="G94" s="1"/>
      <c r="H94" s="1"/>
      <c r="I94" s="59">
        <f>SUM(F94:H94)</f>
        <v>0</v>
      </c>
      <c r="J94" s="1"/>
      <c r="K94" s="1"/>
      <c r="L94" s="1"/>
      <c r="M94" s="59">
        <f>SUM(J94:L94)</f>
        <v>0</v>
      </c>
      <c r="N94" s="1"/>
      <c r="O94" s="1"/>
      <c r="P94" s="1"/>
      <c r="Q94" s="59">
        <f>SUM(N94:P94)</f>
        <v>0</v>
      </c>
      <c r="R94" s="59">
        <f>+E94+I94+M94+Q94</f>
        <v>0</v>
      </c>
      <c r="T94" s="4" t="s">
        <v>78</v>
      </c>
    </row>
    <row r="95" spans="1:20" ht="15.75" customHeight="1" thickBot="1" x14ac:dyDescent="0.35">
      <c r="A95" s="22" t="s">
        <v>56</v>
      </c>
      <c r="B95" s="60"/>
      <c r="C95" s="60"/>
      <c r="D95" s="60"/>
      <c r="E95" s="59" t="s">
        <v>7</v>
      </c>
      <c r="F95" s="60"/>
      <c r="G95" s="60"/>
      <c r="H95" s="60"/>
      <c r="I95" s="59" t="s">
        <v>7</v>
      </c>
      <c r="J95" s="60"/>
      <c r="K95" s="60"/>
      <c r="L95" s="60"/>
      <c r="M95" s="59" t="s">
        <v>7</v>
      </c>
      <c r="N95" s="60"/>
      <c r="O95" s="60"/>
      <c r="P95" s="60"/>
      <c r="Q95" s="59" t="s">
        <v>7</v>
      </c>
      <c r="R95" s="59" t="s">
        <v>7</v>
      </c>
    </row>
    <row r="96" spans="1:20" ht="16.5" customHeight="1" thickBot="1" x14ac:dyDescent="0.35">
      <c r="A96" s="62" t="s">
        <v>57</v>
      </c>
      <c r="B96" s="63">
        <f>SUM(B90:B95)</f>
        <v>500</v>
      </c>
      <c r="C96" s="63">
        <f>SUM(C90:C95)</f>
        <v>500</v>
      </c>
      <c r="D96" s="63">
        <f>SUM(D90:D95)</f>
        <v>3000</v>
      </c>
      <c r="E96" s="64">
        <f>SUM(B96:D96)</f>
        <v>4000</v>
      </c>
      <c r="F96" s="63">
        <f>SUM(F90:F95)</f>
        <v>4000</v>
      </c>
      <c r="G96" s="63">
        <f>SUM(G90:G95)</f>
        <v>4000</v>
      </c>
      <c r="H96" s="63">
        <f>SUM(H90:H95)</f>
        <v>3500</v>
      </c>
      <c r="I96" s="64">
        <f>SUM(F96:H96)</f>
        <v>11500</v>
      </c>
      <c r="J96" s="63">
        <f>SUM(J90:J95)</f>
        <v>3500</v>
      </c>
      <c r="K96" s="63">
        <f>SUM(K90:K95)</f>
        <v>3500</v>
      </c>
      <c r="L96" s="63">
        <f>SUM(L90:L95)</f>
        <v>1875</v>
      </c>
      <c r="M96" s="64">
        <f>SUM(J96:L96)</f>
        <v>8875</v>
      </c>
      <c r="N96" s="63">
        <f>SUM(N90:N95)</f>
        <v>400</v>
      </c>
      <c r="O96" s="63">
        <f>SUM(O90:O95)</f>
        <v>200</v>
      </c>
      <c r="P96" s="63">
        <f>SUM(P90:P95)</f>
        <v>803</v>
      </c>
      <c r="Q96" s="64">
        <f>SUM(N96:P96)</f>
        <v>1403</v>
      </c>
      <c r="R96" s="64">
        <f>+E96+I96+M96+Q96</f>
        <v>25778</v>
      </c>
    </row>
    <row r="97" spans="1:20" ht="15.75" customHeight="1" x14ac:dyDescent="0.3">
      <c r="A97" s="22" t="s">
        <v>58</v>
      </c>
      <c r="B97" s="60"/>
      <c r="C97" s="60"/>
      <c r="D97" s="60"/>
      <c r="E97" s="59" t="s">
        <v>7</v>
      </c>
      <c r="F97" s="60"/>
      <c r="G97" s="60"/>
      <c r="H97" s="60"/>
      <c r="I97" s="59" t="s">
        <v>7</v>
      </c>
      <c r="J97" s="60"/>
      <c r="K97" s="60"/>
      <c r="L97" s="60"/>
      <c r="M97" s="59" t="s">
        <v>7</v>
      </c>
      <c r="N97" s="60"/>
      <c r="O97" s="60"/>
      <c r="P97" s="60"/>
      <c r="Q97" s="59" t="s">
        <v>7</v>
      </c>
      <c r="R97" s="59" t="s">
        <v>7</v>
      </c>
    </row>
    <row r="98" spans="1:20" ht="15.75" customHeight="1" x14ac:dyDescent="0.3">
      <c r="A98" s="22" t="s">
        <v>59</v>
      </c>
      <c r="B98" s="60"/>
      <c r="C98" s="60"/>
      <c r="D98" s="60"/>
      <c r="E98" s="59" t="s">
        <v>7</v>
      </c>
      <c r="F98" s="60"/>
      <c r="G98" s="60"/>
      <c r="H98" s="60"/>
      <c r="I98" s="59" t="s">
        <v>7</v>
      </c>
      <c r="J98" s="60"/>
      <c r="K98" s="60"/>
      <c r="L98" s="60"/>
      <c r="M98" s="59" t="s">
        <v>7</v>
      </c>
      <c r="N98" s="60"/>
      <c r="O98" s="60"/>
      <c r="P98" s="60"/>
      <c r="Q98" s="59" t="s">
        <v>7</v>
      </c>
      <c r="R98" s="59" t="s">
        <v>7</v>
      </c>
    </row>
    <row r="99" spans="1:20" ht="15.75" customHeight="1" x14ac:dyDescent="0.3">
      <c r="A99" s="22" t="s">
        <v>60</v>
      </c>
      <c r="B99" s="60"/>
      <c r="C99" s="60"/>
      <c r="D99" s="60"/>
      <c r="E99" s="59"/>
      <c r="F99" s="60"/>
      <c r="G99" s="60"/>
      <c r="H99" s="60"/>
      <c r="I99" s="59"/>
      <c r="J99" s="60"/>
      <c r="K99" s="60"/>
      <c r="L99" s="60"/>
      <c r="M99" s="59"/>
      <c r="N99" s="60"/>
      <c r="O99" s="60"/>
      <c r="P99" s="60"/>
      <c r="Q99" s="59"/>
      <c r="R99" s="59"/>
    </row>
    <row r="100" spans="1:20" ht="15.75" customHeight="1" x14ac:dyDescent="0.3">
      <c r="A100" s="76" t="s">
        <v>95</v>
      </c>
      <c r="B100" s="1"/>
      <c r="C100" s="1"/>
      <c r="D100" s="1"/>
      <c r="E100" s="59">
        <f t="shared" ref="E100:E107" si="10">SUM(B100:D100)</f>
        <v>0</v>
      </c>
      <c r="F100" s="1"/>
      <c r="G100" s="1"/>
      <c r="H100" s="1"/>
      <c r="I100" s="59">
        <f t="shared" ref="I100:I107" si="11">SUM(F100:H100)</f>
        <v>0</v>
      </c>
      <c r="J100" s="1"/>
      <c r="K100" s="1"/>
      <c r="L100" s="1"/>
      <c r="M100" s="59">
        <f t="shared" ref="M100:M107" si="12">SUM(J100:L100)</f>
        <v>0</v>
      </c>
      <c r="N100" s="1"/>
      <c r="O100" s="1"/>
      <c r="P100" s="1"/>
      <c r="Q100" s="59">
        <f t="shared" ref="Q100:Q107" si="13">SUM(N100:P100)</f>
        <v>0</v>
      </c>
      <c r="R100" s="59">
        <f t="shared" ref="R100:R107" si="14">+E100+I100+M100+Q100</f>
        <v>0</v>
      </c>
    </row>
    <row r="101" spans="1:20" ht="15.75" customHeight="1" x14ac:dyDescent="0.3">
      <c r="A101" s="76" t="s">
        <v>96</v>
      </c>
      <c r="B101" s="1"/>
      <c r="C101" s="1"/>
      <c r="D101" s="1"/>
      <c r="E101" s="59">
        <f t="shared" si="10"/>
        <v>0</v>
      </c>
      <c r="F101" s="1"/>
      <c r="G101" s="1"/>
      <c r="H101" s="1"/>
      <c r="I101" s="59">
        <f t="shared" si="11"/>
        <v>0</v>
      </c>
      <c r="J101" s="1"/>
      <c r="K101" s="1"/>
      <c r="L101" s="1"/>
      <c r="M101" s="59">
        <f t="shared" si="12"/>
        <v>0</v>
      </c>
      <c r="N101" s="1"/>
      <c r="O101" s="1"/>
      <c r="P101" s="1"/>
      <c r="Q101" s="59">
        <f t="shared" si="13"/>
        <v>0</v>
      </c>
      <c r="R101" s="59">
        <f t="shared" si="14"/>
        <v>0</v>
      </c>
    </row>
    <row r="102" spans="1:20" ht="15.75" customHeight="1" x14ac:dyDescent="0.3">
      <c r="A102" s="76" t="s">
        <v>875</v>
      </c>
      <c r="B102" s="1"/>
      <c r="C102" s="1"/>
      <c r="D102" s="1"/>
      <c r="E102" s="59">
        <f>SUM(B102:D102)</f>
        <v>0</v>
      </c>
      <c r="F102" s="1"/>
      <c r="G102" s="1"/>
      <c r="H102" s="1"/>
      <c r="I102" s="59">
        <f>SUM(F102:H102)</f>
        <v>0</v>
      </c>
      <c r="J102" s="1"/>
      <c r="K102" s="1"/>
      <c r="L102" s="1"/>
      <c r="M102" s="59">
        <f>SUM(J102:L102)</f>
        <v>0</v>
      </c>
      <c r="N102" s="1"/>
      <c r="O102" s="1"/>
      <c r="P102" s="1"/>
      <c r="Q102" s="59">
        <f>SUM(N102:P102)</f>
        <v>0</v>
      </c>
      <c r="R102" s="59">
        <f>+E102+I102+M102+Q102</f>
        <v>0</v>
      </c>
    </row>
    <row r="103" spans="1:20" ht="15.75" customHeight="1" x14ac:dyDescent="0.3">
      <c r="A103" s="76" t="s">
        <v>98</v>
      </c>
      <c r="B103" s="1"/>
      <c r="C103" s="1"/>
      <c r="D103" s="1"/>
      <c r="E103" s="59">
        <f>SUM(B103:D103)</f>
        <v>0</v>
      </c>
      <c r="F103" s="1"/>
      <c r="G103" s="1"/>
      <c r="H103" s="1"/>
      <c r="I103" s="59">
        <f>SUM(F103:H103)</f>
        <v>0</v>
      </c>
      <c r="J103" s="1"/>
      <c r="K103" s="1"/>
      <c r="L103" s="1"/>
      <c r="M103" s="59">
        <f>SUM(J103:L103)</f>
        <v>0</v>
      </c>
      <c r="N103" s="1"/>
      <c r="O103" s="1"/>
      <c r="P103" s="1"/>
      <c r="Q103" s="59">
        <f>SUM(N103:P103)</f>
        <v>0</v>
      </c>
      <c r="R103" s="59">
        <f>+E103+I103+M103+Q103</f>
        <v>0</v>
      </c>
      <c r="T103" s="4" t="s">
        <v>83</v>
      </c>
    </row>
    <row r="104" spans="1:20" ht="15.75" customHeight="1" x14ac:dyDescent="0.3">
      <c r="A104" s="76" t="s">
        <v>99</v>
      </c>
      <c r="B104" s="1"/>
      <c r="C104" s="1"/>
      <c r="D104" s="1"/>
      <c r="E104" s="59">
        <f>SUM(B104:D104)</f>
        <v>0</v>
      </c>
      <c r="F104" s="1"/>
      <c r="G104" s="1"/>
      <c r="H104" s="1"/>
      <c r="I104" s="59">
        <f>SUM(F104:H104)</f>
        <v>0</v>
      </c>
      <c r="J104" s="1"/>
      <c r="K104" s="1"/>
      <c r="L104" s="1"/>
      <c r="M104" s="59">
        <f>SUM(J104:L104)</f>
        <v>0</v>
      </c>
      <c r="N104" s="1"/>
      <c r="O104" s="1"/>
      <c r="P104" s="1"/>
      <c r="Q104" s="59">
        <f>SUM(N104:P104)</f>
        <v>0</v>
      </c>
      <c r="R104" s="59">
        <f>+E104+I104+M104+Q104</f>
        <v>0</v>
      </c>
    </row>
    <row r="105" spans="1:20" ht="15.75" customHeight="1" x14ac:dyDescent="0.3">
      <c r="A105" s="76" t="s">
        <v>876</v>
      </c>
      <c r="B105" s="1"/>
      <c r="C105" s="1"/>
      <c r="D105" s="1"/>
      <c r="E105" s="59">
        <f t="shared" si="10"/>
        <v>0</v>
      </c>
      <c r="F105" s="1"/>
      <c r="G105" s="1"/>
      <c r="H105" s="1"/>
      <c r="I105" s="59">
        <f t="shared" si="11"/>
        <v>0</v>
      </c>
      <c r="J105" s="1"/>
      <c r="K105" s="1"/>
      <c r="L105" s="1"/>
      <c r="M105" s="59">
        <f t="shared" si="12"/>
        <v>0</v>
      </c>
      <c r="N105" s="1"/>
      <c r="O105" s="1"/>
      <c r="P105" s="1"/>
      <c r="Q105" s="59">
        <f t="shared" si="13"/>
        <v>0</v>
      </c>
      <c r="R105" s="59">
        <f t="shared" si="14"/>
        <v>0</v>
      </c>
    </row>
    <row r="106" spans="1:20" ht="15.75" customHeight="1" thickBot="1" x14ac:dyDescent="0.35">
      <c r="A106" s="76" t="s">
        <v>101</v>
      </c>
      <c r="B106" s="1"/>
      <c r="C106" s="1"/>
      <c r="D106" s="1"/>
      <c r="E106" s="59">
        <f t="shared" si="10"/>
        <v>0</v>
      </c>
      <c r="F106" s="1"/>
      <c r="G106" s="1"/>
      <c r="H106" s="1"/>
      <c r="I106" s="59">
        <f t="shared" si="11"/>
        <v>0</v>
      </c>
      <c r="J106" s="1"/>
      <c r="K106" s="1"/>
      <c r="L106" s="1"/>
      <c r="M106" s="59">
        <f t="shared" si="12"/>
        <v>0</v>
      </c>
      <c r="N106" s="1"/>
      <c r="O106" s="1"/>
      <c r="P106" s="1"/>
      <c r="Q106" s="59">
        <f t="shared" si="13"/>
        <v>0</v>
      </c>
      <c r="R106" s="59">
        <f t="shared" si="14"/>
        <v>0</v>
      </c>
    </row>
    <row r="107" spans="1:20" ht="16.5" customHeight="1" thickBot="1" x14ac:dyDescent="0.35">
      <c r="A107" s="62" t="s">
        <v>61</v>
      </c>
      <c r="B107" s="63">
        <f>SUM(B97:B106)</f>
        <v>0</v>
      </c>
      <c r="C107" s="63">
        <f>SUM(C97:C106)</f>
        <v>0</v>
      </c>
      <c r="D107" s="63">
        <f>SUM(D97:D106)</f>
        <v>0</v>
      </c>
      <c r="E107" s="64">
        <f t="shared" si="10"/>
        <v>0</v>
      </c>
      <c r="F107" s="63">
        <f>SUM(F97:F106)</f>
        <v>0</v>
      </c>
      <c r="G107" s="63">
        <f>SUM(G97:G106)</f>
        <v>0</v>
      </c>
      <c r="H107" s="63">
        <f>SUM(H97:H106)</f>
        <v>0</v>
      </c>
      <c r="I107" s="64">
        <f t="shared" si="11"/>
        <v>0</v>
      </c>
      <c r="J107" s="63">
        <f>SUM(J97:J106)</f>
        <v>0</v>
      </c>
      <c r="K107" s="63">
        <f>SUM(K97:K106)</f>
        <v>0</v>
      </c>
      <c r="L107" s="63">
        <f>SUM(L97:L106)</f>
        <v>0</v>
      </c>
      <c r="M107" s="64">
        <f t="shared" si="12"/>
        <v>0</v>
      </c>
      <c r="N107" s="63">
        <f>SUM(N97:N106)</f>
        <v>0</v>
      </c>
      <c r="O107" s="63">
        <f>SUM(O97:O106)</f>
        <v>0</v>
      </c>
      <c r="P107" s="63">
        <f>SUM(P97:P106)</f>
        <v>0</v>
      </c>
      <c r="Q107" s="64">
        <f t="shared" si="13"/>
        <v>0</v>
      </c>
      <c r="R107" s="64">
        <f t="shared" si="14"/>
        <v>0</v>
      </c>
    </row>
    <row r="108" spans="1:20" ht="15.75" customHeight="1" x14ac:dyDescent="0.3">
      <c r="A108" s="22" t="s">
        <v>62</v>
      </c>
      <c r="B108" s="60"/>
      <c r="C108" s="60"/>
      <c r="D108" s="60"/>
      <c r="E108" s="59" t="s">
        <v>7</v>
      </c>
      <c r="F108" s="60"/>
      <c r="G108" s="60"/>
      <c r="H108" s="60"/>
      <c r="I108" s="59" t="s">
        <v>7</v>
      </c>
      <c r="J108" s="60"/>
      <c r="K108" s="60"/>
      <c r="L108" s="60"/>
      <c r="M108" s="59" t="s">
        <v>7</v>
      </c>
      <c r="N108" s="60"/>
      <c r="O108" s="60"/>
      <c r="P108" s="60"/>
      <c r="Q108" s="59" t="s">
        <v>7</v>
      </c>
      <c r="R108" s="59" t="s">
        <v>7</v>
      </c>
    </row>
    <row r="109" spans="1:20" ht="15.75" customHeight="1" x14ac:dyDescent="0.3">
      <c r="A109" s="22" t="s">
        <v>63</v>
      </c>
      <c r="B109" s="60"/>
      <c r="C109" s="60"/>
      <c r="D109" s="60"/>
      <c r="E109" s="59" t="s">
        <v>7</v>
      </c>
      <c r="F109" s="60"/>
      <c r="G109" s="60"/>
      <c r="H109" s="60"/>
      <c r="I109" s="59" t="s">
        <v>7</v>
      </c>
      <c r="J109" s="60"/>
      <c r="K109" s="60"/>
      <c r="L109" s="60"/>
      <c r="M109" s="59" t="s">
        <v>7</v>
      </c>
      <c r="N109" s="60"/>
      <c r="O109" s="60"/>
      <c r="P109" s="60"/>
      <c r="Q109" s="59" t="s">
        <v>7</v>
      </c>
      <c r="R109" s="59" t="s">
        <v>7</v>
      </c>
    </row>
    <row r="110" spans="1:20" ht="15.75" customHeight="1" x14ac:dyDescent="0.3">
      <c r="A110" s="61" t="s">
        <v>103</v>
      </c>
      <c r="B110" s="1"/>
      <c r="C110" s="1"/>
      <c r="D110" s="1"/>
      <c r="E110" s="59">
        <f t="shared" ref="E110:E115" si="15">SUM(B110:D110)</f>
        <v>0</v>
      </c>
      <c r="F110" s="1"/>
      <c r="G110" s="1"/>
      <c r="H110" s="1"/>
      <c r="I110" s="59">
        <f t="shared" ref="I110:I115" si="16">SUM(F110:H110)</f>
        <v>0</v>
      </c>
      <c r="J110" s="1"/>
      <c r="K110" s="1"/>
      <c r="L110" s="1"/>
      <c r="M110" s="59">
        <f t="shared" ref="M110:M115" si="17">SUM(J110:L110)</f>
        <v>0</v>
      </c>
      <c r="N110" s="1"/>
      <c r="O110" s="1"/>
      <c r="P110" s="1"/>
      <c r="Q110" s="59">
        <f t="shared" ref="Q110:Q115" si="18">SUM(N110:P110)</f>
        <v>0</v>
      </c>
      <c r="R110" s="59">
        <f t="shared" ref="R110:R115" si="19">+E110+I110+M110+Q110</f>
        <v>0</v>
      </c>
    </row>
    <row r="111" spans="1:20" ht="15.75" customHeight="1" x14ac:dyDescent="0.3">
      <c r="A111" s="61" t="s">
        <v>104</v>
      </c>
      <c r="B111" s="1"/>
      <c r="C111" s="1"/>
      <c r="D111" s="1"/>
      <c r="E111" s="59">
        <f t="shared" si="15"/>
        <v>0</v>
      </c>
      <c r="F111" s="1"/>
      <c r="G111" s="1"/>
      <c r="H111" s="1"/>
      <c r="I111" s="59">
        <f t="shared" si="16"/>
        <v>0</v>
      </c>
      <c r="J111" s="1"/>
      <c r="K111" s="1"/>
      <c r="L111" s="1"/>
      <c r="M111" s="59">
        <f t="shared" si="17"/>
        <v>0</v>
      </c>
      <c r="N111" s="1"/>
      <c r="O111" s="1"/>
      <c r="P111" s="1"/>
      <c r="Q111" s="59">
        <f t="shared" si="18"/>
        <v>0</v>
      </c>
      <c r="R111" s="59">
        <f t="shared" si="19"/>
        <v>0</v>
      </c>
    </row>
    <row r="112" spans="1:20" ht="15.75" customHeight="1" x14ac:dyDescent="0.3">
      <c r="A112" s="61" t="s">
        <v>105</v>
      </c>
      <c r="B112" s="1"/>
      <c r="C112" s="1"/>
      <c r="D112" s="1"/>
      <c r="E112" s="59">
        <f t="shared" si="15"/>
        <v>0</v>
      </c>
      <c r="F112" s="1"/>
      <c r="G112" s="1"/>
      <c r="H112" s="1"/>
      <c r="I112" s="59">
        <f t="shared" si="16"/>
        <v>0</v>
      </c>
      <c r="J112" s="1"/>
      <c r="K112" s="1"/>
      <c r="L112" s="1"/>
      <c r="M112" s="59">
        <f t="shared" si="17"/>
        <v>0</v>
      </c>
      <c r="N112" s="1"/>
      <c r="O112" s="1"/>
      <c r="P112" s="1"/>
      <c r="Q112" s="59">
        <f t="shared" si="18"/>
        <v>0</v>
      </c>
      <c r="R112" s="59">
        <f t="shared" si="19"/>
        <v>0</v>
      </c>
    </row>
    <row r="113" spans="1:20" ht="15.75" customHeight="1" x14ac:dyDescent="0.3">
      <c r="A113" s="61" t="s">
        <v>106</v>
      </c>
      <c r="B113" s="1"/>
      <c r="C113" s="1"/>
      <c r="D113" s="1"/>
      <c r="E113" s="59">
        <f t="shared" si="15"/>
        <v>0</v>
      </c>
      <c r="F113" s="1"/>
      <c r="G113" s="1"/>
      <c r="H113" s="1"/>
      <c r="I113" s="59">
        <f t="shared" si="16"/>
        <v>0</v>
      </c>
      <c r="J113" s="1"/>
      <c r="K113" s="1"/>
      <c r="L113" s="1"/>
      <c r="M113" s="59">
        <f t="shared" si="17"/>
        <v>0</v>
      </c>
      <c r="N113" s="1"/>
      <c r="O113" s="1"/>
      <c r="P113" s="1"/>
      <c r="Q113" s="59">
        <f t="shared" si="18"/>
        <v>0</v>
      </c>
      <c r="R113" s="59">
        <f t="shared" si="19"/>
        <v>0</v>
      </c>
    </row>
    <row r="114" spans="1:20" ht="15.75" customHeight="1" x14ac:dyDescent="0.3">
      <c r="A114" s="61" t="s">
        <v>107</v>
      </c>
      <c r="B114" s="1"/>
      <c r="C114" s="1"/>
      <c r="D114" s="1"/>
      <c r="E114" s="59">
        <f t="shared" si="15"/>
        <v>0</v>
      </c>
      <c r="F114" s="1"/>
      <c r="G114" s="1"/>
      <c r="H114" s="1"/>
      <c r="I114" s="59">
        <f t="shared" si="16"/>
        <v>0</v>
      </c>
      <c r="J114" s="1"/>
      <c r="K114" s="1"/>
      <c r="L114" s="1"/>
      <c r="M114" s="59">
        <f t="shared" si="17"/>
        <v>0</v>
      </c>
      <c r="N114" s="1"/>
      <c r="O114" s="1"/>
      <c r="P114" s="1"/>
      <c r="Q114" s="59">
        <f t="shared" si="18"/>
        <v>0</v>
      </c>
      <c r="R114" s="59">
        <f t="shared" si="19"/>
        <v>0</v>
      </c>
    </row>
    <row r="115" spans="1:20" ht="15.75" customHeight="1" x14ac:dyDescent="0.3">
      <c r="A115" s="61" t="s">
        <v>108</v>
      </c>
      <c r="B115" s="1"/>
      <c r="C115" s="1"/>
      <c r="D115" s="1"/>
      <c r="E115" s="59">
        <f t="shared" si="15"/>
        <v>0</v>
      </c>
      <c r="F115" s="1"/>
      <c r="G115" s="1"/>
      <c r="H115" s="1"/>
      <c r="I115" s="59">
        <f t="shared" si="16"/>
        <v>0</v>
      </c>
      <c r="J115" s="1"/>
      <c r="K115" s="1"/>
      <c r="L115" s="1"/>
      <c r="M115" s="59">
        <f t="shared" si="17"/>
        <v>0</v>
      </c>
      <c r="N115" s="1"/>
      <c r="O115" s="1"/>
      <c r="P115" s="1"/>
      <c r="Q115" s="59">
        <f t="shared" si="18"/>
        <v>0</v>
      </c>
      <c r="R115" s="59">
        <f t="shared" si="19"/>
        <v>0</v>
      </c>
    </row>
    <row r="116" spans="1:20" ht="15.75" customHeight="1" x14ac:dyDescent="0.3">
      <c r="A116" s="61" t="s">
        <v>109</v>
      </c>
      <c r="B116" s="1"/>
      <c r="C116" s="1"/>
      <c r="D116" s="1"/>
      <c r="E116" s="59">
        <f>SUM(B116:D116)</f>
        <v>0</v>
      </c>
      <c r="F116" s="1"/>
      <c r="G116" s="1"/>
      <c r="H116" s="1"/>
      <c r="I116" s="59">
        <f>SUM(F116:H116)</f>
        <v>0</v>
      </c>
      <c r="J116" s="1"/>
      <c r="K116" s="1"/>
      <c r="L116" s="1"/>
      <c r="M116" s="59">
        <f>SUM(J116:L116)</f>
        <v>0</v>
      </c>
      <c r="N116" s="1"/>
      <c r="O116" s="1"/>
      <c r="P116" s="1"/>
      <c r="Q116" s="59">
        <f>SUM(N116:P116)</f>
        <v>0</v>
      </c>
      <c r="R116" s="59">
        <f>+E116+I116+M116+Q116</f>
        <v>0</v>
      </c>
    </row>
    <row r="117" spans="1:20" ht="15.75" customHeight="1" x14ac:dyDescent="0.3">
      <c r="A117" s="78" t="s">
        <v>110</v>
      </c>
      <c r="B117" s="1"/>
      <c r="C117" s="1"/>
      <c r="D117" s="1"/>
      <c r="E117" s="59">
        <f>SUM(B117:D117)</f>
        <v>0</v>
      </c>
      <c r="F117" s="1"/>
      <c r="G117" s="1"/>
      <c r="H117" s="1"/>
      <c r="I117" s="59">
        <f>SUM(F117:H117)</f>
        <v>0</v>
      </c>
      <c r="J117" s="1"/>
      <c r="K117" s="1"/>
      <c r="L117" s="1"/>
      <c r="M117" s="59">
        <f>SUM(J117:L117)</f>
        <v>0</v>
      </c>
      <c r="N117" s="1"/>
      <c r="O117" s="1"/>
      <c r="P117" s="1"/>
      <c r="Q117" s="59">
        <f>SUM(N117:P117)</f>
        <v>0</v>
      </c>
      <c r="R117" s="59">
        <f>+E117+I117+M117+Q117</f>
        <v>0</v>
      </c>
      <c r="T117" s="4" t="s">
        <v>111</v>
      </c>
    </row>
    <row r="118" spans="1:20" ht="15.75" customHeight="1" x14ac:dyDescent="0.3">
      <c r="A118" s="22" t="s">
        <v>64</v>
      </c>
      <c r="B118" s="60"/>
      <c r="C118" s="60"/>
      <c r="D118" s="60"/>
      <c r="E118" s="59" t="s">
        <v>7</v>
      </c>
      <c r="F118" s="60"/>
      <c r="G118" s="60"/>
      <c r="H118" s="60"/>
      <c r="I118" s="59" t="s">
        <v>7</v>
      </c>
      <c r="J118" s="60"/>
      <c r="K118" s="60"/>
      <c r="L118" s="60"/>
      <c r="M118" s="59" t="s">
        <v>7</v>
      </c>
      <c r="N118" s="60"/>
      <c r="O118" s="60"/>
      <c r="P118" s="60"/>
      <c r="Q118" s="59" t="s">
        <v>7</v>
      </c>
      <c r="R118" s="59" t="s">
        <v>7</v>
      </c>
    </row>
    <row r="119" spans="1:20" ht="15.75" customHeight="1" x14ac:dyDescent="0.3">
      <c r="A119" s="61" t="s">
        <v>112</v>
      </c>
      <c r="B119" s="1"/>
      <c r="C119" s="1"/>
      <c r="D119" s="1"/>
      <c r="E119" s="59">
        <f>SUM(B119:D119)</f>
        <v>0</v>
      </c>
      <c r="F119" s="1"/>
      <c r="G119" s="1"/>
      <c r="H119" s="1"/>
      <c r="I119" s="59">
        <f>SUM(F119:H119)</f>
        <v>0</v>
      </c>
      <c r="J119" s="1"/>
      <c r="K119" s="1"/>
      <c r="L119" s="1"/>
      <c r="M119" s="59">
        <f>SUM(J119:L119)</f>
        <v>0</v>
      </c>
      <c r="N119" s="1"/>
      <c r="O119" s="1"/>
      <c r="P119" s="1"/>
      <c r="Q119" s="59">
        <f>SUM(N119:P119)</f>
        <v>0</v>
      </c>
      <c r="R119" s="59">
        <f>+E119+I119+M119+Q119</f>
        <v>0</v>
      </c>
    </row>
    <row r="120" spans="1:20" ht="15.75" customHeight="1" x14ac:dyDescent="0.3">
      <c r="A120" s="61" t="s">
        <v>113</v>
      </c>
      <c r="B120" s="1"/>
      <c r="C120" s="1"/>
      <c r="D120" s="1"/>
      <c r="E120" s="59">
        <f>SUM(B120:D120)</f>
        <v>0</v>
      </c>
      <c r="F120" s="1"/>
      <c r="G120" s="1"/>
      <c r="H120" s="1"/>
      <c r="I120" s="59">
        <f>SUM(F120:H120)</f>
        <v>0</v>
      </c>
      <c r="J120" s="1"/>
      <c r="K120" s="1"/>
      <c r="L120" s="1"/>
      <c r="M120" s="59">
        <f>SUM(J120:L120)</f>
        <v>0</v>
      </c>
      <c r="N120" s="1"/>
      <c r="O120" s="1"/>
      <c r="P120" s="1"/>
      <c r="Q120" s="59">
        <f>SUM(N120:P120)</f>
        <v>0</v>
      </c>
      <c r="R120" s="59">
        <f>+E120+I120+M120+Q120</f>
        <v>0</v>
      </c>
    </row>
    <row r="121" spans="1:20" ht="15.75" customHeight="1" x14ac:dyDescent="0.3">
      <c r="A121" s="22" t="s">
        <v>66</v>
      </c>
      <c r="B121" s="60"/>
      <c r="C121" s="60"/>
      <c r="D121" s="60"/>
      <c r="E121" s="59" t="s">
        <v>7</v>
      </c>
      <c r="F121" s="60"/>
      <c r="G121" s="60"/>
      <c r="H121" s="60"/>
      <c r="I121" s="59" t="s">
        <v>7</v>
      </c>
      <c r="J121" s="60"/>
      <c r="K121" s="60"/>
      <c r="L121" s="60"/>
      <c r="M121" s="59" t="s">
        <v>7</v>
      </c>
      <c r="N121" s="60"/>
      <c r="O121" s="60"/>
      <c r="P121" s="60"/>
      <c r="Q121" s="59" t="s">
        <v>7</v>
      </c>
      <c r="R121" s="59" t="s">
        <v>7</v>
      </c>
    </row>
    <row r="122" spans="1:20" ht="15.75" customHeight="1" x14ac:dyDescent="0.3">
      <c r="A122" s="61" t="s">
        <v>114</v>
      </c>
      <c r="B122" s="1"/>
      <c r="C122" s="1"/>
      <c r="D122" s="1"/>
      <c r="E122" s="59">
        <f>SUM(B122:D122)</f>
        <v>0</v>
      </c>
      <c r="F122" s="1"/>
      <c r="G122" s="1"/>
      <c r="H122" s="1"/>
      <c r="I122" s="59">
        <f>SUM(F122:H122)</f>
        <v>0</v>
      </c>
      <c r="J122" s="1"/>
      <c r="K122" s="1"/>
      <c r="L122" s="1"/>
      <c r="M122" s="59">
        <f>SUM(J122:L122)</f>
        <v>0</v>
      </c>
      <c r="N122" s="1"/>
      <c r="O122" s="1"/>
      <c r="P122" s="1"/>
      <c r="Q122" s="59">
        <f>SUM(N122:P122)</f>
        <v>0</v>
      </c>
      <c r="R122" s="59">
        <f>+E122+I122+M122+Q122</f>
        <v>0</v>
      </c>
      <c r="T122" s="4" t="s">
        <v>78</v>
      </c>
    </row>
    <row r="123" spans="1:20" ht="15.75" customHeight="1" x14ac:dyDescent="0.3">
      <c r="A123" s="22" t="s">
        <v>67</v>
      </c>
      <c r="B123" s="60"/>
      <c r="C123" s="60"/>
      <c r="D123" s="60"/>
      <c r="E123" s="59" t="s">
        <v>7</v>
      </c>
      <c r="F123" s="60"/>
      <c r="G123" s="60"/>
      <c r="H123" s="60"/>
      <c r="I123" s="59" t="s">
        <v>7</v>
      </c>
      <c r="J123" s="60"/>
      <c r="K123" s="60"/>
      <c r="L123" s="60"/>
      <c r="M123" s="59" t="s">
        <v>7</v>
      </c>
      <c r="N123" s="60"/>
      <c r="O123" s="60"/>
      <c r="P123" s="60"/>
      <c r="Q123" s="59" t="s">
        <v>7</v>
      </c>
      <c r="R123" s="59" t="s">
        <v>7</v>
      </c>
    </row>
    <row r="124" spans="1:20" ht="15.75" customHeight="1" x14ac:dyDescent="0.3">
      <c r="A124" s="61" t="s">
        <v>115</v>
      </c>
      <c r="B124" s="1"/>
      <c r="C124" s="1"/>
      <c r="D124" s="1"/>
      <c r="E124" s="59">
        <f t="shared" ref="E124:E129" si="20">SUM(B124:D124)</f>
        <v>0</v>
      </c>
      <c r="F124" s="1"/>
      <c r="G124" s="1"/>
      <c r="H124" s="1"/>
      <c r="I124" s="59">
        <f t="shared" ref="I124:I129" si="21">SUM(F124:H124)</f>
        <v>0</v>
      </c>
      <c r="J124" s="1"/>
      <c r="K124" s="1">
        <v>100</v>
      </c>
      <c r="L124" s="1">
        <v>100</v>
      </c>
      <c r="M124" s="59">
        <f t="shared" ref="M124:M129" si="22">SUM(J124:L124)</f>
        <v>200</v>
      </c>
      <c r="N124" s="1">
        <v>100</v>
      </c>
      <c r="O124" s="1">
        <v>100</v>
      </c>
      <c r="P124" s="1">
        <v>100</v>
      </c>
      <c r="Q124" s="59">
        <f t="shared" ref="Q124:Q129" si="23">SUM(N124:P124)</f>
        <v>300</v>
      </c>
      <c r="R124" s="59">
        <f t="shared" ref="R124:R129" si="24">+E124+I124+M124+Q124</f>
        <v>500</v>
      </c>
    </row>
    <row r="125" spans="1:20" ht="15.75" customHeight="1" thickBot="1" x14ac:dyDescent="0.35">
      <c r="A125" s="61" t="s">
        <v>116</v>
      </c>
      <c r="B125" s="1"/>
      <c r="C125" s="1"/>
      <c r="D125" s="1"/>
      <c r="E125" s="59">
        <f t="shared" si="20"/>
        <v>0</v>
      </c>
      <c r="F125" s="1"/>
      <c r="G125" s="1"/>
      <c r="H125" s="1"/>
      <c r="I125" s="59">
        <f t="shared" si="21"/>
        <v>0</v>
      </c>
      <c r="J125" s="1"/>
      <c r="K125" s="1">
        <v>302</v>
      </c>
      <c r="L125" s="1">
        <v>400</v>
      </c>
      <c r="M125" s="59">
        <f t="shared" si="22"/>
        <v>702</v>
      </c>
      <c r="N125" s="1">
        <v>300</v>
      </c>
      <c r="O125" s="1">
        <v>250</v>
      </c>
      <c r="P125" s="1">
        <v>150</v>
      </c>
      <c r="Q125" s="59">
        <f t="shared" si="23"/>
        <v>700</v>
      </c>
      <c r="R125" s="59">
        <f t="shared" si="24"/>
        <v>1402</v>
      </c>
    </row>
    <row r="126" spans="1:20" ht="16.5" customHeight="1" thickBot="1" x14ac:dyDescent="0.35">
      <c r="A126" s="62" t="s">
        <v>68</v>
      </c>
      <c r="B126" s="63">
        <f>SUM(B121:B125)</f>
        <v>0</v>
      </c>
      <c r="C126" s="63">
        <f>SUM(C121:C125)</f>
        <v>0</v>
      </c>
      <c r="D126" s="63">
        <f>SUM(D121:D125)</f>
        <v>0</v>
      </c>
      <c r="E126" s="65">
        <f t="shared" si="20"/>
        <v>0</v>
      </c>
      <c r="F126" s="63">
        <f>SUM(F121:F125)</f>
        <v>0</v>
      </c>
      <c r="G126" s="63">
        <f>SUM(G121:G125)</f>
        <v>0</v>
      </c>
      <c r="H126" s="63">
        <f>SUM(H121:H125)</f>
        <v>0</v>
      </c>
      <c r="I126" s="65">
        <f t="shared" si="21"/>
        <v>0</v>
      </c>
      <c r="J126" s="63">
        <f>SUM(J121:J125)</f>
        <v>0</v>
      </c>
      <c r="K126" s="63">
        <f>SUM(K121:K125)</f>
        <v>402</v>
      </c>
      <c r="L126" s="63">
        <f>SUM(L121:L125)</f>
        <v>500</v>
      </c>
      <c r="M126" s="65">
        <f t="shared" si="22"/>
        <v>902</v>
      </c>
      <c r="N126" s="63">
        <f>SUM(N121:N125)</f>
        <v>400</v>
      </c>
      <c r="O126" s="63">
        <f>SUM(O121:O125)</f>
        <v>350</v>
      </c>
      <c r="P126" s="63">
        <f>SUM(P121:P125)</f>
        <v>250</v>
      </c>
      <c r="Q126" s="65">
        <f t="shared" si="23"/>
        <v>1000</v>
      </c>
      <c r="R126" s="64">
        <f t="shared" si="24"/>
        <v>1902</v>
      </c>
    </row>
    <row r="127" spans="1:20" ht="16.5" customHeight="1" thickBot="1" x14ac:dyDescent="0.35">
      <c r="A127" s="62" t="s">
        <v>69</v>
      </c>
      <c r="B127" s="63">
        <f>SUM(B108:B125)</f>
        <v>0</v>
      </c>
      <c r="C127" s="63">
        <f>SUM(C108:C125)</f>
        <v>0</v>
      </c>
      <c r="D127" s="63">
        <f>SUM(D108:D125)</f>
        <v>0</v>
      </c>
      <c r="E127" s="65">
        <f t="shared" si="20"/>
        <v>0</v>
      </c>
      <c r="F127" s="63">
        <f>SUM(F108:F125)</f>
        <v>0</v>
      </c>
      <c r="G127" s="63">
        <f>SUM(G108:G125)</f>
        <v>0</v>
      </c>
      <c r="H127" s="63">
        <f>SUM(H108:H125)</f>
        <v>0</v>
      </c>
      <c r="I127" s="65">
        <f t="shared" si="21"/>
        <v>0</v>
      </c>
      <c r="J127" s="63">
        <f>SUM(J108:J125)</f>
        <v>0</v>
      </c>
      <c r="K127" s="63">
        <f>SUM(K108:K125)</f>
        <v>402</v>
      </c>
      <c r="L127" s="63">
        <f>SUM(L108:L125)</f>
        <v>500</v>
      </c>
      <c r="M127" s="65">
        <f t="shared" si="22"/>
        <v>902</v>
      </c>
      <c r="N127" s="63">
        <f>SUM(N108:N125)</f>
        <v>400</v>
      </c>
      <c r="O127" s="63">
        <f>SUM(O108:O125)</f>
        <v>350</v>
      </c>
      <c r="P127" s="63">
        <f>SUM(P108:P125)</f>
        <v>250</v>
      </c>
      <c r="Q127" s="65">
        <f t="shared" si="23"/>
        <v>1000</v>
      </c>
      <c r="R127" s="64">
        <f t="shared" si="24"/>
        <v>1902</v>
      </c>
    </row>
    <row r="128" spans="1:20" ht="16.5" customHeight="1" thickBot="1" x14ac:dyDescent="0.35">
      <c r="A128" s="62" t="s">
        <v>70</v>
      </c>
      <c r="B128" s="63">
        <f>+B89+B96+B107+B127</f>
        <v>900</v>
      </c>
      <c r="C128" s="63">
        <f>+C89+C96+C107+C127</f>
        <v>1000</v>
      </c>
      <c r="D128" s="63">
        <f>+D89+D96+D107+D127</f>
        <v>4500</v>
      </c>
      <c r="E128" s="64">
        <f t="shared" si="20"/>
        <v>6400</v>
      </c>
      <c r="F128" s="63">
        <f>+F89+F96+F107+F127</f>
        <v>6000</v>
      </c>
      <c r="G128" s="63">
        <f>+G89+G96+G107+G127</f>
        <v>6212</v>
      </c>
      <c r="H128" s="63">
        <f>+H89+H96+H107+H127</f>
        <v>5912</v>
      </c>
      <c r="I128" s="64">
        <f t="shared" si="21"/>
        <v>18124</v>
      </c>
      <c r="J128" s="63">
        <f>+J89+J96+J107+J127</f>
        <v>5757</v>
      </c>
      <c r="K128" s="63">
        <f>+K89+K96+K107+K127</f>
        <v>5881</v>
      </c>
      <c r="L128" s="63">
        <f>+L89+L96+L107+L127</f>
        <v>3563</v>
      </c>
      <c r="M128" s="64">
        <f t="shared" si="22"/>
        <v>15201</v>
      </c>
      <c r="N128" s="63">
        <f>+N89+N96+N107+N127</f>
        <v>1400</v>
      </c>
      <c r="O128" s="63">
        <f>+O89+O96+O107+O127</f>
        <v>550</v>
      </c>
      <c r="P128" s="63">
        <f>+P89+P96+P107+P127</f>
        <v>1053</v>
      </c>
      <c r="Q128" s="64">
        <f t="shared" si="23"/>
        <v>3003</v>
      </c>
      <c r="R128" s="64">
        <f t="shared" si="24"/>
        <v>42728</v>
      </c>
    </row>
    <row r="129" spans="1:20" ht="16.5" customHeight="1" thickBot="1" x14ac:dyDescent="0.35">
      <c r="A129" s="79" t="s">
        <v>37</v>
      </c>
      <c r="B129" s="25">
        <v>173</v>
      </c>
      <c r="C129" s="25">
        <v>260</v>
      </c>
      <c r="D129" s="25">
        <v>471</v>
      </c>
      <c r="E129" s="59">
        <f t="shared" si="20"/>
        <v>904</v>
      </c>
      <c r="F129" s="25">
        <v>629</v>
      </c>
      <c r="G129" s="25">
        <v>725</v>
      </c>
      <c r="H129" s="25">
        <v>712</v>
      </c>
      <c r="I129" s="59">
        <f t="shared" si="21"/>
        <v>2066</v>
      </c>
      <c r="J129" s="25">
        <v>711</v>
      </c>
      <c r="K129" s="25">
        <v>573</v>
      </c>
      <c r="L129" s="25">
        <v>542</v>
      </c>
      <c r="M129" s="59">
        <f t="shared" si="22"/>
        <v>1826</v>
      </c>
      <c r="N129" s="25">
        <v>490</v>
      </c>
      <c r="O129" s="25">
        <v>407</v>
      </c>
      <c r="P129" s="25">
        <v>323</v>
      </c>
      <c r="Q129" s="59">
        <f t="shared" si="23"/>
        <v>1220</v>
      </c>
      <c r="R129" s="59">
        <f t="shared" si="24"/>
        <v>6016</v>
      </c>
    </row>
    <row r="130" spans="1:20" ht="16.5" customHeight="1" thickBot="1" x14ac:dyDescent="0.35">
      <c r="A130" s="80"/>
      <c r="B130" s="81"/>
      <c r="C130" s="81"/>
      <c r="D130" s="81"/>
      <c r="E130" s="64" t="s">
        <v>7</v>
      </c>
      <c r="F130" s="81"/>
      <c r="G130" s="81"/>
      <c r="H130" s="81"/>
      <c r="I130" s="64" t="s">
        <v>7</v>
      </c>
      <c r="J130" s="81"/>
      <c r="K130" s="81"/>
      <c r="L130" s="81"/>
      <c r="M130" s="64" t="s">
        <v>7</v>
      </c>
      <c r="N130" s="81"/>
      <c r="O130" s="81"/>
      <c r="P130" s="81"/>
      <c r="Q130" s="64" t="s">
        <v>7</v>
      </c>
      <c r="R130" s="64" t="s">
        <v>7</v>
      </c>
    </row>
    <row r="131" spans="1:20" ht="15.75" customHeight="1" x14ac:dyDescent="0.3">
      <c r="A131" s="82" t="s">
        <v>38</v>
      </c>
      <c r="B131" s="83">
        <f>+B128+B129</f>
        <v>1073</v>
      </c>
      <c r="C131" s="83">
        <f>+C128+C129</f>
        <v>1260</v>
      </c>
      <c r="D131" s="83">
        <f>+D128+D129</f>
        <v>4971</v>
      </c>
      <c r="E131" s="59">
        <f>SUM(B131:D131)</f>
        <v>7304</v>
      </c>
      <c r="F131" s="83">
        <f>+F128+F129</f>
        <v>6629</v>
      </c>
      <c r="G131" s="83">
        <f>+G128+G129</f>
        <v>6937</v>
      </c>
      <c r="H131" s="83">
        <f>+H128+H129</f>
        <v>6624</v>
      </c>
      <c r="I131" s="59">
        <f>SUM(F131:H131)</f>
        <v>20190</v>
      </c>
      <c r="J131" s="83">
        <f>+J128+J129</f>
        <v>6468</v>
      </c>
      <c r="K131" s="83">
        <f>+K128+K129</f>
        <v>6454</v>
      </c>
      <c r="L131" s="83">
        <f>+L128+L129</f>
        <v>4105</v>
      </c>
      <c r="M131" s="59">
        <f>SUM(J131:L131)</f>
        <v>17027</v>
      </c>
      <c r="N131" s="83">
        <f>+N128+N129</f>
        <v>1890</v>
      </c>
      <c r="O131" s="83">
        <f>+O128+O129</f>
        <v>957</v>
      </c>
      <c r="P131" s="83">
        <f>+P128+P129</f>
        <v>1376</v>
      </c>
      <c r="Q131" s="59">
        <f>SUM(N131:P131)</f>
        <v>4223</v>
      </c>
      <c r="R131" s="59">
        <f>+E131+I131+M131+Q131</f>
        <v>48744</v>
      </c>
    </row>
    <row r="132" spans="1:20" ht="15.75" customHeight="1" x14ac:dyDescent="0.3">
      <c r="A132" s="84" t="s">
        <v>39</v>
      </c>
      <c r="B132" s="1">
        <f>(B131/B10)/1.983</f>
        <v>17.45481756218177</v>
      </c>
      <c r="C132" s="1">
        <f>(C131/C10)/1.983</f>
        <v>22.6928895612708</v>
      </c>
      <c r="D132" s="1">
        <f>(D131/D10)/1.983</f>
        <v>80.864769898980029</v>
      </c>
      <c r="E132" s="59" t="s">
        <v>7</v>
      </c>
      <c r="F132" s="1">
        <f>(F131/F10)/1.983</f>
        <v>111.43049251975121</v>
      </c>
      <c r="G132" s="1">
        <f>(G131/G10)/1.983</f>
        <v>112.84629024124412</v>
      </c>
      <c r="H132" s="1">
        <f>(H131/H10)/1.983</f>
        <v>111.34644478063539</v>
      </c>
      <c r="I132" s="59" t="s">
        <v>7</v>
      </c>
      <c r="J132" s="1">
        <f>(J131/J10)/1.983</f>
        <v>105.21692450344054</v>
      </c>
      <c r="K132" s="1">
        <f>(K131/K10)/1.983</f>
        <v>104.98918224261057</v>
      </c>
      <c r="L132" s="1">
        <f>(L131/L10)/1.983</f>
        <v>69.003193814086401</v>
      </c>
      <c r="M132" s="59" t="s">
        <v>7</v>
      </c>
      <c r="N132" s="1">
        <f>(N131/N10)/1.983</f>
        <v>30.745205212044311</v>
      </c>
      <c r="O132" s="1">
        <f>(O131/O10)/1.983</f>
        <v>16.086737266767521</v>
      </c>
      <c r="P132" s="1">
        <f>(P131/P10)/1.983</f>
        <v>22.383810778715858</v>
      </c>
      <c r="Q132" s="59" t="s">
        <v>7</v>
      </c>
      <c r="R132" s="59" t="s">
        <v>7</v>
      </c>
    </row>
    <row r="133" spans="1:20" ht="15.75" customHeight="1" x14ac:dyDescent="0.3">
      <c r="A133" s="85" t="s">
        <v>117</v>
      </c>
      <c r="B133" s="1">
        <f>B131+B309</f>
        <v>88618</v>
      </c>
      <c r="C133" s="1">
        <f>C131+C309</f>
        <v>110100</v>
      </c>
      <c r="D133" s="1">
        <f>D131+D309</f>
        <v>180364</v>
      </c>
      <c r="E133" s="59">
        <f>SUM(B133:D133)</f>
        <v>379082</v>
      </c>
      <c r="F133" s="1">
        <f>F131+F309</f>
        <v>173419</v>
      </c>
      <c r="G133" s="1">
        <f>G131+G309</f>
        <v>185617</v>
      </c>
      <c r="H133" s="1">
        <f>H131+H309</f>
        <v>71820</v>
      </c>
      <c r="I133" s="59">
        <f>SUM(F133:H133)</f>
        <v>430856</v>
      </c>
      <c r="J133" s="1">
        <f>J131+J309</f>
        <v>73262</v>
      </c>
      <c r="K133" s="1">
        <f>K131+K309</f>
        <v>32039</v>
      </c>
      <c r="L133" s="1">
        <f>L131+L309</f>
        <v>150797</v>
      </c>
      <c r="M133" s="59">
        <f>SUM(J133:L133)</f>
        <v>256098</v>
      </c>
      <c r="N133" s="1">
        <f>N131+N309</f>
        <v>161753</v>
      </c>
      <c r="O133" s="1">
        <f>O131+O309</f>
        <v>156657</v>
      </c>
      <c r="P133" s="1">
        <f>P131+P309</f>
        <v>153300</v>
      </c>
      <c r="Q133" s="59">
        <f>SUM(N133:P133)</f>
        <v>471710</v>
      </c>
      <c r="R133" s="59">
        <f>+E133+I133+M133+Q133</f>
        <v>1537746</v>
      </c>
    </row>
    <row r="134" spans="1:20" ht="16.5" customHeight="1" thickBot="1" x14ac:dyDescent="0.35">
      <c r="A134" s="86" t="s">
        <v>118</v>
      </c>
      <c r="B134" s="87">
        <f>(B133/B10)/1.983</f>
        <v>1441.5759764449431</v>
      </c>
      <c r="C134" s="87">
        <f>(C133/C10)/1.983</f>
        <v>1982.9263021396152</v>
      </c>
      <c r="D134" s="87">
        <f>(D133/D10)/1.983</f>
        <v>2934.0360808810369</v>
      </c>
      <c r="E134" s="88" t="s">
        <v>7</v>
      </c>
      <c r="F134" s="87">
        <f>(F133/F10)/1.983</f>
        <v>2915.0949739452008</v>
      </c>
      <c r="G134" s="87">
        <f>(G133/G10)/1.983</f>
        <v>3019.4882306053064</v>
      </c>
      <c r="H134" s="87">
        <f>(H133/H10)/1.983</f>
        <v>1207.2617246596067</v>
      </c>
      <c r="I134" s="88" t="s">
        <v>7</v>
      </c>
      <c r="J134" s="87">
        <f>(J133/J10)/1.983</f>
        <v>1191.7752509231696</v>
      </c>
      <c r="K134" s="87">
        <f>(K133/K10)/1.983</f>
        <v>521.18816390935854</v>
      </c>
      <c r="L134" s="87">
        <f>(L133/L10)/1.983</f>
        <v>2534.8293830895946</v>
      </c>
      <c r="M134" s="88" t="s">
        <v>7</v>
      </c>
      <c r="N134" s="87">
        <f>(N133/N10)/1.983</f>
        <v>2631.2852797162982</v>
      </c>
      <c r="O134" s="87">
        <f>(O133/O10)/1.983</f>
        <v>2633.333333333333</v>
      </c>
      <c r="P134" s="87">
        <f>(P133/P10)/1.983</f>
        <v>2493.7777560880386</v>
      </c>
      <c r="Q134" s="88" t="s">
        <v>7</v>
      </c>
      <c r="R134" s="88" t="s">
        <v>7</v>
      </c>
    </row>
    <row r="135" spans="1:20" ht="15.75" customHeight="1" x14ac:dyDescent="0.3">
      <c r="A135" s="30"/>
      <c r="B135" s="1"/>
      <c r="C135" s="1"/>
      <c r="D135" s="1"/>
      <c r="E135" s="1"/>
      <c r="F135" s="1"/>
      <c r="G135" s="1"/>
      <c r="H135" s="1"/>
      <c r="I135" s="1"/>
      <c r="J135" s="1"/>
      <c r="K135" s="1"/>
      <c r="L135" s="1"/>
      <c r="M135" s="1"/>
      <c r="N135" s="1"/>
      <c r="O135" s="1"/>
      <c r="P135" s="1"/>
      <c r="Q135" s="1"/>
      <c r="R135" s="28"/>
    </row>
    <row r="136" spans="1:20" ht="15.75" customHeight="1" thickBot="1" x14ac:dyDescent="0.35">
      <c r="A136" s="30" t="s">
        <v>7</v>
      </c>
      <c r="B136" s="1"/>
      <c r="C136" s="1"/>
      <c r="D136" s="1"/>
      <c r="E136" s="1"/>
      <c r="F136" s="1"/>
      <c r="G136" s="1"/>
      <c r="H136" s="1"/>
      <c r="I136" s="1"/>
      <c r="J136" s="1"/>
      <c r="K136" s="1"/>
      <c r="L136" s="1"/>
      <c r="M136" s="1"/>
      <c r="N136" s="1"/>
      <c r="O136" s="1"/>
      <c r="P136" s="1"/>
      <c r="Q136" s="1"/>
      <c r="R136" s="28"/>
    </row>
    <row r="137" spans="1:20" ht="16.5" customHeight="1" thickBot="1" x14ac:dyDescent="0.35">
      <c r="A137" s="31" t="s">
        <v>119</v>
      </c>
      <c r="B137" s="32" t="s">
        <v>36</v>
      </c>
      <c r="C137" s="33" t="s">
        <v>9</v>
      </c>
      <c r="D137" s="33" t="s">
        <v>10</v>
      </c>
      <c r="E137" s="12" t="s">
        <v>11</v>
      </c>
      <c r="F137" s="33" t="s">
        <v>12</v>
      </c>
      <c r="G137" s="33" t="s">
        <v>13</v>
      </c>
      <c r="H137" s="33" t="s">
        <v>14</v>
      </c>
      <c r="I137" s="34" t="s">
        <v>15</v>
      </c>
      <c r="J137" s="33" t="s">
        <v>16</v>
      </c>
      <c r="K137" s="33" t="s">
        <v>17</v>
      </c>
      <c r="L137" s="33" t="s">
        <v>18</v>
      </c>
      <c r="M137" s="34" t="s">
        <v>19</v>
      </c>
      <c r="N137" s="33" t="s">
        <v>20</v>
      </c>
      <c r="O137" s="33" t="s">
        <v>21</v>
      </c>
      <c r="P137" s="33" t="s">
        <v>22</v>
      </c>
      <c r="Q137" s="34" t="s">
        <v>23</v>
      </c>
      <c r="R137" s="35" t="s">
        <v>24</v>
      </c>
    </row>
    <row r="138" spans="1:20" ht="16.5" customHeight="1" thickBot="1" x14ac:dyDescent="0.35">
      <c r="A138" s="80"/>
      <c r="B138" s="81"/>
      <c r="C138" s="81"/>
      <c r="D138" s="81"/>
      <c r="E138" s="89"/>
      <c r="F138" s="81"/>
      <c r="G138" s="81"/>
      <c r="H138" s="81"/>
      <c r="I138" s="89"/>
      <c r="J138" s="81"/>
      <c r="K138" s="81"/>
      <c r="L138" s="81"/>
      <c r="M138" s="89"/>
      <c r="N138" s="81"/>
      <c r="O138" s="81"/>
      <c r="P138" s="81"/>
      <c r="Q138" s="89"/>
      <c r="R138" s="80"/>
    </row>
    <row r="139" spans="1:20" ht="15.75" customHeight="1" x14ac:dyDescent="0.3">
      <c r="A139" s="17" t="s">
        <v>45</v>
      </c>
      <c r="B139" s="1" t="s">
        <v>7</v>
      </c>
      <c r="C139" s="1" t="s">
        <v>7</v>
      </c>
      <c r="D139" s="1" t="s">
        <v>7</v>
      </c>
      <c r="E139" s="59" t="s">
        <v>7</v>
      </c>
      <c r="F139" s="1" t="s">
        <v>7</v>
      </c>
      <c r="G139" s="1" t="s">
        <v>7</v>
      </c>
      <c r="H139" s="1" t="s">
        <v>7</v>
      </c>
      <c r="I139" s="59" t="s">
        <v>7</v>
      </c>
      <c r="J139" s="1" t="s">
        <v>7</v>
      </c>
      <c r="K139" s="1" t="s">
        <v>7</v>
      </c>
      <c r="L139" s="1" t="s">
        <v>7</v>
      </c>
      <c r="M139" s="59" t="s">
        <v>7</v>
      </c>
      <c r="N139" s="1" t="s">
        <v>7</v>
      </c>
      <c r="O139" s="1" t="s">
        <v>7</v>
      </c>
      <c r="P139" s="1" t="s">
        <v>7</v>
      </c>
      <c r="Q139" s="59" t="s">
        <v>7</v>
      </c>
      <c r="R139" s="90" t="s">
        <v>7</v>
      </c>
    </row>
    <row r="140" spans="1:20" ht="15.75" customHeight="1" x14ac:dyDescent="0.3">
      <c r="A140" s="17" t="s">
        <v>46</v>
      </c>
      <c r="B140" s="1"/>
      <c r="C140" s="1"/>
      <c r="D140" s="1"/>
      <c r="E140" s="59" t="s">
        <v>7</v>
      </c>
      <c r="F140" s="1"/>
      <c r="G140" s="1"/>
      <c r="H140" s="1"/>
      <c r="I140" s="59" t="s">
        <v>7</v>
      </c>
      <c r="J140" s="1"/>
      <c r="K140" s="1"/>
      <c r="L140" s="1"/>
      <c r="M140" s="59" t="s">
        <v>7</v>
      </c>
      <c r="N140" s="1"/>
      <c r="O140" s="1"/>
      <c r="P140" s="1"/>
      <c r="Q140" s="59" t="s">
        <v>7</v>
      </c>
      <c r="R140" s="90"/>
    </row>
    <row r="141" spans="1:20" ht="15.75" customHeight="1" x14ac:dyDescent="0.3">
      <c r="A141" s="91" t="s">
        <v>120</v>
      </c>
      <c r="B141" s="1"/>
      <c r="C141" s="1"/>
      <c r="D141" s="1">
        <v>599</v>
      </c>
      <c r="E141" s="59">
        <f t="shared" ref="E141:E144" si="25">SUM(B141:D141)</f>
        <v>599</v>
      </c>
      <c r="F141" s="1">
        <v>599</v>
      </c>
      <c r="G141" s="1">
        <v>599</v>
      </c>
      <c r="H141" s="1">
        <v>598</v>
      </c>
      <c r="I141" s="59">
        <f t="shared" ref="I141:I144" si="26">SUM(F141:H141)</f>
        <v>1796</v>
      </c>
      <c r="J141" s="1">
        <v>598</v>
      </c>
      <c r="K141" s="1">
        <v>598</v>
      </c>
      <c r="L141" s="1">
        <v>598</v>
      </c>
      <c r="M141" s="59">
        <f t="shared" ref="M141:M144" si="27">SUM(J141:L141)</f>
        <v>1794</v>
      </c>
      <c r="N141" s="1"/>
      <c r="O141" s="1"/>
      <c r="P141" s="1"/>
      <c r="Q141" s="59">
        <f t="shared" ref="Q141:Q146" si="28">SUM(N141:P141)</f>
        <v>0</v>
      </c>
      <c r="R141" s="59">
        <f>+E141+I141+M141+Q141</f>
        <v>4189</v>
      </c>
      <c r="T141" s="4" t="s">
        <v>121</v>
      </c>
    </row>
    <row r="142" spans="1:20" ht="15.75" customHeight="1" x14ac:dyDescent="0.3">
      <c r="A142" s="91" t="s">
        <v>122</v>
      </c>
      <c r="B142" s="1"/>
      <c r="C142" s="1">
        <v>150</v>
      </c>
      <c r="D142" s="1">
        <v>600</v>
      </c>
      <c r="E142" s="59">
        <f t="shared" si="25"/>
        <v>750</v>
      </c>
      <c r="F142" s="1">
        <v>1400</v>
      </c>
      <c r="G142" s="1">
        <v>1600</v>
      </c>
      <c r="H142" s="1">
        <v>1650</v>
      </c>
      <c r="I142" s="59">
        <f t="shared" si="26"/>
        <v>4650</v>
      </c>
      <c r="J142" s="1">
        <v>1600</v>
      </c>
      <c r="K142" s="1">
        <v>1500</v>
      </c>
      <c r="L142" s="1">
        <v>1400</v>
      </c>
      <c r="M142" s="59">
        <f>SUM(J142:L142)</f>
        <v>4500</v>
      </c>
      <c r="N142" s="1">
        <v>1193</v>
      </c>
      <c r="O142" s="1"/>
      <c r="P142" s="1"/>
      <c r="Q142" s="59">
        <f t="shared" si="28"/>
        <v>1193</v>
      </c>
      <c r="R142" s="59">
        <f t="shared" ref="R142:R186" si="29">+E142+I142+M142+Q142</f>
        <v>11093</v>
      </c>
      <c r="T142" s="4" t="s">
        <v>121</v>
      </c>
    </row>
    <row r="143" spans="1:20" ht="15.75" customHeight="1" x14ac:dyDescent="0.3">
      <c r="A143" s="91" t="s">
        <v>123</v>
      </c>
      <c r="B143" s="1"/>
      <c r="C143" s="1"/>
      <c r="D143" s="1">
        <v>339</v>
      </c>
      <c r="E143" s="59">
        <f t="shared" si="25"/>
        <v>339</v>
      </c>
      <c r="F143" s="1">
        <v>339</v>
      </c>
      <c r="G143" s="1">
        <v>339</v>
      </c>
      <c r="H143" s="1">
        <v>339</v>
      </c>
      <c r="I143" s="59">
        <f t="shared" si="26"/>
        <v>1017</v>
      </c>
      <c r="J143" s="1">
        <v>339</v>
      </c>
      <c r="K143" s="1">
        <v>339</v>
      </c>
      <c r="L143" s="1">
        <v>338</v>
      </c>
      <c r="M143" s="59">
        <f t="shared" si="27"/>
        <v>1016</v>
      </c>
      <c r="N143" s="1"/>
      <c r="O143" s="1"/>
      <c r="P143" s="1"/>
      <c r="Q143" s="59">
        <f t="shared" si="28"/>
        <v>0</v>
      </c>
      <c r="R143" s="59">
        <f t="shared" si="29"/>
        <v>2372</v>
      </c>
      <c r="T143" s="4" t="s">
        <v>121</v>
      </c>
    </row>
    <row r="144" spans="1:20" ht="15.75" customHeight="1" x14ac:dyDescent="0.3">
      <c r="A144" s="91" t="s">
        <v>124</v>
      </c>
      <c r="B144" s="1"/>
      <c r="C144" s="1"/>
      <c r="D144" s="1">
        <v>323</v>
      </c>
      <c r="E144" s="59">
        <f t="shared" si="25"/>
        <v>323</v>
      </c>
      <c r="F144" s="1">
        <v>323</v>
      </c>
      <c r="G144" s="1">
        <v>323</v>
      </c>
      <c r="H144" s="1">
        <v>323</v>
      </c>
      <c r="I144" s="59">
        <f t="shared" si="26"/>
        <v>969</v>
      </c>
      <c r="J144" s="1">
        <v>324</v>
      </c>
      <c r="K144" s="1">
        <v>323</v>
      </c>
      <c r="L144" s="1">
        <v>323</v>
      </c>
      <c r="M144" s="59">
        <f t="shared" si="27"/>
        <v>970</v>
      </c>
      <c r="N144" s="1">
        <v>969</v>
      </c>
      <c r="O144" s="1"/>
      <c r="P144" s="1"/>
      <c r="Q144" s="59">
        <f t="shared" si="28"/>
        <v>969</v>
      </c>
      <c r="R144" s="59">
        <f t="shared" si="29"/>
        <v>3231</v>
      </c>
      <c r="T144" s="4" t="s">
        <v>121</v>
      </c>
    </row>
    <row r="145" spans="1:20" ht="15.75" customHeight="1" x14ac:dyDescent="0.3">
      <c r="A145" s="74" t="s">
        <v>126</v>
      </c>
      <c r="B145" s="1">
        <v>33</v>
      </c>
      <c r="C145" s="1">
        <v>33</v>
      </c>
      <c r="D145" s="1">
        <v>33</v>
      </c>
      <c r="E145" s="59">
        <f t="shared" ref="E145" si="30">SUM(B145:D145)</f>
        <v>99</v>
      </c>
      <c r="F145" s="1">
        <v>33</v>
      </c>
      <c r="G145" s="1">
        <v>34</v>
      </c>
      <c r="H145" s="1">
        <v>34</v>
      </c>
      <c r="I145" s="59">
        <f t="shared" ref="I145:I183" si="31">SUM(F145:H145)</f>
        <v>101</v>
      </c>
      <c r="J145" s="1">
        <v>33</v>
      </c>
      <c r="K145" s="1">
        <v>33</v>
      </c>
      <c r="L145" s="1">
        <v>33</v>
      </c>
      <c r="M145" s="59">
        <f t="shared" ref="M145:M183" si="32">SUM(J145:L145)</f>
        <v>99</v>
      </c>
      <c r="N145" s="1">
        <v>33</v>
      </c>
      <c r="O145" s="1">
        <v>33</v>
      </c>
      <c r="P145" s="1">
        <v>35</v>
      </c>
      <c r="Q145" s="59">
        <f t="shared" si="28"/>
        <v>101</v>
      </c>
      <c r="R145" s="59">
        <f t="shared" si="29"/>
        <v>400</v>
      </c>
      <c r="T145" s="4" t="s">
        <v>127</v>
      </c>
    </row>
    <row r="146" spans="1:20" ht="15.75" customHeight="1" x14ac:dyDescent="0.3">
      <c r="A146" s="91" t="s">
        <v>129</v>
      </c>
      <c r="C146" s="1"/>
      <c r="D146" s="1"/>
      <c r="E146" s="59">
        <f>SUM(C146:D146)</f>
        <v>0</v>
      </c>
      <c r="F146" s="1"/>
      <c r="G146" s="1"/>
      <c r="H146" s="1">
        <v>625</v>
      </c>
      <c r="I146" s="59">
        <f t="shared" si="31"/>
        <v>625</v>
      </c>
      <c r="J146" s="1"/>
      <c r="K146" s="1"/>
      <c r="L146" s="1"/>
      <c r="M146" s="59">
        <f t="shared" si="32"/>
        <v>0</v>
      </c>
      <c r="N146" s="1"/>
      <c r="O146" s="1"/>
      <c r="P146" s="1"/>
      <c r="Q146" s="59">
        <f t="shared" si="28"/>
        <v>0</v>
      </c>
      <c r="R146" s="59">
        <f t="shared" si="29"/>
        <v>625</v>
      </c>
      <c r="T146" s="4" t="s">
        <v>121</v>
      </c>
    </row>
    <row r="147" spans="1:20" ht="15.75" customHeight="1" x14ac:dyDescent="0.3">
      <c r="A147" s="91" t="s">
        <v>131</v>
      </c>
      <c r="B147" s="1"/>
      <c r="C147" s="1"/>
      <c r="D147" s="1"/>
      <c r="E147" s="59">
        <f t="shared" ref="E147:E162" si="33">SUM(B147:D147)</f>
        <v>0</v>
      </c>
      <c r="F147" s="1"/>
      <c r="G147" s="1"/>
      <c r="H147" s="1"/>
      <c r="I147" s="59">
        <f t="shared" si="31"/>
        <v>0</v>
      </c>
      <c r="J147" s="1"/>
      <c r="K147" s="1"/>
      <c r="L147" s="1"/>
      <c r="M147" s="59">
        <f t="shared" si="32"/>
        <v>0</v>
      </c>
      <c r="N147" s="1"/>
      <c r="O147" s="1"/>
      <c r="P147" s="1"/>
      <c r="Q147" s="59">
        <f t="shared" ref="Q147:Q189" si="34">SUM(N147:P147)</f>
        <v>0</v>
      </c>
      <c r="R147" s="59">
        <f t="shared" si="29"/>
        <v>0</v>
      </c>
      <c r="T147" s="4" t="s">
        <v>132</v>
      </c>
    </row>
    <row r="148" spans="1:20" ht="15.75" customHeight="1" x14ac:dyDescent="0.3">
      <c r="A148" s="91" t="s">
        <v>133</v>
      </c>
      <c r="B148" s="1"/>
      <c r="C148" s="1"/>
      <c r="D148" s="1"/>
      <c r="E148" s="59">
        <f t="shared" si="33"/>
        <v>0</v>
      </c>
      <c r="F148" s="1"/>
      <c r="G148" s="1">
        <v>1600</v>
      </c>
      <c r="H148" s="1">
        <v>1032</v>
      </c>
      <c r="I148" s="59">
        <f t="shared" si="31"/>
        <v>2632</v>
      </c>
      <c r="J148" s="1"/>
      <c r="K148" s="1"/>
      <c r="L148" s="1"/>
      <c r="M148" s="59">
        <f t="shared" si="32"/>
        <v>0</v>
      </c>
      <c r="N148" s="1"/>
      <c r="O148" s="1"/>
      <c r="P148" s="1"/>
      <c r="Q148" s="59">
        <f t="shared" si="34"/>
        <v>0</v>
      </c>
      <c r="R148" s="59">
        <f t="shared" si="29"/>
        <v>2632</v>
      </c>
      <c r="T148" s="4" t="s">
        <v>134</v>
      </c>
    </row>
    <row r="149" spans="1:20" ht="15.75" customHeight="1" x14ac:dyDescent="0.3">
      <c r="A149" s="74" t="s">
        <v>135</v>
      </c>
      <c r="B149" s="1"/>
      <c r="C149" s="1"/>
      <c r="D149" s="1"/>
      <c r="E149" s="59">
        <f t="shared" si="33"/>
        <v>0</v>
      </c>
      <c r="F149" s="1"/>
      <c r="G149" s="1"/>
      <c r="H149" s="1"/>
      <c r="I149" s="59">
        <f t="shared" si="31"/>
        <v>0</v>
      </c>
      <c r="J149" s="1">
        <v>2784</v>
      </c>
      <c r="K149" s="1"/>
      <c r="L149" s="1"/>
      <c r="M149" s="59">
        <f t="shared" si="32"/>
        <v>2784</v>
      </c>
      <c r="N149" s="1"/>
      <c r="O149" s="1"/>
      <c r="P149" s="1"/>
      <c r="Q149" s="59">
        <f t="shared" si="34"/>
        <v>0</v>
      </c>
      <c r="R149" s="59">
        <f t="shared" si="29"/>
        <v>2784</v>
      </c>
      <c r="S149" s="4" t="s">
        <v>136</v>
      </c>
      <c r="T149" s="4" t="s">
        <v>137</v>
      </c>
    </row>
    <row r="150" spans="1:20" ht="15.75" customHeight="1" x14ac:dyDescent="0.3">
      <c r="A150" s="76" t="s">
        <v>138</v>
      </c>
      <c r="B150" s="1"/>
      <c r="C150" s="1">
        <v>5</v>
      </c>
      <c r="D150" s="1">
        <v>31</v>
      </c>
      <c r="E150" s="59">
        <f>SUM(B150:D150)</f>
        <v>36</v>
      </c>
      <c r="F150" s="1">
        <v>51</v>
      </c>
      <c r="G150" s="1">
        <v>104</v>
      </c>
      <c r="H150" s="1">
        <v>103</v>
      </c>
      <c r="I150" s="59">
        <f>SUM(F150:H150)</f>
        <v>258</v>
      </c>
      <c r="K150" s="1"/>
      <c r="L150" s="1"/>
      <c r="M150" s="59">
        <f>SUM(J150:L150)</f>
        <v>0</v>
      </c>
      <c r="N150" s="1"/>
      <c r="O150" s="1"/>
      <c r="P150" s="1"/>
      <c r="Q150" s="59">
        <f>SUM(N150:P150)</f>
        <v>0</v>
      </c>
      <c r="R150" s="59">
        <f>+E150+I150+M150+Q150</f>
        <v>294</v>
      </c>
      <c r="S150" s="94"/>
    </row>
    <row r="151" spans="1:20" ht="15.75" customHeight="1" x14ac:dyDescent="0.3">
      <c r="A151" s="91" t="s">
        <v>139</v>
      </c>
      <c r="B151" s="1">
        <v>973</v>
      </c>
      <c r="C151" s="1">
        <v>973</v>
      </c>
      <c r="D151" s="1">
        <v>973</v>
      </c>
      <c r="E151" s="59">
        <f t="shared" si="33"/>
        <v>2919</v>
      </c>
      <c r="F151" s="1">
        <v>973</v>
      </c>
      <c r="G151" s="1">
        <v>973</v>
      </c>
      <c r="H151" s="1">
        <v>974</v>
      </c>
      <c r="I151" s="59">
        <f t="shared" si="31"/>
        <v>2920</v>
      </c>
      <c r="J151" s="1"/>
      <c r="K151" s="1"/>
      <c r="L151" s="1"/>
      <c r="M151" s="59">
        <f t="shared" si="32"/>
        <v>0</v>
      </c>
      <c r="N151" s="1"/>
      <c r="O151" s="1"/>
      <c r="P151" s="1"/>
      <c r="Q151" s="59">
        <f t="shared" si="34"/>
        <v>0</v>
      </c>
      <c r="R151" s="59">
        <f t="shared" si="29"/>
        <v>5839</v>
      </c>
      <c r="S151" s="75" t="s">
        <v>80</v>
      </c>
      <c r="T151" s="4" t="s">
        <v>132</v>
      </c>
    </row>
    <row r="152" spans="1:20" ht="15.75" customHeight="1" x14ac:dyDescent="0.3">
      <c r="A152" s="91" t="s">
        <v>140</v>
      </c>
      <c r="B152" s="1">
        <v>1157</v>
      </c>
      <c r="C152" s="1"/>
      <c r="E152" s="59">
        <f t="shared" si="33"/>
        <v>1157</v>
      </c>
      <c r="F152" s="1"/>
      <c r="G152" s="1"/>
      <c r="H152" s="1"/>
      <c r="I152" s="59">
        <f t="shared" si="31"/>
        <v>0</v>
      </c>
      <c r="J152" s="1"/>
      <c r="K152" s="1"/>
      <c r="L152" s="1"/>
      <c r="M152" s="59">
        <f t="shared" si="32"/>
        <v>0</v>
      </c>
      <c r="N152" s="1"/>
      <c r="O152" s="1"/>
      <c r="P152" s="1"/>
      <c r="Q152" s="59">
        <f t="shared" si="34"/>
        <v>0</v>
      </c>
      <c r="R152" s="59">
        <f t="shared" si="29"/>
        <v>1157</v>
      </c>
      <c r="S152" s="75" t="s">
        <v>80</v>
      </c>
      <c r="T152" s="4" t="s">
        <v>134</v>
      </c>
    </row>
    <row r="153" spans="1:20" ht="15.75" customHeight="1" x14ac:dyDescent="0.3">
      <c r="A153" s="91" t="s">
        <v>141</v>
      </c>
      <c r="B153" s="1"/>
      <c r="C153" s="1"/>
      <c r="D153" s="1"/>
      <c r="E153" s="59">
        <f t="shared" si="33"/>
        <v>0</v>
      </c>
      <c r="F153" s="1">
        <v>330</v>
      </c>
      <c r="G153" s="1">
        <v>330</v>
      </c>
      <c r="H153" s="1">
        <v>340</v>
      </c>
      <c r="I153" s="59">
        <f t="shared" si="31"/>
        <v>1000</v>
      </c>
      <c r="J153" s="1"/>
      <c r="K153" s="1"/>
      <c r="L153" s="1"/>
      <c r="M153" s="59">
        <f t="shared" si="32"/>
        <v>0</v>
      </c>
      <c r="N153" s="1"/>
      <c r="O153" s="1"/>
      <c r="P153" s="1"/>
      <c r="Q153" s="59">
        <f t="shared" si="34"/>
        <v>0</v>
      </c>
      <c r="R153" s="59">
        <f t="shared" si="29"/>
        <v>1000</v>
      </c>
      <c r="S153" s="75" t="s">
        <v>80</v>
      </c>
      <c r="T153" s="4" t="s">
        <v>121</v>
      </c>
    </row>
    <row r="154" spans="1:20" ht="15.75" customHeight="1" x14ac:dyDescent="0.3">
      <c r="A154" s="74" t="s">
        <v>142</v>
      </c>
      <c r="B154" s="1">
        <v>47</v>
      </c>
      <c r="C154" s="1">
        <v>47</v>
      </c>
      <c r="D154" s="1">
        <v>56</v>
      </c>
      <c r="E154" s="59">
        <f t="shared" si="33"/>
        <v>150</v>
      </c>
      <c r="F154" s="1">
        <v>56</v>
      </c>
      <c r="G154" s="1">
        <v>56</v>
      </c>
      <c r="H154" s="1">
        <v>60</v>
      </c>
      <c r="I154" s="59">
        <f t="shared" si="31"/>
        <v>172</v>
      </c>
      <c r="J154" s="1">
        <v>60</v>
      </c>
      <c r="K154" s="1">
        <v>60</v>
      </c>
      <c r="L154" s="1">
        <v>57</v>
      </c>
      <c r="M154" s="59">
        <f t="shared" si="32"/>
        <v>177</v>
      </c>
      <c r="N154" s="1">
        <v>57</v>
      </c>
      <c r="O154" s="1">
        <v>47</v>
      </c>
      <c r="P154" s="1">
        <v>47</v>
      </c>
      <c r="Q154" s="59">
        <f t="shared" si="34"/>
        <v>151</v>
      </c>
      <c r="R154" s="59">
        <f t="shared" si="29"/>
        <v>650</v>
      </c>
      <c r="T154" s="4" t="s">
        <v>143</v>
      </c>
    </row>
    <row r="155" spans="1:20" ht="15.75" customHeight="1" x14ac:dyDescent="0.3">
      <c r="A155" s="74" t="s">
        <v>144</v>
      </c>
      <c r="B155" s="1">
        <v>111</v>
      </c>
      <c r="C155" s="1">
        <v>129</v>
      </c>
      <c r="D155" s="1">
        <v>137</v>
      </c>
      <c r="E155" s="59">
        <f t="shared" si="33"/>
        <v>377</v>
      </c>
      <c r="F155" s="1">
        <v>164</v>
      </c>
      <c r="G155" s="1">
        <v>190</v>
      </c>
      <c r="H155" s="1">
        <v>264</v>
      </c>
      <c r="I155" s="59">
        <f t="shared" si="31"/>
        <v>618</v>
      </c>
      <c r="J155" s="1">
        <v>288</v>
      </c>
      <c r="K155" s="1">
        <v>236</v>
      </c>
      <c r="L155" s="1">
        <v>184</v>
      </c>
      <c r="M155" s="59">
        <f t="shared" si="32"/>
        <v>708</v>
      </c>
      <c r="N155" s="1">
        <v>177</v>
      </c>
      <c r="O155" s="1">
        <v>149</v>
      </c>
      <c r="P155" s="1">
        <v>121</v>
      </c>
      <c r="Q155" s="59">
        <f t="shared" si="34"/>
        <v>447</v>
      </c>
      <c r="R155" s="59">
        <f t="shared" si="29"/>
        <v>2150</v>
      </c>
      <c r="T155" s="4" t="s">
        <v>145</v>
      </c>
    </row>
    <row r="156" spans="1:20" ht="15.75" customHeight="1" x14ac:dyDescent="0.3">
      <c r="A156" s="74" t="s">
        <v>147</v>
      </c>
      <c r="B156" s="1"/>
      <c r="C156" s="1"/>
      <c r="D156" s="1">
        <v>300</v>
      </c>
      <c r="E156" s="59">
        <f t="shared" si="33"/>
        <v>300</v>
      </c>
      <c r="F156" s="1">
        <v>500</v>
      </c>
      <c r="G156" s="1">
        <v>400</v>
      </c>
      <c r="H156" s="1">
        <v>500</v>
      </c>
      <c r="I156" s="59">
        <f t="shared" si="31"/>
        <v>1400</v>
      </c>
      <c r="J156" s="1"/>
      <c r="K156" s="1"/>
      <c r="L156" s="1">
        <v>500</v>
      </c>
      <c r="M156" s="59">
        <f t="shared" si="32"/>
        <v>500</v>
      </c>
      <c r="N156" s="1">
        <v>600</v>
      </c>
      <c r="O156" s="1">
        <v>300</v>
      </c>
      <c r="P156" s="1"/>
      <c r="Q156" s="59">
        <f t="shared" si="34"/>
        <v>900</v>
      </c>
      <c r="R156" s="59">
        <f t="shared" si="29"/>
        <v>3100</v>
      </c>
      <c r="S156" s="4" t="s">
        <v>136</v>
      </c>
    </row>
    <row r="157" spans="1:20" ht="15.75" customHeight="1" x14ac:dyDescent="0.3">
      <c r="A157" s="91" t="s">
        <v>877</v>
      </c>
      <c r="B157" s="1"/>
      <c r="C157" s="1">
        <v>100</v>
      </c>
      <c r="D157" s="1">
        <v>100</v>
      </c>
      <c r="E157" s="59">
        <f>SUM(B157:D157)</f>
        <v>200</v>
      </c>
      <c r="F157" s="1">
        <v>100</v>
      </c>
      <c r="G157" s="1">
        <v>175</v>
      </c>
      <c r="H157" s="1">
        <v>250</v>
      </c>
      <c r="I157" s="59">
        <f t="shared" si="31"/>
        <v>525</v>
      </c>
      <c r="J157" s="1">
        <v>250</v>
      </c>
      <c r="K157" s="1">
        <v>250</v>
      </c>
      <c r="L157" s="1">
        <v>175</v>
      </c>
      <c r="M157" s="59">
        <f t="shared" si="32"/>
        <v>675</v>
      </c>
      <c r="N157" s="1">
        <v>100</v>
      </c>
      <c r="O157" s="1">
        <v>100</v>
      </c>
      <c r="P157" s="1"/>
      <c r="Q157" s="59">
        <f t="shared" si="34"/>
        <v>200</v>
      </c>
      <c r="R157" s="59">
        <f t="shared" si="29"/>
        <v>1600</v>
      </c>
      <c r="T157" s="4" t="s">
        <v>121</v>
      </c>
    </row>
    <row r="158" spans="1:20" ht="15.75" customHeight="1" x14ac:dyDescent="0.3">
      <c r="A158" s="74" t="s">
        <v>878</v>
      </c>
      <c r="B158" s="1">
        <v>498</v>
      </c>
      <c r="C158" s="1">
        <v>427</v>
      </c>
      <c r="D158" s="1">
        <v>512</v>
      </c>
      <c r="E158" s="59">
        <f t="shared" si="33"/>
        <v>1437</v>
      </c>
      <c r="F158" s="1">
        <v>517</v>
      </c>
      <c r="G158" s="1">
        <v>573</v>
      </c>
      <c r="H158" s="1">
        <v>545</v>
      </c>
      <c r="I158" s="59">
        <f t="shared" si="31"/>
        <v>1635</v>
      </c>
      <c r="J158" s="1">
        <v>494</v>
      </c>
      <c r="K158" s="1">
        <v>494</v>
      </c>
      <c r="L158" s="1">
        <v>598</v>
      </c>
      <c r="M158" s="59">
        <f t="shared" si="32"/>
        <v>1586</v>
      </c>
      <c r="N158" s="1">
        <v>377</v>
      </c>
      <c r="O158" s="1">
        <v>91</v>
      </c>
      <c r="P158" s="1">
        <v>178</v>
      </c>
      <c r="Q158" s="59">
        <f t="shared" si="34"/>
        <v>646</v>
      </c>
      <c r="R158" s="59">
        <f t="shared" si="29"/>
        <v>5304</v>
      </c>
      <c r="T158" s="4" t="s">
        <v>150</v>
      </c>
    </row>
    <row r="159" spans="1:20" ht="15.75" customHeight="1" x14ac:dyDescent="0.3">
      <c r="A159" s="91" t="s">
        <v>152</v>
      </c>
      <c r="B159" s="1"/>
      <c r="C159" s="1"/>
      <c r="D159" s="1"/>
      <c r="E159" s="59">
        <f t="shared" si="33"/>
        <v>0</v>
      </c>
      <c r="F159" s="1"/>
      <c r="G159" s="1"/>
      <c r="H159" s="1"/>
      <c r="I159" s="59">
        <f t="shared" si="31"/>
        <v>0</v>
      </c>
      <c r="J159" s="1">
        <v>508</v>
      </c>
      <c r="K159" s="1"/>
      <c r="L159" s="1"/>
      <c r="M159" s="59">
        <f t="shared" si="32"/>
        <v>508</v>
      </c>
      <c r="N159" s="1"/>
      <c r="O159" s="1"/>
      <c r="P159" s="1"/>
      <c r="Q159" s="59">
        <f t="shared" si="34"/>
        <v>0</v>
      </c>
      <c r="R159" s="59">
        <f t="shared" si="29"/>
        <v>508</v>
      </c>
      <c r="T159" s="4" t="s">
        <v>134</v>
      </c>
    </row>
    <row r="160" spans="1:20" ht="15.75" customHeight="1" x14ac:dyDescent="0.3">
      <c r="A160" s="76" t="s">
        <v>153</v>
      </c>
      <c r="B160" s="1"/>
      <c r="C160" s="1"/>
      <c r="D160" s="1"/>
      <c r="E160" s="59">
        <f t="shared" ref="E160" si="35">SUM(B160:D160)</f>
        <v>0</v>
      </c>
      <c r="F160" s="1"/>
      <c r="G160" s="1"/>
      <c r="H160" s="1"/>
      <c r="I160" s="59">
        <f t="shared" ref="I160" si="36">SUM(F160:H160)</f>
        <v>0</v>
      </c>
      <c r="J160" s="1">
        <v>355</v>
      </c>
      <c r="K160" s="1"/>
      <c r="L160" s="1"/>
      <c r="M160" s="59">
        <f t="shared" ref="M160" si="37">SUM(J160:L160)</f>
        <v>355</v>
      </c>
      <c r="N160" s="1"/>
      <c r="O160" s="1"/>
      <c r="P160" s="1"/>
      <c r="Q160" s="59">
        <f t="shared" ref="Q160" si="38">SUM(N160:P160)</f>
        <v>0</v>
      </c>
      <c r="R160" s="59">
        <f t="shared" si="29"/>
        <v>355</v>
      </c>
    </row>
    <row r="161" spans="1:20" ht="15.75" customHeight="1" x14ac:dyDescent="0.3">
      <c r="A161" s="76" t="s">
        <v>858</v>
      </c>
      <c r="B161" s="1"/>
      <c r="C161" s="1"/>
      <c r="D161" s="1"/>
      <c r="E161" s="59">
        <f t="shared" si="33"/>
        <v>0</v>
      </c>
      <c r="F161" s="1"/>
      <c r="G161" s="1"/>
      <c r="H161" s="1">
        <v>50</v>
      </c>
      <c r="I161" s="59">
        <f t="shared" si="31"/>
        <v>50</v>
      </c>
      <c r="J161" s="1"/>
      <c r="K161" s="1"/>
      <c r="L161" s="1"/>
      <c r="M161" s="59">
        <f t="shared" si="32"/>
        <v>0</v>
      </c>
      <c r="N161" s="1"/>
      <c r="O161" s="1"/>
      <c r="P161" s="1"/>
      <c r="Q161" s="59">
        <f t="shared" si="34"/>
        <v>0</v>
      </c>
      <c r="R161" s="59">
        <f t="shared" si="29"/>
        <v>50</v>
      </c>
    </row>
    <row r="162" spans="1:20" ht="15.75" customHeight="1" x14ac:dyDescent="0.3">
      <c r="A162" s="74" t="s">
        <v>155</v>
      </c>
      <c r="B162" s="1"/>
      <c r="C162" s="1"/>
      <c r="D162" s="1"/>
      <c r="E162" s="59">
        <f t="shared" si="33"/>
        <v>0</v>
      </c>
      <c r="F162" s="1"/>
      <c r="G162" s="1"/>
      <c r="H162" s="1"/>
      <c r="I162" s="59">
        <f t="shared" si="31"/>
        <v>0</v>
      </c>
      <c r="J162" s="1"/>
      <c r="K162" s="1"/>
      <c r="L162" s="1"/>
      <c r="M162" s="59">
        <f t="shared" si="32"/>
        <v>0</v>
      </c>
      <c r="N162" s="1"/>
      <c r="O162" s="1"/>
      <c r="P162" s="1"/>
      <c r="Q162" s="59">
        <f t="shared" si="34"/>
        <v>0</v>
      </c>
      <c r="R162" s="59">
        <f t="shared" si="29"/>
        <v>0</v>
      </c>
      <c r="S162" s="4" t="s">
        <v>136</v>
      </c>
      <c r="T162" s="4" t="s">
        <v>137</v>
      </c>
    </row>
    <row r="163" spans="1:20" s="98" customFormat="1" ht="15.75" customHeight="1" x14ac:dyDescent="0.3">
      <c r="A163" s="96" t="s">
        <v>156</v>
      </c>
      <c r="B163" s="1"/>
      <c r="C163" s="1"/>
      <c r="D163" s="1"/>
      <c r="E163" s="97">
        <f t="shared" ref="E163:E182" si="39">SUM(B163:D163)</f>
        <v>0</v>
      </c>
      <c r="F163" s="1"/>
      <c r="G163" s="1"/>
      <c r="H163" s="1"/>
      <c r="I163" s="97">
        <f t="shared" si="31"/>
        <v>0</v>
      </c>
      <c r="J163" s="1"/>
      <c r="K163" s="1"/>
      <c r="L163" s="1"/>
      <c r="M163" s="97">
        <f t="shared" si="32"/>
        <v>0</v>
      </c>
      <c r="N163" s="1"/>
      <c r="O163" s="1"/>
      <c r="P163" s="1"/>
      <c r="Q163" s="97">
        <f t="shared" si="34"/>
        <v>0</v>
      </c>
      <c r="R163" s="97">
        <f t="shared" si="29"/>
        <v>0</v>
      </c>
    </row>
    <row r="164" spans="1:20" ht="15.75" customHeight="1" x14ac:dyDescent="0.3">
      <c r="A164" s="74" t="s">
        <v>157</v>
      </c>
      <c r="B164" s="1"/>
      <c r="C164" s="1"/>
      <c r="D164" s="1"/>
      <c r="E164" s="59">
        <f t="shared" si="39"/>
        <v>0</v>
      </c>
      <c r="F164" s="1">
        <v>1654</v>
      </c>
      <c r="G164" s="1">
        <v>1850</v>
      </c>
      <c r="H164" s="1">
        <v>1900</v>
      </c>
      <c r="I164" s="59">
        <f t="shared" si="31"/>
        <v>5404</v>
      </c>
      <c r="J164" s="1">
        <v>1900</v>
      </c>
      <c r="K164" s="1">
        <v>1900</v>
      </c>
      <c r="L164" s="1">
        <v>1900</v>
      </c>
      <c r="M164" s="59">
        <f t="shared" si="32"/>
        <v>5700</v>
      </c>
      <c r="N164" s="1">
        <v>1600</v>
      </c>
      <c r="O164" s="1">
        <v>1600</v>
      </c>
      <c r="P164" s="1">
        <v>1600</v>
      </c>
      <c r="Q164" s="59">
        <f t="shared" si="34"/>
        <v>4800</v>
      </c>
      <c r="R164" s="59">
        <f>+E164+I164+M164+Q164</f>
        <v>15904</v>
      </c>
      <c r="T164" s="4" t="s">
        <v>158</v>
      </c>
    </row>
    <row r="165" spans="1:20" ht="15.75" customHeight="1" x14ac:dyDescent="0.3">
      <c r="A165" s="91" t="s">
        <v>159</v>
      </c>
      <c r="B165" s="1"/>
      <c r="C165" s="1"/>
      <c r="D165" s="1"/>
      <c r="E165" s="59">
        <f t="shared" si="39"/>
        <v>0</v>
      </c>
      <c r="F165" s="1"/>
      <c r="G165" s="1"/>
      <c r="H165" s="1"/>
      <c r="I165" s="59">
        <f t="shared" si="31"/>
        <v>0</v>
      </c>
      <c r="J165" s="1"/>
      <c r="K165" s="1">
        <v>477</v>
      </c>
      <c r="L165" s="1"/>
      <c r="M165" s="59">
        <f t="shared" si="32"/>
        <v>477</v>
      </c>
      <c r="N165" s="1"/>
      <c r="O165" s="1"/>
      <c r="P165" s="1"/>
      <c r="Q165" s="59">
        <f t="shared" si="34"/>
        <v>0</v>
      </c>
      <c r="R165" s="59">
        <f t="shared" ref="R165:R170" si="40">+E165+I165+M165+Q165</f>
        <v>477</v>
      </c>
      <c r="T165" s="4" t="s">
        <v>121</v>
      </c>
    </row>
    <row r="166" spans="1:20" ht="15.75" customHeight="1" x14ac:dyDescent="0.3">
      <c r="A166" s="91" t="s">
        <v>160</v>
      </c>
      <c r="B166" s="1"/>
      <c r="C166" s="1"/>
      <c r="D166" s="1"/>
      <c r="E166" s="59">
        <f t="shared" si="39"/>
        <v>0</v>
      </c>
      <c r="F166" s="1"/>
      <c r="G166" s="1"/>
      <c r="H166" s="1"/>
      <c r="I166" s="59">
        <f t="shared" si="31"/>
        <v>0</v>
      </c>
      <c r="J166" s="1"/>
      <c r="K166" s="1"/>
      <c r="L166" s="1">
        <v>600</v>
      </c>
      <c r="M166" s="59">
        <f t="shared" si="32"/>
        <v>600</v>
      </c>
      <c r="N166" s="1"/>
      <c r="O166" s="1"/>
      <c r="P166" s="1"/>
      <c r="Q166" s="59">
        <f t="shared" si="34"/>
        <v>0</v>
      </c>
      <c r="R166" s="59">
        <f t="shared" si="40"/>
        <v>600</v>
      </c>
      <c r="T166" s="4" t="s">
        <v>134</v>
      </c>
    </row>
    <row r="167" spans="1:20" ht="15.75" customHeight="1" x14ac:dyDescent="0.3">
      <c r="A167" s="74" t="s">
        <v>161</v>
      </c>
      <c r="B167" s="1"/>
      <c r="C167" s="1"/>
      <c r="D167" s="1"/>
      <c r="E167" s="59">
        <f t="shared" si="39"/>
        <v>0</v>
      </c>
      <c r="F167" s="1"/>
      <c r="G167" s="1"/>
      <c r="H167" s="1">
        <v>255</v>
      </c>
      <c r="I167" s="59">
        <f t="shared" si="31"/>
        <v>255</v>
      </c>
      <c r="J167" s="1"/>
      <c r="K167" s="1"/>
      <c r="L167" s="1"/>
      <c r="M167" s="59">
        <f t="shared" si="32"/>
        <v>0</v>
      </c>
      <c r="N167" s="1"/>
      <c r="O167" s="1"/>
      <c r="P167" s="1"/>
      <c r="Q167" s="59">
        <f t="shared" si="34"/>
        <v>0</v>
      </c>
      <c r="R167" s="59">
        <f t="shared" si="40"/>
        <v>255</v>
      </c>
      <c r="S167" s="94" t="s">
        <v>136</v>
      </c>
      <c r="T167" s="4" t="s">
        <v>162</v>
      </c>
    </row>
    <row r="168" spans="1:20" ht="15.75" customHeight="1" x14ac:dyDescent="0.3">
      <c r="A168" s="91" t="s">
        <v>164</v>
      </c>
      <c r="B168" s="1"/>
      <c r="C168" s="1"/>
      <c r="D168" s="1"/>
      <c r="E168" s="59">
        <f t="shared" si="39"/>
        <v>0</v>
      </c>
      <c r="F168" s="1"/>
      <c r="G168" s="1"/>
      <c r="H168" s="1"/>
      <c r="I168" s="59">
        <f t="shared" si="31"/>
        <v>0</v>
      </c>
      <c r="J168" s="1"/>
      <c r="K168" s="1"/>
      <c r="L168" s="1"/>
      <c r="M168" s="59">
        <f t="shared" si="32"/>
        <v>0</v>
      </c>
      <c r="N168" s="1"/>
      <c r="O168" s="1"/>
      <c r="P168" s="1"/>
      <c r="Q168" s="59">
        <f t="shared" si="34"/>
        <v>0</v>
      </c>
      <c r="R168" s="59">
        <f t="shared" si="40"/>
        <v>0</v>
      </c>
      <c r="T168" s="4" t="s">
        <v>132</v>
      </c>
    </row>
    <row r="169" spans="1:20" ht="15.75" customHeight="1" x14ac:dyDescent="0.3">
      <c r="A169" s="91" t="s">
        <v>165</v>
      </c>
      <c r="B169" s="1"/>
      <c r="C169" s="1"/>
      <c r="D169" s="1"/>
      <c r="E169" s="59">
        <f t="shared" si="39"/>
        <v>0</v>
      </c>
      <c r="F169" s="1"/>
      <c r="G169" s="1"/>
      <c r="H169" s="1"/>
      <c r="I169" s="59">
        <f t="shared" si="31"/>
        <v>0</v>
      </c>
      <c r="J169" s="1"/>
      <c r="K169" s="1"/>
      <c r="L169" s="1"/>
      <c r="M169" s="59">
        <f t="shared" si="32"/>
        <v>0</v>
      </c>
      <c r="N169" s="1"/>
      <c r="O169" s="1"/>
      <c r="P169" s="1"/>
      <c r="Q169" s="59">
        <f t="shared" si="34"/>
        <v>0</v>
      </c>
      <c r="R169" s="59">
        <f t="shared" si="40"/>
        <v>0</v>
      </c>
      <c r="T169" s="4" t="s">
        <v>134</v>
      </c>
    </row>
    <row r="170" spans="1:20" ht="15.75" customHeight="1" x14ac:dyDescent="0.3">
      <c r="A170" s="74" t="s">
        <v>166</v>
      </c>
      <c r="B170" s="1">
        <v>30</v>
      </c>
      <c r="C170" s="1">
        <v>30</v>
      </c>
      <c r="D170" s="1">
        <v>30</v>
      </c>
      <c r="E170" s="59">
        <f t="shared" si="39"/>
        <v>90</v>
      </c>
      <c r="F170" s="1">
        <v>50</v>
      </c>
      <c r="G170" s="1">
        <v>50</v>
      </c>
      <c r="H170" s="1">
        <v>60</v>
      </c>
      <c r="I170" s="59">
        <f t="shared" si="31"/>
        <v>160</v>
      </c>
      <c r="J170" s="1">
        <v>60</v>
      </c>
      <c r="K170" s="1">
        <v>60</v>
      </c>
      <c r="L170" s="1">
        <v>60</v>
      </c>
      <c r="M170" s="59">
        <f t="shared" si="32"/>
        <v>180</v>
      </c>
      <c r="N170" s="1">
        <v>75</v>
      </c>
      <c r="O170" s="1">
        <v>75</v>
      </c>
      <c r="P170" s="1">
        <v>85</v>
      </c>
      <c r="Q170" s="59">
        <f t="shared" si="34"/>
        <v>235</v>
      </c>
      <c r="R170" s="59">
        <f t="shared" si="40"/>
        <v>665</v>
      </c>
      <c r="T170" s="4" t="s">
        <v>127</v>
      </c>
    </row>
    <row r="171" spans="1:20" ht="15.75" customHeight="1" x14ac:dyDescent="0.3">
      <c r="A171" s="91" t="s">
        <v>167</v>
      </c>
      <c r="B171" s="1">
        <v>770</v>
      </c>
      <c r="C171" s="1">
        <v>1042</v>
      </c>
      <c r="D171" s="1">
        <v>1141</v>
      </c>
      <c r="E171" s="59">
        <f t="shared" si="39"/>
        <v>2953</v>
      </c>
      <c r="F171" s="1">
        <v>1196</v>
      </c>
      <c r="G171" s="1">
        <v>1194</v>
      </c>
      <c r="H171" s="1">
        <v>1730</v>
      </c>
      <c r="I171" s="59">
        <f t="shared" si="31"/>
        <v>4120</v>
      </c>
      <c r="J171" s="1">
        <v>1241</v>
      </c>
      <c r="K171" s="1">
        <v>241</v>
      </c>
      <c r="L171" s="1">
        <v>848</v>
      </c>
      <c r="M171" s="59">
        <f t="shared" si="32"/>
        <v>2330</v>
      </c>
      <c r="N171" s="1">
        <v>1112</v>
      </c>
      <c r="O171" s="1">
        <v>741</v>
      </c>
      <c r="P171" s="1">
        <v>541</v>
      </c>
      <c r="Q171" s="59">
        <f t="shared" si="34"/>
        <v>2394</v>
      </c>
      <c r="R171" s="59">
        <f t="shared" si="29"/>
        <v>11797</v>
      </c>
      <c r="T171" s="4" t="s">
        <v>132</v>
      </c>
    </row>
    <row r="172" spans="1:20" ht="15.75" customHeight="1" x14ac:dyDescent="0.3">
      <c r="A172" s="91" t="s">
        <v>168</v>
      </c>
      <c r="B172" s="1">
        <v>130</v>
      </c>
      <c r="C172" s="1">
        <v>150</v>
      </c>
      <c r="D172" s="1">
        <v>200</v>
      </c>
      <c r="E172" s="59">
        <f t="shared" si="39"/>
        <v>480</v>
      </c>
      <c r="F172" s="1">
        <v>200</v>
      </c>
      <c r="G172" s="1">
        <v>200</v>
      </c>
      <c r="H172" s="1">
        <v>300</v>
      </c>
      <c r="I172" s="59">
        <f t="shared" si="31"/>
        <v>700</v>
      </c>
      <c r="J172" s="1">
        <v>77</v>
      </c>
      <c r="K172" s="1"/>
      <c r="L172" s="1"/>
      <c r="M172" s="59">
        <f t="shared" si="32"/>
        <v>77</v>
      </c>
      <c r="N172" s="1"/>
      <c r="O172" s="1"/>
      <c r="P172" s="1"/>
      <c r="Q172" s="59">
        <f t="shared" si="34"/>
        <v>0</v>
      </c>
      <c r="R172" s="59">
        <f t="shared" si="29"/>
        <v>1257</v>
      </c>
      <c r="T172" s="4" t="s">
        <v>134</v>
      </c>
    </row>
    <row r="173" spans="1:20" ht="15.75" customHeight="1" x14ac:dyDescent="0.3">
      <c r="A173" s="91" t="s">
        <v>169</v>
      </c>
      <c r="B173" s="1">
        <v>26</v>
      </c>
      <c r="C173" s="1">
        <v>33</v>
      </c>
      <c r="D173" s="1">
        <v>48</v>
      </c>
      <c r="E173" s="59">
        <f t="shared" si="39"/>
        <v>107</v>
      </c>
      <c r="F173" s="1">
        <v>19</v>
      </c>
      <c r="G173" s="1">
        <v>88</v>
      </c>
      <c r="H173" s="1">
        <v>86</v>
      </c>
      <c r="I173" s="59">
        <f>SUM(F173:H173)</f>
        <v>193</v>
      </c>
      <c r="J173" s="1">
        <v>87</v>
      </c>
      <c r="K173" s="1">
        <v>56</v>
      </c>
      <c r="L173" s="1">
        <v>53</v>
      </c>
      <c r="M173" s="59">
        <f t="shared" si="32"/>
        <v>196</v>
      </c>
      <c r="N173" s="1">
        <v>87</v>
      </c>
      <c r="O173" s="1">
        <v>31</v>
      </c>
      <c r="P173" s="1">
        <v>14</v>
      </c>
      <c r="Q173" s="59">
        <f t="shared" si="34"/>
        <v>132</v>
      </c>
      <c r="R173" s="59">
        <f t="shared" si="29"/>
        <v>628</v>
      </c>
      <c r="T173" s="4" t="s">
        <v>170</v>
      </c>
    </row>
    <row r="174" spans="1:20" ht="15.75" customHeight="1" x14ac:dyDescent="0.3">
      <c r="A174" s="91" t="s">
        <v>171</v>
      </c>
      <c r="B174" s="1">
        <v>18</v>
      </c>
      <c r="C174" s="1">
        <v>21</v>
      </c>
      <c r="D174" s="1">
        <v>38</v>
      </c>
      <c r="E174" s="59">
        <f t="shared" si="39"/>
        <v>77</v>
      </c>
      <c r="F174" s="1">
        <v>78</v>
      </c>
      <c r="G174" s="1">
        <v>103</v>
      </c>
      <c r="H174" s="1">
        <v>80</v>
      </c>
      <c r="I174" s="59">
        <f t="shared" si="31"/>
        <v>261</v>
      </c>
      <c r="J174" s="1">
        <v>97</v>
      </c>
      <c r="K174" s="1">
        <v>50</v>
      </c>
      <c r="L174" s="1">
        <v>50</v>
      </c>
      <c r="M174" s="59">
        <f t="shared" si="32"/>
        <v>197</v>
      </c>
      <c r="N174" s="1">
        <v>70</v>
      </c>
      <c r="O174" s="1">
        <v>23</v>
      </c>
      <c r="P174" s="1">
        <v>13</v>
      </c>
      <c r="Q174" s="59">
        <f t="shared" si="34"/>
        <v>106</v>
      </c>
      <c r="R174" s="59">
        <f t="shared" si="29"/>
        <v>641</v>
      </c>
      <c r="T174" s="4" t="s">
        <v>127</v>
      </c>
    </row>
    <row r="175" spans="1:20" ht="15.75" customHeight="1" x14ac:dyDescent="0.3">
      <c r="A175" s="91" t="s">
        <v>172</v>
      </c>
      <c r="B175" s="1"/>
      <c r="C175" s="1"/>
      <c r="D175" s="1"/>
      <c r="E175" s="59">
        <f t="shared" si="39"/>
        <v>0</v>
      </c>
      <c r="F175" s="1">
        <v>10</v>
      </c>
      <c r="G175" s="1">
        <v>30</v>
      </c>
      <c r="H175" s="1">
        <v>20</v>
      </c>
      <c r="I175" s="59">
        <f t="shared" si="31"/>
        <v>60</v>
      </c>
      <c r="J175" s="1">
        <v>15</v>
      </c>
      <c r="K175" s="1">
        <v>15</v>
      </c>
      <c r="L175" s="1">
        <v>10</v>
      </c>
      <c r="M175" s="59">
        <f t="shared" si="32"/>
        <v>40</v>
      </c>
      <c r="N175" s="1">
        <v>10</v>
      </c>
      <c r="O175" s="1">
        <v>10</v>
      </c>
      <c r="P175" s="1"/>
      <c r="Q175" s="59">
        <f t="shared" si="34"/>
        <v>20</v>
      </c>
      <c r="R175" s="59">
        <f t="shared" si="29"/>
        <v>120</v>
      </c>
      <c r="T175" s="4" t="s">
        <v>121</v>
      </c>
    </row>
    <row r="176" spans="1:20" ht="15.75" customHeight="1" x14ac:dyDescent="0.3">
      <c r="A176" s="74" t="s">
        <v>173</v>
      </c>
      <c r="B176" s="1"/>
      <c r="C176" s="1"/>
      <c r="D176" s="1"/>
      <c r="E176" s="59">
        <f t="shared" si="39"/>
        <v>0</v>
      </c>
      <c r="F176" s="1"/>
      <c r="G176" s="1"/>
      <c r="H176" s="1">
        <v>1006</v>
      </c>
      <c r="I176" s="59">
        <f t="shared" si="31"/>
        <v>1006</v>
      </c>
      <c r="J176" s="1">
        <v>1040</v>
      </c>
      <c r="K176" s="1">
        <v>1040</v>
      </c>
      <c r="L176" s="1">
        <v>1040</v>
      </c>
      <c r="M176" s="59">
        <f t="shared" si="32"/>
        <v>3120</v>
      </c>
      <c r="N176" s="1">
        <v>1009</v>
      </c>
      <c r="O176" s="1">
        <v>1000</v>
      </c>
      <c r="P176" s="1">
        <v>803</v>
      </c>
      <c r="Q176" s="59">
        <f t="shared" si="34"/>
        <v>2812</v>
      </c>
      <c r="R176" s="59">
        <f t="shared" si="29"/>
        <v>6938</v>
      </c>
      <c r="T176" s="4" t="s">
        <v>158</v>
      </c>
    </row>
    <row r="177" spans="1:20" ht="15.75" customHeight="1" x14ac:dyDescent="0.3">
      <c r="A177" s="74" t="s">
        <v>174</v>
      </c>
      <c r="B177" s="1"/>
      <c r="C177" s="1"/>
      <c r="D177" s="1"/>
      <c r="E177" s="59">
        <f t="shared" si="39"/>
        <v>0</v>
      </c>
      <c r="F177" s="1"/>
      <c r="G177" s="1"/>
      <c r="H177" s="1"/>
      <c r="I177" s="59">
        <f t="shared" si="31"/>
        <v>0</v>
      </c>
      <c r="J177" s="1"/>
      <c r="K177" s="1">
        <v>3855</v>
      </c>
      <c r="L177" s="1"/>
      <c r="M177" s="59">
        <f t="shared" si="32"/>
        <v>3855</v>
      </c>
      <c r="N177" s="1"/>
      <c r="O177" s="1"/>
      <c r="P177" s="1"/>
      <c r="Q177" s="59">
        <f t="shared" si="34"/>
        <v>0</v>
      </c>
      <c r="R177" s="59">
        <f t="shared" si="29"/>
        <v>3855</v>
      </c>
      <c r="S177" s="94" t="s">
        <v>136</v>
      </c>
      <c r="T177" s="4" t="s">
        <v>137</v>
      </c>
    </row>
    <row r="178" spans="1:20" ht="15.75" customHeight="1" x14ac:dyDescent="0.3">
      <c r="A178" s="74" t="s">
        <v>175</v>
      </c>
      <c r="B178" s="1"/>
      <c r="C178" s="1"/>
      <c r="D178" s="1"/>
      <c r="E178" s="59">
        <f t="shared" si="39"/>
        <v>0</v>
      </c>
      <c r="F178" s="1"/>
      <c r="G178" s="1"/>
      <c r="H178" s="1"/>
      <c r="I178" s="59">
        <f t="shared" si="31"/>
        <v>0</v>
      </c>
      <c r="J178" s="1"/>
      <c r="K178" s="1"/>
      <c r="L178" s="1"/>
      <c r="M178" s="59">
        <f t="shared" si="32"/>
        <v>0</v>
      </c>
      <c r="N178" s="1"/>
      <c r="O178" s="1"/>
      <c r="P178" s="1"/>
      <c r="Q178" s="59">
        <f t="shared" si="34"/>
        <v>0</v>
      </c>
      <c r="R178" s="59">
        <f t="shared" si="29"/>
        <v>0</v>
      </c>
      <c r="T178" s="4" t="s">
        <v>137</v>
      </c>
    </row>
    <row r="179" spans="1:20" ht="15.75" customHeight="1" x14ac:dyDescent="0.3">
      <c r="A179" s="74" t="s">
        <v>176</v>
      </c>
      <c r="B179" s="1">
        <v>8351</v>
      </c>
      <c r="C179" s="1">
        <v>9473</v>
      </c>
      <c r="D179" s="1">
        <v>7990</v>
      </c>
      <c r="E179" s="59">
        <f t="shared" si="39"/>
        <v>25814</v>
      </c>
      <c r="F179" s="1"/>
      <c r="G179" s="1">
        <v>9506</v>
      </c>
      <c r="H179" s="1">
        <v>11006</v>
      </c>
      <c r="I179" s="59">
        <f t="shared" si="31"/>
        <v>20512</v>
      </c>
      <c r="J179" s="1">
        <v>12348</v>
      </c>
      <c r="K179" s="1">
        <v>11388</v>
      </c>
      <c r="L179" s="1">
        <v>10947</v>
      </c>
      <c r="M179" s="59">
        <f t="shared" si="32"/>
        <v>34683</v>
      </c>
      <c r="N179" s="1">
        <v>10424</v>
      </c>
      <c r="O179" s="1">
        <v>9089</v>
      </c>
      <c r="P179" s="1">
        <v>9489</v>
      </c>
      <c r="Q179" s="59">
        <f t="shared" si="34"/>
        <v>29002</v>
      </c>
      <c r="R179" s="59">
        <f t="shared" si="29"/>
        <v>110011</v>
      </c>
      <c r="S179" s="4" t="s">
        <v>136</v>
      </c>
    </row>
    <row r="180" spans="1:20" ht="15.75" customHeight="1" x14ac:dyDescent="0.3">
      <c r="A180" s="74" t="s">
        <v>177</v>
      </c>
      <c r="B180" s="1">
        <v>415</v>
      </c>
      <c r="C180" s="1">
        <v>415</v>
      </c>
      <c r="D180" s="1"/>
      <c r="E180" s="59">
        <f t="shared" si="39"/>
        <v>830</v>
      </c>
      <c r="F180" s="1"/>
      <c r="G180" s="1">
        <v>332</v>
      </c>
      <c r="H180" s="1">
        <v>2705</v>
      </c>
      <c r="I180" s="59">
        <f t="shared" si="31"/>
        <v>3037</v>
      </c>
      <c r="J180" s="1">
        <v>2905</v>
      </c>
      <c r="K180" s="1">
        <v>3445</v>
      </c>
      <c r="L180" s="1">
        <v>2905</v>
      </c>
      <c r="M180" s="59">
        <f t="shared" si="32"/>
        <v>9255</v>
      </c>
      <c r="N180" s="1">
        <v>1705</v>
      </c>
      <c r="O180" s="1">
        <v>1705</v>
      </c>
      <c r="P180" s="1">
        <v>1705</v>
      </c>
      <c r="Q180" s="59">
        <f t="shared" si="34"/>
        <v>5115</v>
      </c>
      <c r="R180" s="59">
        <f>+E180+I180+M180+Q180</f>
        <v>18237</v>
      </c>
      <c r="S180" s="94"/>
      <c r="T180" s="4" t="s">
        <v>137</v>
      </c>
    </row>
    <row r="181" spans="1:20" ht="15.75" customHeight="1" x14ac:dyDescent="0.3">
      <c r="A181" s="74" t="s">
        <v>859</v>
      </c>
      <c r="B181" s="1">
        <v>35</v>
      </c>
      <c r="C181" s="1">
        <v>35</v>
      </c>
      <c r="D181" s="1">
        <v>40</v>
      </c>
      <c r="E181" s="59">
        <f t="shared" si="39"/>
        <v>110</v>
      </c>
      <c r="F181" s="1">
        <v>40</v>
      </c>
      <c r="G181" s="1">
        <v>40</v>
      </c>
      <c r="H181" s="1">
        <v>40</v>
      </c>
      <c r="I181" s="59">
        <f t="shared" si="31"/>
        <v>120</v>
      </c>
      <c r="J181" s="1">
        <v>45</v>
      </c>
      <c r="K181" s="1">
        <v>45</v>
      </c>
      <c r="L181" s="1">
        <v>40</v>
      </c>
      <c r="M181" s="59">
        <f t="shared" si="32"/>
        <v>130</v>
      </c>
      <c r="N181" s="1">
        <v>40</v>
      </c>
      <c r="O181" s="1">
        <v>40</v>
      </c>
      <c r="P181" s="1">
        <v>40</v>
      </c>
      <c r="Q181" s="59">
        <f t="shared" si="34"/>
        <v>120</v>
      </c>
      <c r="R181" s="59">
        <f t="shared" si="29"/>
        <v>480</v>
      </c>
      <c r="S181" s="4" t="s">
        <v>136</v>
      </c>
      <c r="T181" s="4" t="s">
        <v>137</v>
      </c>
    </row>
    <row r="182" spans="1:20" ht="15.75" customHeight="1" x14ac:dyDescent="0.3">
      <c r="A182" s="74" t="s">
        <v>180</v>
      </c>
      <c r="B182" s="1">
        <v>3283</v>
      </c>
      <c r="C182" s="1"/>
      <c r="D182" s="1"/>
      <c r="E182" s="59">
        <f t="shared" si="39"/>
        <v>3283</v>
      </c>
      <c r="F182" s="1"/>
      <c r="G182" s="1">
        <v>4477</v>
      </c>
      <c r="H182" s="1">
        <v>6169</v>
      </c>
      <c r="I182" s="59">
        <f t="shared" si="31"/>
        <v>10646</v>
      </c>
      <c r="J182" s="1">
        <v>5787</v>
      </c>
      <c r="K182" s="1">
        <v>5572</v>
      </c>
      <c r="L182" s="1">
        <v>6356</v>
      </c>
      <c r="M182" s="59">
        <f t="shared" si="32"/>
        <v>17715</v>
      </c>
      <c r="N182" s="1">
        <v>6688</v>
      </c>
      <c r="O182" s="1">
        <v>5456</v>
      </c>
      <c r="P182" s="1">
        <v>4074</v>
      </c>
      <c r="Q182" s="59">
        <f t="shared" si="34"/>
        <v>16218</v>
      </c>
      <c r="R182" s="59">
        <f>+E182+I182+M182+Q182</f>
        <v>47862</v>
      </c>
    </row>
    <row r="183" spans="1:20" ht="15.75" customHeight="1" x14ac:dyDescent="0.3">
      <c r="A183" s="74" t="s">
        <v>181</v>
      </c>
      <c r="B183" s="1"/>
      <c r="C183" s="1"/>
      <c r="D183" s="1"/>
      <c r="E183" s="59">
        <f t="shared" ref="E183" si="41">SUM(B183:D183)</f>
        <v>0</v>
      </c>
      <c r="F183" s="1"/>
      <c r="G183" s="1"/>
      <c r="H183" s="1">
        <v>164</v>
      </c>
      <c r="I183" s="59">
        <f t="shared" si="31"/>
        <v>164</v>
      </c>
      <c r="J183" s="1">
        <v>164</v>
      </c>
      <c r="K183" s="1">
        <v>164</v>
      </c>
      <c r="L183" s="1">
        <v>3248</v>
      </c>
      <c r="M183" s="59">
        <f t="shared" si="32"/>
        <v>3576</v>
      </c>
      <c r="N183" s="1">
        <v>164</v>
      </c>
      <c r="O183" s="1">
        <v>164</v>
      </c>
      <c r="P183" s="1">
        <v>166</v>
      </c>
      <c r="Q183" s="59">
        <f t="shared" si="34"/>
        <v>494</v>
      </c>
      <c r="R183" s="59">
        <f t="shared" si="29"/>
        <v>4234</v>
      </c>
      <c r="S183" s="4" t="s">
        <v>136</v>
      </c>
    </row>
    <row r="184" spans="1:20" ht="15.75" customHeight="1" x14ac:dyDescent="0.3">
      <c r="A184" s="91" t="s">
        <v>182</v>
      </c>
      <c r="B184" s="1"/>
      <c r="C184" s="1"/>
      <c r="D184" s="1"/>
      <c r="E184" s="59">
        <f t="shared" ref="E184:E189" si="42">SUM(B184:D184)</f>
        <v>0</v>
      </c>
      <c r="F184" s="1"/>
      <c r="G184" s="1"/>
      <c r="H184" s="1"/>
      <c r="I184" s="59">
        <f t="shared" ref="I184:I189" si="43">SUM(F184:H184)</f>
        <v>0</v>
      </c>
      <c r="J184" s="1"/>
      <c r="K184" s="1"/>
      <c r="L184" s="1"/>
      <c r="M184" s="59">
        <f t="shared" ref="M184:M189" si="44">SUM(J184:L184)</f>
        <v>0</v>
      </c>
      <c r="N184" s="1"/>
      <c r="O184" s="1"/>
      <c r="P184" s="1"/>
      <c r="Q184" s="59">
        <f t="shared" si="34"/>
        <v>0</v>
      </c>
      <c r="R184" s="59">
        <f t="shared" si="29"/>
        <v>0</v>
      </c>
      <c r="T184" s="4" t="s">
        <v>132</v>
      </c>
    </row>
    <row r="185" spans="1:20" ht="15.75" customHeight="1" x14ac:dyDescent="0.3">
      <c r="A185" s="91" t="s">
        <v>183</v>
      </c>
      <c r="B185" s="1">
        <v>1083</v>
      </c>
      <c r="C185" s="1">
        <v>1083</v>
      </c>
      <c r="D185" s="1">
        <v>1083</v>
      </c>
      <c r="E185" s="59">
        <f t="shared" si="42"/>
        <v>3249</v>
      </c>
      <c r="F185" s="1"/>
      <c r="G185" s="1"/>
      <c r="H185" s="1"/>
      <c r="I185" s="59">
        <f t="shared" si="43"/>
        <v>0</v>
      </c>
      <c r="J185" s="1"/>
      <c r="K185" s="1"/>
      <c r="L185" s="1"/>
      <c r="M185" s="59">
        <f t="shared" si="44"/>
        <v>0</v>
      </c>
      <c r="N185" s="1"/>
      <c r="O185" s="1"/>
      <c r="P185" s="1"/>
      <c r="Q185" s="59">
        <f t="shared" si="34"/>
        <v>0</v>
      </c>
      <c r="R185" s="59">
        <f>+E185+I185+M185+Q185</f>
        <v>3249</v>
      </c>
    </row>
    <row r="186" spans="1:20" ht="15.75" customHeight="1" x14ac:dyDescent="0.3">
      <c r="A186" s="91" t="s">
        <v>184</v>
      </c>
      <c r="B186" s="1"/>
      <c r="C186" s="1"/>
      <c r="D186" s="1"/>
      <c r="E186" s="59">
        <f t="shared" si="42"/>
        <v>0</v>
      </c>
      <c r="F186" s="1">
        <v>700</v>
      </c>
      <c r="G186" s="1">
        <v>550</v>
      </c>
      <c r="H186" s="1">
        <v>750</v>
      </c>
      <c r="I186" s="59">
        <f t="shared" si="43"/>
        <v>2000</v>
      </c>
      <c r="J186" s="1"/>
      <c r="K186" s="1"/>
      <c r="L186" s="1"/>
      <c r="M186" s="59">
        <f t="shared" si="44"/>
        <v>0</v>
      </c>
      <c r="N186" s="1"/>
      <c r="O186" s="1"/>
      <c r="P186" s="1"/>
      <c r="Q186" s="59">
        <f t="shared" si="34"/>
        <v>0</v>
      </c>
      <c r="R186" s="59">
        <f t="shared" si="29"/>
        <v>2000</v>
      </c>
    </row>
    <row r="187" spans="1:20" ht="15.75" customHeight="1" x14ac:dyDescent="0.3">
      <c r="A187" s="74" t="s">
        <v>185</v>
      </c>
      <c r="B187" s="1">
        <v>122</v>
      </c>
      <c r="C187" s="1">
        <v>300</v>
      </c>
      <c r="D187" s="1">
        <v>350</v>
      </c>
      <c r="E187" s="59">
        <f t="shared" si="42"/>
        <v>772</v>
      </c>
      <c r="F187" s="1">
        <v>350</v>
      </c>
      <c r="G187" s="1">
        <v>400</v>
      </c>
      <c r="H187" s="1">
        <v>450</v>
      </c>
      <c r="I187" s="59">
        <f t="shared" si="43"/>
        <v>1200</v>
      </c>
      <c r="J187" s="1">
        <v>493</v>
      </c>
      <c r="K187" s="1">
        <v>500</v>
      </c>
      <c r="L187" s="1">
        <v>400</v>
      </c>
      <c r="M187" s="59">
        <f t="shared" si="44"/>
        <v>1393</v>
      </c>
      <c r="N187" s="1">
        <v>400</v>
      </c>
      <c r="O187" s="1">
        <v>300</v>
      </c>
      <c r="P187" s="1">
        <v>250</v>
      </c>
      <c r="Q187" s="59">
        <f t="shared" si="34"/>
        <v>950</v>
      </c>
      <c r="R187" s="59">
        <f>+E187+I187+M187+Q187</f>
        <v>4315</v>
      </c>
      <c r="S187" s="4" t="s">
        <v>136</v>
      </c>
      <c r="T187" s="4" t="s">
        <v>137</v>
      </c>
    </row>
    <row r="188" spans="1:20" ht="15.75" customHeight="1" x14ac:dyDescent="0.3">
      <c r="A188" s="74" t="s">
        <v>186</v>
      </c>
      <c r="B188" s="1">
        <v>2</v>
      </c>
      <c r="C188" s="1">
        <v>2</v>
      </c>
      <c r="D188" s="1">
        <v>3</v>
      </c>
      <c r="E188" s="59">
        <f t="shared" si="42"/>
        <v>7</v>
      </c>
      <c r="F188" s="1">
        <v>3</v>
      </c>
      <c r="G188" s="1">
        <v>3</v>
      </c>
      <c r="H188" s="1">
        <v>4</v>
      </c>
      <c r="I188" s="59">
        <f t="shared" si="43"/>
        <v>10</v>
      </c>
      <c r="J188" s="1">
        <v>3</v>
      </c>
      <c r="K188" s="1">
        <v>3</v>
      </c>
      <c r="L188" s="1">
        <v>3</v>
      </c>
      <c r="M188" s="59">
        <f t="shared" si="44"/>
        <v>9</v>
      </c>
      <c r="N188" s="1">
        <v>3</v>
      </c>
      <c r="O188" s="1">
        <v>3</v>
      </c>
      <c r="P188" s="1">
        <v>2</v>
      </c>
      <c r="Q188" s="59">
        <f t="shared" si="34"/>
        <v>8</v>
      </c>
      <c r="R188" s="59">
        <f>+E188+I188+M188+Q188</f>
        <v>34</v>
      </c>
      <c r="S188" s="4">
        <f>SUM(R141:R188)</f>
        <v>282892</v>
      </c>
    </row>
    <row r="189" spans="1:20" ht="15.75" customHeight="1" x14ac:dyDescent="0.3">
      <c r="A189" s="74" t="s">
        <v>187</v>
      </c>
      <c r="B189" s="1"/>
      <c r="C189" s="1"/>
      <c r="D189" s="1"/>
      <c r="E189" s="59">
        <f t="shared" si="42"/>
        <v>0</v>
      </c>
      <c r="F189" s="1"/>
      <c r="G189" s="1"/>
      <c r="H189" s="1"/>
      <c r="I189" s="59">
        <f t="shared" si="43"/>
        <v>0</v>
      </c>
      <c r="J189" s="1">
        <v>206</v>
      </c>
      <c r="K189" s="1"/>
      <c r="L189" s="1"/>
      <c r="M189" s="59">
        <f t="shared" si="44"/>
        <v>206</v>
      </c>
      <c r="N189" s="1"/>
      <c r="O189" s="1"/>
      <c r="P189" s="1"/>
      <c r="Q189" s="59">
        <f t="shared" si="34"/>
        <v>0</v>
      </c>
      <c r="R189" s="59">
        <f>+E189+I189+M189+Q189</f>
        <v>206</v>
      </c>
      <c r="S189" s="94" t="s">
        <v>136</v>
      </c>
      <c r="T189" s="4" t="s">
        <v>137</v>
      </c>
    </row>
    <row r="190" spans="1:20" ht="15.75" customHeight="1" x14ac:dyDescent="0.3">
      <c r="A190" s="17" t="s">
        <v>47</v>
      </c>
      <c r="B190" s="1"/>
      <c r="C190" s="1"/>
      <c r="D190" s="1"/>
      <c r="E190" s="59" t="s">
        <v>7</v>
      </c>
      <c r="F190" s="1"/>
      <c r="G190" s="1"/>
      <c r="H190" s="1"/>
      <c r="I190" s="59" t="s">
        <v>7</v>
      </c>
      <c r="J190" s="1"/>
      <c r="K190" s="1"/>
      <c r="L190" s="1"/>
      <c r="M190" s="59" t="s">
        <v>7</v>
      </c>
      <c r="N190" s="1"/>
      <c r="O190" s="1"/>
      <c r="P190" s="1"/>
      <c r="Q190" s="59" t="s">
        <v>7</v>
      </c>
      <c r="R190" s="59" t="s">
        <v>7</v>
      </c>
    </row>
    <row r="191" spans="1:20" ht="15.75" customHeight="1" x14ac:dyDescent="0.3">
      <c r="A191" s="74" t="s">
        <v>188</v>
      </c>
      <c r="B191" s="1"/>
      <c r="C191" s="1"/>
      <c r="D191" s="1"/>
      <c r="E191" s="59">
        <f t="shared" ref="E191:E200" si="45">SUM(B191:D191)</f>
        <v>0</v>
      </c>
      <c r="F191" s="1"/>
      <c r="G191" s="1"/>
      <c r="H191" s="1"/>
      <c r="I191" s="59">
        <f t="shared" ref="I191:I200" si="46">SUM(F191:H191)</f>
        <v>0</v>
      </c>
      <c r="J191" s="1"/>
      <c r="K191" s="1"/>
      <c r="L191" s="1"/>
      <c r="M191" s="59">
        <f t="shared" ref="M191:M200" si="47">SUM(J191:L191)</f>
        <v>0</v>
      </c>
      <c r="N191" s="1"/>
      <c r="O191" s="1"/>
      <c r="P191" s="1"/>
      <c r="Q191" s="59">
        <f t="shared" ref="Q191:Q200" si="48">SUM(N191:P191)</f>
        <v>0</v>
      </c>
      <c r="R191" s="59">
        <f t="shared" ref="R191:R200" si="49">+E191+I191+M191+Q191</f>
        <v>0</v>
      </c>
    </row>
    <row r="192" spans="1:20" ht="15.75" customHeight="1" x14ac:dyDescent="0.3">
      <c r="A192" s="74" t="s">
        <v>189</v>
      </c>
      <c r="B192" s="1"/>
      <c r="C192" s="1"/>
      <c r="D192" s="1"/>
      <c r="E192" s="59">
        <f>SUM(B192:D192)</f>
        <v>0</v>
      </c>
      <c r="F192" s="1"/>
      <c r="G192" s="1"/>
      <c r="H192" s="1"/>
      <c r="I192" s="59">
        <f>SUM(F192:H192)</f>
        <v>0</v>
      </c>
      <c r="J192" s="1"/>
      <c r="K192" s="1"/>
      <c r="L192" s="1"/>
      <c r="M192" s="59">
        <f>SUM(J192:L192)</f>
        <v>0</v>
      </c>
      <c r="N192" s="1"/>
      <c r="O192" s="1"/>
      <c r="P192" s="1"/>
      <c r="Q192" s="59">
        <f>SUM(N192:P192)</f>
        <v>0</v>
      </c>
      <c r="R192" s="59">
        <f>+E192+I192+M192+Q192</f>
        <v>0</v>
      </c>
      <c r="T192" s="4" t="s">
        <v>127</v>
      </c>
    </row>
    <row r="193" spans="1:20" ht="15.75" customHeight="1" x14ac:dyDescent="0.3">
      <c r="A193" s="74" t="s">
        <v>190</v>
      </c>
      <c r="B193" s="1"/>
      <c r="C193" s="1"/>
      <c r="D193" s="1"/>
      <c r="E193" s="59">
        <f t="shared" si="45"/>
        <v>0</v>
      </c>
      <c r="F193" s="1"/>
      <c r="G193" s="1"/>
      <c r="H193" s="1"/>
      <c r="I193" s="59">
        <f t="shared" si="46"/>
        <v>0</v>
      </c>
      <c r="J193" s="1"/>
      <c r="K193" s="1"/>
      <c r="L193" s="1"/>
      <c r="M193" s="59">
        <f t="shared" si="47"/>
        <v>0</v>
      </c>
      <c r="N193" s="1"/>
      <c r="O193" s="1"/>
      <c r="P193" s="1"/>
      <c r="Q193" s="59">
        <f t="shared" si="48"/>
        <v>0</v>
      </c>
      <c r="R193" s="59">
        <f t="shared" si="49"/>
        <v>0</v>
      </c>
    </row>
    <row r="194" spans="1:20" ht="15.75" customHeight="1" x14ac:dyDescent="0.3">
      <c r="A194" s="74" t="s">
        <v>191</v>
      </c>
      <c r="B194" s="1"/>
      <c r="C194" s="1"/>
      <c r="D194" s="1"/>
      <c r="E194" s="59">
        <f t="shared" si="45"/>
        <v>0</v>
      </c>
      <c r="F194" s="1"/>
      <c r="G194" s="1"/>
      <c r="H194" s="1"/>
      <c r="I194" s="59">
        <f t="shared" si="46"/>
        <v>0</v>
      </c>
      <c r="J194" s="1"/>
      <c r="K194" s="1"/>
      <c r="L194" s="1"/>
      <c r="M194" s="59">
        <f t="shared" si="47"/>
        <v>0</v>
      </c>
      <c r="N194" s="1"/>
      <c r="O194" s="1"/>
      <c r="P194" s="1"/>
      <c r="Q194" s="59">
        <f t="shared" si="48"/>
        <v>0</v>
      </c>
      <c r="R194" s="59">
        <f t="shared" si="49"/>
        <v>0</v>
      </c>
      <c r="T194" s="4" t="s">
        <v>137</v>
      </c>
    </row>
    <row r="195" spans="1:20" ht="15.75" customHeight="1" x14ac:dyDescent="0.3">
      <c r="A195" s="74" t="s">
        <v>192</v>
      </c>
      <c r="B195" s="1"/>
      <c r="C195" s="1"/>
      <c r="D195" s="1"/>
      <c r="E195" s="59">
        <f t="shared" si="45"/>
        <v>0</v>
      </c>
      <c r="F195" s="1"/>
      <c r="G195" s="1"/>
      <c r="H195" s="1"/>
      <c r="I195" s="59">
        <f t="shared" si="46"/>
        <v>0</v>
      </c>
      <c r="J195" s="1"/>
      <c r="K195" s="1"/>
      <c r="L195" s="1"/>
      <c r="M195" s="59">
        <f t="shared" si="47"/>
        <v>0</v>
      </c>
      <c r="N195" s="1"/>
      <c r="O195" s="1"/>
      <c r="P195" s="1"/>
      <c r="Q195" s="59">
        <f t="shared" si="48"/>
        <v>0</v>
      </c>
      <c r="R195" s="59">
        <f t="shared" si="49"/>
        <v>0</v>
      </c>
    </row>
    <row r="196" spans="1:20" ht="15.75" customHeight="1" x14ac:dyDescent="0.3">
      <c r="A196" s="74" t="s">
        <v>193</v>
      </c>
      <c r="B196" s="1"/>
      <c r="C196" s="1"/>
      <c r="D196" s="1"/>
      <c r="E196" s="59">
        <f t="shared" si="45"/>
        <v>0</v>
      </c>
      <c r="F196" s="1"/>
      <c r="G196" s="1"/>
      <c r="H196" s="1"/>
      <c r="I196" s="59">
        <f t="shared" si="46"/>
        <v>0</v>
      </c>
      <c r="J196" s="1"/>
      <c r="K196" s="1"/>
      <c r="L196" s="1"/>
      <c r="M196" s="59">
        <f t="shared" si="47"/>
        <v>0</v>
      </c>
      <c r="N196" s="1"/>
      <c r="O196" s="1"/>
      <c r="P196" s="1"/>
      <c r="Q196" s="59">
        <f t="shared" si="48"/>
        <v>0</v>
      </c>
      <c r="R196" s="59">
        <f t="shared" si="49"/>
        <v>0</v>
      </c>
    </row>
    <row r="197" spans="1:20" ht="15.75" customHeight="1" x14ac:dyDescent="0.3">
      <c r="A197" s="91" t="s">
        <v>194</v>
      </c>
      <c r="B197" s="1"/>
      <c r="C197" s="1"/>
      <c r="D197" s="1"/>
      <c r="E197" s="59">
        <f t="shared" si="45"/>
        <v>0</v>
      </c>
      <c r="F197" s="1"/>
      <c r="G197" s="1"/>
      <c r="H197" s="1"/>
      <c r="I197" s="59">
        <f t="shared" si="46"/>
        <v>0</v>
      </c>
      <c r="J197" s="1"/>
      <c r="K197" s="1"/>
      <c r="L197" s="1"/>
      <c r="M197" s="59">
        <f t="shared" si="47"/>
        <v>0</v>
      </c>
      <c r="N197" s="1"/>
      <c r="O197" s="1"/>
      <c r="P197" s="1"/>
      <c r="Q197" s="59">
        <f t="shared" si="48"/>
        <v>0</v>
      </c>
      <c r="R197" s="59">
        <f t="shared" si="49"/>
        <v>0</v>
      </c>
      <c r="T197" s="4" t="s">
        <v>121</v>
      </c>
    </row>
    <row r="198" spans="1:20" ht="15.75" customHeight="1" x14ac:dyDescent="0.3">
      <c r="A198" s="74" t="s">
        <v>195</v>
      </c>
      <c r="B198" s="1"/>
      <c r="C198" s="1"/>
      <c r="D198" s="1"/>
      <c r="E198" s="59">
        <f t="shared" si="45"/>
        <v>0</v>
      </c>
      <c r="F198" s="1"/>
      <c r="G198" s="1"/>
      <c r="H198" s="1"/>
      <c r="I198" s="59">
        <f t="shared" si="46"/>
        <v>0</v>
      </c>
      <c r="J198" s="1"/>
      <c r="K198" s="1"/>
      <c r="L198" s="1"/>
      <c r="M198" s="59">
        <f t="shared" si="47"/>
        <v>0</v>
      </c>
      <c r="N198" s="1"/>
      <c r="O198" s="1"/>
      <c r="P198" s="1"/>
      <c r="Q198" s="59">
        <f t="shared" si="48"/>
        <v>0</v>
      </c>
      <c r="R198" s="59">
        <f t="shared" si="49"/>
        <v>0</v>
      </c>
      <c r="T198" s="4" t="s">
        <v>137</v>
      </c>
    </row>
    <row r="199" spans="1:20" ht="15.75" customHeight="1" x14ac:dyDescent="0.3">
      <c r="A199" s="74" t="s">
        <v>196</v>
      </c>
      <c r="B199" s="1"/>
      <c r="C199" s="1"/>
      <c r="D199" s="1"/>
      <c r="E199" s="59">
        <f t="shared" si="45"/>
        <v>0</v>
      </c>
      <c r="F199" s="1"/>
      <c r="G199" s="1"/>
      <c r="H199" s="1"/>
      <c r="I199" s="59">
        <f t="shared" si="46"/>
        <v>0</v>
      </c>
      <c r="J199" s="1"/>
      <c r="K199" s="1"/>
      <c r="L199" s="1"/>
      <c r="M199" s="59">
        <f t="shared" si="47"/>
        <v>0</v>
      </c>
      <c r="N199" s="1"/>
      <c r="O199" s="1"/>
      <c r="P199" s="1"/>
      <c r="Q199" s="59">
        <f t="shared" si="48"/>
        <v>0</v>
      </c>
      <c r="R199" s="59">
        <f t="shared" si="49"/>
        <v>0</v>
      </c>
      <c r="T199" s="4" t="s">
        <v>197</v>
      </c>
    </row>
    <row r="200" spans="1:20" ht="15.75" customHeight="1" x14ac:dyDescent="0.3">
      <c r="A200" s="91" t="s">
        <v>198</v>
      </c>
      <c r="B200" s="1"/>
      <c r="C200" s="1"/>
      <c r="D200" s="1"/>
      <c r="E200" s="59">
        <f t="shared" si="45"/>
        <v>0</v>
      </c>
      <c r="F200" s="1"/>
      <c r="G200" s="1"/>
      <c r="H200" s="1"/>
      <c r="I200" s="59">
        <f t="shared" si="46"/>
        <v>0</v>
      </c>
      <c r="J200" s="1"/>
      <c r="K200" s="1"/>
      <c r="L200" s="1"/>
      <c r="M200" s="59">
        <f t="shared" si="47"/>
        <v>0</v>
      </c>
      <c r="N200" s="1"/>
      <c r="O200" s="1"/>
      <c r="P200" s="1"/>
      <c r="Q200" s="59">
        <f t="shared" si="48"/>
        <v>0</v>
      </c>
      <c r="R200" s="59">
        <f t="shared" si="49"/>
        <v>0</v>
      </c>
    </row>
    <row r="201" spans="1:20" ht="15.75" customHeight="1" x14ac:dyDescent="0.3">
      <c r="A201" s="17" t="s">
        <v>49</v>
      </c>
      <c r="B201" s="1"/>
      <c r="C201" s="1"/>
      <c r="D201" s="1"/>
      <c r="E201" s="59" t="s">
        <v>7</v>
      </c>
      <c r="F201" s="1"/>
      <c r="G201" s="1"/>
      <c r="H201" s="1"/>
      <c r="I201" s="59" t="s">
        <v>7</v>
      </c>
      <c r="J201" s="1"/>
      <c r="K201" s="1"/>
      <c r="L201" s="1"/>
      <c r="M201" s="59" t="s">
        <v>7</v>
      </c>
      <c r="N201" s="1"/>
      <c r="O201" s="1"/>
      <c r="P201" s="1"/>
      <c r="Q201" s="59" t="s">
        <v>7</v>
      </c>
      <c r="R201" s="59" t="s">
        <v>7</v>
      </c>
    </row>
    <row r="202" spans="1:20" ht="15.75" customHeight="1" x14ac:dyDescent="0.3">
      <c r="A202" s="99" t="s">
        <v>199</v>
      </c>
      <c r="B202" s="1"/>
      <c r="C202" s="1"/>
      <c r="D202" s="1"/>
      <c r="E202" s="59">
        <f>SUM(B202:D202)</f>
        <v>0</v>
      </c>
      <c r="F202" s="1"/>
      <c r="G202" s="1"/>
      <c r="H202" s="1"/>
      <c r="I202" s="59">
        <f>SUM(F202:H202)</f>
        <v>0</v>
      </c>
      <c r="J202" s="1"/>
      <c r="K202" s="1"/>
      <c r="L202" s="1"/>
      <c r="M202" s="59">
        <f>SUM(J202:L202)</f>
        <v>0</v>
      </c>
      <c r="N202" s="1"/>
      <c r="O202" s="1"/>
      <c r="P202" s="1"/>
      <c r="Q202" s="59">
        <f>SUM(N202:P202)</f>
        <v>0</v>
      </c>
      <c r="R202" s="59">
        <f>+E202+I202+M202+Q202</f>
        <v>0</v>
      </c>
      <c r="S202" s="77" t="s">
        <v>90</v>
      </c>
      <c r="T202" s="4" t="s">
        <v>132</v>
      </c>
    </row>
    <row r="203" spans="1:20" ht="15.75" customHeight="1" x14ac:dyDescent="0.3">
      <c r="A203" s="99" t="s">
        <v>200</v>
      </c>
      <c r="B203" s="1"/>
      <c r="C203" s="1"/>
      <c r="D203" s="1"/>
      <c r="E203" s="59">
        <f>SUM(B203:D203)</f>
        <v>0</v>
      </c>
      <c r="F203" s="1"/>
      <c r="G203" s="1"/>
      <c r="H203" s="1"/>
      <c r="I203" s="59">
        <f>SUM(F203:H203)</f>
        <v>0</v>
      </c>
      <c r="J203" s="1"/>
      <c r="K203" s="1"/>
      <c r="L203" s="1"/>
      <c r="M203" s="59">
        <f>SUM(J203:L203)</f>
        <v>0</v>
      </c>
      <c r="N203" s="1"/>
      <c r="O203" s="1"/>
      <c r="P203" s="1"/>
      <c r="Q203" s="59">
        <f>SUM(N203:P203)</f>
        <v>0</v>
      </c>
      <c r="R203" s="59">
        <f>+E203+I203+M203+Q203</f>
        <v>0</v>
      </c>
      <c r="S203" s="77" t="s">
        <v>90</v>
      </c>
      <c r="T203" s="4" t="s">
        <v>134</v>
      </c>
    </row>
    <row r="204" spans="1:20" ht="15.75" customHeight="1" x14ac:dyDescent="0.3">
      <c r="A204" s="61" t="s">
        <v>201</v>
      </c>
      <c r="B204" s="1">
        <v>20</v>
      </c>
      <c r="C204" s="1">
        <v>35</v>
      </c>
      <c r="D204" s="1">
        <v>105</v>
      </c>
      <c r="E204" s="59">
        <f>SUM(B204:D204)</f>
        <v>160</v>
      </c>
      <c r="F204" s="1">
        <v>85</v>
      </c>
      <c r="G204" s="1">
        <v>120</v>
      </c>
      <c r="H204" s="1">
        <v>220</v>
      </c>
      <c r="I204" s="59">
        <f>SUM(F204:H204)</f>
        <v>425</v>
      </c>
      <c r="J204" s="1">
        <v>225</v>
      </c>
      <c r="K204" s="1">
        <v>190</v>
      </c>
      <c r="L204" s="1">
        <v>100</v>
      </c>
      <c r="M204" s="59">
        <f>SUM(J204:L204)</f>
        <v>515</v>
      </c>
      <c r="N204" s="1">
        <v>100</v>
      </c>
      <c r="O204" s="1">
        <v>40</v>
      </c>
      <c r="P204" s="1">
        <v>20</v>
      </c>
      <c r="Q204" s="59">
        <f>SUM(N204:P204)</f>
        <v>160</v>
      </c>
      <c r="R204" s="59">
        <f>+E204+I204+M204+Q204</f>
        <v>1260</v>
      </c>
      <c r="S204" s="77" t="s">
        <v>90</v>
      </c>
      <c r="T204" s="4" t="s">
        <v>202</v>
      </c>
    </row>
    <row r="205" spans="1:20" ht="15.75" customHeight="1" thickBot="1" x14ac:dyDescent="0.35">
      <c r="A205" s="17" t="s">
        <v>51</v>
      </c>
      <c r="B205" s="1"/>
      <c r="C205" s="1"/>
      <c r="D205" s="1"/>
      <c r="E205" s="59" t="s">
        <v>7</v>
      </c>
      <c r="F205" s="1"/>
      <c r="G205" s="1"/>
      <c r="H205" s="1"/>
      <c r="I205" s="59" t="s">
        <v>7</v>
      </c>
      <c r="J205" s="1"/>
      <c r="K205" s="1"/>
      <c r="L205" s="1"/>
      <c r="M205" s="59" t="s">
        <v>7</v>
      </c>
      <c r="N205" s="1"/>
      <c r="O205" s="1"/>
      <c r="P205" s="1"/>
      <c r="Q205" s="59" t="s">
        <v>7</v>
      </c>
      <c r="R205" s="59" t="s">
        <v>7</v>
      </c>
    </row>
    <row r="206" spans="1:20" ht="16.5" customHeight="1" thickBot="1" x14ac:dyDescent="0.35">
      <c r="A206" s="62" t="s">
        <v>52</v>
      </c>
      <c r="B206" s="100">
        <f>SUM(B139:B205)</f>
        <v>17104</v>
      </c>
      <c r="C206" s="101">
        <f>SUM(C139:C205)</f>
        <v>14483</v>
      </c>
      <c r="D206" s="101">
        <f>SUM(D139:D205)</f>
        <v>15031</v>
      </c>
      <c r="E206" s="64">
        <f>SUM(B206:D206)</f>
        <v>46618</v>
      </c>
      <c r="F206" s="101">
        <f>SUM(F139:F205)</f>
        <v>9770</v>
      </c>
      <c r="G206" s="101">
        <f t="shared" ref="G206:H206" si="50">SUM(G139:G205)</f>
        <v>26239</v>
      </c>
      <c r="H206" s="101">
        <f t="shared" si="50"/>
        <v>34632</v>
      </c>
      <c r="I206" s="64">
        <f>SUM(F206:H206)</f>
        <v>70641</v>
      </c>
      <c r="J206" s="101">
        <f>SUM(J139:J205)</f>
        <v>34326</v>
      </c>
      <c r="K206" s="101">
        <f>SUM(K139:K205)</f>
        <v>32834</v>
      </c>
      <c r="L206" s="101">
        <f>SUM(L139:L205)</f>
        <v>32766</v>
      </c>
      <c r="M206" s="64">
        <f>SUM(J206:L206)</f>
        <v>99926</v>
      </c>
      <c r="N206" s="101">
        <f>SUM(N139:N205)</f>
        <v>26993</v>
      </c>
      <c r="O206" s="101">
        <f>SUM(O139:O205)</f>
        <v>20997</v>
      </c>
      <c r="P206" s="101">
        <f>SUM(P139:P205)</f>
        <v>19183</v>
      </c>
      <c r="Q206" s="64">
        <f>SUM(N206:P206)</f>
        <v>67173</v>
      </c>
      <c r="R206" s="64">
        <f>+E206+I206+M206+Q206</f>
        <v>284358</v>
      </c>
    </row>
    <row r="207" spans="1:20" ht="15.75" customHeight="1" x14ac:dyDescent="0.3">
      <c r="A207" s="17" t="s">
        <v>53</v>
      </c>
      <c r="B207" s="1"/>
      <c r="C207" s="1"/>
      <c r="D207" s="1"/>
      <c r="E207" s="59" t="s">
        <v>7</v>
      </c>
      <c r="F207" s="1"/>
      <c r="G207" s="1"/>
      <c r="H207" s="1"/>
      <c r="I207" s="59" t="s">
        <v>7</v>
      </c>
      <c r="J207" s="1"/>
      <c r="K207" s="1"/>
      <c r="L207" s="1"/>
      <c r="M207" s="59" t="s">
        <v>7</v>
      </c>
      <c r="N207" s="1"/>
      <c r="O207" s="1"/>
      <c r="P207" s="1"/>
      <c r="Q207" s="59" t="s">
        <v>7</v>
      </c>
      <c r="R207" s="59" t="s">
        <v>7</v>
      </c>
    </row>
    <row r="208" spans="1:20" ht="15.75" customHeight="1" x14ac:dyDescent="0.3">
      <c r="A208" s="17" t="s">
        <v>54</v>
      </c>
      <c r="B208" s="1"/>
      <c r="C208" s="1"/>
      <c r="D208" s="1"/>
      <c r="E208" s="59" t="s">
        <v>7</v>
      </c>
      <c r="F208" s="1"/>
      <c r="G208" s="1"/>
      <c r="H208" s="1"/>
      <c r="I208" s="59" t="s">
        <v>7</v>
      </c>
      <c r="J208" s="1"/>
      <c r="K208" s="1"/>
      <c r="L208" s="1"/>
      <c r="M208" s="59" t="s">
        <v>7</v>
      </c>
      <c r="N208" s="1"/>
      <c r="O208" s="1"/>
      <c r="P208" s="1"/>
      <c r="Q208" s="59" t="s">
        <v>7</v>
      </c>
      <c r="R208" s="59" t="s">
        <v>7</v>
      </c>
    </row>
    <row r="209" spans="1:20" ht="15.75" customHeight="1" x14ac:dyDescent="0.3">
      <c r="A209" s="17" t="s">
        <v>55</v>
      </c>
      <c r="B209" s="1"/>
      <c r="C209" s="1"/>
      <c r="D209" s="1"/>
      <c r="E209" s="59" t="s">
        <v>7</v>
      </c>
      <c r="F209" s="1"/>
      <c r="G209" s="1"/>
      <c r="H209" s="1"/>
      <c r="I209" s="59" t="s">
        <v>7</v>
      </c>
      <c r="J209" s="1"/>
      <c r="K209" s="1"/>
      <c r="L209" s="1"/>
      <c r="M209" s="59" t="s">
        <v>7</v>
      </c>
      <c r="N209" s="1"/>
      <c r="O209" s="1"/>
      <c r="P209" s="1"/>
      <c r="Q209" s="59" t="s">
        <v>7</v>
      </c>
      <c r="R209" s="59" t="s">
        <v>7</v>
      </c>
    </row>
    <row r="210" spans="1:20" ht="15.75" customHeight="1" x14ac:dyDescent="0.3">
      <c r="A210" s="99" t="s">
        <v>203</v>
      </c>
      <c r="B210" s="1"/>
      <c r="C210" s="1"/>
      <c r="D210" s="1"/>
      <c r="E210" s="59">
        <f>SUM(B210:D210)</f>
        <v>0</v>
      </c>
      <c r="F210" s="1"/>
      <c r="G210" s="1"/>
      <c r="H210" s="1"/>
      <c r="I210" s="59">
        <f>SUM(F210:H210)</f>
        <v>0</v>
      </c>
      <c r="J210" s="1"/>
      <c r="K210" s="1"/>
      <c r="L210" s="1"/>
      <c r="M210" s="59">
        <f>SUM(J210:L210)</f>
        <v>0</v>
      </c>
      <c r="N210" s="1"/>
      <c r="O210" s="1"/>
      <c r="P210" s="1"/>
      <c r="Q210" s="59">
        <f>SUM(N210:P210)</f>
        <v>0</v>
      </c>
      <c r="R210" s="59">
        <f>+E210+I210+M210+Q210</f>
        <v>0</v>
      </c>
      <c r="T210" s="4" t="s">
        <v>121</v>
      </c>
    </row>
    <row r="211" spans="1:20" ht="15.75" customHeight="1" x14ac:dyDescent="0.3">
      <c r="A211" s="76" t="s">
        <v>204</v>
      </c>
      <c r="B211" s="1"/>
      <c r="C211" s="1"/>
      <c r="D211" s="1"/>
      <c r="E211" s="59">
        <f>SUM(B211:D211)</f>
        <v>0</v>
      </c>
      <c r="F211" s="1"/>
      <c r="G211" s="1"/>
      <c r="H211" s="1"/>
      <c r="I211" s="59">
        <f>SUM(F211:H211)</f>
        <v>0</v>
      </c>
      <c r="J211" s="1"/>
      <c r="K211" s="1"/>
      <c r="L211" s="1"/>
      <c r="M211" s="59">
        <f>SUM(J211:L211)</f>
        <v>0</v>
      </c>
      <c r="N211" s="1"/>
      <c r="O211" s="1"/>
      <c r="P211" s="1"/>
      <c r="Q211" s="59">
        <f>SUM(N211:P211)</f>
        <v>0</v>
      </c>
      <c r="R211" s="59">
        <f>+E211+I211+M211+Q211</f>
        <v>0</v>
      </c>
      <c r="S211" s="4" t="s">
        <v>136</v>
      </c>
      <c r="T211" s="4" t="s">
        <v>137</v>
      </c>
    </row>
    <row r="212" spans="1:20" ht="15.75" customHeight="1" thickBot="1" x14ac:dyDescent="0.35">
      <c r="A212" s="17" t="s">
        <v>56</v>
      </c>
      <c r="B212" s="1"/>
      <c r="C212" s="1"/>
      <c r="D212" s="1"/>
      <c r="E212" s="59" t="s">
        <v>7</v>
      </c>
      <c r="F212" s="1"/>
      <c r="G212" s="1"/>
      <c r="H212" s="1"/>
      <c r="I212" s="59" t="s">
        <v>7</v>
      </c>
      <c r="J212" s="1"/>
      <c r="K212" s="1"/>
      <c r="L212" s="1"/>
      <c r="M212" s="59" t="s">
        <v>7</v>
      </c>
      <c r="N212" s="1"/>
      <c r="O212" s="1"/>
      <c r="P212" s="1"/>
      <c r="Q212" s="59" t="s">
        <v>7</v>
      </c>
      <c r="R212" s="59" t="s">
        <v>7</v>
      </c>
    </row>
    <row r="213" spans="1:20" ht="16.5" customHeight="1" thickBot="1" x14ac:dyDescent="0.35">
      <c r="A213" s="62" t="s">
        <v>57</v>
      </c>
      <c r="B213" s="100">
        <f>SUM(B207:B212)</f>
        <v>0</v>
      </c>
      <c r="C213" s="101">
        <f>SUM(C207:C212)</f>
        <v>0</v>
      </c>
      <c r="D213" s="101">
        <f>SUM(D207:D212)</f>
        <v>0</v>
      </c>
      <c r="E213" s="64">
        <f>SUM(B213:D213)</f>
        <v>0</v>
      </c>
      <c r="F213" s="101"/>
      <c r="G213" s="101"/>
      <c r="H213" s="101"/>
      <c r="I213" s="64">
        <f>SUM(F213:H213)</f>
        <v>0</v>
      </c>
      <c r="J213" s="101">
        <f>SUM(J207:J212)</f>
        <v>0</v>
      </c>
      <c r="K213" s="101">
        <f>SUM(K207:K212)</f>
        <v>0</v>
      </c>
      <c r="L213" s="101">
        <f>SUM(L207:L212)</f>
        <v>0</v>
      </c>
      <c r="M213" s="64">
        <f>SUM(J213:L213)</f>
        <v>0</v>
      </c>
      <c r="N213" s="101">
        <f>SUM(N207:N212)</f>
        <v>0</v>
      </c>
      <c r="O213" s="101">
        <f>SUM(O207:O212)</f>
        <v>0</v>
      </c>
      <c r="P213" s="101">
        <f>SUM(P207:P212)</f>
        <v>0</v>
      </c>
      <c r="Q213" s="64">
        <f>SUM(N213:P213)</f>
        <v>0</v>
      </c>
      <c r="R213" s="64">
        <f>+E213+I213+M213+Q213</f>
        <v>0</v>
      </c>
    </row>
    <row r="214" spans="1:20" ht="15.75" customHeight="1" x14ac:dyDescent="0.3">
      <c r="A214" s="17" t="s">
        <v>58</v>
      </c>
      <c r="B214" s="1"/>
      <c r="C214" s="1"/>
      <c r="D214" s="1"/>
      <c r="E214" s="59" t="s">
        <v>7</v>
      </c>
      <c r="F214" s="1"/>
      <c r="G214" s="1"/>
      <c r="H214" s="1"/>
      <c r="I214" s="59" t="s">
        <v>7</v>
      </c>
      <c r="J214" s="1"/>
      <c r="K214" s="1"/>
      <c r="L214" s="1"/>
      <c r="M214" s="59" t="s">
        <v>7</v>
      </c>
      <c r="N214" s="1"/>
      <c r="O214" s="1"/>
      <c r="P214" s="1"/>
      <c r="Q214" s="59" t="s">
        <v>7</v>
      </c>
      <c r="R214" s="59" t="s">
        <v>7</v>
      </c>
    </row>
    <row r="215" spans="1:20" ht="15.75" customHeight="1" x14ac:dyDescent="0.3">
      <c r="A215" s="17" t="s">
        <v>59</v>
      </c>
      <c r="B215" s="1"/>
      <c r="C215" s="1"/>
      <c r="D215" s="1"/>
      <c r="E215" s="59" t="s">
        <v>7</v>
      </c>
      <c r="F215" s="1"/>
      <c r="G215" s="1"/>
      <c r="H215" s="1"/>
      <c r="I215" s="59" t="s">
        <v>7</v>
      </c>
      <c r="J215" s="1"/>
      <c r="K215" s="1"/>
      <c r="L215" s="1"/>
      <c r="M215" s="59" t="s">
        <v>7</v>
      </c>
      <c r="N215" s="1"/>
      <c r="O215" s="1"/>
      <c r="P215" s="1"/>
      <c r="Q215" s="59" t="s">
        <v>7</v>
      </c>
      <c r="R215" s="59" t="s">
        <v>7</v>
      </c>
    </row>
    <row r="216" spans="1:20" ht="15.75" customHeight="1" x14ac:dyDescent="0.3">
      <c r="A216" s="17" t="s">
        <v>60</v>
      </c>
      <c r="B216" s="1"/>
      <c r="C216" s="1"/>
      <c r="D216" s="1"/>
      <c r="E216" s="59" t="s">
        <v>7</v>
      </c>
      <c r="F216" s="1"/>
      <c r="G216" s="1"/>
      <c r="H216" s="1"/>
      <c r="I216" s="59" t="s">
        <v>7</v>
      </c>
      <c r="J216" s="1"/>
      <c r="K216" s="1"/>
      <c r="L216" s="1"/>
      <c r="M216" s="59" t="s">
        <v>7</v>
      </c>
      <c r="N216" s="1"/>
      <c r="O216" s="1"/>
      <c r="P216" s="1"/>
      <c r="Q216" s="59" t="s">
        <v>7</v>
      </c>
      <c r="R216" s="59" t="s">
        <v>7</v>
      </c>
    </row>
    <row r="217" spans="1:20" ht="15.75" customHeight="1" x14ac:dyDescent="0.3">
      <c r="A217" s="102" t="s">
        <v>205</v>
      </c>
      <c r="B217" s="1">
        <v>326</v>
      </c>
      <c r="C217" s="1">
        <v>295</v>
      </c>
      <c r="D217" s="1">
        <v>354</v>
      </c>
      <c r="E217" s="59">
        <f t="shared" ref="E217:E223" si="51">SUM(B217:D217)</f>
        <v>975</v>
      </c>
      <c r="F217" s="1">
        <v>420</v>
      </c>
      <c r="G217" s="1">
        <v>557</v>
      </c>
      <c r="H217" s="1">
        <v>625</v>
      </c>
      <c r="I217" s="59">
        <f t="shared" ref="I217:I223" si="52">SUM(F217:H217)</f>
        <v>1602</v>
      </c>
      <c r="J217" s="1">
        <v>607</v>
      </c>
      <c r="K217" s="1">
        <v>562</v>
      </c>
      <c r="L217" s="1">
        <v>481</v>
      </c>
      <c r="M217" s="59">
        <f t="shared" ref="M217:M223" si="53">SUM(J217:L217)</f>
        <v>1650</v>
      </c>
      <c r="N217" s="1">
        <v>506</v>
      </c>
      <c r="O217" s="1">
        <v>381</v>
      </c>
      <c r="P217" s="1">
        <v>296</v>
      </c>
      <c r="Q217" s="59">
        <f t="shared" ref="Q217:Q223" si="54">SUM(N217:P217)</f>
        <v>1183</v>
      </c>
      <c r="R217" s="59">
        <f t="shared" ref="R217:R278" si="55">+E217+I217+M217+Q217</f>
        <v>5410</v>
      </c>
      <c r="T217" s="4" t="s">
        <v>206</v>
      </c>
    </row>
    <row r="218" spans="1:20" ht="15.75" customHeight="1" x14ac:dyDescent="0.3">
      <c r="A218" s="102" t="s">
        <v>207</v>
      </c>
      <c r="B218" s="1"/>
      <c r="C218" s="1"/>
      <c r="D218" s="1">
        <v>357</v>
      </c>
      <c r="E218" s="59">
        <f t="shared" si="51"/>
        <v>357</v>
      </c>
      <c r="F218" s="1"/>
      <c r="G218" s="1"/>
      <c r="H218" s="1"/>
      <c r="I218" s="59">
        <f t="shared" si="52"/>
        <v>0</v>
      </c>
      <c r="J218" s="1"/>
      <c r="K218" s="1"/>
      <c r="L218" s="1"/>
      <c r="M218" s="59">
        <f t="shared" si="53"/>
        <v>0</v>
      </c>
      <c r="N218" s="1"/>
      <c r="O218" s="1"/>
      <c r="P218" s="1"/>
      <c r="Q218" s="59">
        <f t="shared" si="54"/>
        <v>0</v>
      </c>
      <c r="R218" s="59">
        <f t="shared" si="55"/>
        <v>357</v>
      </c>
      <c r="T218" s="4" t="s">
        <v>121</v>
      </c>
    </row>
    <row r="219" spans="1:20" ht="15.75" customHeight="1" x14ac:dyDescent="0.3">
      <c r="A219" s="76" t="s">
        <v>208</v>
      </c>
      <c r="B219" s="1">
        <v>16</v>
      </c>
      <c r="C219" s="1">
        <v>16</v>
      </c>
      <c r="D219" s="1">
        <v>17</v>
      </c>
      <c r="E219" s="59">
        <f t="shared" si="51"/>
        <v>49</v>
      </c>
      <c r="F219" s="1">
        <v>17</v>
      </c>
      <c r="G219" s="1">
        <v>17</v>
      </c>
      <c r="H219" s="1">
        <v>17</v>
      </c>
      <c r="I219" s="59">
        <f t="shared" si="52"/>
        <v>51</v>
      </c>
      <c r="J219" s="1">
        <v>17</v>
      </c>
      <c r="K219" s="1">
        <v>17</v>
      </c>
      <c r="L219" s="1">
        <v>17</v>
      </c>
      <c r="M219" s="59">
        <f t="shared" si="53"/>
        <v>51</v>
      </c>
      <c r="N219" s="1">
        <v>17</v>
      </c>
      <c r="O219" s="1">
        <v>16</v>
      </c>
      <c r="P219" s="1">
        <v>16</v>
      </c>
      <c r="Q219" s="59">
        <f t="shared" si="54"/>
        <v>49</v>
      </c>
      <c r="R219" s="59">
        <f t="shared" si="55"/>
        <v>200</v>
      </c>
    </row>
    <row r="220" spans="1:20" ht="15.75" customHeight="1" x14ac:dyDescent="0.3">
      <c r="A220" s="102" t="s">
        <v>879</v>
      </c>
      <c r="B220" s="1"/>
      <c r="C220" s="1"/>
      <c r="D220" s="1"/>
      <c r="E220" s="59">
        <f t="shared" si="51"/>
        <v>0</v>
      </c>
      <c r="F220" s="1"/>
      <c r="G220" s="1"/>
      <c r="H220" s="1">
        <v>85</v>
      </c>
      <c r="I220" s="59">
        <f t="shared" si="52"/>
        <v>85</v>
      </c>
      <c r="J220" s="1">
        <v>185</v>
      </c>
      <c r="K220" s="1">
        <v>150</v>
      </c>
      <c r="L220" s="1">
        <v>97</v>
      </c>
      <c r="M220" s="59">
        <f t="shared" si="53"/>
        <v>432</v>
      </c>
      <c r="N220" s="1">
        <v>112</v>
      </c>
      <c r="O220" s="1">
        <v>35</v>
      </c>
      <c r="P220" s="1">
        <v>21</v>
      </c>
      <c r="Q220" s="59">
        <f t="shared" si="54"/>
        <v>168</v>
      </c>
      <c r="R220" s="59">
        <f t="shared" si="55"/>
        <v>685</v>
      </c>
      <c r="T220" s="4" t="s">
        <v>127</v>
      </c>
    </row>
    <row r="221" spans="1:20" ht="15.75" customHeight="1" x14ac:dyDescent="0.3">
      <c r="A221" s="102" t="s">
        <v>210</v>
      </c>
      <c r="B221" s="1"/>
      <c r="C221" s="1"/>
      <c r="D221" s="1"/>
      <c r="E221" s="59">
        <f t="shared" si="51"/>
        <v>0</v>
      </c>
      <c r="F221" s="1"/>
      <c r="G221" s="1">
        <v>198</v>
      </c>
      <c r="H221" s="1"/>
      <c r="I221" s="59">
        <f t="shared" si="52"/>
        <v>198</v>
      </c>
      <c r="J221" s="1"/>
      <c r="K221" s="1"/>
      <c r="L221" s="1"/>
      <c r="M221" s="59">
        <f t="shared" si="53"/>
        <v>0</v>
      </c>
      <c r="N221" s="1"/>
      <c r="O221" s="1">
        <v>600</v>
      </c>
      <c r="P221" s="1">
        <v>695</v>
      </c>
      <c r="Q221" s="59">
        <f t="shared" si="54"/>
        <v>1295</v>
      </c>
      <c r="R221" s="59">
        <f>+E221+I221+M221+Q221</f>
        <v>1493</v>
      </c>
      <c r="T221" s="4" t="s">
        <v>134</v>
      </c>
    </row>
    <row r="222" spans="1:20" ht="15.75" customHeight="1" x14ac:dyDescent="0.3">
      <c r="A222" s="76" t="s">
        <v>211</v>
      </c>
      <c r="B222" s="1"/>
      <c r="C222" s="1"/>
      <c r="D222" s="1"/>
      <c r="E222" s="59">
        <f t="shared" si="51"/>
        <v>0</v>
      </c>
      <c r="F222" s="1"/>
      <c r="G222" s="1"/>
      <c r="H222" s="1"/>
      <c r="I222" s="59">
        <f t="shared" si="52"/>
        <v>0</v>
      </c>
      <c r="J222" s="1"/>
      <c r="K222" s="1"/>
      <c r="L222" s="1"/>
      <c r="M222" s="59">
        <f t="shared" si="53"/>
        <v>0</v>
      </c>
      <c r="N222" s="1"/>
      <c r="O222" s="1"/>
      <c r="P222" s="1"/>
      <c r="Q222" s="59">
        <f t="shared" si="54"/>
        <v>0</v>
      </c>
      <c r="R222" s="59">
        <f>+E222+I222+M222+Q222</f>
        <v>0</v>
      </c>
      <c r="T222" s="4" t="s">
        <v>134</v>
      </c>
    </row>
    <row r="223" spans="1:20" ht="15.75" customHeight="1" x14ac:dyDescent="0.3">
      <c r="A223" s="76" t="s">
        <v>212</v>
      </c>
      <c r="B223" s="1"/>
      <c r="C223" s="1"/>
      <c r="D223" s="1"/>
      <c r="E223" s="59">
        <f t="shared" si="51"/>
        <v>0</v>
      </c>
      <c r="F223" s="1"/>
      <c r="G223" s="1"/>
      <c r="H223" s="1">
        <v>245</v>
      </c>
      <c r="I223" s="59">
        <f t="shared" si="52"/>
        <v>245</v>
      </c>
      <c r="J223" s="1">
        <v>1605</v>
      </c>
      <c r="K223" s="1"/>
      <c r="L223" s="1"/>
      <c r="M223" s="59">
        <f t="shared" si="53"/>
        <v>1605</v>
      </c>
      <c r="N223" s="1"/>
      <c r="O223" s="1"/>
      <c r="P223" s="1"/>
      <c r="Q223" s="59">
        <f t="shared" si="54"/>
        <v>0</v>
      </c>
      <c r="R223" s="59">
        <f>+E223+I223+M223+Q223</f>
        <v>1850</v>
      </c>
      <c r="S223" s="94"/>
      <c r="T223" s="4" t="s">
        <v>137</v>
      </c>
    </row>
    <row r="224" spans="1:20" ht="15.75" customHeight="1" x14ac:dyDescent="0.3">
      <c r="A224" s="76" t="s">
        <v>215</v>
      </c>
      <c r="B224" s="1"/>
      <c r="C224" s="1"/>
      <c r="D224" s="1"/>
      <c r="E224" s="59">
        <f>SUM(B224:D224)</f>
        <v>0</v>
      </c>
      <c r="F224" s="1"/>
      <c r="G224" s="1"/>
      <c r="H224" s="1"/>
      <c r="I224" s="59">
        <f t="shared" ref="I224:I276" si="56">SUM(F224:H224)</f>
        <v>0</v>
      </c>
      <c r="J224" s="1"/>
      <c r="K224" s="1"/>
      <c r="L224" s="1"/>
      <c r="M224" s="59">
        <f t="shared" ref="M224:M276" si="57">SUM(J224:L224)</f>
        <v>0</v>
      </c>
      <c r="N224" s="1"/>
      <c r="O224" s="1"/>
      <c r="P224" s="1"/>
      <c r="Q224" s="59">
        <f t="shared" ref="Q224:Q276" si="58">SUM(N224:P224)</f>
        <v>0</v>
      </c>
      <c r="R224" s="59">
        <f t="shared" si="55"/>
        <v>0</v>
      </c>
      <c r="S224" s="4" t="s">
        <v>136</v>
      </c>
    </row>
    <row r="225" spans="1:20" ht="15.75" customHeight="1" x14ac:dyDescent="0.3">
      <c r="A225" s="103" t="s">
        <v>216</v>
      </c>
      <c r="B225" s="1">
        <v>476</v>
      </c>
      <c r="C225" s="1"/>
      <c r="D225" s="1"/>
      <c r="E225" s="59">
        <f t="shared" ref="E225" si="59">SUM(B225:D225)</f>
        <v>476</v>
      </c>
      <c r="F225" s="1"/>
      <c r="G225" s="1"/>
      <c r="H225" s="1"/>
      <c r="I225" s="59">
        <f t="shared" si="56"/>
        <v>0</v>
      </c>
      <c r="J225" s="1"/>
      <c r="K225" s="1"/>
      <c r="L225" s="1"/>
      <c r="M225" s="59">
        <f t="shared" si="57"/>
        <v>0</v>
      </c>
      <c r="N225" s="1"/>
      <c r="O225" s="1"/>
      <c r="P225" s="1"/>
      <c r="Q225" s="59">
        <f t="shared" si="58"/>
        <v>0</v>
      </c>
      <c r="R225" s="59">
        <f>+E225+I225+M225+Q225</f>
        <v>476</v>
      </c>
      <c r="T225" s="4" t="s">
        <v>217</v>
      </c>
    </row>
    <row r="226" spans="1:20" ht="15.75" customHeight="1" x14ac:dyDescent="0.3">
      <c r="A226" s="76" t="s">
        <v>218</v>
      </c>
      <c r="B226" s="1">
        <v>682</v>
      </c>
      <c r="C226" s="1"/>
      <c r="D226" s="1"/>
      <c r="E226" s="59">
        <f>SUM(B226:D226)</f>
        <v>682</v>
      </c>
      <c r="F226" s="1"/>
      <c r="G226" s="1"/>
      <c r="H226" s="1"/>
      <c r="I226" s="59">
        <f>SUM(F226:H226)</f>
        <v>0</v>
      </c>
      <c r="J226" s="1"/>
      <c r="K226" s="1"/>
      <c r="L226" s="1"/>
      <c r="M226" s="59">
        <f>SUM(J226:L226)</f>
        <v>0</v>
      </c>
      <c r="N226" s="1"/>
      <c r="O226" s="1"/>
      <c r="P226" s="1"/>
      <c r="Q226" s="59">
        <f>SUM(N226:P226)</f>
        <v>0</v>
      </c>
      <c r="R226" s="59">
        <f t="shared" si="55"/>
        <v>682</v>
      </c>
      <c r="T226" s="4" t="s">
        <v>158</v>
      </c>
    </row>
    <row r="227" spans="1:20" ht="15.75" customHeight="1" x14ac:dyDescent="0.3">
      <c r="A227" s="76" t="s">
        <v>393</v>
      </c>
      <c r="B227" s="1"/>
      <c r="C227" s="1"/>
      <c r="D227" s="1"/>
      <c r="E227" s="59">
        <f t="shared" ref="E227:E268" si="60">SUM(B227:D227)</f>
        <v>0</v>
      </c>
      <c r="F227" s="1"/>
      <c r="G227" s="1"/>
      <c r="H227" s="1"/>
      <c r="I227" s="59">
        <f t="shared" si="56"/>
        <v>0</v>
      </c>
      <c r="J227" s="1"/>
      <c r="K227" s="1"/>
      <c r="L227" s="1"/>
      <c r="M227" s="59">
        <f t="shared" si="57"/>
        <v>0</v>
      </c>
      <c r="N227" s="1"/>
      <c r="O227" s="1"/>
      <c r="P227" s="1"/>
      <c r="Q227" s="59">
        <f t="shared" si="58"/>
        <v>0</v>
      </c>
      <c r="R227" s="59">
        <f t="shared" si="55"/>
        <v>0</v>
      </c>
    </row>
    <row r="228" spans="1:20" ht="15.75" customHeight="1" x14ac:dyDescent="0.3">
      <c r="A228" s="76" t="s">
        <v>220</v>
      </c>
      <c r="B228" s="1">
        <v>1136</v>
      </c>
      <c r="C228" s="1"/>
      <c r="D228" s="1"/>
      <c r="E228" s="59">
        <f t="shared" si="60"/>
        <v>1136</v>
      </c>
      <c r="F228" s="1"/>
      <c r="G228" s="1"/>
      <c r="H228" s="1"/>
      <c r="I228" s="59">
        <f t="shared" si="56"/>
        <v>0</v>
      </c>
      <c r="J228" s="1"/>
      <c r="K228" s="1"/>
      <c r="L228" s="1"/>
      <c r="M228" s="59">
        <f t="shared" si="57"/>
        <v>0</v>
      </c>
      <c r="N228" s="1"/>
      <c r="O228" s="1"/>
      <c r="P228" s="1"/>
      <c r="Q228" s="59">
        <f t="shared" si="58"/>
        <v>0</v>
      </c>
      <c r="R228" s="59">
        <f t="shared" si="55"/>
        <v>1136</v>
      </c>
    </row>
    <row r="229" spans="1:20" ht="15.75" customHeight="1" x14ac:dyDescent="0.3">
      <c r="A229" s="76" t="s">
        <v>221</v>
      </c>
      <c r="B229" s="1">
        <v>15</v>
      </c>
      <c r="C229" s="1">
        <v>8</v>
      </c>
      <c r="D229" s="1"/>
      <c r="E229" s="59">
        <f t="shared" si="60"/>
        <v>23</v>
      </c>
      <c r="F229" s="1"/>
      <c r="G229" s="1"/>
      <c r="H229" s="1"/>
      <c r="I229" s="59">
        <f t="shared" si="56"/>
        <v>0</v>
      </c>
      <c r="J229" s="1"/>
      <c r="K229" s="1"/>
      <c r="L229" s="1"/>
      <c r="M229" s="59">
        <f t="shared" si="57"/>
        <v>0</v>
      </c>
      <c r="N229" s="1"/>
      <c r="O229" s="1"/>
      <c r="P229" s="1"/>
      <c r="Q229" s="59">
        <f t="shared" si="58"/>
        <v>0</v>
      </c>
      <c r="R229" s="59">
        <f t="shared" si="55"/>
        <v>23</v>
      </c>
    </row>
    <row r="230" spans="1:20" ht="15.75" customHeight="1" x14ac:dyDescent="0.3">
      <c r="A230" s="76" t="s">
        <v>222</v>
      </c>
      <c r="B230" s="1">
        <v>23</v>
      </c>
      <c r="C230" s="1"/>
      <c r="D230" s="1"/>
      <c r="E230" s="59">
        <f t="shared" si="60"/>
        <v>23</v>
      </c>
      <c r="F230" s="1"/>
      <c r="G230" s="1"/>
      <c r="H230" s="1"/>
      <c r="I230" s="59">
        <f t="shared" si="56"/>
        <v>0</v>
      </c>
      <c r="J230" s="1"/>
      <c r="K230" s="1"/>
      <c r="L230" s="1"/>
      <c r="M230" s="59">
        <f t="shared" si="57"/>
        <v>0</v>
      </c>
      <c r="N230" s="1"/>
      <c r="O230" s="1"/>
      <c r="P230" s="1"/>
      <c r="Q230" s="59">
        <f t="shared" si="58"/>
        <v>0</v>
      </c>
      <c r="R230" s="59">
        <f t="shared" si="55"/>
        <v>23</v>
      </c>
      <c r="S230" s="4" t="s">
        <v>136</v>
      </c>
      <c r="T230" s="4" t="s">
        <v>137</v>
      </c>
    </row>
    <row r="231" spans="1:20" ht="15.75" customHeight="1" x14ac:dyDescent="0.3">
      <c r="A231" s="76" t="s">
        <v>223</v>
      </c>
      <c r="B231" s="1"/>
      <c r="C231" s="1"/>
      <c r="D231" s="1"/>
      <c r="E231" s="59">
        <f t="shared" si="60"/>
        <v>0</v>
      </c>
      <c r="F231" s="1"/>
      <c r="G231" s="1"/>
      <c r="H231" s="1"/>
      <c r="I231" s="59">
        <f t="shared" si="56"/>
        <v>0</v>
      </c>
      <c r="J231" s="1"/>
      <c r="K231" s="1"/>
      <c r="L231" s="1"/>
      <c r="M231" s="59">
        <f t="shared" si="57"/>
        <v>0</v>
      </c>
      <c r="N231" s="1"/>
      <c r="O231" s="1"/>
      <c r="P231" s="1"/>
      <c r="Q231" s="59">
        <f t="shared" si="58"/>
        <v>0</v>
      </c>
      <c r="R231" s="59">
        <f t="shared" si="55"/>
        <v>0</v>
      </c>
      <c r="S231" s="4" t="s">
        <v>136</v>
      </c>
      <c r="T231" s="4" t="s">
        <v>137</v>
      </c>
    </row>
    <row r="232" spans="1:20" ht="15.75" customHeight="1" x14ac:dyDescent="0.3">
      <c r="A232" s="76" t="s">
        <v>224</v>
      </c>
      <c r="B232" s="1"/>
      <c r="C232" s="1"/>
      <c r="D232" s="1"/>
      <c r="E232" s="59">
        <f t="shared" si="60"/>
        <v>0</v>
      </c>
      <c r="G232" s="1"/>
      <c r="H232" s="1"/>
      <c r="I232" s="59">
        <f t="shared" si="56"/>
        <v>0</v>
      </c>
      <c r="J232" s="1"/>
      <c r="K232" s="1"/>
      <c r="L232" s="1"/>
      <c r="M232" s="59">
        <f t="shared" si="57"/>
        <v>0</v>
      </c>
      <c r="N232" s="1"/>
      <c r="O232" s="1"/>
      <c r="P232" s="1"/>
      <c r="Q232" s="59">
        <f t="shared" si="58"/>
        <v>0</v>
      </c>
      <c r="R232" s="59">
        <f t="shared" si="55"/>
        <v>0</v>
      </c>
    </row>
    <row r="233" spans="1:20" ht="15.75" customHeight="1" x14ac:dyDescent="0.3">
      <c r="A233" s="76" t="s">
        <v>225</v>
      </c>
      <c r="B233" s="1"/>
      <c r="C233" s="1"/>
      <c r="D233" s="1"/>
      <c r="E233" s="59">
        <f t="shared" si="60"/>
        <v>0</v>
      </c>
      <c r="F233" s="4">
        <v>4300</v>
      </c>
      <c r="H233" s="1"/>
      <c r="I233" s="59">
        <f t="shared" si="56"/>
        <v>4300</v>
      </c>
      <c r="J233" s="1"/>
      <c r="K233" s="1"/>
      <c r="L233" s="1"/>
      <c r="M233" s="59">
        <f t="shared" si="57"/>
        <v>0</v>
      </c>
      <c r="N233" s="1"/>
      <c r="O233" s="1"/>
      <c r="P233" s="1"/>
      <c r="Q233" s="59">
        <f t="shared" si="58"/>
        <v>0</v>
      </c>
      <c r="R233" s="59">
        <f t="shared" si="55"/>
        <v>4300</v>
      </c>
    </row>
    <row r="234" spans="1:20" ht="15.75" customHeight="1" x14ac:dyDescent="0.3">
      <c r="A234" s="102" t="s">
        <v>226</v>
      </c>
      <c r="B234" s="1"/>
      <c r="C234" s="1"/>
      <c r="D234" s="1"/>
      <c r="E234" s="59">
        <f t="shared" si="60"/>
        <v>0</v>
      </c>
      <c r="F234" s="1"/>
      <c r="G234" s="1"/>
      <c r="H234" s="1"/>
      <c r="I234" s="59">
        <f t="shared" si="56"/>
        <v>0</v>
      </c>
      <c r="J234" s="1"/>
      <c r="K234" s="1"/>
      <c r="L234" s="1"/>
      <c r="M234" s="59">
        <f t="shared" si="57"/>
        <v>0</v>
      </c>
      <c r="N234" s="1"/>
      <c r="O234" s="1"/>
      <c r="P234" s="1"/>
      <c r="Q234" s="59">
        <f t="shared" si="58"/>
        <v>0</v>
      </c>
      <c r="R234" s="59">
        <f t="shared" si="55"/>
        <v>0</v>
      </c>
      <c r="T234" s="4" t="s">
        <v>121</v>
      </c>
    </row>
    <row r="235" spans="1:20" ht="15.75" customHeight="1" x14ac:dyDescent="0.3">
      <c r="A235" s="76" t="s">
        <v>227</v>
      </c>
      <c r="B235" s="1"/>
      <c r="C235" s="1"/>
      <c r="D235" s="1"/>
      <c r="E235" s="59">
        <f t="shared" si="60"/>
        <v>0</v>
      </c>
      <c r="F235" s="1"/>
      <c r="G235" s="1"/>
      <c r="H235" s="1"/>
      <c r="I235" s="59">
        <f t="shared" si="56"/>
        <v>0</v>
      </c>
      <c r="J235" s="1"/>
      <c r="K235" s="1"/>
      <c r="L235" s="1"/>
      <c r="M235" s="59">
        <f t="shared" si="57"/>
        <v>0</v>
      </c>
      <c r="N235" s="1"/>
      <c r="O235" s="1"/>
      <c r="P235" s="1"/>
      <c r="Q235" s="59">
        <f>SUM(N235:P235)</f>
        <v>0</v>
      </c>
      <c r="R235" s="59">
        <f>+E235+I235+M235+Q235</f>
        <v>0</v>
      </c>
      <c r="S235" s="94"/>
      <c r="T235" s="4" t="s">
        <v>137</v>
      </c>
    </row>
    <row r="236" spans="1:20" ht="15.75" customHeight="1" x14ac:dyDescent="0.3">
      <c r="A236" s="102" t="s">
        <v>228</v>
      </c>
      <c r="B236" s="1"/>
      <c r="C236" s="1"/>
      <c r="D236" s="1"/>
      <c r="E236" s="59">
        <f>SUM(B236:D236)</f>
        <v>0</v>
      </c>
      <c r="F236" s="1"/>
      <c r="G236" s="1"/>
      <c r="H236" s="1"/>
      <c r="I236" s="59">
        <f t="shared" si="56"/>
        <v>0</v>
      </c>
      <c r="J236" s="1"/>
      <c r="K236" s="1"/>
      <c r="L236" s="1"/>
      <c r="M236" s="59">
        <f t="shared" si="57"/>
        <v>0</v>
      </c>
      <c r="N236" s="1"/>
      <c r="O236" s="1"/>
      <c r="P236" s="1"/>
      <c r="Q236" s="59">
        <f t="shared" si="58"/>
        <v>0</v>
      </c>
      <c r="R236" s="59">
        <f t="shared" si="55"/>
        <v>0</v>
      </c>
    </row>
    <row r="237" spans="1:20" ht="15.75" customHeight="1" x14ac:dyDescent="0.3">
      <c r="A237" s="102" t="s">
        <v>229</v>
      </c>
      <c r="B237" s="1"/>
      <c r="C237" s="1"/>
      <c r="D237" s="1"/>
      <c r="E237" s="59">
        <f t="shared" si="60"/>
        <v>0</v>
      </c>
      <c r="F237" s="1"/>
      <c r="G237" s="1"/>
      <c r="H237" s="1"/>
      <c r="I237" s="59">
        <f t="shared" si="56"/>
        <v>0</v>
      </c>
      <c r="J237" s="1"/>
      <c r="K237" s="1"/>
      <c r="L237" s="1"/>
      <c r="M237" s="59">
        <f t="shared" si="57"/>
        <v>0</v>
      </c>
      <c r="N237" s="1"/>
      <c r="O237" s="1"/>
      <c r="P237" s="1"/>
      <c r="Q237" s="59">
        <f t="shared" si="58"/>
        <v>0</v>
      </c>
      <c r="R237" s="59">
        <f t="shared" si="55"/>
        <v>0</v>
      </c>
    </row>
    <row r="238" spans="1:20" ht="15.75" customHeight="1" x14ac:dyDescent="0.3">
      <c r="A238" s="102" t="s">
        <v>231</v>
      </c>
      <c r="B238" s="1"/>
      <c r="C238" s="1"/>
      <c r="D238" s="1"/>
      <c r="E238" s="59">
        <f t="shared" ref="E238:E239" si="61">SUM(B238:D238)</f>
        <v>0</v>
      </c>
      <c r="F238" s="1"/>
      <c r="G238" s="1"/>
      <c r="H238" s="1"/>
      <c r="I238" s="59">
        <f t="shared" si="56"/>
        <v>0</v>
      </c>
      <c r="J238" s="1"/>
      <c r="K238" s="1"/>
      <c r="L238" s="1"/>
      <c r="M238" s="59">
        <f t="shared" si="57"/>
        <v>0</v>
      </c>
      <c r="N238" s="1"/>
      <c r="O238" s="1"/>
      <c r="P238" s="1"/>
      <c r="Q238" s="59">
        <f t="shared" si="58"/>
        <v>0</v>
      </c>
      <c r="R238" s="59">
        <f t="shared" si="55"/>
        <v>0</v>
      </c>
    </row>
    <row r="239" spans="1:20" ht="15.75" customHeight="1" x14ac:dyDescent="0.3">
      <c r="A239" s="102" t="s">
        <v>232</v>
      </c>
      <c r="B239" s="1"/>
      <c r="C239" s="1"/>
      <c r="D239" s="1"/>
      <c r="E239" s="59">
        <f t="shared" si="61"/>
        <v>0</v>
      </c>
      <c r="F239" s="1"/>
      <c r="G239" s="1"/>
      <c r="H239" s="1"/>
      <c r="I239" s="59">
        <f t="shared" si="56"/>
        <v>0</v>
      </c>
      <c r="J239" s="1"/>
      <c r="K239" s="1"/>
      <c r="L239" s="1"/>
      <c r="M239" s="59">
        <f t="shared" si="57"/>
        <v>0</v>
      </c>
      <c r="N239" s="1"/>
      <c r="O239" s="1"/>
      <c r="P239" s="1"/>
      <c r="Q239" s="59">
        <f t="shared" si="58"/>
        <v>0</v>
      </c>
      <c r="R239" s="59">
        <f t="shared" si="55"/>
        <v>0</v>
      </c>
    </row>
    <row r="240" spans="1:20" ht="15.75" customHeight="1" x14ac:dyDescent="0.3">
      <c r="A240" s="76" t="s">
        <v>233</v>
      </c>
      <c r="B240" s="1">
        <v>781</v>
      </c>
      <c r="C240" s="1">
        <v>735</v>
      </c>
      <c r="D240" s="1">
        <v>797</v>
      </c>
      <c r="E240" s="59">
        <f>SUM(B240:D240)</f>
        <v>2313</v>
      </c>
      <c r="F240" s="1">
        <v>879</v>
      </c>
      <c r="G240" s="1">
        <v>1041</v>
      </c>
      <c r="H240" s="1">
        <v>31</v>
      </c>
      <c r="I240" s="59">
        <f t="shared" ref="I240" si="62">SUM(F240:H240)</f>
        <v>1951</v>
      </c>
      <c r="J240" s="1"/>
      <c r="K240" s="1"/>
      <c r="L240" s="1"/>
      <c r="M240" s="59">
        <f t="shared" si="57"/>
        <v>0</v>
      </c>
      <c r="N240" s="1"/>
      <c r="O240" s="1"/>
      <c r="P240" s="1"/>
      <c r="Q240" s="59">
        <f t="shared" si="58"/>
        <v>0</v>
      </c>
      <c r="R240" s="59">
        <f t="shared" si="55"/>
        <v>4264</v>
      </c>
    </row>
    <row r="241" spans="1:21" ht="15.75" customHeight="1" x14ac:dyDescent="0.3">
      <c r="A241" s="91" t="s">
        <v>234</v>
      </c>
      <c r="B241" s="1"/>
      <c r="C241" s="1"/>
      <c r="D241" s="1"/>
      <c r="E241" s="59">
        <f>SUM(B241:D241)</f>
        <v>0</v>
      </c>
      <c r="F241" s="1"/>
      <c r="G241" s="1"/>
      <c r="H241" s="1"/>
      <c r="I241" s="59">
        <f t="shared" si="56"/>
        <v>0</v>
      </c>
      <c r="J241" s="1"/>
      <c r="K241" s="1"/>
      <c r="L241" s="1"/>
      <c r="M241" s="59">
        <f t="shared" si="57"/>
        <v>0</v>
      </c>
      <c r="N241" s="1"/>
      <c r="O241" s="1"/>
      <c r="P241" s="1"/>
      <c r="Q241" s="59">
        <f t="shared" si="58"/>
        <v>0</v>
      </c>
      <c r="R241" s="59">
        <f t="shared" si="55"/>
        <v>0</v>
      </c>
    </row>
    <row r="242" spans="1:21" ht="15.75" customHeight="1" x14ac:dyDescent="0.3">
      <c r="A242" s="91" t="s">
        <v>235</v>
      </c>
      <c r="B242" s="1"/>
      <c r="C242" s="1"/>
      <c r="D242" s="1"/>
      <c r="E242" s="59">
        <f>SUM(B242:D242)</f>
        <v>0</v>
      </c>
      <c r="F242" s="1"/>
      <c r="G242" s="1"/>
      <c r="H242" s="1"/>
      <c r="I242" s="59">
        <f t="shared" si="56"/>
        <v>0</v>
      </c>
      <c r="J242" s="1"/>
      <c r="K242" s="1"/>
      <c r="L242" s="1"/>
      <c r="M242" s="59">
        <f t="shared" si="57"/>
        <v>0</v>
      </c>
      <c r="N242" s="1"/>
      <c r="O242" s="1"/>
      <c r="P242" s="1"/>
      <c r="Q242" s="59">
        <f t="shared" si="58"/>
        <v>0</v>
      </c>
      <c r="R242" s="59">
        <f t="shared" si="55"/>
        <v>0</v>
      </c>
    </row>
    <row r="243" spans="1:21" ht="15.75" customHeight="1" x14ac:dyDescent="0.3">
      <c r="A243" s="91" t="s">
        <v>236</v>
      </c>
      <c r="B243" s="1"/>
      <c r="C243" s="1"/>
      <c r="D243" s="1"/>
      <c r="E243" s="59">
        <f>SUM(B243:D243)</f>
        <v>0</v>
      </c>
      <c r="F243" s="1"/>
      <c r="G243" s="1"/>
      <c r="H243" s="1"/>
      <c r="I243" s="59">
        <f t="shared" si="56"/>
        <v>0</v>
      </c>
      <c r="J243" s="1"/>
      <c r="K243" s="1"/>
      <c r="L243" s="1"/>
      <c r="M243" s="59">
        <f t="shared" si="57"/>
        <v>0</v>
      </c>
      <c r="N243" s="1"/>
      <c r="O243" s="1"/>
      <c r="P243" s="1"/>
      <c r="Q243" s="59">
        <f t="shared" si="58"/>
        <v>0</v>
      </c>
      <c r="R243" s="59">
        <f t="shared" si="55"/>
        <v>0</v>
      </c>
      <c r="T243" s="4" t="s">
        <v>121</v>
      </c>
    </row>
    <row r="244" spans="1:21" ht="15.75" customHeight="1" x14ac:dyDescent="0.3">
      <c r="A244" s="76" t="s">
        <v>237</v>
      </c>
      <c r="B244" s="1"/>
      <c r="C244" s="1"/>
      <c r="D244" s="1"/>
      <c r="E244" s="59">
        <f t="shared" ref="E244:E247" si="63">SUM(B244:D244)</f>
        <v>0</v>
      </c>
      <c r="F244" s="1">
        <v>1703</v>
      </c>
      <c r="G244" s="1">
        <v>1373</v>
      </c>
      <c r="H244" s="1"/>
      <c r="I244" s="59">
        <f>SUM(F244:H244)</f>
        <v>3076</v>
      </c>
      <c r="J244" s="1"/>
      <c r="K244" s="1"/>
      <c r="L244" s="1"/>
      <c r="M244" s="59">
        <f t="shared" ref="M244:M245" si="64">SUM(J244:L244)</f>
        <v>0</v>
      </c>
      <c r="N244" s="1"/>
      <c r="O244" s="1"/>
      <c r="P244" s="1"/>
      <c r="Q244" s="59">
        <f t="shared" ref="Q244:Q245" si="65">SUM(N244:P244)</f>
        <v>0</v>
      </c>
      <c r="R244" s="59">
        <f t="shared" si="55"/>
        <v>3076</v>
      </c>
      <c r="S244" s="105" t="s">
        <v>136</v>
      </c>
    </row>
    <row r="245" spans="1:21" ht="15.75" customHeight="1" x14ac:dyDescent="0.3">
      <c r="A245" s="76" t="s">
        <v>238</v>
      </c>
      <c r="B245" s="1"/>
      <c r="C245" s="1"/>
      <c r="D245" s="1"/>
      <c r="E245" s="59">
        <f t="shared" si="63"/>
        <v>0</v>
      </c>
      <c r="F245" s="1">
        <v>3824</v>
      </c>
      <c r="G245" s="1"/>
      <c r="H245" s="1"/>
      <c r="I245" s="59">
        <f>SUM(F245:H245)</f>
        <v>3824</v>
      </c>
      <c r="J245" s="1"/>
      <c r="K245" s="1"/>
      <c r="L245" s="1"/>
      <c r="M245" s="59">
        <f t="shared" si="64"/>
        <v>0</v>
      </c>
      <c r="N245" s="1"/>
      <c r="O245" s="1"/>
      <c r="P245" s="1"/>
      <c r="Q245" s="59">
        <f t="shared" si="65"/>
        <v>0</v>
      </c>
      <c r="R245" s="59">
        <f t="shared" si="55"/>
        <v>3824</v>
      </c>
      <c r="S245" s="4" t="s">
        <v>136</v>
      </c>
    </row>
    <row r="246" spans="1:21" ht="15.75" customHeight="1" x14ac:dyDescent="0.3">
      <c r="A246" s="76" t="s">
        <v>239</v>
      </c>
      <c r="B246" s="1"/>
      <c r="C246" s="1"/>
      <c r="D246" s="1">
        <v>2202</v>
      </c>
      <c r="E246" s="59">
        <f t="shared" si="63"/>
        <v>2202</v>
      </c>
      <c r="F246" s="1">
        <v>5259</v>
      </c>
      <c r="G246" s="1">
        <v>2211</v>
      </c>
      <c r="H246" s="1"/>
      <c r="I246" s="59">
        <f t="shared" si="56"/>
        <v>7470</v>
      </c>
      <c r="J246" s="1"/>
      <c r="K246" s="1"/>
      <c r="L246" s="1"/>
      <c r="M246" s="59">
        <f t="shared" si="57"/>
        <v>0</v>
      </c>
      <c r="N246" s="1"/>
      <c r="O246" s="1"/>
      <c r="P246" s="1"/>
      <c r="Q246" s="59">
        <f t="shared" si="58"/>
        <v>0</v>
      </c>
      <c r="R246" s="59">
        <f t="shared" si="55"/>
        <v>9672</v>
      </c>
      <c r="S246" s="4" t="s">
        <v>136</v>
      </c>
    </row>
    <row r="247" spans="1:21" ht="15.75" customHeight="1" x14ac:dyDescent="0.3">
      <c r="A247" s="76" t="s">
        <v>240</v>
      </c>
      <c r="B247" s="1"/>
      <c r="C247" s="1"/>
      <c r="D247" s="1"/>
      <c r="E247" s="59">
        <f t="shared" si="63"/>
        <v>0</v>
      </c>
      <c r="F247" s="1">
        <v>164</v>
      </c>
      <c r="G247" s="1">
        <v>164</v>
      </c>
      <c r="H247" s="1"/>
      <c r="I247" s="59">
        <f t="shared" si="56"/>
        <v>328</v>
      </c>
      <c r="J247" s="1"/>
      <c r="K247" s="1"/>
      <c r="L247" s="1"/>
      <c r="M247" s="59">
        <f t="shared" si="57"/>
        <v>0</v>
      </c>
      <c r="N247" s="1"/>
      <c r="O247" s="1"/>
      <c r="P247" s="1"/>
      <c r="Q247" s="59">
        <f>SUM(N247:P247)</f>
        <v>0</v>
      </c>
      <c r="R247" s="59">
        <f t="shared" si="55"/>
        <v>328</v>
      </c>
    </row>
    <row r="248" spans="1:21" ht="15.75" customHeight="1" x14ac:dyDescent="0.3">
      <c r="A248" s="76" t="s">
        <v>241</v>
      </c>
      <c r="B248" s="1"/>
      <c r="C248" s="1"/>
      <c r="D248" s="1"/>
      <c r="E248" s="59">
        <f>SUM(B248:D248)</f>
        <v>0</v>
      </c>
      <c r="F248" s="1"/>
      <c r="G248" s="1"/>
      <c r="H248" s="1"/>
      <c r="I248" s="59">
        <f t="shared" si="56"/>
        <v>0</v>
      </c>
      <c r="J248" s="1">
        <v>107</v>
      </c>
      <c r="K248" s="1"/>
      <c r="L248" s="1"/>
      <c r="M248" s="59">
        <f t="shared" si="57"/>
        <v>107</v>
      </c>
      <c r="N248" s="1"/>
      <c r="O248" s="1"/>
      <c r="P248" s="1"/>
      <c r="Q248" s="59">
        <f t="shared" si="58"/>
        <v>0</v>
      </c>
      <c r="R248" s="59">
        <f t="shared" si="55"/>
        <v>107</v>
      </c>
      <c r="S248" s="4" t="s">
        <v>136</v>
      </c>
      <c r="T248" s="4" t="s">
        <v>137</v>
      </c>
    </row>
    <row r="249" spans="1:21" ht="15.75" customHeight="1" x14ac:dyDescent="0.3">
      <c r="A249" s="76" t="s">
        <v>242</v>
      </c>
      <c r="B249" s="1"/>
      <c r="C249" s="1"/>
      <c r="D249" s="1"/>
      <c r="E249" s="59">
        <f t="shared" ref="E249" si="66">SUM(B249:D249)</f>
        <v>0</v>
      </c>
      <c r="F249" s="1"/>
      <c r="G249" s="1"/>
      <c r="H249" s="1">
        <v>442</v>
      </c>
      <c r="I249" s="59">
        <f t="shared" si="56"/>
        <v>442</v>
      </c>
      <c r="J249" s="1"/>
      <c r="K249" s="1"/>
      <c r="L249" s="1"/>
      <c r="M249" s="59">
        <f t="shared" si="57"/>
        <v>0</v>
      </c>
      <c r="N249" s="1"/>
      <c r="O249" s="1"/>
      <c r="P249" s="1"/>
      <c r="Q249" s="59">
        <f t="shared" si="58"/>
        <v>0</v>
      </c>
      <c r="R249" s="59">
        <f t="shared" si="55"/>
        <v>442</v>
      </c>
      <c r="S249" s="106" t="s">
        <v>136</v>
      </c>
      <c r="T249" s="106" t="s">
        <v>137</v>
      </c>
      <c r="U249" s="106"/>
    </row>
    <row r="250" spans="1:21" ht="15.75" customHeight="1" x14ac:dyDescent="0.3">
      <c r="A250" s="76" t="s">
        <v>243</v>
      </c>
      <c r="B250" s="1"/>
      <c r="C250" s="1"/>
      <c r="D250" s="1">
        <v>1718</v>
      </c>
      <c r="E250" s="59">
        <f>SUM(B250:D250)</f>
        <v>1718</v>
      </c>
      <c r="F250" s="1">
        <v>96</v>
      </c>
      <c r="G250" s="1"/>
      <c r="H250" s="1"/>
      <c r="I250" s="59">
        <f>SUM(F250:H250)</f>
        <v>96</v>
      </c>
      <c r="J250" s="1"/>
      <c r="K250" s="1"/>
      <c r="L250" s="1"/>
      <c r="M250" s="59">
        <f t="shared" si="57"/>
        <v>0</v>
      </c>
      <c r="N250" s="1"/>
      <c r="O250" s="1"/>
      <c r="P250" s="1"/>
      <c r="Q250" s="59">
        <f t="shared" si="58"/>
        <v>0</v>
      </c>
      <c r="R250" s="59">
        <f t="shared" si="55"/>
        <v>1814</v>
      </c>
      <c r="T250" s="4" t="s">
        <v>244</v>
      </c>
    </row>
    <row r="251" spans="1:21" ht="15.75" customHeight="1" x14ac:dyDescent="0.3">
      <c r="A251" s="76" t="s">
        <v>245</v>
      </c>
      <c r="B251" s="1"/>
      <c r="C251" s="1"/>
      <c r="D251" s="1"/>
      <c r="E251" s="59">
        <f>SUM(B251:D251)</f>
        <v>0</v>
      </c>
      <c r="F251" s="1"/>
      <c r="G251" s="1"/>
      <c r="H251" s="1"/>
      <c r="I251" s="59">
        <f>SUM(F251:H251)</f>
        <v>0</v>
      </c>
      <c r="J251" s="1"/>
      <c r="K251" s="1"/>
      <c r="L251" s="1"/>
      <c r="M251" s="59">
        <f t="shared" si="57"/>
        <v>0</v>
      </c>
      <c r="N251" s="1"/>
      <c r="O251" s="1"/>
      <c r="P251" s="1"/>
      <c r="Q251" s="59">
        <f>SUM(N251:P251)</f>
        <v>0</v>
      </c>
      <c r="R251" s="59">
        <f>+E251+I251+M251+Q251</f>
        <v>0</v>
      </c>
      <c r="T251" s="4" t="s">
        <v>134</v>
      </c>
    </row>
    <row r="252" spans="1:21" ht="15.75" customHeight="1" x14ac:dyDescent="0.3">
      <c r="A252" s="76" t="s">
        <v>436</v>
      </c>
      <c r="B252" s="1"/>
      <c r="C252" s="1"/>
      <c r="D252" s="1"/>
      <c r="E252" s="59">
        <f t="shared" si="60"/>
        <v>0</v>
      </c>
      <c r="F252" s="1"/>
      <c r="G252" s="1"/>
      <c r="H252" s="1"/>
      <c r="I252" s="59">
        <f t="shared" si="56"/>
        <v>0</v>
      </c>
      <c r="J252" s="1"/>
      <c r="K252" s="1"/>
      <c r="L252" s="1"/>
      <c r="M252" s="59">
        <f t="shared" si="57"/>
        <v>0</v>
      </c>
      <c r="N252" s="1"/>
      <c r="O252" s="1"/>
      <c r="P252" s="1"/>
      <c r="Q252" s="59">
        <f t="shared" si="58"/>
        <v>0</v>
      </c>
      <c r="R252" s="59">
        <f t="shared" si="55"/>
        <v>0</v>
      </c>
    </row>
    <row r="253" spans="1:21" ht="15.75" customHeight="1" x14ac:dyDescent="0.3">
      <c r="A253" s="76" t="s">
        <v>246</v>
      </c>
      <c r="B253" s="1"/>
      <c r="C253" s="1"/>
      <c r="D253" s="1">
        <v>1518</v>
      </c>
      <c r="E253" s="59">
        <f t="shared" si="60"/>
        <v>1518</v>
      </c>
      <c r="F253" s="1">
        <v>88</v>
      </c>
      <c r="G253" s="1"/>
      <c r="H253" s="1"/>
      <c r="I253" s="59">
        <f t="shared" si="56"/>
        <v>88</v>
      </c>
      <c r="J253" s="1"/>
      <c r="K253" s="1"/>
      <c r="L253" s="1"/>
      <c r="M253" s="59">
        <f t="shared" si="57"/>
        <v>0</v>
      </c>
      <c r="N253" s="1"/>
      <c r="O253" s="1"/>
      <c r="P253" s="1"/>
      <c r="Q253" s="59">
        <f t="shared" si="58"/>
        <v>0</v>
      </c>
      <c r="R253" s="59">
        <f t="shared" si="55"/>
        <v>1606</v>
      </c>
    </row>
    <row r="254" spans="1:21" ht="15.75" customHeight="1" x14ac:dyDescent="0.3">
      <c r="A254" s="76" t="s">
        <v>247</v>
      </c>
      <c r="B254" s="1"/>
      <c r="C254" s="1"/>
      <c r="D254" s="1">
        <v>417</v>
      </c>
      <c r="E254" s="59">
        <f t="shared" si="60"/>
        <v>417</v>
      </c>
      <c r="F254" s="1"/>
      <c r="G254" s="1"/>
      <c r="H254" s="1"/>
      <c r="I254" s="59">
        <f t="shared" si="56"/>
        <v>0</v>
      </c>
      <c r="J254" s="1"/>
      <c r="K254" s="1"/>
      <c r="L254" s="1"/>
      <c r="M254" s="59">
        <f t="shared" si="57"/>
        <v>0</v>
      </c>
      <c r="N254" s="1"/>
      <c r="O254" s="1"/>
      <c r="P254" s="1"/>
      <c r="Q254" s="59">
        <f t="shared" si="58"/>
        <v>0</v>
      </c>
      <c r="R254" s="59">
        <f t="shared" si="55"/>
        <v>417</v>
      </c>
    </row>
    <row r="255" spans="1:21" ht="15.75" customHeight="1" x14ac:dyDescent="0.3">
      <c r="A255" s="76" t="s">
        <v>248</v>
      </c>
      <c r="B255" s="1"/>
      <c r="C255" s="1">
        <v>60</v>
      </c>
      <c r="D255" s="1"/>
      <c r="E255" s="59">
        <f t="shared" si="60"/>
        <v>60</v>
      </c>
      <c r="F255" s="1"/>
      <c r="G255" s="1"/>
      <c r="H255" s="1"/>
      <c r="I255" s="59">
        <f t="shared" si="56"/>
        <v>0</v>
      </c>
      <c r="J255" s="1"/>
      <c r="K255" s="1"/>
      <c r="L255" s="1"/>
      <c r="M255" s="59">
        <f t="shared" si="57"/>
        <v>0</v>
      </c>
      <c r="N255" s="1"/>
      <c r="O255" s="1"/>
      <c r="P255" s="1"/>
      <c r="Q255" s="59">
        <f t="shared" si="58"/>
        <v>0</v>
      </c>
      <c r="R255" s="59">
        <f t="shared" si="55"/>
        <v>60</v>
      </c>
    </row>
    <row r="256" spans="1:21" ht="15.75" customHeight="1" x14ac:dyDescent="0.3">
      <c r="A256" s="76" t="s">
        <v>249</v>
      </c>
      <c r="B256" s="1">
        <v>60</v>
      </c>
      <c r="C256" s="1"/>
      <c r="D256" s="1"/>
      <c r="E256" s="59">
        <f t="shared" si="60"/>
        <v>60</v>
      </c>
      <c r="F256" s="1"/>
      <c r="G256" s="1"/>
      <c r="H256" s="1"/>
      <c r="I256" s="59">
        <f t="shared" si="56"/>
        <v>0</v>
      </c>
      <c r="J256" s="1"/>
      <c r="K256" s="1"/>
      <c r="L256" s="1"/>
      <c r="M256" s="59">
        <f t="shared" si="57"/>
        <v>0</v>
      </c>
      <c r="N256" s="1"/>
      <c r="O256" s="1"/>
      <c r="P256" s="1"/>
      <c r="Q256" s="59">
        <f t="shared" si="58"/>
        <v>0</v>
      </c>
      <c r="R256" s="59">
        <f t="shared" si="55"/>
        <v>60</v>
      </c>
      <c r="S256" s="4" t="s">
        <v>136</v>
      </c>
      <c r="T256" s="4" t="s">
        <v>137</v>
      </c>
    </row>
    <row r="257" spans="1:20" ht="15.75" customHeight="1" x14ac:dyDescent="0.3">
      <c r="A257" s="76" t="s">
        <v>250</v>
      </c>
      <c r="B257" s="1"/>
      <c r="C257" s="1"/>
      <c r="D257" s="1"/>
      <c r="E257" s="59">
        <f t="shared" si="60"/>
        <v>0</v>
      </c>
      <c r="F257" s="1"/>
      <c r="G257" s="1"/>
      <c r="H257" s="1"/>
      <c r="I257" s="59">
        <f t="shared" si="56"/>
        <v>0</v>
      </c>
      <c r="J257" s="1"/>
      <c r="K257" s="1"/>
      <c r="L257" s="1"/>
      <c r="M257" s="59">
        <f t="shared" si="57"/>
        <v>0</v>
      </c>
      <c r="N257" s="1"/>
      <c r="O257" s="1"/>
      <c r="P257" s="1"/>
      <c r="Q257" s="59">
        <f t="shared" si="58"/>
        <v>0</v>
      </c>
      <c r="R257" s="59">
        <f t="shared" si="55"/>
        <v>0</v>
      </c>
      <c r="T257" s="4" t="s">
        <v>137</v>
      </c>
    </row>
    <row r="258" spans="1:20" ht="15.75" customHeight="1" x14ac:dyDescent="0.3">
      <c r="A258" s="76" t="s">
        <v>251</v>
      </c>
      <c r="B258" s="1"/>
      <c r="C258" s="1"/>
      <c r="D258" s="1"/>
      <c r="E258" s="59">
        <f t="shared" ref="E258" si="67">SUM(B258:D258)</f>
        <v>0</v>
      </c>
      <c r="F258" s="1">
        <v>1015</v>
      </c>
      <c r="G258" s="1">
        <v>1015</v>
      </c>
      <c r="H258" s="1">
        <v>1015</v>
      </c>
      <c r="I258" s="59">
        <f t="shared" ref="I258:I259" si="68">SUM(F258:H258)</f>
        <v>3045</v>
      </c>
      <c r="J258" s="1">
        <v>1015</v>
      </c>
      <c r="K258" s="1">
        <v>1016</v>
      </c>
      <c r="L258" s="1">
        <v>1016</v>
      </c>
      <c r="M258" s="59">
        <f t="shared" ref="M258:M259" si="69">SUM(J258:L258)</f>
        <v>3047</v>
      </c>
      <c r="N258" s="1">
        <v>1016</v>
      </c>
      <c r="O258" s="1">
        <v>1016</v>
      </c>
      <c r="P258" s="1">
        <v>1016</v>
      </c>
      <c r="Q258" s="59">
        <f t="shared" ref="Q258" si="70">SUM(N258:P258)</f>
        <v>3048</v>
      </c>
      <c r="R258" s="59">
        <f t="shared" si="55"/>
        <v>9140</v>
      </c>
      <c r="S258" s="4" t="s">
        <v>136</v>
      </c>
      <c r="T258" s="4" t="s">
        <v>137</v>
      </c>
    </row>
    <row r="259" spans="1:20" ht="15.75" customHeight="1" x14ac:dyDescent="0.3">
      <c r="A259" s="76" t="s">
        <v>252</v>
      </c>
      <c r="B259" s="1"/>
      <c r="C259" s="1"/>
      <c r="D259" s="1"/>
      <c r="E259" s="59">
        <f t="shared" si="60"/>
        <v>0</v>
      </c>
      <c r="F259" s="1"/>
      <c r="G259" s="1"/>
      <c r="H259" s="1">
        <v>3000</v>
      </c>
      <c r="I259" s="59">
        <f t="shared" si="68"/>
        <v>3000</v>
      </c>
      <c r="J259" s="1">
        <v>5000</v>
      </c>
      <c r="K259" s="1">
        <v>7000</v>
      </c>
      <c r="L259" s="1">
        <v>5000</v>
      </c>
      <c r="M259" s="59">
        <f t="shared" si="69"/>
        <v>17000</v>
      </c>
      <c r="N259" s="1"/>
      <c r="O259" s="1"/>
      <c r="P259" s="1"/>
      <c r="Q259" s="59">
        <f t="shared" si="58"/>
        <v>0</v>
      </c>
      <c r="R259" s="59">
        <f>+E259+I259+M259+Q259</f>
        <v>20000</v>
      </c>
      <c r="S259" s="94" t="s">
        <v>136</v>
      </c>
      <c r="T259" s="4" t="s">
        <v>137</v>
      </c>
    </row>
    <row r="260" spans="1:20" ht="15.75" customHeight="1" x14ac:dyDescent="0.3">
      <c r="A260" s="76" t="s">
        <v>253</v>
      </c>
      <c r="B260" s="1"/>
      <c r="C260" s="1"/>
      <c r="D260" s="1"/>
      <c r="E260" s="59">
        <f t="shared" si="60"/>
        <v>0</v>
      </c>
      <c r="F260" s="1"/>
      <c r="G260" s="1"/>
      <c r="H260" s="1"/>
      <c r="I260" s="59">
        <f t="shared" si="56"/>
        <v>0</v>
      </c>
      <c r="J260" s="1"/>
      <c r="K260" s="1"/>
      <c r="L260" s="1"/>
      <c r="M260" s="59">
        <f t="shared" si="57"/>
        <v>0</v>
      </c>
      <c r="N260" s="1"/>
      <c r="O260" s="1"/>
      <c r="P260" s="1"/>
      <c r="Q260" s="59">
        <f>SUM(N260:P260)</f>
        <v>0</v>
      </c>
      <c r="R260" s="59">
        <f t="shared" si="55"/>
        <v>0</v>
      </c>
      <c r="T260" s="4" t="s">
        <v>132</v>
      </c>
    </row>
    <row r="261" spans="1:20" ht="15.75" customHeight="1" x14ac:dyDescent="0.3">
      <c r="A261" s="76" t="s">
        <v>254</v>
      </c>
      <c r="B261" s="1"/>
      <c r="C261" s="1"/>
      <c r="D261" s="1"/>
      <c r="E261" s="59">
        <f>SUM(B261:D261)</f>
        <v>0</v>
      </c>
      <c r="F261" s="1"/>
      <c r="G261" s="1"/>
      <c r="H261" s="1"/>
      <c r="I261" s="59">
        <f t="shared" ref="I261:I262" si="71">SUM(F261:H261)</f>
        <v>0</v>
      </c>
      <c r="J261" s="1">
        <v>1166</v>
      </c>
      <c r="K261" s="1">
        <v>1167</v>
      </c>
      <c r="L261" s="1">
        <v>1166</v>
      </c>
      <c r="M261" s="59">
        <f t="shared" ref="M261" si="72">SUM(J261:L261)</f>
        <v>3499</v>
      </c>
      <c r="N261" s="1">
        <v>1167</v>
      </c>
      <c r="O261" s="1">
        <v>1167</v>
      </c>
      <c r="P261" s="1">
        <v>1167</v>
      </c>
      <c r="Q261" s="59">
        <f>SUM(N261:P261)</f>
        <v>3501</v>
      </c>
      <c r="R261" s="59">
        <f t="shared" si="55"/>
        <v>7000</v>
      </c>
      <c r="T261" s="4" t="s">
        <v>134</v>
      </c>
    </row>
    <row r="262" spans="1:20" ht="15.75" customHeight="1" x14ac:dyDescent="0.3">
      <c r="A262" s="76" t="s">
        <v>880</v>
      </c>
      <c r="B262" s="1"/>
      <c r="C262" s="1"/>
      <c r="D262" s="1"/>
      <c r="E262" s="59">
        <f>SUM(B262:D262)</f>
        <v>0</v>
      </c>
      <c r="F262" s="1"/>
      <c r="G262" s="1"/>
      <c r="H262" s="1"/>
      <c r="I262" s="59">
        <f t="shared" si="71"/>
        <v>0</v>
      </c>
      <c r="J262" s="1">
        <v>1064</v>
      </c>
      <c r="K262" s="1">
        <v>800</v>
      </c>
      <c r="L262" s="1"/>
      <c r="M262" s="59">
        <f>SUM(J262:L262)</f>
        <v>1864</v>
      </c>
      <c r="N262" s="1"/>
      <c r="O262" s="1"/>
      <c r="P262" s="1"/>
      <c r="Q262" s="59">
        <f t="shared" si="58"/>
        <v>0</v>
      </c>
      <c r="R262" s="59">
        <f t="shared" si="55"/>
        <v>1864</v>
      </c>
      <c r="S262" s="4" t="s">
        <v>136</v>
      </c>
      <c r="T262" s="4" t="s">
        <v>137</v>
      </c>
    </row>
    <row r="263" spans="1:20" ht="15.75" customHeight="1" x14ac:dyDescent="0.3">
      <c r="A263" s="76" t="s">
        <v>881</v>
      </c>
      <c r="B263" s="1"/>
      <c r="C263" s="1">
        <v>198</v>
      </c>
      <c r="D263" s="1">
        <v>419</v>
      </c>
      <c r="E263" s="59">
        <f t="shared" ref="E263" si="73">SUM(B263:D263)</f>
        <v>617</v>
      </c>
      <c r="F263" s="1">
        <v>368</v>
      </c>
      <c r="G263" s="1">
        <v>571</v>
      </c>
      <c r="H263" s="1">
        <v>279</v>
      </c>
      <c r="I263" s="59">
        <f t="shared" si="56"/>
        <v>1218</v>
      </c>
      <c r="J263" s="1"/>
      <c r="K263" s="1"/>
      <c r="L263" s="1"/>
      <c r="M263" s="59">
        <f t="shared" si="57"/>
        <v>0</v>
      </c>
      <c r="N263" s="1"/>
      <c r="O263" s="1"/>
      <c r="P263" s="1"/>
      <c r="Q263" s="59">
        <f t="shared" si="58"/>
        <v>0</v>
      </c>
      <c r="R263" s="59">
        <f t="shared" si="55"/>
        <v>1835</v>
      </c>
      <c r="T263" s="4" t="s">
        <v>137</v>
      </c>
    </row>
    <row r="264" spans="1:20" ht="15.75" customHeight="1" x14ac:dyDescent="0.3">
      <c r="A264" s="76" t="s">
        <v>882</v>
      </c>
      <c r="B264" s="1">
        <v>1068</v>
      </c>
      <c r="C264" s="1">
        <v>1750</v>
      </c>
      <c r="D264" s="1">
        <v>32</v>
      </c>
      <c r="E264" s="59">
        <f t="shared" si="60"/>
        <v>2850</v>
      </c>
      <c r="F264" s="1"/>
      <c r="G264" s="1"/>
      <c r="H264" s="1"/>
      <c r="I264" s="59">
        <f t="shared" si="56"/>
        <v>0</v>
      </c>
      <c r="J264" s="1"/>
      <c r="K264" s="1"/>
      <c r="L264" s="1"/>
      <c r="M264" s="59">
        <f t="shared" si="57"/>
        <v>0</v>
      </c>
      <c r="N264" s="1"/>
      <c r="O264" s="1"/>
      <c r="P264" s="1"/>
      <c r="Q264" s="59">
        <f t="shared" si="58"/>
        <v>0</v>
      </c>
      <c r="R264" s="59">
        <f t="shared" si="55"/>
        <v>2850</v>
      </c>
      <c r="T264" s="4" t="s">
        <v>158</v>
      </c>
    </row>
    <row r="265" spans="1:20" ht="15.75" customHeight="1" x14ac:dyDescent="0.3">
      <c r="A265" s="76" t="s">
        <v>883</v>
      </c>
      <c r="B265" s="1"/>
      <c r="C265" s="1"/>
      <c r="D265" s="1"/>
      <c r="E265" s="59">
        <f t="shared" si="60"/>
        <v>0</v>
      </c>
      <c r="F265" s="1"/>
      <c r="G265" s="1"/>
      <c r="H265" s="1"/>
      <c r="I265" s="59">
        <f t="shared" si="56"/>
        <v>0</v>
      </c>
      <c r="J265" s="1"/>
      <c r="K265" s="1"/>
      <c r="L265" s="1"/>
      <c r="M265" s="59">
        <f t="shared" si="57"/>
        <v>0</v>
      </c>
      <c r="N265" s="1"/>
      <c r="O265" s="1"/>
      <c r="P265" s="1"/>
      <c r="Q265" s="59">
        <f t="shared" si="58"/>
        <v>0</v>
      </c>
      <c r="R265" s="59">
        <f t="shared" si="55"/>
        <v>0</v>
      </c>
    </row>
    <row r="266" spans="1:20" ht="15.75" customHeight="1" x14ac:dyDescent="0.3">
      <c r="A266" s="76" t="s">
        <v>884</v>
      </c>
      <c r="B266" s="1"/>
      <c r="C266" s="1"/>
      <c r="D266" s="1">
        <v>950</v>
      </c>
      <c r="E266" s="59">
        <f t="shared" si="60"/>
        <v>950</v>
      </c>
      <c r="F266" s="1"/>
      <c r="G266" s="1"/>
      <c r="H266" s="1"/>
      <c r="I266" s="59">
        <f>SUM(F266:H266)</f>
        <v>0</v>
      </c>
      <c r="J266" s="1"/>
      <c r="K266" s="1"/>
      <c r="L266" s="1"/>
      <c r="M266" s="59">
        <f t="shared" si="57"/>
        <v>0</v>
      </c>
      <c r="N266" s="1"/>
      <c r="O266" s="1"/>
      <c r="P266" s="1"/>
      <c r="Q266" s="59">
        <f t="shared" si="58"/>
        <v>0</v>
      </c>
      <c r="R266" s="59">
        <f t="shared" si="55"/>
        <v>950</v>
      </c>
      <c r="S266" s="4" t="s">
        <v>136</v>
      </c>
    </row>
    <row r="267" spans="1:20" ht="15.75" customHeight="1" x14ac:dyDescent="0.3">
      <c r="A267" s="76" t="s">
        <v>885</v>
      </c>
      <c r="B267" s="1"/>
      <c r="C267" s="1">
        <v>95</v>
      </c>
      <c r="D267" s="1"/>
      <c r="E267" s="59">
        <f t="shared" si="60"/>
        <v>95</v>
      </c>
      <c r="F267" s="1"/>
      <c r="G267" s="1"/>
      <c r="H267" s="1"/>
      <c r="I267" s="59">
        <f t="shared" si="56"/>
        <v>0</v>
      </c>
      <c r="J267" s="1"/>
      <c r="K267" s="1"/>
      <c r="L267" s="1"/>
      <c r="M267" s="59">
        <f t="shared" si="57"/>
        <v>0</v>
      </c>
      <c r="N267" s="1"/>
      <c r="O267" s="1"/>
      <c r="P267" s="1"/>
      <c r="Q267" s="59">
        <f t="shared" si="58"/>
        <v>0</v>
      </c>
      <c r="R267" s="59">
        <f t="shared" si="55"/>
        <v>95</v>
      </c>
    </row>
    <row r="268" spans="1:20" ht="15.75" customHeight="1" x14ac:dyDescent="0.3">
      <c r="A268" s="76" t="s">
        <v>886</v>
      </c>
      <c r="B268" s="1">
        <v>95</v>
      </c>
      <c r="C268" s="1"/>
      <c r="D268" s="1"/>
      <c r="E268" s="59">
        <f t="shared" si="60"/>
        <v>95</v>
      </c>
      <c r="F268" s="1"/>
      <c r="G268" s="1"/>
      <c r="H268" s="1"/>
      <c r="I268" s="59">
        <f t="shared" si="56"/>
        <v>0</v>
      </c>
      <c r="J268" s="1"/>
      <c r="K268" s="1"/>
      <c r="L268" s="1"/>
      <c r="M268" s="59">
        <f t="shared" si="57"/>
        <v>0</v>
      </c>
      <c r="N268" s="1"/>
      <c r="O268" s="1"/>
      <c r="P268" s="1"/>
      <c r="Q268" s="59">
        <f t="shared" si="58"/>
        <v>0</v>
      </c>
      <c r="R268" s="59">
        <f t="shared" si="55"/>
        <v>95</v>
      </c>
      <c r="S268" s="4" t="s">
        <v>136</v>
      </c>
      <c r="T268" s="4" t="s">
        <v>137</v>
      </c>
    </row>
    <row r="269" spans="1:20" ht="15.75" customHeight="1" x14ac:dyDescent="0.3">
      <c r="A269" s="76" t="s">
        <v>263</v>
      </c>
      <c r="B269" s="1">
        <v>1300</v>
      </c>
      <c r="C269" s="1">
        <v>1300</v>
      </c>
      <c r="D269" s="1">
        <v>1500</v>
      </c>
      <c r="E269" s="59">
        <f>SUM(B269:D269)</f>
        <v>4100</v>
      </c>
      <c r="F269" s="1">
        <v>1400</v>
      </c>
      <c r="G269" s="1">
        <v>1000</v>
      </c>
      <c r="H269" s="1">
        <v>400</v>
      </c>
      <c r="I269" s="59">
        <f>SUM(F269:H269)</f>
        <v>2800</v>
      </c>
      <c r="J269" s="1">
        <v>1600</v>
      </c>
      <c r="K269" s="1">
        <v>1000</v>
      </c>
      <c r="L269" s="1">
        <v>1100</v>
      </c>
      <c r="M269" s="59">
        <f>SUM(J269:L269)</f>
        <v>3700</v>
      </c>
      <c r="N269" s="1">
        <v>1200</v>
      </c>
      <c r="O269" s="1">
        <v>1100</v>
      </c>
      <c r="P269" s="1">
        <v>1100</v>
      </c>
      <c r="Q269" s="59">
        <f>SUM(N269:P269)</f>
        <v>3400</v>
      </c>
      <c r="R269" s="59">
        <f>+E269+I269+M269+Q269</f>
        <v>14000</v>
      </c>
      <c r="S269" s="4" t="s">
        <v>136</v>
      </c>
      <c r="T269" s="4" t="s">
        <v>137</v>
      </c>
    </row>
    <row r="270" spans="1:20" ht="15.75" customHeight="1" x14ac:dyDescent="0.3">
      <c r="A270" s="76" t="s">
        <v>265</v>
      </c>
      <c r="B270" s="1"/>
      <c r="C270" s="1"/>
      <c r="D270" s="1"/>
      <c r="E270" s="59">
        <f>SUM(B270:D270)</f>
        <v>0</v>
      </c>
      <c r="F270" s="1"/>
      <c r="G270" s="1"/>
      <c r="H270" s="1"/>
      <c r="I270" s="59">
        <f>SUM(F270:H270)</f>
        <v>0</v>
      </c>
      <c r="J270" s="1"/>
      <c r="K270" s="1"/>
      <c r="L270" s="1"/>
      <c r="M270" s="59">
        <f>SUM(J270:L270)</f>
        <v>0</v>
      </c>
      <c r="N270" s="1"/>
      <c r="O270" s="1"/>
      <c r="P270" s="1"/>
      <c r="Q270" s="59">
        <f t="shared" ref="Q270" si="74">SUM(N270:P270)</f>
        <v>0</v>
      </c>
      <c r="R270" s="59">
        <f>+E270+I270+M270+Q270</f>
        <v>0</v>
      </c>
      <c r="T270" s="4" t="s">
        <v>137</v>
      </c>
    </row>
    <row r="271" spans="1:20" ht="15.75" customHeight="1" x14ac:dyDescent="0.3">
      <c r="A271" s="76" t="s">
        <v>266</v>
      </c>
      <c r="B271" s="1"/>
      <c r="C271" s="1"/>
      <c r="D271" s="1"/>
      <c r="E271" s="59">
        <f t="shared" ref="E271" si="75">SUM(B271:D271)</f>
        <v>0</v>
      </c>
      <c r="F271" s="1"/>
      <c r="G271" s="1"/>
      <c r="H271" s="1"/>
      <c r="I271" s="59">
        <f t="shared" ref="I271" si="76">SUM(F271:H271)</f>
        <v>0</v>
      </c>
      <c r="J271" s="1"/>
      <c r="K271" s="1"/>
      <c r="L271" s="1"/>
      <c r="M271" s="59">
        <f t="shared" ref="M271" si="77">SUM(J271:L271)</f>
        <v>0</v>
      </c>
      <c r="N271" s="1"/>
      <c r="O271" s="1"/>
      <c r="P271" s="1"/>
      <c r="Q271" s="59">
        <f t="shared" ref="Q271" si="78">SUM(N271:P271)</f>
        <v>0</v>
      </c>
      <c r="R271" s="59">
        <f>+E271+I271+M271+Q271</f>
        <v>0</v>
      </c>
      <c r="T271" s="4" t="s">
        <v>137</v>
      </c>
    </row>
    <row r="272" spans="1:20" ht="15.75" customHeight="1" x14ac:dyDescent="0.3">
      <c r="A272" s="76" t="s">
        <v>860</v>
      </c>
      <c r="B272" s="1"/>
      <c r="C272" s="1"/>
      <c r="D272" s="1"/>
      <c r="E272" s="59">
        <f t="shared" ref="E272" si="79">SUM(B272:D272)</f>
        <v>0</v>
      </c>
      <c r="F272" s="1"/>
      <c r="G272" s="1"/>
      <c r="H272" s="1">
        <v>200</v>
      </c>
      <c r="I272" s="59">
        <f t="shared" ref="I272" si="80">SUM(F272:H272)</f>
        <v>200</v>
      </c>
      <c r="J272" s="1">
        <v>951</v>
      </c>
      <c r="K272" s="1">
        <v>737</v>
      </c>
      <c r="L272" s="1">
        <v>761</v>
      </c>
      <c r="M272" s="59">
        <f t="shared" ref="M272" si="81">SUM(J272:L272)</f>
        <v>2449</v>
      </c>
      <c r="N272" s="1">
        <v>761</v>
      </c>
      <c r="O272" s="1">
        <v>322</v>
      </c>
      <c r="P272" s="1"/>
      <c r="Q272" s="59">
        <f t="shared" si="58"/>
        <v>1083</v>
      </c>
      <c r="R272" s="59">
        <f t="shared" si="55"/>
        <v>3732</v>
      </c>
      <c r="S272" s="4" t="s">
        <v>136</v>
      </c>
    </row>
    <row r="273" spans="1:20" ht="15.75" customHeight="1" x14ac:dyDescent="0.3">
      <c r="A273" s="76" t="s">
        <v>270</v>
      </c>
      <c r="B273" s="1"/>
      <c r="C273" s="1">
        <v>2355</v>
      </c>
      <c r="D273" s="1">
        <v>2645</v>
      </c>
      <c r="E273" s="59">
        <f>SUM(B273:D273)</f>
        <v>5000</v>
      </c>
      <c r="F273" s="1"/>
      <c r="G273" s="1"/>
      <c r="H273" s="1"/>
      <c r="I273" s="59">
        <f>SUM(F273:H273)</f>
        <v>0</v>
      </c>
      <c r="J273" s="1"/>
      <c r="K273" s="1"/>
      <c r="L273" s="1"/>
      <c r="M273" s="59">
        <f>SUM(J273:L273)</f>
        <v>0</v>
      </c>
      <c r="N273" s="1"/>
      <c r="O273" s="1"/>
      <c r="P273" s="1"/>
      <c r="Q273" s="59">
        <f>SUM(N273:P273)</f>
        <v>0</v>
      </c>
      <c r="R273" s="59">
        <f>+E273+I273+M273+Q273</f>
        <v>5000</v>
      </c>
      <c r="S273" s="4" t="s">
        <v>136</v>
      </c>
    </row>
    <row r="274" spans="1:20" ht="15.75" customHeight="1" x14ac:dyDescent="0.3">
      <c r="A274" s="76" t="s">
        <v>271</v>
      </c>
      <c r="B274" s="1"/>
      <c r="C274" s="1"/>
      <c r="D274" s="1"/>
      <c r="E274" s="59">
        <f>SUM(B274:D274)</f>
        <v>0</v>
      </c>
      <c r="F274" s="1"/>
      <c r="G274" s="1"/>
      <c r="H274" s="1"/>
      <c r="I274" s="59">
        <f>SUM(F274:H274)</f>
        <v>0</v>
      </c>
      <c r="J274" s="1"/>
      <c r="K274" s="1"/>
      <c r="L274" s="1"/>
      <c r="M274" s="59">
        <f>SUM(J274:L274)</f>
        <v>0</v>
      </c>
      <c r="N274" s="1"/>
      <c r="O274" s="1"/>
      <c r="P274" s="1"/>
      <c r="Q274" s="59">
        <f>SUM(N274:P274)</f>
        <v>0</v>
      </c>
      <c r="R274" s="59">
        <f>+E274+I274+M274+Q274</f>
        <v>0</v>
      </c>
    </row>
    <row r="275" spans="1:20" ht="15.75" customHeight="1" x14ac:dyDescent="0.3">
      <c r="A275" s="76" t="s">
        <v>272</v>
      </c>
      <c r="B275" s="1"/>
      <c r="C275" s="1"/>
      <c r="D275" s="1"/>
      <c r="E275" s="59">
        <f t="shared" ref="E275" si="82">SUM(B275:D275)</f>
        <v>0</v>
      </c>
      <c r="F275" s="1"/>
      <c r="G275" s="1"/>
      <c r="H275" s="1"/>
      <c r="I275" s="59">
        <f t="shared" ref="I275" si="83">SUM(F275:H275)</f>
        <v>0</v>
      </c>
      <c r="J275" s="1"/>
      <c r="K275" s="1"/>
      <c r="L275" s="1"/>
      <c r="M275" s="59">
        <f t="shared" ref="M275" si="84">SUM(J275:L275)</f>
        <v>0</v>
      </c>
      <c r="N275" s="1"/>
      <c r="O275" s="1"/>
      <c r="P275" s="1"/>
      <c r="Q275" s="59">
        <f t="shared" ref="Q275" si="85">SUM(N275:P275)</f>
        <v>0</v>
      </c>
      <c r="R275" s="59">
        <f t="shared" ref="R275" si="86">+E275+I275+M275+Q275</f>
        <v>0</v>
      </c>
    </row>
    <row r="276" spans="1:20" ht="15.75" customHeight="1" x14ac:dyDescent="0.3">
      <c r="A276" s="76" t="s">
        <v>273</v>
      </c>
      <c r="B276" s="1"/>
      <c r="C276" s="1">
        <v>500</v>
      </c>
      <c r="D276" s="1"/>
      <c r="E276" s="59">
        <f t="shared" ref="E276" si="87">SUM(B276:D276)</f>
        <v>500</v>
      </c>
      <c r="F276" s="1"/>
      <c r="G276" s="1"/>
      <c r="H276" s="1"/>
      <c r="I276" s="59">
        <f t="shared" si="56"/>
        <v>0</v>
      </c>
      <c r="J276" s="1"/>
      <c r="K276" s="1"/>
      <c r="L276" s="1"/>
      <c r="M276" s="59">
        <f t="shared" si="57"/>
        <v>0</v>
      </c>
      <c r="N276" s="1"/>
      <c r="O276" s="1"/>
      <c r="P276" s="1"/>
      <c r="Q276" s="59">
        <f t="shared" si="58"/>
        <v>0</v>
      </c>
      <c r="R276" s="59">
        <f t="shared" si="55"/>
        <v>500</v>
      </c>
    </row>
    <row r="277" spans="1:20" ht="15.75" customHeight="1" thickBot="1" x14ac:dyDescent="0.35">
      <c r="A277" s="76" t="s">
        <v>275</v>
      </c>
      <c r="B277" s="1"/>
      <c r="C277" s="1"/>
      <c r="D277" s="1"/>
      <c r="E277" s="59">
        <f>SUM(B277:D277)</f>
        <v>0</v>
      </c>
      <c r="F277" s="1"/>
      <c r="G277" s="1"/>
      <c r="H277" s="1"/>
      <c r="I277" s="59">
        <f>SUM(F277:H277)</f>
        <v>0</v>
      </c>
      <c r="J277" s="1"/>
      <c r="K277" s="1"/>
      <c r="L277" s="1"/>
      <c r="M277" s="59">
        <f>SUM(J277:L277)</f>
        <v>0</v>
      </c>
      <c r="N277" s="1"/>
      <c r="O277" s="1"/>
      <c r="P277" s="1">
        <v>128</v>
      </c>
      <c r="Q277" s="59">
        <f>SUM(N277:P277)</f>
        <v>128</v>
      </c>
      <c r="R277" s="59">
        <f t="shared" si="55"/>
        <v>128</v>
      </c>
      <c r="S277" s="94" t="s">
        <v>136</v>
      </c>
    </row>
    <row r="278" spans="1:20" ht="16.5" customHeight="1" thickBot="1" x14ac:dyDescent="0.35">
      <c r="A278" s="62" t="s">
        <v>61</v>
      </c>
      <c r="B278" s="100">
        <f>SUM(B214:B277)</f>
        <v>5978</v>
      </c>
      <c r="C278" s="101">
        <f>SUM(C214:C277)</f>
        <v>7312</v>
      </c>
      <c r="D278" s="101">
        <f>SUM(D214:D277)</f>
        <v>12926</v>
      </c>
      <c r="E278" s="64">
        <f t="shared" ref="E278" si="88">SUM(B278:D278)</f>
        <v>26216</v>
      </c>
      <c r="F278" s="101">
        <f>SUM(F214:F277)</f>
        <v>19533</v>
      </c>
      <c r="G278" s="101">
        <f>SUM(G214:G277)</f>
        <v>8147</v>
      </c>
      <c r="H278" s="101">
        <f>SUM(H214:H277)</f>
        <v>6339</v>
      </c>
      <c r="I278" s="64">
        <f t="shared" ref="I278" si="89">SUM(F278:H278)</f>
        <v>34019</v>
      </c>
      <c r="J278" s="101">
        <f>SUM(J214:J277)</f>
        <v>13317</v>
      </c>
      <c r="K278" s="101">
        <f>SUM(K214:K277)</f>
        <v>12449</v>
      </c>
      <c r="L278" s="101">
        <f>SUM(L214:L277)</f>
        <v>9638</v>
      </c>
      <c r="M278" s="64">
        <f t="shared" ref="M278" si="90">SUM(J278:L278)</f>
        <v>35404</v>
      </c>
      <c r="N278" s="101">
        <f>SUM(N214:N277)</f>
        <v>4779</v>
      </c>
      <c r="O278" s="101">
        <f>SUM(O214:O277)</f>
        <v>4637</v>
      </c>
      <c r="P278" s="101">
        <f>SUM(P214:P277)</f>
        <v>4439</v>
      </c>
      <c r="Q278" s="64">
        <f t="shared" ref="Q278" si="91">SUM(N278:P278)</f>
        <v>13855</v>
      </c>
      <c r="R278" s="64">
        <f t="shared" si="55"/>
        <v>109494</v>
      </c>
    </row>
    <row r="279" spans="1:20" ht="15.75" customHeight="1" x14ac:dyDescent="0.3">
      <c r="A279" s="17" t="s">
        <v>62</v>
      </c>
      <c r="B279" s="1"/>
      <c r="C279" s="1"/>
      <c r="D279" s="1"/>
      <c r="E279" s="59" t="s">
        <v>7</v>
      </c>
      <c r="F279" s="1"/>
      <c r="G279" s="1"/>
      <c r="H279" s="1"/>
      <c r="I279" s="59" t="s">
        <v>7</v>
      </c>
      <c r="J279" s="1"/>
      <c r="K279" s="1"/>
      <c r="L279" s="1"/>
      <c r="M279" s="59" t="s">
        <v>7</v>
      </c>
      <c r="N279" s="1"/>
      <c r="O279" s="1"/>
      <c r="P279" s="1"/>
      <c r="Q279" s="59" t="s">
        <v>7</v>
      </c>
      <c r="R279" s="59" t="s">
        <v>7</v>
      </c>
    </row>
    <row r="280" spans="1:20" ht="15.75" customHeight="1" x14ac:dyDescent="0.3">
      <c r="A280" s="17" t="s">
        <v>63</v>
      </c>
      <c r="B280" s="1"/>
      <c r="C280" s="1"/>
      <c r="D280" s="1"/>
      <c r="E280" s="59" t="s">
        <v>7</v>
      </c>
      <c r="F280" s="1"/>
      <c r="G280" s="1"/>
      <c r="H280" s="1"/>
      <c r="I280" s="59" t="s">
        <v>7</v>
      </c>
      <c r="J280" s="1"/>
      <c r="K280" s="1"/>
      <c r="L280" s="1"/>
      <c r="M280" s="59" t="s">
        <v>7</v>
      </c>
      <c r="N280" s="1"/>
      <c r="O280" s="1"/>
      <c r="P280" s="1"/>
      <c r="Q280" s="59" t="s">
        <v>7</v>
      </c>
      <c r="R280" s="59" t="s">
        <v>7</v>
      </c>
    </row>
    <row r="281" spans="1:20" ht="15.75" customHeight="1" x14ac:dyDescent="0.3">
      <c r="A281" s="78" t="s">
        <v>854</v>
      </c>
      <c r="B281" s="1"/>
      <c r="C281" s="1"/>
      <c r="D281" s="1"/>
      <c r="E281" s="59">
        <f>SUM(B281:D281)</f>
        <v>0</v>
      </c>
      <c r="F281" s="1"/>
      <c r="G281" s="1"/>
      <c r="H281" s="1"/>
      <c r="I281" s="59">
        <f>SUM(F281:H281)</f>
        <v>0</v>
      </c>
      <c r="J281" s="1"/>
      <c r="K281" s="1"/>
      <c r="L281" s="1"/>
      <c r="M281" s="59">
        <f>SUM(J281:L281)</f>
        <v>0</v>
      </c>
      <c r="N281" s="1"/>
      <c r="O281" s="1"/>
      <c r="P281" s="1"/>
      <c r="Q281" s="59">
        <f>SUM(N281:P281)</f>
        <v>0</v>
      </c>
      <c r="R281" s="59">
        <f>+E281+I281+M281+Q281</f>
        <v>0</v>
      </c>
      <c r="T281" s="4" t="s">
        <v>137</v>
      </c>
    </row>
    <row r="282" spans="1:20" ht="15.75" customHeight="1" x14ac:dyDescent="0.3">
      <c r="A282" s="99" t="s">
        <v>276</v>
      </c>
      <c r="B282" s="1"/>
      <c r="C282" s="1"/>
      <c r="D282" s="1"/>
      <c r="E282" s="59">
        <f>SUM(B282:D282)</f>
        <v>0</v>
      </c>
      <c r="F282" s="1"/>
      <c r="G282" s="1"/>
      <c r="H282" s="1"/>
      <c r="I282" s="59">
        <f>SUM(F282:H282)</f>
        <v>0</v>
      </c>
      <c r="J282" s="1"/>
      <c r="K282" s="1"/>
      <c r="L282" s="1"/>
      <c r="M282" s="59">
        <f>SUM(J282:L282)</f>
        <v>0</v>
      </c>
      <c r="N282" s="1"/>
      <c r="O282" s="1"/>
      <c r="P282" s="1"/>
      <c r="Q282" s="59">
        <f>SUM(N282:P282)</f>
        <v>0</v>
      </c>
      <c r="R282" s="59">
        <f>+E282+I282+M282+Q282</f>
        <v>0</v>
      </c>
      <c r="T282" s="4" t="s">
        <v>132</v>
      </c>
    </row>
    <row r="283" spans="1:20" ht="15.75" customHeight="1" x14ac:dyDescent="0.3">
      <c r="A283" s="99" t="s">
        <v>277</v>
      </c>
      <c r="B283" s="1"/>
      <c r="C283" s="1"/>
      <c r="D283" s="1"/>
      <c r="E283" s="59">
        <f>SUM(B283:D283)</f>
        <v>0</v>
      </c>
      <c r="F283" s="1"/>
      <c r="G283" s="1"/>
      <c r="H283" s="1"/>
      <c r="I283" s="59">
        <f>SUM(F283:H283)</f>
        <v>0</v>
      </c>
      <c r="J283" s="1"/>
      <c r="K283" s="1"/>
      <c r="L283" s="1"/>
      <c r="M283" s="59">
        <f>SUM(J283:L283)</f>
        <v>0</v>
      </c>
      <c r="N283" s="1"/>
      <c r="O283" s="1"/>
      <c r="P283" s="1"/>
      <c r="Q283" s="59">
        <f>SUM(N283:P283)</f>
        <v>0</v>
      </c>
      <c r="R283" s="59">
        <f>+E283+I283+M283+Q283</f>
        <v>0</v>
      </c>
      <c r="T283" s="4" t="s">
        <v>134</v>
      </c>
    </row>
    <row r="284" spans="1:20" ht="15.75" customHeight="1" x14ac:dyDescent="0.3">
      <c r="A284" s="17" t="s">
        <v>64</v>
      </c>
      <c r="B284" s="1"/>
      <c r="C284" s="1"/>
      <c r="D284" s="1"/>
      <c r="E284" s="59" t="s">
        <v>7</v>
      </c>
      <c r="F284" s="1"/>
      <c r="G284" s="1"/>
      <c r="H284" s="1"/>
      <c r="I284" s="59" t="s">
        <v>7</v>
      </c>
      <c r="J284" s="1"/>
      <c r="K284" s="1"/>
      <c r="L284" s="1"/>
      <c r="M284" s="59" t="s">
        <v>7</v>
      </c>
      <c r="N284" s="1"/>
      <c r="O284" s="1"/>
      <c r="P284" s="1"/>
      <c r="Q284" s="59" t="s">
        <v>7</v>
      </c>
      <c r="R284" s="59" t="s">
        <v>7</v>
      </c>
    </row>
    <row r="285" spans="1:20" ht="15.75" customHeight="1" x14ac:dyDescent="0.3">
      <c r="A285" s="99" t="s">
        <v>278</v>
      </c>
      <c r="B285" s="1"/>
      <c r="C285" s="1"/>
      <c r="D285" s="1"/>
      <c r="E285" s="59">
        <f>SUM(B285:D285)</f>
        <v>0</v>
      </c>
      <c r="F285" s="1"/>
      <c r="G285" s="1"/>
      <c r="H285" s="1"/>
      <c r="I285" s="59">
        <f>SUM(F285:H285)</f>
        <v>0</v>
      </c>
      <c r="J285" s="1">
        <v>1000</v>
      </c>
      <c r="K285" s="1">
        <v>1000</v>
      </c>
      <c r="L285" s="315">
        <v>1000</v>
      </c>
      <c r="M285" s="59">
        <f>SUM(J285:L285)</f>
        <v>3000</v>
      </c>
      <c r="N285" s="315">
        <v>1000</v>
      </c>
      <c r="O285" s="1">
        <v>1000</v>
      </c>
      <c r="P285" s="1"/>
      <c r="Q285" s="59">
        <f>SUM(N285:P285)</f>
        <v>2000</v>
      </c>
      <c r="R285" s="59">
        <f>+E285+I285+M285+Q285</f>
        <v>5000</v>
      </c>
    </row>
    <row r="286" spans="1:20" ht="15.75" customHeight="1" x14ac:dyDescent="0.3">
      <c r="A286" s="99" t="s">
        <v>279</v>
      </c>
      <c r="B286" s="1"/>
      <c r="C286" s="1"/>
      <c r="D286" s="1"/>
      <c r="E286" s="59">
        <f>SUM(B286:D286)</f>
        <v>0</v>
      </c>
      <c r="F286" s="1"/>
      <c r="G286" s="1"/>
      <c r="H286" s="1"/>
      <c r="I286" s="59">
        <f>SUM(F286:H286)</f>
        <v>0</v>
      </c>
      <c r="J286" s="1"/>
      <c r="K286" s="1"/>
      <c r="L286" s="1">
        <v>150</v>
      </c>
      <c r="M286" s="59">
        <f>SUM(J286:L286)</f>
        <v>150</v>
      </c>
      <c r="N286" s="1">
        <v>650</v>
      </c>
      <c r="O286" s="1">
        <v>650</v>
      </c>
      <c r="P286" s="1">
        <v>620</v>
      </c>
      <c r="Q286" s="59">
        <f>SUM(N286:P286)</f>
        <v>1920</v>
      </c>
      <c r="R286" s="59">
        <f>+E286+I286+M286+Q286</f>
        <v>2070</v>
      </c>
      <c r="T286" s="4">
        <f>24000-SUM(R147,R151,R168,R171,R184,R202,R237,R238,R260,R282,R285,R286)</f>
        <v>-706</v>
      </c>
    </row>
    <row r="287" spans="1:20" ht="15.75" customHeight="1" x14ac:dyDescent="0.3">
      <c r="A287" s="74" t="s">
        <v>280</v>
      </c>
      <c r="B287" s="1"/>
      <c r="C287" s="1"/>
      <c r="D287" s="1"/>
      <c r="E287" s="59">
        <f t="shared" ref="E287:E292" si="92">SUM(B287:D287)</f>
        <v>0</v>
      </c>
      <c r="F287" s="1"/>
      <c r="G287" s="1"/>
      <c r="H287" s="1"/>
      <c r="I287" s="59">
        <f t="shared" ref="I287:I292" si="93">SUM(F287:H287)</f>
        <v>0</v>
      </c>
      <c r="J287" s="1"/>
      <c r="K287" s="1"/>
      <c r="L287" s="1"/>
      <c r="M287" s="59">
        <f t="shared" ref="M287:M292" si="94">SUM(J287:L287)</f>
        <v>0</v>
      </c>
      <c r="N287" s="1"/>
      <c r="O287" s="1"/>
      <c r="P287" s="1"/>
      <c r="Q287" s="59">
        <f t="shared" ref="Q287:Q292" si="95">SUM(N287:P287)</f>
        <v>0</v>
      </c>
      <c r="R287" s="59">
        <f t="shared" ref="R287:R292" si="96">+E287+I287+M287+Q287</f>
        <v>0</v>
      </c>
      <c r="S287" s="4" t="s">
        <v>136</v>
      </c>
    </row>
    <row r="288" spans="1:20" ht="15.75" customHeight="1" x14ac:dyDescent="0.3">
      <c r="A288" s="74" t="s">
        <v>281</v>
      </c>
      <c r="B288" s="1"/>
      <c r="C288" s="1"/>
      <c r="D288" s="1"/>
      <c r="E288" s="59">
        <f t="shared" si="92"/>
        <v>0</v>
      </c>
      <c r="F288" s="1"/>
      <c r="G288" s="1"/>
      <c r="H288" s="1"/>
      <c r="I288" s="59">
        <f t="shared" si="93"/>
        <v>0</v>
      </c>
      <c r="J288" s="1"/>
      <c r="K288" s="1"/>
      <c r="L288" s="1"/>
      <c r="M288" s="59">
        <f t="shared" si="94"/>
        <v>0</v>
      </c>
      <c r="N288" s="1"/>
      <c r="O288" s="1"/>
      <c r="P288" s="1"/>
      <c r="Q288" s="59">
        <f t="shared" si="95"/>
        <v>0</v>
      </c>
      <c r="R288" s="59">
        <f t="shared" si="96"/>
        <v>0</v>
      </c>
    </row>
    <row r="289" spans="1:20" ht="15.75" customHeight="1" x14ac:dyDescent="0.3">
      <c r="A289" s="91" t="s">
        <v>282</v>
      </c>
      <c r="B289" s="1"/>
      <c r="C289" s="1"/>
      <c r="D289" s="1"/>
      <c r="E289" s="59">
        <f t="shared" si="92"/>
        <v>0</v>
      </c>
      <c r="F289" s="1"/>
      <c r="G289" s="1"/>
      <c r="H289" s="1">
        <v>800</v>
      </c>
      <c r="I289" s="59">
        <f t="shared" si="93"/>
        <v>800</v>
      </c>
      <c r="J289" s="1">
        <v>800</v>
      </c>
      <c r="K289" s="1">
        <v>800</v>
      </c>
      <c r="L289" s="315">
        <v>1340</v>
      </c>
      <c r="M289" s="59">
        <f t="shared" si="94"/>
        <v>2940</v>
      </c>
      <c r="N289" s="315">
        <v>1240</v>
      </c>
      <c r="O289" s="1">
        <v>1290</v>
      </c>
      <c r="P289" s="1">
        <v>741</v>
      </c>
      <c r="Q289" s="59">
        <f t="shared" si="95"/>
        <v>3271</v>
      </c>
      <c r="R289" s="59">
        <f t="shared" si="96"/>
        <v>7011</v>
      </c>
    </row>
    <row r="290" spans="1:20" ht="15.75" customHeight="1" x14ac:dyDescent="0.3">
      <c r="A290" s="91" t="s">
        <v>283</v>
      </c>
      <c r="B290" s="1"/>
      <c r="C290" s="1"/>
      <c r="D290" s="1"/>
      <c r="E290" s="59">
        <f t="shared" si="92"/>
        <v>0</v>
      </c>
      <c r="F290" s="1"/>
      <c r="G290" s="1"/>
      <c r="H290" s="1"/>
      <c r="I290" s="59">
        <f t="shared" si="93"/>
        <v>0</v>
      </c>
      <c r="J290" s="1"/>
      <c r="K290" s="1"/>
      <c r="L290" s="1"/>
      <c r="M290" s="59">
        <f t="shared" si="94"/>
        <v>0</v>
      </c>
      <c r="N290" s="1"/>
      <c r="O290" s="1"/>
      <c r="P290" s="1"/>
      <c r="Q290" s="59">
        <f t="shared" si="95"/>
        <v>0</v>
      </c>
      <c r="R290" s="59">
        <f t="shared" si="96"/>
        <v>0</v>
      </c>
    </row>
    <row r="291" spans="1:20" ht="15.75" customHeight="1" x14ac:dyDescent="0.3">
      <c r="A291" s="61" t="s">
        <v>284</v>
      </c>
      <c r="B291" s="1"/>
      <c r="C291" s="1"/>
      <c r="D291" s="1"/>
      <c r="E291" s="59">
        <f t="shared" si="92"/>
        <v>0</v>
      </c>
      <c r="F291" s="1"/>
      <c r="G291" s="1"/>
      <c r="H291" s="1"/>
      <c r="I291" s="59">
        <f t="shared" si="93"/>
        <v>0</v>
      </c>
      <c r="J291" s="1"/>
      <c r="K291" s="1"/>
      <c r="L291" s="1"/>
      <c r="M291" s="59">
        <f t="shared" si="94"/>
        <v>0</v>
      </c>
      <c r="N291" s="1"/>
      <c r="O291" s="1"/>
      <c r="P291" s="1"/>
      <c r="Q291" s="59">
        <f t="shared" si="95"/>
        <v>0</v>
      </c>
      <c r="R291" s="59">
        <f t="shared" si="96"/>
        <v>0</v>
      </c>
    </row>
    <row r="292" spans="1:20" ht="15.75" customHeight="1" x14ac:dyDescent="0.3">
      <c r="A292" s="61" t="s">
        <v>285</v>
      </c>
      <c r="B292" s="1"/>
      <c r="C292" s="1"/>
      <c r="D292" s="1"/>
      <c r="E292" s="59">
        <f t="shared" si="92"/>
        <v>0</v>
      </c>
      <c r="F292" s="1"/>
      <c r="G292" s="1"/>
      <c r="H292" s="1"/>
      <c r="I292" s="59">
        <f t="shared" si="93"/>
        <v>0</v>
      </c>
      <c r="J292" s="1"/>
      <c r="K292" s="1"/>
      <c r="L292" s="1"/>
      <c r="M292" s="59">
        <f t="shared" si="94"/>
        <v>0</v>
      </c>
      <c r="N292" s="1"/>
      <c r="O292" s="1"/>
      <c r="P292" s="1"/>
      <c r="Q292" s="59">
        <f t="shared" si="95"/>
        <v>0</v>
      </c>
      <c r="R292" s="59">
        <f t="shared" si="96"/>
        <v>0</v>
      </c>
    </row>
    <row r="293" spans="1:20" ht="15.75" customHeight="1" x14ac:dyDescent="0.3">
      <c r="A293" s="17" t="s">
        <v>66</v>
      </c>
      <c r="B293" s="1"/>
      <c r="C293" s="1"/>
      <c r="D293" s="1"/>
      <c r="E293" s="59" t="s">
        <v>7</v>
      </c>
      <c r="F293" s="1"/>
      <c r="G293" s="1"/>
      <c r="H293" s="1"/>
      <c r="I293" s="59" t="s">
        <v>7</v>
      </c>
      <c r="J293" s="1"/>
      <c r="K293" s="1"/>
      <c r="L293" s="1"/>
      <c r="M293" s="59" t="s">
        <v>7</v>
      </c>
      <c r="N293" s="1"/>
      <c r="O293" s="1"/>
      <c r="P293" s="1"/>
      <c r="Q293" s="59" t="s">
        <v>7</v>
      </c>
      <c r="R293" s="59" t="s">
        <v>7</v>
      </c>
    </row>
    <row r="294" spans="1:20" ht="15.75" customHeight="1" x14ac:dyDescent="0.3">
      <c r="A294" s="99" t="s">
        <v>286</v>
      </c>
      <c r="B294" s="1"/>
      <c r="C294" s="1"/>
      <c r="D294" s="1"/>
      <c r="E294" s="59">
        <f t="shared" ref="E294" si="97">SUM(B294:D294)</f>
        <v>0</v>
      </c>
      <c r="F294" s="1"/>
      <c r="G294" s="1"/>
      <c r="H294" s="1"/>
      <c r="I294" s="59">
        <f t="shared" ref="I294" si="98">SUM(F294:H294)</f>
        <v>0</v>
      </c>
      <c r="J294" s="1"/>
      <c r="K294" s="1"/>
      <c r="L294" s="1"/>
      <c r="M294" s="59">
        <f t="shared" ref="M294" si="99">SUM(J294:L294)</f>
        <v>0</v>
      </c>
      <c r="N294" s="1"/>
      <c r="O294" s="1"/>
      <c r="P294" s="1"/>
      <c r="Q294" s="59">
        <f t="shared" ref="Q294" si="100">SUM(N294:P294)</f>
        <v>0</v>
      </c>
      <c r="R294" s="59">
        <f t="shared" ref="R294" si="101">+E294+I294+M294+Q294</f>
        <v>0</v>
      </c>
    </row>
    <row r="295" spans="1:20" ht="15.75" customHeight="1" x14ac:dyDescent="0.3">
      <c r="A295" s="17" t="s">
        <v>67</v>
      </c>
      <c r="B295" s="1"/>
      <c r="C295" s="1"/>
      <c r="D295" s="1"/>
      <c r="E295" s="59" t="s">
        <v>7</v>
      </c>
      <c r="F295" s="1"/>
      <c r="G295" s="1"/>
      <c r="H295" s="1"/>
      <c r="I295" s="59" t="s">
        <v>7</v>
      </c>
      <c r="J295" s="1"/>
      <c r="K295" s="1"/>
      <c r="L295" s="1"/>
      <c r="M295" s="59" t="s">
        <v>7</v>
      </c>
      <c r="N295" s="1"/>
      <c r="O295" s="1"/>
      <c r="P295" s="1"/>
      <c r="Q295" s="59" t="s">
        <v>7</v>
      </c>
      <c r="R295" s="59" t="s">
        <v>7</v>
      </c>
    </row>
    <row r="296" spans="1:20" ht="15.75" customHeight="1" thickBot="1" x14ac:dyDescent="0.35">
      <c r="A296" s="74" t="s">
        <v>287</v>
      </c>
      <c r="B296" s="1"/>
      <c r="C296" s="1"/>
      <c r="D296" s="1"/>
      <c r="E296" s="59">
        <f t="shared" ref="E296" si="102">SUM(B296:D296)</f>
        <v>0</v>
      </c>
      <c r="F296" s="1"/>
      <c r="G296" s="1"/>
      <c r="H296" s="1"/>
      <c r="I296" s="59">
        <f t="shared" ref="I296:I305" si="103">SUM(F296:H296)</f>
        <v>0</v>
      </c>
      <c r="J296" s="1"/>
      <c r="K296" s="1"/>
      <c r="L296" s="1"/>
      <c r="M296" s="59">
        <f t="shared" ref="M296:M305" si="104">SUM(J296:L296)</f>
        <v>0</v>
      </c>
      <c r="N296" s="1"/>
      <c r="O296" s="1"/>
      <c r="P296" s="1"/>
      <c r="Q296" s="59">
        <f t="shared" ref="Q296:Q305" si="105">SUM(N296:P296)</f>
        <v>0</v>
      </c>
      <c r="R296" s="59">
        <f t="shared" ref="R296:R305" si="106">+E296+I296+M296+Q296</f>
        <v>0</v>
      </c>
      <c r="S296" s="4" t="s">
        <v>136</v>
      </c>
    </row>
    <row r="297" spans="1:20" ht="16.5" customHeight="1" thickBot="1" x14ac:dyDescent="0.35">
      <c r="A297" s="62" t="s">
        <v>68</v>
      </c>
      <c r="B297" s="63">
        <f>SUM(B293:B296)</f>
        <v>0</v>
      </c>
      <c r="C297" s="63">
        <f>SUM(C293:C296)</f>
        <v>0</v>
      </c>
      <c r="D297" s="63">
        <f>SUM(D293:D296)</f>
        <v>0</v>
      </c>
      <c r="E297" s="65">
        <f t="shared" ref="E297:E302" si="107">SUM(B297:D297)</f>
        <v>0</v>
      </c>
      <c r="F297" s="63">
        <f>SUM(F293:F296)</f>
        <v>0</v>
      </c>
      <c r="G297" s="63">
        <f>SUM(G293:G296)</f>
        <v>0</v>
      </c>
      <c r="H297" s="63">
        <f>SUM(H293:H296)</f>
        <v>0</v>
      </c>
      <c r="I297" s="65">
        <f t="shared" si="103"/>
        <v>0</v>
      </c>
      <c r="J297" s="63">
        <f>SUM(J293:J296)</f>
        <v>0</v>
      </c>
      <c r="K297" s="63">
        <f>SUM(K293:K296)</f>
        <v>0</v>
      </c>
      <c r="L297" s="63">
        <f>SUM(L293:L296)</f>
        <v>0</v>
      </c>
      <c r="M297" s="65">
        <f t="shared" si="104"/>
        <v>0</v>
      </c>
      <c r="N297" s="63">
        <f>SUM(N293:N296)</f>
        <v>0</v>
      </c>
      <c r="O297" s="63">
        <f>SUM(O293:O296)</f>
        <v>0</v>
      </c>
      <c r="P297" s="63">
        <f>SUM(P293:P296)</f>
        <v>0</v>
      </c>
      <c r="Q297" s="65">
        <f t="shared" si="105"/>
        <v>0</v>
      </c>
      <c r="R297" s="64">
        <f t="shared" si="106"/>
        <v>0</v>
      </c>
    </row>
    <row r="298" spans="1:20" ht="16.5" customHeight="1" thickBot="1" x14ac:dyDescent="0.35">
      <c r="A298" s="62" t="s">
        <v>69</v>
      </c>
      <c r="B298" s="100">
        <f>SUM(B279:B296)</f>
        <v>0</v>
      </c>
      <c r="C298" s="101">
        <f>SUM(C279:C296)</f>
        <v>0</v>
      </c>
      <c r="D298" s="101">
        <f>SUM(D279:D296)</f>
        <v>0</v>
      </c>
      <c r="E298" s="64">
        <f t="shared" si="107"/>
        <v>0</v>
      </c>
      <c r="F298" s="101">
        <f>SUM(F279:F296)</f>
        <v>0</v>
      </c>
      <c r="G298" s="101">
        <f>SUM(G279:G296)</f>
        <v>0</v>
      </c>
      <c r="H298" s="101">
        <f>SUM(H279:H296)</f>
        <v>800</v>
      </c>
      <c r="I298" s="64">
        <f t="shared" si="103"/>
        <v>800</v>
      </c>
      <c r="J298" s="101">
        <f>SUM(J279:J296)</f>
        <v>1800</v>
      </c>
      <c r="K298" s="101">
        <f>SUM(K279:K296)</f>
        <v>1800</v>
      </c>
      <c r="L298" s="101">
        <f>SUM(L279:L296)</f>
        <v>2490</v>
      </c>
      <c r="M298" s="64">
        <f t="shared" si="104"/>
        <v>6090</v>
      </c>
      <c r="N298" s="101">
        <f>SUM(N279:N296)</f>
        <v>2890</v>
      </c>
      <c r="O298" s="101">
        <f>SUM(O279:O296)</f>
        <v>2940</v>
      </c>
      <c r="P298" s="101">
        <f>SUM(P279:P296)</f>
        <v>1361</v>
      </c>
      <c r="Q298" s="64">
        <f t="shared" si="105"/>
        <v>7191</v>
      </c>
      <c r="R298" s="64">
        <f t="shared" si="106"/>
        <v>14081</v>
      </c>
    </row>
    <row r="299" spans="1:20" ht="16.5" customHeight="1" thickBot="1" x14ac:dyDescent="0.35">
      <c r="A299" s="62" t="s">
        <v>70</v>
      </c>
      <c r="B299" s="107">
        <f>+B206+B213+B278+B298</f>
        <v>23082</v>
      </c>
      <c r="C299" s="63">
        <f>+C206+C213+C278+C298</f>
        <v>21795</v>
      </c>
      <c r="D299" s="63">
        <f>+D206+D213+D278+D298</f>
        <v>27957</v>
      </c>
      <c r="E299" s="88">
        <f t="shared" si="107"/>
        <v>72834</v>
      </c>
      <c r="F299" s="63">
        <f>+F206+F213+F278+F298</f>
        <v>29303</v>
      </c>
      <c r="G299" s="63">
        <f>+G206+G213+G278+G298</f>
        <v>34386</v>
      </c>
      <c r="H299" s="63">
        <f>+H206+H213+H278+H298</f>
        <v>41771</v>
      </c>
      <c r="I299" s="88">
        <f t="shared" si="103"/>
        <v>105460</v>
      </c>
      <c r="J299" s="63">
        <f>+J206+J213+J278+J298</f>
        <v>49443</v>
      </c>
      <c r="K299" s="63">
        <f>+K206+K213+K278+K298</f>
        <v>47083</v>
      </c>
      <c r="L299" s="63">
        <f>+L206+L213+L278+L298</f>
        <v>44894</v>
      </c>
      <c r="M299" s="88">
        <f t="shared" si="104"/>
        <v>141420</v>
      </c>
      <c r="N299" s="63">
        <f>+N206+N213+N278+N298</f>
        <v>34662</v>
      </c>
      <c r="O299" s="63">
        <f>+O206+O213+O278+O298</f>
        <v>28574</v>
      </c>
      <c r="P299" s="63">
        <f>+P206+P213+P278+P298</f>
        <v>24983</v>
      </c>
      <c r="Q299" s="88">
        <f t="shared" si="105"/>
        <v>88219</v>
      </c>
      <c r="R299" s="88">
        <f t="shared" si="106"/>
        <v>407933</v>
      </c>
    </row>
    <row r="300" spans="1:20" ht="15.75" customHeight="1" x14ac:dyDescent="0.3">
      <c r="A300" s="102" t="s">
        <v>288</v>
      </c>
      <c r="B300" s="1"/>
      <c r="C300" s="1">
        <v>1647</v>
      </c>
      <c r="D300" s="1">
        <v>2938</v>
      </c>
      <c r="E300" s="59">
        <f t="shared" si="107"/>
        <v>4585</v>
      </c>
      <c r="F300" s="1">
        <v>2764</v>
      </c>
      <c r="G300" s="1">
        <v>1945</v>
      </c>
      <c r="H300" s="1">
        <v>1747</v>
      </c>
      <c r="I300" s="59">
        <f t="shared" si="103"/>
        <v>6456</v>
      </c>
      <c r="J300" s="1">
        <v>2124</v>
      </c>
      <c r="K300" s="1">
        <v>1510</v>
      </c>
      <c r="L300" s="1">
        <f>1729+1500</f>
        <v>3229</v>
      </c>
      <c r="M300" s="59">
        <f t="shared" si="104"/>
        <v>6863</v>
      </c>
      <c r="N300" s="1">
        <f>2027+750</f>
        <v>2777</v>
      </c>
      <c r="O300" s="1">
        <f>3117+469</f>
        <v>3586</v>
      </c>
      <c r="P300" s="1">
        <v>882</v>
      </c>
      <c r="Q300" s="59">
        <f t="shared" si="105"/>
        <v>7245</v>
      </c>
      <c r="R300" s="59">
        <f t="shared" si="106"/>
        <v>25149</v>
      </c>
      <c r="T300" s="4" t="s">
        <v>121</v>
      </c>
    </row>
    <row r="301" spans="1:20" ht="15.75" customHeight="1" x14ac:dyDescent="0.3">
      <c r="A301" s="108" t="s">
        <v>289</v>
      </c>
      <c r="B301" s="1"/>
      <c r="C301" s="1"/>
      <c r="D301" s="1"/>
      <c r="E301" s="59">
        <f t="shared" si="107"/>
        <v>0</v>
      </c>
      <c r="F301" s="1"/>
      <c r="G301" s="1"/>
      <c r="H301" s="1"/>
      <c r="I301" s="59">
        <f t="shared" si="103"/>
        <v>0</v>
      </c>
      <c r="J301" s="1"/>
      <c r="K301" s="1"/>
      <c r="L301" s="1"/>
      <c r="M301" s="59">
        <f t="shared" si="104"/>
        <v>0</v>
      </c>
      <c r="N301" s="1"/>
      <c r="O301" s="1"/>
      <c r="P301" s="1"/>
      <c r="Q301" s="59">
        <f t="shared" si="105"/>
        <v>0</v>
      </c>
      <c r="R301" s="59">
        <f t="shared" si="106"/>
        <v>0</v>
      </c>
    </row>
    <row r="302" spans="1:20" ht="15.75" customHeight="1" x14ac:dyDescent="0.3">
      <c r="A302" s="74" t="s">
        <v>290</v>
      </c>
      <c r="B302" s="1"/>
      <c r="C302" s="1"/>
      <c r="D302" s="1"/>
      <c r="E302" s="59">
        <f t="shared" si="107"/>
        <v>0</v>
      </c>
      <c r="F302" s="1"/>
      <c r="G302" s="1"/>
      <c r="H302" s="1"/>
      <c r="I302" s="59">
        <f t="shared" si="103"/>
        <v>0</v>
      </c>
      <c r="J302" s="1"/>
      <c r="K302" s="1"/>
      <c r="L302" s="1"/>
      <c r="M302" s="59">
        <f t="shared" si="104"/>
        <v>0</v>
      </c>
      <c r="N302" s="1"/>
      <c r="O302" s="1"/>
      <c r="P302" s="1"/>
      <c r="Q302" s="59">
        <f t="shared" si="105"/>
        <v>0</v>
      </c>
      <c r="R302" s="59">
        <f t="shared" si="106"/>
        <v>0</v>
      </c>
    </row>
    <row r="303" spans="1:20" ht="15.75" customHeight="1" x14ac:dyDescent="0.3">
      <c r="A303" s="108" t="s">
        <v>291</v>
      </c>
      <c r="B303" s="1">
        <v>42</v>
      </c>
      <c r="C303" s="1">
        <v>43</v>
      </c>
      <c r="D303" s="1">
        <v>47</v>
      </c>
      <c r="E303" s="59">
        <f>SUM(B303:D303)</f>
        <v>132</v>
      </c>
      <c r="F303" s="1">
        <v>52</v>
      </c>
      <c r="G303" s="1">
        <v>52</v>
      </c>
      <c r="H303" s="1">
        <v>57</v>
      </c>
      <c r="I303" s="59">
        <f>SUM(F303:H303)</f>
        <v>161</v>
      </c>
      <c r="J303" s="1">
        <v>62</v>
      </c>
      <c r="K303" s="1">
        <v>62</v>
      </c>
      <c r="L303" s="1">
        <v>62</v>
      </c>
      <c r="M303" s="59">
        <f>SUM(J303:L303)</f>
        <v>186</v>
      </c>
      <c r="N303" s="1">
        <v>57</v>
      </c>
      <c r="O303" s="1">
        <v>42</v>
      </c>
      <c r="P303" s="1">
        <v>47</v>
      </c>
      <c r="Q303" s="59">
        <f>SUM(N303:P303)</f>
        <v>146</v>
      </c>
      <c r="R303" s="59">
        <f t="shared" si="106"/>
        <v>625</v>
      </c>
    </row>
    <row r="304" spans="1:20" ht="15.75" customHeight="1" x14ac:dyDescent="0.3">
      <c r="A304" s="91" t="s">
        <v>292</v>
      </c>
      <c r="B304" s="1">
        <v>22000</v>
      </c>
      <c r="C304" s="1">
        <v>35000</v>
      </c>
      <c r="D304" s="1">
        <v>56000</v>
      </c>
      <c r="E304" s="59">
        <f t="shared" ref="E304" si="108">SUM(B304:D304)</f>
        <v>113000</v>
      </c>
      <c r="F304" s="1">
        <v>28000</v>
      </c>
      <c r="G304" s="1">
        <v>18000</v>
      </c>
      <c r="H304" s="1"/>
      <c r="I304" s="59">
        <f t="shared" ref="I304" si="109">SUM(F304:H304)</f>
        <v>46000</v>
      </c>
      <c r="J304" s="1"/>
      <c r="K304" s="1"/>
      <c r="L304" s="1">
        <v>7000</v>
      </c>
      <c r="M304" s="59">
        <f t="shared" ref="M304" si="110">SUM(J304:L304)</f>
        <v>7000</v>
      </c>
      <c r="N304" s="1">
        <v>59000</v>
      </c>
      <c r="O304" s="1">
        <v>83000</v>
      </c>
      <c r="P304" s="1">
        <v>80000</v>
      </c>
      <c r="Q304" s="59">
        <f t="shared" si="105"/>
        <v>222000</v>
      </c>
      <c r="R304" s="59">
        <f t="shared" si="106"/>
        <v>388000</v>
      </c>
    </row>
    <row r="305" spans="1:18" ht="16.5" customHeight="1" thickBot="1" x14ac:dyDescent="0.35">
      <c r="A305" s="40" t="s">
        <v>37</v>
      </c>
      <c r="B305" s="25">
        <v>104</v>
      </c>
      <c r="C305" s="25">
        <v>268</v>
      </c>
      <c r="D305" s="25">
        <v>474</v>
      </c>
      <c r="E305" s="59">
        <f>SUM(B305:D305)</f>
        <v>846</v>
      </c>
      <c r="F305" s="25">
        <v>647</v>
      </c>
      <c r="G305" s="25">
        <v>742</v>
      </c>
      <c r="H305" s="25">
        <v>781</v>
      </c>
      <c r="I305" s="59">
        <f t="shared" si="103"/>
        <v>2170</v>
      </c>
      <c r="J305" s="25">
        <v>774</v>
      </c>
      <c r="K305" s="25">
        <v>596</v>
      </c>
      <c r="L305" s="25">
        <v>546</v>
      </c>
      <c r="M305" s="59">
        <f t="shared" si="104"/>
        <v>1916</v>
      </c>
      <c r="N305" s="25">
        <v>517</v>
      </c>
      <c r="O305" s="25">
        <v>413</v>
      </c>
      <c r="P305" s="25">
        <v>302</v>
      </c>
      <c r="Q305" s="59">
        <f t="shared" si="105"/>
        <v>1232</v>
      </c>
      <c r="R305" s="59">
        <f t="shared" si="106"/>
        <v>6164</v>
      </c>
    </row>
    <row r="306" spans="1:18" ht="16.5" customHeight="1" thickBot="1" x14ac:dyDescent="0.35">
      <c r="A306" s="80"/>
      <c r="B306" s="81"/>
      <c r="C306" s="81"/>
      <c r="D306" s="81"/>
      <c r="E306" s="65"/>
      <c r="F306" s="81"/>
      <c r="G306" s="81"/>
      <c r="H306" s="81"/>
      <c r="I306" s="64"/>
      <c r="J306" s="81"/>
      <c r="K306" s="81"/>
      <c r="L306" s="81"/>
      <c r="M306" s="64"/>
      <c r="N306" s="81"/>
      <c r="O306" s="81"/>
      <c r="P306" s="81"/>
      <c r="Q306" s="64"/>
      <c r="R306" s="64" t="s">
        <v>7</v>
      </c>
    </row>
    <row r="307" spans="1:18" ht="15.75" customHeight="1" x14ac:dyDescent="0.3">
      <c r="A307" s="82" t="s">
        <v>38</v>
      </c>
      <c r="B307" s="83">
        <f>SUM(B299:B305)</f>
        <v>45228</v>
      </c>
      <c r="C307" s="83">
        <f>SUM(C299:C305)</f>
        <v>58753</v>
      </c>
      <c r="D307" s="83">
        <f>SUM(D299:D305)</f>
        <v>87416</v>
      </c>
      <c r="E307" s="65">
        <f>SUM(B307:D307)</f>
        <v>191397</v>
      </c>
      <c r="F307" s="83">
        <f>SUM(F299:F305)</f>
        <v>60766</v>
      </c>
      <c r="G307" s="83">
        <f>SUM(G299:G305)</f>
        <v>55125</v>
      </c>
      <c r="H307" s="83">
        <f>SUM(H299:H305)</f>
        <v>44356</v>
      </c>
      <c r="I307" s="65">
        <f>SUM(F307:H307)</f>
        <v>160247</v>
      </c>
      <c r="J307" s="83">
        <f>SUM(J299:J305)</f>
        <v>52403</v>
      </c>
      <c r="K307" s="83">
        <f>SUM(K299:K305)</f>
        <v>49251</v>
      </c>
      <c r="L307" s="83">
        <f>SUM(L299:L305)</f>
        <v>55731</v>
      </c>
      <c r="M307" s="65">
        <f>SUM(J307:L307)</f>
        <v>157385</v>
      </c>
      <c r="N307" s="83">
        <f>SUM(N299:N305)</f>
        <v>97013</v>
      </c>
      <c r="O307" s="83">
        <f>SUM(O299:O305)</f>
        <v>115615</v>
      </c>
      <c r="P307" s="83">
        <f>SUM(P299:P305)</f>
        <v>106214</v>
      </c>
      <c r="Q307" s="109">
        <f>SUM(N307:P307)</f>
        <v>318842</v>
      </c>
      <c r="R307" s="65">
        <f>+E307+I307+M307+Q307</f>
        <v>827871</v>
      </c>
    </row>
    <row r="308" spans="1:18" ht="15.75" customHeight="1" x14ac:dyDescent="0.3">
      <c r="A308" s="85" t="s">
        <v>39</v>
      </c>
      <c r="B308" s="1">
        <f>(B307/B10)/1.983</f>
        <v>735.73764091552391</v>
      </c>
      <c r="C308" s="1">
        <f>(C307/C10)/1.983</f>
        <v>1058.1550320582089</v>
      </c>
      <c r="D308" s="1">
        <f>(D307/D10)/1.983</f>
        <v>1422.022676622257</v>
      </c>
      <c r="E308" s="59" t="s">
        <v>7</v>
      </c>
      <c r="F308" s="1">
        <f>(F307/F10)/1.983</f>
        <v>1021.4489830223566</v>
      </c>
      <c r="G308" s="1">
        <f>(G307/G10)/1.983</f>
        <v>896.73515201795908</v>
      </c>
      <c r="H308" s="1">
        <f>(H307/H10)/1.983</f>
        <v>745.60430324424271</v>
      </c>
      <c r="I308" s="59" t="s">
        <v>7</v>
      </c>
      <c r="J308" s="1">
        <f>(J307/J10)/1.983</f>
        <v>852.45554959087724</v>
      </c>
      <c r="K308" s="1">
        <f>(K307/K10)/1.983</f>
        <v>801.18100629544676</v>
      </c>
      <c r="L308" s="1">
        <f>(L307/L10)/1.983</f>
        <v>936.81290973272814</v>
      </c>
      <c r="M308" s="59" t="s">
        <v>7</v>
      </c>
      <c r="N308" s="1">
        <f>(N307/N10)/1.983</f>
        <v>1578.139996421193</v>
      </c>
      <c r="O308" s="1">
        <f>(O307/O10)/1.983</f>
        <v>1943.4358715750545</v>
      </c>
      <c r="P308" s="1">
        <f>(P307/P10)/1.983</f>
        <v>1727.8154636995105</v>
      </c>
      <c r="Q308" s="110" t="s">
        <v>7</v>
      </c>
      <c r="R308" s="59" t="s">
        <v>7</v>
      </c>
    </row>
    <row r="309" spans="1:18" ht="15.75" customHeight="1" x14ac:dyDescent="0.3">
      <c r="A309" s="85" t="s">
        <v>293</v>
      </c>
      <c r="B309" s="1">
        <f>(+B307+B478)+B316</f>
        <v>87545</v>
      </c>
      <c r="C309" s="1">
        <f>(+C307+C478)+C316</f>
        <v>108840</v>
      </c>
      <c r="D309" s="1">
        <f>(+D307+D478)+D316</f>
        <v>175393</v>
      </c>
      <c r="E309" s="59">
        <f>SUM(B309:D309)</f>
        <v>371778</v>
      </c>
      <c r="F309" s="1">
        <f>(+F307+F478)+F316</f>
        <v>166790</v>
      </c>
      <c r="G309" s="1">
        <f>(+G307+G478)+G316</f>
        <v>178680</v>
      </c>
      <c r="H309" s="1">
        <f>(+H307+H478)+H316</f>
        <v>65196</v>
      </c>
      <c r="I309" s="59">
        <f>SUM(F309:H309)</f>
        <v>410666</v>
      </c>
      <c r="J309" s="1">
        <f>(+J307+J478)+J316</f>
        <v>66794</v>
      </c>
      <c r="K309" s="1">
        <f>(+K307+K478)+K316</f>
        <v>25585</v>
      </c>
      <c r="L309" s="1">
        <f>(+L307+L478)+L316</f>
        <v>146692</v>
      </c>
      <c r="M309" s="59">
        <f>SUM(J309:L309)</f>
        <v>239071</v>
      </c>
      <c r="N309" s="1">
        <f>(+N307+N478)+N316</f>
        <v>159863</v>
      </c>
      <c r="O309" s="1">
        <f>(+O307+O478)+O316</f>
        <v>155700</v>
      </c>
      <c r="P309" s="1">
        <f>(+P307+P478)+P316</f>
        <v>151924</v>
      </c>
      <c r="Q309" s="110">
        <f>SUM(N309:P309)</f>
        <v>467487</v>
      </c>
      <c r="R309" s="59">
        <f>+E309+I309+M309+Q309</f>
        <v>1489002</v>
      </c>
    </row>
    <row r="310" spans="1:18" ht="16.5" customHeight="1" thickBot="1" x14ac:dyDescent="0.35">
      <c r="A310" s="86" t="s">
        <v>294</v>
      </c>
      <c r="B310" s="87">
        <f>(B309/B10)/1.983</f>
        <v>1424.1211588827614</v>
      </c>
      <c r="C310" s="87">
        <f>(C309/C10)/1.983</f>
        <v>1960.2334125783445</v>
      </c>
      <c r="D310" s="87">
        <f>(D309/D10)/1.983</f>
        <v>2853.1713109820571</v>
      </c>
      <c r="E310" s="88" t="s">
        <v>7</v>
      </c>
      <c r="F310" s="87">
        <f>(F309/F10)/1.983</f>
        <v>2803.6644814254496</v>
      </c>
      <c r="G310" s="87">
        <f>(G309/G10)/1.983</f>
        <v>2906.6419403640621</v>
      </c>
      <c r="H310" s="87">
        <f>(H309/H10)/1.983</f>
        <v>1095.9152798789712</v>
      </c>
      <c r="I310" s="88" t="s">
        <v>7</v>
      </c>
      <c r="J310" s="87">
        <f>(J309/J10)/1.983</f>
        <v>1086.5583264197289</v>
      </c>
      <c r="K310" s="87">
        <f>(K309/K10)/1.983</f>
        <v>416.19898166674801</v>
      </c>
      <c r="L310" s="87">
        <f>(L309/L10)/1.983</f>
        <v>2465.8261892755086</v>
      </c>
      <c r="M310" s="88" t="s">
        <v>7</v>
      </c>
      <c r="N310" s="87">
        <f>(N309/N10)/1.983</f>
        <v>2600.5400745042539</v>
      </c>
      <c r="O310" s="87">
        <f>(O309/O10)/1.983</f>
        <v>2617.2465960665659</v>
      </c>
      <c r="P310" s="87">
        <f>(P309/P10)/1.983</f>
        <v>2471.3939453093226</v>
      </c>
      <c r="Q310" s="111" t="s">
        <v>7</v>
      </c>
      <c r="R310" s="88" t="s">
        <v>7</v>
      </c>
    </row>
    <row r="311" spans="1:18" ht="16.5" customHeight="1" thickBot="1" x14ac:dyDescent="0.35">
      <c r="A311" s="112" t="s">
        <v>295</v>
      </c>
      <c r="B311" s="113">
        <f>+(B309-(B141+B142+B143+B144+D146+B147+B148+B151+B152+B153+B157+B159++B165+B166+B168+B169+B171+B172+B173+B174+B175+B184+B185+B186+B197+B200+B202+B203+B210+B217+B218+B220+B221+B234+B236+B237+B238+B239+B241+B242+B243+B251+B260+B261+B282+B283+B285+B286+B289+B290+B294+B300+B304+B312)-B316)/(B10*1.983)</f>
        <v>993.31413791420619</v>
      </c>
      <c r="C311" s="113">
        <f>+(C309-(C141+C142+C143+C144+C146+C147+C148+C151+C152+C153+C157+C159++C165+C166+C168+C169+C171+C172+C173+C174+C175+C184+C185+C186+C197+C200+C202+C203+C210+C217+C218+C220+C221+C234+C236+C237+C238+C239+C241+C242+C243+C251+C260+C261+C282+C283+C285+C286+C289+C290+C294+C300+C304+C312)-C316)/(C10*1.983)</f>
        <v>1230.9271666306463</v>
      </c>
      <c r="D311" s="113">
        <f>+(D309-(D141+D142+D143+D144+D146+D147+D148+D151+D152+D153+D157+D159++D165+D166+D168+D169+D171+D172+D173+D174+D175+D184+D185+D186+D197+D200+D202+D203+D210+D217+D218+D220+D221+D234+D236+D237+D238+D239+D241+D242+D243+D251+D260+D261+D282+D283+D285+D286+D289+D290+D294+D300+D304+D312)-D316)/(D10*1.983)</f>
        <v>1794.2836692531678</v>
      </c>
      <c r="E311" s="114"/>
      <c r="F311" s="113">
        <f>+(F309-(F141+F142+F143+F144+F146+F147+F148+F151+F152+F153+F157+F159++F165+F166+F168+F169+F171+F172+F173+F174+F175+F184+F185+F186+F197+F200+F202+F203+F210+F217+F218+F220+F221+F234+F236+F237+F238+F239+F241+F242+F243+F251+F260+F261+F282+F283+F285+F286+F289+F290+F294+F300+F304+F312)-F316)/(F10*1.983)</f>
        <v>2174.1301059001512</v>
      </c>
      <c r="G311" s="113">
        <f>+(G309-(G141+G142+G143+G144+G146+G147+G148+G151+G152+G153+G157+G159++G165+G166+G168+G169+G171+G172+G173+G174+G175+G184+G185+G186+G197+G200+G202+G203+G210+G217+G218+G220+G221+G234+G236+G237+G238+G239+G241+G242+G243+G251+G260+G261+G282+G283+G285+G286+G289+G290+G294+G300+G304+G312)-G316)/(G10*1.983)</f>
        <v>2438.0785060107687</v>
      </c>
      <c r="H311" s="113">
        <f>+(H309-(H141+H142+H143+H144+H146+H147+H148+H151+H152+H153+H157+H159++H165+H166+H168+H169+H171+H172+H173+H174+H175+H184+H185+H186+H197+H200+H202+H203+H210+H217+H218+H220+H221+H234+H236+H237+H238+H239+H241+H242+H243+H251+H260+H261+H282+H283+H285+H286+H289+H290+H294+H300+H304+H312)-H316)/(H10*1.983)</f>
        <v>3006.2531517902166</v>
      </c>
      <c r="I311" s="114"/>
      <c r="J311" s="113">
        <f>+(J309-(J141+J142+J143+J144+J146+J147+J148+J151+J152+J153+J157+J159++J165+J166+J168+J169+J171+J172+J173+J174+J175+J184+J185+J186+J197+J200+J202+J203+J210+J217+J218+J220+J221+J234+J236+J237+J238+J239+J241+J242+J243+J251+J260+J261+J282+J283+J285+J286+J289+J290+J294+J300+J304+J312)-J316)/(J10*1.983)</f>
        <v>3005.8074276511638</v>
      </c>
      <c r="K311" s="113">
        <f>+(K309-(K141+K142+K143+K144+K146+K147+K148+K151+K152+K153+K157+K159++K165+K166+K168+K169+K171+K172+K173+K174+K175+K184+K185+K186+K197+K200+K202+K203+K210+K217+K218+K220+K221+K234+K236+K237+K238+K239+K241+K242+K243+K251+K260+K261+K282+K283+K285+K286+K289+K290+K294+K300+K304+K312)-K316)/(K10*1.983)</f>
        <v>2790.6072584711983</v>
      </c>
      <c r="L311" s="113">
        <f>+(L309-(L141+L142+L143+L144+L146+L147+L148+L151+L152+L153+L157+L159++L165+L166+L168+L169+L171+L172+L173+L174+L175+L184+L185+L186+L197+L200+L202+L203+L210+L217+L218+L220+L221+L234+L236+L237+L238+L239+L241+L242+L243+L251+L260+L261+L282+L283+L285+L286+L289+L290+L294+L300+L304+L312)-L316)/(L10*1.983)</f>
        <v>2148.8317364262903</v>
      </c>
      <c r="M311" s="114"/>
      <c r="N311" s="113">
        <f>+(N309-(N141+N142+N143+N144+N146+N147+N148+N151+N152+N153+N157+N159++N165+N166+N168+N169+N171+N172+N173+N174+N175+N184+N185+N186+N197+N200+N202+N203+N210+N217+N218+N220+N221+N234+N236+N237+N238+N239+N241+N242+N243+N251+N260+N261+N282+N283+N285+N286+N289+N290+N294+N300+N304+N312)-N316)/(N10*1.983)</f>
        <v>1461.9426414848795</v>
      </c>
      <c r="O311" s="113">
        <f>+(O309-(O141+O142+O143+O144+O146+O147+O148+O151+O152+O153+O157+O159++O165+O166+O168+O169+O171+O172+O173+O174+O175+O184+O185+O186+O197+O200+O202+O203+O210+O217+O218+O220+O222+O234+O236+O237+O238+O239+O241+O242+O243+O251+O260+O261+O282+O283+O285+O286+O289+O290+O294+O300+O304+O312)-O316)/(O10*1.983)</f>
        <v>1070.5328626659943</v>
      </c>
      <c r="P311" s="113">
        <f>+(P309-(P141+P142+P143+P144+P146+P147+P148+P151+P152+P153+P157+P159++P165+P166+P168+P169+P171+P172+P173+P174+P175+P184+P185+P186+P197+P200+P202+P203+P210+P217+P218+P220+P222+P234+P236+P237+P238+P239+P241+P242+P243+P251+P260+P261+P282+P283+P285+P286+P289+P290+P294+P300+P304+P312)-P316)/(P10*1.983)</f>
        <v>1100.1415255478014</v>
      </c>
      <c r="Q311" s="115"/>
      <c r="R311" s="114"/>
    </row>
    <row r="312" spans="1:18" ht="15.75" customHeight="1" x14ac:dyDescent="0.3">
      <c r="A312" s="116" t="s">
        <v>296</v>
      </c>
      <c r="B312" s="1"/>
      <c r="C312" s="1"/>
      <c r="D312" s="1"/>
      <c r="E312" s="1"/>
      <c r="F312" s="1"/>
      <c r="G312" s="1"/>
      <c r="H312" s="1"/>
      <c r="I312" s="1"/>
      <c r="J312" s="1"/>
      <c r="K312" s="1"/>
      <c r="L312" s="1"/>
      <c r="M312" s="1"/>
      <c r="N312" s="1"/>
      <c r="O312" s="1"/>
      <c r="P312" s="1"/>
      <c r="Q312" s="1"/>
      <c r="R312" s="28"/>
    </row>
    <row r="313" spans="1:18" ht="15.75" customHeight="1" thickBot="1" x14ac:dyDescent="0.35">
      <c r="A313" s="30"/>
      <c r="B313" s="1"/>
      <c r="C313" s="1"/>
      <c r="D313" s="1"/>
      <c r="E313" s="1"/>
      <c r="F313" s="1"/>
      <c r="G313" s="1"/>
      <c r="H313" s="1"/>
      <c r="I313" s="1"/>
      <c r="J313" s="1"/>
      <c r="K313" s="1"/>
      <c r="L313" s="1"/>
      <c r="M313" s="1"/>
      <c r="N313" s="1"/>
      <c r="O313" s="1"/>
      <c r="P313" s="1"/>
      <c r="Q313" s="1"/>
      <c r="R313" s="28"/>
    </row>
    <row r="314" spans="1:18" ht="16.5" customHeight="1" thickBot="1" x14ac:dyDescent="0.35">
      <c r="A314" s="31" t="s">
        <v>297</v>
      </c>
      <c r="B314" s="32" t="s">
        <v>36</v>
      </c>
      <c r="C314" s="33" t="s">
        <v>9</v>
      </c>
      <c r="D314" s="33" t="s">
        <v>10</v>
      </c>
      <c r="E314" s="12" t="s">
        <v>11</v>
      </c>
      <c r="F314" s="33" t="s">
        <v>12</v>
      </c>
      <c r="G314" s="33" t="s">
        <v>13</v>
      </c>
      <c r="H314" s="33" t="s">
        <v>14</v>
      </c>
      <c r="I314" s="34" t="s">
        <v>15</v>
      </c>
      <c r="J314" s="33" t="s">
        <v>16</v>
      </c>
      <c r="K314" s="33" t="s">
        <v>17</v>
      </c>
      <c r="L314" s="33" t="s">
        <v>18</v>
      </c>
      <c r="M314" s="34" t="s">
        <v>19</v>
      </c>
      <c r="N314" s="33" t="s">
        <v>20</v>
      </c>
      <c r="O314" s="33" t="s">
        <v>21</v>
      </c>
      <c r="P314" s="33" t="s">
        <v>22</v>
      </c>
      <c r="Q314" s="34" t="s">
        <v>23</v>
      </c>
      <c r="R314" s="35" t="s">
        <v>24</v>
      </c>
    </row>
    <row r="315" spans="1:18" ht="16.5" customHeight="1" thickBot="1" x14ac:dyDescent="0.35">
      <c r="A315" s="80"/>
      <c r="B315" s="81"/>
      <c r="C315" s="81"/>
      <c r="D315" s="81"/>
      <c r="E315" s="89"/>
      <c r="F315" s="81"/>
      <c r="G315" s="81"/>
      <c r="H315" s="81"/>
      <c r="I315" s="89"/>
      <c r="J315" s="81"/>
      <c r="K315" s="81"/>
      <c r="L315" s="81"/>
      <c r="M315" s="89"/>
      <c r="N315" s="81"/>
      <c r="O315" s="81"/>
      <c r="P315" s="81"/>
      <c r="Q315" s="89"/>
      <c r="R315" s="117"/>
    </row>
    <row r="316" spans="1:18" ht="15.75" customHeight="1" thickBot="1" x14ac:dyDescent="0.35">
      <c r="A316" s="74" t="s">
        <v>298</v>
      </c>
      <c r="B316" s="1"/>
      <c r="C316" s="1"/>
      <c r="D316" s="1"/>
      <c r="E316" s="59">
        <f>SUM(B316:D316)</f>
        <v>0</v>
      </c>
      <c r="F316" s="1"/>
      <c r="G316" s="1"/>
      <c r="H316" s="1">
        <v>-126000</v>
      </c>
      <c r="I316" s="59">
        <f>SUM(F316:H316)</f>
        <v>-126000</v>
      </c>
      <c r="J316" s="1">
        <v>-129000</v>
      </c>
      <c r="K316" s="1">
        <v>-155000</v>
      </c>
      <c r="L316" s="1"/>
      <c r="M316" s="59">
        <f>SUM(J316:L316)</f>
        <v>-284000</v>
      </c>
      <c r="N316" s="1"/>
      <c r="O316" s="1"/>
      <c r="P316" s="1"/>
      <c r="Q316" s="59">
        <f>SUM(N316:P316)</f>
        <v>0</v>
      </c>
      <c r="R316" s="59">
        <f>+E316+I316+M316+Q316</f>
        <v>-410000</v>
      </c>
    </row>
    <row r="317" spans="1:18" ht="16.5" customHeight="1" thickBot="1" x14ac:dyDescent="0.35">
      <c r="A317" s="118"/>
      <c r="B317" s="119"/>
      <c r="C317" s="119"/>
      <c r="D317" s="119"/>
      <c r="E317" s="120"/>
      <c r="F317" s="119"/>
      <c r="G317" s="119"/>
      <c r="H317" s="119"/>
      <c r="I317" s="120"/>
      <c r="J317" s="119"/>
      <c r="K317" s="119"/>
      <c r="L317" s="119"/>
      <c r="M317" s="120"/>
      <c r="N317" s="119"/>
      <c r="O317" s="119"/>
      <c r="P317" s="119"/>
      <c r="Q317" s="120"/>
      <c r="R317" s="121"/>
    </row>
    <row r="318" spans="1:18" ht="15.75" customHeight="1" x14ac:dyDescent="0.3">
      <c r="A318" s="17" t="s">
        <v>32</v>
      </c>
      <c r="B318" s="1">
        <f>B316</f>
        <v>0</v>
      </c>
      <c r="C318" s="1">
        <f>C316</f>
        <v>0</v>
      </c>
      <c r="D318" s="1">
        <f>D316</f>
        <v>0</v>
      </c>
      <c r="E318" s="59">
        <f>SUM(B318:D318)</f>
        <v>0</v>
      </c>
      <c r="F318" s="1">
        <f>F316</f>
        <v>0</v>
      </c>
      <c r="G318" s="1">
        <f>G316</f>
        <v>0</v>
      </c>
      <c r="H318" s="1">
        <f>H316</f>
        <v>-126000</v>
      </c>
      <c r="I318" s="59">
        <f>SUM(F318:H318)</f>
        <v>-126000</v>
      </c>
      <c r="J318" s="1">
        <f>J316</f>
        <v>-129000</v>
      </c>
      <c r="K318" s="1">
        <f>K316</f>
        <v>-155000</v>
      </c>
      <c r="L318" s="1">
        <f>L316</f>
        <v>0</v>
      </c>
      <c r="M318" s="59">
        <f>SUM(J318:L318)</f>
        <v>-284000</v>
      </c>
      <c r="N318" s="1">
        <f>N316</f>
        <v>0</v>
      </c>
      <c r="O318" s="1">
        <f>O316</f>
        <v>0</v>
      </c>
      <c r="P318" s="1">
        <f>P316</f>
        <v>0</v>
      </c>
      <c r="Q318" s="59">
        <f>SUM(N318:P318)</f>
        <v>0</v>
      </c>
      <c r="R318" s="122">
        <f>R316</f>
        <v>-410000</v>
      </c>
    </row>
    <row r="319" spans="1:18" ht="16.5" customHeight="1" thickBot="1" x14ac:dyDescent="0.35">
      <c r="A319" s="24" t="s">
        <v>39</v>
      </c>
      <c r="B319" s="25">
        <f>(B318/B10)/1.983</f>
        <v>0</v>
      </c>
      <c r="C319" s="25">
        <f>(C318/C10)/1.983</f>
        <v>0</v>
      </c>
      <c r="D319" s="25">
        <f>(D318/D10)/1.983</f>
        <v>0</v>
      </c>
      <c r="E319" s="88"/>
      <c r="F319" s="25">
        <f>(F318/F10)/1.983</f>
        <v>0</v>
      </c>
      <c r="G319" s="25">
        <f>(G318/G10)/1.983</f>
        <v>0</v>
      </c>
      <c r="H319" s="25">
        <f>(H318/H10)/1.983</f>
        <v>-2118.0030257186081</v>
      </c>
      <c r="I319" s="88"/>
      <c r="J319" s="25">
        <f>(J318/J10)/1.983</f>
        <v>-2098.4822605046115</v>
      </c>
      <c r="K319" s="25">
        <f>(K318/K10)/1.983</f>
        <v>-2521.4321734745336</v>
      </c>
      <c r="L319" s="25">
        <f>(L318/L10)/1.983</f>
        <v>0</v>
      </c>
      <c r="M319" s="88"/>
      <c r="N319" s="25">
        <f>(N318/N10)/1.983</f>
        <v>0</v>
      </c>
      <c r="O319" s="25">
        <f>(O318/O10)/1.983</f>
        <v>0</v>
      </c>
      <c r="P319" s="25">
        <f>(P318/P10)/1.983</f>
        <v>0</v>
      </c>
      <c r="Q319" s="88"/>
      <c r="R319" s="117" t="s">
        <v>7</v>
      </c>
    </row>
    <row r="320" spans="1:18" ht="15.75" customHeight="1" x14ac:dyDescent="0.3">
      <c r="A320" s="28"/>
      <c r="B320" s="1"/>
      <c r="C320" s="1"/>
      <c r="D320" s="1"/>
      <c r="E320" s="1"/>
      <c r="F320" s="1"/>
      <c r="G320" s="1"/>
      <c r="H320" s="1"/>
      <c r="I320" s="1"/>
      <c r="J320" s="1"/>
      <c r="K320" s="1"/>
      <c r="L320" s="1"/>
      <c r="M320" s="1"/>
      <c r="N320" s="1"/>
      <c r="O320" s="1"/>
      <c r="P320" s="1"/>
      <c r="Q320" s="1"/>
      <c r="R320" s="28"/>
    </row>
    <row r="321" spans="1:20" ht="16.5" customHeight="1" thickBot="1" x14ac:dyDescent="0.35">
      <c r="A321" s="123"/>
      <c r="B321" s="25"/>
      <c r="C321" s="25"/>
      <c r="D321" s="25"/>
      <c r="E321" s="25"/>
      <c r="F321" s="25"/>
      <c r="G321" s="25"/>
      <c r="H321" s="25"/>
      <c r="I321" s="25"/>
      <c r="J321" s="25"/>
      <c r="K321" s="25"/>
      <c r="L321" s="25"/>
      <c r="M321" s="25"/>
      <c r="N321" s="25"/>
      <c r="O321" s="25"/>
      <c r="P321" s="25"/>
      <c r="Q321" s="25"/>
      <c r="R321" s="123"/>
    </row>
    <row r="322" spans="1:20" ht="16.5" customHeight="1" thickBot="1" x14ac:dyDescent="0.35">
      <c r="A322" s="124" t="s">
        <v>299</v>
      </c>
      <c r="B322" s="32" t="s">
        <v>36</v>
      </c>
      <c r="C322" s="33" t="s">
        <v>9</v>
      </c>
      <c r="D322" s="33" t="s">
        <v>10</v>
      </c>
      <c r="E322" s="12" t="s">
        <v>11</v>
      </c>
      <c r="F322" s="33" t="s">
        <v>12</v>
      </c>
      <c r="G322" s="33" t="s">
        <v>13</v>
      </c>
      <c r="H322" s="33" t="s">
        <v>14</v>
      </c>
      <c r="I322" s="34" t="s">
        <v>15</v>
      </c>
      <c r="J322" s="33" t="s">
        <v>16</v>
      </c>
      <c r="K322" s="33" t="s">
        <v>17</v>
      </c>
      <c r="L322" s="33" t="s">
        <v>18</v>
      </c>
      <c r="M322" s="34" t="s">
        <v>19</v>
      </c>
      <c r="N322" s="33" t="s">
        <v>20</v>
      </c>
      <c r="O322" s="33" t="s">
        <v>21</v>
      </c>
      <c r="P322" s="33" t="s">
        <v>22</v>
      </c>
      <c r="Q322" s="34" t="s">
        <v>23</v>
      </c>
      <c r="R322" s="35" t="s">
        <v>24</v>
      </c>
    </row>
    <row r="323" spans="1:20" ht="16.5" customHeight="1" thickBot="1" x14ac:dyDescent="0.35">
      <c r="A323" s="64"/>
      <c r="B323" s="81"/>
      <c r="C323" s="81"/>
      <c r="D323" s="81"/>
      <c r="E323" s="72"/>
      <c r="F323" s="81"/>
      <c r="G323" s="81"/>
      <c r="H323" s="81"/>
      <c r="I323" s="89"/>
      <c r="J323" s="81"/>
      <c r="K323" s="81"/>
      <c r="L323" s="81"/>
      <c r="M323" s="89"/>
      <c r="N323" s="81"/>
      <c r="O323" s="81"/>
      <c r="P323" s="81"/>
      <c r="Q323" s="89"/>
      <c r="R323" s="122"/>
    </row>
    <row r="324" spans="1:20" ht="15.75" customHeight="1" x14ac:dyDescent="0.3">
      <c r="A324" s="17" t="s">
        <v>45</v>
      </c>
      <c r="B324" s="1"/>
      <c r="C324" s="1"/>
      <c r="D324" s="1"/>
      <c r="E324" s="59" t="s">
        <v>7</v>
      </c>
      <c r="F324" s="1" t="s">
        <v>7</v>
      </c>
      <c r="G324" s="1" t="s">
        <v>7</v>
      </c>
      <c r="H324" s="1" t="s">
        <v>7</v>
      </c>
      <c r="I324" s="59" t="s">
        <v>7</v>
      </c>
      <c r="J324" s="1" t="s">
        <v>7</v>
      </c>
      <c r="K324" s="1" t="s">
        <v>7</v>
      </c>
      <c r="L324" s="1" t="s">
        <v>7</v>
      </c>
      <c r="M324" s="59" t="s">
        <v>7</v>
      </c>
      <c r="N324" s="1" t="s">
        <v>7</v>
      </c>
      <c r="O324" s="1" t="s">
        <v>7</v>
      </c>
      <c r="P324" s="1" t="s">
        <v>7</v>
      </c>
      <c r="Q324" s="59" t="s">
        <v>7</v>
      </c>
      <c r="R324" s="65" t="s">
        <v>7</v>
      </c>
    </row>
    <row r="325" spans="1:20" ht="15.75" customHeight="1" x14ac:dyDescent="0.3">
      <c r="A325" s="17" t="s">
        <v>46</v>
      </c>
      <c r="B325" s="1"/>
      <c r="C325" s="1"/>
      <c r="D325" s="1"/>
      <c r="E325" s="59" t="s">
        <v>7</v>
      </c>
      <c r="F325" s="1"/>
      <c r="G325" s="1"/>
      <c r="H325" s="1"/>
      <c r="I325" s="59" t="s">
        <v>7</v>
      </c>
      <c r="J325" s="1"/>
      <c r="K325" s="1"/>
      <c r="L325" s="1"/>
      <c r="M325" s="59" t="s">
        <v>7</v>
      </c>
      <c r="N325" s="1"/>
      <c r="O325" s="1"/>
      <c r="P325" s="1"/>
      <c r="Q325" s="59" t="s">
        <v>7</v>
      </c>
      <c r="R325" s="59" t="s">
        <v>7</v>
      </c>
    </row>
    <row r="326" spans="1:20" ht="15.75" customHeight="1" x14ac:dyDescent="0.3">
      <c r="A326" s="76" t="s">
        <v>300</v>
      </c>
      <c r="B326" s="1"/>
      <c r="C326" s="1"/>
      <c r="D326" s="1"/>
      <c r="E326" s="59">
        <f t="shared" ref="E326:E352" si="111">SUM(B326:D326)</f>
        <v>0</v>
      </c>
      <c r="F326" s="1"/>
      <c r="G326" s="1"/>
      <c r="H326" s="1"/>
      <c r="I326" s="59">
        <f t="shared" ref="I326:I352" si="112">SUM(F326:H326)</f>
        <v>0</v>
      </c>
      <c r="J326" s="1">
        <v>103</v>
      </c>
      <c r="K326" s="1">
        <v>103</v>
      </c>
      <c r="L326" s="1">
        <v>98</v>
      </c>
      <c r="M326" s="59">
        <f t="shared" ref="M326:M352" si="113">SUM(J326:L326)</f>
        <v>304</v>
      </c>
      <c r="N326" s="1">
        <v>103</v>
      </c>
      <c r="O326" s="1">
        <v>98</v>
      </c>
      <c r="P326" s="1">
        <v>103</v>
      </c>
      <c r="Q326" s="59">
        <f t="shared" ref="Q326:Q355" si="114">SUM(N326:P326)</f>
        <v>304</v>
      </c>
      <c r="R326" s="59">
        <f t="shared" ref="R326:R355" si="115">+E326+I326+M326+Q326</f>
        <v>608</v>
      </c>
      <c r="T326" s="4" t="s">
        <v>301</v>
      </c>
    </row>
    <row r="327" spans="1:20" ht="15.75" customHeight="1" x14ac:dyDescent="0.3">
      <c r="A327" s="76" t="s">
        <v>303</v>
      </c>
      <c r="B327" s="1"/>
      <c r="C327" s="1"/>
      <c r="D327" s="1"/>
      <c r="E327" s="59">
        <f t="shared" si="111"/>
        <v>0</v>
      </c>
      <c r="F327" s="1"/>
      <c r="G327" s="1"/>
      <c r="H327" s="1">
        <v>192</v>
      </c>
      <c r="I327" s="59">
        <f t="shared" si="112"/>
        <v>192</v>
      </c>
      <c r="J327" s="1"/>
      <c r="K327" s="1"/>
      <c r="L327" s="1"/>
      <c r="M327" s="59">
        <f t="shared" si="113"/>
        <v>0</v>
      </c>
      <c r="N327" s="1"/>
      <c r="O327" s="1"/>
      <c r="P327" s="1"/>
      <c r="Q327" s="59">
        <f t="shared" si="114"/>
        <v>0</v>
      </c>
      <c r="R327" s="59">
        <f t="shared" si="115"/>
        <v>192</v>
      </c>
    </row>
    <row r="328" spans="1:20" ht="15.75" customHeight="1" x14ac:dyDescent="0.3">
      <c r="A328" s="76" t="s">
        <v>304</v>
      </c>
      <c r="B328" s="1">
        <v>160</v>
      </c>
      <c r="C328" s="1">
        <v>150</v>
      </c>
      <c r="D328" s="1">
        <v>225</v>
      </c>
      <c r="E328" s="59">
        <f t="shared" si="111"/>
        <v>535</v>
      </c>
      <c r="F328" s="1">
        <v>269</v>
      </c>
      <c r="G328" s="1">
        <v>265</v>
      </c>
      <c r="H328" s="1">
        <v>287</v>
      </c>
      <c r="I328" s="59">
        <f t="shared" si="112"/>
        <v>821</v>
      </c>
      <c r="J328" s="1">
        <v>311</v>
      </c>
      <c r="K328" s="1">
        <v>277</v>
      </c>
      <c r="L328" s="1">
        <v>240</v>
      </c>
      <c r="M328" s="59">
        <f t="shared" si="113"/>
        <v>828</v>
      </c>
      <c r="N328" s="1">
        <v>247</v>
      </c>
      <c r="O328" s="1">
        <v>191</v>
      </c>
      <c r="P328" s="1">
        <v>169</v>
      </c>
      <c r="Q328" s="59">
        <f t="shared" si="114"/>
        <v>607</v>
      </c>
      <c r="R328" s="59">
        <f t="shared" si="115"/>
        <v>2791</v>
      </c>
      <c r="T328" s="4" t="s">
        <v>305</v>
      </c>
    </row>
    <row r="329" spans="1:20" ht="15.75" customHeight="1" x14ac:dyDescent="0.3">
      <c r="A329" s="76" t="s">
        <v>306</v>
      </c>
      <c r="B329" s="1"/>
      <c r="C329" s="1"/>
      <c r="D329" s="1"/>
      <c r="E329" s="59">
        <f>SUM(B329:D329)</f>
        <v>0</v>
      </c>
      <c r="F329" s="1"/>
      <c r="G329" s="1">
        <v>100</v>
      </c>
      <c r="H329" s="1">
        <v>100</v>
      </c>
      <c r="I329" s="59">
        <f t="shared" ref="I329" si="116">SUM(F329:H329)</f>
        <v>200</v>
      </c>
      <c r="J329" s="1">
        <v>100</v>
      </c>
      <c r="K329" s="1">
        <v>150</v>
      </c>
      <c r="L329" s="1">
        <v>150</v>
      </c>
      <c r="M329" s="59">
        <f t="shared" ref="M329" si="117">SUM(J329:L329)</f>
        <v>400</v>
      </c>
      <c r="N329" s="1">
        <v>150</v>
      </c>
      <c r="O329" s="1">
        <v>200</v>
      </c>
      <c r="P329" s="1">
        <v>200</v>
      </c>
      <c r="Q329" s="59">
        <f t="shared" ref="Q329" si="118">SUM(N329:P329)</f>
        <v>550</v>
      </c>
      <c r="R329" s="59">
        <f t="shared" si="115"/>
        <v>1150</v>
      </c>
      <c r="T329" s="4" t="s">
        <v>307</v>
      </c>
    </row>
    <row r="330" spans="1:20" ht="15.75" customHeight="1" x14ac:dyDescent="0.3">
      <c r="A330" s="76" t="s">
        <v>308</v>
      </c>
      <c r="B330" s="1"/>
      <c r="C330" s="1"/>
      <c r="D330" s="1"/>
      <c r="E330" s="59">
        <f t="shared" si="111"/>
        <v>0</v>
      </c>
      <c r="F330" s="1"/>
      <c r="G330" s="1">
        <v>300</v>
      </c>
      <c r="H330" s="1"/>
      <c r="I330" s="59">
        <f t="shared" si="112"/>
        <v>300</v>
      </c>
      <c r="J330" s="1"/>
      <c r="K330" s="1"/>
      <c r="L330" s="1"/>
      <c r="M330" s="59">
        <f t="shared" si="113"/>
        <v>0</v>
      </c>
      <c r="N330" s="1"/>
      <c r="O330" s="1"/>
      <c r="P330" s="1"/>
      <c r="Q330" s="59">
        <f t="shared" si="114"/>
        <v>0</v>
      </c>
      <c r="R330" s="59">
        <f t="shared" si="115"/>
        <v>300</v>
      </c>
      <c r="T330" s="4" t="s">
        <v>307</v>
      </c>
    </row>
    <row r="331" spans="1:20" ht="15.75" customHeight="1" x14ac:dyDescent="0.3">
      <c r="A331" s="76" t="s">
        <v>309</v>
      </c>
      <c r="C331" s="1"/>
      <c r="D331" s="1"/>
      <c r="E331" s="59">
        <f>SUM(B331:D331)</f>
        <v>0</v>
      </c>
      <c r="F331" s="1"/>
      <c r="G331" s="1"/>
      <c r="H331" s="1">
        <v>2250</v>
      </c>
      <c r="I331" s="59">
        <f>SUM(F331:H331)</f>
        <v>2250</v>
      </c>
      <c r="J331" s="1"/>
      <c r="K331" s="1"/>
      <c r="L331" s="1"/>
      <c r="M331" s="59">
        <f t="shared" ref="M331:M336" si="119">SUM(J331:L331)</f>
        <v>0</v>
      </c>
      <c r="N331" s="1"/>
      <c r="O331" s="1"/>
      <c r="P331" s="1"/>
      <c r="Q331" s="59">
        <f>SUM(N331:P331)</f>
        <v>0</v>
      </c>
      <c r="R331" s="59">
        <f t="shared" si="115"/>
        <v>2250</v>
      </c>
      <c r="T331" s="4" t="s">
        <v>305</v>
      </c>
    </row>
    <row r="332" spans="1:20" ht="15.75" customHeight="1" x14ac:dyDescent="0.3">
      <c r="A332" s="76" t="s">
        <v>310</v>
      </c>
      <c r="B332" s="1"/>
      <c r="C332" s="1"/>
      <c r="D332" s="1"/>
      <c r="E332" s="59">
        <f t="shared" ref="E332:E336" si="120">SUM(B332:D332)</f>
        <v>0</v>
      </c>
      <c r="F332" s="1"/>
      <c r="G332" s="1">
        <v>2000</v>
      </c>
      <c r="H332" s="1"/>
      <c r="I332" s="59">
        <f t="shared" ref="I332:I336" si="121">SUM(F332:H332)</f>
        <v>2000</v>
      </c>
      <c r="J332" s="1"/>
      <c r="K332" s="1"/>
      <c r="L332" s="1"/>
      <c r="M332" s="59">
        <f t="shared" si="119"/>
        <v>0</v>
      </c>
      <c r="N332" s="1"/>
      <c r="O332" s="1"/>
      <c r="P332" s="1"/>
      <c r="Q332" s="59">
        <f>SUM(N332:P332)</f>
        <v>0</v>
      </c>
      <c r="R332" s="59">
        <f t="shared" si="115"/>
        <v>2000</v>
      </c>
      <c r="T332" s="4" t="s">
        <v>307</v>
      </c>
    </row>
    <row r="333" spans="1:20" ht="15.75" customHeight="1" x14ac:dyDescent="0.3">
      <c r="A333" s="76" t="s">
        <v>312</v>
      </c>
      <c r="B333" s="1">
        <v>85</v>
      </c>
      <c r="C333" s="1">
        <v>95</v>
      </c>
      <c r="D333" s="1">
        <v>150</v>
      </c>
      <c r="E333" s="59">
        <f t="shared" si="120"/>
        <v>330</v>
      </c>
      <c r="F333" s="1">
        <v>235</v>
      </c>
      <c r="G333" s="1">
        <v>370</v>
      </c>
      <c r="H333" s="1">
        <v>390</v>
      </c>
      <c r="I333" s="59">
        <f t="shared" si="121"/>
        <v>995</v>
      </c>
      <c r="J333" s="1">
        <v>360</v>
      </c>
      <c r="K333" s="1">
        <v>335</v>
      </c>
      <c r="L333" s="1">
        <v>280</v>
      </c>
      <c r="M333" s="59">
        <f t="shared" si="119"/>
        <v>975</v>
      </c>
      <c r="N333" s="1">
        <v>365</v>
      </c>
      <c r="O333" s="1">
        <v>160</v>
      </c>
      <c r="P333" s="1">
        <v>125</v>
      </c>
      <c r="Q333" s="59">
        <f>SUM(N333:P333)</f>
        <v>650</v>
      </c>
      <c r="R333" s="59">
        <f>+E333+I333+M333+Q333</f>
        <v>2950</v>
      </c>
      <c r="T333" s="4" t="s">
        <v>313</v>
      </c>
    </row>
    <row r="334" spans="1:20" ht="15.75" customHeight="1" x14ac:dyDescent="0.3">
      <c r="A334" s="76" t="s">
        <v>316</v>
      </c>
      <c r="B334" s="1"/>
      <c r="C334" s="1"/>
      <c r="D334" s="1"/>
      <c r="E334" s="59">
        <f t="shared" si="120"/>
        <v>0</v>
      </c>
      <c r="F334" s="1">
        <v>3200</v>
      </c>
      <c r="G334" s="1"/>
      <c r="H334" s="1"/>
      <c r="I334" s="59">
        <f t="shared" si="121"/>
        <v>3200</v>
      </c>
      <c r="J334" s="1"/>
      <c r="K334" s="1"/>
      <c r="L334" s="1"/>
      <c r="M334" s="59">
        <f t="shared" si="119"/>
        <v>0</v>
      </c>
      <c r="N334" s="1"/>
      <c r="O334" s="1"/>
      <c r="P334" s="1"/>
      <c r="Q334" s="59">
        <f>SUM(N334:P334)</f>
        <v>0</v>
      </c>
      <c r="R334" s="59">
        <f>+E334+I334+M334+Q334</f>
        <v>3200</v>
      </c>
      <c r="T334" s="4" t="s">
        <v>317</v>
      </c>
    </row>
    <row r="335" spans="1:20" ht="15.75" customHeight="1" x14ac:dyDescent="0.3">
      <c r="A335" s="76" t="s">
        <v>318</v>
      </c>
      <c r="B335" s="1"/>
      <c r="C335" s="1"/>
      <c r="D335" s="1"/>
      <c r="E335" s="59">
        <f t="shared" si="120"/>
        <v>0</v>
      </c>
      <c r="F335" s="1"/>
      <c r="G335" s="1">
        <v>2863</v>
      </c>
      <c r="H335" s="1">
        <v>7000</v>
      </c>
      <c r="I335" s="59">
        <f t="shared" si="121"/>
        <v>9863</v>
      </c>
      <c r="J335" s="1">
        <v>7000</v>
      </c>
      <c r="K335" s="1">
        <v>4137</v>
      </c>
      <c r="L335" s="1"/>
      <c r="M335" s="59">
        <f t="shared" si="119"/>
        <v>11137</v>
      </c>
      <c r="N335" s="1"/>
      <c r="O335" s="1"/>
      <c r="P335" s="1"/>
      <c r="Q335" s="59">
        <f t="shared" ref="Q335" si="122">SUM(N335:P335)</f>
        <v>0</v>
      </c>
      <c r="R335" s="59">
        <f>+E335+I335+M335+Q335</f>
        <v>21000</v>
      </c>
    </row>
    <row r="336" spans="1:20" ht="15.75" customHeight="1" x14ac:dyDescent="0.3">
      <c r="A336" s="76" t="s">
        <v>319</v>
      </c>
      <c r="B336" s="1"/>
      <c r="C336" s="1"/>
      <c r="D336" s="1"/>
      <c r="E336" s="59">
        <f t="shared" si="120"/>
        <v>0</v>
      </c>
      <c r="F336" s="1"/>
      <c r="G336" s="1">
        <v>315</v>
      </c>
      <c r="H336" s="1"/>
      <c r="I336" s="59">
        <f t="shared" si="121"/>
        <v>315</v>
      </c>
      <c r="J336" s="1"/>
      <c r="K336" s="1"/>
      <c r="L336" s="1"/>
      <c r="M336" s="59">
        <f t="shared" si="119"/>
        <v>0</v>
      </c>
      <c r="N336" s="1"/>
      <c r="O336" s="1"/>
      <c r="P336" s="1"/>
      <c r="Q336" s="59">
        <f>SUM(N336:P336)</f>
        <v>0</v>
      </c>
      <c r="R336" s="59">
        <f>+E336+I336+M336+Q336</f>
        <v>315</v>
      </c>
      <c r="S336" s="75" t="s">
        <v>80</v>
      </c>
    </row>
    <row r="337" spans="1:20" ht="15.75" customHeight="1" x14ac:dyDescent="0.3">
      <c r="A337" s="76" t="s">
        <v>320</v>
      </c>
      <c r="B337" s="1"/>
      <c r="C337" s="1"/>
      <c r="D337" s="1"/>
      <c r="E337" s="59">
        <f>SUM(B337:D337)</f>
        <v>0</v>
      </c>
      <c r="F337" s="1"/>
      <c r="G337" s="1"/>
      <c r="H337" s="1"/>
      <c r="I337" s="59">
        <f t="shared" ref="I337:I338" si="123">SUM(F337:H337)</f>
        <v>0</v>
      </c>
      <c r="J337" s="1"/>
      <c r="K337" s="1"/>
      <c r="L337" s="1"/>
      <c r="M337" s="59">
        <f t="shared" ref="M337:M338" si="124">SUM(J337:L337)</f>
        <v>0</v>
      </c>
      <c r="N337" s="1"/>
      <c r="O337" s="1"/>
      <c r="P337" s="1"/>
      <c r="Q337" s="59">
        <f t="shared" ref="Q337:Q338" si="125">SUM(N337:P337)</f>
        <v>0</v>
      </c>
      <c r="R337" s="59">
        <f t="shared" ref="R337:R338" si="126">+E337+I337+M337+Q337</f>
        <v>0</v>
      </c>
    </row>
    <row r="338" spans="1:20" ht="15.75" customHeight="1" x14ac:dyDescent="0.3">
      <c r="A338" s="76" t="s">
        <v>321</v>
      </c>
      <c r="B338" s="1">
        <v>28</v>
      </c>
      <c r="C338" s="1"/>
      <c r="D338" s="1"/>
      <c r="E338" s="59">
        <f>SUM(B338:D338)</f>
        <v>28</v>
      </c>
      <c r="F338" s="1">
        <v>700</v>
      </c>
      <c r="G338" s="1"/>
      <c r="H338" s="1"/>
      <c r="I338" s="59">
        <f t="shared" si="123"/>
        <v>700</v>
      </c>
      <c r="J338" s="1"/>
      <c r="K338" s="1"/>
      <c r="L338" s="1"/>
      <c r="M338" s="59">
        <f t="shared" si="124"/>
        <v>0</v>
      </c>
      <c r="N338" s="1"/>
      <c r="O338" s="1"/>
      <c r="P338" s="1">
        <v>1200</v>
      </c>
      <c r="Q338" s="59">
        <f t="shared" si="125"/>
        <v>1200</v>
      </c>
      <c r="R338" s="59">
        <f t="shared" si="126"/>
        <v>1928</v>
      </c>
      <c r="T338" s="4" t="s">
        <v>315</v>
      </c>
    </row>
    <row r="339" spans="1:20" ht="15.75" customHeight="1" x14ac:dyDescent="0.3">
      <c r="A339" s="76" t="s">
        <v>322</v>
      </c>
      <c r="B339" s="1"/>
      <c r="C339" s="1"/>
      <c r="D339" s="1"/>
      <c r="E339" s="59">
        <f t="shared" ref="E339:E340" si="127">SUM(B339:D339)</f>
        <v>0</v>
      </c>
      <c r="F339" s="1"/>
      <c r="G339" s="1"/>
      <c r="H339" s="1">
        <v>524</v>
      </c>
      <c r="I339" s="59">
        <f t="shared" ref="I339:I340" si="128">SUM(F339:H339)</f>
        <v>524</v>
      </c>
      <c r="J339" s="1"/>
      <c r="K339" s="1">
        <v>212</v>
      </c>
      <c r="L339" s="1">
        <v>1657</v>
      </c>
      <c r="M339" s="59">
        <f t="shared" ref="M339:M340" si="129">SUM(J339:L339)</f>
        <v>1869</v>
      </c>
      <c r="N339" s="1">
        <v>1712</v>
      </c>
      <c r="O339" s="1">
        <v>1289</v>
      </c>
      <c r="P339" s="1">
        <v>1142</v>
      </c>
      <c r="Q339" s="59">
        <f t="shared" si="114"/>
        <v>4143</v>
      </c>
      <c r="R339" s="59">
        <f t="shared" si="115"/>
        <v>6536</v>
      </c>
      <c r="T339" s="4" t="s">
        <v>217</v>
      </c>
    </row>
    <row r="340" spans="1:20" ht="15.75" customHeight="1" x14ac:dyDescent="0.3">
      <c r="A340" s="76" t="s">
        <v>887</v>
      </c>
      <c r="B340" s="1">
        <v>3</v>
      </c>
      <c r="C340" s="1">
        <v>27</v>
      </c>
      <c r="D340" s="1">
        <v>38</v>
      </c>
      <c r="E340" s="59">
        <f t="shared" si="127"/>
        <v>68</v>
      </c>
      <c r="F340" s="1">
        <v>45</v>
      </c>
      <c r="G340" s="1">
        <v>55</v>
      </c>
      <c r="H340" s="1">
        <v>1680</v>
      </c>
      <c r="I340" s="59">
        <f t="shared" si="128"/>
        <v>1780</v>
      </c>
      <c r="J340" s="1">
        <v>60</v>
      </c>
      <c r="K340" s="1">
        <v>50</v>
      </c>
      <c r="L340" s="1">
        <v>36</v>
      </c>
      <c r="M340" s="59">
        <f t="shared" si="129"/>
        <v>146</v>
      </c>
      <c r="N340" s="1">
        <v>70</v>
      </c>
      <c r="O340" s="1">
        <v>22</v>
      </c>
      <c r="P340" s="1">
        <v>25</v>
      </c>
      <c r="Q340" s="59">
        <f t="shared" si="114"/>
        <v>117</v>
      </c>
      <c r="R340" s="59">
        <f t="shared" si="115"/>
        <v>2111</v>
      </c>
      <c r="T340" s="4" t="s">
        <v>305</v>
      </c>
    </row>
    <row r="341" spans="1:20" ht="15.75" customHeight="1" x14ac:dyDescent="0.3">
      <c r="A341" s="76" t="s">
        <v>325</v>
      </c>
      <c r="B341" s="1"/>
      <c r="C341" s="1"/>
      <c r="D341" s="1"/>
      <c r="E341" s="59">
        <f t="shared" si="111"/>
        <v>0</v>
      </c>
      <c r="F341" s="1"/>
      <c r="G341" s="1"/>
      <c r="H341" s="1"/>
      <c r="I341" s="59">
        <f t="shared" si="112"/>
        <v>0</v>
      </c>
      <c r="J341" s="1"/>
      <c r="K341" s="1"/>
      <c r="L341" s="1"/>
      <c r="M341" s="59">
        <f t="shared" si="113"/>
        <v>0</v>
      </c>
      <c r="N341" s="1"/>
      <c r="O341" s="1"/>
      <c r="P341" s="1"/>
      <c r="Q341" s="59">
        <f t="shared" si="114"/>
        <v>0</v>
      </c>
      <c r="R341" s="59">
        <f t="shared" si="115"/>
        <v>0</v>
      </c>
      <c r="T341" s="4" t="s">
        <v>305</v>
      </c>
    </row>
    <row r="342" spans="1:20" ht="15.75" customHeight="1" x14ac:dyDescent="0.3">
      <c r="A342" s="76" t="s">
        <v>326</v>
      </c>
      <c r="B342" s="1">
        <v>1428</v>
      </c>
      <c r="C342" s="1"/>
      <c r="D342" s="1"/>
      <c r="E342" s="59">
        <f t="shared" si="111"/>
        <v>1428</v>
      </c>
      <c r="F342" s="1"/>
      <c r="G342" s="1"/>
      <c r="H342" s="1"/>
      <c r="I342" s="59">
        <f t="shared" si="112"/>
        <v>0</v>
      </c>
      <c r="J342" s="1"/>
      <c r="K342" s="1"/>
      <c r="L342" s="1"/>
      <c r="M342" s="59">
        <f t="shared" si="113"/>
        <v>0</v>
      </c>
      <c r="N342" s="1"/>
      <c r="O342" s="1"/>
      <c r="P342" s="1"/>
      <c r="Q342" s="59">
        <f t="shared" si="114"/>
        <v>0</v>
      </c>
      <c r="R342" s="59">
        <f t="shared" si="115"/>
        <v>1428</v>
      </c>
    </row>
    <row r="343" spans="1:20" ht="15.75" customHeight="1" x14ac:dyDescent="0.3">
      <c r="A343" s="76" t="s">
        <v>327</v>
      </c>
      <c r="B343" s="1"/>
      <c r="C343" s="1"/>
      <c r="D343" s="1"/>
      <c r="E343" s="59">
        <f>SUM(B343:D343)</f>
        <v>0</v>
      </c>
      <c r="F343" s="1"/>
      <c r="G343" s="1"/>
      <c r="H343" s="1"/>
      <c r="I343" s="59">
        <f>SUM(F343:H343)</f>
        <v>0</v>
      </c>
      <c r="J343" s="1"/>
      <c r="K343" s="1"/>
      <c r="L343" s="1"/>
      <c r="M343" s="59">
        <f t="shared" si="113"/>
        <v>0</v>
      </c>
      <c r="N343" s="1"/>
      <c r="O343" s="1"/>
      <c r="P343" s="1"/>
      <c r="Q343" s="59">
        <f>SUM(N343:P343)</f>
        <v>0</v>
      </c>
      <c r="R343" s="59">
        <f t="shared" si="115"/>
        <v>0</v>
      </c>
      <c r="T343" s="4" t="s">
        <v>315</v>
      </c>
    </row>
    <row r="344" spans="1:20" ht="15.75" customHeight="1" x14ac:dyDescent="0.3">
      <c r="A344" s="76" t="s">
        <v>328</v>
      </c>
      <c r="B344" s="1"/>
      <c r="C344" s="1"/>
      <c r="D344" s="1"/>
      <c r="E344" s="59">
        <f t="shared" ref="E344" si="130">SUM(B344:D344)</f>
        <v>0</v>
      </c>
      <c r="F344" s="1"/>
      <c r="G344" s="1"/>
      <c r="H344" s="1"/>
      <c r="I344" s="59">
        <f t="shared" ref="I344" si="131">SUM(F344:H344)</f>
        <v>0</v>
      </c>
      <c r="J344" s="1"/>
      <c r="K344" s="1">
        <v>1380</v>
      </c>
      <c r="L344" s="1">
        <v>1712</v>
      </c>
      <c r="M344" s="59">
        <f t="shared" si="113"/>
        <v>3092</v>
      </c>
      <c r="N344" s="1">
        <v>1712</v>
      </c>
      <c r="O344" s="1">
        <v>1289</v>
      </c>
      <c r="P344" s="1">
        <v>1142</v>
      </c>
      <c r="Q344" s="59">
        <f t="shared" si="114"/>
        <v>4143</v>
      </c>
      <c r="R344" s="59">
        <f t="shared" si="115"/>
        <v>7235</v>
      </c>
      <c r="T344" s="4" t="s">
        <v>217</v>
      </c>
    </row>
    <row r="345" spans="1:20" ht="15.75" customHeight="1" x14ac:dyDescent="0.3">
      <c r="A345" s="76" t="s">
        <v>329</v>
      </c>
      <c r="B345" s="1"/>
      <c r="C345" s="1"/>
      <c r="D345" s="1"/>
      <c r="E345" s="59">
        <f>SUM(B345:D345)</f>
        <v>0</v>
      </c>
      <c r="F345" s="1"/>
      <c r="G345" s="1"/>
      <c r="H345" s="1"/>
      <c r="I345" s="59">
        <f>SUM(F345:H345)</f>
        <v>0</v>
      </c>
      <c r="J345" s="1"/>
      <c r="K345" s="1"/>
      <c r="L345" s="1"/>
      <c r="M345" s="59">
        <f>SUM(J345:L345)</f>
        <v>0</v>
      </c>
      <c r="N345" s="1"/>
      <c r="O345" s="1"/>
      <c r="P345" s="1"/>
      <c r="Q345" s="59">
        <f>SUM(N345:P345)</f>
        <v>0</v>
      </c>
      <c r="R345" s="59">
        <f t="shared" si="115"/>
        <v>0</v>
      </c>
      <c r="T345" s="4" t="s">
        <v>315</v>
      </c>
    </row>
    <row r="346" spans="1:20" ht="15.75" customHeight="1" x14ac:dyDescent="0.3">
      <c r="A346" s="76" t="s">
        <v>330</v>
      </c>
      <c r="B346" s="1"/>
      <c r="C346" s="1"/>
      <c r="D346" s="1"/>
      <c r="E346" s="59">
        <f t="shared" si="111"/>
        <v>0</v>
      </c>
      <c r="F346" s="1"/>
      <c r="G346" s="1"/>
      <c r="H346" s="1"/>
      <c r="I346" s="59">
        <f t="shared" si="112"/>
        <v>0</v>
      </c>
      <c r="J346" s="1"/>
      <c r="K346" s="1"/>
      <c r="L346" s="1"/>
      <c r="M346" s="59">
        <f t="shared" si="113"/>
        <v>0</v>
      </c>
      <c r="N346" s="1"/>
      <c r="O346" s="1"/>
      <c r="P346" s="1"/>
      <c r="Q346" s="59">
        <f t="shared" si="114"/>
        <v>0</v>
      </c>
      <c r="R346" s="59">
        <f t="shared" si="115"/>
        <v>0</v>
      </c>
      <c r="S346" s="125"/>
      <c r="T346" s="4" t="s">
        <v>331</v>
      </c>
    </row>
    <row r="347" spans="1:20" ht="15.75" customHeight="1" x14ac:dyDescent="0.3">
      <c r="A347" s="76" t="s">
        <v>332</v>
      </c>
      <c r="B347" s="1">
        <v>25</v>
      </c>
      <c r="C347" s="1">
        <v>35</v>
      </c>
      <c r="D347" s="1">
        <v>40</v>
      </c>
      <c r="E347" s="59">
        <f t="shared" si="111"/>
        <v>100</v>
      </c>
      <c r="F347" s="1"/>
      <c r="G347" s="1">
        <v>50</v>
      </c>
      <c r="H347" s="1">
        <v>60</v>
      </c>
      <c r="I347" s="59">
        <f>SUM(F347:H347)</f>
        <v>110</v>
      </c>
      <c r="J347" s="1">
        <v>55</v>
      </c>
      <c r="K347" s="1">
        <v>55</v>
      </c>
      <c r="L347" s="1">
        <v>40</v>
      </c>
      <c r="M347" s="59">
        <f>SUM(J347:L347)</f>
        <v>150</v>
      </c>
      <c r="N347" s="1">
        <v>40</v>
      </c>
      <c r="O347" s="1">
        <v>40</v>
      </c>
      <c r="P347" s="1">
        <v>35</v>
      </c>
      <c r="Q347" s="59">
        <f>SUM(N347:P347)</f>
        <v>115</v>
      </c>
      <c r="R347" s="59">
        <f>+E347+I347+M347+Q347</f>
        <v>475</v>
      </c>
      <c r="T347" s="4" t="s">
        <v>127</v>
      </c>
    </row>
    <row r="348" spans="1:20" ht="15.75" customHeight="1" x14ac:dyDescent="0.3">
      <c r="A348" s="76" t="s">
        <v>333</v>
      </c>
      <c r="B348" s="1">
        <v>1597</v>
      </c>
      <c r="C348" s="1">
        <v>1584</v>
      </c>
      <c r="D348" s="1">
        <v>1443</v>
      </c>
      <c r="E348" s="59">
        <f t="shared" ref="E348" si="132">SUM(B348:D348)</f>
        <v>4624</v>
      </c>
      <c r="F348" s="1"/>
      <c r="G348" s="1">
        <v>4377</v>
      </c>
      <c r="H348" s="1">
        <v>5910</v>
      </c>
      <c r="I348" s="59">
        <f t="shared" ref="I348" si="133">SUM(F348:H348)</f>
        <v>10287</v>
      </c>
      <c r="J348" s="1">
        <v>5925</v>
      </c>
      <c r="K348" s="1">
        <v>5940</v>
      </c>
      <c r="L348" s="1">
        <v>4540</v>
      </c>
      <c r="M348" s="59">
        <f t="shared" ref="M348" si="134">SUM(J348:L348)</f>
        <v>16405</v>
      </c>
      <c r="N348" s="1">
        <v>4580</v>
      </c>
      <c r="O348" s="1">
        <v>4575</v>
      </c>
      <c r="P348" s="1">
        <v>4585</v>
      </c>
      <c r="Q348" s="59">
        <f t="shared" si="114"/>
        <v>13740</v>
      </c>
      <c r="R348" s="59">
        <f t="shared" si="115"/>
        <v>45056</v>
      </c>
      <c r="T348" s="4" t="s">
        <v>334</v>
      </c>
    </row>
    <row r="349" spans="1:20" ht="15.75" customHeight="1" x14ac:dyDescent="0.3">
      <c r="A349" s="76" t="s">
        <v>335</v>
      </c>
      <c r="B349" s="1"/>
      <c r="C349" s="1"/>
      <c r="D349" s="1"/>
      <c r="E349" s="59">
        <f t="shared" si="111"/>
        <v>0</v>
      </c>
      <c r="F349" s="1"/>
      <c r="G349" s="1"/>
      <c r="H349" s="1"/>
      <c r="I349" s="59">
        <f t="shared" si="112"/>
        <v>0</v>
      </c>
      <c r="J349" s="1"/>
      <c r="K349" s="1"/>
      <c r="L349" s="1"/>
      <c r="M349" s="59">
        <f t="shared" si="113"/>
        <v>0</v>
      </c>
      <c r="N349" s="1">
        <v>1000</v>
      </c>
      <c r="O349" s="1">
        <v>1000</v>
      </c>
      <c r="P349" s="1">
        <v>1000</v>
      </c>
      <c r="Q349" s="59">
        <f t="shared" si="114"/>
        <v>3000</v>
      </c>
      <c r="R349" s="59">
        <f t="shared" si="115"/>
        <v>3000</v>
      </c>
      <c r="T349" s="4" t="s">
        <v>336</v>
      </c>
    </row>
    <row r="350" spans="1:20" ht="15.75" customHeight="1" x14ac:dyDescent="0.3">
      <c r="A350" s="76" t="s">
        <v>339</v>
      </c>
      <c r="B350" s="1">
        <v>417</v>
      </c>
      <c r="C350" s="1">
        <v>417</v>
      </c>
      <c r="D350" s="1">
        <v>417</v>
      </c>
      <c r="E350" s="59">
        <f t="shared" si="111"/>
        <v>1251</v>
      </c>
      <c r="F350" s="1">
        <v>417</v>
      </c>
      <c r="G350" s="1">
        <v>417</v>
      </c>
      <c r="H350" s="1">
        <v>417</v>
      </c>
      <c r="I350" s="59">
        <f t="shared" si="112"/>
        <v>1251</v>
      </c>
      <c r="J350" s="1">
        <v>417</v>
      </c>
      <c r="K350" s="1">
        <v>417</v>
      </c>
      <c r="L350" s="1">
        <v>416</v>
      </c>
      <c r="M350" s="59">
        <f t="shared" si="113"/>
        <v>1250</v>
      </c>
      <c r="N350" s="1">
        <v>416</v>
      </c>
      <c r="O350" s="1">
        <v>416</v>
      </c>
      <c r="P350" s="1">
        <v>416</v>
      </c>
      <c r="Q350" s="59">
        <f t="shared" si="114"/>
        <v>1248</v>
      </c>
      <c r="R350" s="59">
        <f t="shared" si="115"/>
        <v>5000</v>
      </c>
    </row>
    <row r="351" spans="1:20" ht="15.75" customHeight="1" x14ac:dyDescent="0.3">
      <c r="A351" s="76" t="s">
        <v>340</v>
      </c>
      <c r="B351" s="1"/>
      <c r="C351" s="1"/>
      <c r="D351" s="1"/>
      <c r="E351" s="59">
        <f t="shared" si="111"/>
        <v>0</v>
      </c>
      <c r="F351" s="1"/>
      <c r="G351" s="1"/>
      <c r="H351" s="1"/>
      <c r="I351" s="59">
        <f t="shared" si="112"/>
        <v>0</v>
      </c>
      <c r="J351" s="1"/>
      <c r="K351" s="1"/>
      <c r="L351" s="1"/>
      <c r="M351" s="59">
        <f t="shared" si="113"/>
        <v>0</v>
      </c>
      <c r="N351" s="1"/>
      <c r="O351" s="1"/>
      <c r="P351" s="1"/>
      <c r="Q351" s="59">
        <f t="shared" si="114"/>
        <v>0</v>
      </c>
      <c r="R351" s="59">
        <f t="shared" si="115"/>
        <v>0</v>
      </c>
      <c r="S351" s="75" t="s">
        <v>80</v>
      </c>
    </row>
    <row r="352" spans="1:20" ht="15.75" customHeight="1" x14ac:dyDescent="0.3">
      <c r="A352" s="76" t="s">
        <v>341</v>
      </c>
      <c r="B352" s="1"/>
      <c r="C352" s="1"/>
      <c r="D352" s="1"/>
      <c r="E352" s="59">
        <f t="shared" si="111"/>
        <v>0</v>
      </c>
      <c r="F352" s="1"/>
      <c r="G352" s="1"/>
      <c r="H352" s="1"/>
      <c r="I352" s="59">
        <f t="shared" si="112"/>
        <v>0</v>
      </c>
      <c r="J352" s="1"/>
      <c r="K352" s="1"/>
      <c r="L352" s="1">
        <v>1000</v>
      </c>
      <c r="M352" s="59">
        <f t="shared" si="113"/>
        <v>1000</v>
      </c>
      <c r="N352" s="1">
        <v>2000</v>
      </c>
      <c r="O352" s="1">
        <v>997</v>
      </c>
      <c r="P352" s="1"/>
      <c r="Q352" s="59">
        <f>SUM(N352:P352)</f>
        <v>2997</v>
      </c>
      <c r="R352" s="59">
        <f>+E352+I352+M352+Q352</f>
        <v>3997</v>
      </c>
      <c r="T352" s="4" t="s">
        <v>315</v>
      </c>
    </row>
    <row r="353" spans="1:20" ht="15.75" customHeight="1" x14ac:dyDescent="0.3">
      <c r="A353" s="76" t="s">
        <v>342</v>
      </c>
      <c r="B353" s="1">
        <v>30</v>
      </c>
      <c r="C353" s="1">
        <v>35</v>
      </c>
      <c r="D353" s="1">
        <v>45</v>
      </c>
      <c r="E353" s="59">
        <f>SUM(B353:D353)</f>
        <v>110</v>
      </c>
      <c r="F353" s="1"/>
      <c r="G353" s="1">
        <v>65</v>
      </c>
      <c r="H353" s="1">
        <v>65</v>
      </c>
      <c r="I353" s="59">
        <f>SUM(F353:H353)</f>
        <v>130</v>
      </c>
      <c r="J353" s="1">
        <v>65</v>
      </c>
      <c r="K353" s="1">
        <v>40</v>
      </c>
      <c r="L353" s="1">
        <v>75</v>
      </c>
      <c r="M353" s="59">
        <f>SUM(J353:L353)</f>
        <v>180</v>
      </c>
      <c r="N353" s="1">
        <v>50</v>
      </c>
      <c r="O353" s="1">
        <v>55</v>
      </c>
      <c r="P353" s="1">
        <v>60</v>
      </c>
      <c r="Q353" s="59">
        <f>SUM(N353:P353)</f>
        <v>165</v>
      </c>
      <c r="R353" s="59">
        <f>+E353+I353+M353+Q353</f>
        <v>585</v>
      </c>
      <c r="T353" s="4" t="s">
        <v>127</v>
      </c>
    </row>
    <row r="354" spans="1:20" ht="15.75" customHeight="1" x14ac:dyDescent="0.3">
      <c r="A354" s="74" t="s">
        <v>343</v>
      </c>
      <c r="B354" s="1"/>
      <c r="C354" s="1"/>
      <c r="D354" s="1"/>
      <c r="E354" s="59">
        <f>SUM(B354:D354)</f>
        <v>0</v>
      </c>
      <c r="F354" s="1">
        <v>37</v>
      </c>
      <c r="G354" s="1"/>
      <c r="H354" s="1"/>
      <c r="I354" s="59">
        <f>SUM(F354:H354)</f>
        <v>37</v>
      </c>
      <c r="J354" s="1"/>
      <c r="K354" s="1"/>
      <c r="L354" s="1"/>
      <c r="M354" s="59">
        <f>SUM(J354:L354)</f>
        <v>0</v>
      </c>
      <c r="N354" s="1"/>
      <c r="O354" s="1"/>
      <c r="P354" s="1"/>
      <c r="Q354" s="59">
        <f>SUM(N354:P354)</f>
        <v>0</v>
      </c>
      <c r="R354" s="59">
        <f t="shared" si="115"/>
        <v>37</v>
      </c>
    </row>
    <row r="355" spans="1:20" ht="15.75" customHeight="1" x14ac:dyDescent="0.3">
      <c r="A355" s="76" t="s">
        <v>344</v>
      </c>
      <c r="B355" s="1"/>
      <c r="C355" s="1">
        <v>5</v>
      </c>
      <c r="D355" s="1">
        <v>20</v>
      </c>
      <c r="E355" s="59">
        <f t="shared" ref="E355" si="135">SUM(B355:D355)</f>
        <v>25</v>
      </c>
      <c r="F355" s="1">
        <v>30</v>
      </c>
      <c r="G355" s="1">
        <v>85</v>
      </c>
      <c r="H355" s="1">
        <v>85</v>
      </c>
      <c r="I355" s="59">
        <f t="shared" ref="I355" si="136">SUM(F355:H355)</f>
        <v>200</v>
      </c>
      <c r="J355" s="1">
        <v>85</v>
      </c>
      <c r="K355" s="1">
        <v>85</v>
      </c>
      <c r="L355" s="1">
        <v>50</v>
      </c>
      <c r="M355" s="59">
        <f t="shared" ref="M355" si="137">SUM(J355:L355)</f>
        <v>220</v>
      </c>
      <c r="N355" s="1">
        <v>40</v>
      </c>
      <c r="O355" s="1">
        <v>10</v>
      </c>
      <c r="P355" s="1"/>
      <c r="Q355" s="59">
        <f t="shared" si="114"/>
        <v>50</v>
      </c>
      <c r="R355" s="59">
        <f t="shared" si="115"/>
        <v>495</v>
      </c>
      <c r="S355" s="4">
        <f>SUM(R326:R355)</f>
        <v>114639</v>
      </c>
      <c r="T355" s="4" t="s">
        <v>331</v>
      </c>
    </row>
    <row r="356" spans="1:20" ht="15.75" customHeight="1" x14ac:dyDescent="0.3">
      <c r="A356" s="76" t="s">
        <v>345</v>
      </c>
      <c r="B356" s="1">
        <v>25</v>
      </c>
      <c r="C356" s="1">
        <v>25</v>
      </c>
      <c r="D356" s="1">
        <v>40</v>
      </c>
      <c r="E356" s="59">
        <f>SUM(B356:D356)</f>
        <v>90</v>
      </c>
      <c r="F356" s="1"/>
      <c r="G356" s="1">
        <v>50</v>
      </c>
      <c r="H356" s="1">
        <v>55</v>
      </c>
      <c r="I356" s="59">
        <f>SUM(F356:H356)</f>
        <v>105</v>
      </c>
      <c r="J356" s="1">
        <v>55</v>
      </c>
      <c r="K356" s="1">
        <v>65</v>
      </c>
      <c r="L356" s="1">
        <v>65</v>
      </c>
      <c r="M356" s="59">
        <f>SUM(J356:L356)</f>
        <v>185</v>
      </c>
      <c r="N356" s="1">
        <v>50</v>
      </c>
      <c r="O356" s="1">
        <v>50</v>
      </c>
      <c r="P356" s="1">
        <v>40</v>
      </c>
      <c r="Q356" s="59">
        <f>SUM(N356:P356)</f>
        <v>140</v>
      </c>
      <c r="R356" s="59">
        <f>+E356+I356+M356+Q356</f>
        <v>520</v>
      </c>
      <c r="T356" s="4" t="s">
        <v>127</v>
      </c>
    </row>
    <row r="357" spans="1:20" ht="15.75" customHeight="1" x14ac:dyDescent="0.3">
      <c r="A357" s="17" t="s">
        <v>47</v>
      </c>
      <c r="B357" s="1"/>
      <c r="C357" s="1"/>
      <c r="D357" s="1"/>
      <c r="E357" s="59" t="s">
        <v>7</v>
      </c>
      <c r="F357" s="1"/>
      <c r="G357" s="1"/>
      <c r="H357" s="1"/>
      <c r="I357" s="59" t="s">
        <v>7</v>
      </c>
      <c r="J357" s="1"/>
      <c r="K357" s="1"/>
      <c r="L357" s="1"/>
      <c r="M357" s="59" t="s">
        <v>7</v>
      </c>
      <c r="N357" s="1"/>
      <c r="O357" s="1"/>
      <c r="P357" s="1"/>
      <c r="Q357" s="59" t="s">
        <v>7</v>
      </c>
      <c r="R357" s="59" t="s">
        <v>7</v>
      </c>
    </row>
    <row r="358" spans="1:20" ht="15.75" customHeight="1" x14ac:dyDescent="0.3">
      <c r="A358" s="76" t="s">
        <v>346</v>
      </c>
      <c r="B358" s="1"/>
      <c r="C358" s="1"/>
      <c r="D358" s="1"/>
      <c r="E358" s="59">
        <f t="shared" ref="E358:E368" si="138">SUM(B358:D358)</f>
        <v>0</v>
      </c>
      <c r="F358" s="1"/>
      <c r="G358" s="1"/>
      <c r="H358" s="1"/>
      <c r="I358" s="59">
        <f t="shared" ref="I358:I368" si="139">SUM(F358:H358)</f>
        <v>0</v>
      </c>
      <c r="J358" s="1"/>
      <c r="K358" s="1"/>
      <c r="L358" s="1"/>
      <c r="M358" s="59">
        <f t="shared" ref="M358:M368" si="140">SUM(J358:L358)</f>
        <v>0</v>
      </c>
      <c r="N358" s="1"/>
      <c r="O358" s="1"/>
      <c r="P358" s="1"/>
      <c r="Q358" s="59">
        <f t="shared" ref="Q358:Q368" si="141">SUM(N358:P358)</f>
        <v>0</v>
      </c>
      <c r="R358" s="59">
        <f t="shared" ref="R358:R368" si="142">+E358+I358+M358+Q358</f>
        <v>0</v>
      </c>
    </row>
    <row r="359" spans="1:20" ht="15.75" customHeight="1" x14ac:dyDescent="0.3">
      <c r="A359" s="76" t="s">
        <v>347</v>
      </c>
      <c r="B359" s="1"/>
      <c r="C359" s="1"/>
      <c r="D359" s="1"/>
      <c r="E359" s="59">
        <f>SUM(B359:D359)</f>
        <v>0</v>
      </c>
      <c r="F359" s="1"/>
      <c r="G359" s="1"/>
      <c r="H359" s="1"/>
      <c r="I359" s="59">
        <f>SUM(F359:H359)</f>
        <v>0</v>
      </c>
      <c r="J359" s="1"/>
      <c r="K359" s="1"/>
      <c r="L359" s="1"/>
      <c r="M359" s="59">
        <f>SUM(J359:L359)</f>
        <v>0</v>
      </c>
      <c r="N359" s="1"/>
      <c r="O359" s="1"/>
      <c r="P359" s="1"/>
      <c r="Q359" s="59">
        <f>SUM(N359:P359)</f>
        <v>0</v>
      </c>
      <c r="R359" s="59">
        <f>+E359+I359+M359+Q359</f>
        <v>0</v>
      </c>
      <c r="T359" s="4" t="s">
        <v>348</v>
      </c>
    </row>
    <row r="360" spans="1:20" ht="15.75" customHeight="1" x14ac:dyDescent="0.3">
      <c r="A360" s="76" t="s">
        <v>349</v>
      </c>
      <c r="B360" s="1"/>
      <c r="C360" s="1"/>
      <c r="D360" s="1"/>
      <c r="E360" s="59">
        <f>SUM(B360:D360)</f>
        <v>0</v>
      </c>
      <c r="F360" s="1"/>
      <c r="G360" s="1"/>
      <c r="H360" s="1"/>
      <c r="I360" s="59">
        <f>SUM(F360:H360)</f>
        <v>0</v>
      </c>
      <c r="J360" s="1"/>
      <c r="K360" s="1"/>
      <c r="L360" s="1"/>
      <c r="M360" s="59">
        <f>SUM(J360:L360)</f>
        <v>0</v>
      </c>
      <c r="N360" s="1"/>
      <c r="O360" s="1"/>
      <c r="P360" s="1"/>
      <c r="Q360" s="59">
        <f>SUM(N360:P360)</f>
        <v>0</v>
      </c>
      <c r="R360" s="59">
        <f>+E360+I360+M360+Q360</f>
        <v>0</v>
      </c>
      <c r="T360" s="4" t="s">
        <v>336</v>
      </c>
    </row>
    <row r="361" spans="1:20" ht="15.75" customHeight="1" x14ac:dyDescent="0.3">
      <c r="A361" s="76" t="s">
        <v>330</v>
      </c>
      <c r="B361" s="1"/>
      <c r="C361" s="1"/>
      <c r="D361" s="1"/>
      <c r="E361" s="59">
        <f t="shared" si="138"/>
        <v>0</v>
      </c>
      <c r="F361" s="1"/>
      <c r="G361" s="1"/>
      <c r="H361" s="1"/>
      <c r="I361" s="59">
        <f t="shared" si="139"/>
        <v>0</v>
      </c>
      <c r="J361" s="1"/>
      <c r="K361" s="1"/>
      <c r="L361" s="1"/>
      <c r="M361" s="59">
        <f t="shared" si="140"/>
        <v>0</v>
      </c>
      <c r="N361" s="1"/>
      <c r="O361" s="1"/>
      <c r="P361" s="1"/>
      <c r="Q361" s="59">
        <f t="shared" si="141"/>
        <v>0</v>
      </c>
      <c r="R361" s="59">
        <f>+E361+I361+M361+Q361</f>
        <v>0</v>
      </c>
      <c r="T361" s="4" t="s">
        <v>331</v>
      </c>
    </row>
    <row r="362" spans="1:20" ht="15.75" customHeight="1" x14ac:dyDescent="0.3">
      <c r="A362" s="76" t="s">
        <v>350</v>
      </c>
      <c r="B362" s="1"/>
      <c r="C362" s="1"/>
      <c r="D362" s="1"/>
      <c r="E362" s="59">
        <f>SUM(B362:D362)</f>
        <v>0</v>
      </c>
      <c r="F362" s="1"/>
      <c r="G362" s="1"/>
      <c r="H362" s="1"/>
      <c r="I362" s="59">
        <f>SUM(F362:H362)</f>
        <v>0</v>
      </c>
      <c r="J362" s="1"/>
      <c r="K362" s="1"/>
      <c r="L362" s="1"/>
      <c r="M362" s="59">
        <f>SUM(J362:L362)</f>
        <v>0</v>
      </c>
      <c r="N362" s="1"/>
      <c r="O362" s="1"/>
      <c r="P362" s="1"/>
      <c r="Q362" s="59">
        <f>SUM(N362:P362)</f>
        <v>0</v>
      </c>
      <c r="R362" s="59">
        <f>+E362+I362+M362+Q362</f>
        <v>0</v>
      </c>
      <c r="T362" s="4" t="s">
        <v>351</v>
      </c>
    </row>
    <row r="363" spans="1:20" ht="15.75" customHeight="1" x14ac:dyDescent="0.3">
      <c r="A363" s="76" t="s">
        <v>352</v>
      </c>
      <c r="B363" s="1"/>
      <c r="C363" s="1"/>
      <c r="D363" s="1"/>
      <c r="E363" s="59">
        <f t="shared" si="138"/>
        <v>0</v>
      </c>
      <c r="F363" s="1"/>
      <c r="G363" s="1"/>
      <c r="H363" s="1"/>
      <c r="I363" s="59">
        <f t="shared" si="139"/>
        <v>0</v>
      </c>
      <c r="J363" s="1"/>
      <c r="K363" s="1"/>
      <c r="L363" s="1"/>
      <c r="M363" s="59">
        <f t="shared" si="140"/>
        <v>0</v>
      </c>
      <c r="N363" s="1"/>
      <c r="O363" s="1"/>
      <c r="P363" s="1"/>
      <c r="Q363" s="59">
        <f t="shared" si="141"/>
        <v>0</v>
      </c>
      <c r="R363" s="59">
        <f t="shared" si="142"/>
        <v>0</v>
      </c>
    </row>
    <row r="364" spans="1:20" ht="15.75" customHeight="1" x14ac:dyDescent="0.3">
      <c r="A364" s="76" t="s">
        <v>353</v>
      </c>
      <c r="B364" s="1"/>
      <c r="C364" s="1"/>
      <c r="D364" s="1"/>
      <c r="E364" s="59">
        <f t="shared" si="138"/>
        <v>0</v>
      </c>
      <c r="F364" s="1"/>
      <c r="G364" s="1"/>
      <c r="H364" s="1"/>
      <c r="I364" s="59">
        <f t="shared" si="139"/>
        <v>0</v>
      </c>
      <c r="J364" s="1"/>
      <c r="K364" s="1"/>
      <c r="L364" s="1"/>
      <c r="M364" s="59">
        <f t="shared" si="140"/>
        <v>0</v>
      </c>
      <c r="N364" s="1"/>
      <c r="O364" s="1"/>
      <c r="P364" s="1"/>
      <c r="Q364" s="59">
        <f t="shared" si="141"/>
        <v>0</v>
      </c>
      <c r="R364" s="59">
        <f t="shared" si="142"/>
        <v>0</v>
      </c>
      <c r="T364" s="4" t="s">
        <v>354</v>
      </c>
    </row>
    <row r="365" spans="1:20" ht="15.75" customHeight="1" x14ac:dyDescent="0.3">
      <c r="A365" s="76" t="s">
        <v>355</v>
      </c>
      <c r="B365" s="1"/>
      <c r="C365" s="1"/>
      <c r="D365" s="1"/>
      <c r="E365" s="59">
        <f t="shared" si="138"/>
        <v>0</v>
      </c>
      <c r="F365" s="1"/>
      <c r="G365" s="1"/>
      <c r="H365" s="1"/>
      <c r="I365" s="59">
        <f t="shared" si="139"/>
        <v>0</v>
      </c>
      <c r="J365" s="1"/>
      <c r="K365" s="1"/>
      <c r="L365" s="1"/>
      <c r="M365" s="59">
        <f t="shared" si="140"/>
        <v>0</v>
      </c>
      <c r="N365" s="1"/>
      <c r="O365" s="1"/>
      <c r="P365" s="1"/>
      <c r="Q365" s="59">
        <f t="shared" si="141"/>
        <v>0</v>
      </c>
      <c r="R365" s="59">
        <f t="shared" si="142"/>
        <v>0</v>
      </c>
      <c r="T365" s="4" t="s">
        <v>354</v>
      </c>
    </row>
    <row r="366" spans="1:20" ht="15.75" customHeight="1" x14ac:dyDescent="0.3">
      <c r="A366" s="76" t="s">
        <v>356</v>
      </c>
      <c r="B366" s="1"/>
      <c r="C366" s="1"/>
      <c r="D366" s="1"/>
      <c r="E366" s="59">
        <f t="shared" si="138"/>
        <v>0</v>
      </c>
      <c r="F366" s="1"/>
      <c r="G366" s="1"/>
      <c r="H366" s="1"/>
      <c r="I366" s="59">
        <f t="shared" si="139"/>
        <v>0</v>
      </c>
      <c r="J366" s="1"/>
      <c r="K366" s="1"/>
      <c r="L366" s="1"/>
      <c r="M366" s="59">
        <f t="shared" si="140"/>
        <v>0</v>
      </c>
      <c r="N366" s="1"/>
      <c r="O366" s="1"/>
      <c r="P366" s="1"/>
      <c r="Q366" s="59">
        <f t="shared" si="141"/>
        <v>0</v>
      </c>
      <c r="R366" s="59">
        <f t="shared" si="142"/>
        <v>0</v>
      </c>
      <c r="T366" s="4" t="s">
        <v>127</v>
      </c>
    </row>
    <row r="367" spans="1:20" ht="15.75" customHeight="1" x14ac:dyDescent="0.3">
      <c r="A367" s="76" t="s">
        <v>357</v>
      </c>
      <c r="B367" s="1"/>
      <c r="C367" s="1"/>
      <c r="D367" s="1"/>
      <c r="E367" s="59">
        <f>SUM(B367:D367)</f>
        <v>0</v>
      </c>
      <c r="F367" s="1"/>
      <c r="G367" s="1"/>
      <c r="H367" s="1"/>
      <c r="I367" s="59">
        <f>SUM(F367:H367)</f>
        <v>0</v>
      </c>
      <c r="J367" s="1"/>
      <c r="K367" s="1"/>
      <c r="L367" s="1"/>
      <c r="M367" s="59">
        <f>SUM(J367:L367)</f>
        <v>0</v>
      </c>
      <c r="N367" s="1"/>
      <c r="O367" s="1"/>
      <c r="P367" s="1"/>
      <c r="Q367" s="59">
        <f>SUM(N367:P367)</f>
        <v>0</v>
      </c>
      <c r="R367" s="59">
        <f>+E367+I367+M367+Q367</f>
        <v>0</v>
      </c>
      <c r="T367" s="4" t="s">
        <v>127</v>
      </c>
    </row>
    <row r="368" spans="1:20" ht="15.75" customHeight="1" x14ac:dyDescent="0.3">
      <c r="A368" s="76" t="s">
        <v>358</v>
      </c>
      <c r="B368" s="1"/>
      <c r="C368" s="1"/>
      <c r="D368" s="1"/>
      <c r="E368" s="59">
        <f t="shared" si="138"/>
        <v>0</v>
      </c>
      <c r="F368" s="1"/>
      <c r="G368" s="1"/>
      <c r="H368" s="1"/>
      <c r="I368" s="59">
        <f t="shared" si="139"/>
        <v>0</v>
      </c>
      <c r="J368" s="1"/>
      <c r="K368" s="1"/>
      <c r="L368" s="1"/>
      <c r="M368" s="59">
        <f t="shared" si="140"/>
        <v>0</v>
      </c>
      <c r="N368" s="1"/>
      <c r="O368" s="1"/>
      <c r="P368" s="1"/>
      <c r="Q368" s="59">
        <f t="shared" si="141"/>
        <v>0</v>
      </c>
      <c r="R368" s="59">
        <f t="shared" si="142"/>
        <v>0</v>
      </c>
      <c r="T368" s="4" t="s">
        <v>359</v>
      </c>
    </row>
    <row r="369" spans="1:39" ht="15.75" customHeight="1" x14ac:dyDescent="0.3">
      <c r="A369" s="17" t="s">
        <v>49</v>
      </c>
      <c r="B369" s="1"/>
      <c r="C369" s="1"/>
      <c r="D369" s="1"/>
      <c r="E369" s="59" t="s">
        <v>7</v>
      </c>
      <c r="F369" s="1"/>
      <c r="G369" s="1"/>
      <c r="H369" s="1"/>
      <c r="I369" s="59" t="s">
        <v>7</v>
      </c>
      <c r="J369" s="1"/>
      <c r="K369" s="1"/>
      <c r="L369" s="1"/>
      <c r="M369" s="59" t="s">
        <v>7</v>
      </c>
      <c r="N369" s="1"/>
      <c r="O369" s="1"/>
      <c r="P369" s="1"/>
      <c r="Q369" s="59" t="s">
        <v>7</v>
      </c>
      <c r="R369" s="59" t="s">
        <v>7</v>
      </c>
    </row>
    <row r="370" spans="1:39" ht="15.75" customHeight="1" x14ac:dyDescent="0.3">
      <c r="A370" s="76" t="s">
        <v>360</v>
      </c>
      <c r="B370" s="1"/>
      <c r="C370" s="1"/>
      <c r="D370" s="1"/>
      <c r="E370" s="59">
        <f>SUM(B370:D370)</f>
        <v>0</v>
      </c>
      <c r="F370" s="1"/>
      <c r="G370" s="1"/>
      <c r="H370" s="1"/>
      <c r="I370" s="59">
        <f>SUM(F370:H370)</f>
        <v>0</v>
      </c>
      <c r="J370" s="1"/>
      <c r="K370" s="1"/>
      <c r="L370" s="1"/>
      <c r="M370" s="59">
        <f>SUM(J370:L370)</f>
        <v>0</v>
      </c>
      <c r="N370" s="1"/>
      <c r="O370" s="1"/>
      <c r="P370" s="1"/>
      <c r="Q370" s="59">
        <f>SUM(N370:P370)</f>
        <v>0</v>
      </c>
      <c r="R370" s="59">
        <f>+E370+I370+M370+Q370</f>
        <v>0</v>
      </c>
      <c r="S370" s="77" t="s">
        <v>90</v>
      </c>
      <c r="T370" s="4" t="s">
        <v>305</v>
      </c>
    </row>
    <row r="371" spans="1:39" ht="15.75" customHeight="1" x14ac:dyDescent="0.3">
      <c r="A371" s="76" t="s">
        <v>361</v>
      </c>
      <c r="B371" s="1"/>
      <c r="C371" s="1"/>
      <c r="D371" s="1"/>
      <c r="E371" s="59">
        <f>SUM(B371:D371)</f>
        <v>0</v>
      </c>
      <c r="F371" s="1"/>
      <c r="G371" s="1">
        <v>3000</v>
      </c>
      <c r="H371" s="1">
        <v>3000</v>
      </c>
      <c r="I371" s="59">
        <f>SUM(F371:H371)</f>
        <v>6000</v>
      </c>
      <c r="J371" s="1">
        <v>3000</v>
      </c>
      <c r="K371" s="1"/>
      <c r="L371" s="1"/>
      <c r="M371" s="59">
        <f>SUM(J371:L371)</f>
        <v>3000</v>
      </c>
      <c r="N371" s="1"/>
      <c r="O371" s="1"/>
      <c r="P371" s="1"/>
      <c r="Q371" s="59">
        <f>SUM(N371:P371)</f>
        <v>0</v>
      </c>
      <c r="R371" s="59">
        <f>+E371+I371+M371+Q371</f>
        <v>9000</v>
      </c>
      <c r="S371" s="77" t="s">
        <v>90</v>
      </c>
    </row>
    <row r="372" spans="1:39" ht="15.75" customHeight="1" x14ac:dyDescent="0.3">
      <c r="A372" s="76" t="s">
        <v>362</v>
      </c>
      <c r="B372" s="1"/>
      <c r="C372" s="1"/>
      <c r="D372" s="1"/>
      <c r="E372" s="59">
        <f>SUM(B372:D372)</f>
        <v>0</v>
      </c>
      <c r="F372" s="1"/>
      <c r="G372" s="1">
        <v>2685</v>
      </c>
      <c r="H372" s="1">
        <v>1000</v>
      </c>
      <c r="I372" s="59">
        <f>SUM(F372:H372)</f>
        <v>3685</v>
      </c>
      <c r="J372" s="1"/>
      <c r="K372" s="1"/>
      <c r="L372" s="1"/>
      <c r="M372" s="59">
        <f>SUM(J372:L372)</f>
        <v>0</v>
      </c>
      <c r="N372" s="1"/>
      <c r="O372" s="1"/>
      <c r="P372" s="1"/>
      <c r="Q372" s="59">
        <f>SUM(N372:P372)</f>
        <v>0</v>
      </c>
      <c r="R372" s="59">
        <f>+E372+I372+M372+Q372</f>
        <v>3685</v>
      </c>
      <c r="S372" s="77" t="s">
        <v>90</v>
      </c>
      <c r="T372" s="4" t="s">
        <v>331</v>
      </c>
    </row>
    <row r="373" spans="1:39" ht="15.75" customHeight="1" x14ac:dyDescent="0.3">
      <c r="A373" s="76" t="s">
        <v>363</v>
      </c>
      <c r="B373" s="315">
        <v>1338</v>
      </c>
      <c r="C373" s="315">
        <v>1338</v>
      </c>
      <c r="D373" s="1">
        <v>669</v>
      </c>
      <c r="E373" s="59">
        <f>SUM(B373:D373)</f>
        <v>3345</v>
      </c>
      <c r="F373" s="1"/>
      <c r="G373" s="1">
        <v>670</v>
      </c>
      <c r="H373" s="1"/>
      <c r="I373" s="59">
        <f>SUM(F373:H373)</f>
        <v>670</v>
      </c>
      <c r="J373" s="1"/>
      <c r="K373" s="1"/>
      <c r="L373" s="1"/>
      <c r="M373" s="59">
        <f>SUM(J373:L373)</f>
        <v>0</v>
      </c>
      <c r="N373" s="1"/>
      <c r="O373" s="1"/>
      <c r="P373" s="1"/>
      <c r="Q373" s="59">
        <f>SUM(N373:P373)</f>
        <v>0</v>
      </c>
      <c r="R373" s="59">
        <f>+E373+I373+M373+Q373</f>
        <v>4015</v>
      </c>
      <c r="S373" s="77" t="s">
        <v>90</v>
      </c>
      <c r="T373" s="4" t="s">
        <v>315</v>
      </c>
    </row>
    <row r="374" spans="1:39" ht="16.5" customHeight="1" thickBot="1" x14ac:dyDescent="0.35">
      <c r="A374" s="17" t="s">
        <v>51</v>
      </c>
      <c r="B374" s="1"/>
      <c r="C374" s="1"/>
      <c r="D374" s="1"/>
      <c r="E374" s="59" t="s">
        <v>7</v>
      </c>
      <c r="F374" s="1"/>
      <c r="G374" s="1"/>
      <c r="H374" s="1"/>
      <c r="I374" s="59" t="s">
        <v>7</v>
      </c>
      <c r="J374" s="1"/>
      <c r="K374" s="1"/>
      <c r="L374" s="1"/>
      <c r="M374" s="59" t="s">
        <v>7</v>
      </c>
      <c r="N374" s="1"/>
      <c r="O374" s="1"/>
      <c r="P374" s="1"/>
      <c r="Q374" s="59" t="s">
        <v>7</v>
      </c>
      <c r="R374" s="88" t="s">
        <v>7</v>
      </c>
      <c r="V374" s="4" t="s">
        <v>364</v>
      </c>
      <c r="W374" s="4" t="s">
        <v>365</v>
      </c>
    </row>
    <row r="375" spans="1:39" ht="16.5" customHeight="1" thickBot="1" x14ac:dyDescent="0.35">
      <c r="A375" s="126" t="s">
        <v>52</v>
      </c>
      <c r="B375" s="100">
        <f>SUM(B324:B374)</f>
        <v>5136</v>
      </c>
      <c r="C375" s="101">
        <f>SUM(C324:C374)</f>
        <v>3711</v>
      </c>
      <c r="D375" s="101">
        <f>SUM(D324:D374)</f>
        <v>3087</v>
      </c>
      <c r="E375" s="64">
        <f>SUM(B375:D375)</f>
        <v>11934</v>
      </c>
      <c r="F375" s="101">
        <f>SUM(F324:F374)</f>
        <v>4933</v>
      </c>
      <c r="G375" s="101">
        <f>SUM(G324:G374)</f>
        <v>17667</v>
      </c>
      <c r="H375" s="101">
        <f>SUM(H324:H374)</f>
        <v>23015</v>
      </c>
      <c r="I375" s="64">
        <f>SUM(F375:H375)</f>
        <v>45615</v>
      </c>
      <c r="J375" s="101">
        <f>SUM(J324:J374)</f>
        <v>17536</v>
      </c>
      <c r="K375" s="101">
        <f>SUM(K324:K374)</f>
        <v>13246</v>
      </c>
      <c r="L375" s="101">
        <f>SUM(L324:L374)</f>
        <v>10359</v>
      </c>
      <c r="M375" s="64">
        <f>SUM(J375:L375)</f>
        <v>41141</v>
      </c>
      <c r="N375" s="101">
        <f>SUM(N324:N374)</f>
        <v>12535</v>
      </c>
      <c r="O375" s="101">
        <f>SUM(O324:O374)</f>
        <v>10392</v>
      </c>
      <c r="P375" s="101">
        <f>SUM(P324:P374)</f>
        <v>10242</v>
      </c>
      <c r="Q375" s="64">
        <f>SUM(N375:P375)</f>
        <v>33169</v>
      </c>
      <c r="R375" s="64">
        <f>+E375+I375+M375+Q375</f>
        <v>131859</v>
      </c>
      <c r="T375" s="106"/>
      <c r="V375" s="4" t="s">
        <v>305</v>
      </c>
      <c r="W375" s="127">
        <v>0.18</v>
      </c>
    </row>
    <row r="376" spans="1:39" ht="15.75" customHeight="1" x14ac:dyDescent="0.3">
      <c r="A376" s="17" t="s">
        <v>53</v>
      </c>
      <c r="B376" s="1"/>
      <c r="C376" s="1"/>
      <c r="D376" s="1"/>
      <c r="E376" s="59" t="s">
        <v>7</v>
      </c>
      <c r="F376" s="1"/>
      <c r="G376" s="1"/>
      <c r="H376" s="1"/>
      <c r="I376" s="59" t="s">
        <v>7</v>
      </c>
      <c r="J376" s="1"/>
      <c r="K376" s="1"/>
      <c r="L376" s="1"/>
      <c r="M376" s="59" t="s">
        <v>7</v>
      </c>
      <c r="N376" s="1"/>
      <c r="O376" s="1"/>
      <c r="P376" s="1"/>
      <c r="Q376" s="59" t="s">
        <v>7</v>
      </c>
      <c r="R376" s="59" t="s">
        <v>7</v>
      </c>
      <c r="V376" s="4" t="s">
        <v>366</v>
      </c>
      <c r="W376" s="127">
        <v>0.52</v>
      </c>
    </row>
    <row r="377" spans="1:39" ht="15.75" customHeight="1" x14ac:dyDescent="0.3">
      <c r="A377" s="17" t="s">
        <v>367</v>
      </c>
      <c r="B377" s="1"/>
      <c r="C377" s="1"/>
      <c r="D377" s="1"/>
      <c r="E377" s="59"/>
      <c r="F377" s="1"/>
      <c r="G377" s="1"/>
      <c r="H377" s="1"/>
      <c r="I377" s="59"/>
      <c r="J377" s="1"/>
      <c r="K377" s="1"/>
      <c r="L377" s="1"/>
      <c r="M377" s="59"/>
      <c r="N377" s="1"/>
      <c r="O377" s="1"/>
      <c r="P377" s="1"/>
      <c r="Q377" s="59"/>
      <c r="R377" s="59"/>
      <c r="V377" s="4" t="s">
        <v>368</v>
      </c>
      <c r="W377" s="127">
        <v>0.3</v>
      </c>
    </row>
    <row r="378" spans="1:39" ht="15.75" customHeight="1" x14ac:dyDescent="0.3">
      <c r="A378" s="17" t="s">
        <v>55</v>
      </c>
      <c r="B378" s="1"/>
      <c r="C378" s="1"/>
      <c r="D378" s="1"/>
      <c r="E378" s="59" t="s">
        <v>7</v>
      </c>
      <c r="F378" s="1"/>
      <c r="G378" s="1"/>
      <c r="H378" s="1"/>
      <c r="I378" s="59" t="s">
        <v>7</v>
      </c>
      <c r="J378" s="1"/>
      <c r="K378" s="1"/>
      <c r="L378" s="1"/>
      <c r="M378" s="59" t="s">
        <v>7</v>
      </c>
      <c r="N378" s="1"/>
      <c r="O378" s="1"/>
      <c r="P378" s="1"/>
      <c r="Q378" s="59" t="s">
        <v>7</v>
      </c>
      <c r="R378" s="59" t="s">
        <v>7</v>
      </c>
      <c r="W378" s="128">
        <f>+SUM(W375:W377)</f>
        <v>1</v>
      </c>
    </row>
    <row r="379" spans="1:39" ht="15.75" customHeight="1" x14ac:dyDescent="0.3">
      <c r="A379" s="76" t="s">
        <v>369</v>
      </c>
      <c r="B379" s="1">
        <v>20</v>
      </c>
      <c r="C379" s="1">
        <v>20</v>
      </c>
      <c r="D379" s="1">
        <v>880</v>
      </c>
      <c r="E379" s="59">
        <f>SUM(B379:D379)</f>
        <v>920</v>
      </c>
      <c r="F379" s="1">
        <v>1400</v>
      </c>
      <c r="G379" s="1">
        <v>1816</v>
      </c>
      <c r="H379" s="1">
        <v>4200</v>
      </c>
      <c r="I379" s="59">
        <f>SUM(F379:H379)</f>
        <v>7416</v>
      </c>
      <c r="J379" s="1">
        <v>3845</v>
      </c>
      <c r="K379" s="1">
        <v>2188</v>
      </c>
      <c r="L379" s="1">
        <v>180</v>
      </c>
      <c r="M379" s="59">
        <f>SUM(J379:L379)</f>
        <v>6213</v>
      </c>
      <c r="N379" s="1">
        <v>39</v>
      </c>
      <c r="O379" s="1">
        <v>35</v>
      </c>
      <c r="P379" s="1">
        <v>35</v>
      </c>
      <c r="Q379" s="59">
        <f>SUM(N379:P379)</f>
        <v>109</v>
      </c>
      <c r="R379" s="59">
        <f t="shared" ref="R379:R387" si="143">+E379+I379+M379+Q379</f>
        <v>14658</v>
      </c>
      <c r="T379" s="4" t="s">
        <v>305</v>
      </c>
      <c r="V379" s="129" t="s">
        <v>370</v>
      </c>
      <c r="W379" s="30" t="s">
        <v>36</v>
      </c>
      <c r="X379" s="2" t="s">
        <v>9</v>
      </c>
      <c r="Y379" s="2" t="s">
        <v>10</v>
      </c>
      <c r="Z379" s="130" t="s">
        <v>11</v>
      </c>
      <c r="AA379" s="2" t="s">
        <v>12</v>
      </c>
      <c r="AB379" s="2" t="s">
        <v>13</v>
      </c>
      <c r="AC379" s="2" t="s">
        <v>14</v>
      </c>
      <c r="AD379" s="130" t="s">
        <v>15</v>
      </c>
      <c r="AE379" s="2" t="s">
        <v>16</v>
      </c>
      <c r="AF379" s="2" t="s">
        <v>17</v>
      </c>
      <c r="AG379" s="2" t="s">
        <v>18</v>
      </c>
      <c r="AH379" s="130" t="s">
        <v>19</v>
      </c>
      <c r="AI379" s="2" t="s">
        <v>20</v>
      </c>
      <c r="AJ379" s="2" t="s">
        <v>21</v>
      </c>
      <c r="AK379" s="2" t="s">
        <v>22</v>
      </c>
      <c r="AL379" s="130" t="s">
        <v>23</v>
      </c>
      <c r="AM379" s="303" t="s">
        <v>24</v>
      </c>
    </row>
    <row r="380" spans="1:39" ht="15.75" customHeight="1" x14ac:dyDescent="0.3">
      <c r="A380" s="76" t="s">
        <v>371</v>
      </c>
      <c r="B380" s="1"/>
      <c r="C380" s="1"/>
      <c r="D380" s="1"/>
      <c r="E380" s="59">
        <f>SUM(B380:D380)</f>
        <v>0</v>
      </c>
      <c r="F380" s="1"/>
      <c r="G380" s="1"/>
      <c r="H380" s="1"/>
      <c r="I380" s="59">
        <f>SUM(F380:H380)</f>
        <v>0</v>
      </c>
      <c r="J380" s="1"/>
      <c r="K380" s="1"/>
      <c r="L380" s="1"/>
      <c r="M380" s="59">
        <f>SUM(J380:L380)</f>
        <v>0</v>
      </c>
      <c r="N380" s="1"/>
      <c r="O380" s="1"/>
      <c r="P380" s="1"/>
      <c r="Q380" s="59">
        <f>SUM(N380:P380)</f>
        <v>0</v>
      </c>
      <c r="R380" s="59">
        <f t="shared" si="143"/>
        <v>0</v>
      </c>
      <c r="T380" s="4" t="s">
        <v>331</v>
      </c>
      <c r="V380" s="95" t="s">
        <v>372</v>
      </c>
      <c r="W380" s="132">
        <v>1500</v>
      </c>
      <c r="X380" s="132">
        <v>1500</v>
      </c>
      <c r="Y380" s="132">
        <v>6800</v>
      </c>
      <c r="Z380" s="4">
        <f>+SUM(W380:Y380)</f>
        <v>9800</v>
      </c>
      <c r="AA380" s="132">
        <f>8000+1500</f>
        <v>9500</v>
      </c>
      <c r="AB380" s="132">
        <f>10000+2000</f>
        <v>12000</v>
      </c>
      <c r="AC380" s="132">
        <f>12000+1500</f>
        <v>13500</v>
      </c>
      <c r="AD380" s="4">
        <f>+SUM(AA380:AC380)</f>
        <v>35000</v>
      </c>
      <c r="AE380" s="132">
        <v>25500</v>
      </c>
      <c r="AF380" s="132">
        <v>19000</v>
      </c>
      <c r="AG380" s="132">
        <v>4000</v>
      </c>
      <c r="AH380" s="4">
        <f>+SUM(AE380:AG380)</f>
        <v>48500</v>
      </c>
      <c r="AI380" s="132">
        <v>1500</v>
      </c>
      <c r="AJ380" s="132">
        <v>1000</v>
      </c>
      <c r="AK380" s="132">
        <v>1069</v>
      </c>
      <c r="AL380" s="4">
        <f>+SUM(AI380:AK380)</f>
        <v>3569</v>
      </c>
      <c r="AM380" s="304">
        <f>+Z380+AD380+AH380+AL380</f>
        <v>96869</v>
      </c>
    </row>
    <row r="381" spans="1:39" ht="15.75" customHeight="1" x14ac:dyDescent="0.3">
      <c r="A381" s="76" t="s">
        <v>373</v>
      </c>
      <c r="B381" s="1">
        <v>2000</v>
      </c>
      <c r="C381" s="1">
        <v>2300</v>
      </c>
      <c r="D381" s="1">
        <v>6750</v>
      </c>
      <c r="E381" s="59">
        <f t="shared" ref="E381:E382" si="144">SUM(B381:D381)</f>
        <v>11050</v>
      </c>
      <c r="F381" s="1">
        <v>9250</v>
      </c>
      <c r="G381" s="1">
        <v>5951</v>
      </c>
      <c r="H381" s="1"/>
      <c r="I381" s="59">
        <f t="shared" ref="I381:I386" si="145">SUM(F381:H381)</f>
        <v>15201</v>
      </c>
      <c r="J381" s="1"/>
      <c r="K381" s="1"/>
      <c r="L381" s="1"/>
      <c r="M381" s="59">
        <f t="shared" ref="M381:M386" si="146">SUM(J381:L381)</f>
        <v>0</v>
      </c>
      <c r="N381" s="1"/>
      <c r="O381" s="1"/>
      <c r="P381" s="1"/>
      <c r="Q381" s="59">
        <f t="shared" ref="Q381:Q387" si="147">SUM(N381:P381)</f>
        <v>0</v>
      </c>
      <c r="R381" s="59">
        <f t="shared" si="143"/>
        <v>26251</v>
      </c>
      <c r="T381" s="4" t="s">
        <v>307</v>
      </c>
      <c r="V381" s="95" t="s">
        <v>305</v>
      </c>
      <c r="W381" s="4">
        <f>+$W$375*W380</f>
        <v>270</v>
      </c>
      <c r="X381" s="4">
        <f>+$W$375*X380</f>
        <v>270</v>
      </c>
      <c r="Y381" s="4">
        <f>+$W$375*Y380</f>
        <v>1224</v>
      </c>
      <c r="Z381" s="4">
        <f>+SUM(W381:Y381)</f>
        <v>1764</v>
      </c>
      <c r="AA381" s="4">
        <f>+$W$375*AA380</f>
        <v>1710</v>
      </c>
      <c r="AB381" s="4">
        <f>+$W$375*AB380</f>
        <v>2160</v>
      </c>
      <c r="AC381" s="4">
        <f>+$W$375*AC380</f>
        <v>2430</v>
      </c>
      <c r="AD381" s="4">
        <f>+SUM(AA381:AC381)</f>
        <v>6300</v>
      </c>
      <c r="AE381" s="4">
        <f>+$W$375*AE380</f>
        <v>4590</v>
      </c>
      <c r="AF381" s="4">
        <f>+$W$375*AF380</f>
        <v>3420</v>
      </c>
      <c r="AG381" s="4">
        <f>+$W$375*AG380</f>
        <v>720</v>
      </c>
      <c r="AH381" s="4">
        <f>+SUM(AE381:AG381)</f>
        <v>8730</v>
      </c>
      <c r="AI381" s="4">
        <f>+$W$375*AI380</f>
        <v>270</v>
      </c>
      <c r="AJ381" s="4">
        <f>+$W$375*AJ380</f>
        <v>180</v>
      </c>
      <c r="AK381" s="4">
        <f>+$W$375*AK380</f>
        <v>192.42</v>
      </c>
      <c r="AL381" s="4">
        <f>+SUM(AI381:AK381)</f>
        <v>642.41999999999996</v>
      </c>
      <c r="AM381" s="304">
        <f>+Z381+AD381+AH381+AL381</f>
        <v>17436.419999999998</v>
      </c>
    </row>
    <row r="382" spans="1:39" ht="15.75" customHeight="1" x14ac:dyDescent="0.3">
      <c r="A382" s="76" t="s">
        <v>374</v>
      </c>
      <c r="B382" s="1">
        <v>1510</v>
      </c>
      <c r="C382" s="1">
        <v>2750</v>
      </c>
      <c r="D382" s="1">
        <v>9600</v>
      </c>
      <c r="E382" s="59">
        <f t="shared" si="144"/>
        <v>13860</v>
      </c>
      <c r="F382" s="1">
        <v>12910</v>
      </c>
      <c r="G382" s="1">
        <v>15030</v>
      </c>
      <c r="H382" s="1">
        <v>15550</v>
      </c>
      <c r="I382" s="59">
        <f t="shared" ref="I382" si="148">SUM(F382:H382)</f>
        <v>43490</v>
      </c>
      <c r="J382" s="1">
        <v>9360</v>
      </c>
      <c r="K382" s="1">
        <v>9000</v>
      </c>
      <c r="L382" s="1">
        <v>5925</v>
      </c>
      <c r="M382" s="59">
        <f t="shared" ref="M382" si="149">SUM(J382:L382)</f>
        <v>24285</v>
      </c>
      <c r="N382" s="1">
        <v>1590</v>
      </c>
      <c r="O382" s="1">
        <v>1030</v>
      </c>
      <c r="P382" s="1">
        <v>246</v>
      </c>
      <c r="Q382" s="59">
        <f t="shared" si="147"/>
        <v>2866</v>
      </c>
      <c r="R382" s="59">
        <f t="shared" si="143"/>
        <v>84501</v>
      </c>
      <c r="T382" s="4" t="s">
        <v>305</v>
      </c>
      <c r="V382" s="95" t="s">
        <v>366</v>
      </c>
      <c r="W382" s="4">
        <f>+$W$376*W380</f>
        <v>780</v>
      </c>
      <c r="X382" s="4">
        <f>+$W$376*X380</f>
        <v>780</v>
      </c>
      <c r="Y382" s="4">
        <f>+$W$376*Y380</f>
        <v>3536</v>
      </c>
      <c r="Z382" s="4">
        <f>+SUM(W382:Y382)</f>
        <v>5096</v>
      </c>
      <c r="AA382" s="4">
        <f>+$W$376*AA380</f>
        <v>4940</v>
      </c>
      <c r="AB382" s="4">
        <f>+$W$376*AB380</f>
        <v>6240</v>
      </c>
      <c r="AC382" s="4">
        <f>+$W$376*AC380</f>
        <v>7020</v>
      </c>
      <c r="AD382" s="4">
        <f>+SUM(AA382:AC382)</f>
        <v>18200</v>
      </c>
      <c r="AE382" s="4">
        <f>+$W$376*AE380</f>
        <v>13260</v>
      </c>
      <c r="AF382" s="4">
        <f>+$W$376*AF380</f>
        <v>9880</v>
      </c>
      <c r="AG382" s="4">
        <f>+$W$376*AG380</f>
        <v>2080</v>
      </c>
      <c r="AH382" s="4">
        <f>+SUM(AE382:AG382)</f>
        <v>25220</v>
      </c>
      <c r="AI382" s="4">
        <f>+$W$376*AI380</f>
        <v>780</v>
      </c>
      <c r="AJ382" s="4">
        <f>+$W$376*AJ380</f>
        <v>520</v>
      </c>
      <c r="AK382" s="4">
        <f>+$W$376*AK380</f>
        <v>555.88</v>
      </c>
      <c r="AL382" s="4">
        <f>+SUM(AI382:AK382)</f>
        <v>1855.88</v>
      </c>
      <c r="AM382" s="304">
        <f>+Z382+AD382+AH382+AL382</f>
        <v>50371.88</v>
      </c>
    </row>
    <row r="383" spans="1:39" ht="15.75" customHeight="1" x14ac:dyDescent="0.3">
      <c r="A383" s="76" t="s">
        <v>375</v>
      </c>
      <c r="B383" s="1"/>
      <c r="C383" s="1"/>
      <c r="D383" s="1"/>
      <c r="E383" s="59">
        <f t="shared" ref="E383:E386" si="150">SUM(B383:D383)</f>
        <v>0</v>
      </c>
      <c r="F383" s="1"/>
      <c r="G383" s="1"/>
      <c r="H383" s="1"/>
      <c r="I383" s="59">
        <f t="shared" si="145"/>
        <v>0</v>
      </c>
      <c r="J383" s="1"/>
      <c r="K383" s="1"/>
      <c r="L383" s="1"/>
      <c r="M383" s="59">
        <f t="shared" si="146"/>
        <v>0</v>
      </c>
      <c r="N383" s="1"/>
      <c r="O383" s="1"/>
      <c r="P383" s="1"/>
      <c r="Q383" s="59">
        <f t="shared" si="147"/>
        <v>0</v>
      </c>
      <c r="R383" s="59">
        <f t="shared" si="143"/>
        <v>0</v>
      </c>
      <c r="T383" s="4" t="s">
        <v>376</v>
      </c>
      <c r="V383" s="95" t="s">
        <v>368</v>
      </c>
      <c r="W383" s="4">
        <f>+$W$377*W380</f>
        <v>450</v>
      </c>
      <c r="X383" s="4">
        <f>+$W$377*X380</f>
        <v>450</v>
      </c>
      <c r="Y383" s="4">
        <f>+$W$377*Y380</f>
        <v>2040</v>
      </c>
      <c r="Z383" s="4">
        <f>+SUM(W383:Y383)</f>
        <v>2940</v>
      </c>
      <c r="AA383" s="4">
        <f>+$W$377*AA380</f>
        <v>2850</v>
      </c>
      <c r="AB383" s="4">
        <f>+$W$377*AB380</f>
        <v>3600</v>
      </c>
      <c r="AC383" s="4">
        <f>+$W$377*AC380</f>
        <v>4050</v>
      </c>
      <c r="AD383" s="4">
        <f>+SUM(AA383:AC383)</f>
        <v>10500</v>
      </c>
      <c r="AE383" s="4">
        <f>+$W$377*AE380</f>
        <v>7650</v>
      </c>
      <c r="AF383" s="4">
        <f>+$W$377*AF380</f>
        <v>5700</v>
      </c>
      <c r="AG383" s="4">
        <f>+$W$377*AG380</f>
        <v>1200</v>
      </c>
      <c r="AH383" s="4">
        <f>+SUM(AE383:AG383)</f>
        <v>14550</v>
      </c>
      <c r="AI383" s="4">
        <f>+$W$377*AI380</f>
        <v>450</v>
      </c>
      <c r="AJ383" s="4">
        <f>+$W$377*AJ380</f>
        <v>300</v>
      </c>
      <c r="AK383" s="4">
        <f>+$W$377*AK380</f>
        <v>320.7</v>
      </c>
      <c r="AL383" s="4">
        <f>+$W$377*AL380</f>
        <v>1070.7</v>
      </c>
      <c r="AM383" s="304">
        <f>+Z383+AD383+AH383+AL383</f>
        <v>29060.7</v>
      </c>
    </row>
    <row r="384" spans="1:39" ht="15.75" customHeight="1" thickBot="1" x14ac:dyDescent="0.35">
      <c r="A384" s="76" t="s">
        <v>377</v>
      </c>
      <c r="B384" s="1">
        <v>700</v>
      </c>
      <c r="C384" s="1">
        <v>700</v>
      </c>
      <c r="D384" s="1">
        <v>500</v>
      </c>
      <c r="E384" s="59">
        <f t="shared" ref="E384" si="151">SUM(B384:D384)</f>
        <v>1900</v>
      </c>
      <c r="F384" s="1"/>
      <c r="G384" s="1"/>
      <c r="H384" s="1"/>
      <c r="I384" s="59">
        <f t="shared" ref="I384" si="152">SUM(F384:H384)</f>
        <v>0</v>
      </c>
      <c r="J384" s="1"/>
      <c r="K384" s="1"/>
      <c r="L384" s="1"/>
      <c r="M384" s="59">
        <f t="shared" ref="M384" si="153">SUM(J384:L384)</f>
        <v>0</v>
      </c>
      <c r="N384" s="1"/>
      <c r="O384" s="1"/>
      <c r="P384" s="1">
        <v>1000</v>
      </c>
      <c r="Q384" s="59">
        <f t="shared" si="147"/>
        <v>1000</v>
      </c>
      <c r="R384" s="59">
        <f t="shared" si="143"/>
        <v>2900</v>
      </c>
      <c r="T384" s="4" t="s">
        <v>331</v>
      </c>
      <c r="V384" s="134"/>
      <c r="W384" s="135"/>
      <c r="X384" s="135"/>
      <c r="Y384" s="135"/>
      <c r="Z384" s="135"/>
      <c r="AA384" s="135"/>
      <c r="AB384" s="135"/>
      <c r="AC384" s="135"/>
      <c r="AD384" s="135"/>
      <c r="AE384" s="135"/>
      <c r="AF384" s="135"/>
      <c r="AG384" s="135"/>
      <c r="AH384" s="135"/>
      <c r="AI384" s="135"/>
      <c r="AJ384" s="135"/>
      <c r="AK384" s="135"/>
      <c r="AL384" s="135"/>
      <c r="AM384" s="136"/>
    </row>
    <row r="385" spans="1:20" s="20" customFormat="1" ht="15.75" customHeight="1" x14ac:dyDescent="0.3">
      <c r="A385" s="104" t="s">
        <v>378</v>
      </c>
      <c r="B385" s="92"/>
      <c r="C385" s="92"/>
      <c r="D385" s="92"/>
      <c r="E385" s="93">
        <f t="shared" si="150"/>
        <v>0</v>
      </c>
      <c r="F385" s="92"/>
      <c r="G385" s="92"/>
      <c r="H385" s="92"/>
      <c r="I385" s="93">
        <f t="shared" si="145"/>
        <v>0</v>
      </c>
      <c r="J385" s="92"/>
      <c r="K385" s="92"/>
      <c r="L385" s="92"/>
      <c r="M385" s="93">
        <f t="shared" si="146"/>
        <v>0</v>
      </c>
      <c r="N385" s="92"/>
      <c r="O385" s="92"/>
      <c r="P385" s="92"/>
      <c r="Q385" s="93">
        <f t="shared" ref="Q385" si="154">SUM(N385:P385)</f>
        <v>0</v>
      </c>
      <c r="R385" s="93">
        <f t="shared" si="143"/>
        <v>0</v>
      </c>
    </row>
    <row r="386" spans="1:20" ht="15.75" customHeight="1" x14ac:dyDescent="0.3">
      <c r="A386" s="76" t="s">
        <v>379</v>
      </c>
      <c r="B386" s="1"/>
      <c r="C386" s="1"/>
      <c r="D386" s="1"/>
      <c r="E386" s="59">
        <f t="shared" si="150"/>
        <v>0</v>
      </c>
      <c r="F386" s="1"/>
      <c r="G386" s="1"/>
      <c r="H386" s="1"/>
      <c r="I386" s="59">
        <f t="shared" si="145"/>
        <v>0</v>
      </c>
      <c r="J386" s="1"/>
      <c r="K386" s="1"/>
      <c r="L386" s="1"/>
      <c r="M386" s="59">
        <f t="shared" si="146"/>
        <v>0</v>
      </c>
      <c r="N386" s="1"/>
      <c r="O386" s="1"/>
      <c r="P386" s="1"/>
      <c r="Q386" s="59">
        <f t="shared" si="147"/>
        <v>0</v>
      </c>
      <c r="R386" s="59">
        <f t="shared" si="143"/>
        <v>0</v>
      </c>
      <c r="T386" s="4" t="s">
        <v>317</v>
      </c>
    </row>
    <row r="387" spans="1:20" ht="15.75" customHeight="1" x14ac:dyDescent="0.3">
      <c r="A387" s="76" t="s">
        <v>380</v>
      </c>
      <c r="B387" s="1"/>
      <c r="C387" s="1">
        <v>250</v>
      </c>
      <c r="D387" s="1">
        <v>250</v>
      </c>
      <c r="E387" s="59">
        <f t="shared" ref="E387" si="155">SUM(B387:D387)</f>
        <v>500</v>
      </c>
      <c r="F387" s="1">
        <v>500</v>
      </c>
      <c r="G387" s="1">
        <v>1000</v>
      </c>
      <c r="H387" s="1">
        <v>3500</v>
      </c>
      <c r="I387" s="59">
        <f t="shared" ref="I387" si="156">SUM(F387:H387)</f>
        <v>5000</v>
      </c>
      <c r="J387" s="1">
        <v>5000</v>
      </c>
      <c r="K387" s="1">
        <v>5500</v>
      </c>
      <c r="L387" s="1">
        <v>3500</v>
      </c>
      <c r="M387" s="59">
        <f t="shared" ref="M387" si="157">SUM(J387:L387)</f>
        <v>14000</v>
      </c>
      <c r="N387" s="1">
        <v>3000</v>
      </c>
      <c r="O387" s="1">
        <v>1000</v>
      </c>
      <c r="P387" s="1">
        <v>1737</v>
      </c>
      <c r="Q387" s="59">
        <f t="shared" si="147"/>
        <v>5737</v>
      </c>
      <c r="R387" s="59">
        <f t="shared" si="143"/>
        <v>25237</v>
      </c>
    </row>
    <row r="388" spans="1:20" ht="15.75" customHeight="1" thickBot="1" x14ac:dyDescent="0.35">
      <c r="A388" s="17" t="s">
        <v>56</v>
      </c>
      <c r="B388" s="1"/>
      <c r="C388" s="1"/>
      <c r="D388" s="1"/>
      <c r="E388" s="59" t="s">
        <v>7</v>
      </c>
      <c r="F388" s="1"/>
      <c r="G388" s="1"/>
      <c r="H388" s="1"/>
      <c r="I388" s="59" t="s">
        <v>7</v>
      </c>
      <c r="J388" s="1"/>
      <c r="K388" s="1"/>
      <c r="L388" s="1"/>
      <c r="M388" s="59" t="s">
        <v>7</v>
      </c>
      <c r="N388" s="1"/>
      <c r="O388" s="1"/>
      <c r="P388" s="1"/>
      <c r="Q388" s="59" t="s">
        <v>7</v>
      </c>
      <c r="R388" s="59" t="s">
        <v>7</v>
      </c>
    </row>
    <row r="389" spans="1:20" ht="16.5" customHeight="1" thickBot="1" x14ac:dyDescent="0.35">
      <c r="A389" s="62" t="s">
        <v>57</v>
      </c>
      <c r="B389" s="100">
        <f>SUM(B376:B388)</f>
        <v>4230</v>
      </c>
      <c r="C389" s="101">
        <f>SUM(C376:C388)</f>
        <v>6020</v>
      </c>
      <c r="D389" s="101">
        <f>SUM(D376:D388)</f>
        <v>17980</v>
      </c>
      <c r="E389" s="64">
        <f>SUM(B389:D389)</f>
        <v>28230</v>
      </c>
      <c r="F389" s="101">
        <f>SUM(F376:F388)</f>
        <v>24060</v>
      </c>
      <c r="G389" s="101">
        <f>SUM(G376:G388)</f>
        <v>23797</v>
      </c>
      <c r="H389" s="101">
        <f>SUM(H376:H388)</f>
        <v>23250</v>
      </c>
      <c r="I389" s="64">
        <f>SUM(F389:H389)</f>
        <v>71107</v>
      </c>
      <c r="J389" s="101">
        <f>SUM(J376:J388)</f>
        <v>18205</v>
      </c>
      <c r="K389" s="101">
        <f>SUM(K376:K388)</f>
        <v>16688</v>
      </c>
      <c r="L389" s="101">
        <f>SUM(L376:L388)</f>
        <v>9605</v>
      </c>
      <c r="M389" s="64">
        <f>SUM(J389:L389)</f>
        <v>44498</v>
      </c>
      <c r="N389" s="101">
        <f>SUM(N376:N388)</f>
        <v>4629</v>
      </c>
      <c r="O389" s="101">
        <f>SUM(O376:O388)</f>
        <v>2065</v>
      </c>
      <c r="P389" s="101">
        <f>SUM(P376:P388)</f>
        <v>3018</v>
      </c>
      <c r="Q389" s="64">
        <f>SUM(N389:P389)</f>
        <v>9712</v>
      </c>
      <c r="R389" s="64">
        <f>+E389+I389+M389+Q389</f>
        <v>153547</v>
      </c>
    </row>
    <row r="390" spans="1:20" ht="15.75" customHeight="1" x14ac:dyDescent="0.3">
      <c r="A390" s="17" t="s">
        <v>58</v>
      </c>
      <c r="B390" s="1"/>
      <c r="C390" s="1"/>
      <c r="D390" s="1"/>
      <c r="E390" s="59" t="s">
        <v>7</v>
      </c>
      <c r="F390" s="1"/>
      <c r="G390" s="1"/>
      <c r="H390" s="1"/>
      <c r="I390" s="59" t="s">
        <v>7</v>
      </c>
      <c r="J390" s="1"/>
      <c r="K390" s="1"/>
      <c r="L390" s="1"/>
      <c r="M390" s="59" t="s">
        <v>7</v>
      </c>
      <c r="N390" s="1"/>
      <c r="O390" s="1"/>
      <c r="P390" s="1"/>
      <c r="Q390" s="59" t="s">
        <v>7</v>
      </c>
      <c r="R390" s="59" t="s">
        <v>7</v>
      </c>
    </row>
    <row r="391" spans="1:20" ht="15.75" customHeight="1" x14ac:dyDescent="0.3">
      <c r="A391" s="17" t="s">
        <v>59</v>
      </c>
      <c r="B391" s="1"/>
      <c r="C391" s="1"/>
      <c r="D391" s="1"/>
      <c r="E391" s="59" t="s">
        <v>7</v>
      </c>
      <c r="F391" s="1"/>
      <c r="G391" s="1"/>
      <c r="H391" s="1"/>
      <c r="I391" s="59" t="s">
        <v>7</v>
      </c>
      <c r="J391" s="1"/>
      <c r="K391" s="1"/>
      <c r="L391" s="1"/>
      <c r="M391" s="59" t="s">
        <v>7</v>
      </c>
      <c r="N391" s="1"/>
      <c r="O391" s="1"/>
      <c r="P391" s="1"/>
      <c r="Q391" s="59" t="s">
        <v>7</v>
      </c>
      <c r="R391" s="59" t="s">
        <v>7</v>
      </c>
    </row>
    <row r="392" spans="1:20" ht="15.75" customHeight="1" x14ac:dyDescent="0.3">
      <c r="A392" s="76" t="s">
        <v>381</v>
      </c>
      <c r="B392" s="1">
        <v>2186</v>
      </c>
      <c r="C392" s="1">
        <v>3781</v>
      </c>
      <c r="D392" s="1">
        <v>9123</v>
      </c>
      <c r="E392" s="59">
        <f>SUM(B392:D392)</f>
        <v>15090</v>
      </c>
      <c r="F392" s="1">
        <v>8672</v>
      </c>
      <c r="G392" s="1">
        <v>11301</v>
      </c>
      <c r="H392" s="1">
        <v>12370</v>
      </c>
      <c r="I392" s="59">
        <f>SUM(F392:H392)</f>
        <v>32343</v>
      </c>
      <c r="J392" s="1">
        <v>7061</v>
      </c>
      <c r="K392" s="1">
        <v>7647</v>
      </c>
      <c r="L392" s="1">
        <v>5737</v>
      </c>
      <c r="M392" s="59">
        <f>SUM(J392:L392)</f>
        <v>20445</v>
      </c>
      <c r="N392" s="1">
        <v>2435</v>
      </c>
      <c r="O392" s="1">
        <v>1111</v>
      </c>
      <c r="P392" s="1">
        <v>1622</v>
      </c>
      <c r="Q392" s="59">
        <f>SUM(N392:P392)</f>
        <v>5168</v>
      </c>
      <c r="R392" s="59">
        <f>+E392+I392+M392+Q392</f>
        <v>73046</v>
      </c>
      <c r="T392" s="4" t="s">
        <v>305</v>
      </c>
    </row>
    <row r="393" spans="1:20" ht="15.75" customHeight="1" x14ac:dyDescent="0.3">
      <c r="A393" s="76" t="s">
        <v>382</v>
      </c>
      <c r="B393" s="1">
        <v>600</v>
      </c>
      <c r="C393" s="1">
        <v>1200</v>
      </c>
      <c r="D393" s="1">
        <v>1800</v>
      </c>
      <c r="E393" s="59">
        <f>SUM(B393:D393)</f>
        <v>3600</v>
      </c>
      <c r="F393" s="1">
        <f>1500+1900</f>
        <v>3400</v>
      </c>
      <c r="G393" s="1">
        <f>2500+2000</f>
        <v>4500</v>
      </c>
      <c r="H393" s="1">
        <v>5000</v>
      </c>
      <c r="I393" s="59">
        <f>SUM(F393:H393)</f>
        <v>12900</v>
      </c>
      <c r="J393" s="1">
        <v>15000</v>
      </c>
      <c r="K393" s="1">
        <f>17848+2000</f>
        <v>19848</v>
      </c>
      <c r="L393" s="1">
        <v>20000</v>
      </c>
      <c r="M393" s="59">
        <f>SUM(J393:L393)</f>
        <v>54848</v>
      </c>
      <c r="N393" s="1">
        <v>18736</v>
      </c>
      <c r="O393" s="1">
        <v>13000</v>
      </c>
      <c r="P393" s="1">
        <v>17500</v>
      </c>
      <c r="Q393" s="59">
        <f>SUM(N393:P393)</f>
        <v>49236</v>
      </c>
      <c r="R393" s="59">
        <f>+E393+I393+M393+Q393</f>
        <v>120584</v>
      </c>
      <c r="T393" s="4" t="s">
        <v>336</v>
      </c>
    </row>
    <row r="394" spans="1:20" ht="15.75" customHeight="1" x14ac:dyDescent="0.3">
      <c r="A394" s="17" t="s">
        <v>60</v>
      </c>
      <c r="B394" s="1"/>
      <c r="C394" s="1"/>
      <c r="D394" s="1"/>
      <c r="E394" s="59" t="s">
        <v>7</v>
      </c>
      <c r="F394" s="1"/>
      <c r="G394" s="1"/>
      <c r="H394" s="1"/>
      <c r="I394" s="59" t="s">
        <v>7</v>
      </c>
      <c r="J394" s="1"/>
      <c r="K394" s="1"/>
      <c r="L394" s="1"/>
      <c r="M394" s="59" t="s">
        <v>7</v>
      </c>
      <c r="N394" s="1"/>
      <c r="O394" s="1"/>
      <c r="P394" s="1"/>
      <c r="Q394" s="59" t="s">
        <v>7</v>
      </c>
      <c r="R394" s="59" t="s">
        <v>7</v>
      </c>
    </row>
    <row r="395" spans="1:20" ht="15.75" customHeight="1" x14ac:dyDescent="0.3">
      <c r="A395" s="76" t="s">
        <v>385</v>
      </c>
      <c r="B395" s="1"/>
      <c r="C395" s="1"/>
      <c r="D395" s="1"/>
      <c r="E395" s="59">
        <f>SUM(B395:D395)</f>
        <v>0</v>
      </c>
      <c r="F395" s="1">
        <v>863</v>
      </c>
      <c r="G395" s="1">
        <v>4137</v>
      </c>
      <c r="H395" s="1"/>
      <c r="I395" s="59">
        <f>SUM(F395:H395)</f>
        <v>5000</v>
      </c>
      <c r="J395" s="1"/>
      <c r="K395" s="1"/>
      <c r="L395" s="1"/>
      <c r="M395" s="59">
        <f>SUM(J395:L395)</f>
        <v>0</v>
      </c>
      <c r="N395" s="1"/>
      <c r="O395" s="1"/>
      <c r="P395" s="1"/>
      <c r="Q395" s="59">
        <f>SUM(N395:P395)</f>
        <v>0</v>
      </c>
      <c r="R395" s="59">
        <f t="shared" ref="R395:R443" si="158">+E395+I395+M395+Q395</f>
        <v>5000</v>
      </c>
    </row>
    <row r="396" spans="1:20" ht="15.75" customHeight="1" x14ac:dyDescent="0.3">
      <c r="A396" s="76" t="s">
        <v>388</v>
      </c>
      <c r="B396" s="1"/>
      <c r="C396" s="1"/>
      <c r="D396" s="1"/>
      <c r="E396" s="59">
        <f t="shared" ref="E396:E399" si="159">SUM(B396:D396)</f>
        <v>0</v>
      </c>
      <c r="F396" s="1"/>
      <c r="G396" s="1"/>
      <c r="H396" s="1"/>
      <c r="I396" s="59">
        <f t="shared" ref="I396:I443" si="160">SUM(F396:H396)</f>
        <v>0</v>
      </c>
      <c r="J396" s="1"/>
      <c r="K396" s="1"/>
      <c r="L396" s="1"/>
      <c r="M396" s="59">
        <f t="shared" ref="M396:M443" si="161">SUM(J396:L396)</f>
        <v>0</v>
      </c>
      <c r="N396" s="1"/>
      <c r="O396" s="1"/>
      <c r="P396" s="1"/>
      <c r="Q396" s="59">
        <f t="shared" ref="Q396:Q444" si="162">SUM(N396:P396)</f>
        <v>0</v>
      </c>
      <c r="R396" s="59">
        <f t="shared" si="158"/>
        <v>0</v>
      </c>
    </row>
    <row r="397" spans="1:20" ht="15.75" customHeight="1" x14ac:dyDescent="0.3">
      <c r="A397" s="76" t="s">
        <v>389</v>
      </c>
      <c r="B397" s="1">
        <v>972</v>
      </c>
      <c r="C397" s="1"/>
      <c r="D397" s="1"/>
      <c r="E397" s="59">
        <f t="shared" si="159"/>
        <v>972</v>
      </c>
      <c r="F397" s="1"/>
      <c r="G397" s="1"/>
      <c r="H397" s="1"/>
      <c r="I397" s="59">
        <f t="shared" si="160"/>
        <v>0</v>
      </c>
      <c r="J397" s="1"/>
      <c r="K397" s="1"/>
      <c r="L397" s="1"/>
      <c r="M397" s="59">
        <f t="shared" si="161"/>
        <v>0</v>
      </c>
      <c r="N397" s="1"/>
      <c r="O397" s="1"/>
      <c r="P397" s="1"/>
      <c r="Q397" s="59">
        <f t="shared" si="162"/>
        <v>0</v>
      </c>
      <c r="R397" s="59">
        <f t="shared" si="158"/>
        <v>972</v>
      </c>
      <c r="T397" s="4" t="s">
        <v>315</v>
      </c>
    </row>
    <row r="398" spans="1:20" ht="15.75" customHeight="1" x14ac:dyDescent="0.3">
      <c r="A398" s="76" t="s">
        <v>391</v>
      </c>
      <c r="B398" s="1">
        <v>666</v>
      </c>
      <c r="C398" s="1">
        <v>395</v>
      </c>
      <c r="D398" s="1"/>
      <c r="E398" s="59">
        <f t="shared" si="159"/>
        <v>1061</v>
      </c>
      <c r="F398" s="1"/>
      <c r="G398" s="1"/>
      <c r="H398" s="1"/>
      <c r="I398" s="59">
        <f t="shared" si="160"/>
        <v>0</v>
      </c>
      <c r="J398" s="1"/>
      <c r="K398" s="1"/>
      <c r="L398" s="1"/>
      <c r="M398" s="59">
        <f t="shared" si="161"/>
        <v>0</v>
      </c>
      <c r="N398" s="1"/>
      <c r="O398" s="1"/>
      <c r="P398" s="1"/>
      <c r="Q398" s="59">
        <f t="shared" si="162"/>
        <v>0</v>
      </c>
      <c r="R398" s="59">
        <f t="shared" si="158"/>
        <v>1061</v>
      </c>
      <c r="T398" s="4" t="s">
        <v>217</v>
      </c>
    </row>
    <row r="399" spans="1:20" ht="15.75" customHeight="1" x14ac:dyDescent="0.3">
      <c r="A399" s="76" t="s">
        <v>392</v>
      </c>
      <c r="B399" s="1"/>
      <c r="C399" s="1"/>
      <c r="D399" s="1"/>
      <c r="E399" s="59">
        <f t="shared" si="159"/>
        <v>0</v>
      </c>
      <c r="F399" s="1"/>
      <c r="G399" s="1"/>
      <c r="H399" s="1"/>
      <c r="I399" s="59">
        <f t="shared" si="160"/>
        <v>0</v>
      </c>
      <c r="J399" s="1"/>
      <c r="K399" s="1"/>
      <c r="L399" s="1"/>
      <c r="M399" s="59">
        <f t="shared" si="161"/>
        <v>0</v>
      </c>
      <c r="N399" s="1"/>
      <c r="O399" s="1"/>
      <c r="P399" s="1"/>
      <c r="Q399" s="59">
        <f t="shared" si="162"/>
        <v>0</v>
      </c>
      <c r="R399" s="59">
        <f t="shared" si="158"/>
        <v>0</v>
      </c>
      <c r="T399" s="4" t="s">
        <v>315</v>
      </c>
    </row>
    <row r="400" spans="1:20" ht="15.75" customHeight="1" x14ac:dyDescent="0.3">
      <c r="A400" s="76" t="s">
        <v>393</v>
      </c>
      <c r="B400" s="1"/>
      <c r="C400" s="1"/>
      <c r="D400" s="1">
        <v>627</v>
      </c>
      <c r="E400" s="59">
        <f t="shared" ref="E400:E443" si="163">SUM(B400:D400)</f>
        <v>627</v>
      </c>
      <c r="F400" s="1"/>
      <c r="G400" s="1"/>
      <c r="H400" s="1"/>
      <c r="I400" s="59">
        <f t="shared" si="160"/>
        <v>0</v>
      </c>
      <c r="J400" s="1"/>
      <c r="K400" s="1"/>
      <c r="L400" s="1"/>
      <c r="M400" s="59">
        <f t="shared" si="161"/>
        <v>0</v>
      </c>
      <c r="N400" s="1"/>
      <c r="O400" s="1"/>
      <c r="P400" s="1"/>
      <c r="Q400" s="59">
        <f t="shared" si="162"/>
        <v>0</v>
      </c>
      <c r="R400" s="59">
        <f t="shared" si="158"/>
        <v>627</v>
      </c>
    </row>
    <row r="401" spans="1:20" ht="15.75" customHeight="1" x14ac:dyDescent="0.3">
      <c r="A401" s="76" t="s">
        <v>394</v>
      </c>
      <c r="B401" s="1"/>
      <c r="C401" s="1"/>
      <c r="D401" s="1"/>
      <c r="E401" s="59">
        <f t="shared" si="163"/>
        <v>0</v>
      </c>
      <c r="F401" s="1"/>
      <c r="G401" s="1"/>
      <c r="H401" s="1"/>
      <c r="I401" s="59">
        <f t="shared" si="160"/>
        <v>0</v>
      </c>
      <c r="J401" s="1"/>
      <c r="K401" s="1"/>
      <c r="L401" s="1"/>
      <c r="M401" s="59">
        <f t="shared" si="161"/>
        <v>0</v>
      </c>
      <c r="N401" s="1"/>
      <c r="O401" s="1"/>
      <c r="P401" s="1"/>
      <c r="Q401" s="59">
        <f t="shared" si="162"/>
        <v>0</v>
      </c>
      <c r="R401" s="59">
        <f t="shared" si="158"/>
        <v>0</v>
      </c>
    </row>
    <row r="402" spans="1:20" ht="15.75" customHeight="1" x14ac:dyDescent="0.3">
      <c r="A402" s="76" t="s">
        <v>395</v>
      </c>
      <c r="B402" s="1"/>
      <c r="C402" s="1"/>
      <c r="D402" s="1"/>
      <c r="E402" s="59">
        <f t="shared" si="163"/>
        <v>0</v>
      </c>
      <c r="F402" s="1"/>
      <c r="G402" s="1"/>
      <c r="H402" s="1"/>
      <c r="I402" s="59">
        <f t="shared" si="160"/>
        <v>0</v>
      </c>
      <c r="J402" s="1"/>
      <c r="K402" s="1"/>
      <c r="L402" s="1"/>
      <c r="M402" s="59">
        <f t="shared" si="161"/>
        <v>0</v>
      </c>
      <c r="N402" s="1"/>
      <c r="O402" s="1"/>
      <c r="P402" s="1"/>
      <c r="Q402" s="59">
        <f t="shared" si="162"/>
        <v>0</v>
      </c>
      <c r="R402" s="59">
        <f>+E402+I402+M402+Q402</f>
        <v>0</v>
      </c>
      <c r="T402" s="4" t="s">
        <v>317</v>
      </c>
    </row>
    <row r="403" spans="1:20" ht="15.75" customHeight="1" x14ac:dyDescent="0.3">
      <c r="A403" s="76" t="s">
        <v>396</v>
      </c>
      <c r="B403" s="1"/>
      <c r="C403" s="1"/>
      <c r="D403" s="1"/>
      <c r="E403" s="59">
        <f t="shared" si="163"/>
        <v>0</v>
      </c>
      <c r="F403" s="1"/>
      <c r="G403" s="1"/>
      <c r="H403" s="1"/>
      <c r="I403" s="59">
        <f t="shared" si="160"/>
        <v>0</v>
      </c>
      <c r="J403" s="1"/>
      <c r="K403" s="1"/>
      <c r="L403" s="1"/>
      <c r="M403" s="59">
        <f t="shared" si="161"/>
        <v>0</v>
      </c>
      <c r="N403" s="1"/>
      <c r="O403" s="1"/>
      <c r="P403" s="1"/>
      <c r="Q403" s="59">
        <f t="shared" si="162"/>
        <v>0</v>
      </c>
      <c r="R403" s="59">
        <f t="shared" si="158"/>
        <v>0</v>
      </c>
      <c r="T403" s="4" t="s">
        <v>305</v>
      </c>
    </row>
    <row r="404" spans="1:20" ht="15.75" customHeight="1" x14ac:dyDescent="0.3">
      <c r="A404" s="76" t="s">
        <v>397</v>
      </c>
      <c r="B404" s="1">
        <v>1000</v>
      </c>
      <c r="C404" s="1">
        <v>1000</v>
      </c>
      <c r="D404" s="1">
        <v>1000</v>
      </c>
      <c r="E404" s="59">
        <f t="shared" si="163"/>
        <v>3000</v>
      </c>
      <c r="F404" s="1">
        <v>1000</v>
      </c>
      <c r="G404" s="1">
        <v>2000</v>
      </c>
      <c r="H404" s="1">
        <v>2000</v>
      </c>
      <c r="I404" s="59">
        <f t="shared" si="160"/>
        <v>5000</v>
      </c>
      <c r="J404" s="1">
        <v>2000</v>
      </c>
      <c r="K404" s="1">
        <v>2000</v>
      </c>
      <c r="L404" s="1">
        <v>2000</v>
      </c>
      <c r="M404" s="59">
        <f t="shared" si="161"/>
        <v>6000</v>
      </c>
      <c r="N404" s="1">
        <v>2000</v>
      </c>
      <c r="O404" s="1">
        <v>1000</v>
      </c>
      <c r="P404" s="1">
        <v>1000</v>
      </c>
      <c r="Q404" s="59">
        <f t="shared" si="162"/>
        <v>4000</v>
      </c>
      <c r="R404" s="59">
        <f t="shared" si="158"/>
        <v>18000</v>
      </c>
    </row>
    <row r="405" spans="1:20" ht="15.75" customHeight="1" x14ac:dyDescent="0.3">
      <c r="A405" s="76" t="s">
        <v>398</v>
      </c>
      <c r="B405" s="1"/>
      <c r="C405" s="1">
        <v>1620</v>
      </c>
      <c r="D405" s="1">
        <v>3060</v>
      </c>
      <c r="E405" s="59">
        <f t="shared" si="163"/>
        <v>4680</v>
      </c>
      <c r="F405" s="1">
        <v>3580</v>
      </c>
      <c r="G405" s="1">
        <v>4080</v>
      </c>
      <c r="H405" s="1">
        <v>4630</v>
      </c>
      <c r="I405" s="59">
        <f t="shared" si="160"/>
        <v>12290</v>
      </c>
      <c r="J405" s="1">
        <v>1030</v>
      </c>
      <c r="K405" s="1"/>
      <c r="L405" s="1"/>
      <c r="M405" s="59">
        <f t="shared" si="161"/>
        <v>1030</v>
      </c>
      <c r="N405" s="1"/>
      <c r="O405" s="1"/>
      <c r="P405" s="1"/>
      <c r="Q405" s="59">
        <f t="shared" si="162"/>
        <v>0</v>
      </c>
      <c r="R405" s="59">
        <f t="shared" si="158"/>
        <v>18000</v>
      </c>
      <c r="T405" s="4" t="s">
        <v>305</v>
      </c>
    </row>
    <row r="406" spans="1:20" ht="15.75" customHeight="1" x14ac:dyDescent="0.3">
      <c r="A406" s="76" t="s">
        <v>399</v>
      </c>
      <c r="B406" s="1"/>
      <c r="C406" s="1"/>
      <c r="D406" s="1"/>
      <c r="E406" s="59">
        <f t="shared" si="163"/>
        <v>0</v>
      </c>
      <c r="F406" s="1"/>
      <c r="G406" s="1"/>
      <c r="H406" s="1">
        <v>12500</v>
      </c>
      <c r="I406" s="59">
        <f t="shared" si="160"/>
        <v>12500</v>
      </c>
      <c r="J406" s="1">
        <v>12000</v>
      </c>
      <c r="K406" s="1">
        <v>9000</v>
      </c>
      <c r="L406" s="1">
        <v>6000</v>
      </c>
      <c r="M406" s="59">
        <f t="shared" si="161"/>
        <v>27000</v>
      </c>
      <c r="N406" s="1">
        <v>4000</v>
      </c>
      <c r="O406" s="1">
        <v>3500</v>
      </c>
      <c r="P406" s="1">
        <v>3000</v>
      </c>
      <c r="Q406" s="59">
        <f t="shared" si="162"/>
        <v>10500</v>
      </c>
      <c r="R406" s="59">
        <f t="shared" si="158"/>
        <v>50000</v>
      </c>
    </row>
    <row r="407" spans="1:20" ht="15.75" customHeight="1" x14ac:dyDescent="0.3">
      <c r="A407" s="76" t="s">
        <v>404</v>
      </c>
      <c r="B407" s="1"/>
      <c r="C407" s="1">
        <v>4500</v>
      </c>
      <c r="D407" s="1">
        <v>7000</v>
      </c>
      <c r="E407" s="59">
        <f t="shared" si="163"/>
        <v>11500</v>
      </c>
      <c r="F407" s="1">
        <v>500</v>
      </c>
      <c r="G407" s="1"/>
      <c r="H407" s="1"/>
      <c r="I407" s="59">
        <f t="shared" si="160"/>
        <v>500</v>
      </c>
      <c r="J407" s="1"/>
      <c r="K407" s="1"/>
      <c r="L407" s="1"/>
      <c r="M407" s="59">
        <f t="shared" si="161"/>
        <v>0</v>
      </c>
      <c r="N407" s="1"/>
      <c r="O407" s="1"/>
      <c r="P407" s="1"/>
      <c r="Q407" s="59">
        <f t="shared" si="162"/>
        <v>0</v>
      </c>
      <c r="R407" s="59">
        <f t="shared" si="158"/>
        <v>12000</v>
      </c>
    </row>
    <row r="408" spans="1:20" ht="15.75" customHeight="1" x14ac:dyDescent="0.3">
      <c r="A408" s="76" t="s">
        <v>405</v>
      </c>
      <c r="B408" s="1"/>
      <c r="C408" s="1"/>
      <c r="D408" s="1"/>
      <c r="E408" s="59">
        <f t="shared" si="163"/>
        <v>0</v>
      </c>
      <c r="F408" s="1">
        <v>400</v>
      </c>
      <c r="G408" s="1"/>
      <c r="H408" s="1">
        <v>2</v>
      </c>
      <c r="I408" s="59">
        <f t="shared" si="160"/>
        <v>402</v>
      </c>
      <c r="J408" s="1"/>
      <c r="K408" s="1"/>
      <c r="L408" s="1"/>
      <c r="M408" s="59">
        <f t="shared" si="161"/>
        <v>0</v>
      </c>
      <c r="N408" s="1"/>
      <c r="O408" s="1"/>
      <c r="P408" s="1"/>
      <c r="Q408" s="59">
        <f t="shared" ref="Q408" si="164">SUM(N408:P408)</f>
        <v>0</v>
      </c>
      <c r="R408" s="59">
        <f t="shared" si="158"/>
        <v>402</v>
      </c>
    </row>
    <row r="409" spans="1:20" ht="15.75" customHeight="1" x14ac:dyDescent="0.3">
      <c r="A409" s="76" t="s">
        <v>406</v>
      </c>
      <c r="B409" s="1">
        <v>103</v>
      </c>
      <c r="C409" s="1">
        <v>93</v>
      </c>
      <c r="D409" s="1">
        <v>103</v>
      </c>
      <c r="E409" s="59">
        <f t="shared" si="163"/>
        <v>299</v>
      </c>
      <c r="F409" s="1">
        <v>98</v>
      </c>
      <c r="G409" s="1">
        <v>103</v>
      </c>
      <c r="H409" s="1">
        <v>98</v>
      </c>
      <c r="I409" s="59">
        <f t="shared" si="160"/>
        <v>299</v>
      </c>
      <c r="J409" s="1"/>
      <c r="K409" s="1"/>
      <c r="L409" s="1"/>
      <c r="M409" s="59">
        <f t="shared" si="161"/>
        <v>0</v>
      </c>
      <c r="N409" s="1"/>
      <c r="O409" s="1"/>
      <c r="P409" s="1"/>
      <c r="Q409" s="59">
        <f t="shared" si="162"/>
        <v>0</v>
      </c>
      <c r="R409" s="59">
        <f t="shared" si="158"/>
        <v>598</v>
      </c>
    </row>
    <row r="410" spans="1:20" ht="15.75" customHeight="1" x14ac:dyDescent="0.3">
      <c r="A410" s="76" t="s">
        <v>407</v>
      </c>
      <c r="B410" s="1"/>
      <c r="C410" s="1"/>
      <c r="D410" s="1"/>
      <c r="E410" s="59">
        <f t="shared" si="163"/>
        <v>0</v>
      </c>
      <c r="F410" s="1"/>
      <c r="G410" s="1"/>
      <c r="H410" s="1"/>
      <c r="I410" s="59">
        <f t="shared" si="160"/>
        <v>0</v>
      </c>
      <c r="J410" s="1"/>
      <c r="K410" s="1"/>
      <c r="L410" s="1"/>
      <c r="M410" s="59">
        <f t="shared" si="161"/>
        <v>0</v>
      </c>
      <c r="N410" s="1"/>
      <c r="O410" s="1"/>
      <c r="P410" s="1"/>
      <c r="Q410" s="59">
        <f t="shared" si="162"/>
        <v>0</v>
      </c>
      <c r="R410" s="59">
        <f t="shared" si="158"/>
        <v>0</v>
      </c>
      <c r="T410" s="4" t="s">
        <v>315</v>
      </c>
    </row>
    <row r="411" spans="1:20" ht="15.75" customHeight="1" x14ac:dyDescent="0.3">
      <c r="A411" s="76" t="s">
        <v>408</v>
      </c>
      <c r="B411" s="1">
        <v>24</v>
      </c>
      <c r="C411" s="1">
        <v>26</v>
      </c>
      <c r="D411" s="1">
        <v>24</v>
      </c>
      <c r="E411" s="59">
        <f t="shared" si="163"/>
        <v>74</v>
      </c>
      <c r="F411" s="1">
        <v>29</v>
      </c>
      <c r="G411" s="1">
        <v>24</v>
      </c>
      <c r="H411" s="1">
        <v>31</v>
      </c>
      <c r="I411" s="59">
        <f t="shared" si="160"/>
        <v>84</v>
      </c>
      <c r="J411" s="1">
        <v>52</v>
      </c>
      <c r="K411" s="1">
        <v>47</v>
      </c>
      <c r="L411" s="1">
        <v>32</v>
      </c>
      <c r="M411" s="59">
        <f t="shared" si="161"/>
        <v>131</v>
      </c>
      <c r="N411" s="1">
        <v>23</v>
      </c>
      <c r="O411" s="1">
        <v>16</v>
      </c>
      <c r="P411" s="1">
        <v>22</v>
      </c>
      <c r="Q411" s="59">
        <f t="shared" si="162"/>
        <v>61</v>
      </c>
      <c r="R411" s="59">
        <f t="shared" si="158"/>
        <v>350</v>
      </c>
      <c r="T411" s="4" t="s">
        <v>348</v>
      </c>
    </row>
    <row r="412" spans="1:20" ht="15.75" customHeight="1" x14ac:dyDescent="0.3">
      <c r="A412" s="76" t="s">
        <v>409</v>
      </c>
      <c r="B412" s="1">
        <v>666</v>
      </c>
      <c r="C412" s="1">
        <v>1031</v>
      </c>
      <c r="D412" s="1">
        <v>1142</v>
      </c>
      <c r="E412" s="59">
        <f t="shared" si="163"/>
        <v>2839</v>
      </c>
      <c r="F412" s="1">
        <v>1289</v>
      </c>
      <c r="G412" s="1">
        <v>1522</v>
      </c>
      <c r="H412" s="1">
        <v>366</v>
      </c>
      <c r="I412" s="59">
        <f t="shared" si="160"/>
        <v>3177</v>
      </c>
      <c r="J412" s="1"/>
      <c r="K412" s="1"/>
      <c r="L412" s="1"/>
      <c r="M412" s="59">
        <f t="shared" si="161"/>
        <v>0</v>
      </c>
      <c r="N412" s="1"/>
      <c r="O412" s="1"/>
      <c r="P412" s="1"/>
      <c r="Q412" s="59">
        <f t="shared" si="162"/>
        <v>0</v>
      </c>
      <c r="R412" s="59">
        <f t="shared" si="158"/>
        <v>6016</v>
      </c>
      <c r="T412" s="4" t="s">
        <v>217</v>
      </c>
    </row>
    <row r="413" spans="1:20" ht="15.75" customHeight="1" x14ac:dyDescent="0.3">
      <c r="A413" s="76" t="s">
        <v>410</v>
      </c>
      <c r="B413" s="1">
        <v>1863</v>
      </c>
      <c r="C413" s="1">
        <v>1861</v>
      </c>
      <c r="D413" s="1">
        <v>1861</v>
      </c>
      <c r="E413" s="59">
        <f t="shared" si="163"/>
        <v>5585</v>
      </c>
      <c r="F413" s="1">
        <v>1861</v>
      </c>
      <c r="G413" s="1"/>
      <c r="H413" s="1"/>
      <c r="I413" s="59">
        <f t="shared" si="160"/>
        <v>1861</v>
      </c>
      <c r="J413" s="1"/>
      <c r="K413" s="1"/>
      <c r="L413" s="1"/>
      <c r="M413" s="59">
        <f t="shared" si="161"/>
        <v>0</v>
      </c>
      <c r="N413" s="1"/>
      <c r="O413" s="1"/>
      <c r="P413" s="1"/>
      <c r="Q413" s="59">
        <f t="shared" si="162"/>
        <v>0</v>
      </c>
      <c r="R413" s="59">
        <f>+E413+I413+M413+Q413</f>
        <v>7446</v>
      </c>
    </row>
    <row r="414" spans="1:20" ht="15.75" customHeight="1" x14ac:dyDescent="0.3">
      <c r="A414" s="76" t="s">
        <v>411</v>
      </c>
      <c r="B414" s="1"/>
      <c r="C414" s="1"/>
      <c r="D414" s="1"/>
      <c r="E414" s="59">
        <f t="shared" si="163"/>
        <v>0</v>
      </c>
      <c r="F414" s="1"/>
      <c r="G414" s="1"/>
      <c r="H414" s="1"/>
      <c r="I414" s="59">
        <f t="shared" si="160"/>
        <v>0</v>
      </c>
      <c r="J414" s="1"/>
      <c r="K414" s="1"/>
      <c r="L414" s="1"/>
      <c r="M414" s="59">
        <f t="shared" si="161"/>
        <v>0</v>
      </c>
      <c r="N414" s="1"/>
      <c r="O414" s="1"/>
      <c r="P414" s="1"/>
      <c r="Q414" s="59">
        <f t="shared" si="162"/>
        <v>0</v>
      </c>
      <c r="R414" s="59">
        <f>+E414+I414+M414+Q414</f>
        <v>0</v>
      </c>
    </row>
    <row r="415" spans="1:20" ht="15.75" customHeight="1" x14ac:dyDescent="0.3">
      <c r="A415" s="76" t="s">
        <v>412</v>
      </c>
      <c r="B415" s="1"/>
      <c r="C415" s="1"/>
      <c r="D415" s="1"/>
      <c r="E415" s="59">
        <f t="shared" si="163"/>
        <v>0</v>
      </c>
      <c r="F415" s="1"/>
      <c r="G415" s="1"/>
      <c r="H415" s="1"/>
      <c r="I415" s="59">
        <f t="shared" si="160"/>
        <v>0</v>
      </c>
      <c r="J415" s="1"/>
      <c r="K415" s="1"/>
      <c r="L415" s="1"/>
      <c r="M415" s="59">
        <f t="shared" si="161"/>
        <v>0</v>
      </c>
      <c r="N415" s="1"/>
      <c r="O415" s="1"/>
      <c r="P415" s="1"/>
      <c r="Q415" s="59">
        <f t="shared" si="162"/>
        <v>0</v>
      </c>
      <c r="R415" s="59">
        <f>+E415+I415+M415+Q415</f>
        <v>0</v>
      </c>
    </row>
    <row r="416" spans="1:20" ht="15.75" customHeight="1" x14ac:dyDescent="0.3">
      <c r="A416" s="76" t="s">
        <v>413</v>
      </c>
      <c r="B416" s="1">
        <v>933</v>
      </c>
      <c r="C416" s="1"/>
      <c r="D416" s="1"/>
      <c r="E416" s="59">
        <f t="shared" si="163"/>
        <v>933</v>
      </c>
      <c r="F416" s="1"/>
      <c r="G416" s="1"/>
      <c r="H416" s="1"/>
      <c r="I416" s="59">
        <f t="shared" si="160"/>
        <v>0</v>
      </c>
      <c r="J416" s="1"/>
      <c r="K416" s="1"/>
      <c r="L416" s="1"/>
      <c r="M416" s="59">
        <f t="shared" si="161"/>
        <v>0</v>
      </c>
      <c r="N416" s="1"/>
      <c r="O416" s="1"/>
      <c r="P416" s="1"/>
      <c r="Q416" s="59">
        <f t="shared" si="162"/>
        <v>0</v>
      </c>
      <c r="R416" s="59">
        <f>+E416+I416+M416+Q416</f>
        <v>933</v>
      </c>
      <c r="T416" s="4" t="s">
        <v>315</v>
      </c>
    </row>
    <row r="417" spans="1:20" ht="15.75" customHeight="1" x14ac:dyDescent="0.3">
      <c r="A417" s="76" t="s">
        <v>414</v>
      </c>
      <c r="B417" s="1"/>
      <c r="C417" s="1"/>
      <c r="D417" s="1"/>
      <c r="E417" s="59">
        <f t="shared" ref="E417" si="165">SUM(B417:D417)</f>
        <v>0</v>
      </c>
      <c r="F417" s="1"/>
      <c r="G417" s="1"/>
      <c r="H417" s="1"/>
      <c r="I417" s="59">
        <f t="shared" ref="I417" si="166">SUM(F417:H417)</f>
        <v>0</v>
      </c>
      <c r="J417" s="1"/>
      <c r="K417" s="1">
        <v>1000</v>
      </c>
      <c r="L417" s="1"/>
      <c r="M417" s="59">
        <f t="shared" ref="M417" si="167">SUM(J417:L417)</f>
        <v>1000</v>
      </c>
      <c r="N417" s="1"/>
      <c r="O417" s="1"/>
      <c r="P417" s="1"/>
      <c r="Q417" s="59">
        <f t="shared" ref="Q417" si="168">SUM(N417:P417)</f>
        <v>0</v>
      </c>
      <c r="R417" s="59">
        <f t="shared" ref="R417:R418" si="169">+E417+I417+M417+Q417</f>
        <v>1000</v>
      </c>
      <c r="T417" s="4" t="s">
        <v>137</v>
      </c>
    </row>
    <row r="418" spans="1:20" ht="16.5" customHeight="1" x14ac:dyDescent="0.3">
      <c r="A418" s="76" t="s">
        <v>861</v>
      </c>
      <c r="B418" s="1"/>
      <c r="C418" s="1"/>
      <c r="D418" s="1">
        <v>2000</v>
      </c>
      <c r="E418" s="59">
        <f t="shared" si="163"/>
        <v>2000</v>
      </c>
      <c r="F418" s="1">
        <v>2000</v>
      </c>
      <c r="G418" s="1">
        <v>2500</v>
      </c>
      <c r="H418" s="1">
        <v>2500</v>
      </c>
      <c r="I418" s="59">
        <f t="shared" si="160"/>
        <v>7000</v>
      </c>
      <c r="J418" s="1">
        <v>2000</v>
      </c>
      <c r="K418" s="1">
        <v>2000</v>
      </c>
      <c r="L418" s="1">
        <v>1500</v>
      </c>
      <c r="M418" s="59">
        <f t="shared" si="161"/>
        <v>5500</v>
      </c>
      <c r="N418" s="1"/>
      <c r="O418" s="1"/>
      <c r="P418" s="1"/>
      <c r="Q418" s="59">
        <f t="shared" ref="Q418" si="170">SUM(N418:P418)</f>
        <v>0</v>
      </c>
      <c r="R418" s="59">
        <f t="shared" si="169"/>
        <v>14500</v>
      </c>
      <c r="T418" s="4" t="s">
        <v>376</v>
      </c>
    </row>
    <row r="419" spans="1:20" ht="15.75" customHeight="1" x14ac:dyDescent="0.3">
      <c r="A419" s="76" t="s">
        <v>416</v>
      </c>
      <c r="B419" s="1">
        <v>1500</v>
      </c>
      <c r="C419" s="1"/>
      <c r="D419" s="1"/>
      <c r="E419" s="59">
        <f t="shared" si="163"/>
        <v>1500</v>
      </c>
      <c r="F419" s="1">
        <v>1000</v>
      </c>
      <c r="G419" s="1">
        <v>1000</v>
      </c>
      <c r="H419" s="1">
        <v>2000</v>
      </c>
      <c r="I419" s="59">
        <f t="shared" si="160"/>
        <v>4000</v>
      </c>
      <c r="J419" s="1">
        <v>4500</v>
      </c>
      <c r="K419" s="1">
        <v>2000</v>
      </c>
      <c r="L419" s="1">
        <v>1000</v>
      </c>
      <c r="M419" s="59">
        <f t="shared" si="161"/>
        <v>7500</v>
      </c>
      <c r="N419" s="1"/>
      <c r="O419" s="1"/>
      <c r="P419" s="1"/>
      <c r="Q419" s="59">
        <f t="shared" ref="Q419" si="171">SUM(N419:P419)</f>
        <v>0</v>
      </c>
      <c r="R419" s="59">
        <f t="shared" si="158"/>
        <v>13000</v>
      </c>
      <c r="T419" s="4" t="s">
        <v>331</v>
      </c>
    </row>
    <row r="420" spans="1:20" ht="15.75" customHeight="1" x14ac:dyDescent="0.3">
      <c r="A420" s="76" t="s">
        <v>862</v>
      </c>
      <c r="B420" s="1"/>
      <c r="C420" s="1"/>
      <c r="D420" s="1"/>
      <c r="E420" s="59">
        <f t="shared" si="163"/>
        <v>0</v>
      </c>
      <c r="F420" s="1"/>
      <c r="G420" s="1"/>
      <c r="H420" s="1"/>
      <c r="I420" s="59">
        <f t="shared" si="160"/>
        <v>0</v>
      </c>
      <c r="J420" s="1"/>
      <c r="K420" s="1"/>
      <c r="L420" s="1"/>
      <c r="M420" s="59">
        <f t="shared" si="161"/>
        <v>0</v>
      </c>
      <c r="N420" s="1"/>
      <c r="O420" s="1"/>
      <c r="P420" s="1"/>
      <c r="Q420" s="59">
        <f t="shared" si="162"/>
        <v>0</v>
      </c>
      <c r="R420" s="59">
        <f t="shared" si="158"/>
        <v>0</v>
      </c>
      <c r="T420" s="4" t="s">
        <v>331</v>
      </c>
    </row>
    <row r="421" spans="1:20" ht="15.75" customHeight="1" x14ac:dyDescent="0.3">
      <c r="A421" s="76" t="s">
        <v>863</v>
      </c>
      <c r="B421" s="1"/>
      <c r="C421" s="1"/>
      <c r="D421" s="1"/>
      <c r="E421" s="59">
        <f t="shared" si="163"/>
        <v>0</v>
      </c>
      <c r="F421" s="1"/>
      <c r="G421" s="1"/>
      <c r="H421" s="1"/>
      <c r="I421" s="59">
        <f t="shared" si="160"/>
        <v>0</v>
      </c>
      <c r="J421" s="1"/>
      <c r="K421" s="1"/>
      <c r="L421" s="1"/>
      <c r="M421" s="59">
        <f t="shared" si="161"/>
        <v>0</v>
      </c>
      <c r="N421" s="1"/>
      <c r="O421" s="1"/>
      <c r="P421" s="1"/>
      <c r="Q421" s="59">
        <f t="shared" si="162"/>
        <v>0</v>
      </c>
      <c r="R421" s="59">
        <f t="shared" si="158"/>
        <v>0</v>
      </c>
      <c r="T421" s="4" t="s">
        <v>217</v>
      </c>
    </row>
    <row r="422" spans="1:20" ht="15.75" customHeight="1" x14ac:dyDescent="0.3">
      <c r="A422" s="76" t="s">
        <v>864</v>
      </c>
      <c r="B422" s="1"/>
      <c r="C422" s="1"/>
      <c r="D422" s="1"/>
      <c r="E422" s="59">
        <f t="shared" si="163"/>
        <v>0</v>
      </c>
      <c r="F422" s="1"/>
      <c r="G422" s="1"/>
      <c r="H422" s="1"/>
      <c r="I422" s="59">
        <f t="shared" si="160"/>
        <v>0</v>
      </c>
      <c r="J422" s="1"/>
      <c r="K422" s="1"/>
      <c r="L422" s="1"/>
      <c r="M422" s="59">
        <f t="shared" si="161"/>
        <v>0</v>
      </c>
      <c r="N422" s="1"/>
      <c r="O422" s="1"/>
      <c r="P422" s="1"/>
      <c r="Q422" s="59">
        <f t="shared" si="162"/>
        <v>0</v>
      </c>
      <c r="R422" s="59">
        <f t="shared" si="158"/>
        <v>0</v>
      </c>
    </row>
    <row r="423" spans="1:20" ht="15.75" customHeight="1" x14ac:dyDescent="0.3">
      <c r="A423" s="76" t="s">
        <v>865</v>
      </c>
      <c r="B423" s="1"/>
      <c r="C423" s="1">
        <v>768</v>
      </c>
      <c r="D423" s="1"/>
      <c r="E423" s="59">
        <f t="shared" si="163"/>
        <v>768</v>
      </c>
      <c r="F423" s="1"/>
      <c r="G423" s="1"/>
      <c r="H423" s="1"/>
      <c r="I423" s="59">
        <f t="shared" si="160"/>
        <v>0</v>
      </c>
      <c r="J423" s="1"/>
      <c r="K423" s="1"/>
      <c r="L423" s="1"/>
      <c r="M423" s="59">
        <f t="shared" si="161"/>
        <v>0</v>
      </c>
      <c r="N423" s="1"/>
      <c r="O423" s="1"/>
      <c r="P423" s="1"/>
      <c r="Q423" s="59">
        <f t="shared" si="162"/>
        <v>0</v>
      </c>
      <c r="R423" s="59">
        <f t="shared" si="158"/>
        <v>768</v>
      </c>
      <c r="T423" s="4" t="s">
        <v>315</v>
      </c>
    </row>
    <row r="424" spans="1:20" ht="15.75" customHeight="1" x14ac:dyDescent="0.3">
      <c r="A424" s="76" t="s">
        <v>421</v>
      </c>
      <c r="B424" s="1"/>
      <c r="C424" s="1"/>
      <c r="D424" s="1">
        <v>1100</v>
      </c>
      <c r="E424" s="59">
        <f t="shared" si="163"/>
        <v>1100</v>
      </c>
      <c r="F424" s="1">
        <v>1100</v>
      </c>
      <c r="G424" s="1">
        <v>1100</v>
      </c>
      <c r="H424" s="1">
        <v>1300</v>
      </c>
      <c r="I424" s="59">
        <f t="shared" si="160"/>
        <v>3500</v>
      </c>
      <c r="J424" s="1">
        <v>1500</v>
      </c>
      <c r="K424" s="1">
        <v>1500</v>
      </c>
      <c r="L424" s="1">
        <v>905</v>
      </c>
      <c r="M424" s="59">
        <f t="shared" si="161"/>
        <v>3905</v>
      </c>
      <c r="N424" s="1"/>
      <c r="O424" s="1"/>
      <c r="P424" s="1"/>
      <c r="Q424" s="59">
        <f t="shared" si="162"/>
        <v>0</v>
      </c>
      <c r="R424" s="59">
        <f t="shared" si="158"/>
        <v>8505</v>
      </c>
    </row>
    <row r="425" spans="1:20" ht="15.75" customHeight="1" x14ac:dyDescent="0.3">
      <c r="A425" s="76" t="s">
        <v>866</v>
      </c>
      <c r="B425" s="1"/>
      <c r="C425" s="1"/>
      <c r="D425" s="1"/>
      <c r="E425" s="59">
        <f>SUM(B425:D425)</f>
        <v>0</v>
      </c>
      <c r="F425" s="1"/>
      <c r="G425" s="1"/>
      <c r="H425" s="1"/>
      <c r="I425" s="59">
        <f>SUM(F425:H425)</f>
        <v>0</v>
      </c>
      <c r="J425" s="1"/>
      <c r="K425" s="1"/>
      <c r="L425" s="1"/>
      <c r="M425" s="59">
        <f>SUM(J425:L425)</f>
        <v>0</v>
      </c>
      <c r="N425" s="1"/>
      <c r="O425" s="1"/>
      <c r="P425" s="1"/>
      <c r="Q425" s="59">
        <f>SUM(N425:P425)</f>
        <v>0</v>
      </c>
      <c r="R425" s="59">
        <f>+E425+I425+M425+Q425</f>
        <v>0</v>
      </c>
    </row>
    <row r="426" spans="1:20" ht="15.75" customHeight="1" x14ac:dyDescent="0.3">
      <c r="A426" s="76" t="s">
        <v>428</v>
      </c>
      <c r="B426" s="1"/>
      <c r="C426" s="1"/>
      <c r="D426" s="1"/>
      <c r="E426" s="59">
        <f t="shared" si="163"/>
        <v>0</v>
      </c>
      <c r="F426" s="1">
        <v>1000</v>
      </c>
      <c r="G426" s="1">
        <v>1000</v>
      </c>
      <c r="H426" s="1"/>
      <c r="I426" s="59">
        <f t="shared" si="160"/>
        <v>2000</v>
      </c>
      <c r="J426" s="1"/>
      <c r="K426" s="1"/>
      <c r="L426" s="1"/>
      <c r="M426" s="59">
        <f t="shared" si="161"/>
        <v>0</v>
      </c>
      <c r="N426" s="1"/>
      <c r="O426" s="1"/>
      <c r="P426" s="1"/>
      <c r="Q426" s="59">
        <f>SUM(N426:P426)</f>
        <v>0</v>
      </c>
      <c r="R426" s="59">
        <f t="shared" si="158"/>
        <v>2000</v>
      </c>
    </row>
    <row r="427" spans="1:20" ht="15.75" customHeight="1" x14ac:dyDescent="0.3">
      <c r="A427" s="76" t="s">
        <v>429</v>
      </c>
      <c r="B427" s="1"/>
      <c r="C427" s="1"/>
      <c r="D427" s="1">
        <v>1000</v>
      </c>
      <c r="E427" s="59">
        <f t="shared" si="163"/>
        <v>1000</v>
      </c>
      <c r="F427" s="1"/>
      <c r="G427" s="1"/>
      <c r="H427" s="1"/>
      <c r="I427" s="59">
        <f t="shared" si="160"/>
        <v>0</v>
      </c>
      <c r="J427" s="1"/>
      <c r="K427" s="1"/>
      <c r="L427" s="1"/>
      <c r="M427" s="59">
        <f t="shared" si="161"/>
        <v>0</v>
      </c>
      <c r="N427" s="1"/>
      <c r="O427" s="1"/>
      <c r="P427" s="1"/>
      <c r="Q427" s="59">
        <f t="shared" si="162"/>
        <v>0</v>
      </c>
      <c r="R427" s="59">
        <f t="shared" si="158"/>
        <v>1000</v>
      </c>
    </row>
    <row r="428" spans="1:20" ht="15.75" customHeight="1" x14ac:dyDescent="0.3">
      <c r="A428" s="76" t="s">
        <v>432</v>
      </c>
      <c r="B428" s="1"/>
      <c r="C428" s="1"/>
      <c r="D428" s="1"/>
      <c r="E428" s="59">
        <f t="shared" ref="E428" si="172">SUM(B428:D428)</f>
        <v>0</v>
      </c>
      <c r="F428" s="1"/>
      <c r="G428" s="1"/>
      <c r="H428" s="1">
        <v>767</v>
      </c>
      <c r="I428" s="59">
        <f t="shared" ref="I428" si="173">SUM(F428:H428)</f>
        <v>767</v>
      </c>
      <c r="J428" s="1">
        <v>1712</v>
      </c>
      <c r="K428" s="1"/>
      <c r="L428" s="1"/>
      <c r="M428" s="59">
        <f t="shared" ref="M428" si="174">SUM(J428:L428)</f>
        <v>1712</v>
      </c>
      <c r="N428" s="1"/>
      <c r="O428" s="1"/>
      <c r="P428" s="1"/>
      <c r="Q428" s="59">
        <f t="shared" ref="Q428" si="175">SUM(N428:P428)</f>
        <v>0</v>
      </c>
      <c r="R428" s="59">
        <f t="shared" si="158"/>
        <v>2479</v>
      </c>
      <c r="T428" s="4" t="s">
        <v>217</v>
      </c>
    </row>
    <row r="429" spans="1:20" ht="15.75" customHeight="1" x14ac:dyDescent="0.3">
      <c r="A429" s="76" t="s">
        <v>433</v>
      </c>
      <c r="B429" s="1"/>
      <c r="C429" s="1"/>
      <c r="D429" s="1"/>
      <c r="E429" s="59">
        <f t="shared" si="163"/>
        <v>0</v>
      </c>
      <c r="F429" s="1"/>
      <c r="G429" s="1"/>
      <c r="H429" s="1"/>
      <c r="I429" s="59">
        <f t="shared" si="160"/>
        <v>0</v>
      </c>
      <c r="J429" s="1"/>
      <c r="K429" s="1"/>
      <c r="L429" s="1"/>
      <c r="M429" s="59">
        <f t="shared" si="161"/>
        <v>0</v>
      </c>
      <c r="N429" s="1"/>
      <c r="O429" s="1"/>
      <c r="P429" s="1"/>
      <c r="Q429" s="59">
        <f t="shared" si="162"/>
        <v>0</v>
      </c>
      <c r="R429" s="59">
        <f t="shared" si="158"/>
        <v>0</v>
      </c>
      <c r="T429" s="4" t="s">
        <v>217</v>
      </c>
    </row>
    <row r="430" spans="1:20" ht="15.75" customHeight="1" x14ac:dyDescent="0.3">
      <c r="A430" s="76" t="s">
        <v>434</v>
      </c>
      <c r="B430" s="1"/>
      <c r="C430" s="1"/>
      <c r="D430" s="1"/>
      <c r="E430" s="59">
        <f t="shared" si="163"/>
        <v>0</v>
      </c>
      <c r="F430" s="1"/>
      <c r="G430" s="1"/>
      <c r="H430" s="1">
        <v>1657</v>
      </c>
      <c r="I430" s="59">
        <f t="shared" si="160"/>
        <v>1657</v>
      </c>
      <c r="J430" s="1">
        <v>1712</v>
      </c>
      <c r="K430" s="1">
        <v>277</v>
      </c>
      <c r="L430" s="1"/>
      <c r="M430" s="59">
        <f t="shared" si="161"/>
        <v>1989</v>
      </c>
      <c r="N430" s="1"/>
      <c r="O430" s="1"/>
      <c r="P430" s="1"/>
      <c r="Q430" s="59">
        <f t="shared" si="162"/>
        <v>0</v>
      </c>
      <c r="R430" s="59">
        <f t="shared" si="158"/>
        <v>3646</v>
      </c>
      <c r="T430" s="4" t="s">
        <v>217</v>
      </c>
    </row>
    <row r="431" spans="1:20" ht="15.75" customHeight="1" x14ac:dyDescent="0.3">
      <c r="A431" s="76" t="s">
        <v>435</v>
      </c>
      <c r="B431" s="1"/>
      <c r="C431" s="1"/>
      <c r="D431" s="1"/>
      <c r="E431" s="59">
        <f t="shared" si="163"/>
        <v>0</v>
      </c>
      <c r="F431" s="1"/>
      <c r="G431" s="1"/>
      <c r="H431" s="1"/>
      <c r="I431" s="59">
        <f t="shared" si="160"/>
        <v>0</v>
      </c>
      <c r="J431" s="1"/>
      <c r="K431" s="1"/>
      <c r="L431" s="1"/>
      <c r="M431" s="59">
        <f t="shared" si="161"/>
        <v>0</v>
      </c>
      <c r="N431" s="1"/>
      <c r="O431" s="1"/>
      <c r="P431" s="1"/>
      <c r="Q431" s="59">
        <f t="shared" si="162"/>
        <v>0</v>
      </c>
      <c r="R431" s="59">
        <f t="shared" si="158"/>
        <v>0</v>
      </c>
      <c r="T431" s="4" t="s">
        <v>315</v>
      </c>
    </row>
    <row r="432" spans="1:20" ht="15.75" customHeight="1" x14ac:dyDescent="0.3">
      <c r="A432" s="76" t="s">
        <v>436</v>
      </c>
      <c r="B432" s="1"/>
      <c r="C432" s="1"/>
      <c r="D432" s="1">
        <v>664</v>
      </c>
      <c r="E432" s="59">
        <f t="shared" si="163"/>
        <v>664</v>
      </c>
      <c r="F432" s="1">
        <v>1005</v>
      </c>
      <c r="G432" s="1"/>
      <c r="H432" s="1"/>
      <c r="I432" s="59">
        <f t="shared" si="160"/>
        <v>1005</v>
      </c>
      <c r="J432" s="1"/>
      <c r="K432" s="1"/>
      <c r="L432" s="1"/>
      <c r="M432" s="59">
        <f t="shared" si="161"/>
        <v>0</v>
      </c>
      <c r="N432" s="1"/>
      <c r="O432" s="1"/>
      <c r="P432" s="1"/>
      <c r="Q432" s="59">
        <f t="shared" si="162"/>
        <v>0</v>
      </c>
      <c r="R432" s="59">
        <f t="shared" si="158"/>
        <v>1669</v>
      </c>
    </row>
    <row r="433" spans="1:21" ht="15.75" customHeight="1" x14ac:dyDescent="0.3">
      <c r="A433" s="76" t="s">
        <v>867</v>
      </c>
      <c r="B433" s="1"/>
      <c r="C433" s="1"/>
      <c r="D433" s="1"/>
      <c r="E433" s="59">
        <f t="shared" si="163"/>
        <v>0</v>
      </c>
      <c r="F433" s="1"/>
      <c r="G433" s="1"/>
      <c r="H433" s="1"/>
      <c r="I433" s="59">
        <f t="shared" si="160"/>
        <v>0</v>
      </c>
      <c r="J433" s="1"/>
      <c r="K433" s="1"/>
      <c r="L433" s="1"/>
      <c r="M433" s="59">
        <f t="shared" si="161"/>
        <v>0</v>
      </c>
      <c r="N433" s="1"/>
      <c r="O433" s="1"/>
      <c r="P433" s="1"/>
      <c r="Q433" s="59">
        <f t="shared" si="162"/>
        <v>0</v>
      </c>
      <c r="R433" s="59">
        <f t="shared" si="158"/>
        <v>0</v>
      </c>
      <c r="T433" s="4" t="s">
        <v>315</v>
      </c>
    </row>
    <row r="434" spans="1:21" ht="15.75" customHeight="1" x14ac:dyDescent="0.3">
      <c r="A434" s="76" t="s">
        <v>888</v>
      </c>
      <c r="B434" s="1"/>
      <c r="C434" s="1"/>
      <c r="D434" s="1"/>
      <c r="E434" s="59">
        <f t="shared" si="163"/>
        <v>0</v>
      </c>
      <c r="F434" s="1"/>
      <c r="G434" s="1"/>
      <c r="H434" s="1"/>
      <c r="I434" s="59">
        <f t="shared" si="160"/>
        <v>0</v>
      </c>
      <c r="J434" s="1"/>
      <c r="K434" s="1">
        <v>1500</v>
      </c>
      <c r="L434" s="1"/>
      <c r="M434" s="59">
        <f t="shared" si="161"/>
        <v>1500</v>
      </c>
      <c r="N434" s="1"/>
      <c r="O434" s="1"/>
      <c r="P434" s="1"/>
      <c r="Q434" s="59">
        <f t="shared" si="162"/>
        <v>0</v>
      </c>
      <c r="R434" s="59">
        <f t="shared" si="158"/>
        <v>1500</v>
      </c>
      <c r="T434" s="4" t="s">
        <v>217</v>
      </c>
    </row>
    <row r="435" spans="1:21" ht="15.75" customHeight="1" x14ac:dyDescent="0.3">
      <c r="A435" s="76" t="s">
        <v>889</v>
      </c>
      <c r="B435" s="1"/>
      <c r="C435" s="1"/>
      <c r="D435" s="1"/>
      <c r="E435" s="59">
        <f t="shared" si="163"/>
        <v>0</v>
      </c>
      <c r="F435" s="1"/>
      <c r="G435" s="1"/>
      <c r="H435" s="1"/>
      <c r="I435" s="59">
        <f t="shared" si="160"/>
        <v>0</v>
      </c>
      <c r="J435" s="1"/>
      <c r="K435" s="1"/>
      <c r="L435" s="1"/>
      <c r="M435" s="59">
        <f t="shared" si="161"/>
        <v>0</v>
      </c>
      <c r="N435" s="1"/>
      <c r="O435" s="1"/>
      <c r="P435" s="1"/>
      <c r="Q435" s="59">
        <f t="shared" si="162"/>
        <v>0</v>
      </c>
      <c r="R435" s="59">
        <f>+E435+I435+M435+Q435</f>
        <v>0</v>
      </c>
    </row>
    <row r="436" spans="1:21" ht="15.75" customHeight="1" x14ac:dyDescent="0.3">
      <c r="A436" s="76" t="s">
        <v>890</v>
      </c>
      <c r="B436" s="1"/>
      <c r="C436" s="1"/>
      <c r="D436" s="1"/>
      <c r="E436" s="59">
        <f t="shared" si="163"/>
        <v>0</v>
      </c>
      <c r="F436" s="1"/>
      <c r="G436" s="1"/>
      <c r="H436" s="1"/>
      <c r="I436" s="59">
        <f t="shared" si="160"/>
        <v>0</v>
      </c>
      <c r="J436" s="1"/>
      <c r="K436" s="1">
        <v>700</v>
      </c>
      <c r="L436" s="1"/>
      <c r="M436" s="59">
        <f t="shared" si="161"/>
        <v>700</v>
      </c>
      <c r="N436" s="1"/>
      <c r="O436" s="1"/>
      <c r="P436" s="1"/>
      <c r="Q436" s="59">
        <f t="shared" si="162"/>
        <v>0</v>
      </c>
      <c r="R436" s="59">
        <f>+E436+I436+M436+Q436</f>
        <v>700</v>
      </c>
      <c r="T436" s="4" t="s">
        <v>315</v>
      </c>
    </row>
    <row r="437" spans="1:21" ht="15.75" customHeight="1" x14ac:dyDescent="0.3">
      <c r="A437" s="76" t="s">
        <v>891</v>
      </c>
      <c r="B437" s="1"/>
      <c r="C437" s="1">
        <v>636</v>
      </c>
      <c r="D437" s="1">
        <v>1142</v>
      </c>
      <c r="E437" s="59">
        <f t="shared" si="163"/>
        <v>1778</v>
      </c>
      <c r="F437" s="1">
        <v>1289</v>
      </c>
      <c r="G437" s="1">
        <v>1522</v>
      </c>
      <c r="H437" s="1"/>
      <c r="I437" s="59">
        <f t="shared" si="160"/>
        <v>2811</v>
      </c>
      <c r="J437" s="1"/>
      <c r="K437" s="1"/>
      <c r="L437" s="1"/>
      <c r="M437" s="59">
        <f t="shared" si="161"/>
        <v>0</v>
      </c>
      <c r="N437" s="1"/>
      <c r="O437" s="1"/>
      <c r="P437" s="1"/>
      <c r="Q437" s="59">
        <f t="shared" si="162"/>
        <v>0</v>
      </c>
      <c r="R437" s="59">
        <f t="shared" si="158"/>
        <v>4589</v>
      </c>
      <c r="T437" s="4" t="s">
        <v>217</v>
      </c>
    </row>
    <row r="438" spans="1:21" ht="15.75" customHeight="1" x14ac:dyDescent="0.3">
      <c r="A438" s="76" t="s">
        <v>892</v>
      </c>
      <c r="B438" s="1"/>
      <c r="C438" s="1"/>
      <c r="D438" s="1"/>
      <c r="E438" s="59">
        <f t="shared" si="163"/>
        <v>0</v>
      </c>
      <c r="F438" s="1"/>
      <c r="G438" s="1"/>
      <c r="H438" s="1"/>
      <c r="I438" s="59">
        <f t="shared" si="160"/>
        <v>0</v>
      </c>
      <c r="J438" s="1"/>
      <c r="K438" s="1"/>
      <c r="L438" s="1"/>
      <c r="M438" s="59">
        <f t="shared" si="161"/>
        <v>0</v>
      </c>
      <c r="N438" s="1"/>
      <c r="O438" s="1"/>
      <c r="P438" s="1"/>
      <c r="Q438" s="59">
        <f t="shared" si="162"/>
        <v>0</v>
      </c>
      <c r="R438" s="59">
        <f t="shared" si="158"/>
        <v>0</v>
      </c>
      <c r="T438" s="4" t="s">
        <v>315</v>
      </c>
    </row>
    <row r="439" spans="1:21" ht="15.75" customHeight="1" x14ac:dyDescent="0.3">
      <c r="A439" s="76" t="s">
        <v>893</v>
      </c>
      <c r="B439" s="1"/>
      <c r="C439" s="1"/>
      <c r="D439" s="1"/>
      <c r="E439" s="59">
        <f t="shared" ref="E439:E440" si="176">SUM(B439:D439)</f>
        <v>0</v>
      </c>
      <c r="F439" s="1">
        <v>45</v>
      </c>
      <c r="G439" s="1"/>
      <c r="H439" s="1"/>
      <c r="I439" s="59">
        <f t="shared" ref="I439:I441" si="177">SUM(F439:H439)</f>
        <v>45</v>
      </c>
      <c r="J439" s="1"/>
      <c r="K439" s="1"/>
      <c r="L439" s="1"/>
      <c r="M439" s="59">
        <f t="shared" ref="M439:M441" si="178">SUM(J439:L439)</f>
        <v>0</v>
      </c>
      <c r="N439" s="1"/>
      <c r="O439" s="1"/>
      <c r="P439" s="1"/>
      <c r="Q439" s="59">
        <f t="shared" ref="Q439:Q441" si="179">SUM(N439:P439)</f>
        <v>0</v>
      </c>
      <c r="R439" s="59">
        <f t="shared" si="158"/>
        <v>45</v>
      </c>
    </row>
    <row r="440" spans="1:21" ht="15.75" customHeight="1" x14ac:dyDescent="0.3">
      <c r="A440" s="76" t="s">
        <v>447</v>
      </c>
      <c r="B440" s="1"/>
      <c r="C440" s="1"/>
      <c r="D440" s="1"/>
      <c r="E440" s="59">
        <f t="shared" si="176"/>
        <v>0</v>
      </c>
      <c r="F440" s="1">
        <v>50</v>
      </c>
      <c r="G440" s="1"/>
      <c r="H440" s="1"/>
      <c r="I440" s="59">
        <f t="shared" si="177"/>
        <v>50</v>
      </c>
      <c r="J440" s="1"/>
      <c r="K440" s="1"/>
      <c r="L440" s="1"/>
      <c r="M440" s="59">
        <f t="shared" si="178"/>
        <v>0</v>
      </c>
      <c r="N440" s="1"/>
      <c r="O440" s="1"/>
      <c r="P440" s="1"/>
      <c r="Q440" s="59">
        <f t="shared" si="179"/>
        <v>0</v>
      </c>
      <c r="R440" s="59">
        <f>+E440+I440+M440+Q440</f>
        <v>50</v>
      </c>
    </row>
    <row r="441" spans="1:21" ht="15.75" customHeight="1" x14ac:dyDescent="0.3">
      <c r="A441" s="76" t="s">
        <v>448</v>
      </c>
      <c r="B441" s="1"/>
      <c r="C441" s="1"/>
      <c r="D441" s="1"/>
      <c r="E441" s="59">
        <f>SUM(B441:D441)</f>
        <v>0</v>
      </c>
      <c r="F441" s="1">
        <v>60</v>
      </c>
      <c r="G441" s="1"/>
      <c r="H441" s="1"/>
      <c r="I441" s="59">
        <f t="shared" si="177"/>
        <v>60</v>
      </c>
      <c r="J441" s="1"/>
      <c r="K441" s="1"/>
      <c r="L441" s="1"/>
      <c r="M441" s="59">
        <f t="shared" si="178"/>
        <v>0</v>
      </c>
      <c r="N441" s="1"/>
      <c r="O441" s="1"/>
      <c r="P441" s="1"/>
      <c r="Q441" s="59">
        <f t="shared" si="179"/>
        <v>0</v>
      </c>
      <c r="R441" s="59">
        <f t="shared" si="158"/>
        <v>60</v>
      </c>
    </row>
    <row r="442" spans="1:21" ht="15.75" customHeight="1" x14ac:dyDescent="0.3">
      <c r="A442" s="76" t="s">
        <v>883</v>
      </c>
      <c r="B442" s="1"/>
      <c r="C442" s="1"/>
      <c r="D442" s="1"/>
      <c r="E442" s="59">
        <f t="shared" si="163"/>
        <v>0</v>
      </c>
      <c r="F442" s="1">
        <v>1699</v>
      </c>
      <c r="G442" s="1">
        <v>768</v>
      </c>
      <c r="H442" s="1"/>
      <c r="I442" s="59">
        <f t="shared" si="160"/>
        <v>2467</v>
      </c>
      <c r="J442" s="1"/>
      <c r="K442" s="1"/>
      <c r="L442" s="1"/>
      <c r="M442" s="59">
        <f t="shared" si="161"/>
        <v>0</v>
      </c>
      <c r="N442" s="1"/>
      <c r="O442" s="1"/>
      <c r="P442" s="1"/>
      <c r="Q442" s="59">
        <f t="shared" si="162"/>
        <v>0</v>
      </c>
      <c r="R442" s="59">
        <f t="shared" si="158"/>
        <v>2467</v>
      </c>
    </row>
    <row r="443" spans="1:21" ht="15.75" customHeight="1" thickBot="1" x14ac:dyDescent="0.35">
      <c r="A443" s="76" t="s">
        <v>450</v>
      </c>
      <c r="B443" s="1">
        <v>2000</v>
      </c>
      <c r="C443" s="1">
        <v>2000</v>
      </c>
      <c r="D443" s="1">
        <v>2000</v>
      </c>
      <c r="E443" s="59">
        <f t="shared" si="163"/>
        <v>6000</v>
      </c>
      <c r="F443" s="1">
        <v>2000</v>
      </c>
      <c r="G443" s="1">
        <v>2000</v>
      </c>
      <c r="H443" s="1">
        <v>2000</v>
      </c>
      <c r="I443" s="59">
        <f t="shared" si="160"/>
        <v>6000</v>
      </c>
      <c r="J443" s="1">
        <v>2000</v>
      </c>
      <c r="K443" s="1">
        <v>3000</v>
      </c>
      <c r="L443" s="1">
        <v>2000</v>
      </c>
      <c r="M443" s="59">
        <f t="shared" si="161"/>
        <v>7000</v>
      </c>
      <c r="N443" s="1">
        <v>2000</v>
      </c>
      <c r="O443" s="1">
        <v>2000</v>
      </c>
      <c r="P443" s="1">
        <v>2000</v>
      </c>
      <c r="Q443" s="59">
        <f t="shared" si="162"/>
        <v>6000</v>
      </c>
      <c r="R443" s="59">
        <f t="shared" si="158"/>
        <v>25000</v>
      </c>
    </row>
    <row r="444" spans="1:21" ht="16.5" customHeight="1" thickBot="1" x14ac:dyDescent="0.35">
      <c r="A444" s="137" t="s">
        <v>61</v>
      </c>
      <c r="B444" s="107">
        <f>SUM(B390:B443)</f>
        <v>12513</v>
      </c>
      <c r="C444" s="63">
        <f>SUM(C390:C443)</f>
        <v>18911</v>
      </c>
      <c r="D444" s="63">
        <f>SUM(D390:D443)</f>
        <v>33646</v>
      </c>
      <c r="E444" s="64">
        <f t="shared" ref="E444" si="180">SUM(B444:D444)</f>
        <v>65070</v>
      </c>
      <c r="F444" s="63">
        <f>SUM(F390:F443)</f>
        <v>32940</v>
      </c>
      <c r="G444" s="63">
        <f>SUM(G390:G443)</f>
        <v>37557</v>
      </c>
      <c r="H444" s="63">
        <f>SUM(H390:H443)</f>
        <v>47221</v>
      </c>
      <c r="I444" s="64">
        <f t="shared" ref="I444" si="181">SUM(F444:H444)</f>
        <v>117718</v>
      </c>
      <c r="J444" s="63">
        <f>SUM(J390:J443)</f>
        <v>50567</v>
      </c>
      <c r="K444" s="63">
        <f>SUM(K390:K443)</f>
        <v>50519</v>
      </c>
      <c r="L444" s="63">
        <f>SUM(L390:L443)</f>
        <v>39174</v>
      </c>
      <c r="M444" s="64">
        <f t="shared" ref="M444" si="182">SUM(J444:L444)</f>
        <v>140260</v>
      </c>
      <c r="N444" s="63">
        <f>SUM(N390:N443)</f>
        <v>29194</v>
      </c>
      <c r="O444" s="63">
        <f>SUM(O390:O443)</f>
        <v>20627</v>
      </c>
      <c r="P444" s="63">
        <f>SUM(P390:P443)</f>
        <v>25144</v>
      </c>
      <c r="Q444" s="64">
        <f t="shared" si="162"/>
        <v>74965</v>
      </c>
      <c r="R444" s="64">
        <f>+E444+I444+M444+Q444</f>
        <v>398013</v>
      </c>
      <c r="T444" s="106"/>
    </row>
    <row r="445" spans="1:21" ht="15.75" customHeight="1" x14ac:dyDescent="0.3">
      <c r="A445" s="17" t="s">
        <v>62</v>
      </c>
      <c r="B445" s="1"/>
      <c r="C445" s="1"/>
      <c r="D445" s="1"/>
      <c r="E445" s="59" t="s">
        <v>7</v>
      </c>
      <c r="F445" s="1"/>
      <c r="G445" s="1"/>
      <c r="H445" s="1"/>
      <c r="I445" s="59" t="s">
        <v>7</v>
      </c>
      <c r="J445" s="1"/>
      <c r="K445" s="1"/>
      <c r="L445" s="1"/>
      <c r="M445" s="59" t="s">
        <v>7</v>
      </c>
      <c r="N445" s="1"/>
      <c r="O445" s="1"/>
      <c r="P445" s="1"/>
      <c r="Q445" s="59" t="s">
        <v>7</v>
      </c>
      <c r="R445" s="59" t="s">
        <v>7</v>
      </c>
    </row>
    <row r="446" spans="1:21" ht="15.75" customHeight="1" x14ac:dyDescent="0.3">
      <c r="A446" s="17" t="s">
        <v>63</v>
      </c>
      <c r="B446" s="1"/>
      <c r="C446" s="1"/>
      <c r="D446" s="1"/>
      <c r="E446" s="59" t="s">
        <v>7</v>
      </c>
      <c r="F446" s="1"/>
      <c r="G446" s="1"/>
      <c r="H446" s="1"/>
      <c r="I446" s="59" t="s">
        <v>7</v>
      </c>
      <c r="J446" s="1"/>
      <c r="K446" s="1"/>
      <c r="L446" s="1"/>
      <c r="M446" s="59" t="s">
        <v>7</v>
      </c>
      <c r="N446" s="1"/>
      <c r="O446" s="1"/>
      <c r="P446" s="1"/>
      <c r="Q446" s="59" t="s">
        <v>7</v>
      </c>
      <c r="R446" s="59" t="s">
        <v>7</v>
      </c>
    </row>
    <row r="447" spans="1:21" ht="15.75" customHeight="1" x14ac:dyDescent="0.3">
      <c r="A447" s="76" t="s">
        <v>451</v>
      </c>
      <c r="B447" s="1"/>
      <c r="C447" s="1"/>
      <c r="D447" s="1"/>
      <c r="E447" s="59">
        <f>SUM(B447:D447)</f>
        <v>0</v>
      </c>
      <c r="F447" s="1"/>
      <c r="G447" s="1"/>
      <c r="H447" s="1"/>
      <c r="I447" s="59">
        <f>SUM(F447:H447)</f>
        <v>0</v>
      </c>
      <c r="J447" s="1"/>
      <c r="K447" s="1"/>
      <c r="L447" s="1"/>
      <c r="M447" s="59">
        <f>SUM(J447:L447)</f>
        <v>0</v>
      </c>
      <c r="N447" s="1"/>
      <c r="O447" s="1"/>
      <c r="P447" s="1"/>
      <c r="Q447" s="59">
        <f>SUM(N447:P447)</f>
        <v>0</v>
      </c>
      <c r="R447" s="59">
        <f>+E447+I447+M447+Q447</f>
        <v>0</v>
      </c>
      <c r="U447" s="20"/>
    </row>
    <row r="448" spans="1:21" ht="15.75" customHeight="1" x14ac:dyDescent="0.3">
      <c r="A448" s="17" t="s">
        <v>64</v>
      </c>
      <c r="B448" s="1"/>
      <c r="C448" s="1"/>
      <c r="D448" s="1"/>
      <c r="E448" s="59" t="s">
        <v>7</v>
      </c>
      <c r="F448" s="1"/>
      <c r="G448" s="1"/>
      <c r="H448" s="1"/>
      <c r="I448" s="59" t="s">
        <v>7</v>
      </c>
      <c r="J448" s="1"/>
      <c r="K448" s="1"/>
      <c r="L448" s="1"/>
      <c r="M448" s="59" t="s">
        <v>7</v>
      </c>
      <c r="N448" s="1"/>
      <c r="O448" s="1"/>
      <c r="P448" s="1"/>
      <c r="Q448" s="59" t="s">
        <v>7</v>
      </c>
      <c r="R448" s="59" t="s">
        <v>7</v>
      </c>
    </row>
    <row r="449" spans="1:20" ht="15.75" customHeight="1" x14ac:dyDescent="0.3">
      <c r="A449" s="76" t="s">
        <v>452</v>
      </c>
      <c r="B449" s="1"/>
      <c r="C449" s="1"/>
      <c r="D449" s="1"/>
      <c r="E449" s="59">
        <f>SUM(B449:D449)</f>
        <v>0</v>
      </c>
      <c r="F449" s="1"/>
      <c r="G449" s="1"/>
      <c r="H449" s="1"/>
      <c r="I449" s="59">
        <f>SUM(F449:H449)</f>
        <v>0</v>
      </c>
      <c r="J449" s="1"/>
      <c r="K449" s="1"/>
      <c r="L449" s="1"/>
      <c r="M449" s="59">
        <f>SUM(J449:L449)</f>
        <v>0</v>
      </c>
      <c r="N449" s="1"/>
      <c r="O449" s="1"/>
      <c r="P449" s="1"/>
      <c r="Q449" s="59">
        <f>SUM(N449:P449)</f>
        <v>0</v>
      </c>
      <c r="R449" s="59">
        <f>+E449+I449+M449+Q449</f>
        <v>0</v>
      </c>
    </row>
    <row r="450" spans="1:20" ht="15.75" customHeight="1" x14ac:dyDescent="0.3">
      <c r="A450" s="76" t="s">
        <v>453</v>
      </c>
      <c r="B450" s="1"/>
      <c r="C450" s="1"/>
      <c r="D450" s="1">
        <v>2000</v>
      </c>
      <c r="E450" s="59">
        <f>SUM(B450:D450)</f>
        <v>2000</v>
      </c>
      <c r="F450" s="1">
        <v>2000</v>
      </c>
      <c r="G450" s="1">
        <v>2000</v>
      </c>
      <c r="H450" s="1"/>
      <c r="I450" s="59">
        <f>SUM(F450:H450)</f>
        <v>4000</v>
      </c>
      <c r="J450" s="1"/>
      <c r="K450" s="1">
        <v>2000</v>
      </c>
      <c r="L450" s="1">
        <v>687</v>
      </c>
      <c r="M450" s="59">
        <f>SUM(J450:L450)</f>
        <v>2687</v>
      </c>
      <c r="N450" s="1"/>
      <c r="O450" s="1"/>
      <c r="P450" s="1"/>
      <c r="Q450" s="59">
        <f>SUM(N450:P450)</f>
        <v>0</v>
      </c>
      <c r="R450" s="59">
        <f>+E450+I450+M450+Q450</f>
        <v>8687</v>
      </c>
    </row>
    <row r="451" spans="1:20" ht="15.75" customHeight="1" x14ac:dyDescent="0.3">
      <c r="A451" s="17" t="s">
        <v>66</v>
      </c>
      <c r="B451" s="1"/>
      <c r="C451" s="1"/>
      <c r="D451" s="1"/>
      <c r="E451" s="59" t="s">
        <v>7</v>
      </c>
      <c r="F451" s="1"/>
      <c r="G451" s="1"/>
      <c r="H451" s="1"/>
      <c r="I451" s="59" t="s">
        <v>7</v>
      </c>
      <c r="J451" s="1"/>
      <c r="K451" s="1"/>
      <c r="L451" s="1"/>
      <c r="M451" s="59" t="s">
        <v>7</v>
      </c>
      <c r="N451" s="1"/>
      <c r="O451" s="1"/>
      <c r="P451" s="1"/>
      <c r="Q451" s="59" t="s">
        <v>7</v>
      </c>
      <c r="R451" s="59" t="s">
        <v>7</v>
      </c>
    </row>
    <row r="452" spans="1:20" ht="15.75" customHeight="1" x14ac:dyDescent="0.3">
      <c r="A452" s="76" t="s">
        <v>454</v>
      </c>
      <c r="B452" s="1"/>
      <c r="C452" s="1"/>
      <c r="D452" s="1"/>
      <c r="E452" s="59">
        <f t="shared" ref="E452:E457" si="183">SUM(B452:D452)</f>
        <v>0</v>
      </c>
      <c r="F452" s="1"/>
      <c r="G452" s="1"/>
      <c r="H452" s="1"/>
      <c r="I452" s="59">
        <f t="shared" ref="I452:I457" si="184">SUM(F452:H452)</f>
        <v>0</v>
      </c>
      <c r="J452" s="1"/>
      <c r="K452" s="1"/>
      <c r="L452" s="1"/>
      <c r="M452" s="59">
        <f t="shared" ref="M452:M457" si="185">SUM(J452:L452)</f>
        <v>0</v>
      </c>
      <c r="N452" s="1"/>
      <c r="O452" s="1"/>
      <c r="P452" s="1"/>
      <c r="Q452" s="59">
        <f t="shared" ref="Q452:Q457" si="186">SUM(N452:P452)</f>
        <v>0</v>
      </c>
      <c r="R452" s="59">
        <f t="shared" ref="R452:R457" si="187">+E452+I452+M452+Q452</f>
        <v>0</v>
      </c>
      <c r="T452" s="4" t="s">
        <v>317</v>
      </c>
    </row>
    <row r="453" spans="1:20" ht="15.75" customHeight="1" x14ac:dyDescent="0.3">
      <c r="A453" s="76" t="s">
        <v>455</v>
      </c>
      <c r="B453" s="1"/>
      <c r="C453" s="1"/>
      <c r="D453" s="1"/>
      <c r="E453" s="59">
        <f t="shared" ref="E453" si="188">SUM(B453:D453)</f>
        <v>0</v>
      </c>
      <c r="F453" s="1">
        <v>2000</v>
      </c>
      <c r="G453" s="1"/>
      <c r="H453" s="1"/>
      <c r="I453" s="59">
        <f t="shared" si="184"/>
        <v>2000</v>
      </c>
      <c r="J453" s="1"/>
      <c r="K453" s="1"/>
      <c r="L453" s="1"/>
      <c r="M453" s="59">
        <f t="shared" si="185"/>
        <v>0</v>
      </c>
      <c r="N453" s="1"/>
      <c r="O453" s="1"/>
      <c r="P453" s="1"/>
      <c r="Q453" s="59">
        <f t="shared" si="186"/>
        <v>0</v>
      </c>
      <c r="R453" s="59">
        <f t="shared" si="187"/>
        <v>2000</v>
      </c>
      <c r="T453" s="4" t="s">
        <v>317</v>
      </c>
    </row>
    <row r="454" spans="1:20" ht="15.75" customHeight="1" x14ac:dyDescent="0.3">
      <c r="A454" s="76" t="s">
        <v>456</v>
      </c>
      <c r="B454" s="1"/>
      <c r="C454" s="1"/>
      <c r="D454" s="1"/>
      <c r="E454" s="59">
        <f t="shared" si="183"/>
        <v>0</v>
      </c>
      <c r="F454" s="1"/>
      <c r="G454" s="1"/>
      <c r="H454" s="1"/>
      <c r="I454" s="59">
        <f t="shared" si="184"/>
        <v>0</v>
      </c>
      <c r="J454" s="1"/>
      <c r="K454" s="1"/>
      <c r="L454" s="1"/>
      <c r="M454" s="59">
        <f t="shared" si="185"/>
        <v>0</v>
      </c>
      <c r="N454" s="1"/>
      <c r="O454" s="1"/>
      <c r="P454" s="1"/>
      <c r="Q454" s="59">
        <f t="shared" si="186"/>
        <v>0</v>
      </c>
      <c r="R454" s="59">
        <f t="shared" si="187"/>
        <v>0</v>
      </c>
      <c r="T454" s="4" t="s">
        <v>331</v>
      </c>
    </row>
    <row r="455" spans="1:20" ht="15.75" customHeight="1" x14ac:dyDescent="0.3">
      <c r="A455" s="76" t="s">
        <v>457</v>
      </c>
      <c r="B455" s="1"/>
      <c r="C455" s="1"/>
      <c r="D455" s="1"/>
      <c r="E455" s="59">
        <f t="shared" si="183"/>
        <v>0</v>
      </c>
      <c r="F455" s="1"/>
      <c r="G455" s="1"/>
      <c r="H455" s="1"/>
      <c r="I455" s="59">
        <f t="shared" si="184"/>
        <v>0</v>
      </c>
      <c r="J455" s="1"/>
      <c r="K455" s="1"/>
      <c r="L455" s="1"/>
      <c r="M455" s="59">
        <f t="shared" si="185"/>
        <v>0</v>
      </c>
      <c r="N455" s="1"/>
      <c r="O455" s="1"/>
      <c r="P455" s="1"/>
      <c r="Q455" s="59">
        <f t="shared" si="186"/>
        <v>0</v>
      </c>
      <c r="R455" s="59">
        <f t="shared" si="187"/>
        <v>0</v>
      </c>
    </row>
    <row r="456" spans="1:20" ht="15.75" customHeight="1" x14ac:dyDescent="0.3">
      <c r="A456" s="76" t="s">
        <v>458</v>
      </c>
      <c r="B456" s="1"/>
      <c r="C456" s="1"/>
      <c r="D456" s="1"/>
      <c r="E456" s="59">
        <f t="shared" si="183"/>
        <v>0</v>
      </c>
      <c r="F456" s="1"/>
      <c r="G456" s="1"/>
      <c r="H456" s="1"/>
      <c r="I456" s="59">
        <f t="shared" si="184"/>
        <v>0</v>
      </c>
      <c r="J456" s="1"/>
      <c r="K456" s="1"/>
      <c r="L456" s="1"/>
      <c r="M456" s="59">
        <f t="shared" si="185"/>
        <v>0</v>
      </c>
      <c r="N456" s="1"/>
      <c r="O456" s="1"/>
      <c r="P456" s="1"/>
      <c r="Q456" s="59">
        <f t="shared" si="186"/>
        <v>0</v>
      </c>
      <c r="R456" s="59">
        <f t="shared" si="187"/>
        <v>0</v>
      </c>
    </row>
    <row r="457" spans="1:20" ht="15.75" customHeight="1" x14ac:dyDescent="0.3">
      <c r="A457" s="76" t="s">
        <v>459</v>
      </c>
      <c r="B457" s="1"/>
      <c r="C457" s="1"/>
      <c r="D457" s="1"/>
      <c r="E457" s="59">
        <f t="shared" si="183"/>
        <v>0</v>
      </c>
      <c r="F457" s="1"/>
      <c r="G457" s="1"/>
      <c r="H457" s="1"/>
      <c r="I457" s="59">
        <f t="shared" si="184"/>
        <v>0</v>
      </c>
      <c r="J457" s="1"/>
      <c r="K457" s="1"/>
      <c r="L457" s="1"/>
      <c r="M457" s="59">
        <f t="shared" si="185"/>
        <v>0</v>
      </c>
      <c r="N457" s="1"/>
      <c r="O457" s="1"/>
      <c r="P457" s="1"/>
      <c r="Q457" s="59">
        <f t="shared" si="186"/>
        <v>0</v>
      </c>
      <c r="R457" s="59">
        <f t="shared" si="187"/>
        <v>0</v>
      </c>
      <c r="T457" s="4" t="s">
        <v>317</v>
      </c>
    </row>
    <row r="458" spans="1:20" ht="15.75" customHeight="1" x14ac:dyDescent="0.3">
      <c r="A458" s="17" t="s">
        <v>67</v>
      </c>
      <c r="B458" s="1"/>
      <c r="C458" s="1"/>
      <c r="D458" s="1"/>
      <c r="E458" s="59" t="s">
        <v>7</v>
      </c>
      <c r="F458" s="1"/>
      <c r="G458" s="1"/>
      <c r="H458" s="1"/>
      <c r="I458" s="59" t="s">
        <v>7</v>
      </c>
      <c r="J458" s="1"/>
      <c r="K458" s="1"/>
      <c r="L458" s="1"/>
      <c r="M458" s="59" t="s">
        <v>7</v>
      </c>
      <c r="N458" s="1"/>
      <c r="O458" s="1"/>
      <c r="P458" s="1"/>
      <c r="Q458" s="59" t="s">
        <v>7</v>
      </c>
      <c r="R458" s="59" t="s">
        <v>7</v>
      </c>
    </row>
    <row r="459" spans="1:20" ht="15.75" customHeight="1" x14ac:dyDescent="0.3">
      <c r="A459" s="76" t="s">
        <v>460</v>
      </c>
      <c r="B459" s="1"/>
      <c r="C459" s="1"/>
      <c r="D459" s="1"/>
      <c r="E459" s="59">
        <f>SUM(B459:D459)</f>
        <v>0</v>
      </c>
      <c r="F459" s="1"/>
      <c r="G459" s="1"/>
      <c r="H459" s="1"/>
      <c r="I459" s="59">
        <f>SUM(F459:H459)</f>
        <v>0</v>
      </c>
      <c r="J459" s="1"/>
      <c r="K459" s="1"/>
      <c r="L459" s="1"/>
      <c r="M459" s="59">
        <f>SUM(J459:L459)</f>
        <v>0</v>
      </c>
      <c r="N459" s="1"/>
      <c r="O459" s="1"/>
      <c r="P459" s="1"/>
      <c r="Q459" s="59">
        <f>SUM(N459:P459)</f>
        <v>0</v>
      </c>
      <c r="R459" s="59">
        <f>+E459+I459+M459+Q459</f>
        <v>0</v>
      </c>
      <c r="T459" s="4" t="s">
        <v>305</v>
      </c>
    </row>
    <row r="460" spans="1:20" ht="15.75" customHeight="1" x14ac:dyDescent="0.3">
      <c r="A460" s="76" t="s">
        <v>461</v>
      </c>
      <c r="B460" s="1"/>
      <c r="C460" s="1"/>
      <c r="D460" s="1"/>
      <c r="E460" s="59">
        <f>SUM(B460:D460)</f>
        <v>0</v>
      </c>
      <c r="F460" s="1"/>
      <c r="G460" s="1"/>
      <c r="H460" s="1"/>
      <c r="I460" s="59">
        <f>SUM(F460:H460)</f>
        <v>0</v>
      </c>
      <c r="J460" s="1"/>
      <c r="K460" s="1"/>
      <c r="L460" s="1"/>
      <c r="M460" s="59">
        <f>SUM(J460:L460)</f>
        <v>0</v>
      </c>
      <c r="N460" s="1"/>
      <c r="O460" s="1"/>
      <c r="P460" s="1"/>
      <c r="Q460" s="59">
        <f>SUM(N460:P460)</f>
        <v>0</v>
      </c>
      <c r="R460" s="59">
        <f>+E460+I460+M460+Q460</f>
        <v>0</v>
      </c>
      <c r="T460" s="4" t="s">
        <v>305</v>
      </c>
    </row>
    <row r="461" spans="1:20" ht="15.75" customHeight="1" x14ac:dyDescent="0.3">
      <c r="A461" s="76" t="s">
        <v>462</v>
      </c>
      <c r="B461" s="1"/>
      <c r="C461" s="1"/>
      <c r="D461" s="1"/>
      <c r="E461" s="59">
        <f>SUM(B461:D461)</f>
        <v>0</v>
      </c>
      <c r="F461" s="1"/>
      <c r="G461" s="1"/>
      <c r="H461" s="1"/>
      <c r="I461" s="59">
        <f>SUM(F461:H461)</f>
        <v>0</v>
      </c>
      <c r="J461" s="1"/>
      <c r="K461" s="1">
        <v>1000</v>
      </c>
      <c r="L461" s="1">
        <v>1000</v>
      </c>
      <c r="M461" s="59">
        <f>SUM(J461:L461)</f>
        <v>2000</v>
      </c>
      <c r="N461" s="1">
        <v>1000</v>
      </c>
      <c r="O461" s="1"/>
      <c r="P461" s="1"/>
      <c r="Q461" s="59">
        <f>SUM(N461:P461)</f>
        <v>1000</v>
      </c>
      <c r="R461" s="59">
        <f>+E461+I461+M461+Q461</f>
        <v>3000</v>
      </c>
    </row>
    <row r="462" spans="1:20" ht="15.75" customHeight="1" x14ac:dyDescent="0.3">
      <c r="A462" s="76" t="s">
        <v>463</v>
      </c>
      <c r="B462" s="1"/>
      <c r="C462" s="1"/>
      <c r="D462" s="1"/>
      <c r="E462" s="59">
        <f>SUM(B462:D462)</f>
        <v>0</v>
      </c>
      <c r="F462" s="1"/>
      <c r="G462" s="1"/>
      <c r="H462" s="1"/>
      <c r="I462" s="59">
        <f>SUM(F462:H462)</f>
        <v>0</v>
      </c>
      <c r="J462" s="1"/>
      <c r="K462" s="1"/>
      <c r="L462" s="1"/>
      <c r="M462" s="59">
        <f>SUM(J462:L462)</f>
        <v>0</v>
      </c>
      <c r="N462" s="1"/>
      <c r="O462" s="1"/>
      <c r="P462" s="1"/>
      <c r="Q462" s="59">
        <f>SUM(N462:P462)</f>
        <v>0</v>
      </c>
      <c r="R462" s="59">
        <f>+E462+I462+M462+Q462</f>
        <v>0</v>
      </c>
    </row>
    <row r="463" spans="1:20" ht="15.75" customHeight="1" x14ac:dyDescent="0.3">
      <c r="A463" s="76" t="s">
        <v>464</v>
      </c>
      <c r="B463" s="1"/>
      <c r="C463" s="1"/>
      <c r="D463" s="1"/>
      <c r="E463" s="59">
        <f t="shared" ref="E463" si="189">SUM(B463:D463)</f>
        <v>0</v>
      </c>
      <c r="F463" s="1"/>
      <c r="G463" s="1">
        <v>2700</v>
      </c>
      <c r="H463" s="1"/>
      <c r="I463" s="59">
        <f t="shared" ref="I463" si="190">SUM(F463:H463)</f>
        <v>2700</v>
      </c>
      <c r="J463" s="1"/>
      <c r="K463" s="1"/>
      <c r="L463" s="1"/>
      <c r="M463" s="59">
        <f t="shared" ref="M463" si="191">SUM(J463:L463)</f>
        <v>0</v>
      </c>
      <c r="N463" s="1"/>
      <c r="O463" s="1"/>
      <c r="P463" s="1"/>
      <c r="Q463" s="59">
        <f t="shared" ref="Q463:Q474" si="192">SUM(N463:P463)</f>
        <v>0</v>
      </c>
      <c r="R463" s="59">
        <f t="shared" ref="R463:R474" si="193">+E463+I463+M463+Q463</f>
        <v>2700</v>
      </c>
    </row>
    <row r="464" spans="1:20" ht="15.75" customHeight="1" x14ac:dyDescent="0.3">
      <c r="A464" s="76" t="s">
        <v>465</v>
      </c>
      <c r="B464" s="1"/>
      <c r="C464" s="1"/>
      <c r="D464" s="1"/>
      <c r="E464" s="59">
        <f>SUM(B464:D464)</f>
        <v>0</v>
      </c>
      <c r="F464" s="1"/>
      <c r="G464" s="1"/>
      <c r="H464" s="1"/>
      <c r="I464" s="59">
        <f>SUM(F464:H464)</f>
        <v>0</v>
      </c>
      <c r="J464" s="1"/>
      <c r="K464" s="1"/>
      <c r="L464" s="1"/>
      <c r="M464" s="59">
        <f>SUM(J464:L464)</f>
        <v>0</v>
      </c>
      <c r="N464" s="1"/>
      <c r="O464" s="1"/>
      <c r="P464" s="1"/>
      <c r="Q464" s="59">
        <f>SUM(N464:P464)</f>
        <v>0</v>
      </c>
      <c r="R464" s="59">
        <f>+E464+I464+M464+Q464</f>
        <v>0</v>
      </c>
    </row>
    <row r="465" spans="1:21" ht="15.75" customHeight="1" x14ac:dyDescent="0.3">
      <c r="A465" s="76" t="s">
        <v>466</v>
      </c>
      <c r="B465" s="1"/>
      <c r="C465" s="1"/>
      <c r="D465" s="1">
        <v>510</v>
      </c>
      <c r="E465" s="59">
        <f>SUM(B465:D465)</f>
        <v>510</v>
      </c>
      <c r="F465" s="1">
        <v>610</v>
      </c>
      <c r="G465" s="1">
        <v>710</v>
      </c>
      <c r="H465" s="1">
        <v>870</v>
      </c>
      <c r="I465" s="59">
        <f>SUM(F465:H465)</f>
        <v>2190</v>
      </c>
      <c r="J465" s="1"/>
      <c r="K465" s="1"/>
      <c r="L465" s="1"/>
      <c r="M465" s="59">
        <f>SUM(J465:L465)</f>
        <v>0</v>
      </c>
      <c r="N465" s="1"/>
      <c r="O465" s="1"/>
      <c r="P465" s="1"/>
      <c r="Q465" s="59">
        <f>SUM(N465:P465)</f>
        <v>0</v>
      </c>
      <c r="R465" s="59">
        <f>+E465+I465+M465+Q465</f>
        <v>2700</v>
      </c>
      <c r="T465" s="4" t="s">
        <v>305</v>
      </c>
      <c r="U465" s="20"/>
    </row>
    <row r="466" spans="1:21" ht="15.75" customHeight="1" x14ac:dyDescent="0.3">
      <c r="A466" s="76" t="s">
        <v>467</v>
      </c>
      <c r="B466" s="1"/>
      <c r="C466" s="1"/>
      <c r="D466" s="1"/>
      <c r="E466" s="59">
        <f>SUM(B466:D466)</f>
        <v>0</v>
      </c>
      <c r="F466" s="1"/>
      <c r="G466" s="1"/>
      <c r="H466" s="1"/>
      <c r="I466" s="59">
        <f>SUM(F466:H466)</f>
        <v>0</v>
      </c>
      <c r="J466" s="1"/>
      <c r="K466" s="1"/>
      <c r="L466" s="1"/>
      <c r="M466" s="59">
        <f>SUM(J466:L466)</f>
        <v>0</v>
      </c>
      <c r="N466" s="1"/>
      <c r="O466" s="1"/>
      <c r="P466" s="1"/>
      <c r="Q466" s="59">
        <f>SUM(N466:P466)</f>
        <v>0</v>
      </c>
      <c r="R466" s="59">
        <f>+E466+I466+M466+Q466</f>
        <v>0</v>
      </c>
    </row>
    <row r="467" spans="1:21" ht="15.75" customHeight="1" x14ac:dyDescent="0.3">
      <c r="A467" s="76" t="s">
        <v>468</v>
      </c>
      <c r="B467" s="1"/>
      <c r="C467" s="1"/>
      <c r="D467" s="1"/>
      <c r="E467" s="59">
        <f>SUM(B467:D467)</f>
        <v>0</v>
      </c>
      <c r="F467" s="1"/>
      <c r="G467" s="1"/>
      <c r="H467" s="1"/>
      <c r="I467" s="59">
        <f>SUM(F467:H467)</f>
        <v>0</v>
      </c>
      <c r="J467" s="1"/>
      <c r="K467" s="1">
        <v>230</v>
      </c>
      <c r="L467" s="1">
        <v>1200</v>
      </c>
      <c r="M467" s="59">
        <f>SUM(J467:L467)</f>
        <v>1430</v>
      </c>
      <c r="N467" s="1">
        <v>1000</v>
      </c>
      <c r="O467" s="1">
        <v>1000</v>
      </c>
      <c r="P467" s="1">
        <v>500</v>
      </c>
      <c r="Q467" s="59">
        <f>SUM(N467:P467)</f>
        <v>2500</v>
      </c>
      <c r="R467" s="59">
        <f>+E467+I467+M467+Q467</f>
        <v>3930</v>
      </c>
      <c r="T467" s="4" t="s">
        <v>331</v>
      </c>
    </row>
    <row r="468" spans="1:21" ht="15.75" customHeight="1" thickBot="1" x14ac:dyDescent="0.35">
      <c r="A468" s="76" t="s">
        <v>469</v>
      </c>
      <c r="B468" s="1"/>
      <c r="C468" s="1"/>
      <c r="D468" s="1"/>
      <c r="E468" s="59">
        <f>SUM(B468:D468)</f>
        <v>0</v>
      </c>
      <c r="F468" s="1"/>
      <c r="G468" s="1"/>
      <c r="H468" s="1"/>
      <c r="I468" s="59">
        <f>SUM(F468:H468)</f>
        <v>0</v>
      </c>
      <c r="J468" s="1"/>
      <c r="K468" s="1"/>
      <c r="L468" s="1"/>
      <c r="M468" s="59">
        <f>SUM(J468:L468)</f>
        <v>0</v>
      </c>
      <c r="N468" s="1"/>
      <c r="O468" s="1"/>
      <c r="P468" s="1"/>
      <c r="Q468" s="59">
        <f>SUM(N468:P468)</f>
        <v>0</v>
      </c>
      <c r="R468" s="59">
        <f>+E468+I468+M468+Q468</f>
        <v>0</v>
      </c>
      <c r="T468" s="4" t="s">
        <v>331</v>
      </c>
    </row>
    <row r="469" spans="1:21" ht="16.5" customHeight="1" thickBot="1" x14ac:dyDescent="0.35">
      <c r="A469" s="62" t="s">
        <v>68</v>
      </c>
      <c r="B469" s="63">
        <f>SUM(B451:B468)</f>
        <v>0</v>
      </c>
      <c r="C469" s="63">
        <f>SUM(C451:C468)</f>
        <v>0</v>
      </c>
      <c r="D469" s="63">
        <f>SUM(D451:D468)</f>
        <v>510</v>
      </c>
      <c r="E469" s="65">
        <f t="shared" ref="E469:E474" si="194">SUM(B469:D469)</f>
        <v>510</v>
      </c>
      <c r="F469" s="63">
        <f>SUM(F451:F468)</f>
        <v>2610</v>
      </c>
      <c r="G469" s="63">
        <f>SUM(G451:G468)</f>
        <v>3410</v>
      </c>
      <c r="H469" s="63">
        <f>SUM(H451:H468)</f>
        <v>870</v>
      </c>
      <c r="I469" s="65">
        <f t="shared" ref="I469:I474" si="195">SUM(F469:H469)</f>
        <v>6890</v>
      </c>
      <c r="J469" s="63">
        <f>SUM(J451:J468)</f>
        <v>0</v>
      </c>
      <c r="K469" s="63">
        <f>SUM(K451:K468)</f>
        <v>1230</v>
      </c>
      <c r="L469" s="63">
        <f>SUM(L451:L468)</f>
        <v>2200</v>
      </c>
      <c r="M469" s="65">
        <f t="shared" ref="M469:M474" si="196">SUM(J469:L469)</f>
        <v>3430</v>
      </c>
      <c r="N469" s="63">
        <f>SUM(N451:N468)</f>
        <v>2000</v>
      </c>
      <c r="O469" s="63">
        <f>SUM(O451:O468)</f>
        <v>1000</v>
      </c>
      <c r="P469" s="63">
        <f>SUM(P451:P468)</f>
        <v>500</v>
      </c>
      <c r="Q469" s="65">
        <f t="shared" si="192"/>
        <v>3500</v>
      </c>
      <c r="R469" s="64">
        <f t="shared" si="193"/>
        <v>14330</v>
      </c>
    </row>
    <row r="470" spans="1:21" ht="16.5" customHeight="1" thickBot="1" x14ac:dyDescent="0.35">
      <c r="A470" s="137" t="s">
        <v>69</v>
      </c>
      <c r="B470" s="100">
        <f>SUM(B445:B468)</f>
        <v>0</v>
      </c>
      <c r="C470" s="101">
        <f>SUM(C445:C468)</f>
        <v>0</v>
      </c>
      <c r="D470" s="138">
        <f>SUM(D445:D468)</f>
        <v>2510</v>
      </c>
      <c r="E470" s="65">
        <f t="shared" si="194"/>
        <v>2510</v>
      </c>
      <c r="F470" s="101">
        <f>SUM(F445:F468)</f>
        <v>4610</v>
      </c>
      <c r="G470" s="101">
        <f>SUM(G445:G468)</f>
        <v>5410</v>
      </c>
      <c r="H470" s="101">
        <f>SUM(H445:H468)</f>
        <v>870</v>
      </c>
      <c r="I470" s="65">
        <f t="shared" si="195"/>
        <v>10890</v>
      </c>
      <c r="J470" s="101">
        <f>SUM(J445:J468)</f>
        <v>0</v>
      </c>
      <c r="K470" s="101">
        <f>SUM(K445:K468)</f>
        <v>3230</v>
      </c>
      <c r="L470" s="101">
        <f>SUM(L445:L468)</f>
        <v>2887</v>
      </c>
      <c r="M470" s="65">
        <f t="shared" si="196"/>
        <v>6117</v>
      </c>
      <c r="N470" s="101">
        <f>SUM(N445:N468)</f>
        <v>2000</v>
      </c>
      <c r="O470" s="101">
        <f>SUM(O445:O468)</f>
        <v>1000</v>
      </c>
      <c r="P470" s="101">
        <f>SUM(P445:P468)</f>
        <v>500</v>
      </c>
      <c r="Q470" s="65">
        <f t="shared" si="192"/>
        <v>3500</v>
      </c>
      <c r="R470" s="64">
        <f t="shared" si="193"/>
        <v>23017</v>
      </c>
    </row>
    <row r="471" spans="1:21" ht="16.5" customHeight="1" thickBot="1" x14ac:dyDescent="0.35">
      <c r="A471" s="62" t="s">
        <v>70</v>
      </c>
      <c r="B471" s="107">
        <f>+B375+B389+B444+B470</f>
        <v>21879</v>
      </c>
      <c r="C471" s="63">
        <f>+C375+C389+C444+C470</f>
        <v>28642</v>
      </c>
      <c r="D471" s="63">
        <f>+D375+D389+D444+D470</f>
        <v>57223</v>
      </c>
      <c r="E471" s="64">
        <f t="shared" si="194"/>
        <v>107744</v>
      </c>
      <c r="F471" s="63">
        <f>+F375+F389+F444+F470</f>
        <v>66543</v>
      </c>
      <c r="G471" s="63">
        <f>+G375+G389+G444+G470</f>
        <v>84431</v>
      </c>
      <c r="H471" s="63">
        <f>+H375+H389+H444+H470</f>
        <v>94356</v>
      </c>
      <c r="I471" s="64">
        <f t="shared" si="195"/>
        <v>245330</v>
      </c>
      <c r="J471" s="63">
        <f>+J375+J389+J444+J470</f>
        <v>86308</v>
      </c>
      <c r="K471" s="63">
        <f>+K375+K389+K444+K470</f>
        <v>83683</v>
      </c>
      <c r="L471" s="63">
        <f>+L375+L389+L444+L470</f>
        <v>62025</v>
      </c>
      <c r="M471" s="64">
        <f t="shared" si="196"/>
        <v>232016</v>
      </c>
      <c r="N471" s="63">
        <f>+N375+N389+N444+N470</f>
        <v>48358</v>
      </c>
      <c r="O471" s="63">
        <f>+O375+O389+O444+O470</f>
        <v>34084</v>
      </c>
      <c r="P471" s="63">
        <f>+P375+P389+P444+P470</f>
        <v>38904</v>
      </c>
      <c r="Q471" s="64">
        <f t="shared" si="192"/>
        <v>121346</v>
      </c>
      <c r="R471" s="88">
        <f t="shared" si="193"/>
        <v>706436</v>
      </c>
    </row>
    <row r="472" spans="1:21" ht="15.75" customHeight="1" x14ac:dyDescent="0.3">
      <c r="A472" s="74" t="s">
        <v>470</v>
      </c>
      <c r="B472" s="1"/>
      <c r="C472" s="1"/>
      <c r="D472" s="1"/>
      <c r="E472" s="59">
        <f t="shared" si="194"/>
        <v>0</v>
      </c>
      <c r="F472" s="1"/>
      <c r="G472" s="1"/>
      <c r="H472" s="1"/>
      <c r="I472" s="59">
        <f t="shared" si="195"/>
        <v>0</v>
      </c>
      <c r="J472" s="1"/>
      <c r="K472" s="1"/>
      <c r="L472" s="1"/>
      <c r="M472" s="59">
        <f t="shared" si="196"/>
        <v>0</v>
      </c>
      <c r="N472" s="1"/>
      <c r="O472" s="1"/>
      <c r="P472" s="1"/>
      <c r="Q472" s="59">
        <f t="shared" si="192"/>
        <v>0</v>
      </c>
      <c r="R472" s="59">
        <f t="shared" si="193"/>
        <v>0</v>
      </c>
    </row>
    <row r="473" spans="1:21" ht="15.75" customHeight="1" x14ac:dyDescent="0.3">
      <c r="A473" s="74" t="s">
        <v>471</v>
      </c>
      <c r="B473" s="1"/>
      <c r="C473" s="1"/>
      <c r="D473" s="1"/>
      <c r="E473" s="59">
        <f t="shared" si="194"/>
        <v>0</v>
      </c>
      <c r="F473" s="1"/>
      <c r="G473" s="1"/>
      <c r="H473" s="1"/>
      <c r="I473" s="59">
        <f t="shared" si="195"/>
        <v>0</v>
      </c>
      <c r="J473" s="1"/>
      <c r="K473" s="1"/>
      <c r="L473" s="1"/>
      <c r="M473" s="59">
        <f t="shared" si="196"/>
        <v>0</v>
      </c>
      <c r="N473" s="1"/>
      <c r="O473" s="1"/>
      <c r="P473" s="1"/>
      <c r="Q473" s="59">
        <f t="shared" si="192"/>
        <v>0</v>
      </c>
      <c r="R473" s="59">
        <f t="shared" si="193"/>
        <v>0</v>
      </c>
    </row>
    <row r="474" spans="1:21" ht="16.5" customHeight="1" thickBot="1" x14ac:dyDescent="0.35">
      <c r="A474" s="79" t="s">
        <v>37</v>
      </c>
      <c r="B474" s="25">
        <v>155</v>
      </c>
      <c r="C474" s="25">
        <v>283</v>
      </c>
      <c r="D474" s="25">
        <v>435</v>
      </c>
      <c r="E474" s="88">
        <f t="shared" si="194"/>
        <v>873</v>
      </c>
      <c r="F474" s="25">
        <v>602</v>
      </c>
      <c r="G474" s="25">
        <v>711</v>
      </c>
      <c r="H474" s="25">
        <v>722</v>
      </c>
      <c r="I474" s="88">
        <f t="shared" si="195"/>
        <v>2035</v>
      </c>
      <c r="J474" s="25">
        <v>686</v>
      </c>
      <c r="K474" s="25">
        <v>519</v>
      </c>
      <c r="L474" s="25">
        <v>531</v>
      </c>
      <c r="M474" s="88">
        <f t="shared" si="196"/>
        <v>1736</v>
      </c>
      <c r="N474" s="25">
        <v>489</v>
      </c>
      <c r="O474" s="25">
        <v>389</v>
      </c>
      <c r="P474" s="25">
        <v>275</v>
      </c>
      <c r="Q474" s="88">
        <f t="shared" si="192"/>
        <v>1153</v>
      </c>
      <c r="R474" s="59">
        <f t="shared" si="193"/>
        <v>5797</v>
      </c>
    </row>
    <row r="475" spans="1:21" ht="16.5" customHeight="1" thickBot="1" x14ac:dyDescent="0.35">
      <c r="A475" s="80"/>
      <c r="B475" s="81"/>
      <c r="C475" s="81"/>
      <c r="D475" s="81"/>
      <c r="E475" s="64"/>
      <c r="F475" s="81"/>
      <c r="G475" s="81"/>
      <c r="H475" s="81"/>
      <c r="I475" s="64"/>
      <c r="J475" s="81"/>
      <c r="K475" s="81"/>
      <c r="L475" s="81"/>
      <c r="M475" s="64"/>
      <c r="N475" s="81"/>
      <c r="O475" s="81"/>
      <c r="P475" s="81"/>
      <c r="Q475" s="64"/>
      <c r="R475" s="64" t="s">
        <v>7</v>
      </c>
    </row>
    <row r="476" spans="1:21" ht="15.75" customHeight="1" x14ac:dyDescent="0.3">
      <c r="A476" s="82" t="s">
        <v>38</v>
      </c>
      <c r="B476" s="83">
        <f>SUM(B471:B474)</f>
        <v>22034</v>
      </c>
      <c r="C476" s="83">
        <f>SUM(C471:C474)</f>
        <v>28925</v>
      </c>
      <c r="D476" s="83">
        <f>SUM(D471:D474)</f>
        <v>57658</v>
      </c>
      <c r="E476" s="65">
        <f>SUM(B476:D476)</f>
        <v>108617</v>
      </c>
      <c r="F476" s="83">
        <f>SUM(F471:F474)</f>
        <v>67145</v>
      </c>
      <c r="G476" s="83">
        <f>SUM(G471:G474)</f>
        <v>85142</v>
      </c>
      <c r="H476" s="83">
        <f>SUM(H471:H474)</f>
        <v>95078</v>
      </c>
      <c r="I476" s="65">
        <f>SUM(F476:H476)</f>
        <v>247365</v>
      </c>
      <c r="J476" s="83">
        <f>SUM(J471:J474)</f>
        <v>86994</v>
      </c>
      <c r="K476" s="83">
        <f>SUM(K471:K474)</f>
        <v>84202</v>
      </c>
      <c r="L476" s="83">
        <f>SUM(L471:L474)</f>
        <v>62556</v>
      </c>
      <c r="M476" s="65">
        <f>SUM(J476:L476)</f>
        <v>233752</v>
      </c>
      <c r="N476" s="83">
        <f>SUM(N471:N474)</f>
        <v>48847</v>
      </c>
      <c r="O476" s="83">
        <f>SUM(O471:O474)</f>
        <v>34473</v>
      </c>
      <c r="P476" s="83">
        <f>SUM(P471:P474)</f>
        <v>39179</v>
      </c>
      <c r="Q476" s="65">
        <f>SUM(N476:P476)</f>
        <v>122499</v>
      </c>
      <c r="R476" s="65">
        <f>+E476+I476+M476+Q476</f>
        <v>712233</v>
      </c>
    </row>
    <row r="477" spans="1:21" ht="15.75" customHeight="1" x14ac:dyDescent="0.3">
      <c r="A477" s="85" t="s">
        <v>39</v>
      </c>
      <c r="B477" s="1">
        <f>(B476/B10)/1.983</f>
        <v>358.43378393766363</v>
      </c>
      <c r="C477" s="1">
        <f>(C476/C10)/1.983</f>
        <v>520.94589726964909</v>
      </c>
      <c r="D477" s="1">
        <f>(D476/D10)/1.983</f>
        <v>937.94023392383644</v>
      </c>
      <c r="E477" s="59" t="s">
        <v>7</v>
      </c>
      <c r="F477" s="1">
        <f>(F476/F10)/1.983</f>
        <v>1128.6770885863168</v>
      </c>
      <c r="G477" s="1">
        <f>(G476/G10)/1.983</f>
        <v>1385.0308265417336</v>
      </c>
      <c r="H477" s="1">
        <f>(H476/H10)/1.983</f>
        <v>1598.2181879307448</v>
      </c>
      <c r="I477" s="59" t="s">
        <v>7</v>
      </c>
      <c r="J477" s="1">
        <f>(J476/J10)/1.983</f>
        <v>1415.1578741886683</v>
      </c>
      <c r="K477" s="1">
        <f>(K476/K10)/1.983</f>
        <v>1369.7395604574365</v>
      </c>
      <c r="L477" s="1">
        <f>(L476/L10)/1.983</f>
        <v>1051.5380736258194</v>
      </c>
      <c r="M477" s="59" t="s">
        <v>7</v>
      </c>
      <c r="N477" s="1">
        <f>(N476/N10)/1.983</f>
        <v>794.60901534006803</v>
      </c>
      <c r="O477" s="1">
        <f>(O476/O10)/1.983</f>
        <v>579.47554210791725</v>
      </c>
      <c r="P477" s="1">
        <f>(P476/P10)/1.983</f>
        <v>637.33671693263705</v>
      </c>
      <c r="Q477" s="59" t="s">
        <v>7</v>
      </c>
      <c r="R477" s="59" t="s">
        <v>7</v>
      </c>
    </row>
    <row r="478" spans="1:21" ht="15.75" customHeight="1" x14ac:dyDescent="0.3">
      <c r="A478" s="85" t="s">
        <v>472</v>
      </c>
      <c r="B478" s="1">
        <f>B476+B528</f>
        <v>42317</v>
      </c>
      <c r="C478" s="1">
        <f>C476+C528</f>
        <v>50087</v>
      </c>
      <c r="D478" s="1">
        <f>D476+D528</f>
        <v>87977</v>
      </c>
      <c r="E478" s="59">
        <f>SUM(B478:D478)</f>
        <v>180381</v>
      </c>
      <c r="F478" s="1">
        <f>F476+F528</f>
        <v>106024</v>
      </c>
      <c r="G478" s="1">
        <f>G476+G528</f>
        <v>123555</v>
      </c>
      <c r="H478" s="1">
        <f>H476+H528</f>
        <v>146840</v>
      </c>
      <c r="I478" s="59">
        <f>SUM(F478:H478)</f>
        <v>376419</v>
      </c>
      <c r="J478" s="1">
        <f>J476+J528</f>
        <v>143391</v>
      </c>
      <c r="K478" s="1">
        <f>K476+K528</f>
        <v>131334</v>
      </c>
      <c r="L478" s="1">
        <f>L476+L528</f>
        <v>90961</v>
      </c>
      <c r="M478" s="59">
        <f>SUM(J478:L478)</f>
        <v>365686</v>
      </c>
      <c r="N478" s="1">
        <f>N476+N528</f>
        <v>62850</v>
      </c>
      <c r="O478" s="1">
        <f>O476+O528</f>
        <v>40085</v>
      </c>
      <c r="P478" s="1">
        <f>P476+P528</f>
        <v>45710</v>
      </c>
      <c r="Q478" s="59">
        <f>SUM(N478:P478)</f>
        <v>148645</v>
      </c>
      <c r="R478" s="59">
        <f>+E478+I478+M478+Q478</f>
        <v>1071131</v>
      </c>
    </row>
    <row r="479" spans="1:21" s="50" customFormat="1" ht="16.5" customHeight="1" thickBot="1" x14ac:dyDescent="0.35">
      <c r="A479" s="139" t="s">
        <v>473</v>
      </c>
      <c r="B479" s="140">
        <f>(B478/B10)/1.983</f>
        <v>688.38351796723759</v>
      </c>
      <c r="C479" s="140">
        <f>(C478/C10)/1.983</f>
        <v>902.0783805201354</v>
      </c>
      <c r="D479" s="140">
        <f>(D478/D10)/1.983</f>
        <v>1431.1486343598001</v>
      </c>
      <c r="E479" s="141" t="s">
        <v>7</v>
      </c>
      <c r="F479" s="140">
        <f>(F478/F10)/1.983</f>
        <v>1782.2154984030929</v>
      </c>
      <c r="G479" s="140">
        <f>(G478/G10)/1.983</f>
        <v>2009.906788346103</v>
      </c>
      <c r="H479" s="140">
        <f>(H478/H10)/1.983</f>
        <v>2468.3140023533369</v>
      </c>
      <c r="I479" s="141" t="s">
        <v>7</v>
      </c>
      <c r="J479" s="140">
        <f>(J478/J10)/1.983</f>
        <v>2332.5850373334638</v>
      </c>
      <c r="K479" s="140">
        <f>(K478/K10)/1.983</f>
        <v>2136.450148845835</v>
      </c>
      <c r="L479" s="140">
        <f>(L478/L10)/1.983</f>
        <v>1529.0132795427803</v>
      </c>
      <c r="M479" s="141" t="s">
        <v>7</v>
      </c>
      <c r="N479" s="140">
        <f>(N478/N10)/1.983</f>
        <v>1022.4000780830609</v>
      </c>
      <c r="O479" s="140">
        <f>(O478/O10)/1.983</f>
        <v>673.81072449151122</v>
      </c>
      <c r="P479" s="140">
        <f>(P478/P10)/1.983</f>
        <v>743.57848160981234</v>
      </c>
      <c r="Q479" s="141" t="s">
        <v>7</v>
      </c>
      <c r="R479" s="141" t="s">
        <v>7</v>
      </c>
    </row>
    <row r="480" spans="1:21" ht="15.75" customHeight="1" x14ac:dyDescent="0.3">
      <c r="A480" s="142" t="s">
        <v>474</v>
      </c>
      <c r="B480" s="143">
        <f>B$481+(SUMIF($T$317:$T$455,"FLG",B$324:B$473)/B10/1.98)+(SUMIF($T$317:$T$455,"FCA",B$324:B$473)/B10/1.98)+(SUMIF($T$317:$T$455,"NSC",B$324:B$473)/B10/1.98)</f>
        <v>437.00414914850512</v>
      </c>
      <c r="C480" s="143">
        <f>C$481+(SUMIF($T$317:$T$455,"FLG",C$324:C$473)/C10/1.98)+(SUMIF($T$317:$T$455,"FCA",C$324:C$473)/C10/1.98)+(SUMIF($T$317:$T$455,"NSC",C$324:C$473)/C10/1.98)</f>
        <v>537.9687025867056</v>
      </c>
      <c r="D480" s="143">
        <f>D$481+(SUMIF($T$317:$T$455,"FLG",D$324:D$473)/D10/1.98)+(SUMIF($T$317:$T$455,"FCA",D$324:D$473)/D10/1.98)+(SUMIF($T$317:$T$455,"NSC",D$324:D$473)/D10/1.98)</f>
        <v>872.35470216291048</v>
      </c>
      <c r="E480" s="144"/>
      <c r="F480" s="143">
        <f>F$481+(SUMIF($T$317:$T$455,"FLG",F$324:F$473)/F10/1.98)+(SUMIF($T$317:$T$455,"FCA",F$324:F$473)/F10/1.98)+(SUMIF($T$317:$T$455,"NSC",F$324:F$473)/F10/1.98)</f>
        <v>1125.7437970221631</v>
      </c>
      <c r="G480" s="143">
        <f>G$481+(SUMIF($T$317:$T$455,"FLG",G$324:G$473)/G10/1.98)+(SUMIF($T$317:$T$455,"FCA",G$324:G$473)/G10/1.98)+(SUMIF($T$317:$T$455,"NSC",G$324:G$473)/G10/1.98)</f>
        <v>1197.6846942905215</v>
      </c>
      <c r="H480" s="143">
        <f>H$481+(SUMIF($T$317:$T$455,"FLG",H$324:H$473)/H10/1.98)+(SUMIF($T$317:$T$455,"FCA",H$324:H$473)/H10/1.98)+(SUMIF($T$317:$T$455,"NSC",H$324:H$473)/H10/1.98)</f>
        <v>1529.035208361986</v>
      </c>
      <c r="I480" s="52"/>
      <c r="J480" s="143">
        <f>J$481+(SUMIF($T$317:$T$455,"FLG",J$324:J$473)/J10/1.98)+(SUMIF($T$317:$T$455,"FCA",J$324:J$473)/J10/1.98)+(SUMIF($T$317:$T$455,"NSC",J$324:J$473)/J10/1.98)</f>
        <v>1458.9716401731432</v>
      </c>
      <c r="K480" s="143">
        <f>K$481+(SUMIF($T$317:$T$455,"FLG",K$324:K$473)/K10/1.98)+(SUMIF($T$317:$T$455,"FCA",K$324:K$473)/K10/1.98)+(SUMIF($T$317:$T$455,"NSC",K$324:K$473)/K10/1.98)</f>
        <v>1237.3036154330382</v>
      </c>
      <c r="L480" s="143">
        <f>L$481+(SUMIF($T$317:$T$455,"FLG",L$324:L$473)/L10/1.98)+(SUMIF($T$317:$T$455,"FCA",L$324:L$473)/L10/1.98)+(SUMIF($T$317:$T$455,"NSC",L$324:L$473)/L10/1.98)</f>
        <v>742.62672106847594</v>
      </c>
      <c r="M480" s="52"/>
      <c r="N480" s="143">
        <f>N$481+(SUMIF($T$317:$T$455,"FLG",N$324:N$473)/N10/1.98)+(SUMIF($T$317:$T$455,"FCA",N$324:N$473)/N10/1.98)+(SUMIF($T$317:$T$455,"NSC",N$324:N$473)/N10/1.98)</f>
        <v>379.28992230636851</v>
      </c>
      <c r="O480" s="143">
        <f>O$481+(SUMIF($T$317:$T$455,"FLG",O$324:O$473)/O10/1.98)+(SUMIF($T$317:$T$455,"FCA",O$324:O$473)/O10/1.98)+(SUMIF($T$317:$T$455,"NSC",O$324:O$473)/O10/1.98)</f>
        <v>207.63484568325717</v>
      </c>
      <c r="P480" s="143">
        <f>P$481+(SUMIF($T$317:$T$455,"FLG",P$324:P$473)/P10/1.98)+(SUMIF($T$317:$T$455,"FCA",P$324:P$473)/P10/1.98)+(SUMIF($T$317:$T$455,"NSC",P$324:P$473)/P10/1.98)</f>
        <v>250.88171254292968</v>
      </c>
      <c r="Q480" s="52"/>
      <c r="R480" s="52"/>
    </row>
    <row r="481" spans="1:20" ht="15.75" customHeight="1" x14ac:dyDescent="0.3">
      <c r="A481" s="142" t="s">
        <v>475</v>
      </c>
      <c r="B481" s="143">
        <f>B$482+(SUMIF($T$317:$T$455,"FCI",B$324:B$473)/B10/1.98)+(SUMIF($T$317:$T$455,"FCC",B$324:B$473)/B10/1.98)</f>
        <v>437.00414914850512</v>
      </c>
      <c r="C481" s="143">
        <f>C$482+(SUMIF($T$317:$T$455,"FCI",C$324:C$473)/C10/1.98)+(SUMIF($T$317:$T$455,"FCC",C$324:C$473)/C10/1.98)</f>
        <v>537.9687025867056</v>
      </c>
      <c r="D481" s="143">
        <f>D$482+(SUMIF($T$317:$T$455,"FCI",D$324:D$473)/D10/1.98)+(SUMIF($T$317:$T$455,"FCC",D$324:D$473)/D10/1.98)</f>
        <v>872.35470216291048</v>
      </c>
      <c r="E481" s="144"/>
      <c r="F481" s="143">
        <f>F$482+(SUMIF($T$317:$T$455,"FCI",F$324:F$473)/F10/1.98)+(SUMIF($T$317:$T$455,"FCC",F$324:F$473)/F10/1.98)</f>
        <v>1125.7437970221631</v>
      </c>
      <c r="G481" s="143">
        <f>G$482+(SUMIF($T$317:$T$455,"FCI",G$324:G$473)/G10/1.98)+(SUMIF($T$317:$T$455,"FCC",G$324:G$473)/G10/1.98)</f>
        <v>1197.6846942905215</v>
      </c>
      <c r="H481" s="143">
        <f>H$482+(SUMIF($T$317:$T$455,"FCI",H$324:H$473)/H10/1.98)+(SUMIF($T$317:$T$455,"FCC",H$324:H$473)/H10/1.98)</f>
        <v>1529.035208361986</v>
      </c>
      <c r="I481" s="52"/>
      <c r="J481" s="143">
        <f>J$482+(SUMIF($T$317:$T$455,"FCI",J$324:J$473)/J10/1.98)+(SUMIF($T$317:$T$455,"FCC",J$324:J$473)/J10/1.98)</f>
        <v>1458.9716401731432</v>
      </c>
      <c r="K481" s="143">
        <f>K$482+(SUMIF($T$317:$T$455,"FCI",K$324:K$473)/K10/1.98)+(SUMIF($T$317:$T$455,"FCC",K$324:K$473)/K10/1.98)</f>
        <v>1237.3036154330382</v>
      </c>
      <c r="L481" s="143">
        <f>L$482+(SUMIF($T$317:$T$455,"FCI",L$324:L$473)/L10/1.98)+(SUMIF($T$317:$T$455,"FCC",L$324:L$473)/L10/1.98)</f>
        <v>742.62672106847594</v>
      </c>
      <c r="M481" s="52"/>
      <c r="N481" s="143">
        <f>N$482+(SUMIF($T$317:$T$455,"FCI",N$324:N$473)/N10/1.98)+(SUMIF($T$317:$T$455,"FCC",N$324:N$473)/N10/1.98)</f>
        <v>379.28992230636851</v>
      </c>
      <c r="O481" s="143">
        <f>O$482+(SUMIF($T$317:$T$455,"FCI",O$324:O$473)/O10/1.98)+(SUMIF($T$317:$T$455,"FCC",O$324:O$473)/O10/1.98)</f>
        <v>207.63484568325717</v>
      </c>
      <c r="P481" s="143">
        <f>P$482+(SUMIF($T$317:$T$455,"FCI",P$324:P$473)/P10/1.98)+(SUMIF($T$317:$T$455,"FCC",P$324:P$473)/P10/1.98)</f>
        <v>250.88171254292968</v>
      </c>
      <c r="Q481" s="52"/>
      <c r="R481" s="52"/>
    </row>
    <row r="482" spans="1:20" ht="15.75" customHeight="1" x14ac:dyDescent="0.3">
      <c r="A482" s="142" t="s">
        <v>476</v>
      </c>
      <c r="B482" s="143">
        <f>B$483+(SUMIF($T$317:$T$455,"PIL",B$324:B$473)/B10/1.98)+(SUMIF($T$317:$T$455,"KLK",B$324:B$473)/B10/1.98)</f>
        <v>437.00414914850512</v>
      </c>
      <c r="C482" s="143">
        <f>C$483+(SUMIF($T$317:$T$455,"PIL",C$324:C$473)/C10/1.98)+(SUMIF($T$317:$T$455,"KLK",C$324:C$473)/C10/1.98)</f>
        <v>537.9687025867056</v>
      </c>
      <c r="D482" s="143">
        <f>D$483+(SUMIF($T$317:$T$455,"PIL",D$324:D$473)/D10/1.98)+(SUMIF($T$317:$T$455,"KLK",D$324:D$473)/D10/1.98)</f>
        <v>872.35470216291048</v>
      </c>
      <c r="E482" s="144"/>
      <c r="F482" s="143">
        <f>F$483+(SUMIF($T$317:$T$455,"PIL",F$324:F$473)/F10/1.98)+(SUMIF($T$317:$T$455,"KLK",F$324:F$473)/F10/1.98)</f>
        <v>1125.7437970221631</v>
      </c>
      <c r="G482" s="143">
        <f>G$483+(SUMIF($T$317:$T$455,"PIL",G$324:G$473)/G10/1.98)+(SUMIF($T$317:$T$455,"KLK",G$324:G$473)/G10/1.98)</f>
        <v>1197.6846942905215</v>
      </c>
      <c r="H482" s="143">
        <f>H$483+(SUMIF($T$317:$T$455,"PIL",H$324:H$473)/H10/1.98)+(SUMIF($T$317:$T$455,"KLK",H$324:H$473)/H10/1.98)</f>
        <v>1529.035208361986</v>
      </c>
      <c r="I482" s="52"/>
      <c r="J482" s="143">
        <f>J$483+(SUMIF($T$317:$T$455,"PIL",J$324:J$473)/J10/1.98)+(SUMIF($T$317:$T$455,"KLK",J$324:J$473)/J10/1.98)</f>
        <v>1458.9716401731432</v>
      </c>
      <c r="K482" s="143">
        <f>K$483+(SUMIF($T$317:$T$455,"PIL",K$324:K$473)/K10/1.98)+(SUMIF($T$317:$T$455,"KLK",K$324:K$473)/K10/1.98)</f>
        <v>1237.3036154330382</v>
      </c>
      <c r="L482" s="143">
        <f>L$483+(SUMIF($T$317:$T$455,"PIL",L$324:L$473)/L10/1.98)+(SUMIF($T$317:$T$455,"KLK",L$324:L$473)/L10/1.98)</f>
        <v>742.62672106847594</v>
      </c>
      <c r="M482" s="52"/>
      <c r="N482" s="143">
        <f>N$483+(SUMIF($T$317:$T$455,"PIL",N$324:N$473)/N10/1.98)+(SUMIF($T$317:$T$455,"KLK",N$324:N$473)/N10/1.98)</f>
        <v>379.28992230636851</v>
      </c>
      <c r="O482" s="143">
        <f>O$483+(SUMIF($T$317:$T$455,"PIL",O$324:O$473)/O10/1.98)+(SUMIF($T$317:$T$455,"KLK",O$324:O$473)/O10/1.98)</f>
        <v>207.63484568325717</v>
      </c>
      <c r="P482" s="143">
        <f>P$483+(SUMIF($T$317:$T$455,"PIL",P$324:P$473)/P10/1.98)+(SUMIF($T$317:$T$455,"KLK",P$324:P$473)/P10/1.98)</f>
        <v>250.88171254292968</v>
      </c>
      <c r="Q482" s="52"/>
      <c r="R482" s="52"/>
    </row>
    <row r="483" spans="1:20" ht="15.75" customHeight="1" x14ac:dyDescent="0.3">
      <c r="A483" s="142" t="s">
        <v>477</v>
      </c>
      <c r="B483" s="143">
        <f>B$484+(SUMIF($T$317:$T$455,"CGE",B$324:B$473)/B10/1.98)</f>
        <v>436.59685035410956</v>
      </c>
      <c r="C483" s="143">
        <f>C$484+(SUMIF($T$317:$T$455,"CGE",C$324:C$473)/C10/1.98)</f>
        <v>537.51776463576766</v>
      </c>
      <c r="D483" s="143">
        <f>D$484+(SUMIF($T$317:$T$455,"CGE",D$324:D$473)/D10/1.98)</f>
        <v>861.48797032843675</v>
      </c>
      <c r="E483" s="144"/>
      <c r="F483" s="143">
        <f>F$484+(SUMIF($T$317:$T$455,"CGE",F$324:F$473)/F10/1.98)</f>
        <v>1125.7437970221631</v>
      </c>
      <c r="G483" s="143">
        <f>G$484+(SUMIF($T$317:$T$455,"CGE",G$324:G$473)/G10/1.98)</f>
        <v>1196.8700967017303</v>
      </c>
      <c r="H483" s="143">
        <f>H$484+(SUMIF($T$317:$T$455,"CGE",H$324:H$473)/H10/1.98)</f>
        <v>1528.1092824360601</v>
      </c>
      <c r="I483" s="52"/>
      <c r="J483" s="143">
        <f>J$484+(SUMIF($T$317:$T$455,"CGE",J$324:J$473)/J10/1.98)</f>
        <v>1458.075582825473</v>
      </c>
      <c r="K483" s="143">
        <f>K$484+(SUMIF($T$317:$T$455,"CGE",K$324:K$473)/K10/1.98)</f>
        <v>1236.2446385676096</v>
      </c>
      <c r="L483" s="143">
        <f>L$484+(SUMIF($T$317:$T$455,"CGE",L$324:L$473)/L10/1.98)</f>
        <v>741.53244497419985</v>
      </c>
      <c r="M483" s="52"/>
      <c r="N483" s="143">
        <f>N$484+(SUMIF($T$317:$T$455,"CGE",N$324:N$473)/N10/1.98)</f>
        <v>378.47532471757739</v>
      </c>
      <c r="O483" s="143">
        <f>O$484+(SUMIF($T$317:$T$455,"CGE",O$324:O$473)/O10/1.98)</f>
        <v>206.79309484150633</v>
      </c>
      <c r="P483" s="143">
        <f>P$484+(SUMIF($T$317:$T$455,"CGE",P$324:P$473)/P10/1.98)</f>
        <v>250.23003447189677</v>
      </c>
      <c r="Q483" s="52"/>
      <c r="R483" s="52"/>
    </row>
    <row r="484" spans="1:20" ht="15.75" customHeight="1" x14ac:dyDescent="0.3">
      <c r="A484" s="142" t="s">
        <v>478</v>
      </c>
      <c r="B484" s="143">
        <f>B$485+(SUMIF($T$317:$T$455,"SRO",B$324:B$473)/B10/1.98)</f>
        <v>436.59685035410956</v>
      </c>
      <c r="C484" s="143">
        <f>C$485+(SUMIF($T$317:$T$455,"SRO",C$324:C$473)/C10/1.98)</f>
        <v>537.51776463576766</v>
      </c>
      <c r="D484" s="143">
        <f>D$485+(SUMIF($T$317:$T$455,"SRO",D$324:D$473)/D10/1.98)</f>
        <v>828.9040667767913</v>
      </c>
      <c r="E484" s="144"/>
      <c r="F484" s="143">
        <f>F$485+(SUMIF($T$317:$T$455,"SRO",F$324:F$473)/F10/1.98)</f>
        <v>1092.0737633521294</v>
      </c>
      <c r="G484" s="143">
        <f>G$485+(SUMIF($T$317:$T$455,"SRO",G$324:G$473)/G10/1.98)</f>
        <v>1156.1402172621733</v>
      </c>
      <c r="H484" s="143">
        <f>H$485+(SUMIF($T$317:$T$455,"SRO",H$324:H$473)/H10/1.98)</f>
        <v>1486.0217403485181</v>
      </c>
      <c r="I484" s="52"/>
      <c r="J484" s="143">
        <f>J$485+(SUMIF($T$317:$T$455,"SRO",J$324:J$473)/J10/1.98)</f>
        <v>1425.4916792738275</v>
      </c>
      <c r="K484" s="143">
        <f>K$485+(SUMIF($T$317:$T$455,"SRO",K$324:K$473)/K10/1.98)</f>
        <v>1203.6607350159641</v>
      </c>
      <c r="L484" s="143">
        <f>L$485+(SUMIF($T$317:$T$455,"SRO",L$324:L$473)/L10/1.98)</f>
        <v>716.27991972167456</v>
      </c>
      <c r="M484" s="52"/>
      <c r="N484" s="143">
        <f>N$485+(SUMIF($T$317:$T$455,"SRO",N$324:N$473)/N10/1.98)</f>
        <v>378.47532471757739</v>
      </c>
      <c r="O484" s="143">
        <f>O$485+(SUMIF($T$317:$T$455,"SRO",O$324:O$473)/O10/1.98)</f>
        <v>206.79309484150633</v>
      </c>
      <c r="P484" s="143">
        <f>P$485+(SUMIF($T$317:$T$455,"SRO",P$324:P$473)/P10/1.98)</f>
        <v>250.23003447189677</v>
      </c>
      <c r="Q484" s="52"/>
      <c r="R484" s="52"/>
    </row>
    <row r="485" spans="1:20" ht="15.75" customHeight="1" x14ac:dyDescent="0.3">
      <c r="A485" s="142" t="s">
        <v>479</v>
      </c>
      <c r="B485" s="143">
        <f>B$528/B10/1.983</f>
        <v>329.9497340295739</v>
      </c>
      <c r="C485" s="143">
        <f>C$528/C10/1.983</f>
        <v>381.1324832504863</v>
      </c>
      <c r="D485" s="143">
        <f>D$528/D10/1.983</f>
        <v>493.20840043596371</v>
      </c>
      <c r="E485" s="98"/>
      <c r="F485" s="143">
        <f>F$528/F10/1.983</f>
        <v>653.53840981677592</v>
      </c>
      <c r="G485" s="143">
        <f>G$528/G10/1.983</f>
        <v>624.87596180436947</v>
      </c>
      <c r="H485" s="143">
        <f>H$528/H10/1.983</f>
        <v>870.09581442259207</v>
      </c>
      <c r="I485" s="1"/>
      <c r="J485" s="143">
        <f>J$528/J10/1.983</f>
        <v>917.42716314479526</v>
      </c>
      <c r="K485" s="143">
        <f>K$528/K10/1.983</f>
        <v>766.71058838839815</v>
      </c>
      <c r="L485" s="143">
        <f>L$528/L10/1.983</f>
        <v>477.47520591696082</v>
      </c>
      <c r="N485" s="143">
        <f>N$528/N10/1.983</f>
        <v>227.79106274299284</v>
      </c>
      <c r="O485" s="143">
        <f>O$528/O10/1.983</f>
        <v>94.335182383593875</v>
      </c>
      <c r="P485" s="143">
        <f>P$528/P10/1.983</f>
        <v>106.24176467717534</v>
      </c>
      <c r="R485" s="52"/>
    </row>
    <row r="486" spans="1:20" ht="15.75" customHeight="1" x14ac:dyDescent="0.3">
      <c r="A486" s="142"/>
      <c r="B486" s="143"/>
      <c r="C486" s="143"/>
      <c r="D486" s="143"/>
      <c r="E486" s="98"/>
      <c r="F486" s="143"/>
      <c r="G486" s="143"/>
      <c r="H486" s="143"/>
      <c r="I486" s="1"/>
      <c r="J486" s="143"/>
      <c r="K486" s="143"/>
      <c r="L486" s="143"/>
      <c r="N486" s="143"/>
      <c r="O486" s="143"/>
      <c r="P486" s="143"/>
      <c r="R486" s="52"/>
    </row>
    <row r="487" spans="1:20" ht="15.75" customHeight="1" thickBot="1" x14ac:dyDescent="0.35">
      <c r="A487" s="30"/>
      <c r="B487" s="1"/>
      <c r="C487" s="1"/>
      <c r="D487" s="1"/>
      <c r="E487" s="1"/>
      <c r="F487" s="1"/>
      <c r="G487" s="1"/>
      <c r="H487" s="1"/>
      <c r="I487" s="1"/>
      <c r="J487" s="1"/>
      <c r="K487" s="1"/>
      <c r="L487" s="1"/>
      <c r="M487" s="1"/>
      <c r="N487" s="1"/>
      <c r="O487" s="1"/>
      <c r="P487" s="1"/>
      <c r="Q487" s="1"/>
      <c r="R487" s="28"/>
    </row>
    <row r="488" spans="1:20" ht="16.5" customHeight="1" thickBot="1" x14ac:dyDescent="0.35">
      <c r="A488" s="31" t="s">
        <v>480</v>
      </c>
      <c r="B488" s="32" t="s">
        <v>36</v>
      </c>
      <c r="C488" s="33" t="s">
        <v>9</v>
      </c>
      <c r="D488" s="33" t="s">
        <v>10</v>
      </c>
      <c r="E488" s="12" t="s">
        <v>11</v>
      </c>
      <c r="F488" s="33" t="s">
        <v>12</v>
      </c>
      <c r="G488" s="33" t="s">
        <v>13</v>
      </c>
      <c r="H488" s="33" t="s">
        <v>14</v>
      </c>
      <c r="I488" s="34" t="s">
        <v>15</v>
      </c>
      <c r="J488" s="33" t="s">
        <v>16</v>
      </c>
      <c r="K488" s="33" t="s">
        <v>17</v>
      </c>
      <c r="L488" s="33" t="s">
        <v>18</v>
      </c>
      <c r="M488" s="34" t="s">
        <v>19</v>
      </c>
      <c r="N488" s="33" t="s">
        <v>20</v>
      </c>
      <c r="O488" s="33" t="s">
        <v>21</v>
      </c>
      <c r="P488" s="33" t="s">
        <v>22</v>
      </c>
      <c r="Q488" s="34" t="s">
        <v>23</v>
      </c>
      <c r="R488" s="35" t="s">
        <v>24</v>
      </c>
    </row>
    <row r="489" spans="1:20" ht="16.5" customHeight="1" thickBot="1" x14ac:dyDescent="0.35">
      <c r="A489" s="64"/>
      <c r="B489" s="81"/>
      <c r="C489" s="81"/>
      <c r="D489" s="81"/>
      <c r="E489" s="72"/>
      <c r="F489" s="81"/>
      <c r="G489" s="81"/>
      <c r="H489" s="81"/>
      <c r="I489" s="89"/>
      <c r="J489" s="81"/>
      <c r="K489" s="81"/>
      <c r="L489" s="81"/>
      <c r="M489" s="89"/>
      <c r="N489" s="81"/>
      <c r="O489" s="81"/>
      <c r="P489" s="81"/>
      <c r="Q489" s="89"/>
      <c r="R489" s="117"/>
    </row>
    <row r="490" spans="1:20" ht="15.75" customHeight="1" x14ac:dyDescent="0.3">
      <c r="A490" s="17" t="s">
        <v>45</v>
      </c>
      <c r="B490" s="1" t="s">
        <v>7</v>
      </c>
      <c r="C490" s="1" t="s">
        <v>7</v>
      </c>
      <c r="D490" s="1" t="s">
        <v>7</v>
      </c>
      <c r="E490" s="59" t="s">
        <v>7</v>
      </c>
      <c r="F490" s="1"/>
      <c r="G490" s="1"/>
      <c r="H490" s="1"/>
      <c r="I490" s="59" t="s">
        <v>7</v>
      </c>
      <c r="J490" s="1" t="s">
        <v>7</v>
      </c>
      <c r="K490" s="1" t="s">
        <v>7</v>
      </c>
      <c r="L490" s="1" t="s">
        <v>7</v>
      </c>
      <c r="M490" s="59" t="s">
        <v>7</v>
      </c>
      <c r="N490" s="1" t="s">
        <v>7</v>
      </c>
      <c r="O490" s="1" t="s">
        <v>7</v>
      </c>
      <c r="P490" s="1" t="s">
        <v>7</v>
      </c>
      <c r="Q490" s="59" t="s">
        <v>7</v>
      </c>
      <c r="R490" s="59" t="s">
        <v>7</v>
      </c>
    </row>
    <row r="491" spans="1:20" ht="15.75" customHeight="1" x14ac:dyDescent="0.3">
      <c r="A491" s="17" t="s">
        <v>46</v>
      </c>
      <c r="B491" s="1"/>
      <c r="C491" s="1"/>
      <c r="D491" s="1"/>
      <c r="E491" s="59" t="s">
        <v>7</v>
      </c>
      <c r="F491" s="1"/>
      <c r="G491" s="1"/>
      <c r="H491" s="1"/>
      <c r="I491" s="59" t="s">
        <v>7</v>
      </c>
      <c r="J491" s="1"/>
      <c r="K491" s="1"/>
      <c r="L491" s="1"/>
      <c r="M491" s="59" t="s">
        <v>7</v>
      </c>
      <c r="N491" s="1"/>
      <c r="O491" s="1"/>
      <c r="P491" s="1"/>
      <c r="Q491" s="59" t="s">
        <v>7</v>
      </c>
      <c r="R491" s="59" t="s">
        <v>7</v>
      </c>
    </row>
    <row r="492" spans="1:20" ht="15.75" customHeight="1" x14ac:dyDescent="0.3">
      <c r="A492" s="74" t="s">
        <v>481</v>
      </c>
      <c r="B492" s="1"/>
      <c r="C492" s="1"/>
      <c r="D492" s="1"/>
      <c r="E492" s="59">
        <f t="shared" ref="E492:E496" si="197">SUM(B492:D492)</f>
        <v>0</v>
      </c>
      <c r="F492" s="1">
        <v>6</v>
      </c>
      <c r="G492" s="1">
        <v>6</v>
      </c>
      <c r="H492" s="1">
        <v>12</v>
      </c>
      <c r="I492" s="59">
        <f t="shared" ref="I492:I496" si="198">SUM(F492:H492)</f>
        <v>24</v>
      </c>
      <c r="J492" s="1">
        <v>12</v>
      </c>
      <c r="K492" s="1">
        <v>12</v>
      </c>
      <c r="L492" s="1">
        <v>6</v>
      </c>
      <c r="M492" s="59">
        <f t="shared" ref="M492:M496" si="199">SUM(J492:L492)</f>
        <v>30</v>
      </c>
      <c r="N492" s="1">
        <v>4</v>
      </c>
      <c r="O492" s="1">
        <v>1</v>
      </c>
      <c r="P492" s="1">
        <v>1</v>
      </c>
      <c r="Q492" s="59">
        <f t="shared" ref="Q492:Q496" si="200">SUM(N492:P492)</f>
        <v>6</v>
      </c>
      <c r="R492" s="59">
        <f t="shared" ref="R492:R496" si="201">+E492+I492+M492+Q492</f>
        <v>60</v>
      </c>
      <c r="T492" s="4" t="s">
        <v>366</v>
      </c>
    </row>
    <row r="493" spans="1:20" ht="15.75" customHeight="1" x14ac:dyDescent="0.3">
      <c r="A493" s="74" t="s">
        <v>482</v>
      </c>
      <c r="B493" s="1"/>
      <c r="C493" s="1"/>
      <c r="D493" s="1"/>
      <c r="E493" s="59">
        <f t="shared" si="197"/>
        <v>0</v>
      </c>
      <c r="F493" s="1"/>
      <c r="G493" s="1"/>
      <c r="H493" s="1"/>
      <c r="I493" s="59">
        <f t="shared" si="198"/>
        <v>0</v>
      </c>
      <c r="J493" s="1"/>
      <c r="K493" s="1"/>
      <c r="L493" s="1"/>
      <c r="M493" s="59">
        <f t="shared" si="199"/>
        <v>0</v>
      </c>
      <c r="N493" s="1"/>
      <c r="O493" s="1"/>
      <c r="P493" s="1"/>
      <c r="Q493" s="59">
        <f t="shared" si="200"/>
        <v>0</v>
      </c>
      <c r="R493" s="59">
        <f t="shared" si="201"/>
        <v>0</v>
      </c>
      <c r="T493" s="4" t="s">
        <v>366</v>
      </c>
    </row>
    <row r="494" spans="1:20" ht="15.75" customHeight="1" x14ac:dyDescent="0.3">
      <c r="A494" s="74" t="s">
        <v>871</v>
      </c>
      <c r="B494" s="1"/>
      <c r="C494" s="1"/>
      <c r="D494" s="1"/>
      <c r="E494" s="59">
        <f t="shared" si="197"/>
        <v>0</v>
      </c>
      <c r="F494" s="1"/>
      <c r="G494" s="1"/>
      <c r="H494" s="1"/>
      <c r="I494" s="59">
        <f t="shared" si="198"/>
        <v>0</v>
      </c>
      <c r="J494" s="1">
        <v>1073</v>
      </c>
      <c r="K494" s="1"/>
      <c r="L494" s="1"/>
      <c r="M494" s="59">
        <f t="shared" si="199"/>
        <v>1073</v>
      </c>
      <c r="N494" s="1"/>
      <c r="O494" s="1"/>
      <c r="P494" s="1"/>
      <c r="Q494" s="59">
        <f t="shared" si="200"/>
        <v>0</v>
      </c>
      <c r="R494" s="59">
        <f t="shared" si="201"/>
        <v>1073</v>
      </c>
    </row>
    <row r="495" spans="1:20" ht="15.75" customHeight="1" x14ac:dyDescent="0.3">
      <c r="A495" s="74" t="s">
        <v>484</v>
      </c>
      <c r="C495" s="1"/>
      <c r="D495" s="1"/>
      <c r="E495" s="59">
        <f t="shared" si="197"/>
        <v>0</v>
      </c>
      <c r="F495" s="1"/>
      <c r="G495" s="1">
        <v>2300</v>
      </c>
      <c r="H495" s="1"/>
      <c r="I495" s="59">
        <f t="shared" si="198"/>
        <v>2300</v>
      </c>
      <c r="J495" s="1"/>
      <c r="K495" s="1"/>
      <c r="L495" s="1"/>
      <c r="M495" s="59">
        <f t="shared" si="199"/>
        <v>0</v>
      </c>
      <c r="N495" s="1"/>
      <c r="O495" s="1"/>
      <c r="P495" s="1"/>
      <c r="Q495" s="59">
        <f t="shared" si="200"/>
        <v>0</v>
      </c>
      <c r="R495" s="59">
        <f t="shared" si="201"/>
        <v>2300</v>
      </c>
      <c r="T495" s="4" t="s">
        <v>366</v>
      </c>
    </row>
    <row r="496" spans="1:20" ht="15.75" customHeight="1" x14ac:dyDescent="0.3">
      <c r="A496" s="76" t="s">
        <v>485</v>
      </c>
      <c r="B496" s="1"/>
      <c r="C496" s="1"/>
      <c r="D496" s="1"/>
      <c r="E496" s="59">
        <f t="shared" si="197"/>
        <v>0</v>
      </c>
      <c r="F496" s="1"/>
      <c r="G496" s="1"/>
      <c r="H496" s="1"/>
      <c r="I496" s="59">
        <f t="shared" si="198"/>
        <v>0</v>
      </c>
      <c r="J496" s="1"/>
      <c r="K496" s="1"/>
      <c r="L496" s="1"/>
      <c r="M496" s="59">
        <f t="shared" si="199"/>
        <v>0</v>
      </c>
      <c r="N496" s="1"/>
      <c r="O496" s="1"/>
      <c r="P496" s="1"/>
      <c r="Q496" s="59">
        <f t="shared" si="200"/>
        <v>0</v>
      </c>
      <c r="R496" s="59">
        <f t="shared" si="201"/>
        <v>0</v>
      </c>
      <c r="T496" s="4" t="s">
        <v>366</v>
      </c>
    </row>
    <row r="497" spans="1:20" ht="15.75" customHeight="1" x14ac:dyDescent="0.3">
      <c r="A497" s="17" t="s">
        <v>47</v>
      </c>
      <c r="B497" s="1"/>
      <c r="C497" s="1"/>
      <c r="D497" s="1"/>
      <c r="E497" s="59" t="s">
        <v>7</v>
      </c>
      <c r="F497" s="1"/>
      <c r="G497" s="1"/>
      <c r="H497" s="1"/>
      <c r="I497" s="59" t="s">
        <v>7</v>
      </c>
      <c r="J497" s="1"/>
      <c r="K497" s="1"/>
      <c r="L497" s="1"/>
      <c r="M497" s="59" t="s">
        <v>7</v>
      </c>
      <c r="N497" s="1"/>
      <c r="O497" s="1"/>
      <c r="P497" s="1"/>
      <c r="Q497" s="59" t="s">
        <v>7</v>
      </c>
      <c r="R497" s="59" t="s">
        <v>7</v>
      </c>
    </row>
    <row r="498" spans="1:20" ht="15.75" customHeight="1" x14ac:dyDescent="0.3">
      <c r="A498" s="74" t="s">
        <v>486</v>
      </c>
      <c r="B498" s="1"/>
      <c r="C498" s="1"/>
      <c r="D498" s="1"/>
      <c r="E498" s="59">
        <f>SUM(B498:D498)</f>
        <v>0</v>
      </c>
      <c r="F498" s="1"/>
      <c r="G498" s="1"/>
      <c r="H498" s="1"/>
      <c r="I498" s="59">
        <f>SUM(F498:H498)</f>
        <v>0</v>
      </c>
      <c r="J498" s="1"/>
      <c r="K498" s="1"/>
      <c r="L498" s="1"/>
      <c r="M498" s="59">
        <f>SUM(J498:L498)</f>
        <v>0</v>
      </c>
      <c r="N498" s="1"/>
      <c r="O498" s="1"/>
      <c r="P498" s="1"/>
      <c r="Q498" s="59">
        <f>SUM(N498:P498)</f>
        <v>0</v>
      </c>
      <c r="R498" s="59">
        <f>+E498+I498+M498+Q498</f>
        <v>0</v>
      </c>
    </row>
    <row r="499" spans="1:20" ht="15.75" customHeight="1" x14ac:dyDescent="0.3">
      <c r="A499" s="74" t="s">
        <v>487</v>
      </c>
      <c r="B499" s="1"/>
      <c r="C499" s="1"/>
      <c r="D499" s="1"/>
      <c r="E499" s="59">
        <f>SUM(B499:D499)</f>
        <v>0</v>
      </c>
      <c r="F499" s="1"/>
      <c r="G499" s="1"/>
      <c r="H499" s="1"/>
      <c r="I499" s="59">
        <f>SUM(F499:H499)</f>
        <v>0</v>
      </c>
      <c r="J499" s="1"/>
      <c r="K499" s="1"/>
      <c r="L499" s="1"/>
      <c r="M499" s="59">
        <f>SUM(J499:L499)</f>
        <v>0</v>
      </c>
      <c r="N499" s="1"/>
      <c r="O499" s="1"/>
      <c r="P499" s="1"/>
      <c r="Q499" s="59">
        <f>SUM(N499:P499)</f>
        <v>0</v>
      </c>
      <c r="R499" s="59">
        <f>+E499+I499+M499+Q499</f>
        <v>0</v>
      </c>
    </row>
    <row r="500" spans="1:20" ht="15.75" customHeight="1" x14ac:dyDescent="0.3">
      <c r="A500" s="17" t="s">
        <v>49</v>
      </c>
      <c r="B500" s="1"/>
      <c r="C500" s="1"/>
      <c r="D500" s="1"/>
      <c r="E500" s="59" t="s">
        <v>7</v>
      </c>
      <c r="F500" s="1"/>
      <c r="G500" s="1"/>
      <c r="H500" s="1"/>
      <c r="I500" s="59" t="s">
        <v>7</v>
      </c>
      <c r="J500" s="1"/>
      <c r="K500" s="1"/>
      <c r="L500" s="1"/>
      <c r="M500" s="59" t="s">
        <v>7</v>
      </c>
      <c r="N500" s="1"/>
      <c r="O500" s="1"/>
      <c r="P500" s="1"/>
      <c r="Q500" s="59" t="s">
        <v>7</v>
      </c>
      <c r="R500" s="59" t="s">
        <v>7</v>
      </c>
    </row>
    <row r="501" spans="1:20" ht="15.75" customHeight="1" thickBot="1" x14ac:dyDescent="0.35">
      <c r="A501" s="17" t="s">
        <v>51</v>
      </c>
      <c r="B501" s="1"/>
      <c r="C501" s="1"/>
      <c r="D501" s="1"/>
      <c r="E501" s="59" t="s">
        <v>7</v>
      </c>
      <c r="F501" s="1"/>
      <c r="G501" s="1"/>
      <c r="H501" s="1"/>
      <c r="I501" s="59" t="s">
        <v>7</v>
      </c>
      <c r="J501" s="1"/>
      <c r="K501" s="1"/>
      <c r="L501" s="1"/>
      <c r="M501" s="59" t="s">
        <v>7</v>
      </c>
      <c r="N501" s="1"/>
      <c r="O501" s="1"/>
      <c r="P501" s="1"/>
      <c r="Q501" s="59" t="s">
        <v>7</v>
      </c>
      <c r="R501" s="59" t="s">
        <v>7</v>
      </c>
    </row>
    <row r="502" spans="1:20" ht="16.5" customHeight="1" thickBot="1" x14ac:dyDescent="0.35">
      <c r="A502" s="126" t="s">
        <v>52</v>
      </c>
      <c r="B502" s="100">
        <f>SUM(B490:B501)</f>
        <v>0</v>
      </c>
      <c r="C502" s="101">
        <f>SUM(C490:C501)</f>
        <v>0</v>
      </c>
      <c r="D502" s="101">
        <f>SUM(D490:D501)</f>
        <v>0</v>
      </c>
      <c r="E502" s="64">
        <f>SUM(B502:D502)</f>
        <v>0</v>
      </c>
      <c r="F502" s="101">
        <f>SUM(F490:F501)</f>
        <v>6</v>
      </c>
      <c r="G502" s="101">
        <f>SUM(G490:G501)</f>
        <v>2306</v>
      </c>
      <c r="H502" s="101">
        <f>SUM(H490:H501)</f>
        <v>12</v>
      </c>
      <c r="I502" s="64">
        <f>SUM(F502:H502)</f>
        <v>2324</v>
      </c>
      <c r="J502" s="101">
        <f>SUM(J490:J501)</f>
        <v>1085</v>
      </c>
      <c r="K502" s="101">
        <f>SUM(K490:K501)</f>
        <v>12</v>
      </c>
      <c r="L502" s="101">
        <f>SUM(L490:L501)</f>
        <v>6</v>
      </c>
      <c r="M502" s="64">
        <f>SUM(J502:L502)</f>
        <v>1103</v>
      </c>
      <c r="N502" s="101">
        <f>SUM(N490:N501)</f>
        <v>4</v>
      </c>
      <c r="O502" s="101">
        <f>SUM(O490:O501)</f>
        <v>1</v>
      </c>
      <c r="P502" s="101">
        <f>SUM(P490:P501)</f>
        <v>1</v>
      </c>
      <c r="Q502" s="64">
        <f>SUM(N502:P502)</f>
        <v>6</v>
      </c>
      <c r="R502" s="64">
        <f>+E502+I502+M502+Q502</f>
        <v>3433</v>
      </c>
    </row>
    <row r="503" spans="1:20" ht="15.75" customHeight="1" x14ac:dyDescent="0.3">
      <c r="A503" s="17" t="s">
        <v>53</v>
      </c>
      <c r="B503" s="1"/>
      <c r="C503" s="1"/>
      <c r="D503" s="1"/>
      <c r="E503" s="59" t="s">
        <v>7</v>
      </c>
      <c r="F503" s="1"/>
      <c r="G503" s="1"/>
      <c r="H503" s="1"/>
      <c r="I503" s="59" t="s">
        <v>7</v>
      </c>
      <c r="J503" s="1"/>
      <c r="K503" s="1"/>
      <c r="L503" s="1"/>
      <c r="M503" s="59" t="s">
        <v>7</v>
      </c>
      <c r="N503" s="1" t="s">
        <v>7</v>
      </c>
      <c r="O503" s="1"/>
      <c r="P503" s="1"/>
      <c r="Q503" s="59" t="s">
        <v>7</v>
      </c>
      <c r="R503" s="59" t="s">
        <v>7</v>
      </c>
    </row>
    <row r="504" spans="1:20" ht="15.75" customHeight="1" x14ac:dyDescent="0.3">
      <c r="A504" s="17" t="s">
        <v>55</v>
      </c>
      <c r="B504" s="1"/>
      <c r="C504" s="1"/>
      <c r="D504" s="1"/>
      <c r="E504" s="59" t="s">
        <v>7</v>
      </c>
      <c r="F504" s="1"/>
      <c r="G504" s="1"/>
      <c r="H504" s="1"/>
      <c r="I504" s="59" t="s">
        <v>7</v>
      </c>
      <c r="J504" s="1"/>
      <c r="K504" s="1"/>
      <c r="L504" s="1"/>
      <c r="M504" s="59" t="s">
        <v>7</v>
      </c>
      <c r="N504" s="1"/>
      <c r="O504" s="1"/>
      <c r="P504" s="1"/>
      <c r="Q504" s="59" t="s">
        <v>7</v>
      </c>
      <c r="R504" s="59" t="s">
        <v>7</v>
      </c>
    </row>
    <row r="505" spans="1:20" ht="15.75" customHeight="1" x14ac:dyDescent="0.3">
      <c r="A505" s="74" t="s">
        <v>488</v>
      </c>
      <c r="B505" s="1">
        <v>275</v>
      </c>
      <c r="C505" s="1">
        <v>355</v>
      </c>
      <c r="D505" s="1">
        <v>4720</v>
      </c>
      <c r="E505" s="59">
        <f>SUM(B505:D505)</f>
        <v>5350</v>
      </c>
      <c r="F505" s="1">
        <v>5800</v>
      </c>
      <c r="G505" s="1">
        <v>2307</v>
      </c>
      <c r="H505" s="1">
        <v>8800</v>
      </c>
      <c r="I505" s="59">
        <f>SUM(F505:H505)</f>
        <v>16907</v>
      </c>
      <c r="J505" s="1">
        <v>10831</v>
      </c>
      <c r="K505" s="1">
        <v>8566</v>
      </c>
      <c r="L505" s="1">
        <v>1920</v>
      </c>
      <c r="M505" s="59">
        <f>SUM(J505:L505)</f>
        <v>21317</v>
      </c>
      <c r="N505" s="1">
        <v>807</v>
      </c>
      <c r="O505" s="1">
        <v>425</v>
      </c>
      <c r="P505" s="1">
        <v>425</v>
      </c>
      <c r="Q505" s="59">
        <f>SUM(N505:P505)</f>
        <v>1657</v>
      </c>
      <c r="R505" s="59">
        <f>+E505+I505+M505+Q505</f>
        <v>45231</v>
      </c>
    </row>
    <row r="506" spans="1:20" ht="15.75" customHeight="1" thickBot="1" x14ac:dyDescent="0.35">
      <c r="A506" s="17" t="s">
        <v>56</v>
      </c>
      <c r="B506" s="1"/>
      <c r="C506" s="1"/>
      <c r="D506" s="1"/>
      <c r="E506" s="59" t="s">
        <v>7</v>
      </c>
      <c r="F506" s="1"/>
      <c r="G506" s="1"/>
      <c r="H506" s="1"/>
      <c r="I506" s="59" t="s">
        <v>7</v>
      </c>
      <c r="J506" s="1"/>
      <c r="K506" s="1"/>
      <c r="L506" s="1"/>
      <c r="M506" s="59" t="s">
        <v>7</v>
      </c>
      <c r="N506" s="1"/>
      <c r="O506" s="1"/>
      <c r="P506" s="1"/>
      <c r="Q506" s="59" t="s">
        <v>7</v>
      </c>
      <c r="R506" s="59" t="s">
        <v>7</v>
      </c>
    </row>
    <row r="507" spans="1:20" ht="16.5" customHeight="1" thickBot="1" x14ac:dyDescent="0.35">
      <c r="A507" s="62" t="s">
        <v>57</v>
      </c>
      <c r="B507" s="100">
        <f>SUM(B503:B506)</f>
        <v>275</v>
      </c>
      <c r="C507" s="101">
        <f>SUM(C503:C506)</f>
        <v>355</v>
      </c>
      <c r="D507" s="101">
        <f>SUM(D503:D506)</f>
        <v>4720</v>
      </c>
      <c r="E507" s="64">
        <f>SUM(B507:D507)</f>
        <v>5350</v>
      </c>
      <c r="F507" s="101">
        <f>SUM(F503:F506)</f>
        <v>5800</v>
      </c>
      <c r="G507" s="101">
        <f>SUM(G503:G506)</f>
        <v>2307</v>
      </c>
      <c r="H507" s="101">
        <f>SUM(H503:H506)</f>
        <v>8800</v>
      </c>
      <c r="I507" s="64">
        <f>SUM(F507:H507)</f>
        <v>16907</v>
      </c>
      <c r="J507" s="101">
        <f>SUM(J503:J506)</f>
        <v>10831</v>
      </c>
      <c r="K507" s="101">
        <f>SUM(K503:K506)</f>
        <v>8566</v>
      </c>
      <c r="L507" s="101">
        <f>SUM(L503:L506)</f>
        <v>1920</v>
      </c>
      <c r="M507" s="64">
        <f>SUM(J507:L507)</f>
        <v>21317</v>
      </c>
      <c r="N507" s="101">
        <f>SUM(N503:N506)</f>
        <v>807</v>
      </c>
      <c r="O507" s="101">
        <f>SUM(O503:O506)</f>
        <v>425</v>
      </c>
      <c r="P507" s="101">
        <f>SUM(P503:P506)</f>
        <v>425</v>
      </c>
      <c r="Q507" s="64">
        <f>SUM(N507:P507)</f>
        <v>1657</v>
      </c>
      <c r="R507" s="64">
        <f>+E507+I507+M507+Q507</f>
        <v>45231</v>
      </c>
    </row>
    <row r="508" spans="1:20" ht="15.75" customHeight="1" x14ac:dyDescent="0.3">
      <c r="A508" s="17" t="s">
        <v>58</v>
      </c>
      <c r="B508" s="1"/>
      <c r="C508" s="1"/>
      <c r="D508" s="1"/>
      <c r="E508" s="59" t="s">
        <v>7</v>
      </c>
      <c r="F508" s="1"/>
      <c r="G508" s="1"/>
      <c r="H508" s="1"/>
      <c r="I508" s="59" t="s">
        <v>7</v>
      </c>
      <c r="J508" s="1"/>
      <c r="K508" s="1"/>
      <c r="L508" s="1"/>
      <c r="M508" s="59" t="s">
        <v>7</v>
      </c>
      <c r="N508" s="1"/>
      <c r="O508" s="1"/>
      <c r="P508" s="1"/>
      <c r="Q508" s="59" t="s">
        <v>7</v>
      </c>
      <c r="R508" s="59" t="s">
        <v>7</v>
      </c>
    </row>
    <row r="509" spans="1:20" ht="15.75" customHeight="1" x14ac:dyDescent="0.3">
      <c r="A509" s="17" t="s">
        <v>59</v>
      </c>
      <c r="B509" s="1"/>
      <c r="C509" s="1"/>
      <c r="D509" s="1"/>
      <c r="E509" s="59" t="s">
        <v>7</v>
      </c>
      <c r="F509" s="1"/>
      <c r="G509" s="1"/>
      <c r="H509" s="1"/>
      <c r="I509" s="59" t="s">
        <v>7</v>
      </c>
      <c r="J509" s="1"/>
      <c r="K509" s="1"/>
      <c r="L509" s="1"/>
      <c r="M509" s="59" t="s">
        <v>7</v>
      </c>
      <c r="N509" s="1"/>
      <c r="O509" s="1"/>
      <c r="P509" s="1"/>
      <c r="Q509" s="59" t="s">
        <v>7</v>
      </c>
      <c r="R509" s="59" t="s">
        <v>7</v>
      </c>
    </row>
    <row r="510" spans="1:20" ht="15.75" customHeight="1" x14ac:dyDescent="0.3">
      <c r="A510" s="17" t="s">
        <v>60</v>
      </c>
      <c r="B510" s="1"/>
      <c r="C510" s="1"/>
      <c r="D510" s="1"/>
      <c r="E510" s="59" t="s">
        <v>7</v>
      </c>
      <c r="F510" s="1"/>
      <c r="G510" s="1"/>
      <c r="H510" s="1"/>
      <c r="I510" s="59" t="s">
        <v>7</v>
      </c>
      <c r="J510" s="1"/>
      <c r="K510" s="1"/>
      <c r="L510" s="1"/>
      <c r="M510" s="59" t="s">
        <v>7</v>
      </c>
      <c r="N510" s="1"/>
      <c r="O510" s="1"/>
      <c r="P510" s="1"/>
      <c r="Q510" s="59" t="s">
        <v>7</v>
      </c>
      <c r="R510" s="59" t="s">
        <v>7</v>
      </c>
    </row>
    <row r="511" spans="1:20" ht="15.75" customHeight="1" x14ac:dyDescent="0.3">
      <c r="A511" s="74" t="s">
        <v>894</v>
      </c>
      <c r="B511" s="1"/>
      <c r="C511" s="1"/>
      <c r="D511" s="1"/>
      <c r="E511" s="59">
        <f>SUM(B511:D511)</f>
        <v>0</v>
      </c>
      <c r="F511" s="1"/>
      <c r="G511" s="1"/>
      <c r="H511" s="1">
        <v>4000</v>
      </c>
      <c r="I511" s="59">
        <f>SUM(F511:H511)</f>
        <v>4000</v>
      </c>
      <c r="J511" s="1">
        <v>4505</v>
      </c>
      <c r="K511" s="1"/>
      <c r="L511" s="1"/>
      <c r="M511" s="59">
        <f>SUM(J511:L511)</f>
        <v>4505</v>
      </c>
      <c r="N511" s="1"/>
      <c r="O511" s="1"/>
      <c r="P511" s="1"/>
      <c r="Q511" s="59">
        <f>SUM(N511:P511)</f>
        <v>0</v>
      </c>
      <c r="R511" s="59">
        <f>+E511+I511+M511+Q511</f>
        <v>8505</v>
      </c>
      <c r="T511" s="4" t="s">
        <v>366</v>
      </c>
    </row>
    <row r="512" spans="1:20" ht="15.75" customHeight="1" thickBot="1" x14ac:dyDescent="0.35">
      <c r="A512" s="103" t="s">
        <v>856</v>
      </c>
      <c r="B512" s="1"/>
      <c r="C512" s="1"/>
      <c r="E512" s="59">
        <f>SUM(B512:D512)</f>
        <v>0</v>
      </c>
      <c r="F512" s="1">
        <v>4000</v>
      </c>
      <c r="G512" s="1">
        <v>4000</v>
      </c>
      <c r="H512" s="1">
        <v>4000</v>
      </c>
      <c r="I512" s="59">
        <f>SUM(F512:H512)</f>
        <v>12000</v>
      </c>
      <c r="J512" s="1">
        <v>4000</v>
      </c>
      <c r="K512" s="1">
        <v>2000</v>
      </c>
      <c r="L512" s="1"/>
      <c r="M512" s="59">
        <f>SUM(J512:L512)</f>
        <v>6000</v>
      </c>
      <c r="N512" s="1"/>
      <c r="O512" s="1"/>
      <c r="P512" s="1"/>
      <c r="Q512" s="59">
        <f>SUM(N512:P512)</f>
        <v>0</v>
      </c>
      <c r="R512" s="59">
        <f>+E512+I512+M512+Q512</f>
        <v>18000</v>
      </c>
      <c r="T512" s="4" t="s">
        <v>366</v>
      </c>
    </row>
    <row r="513" spans="1:20" ht="16.5" customHeight="1" thickBot="1" x14ac:dyDescent="0.35">
      <c r="A513" s="137" t="s">
        <v>61</v>
      </c>
      <c r="B513" s="100">
        <f>SUM(B508:B512)</f>
        <v>0</v>
      </c>
      <c r="C513" s="101">
        <f>SUM(C508:C512)</f>
        <v>0</v>
      </c>
      <c r="D513" s="101">
        <f>SUM(D508:D512)</f>
        <v>0</v>
      </c>
      <c r="E513" s="64">
        <f>SUM(B513:D513)</f>
        <v>0</v>
      </c>
      <c r="F513" s="101">
        <f>SUM(F508:F512)</f>
        <v>4000</v>
      </c>
      <c r="G513" s="101">
        <f>SUM(G508:G512)</f>
        <v>4000</v>
      </c>
      <c r="H513" s="101">
        <f>SUM(H508:H512)</f>
        <v>8000</v>
      </c>
      <c r="I513" s="64">
        <f>SUM(F513:H513)</f>
        <v>16000</v>
      </c>
      <c r="J513" s="101">
        <f>SUM(J508:J512)</f>
        <v>8505</v>
      </c>
      <c r="K513" s="101">
        <f>SUM(K508:K512)</f>
        <v>2000</v>
      </c>
      <c r="L513" s="101">
        <f>SUM(L508:L512)</f>
        <v>0</v>
      </c>
      <c r="M513" s="64">
        <f>SUM(J513:L513)</f>
        <v>10505</v>
      </c>
      <c r="N513" s="101">
        <f>SUM(N508:N512)</f>
        <v>0</v>
      </c>
      <c r="O513" s="101">
        <f>SUM(O508:O512)</f>
        <v>0</v>
      </c>
      <c r="P513" s="101">
        <f>SUM(P508:P512)</f>
        <v>0</v>
      </c>
      <c r="Q513" s="64">
        <f>SUM(N513:P513)</f>
        <v>0</v>
      </c>
      <c r="R513" s="64">
        <f>+E513+I513+M513+Q513</f>
        <v>26505</v>
      </c>
    </row>
    <row r="514" spans="1:20" ht="15.75" customHeight="1" x14ac:dyDescent="0.3">
      <c r="A514" s="17" t="s">
        <v>62</v>
      </c>
      <c r="B514" s="1"/>
      <c r="C514" s="1"/>
      <c r="D514" s="1"/>
      <c r="E514" s="59" t="s">
        <v>7</v>
      </c>
      <c r="F514" s="1"/>
      <c r="G514" s="1"/>
      <c r="H514" s="1"/>
      <c r="I514" s="59" t="s">
        <v>7</v>
      </c>
      <c r="J514" s="1"/>
      <c r="K514" s="1"/>
      <c r="L514" s="1"/>
      <c r="M514" s="59" t="s">
        <v>7</v>
      </c>
      <c r="N514" s="1"/>
      <c r="O514" s="1"/>
      <c r="P514" s="1"/>
      <c r="Q514" s="59" t="s">
        <v>7</v>
      </c>
      <c r="R514" s="59" t="s">
        <v>7</v>
      </c>
    </row>
    <row r="515" spans="1:20" ht="15.75" customHeight="1" x14ac:dyDescent="0.3">
      <c r="A515" s="17" t="s">
        <v>63</v>
      </c>
      <c r="B515" s="1"/>
      <c r="C515" s="1"/>
      <c r="D515" s="1"/>
      <c r="E515" s="59" t="s">
        <v>7</v>
      </c>
      <c r="F515" s="1"/>
      <c r="G515" s="1"/>
      <c r="H515" s="1"/>
      <c r="I515" s="59" t="s">
        <v>7</v>
      </c>
      <c r="J515" s="1"/>
      <c r="K515" s="1"/>
      <c r="L515" s="1"/>
      <c r="M515" s="59" t="s">
        <v>7</v>
      </c>
      <c r="N515" s="1"/>
      <c r="O515" s="1"/>
      <c r="P515" s="1"/>
      <c r="Q515" s="59" t="s">
        <v>7</v>
      </c>
      <c r="R515" s="59" t="s">
        <v>7</v>
      </c>
    </row>
    <row r="516" spans="1:20" ht="15.75" customHeight="1" x14ac:dyDescent="0.3">
      <c r="A516" s="17" t="s">
        <v>64</v>
      </c>
      <c r="B516" s="1"/>
      <c r="C516" s="1"/>
      <c r="D516" s="1"/>
      <c r="E516" s="59" t="s">
        <v>7</v>
      </c>
      <c r="F516" s="1"/>
      <c r="G516" s="1"/>
      <c r="H516" s="1"/>
      <c r="I516" s="59" t="s">
        <v>7</v>
      </c>
      <c r="J516" s="1"/>
      <c r="K516" s="1"/>
      <c r="L516" s="1"/>
      <c r="M516" s="59" t="s">
        <v>7</v>
      </c>
      <c r="N516" s="1"/>
      <c r="O516" s="1"/>
      <c r="P516" s="1"/>
      <c r="Q516" s="59" t="s">
        <v>7</v>
      </c>
      <c r="R516" s="59" t="s">
        <v>7</v>
      </c>
    </row>
    <row r="517" spans="1:20" ht="15.75" customHeight="1" x14ac:dyDescent="0.3">
      <c r="A517" s="17" t="s">
        <v>66</v>
      </c>
      <c r="B517" s="1"/>
      <c r="C517" s="1"/>
      <c r="D517" s="1"/>
      <c r="E517" s="59" t="s">
        <v>7</v>
      </c>
      <c r="F517" s="1"/>
      <c r="G517" s="1"/>
      <c r="H517" s="1"/>
      <c r="I517" s="59" t="s">
        <v>7</v>
      </c>
      <c r="J517" s="1"/>
      <c r="K517" s="1"/>
      <c r="L517" s="1"/>
      <c r="M517" s="59" t="s">
        <v>7</v>
      </c>
      <c r="N517" s="1"/>
      <c r="O517" s="1"/>
      <c r="P517" s="1"/>
      <c r="Q517" s="59" t="s">
        <v>7</v>
      </c>
      <c r="R517" s="59" t="s">
        <v>7</v>
      </c>
    </row>
    <row r="518" spans="1:20" ht="15.75" customHeight="1" x14ac:dyDescent="0.3">
      <c r="A518" s="17" t="s">
        <v>67</v>
      </c>
      <c r="B518" s="1"/>
      <c r="C518" s="1"/>
      <c r="D518" s="1"/>
      <c r="E518" s="59" t="s">
        <v>7</v>
      </c>
      <c r="F518" s="1"/>
      <c r="G518" s="1"/>
      <c r="H518" s="1"/>
      <c r="I518" s="59" t="s">
        <v>7</v>
      </c>
      <c r="J518" s="1"/>
      <c r="K518" s="1"/>
      <c r="L518" s="1"/>
      <c r="M518" s="59" t="s">
        <v>7</v>
      </c>
      <c r="N518" s="1"/>
      <c r="O518" s="1"/>
      <c r="P518" s="1"/>
      <c r="Q518" s="59" t="s">
        <v>7</v>
      </c>
      <c r="R518" s="59" t="s">
        <v>7</v>
      </c>
    </row>
    <row r="519" spans="1:20" ht="15.75" customHeight="1" x14ac:dyDescent="0.3">
      <c r="A519" s="74" t="s">
        <v>460</v>
      </c>
      <c r="B519" s="1"/>
      <c r="C519" s="1"/>
      <c r="D519" s="1"/>
      <c r="E519" s="59">
        <f t="shared" ref="E519:E520" si="202">SUM(B519:D519)</f>
        <v>0</v>
      </c>
      <c r="F519" s="1"/>
      <c r="G519" s="1"/>
      <c r="H519" s="1"/>
      <c r="I519" s="59">
        <f t="shared" ref="I519:I524" si="203">SUM(F519:H519)</f>
        <v>0</v>
      </c>
      <c r="J519" s="1"/>
      <c r="K519" s="1">
        <v>2700</v>
      </c>
      <c r="L519" s="1"/>
      <c r="M519" s="59">
        <f t="shared" ref="M519:M524" si="204">SUM(J519:L519)</f>
        <v>2700</v>
      </c>
      <c r="N519" s="1"/>
      <c r="O519" s="1"/>
      <c r="P519" s="1"/>
      <c r="Q519" s="59">
        <f t="shared" ref="Q519:Q524" si="205">SUM(N519:P519)</f>
        <v>0</v>
      </c>
      <c r="R519" s="59">
        <f t="shared" ref="R519:R524" si="206">+E519+I519+M519+Q519</f>
        <v>2700</v>
      </c>
      <c r="T519" s="4" t="s">
        <v>366</v>
      </c>
    </row>
    <row r="520" spans="1:20" ht="15.75" customHeight="1" thickBot="1" x14ac:dyDescent="0.35">
      <c r="A520" s="74" t="s">
        <v>491</v>
      </c>
      <c r="B520" s="1"/>
      <c r="C520" s="1"/>
      <c r="D520" s="1"/>
      <c r="E520" s="59">
        <f t="shared" si="202"/>
        <v>0</v>
      </c>
      <c r="F520" s="1"/>
      <c r="G520" s="1"/>
      <c r="H520" s="1"/>
      <c r="I520" s="59">
        <f t="shared" si="203"/>
        <v>0</v>
      </c>
      <c r="J520" s="1"/>
      <c r="K520" s="1"/>
      <c r="L520" s="1"/>
      <c r="M520" s="59">
        <f t="shared" si="204"/>
        <v>0</v>
      </c>
      <c r="N520" s="1"/>
      <c r="O520" s="1"/>
      <c r="P520" s="1"/>
      <c r="Q520" s="59">
        <f t="shared" si="205"/>
        <v>0</v>
      </c>
      <c r="R520" s="59">
        <f t="shared" si="206"/>
        <v>0</v>
      </c>
      <c r="T520" s="4" t="s">
        <v>366</v>
      </c>
    </row>
    <row r="521" spans="1:20" ht="16.5" customHeight="1" thickBot="1" x14ac:dyDescent="0.35">
      <c r="A521" s="62" t="s">
        <v>68</v>
      </c>
      <c r="B521" s="63">
        <f>SUM(B517:B520)</f>
        <v>0</v>
      </c>
      <c r="C521" s="63">
        <f>SUM(C517:C520)</f>
        <v>0</v>
      </c>
      <c r="D521" s="63">
        <f>SUM(D517:D520)</f>
        <v>0</v>
      </c>
      <c r="E521" s="65">
        <f t="shared" ref="E521:E524" si="207">SUM(B521:D521)</f>
        <v>0</v>
      </c>
      <c r="F521" s="63">
        <f>SUM(F517:F520)</f>
        <v>0</v>
      </c>
      <c r="G521" s="63">
        <f>SUM(G517:G520)</f>
        <v>0</v>
      </c>
      <c r="H521" s="63">
        <f>SUM(H517:H520)</f>
        <v>0</v>
      </c>
      <c r="I521" s="65">
        <f t="shared" si="203"/>
        <v>0</v>
      </c>
      <c r="J521" s="63">
        <f>SUM(J517:J520)</f>
        <v>0</v>
      </c>
      <c r="K521" s="63">
        <f>SUM(K517:K520)</f>
        <v>2700</v>
      </c>
      <c r="L521" s="63">
        <f>SUM(L517:L520)</f>
        <v>0</v>
      </c>
      <c r="M521" s="65">
        <f t="shared" si="204"/>
        <v>2700</v>
      </c>
      <c r="N521" s="63">
        <f>SUM(N517:N520)</f>
        <v>0</v>
      </c>
      <c r="O521" s="63">
        <f>SUM(O517:O520)</f>
        <v>0</v>
      </c>
      <c r="P521" s="63">
        <f>SUM(P517:P520)</f>
        <v>0</v>
      </c>
      <c r="Q521" s="65">
        <f t="shared" si="205"/>
        <v>0</v>
      </c>
      <c r="R521" s="64">
        <f t="shared" si="206"/>
        <v>2700</v>
      </c>
    </row>
    <row r="522" spans="1:20" ht="16.5" customHeight="1" thickBot="1" x14ac:dyDescent="0.35">
      <c r="A522" s="137" t="s">
        <v>69</v>
      </c>
      <c r="B522" s="100">
        <f>SUM(B514:B520)</f>
        <v>0</v>
      </c>
      <c r="C522" s="101">
        <f>SUM(C514:C520)</f>
        <v>0</v>
      </c>
      <c r="D522" s="138">
        <f>SUM(D514:D520)</f>
        <v>0</v>
      </c>
      <c r="E522" s="65">
        <f t="shared" si="207"/>
        <v>0</v>
      </c>
      <c r="F522" s="101">
        <f>SUM(F514:F520)</f>
        <v>0</v>
      </c>
      <c r="G522" s="101">
        <f>SUM(G514:G520)</f>
        <v>0</v>
      </c>
      <c r="H522" s="101">
        <f>SUM(H514:H520)</f>
        <v>0</v>
      </c>
      <c r="I522" s="65">
        <f t="shared" si="203"/>
        <v>0</v>
      </c>
      <c r="J522" s="101">
        <f>SUM(J514:J520)</f>
        <v>0</v>
      </c>
      <c r="K522" s="101">
        <f>SUM(K514:K520)</f>
        <v>2700</v>
      </c>
      <c r="L522" s="101">
        <f>SUM(L514:L520)</f>
        <v>0</v>
      </c>
      <c r="M522" s="65">
        <f t="shared" si="204"/>
        <v>2700</v>
      </c>
      <c r="N522" s="101">
        <f>SUM(N514:N520)</f>
        <v>0</v>
      </c>
      <c r="O522" s="101">
        <f>SUM(O514:O520)</f>
        <v>0</v>
      </c>
      <c r="P522" s="101">
        <f>SUM(P514:P520)</f>
        <v>0</v>
      </c>
      <c r="Q522" s="65">
        <f t="shared" si="205"/>
        <v>0</v>
      </c>
      <c r="R522" s="64">
        <f t="shared" si="206"/>
        <v>2700</v>
      </c>
    </row>
    <row r="523" spans="1:20" ht="16.5" customHeight="1" thickBot="1" x14ac:dyDescent="0.35">
      <c r="A523" s="62" t="s">
        <v>70</v>
      </c>
      <c r="B523" s="107">
        <f>+B502+B507+B513+B522</f>
        <v>275</v>
      </c>
      <c r="C523" s="63">
        <f>+C502+C507+C513+C522</f>
        <v>355</v>
      </c>
      <c r="D523" s="63">
        <f>+D502+D507+D513+D522</f>
        <v>4720</v>
      </c>
      <c r="E523" s="64">
        <f t="shared" si="207"/>
        <v>5350</v>
      </c>
      <c r="F523" s="63">
        <f>+F502+F507+F513+F522</f>
        <v>9806</v>
      </c>
      <c r="G523" s="63">
        <f>+G502+G507+G513+G522</f>
        <v>8613</v>
      </c>
      <c r="H523" s="63">
        <f>+H502+H507+H513+H522</f>
        <v>16812</v>
      </c>
      <c r="I523" s="64">
        <f t="shared" si="203"/>
        <v>35231</v>
      </c>
      <c r="J523" s="63">
        <f>+J502+J507+J513+J522</f>
        <v>20421</v>
      </c>
      <c r="K523" s="63">
        <f>+K502+K507+K513+K522</f>
        <v>13278</v>
      </c>
      <c r="L523" s="63">
        <f>+L502+L507+L513+L522</f>
        <v>1926</v>
      </c>
      <c r="M523" s="64">
        <f t="shared" si="204"/>
        <v>35625</v>
      </c>
      <c r="N523" s="63">
        <f>+N502+N507+N513+N522</f>
        <v>811</v>
      </c>
      <c r="O523" s="63">
        <f>+O502+O507+O513+O522</f>
        <v>426</v>
      </c>
      <c r="P523" s="63">
        <f>+P502+P507+P513+P522</f>
        <v>426</v>
      </c>
      <c r="Q523" s="64">
        <f t="shared" si="205"/>
        <v>1663</v>
      </c>
      <c r="R523" s="88">
        <f>+E523+I523+M523+Q523</f>
        <v>77869</v>
      </c>
    </row>
    <row r="524" spans="1:20" ht="16.5" customHeight="1" thickBot="1" x14ac:dyDescent="0.35">
      <c r="A524" s="40" t="s">
        <v>37</v>
      </c>
      <c r="B524" s="25">
        <v>9</v>
      </c>
      <c r="C524" s="25">
        <v>16</v>
      </c>
      <c r="D524" s="25">
        <v>25</v>
      </c>
      <c r="E524" s="59">
        <f t="shared" si="207"/>
        <v>50</v>
      </c>
      <c r="F524" s="25">
        <v>34</v>
      </c>
      <c r="G524" s="25">
        <v>41</v>
      </c>
      <c r="H524" s="25">
        <v>41</v>
      </c>
      <c r="I524" s="59">
        <f t="shared" si="203"/>
        <v>116</v>
      </c>
      <c r="J524" s="25">
        <v>39</v>
      </c>
      <c r="K524" s="25">
        <v>30</v>
      </c>
      <c r="L524" s="25">
        <v>30</v>
      </c>
      <c r="M524" s="59">
        <f t="shared" si="204"/>
        <v>99</v>
      </c>
      <c r="N524" s="25">
        <v>28</v>
      </c>
      <c r="O524" s="25">
        <v>22</v>
      </c>
      <c r="P524" s="25">
        <v>16</v>
      </c>
      <c r="Q524" s="59">
        <f t="shared" si="205"/>
        <v>66</v>
      </c>
      <c r="R524" s="59">
        <f t="shared" si="206"/>
        <v>331</v>
      </c>
    </row>
    <row r="525" spans="1:20" ht="16.5" customHeight="1" thickBot="1" x14ac:dyDescent="0.35">
      <c r="A525" s="80"/>
      <c r="B525" s="81"/>
      <c r="C525" s="81"/>
      <c r="D525" s="81"/>
      <c r="E525" s="64"/>
      <c r="F525" s="81"/>
      <c r="G525" s="81"/>
      <c r="H525" s="81"/>
      <c r="I525" s="64"/>
      <c r="J525" s="81"/>
      <c r="K525" s="81"/>
      <c r="L525" s="81"/>
      <c r="M525" s="64"/>
      <c r="N525" s="81"/>
      <c r="O525" s="81"/>
      <c r="P525" s="81"/>
      <c r="Q525" s="64"/>
      <c r="R525" s="64" t="s">
        <v>7</v>
      </c>
    </row>
    <row r="526" spans="1:20" ht="15.75" customHeight="1" x14ac:dyDescent="0.3">
      <c r="A526" s="82" t="s">
        <v>38</v>
      </c>
      <c r="B526" s="83">
        <f>SUM(B523:B524)</f>
        <v>284</v>
      </c>
      <c r="C526" s="83">
        <f>SUM(C523:C524)</f>
        <v>371</v>
      </c>
      <c r="D526" s="83">
        <f>SUM(D523:D524)</f>
        <v>4745</v>
      </c>
      <c r="E526" s="65">
        <f>SUM(B526:D526)</f>
        <v>5400</v>
      </c>
      <c r="F526" s="83">
        <f>SUM(F523:F524)</f>
        <v>9840</v>
      </c>
      <c r="G526" s="83">
        <f>SUM(G523:G524)</f>
        <v>8654</v>
      </c>
      <c r="H526" s="83">
        <f>SUM(H523:H524)</f>
        <v>16853</v>
      </c>
      <c r="I526" s="65">
        <f>SUM(F526:H526)</f>
        <v>35347</v>
      </c>
      <c r="J526" s="83">
        <f>SUM(J523:J524)</f>
        <v>20460</v>
      </c>
      <c r="K526" s="83">
        <f>SUM(K523:K524)</f>
        <v>13308</v>
      </c>
      <c r="L526" s="83">
        <f>SUM(L523:L524)</f>
        <v>1956</v>
      </c>
      <c r="M526" s="65">
        <f>SUM(J526:L526)</f>
        <v>35724</v>
      </c>
      <c r="N526" s="83">
        <f>SUM(N523:N524)</f>
        <v>839</v>
      </c>
      <c r="O526" s="83">
        <f>SUM(O523:O524)</f>
        <v>448</v>
      </c>
      <c r="P526" s="83">
        <f>SUM(P523:P524)</f>
        <v>442</v>
      </c>
      <c r="Q526" s="65">
        <f>SUM(N526:P526)</f>
        <v>1729</v>
      </c>
      <c r="R526" s="65">
        <f>+E526+I526+M526+Q526</f>
        <v>78200</v>
      </c>
    </row>
    <row r="527" spans="1:20" ht="15.75" customHeight="1" x14ac:dyDescent="0.3">
      <c r="A527" s="85" t="s">
        <v>39</v>
      </c>
      <c r="B527" s="1">
        <f>(B526/B10)/1.983</f>
        <v>4.6199144339791456</v>
      </c>
      <c r="C527" s="1">
        <f>(C526/C10)/1.983</f>
        <v>6.6817952597075134</v>
      </c>
      <c r="D527" s="1">
        <f>(D526/D10)/1.983</f>
        <v>77.18835911701072</v>
      </c>
      <c r="E527" s="59" t="s">
        <v>7</v>
      </c>
      <c r="F527" s="1">
        <f>(F526/F10)/1.983</f>
        <v>165.4059505799294</v>
      </c>
      <c r="G527" s="1">
        <f>(G526/G10)/1.983</f>
        <v>140.77725180160397</v>
      </c>
      <c r="H527" s="1">
        <f>(H526/H10)/1.983</f>
        <v>283.29130946377541</v>
      </c>
      <c r="I527" s="59" t="s">
        <v>7</v>
      </c>
      <c r="J527" s="1">
        <f>(J526/J10)/1.983</f>
        <v>332.82904689863841</v>
      </c>
      <c r="K527" s="1">
        <f>(K526/K10)/1.983</f>
        <v>216.48528622321996</v>
      </c>
      <c r="L527" s="1">
        <f>(L526/L10)/1.983</f>
        <v>32.879475542107919</v>
      </c>
      <c r="M527" s="59" t="s">
        <v>7</v>
      </c>
      <c r="N527" s="1">
        <f>(N526/N10)/1.983</f>
        <v>13.648268345452475</v>
      </c>
      <c r="O527" s="1">
        <f>(O526/O10)/1.983</f>
        <v>7.5306774247772736</v>
      </c>
      <c r="P527" s="1">
        <f>(P526/P10)/1.983</f>
        <v>7.1901485204886697</v>
      </c>
      <c r="Q527" s="59" t="s">
        <v>7</v>
      </c>
      <c r="R527" s="59" t="s">
        <v>7</v>
      </c>
    </row>
    <row r="528" spans="1:20" ht="15.75" customHeight="1" x14ac:dyDescent="0.3">
      <c r="A528" s="85" t="s">
        <v>492</v>
      </c>
      <c r="B528" s="1">
        <f>B526+B573</f>
        <v>20283</v>
      </c>
      <c r="C528" s="1">
        <f>C526+C573</f>
        <v>21162</v>
      </c>
      <c r="D528" s="1">
        <f>D526+D573</f>
        <v>30319</v>
      </c>
      <c r="E528" s="59">
        <f>SUM(B528:D528)</f>
        <v>71764</v>
      </c>
      <c r="F528" s="1">
        <f>F526+F573</f>
        <v>38879</v>
      </c>
      <c r="G528" s="1">
        <f>G526+G573</f>
        <v>38413</v>
      </c>
      <c r="H528" s="1">
        <f>H526+H573</f>
        <v>51762</v>
      </c>
      <c r="I528" s="59">
        <f>SUM(F528:H528)</f>
        <v>129054</v>
      </c>
      <c r="J528" s="1">
        <f>J526+J573</f>
        <v>56397</v>
      </c>
      <c r="K528" s="1">
        <f>K526+K573</f>
        <v>47132</v>
      </c>
      <c r="L528" s="1">
        <f>L526+L573</f>
        <v>28405</v>
      </c>
      <c r="M528" s="59">
        <f>SUM(J528:L528)</f>
        <v>131934</v>
      </c>
      <c r="N528" s="1">
        <f>N526+N573</f>
        <v>14003</v>
      </c>
      <c r="O528" s="1">
        <f>O526+O573</f>
        <v>5612</v>
      </c>
      <c r="P528" s="1">
        <f>P526+P573</f>
        <v>6531</v>
      </c>
      <c r="Q528" s="59">
        <f>SUM(N528:P528)</f>
        <v>26146</v>
      </c>
      <c r="R528" s="59">
        <f>+E528+I528+M528+Q528</f>
        <v>358898</v>
      </c>
    </row>
    <row r="529" spans="1:20" ht="16.5" customHeight="1" thickBot="1" x14ac:dyDescent="0.35">
      <c r="A529" s="86" t="s">
        <v>493</v>
      </c>
      <c r="B529" s="87">
        <f>(B528/B10)/1.983</f>
        <v>329.9497340295739</v>
      </c>
      <c r="C529" s="87">
        <f>(C528/C10)/1.983</f>
        <v>381.1324832504863</v>
      </c>
      <c r="D529" s="87">
        <f>(D528/D10)/1.983</f>
        <v>493.20840043596371</v>
      </c>
      <c r="E529" s="88" t="s">
        <v>7</v>
      </c>
      <c r="F529" s="87">
        <f>(F528/F10)/1.983</f>
        <v>653.53840981677592</v>
      </c>
      <c r="G529" s="87">
        <f>(G528/G10)/1.983</f>
        <v>624.87596180436947</v>
      </c>
      <c r="H529" s="87">
        <f>(H528/H10)/1.983</f>
        <v>870.09581442259207</v>
      </c>
      <c r="I529" s="88" t="s">
        <v>7</v>
      </c>
      <c r="J529" s="87">
        <f>(J528/J10)/1.983</f>
        <v>917.42716314479526</v>
      </c>
      <c r="K529" s="87">
        <f>(K528/K10)/1.983</f>
        <v>766.71058838839815</v>
      </c>
      <c r="L529" s="87">
        <f>(L528/L10)/1.983</f>
        <v>477.47520591696082</v>
      </c>
      <c r="M529" s="88" t="s">
        <v>7</v>
      </c>
      <c r="N529" s="87">
        <f>(N528/N10)/1.983</f>
        <v>227.79106274299284</v>
      </c>
      <c r="O529" s="87">
        <f>(O528/O10)/1.983</f>
        <v>94.335182383593875</v>
      </c>
      <c r="P529" s="87">
        <f>(P528/P10)/1.983</f>
        <v>106.24176467717534</v>
      </c>
      <c r="Q529" s="88" t="s">
        <v>7</v>
      </c>
      <c r="R529" s="88" t="s">
        <v>7</v>
      </c>
    </row>
    <row r="530" spans="1:20" ht="15.75" customHeight="1" x14ac:dyDescent="0.3">
      <c r="A530" s="28"/>
      <c r="B530" s="1"/>
      <c r="C530" s="1"/>
      <c r="D530" s="1"/>
      <c r="E530" s="1"/>
      <c r="F530" s="1"/>
      <c r="G530" s="1"/>
      <c r="H530" s="1"/>
      <c r="I530" s="1"/>
      <c r="J530" s="1"/>
      <c r="K530" s="1"/>
      <c r="L530" s="1"/>
      <c r="M530" s="1"/>
      <c r="N530" s="1"/>
      <c r="O530" s="1"/>
      <c r="P530" s="1"/>
      <c r="Q530" s="1"/>
      <c r="R530" s="28"/>
    </row>
    <row r="531" spans="1:20" ht="15.75" customHeight="1" thickBot="1" x14ac:dyDescent="0.35">
      <c r="A531" s="28"/>
      <c r="B531" s="1"/>
      <c r="C531" s="1"/>
      <c r="D531" s="1"/>
      <c r="E531" s="1"/>
      <c r="F531" s="1"/>
      <c r="G531" s="1"/>
      <c r="H531" s="1"/>
      <c r="I531" s="1"/>
      <c r="J531" s="1"/>
      <c r="K531" s="1"/>
      <c r="L531" s="1"/>
      <c r="M531" s="1"/>
      <c r="N531" s="1"/>
      <c r="O531" s="1"/>
      <c r="P531" s="1"/>
      <c r="Q531" s="1"/>
      <c r="R531" s="28"/>
    </row>
    <row r="532" spans="1:20" ht="16.5" customHeight="1" thickBot="1" x14ac:dyDescent="0.35">
      <c r="A532" s="145" t="s">
        <v>494</v>
      </c>
      <c r="B532" s="32" t="s">
        <v>36</v>
      </c>
      <c r="C532" s="33" t="s">
        <v>9</v>
      </c>
      <c r="D532" s="33" t="s">
        <v>10</v>
      </c>
      <c r="E532" s="12" t="s">
        <v>11</v>
      </c>
      <c r="F532" s="33" t="s">
        <v>12</v>
      </c>
      <c r="G532" s="33" t="s">
        <v>13</v>
      </c>
      <c r="H532" s="33" t="s">
        <v>14</v>
      </c>
      <c r="I532" s="34" t="s">
        <v>15</v>
      </c>
      <c r="J532" s="33" t="s">
        <v>16</v>
      </c>
      <c r="K532" s="33" t="s">
        <v>17</v>
      </c>
      <c r="L532" s="33" t="s">
        <v>18</v>
      </c>
      <c r="M532" s="34" t="s">
        <v>19</v>
      </c>
      <c r="N532" s="33" t="s">
        <v>20</v>
      </c>
      <c r="O532" s="33" t="s">
        <v>21</v>
      </c>
      <c r="P532" s="33" t="s">
        <v>22</v>
      </c>
      <c r="Q532" s="34" t="s">
        <v>23</v>
      </c>
      <c r="R532" s="35" t="s">
        <v>24</v>
      </c>
    </row>
    <row r="533" spans="1:20" ht="16.5" customHeight="1" thickBot="1" x14ac:dyDescent="0.35">
      <c r="A533" s="64"/>
      <c r="B533" s="81"/>
      <c r="C533" s="81"/>
      <c r="D533" s="81"/>
      <c r="E533" s="72"/>
      <c r="F533" s="81"/>
      <c r="G533" s="81"/>
      <c r="H533" s="81"/>
      <c r="I533" s="89"/>
      <c r="J533" s="81"/>
      <c r="K533" s="81"/>
      <c r="L533" s="81"/>
      <c r="M533" s="89"/>
      <c r="N533" s="81"/>
      <c r="O533" s="81"/>
      <c r="P533" s="81"/>
      <c r="Q533" s="89"/>
      <c r="R533" s="117"/>
    </row>
    <row r="534" spans="1:20" ht="15.75" customHeight="1" x14ac:dyDescent="0.3">
      <c r="A534" s="17" t="s">
        <v>45</v>
      </c>
      <c r="B534" s="1" t="s">
        <v>7</v>
      </c>
      <c r="C534" s="1" t="s">
        <v>7</v>
      </c>
      <c r="D534" s="1" t="s">
        <v>7</v>
      </c>
      <c r="E534" s="59" t="s">
        <v>7</v>
      </c>
      <c r="F534" s="1"/>
      <c r="G534" s="1"/>
      <c r="H534" s="1"/>
      <c r="I534" s="59" t="s">
        <v>7</v>
      </c>
      <c r="J534" s="1" t="s">
        <v>7</v>
      </c>
      <c r="K534" s="1" t="s">
        <v>7</v>
      </c>
      <c r="L534" s="1" t="s">
        <v>7</v>
      </c>
      <c r="M534" s="59" t="s">
        <v>7</v>
      </c>
      <c r="N534" s="1" t="s">
        <v>7</v>
      </c>
      <c r="O534" s="1" t="s">
        <v>7</v>
      </c>
      <c r="P534" s="1" t="s">
        <v>7</v>
      </c>
      <c r="Q534" s="59" t="s">
        <v>7</v>
      </c>
      <c r="R534" s="59" t="s">
        <v>7</v>
      </c>
    </row>
    <row r="535" spans="1:20" ht="15.75" customHeight="1" x14ac:dyDescent="0.3">
      <c r="A535" s="17" t="s">
        <v>46</v>
      </c>
      <c r="B535" s="1"/>
      <c r="C535" s="1"/>
      <c r="D535" s="1"/>
      <c r="E535" s="59" t="s">
        <v>7</v>
      </c>
      <c r="F535" s="1"/>
      <c r="G535" s="1"/>
      <c r="H535" s="1"/>
      <c r="I535" s="59" t="s">
        <v>7</v>
      </c>
      <c r="J535" s="1"/>
      <c r="K535" s="1"/>
      <c r="L535" s="1"/>
      <c r="M535" s="59" t="s">
        <v>7</v>
      </c>
      <c r="N535" s="1"/>
      <c r="O535" s="1"/>
      <c r="P535" s="1"/>
      <c r="Q535" s="59" t="s">
        <v>7</v>
      </c>
      <c r="R535" s="59" t="s">
        <v>7</v>
      </c>
    </row>
    <row r="536" spans="1:20" ht="15.75" customHeight="1" x14ac:dyDescent="0.3">
      <c r="A536" s="17" t="s">
        <v>495</v>
      </c>
      <c r="C536" s="1"/>
      <c r="D536" s="1"/>
      <c r="E536" s="59">
        <f>SUM(B536:D536)</f>
        <v>0</v>
      </c>
      <c r="F536" s="1"/>
      <c r="G536" s="1"/>
      <c r="H536" s="1"/>
      <c r="I536" s="59">
        <f>SUM(F536:H536)</f>
        <v>0</v>
      </c>
      <c r="J536" s="1"/>
      <c r="K536" s="1"/>
      <c r="L536" s="1"/>
      <c r="M536" s="59">
        <f>SUM(J536:L536)</f>
        <v>0</v>
      </c>
      <c r="N536" s="1"/>
      <c r="O536" s="1"/>
      <c r="P536" s="1"/>
      <c r="Q536" s="59">
        <f>SUM(N536:P536)</f>
        <v>0</v>
      </c>
      <c r="R536" s="59">
        <f>+E536+I536+M536+Q536</f>
        <v>0</v>
      </c>
      <c r="T536" s="4" t="s">
        <v>368</v>
      </c>
    </row>
    <row r="537" spans="1:20" ht="15.75" customHeight="1" x14ac:dyDescent="0.3">
      <c r="A537" s="74" t="s">
        <v>496</v>
      </c>
      <c r="B537" s="1"/>
      <c r="C537" s="1">
        <v>500</v>
      </c>
      <c r="D537" s="1">
        <v>500</v>
      </c>
      <c r="E537" s="59">
        <f>SUM(B537:D537)</f>
        <v>1000</v>
      </c>
      <c r="F537" s="1">
        <v>500</v>
      </c>
      <c r="G537" s="1"/>
      <c r="H537" s="1"/>
      <c r="I537" s="59">
        <f>SUM(F537:H537)</f>
        <v>500</v>
      </c>
      <c r="J537" s="1"/>
      <c r="K537" s="1"/>
      <c r="L537" s="1"/>
      <c r="M537" s="59">
        <f>SUM(J537:L537)</f>
        <v>0</v>
      </c>
      <c r="N537" s="1"/>
      <c r="O537" s="1"/>
      <c r="P537" s="1"/>
      <c r="Q537" s="59">
        <f>SUM(N537:P537)</f>
        <v>0</v>
      </c>
      <c r="R537" s="59">
        <f>+E537+I537+M537+Q537</f>
        <v>1500</v>
      </c>
    </row>
    <row r="538" spans="1:20" ht="15.75" customHeight="1" x14ac:dyDescent="0.3">
      <c r="A538" s="74" t="s">
        <v>497</v>
      </c>
      <c r="B538" s="1"/>
      <c r="C538" s="1"/>
      <c r="D538" s="1">
        <v>250</v>
      </c>
      <c r="E538" s="59">
        <f>SUM(B538:D538)</f>
        <v>250</v>
      </c>
      <c r="F538" s="1">
        <v>250</v>
      </c>
      <c r="G538" s="1">
        <v>250</v>
      </c>
      <c r="H538" s="1">
        <v>1250</v>
      </c>
      <c r="I538" s="59">
        <f>SUM(F538:H538)</f>
        <v>1750</v>
      </c>
      <c r="J538" s="1">
        <v>1000</v>
      </c>
      <c r="K538" s="1">
        <v>500</v>
      </c>
      <c r="L538" s="1">
        <v>500</v>
      </c>
      <c r="M538" s="59">
        <f>SUM(J538:L538)</f>
        <v>2000</v>
      </c>
      <c r="N538" s="1"/>
      <c r="O538" s="1"/>
      <c r="P538" s="1"/>
      <c r="Q538" s="59">
        <f>SUM(N538:P538)</f>
        <v>0</v>
      </c>
      <c r="R538" s="59">
        <f>+E538+I538+M538+Q538</f>
        <v>4000</v>
      </c>
    </row>
    <row r="539" spans="1:20" ht="15.75" customHeight="1" x14ac:dyDescent="0.3">
      <c r="A539" s="74" t="s">
        <v>498</v>
      </c>
      <c r="B539" s="1"/>
      <c r="C539" s="1"/>
      <c r="D539" s="1"/>
      <c r="E539" s="59">
        <f>SUM(B539:D539)</f>
        <v>0</v>
      </c>
      <c r="F539" s="1"/>
      <c r="G539" s="1"/>
      <c r="H539" s="1"/>
      <c r="I539" s="59">
        <f>SUM(F539:H539)</f>
        <v>0</v>
      </c>
      <c r="J539" s="1"/>
      <c r="K539" s="1"/>
      <c r="L539" s="1">
        <v>500</v>
      </c>
      <c r="M539" s="59">
        <f>SUM(J539:L539)</f>
        <v>500</v>
      </c>
      <c r="N539" s="1">
        <v>500</v>
      </c>
      <c r="O539" s="1"/>
      <c r="P539" s="1"/>
      <c r="Q539" s="59">
        <f>SUM(N539:P539)</f>
        <v>500</v>
      </c>
      <c r="R539" s="59">
        <f>+E539+I539+M539+Q539</f>
        <v>1000</v>
      </c>
    </row>
    <row r="540" spans="1:20" ht="15.75" customHeight="1" x14ac:dyDescent="0.3">
      <c r="A540" s="74" t="s">
        <v>499</v>
      </c>
      <c r="B540" s="1"/>
      <c r="C540" s="1"/>
      <c r="D540" s="1"/>
      <c r="E540" s="59">
        <f>SUM(B540:D540)</f>
        <v>0</v>
      </c>
      <c r="F540" s="1"/>
      <c r="G540" s="1"/>
      <c r="H540" s="1"/>
      <c r="I540" s="59">
        <f>SUM(F540:H540)</f>
        <v>0</v>
      </c>
      <c r="J540" s="1"/>
      <c r="K540" s="1">
        <v>500</v>
      </c>
      <c r="L540" s="1">
        <v>200</v>
      </c>
      <c r="M540" s="59">
        <f>SUM(J540:L540)</f>
        <v>700</v>
      </c>
      <c r="N540" s="1"/>
      <c r="O540" s="1"/>
      <c r="P540" s="1"/>
      <c r="Q540" s="59">
        <f>SUM(N540:P540)</f>
        <v>0</v>
      </c>
      <c r="R540" s="59">
        <f>+E540+I540+M540+Q540</f>
        <v>700</v>
      </c>
    </row>
    <row r="541" spans="1:20" ht="15.75" customHeight="1" x14ac:dyDescent="0.3">
      <c r="A541" s="17" t="s">
        <v>47</v>
      </c>
      <c r="B541" s="1"/>
      <c r="C541" s="1"/>
      <c r="D541" s="1"/>
      <c r="E541" s="59" t="s">
        <v>7</v>
      </c>
      <c r="F541" s="1"/>
      <c r="G541" s="1"/>
      <c r="H541" s="1"/>
      <c r="I541" s="59" t="s">
        <v>7</v>
      </c>
      <c r="J541" s="1"/>
      <c r="K541" s="1"/>
      <c r="L541" s="1"/>
      <c r="M541" s="59" t="s">
        <v>7</v>
      </c>
      <c r="N541" s="1"/>
      <c r="O541" s="1"/>
      <c r="P541" s="1"/>
      <c r="Q541" s="59" t="s">
        <v>7</v>
      </c>
      <c r="R541" s="59" t="s">
        <v>7</v>
      </c>
    </row>
    <row r="542" spans="1:20" ht="15.75" customHeight="1" x14ac:dyDescent="0.3">
      <c r="A542" s="17" t="s">
        <v>49</v>
      </c>
      <c r="B542" s="1"/>
      <c r="C542" s="1"/>
      <c r="D542" s="1"/>
      <c r="E542" s="59" t="s">
        <v>7</v>
      </c>
      <c r="F542" s="1"/>
      <c r="G542" s="1"/>
      <c r="H542" s="1"/>
      <c r="I542" s="59" t="s">
        <v>7</v>
      </c>
      <c r="J542" s="1"/>
      <c r="K542" s="1"/>
      <c r="L542" s="1"/>
      <c r="M542" s="59" t="s">
        <v>7</v>
      </c>
      <c r="N542" s="1"/>
      <c r="O542" s="1"/>
      <c r="P542" s="1"/>
      <c r="Q542" s="59" t="s">
        <v>7</v>
      </c>
      <c r="R542" s="59" t="s">
        <v>7</v>
      </c>
    </row>
    <row r="543" spans="1:20" ht="15.75" customHeight="1" thickBot="1" x14ac:dyDescent="0.35">
      <c r="A543" s="17" t="s">
        <v>51</v>
      </c>
      <c r="B543" s="1"/>
      <c r="C543" s="1"/>
      <c r="D543" s="1"/>
      <c r="E543" s="59" t="s">
        <v>7</v>
      </c>
      <c r="F543" s="1"/>
      <c r="G543" s="1"/>
      <c r="H543" s="1"/>
      <c r="I543" s="59" t="s">
        <v>7</v>
      </c>
      <c r="J543" s="1"/>
      <c r="K543" s="1"/>
      <c r="L543" s="1"/>
      <c r="M543" s="59" t="s">
        <v>7</v>
      </c>
      <c r="N543" s="1"/>
      <c r="O543" s="1"/>
      <c r="P543" s="1"/>
      <c r="Q543" s="59" t="s">
        <v>7</v>
      </c>
      <c r="R543" s="59" t="s">
        <v>7</v>
      </c>
    </row>
    <row r="544" spans="1:20" ht="16.5" customHeight="1" thickBot="1" x14ac:dyDescent="0.35">
      <c r="A544" s="126" t="s">
        <v>52</v>
      </c>
      <c r="B544" s="100">
        <f>SUM(B534:B543)</f>
        <v>0</v>
      </c>
      <c r="C544" s="101">
        <f>SUM(C534:C543)</f>
        <v>500</v>
      </c>
      <c r="D544" s="101">
        <f>SUM(D534:D543)</f>
        <v>750</v>
      </c>
      <c r="E544" s="64">
        <f>SUM(B544:D544)</f>
        <v>1250</v>
      </c>
      <c r="F544" s="101">
        <f>SUM(F534:F543)</f>
        <v>750</v>
      </c>
      <c r="G544" s="101">
        <f>SUM(G534:G543)</f>
        <v>250</v>
      </c>
      <c r="H544" s="101">
        <f>SUM(H534:H543)</f>
        <v>1250</v>
      </c>
      <c r="I544" s="64">
        <f>SUM(F544:H544)</f>
        <v>2250</v>
      </c>
      <c r="J544" s="101">
        <f>SUM(J534:J543)</f>
        <v>1000</v>
      </c>
      <c r="K544" s="101">
        <f>SUM(K534:K543)</f>
        <v>1000</v>
      </c>
      <c r="L544" s="101">
        <f>SUM(L534:L543)</f>
        <v>1200</v>
      </c>
      <c r="M544" s="64">
        <f>SUM(J544:L544)</f>
        <v>3200</v>
      </c>
      <c r="N544" s="101">
        <f>SUM(N534:N543)</f>
        <v>500</v>
      </c>
      <c r="O544" s="101">
        <f>SUM(O534:O543)</f>
        <v>0</v>
      </c>
      <c r="P544" s="101">
        <f>SUM(P534:P543)</f>
        <v>0</v>
      </c>
      <c r="Q544" s="64">
        <f>SUM(N544:P544)</f>
        <v>500</v>
      </c>
      <c r="R544" s="64">
        <f>+E544+I544+M544+Q544</f>
        <v>7200</v>
      </c>
    </row>
    <row r="545" spans="1:20" ht="15.75" customHeight="1" x14ac:dyDescent="0.3">
      <c r="A545" s="17" t="s">
        <v>53</v>
      </c>
      <c r="B545" s="1"/>
      <c r="C545" s="1"/>
      <c r="D545" s="1"/>
      <c r="E545" s="65" t="s">
        <v>7</v>
      </c>
      <c r="F545" s="1"/>
      <c r="G545" s="1"/>
      <c r="H545" s="1"/>
      <c r="I545" s="65" t="s">
        <v>7</v>
      </c>
      <c r="J545" s="1"/>
      <c r="K545" s="1"/>
      <c r="L545" s="1"/>
      <c r="M545" s="65" t="s">
        <v>7</v>
      </c>
      <c r="N545" s="1"/>
      <c r="O545" s="1"/>
      <c r="P545" s="1"/>
      <c r="Q545" s="65" t="s">
        <v>7</v>
      </c>
      <c r="R545" s="305" t="s">
        <v>7</v>
      </c>
    </row>
    <row r="546" spans="1:20" ht="15.75" customHeight="1" x14ac:dyDescent="0.3">
      <c r="A546" s="17" t="s">
        <v>55</v>
      </c>
      <c r="B546" s="1"/>
      <c r="C546" s="1"/>
      <c r="D546" s="1"/>
      <c r="E546" s="59" t="s">
        <v>7</v>
      </c>
      <c r="F546" s="1"/>
      <c r="G546" s="1"/>
      <c r="H546" s="1"/>
      <c r="I546" s="59" t="s">
        <v>7</v>
      </c>
      <c r="J546" s="1"/>
      <c r="K546" s="1"/>
      <c r="L546" s="1"/>
      <c r="M546" s="59" t="s">
        <v>7</v>
      </c>
      <c r="N546" s="1"/>
      <c r="O546" s="1"/>
      <c r="P546" s="1"/>
      <c r="Q546" s="59" t="s">
        <v>7</v>
      </c>
      <c r="R546" s="305" t="s">
        <v>7</v>
      </c>
    </row>
    <row r="547" spans="1:20" ht="15.75" customHeight="1" x14ac:dyDescent="0.3">
      <c r="A547" s="74" t="s">
        <v>500</v>
      </c>
      <c r="B547" s="1">
        <v>205</v>
      </c>
      <c r="C547" s="1">
        <v>125</v>
      </c>
      <c r="D547" s="1">
        <v>2400</v>
      </c>
      <c r="E547" s="59">
        <f>SUM(B547:D547)</f>
        <v>2730</v>
      </c>
      <c r="F547" s="1">
        <v>2800</v>
      </c>
      <c r="G547" s="1">
        <v>2572</v>
      </c>
      <c r="H547" s="1">
        <v>7000</v>
      </c>
      <c r="I547" s="59">
        <f>SUM(F547:H547)</f>
        <v>12372</v>
      </c>
      <c r="J547" s="1">
        <v>5324</v>
      </c>
      <c r="K547" s="1">
        <v>4246</v>
      </c>
      <c r="L547" s="1">
        <v>900</v>
      </c>
      <c r="M547" s="59">
        <f>SUM(J547:L547)</f>
        <v>10470</v>
      </c>
      <c r="N547" s="1">
        <v>456</v>
      </c>
      <c r="O547" s="1">
        <v>40</v>
      </c>
      <c r="P547" s="1">
        <v>40</v>
      </c>
      <c r="Q547" s="59">
        <f>SUM(N547:P547)</f>
        <v>536</v>
      </c>
      <c r="R547" s="59">
        <f>+E547+I547+M547+Q547</f>
        <v>26108</v>
      </c>
      <c r="S547" s="4">
        <f>+SUM(R547,R505,R379)</f>
        <v>85997</v>
      </c>
      <c r="T547" s="4" t="s">
        <v>501</v>
      </c>
    </row>
    <row r="548" spans="1:20" ht="15.75" customHeight="1" x14ac:dyDescent="0.3">
      <c r="A548" s="74" t="s">
        <v>502</v>
      </c>
      <c r="B548" s="1"/>
      <c r="C548" s="1"/>
      <c r="D548" s="1"/>
      <c r="E548" s="59">
        <f>SUM(B548:D548)</f>
        <v>0</v>
      </c>
      <c r="F548" s="1"/>
      <c r="G548" s="1"/>
      <c r="H548" s="1"/>
      <c r="I548" s="59">
        <f>SUM(F548:H548)</f>
        <v>0</v>
      </c>
      <c r="J548" s="1"/>
      <c r="K548" s="1"/>
      <c r="L548" s="1"/>
      <c r="M548" s="59">
        <f>SUM(J548:L548)</f>
        <v>0</v>
      </c>
      <c r="N548" s="1"/>
      <c r="O548" s="1"/>
      <c r="P548" s="1"/>
      <c r="Q548" s="59">
        <f>SUM(N548:P548)</f>
        <v>0</v>
      </c>
      <c r="R548" s="59">
        <f>+E548+I548+M548+Q548</f>
        <v>0</v>
      </c>
    </row>
    <row r="549" spans="1:20" ht="15.75" customHeight="1" thickBot="1" x14ac:dyDescent="0.35">
      <c r="A549" s="17" t="s">
        <v>56</v>
      </c>
      <c r="B549" s="1"/>
      <c r="C549" s="1"/>
      <c r="D549" s="1"/>
      <c r="E549" s="59" t="s">
        <v>7</v>
      </c>
      <c r="F549" s="1"/>
      <c r="G549" s="1"/>
      <c r="H549" s="1"/>
      <c r="I549" s="59" t="s">
        <v>7</v>
      </c>
      <c r="J549" s="1"/>
      <c r="K549" s="1"/>
      <c r="L549" s="1"/>
      <c r="M549" s="59" t="s">
        <v>7</v>
      </c>
      <c r="N549" s="1"/>
      <c r="O549" s="1"/>
      <c r="P549" s="1"/>
      <c r="Q549" s="59" t="s">
        <v>7</v>
      </c>
      <c r="R549" s="305" t="s">
        <v>7</v>
      </c>
    </row>
    <row r="550" spans="1:20" ht="16.5" customHeight="1" thickBot="1" x14ac:dyDescent="0.35">
      <c r="A550" s="62" t="s">
        <v>57</v>
      </c>
      <c r="B550" s="100">
        <f>SUM(B545:B549)</f>
        <v>205</v>
      </c>
      <c r="C550" s="101">
        <f>SUM(C545:C549)</f>
        <v>125</v>
      </c>
      <c r="D550" s="101">
        <f>SUM(D545:D549)</f>
        <v>2400</v>
      </c>
      <c r="E550" s="64">
        <f>SUM(B550:D550)</f>
        <v>2730</v>
      </c>
      <c r="F550" s="101">
        <f>SUM(F545:F549)</f>
        <v>2800</v>
      </c>
      <c r="G550" s="101">
        <f>SUM(G545:G549)</f>
        <v>2572</v>
      </c>
      <c r="H550" s="101">
        <f>SUM(H545:H549)</f>
        <v>7000</v>
      </c>
      <c r="I550" s="64">
        <f>SUM(F550:H550)</f>
        <v>12372</v>
      </c>
      <c r="J550" s="101">
        <f>SUM(J545:J549)</f>
        <v>5324</v>
      </c>
      <c r="K550" s="101">
        <f>SUM(K545:K549)</f>
        <v>4246</v>
      </c>
      <c r="L550" s="101">
        <f>SUM(L545:L549)</f>
        <v>900</v>
      </c>
      <c r="M550" s="64">
        <f>SUM(J550:L550)</f>
        <v>10470</v>
      </c>
      <c r="N550" s="101">
        <f>SUM(N545:N549)</f>
        <v>456</v>
      </c>
      <c r="O550" s="101">
        <f>SUM(O545:O549)</f>
        <v>40</v>
      </c>
      <c r="P550" s="101">
        <f>SUM(P545:P549)</f>
        <v>40</v>
      </c>
      <c r="Q550" s="64">
        <f>SUM(N550:P550)</f>
        <v>536</v>
      </c>
      <c r="R550" s="64">
        <f>+E550+I550+M550+Q550</f>
        <v>26108</v>
      </c>
    </row>
    <row r="551" spans="1:20" ht="15.75" customHeight="1" x14ac:dyDescent="0.3">
      <c r="A551" s="17" t="s">
        <v>58</v>
      </c>
      <c r="B551" s="1"/>
      <c r="C551" s="1"/>
      <c r="D551" s="1"/>
      <c r="E551" s="59" t="s">
        <v>7</v>
      </c>
      <c r="F551" s="1"/>
      <c r="G551" s="1"/>
      <c r="H551" s="1"/>
      <c r="I551" s="59" t="s">
        <v>7</v>
      </c>
      <c r="J551" s="1"/>
      <c r="K551" s="1"/>
      <c r="L551" s="1"/>
      <c r="M551" s="59" t="s">
        <v>7</v>
      </c>
      <c r="N551" s="1"/>
      <c r="O551" s="1"/>
      <c r="P551" s="1"/>
      <c r="Q551" s="59" t="s">
        <v>7</v>
      </c>
      <c r="R551" s="59" t="s">
        <v>7</v>
      </c>
    </row>
    <row r="552" spans="1:20" ht="15.75" customHeight="1" x14ac:dyDescent="0.3">
      <c r="A552" s="17" t="s">
        <v>59</v>
      </c>
      <c r="B552" s="1"/>
      <c r="C552" s="1"/>
      <c r="D552" s="1"/>
      <c r="E552" s="59" t="s">
        <v>7</v>
      </c>
      <c r="F552" s="1"/>
      <c r="G552" s="1"/>
      <c r="H552" s="1"/>
      <c r="I552" s="59" t="s">
        <v>7</v>
      </c>
      <c r="J552" s="1"/>
      <c r="K552" s="1"/>
      <c r="L552" s="1"/>
      <c r="M552" s="59" t="s">
        <v>7</v>
      </c>
      <c r="N552" s="1"/>
      <c r="O552" s="1"/>
      <c r="P552" s="1"/>
      <c r="Q552" s="59" t="s">
        <v>7</v>
      </c>
      <c r="R552" s="59" t="s">
        <v>7</v>
      </c>
    </row>
    <row r="553" spans="1:20" ht="15.75" customHeight="1" x14ac:dyDescent="0.3">
      <c r="A553" s="17" t="s">
        <v>60</v>
      </c>
      <c r="B553" s="1"/>
      <c r="C553" s="1"/>
      <c r="D553" s="1"/>
      <c r="E553" s="59" t="s">
        <v>7</v>
      </c>
      <c r="F553" s="1"/>
      <c r="G553" s="1"/>
      <c r="H553" s="1"/>
      <c r="I553" s="59" t="s">
        <v>7</v>
      </c>
      <c r="J553" s="1"/>
      <c r="K553" s="1"/>
      <c r="L553" s="1"/>
      <c r="M553" s="59" t="s">
        <v>7</v>
      </c>
      <c r="N553" s="1"/>
      <c r="O553" s="1"/>
      <c r="P553" s="1"/>
      <c r="Q553" s="59" t="s">
        <v>7</v>
      </c>
      <c r="R553" s="59" t="s">
        <v>7</v>
      </c>
    </row>
    <row r="554" spans="1:20" ht="15.75" customHeight="1" thickBot="1" x14ac:dyDescent="0.35">
      <c r="A554" s="103" t="s">
        <v>856</v>
      </c>
      <c r="B554" s="1"/>
      <c r="C554" s="1"/>
      <c r="D554" s="1"/>
      <c r="E554" s="59">
        <f>SUM(B554:D554)</f>
        <v>0</v>
      </c>
      <c r="F554" s="1"/>
      <c r="G554" s="1"/>
      <c r="H554" s="1"/>
      <c r="I554" s="59">
        <f>SUM(F554:H554)</f>
        <v>0</v>
      </c>
      <c r="J554" s="1"/>
      <c r="K554" s="1"/>
      <c r="L554" s="1"/>
      <c r="M554" s="59">
        <f>SUM(J554:L554)</f>
        <v>0</v>
      </c>
      <c r="N554" s="1"/>
      <c r="O554" s="1"/>
      <c r="P554" s="1"/>
      <c r="Q554" s="59">
        <f>SUM(N554:P554)</f>
        <v>0</v>
      </c>
      <c r="R554" s="59">
        <f>+E554+I554+M554+Q554</f>
        <v>0</v>
      </c>
      <c r="T554" s="4" t="s">
        <v>368</v>
      </c>
    </row>
    <row r="555" spans="1:20" ht="16.5" customHeight="1" thickBot="1" x14ac:dyDescent="0.35">
      <c r="A555" s="137" t="s">
        <v>61</v>
      </c>
      <c r="B555" s="100">
        <f>SUM(B551:B554)</f>
        <v>0</v>
      </c>
      <c r="C555" s="101">
        <f>SUM(C551:C554)</f>
        <v>0</v>
      </c>
      <c r="D555" s="101">
        <f>SUM(D551:D554)</f>
        <v>0</v>
      </c>
      <c r="E555" s="64">
        <f>SUM(B555:D555)</f>
        <v>0</v>
      </c>
      <c r="F555" s="101">
        <f>SUM(F551:F554)</f>
        <v>0</v>
      </c>
      <c r="G555" s="101">
        <f>SUM(G551:G554)</f>
        <v>0</v>
      </c>
      <c r="H555" s="101">
        <f>SUM(H551:H554)</f>
        <v>0</v>
      </c>
      <c r="I555" s="64">
        <f>SUM(F555:H555)</f>
        <v>0</v>
      </c>
      <c r="J555" s="101">
        <f>SUM(J551:J554)</f>
        <v>0</v>
      </c>
      <c r="K555" s="101">
        <f>SUM(K551:K554)</f>
        <v>0</v>
      </c>
      <c r="L555" s="101">
        <f>SUM(L551:L554)</f>
        <v>0</v>
      </c>
      <c r="M555" s="64">
        <f>SUM(J555:L555)</f>
        <v>0</v>
      </c>
      <c r="N555" s="101">
        <f>SUM(N551:N554)</f>
        <v>0</v>
      </c>
      <c r="O555" s="101">
        <f>SUM(O551:O554)</f>
        <v>0</v>
      </c>
      <c r="P555" s="101">
        <f>SUM(P551:P554)</f>
        <v>0</v>
      </c>
      <c r="Q555" s="64">
        <f>SUM(N555:P555)</f>
        <v>0</v>
      </c>
      <c r="R555" s="64">
        <f>+E555+I555+M555+Q555</f>
        <v>0</v>
      </c>
    </row>
    <row r="556" spans="1:20" ht="15.75" customHeight="1" x14ac:dyDescent="0.3">
      <c r="A556" s="17" t="s">
        <v>62</v>
      </c>
      <c r="B556" s="1"/>
      <c r="C556" s="1"/>
      <c r="D556" s="1"/>
      <c r="E556" s="59" t="s">
        <v>7</v>
      </c>
      <c r="F556" s="1"/>
      <c r="G556" s="1"/>
      <c r="H556" s="1"/>
      <c r="I556" s="59" t="s">
        <v>7</v>
      </c>
      <c r="J556" s="1"/>
      <c r="K556" s="1"/>
      <c r="L556" s="1"/>
      <c r="M556" s="59" t="s">
        <v>7</v>
      </c>
      <c r="N556" s="1"/>
      <c r="O556" s="1"/>
      <c r="P556" s="1"/>
      <c r="Q556" s="59" t="s">
        <v>7</v>
      </c>
      <c r="R556" s="59" t="s">
        <v>7</v>
      </c>
    </row>
    <row r="557" spans="1:20" ht="15.75" customHeight="1" x14ac:dyDescent="0.3">
      <c r="A557" s="17" t="s">
        <v>63</v>
      </c>
      <c r="B557" s="1"/>
      <c r="C557" s="1"/>
      <c r="D557" s="1"/>
      <c r="E557" s="59" t="s">
        <v>7</v>
      </c>
      <c r="F557" s="1"/>
      <c r="G557" s="1"/>
      <c r="H557" s="1"/>
      <c r="I557" s="59" t="s">
        <v>7</v>
      </c>
      <c r="J557" s="1"/>
      <c r="K557" s="1"/>
      <c r="L557" s="1"/>
      <c r="M557" s="59" t="s">
        <v>7</v>
      </c>
      <c r="N557" s="1"/>
      <c r="O557" s="1"/>
      <c r="P557" s="1"/>
      <c r="Q557" s="59" t="s">
        <v>7</v>
      </c>
      <c r="R557" s="59" t="s">
        <v>7</v>
      </c>
    </row>
    <row r="558" spans="1:20" ht="15.75" customHeight="1" x14ac:dyDescent="0.3">
      <c r="A558" s="17" t="s">
        <v>64</v>
      </c>
      <c r="B558" s="1"/>
      <c r="C558" s="1"/>
      <c r="D558" s="1"/>
      <c r="E558" s="59" t="s">
        <v>7</v>
      </c>
      <c r="F558" s="1"/>
      <c r="G558" s="1"/>
      <c r="H558" s="1"/>
      <c r="I558" s="59" t="s">
        <v>7</v>
      </c>
      <c r="J558" s="1"/>
      <c r="K558" s="1"/>
      <c r="L558" s="1"/>
      <c r="M558" s="59" t="s">
        <v>7</v>
      </c>
      <c r="N558" s="1"/>
      <c r="O558" s="1"/>
      <c r="P558" s="1"/>
      <c r="Q558" s="59" t="s">
        <v>7</v>
      </c>
      <c r="R558" s="59" t="s">
        <v>7</v>
      </c>
    </row>
    <row r="559" spans="1:20" ht="15.75" customHeight="1" x14ac:dyDescent="0.3">
      <c r="A559" s="17" t="s">
        <v>66</v>
      </c>
      <c r="B559" s="1"/>
      <c r="C559" s="1"/>
      <c r="D559" s="1"/>
      <c r="E559" s="59" t="s">
        <v>7</v>
      </c>
      <c r="F559" s="1"/>
      <c r="G559" s="1"/>
      <c r="H559" s="1"/>
      <c r="I559" s="59" t="s">
        <v>7</v>
      </c>
      <c r="J559" s="1"/>
      <c r="K559" s="1"/>
      <c r="L559" s="1"/>
      <c r="M559" s="59" t="s">
        <v>7</v>
      </c>
      <c r="N559" s="1"/>
      <c r="O559" s="1"/>
      <c r="P559" s="1"/>
      <c r="Q559" s="59" t="s">
        <v>7</v>
      </c>
      <c r="R559" s="59" t="s">
        <v>7</v>
      </c>
    </row>
    <row r="560" spans="1:20" ht="15.75" customHeight="1" x14ac:dyDescent="0.3">
      <c r="A560" s="74" t="s">
        <v>503</v>
      </c>
      <c r="B560" s="1"/>
      <c r="C560" s="1"/>
      <c r="D560" s="1"/>
      <c r="E560" s="59">
        <f>SUM(B560:D560)</f>
        <v>0</v>
      </c>
      <c r="F560" s="1"/>
      <c r="G560" s="1"/>
      <c r="H560" s="1"/>
      <c r="I560" s="59">
        <f>SUM(F560:H560)</f>
        <v>0</v>
      </c>
      <c r="J560" s="1"/>
      <c r="K560" s="1"/>
      <c r="L560" s="1"/>
      <c r="M560" s="59">
        <f>SUM(J560:L560)</f>
        <v>0</v>
      </c>
      <c r="N560" s="1"/>
      <c r="O560" s="1"/>
      <c r="P560" s="1"/>
      <c r="Q560" s="59">
        <f>SUM(N560:P560)</f>
        <v>0</v>
      </c>
      <c r="R560" s="59">
        <f>+E560+I560+M560+Q560</f>
        <v>0</v>
      </c>
    </row>
    <row r="561" spans="1:20" ht="15.75" customHeight="1" x14ac:dyDescent="0.3">
      <c r="A561" s="17" t="s">
        <v>67</v>
      </c>
      <c r="B561" s="1"/>
      <c r="C561" s="1"/>
      <c r="D561" s="1"/>
      <c r="E561" s="59"/>
      <c r="F561" s="1"/>
      <c r="G561" s="1"/>
      <c r="H561" s="1"/>
      <c r="I561" s="59"/>
      <c r="J561" s="1"/>
      <c r="K561" s="1"/>
      <c r="L561" s="1"/>
      <c r="M561" s="59"/>
      <c r="N561" s="1"/>
      <c r="O561" s="1"/>
      <c r="P561" s="1"/>
      <c r="Q561" s="59"/>
      <c r="R561" s="59" t="s">
        <v>7</v>
      </c>
    </row>
    <row r="562" spans="1:20" ht="15.75" customHeight="1" x14ac:dyDescent="0.3">
      <c r="A562" s="74" t="s">
        <v>460</v>
      </c>
      <c r="B562" s="1"/>
      <c r="C562" s="1"/>
      <c r="D562" s="1"/>
      <c r="E562" s="59">
        <f t="shared" ref="E562:E569" si="208">SUM(B562:D562)</f>
        <v>0</v>
      </c>
      <c r="F562" s="1"/>
      <c r="G562" s="1"/>
      <c r="H562" s="1"/>
      <c r="I562" s="59">
        <f t="shared" ref="I562:I569" si="209">SUM(F562:H562)</f>
        <v>0</v>
      </c>
      <c r="J562" s="1"/>
      <c r="K562" s="1"/>
      <c r="L562" s="1"/>
      <c r="M562" s="59">
        <f t="shared" ref="M562:M569" si="210">SUM(J562:L562)</f>
        <v>0</v>
      </c>
      <c r="N562" s="1"/>
      <c r="O562" s="1"/>
      <c r="P562" s="1"/>
      <c r="Q562" s="59">
        <f t="shared" ref="Q562:Q569" si="211">SUM(N562:P562)</f>
        <v>0</v>
      </c>
      <c r="R562" s="59">
        <f t="shared" ref="R562:R569" si="212">+E562+I562+M562+Q562</f>
        <v>0</v>
      </c>
      <c r="T562" s="4" t="s">
        <v>368</v>
      </c>
    </row>
    <row r="563" spans="1:20" ht="15.75" customHeight="1" x14ac:dyDescent="0.3">
      <c r="A563" s="74" t="s">
        <v>504</v>
      </c>
      <c r="B563" s="1"/>
      <c r="C563" s="1"/>
      <c r="D563" s="1"/>
      <c r="E563" s="59">
        <f>SUM(B563:D563)</f>
        <v>0</v>
      </c>
      <c r="F563" s="1"/>
      <c r="G563" s="1"/>
      <c r="H563" s="1"/>
      <c r="I563" s="59">
        <f>SUM(F563:H563)</f>
        <v>0</v>
      </c>
      <c r="J563" s="1"/>
      <c r="K563" s="1"/>
      <c r="L563" s="1"/>
      <c r="M563" s="59">
        <f>SUM(J563:L563)</f>
        <v>0</v>
      </c>
      <c r="N563" s="1"/>
      <c r="O563" s="1"/>
      <c r="P563" s="1"/>
      <c r="Q563" s="59">
        <f>SUM(N563:P563)</f>
        <v>0</v>
      </c>
      <c r="R563" s="59">
        <f>+E563+I563+M563+Q563</f>
        <v>0</v>
      </c>
      <c r="T563" s="4" t="s">
        <v>368</v>
      </c>
    </row>
    <row r="564" spans="1:20" ht="15.75" customHeight="1" x14ac:dyDescent="0.3">
      <c r="A564" s="74" t="s">
        <v>505</v>
      </c>
      <c r="B564" s="1"/>
      <c r="C564" s="1"/>
      <c r="D564" s="1"/>
      <c r="E564" s="59">
        <f t="shared" ref="E564" si="213">SUM(B564:D564)</f>
        <v>0</v>
      </c>
      <c r="F564" s="1"/>
      <c r="G564" s="1"/>
      <c r="H564" s="1"/>
      <c r="I564" s="59">
        <f t="shared" ref="I564" si="214">SUM(F564:H564)</f>
        <v>0</v>
      </c>
      <c r="J564" s="1"/>
      <c r="K564" s="1">
        <v>500</v>
      </c>
      <c r="L564" s="1"/>
      <c r="M564" s="59">
        <f t="shared" ref="M564" si="215">SUM(J564:L564)</f>
        <v>500</v>
      </c>
      <c r="N564" s="1"/>
      <c r="O564" s="1"/>
      <c r="P564" s="1"/>
      <c r="Q564" s="59">
        <f t="shared" ref="Q564" si="216">SUM(N564:P564)</f>
        <v>0</v>
      </c>
      <c r="R564" s="59">
        <f t="shared" ref="R564" si="217">+E564+I564+M564+Q564</f>
        <v>500</v>
      </c>
    </row>
    <row r="565" spans="1:20" ht="15.75" customHeight="1" thickBot="1" x14ac:dyDescent="0.35">
      <c r="A565" s="74" t="s">
        <v>506</v>
      </c>
      <c r="B565" s="1"/>
      <c r="C565" s="1"/>
      <c r="D565" s="1"/>
      <c r="E565" s="59">
        <f t="shared" si="208"/>
        <v>0</v>
      </c>
      <c r="F565" s="1"/>
      <c r="G565" s="1"/>
      <c r="H565" s="1"/>
      <c r="I565" s="59">
        <f t="shared" si="209"/>
        <v>0</v>
      </c>
      <c r="J565" s="1"/>
      <c r="K565" s="1"/>
      <c r="L565" s="1"/>
      <c r="M565" s="59">
        <f t="shared" si="210"/>
        <v>0</v>
      </c>
      <c r="N565" s="1"/>
      <c r="O565" s="1"/>
      <c r="P565" s="1"/>
      <c r="Q565" s="59">
        <f t="shared" si="211"/>
        <v>0</v>
      </c>
      <c r="R565" s="59">
        <f t="shared" si="212"/>
        <v>0</v>
      </c>
    </row>
    <row r="566" spans="1:20" ht="16.5" customHeight="1" thickBot="1" x14ac:dyDescent="0.35">
      <c r="A566" s="62" t="s">
        <v>68</v>
      </c>
      <c r="B566" s="63">
        <f>SUM(B559:B565)</f>
        <v>0</v>
      </c>
      <c r="C566" s="63">
        <f>SUM(C559:C565)</f>
        <v>0</v>
      </c>
      <c r="D566" s="63">
        <f>SUM(D559:D565)</f>
        <v>0</v>
      </c>
      <c r="E566" s="65">
        <f t="shared" si="208"/>
        <v>0</v>
      </c>
      <c r="F566" s="63">
        <f>SUM(F559:F565)</f>
        <v>0</v>
      </c>
      <c r="G566" s="63">
        <f>SUM(G559:G565)</f>
        <v>0</v>
      </c>
      <c r="H566" s="63">
        <f>SUM(H559:H565)</f>
        <v>0</v>
      </c>
      <c r="I566" s="65">
        <f t="shared" si="209"/>
        <v>0</v>
      </c>
      <c r="J566" s="63">
        <f>SUM(J559:J565)</f>
        <v>0</v>
      </c>
      <c r="K566" s="63">
        <f>SUM(K559:K565)</f>
        <v>500</v>
      </c>
      <c r="L566" s="63">
        <f>SUM(L559:L565)</f>
        <v>0</v>
      </c>
      <c r="M566" s="65">
        <f t="shared" si="210"/>
        <v>500</v>
      </c>
      <c r="N566" s="63">
        <f>SUM(N559:N565)</f>
        <v>0</v>
      </c>
      <c r="O566" s="63">
        <f>SUM(O559:O565)</f>
        <v>0</v>
      </c>
      <c r="P566" s="63">
        <f>SUM(P559:P565)</f>
        <v>0</v>
      </c>
      <c r="Q566" s="65">
        <f t="shared" si="211"/>
        <v>0</v>
      </c>
      <c r="R566" s="64">
        <f t="shared" si="212"/>
        <v>500</v>
      </c>
    </row>
    <row r="567" spans="1:20" ht="16.5" customHeight="1" thickBot="1" x14ac:dyDescent="0.35">
      <c r="A567" s="137" t="s">
        <v>69</v>
      </c>
      <c r="B567" s="100">
        <f>SUM(B556:B565)</f>
        <v>0</v>
      </c>
      <c r="C567" s="101">
        <f>SUM(C556:C565)</f>
        <v>0</v>
      </c>
      <c r="D567" s="138">
        <f>SUM(D556:D565)</f>
        <v>0</v>
      </c>
      <c r="E567" s="65">
        <f t="shared" si="208"/>
        <v>0</v>
      </c>
      <c r="F567" s="101">
        <f>SUM(F556:F565)</f>
        <v>0</v>
      </c>
      <c r="G567" s="101">
        <f>SUM(G556:G565)</f>
        <v>0</v>
      </c>
      <c r="H567" s="101">
        <f>SUM(H556:H565)</f>
        <v>0</v>
      </c>
      <c r="I567" s="65">
        <f t="shared" si="209"/>
        <v>0</v>
      </c>
      <c r="J567" s="101">
        <f>SUM(J556:J565)</f>
        <v>0</v>
      </c>
      <c r="K567" s="101">
        <f>SUM(K556:K565)</f>
        <v>500</v>
      </c>
      <c r="L567" s="101">
        <f>SUM(L556:L565)</f>
        <v>0</v>
      </c>
      <c r="M567" s="65">
        <f t="shared" si="210"/>
        <v>500</v>
      </c>
      <c r="N567" s="101">
        <f>SUM(N556:N565)</f>
        <v>0</v>
      </c>
      <c r="O567" s="101">
        <f>SUM(O556:O565)</f>
        <v>0</v>
      </c>
      <c r="P567" s="101">
        <f>SUM(P556:P565)</f>
        <v>0</v>
      </c>
      <c r="Q567" s="65">
        <f t="shared" si="211"/>
        <v>0</v>
      </c>
      <c r="R567" s="64">
        <f t="shared" si="212"/>
        <v>500</v>
      </c>
    </row>
    <row r="568" spans="1:20" ht="16.5" customHeight="1" thickBot="1" x14ac:dyDescent="0.35">
      <c r="A568" s="62" t="s">
        <v>70</v>
      </c>
      <c r="B568" s="107">
        <f>+B544+B550+B555+B567</f>
        <v>205</v>
      </c>
      <c r="C568" s="63">
        <f>+C544+C550+C555+C567</f>
        <v>625</v>
      </c>
      <c r="D568" s="63">
        <f>+D544+D550+D555+D567</f>
        <v>3150</v>
      </c>
      <c r="E568" s="64">
        <f t="shared" si="208"/>
        <v>3980</v>
      </c>
      <c r="F568" s="63">
        <f>+F544+F550+F555+F567</f>
        <v>3550</v>
      </c>
      <c r="G568" s="63">
        <f>+G544+G550+G555+G567</f>
        <v>2822</v>
      </c>
      <c r="H568" s="63">
        <f>+H544+H550+H555+H567</f>
        <v>8250</v>
      </c>
      <c r="I568" s="64">
        <f t="shared" si="209"/>
        <v>14622</v>
      </c>
      <c r="J568" s="63">
        <f>+J544+J550+J555+J567</f>
        <v>6324</v>
      </c>
      <c r="K568" s="63">
        <f>+K544+K550+K555+K567</f>
        <v>5746</v>
      </c>
      <c r="L568" s="63">
        <f>+L544+L550+L555+L567</f>
        <v>2100</v>
      </c>
      <c r="M568" s="64">
        <f t="shared" si="210"/>
        <v>14170</v>
      </c>
      <c r="N568" s="63">
        <f>+N544+N550+N555+N567</f>
        <v>956</v>
      </c>
      <c r="O568" s="63">
        <f>+O544+O550+O555+O567</f>
        <v>40</v>
      </c>
      <c r="P568" s="63">
        <f>+P544+P550+P555+P567</f>
        <v>40</v>
      </c>
      <c r="Q568" s="64">
        <f t="shared" si="211"/>
        <v>1036</v>
      </c>
      <c r="R568" s="88">
        <f t="shared" si="212"/>
        <v>33808</v>
      </c>
    </row>
    <row r="569" spans="1:20" ht="16.5" customHeight="1" thickBot="1" x14ac:dyDescent="0.35">
      <c r="A569" s="40" t="s">
        <v>37</v>
      </c>
      <c r="B569" s="25">
        <v>23</v>
      </c>
      <c r="C569" s="25">
        <v>43</v>
      </c>
      <c r="D569" s="25">
        <v>66</v>
      </c>
      <c r="E569" s="88">
        <f t="shared" si="208"/>
        <v>132</v>
      </c>
      <c r="F569" s="25">
        <v>91</v>
      </c>
      <c r="G569" s="25">
        <v>108</v>
      </c>
      <c r="H569" s="25">
        <v>109</v>
      </c>
      <c r="I569" s="88">
        <f t="shared" si="209"/>
        <v>308</v>
      </c>
      <c r="J569" s="25">
        <v>104</v>
      </c>
      <c r="K569" s="25">
        <v>79</v>
      </c>
      <c r="L569" s="25">
        <v>80</v>
      </c>
      <c r="M569" s="88">
        <f t="shared" si="210"/>
        <v>263</v>
      </c>
      <c r="N569" s="25">
        <v>74</v>
      </c>
      <c r="O569" s="25">
        <v>58</v>
      </c>
      <c r="P569" s="25">
        <v>42</v>
      </c>
      <c r="Q569" s="88">
        <f t="shared" si="211"/>
        <v>174</v>
      </c>
      <c r="R569" s="59">
        <f t="shared" si="212"/>
        <v>877</v>
      </c>
    </row>
    <row r="570" spans="1:20" ht="16.5" customHeight="1" thickBot="1" x14ac:dyDescent="0.35">
      <c r="A570" s="42"/>
      <c r="B570" s="37"/>
      <c r="C570" s="37"/>
      <c r="D570" s="37"/>
      <c r="E570" s="43"/>
      <c r="F570" s="37"/>
      <c r="G570" s="37"/>
      <c r="H570" s="37"/>
      <c r="I570" s="147"/>
      <c r="J570" s="37"/>
      <c r="K570" s="37"/>
      <c r="L570" s="37"/>
      <c r="M570" s="147"/>
      <c r="N570" s="37"/>
      <c r="O570" s="37"/>
      <c r="P570" s="37"/>
      <c r="Q570" s="147"/>
      <c r="R570" s="43"/>
    </row>
    <row r="571" spans="1:20" ht="15.75" customHeight="1" x14ac:dyDescent="0.3">
      <c r="A571" s="17" t="s">
        <v>507</v>
      </c>
      <c r="B571" s="83">
        <f>SUM(B568:B569)</f>
        <v>228</v>
      </c>
      <c r="C571" s="83">
        <f>SUM(C568:C569)</f>
        <v>668</v>
      </c>
      <c r="D571" s="83">
        <f>SUM(D568:D569)</f>
        <v>3216</v>
      </c>
      <c r="E571" s="65">
        <f>SUM(B571:D571)</f>
        <v>4112</v>
      </c>
      <c r="F571" s="83">
        <f>SUM(F568:F569)</f>
        <v>3641</v>
      </c>
      <c r="G571" s="83">
        <f>SUM(G568:G569)</f>
        <v>2930</v>
      </c>
      <c r="H571" s="83">
        <f>SUM(H568:H569)</f>
        <v>8359</v>
      </c>
      <c r="I571" s="65">
        <f>SUM(F571:H571)</f>
        <v>14930</v>
      </c>
      <c r="J571" s="83">
        <f>SUM(J568:J569)</f>
        <v>6428</v>
      </c>
      <c r="K571" s="83">
        <f>SUM(K568:K569)</f>
        <v>5825</v>
      </c>
      <c r="L571" s="83">
        <f>SUM(L568:L569)</f>
        <v>2180</v>
      </c>
      <c r="M571" s="65">
        <f>SUM(J571:L571)</f>
        <v>14433</v>
      </c>
      <c r="N571" s="83">
        <f>SUM(N568:N569)</f>
        <v>1030</v>
      </c>
      <c r="O571" s="83">
        <f>SUM(O568:O569)</f>
        <v>98</v>
      </c>
      <c r="P571" s="83">
        <f>SUM(P568:P569)</f>
        <v>82</v>
      </c>
      <c r="Q571" s="65">
        <f>SUM(N571:P571)</f>
        <v>1210</v>
      </c>
      <c r="R571" s="65">
        <f>+E571+I571+M571+Q571</f>
        <v>34685</v>
      </c>
    </row>
    <row r="572" spans="1:20" ht="15.75" customHeight="1" x14ac:dyDescent="0.3">
      <c r="A572" s="17" t="s">
        <v>39</v>
      </c>
      <c r="B572" s="1">
        <f>(B571/B10)/1.983</f>
        <v>3.7089453906593137</v>
      </c>
      <c r="C572" s="1">
        <f>(C571/C10)/1.983</f>
        <v>12.030833513435631</v>
      </c>
      <c r="D572" s="1">
        <f>(D571/D10)/1.983</f>
        <v>52.315650773510313</v>
      </c>
      <c r="E572" s="59" t="s">
        <v>7</v>
      </c>
      <c r="F572" s="1">
        <f>(F571/F10)/1.983</f>
        <v>61.203563624138503</v>
      </c>
      <c r="G572" s="1">
        <f>(G571/G10)/1.983</f>
        <v>47.66320173084118</v>
      </c>
      <c r="H572" s="1">
        <f>(H571/H10)/1.983</f>
        <v>140.51101025382417</v>
      </c>
      <c r="I572" s="59" t="s">
        <v>7</v>
      </c>
      <c r="J572" s="1">
        <f>(J571/J10)/1.983</f>
        <v>104.56623232964064</v>
      </c>
      <c r="K572" s="1">
        <f>(K571/K10)/1.983</f>
        <v>94.757047809607471</v>
      </c>
      <c r="L572" s="1">
        <f>(L571/L10)/1.983</f>
        <v>36.644814254496552</v>
      </c>
      <c r="M572" s="59" t="s">
        <v>7</v>
      </c>
      <c r="N572" s="1">
        <f>(N571/N10)/1.983</f>
        <v>16.755323475346898</v>
      </c>
      <c r="O572" s="1">
        <f>(O571/O10)/1.983</f>
        <v>1.6473356866700284</v>
      </c>
      <c r="P572" s="1">
        <f>(P571/P10)/1.983</f>
        <v>1.3339189562897531</v>
      </c>
      <c r="Q572" s="59" t="s">
        <v>7</v>
      </c>
      <c r="R572" s="59" t="s">
        <v>7</v>
      </c>
    </row>
    <row r="573" spans="1:20" ht="15.75" customHeight="1" x14ac:dyDescent="0.3">
      <c r="A573" s="17" t="s">
        <v>508</v>
      </c>
      <c r="B573" s="1">
        <f>B571+B635</f>
        <v>19999</v>
      </c>
      <c r="C573" s="1">
        <f>C571+C635</f>
        <v>20791</v>
      </c>
      <c r="D573" s="1">
        <f>D571+D635</f>
        <v>25574</v>
      </c>
      <c r="E573" s="59">
        <f>SUM(B573:D573)</f>
        <v>66364</v>
      </c>
      <c r="F573" s="1">
        <f>F571+F635</f>
        <v>29039</v>
      </c>
      <c r="G573" s="1">
        <f>G571+G635</f>
        <v>29759</v>
      </c>
      <c r="H573" s="1">
        <f>H571+H635</f>
        <v>34909</v>
      </c>
      <c r="I573" s="59">
        <f>SUM(F573:H573)</f>
        <v>93707</v>
      </c>
      <c r="J573" s="1">
        <f>J571+J635</f>
        <v>35937</v>
      </c>
      <c r="K573" s="1">
        <f>K571+K635</f>
        <v>33824</v>
      </c>
      <c r="L573" s="1">
        <f>L571+L635</f>
        <v>26449</v>
      </c>
      <c r="M573" s="59">
        <f>SUM(J573:L573)</f>
        <v>96210</v>
      </c>
      <c r="N573" s="1">
        <f>N571+N635</f>
        <v>13164</v>
      </c>
      <c r="O573" s="1">
        <f>O571+O635</f>
        <v>5164</v>
      </c>
      <c r="P573" s="1">
        <f>P571+P635</f>
        <v>6089</v>
      </c>
      <c r="Q573" s="59">
        <f>SUM(N573:P573)</f>
        <v>24417</v>
      </c>
      <c r="R573" s="59">
        <f>+E573+I573+M573+Q573</f>
        <v>280698</v>
      </c>
    </row>
    <row r="574" spans="1:20" ht="16.5" customHeight="1" thickBot="1" x14ac:dyDescent="0.35">
      <c r="A574" s="24" t="s">
        <v>509</v>
      </c>
      <c r="B574" s="87">
        <f>(B573/B10)/1.983</f>
        <v>325.32981959559481</v>
      </c>
      <c r="C574" s="87">
        <f>(C573/C10)/1.983</f>
        <v>374.45068799077876</v>
      </c>
      <c r="D574" s="87">
        <f>(D573/D10)/1.983</f>
        <v>416.02004131895302</v>
      </c>
      <c r="E574" s="88" t="s">
        <v>7</v>
      </c>
      <c r="F574" s="87">
        <f>(F573/F10)/1.983</f>
        <v>488.1324592368465</v>
      </c>
      <c r="G574" s="87">
        <f>(G573/G10)/1.983</f>
        <v>484.09871000276542</v>
      </c>
      <c r="H574" s="87">
        <f>(H573/H10)/1.983</f>
        <v>586.80450495881666</v>
      </c>
      <c r="I574" s="88" t="s">
        <v>7</v>
      </c>
      <c r="J574" s="87">
        <f>(J573/J10)/1.983</f>
        <v>584.59811624615679</v>
      </c>
      <c r="K574" s="87">
        <f>(K573/K10)/1.983</f>
        <v>550.22530216517816</v>
      </c>
      <c r="L574" s="87">
        <f>(L573/L10)/1.983</f>
        <v>444.59573037485291</v>
      </c>
      <c r="M574" s="88" t="s">
        <v>7</v>
      </c>
      <c r="N574" s="87">
        <f>(N573/N10)/1.983</f>
        <v>214.14279439754037</v>
      </c>
      <c r="O574" s="87">
        <f>(O573/O10)/1.983</f>
        <v>86.804504958816594</v>
      </c>
      <c r="P574" s="87">
        <f>(P573/P10)/1.983</f>
        <v>99.051616156686663</v>
      </c>
      <c r="Q574" s="88" t="s">
        <v>7</v>
      </c>
      <c r="R574" s="88" t="s">
        <v>7</v>
      </c>
    </row>
    <row r="575" spans="1:20" ht="15.75" customHeight="1" x14ac:dyDescent="0.3">
      <c r="A575" s="28"/>
      <c r="B575" s="1"/>
      <c r="C575" s="1"/>
      <c r="D575" s="1"/>
      <c r="E575" s="1"/>
      <c r="F575" s="1"/>
      <c r="G575" s="1"/>
      <c r="H575" s="1"/>
      <c r="I575" s="1"/>
      <c r="J575" s="1"/>
      <c r="K575" s="1"/>
      <c r="L575" s="1"/>
      <c r="M575" s="1"/>
      <c r="N575" s="1"/>
      <c r="O575" s="1"/>
      <c r="P575" s="1"/>
      <c r="Q575" s="1"/>
      <c r="R575" s="28"/>
    </row>
    <row r="576" spans="1:20" ht="15.75" customHeight="1" thickBot="1" x14ac:dyDescent="0.35">
      <c r="A576" s="28"/>
      <c r="B576" s="1"/>
      <c r="C576" s="1"/>
      <c r="D576" s="1"/>
      <c r="E576" s="1"/>
      <c r="F576" s="1"/>
      <c r="G576" s="1"/>
      <c r="H576" s="1"/>
      <c r="I576" s="1"/>
      <c r="J576" s="1"/>
      <c r="K576" s="1"/>
      <c r="L576" s="1"/>
      <c r="M576" s="1"/>
      <c r="N576" s="1"/>
      <c r="O576" s="1"/>
      <c r="P576" s="1"/>
      <c r="Q576" s="1"/>
      <c r="R576" s="28"/>
    </row>
    <row r="577" spans="1:20" ht="16.5" customHeight="1" thickBot="1" x14ac:dyDescent="0.35">
      <c r="A577" s="145" t="s">
        <v>510</v>
      </c>
      <c r="B577" s="32" t="s">
        <v>36</v>
      </c>
      <c r="C577" s="33" t="s">
        <v>9</v>
      </c>
      <c r="D577" s="33" t="s">
        <v>10</v>
      </c>
      <c r="E577" s="12" t="s">
        <v>11</v>
      </c>
      <c r="F577" s="33" t="s">
        <v>12</v>
      </c>
      <c r="G577" s="33" t="s">
        <v>13</v>
      </c>
      <c r="H577" s="33" t="s">
        <v>14</v>
      </c>
      <c r="I577" s="34" t="s">
        <v>15</v>
      </c>
      <c r="J577" s="33" t="s">
        <v>16</v>
      </c>
      <c r="K577" s="33" t="s">
        <v>17</v>
      </c>
      <c r="L577" s="33" t="s">
        <v>18</v>
      </c>
      <c r="M577" s="34" t="s">
        <v>19</v>
      </c>
      <c r="N577" s="33" t="s">
        <v>20</v>
      </c>
      <c r="O577" s="33" t="s">
        <v>21</v>
      </c>
      <c r="P577" s="33" t="s">
        <v>22</v>
      </c>
      <c r="Q577" s="34" t="s">
        <v>23</v>
      </c>
      <c r="R577" s="35" t="s">
        <v>24</v>
      </c>
    </row>
    <row r="578" spans="1:20" ht="16.5" customHeight="1" thickBot="1" x14ac:dyDescent="0.35">
      <c r="A578" s="64"/>
      <c r="B578" s="81"/>
      <c r="C578" s="81"/>
      <c r="D578" s="81"/>
      <c r="E578" s="72"/>
      <c r="F578" s="81"/>
      <c r="G578" s="81"/>
      <c r="H578" s="81"/>
      <c r="I578" s="89"/>
      <c r="J578" s="81"/>
      <c r="K578" s="81"/>
      <c r="L578" s="81"/>
      <c r="M578" s="89"/>
      <c r="N578" s="81"/>
      <c r="O578" s="81"/>
      <c r="P578" s="81"/>
      <c r="Q578" s="89"/>
      <c r="R578" s="117"/>
    </row>
    <row r="579" spans="1:20" ht="15.75" customHeight="1" x14ac:dyDescent="0.3">
      <c r="A579" s="17" t="s">
        <v>45</v>
      </c>
      <c r="B579" s="1"/>
      <c r="C579" s="1"/>
      <c r="D579" s="1"/>
      <c r="E579" s="59" t="s">
        <v>7</v>
      </c>
      <c r="F579" s="1"/>
      <c r="G579" s="1"/>
      <c r="H579" s="1"/>
      <c r="I579" s="59" t="s">
        <v>7</v>
      </c>
      <c r="J579" s="1" t="s">
        <v>7</v>
      </c>
      <c r="K579" s="1" t="s">
        <v>7</v>
      </c>
      <c r="L579" s="1" t="s">
        <v>7</v>
      </c>
      <c r="M579" s="59" t="s">
        <v>7</v>
      </c>
      <c r="N579" s="1" t="s">
        <v>7</v>
      </c>
      <c r="O579" s="1" t="s">
        <v>7</v>
      </c>
      <c r="P579" s="1" t="s">
        <v>7</v>
      </c>
      <c r="Q579" s="59" t="s">
        <v>7</v>
      </c>
      <c r="R579" s="59" t="s">
        <v>7</v>
      </c>
    </row>
    <row r="580" spans="1:20" ht="15.75" customHeight="1" x14ac:dyDescent="0.3">
      <c r="A580" s="17" t="s">
        <v>46</v>
      </c>
      <c r="B580" s="1"/>
      <c r="C580" s="1"/>
      <c r="D580" s="1"/>
      <c r="E580" s="59" t="s">
        <v>7</v>
      </c>
      <c r="F580" s="1"/>
      <c r="G580" s="1"/>
      <c r="H580" s="1"/>
      <c r="I580" s="59" t="s">
        <v>7</v>
      </c>
      <c r="J580" s="1"/>
      <c r="K580" s="1"/>
      <c r="L580" s="1"/>
      <c r="M580" s="59" t="s">
        <v>7</v>
      </c>
      <c r="N580" s="1"/>
      <c r="O580" s="1"/>
      <c r="P580" s="1"/>
      <c r="Q580" s="59" t="s">
        <v>7</v>
      </c>
      <c r="R580" s="59" t="s">
        <v>7</v>
      </c>
    </row>
    <row r="581" spans="1:20" ht="15.75" customHeight="1" x14ac:dyDescent="0.3">
      <c r="A581" s="74" t="s">
        <v>511</v>
      </c>
      <c r="B581" s="1">
        <v>135</v>
      </c>
      <c r="C581" s="1">
        <v>135</v>
      </c>
      <c r="D581" s="1">
        <v>135</v>
      </c>
      <c r="E581" s="59">
        <f t="shared" ref="E581" si="218">SUM(B581:D581)</f>
        <v>405</v>
      </c>
      <c r="F581" s="1">
        <v>135</v>
      </c>
      <c r="G581" s="1">
        <v>135</v>
      </c>
      <c r="H581" s="1">
        <v>135</v>
      </c>
      <c r="I581" s="59">
        <f t="shared" ref="I581" si="219">SUM(F581:H581)</f>
        <v>405</v>
      </c>
      <c r="J581" s="1">
        <v>135</v>
      </c>
      <c r="K581" s="1">
        <v>635</v>
      </c>
      <c r="L581" s="1">
        <v>445</v>
      </c>
      <c r="M581" s="59">
        <f t="shared" ref="M581" si="220">SUM(J581:L581)</f>
        <v>1215</v>
      </c>
      <c r="N581" s="1">
        <v>315</v>
      </c>
      <c r="O581" s="1">
        <v>315</v>
      </c>
      <c r="P581" s="1">
        <v>445</v>
      </c>
      <c r="Q581" s="59">
        <f t="shared" ref="Q581:Q589" si="221">SUM(N581:P581)</f>
        <v>1075</v>
      </c>
      <c r="R581" s="59">
        <f t="shared" ref="R581:R589" si="222">+E581+I581+M581+Q581</f>
        <v>3100</v>
      </c>
    </row>
    <row r="582" spans="1:20" ht="15.75" customHeight="1" x14ac:dyDescent="0.3">
      <c r="A582" s="74" t="s">
        <v>512</v>
      </c>
      <c r="B582" s="1">
        <v>200</v>
      </c>
      <c r="C582" s="1">
        <v>300</v>
      </c>
      <c r="D582" s="1">
        <v>500</v>
      </c>
      <c r="E582" s="59">
        <f>SUM(B582:D582)</f>
        <v>1000</v>
      </c>
      <c r="F582" s="1">
        <v>200</v>
      </c>
      <c r="G582" s="1">
        <v>200</v>
      </c>
      <c r="H582" s="1">
        <v>200</v>
      </c>
      <c r="I582" s="59">
        <f>SUM(F582:H582)</f>
        <v>600</v>
      </c>
      <c r="J582" s="1">
        <v>200</v>
      </c>
      <c r="K582" s="1">
        <v>200</v>
      </c>
      <c r="L582" s="1"/>
      <c r="M582" s="59">
        <f>SUM(J582:L582)</f>
        <v>400</v>
      </c>
      <c r="N582" s="1"/>
      <c r="O582" s="1"/>
      <c r="P582" s="1"/>
      <c r="Q582" s="59">
        <f>SUM(N582:P582)</f>
        <v>0</v>
      </c>
      <c r="R582" s="59">
        <f>+E582+I582+M582+Q582</f>
        <v>2000</v>
      </c>
    </row>
    <row r="583" spans="1:20" ht="15.75" customHeight="1" x14ac:dyDescent="0.3">
      <c r="A583" s="74" t="s">
        <v>513</v>
      </c>
      <c r="B583" s="1"/>
      <c r="C583" s="1">
        <v>100</v>
      </c>
      <c r="D583" s="1">
        <v>500</v>
      </c>
      <c r="E583" s="59">
        <f t="shared" ref="E583" si="223">SUM(B583:D583)</f>
        <v>600</v>
      </c>
      <c r="F583" s="1">
        <v>750</v>
      </c>
      <c r="G583" s="1">
        <v>1000</v>
      </c>
      <c r="H583" s="1">
        <v>1000</v>
      </c>
      <c r="I583" s="59">
        <f t="shared" ref="I583" si="224">SUM(F583:H583)</f>
        <v>2750</v>
      </c>
      <c r="J583" s="1">
        <v>1100</v>
      </c>
      <c r="K583" s="1">
        <v>1000</v>
      </c>
      <c r="L583" s="1">
        <v>1000</v>
      </c>
      <c r="M583" s="59">
        <f t="shared" ref="M583" si="225">SUM(J583:L583)</f>
        <v>3100</v>
      </c>
      <c r="N583" s="1">
        <v>350</v>
      </c>
      <c r="O583" s="1"/>
      <c r="P583" s="1"/>
      <c r="Q583" s="59">
        <f t="shared" si="221"/>
        <v>350</v>
      </c>
      <c r="R583" s="59">
        <f t="shared" si="222"/>
        <v>6800</v>
      </c>
      <c r="T583" s="4" t="s">
        <v>514</v>
      </c>
    </row>
    <row r="584" spans="1:20" ht="15.75" customHeight="1" x14ac:dyDescent="0.3">
      <c r="A584" s="74" t="s">
        <v>515</v>
      </c>
      <c r="B584" s="1"/>
      <c r="C584" s="1"/>
      <c r="D584" s="1"/>
      <c r="E584" s="59">
        <f>SUM(B584:D584)</f>
        <v>0</v>
      </c>
      <c r="F584" s="1"/>
      <c r="G584" s="1"/>
      <c r="H584" s="1"/>
      <c r="I584" s="59">
        <f>SUM(F584:H584)</f>
        <v>0</v>
      </c>
      <c r="J584" s="1"/>
      <c r="K584" s="1"/>
      <c r="L584" s="1"/>
      <c r="M584" s="59">
        <f>SUM(J584:L584)</f>
        <v>0</v>
      </c>
      <c r="N584" s="1"/>
      <c r="O584" s="1"/>
      <c r="P584" s="1"/>
      <c r="Q584" s="59">
        <f>SUM(N584:P584)</f>
        <v>0</v>
      </c>
      <c r="R584" s="59">
        <f>+E584+I584+M584+Q584</f>
        <v>0</v>
      </c>
      <c r="T584" s="4" t="s">
        <v>516</v>
      </c>
    </row>
    <row r="585" spans="1:20" ht="15.75" customHeight="1" x14ac:dyDescent="0.3">
      <c r="A585" s="74" t="s">
        <v>517</v>
      </c>
      <c r="B585" s="1">
        <v>400</v>
      </c>
      <c r="C585" s="1">
        <v>400</v>
      </c>
      <c r="D585" s="1">
        <v>400</v>
      </c>
      <c r="E585" s="59">
        <f t="shared" ref="E585" si="226">SUM(B585:D585)</f>
        <v>1200</v>
      </c>
      <c r="F585" s="1">
        <v>400</v>
      </c>
      <c r="G585" s="1">
        <v>400</v>
      </c>
      <c r="H585" s="1">
        <v>400</v>
      </c>
      <c r="I585" s="59">
        <f t="shared" ref="I585" si="227">SUM(F585:H585)</f>
        <v>1200</v>
      </c>
      <c r="J585" s="1">
        <v>400</v>
      </c>
      <c r="K585" s="1">
        <v>400</v>
      </c>
      <c r="L585" s="1">
        <v>400</v>
      </c>
      <c r="M585" s="59">
        <f t="shared" ref="M585" si="228">SUM(J585:L585)</f>
        <v>1200</v>
      </c>
      <c r="N585" s="1">
        <v>200</v>
      </c>
      <c r="O585" s="1">
        <v>205</v>
      </c>
      <c r="P585" s="1"/>
      <c r="Q585" s="59">
        <f t="shared" si="221"/>
        <v>405</v>
      </c>
      <c r="R585" s="59">
        <f t="shared" si="222"/>
        <v>4005</v>
      </c>
      <c r="T585" s="4" t="s">
        <v>516</v>
      </c>
    </row>
    <row r="586" spans="1:20" ht="15.75" customHeight="1" x14ac:dyDescent="0.3">
      <c r="A586" s="74" t="s">
        <v>518</v>
      </c>
      <c r="B586" s="1">
        <v>500</v>
      </c>
      <c r="C586" s="1">
        <v>500</v>
      </c>
      <c r="D586" s="1"/>
      <c r="E586" s="59">
        <f>SUM(B586:D586)</f>
        <v>1000</v>
      </c>
      <c r="H586" s="1">
        <v>500</v>
      </c>
      <c r="I586" s="59">
        <f>SUM(F586:H586)</f>
        <v>500</v>
      </c>
      <c r="J586" s="1">
        <v>500</v>
      </c>
      <c r="K586" s="1"/>
      <c r="L586" s="1"/>
      <c r="M586" s="59">
        <f>SUM(J586:L586)</f>
        <v>500</v>
      </c>
      <c r="N586" s="1"/>
      <c r="O586" s="1"/>
      <c r="P586" s="1"/>
      <c r="Q586" s="59">
        <f>SUM(N586:P586)</f>
        <v>0</v>
      </c>
      <c r="R586" s="59">
        <f t="shared" si="222"/>
        <v>2000</v>
      </c>
    </row>
    <row r="587" spans="1:20" ht="15.75" customHeight="1" x14ac:dyDescent="0.3">
      <c r="A587" s="74" t="s">
        <v>519</v>
      </c>
      <c r="B587" s="1"/>
      <c r="C587" s="1"/>
      <c r="D587" s="1"/>
      <c r="E587" s="59">
        <f t="shared" ref="E587:E589" si="229">SUM(B587:D587)</f>
        <v>0</v>
      </c>
      <c r="F587" s="1"/>
      <c r="G587" s="1"/>
      <c r="H587" s="1"/>
      <c r="I587" s="59">
        <f t="shared" ref="I587:I589" si="230">SUM(F587:H587)</f>
        <v>0</v>
      </c>
      <c r="J587" s="1"/>
      <c r="K587" s="1">
        <v>1000</v>
      </c>
      <c r="L587" s="1">
        <v>1000</v>
      </c>
      <c r="M587" s="59">
        <f t="shared" ref="M587:M589" si="231">SUM(J587:L587)</f>
        <v>2000</v>
      </c>
      <c r="N587" s="1">
        <v>800</v>
      </c>
      <c r="O587" s="1"/>
      <c r="P587" s="1"/>
      <c r="Q587" s="59">
        <f t="shared" si="221"/>
        <v>800</v>
      </c>
      <c r="R587" s="59">
        <f t="shared" si="222"/>
        <v>2800</v>
      </c>
      <c r="T587" s="4" t="s">
        <v>516</v>
      </c>
    </row>
    <row r="588" spans="1:20" ht="15.75" customHeight="1" x14ac:dyDescent="0.3">
      <c r="A588" s="74" t="s">
        <v>520</v>
      </c>
      <c r="B588" s="1"/>
      <c r="C588" s="1"/>
      <c r="D588" s="1">
        <v>300</v>
      </c>
      <c r="E588" s="59">
        <f t="shared" si="229"/>
        <v>300</v>
      </c>
      <c r="F588" s="1">
        <v>436</v>
      </c>
      <c r="G588" s="1">
        <v>400</v>
      </c>
      <c r="H588" s="1">
        <v>400</v>
      </c>
      <c r="I588" s="59">
        <f t="shared" si="230"/>
        <v>1236</v>
      </c>
      <c r="J588" s="1">
        <v>400</v>
      </c>
      <c r="K588" s="1">
        <v>400</v>
      </c>
      <c r="L588" s="1"/>
      <c r="M588" s="59">
        <f t="shared" si="231"/>
        <v>800</v>
      </c>
      <c r="N588" s="1"/>
      <c r="O588" s="1"/>
      <c r="P588" s="1"/>
      <c r="Q588" s="59">
        <f>SUM(N588:P588)</f>
        <v>0</v>
      </c>
      <c r="R588" s="59">
        <f>+E588+I588+M588+Q588</f>
        <v>2336</v>
      </c>
    </row>
    <row r="589" spans="1:20" ht="15.75" customHeight="1" x14ac:dyDescent="0.3">
      <c r="A589" s="74" t="s">
        <v>521</v>
      </c>
      <c r="B589" s="1"/>
      <c r="C589" s="1"/>
      <c r="D589" s="1"/>
      <c r="E589" s="59">
        <f t="shared" si="229"/>
        <v>0</v>
      </c>
      <c r="F589" s="1"/>
      <c r="G589" s="1"/>
      <c r="H589" s="1"/>
      <c r="I589" s="59">
        <f t="shared" si="230"/>
        <v>0</v>
      </c>
      <c r="J589" s="1"/>
      <c r="K589" s="1"/>
      <c r="L589" s="1"/>
      <c r="M589" s="59">
        <f t="shared" si="231"/>
        <v>0</v>
      </c>
      <c r="N589" s="1"/>
      <c r="O589" s="1"/>
      <c r="P589" s="1"/>
      <c r="Q589" s="59">
        <f t="shared" si="221"/>
        <v>0</v>
      </c>
      <c r="R589" s="59">
        <f t="shared" si="222"/>
        <v>0</v>
      </c>
      <c r="T589" s="4" t="s">
        <v>516</v>
      </c>
    </row>
    <row r="590" spans="1:20" ht="15.75" customHeight="1" x14ac:dyDescent="0.3">
      <c r="A590" s="74" t="s">
        <v>895</v>
      </c>
      <c r="B590" s="1"/>
      <c r="C590" s="1">
        <v>250</v>
      </c>
      <c r="D590" s="1">
        <v>400</v>
      </c>
      <c r="E590" s="59">
        <f>SUM(B590:D590)</f>
        <v>650</v>
      </c>
      <c r="F590" s="1">
        <v>650</v>
      </c>
      <c r="G590" s="1">
        <v>800</v>
      </c>
      <c r="H590" s="1">
        <v>340</v>
      </c>
      <c r="I590" s="59">
        <f>SUM(F590:H590)</f>
        <v>1790</v>
      </c>
      <c r="J590" s="1">
        <v>380</v>
      </c>
      <c r="K590" s="1">
        <v>67</v>
      </c>
      <c r="L590" s="1"/>
      <c r="M590" s="59">
        <f>SUM(J590:L590)</f>
        <v>447</v>
      </c>
      <c r="N590" s="1"/>
      <c r="O590" s="1"/>
      <c r="P590" s="1"/>
      <c r="Q590" s="59">
        <f>SUM(N590:P590)</f>
        <v>0</v>
      </c>
      <c r="R590" s="59">
        <f>+E590+I590+M590+Q590</f>
        <v>2887</v>
      </c>
      <c r="T590" s="4" t="s">
        <v>514</v>
      </c>
    </row>
    <row r="591" spans="1:20" ht="15.75" customHeight="1" x14ac:dyDescent="0.3">
      <c r="A591" s="17" t="s">
        <v>47</v>
      </c>
      <c r="B591" s="1"/>
      <c r="C591" s="1"/>
      <c r="D591" s="1"/>
      <c r="E591" s="59" t="s">
        <v>7</v>
      </c>
      <c r="F591" s="1"/>
      <c r="G591" s="1"/>
      <c r="H591" s="1"/>
      <c r="I591" s="59" t="s">
        <v>7</v>
      </c>
      <c r="J591" s="1"/>
      <c r="K591" s="1"/>
      <c r="L591" s="1"/>
      <c r="M591" s="59" t="s">
        <v>7</v>
      </c>
      <c r="N591" s="1"/>
      <c r="O591" s="1"/>
      <c r="P591" s="1"/>
      <c r="Q591" s="59" t="s">
        <v>7</v>
      </c>
      <c r="R591" s="59" t="s">
        <v>7</v>
      </c>
    </row>
    <row r="592" spans="1:20" ht="15.75" customHeight="1" x14ac:dyDescent="0.3">
      <c r="A592" s="74" t="s">
        <v>521</v>
      </c>
      <c r="B592" s="1"/>
      <c r="C592" s="1"/>
      <c r="D592" s="1"/>
      <c r="E592" s="59">
        <f>SUM(B592:D592)</f>
        <v>0</v>
      </c>
      <c r="F592" s="1"/>
      <c r="G592" s="1"/>
      <c r="H592" s="1"/>
      <c r="I592" s="59">
        <f>SUM(F592:H592)</f>
        <v>0</v>
      </c>
      <c r="J592" s="1"/>
      <c r="K592" s="1"/>
      <c r="L592" s="1"/>
      <c r="M592" s="59">
        <f>SUM(J592:L592)</f>
        <v>0</v>
      </c>
      <c r="N592" s="1"/>
      <c r="O592" s="1"/>
      <c r="P592" s="1"/>
      <c r="Q592" s="59">
        <f>SUM(N592:P592)</f>
        <v>0</v>
      </c>
      <c r="R592" s="59">
        <f>+E592+I592+M592+Q592</f>
        <v>0</v>
      </c>
      <c r="T592" s="4" t="s">
        <v>516</v>
      </c>
    </row>
    <row r="593" spans="1:20" ht="15.75" customHeight="1" x14ac:dyDescent="0.3">
      <c r="A593" s="17" t="s">
        <v>49</v>
      </c>
      <c r="B593" s="1"/>
      <c r="C593" s="1"/>
      <c r="D593" s="1"/>
      <c r="E593" s="59" t="s">
        <v>7</v>
      </c>
      <c r="F593" s="1"/>
      <c r="G593" s="1"/>
      <c r="H593" s="1"/>
      <c r="I593" s="59" t="s">
        <v>7</v>
      </c>
      <c r="J593" s="1"/>
      <c r="K593" s="1"/>
      <c r="L593" s="1"/>
      <c r="M593" s="59" t="s">
        <v>7</v>
      </c>
      <c r="N593" s="1"/>
      <c r="O593" s="1"/>
      <c r="P593" s="1"/>
      <c r="Q593" s="59" t="s">
        <v>7</v>
      </c>
      <c r="R593" s="59" t="s">
        <v>7</v>
      </c>
    </row>
    <row r="594" spans="1:20" ht="15.75" customHeight="1" x14ac:dyDescent="0.3">
      <c r="A594" s="74" t="s">
        <v>525</v>
      </c>
      <c r="B594" s="1">
        <v>190</v>
      </c>
      <c r="C594" s="1"/>
      <c r="D594" s="1"/>
      <c r="E594" s="59">
        <f>SUM(B594:D594)</f>
        <v>190</v>
      </c>
      <c r="F594" s="1"/>
      <c r="G594" s="1"/>
      <c r="H594" s="1"/>
      <c r="I594" s="59">
        <f>SUM(F594:H594)</f>
        <v>0</v>
      </c>
      <c r="J594" s="1"/>
      <c r="K594" s="315"/>
      <c r="L594" s="1"/>
      <c r="M594" s="59">
        <f>SUM(J594:L594)</f>
        <v>0</v>
      </c>
      <c r="N594" s="1"/>
      <c r="O594" s="1"/>
      <c r="P594" s="1"/>
      <c r="Q594" s="59">
        <f>SUM(N594:P594)</f>
        <v>0</v>
      </c>
      <c r="R594" s="59">
        <f>+E594+I594+M594+Q594</f>
        <v>190</v>
      </c>
      <c r="S594" s="77" t="s">
        <v>90</v>
      </c>
      <c r="T594" s="4" t="s">
        <v>516</v>
      </c>
    </row>
    <row r="595" spans="1:20" ht="15.75" customHeight="1" thickBot="1" x14ac:dyDescent="0.35">
      <c r="A595" s="17" t="s">
        <v>51</v>
      </c>
      <c r="B595" s="1"/>
      <c r="C595" s="1"/>
      <c r="D595" s="1"/>
      <c r="E595" s="59" t="s">
        <v>7</v>
      </c>
      <c r="F595" s="1"/>
      <c r="G595" s="1"/>
      <c r="H595" s="1"/>
      <c r="I595" s="59" t="s">
        <v>7</v>
      </c>
      <c r="J595" s="1"/>
      <c r="K595" s="1"/>
      <c r="L595" s="1"/>
      <c r="M595" s="59" t="s">
        <v>7</v>
      </c>
      <c r="N595" s="1"/>
      <c r="O595" s="1"/>
      <c r="P595" s="1"/>
      <c r="Q595" s="59" t="s">
        <v>7</v>
      </c>
      <c r="R595" s="59" t="s">
        <v>7</v>
      </c>
    </row>
    <row r="596" spans="1:20" ht="16.5" customHeight="1" thickBot="1" x14ac:dyDescent="0.35">
      <c r="A596" s="126" t="s">
        <v>52</v>
      </c>
      <c r="B596" s="100">
        <f>SUM(B579:B595)</f>
        <v>1425</v>
      </c>
      <c r="C596" s="101">
        <f>SUM(C579:C595)</f>
        <v>1685</v>
      </c>
      <c r="D596" s="101">
        <f>SUM(D579:D595)</f>
        <v>2235</v>
      </c>
      <c r="E596" s="64">
        <f>SUM(B596:D596)</f>
        <v>5345</v>
      </c>
      <c r="F596" s="101">
        <f>SUM(F579:F595)</f>
        <v>2571</v>
      </c>
      <c r="G596" s="101">
        <f>SUM(G579:G595)</f>
        <v>2935</v>
      </c>
      <c r="H596" s="101">
        <f>SUM(H579:H595)</f>
        <v>2975</v>
      </c>
      <c r="I596" s="64">
        <f>SUM(F596:H596)</f>
        <v>8481</v>
      </c>
      <c r="J596" s="101">
        <f>SUM(J579:J595)</f>
        <v>3115</v>
      </c>
      <c r="K596" s="101">
        <f>SUM(K579:K595)</f>
        <v>3702</v>
      </c>
      <c r="L596" s="101">
        <f>SUM(L579:L595)</f>
        <v>2845</v>
      </c>
      <c r="M596" s="64">
        <f>SUM(J596:L596)</f>
        <v>9662</v>
      </c>
      <c r="N596" s="101">
        <f>SUM(N579:N595)</f>
        <v>1665</v>
      </c>
      <c r="O596" s="101">
        <f>SUM(O579:O595)</f>
        <v>520</v>
      </c>
      <c r="P596" s="101">
        <f>SUM(P579:P595)</f>
        <v>445</v>
      </c>
      <c r="Q596" s="64">
        <f>SUM(N596:P596)</f>
        <v>2630</v>
      </c>
      <c r="R596" s="64">
        <f>+E596+I596+M596+Q596</f>
        <v>26118</v>
      </c>
    </row>
    <row r="597" spans="1:20" ht="15.75" customHeight="1" x14ac:dyDescent="0.3">
      <c r="A597" s="17" t="s">
        <v>53</v>
      </c>
      <c r="B597" s="1"/>
      <c r="C597" s="1"/>
      <c r="D597" s="1"/>
      <c r="E597" s="59" t="s">
        <v>7</v>
      </c>
      <c r="F597" s="1"/>
      <c r="G597" s="1"/>
      <c r="H597" s="1"/>
      <c r="I597" s="59" t="s">
        <v>7</v>
      </c>
      <c r="J597" s="1"/>
      <c r="K597" s="1"/>
      <c r="L597" s="1"/>
      <c r="M597" s="59" t="s">
        <v>7</v>
      </c>
      <c r="N597" s="1"/>
      <c r="O597" s="1"/>
      <c r="P597" s="1"/>
      <c r="Q597" s="59" t="s">
        <v>7</v>
      </c>
      <c r="R597" s="59" t="s">
        <v>7</v>
      </c>
    </row>
    <row r="598" spans="1:20" ht="15.75" customHeight="1" x14ac:dyDescent="0.3">
      <c r="A598" s="17" t="s">
        <v>55</v>
      </c>
      <c r="B598" s="1"/>
      <c r="C598" s="1"/>
      <c r="D598" s="1"/>
      <c r="E598" s="59" t="s">
        <v>7</v>
      </c>
      <c r="F598" s="1"/>
      <c r="G598" s="1"/>
      <c r="H598" s="1"/>
      <c r="I598" s="59" t="s">
        <v>7</v>
      </c>
      <c r="J598" s="1"/>
      <c r="K598" s="1"/>
      <c r="L598" s="1"/>
      <c r="M598" s="59" t="s">
        <v>7</v>
      </c>
      <c r="N598" s="1"/>
      <c r="O598" s="1"/>
      <c r="P598" s="1"/>
      <c r="Q598" s="59" t="s">
        <v>7</v>
      </c>
      <c r="R598" s="59" t="s">
        <v>7</v>
      </c>
    </row>
    <row r="599" spans="1:20" ht="15.75" customHeight="1" x14ac:dyDescent="0.3">
      <c r="A599" s="74" t="s">
        <v>526</v>
      </c>
      <c r="B599" s="1"/>
      <c r="C599" s="1"/>
      <c r="D599" s="1"/>
      <c r="E599" s="59">
        <f>SUM(B599:D599)</f>
        <v>0</v>
      </c>
      <c r="F599" s="1"/>
      <c r="G599" s="1"/>
      <c r="H599" s="1"/>
      <c r="I599" s="59">
        <f>SUM(F599:H599)</f>
        <v>0</v>
      </c>
      <c r="J599" s="1"/>
      <c r="K599" s="1"/>
      <c r="L599" s="1"/>
      <c r="M599" s="59">
        <f>SUM(J599:L599)</f>
        <v>0</v>
      </c>
      <c r="N599" s="1"/>
      <c r="O599" s="1"/>
      <c r="P599" s="1"/>
      <c r="Q599" s="59">
        <f>SUM(N599:P599)</f>
        <v>0</v>
      </c>
      <c r="R599" s="59">
        <f>+E599+I599+M599+Q599</f>
        <v>0</v>
      </c>
    </row>
    <row r="600" spans="1:20" ht="15.75" customHeight="1" x14ac:dyDescent="0.3">
      <c r="A600" s="74" t="s">
        <v>527</v>
      </c>
      <c r="B600" s="1"/>
      <c r="C600" s="1"/>
      <c r="D600" s="1"/>
      <c r="E600" s="59">
        <f>SUM(B600:D600)</f>
        <v>0</v>
      </c>
      <c r="F600" s="1"/>
      <c r="G600" s="1"/>
      <c r="H600" s="1"/>
      <c r="I600" s="59">
        <f>SUM(F600:H600)</f>
        <v>0</v>
      </c>
      <c r="J600" s="1"/>
      <c r="K600" s="1"/>
      <c r="L600" s="1"/>
      <c r="M600" s="59">
        <f>SUM(J600:L600)</f>
        <v>0</v>
      </c>
      <c r="N600" s="1"/>
      <c r="O600" s="1"/>
      <c r="P600" s="1"/>
      <c r="Q600" s="59">
        <f>SUM(N600:P600)</f>
        <v>0</v>
      </c>
      <c r="R600" s="59">
        <f>+E600+I600+M600+Q600</f>
        <v>0</v>
      </c>
    </row>
    <row r="601" spans="1:20" ht="15.75" customHeight="1" thickBot="1" x14ac:dyDescent="0.35">
      <c r="A601" s="17" t="s">
        <v>56</v>
      </c>
      <c r="B601" s="1"/>
      <c r="C601" s="1"/>
      <c r="D601" s="1"/>
      <c r="E601" s="59" t="s">
        <v>7</v>
      </c>
      <c r="F601" s="1"/>
      <c r="G601" s="1"/>
      <c r="H601" s="1"/>
      <c r="I601" s="59" t="s">
        <v>7</v>
      </c>
      <c r="J601" s="1"/>
      <c r="K601" s="1"/>
      <c r="L601" s="1"/>
      <c r="M601" s="59" t="s">
        <v>7</v>
      </c>
      <c r="N601" s="1"/>
      <c r="O601" s="1"/>
      <c r="P601" s="1"/>
      <c r="Q601" s="59" t="s">
        <v>7</v>
      </c>
      <c r="R601" s="59" t="s">
        <v>7</v>
      </c>
    </row>
    <row r="602" spans="1:20" ht="16.5" customHeight="1" thickBot="1" x14ac:dyDescent="0.35">
      <c r="A602" s="62" t="s">
        <v>57</v>
      </c>
      <c r="B602" s="100">
        <f>SUM(B597:B601)</f>
        <v>0</v>
      </c>
      <c r="C602" s="101">
        <f>SUM(C597:C601)</f>
        <v>0</v>
      </c>
      <c r="D602" s="101">
        <f>SUM(D597:D601)</f>
        <v>0</v>
      </c>
      <c r="E602" s="64">
        <f>SUM(B602:D602)</f>
        <v>0</v>
      </c>
      <c r="F602" s="101">
        <f>SUM(F597:F601)</f>
        <v>0</v>
      </c>
      <c r="G602" s="101">
        <f>SUM(G597:G601)</f>
        <v>0</v>
      </c>
      <c r="H602" s="101">
        <f>SUM(H597:H601)</f>
        <v>0</v>
      </c>
      <c r="I602" s="64">
        <f>SUM(F602:H602)</f>
        <v>0</v>
      </c>
      <c r="J602" s="101">
        <f>SUM(J597:J601)</f>
        <v>0</v>
      </c>
      <c r="K602" s="101">
        <f>SUM(K597:K601)</f>
        <v>0</v>
      </c>
      <c r="L602" s="101">
        <f>SUM(L597:L601)</f>
        <v>0</v>
      </c>
      <c r="M602" s="64">
        <f>SUM(J602:L602)</f>
        <v>0</v>
      </c>
      <c r="N602" s="101">
        <f>SUM(N597:N601)</f>
        <v>0</v>
      </c>
      <c r="O602" s="101">
        <f>SUM(O597:O601)</f>
        <v>0</v>
      </c>
      <c r="P602" s="101">
        <f>SUM(P597:P601)</f>
        <v>0</v>
      </c>
      <c r="Q602" s="64">
        <f>SUM(N602:P602)</f>
        <v>0</v>
      </c>
      <c r="R602" s="64">
        <f>+E602+I602+M602+Q602</f>
        <v>0</v>
      </c>
    </row>
    <row r="603" spans="1:20" ht="15.75" customHeight="1" x14ac:dyDescent="0.3">
      <c r="A603" s="17" t="s">
        <v>58</v>
      </c>
      <c r="B603" s="1"/>
      <c r="C603" s="1"/>
      <c r="D603" s="1"/>
      <c r="E603" s="59" t="s">
        <v>7</v>
      </c>
      <c r="F603" s="1"/>
      <c r="G603" s="1"/>
      <c r="H603" s="1"/>
      <c r="I603" s="59" t="s">
        <v>7</v>
      </c>
      <c r="J603" s="1"/>
      <c r="K603" s="1"/>
      <c r="L603" s="1"/>
      <c r="M603" s="59" t="s">
        <v>7</v>
      </c>
      <c r="N603" s="1"/>
      <c r="O603" s="1"/>
      <c r="P603" s="1"/>
      <c r="Q603" s="59" t="s">
        <v>7</v>
      </c>
      <c r="R603" s="59" t="s">
        <v>7</v>
      </c>
    </row>
    <row r="604" spans="1:20" ht="15.75" customHeight="1" x14ac:dyDescent="0.3">
      <c r="A604" s="17" t="s">
        <v>59</v>
      </c>
      <c r="B604" s="1"/>
      <c r="C604" s="1"/>
      <c r="D604" s="1"/>
      <c r="E604" s="59" t="s">
        <v>7</v>
      </c>
      <c r="F604" s="1"/>
      <c r="G604" s="1"/>
      <c r="H604" s="1"/>
      <c r="I604" s="59" t="s">
        <v>7</v>
      </c>
      <c r="J604" s="1"/>
      <c r="K604" s="1"/>
      <c r="L604" s="1"/>
      <c r="M604" s="59" t="s">
        <v>7</v>
      </c>
      <c r="N604" s="1"/>
      <c r="O604" s="1"/>
      <c r="P604" s="1"/>
      <c r="Q604" s="59" t="s">
        <v>7</v>
      </c>
      <c r="R604" s="59" t="s">
        <v>7</v>
      </c>
    </row>
    <row r="605" spans="1:20" ht="15.75" customHeight="1" x14ac:dyDescent="0.3">
      <c r="A605" s="17" t="s">
        <v>60</v>
      </c>
      <c r="B605" s="1"/>
      <c r="C605" s="1"/>
      <c r="D605" s="1"/>
      <c r="E605" s="59" t="s">
        <v>7</v>
      </c>
      <c r="F605" s="1"/>
      <c r="G605" s="1"/>
      <c r="H605" s="1"/>
      <c r="I605" s="59" t="s">
        <v>7</v>
      </c>
      <c r="J605" s="1"/>
      <c r="K605" s="1"/>
      <c r="L605" s="1"/>
      <c r="M605" s="59" t="s">
        <v>7</v>
      </c>
      <c r="N605" s="1"/>
      <c r="O605" s="1"/>
      <c r="P605" s="1"/>
      <c r="Q605" s="59" t="s">
        <v>7</v>
      </c>
      <c r="R605" s="59" t="s">
        <v>7</v>
      </c>
    </row>
    <row r="606" spans="1:20" ht="15.75" customHeight="1" x14ac:dyDescent="0.3">
      <c r="A606" s="74" t="s">
        <v>528</v>
      </c>
      <c r="B606" s="1"/>
      <c r="C606" s="1"/>
      <c r="D606" s="1"/>
      <c r="E606" s="59">
        <f t="shared" ref="E606:E607" si="232">SUM(B606:D606)</f>
        <v>0</v>
      </c>
      <c r="F606" s="1"/>
      <c r="G606" s="1"/>
      <c r="H606" s="1"/>
      <c r="I606" s="59">
        <f t="shared" ref="I606:I607" si="233">SUM(F606:H606)</f>
        <v>0</v>
      </c>
      <c r="J606" s="1"/>
      <c r="K606" s="1"/>
      <c r="L606" s="1"/>
      <c r="M606" s="59">
        <f t="shared" ref="M606:M607" si="234">SUM(J606:L606)</f>
        <v>0</v>
      </c>
      <c r="N606" s="1"/>
      <c r="O606" s="1"/>
      <c r="P606" s="1"/>
      <c r="Q606" s="59">
        <f>SUM(N606:P606)</f>
        <v>0</v>
      </c>
      <c r="R606" s="59">
        <f>+E606+I606+M606+Q606</f>
        <v>0</v>
      </c>
      <c r="T606" s="4" t="s">
        <v>516</v>
      </c>
    </row>
    <row r="607" spans="1:20" ht="15.75" customHeight="1" x14ac:dyDescent="0.3">
      <c r="A607" s="74" t="s">
        <v>529</v>
      </c>
      <c r="B607" s="1"/>
      <c r="C607" s="1"/>
      <c r="D607" s="1"/>
      <c r="E607" s="59">
        <f t="shared" si="232"/>
        <v>0</v>
      </c>
      <c r="F607" s="1">
        <v>750</v>
      </c>
      <c r="G607" s="1">
        <v>250</v>
      </c>
      <c r="H607" s="1">
        <v>95</v>
      </c>
      <c r="I607" s="59">
        <f t="shared" si="233"/>
        <v>1095</v>
      </c>
      <c r="J607" s="1"/>
      <c r="K607" s="1"/>
      <c r="L607" s="1"/>
      <c r="M607" s="59">
        <f t="shared" si="234"/>
        <v>0</v>
      </c>
      <c r="N607" s="1"/>
      <c r="O607" s="1"/>
      <c r="P607" s="1"/>
      <c r="Q607" s="59">
        <f t="shared" ref="Q607" si="235">SUM(N607:P607)</f>
        <v>0</v>
      </c>
      <c r="R607" s="59">
        <f t="shared" ref="R607:R609" si="236">+E607+I607+M607+Q607</f>
        <v>1095</v>
      </c>
    </row>
    <row r="608" spans="1:20" ht="15.75" customHeight="1" x14ac:dyDescent="0.3">
      <c r="A608" s="74" t="s">
        <v>531</v>
      </c>
      <c r="B608" s="1"/>
      <c r="C608" s="1"/>
      <c r="D608" s="1">
        <v>500</v>
      </c>
      <c r="E608" s="59">
        <f>SUM(B608:D608)</f>
        <v>500</v>
      </c>
      <c r="F608" s="1">
        <v>500</v>
      </c>
      <c r="G608" s="1"/>
      <c r="H608" s="1"/>
      <c r="I608" s="59">
        <f>SUM(F608:H608)</f>
        <v>500</v>
      </c>
      <c r="J608" s="1"/>
      <c r="K608" s="1"/>
      <c r="L608" s="1"/>
      <c r="M608" s="59">
        <f>SUM(J608:L608)</f>
        <v>0</v>
      </c>
      <c r="N608" s="1"/>
      <c r="O608" s="1"/>
      <c r="P608" s="1"/>
      <c r="Q608" s="59">
        <f>SUM(N608:P608)</f>
        <v>0</v>
      </c>
      <c r="R608" s="59">
        <f t="shared" si="236"/>
        <v>1000</v>
      </c>
    </row>
    <row r="609" spans="1:20" ht="15.75" customHeight="1" x14ac:dyDescent="0.3">
      <c r="A609" s="74" t="s">
        <v>533</v>
      </c>
      <c r="B609" s="1"/>
      <c r="C609" s="1"/>
      <c r="D609" s="1"/>
      <c r="E609" s="59">
        <f>SUM(B609:D609)</f>
        <v>0</v>
      </c>
      <c r="F609" s="1"/>
      <c r="G609" s="1">
        <v>500</v>
      </c>
      <c r="H609" s="1"/>
      <c r="I609" s="59">
        <f>SUM(F609:H609)</f>
        <v>500</v>
      </c>
      <c r="J609" s="1"/>
      <c r="K609" s="1"/>
      <c r="L609" s="1"/>
      <c r="M609" s="59">
        <f>SUM(J609:L609)</f>
        <v>0</v>
      </c>
      <c r="N609" s="1"/>
      <c r="O609" s="1"/>
      <c r="P609" s="1"/>
      <c r="Q609" s="59">
        <f>SUM(N609:P609)</f>
        <v>0</v>
      </c>
      <c r="R609" s="59">
        <f t="shared" si="236"/>
        <v>500</v>
      </c>
    </row>
    <row r="610" spans="1:20" ht="15.75" customHeight="1" thickBot="1" x14ac:dyDescent="0.35">
      <c r="A610" s="74" t="s">
        <v>534</v>
      </c>
      <c r="B610" s="1"/>
      <c r="C610" s="1"/>
      <c r="D610" s="1"/>
      <c r="E610" s="59">
        <f>SUM(B610:D610)</f>
        <v>0</v>
      </c>
      <c r="F610" s="1"/>
      <c r="G610" s="1"/>
      <c r="H610" s="1">
        <v>1578</v>
      </c>
      <c r="I610" s="59">
        <f>SUM(F610:H610)</f>
        <v>1578</v>
      </c>
      <c r="J610" s="1">
        <v>1578</v>
      </c>
      <c r="K610" s="1"/>
      <c r="L610" s="1"/>
      <c r="M610" s="59">
        <f>SUM(J610:L610)</f>
        <v>1578</v>
      </c>
      <c r="N610" s="1"/>
      <c r="O610" s="1"/>
      <c r="P610" s="1">
        <v>894</v>
      </c>
      <c r="Q610" s="59">
        <f>SUM(N610:P610)</f>
        <v>894</v>
      </c>
      <c r="R610" s="59">
        <f>+E610+I610+M610+Q610</f>
        <v>4050</v>
      </c>
      <c r="T610" s="4" t="s">
        <v>516</v>
      </c>
    </row>
    <row r="611" spans="1:20" ht="16.5" customHeight="1" thickBot="1" x14ac:dyDescent="0.35">
      <c r="A611" s="137" t="s">
        <v>61</v>
      </c>
      <c r="B611" s="100">
        <f>SUM(B603:B610)</f>
        <v>0</v>
      </c>
      <c r="C611" s="101">
        <f>SUM(C603:C610)</f>
        <v>0</v>
      </c>
      <c r="D611" s="101">
        <f>SUM(D603:D610)</f>
        <v>500</v>
      </c>
      <c r="E611" s="64">
        <f>SUM(B611:D611)</f>
        <v>500</v>
      </c>
      <c r="F611" s="101">
        <f>SUM(F603:F610)</f>
        <v>1250</v>
      </c>
      <c r="G611" s="101">
        <f>SUM(G603:G610)</f>
        <v>750</v>
      </c>
      <c r="H611" s="101">
        <f>SUM(H603:H610)</f>
        <v>1673</v>
      </c>
      <c r="I611" s="64">
        <f>SUM(F611:H611)</f>
        <v>3673</v>
      </c>
      <c r="J611" s="101">
        <f>SUM(J603:J610)</f>
        <v>1578</v>
      </c>
      <c r="K611" s="101">
        <f>SUM(K603:K610)</f>
        <v>0</v>
      </c>
      <c r="L611" s="101">
        <f>SUM(L603:L610)</f>
        <v>0</v>
      </c>
      <c r="M611" s="64">
        <f>SUM(J611:L611)</f>
        <v>1578</v>
      </c>
      <c r="N611" s="101">
        <f>SUM(N603:N610)</f>
        <v>0</v>
      </c>
      <c r="O611" s="101">
        <f>SUM(O603:O610)</f>
        <v>0</v>
      </c>
      <c r="P611" s="101">
        <f>SUM(P603:P610)</f>
        <v>894</v>
      </c>
      <c r="Q611" s="64">
        <f>SUM(N611:P611)</f>
        <v>894</v>
      </c>
      <c r="R611" s="64">
        <f>+E611+I611+M611+Q611</f>
        <v>6645</v>
      </c>
    </row>
    <row r="612" spans="1:20" ht="15.75" customHeight="1" x14ac:dyDescent="0.3">
      <c r="A612" s="17" t="s">
        <v>62</v>
      </c>
      <c r="B612" s="1"/>
      <c r="C612" s="1"/>
      <c r="D612" s="1"/>
      <c r="E612" s="59" t="s">
        <v>7</v>
      </c>
      <c r="F612" s="1"/>
      <c r="G612" s="1"/>
      <c r="H612" s="1"/>
      <c r="I612" s="59" t="s">
        <v>7</v>
      </c>
      <c r="J612" s="1"/>
      <c r="K612" s="1"/>
      <c r="L612" s="1"/>
      <c r="M612" s="59" t="s">
        <v>7</v>
      </c>
      <c r="N612" s="1"/>
      <c r="O612" s="1"/>
      <c r="P612" s="1"/>
      <c r="Q612" s="59" t="s">
        <v>7</v>
      </c>
      <c r="R612" s="59" t="s">
        <v>7</v>
      </c>
    </row>
    <row r="613" spans="1:20" ht="15.75" customHeight="1" x14ac:dyDescent="0.3">
      <c r="A613" s="17" t="s">
        <v>63</v>
      </c>
      <c r="B613" s="1"/>
      <c r="C613" s="1"/>
      <c r="D613" s="1"/>
      <c r="E613" s="59" t="s">
        <v>7</v>
      </c>
      <c r="F613" s="1"/>
      <c r="G613" s="1"/>
      <c r="H613" s="1"/>
      <c r="I613" s="59" t="s">
        <v>7</v>
      </c>
      <c r="J613" s="1"/>
      <c r="K613" s="1"/>
      <c r="L613" s="1"/>
      <c r="M613" s="59" t="s">
        <v>7</v>
      </c>
      <c r="N613" s="1"/>
      <c r="O613" s="1"/>
      <c r="P613" s="1"/>
      <c r="Q613" s="59" t="s">
        <v>7</v>
      </c>
      <c r="R613" s="59" t="s">
        <v>7</v>
      </c>
    </row>
    <row r="614" spans="1:20" ht="15.75" customHeight="1" x14ac:dyDescent="0.3">
      <c r="A614" s="74" t="s">
        <v>535</v>
      </c>
      <c r="B614" s="1"/>
      <c r="C614" s="1"/>
      <c r="D614" s="1"/>
      <c r="E614" s="59">
        <f>SUM(B614:D614)</f>
        <v>0</v>
      </c>
      <c r="F614" s="1"/>
      <c r="G614" s="1"/>
      <c r="H614" s="1"/>
      <c r="I614" s="59">
        <f>SUM(F614:H614)</f>
        <v>0</v>
      </c>
      <c r="J614" s="1"/>
      <c r="K614" s="1"/>
      <c r="L614" s="1"/>
      <c r="M614" s="59">
        <f>SUM(J614:L614)</f>
        <v>0</v>
      </c>
      <c r="N614" s="1"/>
      <c r="O614" s="1"/>
      <c r="P614" s="1"/>
      <c r="Q614" s="59">
        <f>SUM(N614:P614)</f>
        <v>0</v>
      </c>
      <c r="R614" s="59">
        <f>+E614+I614+M614+Q614</f>
        <v>0</v>
      </c>
      <c r="T614" s="4" t="s">
        <v>516</v>
      </c>
    </row>
    <row r="615" spans="1:20" ht="15.75" customHeight="1" x14ac:dyDescent="0.3">
      <c r="A615" s="74" t="s">
        <v>536</v>
      </c>
      <c r="B615" s="1"/>
      <c r="C615" s="1"/>
      <c r="D615" s="1"/>
      <c r="E615" s="59">
        <f>SUM(B615:D615)</f>
        <v>0</v>
      </c>
      <c r="F615" s="1"/>
      <c r="G615" s="1"/>
      <c r="H615" s="1"/>
      <c r="I615" s="59">
        <f>SUM(F615:H615)</f>
        <v>0</v>
      </c>
      <c r="J615" s="1"/>
      <c r="K615" s="1"/>
      <c r="L615" s="1"/>
      <c r="M615" s="59">
        <f>SUM(J615:L615)</f>
        <v>0</v>
      </c>
      <c r="N615" s="1"/>
      <c r="O615" s="1"/>
      <c r="P615" s="1"/>
      <c r="Q615" s="59">
        <f>SUM(N615:P615)</f>
        <v>0</v>
      </c>
      <c r="R615" s="59">
        <f>+E615+I615+M615+Q615</f>
        <v>0</v>
      </c>
      <c r="T615" s="4" t="s">
        <v>516</v>
      </c>
    </row>
    <row r="616" spans="1:20" ht="15.75" customHeight="1" x14ac:dyDescent="0.3">
      <c r="A616" s="17" t="s">
        <v>64</v>
      </c>
      <c r="B616" s="1"/>
      <c r="C616" s="1"/>
      <c r="D616" s="1"/>
      <c r="E616" s="59" t="s">
        <v>7</v>
      </c>
      <c r="F616" s="1"/>
      <c r="G616" s="1"/>
      <c r="H616" s="1"/>
      <c r="I616" s="59" t="s">
        <v>7</v>
      </c>
      <c r="J616" s="1"/>
      <c r="K616" s="1"/>
      <c r="L616" s="1"/>
      <c r="M616" s="59" t="s">
        <v>7</v>
      </c>
      <c r="N616" s="1"/>
      <c r="O616" s="1"/>
      <c r="P616" s="1"/>
      <c r="Q616" s="59" t="s">
        <v>7</v>
      </c>
      <c r="R616" s="59" t="s">
        <v>7</v>
      </c>
    </row>
    <row r="617" spans="1:20" ht="15.75" customHeight="1" x14ac:dyDescent="0.3">
      <c r="A617" s="74" t="s">
        <v>537</v>
      </c>
      <c r="B617" s="1"/>
      <c r="C617" s="1"/>
      <c r="D617" s="1"/>
      <c r="E617" s="59">
        <f>SUM(B617:D617)</f>
        <v>0</v>
      </c>
      <c r="F617" s="1"/>
      <c r="G617" s="1"/>
      <c r="H617" s="1"/>
      <c r="I617" s="59">
        <f>SUM(F617:H617)</f>
        <v>0</v>
      </c>
      <c r="J617" s="1"/>
      <c r="K617" s="1"/>
      <c r="L617" s="1"/>
      <c r="M617" s="59">
        <f>SUM(J617:L617)</f>
        <v>0</v>
      </c>
      <c r="N617" s="1"/>
      <c r="O617" s="1"/>
      <c r="P617" s="1"/>
      <c r="Q617" s="59">
        <f>SUM(N617:P617)</f>
        <v>0</v>
      </c>
      <c r="R617" s="59">
        <f>+E617+I617+M617+Q617</f>
        <v>0</v>
      </c>
    </row>
    <row r="618" spans="1:20" ht="15.75" customHeight="1" x14ac:dyDescent="0.3">
      <c r="A618" s="74" t="s">
        <v>538</v>
      </c>
      <c r="B618" s="1"/>
      <c r="C618" s="1"/>
      <c r="D618" s="1"/>
      <c r="E618" s="59">
        <f>SUM(B618:D618)</f>
        <v>0</v>
      </c>
      <c r="F618" s="1"/>
      <c r="G618" s="1"/>
      <c r="H618" s="1"/>
      <c r="I618" s="59">
        <f>SUM(F618:H618)</f>
        <v>0</v>
      </c>
      <c r="J618" s="1"/>
      <c r="K618" s="1"/>
      <c r="L618" s="1"/>
      <c r="M618" s="59">
        <f>SUM(J618:L618)</f>
        <v>0</v>
      </c>
      <c r="N618" s="1"/>
      <c r="O618" s="1"/>
      <c r="P618" s="1"/>
      <c r="Q618" s="59">
        <f>SUM(N618:P618)</f>
        <v>0</v>
      </c>
      <c r="R618" s="59">
        <f>+E618+I618+M618+Q618</f>
        <v>0</v>
      </c>
    </row>
    <row r="619" spans="1:20" ht="15.75" customHeight="1" x14ac:dyDescent="0.3">
      <c r="A619" s="74" t="s">
        <v>539</v>
      </c>
      <c r="B619" s="1"/>
      <c r="C619" s="1"/>
      <c r="D619" s="1"/>
      <c r="E619" s="59">
        <f>SUM(B619:D619)</f>
        <v>0</v>
      </c>
      <c r="F619" s="1">
        <v>1500</v>
      </c>
      <c r="G619" s="1">
        <v>1500</v>
      </c>
      <c r="H619" s="1"/>
      <c r="I619" s="59">
        <f>SUM(F619:H619)</f>
        <v>3000</v>
      </c>
      <c r="J619" s="1">
        <v>1000</v>
      </c>
      <c r="K619" s="1">
        <v>1000</v>
      </c>
      <c r="L619" s="315">
        <v>500</v>
      </c>
      <c r="M619" s="59">
        <f>SUM(J619:L619)</f>
        <v>2500</v>
      </c>
      <c r="N619" s="1"/>
      <c r="O619" s="315">
        <v>500</v>
      </c>
      <c r="P619" s="315">
        <v>300</v>
      </c>
      <c r="Q619" s="59">
        <f>SUM(N619:P619)</f>
        <v>800</v>
      </c>
      <c r="R619" s="59">
        <f>+E619+I619+M619+Q619</f>
        <v>6300</v>
      </c>
      <c r="T619" s="4" t="s">
        <v>516</v>
      </c>
    </row>
    <row r="620" spans="1:20" ht="15.75" customHeight="1" x14ac:dyDescent="0.3">
      <c r="A620" s="74" t="s">
        <v>540</v>
      </c>
      <c r="B620" s="1"/>
      <c r="C620" s="1"/>
      <c r="D620" s="1"/>
      <c r="E620" s="59">
        <f>SUM(B620:D620)</f>
        <v>0</v>
      </c>
      <c r="F620" s="1"/>
      <c r="G620" s="1"/>
      <c r="H620" s="1"/>
      <c r="I620" s="59">
        <f>SUM(F620:H620)</f>
        <v>0</v>
      </c>
      <c r="J620" s="1"/>
      <c r="K620" s="1"/>
      <c r="L620" s="1"/>
      <c r="M620" s="59">
        <f>SUM(J620:L620)</f>
        <v>0</v>
      </c>
      <c r="N620" s="1"/>
      <c r="O620" s="1"/>
      <c r="P620" s="1"/>
      <c r="Q620" s="59">
        <f>SUM(N620:P620)</f>
        <v>0</v>
      </c>
      <c r="R620" s="59">
        <f>+E620+I620+M620+Q620</f>
        <v>0</v>
      </c>
      <c r="T620" s="4" t="s">
        <v>516</v>
      </c>
    </row>
    <row r="621" spans="1:20" ht="15.75" customHeight="1" x14ac:dyDescent="0.3">
      <c r="A621" s="17" t="s">
        <v>66</v>
      </c>
      <c r="B621" s="1"/>
      <c r="C621" s="1"/>
      <c r="D621" s="1"/>
      <c r="E621" s="59" t="s">
        <v>7</v>
      </c>
      <c r="F621" s="1"/>
      <c r="G621" s="1"/>
      <c r="H621" s="1"/>
      <c r="I621" s="59" t="s">
        <v>7</v>
      </c>
      <c r="J621" s="1"/>
      <c r="K621" s="1"/>
      <c r="L621" s="1"/>
      <c r="M621" s="59" t="s">
        <v>7</v>
      </c>
      <c r="N621" s="1"/>
      <c r="O621" s="1"/>
      <c r="P621" s="1"/>
      <c r="Q621" s="59" t="s">
        <v>7</v>
      </c>
      <c r="R621" s="59" t="s">
        <v>7</v>
      </c>
    </row>
    <row r="622" spans="1:20" ht="15.75" customHeight="1" x14ac:dyDescent="0.3">
      <c r="A622" s="74" t="s">
        <v>541</v>
      </c>
      <c r="B622" s="1"/>
      <c r="C622" s="1"/>
      <c r="D622" s="1"/>
      <c r="E622" s="59">
        <f>SUM(B622:D622)</f>
        <v>0</v>
      </c>
      <c r="F622" s="1"/>
      <c r="G622" s="1"/>
      <c r="H622" s="1"/>
      <c r="I622" s="59">
        <f>SUM(F622:H622)</f>
        <v>0</v>
      </c>
      <c r="J622" s="1"/>
      <c r="K622" s="1"/>
      <c r="L622" s="1"/>
      <c r="M622" s="59">
        <f>SUM(J622:L622)</f>
        <v>0</v>
      </c>
      <c r="N622" s="1">
        <v>100</v>
      </c>
      <c r="O622" s="1">
        <v>100</v>
      </c>
      <c r="P622" s="1">
        <v>800</v>
      </c>
      <c r="Q622" s="59">
        <f>SUM(N622:P622)</f>
        <v>1000</v>
      </c>
      <c r="R622" s="59">
        <f>+E622+I622+M622+Q622</f>
        <v>1000</v>
      </c>
    </row>
    <row r="623" spans="1:20" ht="15.75" customHeight="1" x14ac:dyDescent="0.3">
      <c r="A623" s="74" t="s">
        <v>542</v>
      </c>
      <c r="B623" s="1"/>
      <c r="C623" s="1"/>
      <c r="D623" s="1"/>
      <c r="E623" s="59">
        <f>SUM(B623:D623)</f>
        <v>0</v>
      </c>
      <c r="F623" s="1"/>
      <c r="G623" s="1">
        <v>500</v>
      </c>
      <c r="H623" s="1">
        <v>500</v>
      </c>
      <c r="I623" s="59">
        <f>SUM(F623:H623)</f>
        <v>1000</v>
      </c>
      <c r="J623" s="1">
        <v>500</v>
      </c>
      <c r="K623" s="1">
        <v>500</v>
      </c>
      <c r="L623" s="1"/>
      <c r="M623" s="59">
        <f>SUM(J623:L623)</f>
        <v>1000</v>
      </c>
      <c r="N623" s="1"/>
      <c r="O623" s="1"/>
      <c r="P623" s="1"/>
      <c r="Q623" s="59">
        <f>SUM(N623:P623)</f>
        <v>0</v>
      </c>
      <c r="R623" s="59">
        <f>+E623+I623+M623+Q623</f>
        <v>2000</v>
      </c>
    </row>
    <row r="624" spans="1:20" ht="15.75" customHeight="1" x14ac:dyDescent="0.3">
      <c r="A624" s="17" t="s">
        <v>67</v>
      </c>
      <c r="B624" s="1"/>
      <c r="C624" s="1"/>
      <c r="D624" s="1"/>
      <c r="E624" s="59" t="s">
        <v>7</v>
      </c>
      <c r="F624" s="1"/>
      <c r="G624" s="1"/>
      <c r="H624" s="1"/>
      <c r="I624" s="59" t="s">
        <v>7</v>
      </c>
      <c r="J624" s="1"/>
      <c r="K624" s="1"/>
      <c r="L624" s="1"/>
      <c r="M624" s="59" t="s">
        <v>7</v>
      </c>
      <c r="N624" s="1"/>
      <c r="O624" s="1"/>
      <c r="P624" s="1"/>
      <c r="Q624" s="59" t="s">
        <v>7</v>
      </c>
      <c r="R624" s="59" t="s">
        <v>7</v>
      </c>
    </row>
    <row r="625" spans="1:18" ht="15.75" customHeight="1" x14ac:dyDescent="0.3">
      <c r="A625" s="74" t="s">
        <v>543</v>
      </c>
      <c r="B625" s="1"/>
      <c r="C625" s="1"/>
      <c r="D625" s="1"/>
      <c r="E625" s="59">
        <f t="shared" ref="E625:E627" si="237">SUM(B625:D625)</f>
        <v>0</v>
      </c>
      <c r="F625" s="1"/>
      <c r="G625" s="1"/>
      <c r="H625" s="1"/>
      <c r="I625" s="59">
        <f t="shared" ref="I625:I627" si="238">SUM(F625:H625)</f>
        <v>0</v>
      </c>
      <c r="J625" s="1"/>
      <c r="K625" s="1"/>
      <c r="L625" s="1"/>
      <c r="M625" s="59">
        <f t="shared" ref="M625:M627" si="239">SUM(J625:L625)</f>
        <v>0</v>
      </c>
      <c r="N625" s="1"/>
      <c r="O625" s="1"/>
      <c r="P625" s="1"/>
      <c r="Q625" s="59">
        <f t="shared" ref="Q625:Q631" si="240">SUM(N625:P625)</f>
        <v>0</v>
      </c>
      <c r="R625" s="59">
        <f t="shared" ref="R625:R631" si="241">+E625+I625+M625+Q625</f>
        <v>0</v>
      </c>
    </row>
    <row r="626" spans="1:18" ht="15.75" customHeight="1" x14ac:dyDescent="0.3">
      <c r="A626" s="74" t="s">
        <v>544</v>
      </c>
      <c r="B626" s="1"/>
      <c r="C626" s="1"/>
      <c r="D626" s="1"/>
      <c r="E626" s="59">
        <f t="shared" ref="E626" si="242">SUM(B626:D626)</f>
        <v>0</v>
      </c>
      <c r="F626" s="1"/>
      <c r="G626" s="1"/>
      <c r="H626" s="1"/>
      <c r="I626" s="59">
        <f t="shared" ref="I626" si="243">SUM(F626:H626)</f>
        <v>0</v>
      </c>
      <c r="J626" s="1"/>
      <c r="K626" s="1">
        <v>1000</v>
      </c>
      <c r="L626" s="1">
        <v>500</v>
      </c>
      <c r="M626" s="59">
        <f t="shared" ref="M626" si="244">SUM(J626:L626)</f>
        <v>1500</v>
      </c>
      <c r="N626" s="1"/>
      <c r="O626" s="1"/>
      <c r="P626" s="1"/>
      <c r="Q626" s="59">
        <f t="shared" ref="Q626" si="245">SUM(N626:P626)</f>
        <v>0</v>
      </c>
      <c r="R626" s="59">
        <f t="shared" si="241"/>
        <v>1500</v>
      </c>
    </row>
    <row r="627" spans="1:18" ht="15.75" customHeight="1" thickBot="1" x14ac:dyDescent="0.35">
      <c r="A627" s="74" t="s">
        <v>545</v>
      </c>
      <c r="B627" s="1"/>
      <c r="C627" s="1"/>
      <c r="D627" s="1"/>
      <c r="E627" s="59">
        <f t="shared" si="237"/>
        <v>0</v>
      </c>
      <c r="F627" s="1"/>
      <c r="G627" s="1"/>
      <c r="H627" s="1"/>
      <c r="I627" s="59">
        <f t="shared" si="238"/>
        <v>0</v>
      </c>
      <c r="J627" s="1">
        <v>1000</v>
      </c>
      <c r="K627" s="1"/>
      <c r="L627" s="1"/>
      <c r="M627" s="59">
        <f t="shared" si="239"/>
        <v>1000</v>
      </c>
      <c r="N627" s="1"/>
      <c r="O627" s="1"/>
      <c r="P627" s="1"/>
      <c r="Q627" s="59">
        <f t="shared" si="240"/>
        <v>0</v>
      </c>
      <c r="R627" s="59">
        <f t="shared" si="241"/>
        <v>1000</v>
      </c>
    </row>
    <row r="628" spans="1:18" ht="16.5" customHeight="1" thickBot="1" x14ac:dyDescent="0.35">
      <c r="A628" s="62" t="s">
        <v>68</v>
      </c>
      <c r="B628" s="148">
        <f>SUM(B621:B627)</f>
        <v>0</v>
      </c>
      <c r="C628" s="148">
        <f>SUM(C621:C627)</f>
        <v>0</v>
      </c>
      <c r="D628" s="148">
        <f>SUM(D621:D627)</f>
        <v>0</v>
      </c>
      <c r="E628" s="65">
        <f t="shared" ref="E628:E631" si="246">SUM(B628:D628)</f>
        <v>0</v>
      </c>
      <c r="F628" s="148">
        <f>SUM(F621:F627)</f>
        <v>0</v>
      </c>
      <c r="G628" s="148">
        <f>SUM(G621:G627)</f>
        <v>500</v>
      </c>
      <c r="H628" s="148">
        <f>SUM(H621:H627)</f>
        <v>500</v>
      </c>
      <c r="I628" s="65">
        <f t="shared" ref="I628:I631" si="247">SUM(F628:H628)</f>
        <v>1000</v>
      </c>
      <c r="J628" s="148">
        <f>SUM(J621:J627)</f>
        <v>1500</v>
      </c>
      <c r="K628" s="148">
        <f>SUM(K621:K627)</f>
        <v>1500</v>
      </c>
      <c r="L628" s="148">
        <f>SUM(L621:L627)</f>
        <v>500</v>
      </c>
      <c r="M628" s="65">
        <f t="shared" ref="M628:M631" si="248">SUM(J628:L628)</f>
        <v>3500</v>
      </c>
      <c r="N628" s="148">
        <f>SUM(N621:N627)</f>
        <v>100</v>
      </c>
      <c r="O628" s="148">
        <f>SUM(O621:O627)</f>
        <v>100</v>
      </c>
      <c r="P628" s="148">
        <f>SUM(P621:P627)</f>
        <v>800</v>
      </c>
      <c r="Q628" s="65">
        <f t="shared" si="240"/>
        <v>1000</v>
      </c>
      <c r="R628" s="64">
        <f t="shared" si="241"/>
        <v>5500</v>
      </c>
    </row>
    <row r="629" spans="1:18" ht="16.5" customHeight="1" thickBot="1" x14ac:dyDescent="0.35">
      <c r="A629" s="137" t="s">
        <v>69</v>
      </c>
      <c r="B629" s="100">
        <f>SUM(B612:B627)</f>
        <v>0</v>
      </c>
      <c r="C629" s="101">
        <f>SUM(C612:C627)</f>
        <v>0</v>
      </c>
      <c r="D629" s="138">
        <f>SUM(D612:D627)</f>
        <v>0</v>
      </c>
      <c r="E629" s="65">
        <f t="shared" si="246"/>
        <v>0</v>
      </c>
      <c r="F629" s="100">
        <f>SUM(F612:F627)</f>
        <v>1500</v>
      </c>
      <c r="G629" s="101">
        <f>SUM(G612:G627)</f>
        <v>2000</v>
      </c>
      <c r="H629" s="138">
        <f>SUM(H612:H627)</f>
        <v>500</v>
      </c>
      <c r="I629" s="65">
        <f t="shared" si="247"/>
        <v>4000</v>
      </c>
      <c r="J629" s="100">
        <f>SUM(J612:J627)</f>
        <v>2500</v>
      </c>
      <c r="K629" s="101">
        <f>SUM(K612:K627)</f>
        <v>2500</v>
      </c>
      <c r="L629" s="138">
        <f>SUM(L612:L627)</f>
        <v>1000</v>
      </c>
      <c r="M629" s="65">
        <f t="shared" si="248"/>
        <v>6000</v>
      </c>
      <c r="N629" s="100">
        <f>SUM(N612:N627)</f>
        <v>100</v>
      </c>
      <c r="O629" s="101">
        <f>SUM(O612:O627)</f>
        <v>600</v>
      </c>
      <c r="P629" s="138">
        <f>SUM(P612:P627)</f>
        <v>1100</v>
      </c>
      <c r="Q629" s="65">
        <f t="shared" si="240"/>
        <v>1800</v>
      </c>
      <c r="R629" s="64">
        <f t="shared" si="241"/>
        <v>11800</v>
      </c>
    </row>
    <row r="630" spans="1:18" ht="16.5" customHeight="1" thickBot="1" x14ac:dyDescent="0.35">
      <c r="A630" s="62" t="s">
        <v>70</v>
      </c>
      <c r="B630" s="149">
        <f>+B596+B602+B611+B629</f>
        <v>1425</v>
      </c>
      <c r="C630" s="150">
        <f>+C596+C602+C611+C629</f>
        <v>1685</v>
      </c>
      <c r="D630" s="150">
        <f>+D596+D602+D611+D629</f>
        <v>2735</v>
      </c>
      <c r="E630" s="64">
        <f t="shared" si="246"/>
        <v>5845</v>
      </c>
      <c r="F630" s="63">
        <f>+F596+F602+F611+F629</f>
        <v>5321</v>
      </c>
      <c r="G630" s="63">
        <f>+G596+G602+G611+G629</f>
        <v>5685</v>
      </c>
      <c r="H630" s="63">
        <f>+H596+H602+H611+H629</f>
        <v>5148</v>
      </c>
      <c r="I630" s="64">
        <f t="shared" si="247"/>
        <v>16154</v>
      </c>
      <c r="J630" s="63">
        <f>+J596+J602+J611+J629</f>
        <v>7193</v>
      </c>
      <c r="K630" s="63">
        <f>+K596+K602+K611+K629</f>
        <v>6202</v>
      </c>
      <c r="L630" s="63">
        <f>+L596+L602+L611+L629</f>
        <v>3845</v>
      </c>
      <c r="M630" s="64">
        <f t="shared" si="248"/>
        <v>17240</v>
      </c>
      <c r="N630" s="63">
        <f>+N596+N602+N611+N629</f>
        <v>1765</v>
      </c>
      <c r="O630" s="63">
        <f>+O596+O602+O611+O629</f>
        <v>1120</v>
      </c>
      <c r="P630" s="63">
        <f>+P596+P602+P611+P629</f>
        <v>2439</v>
      </c>
      <c r="Q630" s="64">
        <f t="shared" si="240"/>
        <v>5324</v>
      </c>
      <c r="R630" s="88">
        <f t="shared" si="241"/>
        <v>44563</v>
      </c>
    </row>
    <row r="631" spans="1:18" ht="16.5" customHeight="1" thickBot="1" x14ac:dyDescent="0.35">
      <c r="A631" s="40" t="s">
        <v>37</v>
      </c>
      <c r="B631" s="25">
        <v>17</v>
      </c>
      <c r="C631" s="25">
        <v>47</v>
      </c>
      <c r="D631" s="25">
        <v>84</v>
      </c>
      <c r="E631" s="59">
        <f t="shared" si="246"/>
        <v>148</v>
      </c>
      <c r="F631" s="25">
        <v>116</v>
      </c>
      <c r="G631" s="25">
        <v>132</v>
      </c>
      <c r="H631" s="25">
        <v>138</v>
      </c>
      <c r="I631" s="59">
        <f t="shared" si="247"/>
        <v>386</v>
      </c>
      <c r="J631" s="25">
        <v>126</v>
      </c>
      <c r="K631" s="25">
        <v>95</v>
      </c>
      <c r="L631" s="25">
        <v>99</v>
      </c>
      <c r="M631" s="59">
        <f t="shared" si="248"/>
        <v>320</v>
      </c>
      <c r="N631" s="25">
        <v>91</v>
      </c>
      <c r="O631" s="25">
        <v>67</v>
      </c>
      <c r="P631" s="25">
        <v>38</v>
      </c>
      <c r="Q631" s="59">
        <f t="shared" si="240"/>
        <v>196</v>
      </c>
      <c r="R631" s="59">
        <f t="shared" si="241"/>
        <v>1050</v>
      </c>
    </row>
    <row r="632" spans="1:18" ht="16.5" customHeight="1" thickBot="1" x14ac:dyDescent="0.35">
      <c r="A632" s="42"/>
      <c r="B632" s="37"/>
      <c r="C632" s="37"/>
      <c r="D632" s="37"/>
      <c r="E632" s="43"/>
      <c r="F632" s="37"/>
      <c r="G632" s="37"/>
      <c r="H632" s="37"/>
      <c r="I632" s="43"/>
      <c r="J632" s="37"/>
      <c r="K632" s="37"/>
      <c r="L632" s="37"/>
      <c r="M632" s="43"/>
      <c r="N632" s="37"/>
      <c r="O632" s="37"/>
      <c r="P632" s="37"/>
      <c r="Q632" s="43"/>
      <c r="R632" s="43"/>
    </row>
    <row r="633" spans="1:18" ht="15.75" customHeight="1" x14ac:dyDescent="0.3">
      <c r="A633" s="82" t="s">
        <v>507</v>
      </c>
      <c r="B633" s="83">
        <f>SUM(B630:B631)</f>
        <v>1442</v>
      </c>
      <c r="C633" s="83">
        <f>SUM(C630:C631)</f>
        <v>1732</v>
      </c>
      <c r="D633" s="83">
        <f>SUM(D630:D631)</f>
        <v>2819</v>
      </c>
      <c r="E633" s="65">
        <f>SUM(B633:D633)</f>
        <v>5993</v>
      </c>
      <c r="F633" s="83">
        <f>SUM(F630:F631)</f>
        <v>5437</v>
      </c>
      <c r="G633" s="83">
        <f>SUM(G630:G631)</f>
        <v>5817</v>
      </c>
      <c r="H633" s="83">
        <f>SUM(H630:H631)</f>
        <v>5286</v>
      </c>
      <c r="I633" s="65">
        <f>SUM(F633:H633)</f>
        <v>16540</v>
      </c>
      <c r="J633" s="83">
        <f>SUM(J630:J631)</f>
        <v>7319</v>
      </c>
      <c r="K633" s="83">
        <f>SUM(K630:K631)</f>
        <v>6297</v>
      </c>
      <c r="L633" s="83">
        <f>SUM(L630:L631)</f>
        <v>3944</v>
      </c>
      <c r="M633" s="65">
        <f>SUM(J633:L633)</f>
        <v>17560</v>
      </c>
      <c r="N633" s="83">
        <f>SUM(N630:N631)</f>
        <v>1856</v>
      </c>
      <c r="O633" s="83">
        <f>SUM(O630:O631)</f>
        <v>1187</v>
      </c>
      <c r="P633" s="83">
        <f>SUM(P630:P631)</f>
        <v>2477</v>
      </c>
      <c r="Q633" s="65">
        <f>SUM(N633:P633)</f>
        <v>5520</v>
      </c>
      <c r="R633" s="65">
        <f>+E633+I633+M633+Q633</f>
        <v>45613</v>
      </c>
    </row>
    <row r="634" spans="1:18" ht="15.75" customHeight="1" x14ac:dyDescent="0.3">
      <c r="A634" s="85" t="s">
        <v>39</v>
      </c>
      <c r="B634" s="1">
        <f>(B633/B10)/1.983</f>
        <v>23.45745286548566</v>
      </c>
      <c r="C634" s="1">
        <f>(C633/C10)/1.983</f>
        <v>31.193718031842085</v>
      </c>
      <c r="D634" s="1">
        <f>(D633/D10)/1.983</f>
        <v>45.857530948546518</v>
      </c>
      <c r="E634" s="59" t="s">
        <v>7</v>
      </c>
      <c r="F634" s="1">
        <f>(F633/F10)/1.983</f>
        <v>91.393511514540251</v>
      </c>
      <c r="G634" s="1">
        <f>(G633/G10)/1.983</f>
        <v>94.6269093748475</v>
      </c>
      <c r="H634" s="1">
        <f>(H633/H10)/1.983</f>
        <v>88.855269793242556</v>
      </c>
      <c r="I634" s="59" t="s">
        <v>7</v>
      </c>
      <c r="J634" s="1">
        <f>(J633/J10)/1.983</f>
        <v>119.06040050103297</v>
      </c>
      <c r="K634" s="1">
        <f>(K633/K10)/1.983</f>
        <v>102.43521546044605</v>
      </c>
      <c r="L634" s="1">
        <f>(L633/L10)/1.983</f>
        <v>66.296856614557072</v>
      </c>
      <c r="M634" s="59" t="s">
        <v>7</v>
      </c>
      <c r="N634" s="1">
        <f>(N633/N10)/1.983</f>
        <v>30.192116864314411</v>
      </c>
      <c r="O634" s="1">
        <f>(O633/O10)/1.983</f>
        <v>19.952933266095144</v>
      </c>
      <c r="P634" s="1">
        <f>(P633/P10)/1.983</f>
        <v>40.294112862557547</v>
      </c>
      <c r="Q634" s="59" t="s">
        <v>7</v>
      </c>
      <c r="R634" s="59" t="s">
        <v>7</v>
      </c>
    </row>
    <row r="635" spans="1:18" ht="15.75" customHeight="1" x14ac:dyDescent="0.3">
      <c r="A635" s="85" t="s">
        <v>546</v>
      </c>
      <c r="B635" s="1">
        <f>B633+B645</f>
        <v>19771</v>
      </c>
      <c r="C635" s="1">
        <f>C633+C645</f>
        <v>20123</v>
      </c>
      <c r="D635" s="1">
        <f>D633+D645</f>
        <v>22358</v>
      </c>
      <c r="E635" s="59">
        <f>SUM(B635:D635)</f>
        <v>62252</v>
      </c>
      <c r="F635" s="1">
        <f>F633+F645</f>
        <v>25398</v>
      </c>
      <c r="G635" s="1">
        <f>G633+G645</f>
        <v>26829</v>
      </c>
      <c r="H635" s="1">
        <f>H633+H645</f>
        <v>26550</v>
      </c>
      <c r="I635" s="59">
        <f>SUM(F635:H635)</f>
        <v>78777</v>
      </c>
      <c r="J635" s="1">
        <f>J633+J645</f>
        <v>29509</v>
      </c>
      <c r="K635" s="1">
        <f>K633+K645</f>
        <v>27999</v>
      </c>
      <c r="L635" s="1">
        <f>L633+L645</f>
        <v>24269</v>
      </c>
      <c r="M635" s="59">
        <f>SUM(J635:L635)</f>
        <v>81777</v>
      </c>
      <c r="N635" s="1">
        <f>N633+N645</f>
        <v>12134</v>
      </c>
      <c r="O635" s="1">
        <f>O633+O645</f>
        <v>5066</v>
      </c>
      <c r="P635" s="1">
        <f>P633+P645</f>
        <v>6007</v>
      </c>
      <c r="Q635" s="59">
        <f>SUM(N635:P635)</f>
        <v>23207</v>
      </c>
      <c r="R635" s="59">
        <f>+E635+I635+M635+Q635</f>
        <v>246013</v>
      </c>
    </row>
    <row r="636" spans="1:18" ht="16.5" customHeight="1" thickBot="1" x14ac:dyDescent="0.35">
      <c r="A636" s="86" t="s">
        <v>547</v>
      </c>
      <c r="B636" s="87">
        <f>(B635/B10)/1.983</f>
        <v>321.62087420493549</v>
      </c>
      <c r="C636" s="87">
        <f>(C635/C10)/1.983</f>
        <v>362.41985447734311</v>
      </c>
      <c r="D636" s="87">
        <f>(D635/D10)/1.983</f>
        <v>363.70439054544272</v>
      </c>
      <c r="E636" s="88" t="s">
        <v>7</v>
      </c>
      <c r="F636" s="87">
        <f>(F635/F10)/1.983</f>
        <v>426.928895612708</v>
      </c>
      <c r="G636" s="87">
        <f>(G635/G10)/1.983</f>
        <v>436.43550827192428</v>
      </c>
      <c r="H636" s="87">
        <f>(H635/H10)/1.983</f>
        <v>446.29349470499244</v>
      </c>
      <c r="I636" s="88" t="s">
        <v>7</v>
      </c>
      <c r="J636" s="87">
        <f>(J635/J10)/1.983</f>
        <v>480.03188391651616</v>
      </c>
      <c r="K636" s="87">
        <f>(K635/K10)/1.983</f>
        <v>455.46825435557076</v>
      </c>
      <c r="L636" s="87">
        <f>(L635/L10)/1.983</f>
        <v>407.95091612035634</v>
      </c>
      <c r="M636" s="88" t="s">
        <v>7</v>
      </c>
      <c r="N636" s="87">
        <f>(N635/N10)/1.983</f>
        <v>197.38747092219347</v>
      </c>
      <c r="O636" s="87">
        <f>(O635/O10)/1.983</f>
        <v>85.157169272146575</v>
      </c>
      <c r="P636" s="87">
        <f>(P635/P10)/1.983</f>
        <v>97.717697200396927</v>
      </c>
      <c r="Q636" s="88" t="s">
        <v>7</v>
      </c>
      <c r="R636" s="88" t="s">
        <v>7</v>
      </c>
    </row>
    <row r="637" spans="1:18" ht="15.75" customHeight="1" x14ac:dyDescent="0.3">
      <c r="A637" s="28"/>
      <c r="B637" s="1"/>
      <c r="C637" s="1"/>
      <c r="D637" s="1"/>
      <c r="E637" s="1"/>
      <c r="F637" s="1"/>
      <c r="G637" s="1"/>
      <c r="H637" s="1"/>
      <c r="I637" s="1"/>
      <c r="J637" s="1"/>
      <c r="K637" s="1"/>
      <c r="L637" s="1"/>
      <c r="M637" s="1"/>
      <c r="N637" s="1"/>
      <c r="O637" s="1"/>
      <c r="P637" s="1"/>
      <c r="Q637" s="1"/>
      <c r="R637" s="28"/>
    </row>
    <row r="638" spans="1:18" ht="16.5" customHeight="1" thickBot="1" x14ac:dyDescent="0.35">
      <c r="A638" s="123"/>
      <c r="B638" s="25"/>
      <c r="C638" s="25"/>
      <c r="D638" s="25"/>
      <c r="E638" s="25"/>
      <c r="F638" s="25"/>
      <c r="G638" s="25"/>
      <c r="H638" s="25"/>
      <c r="I638" s="25"/>
      <c r="J638" s="25"/>
      <c r="K638" s="25"/>
      <c r="L638" s="25"/>
      <c r="M638" s="25"/>
      <c r="N638" s="25"/>
      <c r="O638" s="25"/>
      <c r="P638" s="25"/>
      <c r="Q638" s="25"/>
      <c r="R638" s="123"/>
    </row>
    <row r="639" spans="1:18" ht="16.5" customHeight="1" thickBot="1" x14ac:dyDescent="0.35">
      <c r="A639" s="145" t="s">
        <v>548</v>
      </c>
      <c r="B639" s="32" t="s">
        <v>36</v>
      </c>
      <c r="C639" s="33" t="s">
        <v>9</v>
      </c>
      <c r="D639" s="33" t="s">
        <v>10</v>
      </c>
      <c r="E639" s="12" t="s">
        <v>11</v>
      </c>
      <c r="F639" s="33" t="s">
        <v>12</v>
      </c>
      <c r="G639" s="33" t="s">
        <v>13</v>
      </c>
      <c r="H639" s="33" t="s">
        <v>14</v>
      </c>
      <c r="I639" s="34" t="s">
        <v>15</v>
      </c>
      <c r="J639" s="33" t="s">
        <v>16</v>
      </c>
      <c r="K639" s="33" t="s">
        <v>17</v>
      </c>
      <c r="L639" s="33" t="s">
        <v>18</v>
      </c>
      <c r="M639" s="34" t="s">
        <v>19</v>
      </c>
      <c r="N639" s="33" t="s">
        <v>20</v>
      </c>
      <c r="O639" s="33" t="s">
        <v>21</v>
      </c>
      <c r="P639" s="33" t="s">
        <v>22</v>
      </c>
      <c r="Q639" s="12" t="s">
        <v>23</v>
      </c>
      <c r="R639" s="13" t="s">
        <v>24</v>
      </c>
    </row>
    <row r="640" spans="1:18" ht="16.5" customHeight="1" thickBot="1" x14ac:dyDescent="0.35">
      <c r="A640" s="42"/>
      <c r="B640" s="37"/>
      <c r="C640" s="37"/>
      <c r="D640" s="37"/>
      <c r="E640" s="38"/>
      <c r="F640" s="37"/>
      <c r="G640" s="37"/>
      <c r="H640" s="37"/>
      <c r="I640" s="38"/>
      <c r="J640" s="37"/>
      <c r="K640" s="37"/>
      <c r="L640" s="37"/>
      <c r="M640" s="38"/>
      <c r="N640" s="37"/>
      <c r="O640" s="37"/>
      <c r="P640" s="37"/>
      <c r="Q640" s="151"/>
      <c r="R640" s="152"/>
    </row>
    <row r="641" spans="1:18" ht="16.5" customHeight="1" thickBot="1" x14ac:dyDescent="0.35">
      <c r="A641" s="40" t="s">
        <v>37</v>
      </c>
      <c r="B641" s="25">
        <v>20</v>
      </c>
      <c r="C641" s="25">
        <v>22</v>
      </c>
      <c r="D641" s="25">
        <v>28</v>
      </c>
      <c r="E641" s="59">
        <f>SUM(B641:D641)</f>
        <v>70</v>
      </c>
      <c r="F641" s="25">
        <v>37</v>
      </c>
      <c r="G641" s="25">
        <v>42</v>
      </c>
      <c r="H641" s="25">
        <v>44</v>
      </c>
      <c r="I641" s="59">
        <f>SUM(F641:H641)</f>
        <v>123</v>
      </c>
      <c r="J641" s="25">
        <v>39</v>
      </c>
      <c r="K641" s="25">
        <v>36</v>
      </c>
      <c r="L641" s="25">
        <v>34</v>
      </c>
      <c r="M641" s="59">
        <f>SUM(J641:L641)</f>
        <v>109</v>
      </c>
      <c r="N641" s="25">
        <v>29</v>
      </c>
      <c r="O641" s="25">
        <v>23</v>
      </c>
      <c r="P641" s="25">
        <v>19</v>
      </c>
      <c r="Q641" s="59">
        <f>SUM(N641:P641)</f>
        <v>71</v>
      </c>
      <c r="R641" s="59">
        <f>+E641+I641+M641+Q641</f>
        <v>373</v>
      </c>
    </row>
    <row r="642" spans="1:18" ht="16.5" customHeight="1" thickBot="1" x14ac:dyDescent="0.35">
      <c r="A642" s="42"/>
      <c r="B642" s="37"/>
      <c r="C642" s="37"/>
      <c r="D642" s="37"/>
      <c r="E642" s="16"/>
      <c r="F642" s="37"/>
      <c r="G642" s="37"/>
      <c r="H642" s="37"/>
      <c r="I642" s="16"/>
      <c r="J642" s="37"/>
      <c r="K642" s="37"/>
      <c r="L642" s="37"/>
      <c r="M642" s="16"/>
      <c r="N642" s="37"/>
      <c r="O642" s="37"/>
      <c r="P642" s="37"/>
      <c r="Q642" s="16"/>
      <c r="R642" s="43"/>
    </row>
    <row r="643" spans="1:18" ht="15.75" customHeight="1" x14ac:dyDescent="0.3">
      <c r="A643" s="82" t="s">
        <v>507</v>
      </c>
      <c r="B643" s="83">
        <f>B641</f>
        <v>20</v>
      </c>
      <c r="C643" s="83">
        <f>C641</f>
        <v>22</v>
      </c>
      <c r="D643" s="83">
        <f>D641</f>
        <v>28</v>
      </c>
      <c r="E643" s="65">
        <f>SUM(B643:D643)</f>
        <v>70</v>
      </c>
      <c r="F643" s="83">
        <f>F641</f>
        <v>37</v>
      </c>
      <c r="G643" s="83">
        <f>G641</f>
        <v>42</v>
      </c>
      <c r="H643" s="83">
        <f>H641</f>
        <v>44</v>
      </c>
      <c r="I643" s="65">
        <f>SUM(F643:H643)</f>
        <v>123</v>
      </c>
      <c r="J643" s="83">
        <f>J641</f>
        <v>39</v>
      </c>
      <c r="K643" s="83">
        <f>K641</f>
        <v>36</v>
      </c>
      <c r="L643" s="83">
        <f>L641</f>
        <v>34</v>
      </c>
      <c r="M643" s="65">
        <f>SUM(J643:L643)</f>
        <v>109</v>
      </c>
      <c r="N643" s="83">
        <f>N641</f>
        <v>29</v>
      </c>
      <c r="O643" s="83">
        <f>O641</f>
        <v>23</v>
      </c>
      <c r="P643" s="83">
        <f>P641</f>
        <v>19</v>
      </c>
      <c r="Q643" s="65">
        <f>SUM(N643:P643)</f>
        <v>71</v>
      </c>
      <c r="R643" s="65">
        <f>+E643+I643+M643+Q643</f>
        <v>373</v>
      </c>
    </row>
    <row r="644" spans="1:18" ht="15.75" customHeight="1" x14ac:dyDescent="0.3">
      <c r="A644" s="85" t="s">
        <v>39</v>
      </c>
      <c r="B644" s="1">
        <f>(B643/B10)/1.983</f>
        <v>0.32534608689993977</v>
      </c>
      <c r="C644" s="1">
        <f>(C643/C10)/1.983</f>
        <v>0.39622505583171236</v>
      </c>
      <c r="D644" s="1">
        <f>(D643/D10)/1.983</f>
        <v>0.45548452165991571</v>
      </c>
      <c r="E644" s="59" t="s">
        <v>7</v>
      </c>
      <c r="F644" s="1">
        <f>(F643/F10)/1.983</f>
        <v>0.62195326945705165</v>
      </c>
      <c r="G644" s="1">
        <f>(G643/G10)/1.983</f>
        <v>0.68322678248987356</v>
      </c>
      <c r="H644" s="1">
        <f>(H643/H10)/1.983</f>
        <v>0.73962010421919644</v>
      </c>
      <c r="I644" s="59" t="s">
        <v>7</v>
      </c>
      <c r="J644" s="1">
        <f>(J643/J10)/1.983</f>
        <v>0.63442486945488263</v>
      </c>
      <c r="K644" s="1">
        <f>(K643/K10)/1.983</f>
        <v>0.5856229564198917</v>
      </c>
      <c r="L644" s="1">
        <f>(L643/L10)/1.983</f>
        <v>0.57152462598756093</v>
      </c>
      <c r="M644" s="59" t="s">
        <v>7</v>
      </c>
      <c r="N644" s="1">
        <f>(N643/N10)/1.983</f>
        <v>0.47175182600491267</v>
      </c>
      <c r="O644" s="1">
        <f>(O643/O10)/1.983</f>
        <v>0.38661959993276179</v>
      </c>
      <c r="P644" s="1">
        <f>(P643/P10)/1.983</f>
        <v>0.30907878255494281</v>
      </c>
      <c r="Q644" s="59" t="s">
        <v>7</v>
      </c>
      <c r="R644" s="59" t="s">
        <v>7</v>
      </c>
    </row>
    <row r="645" spans="1:18" ht="15.75" customHeight="1" x14ac:dyDescent="0.3">
      <c r="A645" s="85" t="s">
        <v>549</v>
      </c>
      <c r="B645" s="1">
        <f>B643+B681</f>
        <v>18329</v>
      </c>
      <c r="C645" s="1">
        <f>C643+C681</f>
        <v>18391</v>
      </c>
      <c r="D645" s="1">
        <f>D643+D681</f>
        <v>19539</v>
      </c>
      <c r="E645" s="59">
        <f>SUM(B645:D645)</f>
        <v>56259</v>
      </c>
      <c r="F645" s="1">
        <f>F643+F681</f>
        <v>19961</v>
      </c>
      <c r="G645" s="1">
        <f>G643+G681</f>
        <v>21012</v>
      </c>
      <c r="H645" s="1">
        <f>H643+H681</f>
        <v>21264</v>
      </c>
      <c r="I645" s="59">
        <f>SUM(F645:H645)</f>
        <v>62237</v>
      </c>
      <c r="J645" s="1">
        <f>J643+J681</f>
        <v>22190</v>
      </c>
      <c r="K645" s="1">
        <f>K643+K681</f>
        <v>21702</v>
      </c>
      <c r="L645" s="1">
        <f>L643+L681</f>
        <v>20325</v>
      </c>
      <c r="M645" s="59">
        <f>SUM(J645:L645)</f>
        <v>64217</v>
      </c>
      <c r="N645" s="1">
        <f>N643+N681</f>
        <v>10278</v>
      </c>
      <c r="O645" s="1">
        <f>O643+O681</f>
        <v>3879</v>
      </c>
      <c r="P645" s="1">
        <f>P643+P681</f>
        <v>3530</v>
      </c>
      <c r="Q645" s="59">
        <f>SUM(N645:P645)</f>
        <v>17687</v>
      </c>
      <c r="R645" s="59">
        <f>+E645+I645+M645+Q645</f>
        <v>200400</v>
      </c>
    </row>
    <row r="646" spans="1:18" ht="16.5" customHeight="1" thickBot="1" x14ac:dyDescent="0.35">
      <c r="A646" s="86" t="s">
        <v>550</v>
      </c>
      <c r="B646" s="87">
        <f>(B645/B10)/1.983</f>
        <v>298.16342133944983</v>
      </c>
      <c r="C646" s="87">
        <f>(C645/C10)/1.983</f>
        <v>331.22613644550103</v>
      </c>
      <c r="D646" s="87">
        <f>(D645/D10)/1.983</f>
        <v>317.84685959689614</v>
      </c>
      <c r="E646" s="88" t="s">
        <v>7</v>
      </c>
      <c r="F646" s="87">
        <f>(F645/F10)/1.983</f>
        <v>335.53538409816775</v>
      </c>
      <c r="G646" s="87">
        <f>(G645/G10)/1.983</f>
        <v>341.80859889707671</v>
      </c>
      <c r="H646" s="87">
        <f>(H645/H10)/1.983</f>
        <v>357.43822491174984</v>
      </c>
      <c r="I646" s="88" t="s">
        <v>7</v>
      </c>
      <c r="J646" s="87">
        <f>(J645/J10)/1.983</f>
        <v>360.97148341548319</v>
      </c>
      <c r="K646" s="87">
        <f>(K645/K10)/1.983</f>
        <v>353.03303889512472</v>
      </c>
      <c r="L646" s="87">
        <f>(L645/L10)/1.983</f>
        <v>341.6540595057993</v>
      </c>
      <c r="M646" s="88" t="s">
        <v>7</v>
      </c>
      <c r="N646" s="87">
        <f>(N645/N10)/1.983</f>
        <v>167.19535405787906</v>
      </c>
      <c r="O646" s="87">
        <f>(O645/O10)/1.983</f>
        <v>65.204236006051445</v>
      </c>
      <c r="P646" s="87">
        <f>(P645/P10)/1.983</f>
        <v>57.423584337839372</v>
      </c>
      <c r="Q646" s="88" t="s">
        <v>7</v>
      </c>
      <c r="R646" s="88" t="s">
        <v>7</v>
      </c>
    </row>
    <row r="647" spans="1:18" ht="15.75" customHeight="1" x14ac:dyDescent="0.3">
      <c r="A647" s="30"/>
      <c r="B647" s="1"/>
      <c r="C647" s="1"/>
      <c r="D647" s="1"/>
      <c r="E647" s="1"/>
      <c r="F647" s="1"/>
      <c r="G647" s="1"/>
      <c r="H647" s="1"/>
      <c r="I647" s="1"/>
      <c r="J647" s="1"/>
      <c r="K647" s="1"/>
      <c r="L647" s="1"/>
      <c r="M647" s="1"/>
      <c r="N647" s="1"/>
      <c r="O647" s="1"/>
      <c r="P647" s="1"/>
      <c r="Q647" s="1"/>
      <c r="R647" s="28"/>
    </row>
    <row r="648" spans="1:18" ht="15.75" customHeight="1" thickBot="1" x14ac:dyDescent="0.35">
      <c r="A648" s="30"/>
      <c r="B648" s="1"/>
      <c r="C648" s="1"/>
      <c r="D648" s="1"/>
      <c r="E648" s="1"/>
      <c r="F648" s="1"/>
      <c r="G648" s="1"/>
      <c r="H648" s="1"/>
      <c r="I648" s="1"/>
      <c r="J648" s="1"/>
      <c r="K648" s="1"/>
      <c r="L648" s="1"/>
      <c r="M648" s="1"/>
      <c r="N648" s="1"/>
      <c r="O648" s="1"/>
      <c r="P648" s="1"/>
      <c r="Q648" s="1"/>
      <c r="R648" s="28"/>
    </row>
    <row r="649" spans="1:18" ht="16.5" customHeight="1" thickBot="1" x14ac:dyDescent="0.35">
      <c r="A649" s="31" t="s">
        <v>551</v>
      </c>
      <c r="B649" s="32" t="s">
        <v>36</v>
      </c>
      <c r="C649" s="33" t="s">
        <v>9</v>
      </c>
      <c r="D649" s="33" t="s">
        <v>10</v>
      </c>
      <c r="E649" s="12" t="s">
        <v>11</v>
      </c>
      <c r="F649" s="33" t="s">
        <v>12</v>
      </c>
      <c r="G649" s="33" t="s">
        <v>13</v>
      </c>
      <c r="H649" s="33" t="s">
        <v>14</v>
      </c>
      <c r="I649" s="34" t="s">
        <v>15</v>
      </c>
      <c r="J649" s="33" t="s">
        <v>16</v>
      </c>
      <c r="K649" s="33" t="s">
        <v>17</v>
      </c>
      <c r="L649" s="33" t="s">
        <v>18</v>
      </c>
      <c r="M649" s="34" t="s">
        <v>19</v>
      </c>
      <c r="N649" s="33" t="s">
        <v>20</v>
      </c>
      <c r="O649" s="33" t="s">
        <v>21</v>
      </c>
      <c r="P649" s="33" t="s">
        <v>22</v>
      </c>
      <c r="Q649" s="34" t="s">
        <v>23</v>
      </c>
      <c r="R649" s="35" t="s">
        <v>24</v>
      </c>
    </row>
    <row r="650" spans="1:18" ht="16.5" customHeight="1" thickBot="1" x14ac:dyDescent="0.35">
      <c r="A650" s="42"/>
      <c r="B650" s="37"/>
      <c r="C650" s="37"/>
      <c r="D650" s="37"/>
      <c r="E650" s="16"/>
      <c r="F650" s="37"/>
      <c r="G650" s="37"/>
      <c r="H650" s="37"/>
      <c r="I650" s="16"/>
      <c r="J650" s="37"/>
      <c r="K650" s="37"/>
      <c r="L650" s="37"/>
      <c r="M650" s="16"/>
      <c r="N650" s="37"/>
      <c r="O650" s="37"/>
      <c r="P650" s="37"/>
      <c r="Q650" s="16"/>
      <c r="R650" s="39"/>
    </row>
    <row r="651" spans="1:18" ht="15.75" customHeight="1" x14ac:dyDescent="0.3">
      <c r="A651" s="17" t="s">
        <v>45</v>
      </c>
      <c r="B651" s="1" t="s">
        <v>7</v>
      </c>
      <c r="C651" s="1" t="s">
        <v>7</v>
      </c>
      <c r="D651" s="1" t="s">
        <v>7</v>
      </c>
      <c r="E651" s="59" t="s">
        <v>7</v>
      </c>
      <c r="F651" s="1" t="s">
        <v>7</v>
      </c>
      <c r="G651" s="1" t="s">
        <v>7</v>
      </c>
      <c r="H651" s="1" t="s">
        <v>7</v>
      </c>
      <c r="I651" s="59" t="s">
        <v>7</v>
      </c>
      <c r="J651" s="1" t="s">
        <v>7</v>
      </c>
      <c r="K651" s="1" t="s">
        <v>7</v>
      </c>
      <c r="L651" s="1" t="s">
        <v>7</v>
      </c>
      <c r="M651" s="59" t="s">
        <v>7</v>
      </c>
      <c r="N651" s="1" t="s">
        <v>7</v>
      </c>
      <c r="O651" s="1" t="s">
        <v>7</v>
      </c>
      <c r="P651" s="1" t="s">
        <v>7</v>
      </c>
      <c r="Q651" s="59" t="s">
        <v>7</v>
      </c>
      <c r="R651" s="59" t="s">
        <v>7</v>
      </c>
    </row>
    <row r="652" spans="1:18" ht="15.75" customHeight="1" x14ac:dyDescent="0.3">
      <c r="A652" s="17" t="s">
        <v>46</v>
      </c>
      <c r="B652" s="1"/>
      <c r="C652" s="1"/>
      <c r="D652" s="1"/>
      <c r="E652" s="59" t="s">
        <v>7</v>
      </c>
      <c r="F652" s="1"/>
      <c r="G652" s="1"/>
      <c r="H652" s="1"/>
      <c r="I652" s="59" t="s">
        <v>7</v>
      </c>
      <c r="J652" s="1"/>
      <c r="K652" s="1"/>
      <c r="L652" s="1"/>
      <c r="M652" s="59" t="s">
        <v>7</v>
      </c>
      <c r="N652" s="1"/>
      <c r="O652" s="1"/>
      <c r="P652" s="1"/>
      <c r="Q652" s="59" t="s">
        <v>7</v>
      </c>
      <c r="R652" s="59" t="s">
        <v>7</v>
      </c>
    </row>
    <row r="653" spans="1:18" ht="15.75" customHeight="1" x14ac:dyDescent="0.3">
      <c r="A653" s="74" t="s">
        <v>552</v>
      </c>
      <c r="B653" s="1">
        <v>100</v>
      </c>
      <c r="C653" s="1">
        <v>200</v>
      </c>
      <c r="D653" s="1">
        <v>500</v>
      </c>
      <c r="E653" s="59">
        <f>SUM(B653:D653)</f>
        <v>800</v>
      </c>
      <c r="F653" s="1">
        <v>700</v>
      </c>
      <c r="G653" s="1">
        <v>1300</v>
      </c>
      <c r="H653" s="1">
        <v>1500</v>
      </c>
      <c r="I653" s="59">
        <f>SUM(F653:H653)</f>
        <v>3500</v>
      </c>
      <c r="J653" s="1">
        <v>2000</v>
      </c>
      <c r="K653" s="1">
        <v>1600</v>
      </c>
      <c r="L653" s="1">
        <v>1000</v>
      </c>
      <c r="M653" s="59">
        <f>SUM(J653:L653)</f>
        <v>4600</v>
      </c>
      <c r="N653" s="1">
        <v>400</v>
      </c>
      <c r="O653" s="1">
        <v>100</v>
      </c>
      <c r="P653" s="1">
        <v>200</v>
      </c>
      <c r="Q653" s="59">
        <f>SUM(N653:P653)</f>
        <v>700</v>
      </c>
      <c r="R653" s="59">
        <f>+E653+I653+M653+Q653</f>
        <v>9600</v>
      </c>
    </row>
    <row r="654" spans="1:18" ht="15.75" customHeight="1" x14ac:dyDescent="0.3">
      <c r="A654" s="74" t="s">
        <v>553</v>
      </c>
      <c r="B654" s="1">
        <v>200</v>
      </c>
      <c r="C654" s="1">
        <v>200</v>
      </c>
      <c r="D654" s="1">
        <v>200</v>
      </c>
      <c r="E654" s="59">
        <f>SUM(B654:D654)</f>
        <v>600</v>
      </c>
      <c r="F654" s="1">
        <v>200</v>
      </c>
      <c r="G654" s="1">
        <v>200</v>
      </c>
      <c r="H654" s="1">
        <v>200</v>
      </c>
      <c r="I654" s="59">
        <f>SUM(F654:H654)</f>
        <v>600</v>
      </c>
      <c r="J654" s="1">
        <v>200</v>
      </c>
      <c r="K654" s="1">
        <v>200</v>
      </c>
      <c r="L654" s="1">
        <v>200</v>
      </c>
      <c r="M654" s="59">
        <f>SUM(J654:L654)</f>
        <v>600</v>
      </c>
      <c r="N654" s="1"/>
      <c r="O654" s="1"/>
      <c r="P654" s="1"/>
      <c r="Q654" s="59">
        <f>SUM(N654:P654)</f>
        <v>0</v>
      </c>
      <c r="R654" s="59">
        <f>+E654+I654+M654+Q654</f>
        <v>1800</v>
      </c>
    </row>
    <row r="655" spans="1:18" ht="15.75" customHeight="1" x14ac:dyDescent="0.3">
      <c r="A655" s="74" t="s">
        <v>554</v>
      </c>
      <c r="B655" s="1">
        <v>100</v>
      </c>
      <c r="C655" s="1">
        <v>50</v>
      </c>
      <c r="D655" s="1">
        <v>100</v>
      </c>
      <c r="E655" s="59">
        <f>SUM(B655:D655)</f>
        <v>250</v>
      </c>
      <c r="F655" s="1">
        <v>150</v>
      </c>
      <c r="G655" s="1">
        <v>50</v>
      </c>
      <c r="H655" s="1"/>
      <c r="I655" s="59">
        <f>SUM(F655:H655)</f>
        <v>200</v>
      </c>
      <c r="J655" s="1"/>
      <c r="K655" s="1"/>
      <c r="L655" s="1"/>
      <c r="M655" s="59">
        <f>SUM(J655:L655)</f>
        <v>0</v>
      </c>
      <c r="N655" s="1"/>
      <c r="O655" s="1"/>
      <c r="P655" s="1">
        <v>50</v>
      </c>
      <c r="Q655" s="59">
        <f>SUM(N655:P655)</f>
        <v>50</v>
      </c>
      <c r="R655" s="59">
        <f>+E655+I655+M655+Q655</f>
        <v>500</v>
      </c>
    </row>
    <row r="656" spans="1:18" ht="15.75" customHeight="1" x14ac:dyDescent="0.3">
      <c r="A656" s="17" t="s">
        <v>47</v>
      </c>
      <c r="B656" s="1"/>
      <c r="C656" s="1"/>
      <c r="D656" s="1"/>
      <c r="E656" s="59" t="s">
        <v>7</v>
      </c>
      <c r="F656" s="1"/>
      <c r="G656" s="1"/>
      <c r="H656" s="1"/>
      <c r="I656" s="59" t="s">
        <v>7</v>
      </c>
      <c r="J656" s="1"/>
      <c r="K656" s="1"/>
      <c r="L656" s="1"/>
      <c r="M656" s="59" t="s">
        <v>7</v>
      </c>
      <c r="N656" s="1"/>
      <c r="O656" s="1"/>
      <c r="P656" s="1"/>
      <c r="Q656" s="59" t="s">
        <v>7</v>
      </c>
      <c r="R656" s="59" t="s">
        <v>7</v>
      </c>
    </row>
    <row r="657" spans="1:18" ht="15.75" customHeight="1" x14ac:dyDescent="0.3">
      <c r="A657" s="17" t="s">
        <v>49</v>
      </c>
      <c r="B657" s="1"/>
      <c r="C657" s="1"/>
      <c r="D657" s="1"/>
      <c r="E657" s="59" t="s">
        <v>7</v>
      </c>
      <c r="F657" s="1"/>
      <c r="G657" s="1"/>
      <c r="H657" s="1"/>
      <c r="I657" s="59" t="s">
        <v>7</v>
      </c>
      <c r="J657" s="1"/>
      <c r="K657" s="1"/>
      <c r="L657" s="1"/>
      <c r="M657" s="59" t="s">
        <v>7</v>
      </c>
      <c r="N657" s="1"/>
      <c r="O657" s="1"/>
      <c r="P657" s="1"/>
      <c r="Q657" s="59" t="s">
        <v>7</v>
      </c>
      <c r="R657" s="59" t="s">
        <v>7</v>
      </c>
    </row>
    <row r="658" spans="1:18" ht="15.75" customHeight="1" thickBot="1" x14ac:dyDescent="0.35">
      <c r="A658" s="17" t="s">
        <v>51</v>
      </c>
      <c r="B658" s="1"/>
      <c r="C658" s="1"/>
      <c r="D658" s="1"/>
      <c r="E658" s="59" t="s">
        <v>7</v>
      </c>
      <c r="F658" s="1"/>
      <c r="G658" s="1"/>
      <c r="H658" s="1"/>
      <c r="I658" s="59" t="s">
        <v>7</v>
      </c>
      <c r="J658" s="1"/>
      <c r="K658" s="1"/>
      <c r="L658" s="1"/>
      <c r="M658" s="59" t="s">
        <v>7</v>
      </c>
      <c r="N658" s="1"/>
      <c r="O658" s="1"/>
      <c r="P658" s="1"/>
      <c r="Q658" s="59" t="s">
        <v>7</v>
      </c>
      <c r="R658" s="59" t="s">
        <v>7</v>
      </c>
    </row>
    <row r="659" spans="1:18" ht="16.5" customHeight="1" thickBot="1" x14ac:dyDescent="0.35">
      <c r="A659" s="126" t="s">
        <v>52</v>
      </c>
      <c r="B659" s="100">
        <f>SUM(B651:B658)</f>
        <v>400</v>
      </c>
      <c r="C659" s="101">
        <f>SUM(C651:C658)</f>
        <v>450</v>
      </c>
      <c r="D659" s="101">
        <f>SUM(D651:D658)</f>
        <v>800</v>
      </c>
      <c r="E659" s="64">
        <f>SUM(B659:D659)</f>
        <v>1650</v>
      </c>
      <c r="F659" s="101">
        <f>SUM(F651:F658)</f>
        <v>1050</v>
      </c>
      <c r="G659" s="101">
        <f>SUM(G651:G658)</f>
        <v>1550</v>
      </c>
      <c r="H659" s="101">
        <f>SUM(H651:H658)</f>
        <v>1700</v>
      </c>
      <c r="I659" s="64">
        <f>SUM(F659:H659)</f>
        <v>4300</v>
      </c>
      <c r="J659" s="101">
        <f>SUM(J651:J658)</f>
        <v>2200</v>
      </c>
      <c r="K659" s="101">
        <f>SUM(K651:K658)</f>
        <v>1800</v>
      </c>
      <c r="L659" s="101">
        <f>SUM(L651:L658)</f>
        <v>1200</v>
      </c>
      <c r="M659" s="64">
        <f>SUM(J659:L659)</f>
        <v>5200</v>
      </c>
      <c r="N659" s="101">
        <f>SUM(N651:N658)</f>
        <v>400</v>
      </c>
      <c r="O659" s="101">
        <f>SUM(O651:O658)</f>
        <v>100</v>
      </c>
      <c r="P659" s="101">
        <f>SUM(P651:P658)</f>
        <v>250</v>
      </c>
      <c r="Q659" s="64">
        <f>SUM(N659:P659)</f>
        <v>750</v>
      </c>
      <c r="R659" s="64">
        <f>+E659+I659+M659+Q659</f>
        <v>11900</v>
      </c>
    </row>
    <row r="660" spans="1:18" ht="15.75" customHeight="1" x14ac:dyDescent="0.3">
      <c r="A660" s="17" t="s">
        <v>53</v>
      </c>
      <c r="B660" s="1"/>
      <c r="C660" s="1"/>
      <c r="D660" s="1"/>
      <c r="E660" s="59" t="s">
        <v>7</v>
      </c>
      <c r="F660" s="1"/>
      <c r="G660" s="1"/>
      <c r="H660" s="1"/>
      <c r="I660" s="59" t="s">
        <v>7</v>
      </c>
      <c r="J660" s="1"/>
      <c r="K660" s="1"/>
      <c r="L660" s="1"/>
      <c r="M660" s="59" t="s">
        <v>7</v>
      </c>
      <c r="N660" s="1"/>
      <c r="O660" s="1"/>
      <c r="P660" s="1"/>
      <c r="Q660" s="59" t="s">
        <v>7</v>
      </c>
      <c r="R660" s="59" t="s">
        <v>7</v>
      </c>
    </row>
    <row r="661" spans="1:18" ht="15.75" customHeight="1" x14ac:dyDescent="0.3">
      <c r="A661" s="17" t="s">
        <v>55</v>
      </c>
      <c r="B661" s="1"/>
      <c r="C661" s="1"/>
      <c r="D661" s="1"/>
      <c r="E661" s="59" t="s">
        <v>7</v>
      </c>
      <c r="F661" s="1"/>
      <c r="G661" s="1"/>
      <c r="H661" s="1"/>
      <c r="I661" s="59" t="s">
        <v>7</v>
      </c>
      <c r="J661" s="1"/>
      <c r="K661" s="1"/>
      <c r="L661" s="1"/>
      <c r="M661" s="59" t="s">
        <v>7</v>
      </c>
      <c r="N661" s="1"/>
      <c r="O661" s="1"/>
      <c r="P661" s="1"/>
      <c r="Q661" s="59" t="s">
        <v>7</v>
      </c>
      <c r="R661" s="59" t="s">
        <v>7</v>
      </c>
    </row>
    <row r="662" spans="1:18" ht="15.75" customHeight="1" thickBot="1" x14ac:dyDescent="0.35">
      <c r="A662" s="17" t="s">
        <v>56</v>
      </c>
      <c r="B662" s="1"/>
      <c r="C662" s="1"/>
      <c r="D662" s="1"/>
      <c r="E662" s="59" t="s">
        <v>7</v>
      </c>
      <c r="F662" s="1"/>
      <c r="G662" s="1"/>
      <c r="H662" s="1"/>
      <c r="I662" s="59" t="s">
        <v>7</v>
      </c>
      <c r="J662" s="1"/>
      <c r="K662" s="1"/>
      <c r="L662" s="1"/>
      <c r="M662" s="59" t="s">
        <v>7</v>
      </c>
      <c r="N662" s="1"/>
      <c r="O662" s="1"/>
      <c r="P662" s="1"/>
      <c r="Q662" s="59" t="s">
        <v>7</v>
      </c>
      <c r="R662" s="59" t="s">
        <v>7</v>
      </c>
    </row>
    <row r="663" spans="1:18" ht="16.5" customHeight="1" thickBot="1" x14ac:dyDescent="0.35">
      <c r="A663" s="62" t="s">
        <v>57</v>
      </c>
      <c r="B663" s="100">
        <f>SUM(B660:B662)</f>
        <v>0</v>
      </c>
      <c r="C663" s="101">
        <f>SUM(C660:C662)</f>
        <v>0</v>
      </c>
      <c r="D663" s="101">
        <f>SUM(D660:D662)</f>
        <v>0</v>
      </c>
      <c r="E663" s="64">
        <f>SUM(B663:D663)</f>
        <v>0</v>
      </c>
      <c r="F663" s="101">
        <f>SUM(F660:F662)</f>
        <v>0</v>
      </c>
      <c r="G663" s="101">
        <f>SUM(G660:G662)</f>
        <v>0</v>
      </c>
      <c r="H663" s="101">
        <f>SUM(H660:H662)</f>
        <v>0</v>
      </c>
      <c r="I663" s="64">
        <f>SUM(F663:H663)</f>
        <v>0</v>
      </c>
      <c r="J663" s="101">
        <f>SUM(J660:J662)</f>
        <v>0</v>
      </c>
      <c r="K663" s="101">
        <f>SUM(K660:K662)</f>
        <v>0</v>
      </c>
      <c r="L663" s="101">
        <f>SUM(L660:L662)</f>
        <v>0</v>
      </c>
      <c r="M663" s="64">
        <f>SUM(J663:L663)</f>
        <v>0</v>
      </c>
      <c r="N663" s="101">
        <f>SUM(N660:N662)</f>
        <v>0</v>
      </c>
      <c r="O663" s="101">
        <f>SUM(O660:O662)</f>
        <v>0</v>
      </c>
      <c r="P663" s="101">
        <f>SUM(P660:P662)</f>
        <v>0</v>
      </c>
      <c r="Q663" s="64">
        <f>SUM(N663:P663)</f>
        <v>0</v>
      </c>
      <c r="R663" s="64">
        <f>+E663+I663+M663+Q663</f>
        <v>0</v>
      </c>
    </row>
    <row r="664" spans="1:18" ht="15.75" customHeight="1" x14ac:dyDescent="0.3">
      <c r="A664" s="17" t="s">
        <v>58</v>
      </c>
      <c r="B664" s="1"/>
      <c r="C664" s="1"/>
      <c r="D664" s="1"/>
      <c r="E664" s="59" t="s">
        <v>7</v>
      </c>
      <c r="F664" s="1"/>
      <c r="G664" s="1"/>
      <c r="H664" s="1"/>
      <c r="I664" s="59" t="s">
        <v>7</v>
      </c>
      <c r="J664" s="1"/>
      <c r="K664" s="1"/>
      <c r="L664" s="1"/>
      <c r="M664" s="59" t="s">
        <v>7</v>
      </c>
      <c r="N664" s="1"/>
      <c r="O664" s="1"/>
      <c r="P664" s="1"/>
      <c r="Q664" s="59" t="s">
        <v>7</v>
      </c>
      <c r="R664" s="59" t="s">
        <v>7</v>
      </c>
    </row>
    <row r="665" spans="1:18" ht="15.75" customHeight="1" x14ac:dyDescent="0.3">
      <c r="A665" s="17" t="s">
        <v>59</v>
      </c>
      <c r="B665" s="1"/>
      <c r="C665" s="1"/>
      <c r="D665" s="1"/>
      <c r="E665" s="59" t="s">
        <v>7</v>
      </c>
      <c r="F665" s="1"/>
      <c r="G665" s="1"/>
      <c r="H665" s="1"/>
      <c r="I665" s="59" t="s">
        <v>7</v>
      </c>
      <c r="J665" s="1"/>
      <c r="K665" s="1"/>
      <c r="L665" s="1"/>
      <c r="M665" s="59" t="s">
        <v>7</v>
      </c>
      <c r="N665" s="1"/>
      <c r="O665" s="1"/>
      <c r="P665" s="1"/>
      <c r="Q665" s="59" t="s">
        <v>7</v>
      </c>
      <c r="R665" s="59" t="s">
        <v>7</v>
      </c>
    </row>
    <row r="666" spans="1:18" ht="15.75" customHeight="1" thickBot="1" x14ac:dyDescent="0.35">
      <c r="A666" s="17" t="s">
        <v>60</v>
      </c>
      <c r="B666" s="1"/>
      <c r="C666" s="1"/>
      <c r="D666" s="1"/>
      <c r="E666" s="59" t="s">
        <v>7</v>
      </c>
      <c r="F666" s="1"/>
      <c r="G666" s="1"/>
      <c r="H666" s="1"/>
      <c r="I666" s="59" t="s">
        <v>7</v>
      </c>
      <c r="J666" s="1"/>
      <c r="K666" s="1"/>
      <c r="L666" s="1"/>
      <c r="M666" s="59" t="s">
        <v>7</v>
      </c>
      <c r="N666" s="1"/>
      <c r="O666" s="1"/>
      <c r="P666" s="1"/>
      <c r="Q666" s="59" t="s">
        <v>7</v>
      </c>
      <c r="R666" s="59" t="s">
        <v>7</v>
      </c>
    </row>
    <row r="667" spans="1:18" ht="16.5" customHeight="1" thickBot="1" x14ac:dyDescent="0.35">
      <c r="A667" s="137" t="s">
        <v>61</v>
      </c>
      <c r="B667" s="100">
        <f>SUM(B664:B666)</f>
        <v>0</v>
      </c>
      <c r="C667" s="101">
        <f>SUM(C664:C666)</f>
        <v>0</v>
      </c>
      <c r="D667" s="101">
        <f>SUM(D664:D666)</f>
        <v>0</v>
      </c>
      <c r="E667" s="64">
        <f>SUM(B667:D667)</f>
        <v>0</v>
      </c>
      <c r="F667" s="101">
        <f>SUM(F664:F666)</f>
        <v>0</v>
      </c>
      <c r="G667" s="101">
        <f>SUM(G664:G666)</f>
        <v>0</v>
      </c>
      <c r="H667" s="101">
        <f>SUM(H664:H666)</f>
        <v>0</v>
      </c>
      <c r="I667" s="64">
        <f>SUM(F667:H667)</f>
        <v>0</v>
      </c>
      <c r="J667" s="101">
        <f>SUM(J664:J666)</f>
        <v>0</v>
      </c>
      <c r="K667" s="101">
        <f>SUM(K664:K666)</f>
        <v>0</v>
      </c>
      <c r="L667" s="101">
        <f>SUM(L664:L666)</f>
        <v>0</v>
      </c>
      <c r="M667" s="64">
        <f>SUM(J667:L667)</f>
        <v>0</v>
      </c>
      <c r="N667" s="101">
        <f>SUM(N664:N666)</f>
        <v>0</v>
      </c>
      <c r="O667" s="101">
        <f>SUM(O664:O666)</f>
        <v>0</v>
      </c>
      <c r="P667" s="101">
        <f>SUM(P664:P666)</f>
        <v>0</v>
      </c>
      <c r="Q667" s="64">
        <f>SUM(N667:P667)</f>
        <v>0</v>
      </c>
      <c r="R667" s="64">
        <f>+E667+I667+M667+Q667</f>
        <v>0</v>
      </c>
    </row>
    <row r="668" spans="1:18" ht="15.75" customHeight="1" x14ac:dyDescent="0.3">
      <c r="A668" s="17" t="s">
        <v>62</v>
      </c>
      <c r="B668" s="1"/>
      <c r="C668" s="1"/>
      <c r="D668" s="1"/>
      <c r="E668" s="59" t="s">
        <v>7</v>
      </c>
      <c r="F668" s="1"/>
      <c r="G668" s="1"/>
      <c r="H668" s="1"/>
      <c r="I668" s="59" t="s">
        <v>7</v>
      </c>
      <c r="J668" s="1"/>
      <c r="K668" s="1"/>
      <c r="L668" s="1"/>
      <c r="M668" s="59" t="s">
        <v>7</v>
      </c>
      <c r="N668" s="1"/>
      <c r="O668" s="1"/>
      <c r="P668" s="1"/>
      <c r="Q668" s="59" t="s">
        <v>7</v>
      </c>
      <c r="R668" s="59" t="s">
        <v>7</v>
      </c>
    </row>
    <row r="669" spans="1:18" ht="15.75" customHeight="1" x14ac:dyDescent="0.3">
      <c r="A669" s="17" t="s">
        <v>63</v>
      </c>
      <c r="B669" s="1"/>
      <c r="C669" s="1"/>
      <c r="D669" s="1"/>
      <c r="E669" s="59" t="s">
        <v>7</v>
      </c>
      <c r="F669" s="1"/>
      <c r="G669" s="1"/>
      <c r="H669" s="1"/>
      <c r="I669" s="59" t="s">
        <v>7</v>
      </c>
      <c r="J669" s="1"/>
      <c r="K669" s="1"/>
      <c r="L669" s="1"/>
      <c r="M669" s="59" t="s">
        <v>7</v>
      </c>
      <c r="N669" s="1"/>
      <c r="O669" s="1"/>
      <c r="P669" s="1"/>
      <c r="Q669" s="59" t="s">
        <v>7</v>
      </c>
      <c r="R669" s="59" t="s">
        <v>7</v>
      </c>
    </row>
    <row r="670" spans="1:18" ht="15.75" customHeight="1" x14ac:dyDescent="0.3">
      <c r="A670" s="17" t="s">
        <v>64</v>
      </c>
      <c r="B670" s="1"/>
      <c r="C670" s="1"/>
      <c r="D670" s="1"/>
      <c r="E670" s="59" t="s">
        <v>7</v>
      </c>
      <c r="F670" s="1"/>
      <c r="G670" s="1"/>
      <c r="H670" s="1"/>
      <c r="I670" s="59" t="s">
        <v>7</v>
      </c>
      <c r="J670" s="1"/>
      <c r="K670" s="1"/>
      <c r="L670" s="1"/>
      <c r="M670" s="59" t="s">
        <v>7</v>
      </c>
      <c r="N670" s="1"/>
      <c r="O670" s="1"/>
      <c r="P670" s="1"/>
      <c r="Q670" s="59" t="s">
        <v>7</v>
      </c>
      <c r="R670" s="59" t="s">
        <v>7</v>
      </c>
    </row>
    <row r="671" spans="1:18" ht="15.75" customHeight="1" x14ac:dyDescent="0.3">
      <c r="A671" s="74" t="s">
        <v>555</v>
      </c>
      <c r="B671" s="1"/>
      <c r="C671" s="1"/>
      <c r="D671" s="1"/>
      <c r="E671" s="59">
        <f>SUM(B671:D671)</f>
        <v>0</v>
      </c>
      <c r="F671" s="1"/>
      <c r="G671" s="1"/>
      <c r="H671" s="1"/>
      <c r="I671" s="59">
        <f>SUM(F671:H671)</f>
        <v>0</v>
      </c>
      <c r="J671" s="1"/>
      <c r="K671" s="1"/>
      <c r="L671" s="1"/>
      <c r="M671" s="59">
        <f>SUM(J671:L671)</f>
        <v>0</v>
      </c>
      <c r="N671" s="1"/>
      <c r="O671" s="1"/>
      <c r="P671" s="1"/>
      <c r="Q671" s="59">
        <f>SUM(N671:P671)</f>
        <v>0</v>
      </c>
      <c r="R671" s="59">
        <f>+E671+I671+M671+Q671</f>
        <v>0</v>
      </c>
    </row>
    <row r="672" spans="1:18" ht="15.75" customHeight="1" x14ac:dyDescent="0.3">
      <c r="A672" s="17" t="s">
        <v>66</v>
      </c>
      <c r="B672" s="1"/>
      <c r="C672" s="1"/>
      <c r="D672" s="1"/>
      <c r="E672" s="59" t="s">
        <v>7</v>
      </c>
      <c r="F672" s="1"/>
      <c r="G672" s="1"/>
      <c r="H672" s="1"/>
      <c r="I672" s="59" t="s">
        <v>7</v>
      </c>
      <c r="J672" s="1"/>
      <c r="K672" s="1"/>
      <c r="L672" s="1"/>
      <c r="M672" s="59" t="s">
        <v>7</v>
      </c>
      <c r="N672" s="1"/>
      <c r="O672" s="1"/>
      <c r="P672" s="1"/>
      <c r="Q672" s="59" t="s">
        <v>7</v>
      </c>
      <c r="R672" s="59" t="s">
        <v>7</v>
      </c>
    </row>
    <row r="673" spans="1:18" ht="15.75" customHeight="1" thickBot="1" x14ac:dyDescent="0.35">
      <c r="A673" s="17" t="s">
        <v>67</v>
      </c>
      <c r="B673" s="1"/>
      <c r="C673" s="1"/>
      <c r="D673" s="1"/>
      <c r="E673" s="59" t="s">
        <v>7</v>
      </c>
      <c r="F673" s="1"/>
      <c r="G673" s="1"/>
      <c r="H673" s="1"/>
      <c r="I673" s="59" t="s">
        <v>7</v>
      </c>
      <c r="J673" s="1"/>
      <c r="K673" s="1"/>
      <c r="L673" s="1"/>
      <c r="M673" s="59" t="s">
        <v>7</v>
      </c>
      <c r="N673" s="1"/>
      <c r="O673" s="1"/>
      <c r="P673" s="1"/>
      <c r="Q673" s="59" t="s">
        <v>7</v>
      </c>
      <c r="R673" s="59" t="s">
        <v>7</v>
      </c>
    </row>
    <row r="674" spans="1:18" ht="16.5" customHeight="1" thickBot="1" x14ac:dyDescent="0.35">
      <c r="A674" s="62" t="s">
        <v>68</v>
      </c>
      <c r="B674" s="63">
        <f>SUM(B672:B673)</f>
        <v>0</v>
      </c>
      <c r="C674" s="63">
        <f>SUM(C672:C673)</f>
        <v>0</v>
      </c>
      <c r="D674" s="63">
        <f>SUM(D672:D673)</f>
        <v>0</v>
      </c>
      <c r="E674" s="65">
        <f>SUM(B674:D674)</f>
        <v>0</v>
      </c>
      <c r="F674" s="63">
        <f>SUM(F672:F673)</f>
        <v>0</v>
      </c>
      <c r="G674" s="63">
        <f>SUM(G672:G673)</f>
        <v>0</v>
      </c>
      <c r="H674" s="63">
        <f>SUM(H672:H673)</f>
        <v>0</v>
      </c>
      <c r="I674" s="65">
        <f>SUM(F674:H674)</f>
        <v>0</v>
      </c>
      <c r="J674" s="63">
        <f>SUM(J672:J673)</f>
        <v>0</v>
      </c>
      <c r="K674" s="63">
        <f>SUM(K672:K673)</f>
        <v>0</v>
      </c>
      <c r="L674" s="63">
        <f>SUM(L672:L673)</f>
        <v>0</v>
      </c>
      <c r="M674" s="65">
        <f>SUM(J674:L674)</f>
        <v>0</v>
      </c>
      <c r="N674" s="63">
        <f>SUM(N672:N673)</f>
        <v>0</v>
      </c>
      <c r="O674" s="63">
        <f>SUM(O672:O673)</f>
        <v>0</v>
      </c>
      <c r="P674" s="63">
        <f>SUM(P672:P673)</f>
        <v>0</v>
      </c>
      <c r="Q674" s="65">
        <f>SUM(N674:P674)</f>
        <v>0</v>
      </c>
      <c r="R674" s="64">
        <f>+E674+I674+M674+Q674</f>
        <v>0</v>
      </c>
    </row>
    <row r="675" spans="1:18" ht="16.5" customHeight="1" thickBot="1" x14ac:dyDescent="0.35">
      <c r="A675" s="137" t="s">
        <v>69</v>
      </c>
      <c r="B675" s="100">
        <f>SUM(B668:B673)</f>
        <v>0</v>
      </c>
      <c r="C675" s="101">
        <f>SUM(C668:C673)</f>
        <v>0</v>
      </c>
      <c r="D675" s="138">
        <f>SUM(D668:D673)</f>
        <v>0</v>
      </c>
      <c r="E675" s="65">
        <f>SUM(B675:D675)</f>
        <v>0</v>
      </c>
      <c r="F675" s="101">
        <f>SUM(F668:F673)</f>
        <v>0</v>
      </c>
      <c r="G675" s="101">
        <f>SUM(G668:G673)</f>
        <v>0</v>
      </c>
      <c r="H675" s="101">
        <f>SUM(H668:H673)</f>
        <v>0</v>
      </c>
      <c r="I675" s="65">
        <f>SUM(F675:H675)</f>
        <v>0</v>
      </c>
      <c r="J675" s="101">
        <f>SUM(J668:J673)</f>
        <v>0</v>
      </c>
      <c r="K675" s="101">
        <f>SUM(K668:K673)</f>
        <v>0</v>
      </c>
      <c r="L675" s="101">
        <f>SUM(L668:L673)</f>
        <v>0</v>
      </c>
      <c r="M675" s="65">
        <f>SUM(J675:L675)</f>
        <v>0</v>
      </c>
      <c r="N675" s="101">
        <f>SUM(N668:N673)</f>
        <v>0</v>
      </c>
      <c r="O675" s="101">
        <f>SUM(O668:O673)</f>
        <v>0</v>
      </c>
      <c r="P675" s="101">
        <f>SUM(P668:P673)</f>
        <v>0</v>
      </c>
      <c r="Q675" s="65">
        <f>SUM(N675:P675)</f>
        <v>0</v>
      </c>
      <c r="R675" s="64">
        <f>+E675+I675+M675+Q675</f>
        <v>0</v>
      </c>
    </row>
    <row r="676" spans="1:18" ht="16.5" customHeight="1" thickBot="1" x14ac:dyDescent="0.35">
      <c r="A676" s="62" t="s">
        <v>70</v>
      </c>
      <c r="B676" s="107">
        <f>+B659+B663+B667+B675</f>
        <v>400</v>
      </c>
      <c r="C676" s="63">
        <f>+C659+C663+C667+C675</f>
        <v>450</v>
      </c>
      <c r="D676" s="63">
        <f>+D659+D663+D667+D675</f>
        <v>800</v>
      </c>
      <c r="E676" s="64">
        <f>SUM(B676:D676)</f>
        <v>1650</v>
      </c>
      <c r="F676" s="63">
        <f>+F659+F663+F667+F675</f>
        <v>1050</v>
      </c>
      <c r="G676" s="63">
        <f>+G659+G663+G667+G675</f>
        <v>1550</v>
      </c>
      <c r="H676" s="63">
        <f>+H659+H663+H667+H675</f>
        <v>1700</v>
      </c>
      <c r="I676" s="64">
        <f>SUM(F676:H676)</f>
        <v>4300</v>
      </c>
      <c r="J676" s="63">
        <f>+J659+J663+J667+J675</f>
        <v>2200</v>
      </c>
      <c r="K676" s="63">
        <f>+K659+K663+K667+K675</f>
        <v>1800</v>
      </c>
      <c r="L676" s="63">
        <f>+L659+L663+L667+L675</f>
        <v>1200</v>
      </c>
      <c r="M676" s="64">
        <f>SUM(J676:L676)</f>
        <v>5200</v>
      </c>
      <c r="N676" s="63">
        <f>+N659+N663+N667+N675</f>
        <v>400</v>
      </c>
      <c r="O676" s="63">
        <f>+O659+O663+O667+O675</f>
        <v>100</v>
      </c>
      <c r="P676" s="63">
        <f>+P659+P663+P667+P675</f>
        <v>250</v>
      </c>
      <c r="Q676" s="64">
        <f>SUM(N676:P676)</f>
        <v>750</v>
      </c>
      <c r="R676" s="88">
        <f>+E676+I676+M676+Q676</f>
        <v>11900</v>
      </c>
    </row>
    <row r="677" spans="1:18" ht="16.5" customHeight="1" thickBot="1" x14ac:dyDescent="0.35">
      <c r="A677" s="40" t="s">
        <v>37</v>
      </c>
      <c r="B677" s="25">
        <v>10</v>
      </c>
      <c r="C677" s="25">
        <v>11</v>
      </c>
      <c r="D677" s="25">
        <v>14</v>
      </c>
      <c r="E677" s="59">
        <f>SUM(B677:D677)</f>
        <v>35</v>
      </c>
      <c r="F677" s="25">
        <v>18</v>
      </c>
      <c r="G677" s="25">
        <v>21</v>
      </c>
      <c r="H677" s="25">
        <v>22</v>
      </c>
      <c r="I677" s="59">
        <f>SUM(F677:H677)</f>
        <v>61</v>
      </c>
      <c r="J677" s="25">
        <v>19</v>
      </c>
      <c r="K677" s="25">
        <v>17</v>
      </c>
      <c r="L677" s="25">
        <v>17</v>
      </c>
      <c r="M677" s="59">
        <f>SUM(J677:L677)</f>
        <v>53</v>
      </c>
      <c r="N677" s="25">
        <v>14</v>
      </c>
      <c r="O677" s="25">
        <v>11</v>
      </c>
      <c r="P677" s="25">
        <v>9</v>
      </c>
      <c r="Q677" s="59">
        <f>SUM(N677:P677)</f>
        <v>34</v>
      </c>
      <c r="R677" s="59">
        <f>+E677+I677+M677+Q677</f>
        <v>183</v>
      </c>
    </row>
    <row r="678" spans="1:18" ht="16.5" customHeight="1" thickBot="1" x14ac:dyDescent="0.35">
      <c r="A678" s="42"/>
      <c r="B678" s="37"/>
      <c r="C678" s="37"/>
      <c r="D678" s="37"/>
      <c r="E678" s="16"/>
      <c r="F678" s="37"/>
      <c r="G678" s="37"/>
      <c r="H678" s="37"/>
      <c r="I678" s="16"/>
      <c r="J678" s="37"/>
      <c r="K678" s="37"/>
      <c r="L678" s="37"/>
      <c r="M678" s="153"/>
      <c r="N678" s="37"/>
      <c r="O678" s="37"/>
      <c r="P678" s="37"/>
      <c r="Q678" s="153"/>
      <c r="R678" s="41"/>
    </row>
    <row r="679" spans="1:18" ht="15.75" customHeight="1" x14ac:dyDescent="0.3">
      <c r="A679" s="17" t="s">
        <v>507</v>
      </c>
      <c r="B679" s="1">
        <f>SUM(B676:B677)</f>
        <v>410</v>
      </c>
      <c r="C679" s="1">
        <f>SUM(C676:C677)</f>
        <v>461</v>
      </c>
      <c r="D679" s="1">
        <f>SUM(D676:D677)</f>
        <v>814</v>
      </c>
      <c r="E679" s="59">
        <f>SUM(B679:D679)</f>
        <v>1685</v>
      </c>
      <c r="F679" s="1">
        <f>SUM(F676:F677)</f>
        <v>1068</v>
      </c>
      <c r="G679" s="1">
        <f>SUM(G676:G677)</f>
        <v>1571</v>
      </c>
      <c r="H679" s="1">
        <f>SUM(H676:H677)</f>
        <v>1722</v>
      </c>
      <c r="I679" s="65">
        <f>SUM(F679:H679)</f>
        <v>4361</v>
      </c>
      <c r="J679" s="1">
        <f>SUM(J676:J677)</f>
        <v>2219</v>
      </c>
      <c r="K679" s="1">
        <f>SUM(K676:K677)</f>
        <v>1817</v>
      </c>
      <c r="L679" s="1">
        <f>SUM(L676:L677)</f>
        <v>1217</v>
      </c>
      <c r="M679" s="65">
        <f>SUM(J679:L679)</f>
        <v>5253</v>
      </c>
      <c r="N679" s="1">
        <f>SUM(N676:N677)</f>
        <v>414</v>
      </c>
      <c r="O679" s="1">
        <f>SUM(O676:O677)</f>
        <v>111</v>
      </c>
      <c r="P679" s="1">
        <f>SUM(P676:P677)</f>
        <v>259</v>
      </c>
      <c r="Q679" s="65">
        <f>SUM(N679:P679)</f>
        <v>784</v>
      </c>
      <c r="R679" s="65">
        <f>+E679+I679+M679+Q679</f>
        <v>12083</v>
      </c>
    </row>
    <row r="680" spans="1:18" ht="15.75" customHeight="1" x14ac:dyDescent="0.3">
      <c r="A680" s="17" t="s">
        <v>39</v>
      </c>
      <c r="B680" s="1">
        <f>(B679/B10)/1.983</f>
        <v>6.6695947814487662</v>
      </c>
      <c r="C680" s="1">
        <f>(C679/C10)/1.983</f>
        <v>8.3027159426554284</v>
      </c>
      <c r="D680" s="1">
        <f>(D679/D10)/1.983</f>
        <v>13.241585736827549</v>
      </c>
      <c r="E680" s="59" t="s">
        <v>7</v>
      </c>
      <c r="F680" s="1">
        <f>(F679/F10)/1.983</f>
        <v>17.95259707513868</v>
      </c>
      <c r="G680" s="1">
        <f>(G679/G10)/1.983</f>
        <v>25.555935125990271</v>
      </c>
      <c r="H680" s="1">
        <f>(H679/H10)/1.983</f>
        <v>28.946041351487644</v>
      </c>
      <c r="I680" s="59" t="s">
        <v>7</v>
      </c>
      <c r="J680" s="1">
        <f>(J679/J10)/1.983</f>
        <v>36.097148341548319</v>
      </c>
      <c r="K680" s="1">
        <f>(K679/K10)/1.983</f>
        <v>29.557691994859528</v>
      </c>
      <c r="L680" s="1">
        <f>(L679/L10)/1.983</f>
        <v>20.457219700790048</v>
      </c>
      <c r="M680" s="59" t="s">
        <v>7</v>
      </c>
      <c r="N680" s="1">
        <f>(N679/N10)/1.983</f>
        <v>6.7346639988287542</v>
      </c>
      <c r="O680" s="1">
        <f>(O679/O10)/1.983</f>
        <v>1.8658598083711548</v>
      </c>
      <c r="P680" s="1">
        <f>(P679/P10)/1.983</f>
        <v>4.2132318253542209</v>
      </c>
      <c r="Q680" s="59" t="s">
        <v>7</v>
      </c>
      <c r="R680" s="59" t="s">
        <v>7</v>
      </c>
    </row>
    <row r="681" spans="1:18" ht="15.75" customHeight="1" x14ac:dyDescent="0.3">
      <c r="A681" s="17" t="s">
        <v>556</v>
      </c>
      <c r="B681" s="1">
        <f>B679+B731</f>
        <v>18309</v>
      </c>
      <c r="C681" s="1">
        <f>C679+C731</f>
        <v>18369</v>
      </c>
      <c r="D681" s="1">
        <f>D679+D731</f>
        <v>19511</v>
      </c>
      <c r="E681" s="59">
        <f>SUM(B681:D681)</f>
        <v>56189</v>
      </c>
      <c r="F681" s="1">
        <f>F679+F731</f>
        <v>19924</v>
      </c>
      <c r="G681" s="1">
        <f>G679+G731</f>
        <v>20970</v>
      </c>
      <c r="H681" s="1">
        <f>H679+H731</f>
        <v>21220</v>
      </c>
      <c r="I681" s="59">
        <f>SUM(F681:H681)</f>
        <v>62114</v>
      </c>
      <c r="J681" s="1">
        <f>J679+J731</f>
        <v>22151</v>
      </c>
      <c r="K681" s="1">
        <f>K679+K731</f>
        <v>21666</v>
      </c>
      <c r="L681" s="1">
        <f>L679+L731</f>
        <v>20291</v>
      </c>
      <c r="M681" s="59">
        <f>SUM(J681:L681)</f>
        <v>64108</v>
      </c>
      <c r="N681" s="1">
        <f>N679+N731</f>
        <v>10249</v>
      </c>
      <c r="O681" s="1">
        <f>O679+O731</f>
        <v>3856</v>
      </c>
      <c r="P681" s="1">
        <f>P679+P731</f>
        <v>3511</v>
      </c>
      <c r="Q681" s="59">
        <f>SUM(N681:P681)</f>
        <v>17616</v>
      </c>
      <c r="R681" s="59">
        <f>+E681+I681+M681+Q681</f>
        <v>200027</v>
      </c>
    </row>
    <row r="682" spans="1:18" ht="16.5" customHeight="1" thickBot="1" x14ac:dyDescent="0.35">
      <c r="A682" s="24" t="s">
        <v>557</v>
      </c>
      <c r="B682" s="25">
        <f>(B681/B10)/1.983</f>
        <v>297.83807525254991</v>
      </c>
      <c r="C682" s="25">
        <f>(C681/C10)/1.983</f>
        <v>330.82991138966935</v>
      </c>
      <c r="D682" s="25">
        <f>(D681/D10)/1.983</f>
        <v>317.39137507523628</v>
      </c>
      <c r="E682" s="88" t="s">
        <v>7</v>
      </c>
      <c r="F682" s="25">
        <f>(F681/F10)/1.983</f>
        <v>334.91343082871072</v>
      </c>
      <c r="G682" s="25">
        <f>(G681/G10)/1.983</f>
        <v>341.12537211458692</v>
      </c>
      <c r="H682" s="25">
        <f>(H681/H10)/1.983</f>
        <v>356.69860480753067</v>
      </c>
      <c r="I682" s="88" t="s">
        <v>7</v>
      </c>
      <c r="J682" s="25">
        <f>(J681/J10)/1.983</f>
        <v>360.33705854602829</v>
      </c>
      <c r="K682" s="25">
        <f>(K681/K10)/1.983</f>
        <v>352.44741593870475</v>
      </c>
      <c r="L682" s="25">
        <f>(L681/L10)/1.983</f>
        <v>341.0825348798117</v>
      </c>
      <c r="M682" s="88" t="s">
        <v>7</v>
      </c>
      <c r="N682" s="25">
        <f>(N681/N10)/1.983</f>
        <v>166.72360223187417</v>
      </c>
      <c r="O682" s="25">
        <f>(O681/O10)/1.983</f>
        <v>64.817616406118674</v>
      </c>
      <c r="P682" s="25">
        <f>(P681/P10)/1.983</f>
        <v>57.114505555284431</v>
      </c>
      <c r="Q682" s="88" t="s">
        <v>7</v>
      </c>
      <c r="R682" s="88" t="s">
        <v>7</v>
      </c>
    </row>
    <row r="683" spans="1:18" ht="15.75" customHeight="1" x14ac:dyDescent="0.3">
      <c r="A683" s="28"/>
      <c r="B683" s="1"/>
      <c r="C683" s="1"/>
      <c r="D683" s="1"/>
      <c r="E683" s="1"/>
      <c r="F683" s="1"/>
      <c r="G683" s="1"/>
      <c r="H683" s="1"/>
      <c r="I683" s="1"/>
      <c r="J683" s="1"/>
      <c r="K683" s="1"/>
      <c r="L683" s="1"/>
      <c r="M683" s="1"/>
      <c r="N683" s="1"/>
      <c r="O683" s="1"/>
      <c r="P683" s="1"/>
      <c r="Q683" s="1"/>
      <c r="R683" s="28"/>
    </row>
    <row r="684" spans="1:18" ht="16.5" customHeight="1" thickBot="1" x14ac:dyDescent="0.35">
      <c r="A684" s="123"/>
      <c r="B684" s="25"/>
      <c r="C684" s="25"/>
      <c r="D684" s="25"/>
      <c r="E684" s="25"/>
      <c r="F684" s="25"/>
      <c r="G684" s="25"/>
      <c r="H684" s="25"/>
      <c r="I684" s="25"/>
      <c r="J684" s="25"/>
      <c r="K684" s="25"/>
      <c r="L684" s="25"/>
      <c r="M684" s="25"/>
      <c r="N684" s="25"/>
      <c r="O684" s="25"/>
      <c r="P684" s="25"/>
      <c r="Q684" s="25"/>
      <c r="R684" s="123"/>
    </row>
    <row r="685" spans="1:18" ht="15.75" customHeight="1" thickBot="1" x14ac:dyDescent="0.35">
      <c r="A685" s="124" t="s">
        <v>558</v>
      </c>
      <c r="B685" s="54" t="s">
        <v>36</v>
      </c>
      <c r="C685" s="11" t="s">
        <v>9</v>
      </c>
      <c r="D685" s="11" t="s">
        <v>10</v>
      </c>
      <c r="E685" s="12" t="s">
        <v>11</v>
      </c>
      <c r="F685" s="11" t="s">
        <v>12</v>
      </c>
      <c r="G685" s="11" t="s">
        <v>13</v>
      </c>
      <c r="H685" s="11" t="s">
        <v>14</v>
      </c>
      <c r="I685" s="12" t="s">
        <v>15</v>
      </c>
      <c r="J685" s="11" t="s">
        <v>16</v>
      </c>
      <c r="K685" s="11" t="s">
        <v>17</v>
      </c>
      <c r="L685" s="11" t="s">
        <v>18</v>
      </c>
      <c r="M685" s="12" t="s">
        <v>19</v>
      </c>
      <c r="N685" s="11" t="s">
        <v>20</v>
      </c>
      <c r="O685" s="11" t="s">
        <v>21</v>
      </c>
      <c r="P685" s="11" t="s">
        <v>22</v>
      </c>
      <c r="Q685" s="12" t="s">
        <v>23</v>
      </c>
      <c r="R685" s="13" t="s">
        <v>24</v>
      </c>
    </row>
    <row r="686" spans="1:18" ht="16.5" customHeight="1" thickBot="1" x14ac:dyDescent="0.35">
      <c r="A686" s="154"/>
      <c r="B686" s="56"/>
      <c r="C686" s="56"/>
      <c r="D686" s="56"/>
      <c r="E686" s="16"/>
      <c r="F686" s="56"/>
      <c r="G686" s="56"/>
      <c r="H686" s="56"/>
      <c r="I686" s="16"/>
      <c r="J686" s="56"/>
      <c r="K686" s="56"/>
      <c r="L686" s="56"/>
      <c r="M686" s="16"/>
      <c r="N686" s="56"/>
      <c r="O686" s="56"/>
      <c r="P686" s="56"/>
      <c r="Q686" s="16"/>
      <c r="R686" s="57"/>
    </row>
    <row r="687" spans="1:18" ht="15.75" customHeight="1" x14ac:dyDescent="0.3">
      <c r="A687" s="17" t="s">
        <v>45</v>
      </c>
      <c r="B687" s="1" t="s">
        <v>7</v>
      </c>
      <c r="C687" s="1" t="s">
        <v>7</v>
      </c>
      <c r="D687" s="1" t="s">
        <v>7</v>
      </c>
      <c r="E687" s="59" t="s">
        <v>7</v>
      </c>
      <c r="F687" s="1" t="s">
        <v>7</v>
      </c>
      <c r="G687" s="1" t="s">
        <v>7</v>
      </c>
      <c r="H687" s="1" t="s">
        <v>7</v>
      </c>
      <c r="I687" s="59" t="s">
        <v>7</v>
      </c>
      <c r="J687" s="1" t="s">
        <v>7</v>
      </c>
      <c r="K687" s="1" t="s">
        <v>7</v>
      </c>
      <c r="L687" s="1" t="s">
        <v>7</v>
      </c>
      <c r="M687" s="59" t="s">
        <v>7</v>
      </c>
      <c r="N687" s="1" t="s">
        <v>7</v>
      </c>
      <c r="O687" s="1" t="s">
        <v>7</v>
      </c>
      <c r="P687" s="1" t="s">
        <v>7</v>
      </c>
      <c r="Q687" s="59" t="s">
        <v>7</v>
      </c>
      <c r="R687" s="59" t="s">
        <v>7</v>
      </c>
    </row>
    <row r="688" spans="1:18" ht="15.75" customHeight="1" x14ac:dyDescent="0.3">
      <c r="A688" s="17" t="s">
        <v>46</v>
      </c>
      <c r="B688" s="1"/>
      <c r="C688" s="1"/>
      <c r="D688" s="1"/>
      <c r="E688" s="59" t="s">
        <v>7</v>
      </c>
      <c r="F688" s="1"/>
      <c r="G688" s="1"/>
      <c r="H688" s="1"/>
      <c r="I688" s="59" t="s">
        <v>7</v>
      </c>
      <c r="J688" s="1"/>
      <c r="K688" s="1"/>
      <c r="L688" s="1"/>
      <c r="M688" s="59" t="s">
        <v>7</v>
      </c>
      <c r="N688" s="1"/>
      <c r="O688" s="1"/>
      <c r="P688" s="1"/>
      <c r="Q688" s="59" t="s">
        <v>7</v>
      </c>
      <c r="R688" s="59" t="s">
        <v>7</v>
      </c>
    </row>
    <row r="689" spans="1:18" ht="15.75" customHeight="1" x14ac:dyDescent="0.3">
      <c r="A689" s="74" t="s">
        <v>559</v>
      </c>
      <c r="B689" s="1">
        <v>6500</v>
      </c>
      <c r="C689" s="1">
        <v>6500</v>
      </c>
      <c r="D689" s="1">
        <v>6500</v>
      </c>
      <c r="E689" s="59">
        <f t="shared" ref="E689:E690" si="249">SUM(B689:D689)</f>
        <v>19500</v>
      </c>
      <c r="F689" s="1">
        <v>6500</v>
      </c>
      <c r="G689" s="1">
        <v>6500</v>
      </c>
      <c r="H689" s="1">
        <v>6500</v>
      </c>
      <c r="I689" s="59">
        <f t="shared" ref="I689:I690" si="250">SUM(F689:H689)</f>
        <v>19500</v>
      </c>
      <c r="J689" s="1">
        <v>6500</v>
      </c>
      <c r="K689" s="1">
        <v>6500</v>
      </c>
      <c r="L689" s="1">
        <v>6650</v>
      </c>
      <c r="M689" s="59">
        <f t="shared" ref="M689:M690" si="251">SUM(J689:L689)</f>
        <v>19650</v>
      </c>
      <c r="N689" s="1">
        <v>2641</v>
      </c>
      <c r="O689" s="1"/>
      <c r="P689" s="1"/>
      <c r="Q689" s="59">
        <f t="shared" ref="Q689:Q694" si="252">SUM(N689:P689)</f>
        <v>2641</v>
      </c>
      <c r="R689" s="59">
        <f>+E689+I689+M689+Q689</f>
        <v>61291</v>
      </c>
    </row>
    <row r="690" spans="1:18" ht="15.75" customHeight="1" x14ac:dyDescent="0.3">
      <c r="A690" s="74" t="s">
        <v>560</v>
      </c>
      <c r="B690" s="1">
        <v>2000</v>
      </c>
      <c r="C690" s="1">
        <v>2500</v>
      </c>
      <c r="D690" s="1">
        <v>2500</v>
      </c>
      <c r="E690" s="59">
        <f t="shared" si="249"/>
        <v>7000</v>
      </c>
      <c r="F690" s="1">
        <v>2500</v>
      </c>
      <c r="G690" s="1">
        <v>2500</v>
      </c>
      <c r="H690" s="1">
        <v>3000</v>
      </c>
      <c r="I690" s="59">
        <f t="shared" si="250"/>
        <v>8000</v>
      </c>
      <c r="J690" s="1">
        <v>3000</v>
      </c>
      <c r="K690" s="1">
        <v>3000</v>
      </c>
      <c r="L690" s="1">
        <v>2500</v>
      </c>
      <c r="M690" s="59">
        <f t="shared" si="251"/>
        <v>8500</v>
      </c>
      <c r="N690" s="1">
        <v>1500</v>
      </c>
      <c r="O690" s="1"/>
      <c r="P690" s="1"/>
      <c r="Q690" s="59">
        <f t="shared" si="252"/>
        <v>1500</v>
      </c>
      <c r="R690" s="59">
        <f t="shared" ref="R690:R694" si="253">+E690+I690+M690+Q690</f>
        <v>25000</v>
      </c>
    </row>
    <row r="691" spans="1:18" ht="15.75" customHeight="1" x14ac:dyDescent="0.3">
      <c r="A691" s="74" t="s">
        <v>561</v>
      </c>
      <c r="B691" s="1">
        <v>60</v>
      </c>
      <c r="C691" s="1"/>
      <c r="D691" s="1"/>
      <c r="E691" s="59">
        <f t="shared" ref="E691:E694" si="254">SUM(B691:D691)</f>
        <v>60</v>
      </c>
      <c r="F691" s="1"/>
      <c r="G691" s="1"/>
      <c r="H691" s="1"/>
      <c r="I691" s="59">
        <f t="shared" ref="I691:I694" si="255">SUM(F691:H691)</f>
        <v>0</v>
      </c>
      <c r="J691" s="1"/>
      <c r="K691" s="1"/>
      <c r="L691" s="1"/>
      <c r="M691" s="59">
        <f t="shared" ref="M691:M694" si="256">SUM(J691:L691)</f>
        <v>0</v>
      </c>
      <c r="N691" s="1"/>
      <c r="O691" s="1"/>
      <c r="P691" s="1"/>
      <c r="Q691" s="59">
        <f t="shared" si="252"/>
        <v>0</v>
      </c>
      <c r="R691" s="59">
        <f t="shared" si="253"/>
        <v>60</v>
      </c>
    </row>
    <row r="692" spans="1:18" ht="15.75" customHeight="1" x14ac:dyDescent="0.3">
      <c r="A692" s="74" t="s">
        <v>562</v>
      </c>
      <c r="B692" s="1">
        <v>4500</v>
      </c>
      <c r="C692" s="1">
        <v>4000</v>
      </c>
      <c r="D692" s="1"/>
      <c r="E692" s="59">
        <f t="shared" si="254"/>
        <v>8500</v>
      </c>
      <c r="H692" s="1">
        <v>3800</v>
      </c>
      <c r="I692" s="59">
        <f t="shared" si="255"/>
        <v>3800</v>
      </c>
      <c r="J692" s="1">
        <v>3800</v>
      </c>
      <c r="K692" s="1">
        <v>3800</v>
      </c>
      <c r="L692" s="1">
        <v>3800</v>
      </c>
      <c r="M692" s="59">
        <f t="shared" si="256"/>
        <v>11400</v>
      </c>
      <c r="N692" s="1">
        <v>1400</v>
      </c>
      <c r="O692" s="1"/>
      <c r="P692" s="1"/>
      <c r="Q692" s="59">
        <f t="shared" si="252"/>
        <v>1400</v>
      </c>
      <c r="R692" s="59">
        <f t="shared" si="253"/>
        <v>25100</v>
      </c>
    </row>
    <row r="693" spans="1:18" ht="15.75" customHeight="1" x14ac:dyDescent="0.3">
      <c r="A693" s="74" t="s">
        <v>563</v>
      </c>
      <c r="B693" s="1">
        <v>250</v>
      </c>
      <c r="C693" s="1">
        <v>250</v>
      </c>
      <c r="D693" s="1">
        <v>250</v>
      </c>
      <c r="E693" s="59">
        <f t="shared" si="254"/>
        <v>750</v>
      </c>
      <c r="F693" s="1">
        <v>250</v>
      </c>
      <c r="G693" s="1">
        <v>250</v>
      </c>
      <c r="H693" s="1">
        <v>250</v>
      </c>
      <c r="I693" s="59">
        <f t="shared" si="255"/>
        <v>750</v>
      </c>
      <c r="J693" s="1">
        <v>250</v>
      </c>
      <c r="K693" s="1">
        <v>250</v>
      </c>
      <c r="L693" s="1">
        <v>300</v>
      </c>
      <c r="M693" s="59">
        <f t="shared" si="256"/>
        <v>800</v>
      </c>
      <c r="N693" s="1"/>
      <c r="O693" s="1"/>
      <c r="P693" s="1"/>
      <c r="Q693" s="59">
        <f t="shared" si="252"/>
        <v>0</v>
      </c>
      <c r="R693" s="59">
        <f t="shared" si="253"/>
        <v>2300</v>
      </c>
    </row>
    <row r="694" spans="1:18" ht="15.75" customHeight="1" x14ac:dyDescent="0.3">
      <c r="A694" s="74" t="s">
        <v>564</v>
      </c>
      <c r="B694" s="1">
        <v>100</v>
      </c>
      <c r="C694" s="1">
        <v>100</v>
      </c>
      <c r="D694" s="1">
        <v>100</v>
      </c>
      <c r="E694" s="59">
        <f t="shared" si="254"/>
        <v>300</v>
      </c>
      <c r="F694" s="1">
        <v>100</v>
      </c>
      <c r="G694" s="1">
        <v>100</v>
      </c>
      <c r="H694" s="1">
        <v>100</v>
      </c>
      <c r="I694" s="59">
        <f t="shared" si="255"/>
        <v>300</v>
      </c>
      <c r="J694" s="1">
        <v>100</v>
      </c>
      <c r="K694" s="1">
        <v>157</v>
      </c>
      <c r="L694" s="1"/>
      <c r="M694" s="59">
        <f t="shared" si="256"/>
        <v>257</v>
      </c>
      <c r="N694" s="1">
        <v>100</v>
      </c>
      <c r="O694" s="1">
        <v>100</v>
      </c>
      <c r="P694" s="1">
        <v>100</v>
      </c>
      <c r="Q694" s="59">
        <f t="shared" si="252"/>
        <v>300</v>
      </c>
      <c r="R694" s="59">
        <f t="shared" si="253"/>
        <v>1157</v>
      </c>
    </row>
    <row r="695" spans="1:18" ht="15.75" customHeight="1" x14ac:dyDescent="0.3">
      <c r="A695" s="17" t="s">
        <v>47</v>
      </c>
      <c r="B695" s="1"/>
      <c r="C695" s="1"/>
      <c r="D695" s="1"/>
      <c r="E695" s="59" t="s">
        <v>7</v>
      </c>
      <c r="F695" s="1"/>
      <c r="G695" s="1"/>
      <c r="H695" s="1"/>
      <c r="I695" s="59" t="s">
        <v>7</v>
      </c>
      <c r="J695" s="1"/>
      <c r="K695" s="1"/>
      <c r="L695" s="1"/>
      <c r="M695" s="59" t="s">
        <v>7</v>
      </c>
      <c r="N695" s="1"/>
      <c r="O695" s="1"/>
      <c r="P695" s="1"/>
      <c r="Q695" s="59" t="s">
        <v>7</v>
      </c>
      <c r="R695" s="59" t="s">
        <v>7</v>
      </c>
    </row>
    <row r="696" spans="1:18" ht="15.75" customHeight="1" x14ac:dyDescent="0.3">
      <c r="A696" s="17" t="s">
        <v>49</v>
      </c>
      <c r="B696" s="1"/>
      <c r="C696" s="1"/>
      <c r="D696" s="1"/>
      <c r="E696" s="59" t="s">
        <v>7</v>
      </c>
      <c r="F696" s="1"/>
      <c r="G696" s="1"/>
      <c r="H696" s="1"/>
      <c r="I696" s="59" t="s">
        <v>7</v>
      </c>
      <c r="J696" s="1"/>
      <c r="K696" s="1"/>
      <c r="L696" s="1"/>
      <c r="M696" s="59" t="s">
        <v>7</v>
      </c>
      <c r="N696" s="1"/>
      <c r="O696" s="1"/>
      <c r="P696" s="1"/>
      <c r="Q696" s="59" t="s">
        <v>7</v>
      </c>
      <c r="R696" s="59" t="s">
        <v>7</v>
      </c>
    </row>
    <row r="697" spans="1:18" ht="15.75" customHeight="1" thickBot="1" x14ac:dyDescent="0.35">
      <c r="A697" s="17" t="s">
        <v>51</v>
      </c>
      <c r="B697" s="1"/>
      <c r="C697" s="1"/>
      <c r="D697" s="1"/>
      <c r="E697" s="59" t="s">
        <v>7</v>
      </c>
      <c r="F697" s="1"/>
      <c r="G697" s="1"/>
      <c r="H697" s="1"/>
      <c r="I697" s="59" t="s">
        <v>7</v>
      </c>
      <c r="J697" s="1"/>
      <c r="K697" s="1"/>
      <c r="L697" s="1"/>
      <c r="M697" s="59" t="s">
        <v>7</v>
      </c>
      <c r="N697" s="1"/>
      <c r="O697" s="1"/>
      <c r="P697" s="1"/>
      <c r="Q697" s="59" t="s">
        <v>7</v>
      </c>
      <c r="R697" s="59" t="s">
        <v>7</v>
      </c>
    </row>
    <row r="698" spans="1:18" ht="16.5" customHeight="1" thickBot="1" x14ac:dyDescent="0.35">
      <c r="A698" s="126" t="s">
        <v>52</v>
      </c>
      <c r="B698" s="100">
        <f>SUM(B687:B697)</f>
        <v>13410</v>
      </c>
      <c r="C698" s="101">
        <f>SUM(C687:C697)</f>
        <v>13350</v>
      </c>
      <c r="D698" s="101">
        <f>SUM(D687:D697)</f>
        <v>9350</v>
      </c>
      <c r="E698" s="64">
        <f>SUM(B698:D698)</f>
        <v>36110</v>
      </c>
      <c r="F698" s="101">
        <f>SUM(F687:F697)</f>
        <v>9350</v>
      </c>
      <c r="G698" s="101">
        <f>SUM(G687:G697)</f>
        <v>9350</v>
      </c>
      <c r="H698" s="101">
        <f>SUM(H687:H697)</f>
        <v>13650</v>
      </c>
      <c r="I698" s="64">
        <f>SUM(F698:H698)</f>
        <v>32350</v>
      </c>
      <c r="J698" s="101">
        <f>SUM(J687:J697)</f>
        <v>13650</v>
      </c>
      <c r="K698" s="101">
        <f>SUM(K687:K697)</f>
        <v>13707</v>
      </c>
      <c r="L698" s="101">
        <f>SUM(L687:L697)</f>
        <v>13250</v>
      </c>
      <c r="M698" s="64">
        <f>SUM(J698:L698)</f>
        <v>40607</v>
      </c>
      <c r="N698" s="101">
        <f>SUM(N687:N697)</f>
        <v>5641</v>
      </c>
      <c r="O698" s="101">
        <f>SUM(O687:O697)</f>
        <v>100</v>
      </c>
      <c r="P698" s="101">
        <f>SUM(P687:P697)</f>
        <v>100</v>
      </c>
      <c r="Q698" s="64">
        <f>SUM(N698:P698)</f>
        <v>5841</v>
      </c>
      <c r="R698" s="64">
        <f>+E698+I698+M698+Q698</f>
        <v>114908</v>
      </c>
    </row>
    <row r="699" spans="1:18" ht="15.75" customHeight="1" x14ac:dyDescent="0.3">
      <c r="A699" s="17" t="s">
        <v>53</v>
      </c>
      <c r="B699" s="1"/>
      <c r="C699" s="1"/>
      <c r="D699" s="1"/>
      <c r="E699" s="59" t="s">
        <v>7</v>
      </c>
      <c r="F699" s="1"/>
      <c r="G699" s="1"/>
      <c r="H699" s="1"/>
      <c r="I699" s="59" t="s">
        <v>7</v>
      </c>
      <c r="J699" s="1"/>
      <c r="K699" s="1"/>
      <c r="L699" s="1"/>
      <c r="M699" s="59" t="s">
        <v>7</v>
      </c>
      <c r="N699" s="1"/>
      <c r="O699" s="1"/>
      <c r="P699" s="1"/>
      <c r="Q699" s="59" t="s">
        <v>7</v>
      </c>
      <c r="R699" s="59" t="s">
        <v>7</v>
      </c>
    </row>
    <row r="700" spans="1:18" ht="15.75" customHeight="1" x14ac:dyDescent="0.3">
      <c r="A700" s="17" t="s">
        <v>55</v>
      </c>
      <c r="B700" s="1"/>
      <c r="C700" s="1"/>
      <c r="D700" s="1"/>
      <c r="E700" s="59" t="s">
        <v>7</v>
      </c>
      <c r="F700" s="1"/>
      <c r="G700" s="1"/>
      <c r="H700" s="1"/>
      <c r="I700" s="59" t="s">
        <v>7</v>
      </c>
      <c r="J700" s="1"/>
      <c r="K700" s="1"/>
      <c r="L700" s="1"/>
      <c r="M700" s="59" t="s">
        <v>7</v>
      </c>
      <c r="N700" s="1"/>
      <c r="O700" s="1"/>
      <c r="P700" s="1"/>
      <c r="Q700" s="59" t="s">
        <v>7</v>
      </c>
      <c r="R700" s="59" t="s">
        <v>7</v>
      </c>
    </row>
    <row r="701" spans="1:18" ht="15.75" customHeight="1" thickBot="1" x14ac:dyDescent="0.35">
      <c r="A701" s="17" t="s">
        <v>56</v>
      </c>
      <c r="B701" s="1"/>
      <c r="C701" s="1"/>
      <c r="D701" s="1"/>
      <c r="E701" s="59" t="s">
        <v>7</v>
      </c>
      <c r="F701" s="1"/>
      <c r="G701" s="1"/>
      <c r="H701" s="1"/>
      <c r="I701" s="59" t="s">
        <v>7</v>
      </c>
      <c r="J701" s="1"/>
      <c r="K701" s="1"/>
      <c r="L701" s="1"/>
      <c r="M701" s="59" t="s">
        <v>7</v>
      </c>
      <c r="N701" s="1"/>
      <c r="O701" s="1"/>
      <c r="P701" s="1"/>
      <c r="Q701" s="59" t="s">
        <v>7</v>
      </c>
      <c r="R701" s="59" t="s">
        <v>7</v>
      </c>
    </row>
    <row r="702" spans="1:18" ht="16.5" customHeight="1" thickBot="1" x14ac:dyDescent="0.35">
      <c r="A702" s="62" t="s">
        <v>57</v>
      </c>
      <c r="B702" s="100">
        <f>SUM(B699:B701)</f>
        <v>0</v>
      </c>
      <c r="C702" s="101">
        <f>SUM(C699:C701)</f>
        <v>0</v>
      </c>
      <c r="D702" s="101">
        <f>SUM(D699:D701)</f>
        <v>0</v>
      </c>
      <c r="E702" s="64">
        <f>SUM(B702:D702)</f>
        <v>0</v>
      </c>
      <c r="F702" s="101">
        <f>SUM(F699:F701)</f>
        <v>0</v>
      </c>
      <c r="G702" s="101">
        <f>SUM(G699:G701)</f>
        <v>0</v>
      </c>
      <c r="H702" s="101">
        <f>SUM(H699:H701)</f>
        <v>0</v>
      </c>
      <c r="I702" s="64">
        <f>SUM(F702:H702)</f>
        <v>0</v>
      </c>
      <c r="J702" s="101">
        <f>SUM(J699:J701)</f>
        <v>0</v>
      </c>
      <c r="K702" s="101">
        <f>SUM(K699:K701)</f>
        <v>0</v>
      </c>
      <c r="L702" s="101">
        <f>SUM(L699:L701)</f>
        <v>0</v>
      </c>
      <c r="M702" s="64">
        <f>SUM(J702:L702)</f>
        <v>0</v>
      </c>
      <c r="N702" s="101">
        <f>SUM(N699:N701)</f>
        <v>0</v>
      </c>
      <c r="O702" s="101">
        <f>SUM(O699:O701)</f>
        <v>0</v>
      </c>
      <c r="P702" s="101">
        <f>SUM(P699:P701)</f>
        <v>0</v>
      </c>
      <c r="Q702" s="64">
        <f>SUM(N702:P702)</f>
        <v>0</v>
      </c>
      <c r="R702" s="64">
        <f>+E702+I702+M702+Q702</f>
        <v>0</v>
      </c>
    </row>
    <row r="703" spans="1:18" ht="15.75" customHeight="1" x14ac:dyDescent="0.3">
      <c r="A703" s="17" t="s">
        <v>58</v>
      </c>
      <c r="B703" s="1"/>
      <c r="C703" s="1"/>
      <c r="D703" s="1"/>
      <c r="E703" s="59" t="s">
        <v>7</v>
      </c>
      <c r="F703" s="1"/>
      <c r="G703" s="1"/>
      <c r="H703" s="1"/>
      <c r="I703" s="59" t="s">
        <v>7</v>
      </c>
      <c r="J703" s="1"/>
      <c r="K703" s="1"/>
      <c r="L703" s="1"/>
      <c r="M703" s="59" t="s">
        <v>7</v>
      </c>
      <c r="N703" s="1"/>
      <c r="O703" s="1"/>
      <c r="P703" s="1"/>
      <c r="Q703" s="59" t="s">
        <v>7</v>
      </c>
      <c r="R703" s="59" t="s">
        <v>7</v>
      </c>
    </row>
    <row r="704" spans="1:18" ht="15.75" customHeight="1" x14ac:dyDescent="0.3">
      <c r="A704" s="17" t="s">
        <v>59</v>
      </c>
      <c r="B704" s="1"/>
      <c r="C704" s="1"/>
      <c r="D704" s="1"/>
      <c r="E704" s="59" t="s">
        <v>7</v>
      </c>
      <c r="F704" s="1"/>
      <c r="G704" s="1"/>
      <c r="H704" s="1"/>
      <c r="I704" s="59" t="s">
        <v>7</v>
      </c>
      <c r="J704" s="1"/>
      <c r="K704" s="1"/>
      <c r="L704" s="1"/>
      <c r="M704" s="59" t="s">
        <v>7</v>
      </c>
      <c r="N704" s="1"/>
      <c r="O704" s="1"/>
      <c r="P704" s="1"/>
      <c r="Q704" s="59" t="s">
        <v>7</v>
      </c>
      <c r="R704" s="59" t="s">
        <v>7</v>
      </c>
    </row>
    <row r="705" spans="1:20" ht="15.75" customHeight="1" x14ac:dyDescent="0.3">
      <c r="A705" s="74" t="s">
        <v>565</v>
      </c>
      <c r="B705" s="1">
        <v>500</v>
      </c>
      <c r="C705" s="1">
        <v>480</v>
      </c>
      <c r="D705" s="1">
        <v>1350</v>
      </c>
      <c r="E705" s="59">
        <f>SUM(B705:D705)</f>
        <v>2330</v>
      </c>
      <c r="F705" s="1">
        <v>1500</v>
      </c>
      <c r="G705" s="1">
        <v>1950</v>
      </c>
      <c r="H705" s="1">
        <v>1600</v>
      </c>
      <c r="I705" s="59">
        <f>SUM(F705:H705)</f>
        <v>5050</v>
      </c>
      <c r="J705" s="1">
        <v>2000</v>
      </c>
      <c r="K705" s="1">
        <v>1500</v>
      </c>
      <c r="L705" s="1">
        <v>1220</v>
      </c>
      <c r="M705" s="59">
        <f>SUM(J705:L705)</f>
        <v>4720</v>
      </c>
      <c r="N705" s="1">
        <v>400</v>
      </c>
      <c r="O705" s="1">
        <v>150</v>
      </c>
      <c r="P705" s="1">
        <v>150</v>
      </c>
      <c r="Q705" s="59">
        <f>SUM(N705:P705)</f>
        <v>700</v>
      </c>
      <c r="R705" s="59">
        <f>+E705+I705+M705+Q705</f>
        <v>12800</v>
      </c>
      <c r="T705" s="4" t="s">
        <v>566</v>
      </c>
    </row>
    <row r="706" spans="1:20" ht="15.75" customHeight="1" x14ac:dyDescent="0.3">
      <c r="A706" s="17" t="s">
        <v>60</v>
      </c>
      <c r="B706" s="1"/>
      <c r="C706" s="1"/>
      <c r="D706" s="1"/>
      <c r="E706" s="59" t="s">
        <v>7</v>
      </c>
      <c r="F706" s="1"/>
      <c r="G706" s="1"/>
      <c r="H706" s="1"/>
      <c r="I706" s="59" t="s">
        <v>7</v>
      </c>
      <c r="J706" s="1"/>
      <c r="K706" s="1"/>
      <c r="L706" s="1"/>
      <c r="M706" s="59" t="s">
        <v>7</v>
      </c>
      <c r="N706" s="1"/>
      <c r="O706" s="1"/>
      <c r="P706" s="1"/>
      <c r="Q706" s="59" t="s">
        <v>7</v>
      </c>
      <c r="R706" s="59" t="s">
        <v>7</v>
      </c>
    </row>
    <row r="707" spans="1:20" ht="15.75" customHeight="1" x14ac:dyDescent="0.3">
      <c r="A707" s="74" t="s">
        <v>567</v>
      </c>
      <c r="B707" s="1"/>
      <c r="C707" s="1"/>
      <c r="D707" s="1"/>
      <c r="E707" s="59">
        <f t="shared" ref="E707:E714" si="257">SUM(B707:D707)</f>
        <v>0</v>
      </c>
      <c r="F707" s="1"/>
      <c r="G707" s="1"/>
      <c r="H707" s="1"/>
      <c r="I707" s="59">
        <f t="shared" ref="I707:I714" si="258">SUM(F707:H707)</f>
        <v>0</v>
      </c>
      <c r="J707" s="1"/>
      <c r="K707" s="1"/>
      <c r="L707" s="1"/>
      <c r="M707" s="59">
        <f t="shared" ref="M707:M714" si="259">SUM(J707:L707)</f>
        <v>0</v>
      </c>
      <c r="N707" s="1"/>
      <c r="O707" s="1"/>
      <c r="P707" s="1"/>
      <c r="Q707" s="59">
        <f t="shared" ref="Q707:Q714" si="260">SUM(N707:P707)</f>
        <v>0</v>
      </c>
      <c r="R707" s="59">
        <f t="shared" ref="R707:R714" si="261">+E707+I707+M707+Q707</f>
        <v>0</v>
      </c>
      <c r="T707" s="4" t="s">
        <v>568</v>
      </c>
    </row>
    <row r="708" spans="1:20" ht="15.75" customHeight="1" x14ac:dyDescent="0.3">
      <c r="A708" s="74" t="s">
        <v>569</v>
      </c>
      <c r="B708" s="1"/>
      <c r="C708" s="1"/>
      <c r="D708" s="1"/>
      <c r="E708" s="59">
        <f t="shared" si="257"/>
        <v>0</v>
      </c>
      <c r="F708" s="1"/>
      <c r="G708" s="1"/>
      <c r="H708" s="1"/>
      <c r="I708" s="59">
        <f t="shared" si="258"/>
        <v>0</v>
      </c>
      <c r="J708" s="1"/>
      <c r="K708" s="1"/>
      <c r="L708" s="1"/>
      <c r="M708" s="59">
        <f t="shared" si="259"/>
        <v>0</v>
      </c>
      <c r="N708" s="1"/>
      <c r="O708" s="1"/>
      <c r="P708" s="1"/>
      <c r="Q708" s="59">
        <f t="shared" si="260"/>
        <v>0</v>
      </c>
      <c r="R708" s="59">
        <f t="shared" si="261"/>
        <v>0</v>
      </c>
      <c r="T708" s="4" t="s">
        <v>568</v>
      </c>
    </row>
    <row r="709" spans="1:20" ht="15.75" customHeight="1" x14ac:dyDescent="0.3">
      <c r="A709" s="74" t="s">
        <v>570</v>
      </c>
      <c r="B709" s="1">
        <v>32</v>
      </c>
      <c r="C709" s="1">
        <v>32</v>
      </c>
      <c r="D709" s="1">
        <v>32</v>
      </c>
      <c r="E709" s="59">
        <f t="shared" si="257"/>
        <v>96</v>
      </c>
      <c r="F709" s="1">
        <v>32</v>
      </c>
      <c r="G709" s="1">
        <v>32</v>
      </c>
      <c r="H709" s="1">
        <v>32</v>
      </c>
      <c r="I709" s="59">
        <f t="shared" si="258"/>
        <v>96</v>
      </c>
      <c r="J709" s="1">
        <v>32</v>
      </c>
      <c r="K709" s="1">
        <v>24</v>
      </c>
      <c r="L709" s="1">
        <v>22</v>
      </c>
      <c r="M709" s="59">
        <f t="shared" si="259"/>
        <v>78</v>
      </c>
      <c r="N709" s="1"/>
      <c r="O709" s="1"/>
      <c r="P709" s="1"/>
      <c r="Q709" s="59">
        <f t="shared" si="260"/>
        <v>0</v>
      </c>
      <c r="R709" s="59">
        <f t="shared" si="261"/>
        <v>270</v>
      </c>
      <c r="T709" s="4" t="s">
        <v>568</v>
      </c>
    </row>
    <row r="710" spans="1:20" ht="15.75" customHeight="1" x14ac:dyDescent="0.3">
      <c r="A710" s="74" t="s">
        <v>572</v>
      </c>
      <c r="B710" s="1"/>
      <c r="C710" s="1"/>
      <c r="D710" s="1">
        <v>3800</v>
      </c>
      <c r="E710" s="59">
        <f t="shared" si="257"/>
        <v>3800</v>
      </c>
      <c r="F710" s="1"/>
      <c r="G710" s="1"/>
      <c r="H710" s="1"/>
      <c r="I710" s="59">
        <f t="shared" si="258"/>
        <v>0</v>
      </c>
      <c r="J710" s="1"/>
      <c r="K710" s="1"/>
      <c r="L710" s="1"/>
      <c r="M710" s="59">
        <f t="shared" si="259"/>
        <v>0</v>
      </c>
      <c r="N710" s="1"/>
      <c r="O710" s="1"/>
      <c r="P710" s="1"/>
      <c r="Q710" s="59">
        <f t="shared" si="260"/>
        <v>0</v>
      </c>
      <c r="R710" s="59">
        <f t="shared" si="261"/>
        <v>3800</v>
      </c>
    </row>
    <row r="711" spans="1:20" ht="15.75" customHeight="1" x14ac:dyDescent="0.3">
      <c r="A711" s="74" t="s">
        <v>573</v>
      </c>
      <c r="B711" s="1"/>
      <c r="C711" s="1"/>
      <c r="D711" s="1"/>
      <c r="E711" s="59">
        <f t="shared" si="257"/>
        <v>0</v>
      </c>
      <c r="F711" s="1">
        <v>3800</v>
      </c>
      <c r="G711" s="1">
        <v>3800</v>
      </c>
      <c r="H711" s="1"/>
      <c r="I711" s="59">
        <f t="shared" si="258"/>
        <v>7600</v>
      </c>
      <c r="J711" s="1"/>
      <c r="K711" s="1"/>
      <c r="L711" s="1"/>
      <c r="M711" s="59">
        <f t="shared" si="259"/>
        <v>0</v>
      </c>
      <c r="N711" s="1"/>
      <c r="O711" s="1"/>
      <c r="P711" s="1"/>
      <c r="Q711" s="59">
        <f t="shared" si="260"/>
        <v>0</v>
      </c>
      <c r="R711" s="59">
        <f t="shared" si="261"/>
        <v>7600</v>
      </c>
    </row>
    <row r="712" spans="1:20" ht="15.75" customHeight="1" x14ac:dyDescent="0.3">
      <c r="A712" s="74" t="s">
        <v>574</v>
      </c>
      <c r="B712" s="1"/>
      <c r="C712" s="1"/>
      <c r="D712" s="1"/>
      <c r="E712" s="59">
        <f t="shared" si="257"/>
        <v>0</v>
      </c>
      <c r="F712" s="1"/>
      <c r="G712" s="1"/>
      <c r="H712" s="1"/>
      <c r="I712" s="59">
        <f t="shared" si="258"/>
        <v>0</v>
      </c>
      <c r="J712" s="1"/>
      <c r="K712" s="1"/>
      <c r="L712" s="1"/>
      <c r="M712" s="59">
        <f t="shared" si="259"/>
        <v>0</v>
      </c>
      <c r="N712" s="1"/>
      <c r="O712" s="1"/>
      <c r="P712" s="1"/>
      <c r="Q712" s="59">
        <f t="shared" si="260"/>
        <v>0</v>
      </c>
      <c r="R712" s="59">
        <f t="shared" si="261"/>
        <v>0</v>
      </c>
    </row>
    <row r="713" spans="1:20" ht="15.75" customHeight="1" thickBot="1" x14ac:dyDescent="0.35">
      <c r="A713" s="74" t="s">
        <v>576</v>
      </c>
      <c r="B713" s="1"/>
      <c r="C713" s="1"/>
      <c r="D713" s="1"/>
      <c r="E713" s="59">
        <f t="shared" si="257"/>
        <v>0</v>
      </c>
      <c r="F713" s="1"/>
      <c r="G713" s="1"/>
      <c r="H713" s="1"/>
      <c r="I713" s="59">
        <f t="shared" si="258"/>
        <v>0</v>
      </c>
      <c r="J713" s="1"/>
      <c r="K713" s="1"/>
      <c r="L713" s="1"/>
      <c r="M713" s="59">
        <f t="shared" si="259"/>
        <v>0</v>
      </c>
      <c r="N713" s="1"/>
      <c r="O713" s="1"/>
      <c r="P713" s="1"/>
      <c r="Q713" s="59">
        <f t="shared" si="260"/>
        <v>0</v>
      </c>
      <c r="R713" s="59">
        <f t="shared" si="261"/>
        <v>0</v>
      </c>
      <c r="T713" s="4" t="s">
        <v>568</v>
      </c>
    </row>
    <row r="714" spans="1:20" ht="16.5" customHeight="1" thickBot="1" x14ac:dyDescent="0.35">
      <c r="A714" s="62" t="s">
        <v>61</v>
      </c>
      <c r="B714" s="100">
        <f>SUM(B703:B713)</f>
        <v>532</v>
      </c>
      <c r="C714" s="101">
        <f>SUM(C703:C713)</f>
        <v>512</v>
      </c>
      <c r="D714" s="101">
        <f>SUM(D703:D713)</f>
        <v>5182</v>
      </c>
      <c r="E714" s="64">
        <f t="shared" si="257"/>
        <v>6226</v>
      </c>
      <c r="F714" s="101">
        <f>SUM(F703:F713)</f>
        <v>5332</v>
      </c>
      <c r="G714" s="101">
        <f>SUM(G703:G713)</f>
        <v>5782</v>
      </c>
      <c r="H714" s="101">
        <f>SUM(H703:H713)</f>
        <v>1632</v>
      </c>
      <c r="I714" s="64">
        <f t="shared" si="258"/>
        <v>12746</v>
      </c>
      <c r="J714" s="101">
        <f>SUM(J703:J713)</f>
        <v>2032</v>
      </c>
      <c r="K714" s="101">
        <f>SUM(K703:K713)</f>
        <v>1524</v>
      </c>
      <c r="L714" s="101">
        <f>SUM(L703:L713)</f>
        <v>1242</v>
      </c>
      <c r="M714" s="64">
        <f t="shared" si="259"/>
        <v>4798</v>
      </c>
      <c r="N714" s="101">
        <f>SUM(N703:N713)</f>
        <v>400</v>
      </c>
      <c r="O714" s="101">
        <f>SUM(O703:O713)</f>
        <v>150</v>
      </c>
      <c r="P714" s="101">
        <f>SUM(P703:P713)</f>
        <v>150</v>
      </c>
      <c r="Q714" s="64">
        <f t="shared" si="260"/>
        <v>700</v>
      </c>
      <c r="R714" s="138">
        <f t="shared" si="261"/>
        <v>24470</v>
      </c>
    </row>
    <row r="715" spans="1:20" ht="15.75" customHeight="1" x14ac:dyDescent="0.3">
      <c r="A715" s="17" t="s">
        <v>62</v>
      </c>
      <c r="B715" s="1"/>
      <c r="C715" s="1"/>
      <c r="D715" s="1"/>
      <c r="E715" s="59" t="s">
        <v>7</v>
      </c>
      <c r="F715" s="1"/>
      <c r="G715" s="1"/>
      <c r="H715" s="1"/>
      <c r="I715" s="59" t="s">
        <v>7</v>
      </c>
      <c r="J715" s="1"/>
      <c r="K715" s="1"/>
      <c r="L715" s="1"/>
      <c r="M715" s="59" t="s">
        <v>7</v>
      </c>
      <c r="N715" s="1"/>
      <c r="O715" s="1"/>
      <c r="P715" s="1"/>
      <c r="Q715" s="59" t="s">
        <v>7</v>
      </c>
      <c r="R715" s="59" t="s">
        <v>7</v>
      </c>
    </row>
    <row r="716" spans="1:20" ht="15.75" customHeight="1" x14ac:dyDescent="0.3">
      <c r="A716" s="17" t="s">
        <v>63</v>
      </c>
      <c r="B716" s="1"/>
      <c r="C716" s="1"/>
      <c r="D716" s="1"/>
      <c r="E716" s="59" t="s">
        <v>7</v>
      </c>
      <c r="F716" s="1"/>
      <c r="G716" s="1"/>
      <c r="H716" s="1"/>
      <c r="I716" s="59" t="s">
        <v>7</v>
      </c>
      <c r="J716" s="1"/>
      <c r="K716" s="1"/>
      <c r="L716" s="1"/>
      <c r="M716" s="59" t="s">
        <v>7</v>
      </c>
      <c r="N716" s="1"/>
      <c r="O716" s="1"/>
      <c r="P716" s="1"/>
      <c r="Q716" s="59" t="s">
        <v>7</v>
      </c>
      <c r="R716" s="59" t="s">
        <v>7</v>
      </c>
    </row>
    <row r="717" spans="1:20" ht="15.75" customHeight="1" x14ac:dyDescent="0.3">
      <c r="A717" s="17" t="s">
        <v>64</v>
      </c>
      <c r="B717" s="1"/>
      <c r="C717" s="1"/>
      <c r="D717" s="1"/>
      <c r="E717" s="59" t="s">
        <v>7</v>
      </c>
      <c r="F717" s="1"/>
      <c r="G717" s="1"/>
      <c r="H717" s="1"/>
      <c r="I717" s="59" t="s">
        <v>7</v>
      </c>
      <c r="J717" s="1"/>
      <c r="K717" s="1"/>
      <c r="L717" s="1"/>
      <c r="M717" s="59" t="s">
        <v>7</v>
      </c>
      <c r="N717" s="1"/>
      <c r="O717" s="1"/>
      <c r="P717" s="1"/>
      <c r="Q717" s="59" t="s">
        <v>7</v>
      </c>
      <c r="R717" s="59" t="s">
        <v>7</v>
      </c>
    </row>
    <row r="718" spans="1:20" ht="15.75" customHeight="1" x14ac:dyDescent="0.3">
      <c r="A718" s="74" t="s">
        <v>577</v>
      </c>
      <c r="B718" s="1"/>
      <c r="C718" s="1"/>
      <c r="D718" s="1"/>
      <c r="E718" s="59">
        <f>SUM(B718:D718)</f>
        <v>0</v>
      </c>
      <c r="F718" s="1"/>
      <c r="G718" s="1"/>
      <c r="H718" s="1"/>
      <c r="I718" s="59">
        <f>SUM(F718:H718)</f>
        <v>0</v>
      </c>
      <c r="J718" s="1"/>
      <c r="K718" s="1"/>
      <c r="L718" s="1"/>
      <c r="M718" s="59">
        <f>SUM(J718:L718)</f>
        <v>0</v>
      </c>
      <c r="N718" s="1"/>
      <c r="O718" s="1"/>
      <c r="P718" s="1"/>
      <c r="Q718" s="59">
        <f>SUM(N718:P718)</f>
        <v>0</v>
      </c>
      <c r="R718" s="59">
        <f>+E718+I718+M718+Q718</f>
        <v>0</v>
      </c>
    </row>
    <row r="719" spans="1:20" ht="15.75" customHeight="1" x14ac:dyDescent="0.3">
      <c r="A719" s="74" t="s">
        <v>578</v>
      </c>
      <c r="B719" s="1"/>
      <c r="C719" s="1"/>
      <c r="D719" s="1"/>
      <c r="E719" s="59">
        <f>SUM(B719:D719)</f>
        <v>0</v>
      </c>
      <c r="F719" s="1"/>
      <c r="G719" s="1"/>
      <c r="H719" s="1"/>
      <c r="I719" s="59">
        <f>SUM(F719:H719)</f>
        <v>0</v>
      </c>
      <c r="J719" s="1"/>
      <c r="K719" s="1"/>
      <c r="L719" s="1"/>
      <c r="M719" s="59">
        <f>SUM(J719:L719)</f>
        <v>0</v>
      </c>
      <c r="N719" s="1"/>
      <c r="O719" s="1"/>
      <c r="P719" s="1"/>
      <c r="Q719" s="59">
        <f>SUM(N719:P719)</f>
        <v>0</v>
      </c>
      <c r="R719" s="59">
        <f>+E719+I719+M719+Q719</f>
        <v>0</v>
      </c>
    </row>
    <row r="720" spans="1:20" ht="15.75" customHeight="1" x14ac:dyDescent="0.3">
      <c r="A720" s="74" t="s">
        <v>579</v>
      </c>
      <c r="B720" s="1"/>
      <c r="C720" s="1"/>
      <c r="D720" s="1"/>
      <c r="E720" s="59">
        <f>SUM(B720:D720)</f>
        <v>0</v>
      </c>
      <c r="F720" s="1"/>
      <c r="G720" s="1"/>
      <c r="H720" s="1"/>
      <c r="I720" s="59">
        <f>SUM(F720:H720)</f>
        <v>0</v>
      </c>
      <c r="J720" s="1"/>
      <c r="K720" s="1"/>
      <c r="L720" s="1"/>
      <c r="M720" s="59">
        <f>SUM(J720:L720)</f>
        <v>0</v>
      </c>
      <c r="N720" s="1"/>
      <c r="O720" s="1"/>
      <c r="P720" s="1"/>
      <c r="Q720" s="59">
        <f>SUM(N720:P720)</f>
        <v>0</v>
      </c>
      <c r="R720" s="59">
        <f>+E720+I720+M720+Q720</f>
        <v>0</v>
      </c>
    </row>
    <row r="721" spans="1:18" ht="15.75" customHeight="1" x14ac:dyDescent="0.3">
      <c r="A721" s="74" t="s">
        <v>580</v>
      </c>
      <c r="B721" s="1"/>
      <c r="C721" s="1"/>
      <c r="D721" s="1"/>
      <c r="E721" s="59">
        <f>SUM(B721:D721)</f>
        <v>0</v>
      </c>
      <c r="F721" s="1"/>
      <c r="G721" s="1"/>
      <c r="H721" s="1"/>
      <c r="I721" s="59">
        <f>SUM(F721:H721)</f>
        <v>0</v>
      </c>
      <c r="J721" s="1"/>
      <c r="K721" s="1"/>
      <c r="L721" s="1"/>
      <c r="M721" s="59">
        <f>SUM(J721:L721)</f>
        <v>0</v>
      </c>
      <c r="N721" s="1"/>
      <c r="O721" s="1"/>
      <c r="P721" s="1"/>
      <c r="Q721" s="59">
        <f>SUM(N721:P721)</f>
        <v>0</v>
      </c>
      <c r="R721" s="59">
        <f>+E721+I721+M721+Q721</f>
        <v>0</v>
      </c>
    </row>
    <row r="722" spans="1:18" ht="15.75" customHeight="1" x14ac:dyDescent="0.3">
      <c r="A722" s="17" t="s">
        <v>66</v>
      </c>
      <c r="B722" s="1"/>
      <c r="C722" s="1"/>
      <c r="D722" s="1"/>
      <c r="E722" s="59" t="s">
        <v>7</v>
      </c>
      <c r="F722" s="1"/>
      <c r="G722" s="1"/>
      <c r="H722" s="1"/>
      <c r="I722" s="59" t="s">
        <v>7</v>
      </c>
      <c r="J722" s="1"/>
      <c r="K722" s="1"/>
      <c r="L722" s="1"/>
      <c r="M722" s="59" t="s">
        <v>7</v>
      </c>
      <c r="N722" s="1"/>
      <c r="O722" s="1"/>
      <c r="P722" s="1"/>
      <c r="Q722" s="59" t="s">
        <v>7</v>
      </c>
      <c r="R722" s="59" t="s">
        <v>7</v>
      </c>
    </row>
    <row r="723" spans="1:18" ht="15.75" customHeight="1" thickBot="1" x14ac:dyDescent="0.35">
      <c r="A723" s="17" t="s">
        <v>67</v>
      </c>
      <c r="B723" s="1"/>
      <c r="C723" s="1"/>
      <c r="D723" s="1"/>
      <c r="E723" s="59" t="s">
        <v>7</v>
      </c>
      <c r="F723" s="1"/>
      <c r="G723" s="1"/>
      <c r="H723" s="1"/>
      <c r="I723" s="59" t="s">
        <v>7</v>
      </c>
      <c r="J723" s="1"/>
      <c r="K723" s="1"/>
      <c r="L723" s="1"/>
      <c r="M723" s="59" t="s">
        <v>7</v>
      </c>
      <c r="N723" s="1"/>
      <c r="O723" s="1"/>
      <c r="P723" s="1"/>
      <c r="Q723" s="59" t="s">
        <v>7</v>
      </c>
      <c r="R723" s="59" t="s">
        <v>7</v>
      </c>
    </row>
    <row r="724" spans="1:18" ht="16.5" customHeight="1" thickBot="1" x14ac:dyDescent="0.35">
      <c r="A724" s="62" t="s">
        <v>68</v>
      </c>
      <c r="B724" s="63">
        <f>SUM(B722:B723)</f>
        <v>0</v>
      </c>
      <c r="C724" s="63">
        <f>SUM(C722:C723)</f>
        <v>0</v>
      </c>
      <c r="D724" s="63">
        <f>SUM(D722:D723)</f>
        <v>0</v>
      </c>
      <c r="E724" s="65">
        <f>SUM(B724:D724)</f>
        <v>0</v>
      </c>
      <c r="F724" s="63">
        <f>SUM(F722:F723)</f>
        <v>0</v>
      </c>
      <c r="G724" s="63">
        <f>SUM(G722:G723)</f>
        <v>0</v>
      </c>
      <c r="H724" s="63">
        <f>SUM(H722:H723)</f>
        <v>0</v>
      </c>
      <c r="I724" s="65">
        <f>SUM(F724:H724)</f>
        <v>0</v>
      </c>
      <c r="J724" s="63">
        <f>SUM(J722:J723)</f>
        <v>0</v>
      </c>
      <c r="K724" s="63">
        <f>SUM(K722:K723)</f>
        <v>0</v>
      </c>
      <c r="L724" s="63">
        <f>SUM(L722:L723)</f>
        <v>0</v>
      </c>
      <c r="M724" s="65">
        <f>SUM(J724:L724)</f>
        <v>0</v>
      </c>
      <c r="N724" s="63">
        <f>SUM(N722:N723)</f>
        <v>0</v>
      </c>
      <c r="O724" s="63">
        <f>SUM(O722:O723)</f>
        <v>0</v>
      </c>
      <c r="P724" s="63">
        <f>SUM(P722:P723)</f>
        <v>0</v>
      </c>
      <c r="Q724" s="65">
        <f>SUM(N724:P724)</f>
        <v>0</v>
      </c>
      <c r="R724" s="64">
        <f>+E724+I724+M724+Q724</f>
        <v>0</v>
      </c>
    </row>
    <row r="725" spans="1:18" ht="16.5" customHeight="1" thickBot="1" x14ac:dyDescent="0.35">
      <c r="A725" s="137" t="s">
        <v>69</v>
      </c>
      <c r="B725" s="100">
        <f>SUM(B715:B723)</f>
        <v>0</v>
      </c>
      <c r="C725" s="101">
        <f>SUM(C715:C723)</f>
        <v>0</v>
      </c>
      <c r="D725" s="138">
        <f>SUM(D715:D723)</f>
        <v>0</v>
      </c>
      <c r="E725" s="65">
        <f>SUM(B725:D725)</f>
        <v>0</v>
      </c>
      <c r="F725" s="101">
        <f>SUM(F715:F723)</f>
        <v>0</v>
      </c>
      <c r="G725" s="101">
        <f>SUM(G715:G723)</f>
        <v>0</v>
      </c>
      <c r="H725" s="101">
        <f>SUM(H715:H723)</f>
        <v>0</v>
      </c>
      <c r="I725" s="65">
        <f>SUM(F725:H725)</f>
        <v>0</v>
      </c>
      <c r="J725" s="101">
        <f>SUM(J715:J723)</f>
        <v>0</v>
      </c>
      <c r="K725" s="101">
        <f>SUM(K715:K723)</f>
        <v>0</v>
      </c>
      <c r="L725" s="101">
        <f>SUM(L715:L723)</f>
        <v>0</v>
      </c>
      <c r="M725" s="65">
        <f>SUM(J725:L725)</f>
        <v>0</v>
      </c>
      <c r="N725" s="101">
        <f>SUM(N715:N723)</f>
        <v>0</v>
      </c>
      <c r="O725" s="101">
        <f>SUM(O715:O723)</f>
        <v>0</v>
      </c>
      <c r="P725" s="101">
        <f>SUM(P715:P723)</f>
        <v>0</v>
      </c>
      <c r="Q725" s="65">
        <f>SUM(N725:P725)</f>
        <v>0</v>
      </c>
      <c r="R725" s="64">
        <f>+E725+I725+M725+Q725</f>
        <v>0</v>
      </c>
    </row>
    <row r="726" spans="1:18" ht="16.5" customHeight="1" thickBot="1" x14ac:dyDescent="0.35">
      <c r="A726" s="62" t="s">
        <v>70</v>
      </c>
      <c r="B726" s="107">
        <f>+B698+B702+B714+B725</f>
        <v>13942</v>
      </c>
      <c r="C726" s="63">
        <f>+C698+C702+C714+C725</f>
        <v>13862</v>
      </c>
      <c r="D726" s="63">
        <f>+D698+D702+D714+D725</f>
        <v>14532</v>
      </c>
      <c r="E726" s="64">
        <f>SUM(B726:D726)</f>
        <v>42336</v>
      </c>
      <c r="F726" s="63">
        <f>+F698+F702+F714+F725</f>
        <v>14682</v>
      </c>
      <c r="G726" s="63">
        <f>+G698+G702+G714+G725</f>
        <v>15132</v>
      </c>
      <c r="H726" s="63">
        <f>+H698+H702+H714+H725</f>
        <v>15282</v>
      </c>
      <c r="I726" s="64">
        <f>SUM(F726:H726)</f>
        <v>45096</v>
      </c>
      <c r="J726" s="63">
        <f>+J698+J702+J714+J725</f>
        <v>15682</v>
      </c>
      <c r="K726" s="63">
        <f>+K698+K702+K714+K725</f>
        <v>15231</v>
      </c>
      <c r="L726" s="63">
        <f>+L698+L702+L714+L725</f>
        <v>14492</v>
      </c>
      <c r="M726" s="64">
        <f>SUM(J726:L726)</f>
        <v>45405</v>
      </c>
      <c r="N726" s="63">
        <f>+N698+N702+N714+N725</f>
        <v>6041</v>
      </c>
      <c r="O726" s="63">
        <f>+O698+O702+O714+O725</f>
        <v>250</v>
      </c>
      <c r="P726" s="63">
        <f>+P698+P702+P714+P725</f>
        <v>250</v>
      </c>
      <c r="Q726" s="64">
        <f>SUM(N726:P726)</f>
        <v>6541</v>
      </c>
      <c r="R726" s="88">
        <f>+E726+I726+M726+Q726</f>
        <v>139378</v>
      </c>
    </row>
    <row r="727" spans="1:18" ht="16.5" customHeight="1" thickBot="1" x14ac:dyDescent="0.35">
      <c r="A727" s="66" t="s">
        <v>37</v>
      </c>
      <c r="B727" s="25">
        <v>22</v>
      </c>
      <c r="C727" s="25">
        <v>24</v>
      </c>
      <c r="D727" s="25">
        <v>31</v>
      </c>
      <c r="E727" s="64">
        <f>SUM(B727:D727)</f>
        <v>77</v>
      </c>
      <c r="F727" s="25">
        <v>40</v>
      </c>
      <c r="G727" s="25">
        <v>45</v>
      </c>
      <c r="H727" s="25">
        <v>48</v>
      </c>
      <c r="I727" s="64">
        <f>SUM(F727:H727)</f>
        <v>133</v>
      </c>
      <c r="J727" s="25">
        <v>42</v>
      </c>
      <c r="K727" s="25">
        <v>39</v>
      </c>
      <c r="L727" s="25">
        <v>38</v>
      </c>
      <c r="M727" s="64">
        <f>SUM(J727:L727)</f>
        <v>119</v>
      </c>
      <c r="N727" s="25">
        <v>32</v>
      </c>
      <c r="O727" s="25">
        <v>25</v>
      </c>
      <c r="P727" s="25">
        <v>21</v>
      </c>
      <c r="Q727" s="64">
        <f>SUM(N727:P727)</f>
        <v>78</v>
      </c>
      <c r="R727" s="65">
        <f>+E727+I727+M727+Q727</f>
        <v>407</v>
      </c>
    </row>
    <row r="728" spans="1:18" ht="16.5" customHeight="1" thickBot="1" x14ac:dyDescent="0.35">
      <c r="A728" s="42"/>
      <c r="B728" s="37"/>
      <c r="C728" s="37"/>
      <c r="D728" s="37"/>
      <c r="E728" s="16"/>
      <c r="F728" s="37"/>
      <c r="G728" s="37"/>
      <c r="H728" s="37"/>
      <c r="I728" s="16"/>
      <c r="J728" s="37"/>
      <c r="K728" s="37"/>
      <c r="L728" s="37"/>
      <c r="M728" s="16"/>
      <c r="N728" s="37"/>
      <c r="O728" s="37"/>
      <c r="P728" s="37"/>
      <c r="Q728" s="16"/>
      <c r="R728" s="43"/>
    </row>
    <row r="729" spans="1:18" ht="15.75" customHeight="1" x14ac:dyDescent="0.3">
      <c r="A729" s="17" t="s">
        <v>507</v>
      </c>
      <c r="B729" s="1">
        <f>+SUM(B726:B727)</f>
        <v>13964</v>
      </c>
      <c r="C729" s="1">
        <f>+SUM(C726:C727)</f>
        <v>13886</v>
      </c>
      <c r="D729" s="1">
        <f>+SUM(D726:D727)</f>
        <v>14563</v>
      </c>
      <c r="E729" s="65">
        <f>SUM(B729:D729)</f>
        <v>42413</v>
      </c>
      <c r="F729" s="1">
        <f>+SUM(F726:F727)</f>
        <v>14722</v>
      </c>
      <c r="G729" s="1">
        <f>+SUM(G726:G727)</f>
        <v>15177</v>
      </c>
      <c r="H729" s="1">
        <f>+SUM(H726:H727)</f>
        <v>15330</v>
      </c>
      <c r="I729" s="65">
        <f>SUM(F729:H729)</f>
        <v>45229</v>
      </c>
      <c r="J729" s="1">
        <f>+SUM(J726:J727)</f>
        <v>15724</v>
      </c>
      <c r="K729" s="1">
        <f>+SUM(K726:K727)</f>
        <v>15270</v>
      </c>
      <c r="L729" s="1">
        <f>+SUM(L726:L727)</f>
        <v>14530</v>
      </c>
      <c r="M729" s="65">
        <f>SUM(J729:L729)</f>
        <v>45524</v>
      </c>
      <c r="N729" s="1">
        <f>+SUM(N726:N727)</f>
        <v>6073</v>
      </c>
      <c r="O729" s="1">
        <f>+SUM(O726:O727)</f>
        <v>275</v>
      </c>
      <c r="P729" s="1">
        <f>+SUM(P726:P727)</f>
        <v>271</v>
      </c>
      <c r="Q729" s="65">
        <f>SUM(N729:P729)</f>
        <v>6619</v>
      </c>
      <c r="R729" s="65">
        <f>+E729+I729+M729+Q729</f>
        <v>139785</v>
      </c>
    </row>
    <row r="730" spans="1:18" ht="15.75" customHeight="1" x14ac:dyDescent="0.3">
      <c r="A730" s="17" t="s">
        <v>39</v>
      </c>
      <c r="B730" s="1">
        <f>(B729/B10)/1.983</f>
        <v>227.15663787353796</v>
      </c>
      <c r="C730" s="1">
        <f>(C729/C10)/1.983</f>
        <v>250.09005114905267</v>
      </c>
      <c r="D730" s="1">
        <f>(D729/D10)/1.983</f>
        <v>236.90075317619116</v>
      </c>
      <c r="E730" s="59" t="s">
        <v>7</v>
      </c>
      <c r="F730" s="1">
        <f>(F729/F10)/1.983</f>
        <v>247.47016305261388</v>
      </c>
      <c r="G730" s="1">
        <f>(G729/G10)/1.983</f>
        <v>246.88887804401929</v>
      </c>
      <c r="H730" s="1">
        <f>(H729/H10)/1.983</f>
        <v>257.69036812909729</v>
      </c>
      <c r="I730" s="59" t="s">
        <v>7</v>
      </c>
      <c r="J730" s="1">
        <f>(J729/J10)/1.983</f>
        <v>255.78709352073267</v>
      </c>
      <c r="K730" s="1">
        <f>(K729/K10)/1.983</f>
        <v>248.40173734810404</v>
      </c>
      <c r="L730" s="1">
        <f>(L729/L10)/1.983</f>
        <v>244.24272987056645</v>
      </c>
      <c r="M730" s="59" t="s">
        <v>7</v>
      </c>
      <c r="N730" s="1">
        <f>(N729/N10)/1.983</f>
        <v>98.791339287166721</v>
      </c>
      <c r="O730" s="1">
        <f>(O729/O10)/1.983</f>
        <v>4.6226256513699777</v>
      </c>
      <c r="P730" s="1">
        <f>(P729/P10)/1.983</f>
        <v>4.4084394774941842</v>
      </c>
      <c r="Q730" s="59" t="s">
        <v>7</v>
      </c>
      <c r="R730" s="59" t="s">
        <v>7</v>
      </c>
    </row>
    <row r="731" spans="1:18" ht="15.75" customHeight="1" x14ac:dyDescent="0.3">
      <c r="A731" s="17" t="s">
        <v>581</v>
      </c>
      <c r="B731" s="1">
        <f>B729+B741</f>
        <v>17899</v>
      </c>
      <c r="C731" s="1">
        <f>C729+C741</f>
        <v>17908</v>
      </c>
      <c r="D731" s="1">
        <f>D729+D741</f>
        <v>18697</v>
      </c>
      <c r="E731" s="59">
        <f>SUM(B731:D731)</f>
        <v>54504</v>
      </c>
      <c r="F731" s="1">
        <f>F729+F741</f>
        <v>18856</v>
      </c>
      <c r="G731" s="1">
        <f>G729+G741</f>
        <v>19399</v>
      </c>
      <c r="H731" s="1">
        <f>H729+H741</f>
        <v>19498</v>
      </c>
      <c r="I731" s="59">
        <f>SUM(F731:H731)</f>
        <v>57753</v>
      </c>
      <c r="J731" s="1">
        <f>J729+J741</f>
        <v>19932</v>
      </c>
      <c r="K731" s="1">
        <f>K729+K741</f>
        <v>19849</v>
      </c>
      <c r="L731" s="1">
        <f>L729+L741</f>
        <v>19074</v>
      </c>
      <c r="M731" s="59">
        <f>SUM(J731:L731)</f>
        <v>58855</v>
      </c>
      <c r="N731" s="1">
        <f>N729+N741</f>
        <v>9835</v>
      </c>
      <c r="O731" s="1">
        <f>O729+O741</f>
        <v>3745</v>
      </c>
      <c r="P731" s="1">
        <f>P729+P741</f>
        <v>3252</v>
      </c>
      <c r="Q731" s="59">
        <f>SUM(N731:P731)</f>
        <v>16832</v>
      </c>
      <c r="R731" s="59">
        <f>+E731+I731+M731+Q731</f>
        <v>187944</v>
      </c>
    </row>
    <row r="732" spans="1:18" ht="16.5" customHeight="1" thickBot="1" x14ac:dyDescent="0.35">
      <c r="A732" s="24" t="s">
        <v>582</v>
      </c>
      <c r="B732" s="25">
        <f>(B731/B10)/1.983</f>
        <v>291.16848047110113</v>
      </c>
      <c r="C732" s="25">
        <f>(C731/C10)/1.983</f>
        <v>322.52719544701387</v>
      </c>
      <c r="D732" s="25">
        <f>(D731/D10)/1.983</f>
        <v>304.14978933840871</v>
      </c>
      <c r="E732" s="88" t="s">
        <v>7</v>
      </c>
      <c r="F732" s="25">
        <f>(F731/F10)/1.983</f>
        <v>316.96083375357199</v>
      </c>
      <c r="G732" s="25">
        <f>(G731/G10)/1.983</f>
        <v>315.56943698859658</v>
      </c>
      <c r="H732" s="25">
        <f>(H731/H10)/1.983</f>
        <v>327.75256345604299</v>
      </c>
      <c r="I732" s="88" t="s">
        <v>7</v>
      </c>
      <c r="J732" s="25">
        <f>(J731/J10)/1.983</f>
        <v>324.23991020448</v>
      </c>
      <c r="K732" s="25">
        <f>(K731/K10)/1.983</f>
        <v>322.88972394384524</v>
      </c>
      <c r="L732" s="25">
        <f>(L731/L10)/1.983</f>
        <v>320.62531517902164</v>
      </c>
      <c r="M732" s="88" t="s">
        <v>7</v>
      </c>
      <c r="N732" s="25">
        <f>(N731/N10)/1.983</f>
        <v>159.98893823304539</v>
      </c>
      <c r="O732" s="25">
        <f>(O731/O10)/1.983</f>
        <v>62.951756597747519</v>
      </c>
      <c r="P732" s="25">
        <f>(P731/P10)/1.983</f>
        <v>52.90127372993021</v>
      </c>
      <c r="Q732" s="88" t="s">
        <v>7</v>
      </c>
      <c r="R732" s="88" t="s">
        <v>7</v>
      </c>
    </row>
    <row r="733" spans="1:18" ht="15.75" customHeight="1" x14ac:dyDescent="0.3">
      <c r="A733" s="28"/>
      <c r="B733" s="1"/>
      <c r="C733" s="1"/>
      <c r="D733" s="1"/>
      <c r="E733" s="1"/>
      <c r="F733" s="1"/>
      <c r="G733" s="1"/>
      <c r="H733" s="1"/>
      <c r="I733" s="1"/>
      <c r="J733" s="1"/>
      <c r="K733" s="1"/>
      <c r="L733" s="1"/>
      <c r="M733" s="1"/>
      <c r="N733" s="1"/>
      <c r="O733" s="1"/>
      <c r="P733" s="1"/>
      <c r="Q733" s="1"/>
      <c r="R733" s="28"/>
    </row>
    <row r="734" spans="1:18" ht="15.75" customHeight="1" thickBot="1" x14ac:dyDescent="0.35">
      <c r="A734" s="28"/>
      <c r="B734" s="1"/>
      <c r="C734" s="1"/>
      <c r="D734" s="1"/>
      <c r="E734" s="1"/>
      <c r="F734" s="1"/>
      <c r="G734" s="1"/>
      <c r="H734" s="1"/>
      <c r="I734" s="1"/>
      <c r="J734" s="1"/>
      <c r="K734" s="1"/>
      <c r="L734" s="1"/>
      <c r="M734" s="1"/>
      <c r="N734" s="1"/>
      <c r="O734" s="1"/>
      <c r="P734" s="1"/>
      <c r="Q734" s="1"/>
      <c r="R734" s="28"/>
    </row>
    <row r="735" spans="1:18" ht="16.5" customHeight="1" thickBot="1" x14ac:dyDescent="0.35">
      <c r="A735" s="145" t="s">
        <v>583</v>
      </c>
      <c r="B735" s="32" t="s">
        <v>36</v>
      </c>
      <c r="C735" s="33" t="s">
        <v>9</v>
      </c>
      <c r="D735" s="33" t="s">
        <v>10</v>
      </c>
      <c r="E735" s="12" t="s">
        <v>11</v>
      </c>
      <c r="F735" s="33" t="s">
        <v>12</v>
      </c>
      <c r="G735" s="33" t="s">
        <v>13</v>
      </c>
      <c r="H735" s="33" t="s">
        <v>14</v>
      </c>
      <c r="I735" s="34" t="s">
        <v>15</v>
      </c>
      <c r="J735" s="33" t="s">
        <v>16</v>
      </c>
      <c r="K735" s="33" t="s">
        <v>17</v>
      </c>
      <c r="L735" s="33" t="s">
        <v>18</v>
      </c>
      <c r="M735" s="34" t="s">
        <v>19</v>
      </c>
      <c r="N735" s="33" t="s">
        <v>20</v>
      </c>
      <c r="O735" s="33" t="s">
        <v>21</v>
      </c>
      <c r="P735" s="33" t="s">
        <v>22</v>
      </c>
      <c r="Q735" s="34" t="s">
        <v>23</v>
      </c>
      <c r="R735" s="35" t="s">
        <v>24</v>
      </c>
    </row>
    <row r="736" spans="1:18" ht="16.5" customHeight="1" thickBot="1" x14ac:dyDescent="0.35">
      <c r="A736" s="42"/>
      <c r="B736" s="37"/>
      <c r="C736" s="37"/>
      <c r="D736" s="37"/>
      <c r="E736" s="38"/>
      <c r="F736" s="37"/>
      <c r="G736" s="37"/>
      <c r="H736" s="37"/>
      <c r="I736" s="38"/>
      <c r="J736" s="37"/>
      <c r="K736" s="37"/>
      <c r="L736" s="37"/>
      <c r="M736" s="38"/>
      <c r="N736" s="37"/>
      <c r="O736" s="37"/>
      <c r="P736" s="37"/>
      <c r="Q736" s="38"/>
      <c r="R736" s="42"/>
    </row>
    <row r="737" spans="1:18" ht="16.5" customHeight="1" thickBot="1" x14ac:dyDescent="0.35">
      <c r="A737" s="40" t="s">
        <v>37</v>
      </c>
      <c r="B737" s="25">
        <v>2</v>
      </c>
      <c r="C737" s="25">
        <v>3</v>
      </c>
      <c r="D737" s="25">
        <v>5</v>
      </c>
      <c r="E737" s="59">
        <f>SUM(B737:D737)</f>
        <v>10</v>
      </c>
      <c r="F737" s="25">
        <v>7</v>
      </c>
      <c r="G737" s="25">
        <v>8</v>
      </c>
      <c r="H737" s="25">
        <v>9</v>
      </c>
      <c r="I737" s="59">
        <f>SUM(F737:H737)</f>
        <v>24</v>
      </c>
      <c r="J737" s="25">
        <v>7</v>
      </c>
      <c r="K737" s="25">
        <v>6</v>
      </c>
      <c r="L737" s="25">
        <v>6</v>
      </c>
      <c r="M737" s="59">
        <f>SUM(J737:L737)</f>
        <v>19</v>
      </c>
      <c r="N737" s="25">
        <v>5</v>
      </c>
      <c r="O737" s="25">
        <v>3</v>
      </c>
      <c r="P737" s="25">
        <v>2</v>
      </c>
      <c r="Q737" s="59">
        <f>SUM(N737:P737)</f>
        <v>10</v>
      </c>
      <c r="R737" s="65">
        <f>+E737+I737+M737+Q737</f>
        <v>63</v>
      </c>
    </row>
    <row r="738" spans="1:18" ht="16.5" customHeight="1" thickBot="1" x14ac:dyDescent="0.35">
      <c r="A738" s="42"/>
      <c r="B738" s="37"/>
      <c r="C738" s="37"/>
      <c r="D738" s="37"/>
      <c r="E738" s="16"/>
      <c r="F738" s="37"/>
      <c r="G738" s="37"/>
      <c r="H738" s="37"/>
      <c r="I738" s="16"/>
      <c r="J738" s="37"/>
      <c r="K738" s="37"/>
      <c r="L738" s="37"/>
      <c r="M738" s="16"/>
      <c r="N738" s="37"/>
      <c r="O738" s="37"/>
      <c r="P738" s="37"/>
      <c r="Q738" s="16"/>
      <c r="R738" s="43"/>
    </row>
    <row r="739" spans="1:18" ht="15.75" customHeight="1" x14ac:dyDescent="0.3">
      <c r="A739" s="17" t="s">
        <v>507</v>
      </c>
      <c r="B739" s="1">
        <f>B737</f>
        <v>2</v>
      </c>
      <c r="C739" s="1">
        <f>C737</f>
        <v>3</v>
      </c>
      <c r="D739" s="1">
        <f>D737</f>
        <v>5</v>
      </c>
      <c r="E739" s="65">
        <f>SUM(B739:D739)</f>
        <v>10</v>
      </c>
      <c r="F739" s="1">
        <f>F737</f>
        <v>7</v>
      </c>
      <c r="G739" s="1">
        <f>G737</f>
        <v>8</v>
      </c>
      <c r="H739" s="1">
        <f>H737</f>
        <v>9</v>
      </c>
      <c r="I739" s="65">
        <f>SUM(F739:H739)</f>
        <v>24</v>
      </c>
      <c r="J739" s="1">
        <f>J737</f>
        <v>7</v>
      </c>
      <c r="K739" s="1">
        <f>K737</f>
        <v>6</v>
      </c>
      <c r="L739" s="1">
        <f>L737</f>
        <v>6</v>
      </c>
      <c r="M739" s="65">
        <f>SUM(J739:L739)</f>
        <v>19</v>
      </c>
      <c r="N739" s="1">
        <f>N737</f>
        <v>5</v>
      </c>
      <c r="O739" s="1">
        <f>O737</f>
        <v>3</v>
      </c>
      <c r="P739" s="1">
        <f>P737</f>
        <v>2</v>
      </c>
      <c r="Q739" s="65">
        <f>SUM(N739:P739)</f>
        <v>10</v>
      </c>
      <c r="R739" s="65">
        <f>+E739+I739+M739+Q739</f>
        <v>63</v>
      </c>
    </row>
    <row r="740" spans="1:18" ht="15.75" customHeight="1" x14ac:dyDescent="0.3">
      <c r="A740" s="17" t="s">
        <v>39</v>
      </c>
      <c r="B740" s="1">
        <f>(B739/B10)/1.983</f>
        <v>3.2534608689993978E-2</v>
      </c>
      <c r="C740" s="1">
        <f>(C739/C10)/1.983</f>
        <v>5.403068943159714E-2</v>
      </c>
      <c r="D740" s="1">
        <f>(D739/D10)/1.983</f>
        <v>8.1336521724984942E-2</v>
      </c>
      <c r="E740" s="59" t="s">
        <v>7</v>
      </c>
      <c r="F740" s="1">
        <f>(F739/F10)/1.983</f>
        <v>0.1176668347621449</v>
      </c>
      <c r="G740" s="1">
        <f>(G739/G10)/1.983</f>
        <v>0.13013843475997591</v>
      </c>
      <c r="H740" s="1">
        <f>(H739/H10)/1.983</f>
        <v>0.15128593040847199</v>
      </c>
      <c r="I740" s="59" t="s">
        <v>7</v>
      </c>
      <c r="J740" s="1">
        <f>(J739/J10)/1.983</f>
        <v>0.11387113041497893</v>
      </c>
      <c r="K740" s="1">
        <f>(K739/K10)/1.983</f>
        <v>9.7603826069981942E-2</v>
      </c>
      <c r="L740" s="1">
        <f>(L739/L10)/1.983</f>
        <v>0.10085728693898134</v>
      </c>
      <c r="M740" s="59" t="s">
        <v>7</v>
      </c>
      <c r="N740" s="1">
        <f>(N739/N10)/1.983</f>
        <v>8.1336521724984942E-2</v>
      </c>
      <c r="O740" s="1">
        <f>(O739/O10)/1.983</f>
        <v>5.0428643469490671E-2</v>
      </c>
      <c r="P740" s="1">
        <f>(P739/P10)/1.983</f>
        <v>3.2534608689993978E-2</v>
      </c>
      <c r="Q740" s="59" t="s">
        <v>7</v>
      </c>
      <c r="R740" s="59" t="s">
        <v>7</v>
      </c>
    </row>
    <row r="741" spans="1:18" ht="15.75" customHeight="1" x14ac:dyDescent="0.3">
      <c r="A741" s="17" t="s">
        <v>584</v>
      </c>
      <c r="B741" s="1">
        <f>B739+B775+B824-B770</f>
        <v>3935.0000000000005</v>
      </c>
      <c r="C741" s="1">
        <f>C739+C775+C824-C770</f>
        <v>4021.9999999999995</v>
      </c>
      <c r="D741" s="1">
        <f>D739+D775+D824-D770</f>
        <v>4134.0000000000009</v>
      </c>
      <c r="E741" s="59">
        <f>SUM(B741:D741)</f>
        <v>12091</v>
      </c>
      <c r="F741" s="1">
        <f>F739+F775+F824-F770</f>
        <v>4134</v>
      </c>
      <c r="G741" s="1">
        <f>G739+G775+G824-G770</f>
        <v>4222</v>
      </c>
      <c r="H741" s="1">
        <f>H739+H775+H824-H770</f>
        <v>4168.0000000000009</v>
      </c>
      <c r="I741" s="59">
        <f>SUM(F741:H741)</f>
        <v>12524</v>
      </c>
      <c r="J741" s="1">
        <f>J739+J775+J824-J770</f>
        <v>4207.9999999999991</v>
      </c>
      <c r="K741" s="1">
        <f>K739+K775+K824-K770</f>
        <v>4579</v>
      </c>
      <c r="L741" s="1">
        <f>L739+L775+L824-L770</f>
        <v>4544</v>
      </c>
      <c r="M741" s="59">
        <f>SUM(J741:L741)</f>
        <v>13331</v>
      </c>
      <c r="N741" s="1">
        <f>N739+N775+N824-N770</f>
        <v>3761.9999999999995</v>
      </c>
      <c r="O741" s="1">
        <f>O739+O775+O824-O770</f>
        <v>3470</v>
      </c>
      <c r="P741" s="1">
        <f>P739+P775+P824-P770</f>
        <v>2981</v>
      </c>
      <c r="Q741" s="59">
        <f>SUM(N741:P741)</f>
        <v>10213</v>
      </c>
      <c r="R741" s="59">
        <f>+E741+I741+M741+Q741</f>
        <v>48159</v>
      </c>
    </row>
    <row r="742" spans="1:18" ht="16.5" customHeight="1" thickBot="1" x14ac:dyDescent="0.35">
      <c r="A742" s="24" t="s">
        <v>585</v>
      </c>
      <c r="B742" s="25">
        <f>(B741/B10)/1.983</f>
        <v>64.01184259756316</v>
      </c>
      <c r="C742" s="25">
        <f>(C741/C10)/1.983</f>
        <v>72.43714429796124</v>
      </c>
      <c r="D742" s="25">
        <f>(D741/D10)/1.983</f>
        <v>67.249036162217564</v>
      </c>
      <c r="E742" s="88" t="s">
        <v>7</v>
      </c>
      <c r="F742" s="25">
        <f>(F741/F10)/1.983</f>
        <v>69.490670700958148</v>
      </c>
      <c r="G742" s="25">
        <f>(G741/G10)/1.983</f>
        <v>68.680558944577285</v>
      </c>
      <c r="H742" s="25">
        <f>(H741/H10)/1.983</f>
        <v>70.062195326945712</v>
      </c>
      <c r="I742" s="88" t="s">
        <v>7</v>
      </c>
      <c r="J742" s="25">
        <f>(J741/J10)/1.983</f>
        <v>68.452816683747329</v>
      </c>
      <c r="K742" s="25">
        <f>(K741/K10)/1.983</f>
        <v>74.487986595741219</v>
      </c>
      <c r="L742" s="25">
        <f>(L741/L10)/1.983</f>
        <v>76.382585308455205</v>
      </c>
      <c r="M742" s="88" t="s">
        <v>7</v>
      </c>
      <c r="N742" s="25">
        <f>(N741/N10)/1.983</f>
        <v>61.197598945878667</v>
      </c>
      <c r="O742" s="25">
        <f>(O741/O10)/1.983</f>
        <v>58.329130946377539</v>
      </c>
      <c r="P742" s="25">
        <f>(P741/P10)/1.983</f>
        <v>48.492834252436026</v>
      </c>
      <c r="Q742" s="88" t="s">
        <v>7</v>
      </c>
      <c r="R742" s="88" t="s">
        <v>7</v>
      </c>
    </row>
    <row r="743" spans="1:18" ht="15.75" customHeight="1" x14ac:dyDescent="0.3">
      <c r="A743" s="28"/>
      <c r="B743" s="1"/>
      <c r="C743" s="1"/>
      <c r="D743" s="1"/>
      <c r="E743" s="1"/>
      <c r="F743" s="1"/>
      <c r="G743" s="1"/>
      <c r="H743" s="1"/>
      <c r="I743" s="1"/>
      <c r="J743" s="1"/>
      <c r="K743" s="1"/>
      <c r="L743" s="1"/>
      <c r="M743" s="1"/>
      <c r="N743" s="1"/>
      <c r="O743" s="1"/>
      <c r="P743" s="1"/>
      <c r="Q743" s="1"/>
      <c r="R743" s="28"/>
    </row>
    <row r="744" spans="1:18" ht="15.75" customHeight="1" thickBot="1" x14ac:dyDescent="0.35">
      <c r="A744" s="28"/>
      <c r="B744" s="1"/>
      <c r="C744" s="1"/>
      <c r="D744" s="1"/>
      <c r="E744" s="1"/>
      <c r="F744" s="1"/>
      <c r="G744" s="1"/>
      <c r="H744" s="1"/>
      <c r="I744" s="1"/>
      <c r="J744" s="1"/>
      <c r="K744" s="1"/>
      <c r="L744" s="1"/>
      <c r="M744" s="1"/>
      <c r="N744" s="1"/>
      <c r="O744" s="1"/>
      <c r="P744" s="1"/>
      <c r="Q744" s="1"/>
      <c r="R744" s="28"/>
    </row>
    <row r="745" spans="1:18" ht="16.5" customHeight="1" thickBot="1" x14ac:dyDescent="0.35">
      <c r="A745" s="145" t="s">
        <v>586</v>
      </c>
      <c r="B745" s="32" t="s">
        <v>36</v>
      </c>
      <c r="C745" s="33" t="s">
        <v>9</v>
      </c>
      <c r="D745" s="33" t="s">
        <v>10</v>
      </c>
      <c r="E745" s="34" t="s">
        <v>11</v>
      </c>
      <c r="F745" s="33" t="s">
        <v>12</v>
      </c>
      <c r="G745" s="33" t="s">
        <v>13</v>
      </c>
      <c r="H745" s="33" t="s">
        <v>14</v>
      </c>
      <c r="I745" s="34" t="s">
        <v>15</v>
      </c>
      <c r="J745" s="33" t="s">
        <v>16</v>
      </c>
      <c r="K745" s="33" t="s">
        <v>17</v>
      </c>
      <c r="L745" s="33" t="s">
        <v>18</v>
      </c>
      <c r="M745" s="34" t="s">
        <v>19</v>
      </c>
      <c r="N745" s="33" t="s">
        <v>20</v>
      </c>
      <c r="O745" s="33" t="s">
        <v>21</v>
      </c>
      <c r="P745" s="33" t="s">
        <v>22</v>
      </c>
      <c r="Q745" s="34" t="s">
        <v>23</v>
      </c>
      <c r="R745" s="155" t="s">
        <v>24</v>
      </c>
    </row>
    <row r="746" spans="1:18" ht="16.5" customHeight="1" thickBot="1" x14ac:dyDescent="0.35">
      <c r="A746" s="42"/>
      <c r="B746" s="37"/>
      <c r="C746" s="37"/>
      <c r="D746" s="37"/>
      <c r="E746" s="156"/>
      <c r="F746" s="37"/>
      <c r="G746" s="37"/>
      <c r="H746" s="37"/>
      <c r="I746" s="156"/>
      <c r="J746" s="37"/>
      <c r="K746" s="37"/>
      <c r="L746" s="37"/>
      <c r="M746" s="156"/>
      <c r="N746" s="37"/>
      <c r="O746" s="37"/>
      <c r="P746" s="37"/>
      <c r="Q746" s="156"/>
      <c r="R746" s="39"/>
    </row>
    <row r="747" spans="1:18" ht="15.75" customHeight="1" x14ac:dyDescent="0.3">
      <c r="A747" s="17" t="s">
        <v>45</v>
      </c>
      <c r="B747" s="1" t="s">
        <v>7</v>
      </c>
      <c r="C747" s="1" t="s">
        <v>7</v>
      </c>
      <c r="D747" s="1" t="s">
        <v>7</v>
      </c>
      <c r="E747" s="59" t="s">
        <v>7</v>
      </c>
      <c r="F747" s="1" t="s">
        <v>7</v>
      </c>
      <c r="G747" s="1" t="s">
        <v>7</v>
      </c>
      <c r="H747" s="1" t="s">
        <v>7</v>
      </c>
      <c r="I747" s="59" t="s">
        <v>7</v>
      </c>
      <c r="J747" s="1" t="s">
        <v>7</v>
      </c>
      <c r="K747" s="1" t="s">
        <v>7</v>
      </c>
      <c r="L747" s="1" t="s">
        <v>7</v>
      </c>
      <c r="M747" s="59" t="s">
        <v>7</v>
      </c>
      <c r="N747" s="1" t="s">
        <v>7</v>
      </c>
      <c r="O747" s="1" t="s">
        <v>7</v>
      </c>
      <c r="P747" s="1" t="s">
        <v>7</v>
      </c>
      <c r="Q747" s="59" t="s">
        <v>7</v>
      </c>
      <c r="R747" s="59" t="s">
        <v>7</v>
      </c>
    </row>
    <row r="748" spans="1:18" ht="15.75" customHeight="1" x14ac:dyDescent="0.3">
      <c r="A748" s="17" t="s">
        <v>46</v>
      </c>
      <c r="B748" s="1"/>
      <c r="C748" s="1"/>
      <c r="D748" s="1"/>
      <c r="E748" s="59" t="s">
        <v>7</v>
      </c>
      <c r="F748" s="1"/>
      <c r="G748" s="1"/>
      <c r="H748" s="1"/>
      <c r="I748" s="59" t="s">
        <v>7</v>
      </c>
      <c r="J748" s="1"/>
      <c r="K748" s="1"/>
      <c r="L748" s="1"/>
      <c r="M748" s="59" t="s">
        <v>7</v>
      </c>
      <c r="N748" s="1"/>
      <c r="O748" s="1"/>
      <c r="P748" s="1"/>
      <c r="Q748" s="59" t="s">
        <v>7</v>
      </c>
      <c r="R748" s="59" t="s">
        <v>7</v>
      </c>
    </row>
    <row r="749" spans="1:18" ht="15.75" customHeight="1" x14ac:dyDescent="0.3">
      <c r="A749" s="74" t="s">
        <v>587</v>
      </c>
      <c r="B749" s="1"/>
      <c r="C749" s="1"/>
      <c r="D749" s="1"/>
      <c r="E749" s="59">
        <f>SUM(B749:D749)</f>
        <v>0</v>
      </c>
      <c r="F749" s="1"/>
      <c r="G749" s="1"/>
      <c r="H749" s="1"/>
      <c r="I749" s="59">
        <f>SUM(F749:H749)</f>
        <v>0</v>
      </c>
      <c r="J749" s="1"/>
      <c r="K749" s="1"/>
      <c r="L749" s="1"/>
      <c r="M749" s="59">
        <f>SUM(J749:L749)</f>
        <v>0</v>
      </c>
      <c r="N749" s="1"/>
      <c r="O749" s="1"/>
      <c r="P749" s="1"/>
      <c r="Q749" s="59">
        <f>SUM(N749:P749)</f>
        <v>0</v>
      </c>
      <c r="R749" s="59">
        <f>+E749+I749+M749+Q749</f>
        <v>0</v>
      </c>
    </row>
    <row r="750" spans="1:18" ht="15.75" customHeight="1" x14ac:dyDescent="0.3">
      <c r="A750" s="17" t="s">
        <v>47</v>
      </c>
      <c r="B750" s="1"/>
      <c r="C750" s="1"/>
      <c r="D750" s="1"/>
      <c r="E750" s="59" t="s">
        <v>7</v>
      </c>
      <c r="F750" s="1"/>
      <c r="G750" s="1"/>
      <c r="H750" s="1"/>
      <c r="I750" s="59" t="s">
        <v>7</v>
      </c>
      <c r="J750" s="1"/>
      <c r="K750" s="1"/>
      <c r="L750" s="1"/>
      <c r="M750" s="59" t="s">
        <v>7</v>
      </c>
      <c r="N750" s="1"/>
      <c r="O750" s="1"/>
      <c r="P750" s="1"/>
      <c r="Q750" s="59" t="s">
        <v>7</v>
      </c>
      <c r="R750" s="59" t="s">
        <v>7</v>
      </c>
    </row>
    <row r="751" spans="1:18" ht="15.75" customHeight="1" x14ac:dyDescent="0.3">
      <c r="A751" s="17" t="s">
        <v>49</v>
      </c>
      <c r="B751" s="1"/>
      <c r="C751" s="1"/>
      <c r="D751" s="1"/>
      <c r="E751" s="59" t="s">
        <v>7</v>
      </c>
      <c r="F751" s="1"/>
      <c r="G751" s="1"/>
      <c r="H751" s="1"/>
      <c r="I751" s="59" t="s">
        <v>7</v>
      </c>
      <c r="J751" s="1"/>
      <c r="K751" s="1"/>
      <c r="L751" s="1"/>
      <c r="M751" s="59" t="s">
        <v>7</v>
      </c>
      <c r="N751" s="1"/>
      <c r="O751" s="1"/>
      <c r="P751" s="1"/>
      <c r="Q751" s="59" t="s">
        <v>7</v>
      </c>
      <c r="R751" s="59" t="s">
        <v>7</v>
      </c>
    </row>
    <row r="752" spans="1:18" ht="15.75" customHeight="1" thickBot="1" x14ac:dyDescent="0.35">
      <c r="A752" s="17" t="s">
        <v>51</v>
      </c>
      <c r="B752" s="1"/>
      <c r="C752" s="1"/>
      <c r="D752" s="1"/>
      <c r="E752" s="59" t="s">
        <v>7</v>
      </c>
      <c r="F752" s="1"/>
      <c r="G752" s="1"/>
      <c r="H752" s="1"/>
      <c r="I752" s="59" t="s">
        <v>7</v>
      </c>
      <c r="J752" s="1"/>
      <c r="K752" s="1"/>
      <c r="L752" s="1"/>
      <c r="M752" s="59" t="s">
        <v>7</v>
      </c>
      <c r="N752" s="1"/>
      <c r="O752" s="1"/>
      <c r="P752" s="1"/>
      <c r="Q752" s="59" t="s">
        <v>7</v>
      </c>
      <c r="R752" s="59" t="s">
        <v>7</v>
      </c>
    </row>
    <row r="753" spans="1:18" ht="16.5" customHeight="1" thickBot="1" x14ac:dyDescent="0.35">
      <c r="A753" s="62" t="s">
        <v>52</v>
      </c>
      <c r="B753" s="100">
        <f>SUM(B747:B752)</f>
        <v>0</v>
      </c>
      <c r="C753" s="101">
        <f>SUM(C747:C752)</f>
        <v>0</v>
      </c>
      <c r="D753" s="101">
        <f>SUM(D747:D752)</f>
        <v>0</v>
      </c>
      <c r="E753" s="64">
        <f>SUM(B753:D753)</f>
        <v>0</v>
      </c>
      <c r="F753" s="101">
        <f>SUM(F747:F752)</f>
        <v>0</v>
      </c>
      <c r="G753" s="101">
        <f>SUM(G747:G752)</f>
        <v>0</v>
      </c>
      <c r="H753" s="101">
        <f>SUM(H747:H752)</f>
        <v>0</v>
      </c>
      <c r="I753" s="64">
        <f>SUM(F753:H753)</f>
        <v>0</v>
      </c>
      <c r="J753" s="101">
        <f>SUM(J747:J752)</f>
        <v>0</v>
      </c>
      <c r="K753" s="101">
        <f>SUM(K747:K752)</f>
        <v>0</v>
      </c>
      <c r="L753" s="101">
        <f>SUM(L747:L752)</f>
        <v>0</v>
      </c>
      <c r="M753" s="64">
        <f>SUM(J753:L753)</f>
        <v>0</v>
      </c>
      <c r="N753" s="101">
        <f>SUM(N747:N752)</f>
        <v>0</v>
      </c>
      <c r="O753" s="101">
        <f>SUM(O747:O752)</f>
        <v>0</v>
      </c>
      <c r="P753" s="101">
        <f>SUM(P747:P752)</f>
        <v>0</v>
      </c>
      <c r="Q753" s="64">
        <f>SUM(N753:P753)</f>
        <v>0</v>
      </c>
      <c r="R753" s="64">
        <f>+E753+I753+M753+Q753</f>
        <v>0</v>
      </c>
    </row>
    <row r="754" spans="1:18" ht="15.75" customHeight="1" x14ac:dyDescent="0.3">
      <c r="A754" s="17" t="s">
        <v>53</v>
      </c>
      <c r="B754" s="1"/>
      <c r="C754" s="1"/>
      <c r="D754" s="1"/>
      <c r="E754" s="59" t="s">
        <v>7</v>
      </c>
      <c r="F754" s="1"/>
      <c r="G754" s="1"/>
      <c r="H754" s="1"/>
      <c r="I754" s="59" t="s">
        <v>7</v>
      </c>
      <c r="J754" s="1"/>
      <c r="K754" s="1"/>
      <c r="L754" s="1"/>
      <c r="M754" s="59" t="s">
        <v>7</v>
      </c>
      <c r="N754" s="1"/>
      <c r="O754" s="1"/>
      <c r="P754" s="1"/>
      <c r="Q754" s="59" t="s">
        <v>7</v>
      </c>
      <c r="R754" s="59" t="s">
        <v>7</v>
      </c>
    </row>
    <row r="755" spans="1:18" ht="15.75" customHeight="1" x14ac:dyDescent="0.3">
      <c r="A755" s="17" t="s">
        <v>55</v>
      </c>
      <c r="B755" s="1"/>
      <c r="C755" s="1"/>
      <c r="D755" s="1"/>
      <c r="E755" s="59" t="s">
        <v>7</v>
      </c>
      <c r="F755" s="1"/>
      <c r="G755" s="1"/>
      <c r="H755" s="1"/>
      <c r="I755" s="59" t="s">
        <v>7</v>
      </c>
      <c r="J755" s="1"/>
      <c r="K755" s="1"/>
      <c r="L755" s="1"/>
      <c r="M755" s="59" t="s">
        <v>7</v>
      </c>
      <c r="N755" s="1"/>
      <c r="O755" s="1"/>
      <c r="P755" s="1"/>
      <c r="Q755" s="59" t="s">
        <v>7</v>
      </c>
      <c r="R755" s="59" t="s">
        <v>7</v>
      </c>
    </row>
    <row r="756" spans="1:18" ht="15.75" customHeight="1" thickBot="1" x14ac:dyDescent="0.35">
      <c r="A756" s="17" t="s">
        <v>56</v>
      </c>
      <c r="B756" s="1"/>
      <c r="C756" s="1"/>
      <c r="D756" s="1"/>
      <c r="E756" s="59" t="s">
        <v>7</v>
      </c>
      <c r="F756" s="1"/>
      <c r="G756" s="1"/>
      <c r="H756" s="1"/>
      <c r="I756" s="59" t="s">
        <v>7</v>
      </c>
      <c r="J756" s="1"/>
      <c r="K756" s="1"/>
      <c r="L756" s="1"/>
      <c r="M756" s="59" t="s">
        <v>7</v>
      </c>
      <c r="N756" s="1"/>
      <c r="O756" s="1"/>
      <c r="P756" s="1"/>
      <c r="Q756" s="59" t="s">
        <v>7</v>
      </c>
      <c r="R756" s="59" t="s">
        <v>7</v>
      </c>
    </row>
    <row r="757" spans="1:18" ht="16.5" customHeight="1" thickBot="1" x14ac:dyDescent="0.35">
      <c r="A757" s="62" t="s">
        <v>57</v>
      </c>
      <c r="B757" s="100">
        <f>SUM(B754:B756)</f>
        <v>0</v>
      </c>
      <c r="C757" s="101">
        <f>SUM(C754:C756)</f>
        <v>0</v>
      </c>
      <c r="D757" s="101">
        <f>SUM(D754:D756)</f>
        <v>0</v>
      </c>
      <c r="E757" s="64">
        <f>SUM(B757:D757)</f>
        <v>0</v>
      </c>
      <c r="F757" s="101">
        <f>SUM(F754:F756)</f>
        <v>0</v>
      </c>
      <c r="G757" s="101">
        <f>SUM(G754:G756)</f>
        <v>0</v>
      </c>
      <c r="H757" s="101">
        <f>SUM(H754:H756)</f>
        <v>0</v>
      </c>
      <c r="I757" s="64">
        <f>SUM(F757:H757)</f>
        <v>0</v>
      </c>
      <c r="J757" s="101">
        <f>SUM(J754:J756)</f>
        <v>0</v>
      </c>
      <c r="K757" s="101">
        <f>SUM(K754:K756)</f>
        <v>0</v>
      </c>
      <c r="L757" s="101">
        <f>SUM(L754:L756)</f>
        <v>0</v>
      </c>
      <c r="M757" s="64">
        <f>SUM(J757:L757)</f>
        <v>0</v>
      </c>
      <c r="N757" s="101">
        <f>SUM(N754:N756)</f>
        <v>0</v>
      </c>
      <c r="O757" s="101">
        <f>SUM(O754:O756)</f>
        <v>0</v>
      </c>
      <c r="P757" s="101">
        <f>SUM(P754:P756)</f>
        <v>0</v>
      </c>
      <c r="Q757" s="64">
        <f>SUM(N757:P757)</f>
        <v>0</v>
      </c>
      <c r="R757" s="64">
        <f>+E757+I757+M757+Q757</f>
        <v>0</v>
      </c>
    </row>
    <row r="758" spans="1:18" ht="15.75" customHeight="1" x14ac:dyDescent="0.3">
      <c r="A758" s="17" t="s">
        <v>58</v>
      </c>
      <c r="B758" s="1"/>
      <c r="C758" s="1"/>
      <c r="D758" s="1"/>
      <c r="E758" s="59" t="s">
        <v>7</v>
      </c>
      <c r="F758" s="1"/>
      <c r="G758" s="1"/>
      <c r="H758" s="1"/>
      <c r="I758" s="59" t="s">
        <v>7</v>
      </c>
      <c r="J758" s="1"/>
      <c r="K758" s="1"/>
      <c r="L758" s="1"/>
      <c r="M758" s="59" t="s">
        <v>7</v>
      </c>
      <c r="N758" s="1"/>
      <c r="O758" s="1"/>
      <c r="P758" s="1"/>
      <c r="Q758" s="59" t="s">
        <v>7</v>
      </c>
      <c r="R758" s="59" t="s">
        <v>7</v>
      </c>
    </row>
    <row r="759" spans="1:18" ht="15.75" customHeight="1" x14ac:dyDescent="0.3">
      <c r="A759" s="17" t="s">
        <v>59</v>
      </c>
      <c r="B759" s="1"/>
      <c r="C759" s="1"/>
      <c r="D759" s="1"/>
      <c r="E759" s="59" t="s">
        <v>7</v>
      </c>
      <c r="F759" s="1"/>
      <c r="G759" s="1"/>
      <c r="H759" s="1"/>
      <c r="I759" s="59" t="s">
        <v>7</v>
      </c>
      <c r="J759" s="1"/>
      <c r="K759" s="1"/>
      <c r="L759" s="1"/>
      <c r="M759" s="59" t="s">
        <v>7</v>
      </c>
      <c r="N759" s="1"/>
      <c r="O759" s="1"/>
      <c r="P759" s="1"/>
      <c r="Q759" s="59" t="s">
        <v>7</v>
      </c>
      <c r="R759" s="59" t="s">
        <v>7</v>
      </c>
    </row>
    <row r="760" spans="1:18" ht="15.75" customHeight="1" thickBot="1" x14ac:dyDescent="0.35">
      <c r="A760" s="17" t="s">
        <v>60</v>
      </c>
      <c r="B760" s="1"/>
      <c r="C760" s="1"/>
      <c r="D760" s="1"/>
      <c r="E760" s="59" t="s">
        <v>7</v>
      </c>
      <c r="F760" s="1"/>
      <c r="G760" s="1"/>
      <c r="H760" s="1"/>
      <c r="I760" s="59" t="s">
        <v>7</v>
      </c>
      <c r="J760" s="1"/>
      <c r="K760" s="1"/>
      <c r="L760" s="1"/>
      <c r="M760" s="59" t="s">
        <v>7</v>
      </c>
      <c r="N760" s="1"/>
      <c r="O760" s="1"/>
      <c r="P760" s="1"/>
      <c r="Q760" s="59" t="s">
        <v>7</v>
      </c>
      <c r="R760" s="59" t="s">
        <v>7</v>
      </c>
    </row>
    <row r="761" spans="1:18" ht="16.5" customHeight="1" thickBot="1" x14ac:dyDescent="0.35">
      <c r="A761" s="62" t="s">
        <v>61</v>
      </c>
      <c r="B761" s="100">
        <f>SUM(B758:B760)</f>
        <v>0</v>
      </c>
      <c r="C761" s="101">
        <f>SUM(C758:C760)</f>
        <v>0</v>
      </c>
      <c r="D761" s="101">
        <f>SUM(D758:D760)</f>
        <v>0</v>
      </c>
      <c r="E761" s="64">
        <f>SUM(B761:D761)</f>
        <v>0</v>
      </c>
      <c r="F761" s="101">
        <f>SUM(F758:F760)</f>
        <v>0</v>
      </c>
      <c r="G761" s="101">
        <f>SUM(G758:G760)</f>
        <v>0</v>
      </c>
      <c r="H761" s="101">
        <f>SUM(H758:H760)</f>
        <v>0</v>
      </c>
      <c r="I761" s="64">
        <f>SUM(F761:H761)</f>
        <v>0</v>
      </c>
      <c r="J761" s="101">
        <f>SUM(J758:J760)</f>
        <v>0</v>
      </c>
      <c r="K761" s="101">
        <f>SUM(K758:K760)</f>
        <v>0</v>
      </c>
      <c r="L761" s="101">
        <f>SUM(L758:L760)</f>
        <v>0</v>
      </c>
      <c r="M761" s="64">
        <f>SUM(J761:L761)</f>
        <v>0</v>
      </c>
      <c r="N761" s="101">
        <f>SUM(N758:N760)</f>
        <v>0</v>
      </c>
      <c r="O761" s="101">
        <f>SUM(O758:O760)</f>
        <v>0</v>
      </c>
      <c r="P761" s="101">
        <f>SUM(P758:P760)</f>
        <v>0</v>
      </c>
      <c r="Q761" s="64">
        <f>SUM(N761:P761)</f>
        <v>0</v>
      </c>
      <c r="R761" s="64">
        <f>+E761+I761+M761+Q761</f>
        <v>0</v>
      </c>
    </row>
    <row r="762" spans="1:18" ht="15.75" customHeight="1" x14ac:dyDescent="0.3">
      <c r="A762" s="17" t="s">
        <v>62</v>
      </c>
      <c r="B762" s="1"/>
      <c r="C762" s="1"/>
      <c r="D762" s="1"/>
      <c r="E762" s="59" t="s">
        <v>7</v>
      </c>
      <c r="F762" s="1"/>
      <c r="G762" s="1"/>
      <c r="H762" s="1"/>
      <c r="I762" s="59" t="s">
        <v>7</v>
      </c>
      <c r="J762" s="1"/>
      <c r="K762" s="1"/>
      <c r="L762" s="1"/>
      <c r="M762" s="59" t="s">
        <v>7</v>
      </c>
      <c r="N762" s="1"/>
      <c r="O762" s="1"/>
      <c r="P762" s="1"/>
      <c r="Q762" s="59" t="s">
        <v>7</v>
      </c>
      <c r="R762" s="59" t="s">
        <v>7</v>
      </c>
    </row>
    <row r="763" spans="1:18" ht="15.75" customHeight="1" x14ac:dyDescent="0.3">
      <c r="A763" s="17" t="s">
        <v>63</v>
      </c>
      <c r="B763" s="1"/>
      <c r="C763" s="1"/>
      <c r="D763" s="1"/>
      <c r="E763" s="59" t="s">
        <v>7</v>
      </c>
      <c r="F763" s="1"/>
      <c r="G763" s="1"/>
      <c r="H763" s="1"/>
      <c r="I763" s="59" t="s">
        <v>7</v>
      </c>
      <c r="J763" s="1"/>
      <c r="K763" s="1"/>
      <c r="L763" s="1"/>
      <c r="M763" s="59" t="s">
        <v>7</v>
      </c>
      <c r="N763" s="1"/>
      <c r="O763" s="1"/>
      <c r="P763" s="1"/>
      <c r="Q763" s="59" t="s">
        <v>7</v>
      </c>
      <c r="R763" s="59" t="s">
        <v>7</v>
      </c>
    </row>
    <row r="764" spans="1:18" ht="15.75" customHeight="1" x14ac:dyDescent="0.3">
      <c r="A764" s="17" t="s">
        <v>64</v>
      </c>
      <c r="B764" s="1"/>
      <c r="C764" s="1"/>
      <c r="D764" s="1"/>
      <c r="E764" s="59" t="s">
        <v>7</v>
      </c>
      <c r="F764" s="1"/>
      <c r="G764" s="1"/>
      <c r="H764" s="1"/>
      <c r="I764" s="59" t="s">
        <v>7</v>
      </c>
      <c r="J764" s="1"/>
      <c r="K764" s="1"/>
      <c r="L764" s="1"/>
      <c r="M764" s="59" t="s">
        <v>7</v>
      </c>
      <c r="N764" s="1"/>
      <c r="O764" s="1"/>
      <c r="P764" s="1"/>
      <c r="Q764" s="59" t="s">
        <v>7</v>
      </c>
      <c r="R764" s="59" t="s">
        <v>7</v>
      </c>
    </row>
    <row r="765" spans="1:18" ht="15.75" customHeight="1" x14ac:dyDescent="0.3">
      <c r="A765" s="17" t="s">
        <v>66</v>
      </c>
      <c r="B765" s="1"/>
      <c r="C765" s="1"/>
      <c r="D765" s="1"/>
      <c r="E765" s="59" t="s">
        <v>7</v>
      </c>
      <c r="F765" s="1"/>
      <c r="G765" s="1"/>
      <c r="H765" s="1"/>
      <c r="I765" s="59" t="s">
        <v>7</v>
      </c>
      <c r="J765" s="1"/>
      <c r="K765" s="1"/>
      <c r="L765" s="1"/>
      <c r="M765" s="59" t="s">
        <v>7</v>
      </c>
      <c r="N765" s="1"/>
      <c r="O765" s="1"/>
      <c r="P765" s="1"/>
      <c r="Q765" s="59" t="s">
        <v>7</v>
      </c>
      <c r="R765" s="59" t="s">
        <v>7</v>
      </c>
    </row>
    <row r="766" spans="1:18" ht="15.75" customHeight="1" thickBot="1" x14ac:dyDescent="0.35">
      <c r="A766" s="17" t="s">
        <v>67</v>
      </c>
      <c r="B766" s="1"/>
      <c r="C766" s="1"/>
      <c r="D766" s="1"/>
      <c r="E766" s="59" t="s">
        <v>7</v>
      </c>
      <c r="F766" s="1"/>
      <c r="G766" s="1"/>
      <c r="H766" s="1"/>
      <c r="I766" s="59" t="s">
        <v>7</v>
      </c>
      <c r="J766" s="1"/>
      <c r="K766" s="1"/>
      <c r="L766" s="1"/>
      <c r="M766" s="59" t="s">
        <v>7</v>
      </c>
      <c r="N766" s="1"/>
      <c r="O766" s="1"/>
      <c r="P766" s="1"/>
      <c r="Q766" s="59" t="s">
        <v>7</v>
      </c>
      <c r="R766" s="59" t="s">
        <v>7</v>
      </c>
    </row>
    <row r="767" spans="1:18" ht="16.5" customHeight="1" thickBot="1" x14ac:dyDescent="0.35">
      <c r="A767" s="62" t="s">
        <v>68</v>
      </c>
      <c r="B767" s="63">
        <f>SUM(B765:B766)</f>
        <v>0</v>
      </c>
      <c r="C767" s="63">
        <f>SUM(C765:C766)</f>
        <v>0</v>
      </c>
      <c r="D767" s="63">
        <f>SUM(D765:D766)</f>
        <v>0</v>
      </c>
      <c r="E767" s="65">
        <f>SUM(B767:D767)</f>
        <v>0</v>
      </c>
      <c r="F767" s="63">
        <f>SUM(F765:F766)</f>
        <v>0</v>
      </c>
      <c r="G767" s="63">
        <f>SUM(G765:G766)</f>
        <v>0</v>
      </c>
      <c r="H767" s="63">
        <f>SUM(H765:H766)</f>
        <v>0</v>
      </c>
      <c r="I767" s="65">
        <f>SUM(F767:H767)</f>
        <v>0</v>
      </c>
      <c r="J767" s="63">
        <f>SUM(J765:J766)</f>
        <v>0</v>
      </c>
      <c r="K767" s="63">
        <f>SUM(K765:K766)</f>
        <v>0</v>
      </c>
      <c r="L767" s="63">
        <f>SUM(L765:L766)</f>
        <v>0</v>
      </c>
      <c r="M767" s="65">
        <f>SUM(J767:L767)</f>
        <v>0</v>
      </c>
      <c r="N767" s="63">
        <f>SUM(N765:N766)</f>
        <v>0</v>
      </c>
      <c r="O767" s="63">
        <f>SUM(O765:O766)</f>
        <v>0</v>
      </c>
      <c r="P767" s="63">
        <f>SUM(P765:P766)</f>
        <v>0</v>
      </c>
      <c r="Q767" s="65">
        <f>SUM(N767:P767)</f>
        <v>0</v>
      </c>
      <c r="R767" s="64">
        <f>+E767+I767+M767+Q767</f>
        <v>0</v>
      </c>
    </row>
    <row r="768" spans="1:18" ht="16.5" customHeight="1" thickBot="1" x14ac:dyDescent="0.35">
      <c r="A768" s="62" t="s">
        <v>69</v>
      </c>
      <c r="B768" s="100">
        <f>SUM(B762:B766)</f>
        <v>0</v>
      </c>
      <c r="C768" s="101">
        <f>SUM(C762:C766)</f>
        <v>0</v>
      </c>
      <c r="D768" s="138">
        <f>SUM(D762:D766)</f>
        <v>0</v>
      </c>
      <c r="E768" s="65">
        <f>SUM(B768:D768)</f>
        <v>0</v>
      </c>
      <c r="F768" s="101">
        <f>SUM(F762:F766)</f>
        <v>0</v>
      </c>
      <c r="G768" s="101">
        <f>SUM(G762:G766)</f>
        <v>0</v>
      </c>
      <c r="H768" s="101">
        <f>SUM(H762:H766)</f>
        <v>0</v>
      </c>
      <c r="I768" s="65">
        <f>SUM(F768:H768)</f>
        <v>0</v>
      </c>
      <c r="J768" s="101">
        <f>SUM(J762:J766)</f>
        <v>0</v>
      </c>
      <c r="K768" s="101">
        <f>SUM(K762:K766)</f>
        <v>0</v>
      </c>
      <c r="L768" s="101">
        <f>SUM(L762:L766)</f>
        <v>0</v>
      </c>
      <c r="M768" s="65">
        <f>SUM(J768:L768)</f>
        <v>0</v>
      </c>
      <c r="N768" s="101">
        <f>SUM(N762:N766)</f>
        <v>0</v>
      </c>
      <c r="O768" s="101">
        <f>SUM(O762:O766)</f>
        <v>0</v>
      </c>
      <c r="P768" s="101">
        <f>SUM(P762:P766)</f>
        <v>0</v>
      </c>
      <c r="Q768" s="65">
        <f>SUM(N768:P768)</f>
        <v>0</v>
      </c>
      <c r="R768" s="64">
        <f>+E768+I768+M768+Q768</f>
        <v>0</v>
      </c>
    </row>
    <row r="769" spans="1:20" ht="16.5" customHeight="1" thickBot="1" x14ac:dyDescent="0.35">
      <c r="A769" s="62" t="s">
        <v>70</v>
      </c>
      <c r="B769" s="107">
        <f>+B753+B757+B761+B768</f>
        <v>0</v>
      </c>
      <c r="C769" s="63">
        <f>+C753+C757+C761+C768</f>
        <v>0</v>
      </c>
      <c r="D769" s="63">
        <f>+D753+D757+D761+D768</f>
        <v>0</v>
      </c>
      <c r="E769" s="64">
        <f>SUM(B769:D769)</f>
        <v>0</v>
      </c>
      <c r="F769" s="63">
        <f>+F753+F757+F761+F768</f>
        <v>0</v>
      </c>
      <c r="G769" s="63">
        <f>+G753+G757+G761+G768</f>
        <v>0</v>
      </c>
      <c r="H769" s="63">
        <f>+H753+H757+H761+H768</f>
        <v>0</v>
      </c>
      <c r="I769" s="64">
        <f>SUM(F769:H769)</f>
        <v>0</v>
      </c>
      <c r="J769" s="63">
        <f>+J753+J757+J761+J768</f>
        <v>0</v>
      </c>
      <c r="K769" s="63">
        <f>+K753+K757+K761+K768</f>
        <v>0</v>
      </c>
      <c r="L769" s="63">
        <f>+L753+L757+L761+L768</f>
        <v>0</v>
      </c>
      <c r="M769" s="64">
        <f>SUM(J769:L769)</f>
        <v>0</v>
      </c>
      <c r="N769" s="63">
        <f>+N753+N757+N761+N768</f>
        <v>0</v>
      </c>
      <c r="O769" s="63">
        <f>+O753+O757+O761+O768</f>
        <v>0</v>
      </c>
      <c r="P769" s="63">
        <f>+P753+P757+P761+P768</f>
        <v>0</v>
      </c>
      <c r="Q769" s="64">
        <f>SUM(N769:P769)</f>
        <v>0</v>
      </c>
      <c r="R769" s="88">
        <f>+E769+I769+M769+Q769</f>
        <v>0</v>
      </c>
    </row>
    <row r="770" spans="1:20" ht="15.75" customHeight="1" x14ac:dyDescent="0.3">
      <c r="A770" s="74" t="s">
        <v>588</v>
      </c>
      <c r="B770" s="1">
        <v>2652.8333333333335</v>
      </c>
      <c r="C770" s="1">
        <v>2781.6666666666665</v>
      </c>
      <c r="D770" s="1">
        <v>4554.666666666667</v>
      </c>
      <c r="E770" s="59">
        <f>SUM(B770:D770)</f>
        <v>9989.1666666666679</v>
      </c>
      <c r="F770" s="1">
        <v>4891</v>
      </c>
      <c r="G770" s="1">
        <v>4878</v>
      </c>
      <c r="H770" s="1">
        <v>5743.166666666667</v>
      </c>
      <c r="I770" s="59">
        <f>SUM(F770:H770)</f>
        <v>15512.166666666668</v>
      </c>
      <c r="J770" s="1">
        <v>5574.333333333333</v>
      </c>
      <c r="K770" s="1">
        <v>4865</v>
      </c>
      <c r="L770" s="1">
        <v>4044.6666666666665</v>
      </c>
      <c r="M770" s="59">
        <f>SUM(J770:L770)</f>
        <v>14483.999999999998</v>
      </c>
      <c r="N770" s="1">
        <v>3589.6666666666665</v>
      </c>
      <c r="O770" s="1">
        <v>3783.8</v>
      </c>
      <c r="P770" s="1">
        <v>3294.2</v>
      </c>
      <c r="Q770" s="59">
        <f>SUM(N770:P770)</f>
        <v>10667.666666666668</v>
      </c>
      <c r="R770" s="59">
        <f>+E770+I770+M770+Q770</f>
        <v>50653</v>
      </c>
    </row>
    <row r="771" spans="1:20" ht="15.75" customHeight="1" thickBot="1" x14ac:dyDescent="0.35">
      <c r="A771" s="74" t="s">
        <v>37</v>
      </c>
      <c r="B771" s="1">
        <v>0</v>
      </c>
      <c r="C771" s="1">
        <v>0</v>
      </c>
      <c r="D771" s="1">
        <v>0</v>
      </c>
      <c r="E771" s="59">
        <f>SUM(B771:D771)</f>
        <v>0</v>
      </c>
      <c r="F771" s="1">
        <v>0</v>
      </c>
      <c r="G771" s="1">
        <v>0</v>
      </c>
      <c r="H771" s="1">
        <v>0</v>
      </c>
      <c r="I771" s="59">
        <f>SUM(F771:H771)</f>
        <v>0</v>
      </c>
      <c r="J771" s="1">
        <v>0</v>
      </c>
      <c r="K771" s="1">
        <v>0</v>
      </c>
      <c r="L771" s="1">
        <v>0</v>
      </c>
      <c r="M771" s="59">
        <f>SUM(J771:L771)</f>
        <v>0</v>
      </c>
      <c r="N771" s="1">
        <v>0</v>
      </c>
      <c r="O771" s="1">
        <v>0</v>
      </c>
      <c r="P771" s="1">
        <v>0</v>
      </c>
      <c r="Q771" s="59">
        <f>SUM(N771:P771)</f>
        <v>0</v>
      </c>
      <c r="R771" s="59">
        <f>+E771+I771+M771+Q771</f>
        <v>0</v>
      </c>
    </row>
    <row r="772" spans="1:20" ht="16.5" customHeight="1" thickBot="1" x14ac:dyDescent="0.35">
      <c r="A772" s="154"/>
      <c r="B772" s="56"/>
      <c r="C772" s="56"/>
      <c r="D772" s="56"/>
      <c r="E772" s="64" t="s">
        <v>7</v>
      </c>
      <c r="F772" s="56"/>
      <c r="G772" s="56"/>
      <c r="H772" s="56"/>
      <c r="I772" s="64" t="s">
        <v>7</v>
      </c>
      <c r="J772" s="56"/>
      <c r="K772" s="56"/>
      <c r="L772" s="56"/>
      <c r="M772" s="64" t="s">
        <v>7</v>
      </c>
      <c r="N772" s="56"/>
      <c r="O772" s="56"/>
      <c r="P772" s="56"/>
      <c r="Q772" s="64"/>
      <c r="R772" s="64"/>
    </row>
    <row r="773" spans="1:20" ht="15.75" customHeight="1" x14ac:dyDescent="0.3">
      <c r="A773" s="17" t="s">
        <v>38</v>
      </c>
      <c r="B773" s="1">
        <f>SUM(B769:B771)</f>
        <v>2652.8333333333335</v>
      </c>
      <c r="C773" s="1">
        <f>SUM(C769:C771)</f>
        <v>2781.6666666666665</v>
      </c>
      <c r="D773" s="1">
        <f>SUM(D769:D771)</f>
        <v>4554.666666666667</v>
      </c>
      <c r="E773" s="65">
        <f>SUM(B773:D773)</f>
        <v>9989.1666666666679</v>
      </c>
      <c r="F773" s="1">
        <f>SUM(F769:F771)</f>
        <v>4891</v>
      </c>
      <c r="G773" s="1">
        <f>SUM(G769:G771)</f>
        <v>4878</v>
      </c>
      <c r="H773" s="1">
        <f>SUM(H769:H771)</f>
        <v>5743.166666666667</v>
      </c>
      <c r="I773" s="65">
        <f>SUM(F773:H773)</f>
        <v>15512.166666666668</v>
      </c>
      <c r="J773" s="1">
        <f>SUM(J769:J771)</f>
        <v>5574.333333333333</v>
      </c>
      <c r="K773" s="1">
        <f>SUM(K769:K771)</f>
        <v>4865</v>
      </c>
      <c r="L773" s="1">
        <f>SUM(L769:L771)</f>
        <v>4044.6666666666665</v>
      </c>
      <c r="M773" s="65">
        <f>SUM(J773:L773)</f>
        <v>14483.999999999998</v>
      </c>
      <c r="N773" s="1">
        <f>SUM(N769:N771)</f>
        <v>3589.6666666666665</v>
      </c>
      <c r="O773" s="1">
        <f>SUM(O769:O771)</f>
        <v>3783.8</v>
      </c>
      <c r="P773" s="1">
        <f>SUM(P769:P771)</f>
        <v>3294.2</v>
      </c>
      <c r="Q773" s="65">
        <f>SUM(N773:P773)</f>
        <v>10667.666666666668</v>
      </c>
      <c r="R773" s="65">
        <f>+E773+I773+M773+Q773</f>
        <v>50653</v>
      </c>
    </row>
    <row r="774" spans="1:20" ht="15.75" customHeight="1" x14ac:dyDescent="0.3">
      <c r="A774" s="17" t="s">
        <v>39</v>
      </c>
      <c r="B774" s="1">
        <f>(B773/B10)/1.983</f>
        <v>43.154447209886179</v>
      </c>
      <c r="C774" s="1">
        <f>(C773/C10)/1.983</f>
        <v>50.098455922964234</v>
      </c>
      <c r="D774" s="1">
        <f>(D773/D10)/1.983</f>
        <v>74.092148856679628</v>
      </c>
      <c r="E774" s="59" t="s">
        <v>7</v>
      </c>
      <c r="F774" s="1">
        <f>(F773/F10)/1.983</f>
        <v>82.215498403092951</v>
      </c>
      <c r="G774" s="1">
        <f>(G773/G10)/1.983</f>
        <v>79.351910594895315</v>
      </c>
      <c r="H774" s="1">
        <f>(H773/H10)/1.983</f>
        <v>96.540034739732164</v>
      </c>
      <c r="I774" s="59" t="s">
        <v>7</v>
      </c>
      <c r="J774" s="1">
        <f>(J773/J10)/1.983</f>
        <v>90.679376853794878</v>
      </c>
      <c r="K774" s="1">
        <f>(K773/K10)/1.983</f>
        <v>79.140435638410352</v>
      </c>
      <c r="L774" s="1">
        <f>(L773/L10)/1.983</f>
        <v>67.989017762088864</v>
      </c>
      <c r="M774" s="59" t="s">
        <v>7</v>
      </c>
      <c r="N774" s="1">
        <f>(N773/N10)/1.983</f>
        <v>58.394200163757532</v>
      </c>
      <c r="O774" s="1">
        <f>(O773/O10)/1.983</f>
        <v>63.603967053286269</v>
      </c>
      <c r="P774" s="1">
        <f>(P773/P10)/1.983</f>
        <v>53.587753973289082</v>
      </c>
      <c r="Q774" s="59" t="s">
        <v>7</v>
      </c>
      <c r="R774" s="59" t="s">
        <v>7</v>
      </c>
    </row>
    <row r="775" spans="1:20" ht="15.75" customHeight="1" x14ac:dyDescent="0.3">
      <c r="A775" s="17" t="s">
        <v>589</v>
      </c>
      <c r="B775" s="1">
        <f>B773</f>
        <v>2652.8333333333335</v>
      </c>
      <c r="C775" s="1">
        <f>C773</f>
        <v>2781.6666666666665</v>
      </c>
      <c r="D775" s="1">
        <f>D773</f>
        <v>4554.666666666667</v>
      </c>
      <c r="E775" s="59">
        <f>SUM(B775:D775)</f>
        <v>9989.1666666666679</v>
      </c>
      <c r="F775" s="1">
        <f>F773</f>
        <v>4891</v>
      </c>
      <c r="G775" s="1">
        <f>G773</f>
        <v>4878</v>
      </c>
      <c r="H775" s="1">
        <f>H773</f>
        <v>5743.166666666667</v>
      </c>
      <c r="I775" s="59">
        <f>SUM(F775:H775)</f>
        <v>15512.166666666668</v>
      </c>
      <c r="J775" s="1">
        <f>J773</f>
        <v>5574.333333333333</v>
      </c>
      <c r="K775" s="1">
        <f>K773</f>
        <v>4865</v>
      </c>
      <c r="L775" s="1">
        <f>L773</f>
        <v>4044.6666666666665</v>
      </c>
      <c r="M775" s="59">
        <f>SUM(J775:L775)</f>
        <v>14483.999999999998</v>
      </c>
      <c r="N775" s="1">
        <f>N773</f>
        <v>3589.6666666666665</v>
      </c>
      <c r="O775" s="1">
        <f>O773</f>
        <v>3783.8</v>
      </c>
      <c r="P775" s="1">
        <f>P773</f>
        <v>3294.2</v>
      </c>
      <c r="Q775" s="59">
        <f>SUM(N775:P775)</f>
        <v>10667.666666666668</v>
      </c>
      <c r="R775" s="59">
        <f>+E775+I775+M775+Q775</f>
        <v>50653</v>
      </c>
    </row>
    <row r="776" spans="1:20" ht="16.5" customHeight="1" thickBot="1" x14ac:dyDescent="0.35">
      <c r="A776" s="24" t="s">
        <v>590</v>
      </c>
      <c r="B776" s="25">
        <f>(B775/B10)/1.983</f>
        <v>43.154447209886179</v>
      </c>
      <c r="C776" s="25">
        <f>(C775/C10)/1.983</f>
        <v>50.098455922964234</v>
      </c>
      <c r="D776" s="25">
        <f>(D775/D10)/1.983</f>
        <v>74.092148856679628</v>
      </c>
      <c r="E776" s="88" t="s">
        <v>7</v>
      </c>
      <c r="F776" s="25">
        <f>(F775/F10)/1.983</f>
        <v>82.215498403092951</v>
      </c>
      <c r="G776" s="25">
        <f>(G775/G10)/1.983</f>
        <v>79.351910594895315</v>
      </c>
      <c r="H776" s="25">
        <f>(H775/H10)/1.983</f>
        <v>96.540034739732164</v>
      </c>
      <c r="I776" s="88" t="s">
        <v>7</v>
      </c>
      <c r="J776" s="25">
        <f>(J775/J10)/1.983</f>
        <v>90.679376853794878</v>
      </c>
      <c r="K776" s="25">
        <f>(K775/K10)/1.983</f>
        <v>79.140435638410352</v>
      </c>
      <c r="L776" s="25">
        <f>(L775/L10)/1.983</f>
        <v>67.989017762088864</v>
      </c>
      <c r="M776" s="88" t="s">
        <v>7</v>
      </c>
      <c r="N776" s="25">
        <f>(N775/N10)/1.983</f>
        <v>58.394200163757532</v>
      </c>
      <c r="O776" s="25">
        <f>(O775/O10)/1.983</f>
        <v>63.603967053286269</v>
      </c>
      <c r="P776" s="25">
        <f>(P775/P10)/1.983</f>
        <v>53.587753973289082</v>
      </c>
      <c r="Q776" s="88" t="s">
        <v>7</v>
      </c>
      <c r="R776" s="88" t="s">
        <v>7</v>
      </c>
    </row>
    <row r="777" spans="1:20" ht="15.75" customHeight="1" x14ac:dyDescent="0.3">
      <c r="A777" s="28"/>
      <c r="B777" s="1"/>
      <c r="C777" s="1"/>
      <c r="D777" s="1"/>
      <c r="E777" s="1"/>
      <c r="F777" s="1"/>
      <c r="G777" s="1"/>
      <c r="H777" s="1"/>
      <c r="I777" s="1"/>
      <c r="J777" s="1"/>
      <c r="K777" s="1"/>
      <c r="L777" s="1"/>
      <c r="M777" s="1"/>
      <c r="N777" s="1"/>
      <c r="O777" s="1"/>
      <c r="P777" s="1"/>
      <c r="Q777" s="1"/>
      <c r="R777" s="28"/>
    </row>
    <row r="778" spans="1:20" ht="15.75" customHeight="1" thickBot="1" x14ac:dyDescent="0.35">
      <c r="A778" s="28"/>
      <c r="B778" s="1"/>
      <c r="C778" s="1"/>
      <c r="D778" s="1"/>
      <c r="E778" s="1"/>
      <c r="F778" s="1"/>
      <c r="G778" s="1"/>
      <c r="H778" s="1"/>
      <c r="I778" s="1"/>
      <c r="J778" s="1"/>
      <c r="K778" s="1"/>
      <c r="L778" s="1"/>
      <c r="M778" s="1"/>
      <c r="N778" s="1"/>
      <c r="O778" s="1"/>
      <c r="P778" s="1"/>
      <c r="Q778" s="1"/>
      <c r="R778" s="28"/>
    </row>
    <row r="779" spans="1:20" ht="16.5" customHeight="1" thickBot="1" x14ac:dyDescent="0.35">
      <c r="A779" s="145" t="s">
        <v>591</v>
      </c>
      <c r="B779" s="32" t="s">
        <v>36</v>
      </c>
      <c r="C779" s="33" t="s">
        <v>9</v>
      </c>
      <c r="D779" s="33" t="s">
        <v>10</v>
      </c>
      <c r="E779" s="12" t="s">
        <v>11</v>
      </c>
      <c r="F779" s="33" t="s">
        <v>12</v>
      </c>
      <c r="G779" s="33" t="s">
        <v>13</v>
      </c>
      <c r="H779" s="33" t="s">
        <v>14</v>
      </c>
      <c r="I779" s="34" t="s">
        <v>15</v>
      </c>
      <c r="J779" s="33" t="s">
        <v>16</v>
      </c>
      <c r="K779" s="33" t="s">
        <v>17</v>
      </c>
      <c r="L779" s="33" t="s">
        <v>18</v>
      </c>
      <c r="M779" s="34" t="s">
        <v>19</v>
      </c>
      <c r="N779" s="33" t="s">
        <v>20</v>
      </c>
      <c r="O779" s="33" t="s">
        <v>21</v>
      </c>
      <c r="P779" s="33" t="s">
        <v>22</v>
      </c>
      <c r="Q779" s="34" t="s">
        <v>23</v>
      </c>
      <c r="R779" s="157" t="s">
        <v>24</v>
      </c>
    </row>
    <row r="780" spans="1:20" ht="16.5" customHeight="1" thickBot="1" x14ac:dyDescent="0.35">
      <c r="A780" s="42"/>
      <c r="B780" s="37"/>
      <c r="C780" s="37"/>
      <c r="D780" s="37"/>
      <c r="E780" s="16"/>
      <c r="F780" s="37"/>
      <c r="G780" s="37"/>
      <c r="H780" s="37"/>
      <c r="I780" s="156"/>
      <c r="J780" s="37"/>
      <c r="K780" s="37"/>
      <c r="L780" s="37"/>
      <c r="M780" s="156"/>
      <c r="N780" s="37"/>
      <c r="O780" s="37"/>
      <c r="P780" s="37"/>
      <c r="Q780" s="158"/>
      <c r="R780" s="159"/>
    </row>
    <row r="781" spans="1:20" ht="15.75" customHeight="1" x14ac:dyDescent="0.3">
      <c r="A781" s="17" t="s">
        <v>45</v>
      </c>
      <c r="B781" s="1" t="s">
        <v>7</v>
      </c>
      <c r="C781" s="1" t="s">
        <v>7</v>
      </c>
      <c r="D781" s="1" t="s">
        <v>7</v>
      </c>
      <c r="E781" s="160"/>
      <c r="F781" s="1" t="s">
        <v>7</v>
      </c>
      <c r="G781" s="1" t="s">
        <v>7</v>
      </c>
      <c r="H781" s="1" t="s">
        <v>7</v>
      </c>
      <c r="I781" s="160"/>
      <c r="J781" s="1" t="s">
        <v>7</v>
      </c>
      <c r="K781" s="1" t="s">
        <v>7</v>
      </c>
      <c r="L781" s="1" t="s">
        <v>7</v>
      </c>
      <c r="M781" s="160"/>
      <c r="N781" s="1" t="s">
        <v>7</v>
      </c>
      <c r="O781" s="1" t="s">
        <v>7</v>
      </c>
      <c r="P781" s="1" t="s">
        <v>7</v>
      </c>
      <c r="Q781" s="161"/>
      <c r="R781" s="162" t="s">
        <v>7</v>
      </c>
    </row>
    <row r="782" spans="1:20" ht="15.75" customHeight="1" x14ac:dyDescent="0.3">
      <c r="A782" s="17" t="s">
        <v>46</v>
      </c>
      <c r="B782" s="1"/>
      <c r="C782" s="1"/>
      <c r="D782" s="1"/>
      <c r="E782" s="59" t="s">
        <v>7</v>
      </c>
      <c r="F782" s="1"/>
      <c r="G782" s="1"/>
      <c r="H782" s="1"/>
      <c r="I782" s="59" t="s">
        <v>7</v>
      </c>
      <c r="J782" s="1"/>
      <c r="K782" s="1"/>
      <c r="L782" s="1"/>
      <c r="M782" s="59" t="s">
        <v>7</v>
      </c>
      <c r="N782" s="1"/>
      <c r="O782" s="1"/>
      <c r="P782" s="1"/>
      <c r="Q782" s="59" t="s">
        <v>7</v>
      </c>
      <c r="R782" s="59" t="s">
        <v>7</v>
      </c>
    </row>
    <row r="783" spans="1:20" ht="15.75" customHeight="1" x14ac:dyDescent="0.3">
      <c r="A783" s="74" t="s">
        <v>592</v>
      </c>
      <c r="B783" s="1"/>
      <c r="C783" s="1"/>
      <c r="D783" s="1"/>
      <c r="E783" s="59">
        <f>SUM(B783:D783)</f>
        <v>0</v>
      </c>
      <c r="F783" s="1"/>
      <c r="G783" s="1"/>
      <c r="H783" s="1"/>
      <c r="I783" s="59">
        <f>SUM(F783:H783)</f>
        <v>0</v>
      </c>
      <c r="J783" s="1"/>
      <c r="K783" s="1"/>
      <c r="L783" s="1"/>
      <c r="M783" s="59">
        <f>SUM(J783:L783)</f>
        <v>0</v>
      </c>
      <c r="N783" s="1"/>
      <c r="O783" s="1"/>
      <c r="P783" s="1"/>
      <c r="Q783" s="59">
        <f>SUM(N783:P783)</f>
        <v>0</v>
      </c>
      <c r="R783" s="59">
        <f>+E783+I783+M783+Q783</f>
        <v>0</v>
      </c>
      <c r="T783" s="4" t="s">
        <v>593</v>
      </c>
    </row>
    <row r="784" spans="1:20" ht="15.75" customHeight="1" x14ac:dyDescent="0.3">
      <c r="A784" s="74" t="s">
        <v>594</v>
      </c>
      <c r="B784" s="1"/>
      <c r="C784" s="1"/>
      <c r="D784" s="1"/>
      <c r="E784" s="59">
        <f>SUM(B784:D784)</f>
        <v>0</v>
      </c>
      <c r="F784" s="1"/>
      <c r="G784" s="1"/>
      <c r="H784" s="1"/>
      <c r="I784" s="59">
        <f>SUM(F784:H784)</f>
        <v>0</v>
      </c>
      <c r="J784" s="1"/>
      <c r="K784" s="1"/>
      <c r="L784" s="1"/>
      <c r="M784" s="59">
        <f>SUM(J784:L784)</f>
        <v>0</v>
      </c>
      <c r="N784" s="1"/>
      <c r="O784" s="1"/>
      <c r="P784" s="1"/>
      <c r="Q784" s="59">
        <f>SUM(N784:P784)</f>
        <v>0</v>
      </c>
      <c r="R784" s="59">
        <f>+E784+I784+M784+Q784</f>
        <v>0</v>
      </c>
    </row>
    <row r="785" spans="1:20" ht="15.75" customHeight="1" x14ac:dyDescent="0.3">
      <c r="A785" s="74" t="s">
        <v>595</v>
      </c>
      <c r="B785" s="1"/>
      <c r="C785" s="1"/>
      <c r="D785" s="1"/>
      <c r="E785" s="59">
        <f>SUM(B785:D785)</f>
        <v>0</v>
      </c>
      <c r="F785" s="1"/>
      <c r="G785" s="1"/>
      <c r="H785" s="1"/>
      <c r="I785" s="59">
        <f>SUM(F785:H785)</f>
        <v>0</v>
      </c>
      <c r="J785" s="1"/>
      <c r="K785" s="1"/>
      <c r="L785" s="1"/>
      <c r="M785" s="59">
        <f>SUM(J785:L785)</f>
        <v>0</v>
      </c>
      <c r="N785" s="1"/>
      <c r="O785" s="1"/>
      <c r="P785" s="1"/>
      <c r="Q785" s="59">
        <f>SUM(N785:P785)</f>
        <v>0</v>
      </c>
      <c r="R785" s="59">
        <f>+E785+I785+M785+Q785</f>
        <v>0</v>
      </c>
    </row>
    <row r="786" spans="1:20" ht="15.75" customHeight="1" x14ac:dyDescent="0.3">
      <c r="A786" s="74" t="s">
        <v>596</v>
      </c>
      <c r="B786" s="1">
        <v>150</v>
      </c>
      <c r="C786" s="1"/>
      <c r="D786" s="1"/>
      <c r="E786" s="59">
        <f>SUM(B786:D786)</f>
        <v>150</v>
      </c>
      <c r="F786" s="1"/>
      <c r="G786" s="1"/>
      <c r="H786" s="1"/>
      <c r="I786" s="59">
        <f>SUM(F786:H786)</f>
        <v>0</v>
      </c>
      <c r="J786" s="1"/>
      <c r="K786" s="1"/>
      <c r="L786" s="1"/>
      <c r="M786" s="59">
        <f>SUM(J786:L786)</f>
        <v>0</v>
      </c>
      <c r="N786" s="1"/>
      <c r="O786" s="1"/>
      <c r="P786" s="1"/>
      <c r="Q786" s="59">
        <f>SUM(N786:P786)</f>
        <v>0</v>
      </c>
      <c r="R786" s="59">
        <f>+E786+I786+M786+Q786</f>
        <v>150</v>
      </c>
    </row>
    <row r="787" spans="1:20" ht="15.75" customHeight="1" x14ac:dyDescent="0.3">
      <c r="A787" s="74" t="s">
        <v>598</v>
      </c>
      <c r="B787" s="1">
        <v>2500</v>
      </c>
      <c r="C787" s="1">
        <v>2500</v>
      </c>
      <c r="D787" s="1">
        <v>2500</v>
      </c>
      <c r="E787" s="59">
        <f>SUM(B787:D787)</f>
        <v>7500</v>
      </c>
      <c r="F787" s="1">
        <v>2500</v>
      </c>
      <c r="G787" s="1">
        <v>2500</v>
      </c>
      <c r="H787" s="1">
        <v>2500</v>
      </c>
      <c r="I787" s="59">
        <f>SUM(F787:H787)</f>
        <v>7500</v>
      </c>
      <c r="J787" s="1">
        <v>2500</v>
      </c>
      <c r="K787" s="1">
        <v>2500</v>
      </c>
      <c r="L787" s="1">
        <v>2500</v>
      </c>
      <c r="M787" s="59">
        <f>SUM(J787:L787)</f>
        <v>7500</v>
      </c>
      <c r="N787" s="1">
        <v>1000</v>
      </c>
      <c r="O787" s="1"/>
      <c r="P787" s="1"/>
      <c r="Q787" s="59">
        <f>SUM(N787:P787)</f>
        <v>1000</v>
      </c>
      <c r="R787" s="59">
        <f>+E787+I787+M787+Q787</f>
        <v>23500</v>
      </c>
    </row>
    <row r="788" spans="1:20" ht="15.75" customHeight="1" x14ac:dyDescent="0.3">
      <c r="A788" s="17" t="s">
        <v>47</v>
      </c>
      <c r="B788" s="1"/>
      <c r="C788" s="1"/>
      <c r="D788" s="1"/>
      <c r="E788" s="59" t="s">
        <v>7</v>
      </c>
      <c r="F788" s="1"/>
      <c r="G788" s="1"/>
      <c r="H788" s="1"/>
      <c r="I788" s="59" t="s">
        <v>7</v>
      </c>
      <c r="J788" s="1"/>
      <c r="K788" s="1"/>
      <c r="L788" s="1"/>
      <c r="M788" s="59" t="s">
        <v>7</v>
      </c>
      <c r="N788" s="1"/>
      <c r="O788" s="1"/>
      <c r="P788" s="1"/>
      <c r="Q788" s="59" t="s">
        <v>7</v>
      </c>
      <c r="R788" s="59" t="s">
        <v>7</v>
      </c>
    </row>
    <row r="789" spans="1:20" ht="15.75" customHeight="1" x14ac:dyDescent="0.3">
      <c r="A789" s="17" t="s">
        <v>49</v>
      </c>
      <c r="B789" s="1"/>
      <c r="C789" s="1"/>
      <c r="D789" s="1"/>
      <c r="E789" s="59" t="s">
        <v>7</v>
      </c>
      <c r="F789" s="1"/>
      <c r="G789" s="1"/>
      <c r="H789" s="1"/>
      <c r="I789" s="59" t="s">
        <v>7</v>
      </c>
      <c r="J789" s="1"/>
      <c r="K789" s="1"/>
      <c r="L789" s="1"/>
      <c r="M789" s="59" t="s">
        <v>7</v>
      </c>
      <c r="N789" s="1"/>
      <c r="O789" s="1"/>
      <c r="P789" s="1"/>
      <c r="Q789" s="59" t="s">
        <v>7</v>
      </c>
      <c r="R789" s="59" t="s">
        <v>7</v>
      </c>
    </row>
    <row r="790" spans="1:20" ht="15.75" customHeight="1" x14ac:dyDescent="0.3">
      <c r="A790" s="74" t="s">
        <v>599</v>
      </c>
      <c r="B790" s="315"/>
      <c r="C790" s="315"/>
      <c r="D790" s="315"/>
      <c r="E790" s="59">
        <f>SUM(B790:D790)</f>
        <v>0</v>
      </c>
      <c r="F790" s="315"/>
      <c r="G790" s="1"/>
      <c r="H790" s="1"/>
      <c r="I790" s="59">
        <f>SUM(F790:H790)</f>
        <v>0</v>
      </c>
      <c r="J790" s="1"/>
      <c r="K790" s="1">
        <v>427</v>
      </c>
      <c r="L790" s="1">
        <v>428</v>
      </c>
      <c r="M790" s="59">
        <f>SUM(J790:L790)</f>
        <v>855</v>
      </c>
      <c r="N790" s="1">
        <v>427</v>
      </c>
      <c r="O790" s="1">
        <v>1283</v>
      </c>
      <c r="P790" s="1">
        <v>1285</v>
      </c>
      <c r="Q790" s="59">
        <f>SUM(N790:P790)</f>
        <v>2995</v>
      </c>
      <c r="R790" s="59">
        <f>+E790+I790+M790+Q790</f>
        <v>3850</v>
      </c>
      <c r="S790" s="77" t="s">
        <v>90</v>
      </c>
    </row>
    <row r="791" spans="1:20" ht="15.75" customHeight="1" thickBot="1" x14ac:dyDescent="0.35">
      <c r="A791" s="17" t="s">
        <v>51</v>
      </c>
      <c r="B791" s="1"/>
      <c r="C791" s="1"/>
      <c r="D791" s="1"/>
      <c r="E791" s="59" t="s">
        <v>7</v>
      </c>
      <c r="F791" s="1"/>
      <c r="G791" s="1"/>
      <c r="H791" s="1"/>
      <c r="I791" s="59" t="s">
        <v>7</v>
      </c>
      <c r="J791" s="1"/>
      <c r="K791" s="1"/>
      <c r="L791" s="1"/>
      <c r="M791" s="59" t="s">
        <v>7</v>
      </c>
      <c r="N791" s="1"/>
      <c r="O791" s="1"/>
      <c r="P791" s="1"/>
      <c r="Q791" s="59" t="s">
        <v>7</v>
      </c>
      <c r="R791" s="59" t="s">
        <v>7</v>
      </c>
    </row>
    <row r="792" spans="1:20" ht="16.5" customHeight="1" thickBot="1" x14ac:dyDescent="0.35">
      <c r="A792" s="62" t="s">
        <v>52</v>
      </c>
      <c r="B792" s="100">
        <f>SUM(B781:B791)</f>
        <v>2650</v>
      </c>
      <c r="C792" s="101">
        <f>SUM(C781:C791)</f>
        <v>2500</v>
      </c>
      <c r="D792" s="101">
        <f>SUM(D781:D791)</f>
        <v>2500</v>
      </c>
      <c r="E792" s="64">
        <f>SUM(B792:D792)</f>
        <v>7650</v>
      </c>
      <c r="F792" s="101">
        <f>SUM(F781:F791)</f>
        <v>2500</v>
      </c>
      <c r="G792" s="101">
        <f>SUM(G781:G791)</f>
        <v>2500</v>
      </c>
      <c r="H792" s="101">
        <f>SUM(H781:H791)</f>
        <v>2500</v>
      </c>
      <c r="I792" s="64">
        <f>SUM(F792:H792)</f>
        <v>7500</v>
      </c>
      <c r="J792" s="101">
        <f>SUM(J781:J791)</f>
        <v>2500</v>
      </c>
      <c r="K792" s="101">
        <f>SUM(K781:K791)</f>
        <v>2927</v>
      </c>
      <c r="L792" s="101">
        <f>SUM(L781:L791)</f>
        <v>2928</v>
      </c>
      <c r="M792" s="64">
        <f>SUM(J792:L792)</f>
        <v>8355</v>
      </c>
      <c r="N792" s="101">
        <f>SUM(N781:N791)</f>
        <v>1427</v>
      </c>
      <c r="O792" s="101">
        <f>SUM(O781:O791)</f>
        <v>1283</v>
      </c>
      <c r="P792" s="101">
        <f>SUM(P781:P791)</f>
        <v>1285</v>
      </c>
      <c r="Q792" s="64">
        <f>SUM(N792:P792)</f>
        <v>3995</v>
      </c>
      <c r="R792" s="64">
        <f>+E792+I792+M792+Q792</f>
        <v>27500</v>
      </c>
    </row>
    <row r="793" spans="1:20" ht="15.75" customHeight="1" x14ac:dyDescent="0.3">
      <c r="A793" s="17" t="s">
        <v>53</v>
      </c>
      <c r="B793" s="1"/>
      <c r="C793" s="1"/>
      <c r="D793" s="1"/>
      <c r="E793" s="59" t="s">
        <v>7</v>
      </c>
      <c r="F793" s="1"/>
      <c r="G793" s="1"/>
      <c r="H793" s="1"/>
      <c r="I793" s="59" t="s">
        <v>7</v>
      </c>
      <c r="J793" s="1"/>
      <c r="K793" s="1"/>
      <c r="L793" s="1"/>
      <c r="M793" s="59" t="s">
        <v>7</v>
      </c>
      <c r="N793" s="1"/>
      <c r="O793" s="1"/>
      <c r="P793" s="1"/>
      <c r="Q793" s="59" t="s">
        <v>7</v>
      </c>
      <c r="R793" s="59" t="s">
        <v>7</v>
      </c>
    </row>
    <row r="794" spans="1:20" ht="15.75" customHeight="1" x14ac:dyDescent="0.3">
      <c r="A794" s="17" t="s">
        <v>55</v>
      </c>
      <c r="B794" s="1"/>
      <c r="C794" s="1"/>
      <c r="D794" s="1"/>
      <c r="E794" s="59" t="s">
        <v>7</v>
      </c>
      <c r="F794" s="1"/>
      <c r="G794" s="1"/>
      <c r="H794" s="1"/>
      <c r="I794" s="59" t="s">
        <v>7</v>
      </c>
      <c r="J794" s="1"/>
      <c r="K794" s="1"/>
      <c r="L794" s="1"/>
      <c r="M794" s="59" t="s">
        <v>7</v>
      </c>
      <c r="N794" s="1"/>
      <c r="O794" s="1"/>
      <c r="P794" s="1"/>
      <c r="Q794" s="59" t="s">
        <v>7</v>
      </c>
      <c r="R794" s="59" t="s">
        <v>7</v>
      </c>
    </row>
    <row r="795" spans="1:20" ht="15.75" customHeight="1" x14ac:dyDescent="0.3">
      <c r="A795" s="74" t="s">
        <v>600</v>
      </c>
      <c r="B795" s="1"/>
      <c r="C795" s="1"/>
      <c r="D795" s="1"/>
      <c r="E795" s="59">
        <f>SUM(B795:D795)</f>
        <v>0</v>
      </c>
      <c r="F795" s="1"/>
      <c r="G795" s="1"/>
      <c r="H795" s="1"/>
      <c r="I795" s="59">
        <f>SUM(F795:H795)</f>
        <v>0</v>
      </c>
      <c r="J795" s="1"/>
      <c r="K795" s="1"/>
      <c r="L795" s="1"/>
      <c r="M795" s="59">
        <f>SUM(J795:L795)</f>
        <v>0</v>
      </c>
      <c r="N795" s="1"/>
      <c r="O795" s="1"/>
      <c r="P795" s="1"/>
      <c r="Q795" s="59">
        <f>SUM(N795:P795)</f>
        <v>0</v>
      </c>
      <c r="R795" s="59">
        <f>+E795+I795+M795+Q795</f>
        <v>0</v>
      </c>
    </row>
    <row r="796" spans="1:20" ht="15.75" customHeight="1" thickBot="1" x14ac:dyDescent="0.35">
      <c r="A796" s="17" t="s">
        <v>56</v>
      </c>
      <c r="B796" s="1"/>
      <c r="C796" s="1"/>
      <c r="D796" s="1"/>
      <c r="E796" s="59" t="s">
        <v>7</v>
      </c>
      <c r="F796" s="1"/>
      <c r="G796" s="1"/>
      <c r="H796" s="1"/>
      <c r="I796" s="59" t="s">
        <v>7</v>
      </c>
      <c r="J796" s="1"/>
      <c r="K796" s="1"/>
      <c r="L796" s="1"/>
      <c r="M796" s="59" t="s">
        <v>7</v>
      </c>
      <c r="N796" s="1"/>
      <c r="O796" s="1"/>
      <c r="P796" s="1"/>
      <c r="Q796" s="59" t="s">
        <v>7</v>
      </c>
      <c r="R796" s="59" t="s">
        <v>7</v>
      </c>
    </row>
    <row r="797" spans="1:20" ht="16.5" customHeight="1" thickBot="1" x14ac:dyDescent="0.35">
      <c r="A797" s="62" t="s">
        <v>57</v>
      </c>
      <c r="B797" s="100">
        <f>SUM(B793:B796)</f>
        <v>0</v>
      </c>
      <c r="C797" s="101">
        <f>SUM(C793:C796)</f>
        <v>0</v>
      </c>
      <c r="D797" s="101">
        <f>SUM(D793:D796)</f>
        <v>0</v>
      </c>
      <c r="E797" s="64">
        <f>SUM(B797:D797)</f>
        <v>0</v>
      </c>
      <c r="F797" s="101">
        <f>SUM(F793:F796)</f>
        <v>0</v>
      </c>
      <c r="G797" s="101">
        <f>SUM(G793:G796)</f>
        <v>0</v>
      </c>
      <c r="H797" s="101">
        <f>SUM(H793:H796)</f>
        <v>0</v>
      </c>
      <c r="I797" s="64">
        <f>SUM(F797:H797)</f>
        <v>0</v>
      </c>
      <c r="J797" s="101">
        <f>SUM(J793:J796)</f>
        <v>0</v>
      </c>
      <c r="K797" s="101">
        <f>SUM(K793:K796)</f>
        <v>0</v>
      </c>
      <c r="L797" s="101">
        <f>SUM(L793:L796)</f>
        <v>0</v>
      </c>
      <c r="M797" s="64">
        <f>SUM(J797:L797)</f>
        <v>0</v>
      </c>
      <c r="N797" s="101">
        <f>SUM(N793:N796)</f>
        <v>0</v>
      </c>
      <c r="O797" s="101">
        <f>SUM(O793:O796)</f>
        <v>0</v>
      </c>
      <c r="P797" s="101">
        <f>SUM(P793:P796)</f>
        <v>0</v>
      </c>
      <c r="Q797" s="64">
        <f>SUM(N797:P797)</f>
        <v>0</v>
      </c>
      <c r="R797" s="64">
        <f>+E797+I797+M797+Q797</f>
        <v>0</v>
      </c>
    </row>
    <row r="798" spans="1:20" ht="15.75" customHeight="1" x14ac:dyDescent="0.3">
      <c r="A798" s="17" t="s">
        <v>58</v>
      </c>
      <c r="B798" s="1"/>
      <c r="C798" s="1"/>
      <c r="D798" s="1"/>
      <c r="E798" s="59" t="s">
        <v>7</v>
      </c>
      <c r="F798" s="1"/>
      <c r="G798" s="1"/>
      <c r="H798" s="1"/>
      <c r="I798" s="59" t="s">
        <v>7</v>
      </c>
      <c r="J798" s="1" t="s">
        <v>7</v>
      </c>
      <c r="K798" s="1"/>
      <c r="L798" s="1"/>
      <c r="M798" s="59" t="s">
        <v>7</v>
      </c>
      <c r="N798" s="1"/>
      <c r="O798" s="1"/>
      <c r="P798" s="1"/>
      <c r="Q798" s="59" t="s">
        <v>7</v>
      </c>
      <c r="R798" s="59" t="s">
        <v>7</v>
      </c>
    </row>
    <row r="799" spans="1:20" ht="18" customHeight="1" x14ac:dyDescent="0.3">
      <c r="A799" s="17" t="s">
        <v>59</v>
      </c>
      <c r="B799" s="1"/>
      <c r="C799" s="1"/>
      <c r="D799" s="1"/>
      <c r="E799" s="59" t="s">
        <v>7</v>
      </c>
      <c r="F799" s="1"/>
      <c r="G799" s="1"/>
      <c r="H799" s="1"/>
      <c r="I799" s="59" t="s">
        <v>7</v>
      </c>
      <c r="J799" s="1"/>
      <c r="K799" s="1"/>
      <c r="L799" s="1"/>
      <c r="M799" s="59" t="s">
        <v>7</v>
      </c>
      <c r="N799" s="1"/>
      <c r="O799" s="1"/>
      <c r="P799" s="1"/>
      <c r="Q799" s="59" t="s">
        <v>7</v>
      </c>
      <c r="R799" s="59" t="s">
        <v>7</v>
      </c>
    </row>
    <row r="800" spans="1:20" ht="15.75" customHeight="1" x14ac:dyDescent="0.3">
      <c r="A800" s="74" t="s">
        <v>601</v>
      </c>
      <c r="B800" s="1">
        <v>401</v>
      </c>
      <c r="C800" s="1">
        <v>684</v>
      </c>
      <c r="D800" s="1">
        <v>705</v>
      </c>
      <c r="E800" s="59">
        <f>SUM(B800:D800)</f>
        <v>1790</v>
      </c>
      <c r="F800" s="1">
        <v>706</v>
      </c>
      <c r="G800" s="1">
        <v>759</v>
      </c>
      <c r="H800" s="1">
        <v>719</v>
      </c>
      <c r="I800" s="59">
        <f>SUM(F800:H800)</f>
        <v>2184</v>
      </c>
      <c r="J800" s="1">
        <v>759</v>
      </c>
      <c r="K800" s="1">
        <v>708</v>
      </c>
      <c r="L800" s="1">
        <v>706</v>
      </c>
      <c r="M800" s="59">
        <f>SUM(J800:L800)</f>
        <v>2173</v>
      </c>
      <c r="N800" s="1">
        <v>401</v>
      </c>
      <c r="O800" s="1">
        <v>301</v>
      </c>
      <c r="P800" s="1">
        <v>301</v>
      </c>
      <c r="Q800" s="59">
        <f>SUM(N800:P800)</f>
        <v>1003</v>
      </c>
      <c r="R800" s="59">
        <f>+E800+I800+M800+Q800</f>
        <v>7150</v>
      </c>
      <c r="T800" s="4" t="s">
        <v>602</v>
      </c>
    </row>
    <row r="801" spans="1:20" ht="15.75" customHeight="1" x14ac:dyDescent="0.3">
      <c r="A801" s="74" t="s">
        <v>603</v>
      </c>
      <c r="B801" s="1">
        <v>25</v>
      </c>
      <c r="C801" s="1">
        <v>30</v>
      </c>
      <c r="D801" s="1">
        <v>60</v>
      </c>
      <c r="E801" s="59">
        <f>SUM(B801:D801)</f>
        <v>115</v>
      </c>
      <c r="F801" s="1">
        <v>80</v>
      </c>
      <c r="G801" s="1">
        <v>85</v>
      </c>
      <c r="H801" s="1">
        <v>95</v>
      </c>
      <c r="I801" s="59">
        <f>SUM(F801:H801)</f>
        <v>260</v>
      </c>
      <c r="J801" s="1">
        <v>70</v>
      </c>
      <c r="K801" s="1">
        <v>55</v>
      </c>
      <c r="L801" s="1"/>
      <c r="M801" s="59">
        <f>SUM(J801:L801)</f>
        <v>125</v>
      </c>
      <c r="N801" s="1"/>
      <c r="O801" s="1"/>
      <c r="P801" s="1"/>
      <c r="Q801" s="59">
        <f>SUM(N801:P801)</f>
        <v>0</v>
      </c>
      <c r="R801" s="59">
        <f>+E801+I801+M801+Q801</f>
        <v>500</v>
      </c>
      <c r="T801" s="4" t="s">
        <v>604</v>
      </c>
    </row>
    <row r="802" spans="1:20" ht="15.75" customHeight="1" x14ac:dyDescent="0.3">
      <c r="A802" s="17" t="s">
        <v>60</v>
      </c>
      <c r="B802" s="1"/>
      <c r="C802" s="1"/>
      <c r="D802" s="1"/>
      <c r="E802" s="59" t="s">
        <v>7</v>
      </c>
      <c r="F802" s="1"/>
      <c r="G802" s="1"/>
      <c r="H802" s="1"/>
      <c r="I802" s="59" t="s">
        <v>7</v>
      </c>
      <c r="J802" s="1"/>
      <c r="K802" s="1"/>
      <c r="L802" s="1"/>
      <c r="M802" s="59" t="s">
        <v>7</v>
      </c>
      <c r="N802" s="1"/>
      <c r="O802" s="1"/>
      <c r="P802" s="1"/>
      <c r="Q802" s="59" t="s">
        <v>7</v>
      </c>
      <c r="R802" s="59" t="s">
        <v>7</v>
      </c>
    </row>
    <row r="803" spans="1:20" ht="15.75" customHeight="1" x14ac:dyDescent="0.3">
      <c r="A803" s="74" t="s">
        <v>606</v>
      </c>
      <c r="B803" s="1"/>
      <c r="C803" s="1"/>
      <c r="D803" s="1"/>
      <c r="E803" s="59">
        <f>SUM(B803:D803)</f>
        <v>0</v>
      </c>
      <c r="F803" s="1"/>
      <c r="G803" s="1"/>
      <c r="H803" s="1"/>
      <c r="I803" s="59">
        <f>SUM(F803:H803)</f>
        <v>0</v>
      </c>
      <c r="J803" s="1"/>
      <c r="K803" s="1"/>
      <c r="L803" s="1"/>
      <c r="M803" s="59">
        <f>SUM(J803:L803)</f>
        <v>0</v>
      </c>
      <c r="N803" s="1"/>
      <c r="O803" s="1"/>
      <c r="P803" s="1"/>
      <c r="Q803" s="59">
        <f>SUM(N803:P803)</f>
        <v>0</v>
      </c>
      <c r="R803" s="59">
        <f>+E803+I803+M803+Q803</f>
        <v>0</v>
      </c>
      <c r="T803" s="4" t="s">
        <v>604</v>
      </c>
    </row>
    <row r="804" spans="1:20" ht="15.75" customHeight="1" x14ac:dyDescent="0.3">
      <c r="A804" s="74" t="s">
        <v>607</v>
      </c>
      <c r="B804" s="1"/>
      <c r="C804" s="1"/>
      <c r="D804" s="1"/>
      <c r="E804" s="59">
        <f>SUM(B804:D804)</f>
        <v>0</v>
      </c>
      <c r="F804" s="1"/>
      <c r="G804" s="1"/>
      <c r="H804" s="1"/>
      <c r="I804" s="59">
        <f>SUM(F804:H804)</f>
        <v>0</v>
      </c>
      <c r="J804" s="1"/>
      <c r="K804" s="1">
        <v>15</v>
      </c>
      <c r="L804" s="1">
        <v>65</v>
      </c>
      <c r="M804" s="59">
        <f>SUM(J804:L804)</f>
        <v>80</v>
      </c>
      <c r="N804" s="1">
        <v>65</v>
      </c>
      <c r="O804" s="1">
        <v>50</v>
      </c>
      <c r="P804" s="1">
        <v>35</v>
      </c>
      <c r="Q804" s="59">
        <f>SUM(N804:P804)</f>
        <v>150</v>
      </c>
      <c r="R804" s="59">
        <f>+E804+I804+M804+Q804</f>
        <v>230</v>
      </c>
    </row>
    <row r="805" spans="1:20" ht="15.75" customHeight="1" x14ac:dyDescent="0.3">
      <c r="A805" s="74" t="s">
        <v>609</v>
      </c>
      <c r="B805" s="1"/>
      <c r="C805" s="1"/>
      <c r="D805" s="1"/>
      <c r="E805" s="59">
        <f>SUM(B805:D805)</f>
        <v>0</v>
      </c>
      <c r="F805" s="1"/>
      <c r="G805" s="1"/>
      <c r="H805" s="1"/>
      <c r="I805" s="59">
        <f>SUM(F805:H805)</f>
        <v>0</v>
      </c>
      <c r="J805" s="1"/>
      <c r="K805" s="1"/>
      <c r="L805" s="1"/>
      <c r="M805" s="59">
        <f>SUM(J805:L805)</f>
        <v>0</v>
      </c>
      <c r="N805" s="1"/>
      <c r="O805" s="1"/>
      <c r="P805" s="1"/>
      <c r="Q805" s="59">
        <f>SUM(N805:P805)</f>
        <v>0</v>
      </c>
      <c r="R805" s="59">
        <f>+E805+I805+M805+Q805</f>
        <v>0</v>
      </c>
      <c r="T805" s="4" t="s">
        <v>593</v>
      </c>
    </row>
    <row r="806" spans="1:20" ht="15.75" customHeight="1" thickBot="1" x14ac:dyDescent="0.35">
      <c r="A806" s="74" t="s">
        <v>610</v>
      </c>
      <c r="B806" s="1">
        <v>846</v>
      </c>
      <c r="C806" s="1">
        <v>792</v>
      </c>
      <c r="D806" s="1">
        <v>847</v>
      </c>
      <c r="E806" s="59">
        <f>SUM(B806:D806)</f>
        <v>2485</v>
      </c>
      <c r="F806" s="1">
        <v>820</v>
      </c>
      <c r="G806" s="1">
        <v>847</v>
      </c>
      <c r="H806" s="1">
        <v>820</v>
      </c>
      <c r="I806" s="59">
        <f>SUM(F806:H806)</f>
        <v>2487</v>
      </c>
      <c r="J806" s="1">
        <v>847</v>
      </c>
      <c r="K806" s="1">
        <v>847</v>
      </c>
      <c r="L806" s="1">
        <v>820</v>
      </c>
      <c r="M806" s="59">
        <f>SUM(J806:L806)</f>
        <v>2514</v>
      </c>
      <c r="N806" s="1">
        <v>847</v>
      </c>
      <c r="O806" s="1">
        <v>820</v>
      </c>
      <c r="P806" s="1">
        <v>847</v>
      </c>
      <c r="Q806" s="59">
        <f>SUM(N806:P806)</f>
        <v>2514</v>
      </c>
      <c r="R806" s="59">
        <f>+E806+I806+M806+Q806</f>
        <v>10000</v>
      </c>
      <c r="T806" s="4" t="s">
        <v>611</v>
      </c>
    </row>
    <row r="807" spans="1:20" ht="16.5" customHeight="1" thickBot="1" x14ac:dyDescent="0.35">
      <c r="A807" s="62" t="s">
        <v>61</v>
      </c>
      <c r="B807" s="100">
        <f>SUM(B798:B806)</f>
        <v>1272</v>
      </c>
      <c r="C807" s="101">
        <f>SUM(C798:C806)</f>
        <v>1506</v>
      </c>
      <c r="D807" s="101">
        <f>SUM(D798:D806)</f>
        <v>1612</v>
      </c>
      <c r="E807" s="64">
        <f>SUM(B807:D807)</f>
        <v>4390</v>
      </c>
      <c r="F807" s="101">
        <f>SUM(F798:F806)</f>
        <v>1606</v>
      </c>
      <c r="G807" s="101">
        <f>SUM(G798:G806)</f>
        <v>1691</v>
      </c>
      <c r="H807" s="101">
        <f>SUM(H798:H806)</f>
        <v>1634</v>
      </c>
      <c r="I807" s="64">
        <f>SUM(F807:H807)</f>
        <v>4931</v>
      </c>
      <c r="J807" s="101">
        <f>SUM(J798:J806)</f>
        <v>1676</v>
      </c>
      <c r="K807" s="101">
        <f>SUM(K798:K806)</f>
        <v>1625</v>
      </c>
      <c r="L807" s="101">
        <f>SUM(L798:L806)</f>
        <v>1591</v>
      </c>
      <c r="M807" s="64">
        <f>SUM(J807:L807)</f>
        <v>4892</v>
      </c>
      <c r="N807" s="101">
        <f>SUM(N798:N806)</f>
        <v>1313</v>
      </c>
      <c r="O807" s="101">
        <f>SUM(O798:O806)</f>
        <v>1171</v>
      </c>
      <c r="P807" s="101">
        <f>SUM(P798:P806)</f>
        <v>1183</v>
      </c>
      <c r="Q807" s="64">
        <f>SUM(N807:P807)</f>
        <v>3667</v>
      </c>
      <c r="R807" s="64">
        <f>+E807+I807+M807+Q807</f>
        <v>17880</v>
      </c>
    </row>
    <row r="808" spans="1:20" ht="15.75" customHeight="1" x14ac:dyDescent="0.3">
      <c r="A808" s="17" t="s">
        <v>62</v>
      </c>
      <c r="B808" s="1"/>
      <c r="C808" s="1"/>
      <c r="D808" s="1"/>
      <c r="E808" s="59" t="s">
        <v>7</v>
      </c>
      <c r="F808" s="1"/>
      <c r="G808" s="1"/>
      <c r="H808" s="1"/>
      <c r="I808" s="59" t="s">
        <v>7</v>
      </c>
      <c r="J808" s="1"/>
      <c r="K808" s="1"/>
      <c r="L808" s="1"/>
      <c r="M808" s="59" t="s">
        <v>7</v>
      </c>
      <c r="N808" s="1"/>
      <c r="O808" s="1"/>
      <c r="P808" s="1"/>
      <c r="Q808" s="59" t="s">
        <v>7</v>
      </c>
      <c r="R808" s="59" t="s">
        <v>7</v>
      </c>
    </row>
    <row r="809" spans="1:20" ht="15.75" customHeight="1" x14ac:dyDescent="0.3">
      <c r="A809" s="17" t="s">
        <v>63</v>
      </c>
      <c r="B809" s="1"/>
      <c r="C809" s="1"/>
      <c r="D809" s="1"/>
      <c r="E809" s="59" t="s">
        <v>7</v>
      </c>
      <c r="F809" s="1"/>
      <c r="G809" s="1"/>
      <c r="H809" s="1"/>
      <c r="I809" s="59" t="s">
        <v>7</v>
      </c>
      <c r="J809" s="1"/>
      <c r="K809" s="1"/>
      <c r="L809" s="1"/>
      <c r="M809" s="59" t="s">
        <v>7</v>
      </c>
      <c r="N809" s="1"/>
      <c r="O809" s="1"/>
      <c r="P809" s="1"/>
      <c r="Q809" s="59" t="s">
        <v>7</v>
      </c>
      <c r="R809" s="59" t="s">
        <v>7</v>
      </c>
    </row>
    <row r="810" spans="1:20" ht="15.75" customHeight="1" x14ac:dyDescent="0.3">
      <c r="A810" s="74" t="s">
        <v>612</v>
      </c>
      <c r="B810" s="1"/>
      <c r="C810" s="1"/>
      <c r="D810" s="1"/>
      <c r="E810" s="59">
        <f>SUM(B810:D810)</f>
        <v>0</v>
      </c>
      <c r="F810" s="1"/>
      <c r="G810" s="1"/>
      <c r="H810" s="1"/>
      <c r="I810" s="59">
        <f>SUM(F810:H810)</f>
        <v>0</v>
      </c>
      <c r="J810" s="1"/>
      <c r="K810" s="1"/>
      <c r="L810" s="1"/>
      <c r="M810" s="59">
        <f>SUM(J810:L810)</f>
        <v>0</v>
      </c>
      <c r="N810" s="1"/>
      <c r="O810" s="1"/>
      <c r="P810" s="1"/>
      <c r="Q810" s="59">
        <f>SUM(N810:P810)</f>
        <v>0</v>
      </c>
      <c r="R810" s="59">
        <f>+E810+I810+M810+Q810</f>
        <v>0</v>
      </c>
    </row>
    <row r="811" spans="1:20" ht="15.75" customHeight="1" x14ac:dyDescent="0.3">
      <c r="A811" s="74" t="s">
        <v>613</v>
      </c>
      <c r="B811" s="1"/>
      <c r="C811" s="1"/>
      <c r="D811" s="1"/>
      <c r="E811" s="59">
        <f>SUM(B811:D811)</f>
        <v>0</v>
      </c>
      <c r="F811" s="1"/>
      <c r="G811" s="1"/>
      <c r="H811" s="1"/>
      <c r="I811" s="59">
        <f>SUM(F811:H811)</f>
        <v>0</v>
      </c>
      <c r="J811" s="1"/>
      <c r="K811" s="1"/>
      <c r="L811" s="1"/>
      <c r="M811" s="59">
        <f>SUM(J811:L811)</f>
        <v>0</v>
      </c>
      <c r="N811" s="1"/>
      <c r="O811" s="1"/>
      <c r="P811" s="1"/>
      <c r="Q811" s="59">
        <f>SUM(N811:P811)</f>
        <v>0</v>
      </c>
      <c r="R811" s="59">
        <f>+E811+I811+M811+Q811</f>
        <v>0</v>
      </c>
    </row>
    <row r="812" spans="1:20" ht="15.75" customHeight="1" x14ac:dyDescent="0.3">
      <c r="A812" s="17" t="s">
        <v>64</v>
      </c>
      <c r="B812" s="1"/>
      <c r="C812" s="1"/>
      <c r="D812" s="1"/>
      <c r="E812" s="59" t="s">
        <v>7</v>
      </c>
      <c r="F812" s="1"/>
      <c r="G812" s="1"/>
      <c r="H812" s="1"/>
      <c r="I812" s="59" t="s">
        <v>7</v>
      </c>
      <c r="J812" s="1"/>
      <c r="K812" s="1"/>
      <c r="L812" s="1"/>
      <c r="M812" s="59" t="s">
        <v>7</v>
      </c>
      <c r="N812" s="1"/>
      <c r="O812" s="1"/>
      <c r="P812" s="1"/>
      <c r="Q812" s="59" t="s">
        <v>7</v>
      </c>
      <c r="R812" s="59" t="s">
        <v>7</v>
      </c>
    </row>
    <row r="813" spans="1:20" ht="15.75" customHeight="1" x14ac:dyDescent="0.3">
      <c r="A813" s="74" t="s">
        <v>614</v>
      </c>
      <c r="B813" s="1"/>
      <c r="C813" s="1"/>
      <c r="D813" s="1"/>
      <c r="E813" s="59">
        <f>SUM(B813:D813)</f>
        <v>0</v>
      </c>
      <c r="F813" s="1"/>
      <c r="G813" s="1"/>
      <c r="H813" s="1"/>
      <c r="I813" s="59">
        <f>SUM(F813:H813)</f>
        <v>0</v>
      </c>
      <c r="J813" s="1"/>
      <c r="K813" s="1"/>
      <c r="L813" s="315"/>
      <c r="M813" s="59">
        <f>SUM(J813:L813)</f>
        <v>0</v>
      </c>
      <c r="N813" s="1">
        <v>250</v>
      </c>
      <c r="O813" s="315">
        <v>250</v>
      </c>
      <c r="P813" s="1"/>
      <c r="Q813" s="59">
        <f>SUM(N813:P813)</f>
        <v>500</v>
      </c>
      <c r="R813" s="59">
        <f>+E813+I813+M813+Q813</f>
        <v>500</v>
      </c>
    </row>
    <row r="814" spans="1:20" ht="15.75" customHeight="1" x14ac:dyDescent="0.3">
      <c r="A814" s="74" t="s">
        <v>615</v>
      </c>
      <c r="B814" s="1"/>
      <c r="C814" s="1"/>
      <c r="D814" s="1"/>
      <c r="E814" s="59">
        <f>SUM(B814:D814)</f>
        <v>0</v>
      </c>
      <c r="F814" s="1"/>
      <c r="G814" s="1"/>
      <c r="H814" s="1"/>
      <c r="I814" s="59">
        <f>SUM(F814:H814)</f>
        <v>0</v>
      </c>
      <c r="J814" s="1"/>
      <c r="K814" s="1"/>
      <c r="L814" s="1"/>
      <c r="M814" s="59">
        <f>SUM(J814:L814)</f>
        <v>0</v>
      </c>
      <c r="N814" s="1">
        <v>750</v>
      </c>
      <c r="O814" s="1">
        <v>750</v>
      </c>
      <c r="P814" s="1">
        <v>500</v>
      </c>
      <c r="Q814" s="59">
        <f>SUM(N814:P814)</f>
        <v>2000</v>
      </c>
      <c r="R814" s="59">
        <f>+E814+I814+M814+Q814</f>
        <v>2000</v>
      </c>
    </row>
    <row r="815" spans="1:20" ht="15.75" customHeight="1" x14ac:dyDescent="0.3">
      <c r="A815" s="17" t="s">
        <v>66</v>
      </c>
      <c r="B815" s="1"/>
      <c r="C815" s="1"/>
      <c r="D815" s="1"/>
      <c r="E815" s="59" t="s">
        <v>7</v>
      </c>
      <c r="F815" s="1"/>
      <c r="G815" s="1"/>
      <c r="H815" s="1"/>
      <c r="I815" s="59" t="s">
        <v>7</v>
      </c>
      <c r="J815" s="1"/>
      <c r="K815" s="1"/>
      <c r="L815" s="1"/>
      <c r="M815" s="59" t="s">
        <v>7</v>
      </c>
      <c r="N815" s="1"/>
      <c r="O815" s="1"/>
      <c r="P815" s="1"/>
      <c r="Q815" s="59" t="s">
        <v>7</v>
      </c>
      <c r="R815" s="59" t="s">
        <v>7</v>
      </c>
    </row>
    <row r="816" spans="1:20" ht="15.75" customHeight="1" thickBot="1" x14ac:dyDescent="0.35">
      <c r="A816" s="17" t="s">
        <v>67</v>
      </c>
      <c r="B816" s="1"/>
      <c r="C816" s="1"/>
      <c r="D816" s="1"/>
      <c r="E816" s="59" t="s">
        <v>7</v>
      </c>
      <c r="F816" s="1"/>
      <c r="G816" s="1"/>
      <c r="H816" s="1"/>
      <c r="I816" s="59" t="s">
        <v>7</v>
      </c>
      <c r="J816" s="1"/>
      <c r="K816" s="1"/>
      <c r="L816" s="1"/>
      <c r="M816" s="59" t="s">
        <v>7</v>
      </c>
      <c r="N816" s="1"/>
      <c r="O816" s="1"/>
      <c r="P816" s="1"/>
      <c r="Q816" s="59" t="s">
        <v>7</v>
      </c>
      <c r="R816" s="59" t="s">
        <v>7</v>
      </c>
    </row>
    <row r="817" spans="1:18" ht="16.5" customHeight="1" thickBot="1" x14ac:dyDescent="0.35">
      <c r="A817" s="62" t="s">
        <v>68</v>
      </c>
      <c r="B817" s="63">
        <f>SUM(B815:B816)</f>
        <v>0</v>
      </c>
      <c r="C817" s="63">
        <f>SUM(C815:C816)</f>
        <v>0</v>
      </c>
      <c r="D817" s="63">
        <f>SUM(D815:D816)</f>
        <v>0</v>
      </c>
      <c r="E817" s="65">
        <f>SUM(B817:D817)</f>
        <v>0</v>
      </c>
      <c r="F817" s="63">
        <f>SUM(F815:F816)</f>
        <v>0</v>
      </c>
      <c r="G817" s="63">
        <f>SUM(G815:G816)</f>
        <v>0</v>
      </c>
      <c r="H817" s="63">
        <f>SUM(H815:H816)</f>
        <v>0</v>
      </c>
      <c r="I817" s="65">
        <f>SUM(F817:H817)</f>
        <v>0</v>
      </c>
      <c r="J817" s="63">
        <f>SUM(J815:J816)</f>
        <v>0</v>
      </c>
      <c r="K817" s="63">
        <f>SUM(K815:K816)</f>
        <v>0</v>
      </c>
      <c r="L817" s="63">
        <f>SUM(L815:L816)</f>
        <v>0</v>
      </c>
      <c r="M817" s="65">
        <f>SUM(J817:L817)</f>
        <v>0</v>
      </c>
      <c r="N817" s="63">
        <f>SUM(N815:N816)</f>
        <v>0</v>
      </c>
      <c r="O817" s="63">
        <f>SUM(O815:O816)</f>
        <v>0</v>
      </c>
      <c r="P817" s="63">
        <f>SUM(P815:P816)</f>
        <v>0</v>
      </c>
      <c r="Q817" s="65">
        <f>SUM(N817:P817)</f>
        <v>0</v>
      </c>
      <c r="R817" s="64">
        <f>+E817+I817+M817+Q817</f>
        <v>0</v>
      </c>
    </row>
    <row r="818" spans="1:18" ht="16.5" customHeight="1" thickBot="1" x14ac:dyDescent="0.35">
      <c r="A818" s="62" t="s">
        <v>69</v>
      </c>
      <c r="B818" s="100">
        <f>SUM(B808:B816)</f>
        <v>0</v>
      </c>
      <c r="C818" s="101">
        <f>SUM(C808:C816)</f>
        <v>0</v>
      </c>
      <c r="D818" s="138">
        <f>SUM(D808:D816)</f>
        <v>0</v>
      </c>
      <c r="E818" s="65">
        <f>SUM(B818:D818)</f>
        <v>0</v>
      </c>
      <c r="F818" s="101">
        <f>SUM(F808:F816)</f>
        <v>0</v>
      </c>
      <c r="G818" s="101">
        <f>SUM(G808:G816)</f>
        <v>0</v>
      </c>
      <c r="H818" s="101">
        <f>SUM(H808:H816)</f>
        <v>0</v>
      </c>
      <c r="I818" s="65">
        <f>SUM(F818:H818)</f>
        <v>0</v>
      </c>
      <c r="J818" s="101">
        <f>SUM(J808:J816)</f>
        <v>0</v>
      </c>
      <c r="K818" s="101">
        <f>SUM(K808:K816)</f>
        <v>0</v>
      </c>
      <c r="L818" s="101">
        <f>SUM(L808:L816)</f>
        <v>0</v>
      </c>
      <c r="M818" s="65">
        <f>SUM(J818:L818)</f>
        <v>0</v>
      </c>
      <c r="N818" s="101">
        <f>SUM(N808:N816)</f>
        <v>1000</v>
      </c>
      <c r="O818" s="101">
        <f>SUM(O808:O816)</f>
        <v>1000</v>
      </c>
      <c r="P818" s="101">
        <f>SUM(P808:P816)</f>
        <v>500</v>
      </c>
      <c r="Q818" s="65">
        <f>SUM(N818:P818)</f>
        <v>2500</v>
      </c>
      <c r="R818" s="64">
        <f>+E818+I818+M818+Q818</f>
        <v>2500</v>
      </c>
    </row>
    <row r="819" spans="1:18" ht="16.5" customHeight="1" thickBot="1" x14ac:dyDescent="0.35">
      <c r="A819" s="62" t="s">
        <v>70</v>
      </c>
      <c r="B819" s="107">
        <f>+B792+B797+B807+B818</f>
        <v>3922</v>
      </c>
      <c r="C819" s="63">
        <f>+C792+C797+C807+C818</f>
        <v>4006</v>
      </c>
      <c r="D819" s="63">
        <f>+D792+D797+D807+D818</f>
        <v>4112</v>
      </c>
      <c r="E819" s="64">
        <f>SUM(B819:D819)</f>
        <v>12040</v>
      </c>
      <c r="F819" s="63">
        <f>+F792+F797+F807+F818</f>
        <v>4106</v>
      </c>
      <c r="G819" s="63">
        <f>+G792+G797+G807+G818</f>
        <v>4191</v>
      </c>
      <c r="H819" s="63">
        <f>+H792+H797+H807+H818</f>
        <v>4134</v>
      </c>
      <c r="I819" s="64">
        <f>SUM(F819:H819)</f>
        <v>12431</v>
      </c>
      <c r="J819" s="63">
        <f>+J792+J797+J807+J818</f>
        <v>4176</v>
      </c>
      <c r="K819" s="63">
        <f>+K792+K797+K807+K818</f>
        <v>4552</v>
      </c>
      <c r="L819" s="63">
        <f>+L792+L797+L807+L818</f>
        <v>4519</v>
      </c>
      <c r="M819" s="64">
        <f>SUM(J819:L819)</f>
        <v>13247</v>
      </c>
      <c r="N819" s="63">
        <f>+N792+N797+N807+N818</f>
        <v>3740</v>
      </c>
      <c r="O819" s="63">
        <f>+O792+O797+O807+O818</f>
        <v>3454</v>
      </c>
      <c r="P819" s="63">
        <f>+P792+P797+P807+P818</f>
        <v>2968</v>
      </c>
      <c r="Q819" s="64">
        <f>SUM(N819:P819)</f>
        <v>10162</v>
      </c>
      <c r="R819" s="88">
        <f>+E819+I819+M819+Q819</f>
        <v>47880</v>
      </c>
    </row>
    <row r="820" spans="1:18" ht="16.5" customHeight="1" thickBot="1" x14ac:dyDescent="0.35">
      <c r="A820" s="40" t="s">
        <v>37</v>
      </c>
      <c r="B820" s="25">
        <v>11</v>
      </c>
      <c r="C820" s="25">
        <v>13</v>
      </c>
      <c r="D820" s="25">
        <v>17</v>
      </c>
      <c r="E820" s="59">
        <f>SUM(B820:D820)</f>
        <v>41</v>
      </c>
      <c r="F820" s="25">
        <v>21</v>
      </c>
      <c r="G820" s="25">
        <v>23</v>
      </c>
      <c r="H820" s="25">
        <v>25</v>
      </c>
      <c r="I820" s="59">
        <f>SUM(F820:H820)</f>
        <v>69</v>
      </c>
      <c r="J820" s="25">
        <v>25</v>
      </c>
      <c r="K820" s="25">
        <v>21</v>
      </c>
      <c r="L820" s="25">
        <v>19</v>
      </c>
      <c r="M820" s="59">
        <f>SUM(J820:L820)</f>
        <v>65</v>
      </c>
      <c r="N820" s="25">
        <v>17</v>
      </c>
      <c r="O820" s="25">
        <v>13</v>
      </c>
      <c r="P820" s="25">
        <v>11</v>
      </c>
      <c r="Q820" s="59">
        <f>SUM(N820:P820)</f>
        <v>41</v>
      </c>
      <c r="R820" s="59">
        <f>+E820+I820+M820+Q820</f>
        <v>216</v>
      </c>
    </row>
    <row r="821" spans="1:18" ht="16.5" customHeight="1" thickBot="1" x14ac:dyDescent="0.35">
      <c r="A821" s="42"/>
      <c r="B821" s="37"/>
      <c r="C821" s="37"/>
      <c r="D821" s="37"/>
      <c r="E821" s="64" t="s">
        <v>7</v>
      </c>
      <c r="F821" s="37"/>
      <c r="G821" s="37"/>
      <c r="H821" s="37"/>
      <c r="I821" s="64" t="s">
        <v>7</v>
      </c>
      <c r="J821" s="37"/>
      <c r="K821" s="37"/>
      <c r="L821" s="37"/>
      <c r="M821" s="64" t="s">
        <v>7</v>
      </c>
      <c r="N821" s="37"/>
      <c r="O821" s="37"/>
      <c r="P821" s="37"/>
      <c r="Q821" s="64" t="s">
        <v>7</v>
      </c>
      <c r="R821" s="64" t="s">
        <v>7</v>
      </c>
    </row>
    <row r="822" spans="1:18" ht="15.75" customHeight="1" x14ac:dyDescent="0.3">
      <c r="A822" s="17" t="s">
        <v>38</v>
      </c>
      <c r="B822" s="1">
        <f>SUM(B819:B820)</f>
        <v>3933</v>
      </c>
      <c r="C822" s="1">
        <f>SUM(C819:C820)</f>
        <v>4019</v>
      </c>
      <c r="D822" s="1">
        <f>SUM(D819:D820)</f>
        <v>4129</v>
      </c>
      <c r="E822" s="65">
        <f>SUM(B822:D822)</f>
        <v>12081</v>
      </c>
      <c r="F822" s="1">
        <f>SUM(F819:F820)</f>
        <v>4127</v>
      </c>
      <c r="G822" s="1">
        <f>SUM(G819:G820)</f>
        <v>4214</v>
      </c>
      <c r="H822" s="1">
        <f>SUM(H819:H820)</f>
        <v>4159</v>
      </c>
      <c r="I822" s="65">
        <f>SUM(F822:H822)</f>
        <v>12500</v>
      </c>
      <c r="J822" s="1">
        <f>SUM(J819:J820)</f>
        <v>4201</v>
      </c>
      <c r="K822" s="1">
        <f>SUM(K819:K820)</f>
        <v>4573</v>
      </c>
      <c r="L822" s="1">
        <f>SUM(L819:L820)</f>
        <v>4538</v>
      </c>
      <c r="M822" s="65">
        <f>SUM(J822:L822)</f>
        <v>13312</v>
      </c>
      <c r="N822" s="1">
        <f>SUM(N819:N820)</f>
        <v>3757</v>
      </c>
      <c r="O822" s="1">
        <f>SUM(O819:O820)</f>
        <v>3467</v>
      </c>
      <c r="P822" s="1">
        <f>SUM(P819:P820)</f>
        <v>2979</v>
      </c>
      <c r="Q822" s="65">
        <f>SUM(N822:P822)</f>
        <v>10203</v>
      </c>
      <c r="R822" s="65">
        <f>+E822+I822+M822+Q822</f>
        <v>48096</v>
      </c>
    </row>
    <row r="823" spans="1:18" ht="15.75" customHeight="1" x14ac:dyDescent="0.3">
      <c r="A823" s="17" t="s">
        <v>39</v>
      </c>
      <c r="B823" s="1">
        <f>(B822/B10)/1.983</f>
        <v>63.97930798887316</v>
      </c>
      <c r="C823" s="1">
        <f>(C822/C10)/1.983</f>
        <v>72.383113608529641</v>
      </c>
      <c r="D823" s="1">
        <f>(D822/D10)/1.983</f>
        <v>67.167699640492572</v>
      </c>
      <c r="E823" s="59" t="s">
        <v>7</v>
      </c>
      <c r="F823" s="1">
        <f>(F822/F10)/1.983</f>
        <v>69.373003866196001</v>
      </c>
      <c r="G823" s="1">
        <f>(G822/G10)/1.983</f>
        <v>68.550420509817314</v>
      </c>
      <c r="H823" s="1">
        <f>(H822/H10)/1.983</f>
        <v>69.910909396537221</v>
      </c>
      <c r="I823" s="59" t="s">
        <v>7</v>
      </c>
      <c r="J823" s="1">
        <f>(J822/J10)/1.983</f>
        <v>68.338945553332366</v>
      </c>
      <c r="K823" s="1">
        <f>(K822/K10)/1.983</f>
        <v>74.390382769671234</v>
      </c>
      <c r="L823" s="1">
        <f>(L822/L10)/1.983</f>
        <v>76.28172802151623</v>
      </c>
      <c r="M823" s="59" t="s">
        <v>7</v>
      </c>
      <c r="N823" s="1">
        <f>(N822/N10)/1.983</f>
        <v>61.116262424153689</v>
      </c>
      <c r="O823" s="1">
        <f>(O822/O10)/1.983</f>
        <v>58.278702302908044</v>
      </c>
      <c r="P823" s="1">
        <f>(P822/P10)/1.983</f>
        <v>48.460299643746033</v>
      </c>
      <c r="Q823" s="59" t="s">
        <v>7</v>
      </c>
      <c r="R823" s="59" t="s">
        <v>7</v>
      </c>
    </row>
    <row r="824" spans="1:18" ht="15.75" customHeight="1" x14ac:dyDescent="0.3">
      <c r="A824" s="17" t="s">
        <v>616</v>
      </c>
      <c r="B824" s="1">
        <f>B822</f>
        <v>3933</v>
      </c>
      <c r="C824" s="1">
        <f>C822</f>
        <v>4019</v>
      </c>
      <c r="D824" s="1">
        <f>D822</f>
        <v>4129</v>
      </c>
      <c r="E824" s="59">
        <f>SUM(B824:D824)</f>
        <v>12081</v>
      </c>
      <c r="F824" s="1">
        <f>F822</f>
        <v>4127</v>
      </c>
      <c r="G824" s="1">
        <f>G822</f>
        <v>4214</v>
      </c>
      <c r="H824" s="1">
        <f>H822</f>
        <v>4159</v>
      </c>
      <c r="I824" s="59">
        <f>SUM(F824:H824)</f>
        <v>12500</v>
      </c>
      <c r="J824" s="1">
        <f>J822</f>
        <v>4201</v>
      </c>
      <c r="K824" s="1">
        <f>K822</f>
        <v>4573</v>
      </c>
      <c r="L824" s="1">
        <f>L822</f>
        <v>4538</v>
      </c>
      <c r="M824" s="59">
        <f>SUM(J824:L824)</f>
        <v>13312</v>
      </c>
      <c r="N824" s="1">
        <f>N822</f>
        <v>3757</v>
      </c>
      <c r="O824" s="1">
        <f>O822</f>
        <v>3467</v>
      </c>
      <c r="P824" s="1">
        <f>P822</f>
        <v>2979</v>
      </c>
      <c r="Q824" s="59">
        <f>SUM(N824:P824)</f>
        <v>10203</v>
      </c>
      <c r="R824" s="59">
        <f>+E824+I824+M824+Q824</f>
        <v>48096</v>
      </c>
    </row>
    <row r="825" spans="1:18" ht="16.5" customHeight="1" thickBot="1" x14ac:dyDescent="0.35">
      <c r="A825" s="24" t="s">
        <v>617</v>
      </c>
      <c r="B825" s="25">
        <f>(B824/B10)/1.983</f>
        <v>63.97930798887316</v>
      </c>
      <c r="C825" s="25">
        <f>(C824/C10)/1.983</f>
        <v>72.383113608529641</v>
      </c>
      <c r="D825" s="25">
        <f>(D824/D10)/1.983</f>
        <v>67.167699640492572</v>
      </c>
      <c r="E825" s="88" t="s">
        <v>7</v>
      </c>
      <c r="F825" s="25">
        <f>(F824/F10)/1.983</f>
        <v>69.373003866196001</v>
      </c>
      <c r="G825" s="25">
        <f>(G824/G10)/1.983</f>
        <v>68.550420509817314</v>
      </c>
      <c r="H825" s="25">
        <f>(H824/H10)/1.983</f>
        <v>69.910909396537221</v>
      </c>
      <c r="I825" s="88" t="s">
        <v>7</v>
      </c>
      <c r="J825" s="25">
        <f>(J824/J10)/1.983</f>
        <v>68.338945553332366</v>
      </c>
      <c r="K825" s="25">
        <f>(K824/K10)/1.983</f>
        <v>74.390382769671234</v>
      </c>
      <c r="L825" s="25">
        <f>(L824/L10)/1.983</f>
        <v>76.28172802151623</v>
      </c>
      <c r="M825" s="88" t="s">
        <v>7</v>
      </c>
      <c r="N825" s="25">
        <f>(N824/N10)/1.983</f>
        <v>61.116262424153689</v>
      </c>
      <c r="O825" s="25">
        <f>(O824/O10)/1.983</f>
        <v>58.278702302908044</v>
      </c>
      <c r="P825" s="25">
        <f>(P824/P10)/1.983</f>
        <v>48.460299643746033</v>
      </c>
      <c r="Q825" s="88" t="s">
        <v>7</v>
      </c>
      <c r="R825" s="88" t="s">
        <v>7</v>
      </c>
    </row>
    <row r="826" spans="1:18" ht="15.75" customHeight="1" x14ac:dyDescent="0.3">
      <c r="A826" s="30"/>
      <c r="B826" s="1"/>
      <c r="C826" s="1"/>
      <c r="D826" s="1"/>
      <c r="E826" s="28"/>
      <c r="F826" s="1"/>
      <c r="G826" s="1"/>
      <c r="H826" s="1"/>
      <c r="I826" s="28"/>
      <c r="J826" s="1"/>
      <c r="K826" s="1"/>
      <c r="L826" s="1"/>
      <c r="M826" s="28"/>
      <c r="N826" s="1"/>
      <c r="O826" s="1"/>
      <c r="P826" s="1"/>
      <c r="Q826" s="28"/>
      <c r="R826" s="28"/>
    </row>
    <row r="827" spans="1:18" ht="15.75" customHeight="1" x14ac:dyDescent="0.3">
      <c r="A827" s="30"/>
      <c r="B827" s="1"/>
      <c r="C827" s="1"/>
      <c r="D827" s="1"/>
      <c r="E827" s="1"/>
      <c r="F827" s="1"/>
      <c r="G827" s="1"/>
      <c r="H827" s="1"/>
      <c r="I827" s="1"/>
      <c r="J827" s="1"/>
      <c r="K827" s="1"/>
      <c r="L827" s="1"/>
      <c r="M827" s="1"/>
      <c r="N827" s="1"/>
      <c r="O827" s="1"/>
      <c r="P827" s="1"/>
      <c r="Q827" s="2" t="str">
        <f>+Q1</f>
        <v xml:space="preserve">PRINTED:  </v>
      </c>
      <c r="R827" s="163">
        <f ca="1">+R1</f>
        <v>44894.658168518516</v>
      </c>
    </row>
    <row r="828" spans="1:18" ht="15.75" customHeight="1" x14ac:dyDescent="0.3">
      <c r="A828" s="383" t="s">
        <v>1</v>
      </c>
      <c r="B828" s="383"/>
      <c r="C828" s="383"/>
      <c r="D828" s="383"/>
      <c r="E828" s="383"/>
      <c r="F828" s="383"/>
      <c r="G828" s="383"/>
      <c r="H828" s="383"/>
      <c r="I828" s="383"/>
      <c r="J828" s="383"/>
      <c r="K828" s="383"/>
      <c r="L828" s="383"/>
      <c r="M828" s="383"/>
      <c r="N828" s="383"/>
      <c r="O828" s="383"/>
      <c r="P828" s="383"/>
      <c r="Q828" s="383"/>
      <c r="R828" s="383"/>
    </row>
    <row r="829" spans="1:18" ht="15.75" customHeight="1" x14ac:dyDescent="0.3">
      <c r="A829" s="383" t="s">
        <v>2</v>
      </c>
      <c r="B829" s="383"/>
      <c r="C829" s="383"/>
      <c r="D829" s="383"/>
      <c r="E829" s="383"/>
      <c r="F829" s="383"/>
      <c r="G829" s="383"/>
      <c r="H829" s="383"/>
      <c r="I829" s="383"/>
      <c r="J829" s="383"/>
      <c r="K829" s="383"/>
      <c r="L829" s="383"/>
      <c r="M829" s="383"/>
      <c r="N829" s="383"/>
      <c r="O829" s="383"/>
      <c r="P829" s="383"/>
      <c r="Q829" s="383"/>
      <c r="R829" s="383"/>
    </row>
    <row r="830" spans="1:18" ht="15.75" customHeight="1" x14ac:dyDescent="0.3">
      <c r="A830" s="383" t="s">
        <v>3</v>
      </c>
      <c r="B830" s="383"/>
      <c r="C830" s="383"/>
      <c r="D830" s="383"/>
      <c r="E830" s="383"/>
      <c r="F830" s="383"/>
      <c r="G830" s="383"/>
      <c r="H830" s="383"/>
      <c r="I830" s="383"/>
      <c r="J830" s="383"/>
      <c r="K830" s="383"/>
      <c r="L830" s="383"/>
      <c r="M830" s="383"/>
      <c r="N830" s="383"/>
      <c r="O830" s="383"/>
      <c r="P830" s="383"/>
      <c r="Q830" s="383"/>
      <c r="R830" s="383"/>
    </row>
    <row r="831" spans="1:18" ht="15.75" customHeight="1" x14ac:dyDescent="0.3">
      <c r="A831" s="391">
        <f>+A5</f>
        <v>2018</v>
      </c>
      <c r="B831" s="391"/>
      <c r="C831" s="391"/>
      <c r="D831" s="391"/>
      <c r="E831" s="391"/>
      <c r="F831" s="391"/>
      <c r="G831" s="391"/>
      <c r="H831" s="391"/>
      <c r="I831" s="391"/>
      <c r="J831" s="391"/>
      <c r="K831" s="391"/>
      <c r="L831" s="391"/>
      <c r="M831" s="391"/>
      <c r="N831" s="391"/>
      <c r="O831" s="391"/>
      <c r="P831" s="391"/>
      <c r="Q831" s="391"/>
      <c r="R831" s="391"/>
    </row>
    <row r="832" spans="1:18" ht="15.75" customHeight="1" x14ac:dyDescent="0.3">
      <c r="A832" s="1"/>
      <c r="B832" s="1"/>
      <c r="C832" s="1"/>
      <c r="D832" s="7"/>
      <c r="E832" s="7"/>
      <c r="F832" s="7"/>
      <c r="G832" s="8"/>
      <c r="H832" s="7"/>
      <c r="I832" s="7"/>
      <c r="J832" s="8"/>
      <c r="K832" s="8"/>
      <c r="L832" s="8"/>
      <c r="M832" s="8"/>
      <c r="N832" s="1"/>
      <c r="O832" s="8"/>
      <c r="P832" s="8"/>
      <c r="Q832" s="8"/>
      <c r="R832" s="8"/>
    </row>
    <row r="833" spans="1:20" ht="15.75" customHeight="1" x14ac:dyDescent="0.3">
      <c r="A833" s="383" t="str">
        <f>+A8</f>
        <v>Revised:  11/30/2017</v>
      </c>
      <c r="B833" s="383"/>
      <c r="C833" s="383"/>
      <c r="D833" s="383"/>
      <c r="E833" s="383"/>
      <c r="F833" s="383"/>
      <c r="G833" s="383"/>
      <c r="H833" s="383"/>
      <c r="I833" s="383"/>
      <c r="J833" s="383"/>
      <c r="K833" s="383"/>
      <c r="L833" s="383"/>
      <c r="M833" s="383"/>
      <c r="N833" s="383"/>
      <c r="O833" s="383"/>
      <c r="P833" s="383"/>
      <c r="Q833" s="383"/>
      <c r="R833" s="383"/>
    </row>
    <row r="834" spans="1:20" ht="15.75" customHeight="1" x14ac:dyDescent="0.3">
      <c r="A834" s="6"/>
      <c r="B834" s="6"/>
      <c r="C834" s="6"/>
      <c r="D834" s="6"/>
      <c r="E834" s="6"/>
      <c r="F834" s="6"/>
      <c r="G834" s="6"/>
      <c r="H834" s="6"/>
      <c r="I834" s="6"/>
      <c r="J834" s="6"/>
      <c r="K834" s="6"/>
      <c r="L834" s="6"/>
      <c r="M834" s="6"/>
      <c r="N834" s="6"/>
      <c r="O834" s="6"/>
      <c r="P834" s="6"/>
      <c r="Q834" s="6"/>
      <c r="R834" s="6"/>
    </row>
    <row r="835" spans="1:20" ht="15.75" customHeight="1" x14ac:dyDescent="0.3">
      <c r="A835" s="6"/>
      <c r="B835" s="6"/>
      <c r="C835" s="6"/>
      <c r="D835" s="6"/>
      <c r="E835" s="6"/>
      <c r="F835" s="6"/>
      <c r="G835" s="6"/>
      <c r="H835" s="6"/>
      <c r="I835" s="6"/>
      <c r="J835" s="6"/>
      <c r="K835" s="6"/>
      <c r="L835" s="6"/>
      <c r="M835" s="6"/>
      <c r="N835" s="6"/>
      <c r="O835" s="6"/>
      <c r="P835" s="6"/>
      <c r="Q835" s="6"/>
      <c r="R835" s="6"/>
    </row>
    <row r="836" spans="1:20" ht="15.75" customHeight="1" thickBot="1" x14ac:dyDescent="0.35">
      <c r="A836" s="30"/>
      <c r="B836" s="1"/>
      <c r="C836" s="1"/>
      <c r="D836" s="1"/>
      <c r="E836" s="1"/>
      <c r="F836" s="1"/>
      <c r="G836" s="1"/>
      <c r="H836" s="1"/>
      <c r="I836" s="1"/>
      <c r="J836" s="1"/>
      <c r="K836" s="1"/>
      <c r="L836" s="1"/>
      <c r="M836" s="1"/>
      <c r="N836" s="1"/>
      <c r="O836" s="1"/>
      <c r="P836" s="1"/>
      <c r="Q836" s="1"/>
      <c r="R836" s="28"/>
    </row>
    <row r="837" spans="1:20" ht="16.5" customHeight="1" thickBot="1" x14ac:dyDescent="0.35">
      <c r="A837" s="145" t="s">
        <v>618</v>
      </c>
      <c r="B837" s="32" t="s">
        <v>36</v>
      </c>
      <c r="C837" s="33" t="s">
        <v>9</v>
      </c>
      <c r="D837" s="33" t="s">
        <v>10</v>
      </c>
      <c r="E837" s="12" t="s">
        <v>11</v>
      </c>
      <c r="F837" s="33" t="s">
        <v>12</v>
      </c>
      <c r="G837" s="33" t="s">
        <v>13</v>
      </c>
      <c r="H837" s="33" t="s">
        <v>14</v>
      </c>
      <c r="I837" s="34" t="s">
        <v>15</v>
      </c>
      <c r="J837" s="33" t="s">
        <v>16</v>
      </c>
      <c r="K837" s="33" t="s">
        <v>17</v>
      </c>
      <c r="L837" s="33" t="s">
        <v>18</v>
      </c>
      <c r="M837" s="34" t="s">
        <v>19</v>
      </c>
      <c r="N837" s="33" t="s">
        <v>20</v>
      </c>
      <c r="O837" s="33" t="s">
        <v>21</v>
      </c>
      <c r="P837" s="33" t="s">
        <v>22</v>
      </c>
      <c r="Q837" s="34" t="s">
        <v>23</v>
      </c>
      <c r="R837" s="157" t="s">
        <v>24</v>
      </c>
    </row>
    <row r="838" spans="1:20" ht="16.5" customHeight="1" thickBot="1" x14ac:dyDescent="0.35">
      <c r="A838" s="42"/>
      <c r="B838" s="37"/>
      <c r="C838" s="37"/>
      <c r="D838" s="37"/>
      <c r="E838" s="16"/>
      <c r="F838" s="37"/>
      <c r="G838" s="37"/>
      <c r="H838" s="37"/>
      <c r="I838" s="156"/>
      <c r="J838" s="37"/>
      <c r="K838" s="37"/>
      <c r="L838" s="37"/>
      <c r="M838" s="156"/>
      <c r="N838" s="37"/>
      <c r="O838" s="37"/>
      <c r="P838" s="37"/>
      <c r="Q838" s="158"/>
      <c r="R838" s="159"/>
    </row>
    <row r="839" spans="1:20" ht="15.75" customHeight="1" x14ac:dyDescent="0.3">
      <c r="A839" s="17" t="s">
        <v>45</v>
      </c>
      <c r="B839" s="1" t="s">
        <v>7</v>
      </c>
      <c r="C839" s="1" t="s">
        <v>7</v>
      </c>
      <c r="D839" s="1" t="s">
        <v>7</v>
      </c>
      <c r="E839" s="160"/>
      <c r="F839" s="1" t="s">
        <v>7</v>
      </c>
      <c r="G839" s="1" t="s">
        <v>7</v>
      </c>
      <c r="H839" s="1" t="s">
        <v>7</v>
      </c>
      <c r="I839" s="160"/>
      <c r="J839" s="1" t="s">
        <v>7</v>
      </c>
      <c r="K839" s="1" t="s">
        <v>7</v>
      </c>
      <c r="L839" s="1" t="s">
        <v>7</v>
      </c>
      <c r="M839" s="160"/>
      <c r="N839" s="1" t="s">
        <v>7</v>
      </c>
      <c r="O839" s="1" t="s">
        <v>7</v>
      </c>
      <c r="P839" s="1" t="s">
        <v>7</v>
      </c>
      <c r="Q839" s="161"/>
      <c r="R839" s="162" t="s">
        <v>7</v>
      </c>
    </row>
    <row r="840" spans="1:20" ht="15.75" customHeight="1" x14ac:dyDescent="0.3">
      <c r="A840" s="164" t="s">
        <v>46</v>
      </c>
      <c r="B840" s="1">
        <f>+SUM(B71:B82)+SUM(B140:B189)+SUM(B325:B356)+SUM(B491:B496)+SUM(B535:B540)+SUM(B580:B590)+SUM(B652:B655)+SUM(B688:B694)+SUM(B748:B749)+SUM(B782:B787)</f>
        <v>38577</v>
      </c>
      <c r="C840" s="1">
        <f>+SUM(C71:C82)+SUM(C140:C189)+SUM(C325:C356)+SUM(C491:C496)+SUM(C535:C540)+SUM(C580:C590)+SUM(C652:C655)+SUM(C688:C694)+SUM(C748:C749)+SUM(C782:C787)</f>
        <v>35306</v>
      </c>
      <c r="D840" s="1">
        <f>+SUM(D71:D82)+SUM(D140:D189)+SUM(D325:D356)+SUM(D491:D496)+SUM(D535:D540)+SUM(D580:D590)+SUM(D652:D655)+SUM(D688:D694)+SUM(D748:D749)+SUM(D782:D787)</f>
        <v>32979</v>
      </c>
      <c r="E840" s="59">
        <f t="shared" ref="E840:E846" si="262">SUM(B840:D840)</f>
        <v>106862</v>
      </c>
      <c r="F840" s="1">
        <f>+SUM(F71:F82)+SUM(F140:F189)+SUM(F325:F356)+SUM(F491:F496)+SUM(F535:F540)+SUM(F580:F590)+SUM(F652:F655)+SUM(F688:F694)+SUM(F748:F749)+SUM(F782:F787)</f>
        <v>30845</v>
      </c>
      <c r="G840" s="1">
        <f>+SUM(G71:G82)+SUM(G140:G189)+SUM(G325:G356)+SUM(G491:G496)+SUM(G535:G540)+SUM(G580:G590)+SUM(G652:G655)+SUM(G688:G694)+SUM(G748:G749)+SUM(G782:G787)</f>
        <v>56834</v>
      </c>
      <c r="H840" s="1">
        <f>+SUM(H71:H82)+SUM(H140:H189)+SUM(H325:H356)+SUM(H491:H496)+SUM(H535:H540)+SUM(H580:H590)+SUM(H652:H655)+SUM(H688:H694)+SUM(H748:H749)+SUM(H782:H787)</f>
        <v>76026</v>
      </c>
      <c r="I840" s="59">
        <f t="shared" ref="I840:I846" si="263">SUM(F840:H840)</f>
        <v>163705</v>
      </c>
      <c r="J840" s="1">
        <f>+SUM(J71:J82)+SUM(J140:J189)+SUM(J325:J356)+SUM(J491:J496)+SUM(J535:J540)+SUM(J580:J590)+SUM(J652:J655)+SUM(J688:J694)+SUM(J748:J749)+SUM(J782:J787)</f>
        <v>72699</v>
      </c>
      <c r="K840" s="1">
        <f>+SUM(K71:K82)+SUM(K140:K189)+SUM(K325:K356)+SUM(K491:K496)+SUM(K535:K540)+SUM(K580:K590)+SUM(K652:K655)+SUM(K688:K694)+SUM(K748:K749)+SUM(K782:K787)</f>
        <v>69123</v>
      </c>
      <c r="L840" s="1">
        <f>+SUM(L71:L82)+SUM(L140:L189)+SUM(L325:L356)+SUM(L491:L496)+SUM(L535:L540)+SUM(L580:L590)+SUM(L652:L655)+SUM(L688:L694)+SUM(L748:L749)+SUM(L782:L787)</f>
        <v>64026</v>
      </c>
      <c r="M840" s="59">
        <f t="shared" ref="M840:M846" si="264">SUM(J840:L840)</f>
        <v>205848</v>
      </c>
      <c r="N840" s="1">
        <f>+SUM(N71:N82)+SUM(N140:N189)+SUM(N325:N356)+SUM(N491:N496)+SUM(N535:N540)+SUM(N580:N590)+SUM(N652:N655)+SUM(N688:N694)+SUM(N748:N749)+SUM(N782:N787)</f>
        <v>48638</v>
      </c>
      <c r="O840" s="1">
        <f>+SUM(O71:O82)+SUM(O140:O189)+SUM(O325:O356)+SUM(O491:O496)+SUM(O535:O540)+SUM(O580:O590)+SUM(O652:O655)+SUM(O688:O694)+SUM(O748:O749)+SUM(O782:O787)</f>
        <v>32070</v>
      </c>
      <c r="P840" s="1">
        <f>+SUM(P71:P82)+SUM(P140:P189)+SUM(P325:P356)+SUM(P491:P496)+SUM(P535:P540)+SUM(P580:P590)+SUM(P652:P655)+SUM(P688:P694)+SUM(P748:P749)+SUM(P782:P787)</f>
        <v>30201</v>
      </c>
      <c r="Q840" s="59">
        <f t="shared" ref="Q840:Q846" si="265">SUM(N840:P840)</f>
        <v>110909</v>
      </c>
      <c r="R840" s="59">
        <f t="shared" ref="R840:R846" si="266">+E840+I840+M840+Q840</f>
        <v>587324</v>
      </c>
    </row>
    <row r="841" spans="1:20" ht="15.75" customHeight="1" x14ac:dyDescent="0.3">
      <c r="A841" s="17" t="s">
        <v>619</v>
      </c>
      <c r="B841" s="1">
        <f>+B38+SUM(B83:B84)+SUM(B191:B200)+SUM(B358:B368)+SUM(B498:B499)+B541+SUM(B591:B592)+B656+B695+B750+SUM(B788:B788)</f>
        <v>0</v>
      </c>
      <c r="C841" s="1">
        <f>+C38+SUM(C83:C84)+SUM(C191:C200)+SUM(C358:C368)+SUM(C498:C499)+C541+SUM(C591:C592)+C656+C695+C750+SUM(C788:C788)</f>
        <v>0</v>
      </c>
      <c r="D841" s="1">
        <f>+D38+SUM(D83:D84)+SUM(D191:D200)+SUM(D358:D368)+SUM(D498:D499)+D541+SUM(D591:D592)+D656+D695+D750+SUM(D788:D788)</f>
        <v>0</v>
      </c>
      <c r="E841" s="59">
        <f t="shared" si="262"/>
        <v>0</v>
      </c>
      <c r="F841" s="1">
        <f>+F38+SUM(F83:F84)+SUM(F191:F200)+SUM(F358:F368)+SUM(F498:F499)+F541+SUM(F591:F592)+F656+F695+F750+SUM(F788:F788)</f>
        <v>0</v>
      </c>
      <c r="G841" s="1">
        <f>+G38+SUM(G83:G84)+SUM(G191:G200)+SUM(G358:G368)+SUM(G498:G499)+G541+SUM(G591:G592)+G656+G695+G750+SUM(G788:G788)</f>
        <v>0</v>
      </c>
      <c r="H841" s="1">
        <f>+H38+SUM(H83:H84)+SUM(H191:H200)+SUM(H358:H368)+SUM(H498:H499)+H541+SUM(H591:H592)+H656+H695+H750+SUM(H788:H788)</f>
        <v>0</v>
      </c>
      <c r="I841" s="59">
        <f t="shared" si="263"/>
        <v>0</v>
      </c>
      <c r="J841" s="1">
        <f>+J38+SUM(J83:J84)+SUM(J191:J200)+SUM(J358:J368)+SUM(J498:J499)+J541+SUM(J591:J592)+J656+J695+J750+SUM(J788:J788)</f>
        <v>0</v>
      </c>
      <c r="K841" s="1">
        <f>+K38+SUM(K83:K84)+SUM(K191:K200)+SUM(K358:K368)+SUM(K498:K499)+K541+SUM(K591:K592)+K656+K695+K750+SUM(K788:K788)</f>
        <v>0</v>
      </c>
      <c r="L841" s="1">
        <f>+L38+SUM(L83:L84)+SUM(L191:L200)+SUM(L358:L368)+SUM(L498:L499)+L541+SUM(L591:L592)+L656+L695+L750+SUM(L788:L788)</f>
        <v>0</v>
      </c>
      <c r="M841" s="59">
        <f t="shared" si="264"/>
        <v>0</v>
      </c>
      <c r="N841" s="1">
        <f>+N38+SUM(N83:N84)+SUM(N191:N200)+SUM(N358:N368)+SUM(N498:N499)+N541+SUM(N591:N592)+N656+N695+N750+SUM(N788:N788)</f>
        <v>0</v>
      </c>
      <c r="O841" s="1">
        <f>+O38+SUM(O83:O84)+SUM(O191:O200)+SUM(O358:O368)+SUM(O498:O499)+O541+SUM(O591:O592)+O656+O695+O750+SUM(O788:O788)</f>
        <v>0</v>
      </c>
      <c r="P841" s="1">
        <f>+P38+SUM(P83:P84)+SUM(P191:P200)+SUM(P358:P368)+SUM(P498:P499)+P541+SUM(P591:P592)+P656+P695+P750+SUM(P788:P788)</f>
        <v>0</v>
      </c>
      <c r="Q841" s="59">
        <f t="shared" si="265"/>
        <v>0</v>
      </c>
      <c r="R841" s="59">
        <f t="shared" si="266"/>
        <v>0</v>
      </c>
    </row>
    <row r="842" spans="1:20" ht="15.75" customHeight="1" x14ac:dyDescent="0.3">
      <c r="A842" s="164" t="s">
        <v>620</v>
      </c>
      <c r="B842" s="1">
        <f>+SUM(B85:B87)+SUM(B201:B204)+SUM(B369:B373)+B500+B542+SUM(B593:B594)+B657+B696+B751+SUM(B789:B790)</f>
        <v>1948</v>
      </c>
      <c r="C842" s="1">
        <f>+SUM(C85:C87)+SUM(C201:C204)+SUM(C369:C373)+C500+C542+SUM(C593:C594)+C657+C696+C751+SUM(C789:C790)</f>
        <v>1873</v>
      </c>
      <c r="D842" s="1">
        <f>+SUM(D85:D87)+SUM(D201:D204)+SUM(D369:D373)+D500+D542+SUM(D593:D594)+D657+D696+D751+SUM(D789:D790)</f>
        <v>2274</v>
      </c>
      <c r="E842" s="59">
        <f t="shared" si="262"/>
        <v>6095</v>
      </c>
      <c r="F842" s="1">
        <f>+SUM(F85:F87)+SUM(F201:F204)+SUM(F369:F373)+F500+F542+SUM(F593:F594)+F657+F696+F751+SUM(F789:F790)</f>
        <v>2085</v>
      </c>
      <c r="G842" s="1">
        <f>+SUM(G85:G87)+SUM(G201:G204)+SUM(G369:G373)+G500+G542+SUM(G593:G594)+G657+G696+G751+SUM(G789:G790)</f>
        <v>8175</v>
      </c>
      <c r="H842" s="1">
        <f>+SUM(H85:H87)+SUM(H201:H204)+SUM(H369:H373)+H500+H542+SUM(H593:H594)+H657+H696+H751+SUM(H789:H790)</f>
        <v>6120</v>
      </c>
      <c r="I842" s="59">
        <f t="shared" si="263"/>
        <v>16380</v>
      </c>
      <c r="J842" s="1">
        <f>+SUM(J85:J87)+SUM(J201:J204)+SUM(J369:J373)+J500+J542+SUM(J593:J594)+J657+J696+J751+SUM(J789:J790)</f>
        <v>4970</v>
      </c>
      <c r="K842" s="1">
        <f>+SUM(K85:K87)+SUM(K201:K204)+SUM(K369:K373)+K500+K542+SUM(K593:K594)+K657+K696+K751+SUM(K789:K790)</f>
        <v>2084</v>
      </c>
      <c r="L842" s="1">
        <f>+SUM(L85:L87)+SUM(L201:L204)+SUM(L369:L373)+L500+L542+SUM(L593:L594)+L657+L696+L751+SUM(L789:L790)</f>
        <v>1716</v>
      </c>
      <c r="M842" s="59">
        <f t="shared" si="264"/>
        <v>8770</v>
      </c>
      <c r="N842" s="1">
        <f>+SUM(N85:N87)+SUM(N201:N204)+SUM(N369:N373)+N500+N542+SUM(N593:N594)+N657+N696+N751+SUM(N789:N790)</f>
        <v>1127</v>
      </c>
      <c r="O842" s="1">
        <f>+SUM(O85:O87)+SUM(O201:O204)+SUM(O369:O373)+O500+O542+SUM(O593:O594)+O657+O696+O751+SUM(O789:O790)</f>
        <v>1323</v>
      </c>
      <c r="P842" s="1">
        <f>+SUM(P85:P87)+SUM(P201:P204)+SUM(P369:P373)+P500+P542+SUM(P593:P594)+P657+P696+P751+SUM(P789:P790)</f>
        <v>1305</v>
      </c>
      <c r="Q842" s="59">
        <f t="shared" si="265"/>
        <v>3755</v>
      </c>
      <c r="R842" s="59">
        <f>+E842+I842+M842+Q842</f>
        <v>35000</v>
      </c>
    </row>
    <row r="843" spans="1:20" ht="15.75" customHeight="1" x14ac:dyDescent="0.3">
      <c r="A843" s="17" t="s">
        <v>621</v>
      </c>
      <c r="B843" s="1">
        <f>+B302+B472+B473</f>
        <v>0</v>
      </c>
      <c r="C843" s="1">
        <f>+C302+C472+C473</f>
        <v>0</v>
      </c>
      <c r="D843" s="1">
        <f>+D302+D472+D473</f>
        <v>0</v>
      </c>
      <c r="E843" s="59">
        <f t="shared" si="262"/>
        <v>0</v>
      </c>
      <c r="F843" s="1">
        <f>+F302+F472+F473</f>
        <v>0</v>
      </c>
      <c r="G843" s="1">
        <f>+G302+G472+G473</f>
        <v>0</v>
      </c>
      <c r="H843" s="1">
        <f>+H302+H472+H473</f>
        <v>0</v>
      </c>
      <c r="I843" s="59">
        <f t="shared" si="263"/>
        <v>0</v>
      </c>
      <c r="J843" s="1">
        <f>+J302+J472+J473</f>
        <v>0</v>
      </c>
      <c r="K843" s="1">
        <f>+K302+K472+K473</f>
        <v>0</v>
      </c>
      <c r="L843" s="1">
        <f>+L302+L472+L473</f>
        <v>0</v>
      </c>
      <c r="M843" s="59">
        <f t="shared" si="264"/>
        <v>0</v>
      </c>
      <c r="N843" s="1">
        <f>+N302+N472+N473</f>
        <v>0</v>
      </c>
      <c r="O843" s="1">
        <f>+O302+O472+O473</f>
        <v>0</v>
      </c>
      <c r="P843" s="1">
        <f>+P302+P472+P473</f>
        <v>0</v>
      </c>
      <c r="Q843" s="59">
        <f t="shared" si="265"/>
        <v>0</v>
      </c>
      <c r="R843" s="59">
        <f t="shared" si="266"/>
        <v>0</v>
      </c>
    </row>
    <row r="844" spans="1:20" ht="15.75" customHeight="1" x14ac:dyDescent="0.3">
      <c r="A844" s="164" t="s">
        <v>622</v>
      </c>
      <c r="B844" s="1">
        <f>+B303</f>
        <v>42</v>
      </c>
      <c r="C844" s="1">
        <f>+C303</f>
        <v>43</v>
      </c>
      <c r="D844" s="1">
        <f>+D303</f>
        <v>47</v>
      </c>
      <c r="E844" s="59">
        <f>SUM(B844:D844)</f>
        <v>132</v>
      </c>
      <c r="F844" s="1">
        <f>+F303</f>
        <v>52</v>
      </c>
      <c r="G844" s="1">
        <f>+G303</f>
        <v>52</v>
      </c>
      <c r="H844" s="1">
        <f>+H303</f>
        <v>57</v>
      </c>
      <c r="I844" s="59">
        <f>SUM(F844:H844)</f>
        <v>161</v>
      </c>
      <c r="J844" s="1">
        <f>+J303</f>
        <v>62</v>
      </c>
      <c r="K844" s="1">
        <f>+K303</f>
        <v>62</v>
      </c>
      <c r="L844" s="1">
        <f>+L303</f>
        <v>62</v>
      </c>
      <c r="M844" s="59">
        <f>SUM(J844:L844)</f>
        <v>186</v>
      </c>
      <c r="N844" s="1">
        <f>+N303</f>
        <v>57</v>
      </c>
      <c r="O844" s="1">
        <f>+O303</f>
        <v>42</v>
      </c>
      <c r="P844" s="1">
        <f>+P303</f>
        <v>47</v>
      </c>
      <c r="Q844" s="59">
        <f t="shared" si="265"/>
        <v>146</v>
      </c>
      <c r="R844" s="59">
        <f>+E844+I844+M844+Q844</f>
        <v>625</v>
      </c>
    </row>
    <row r="845" spans="1:20" ht="15.75" customHeight="1" thickBot="1" x14ac:dyDescent="0.35">
      <c r="A845" s="17" t="s">
        <v>51</v>
      </c>
      <c r="B845" s="1">
        <f>+B88+B501+B543+B595+B658+B697+B752+B791</f>
        <v>0</v>
      </c>
      <c r="C845" s="1">
        <f>+C88+C501+C543+C595+C658+C697+C752+C791</f>
        <v>0</v>
      </c>
      <c r="D845" s="1">
        <f>+D88+D501+D543+D595+D658+D697+D752+D791</f>
        <v>0</v>
      </c>
      <c r="E845" s="59">
        <f t="shared" si="262"/>
        <v>0</v>
      </c>
      <c r="F845" s="1">
        <f>+F88+F501+F543+F595+F658+F697+F752+F791</f>
        <v>0</v>
      </c>
      <c r="G845" s="1">
        <f>+G88+G501+G543+G595+G658+G697+G752+G791</f>
        <v>0</v>
      </c>
      <c r="H845" s="1">
        <f>+H88+H501+H543+H595+H658+H697+H752+H791</f>
        <v>0</v>
      </c>
      <c r="I845" s="59">
        <f t="shared" si="263"/>
        <v>0</v>
      </c>
      <c r="J845" s="1">
        <f>+J88+J501+J543+J595+J658+J697+J752+J791</f>
        <v>0</v>
      </c>
      <c r="K845" s="1">
        <f>+K88+K501+K543+K595+K658+K697+K752+K791</f>
        <v>0</v>
      </c>
      <c r="L845" s="1">
        <f>+L88+L501+L543+L595+L658+L697+L752+L791</f>
        <v>0</v>
      </c>
      <c r="M845" s="59">
        <f t="shared" si="264"/>
        <v>0</v>
      </c>
      <c r="N845" s="1">
        <f>+N88+N501+N543+N595+N658+N697+N752+N791</f>
        <v>0</v>
      </c>
      <c r="O845" s="1">
        <f>+O88+O501+O543+O595+O658+O697+O752+O791</f>
        <v>0</v>
      </c>
      <c r="P845" s="1">
        <f>+P88+P501+P543+P595+P658+P697+P752+P791</f>
        <v>0</v>
      </c>
      <c r="Q845" s="59">
        <f t="shared" si="265"/>
        <v>0</v>
      </c>
      <c r="R845" s="59">
        <f t="shared" si="266"/>
        <v>0</v>
      </c>
    </row>
    <row r="846" spans="1:20" ht="16.5" customHeight="1" thickBot="1" x14ac:dyDescent="0.35">
      <c r="A846" s="62" t="s">
        <v>52</v>
      </c>
      <c r="B846" s="100">
        <f>SUM(B839:B845)</f>
        <v>40567</v>
      </c>
      <c r="C846" s="101">
        <f>SUM(C839:C845)</f>
        <v>37222</v>
      </c>
      <c r="D846" s="101">
        <f>SUM(D839:D845)</f>
        <v>35300</v>
      </c>
      <c r="E846" s="64">
        <f t="shared" si="262"/>
        <v>113089</v>
      </c>
      <c r="F846" s="101">
        <f>SUM(F839:F845)</f>
        <v>32982</v>
      </c>
      <c r="G846" s="101">
        <f>SUM(G839:G845)</f>
        <v>65061</v>
      </c>
      <c r="H846" s="101">
        <f>SUM(H839:H845)</f>
        <v>82203</v>
      </c>
      <c r="I846" s="64">
        <f t="shared" si="263"/>
        <v>180246</v>
      </c>
      <c r="J846" s="101">
        <f>SUM(J839:J845)</f>
        <v>77731</v>
      </c>
      <c r="K846" s="101">
        <f>SUM(K839:K845)</f>
        <v>71269</v>
      </c>
      <c r="L846" s="101">
        <f>SUM(L839:L845)</f>
        <v>65804</v>
      </c>
      <c r="M846" s="64">
        <f t="shared" si="264"/>
        <v>214804</v>
      </c>
      <c r="N846" s="101">
        <f>SUM(N839:N845)</f>
        <v>49822</v>
      </c>
      <c r="O846" s="101">
        <f>SUM(O839:O845)</f>
        <v>33435</v>
      </c>
      <c r="P846" s="101">
        <f>SUM(P839:P845)</f>
        <v>31553</v>
      </c>
      <c r="Q846" s="64">
        <f t="shared" si="265"/>
        <v>114810</v>
      </c>
      <c r="R846" s="64">
        <f t="shared" si="266"/>
        <v>622949</v>
      </c>
      <c r="T846" s="4">
        <f>+R846-R843-R842</f>
        <v>587949</v>
      </c>
    </row>
    <row r="847" spans="1:20" ht="15.75" customHeight="1" x14ac:dyDescent="0.3">
      <c r="A847" s="17" t="s">
        <v>53</v>
      </c>
      <c r="B847" s="1"/>
      <c r="C847" s="1"/>
      <c r="D847" s="1"/>
      <c r="E847" s="59" t="s">
        <v>7</v>
      </c>
      <c r="F847" s="1"/>
      <c r="G847" s="1"/>
      <c r="H847" s="1"/>
      <c r="I847" s="59" t="s">
        <v>7</v>
      </c>
      <c r="J847" s="1"/>
      <c r="K847" s="1"/>
      <c r="L847" s="1"/>
      <c r="M847" s="59" t="s">
        <v>7</v>
      </c>
      <c r="N847" s="1"/>
      <c r="O847" s="1"/>
      <c r="P847" s="1"/>
      <c r="Q847" s="59" t="s">
        <v>7</v>
      </c>
      <c r="R847" s="59" t="s">
        <v>7</v>
      </c>
    </row>
    <row r="848" spans="1:20" ht="15.75" customHeight="1" x14ac:dyDescent="0.3">
      <c r="A848" s="17" t="s">
        <v>54</v>
      </c>
      <c r="B848" s="1">
        <f>SUM(B43:B43)+SUM(B208:B208)+SUM(B91:B91)+SUM(B377:B377)</f>
        <v>0</v>
      </c>
      <c r="C848" s="1">
        <f>SUM(C43:C43)+SUM(C208:C208)+SUM(C91:C91)+SUM(C377:C377)</f>
        <v>0</v>
      </c>
      <c r="D848" s="1">
        <f>SUM(D43:D43)+SUM(D208:D208)+SUM(D91:D91)+SUM(D377:D377)</f>
        <v>0</v>
      </c>
      <c r="E848" s="59">
        <f>SUM(B848:D848)</f>
        <v>0</v>
      </c>
      <c r="F848" s="1">
        <f>SUM(F43:F43)+SUM(F208:F208)+SUM(F91:F91)+SUM(F377:F377)</f>
        <v>0</v>
      </c>
      <c r="G848" s="1">
        <f>SUM(G43:G43)+SUM(G208:G208)+SUM(G91:G91)+SUM(G377:G377)</f>
        <v>0</v>
      </c>
      <c r="H848" s="1">
        <f>SUM(H43:H43)+SUM(H208:H208)+SUM(H91:H91)+SUM(H377:H377)</f>
        <v>0</v>
      </c>
      <c r="I848" s="59">
        <f>SUM(F848:H848)</f>
        <v>0</v>
      </c>
      <c r="J848" s="1">
        <f>SUM(J43:J43)+SUM(J208:J208)+SUM(J91:J91)+SUM(J377:J377)</f>
        <v>0</v>
      </c>
      <c r="K848" s="1">
        <f>SUM(K43:K43)+SUM(K208:K208)+SUM(K91:K91)+SUM(K377:K377)</f>
        <v>0</v>
      </c>
      <c r="L848" s="1">
        <f>SUM(L43:L43)+SUM(L208:L208)+SUM(L91:L91)+SUM(L377:L377)</f>
        <v>0</v>
      </c>
      <c r="M848" s="59">
        <f>SUM(J848:L848)</f>
        <v>0</v>
      </c>
      <c r="N848" s="1">
        <f>SUM(N43:N43)+SUM(N208:N208)+SUM(N91:N91)+SUM(N377:N377)</f>
        <v>0</v>
      </c>
      <c r="O848" s="1">
        <f>SUM(O43:O43)+SUM(O208:O208)+SUM(O91:O91)+SUM(O377:O377)</f>
        <v>0</v>
      </c>
      <c r="P848" s="1">
        <f>SUM(P43:P43)+SUM(P208:P208)+SUM(P91:P91)+SUM(P377:P377)</f>
        <v>0</v>
      </c>
      <c r="Q848" s="59">
        <f>SUM(N848:P848)</f>
        <v>0</v>
      </c>
      <c r="R848" s="59">
        <f>+E848+I848+M848+Q848</f>
        <v>0</v>
      </c>
    </row>
    <row r="849" spans="1:20" ht="15.75" customHeight="1" x14ac:dyDescent="0.3">
      <c r="A849" s="164" t="s">
        <v>55</v>
      </c>
      <c r="B849" s="1">
        <f>+SUM(B93:B94)+SUM(B209:B211)+SUM(B378:B387)+B505+SUM(B546:B548)+SUM(B598:B600)+SUM(B661:B661)+B700+B755+SUM(B794:B795)</f>
        <v>5210</v>
      </c>
      <c r="C849" s="1">
        <f>+SUM(C93:C94)+SUM(C209:C211)+SUM(C378:C387)+C505+SUM(C546:C548)+SUM(C598:C600)+SUM(C661:C661)+C700+C755+SUM(C794:C795)</f>
        <v>7000</v>
      </c>
      <c r="D849" s="1">
        <f>+SUM(D93:D94)+SUM(D209:D211)+SUM(D378:D387)+D505+SUM(D546:D548)+SUM(D598:D600)+SUM(D661:D661)+D700+D755+SUM(D794:D795)</f>
        <v>28100</v>
      </c>
      <c r="E849" s="59">
        <f>SUM(B849:D849)</f>
        <v>40310</v>
      </c>
      <c r="F849" s="1">
        <f>+SUM(F93:F94)+SUM(F209:F211)+SUM(F378:F387)+F505+SUM(F546:F548)+SUM(F598:F600)+SUM(F661:F661)+F700+F755+SUM(F794:F795)</f>
        <v>36660</v>
      </c>
      <c r="G849" s="1">
        <f>+SUM(G93:G94)+SUM(G209:G211)+SUM(G378:G387)+G505+SUM(G546:G548)+SUM(G598:G600)+SUM(G661:G661)+G700+G755+SUM(G794:G795)</f>
        <v>32676</v>
      </c>
      <c r="H849" s="1">
        <f>+SUM(H93:H94)+SUM(H209:H211)+SUM(H378:H387)+H505+SUM(H546:H548)+SUM(H598:H600)+SUM(H661:H661)+H700+H755+SUM(H794:H795)</f>
        <v>42550</v>
      </c>
      <c r="I849" s="59">
        <f>SUM(F849:H849)</f>
        <v>111886</v>
      </c>
      <c r="J849" s="1">
        <f>+SUM(J93:J94)+SUM(J209:J211)+SUM(J378:J387)+J505+SUM(J546:J548)+SUM(J598:J600)+SUM(J661:J661)+J700+J755+SUM(J794:J795)</f>
        <v>37860</v>
      </c>
      <c r="K849" s="1">
        <f>+SUM(K93:K94)+SUM(K209:K211)+SUM(K378:K387)+K505+SUM(K546:K548)+SUM(K598:K600)+SUM(K661:K661)+K700+K755+SUM(K794:K795)</f>
        <v>33000</v>
      </c>
      <c r="L849" s="1">
        <f>+SUM(L93:L94)+SUM(L209:L211)+SUM(L378:L387)+L505+SUM(L546:L548)+SUM(L598:L600)+SUM(L661:L661)+L700+L755+SUM(L794:L795)</f>
        <v>14300</v>
      </c>
      <c r="M849" s="59">
        <f>SUM(J849:L849)</f>
        <v>85160</v>
      </c>
      <c r="N849" s="1">
        <f>+SUM(N93:N94)+SUM(N209:N211)+SUM(N378:N387)+N505+SUM(N546:N548)+SUM(N598:N600)+SUM(N661:N661)+N700+N755+SUM(N794:N795)</f>
        <v>6292</v>
      </c>
      <c r="O849" s="1">
        <f>+SUM(O93:O94)+SUM(O209:O211)+SUM(O378:O387)+O505+SUM(O546:O548)+SUM(O598:O600)+SUM(O661:O661)+O700+O755+SUM(O794:O795)</f>
        <v>2730</v>
      </c>
      <c r="P849" s="1">
        <f>+SUM(P93:P94)+SUM(P209:P211)+SUM(P378:P387)+P505+SUM(P546:P548)+SUM(P598:P600)+SUM(P661:P661)+P700+P755+SUM(P794:P795)</f>
        <v>4286</v>
      </c>
      <c r="Q849" s="59">
        <f>SUM(N849:P849)</f>
        <v>13308</v>
      </c>
      <c r="R849" s="59">
        <f>+E849+I849+M849+Q849</f>
        <v>250664</v>
      </c>
    </row>
    <row r="850" spans="1:20" ht="15.75" customHeight="1" thickBot="1" x14ac:dyDescent="0.35">
      <c r="A850" s="17" t="s">
        <v>56</v>
      </c>
      <c r="B850" s="1">
        <f>+B95+B506+B549+B601+B662+B701+B756+B796+B388+B212+B45</f>
        <v>0</v>
      </c>
      <c r="C850" s="1">
        <f>+C95+C506+C549+C601+C662+C701+C756+C796+C388+C212+C45</f>
        <v>0</v>
      </c>
      <c r="D850" s="1">
        <f>+D95+D506+D549+D601+D662+D701+D756+D796+D388+D212+D45</f>
        <v>0</v>
      </c>
      <c r="E850" s="59">
        <f>SUM(B850:D850)</f>
        <v>0</v>
      </c>
      <c r="F850" s="1">
        <f>+F95+F506+F549+F601+F662+F701+F756+F796+F388+F212+F45</f>
        <v>0</v>
      </c>
      <c r="G850" s="1">
        <f>+G95+G506+G549+G601+G662+G701+G756+G796+G388+G212+G45</f>
        <v>0</v>
      </c>
      <c r="H850" s="1">
        <f>+H95+H506+H549+H601+H662+H701+H756+H796+H388+H212+H45</f>
        <v>0</v>
      </c>
      <c r="I850" s="59">
        <f>SUM(F850:H850)</f>
        <v>0</v>
      </c>
      <c r="J850" s="1">
        <f>+J95+J506+J549+J601+J662+J701+J756+J796+J388+J212+J45</f>
        <v>0</v>
      </c>
      <c r="K850" s="1">
        <f>+K95+K506+K549+K601+K662+K701+K756+K796+K388+K212+K45</f>
        <v>0</v>
      </c>
      <c r="L850" s="1">
        <f>+L95+L506+L549+L601+L662+L701+L756+L796+L388+L212+L45</f>
        <v>0</v>
      </c>
      <c r="M850" s="59">
        <f>SUM(J850:L850)</f>
        <v>0</v>
      </c>
      <c r="N850" s="1">
        <f>+N95+N506+N549+N601+N662+N701+N756+N796+N388+N212+N45</f>
        <v>0</v>
      </c>
      <c r="O850" s="1">
        <f>+O95+O506+O549+O601+O662+O701+O756+O796+O388+O212+O45</f>
        <v>0</v>
      </c>
      <c r="P850" s="1">
        <f>+P95+P506+P549+P601+P662+P701+P756+P796+P388+P212+P45</f>
        <v>0</v>
      </c>
      <c r="Q850" s="59">
        <f>SUM(N850:P850)</f>
        <v>0</v>
      </c>
      <c r="R850" s="59">
        <f>+E850+I850+M850+Q850</f>
        <v>0</v>
      </c>
    </row>
    <row r="851" spans="1:20" ht="16.5" customHeight="1" thickBot="1" x14ac:dyDescent="0.35">
      <c r="A851" s="62" t="s">
        <v>57</v>
      </c>
      <c r="B851" s="100">
        <f>SUM(B847:B850)</f>
        <v>5210</v>
      </c>
      <c r="C851" s="101">
        <f>SUM(C847:C850)</f>
        <v>7000</v>
      </c>
      <c r="D851" s="101">
        <f>SUM(D847:D850)</f>
        <v>28100</v>
      </c>
      <c r="E851" s="64">
        <f>SUM(B851:D851)</f>
        <v>40310</v>
      </c>
      <c r="F851" s="101">
        <f>SUM(F847:F850)</f>
        <v>36660</v>
      </c>
      <c r="G851" s="101">
        <f>SUM(G847:G850)</f>
        <v>32676</v>
      </c>
      <c r="H851" s="101">
        <f>SUM(H847:H850)</f>
        <v>42550</v>
      </c>
      <c r="I851" s="64">
        <f>SUM(F851:H851)</f>
        <v>111886</v>
      </c>
      <c r="J851" s="101">
        <f>SUM(J847:J850)</f>
        <v>37860</v>
      </c>
      <c r="K851" s="101">
        <f>SUM(K847:K850)</f>
        <v>33000</v>
      </c>
      <c r="L851" s="101">
        <f>SUM(L847:L850)</f>
        <v>14300</v>
      </c>
      <c r="M851" s="64">
        <f>SUM(J851:L851)</f>
        <v>85160</v>
      </c>
      <c r="N851" s="101">
        <f>SUM(N847:N850)</f>
        <v>6292</v>
      </c>
      <c r="O851" s="101">
        <f>SUM(O847:O850)</f>
        <v>2730</v>
      </c>
      <c r="P851" s="101">
        <f>SUM(P847:P850)</f>
        <v>4286</v>
      </c>
      <c r="Q851" s="64">
        <f>SUM(N851:P851)</f>
        <v>13308</v>
      </c>
      <c r="R851" s="64">
        <f>+E851+I851+M851+Q851</f>
        <v>250664</v>
      </c>
    </row>
    <row r="852" spans="1:20" ht="15.75" customHeight="1" x14ac:dyDescent="0.3">
      <c r="A852" s="17" t="s">
        <v>58</v>
      </c>
      <c r="B852" s="1"/>
      <c r="C852" s="1"/>
      <c r="D852" s="1"/>
      <c r="E852" s="59" t="s">
        <v>7</v>
      </c>
      <c r="F852" s="1"/>
      <c r="G852" s="1"/>
      <c r="H852" s="1"/>
      <c r="I852" s="59" t="s">
        <v>7</v>
      </c>
      <c r="J852" s="1"/>
      <c r="K852" s="1"/>
      <c r="L852" s="1"/>
      <c r="M852" s="59" t="s">
        <v>7</v>
      </c>
      <c r="N852" s="1"/>
      <c r="O852" s="1"/>
      <c r="P852" s="1"/>
      <c r="Q852" s="59" t="s">
        <v>7</v>
      </c>
      <c r="R852" s="59" t="s">
        <v>7</v>
      </c>
    </row>
    <row r="853" spans="1:20" ht="15.75" customHeight="1" x14ac:dyDescent="0.3">
      <c r="A853" s="164" t="s">
        <v>59</v>
      </c>
      <c r="B853" s="1">
        <f>+B48+B98+B215+SUM(B391:B393)+B509+B552+B604+B665+SUM(B704:B705)+B759+SUM(B799:B801)</f>
        <v>3712</v>
      </c>
      <c r="C853" s="1">
        <f>+C48+C98+C215+SUM(C391:C393)+C509+C552+C604+C665+SUM(C704:C705)+C759+SUM(C799:C801)</f>
        <v>6175</v>
      </c>
      <c r="D853" s="1">
        <f>+D48+D98+D215+SUM(D391:D393)+D509+D552+D604+D665+SUM(D704:D705)+D759+SUM(D799:D801)</f>
        <v>13038</v>
      </c>
      <c r="E853" s="59">
        <f>SUM(B853:D853)</f>
        <v>22925</v>
      </c>
      <c r="F853" s="1">
        <f>+F48+F98+F215+SUM(F391:F393)+F509+F552+F604+F665+SUM(F704:F705)+F759+SUM(F799:F801)</f>
        <v>14358</v>
      </c>
      <c r="G853" s="1">
        <f>+G48+G98+G215+SUM(G391:G393)+G509+G552+G604+G665+SUM(G704:G705)+G759+SUM(G799:G801)</f>
        <v>18595</v>
      </c>
      <c r="H853" s="1">
        <f>+H48+H98+H215+SUM(H391:H393)+H509+H552+H604+H665+SUM(H704:H705)+H759+SUM(H799:H801)</f>
        <v>19784</v>
      </c>
      <c r="I853" s="59">
        <f>SUM(F853:H853)</f>
        <v>52737</v>
      </c>
      <c r="J853" s="1">
        <f>+J48+J98+J215+SUM(J391:J393)+J509+J552+J604+J665+SUM(J704:J705)+J759+SUM(J799:J801)</f>
        <v>24890</v>
      </c>
      <c r="K853" s="1">
        <f>+K48+K98+K215+SUM(K391:K393)+K509+K552+K604+K665+SUM(K704:K705)+K759+SUM(K799:K801)</f>
        <v>29758</v>
      </c>
      <c r="L853" s="1">
        <f>+L48+L98+L215+SUM(L391:L393)+L509+L552+L604+L665+SUM(L704:L705)+L759+SUM(L799:L801)</f>
        <v>27663</v>
      </c>
      <c r="M853" s="59">
        <f>SUM(J853:L853)</f>
        <v>82311</v>
      </c>
      <c r="N853" s="1">
        <f>+N48+N98+N215+SUM(N391:N393)+N509+N552+N604+N665+SUM(N704:N705)+N759+SUM(N799:N801)</f>
        <v>21972</v>
      </c>
      <c r="O853" s="1">
        <f>+O48+O98+O215+SUM(O391:O393)+O509+O552+O604+O665+SUM(O704:O705)+O759+SUM(O799:O801)</f>
        <v>14562</v>
      </c>
      <c r="P853" s="1">
        <f>+P48+P98+P215+SUM(P391:P393)+P509+P552+P604+P665+SUM(P704:P705)+P759+SUM(P799:P801)</f>
        <v>19573</v>
      </c>
      <c r="Q853" s="59">
        <f>SUM(N853:P853)</f>
        <v>56107</v>
      </c>
      <c r="R853" s="59">
        <f>+E853+I853+M853+Q853</f>
        <v>214080</v>
      </c>
    </row>
    <row r="854" spans="1:20" ht="15.75" customHeight="1" thickBot="1" x14ac:dyDescent="0.35">
      <c r="A854" s="164" t="s">
        <v>60</v>
      </c>
      <c r="B854" s="1">
        <f>+B49+SUM(B99:B106)+SUM(B216:B277)+SUM(B394:B443)+SUM(B510:B512)+SUM(B553:B554)+SUM(B605:B610)+B666+SUM(B706:B713)+B760+SUM(B802:B806)</f>
        <v>16583</v>
      </c>
      <c r="C854" s="1">
        <f>+C49+SUM(C99:C106)+SUM(C216:C277)+SUM(C394:C443)+SUM(C510:C512)+SUM(C553:C554)+SUM(C605:C610)+C666+SUM(C706:C713)+C760+SUM(C802:C806)</f>
        <v>22066</v>
      </c>
      <c r="D854" s="1">
        <f>+D49+SUM(D99:D106)+SUM(D216:D277)+SUM(D394:D443)+SUM(D510:D512)+SUM(D553:D554)+SUM(D605:D610)+D666+SUM(D706:D713)+D760+SUM(D802:D806)</f>
        <v>40828</v>
      </c>
      <c r="E854" s="59">
        <f>SUM(B854:D854)</f>
        <v>79477</v>
      </c>
      <c r="F854" s="1">
        <f>+F49+SUM(F99:F106)+SUM(F216:F277)+SUM(F394:F443)+SUM(F510:F512)+SUM(F553:F554)+SUM(F605:F610)+F666+SUM(F706:F713)+F760+SUM(F802:F806)</f>
        <v>50303</v>
      </c>
      <c r="G854" s="1">
        <f>+G49+SUM(G99:G106)+SUM(G216:G277)+SUM(G394:G443)+SUM(G510:G512)+SUM(G553:G554)+SUM(G605:G610)+G666+SUM(G706:G713)+G760+SUM(G802:G806)</f>
        <v>39332</v>
      </c>
      <c r="H854" s="1">
        <f>+H49+SUM(H99:H106)+SUM(H216:H277)+SUM(H394:H443)+SUM(H510:H512)+SUM(H553:H554)+SUM(H605:H610)+H666+SUM(H706:H713)+H760+SUM(H802:H806)</f>
        <v>46715</v>
      </c>
      <c r="I854" s="59">
        <f>SUM(F854:H854)</f>
        <v>136350</v>
      </c>
      <c r="J854" s="1">
        <f>+J49+SUM(J99:J106)+SUM(J216:J277)+SUM(J394:J443)+SUM(J510:J512)+SUM(J553:J554)+SUM(J605:J610)+J666+SUM(J706:J713)+J760+SUM(J802:J806)</f>
        <v>52785</v>
      </c>
      <c r="K854" s="1">
        <f>+K49+SUM(K99:K106)+SUM(K216:K277)+SUM(K394:K443)+SUM(K510:K512)+SUM(K553:K554)+SUM(K605:K610)+K666+SUM(K706:K713)+K760+SUM(K802:K806)</f>
        <v>38359</v>
      </c>
      <c r="L854" s="1">
        <f>+L49+SUM(L99:L106)+SUM(L216:L277)+SUM(L394:L443)+SUM(L510:L512)+SUM(L553:L554)+SUM(L605:L610)+L666+SUM(L706:L713)+L760+SUM(L802:L806)</f>
        <v>23982</v>
      </c>
      <c r="M854" s="59">
        <f>SUM(J854:L854)</f>
        <v>115126</v>
      </c>
      <c r="N854" s="1">
        <f>+N49+SUM(N99:N106)+SUM(N216:N277)+SUM(N394:N443)+SUM(N510:N512)+SUM(N553:N554)+SUM(N605:N610)+N666+SUM(N706:N713)+N760+SUM(N802:N806)</f>
        <v>13714</v>
      </c>
      <c r="O854" s="1">
        <f>+O49+SUM(O99:O106)+SUM(O216:O277)+SUM(O394:O443)+SUM(O510:O512)+SUM(O553:O554)+SUM(O605:O610)+O666+SUM(O706:O713)+O760+SUM(O802:O806)</f>
        <v>12023</v>
      </c>
      <c r="P854" s="1">
        <f>+P49+SUM(P99:P106)+SUM(P216:P277)+SUM(P394:P443)+SUM(P510:P512)+SUM(P553:P554)+SUM(P605:P610)+P666+SUM(P706:P713)+P760+SUM(P802:P806)</f>
        <v>12237</v>
      </c>
      <c r="Q854" s="59">
        <f>SUM(N854:P854)</f>
        <v>37974</v>
      </c>
      <c r="R854" s="59">
        <f>+E854+I854+M854+Q854</f>
        <v>368927</v>
      </c>
    </row>
    <row r="855" spans="1:20" ht="16.5" customHeight="1" thickBot="1" x14ac:dyDescent="0.35">
      <c r="A855" s="62" t="s">
        <v>61</v>
      </c>
      <c r="B855" s="100">
        <f>SUM(B852:B854)</f>
        <v>20295</v>
      </c>
      <c r="C855" s="101">
        <f>SUM(C852:C854)</f>
        <v>28241</v>
      </c>
      <c r="D855" s="138">
        <f>SUM(D852:D854)</f>
        <v>53866</v>
      </c>
      <c r="E855" s="64">
        <f>SUM(B855:D855)</f>
        <v>102402</v>
      </c>
      <c r="F855" s="101">
        <f>SUM(F852:F854)</f>
        <v>64661</v>
      </c>
      <c r="G855" s="101">
        <f>SUM(G852:G854)</f>
        <v>57927</v>
      </c>
      <c r="H855" s="101">
        <f>SUM(H852:H854)</f>
        <v>66499</v>
      </c>
      <c r="I855" s="64">
        <f>SUM(F855:H855)</f>
        <v>189087</v>
      </c>
      <c r="J855" s="101">
        <f>SUM(J852:J854)</f>
        <v>77675</v>
      </c>
      <c r="K855" s="101">
        <f>SUM(K852:K854)</f>
        <v>68117</v>
      </c>
      <c r="L855" s="101">
        <f>SUM(L852:L854)</f>
        <v>51645</v>
      </c>
      <c r="M855" s="64">
        <f>SUM(J855:L855)</f>
        <v>197437</v>
      </c>
      <c r="N855" s="101">
        <f>SUM(N852:N854)</f>
        <v>35686</v>
      </c>
      <c r="O855" s="101">
        <f>SUM(O852:O854)</f>
        <v>26585</v>
      </c>
      <c r="P855" s="101">
        <f>SUM(P852:P854)</f>
        <v>31810</v>
      </c>
      <c r="Q855" s="64">
        <f>SUM(N855:P855)</f>
        <v>94081</v>
      </c>
      <c r="R855" s="64">
        <f>+E855+I855+M855+Q855</f>
        <v>583007</v>
      </c>
      <c r="T855" s="4">
        <v>1600000</v>
      </c>
    </row>
    <row r="856" spans="1:20" ht="20.25" customHeight="1" x14ac:dyDescent="0.3">
      <c r="A856" s="17" t="s">
        <v>623</v>
      </c>
      <c r="B856" s="1"/>
      <c r="C856" s="1"/>
      <c r="D856" s="1"/>
      <c r="E856" s="59" t="s">
        <v>7</v>
      </c>
      <c r="F856" s="1"/>
      <c r="G856" s="1"/>
      <c r="H856" s="1"/>
      <c r="I856" s="59" t="s">
        <v>7</v>
      </c>
      <c r="J856" s="1"/>
      <c r="K856" s="1"/>
      <c r="L856" s="1"/>
      <c r="M856" s="59" t="s">
        <v>7</v>
      </c>
      <c r="N856" s="1"/>
      <c r="O856" s="1"/>
      <c r="P856" s="1"/>
      <c r="Q856" s="59" t="s">
        <v>7</v>
      </c>
      <c r="R856" s="59" t="s">
        <v>7</v>
      </c>
      <c r="T856" s="4">
        <f>+T855-28000-R840-R841-400000-R853-R854+12000</f>
        <v>13669</v>
      </c>
    </row>
    <row r="857" spans="1:20" ht="15.75" customHeight="1" x14ac:dyDescent="0.3">
      <c r="A857" s="17" t="s">
        <v>624</v>
      </c>
      <c r="B857" s="1">
        <f>SUM(B52:B52)+SUM(B109:B117)+SUM(B280:B283)+SUM(B446:B447)+SUM(B515:B515)+B557+SUM(B613:B615)+B669+B716+B763+SUM(B809:B811)</f>
        <v>0</v>
      </c>
      <c r="C857" s="1">
        <f>SUM(C52:C52)+SUM(C109:C117)+SUM(C280:C283)+SUM(C446:C447)+SUM(C515:C515)+C557+SUM(C613:C615)+C669+C716+C763+SUM(C809:C811)</f>
        <v>0</v>
      </c>
      <c r="D857" s="1">
        <f>SUM(D52:D52)+SUM(D109:D117)+SUM(D280:D283)+SUM(D446:D447)+SUM(D515:D515)+D557+SUM(D613:D615)+D669+D716+D763+SUM(D809:D811)</f>
        <v>0</v>
      </c>
      <c r="E857" s="59">
        <f t="shared" ref="E857:E865" si="267">SUM(B857:D857)</f>
        <v>0</v>
      </c>
      <c r="F857" s="1">
        <f>SUM(F52:F52)+SUM(F109:F117)+SUM(F280:F283)+SUM(F446:F447)+SUM(F515:F515)+F557+SUM(F613:F615)+F669+F716+F763+SUM(F809:F811)</f>
        <v>0</v>
      </c>
      <c r="G857" s="1">
        <f>SUM(G52:G52)+SUM(G109:G117)+SUM(G280:G283)+SUM(G446:G447)+SUM(G515:G515)+G557+SUM(G613:G615)+G669+G716+G763+SUM(G809:G811)</f>
        <v>0</v>
      </c>
      <c r="H857" s="1">
        <f>SUM(H52:H52)+SUM(H109:H117)+SUM(H280:H283)+SUM(H446:H447)+SUM(H515:H515)+H557+SUM(H613:H615)+H669+H716+H763+SUM(H809:H811)</f>
        <v>0</v>
      </c>
      <c r="I857" s="59">
        <f t="shared" ref="I857:I865" si="268">SUM(F857:H857)</f>
        <v>0</v>
      </c>
      <c r="J857" s="1">
        <f>SUM(J52:J52)+SUM(J109:J117)+SUM(J280:J283)+SUM(J446:J447)+SUM(J515:J515)+J557+SUM(J613:J615)+J669+J716+J763+SUM(J809:J811)</f>
        <v>0</v>
      </c>
      <c r="K857" s="1">
        <f>SUM(K52:K52)+SUM(K109:K117)+SUM(K280:K283)+SUM(K446:K447)+SUM(K515:K515)+K557+SUM(K613:K615)+K669+K716+K763+SUM(K809:K811)</f>
        <v>0</v>
      </c>
      <c r="L857" s="1">
        <f>SUM(L52:L52)+SUM(L109:L117)+SUM(L280:L283)+SUM(L446:L447)+SUM(L515:L515)+L557+SUM(L613:L615)+L669+L716+L763+SUM(L809:L811)</f>
        <v>0</v>
      </c>
      <c r="M857" s="59">
        <f t="shared" ref="M857:M865" si="269">SUM(J857:L857)</f>
        <v>0</v>
      </c>
      <c r="N857" s="1">
        <f>SUM(N52:N52)+SUM(N109:N117)+SUM(N280:N283)+SUM(N446:N447)+SUM(N515:N515)+N557+SUM(N613:N615)+N669+N716+N763+SUM(N809:N811)</f>
        <v>0</v>
      </c>
      <c r="O857" s="1">
        <f>SUM(O52:O52)+SUM(O109:O117)+SUM(O280:O283)+SUM(O446:O447)+SUM(O515:O515)+O557+SUM(O613:O615)+O669+O716+O763+SUM(O809:O811)</f>
        <v>0</v>
      </c>
      <c r="P857" s="1">
        <f>SUM(P52:P52)+SUM(P109:P117)+SUM(P280:P283)+SUM(P446:P447)+SUM(P515:P515)+P557+SUM(P613:P615)+P669+P716+P763+SUM(P809:P811)</f>
        <v>0</v>
      </c>
      <c r="Q857" s="59">
        <f t="shared" ref="Q857:Q865" si="270">SUM(N857:P857)</f>
        <v>0</v>
      </c>
      <c r="R857" s="59">
        <f>+E857+I857+M857+Q857</f>
        <v>0</v>
      </c>
    </row>
    <row r="858" spans="1:20" ht="15.75" customHeight="1" x14ac:dyDescent="0.3">
      <c r="A858" s="17" t="s">
        <v>64</v>
      </c>
      <c r="B858" s="1">
        <f>SUM(B53:B54)+SUM(B118:B119)+SUM(B284:B285)+B287+B289+B291+B292+SUM(B448:B450)+B516+B558+SUM(B616:B617)+B619+SUM(B670:B671)+B718+B720+B764+SUM(B812:B813)</f>
        <v>0</v>
      </c>
      <c r="C858" s="1">
        <f>SUM(C53:C54)+SUM(C118:C119)+SUM(C284:C285)+C287+C289+C291+C292+SUM(C448:C450)+C516+C558+SUM(C616:C617)+C619+SUM(C670:C671)+C718+C720+C764+SUM(C812:C813)</f>
        <v>0</v>
      </c>
      <c r="D858" s="1">
        <f>SUM(D53:D54)+SUM(D118:D119)+SUM(D284:D285)+D287+D289+D291+D292+SUM(D448:D450)+D516+D558+SUM(D616:D617)+D619+SUM(D670:D671)+D718+D720+D764+SUM(D812:D813)</f>
        <v>2000</v>
      </c>
      <c r="E858" s="59">
        <f t="shared" si="267"/>
        <v>2000</v>
      </c>
      <c r="F858" s="1">
        <f>SUM(F53:F54)+SUM(F118:F119)+SUM(F284:F285)+F287+F289+F291+F292+SUM(F448:F450)+F516+F558+SUM(F616:F617)+F619+SUM(F670:F671)+F718+F720+F764+SUM(F812:F813)</f>
        <v>3500</v>
      </c>
      <c r="G858" s="1">
        <f>SUM(G53:G54)+SUM(G118:G119)+SUM(G284:G285)+G287+G289+G291+G292+SUM(G448:G450)+G516+G558+SUM(G616:G617)+G619+SUM(G670:G671)+G718+G720+G764+SUM(G812:G813)</f>
        <v>3500</v>
      </c>
      <c r="H858" s="1">
        <f>SUM(H53:H54)+SUM(H118:H119)+SUM(H284:H285)+H287+H289+H291+H292+SUM(H448:H450)+H516+H558+SUM(H616:H617)+H619+SUM(H670:H671)+H718+H720+H764+SUM(H812:H813)</f>
        <v>800</v>
      </c>
      <c r="I858" s="59">
        <f t="shared" si="268"/>
        <v>7800</v>
      </c>
      <c r="J858" s="1">
        <f>SUM(J53:J54)+SUM(J118:J119)+SUM(J284:J285)+J287+J289+J291+J292+SUM(J448:J450)+J516+J558+SUM(J616:J617)+J619+SUM(J670:J671)+J718+J720+J764+SUM(J812:J813)</f>
        <v>2800</v>
      </c>
      <c r="K858" s="1">
        <f>SUM(K53:K54)+SUM(K118:K119)+SUM(K284:K285)+K287+K289+K291+K292+SUM(K448:K450)+K516+K558+SUM(K616:K617)+K619+SUM(K670:K671)+K718+K720+K764+SUM(K812:K813)</f>
        <v>4800</v>
      </c>
      <c r="L858" s="1">
        <f>SUM(L53:L54)+SUM(L118:L119)+SUM(L284:L285)+L287+L289+L291+L292+SUM(L448:L450)+L516+L558+SUM(L616:L617)+L619+SUM(L670:L671)+L718+L720+L764+SUM(L812:L813)</f>
        <v>3527</v>
      </c>
      <c r="M858" s="59">
        <f t="shared" si="269"/>
        <v>11127</v>
      </c>
      <c r="N858" s="1">
        <f>SUM(N53:N54)+SUM(N118:N119)+SUM(N284:N285)+N287+N289+N291+N292+SUM(N448:N450)+N516+N558+SUM(N616:N617)+N619+SUM(N670:N671)+N718+N720+N764+SUM(N812:N813)</f>
        <v>2490</v>
      </c>
      <c r="O858" s="1">
        <f>SUM(O53:O54)+SUM(O118:O119)+SUM(O284:O285)+O287+O289+O291+O292+SUM(O448:O450)+O516+O558+SUM(O616:O617)+O619+SUM(O670:O671)+O718+O720+O764+SUM(O812:O813)</f>
        <v>3040</v>
      </c>
      <c r="P858" s="1">
        <f>SUM(P53:P54)+SUM(P118:P119)+SUM(P284:P285)+P287+P289+P291+P292+SUM(P448:P450)+P516+P558+SUM(P616:P617)+P619+SUM(P670:P671)+P718+P720+P764+SUM(P812:P813)</f>
        <v>1041</v>
      </c>
      <c r="Q858" s="59">
        <f t="shared" si="270"/>
        <v>6571</v>
      </c>
      <c r="R858" s="59">
        <f t="shared" ref="R858:R865" si="271">+E858+I858+M858+Q858</f>
        <v>27498</v>
      </c>
    </row>
    <row r="859" spans="1:20" ht="17.399999999999999" x14ac:dyDescent="0.3">
      <c r="A859" s="74" t="s">
        <v>625</v>
      </c>
      <c r="B859" s="1">
        <f>B120+B286+B288+B290+B618+B620+B719+B721+B814</f>
        <v>0</v>
      </c>
      <c r="C859" s="1">
        <f>C120+C286+C288+C290+C618+C620+C719+C721+C814</f>
        <v>0</v>
      </c>
      <c r="D859" s="1">
        <f>D120+D286+D288+D290+D618+D620+D719+D721+D814</f>
        <v>0</v>
      </c>
      <c r="E859" s="59">
        <f t="shared" si="267"/>
        <v>0</v>
      </c>
      <c r="F859" s="1">
        <f>F120+F286+F288+F290+F618+F620+F719+F721+F814</f>
        <v>0</v>
      </c>
      <c r="G859" s="1">
        <f>G120+G286+G288+G290+G618+G620+G719+G721+G814</f>
        <v>0</v>
      </c>
      <c r="H859" s="1">
        <f>H120+H286+H288+H290+H618+H620+H719+H721+H814</f>
        <v>0</v>
      </c>
      <c r="I859" s="59">
        <f t="shared" si="268"/>
        <v>0</v>
      </c>
      <c r="J859" s="1">
        <f>J120+J286+J288+J290+J618+J620+J719+J721+J814</f>
        <v>0</v>
      </c>
      <c r="K859" s="1">
        <f>K120+K286+K288+K290+K618+K620+K719+K721+K814</f>
        <v>0</v>
      </c>
      <c r="L859" s="1">
        <f>L120+L286+L288+L290+L618+L620+L719+L721+L814</f>
        <v>150</v>
      </c>
      <c r="M859" s="59">
        <f t="shared" si="269"/>
        <v>150</v>
      </c>
      <c r="N859" s="1">
        <f>N120+N286+N288+N290+N618+N620+N719+N721+N814</f>
        <v>1400</v>
      </c>
      <c r="O859" s="1">
        <f>O120+O286+O288+O290+O618+O620+O719+O721+O814</f>
        <v>1400</v>
      </c>
      <c r="P859" s="1">
        <f>P120+P286+P288+P290+P618+P620+P719+P721+P814</f>
        <v>1120</v>
      </c>
      <c r="Q859" s="59">
        <f t="shared" si="270"/>
        <v>3920</v>
      </c>
      <c r="R859" s="59">
        <f t="shared" si="271"/>
        <v>4070</v>
      </c>
    </row>
    <row r="860" spans="1:20" ht="15.75" customHeight="1" x14ac:dyDescent="0.3">
      <c r="A860" s="17" t="s">
        <v>626</v>
      </c>
      <c r="B860" s="1">
        <f>+B55+SUM(B121:B122)+SUM(B293:B294)+SUM(B451:B457)+SUM(B517:B517)+SUM(B559:B560)+SUM(B621:B623)+B672+B722+B815+B815+B765</f>
        <v>0</v>
      </c>
      <c r="C860" s="1">
        <f>+C55+SUM(C121:C122)+SUM(C293:C294)+SUM(C451:C457)+SUM(C517:C517)+SUM(C559:C560)+SUM(C621:C623)+C672+C722+C815+C815+C765</f>
        <v>0</v>
      </c>
      <c r="D860" s="1">
        <f>+D55+SUM(D121:D122)+SUM(D293:D294)+SUM(D451:D457)+SUM(D517:D517)+SUM(D559:D560)+SUM(D621:D623)+D672+D722+D815+D815+D765</f>
        <v>0</v>
      </c>
      <c r="E860" s="59">
        <f t="shared" si="267"/>
        <v>0</v>
      </c>
      <c r="F860" s="1">
        <f>+F55+SUM(F121:F122)+SUM(F293:F294)+SUM(F451:F457)+SUM(F517:F517)+SUM(F559:F560)+SUM(F621:F623)+F672+F722+F815+F815+F765</f>
        <v>2000</v>
      </c>
      <c r="G860" s="1">
        <f>+G55+SUM(G121:G122)+SUM(G293:G294)+SUM(G451:G457)+SUM(G517:G517)+SUM(G559:G560)+SUM(G621:G623)+G672+G722+G815+G815+G765</f>
        <v>500</v>
      </c>
      <c r="H860" s="1">
        <f>+H55+SUM(H121:H122)+SUM(H293:H294)+SUM(H451:H457)+SUM(H517:H517)+SUM(H559:H560)+SUM(H621:H623)+H672+H722+H815+H815+H765</f>
        <v>500</v>
      </c>
      <c r="I860" s="59">
        <f t="shared" si="268"/>
        <v>3000</v>
      </c>
      <c r="J860" s="1">
        <f>+J55+SUM(J121:J122)+SUM(J293:J294)+SUM(J451:J457)+SUM(J517:J517)+SUM(J559:J560)+SUM(J621:J623)+J672+J722+J815+J815+J765</f>
        <v>500</v>
      </c>
      <c r="K860" s="1">
        <f>+K55+SUM(K121:K122)+SUM(K293:K294)+SUM(K451:K457)+SUM(K517:K517)+SUM(K559:K560)+SUM(K621:K623)+K672+K722+K815+K815+K765</f>
        <v>500</v>
      </c>
      <c r="L860" s="1">
        <f>+L55+SUM(L121:L122)+SUM(L293:L294)+SUM(L451:L457)+SUM(L517:L517)+SUM(L559:L560)+SUM(L621:L623)+L672+L722+L815+L815+L765</f>
        <v>0</v>
      </c>
      <c r="M860" s="59">
        <f t="shared" si="269"/>
        <v>1000</v>
      </c>
      <c r="N860" s="1">
        <f>+N55+SUM(N121:N122)+SUM(N293:N294)+SUM(N451:N457)+SUM(N517:N517)+SUM(N559:N560)+SUM(N621:N623)+N672+N722+N815+N815+N765</f>
        <v>100</v>
      </c>
      <c r="O860" s="1">
        <f>+O55+SUM(O121:O122)+SUM(O293:O294)+SUM(O451:O457)+SUM(O517:O517)+SUM(O559:O560)+SUM(O621:O623)+O672+O722+O815+O815+O765</f>
        <v>100</v>
      </c>
      <c r="P860" s="1">
        <f>+P55+SUM(P121:P122)+SUM(P293:P294)+SUM(P451:P457)+SUM(P517:P517)+SUM(P559:P560)+SUM(P621:P623)+P672+P722+P815+P815+P765</f>
        <v>800</v>
      </c>
      <c r="Q860" s="59">
        <f t="shared" si="270"/>
        <v>1000</v>
      </c>
      <c r="R860" s="59">
        <f>+E860+I860+M860+Q860</f>
        <v>5000</v>
      </c>
    </row>
    <row r="861" spans="1:20" ht="22.5" customHeight="1" x14ac:dyDescent="0.3">
      <c r="A861" s="17" t="s">
        <v>67</v>
      </c>
      <c r="B861" s="1">
        <f>SUM(B125:B125)+SUM(B295:B296)+B459+B462+B463+B465+B468+SUM(B518:B519)+B562+B565+B624+B625+B627+B673+B723+B766+B816</f>
        <v>0</v>
      </c>
      <c r="C861" s="1">
        <f>SUM(C125:C125)+SUM(C295:C296)+C459+C462+C463+C465+C468+SUM(C518:C519)+C562+C565+C624+C625+C627+C673+C723+C766+C816</f>
        <v>0</v>
      </c>
      <c r="D861" s="1">
        <f>SUM(D125:D125)+SUM(D295:D296)+D459+D462+D463+D465+D468+SUM(D518:D519)+D562+D565+D624+D625+D627+D673+D723+D766+D816</f>
        <v>510</v>
      </c>
      <c r="E861" s="59">
        <f t="shared" si="267"/>
        <v>510</v>
      </c>
      <c r="F861" s="1">
        <f>SUM(F125:F125)+SUM(F295:F296)+F459+F462+F463+F465+F468+SUM(F518:F519)+F562+F565+F624+F625+F627+F673+F723+F766+F816</f>
        <v>610</v>
      </c>
      <c r="G861" s="1">
        <f>SUM(G125:G125)+SUM(G295:G296)+G459+G462+G463+G465+G468+SUM(G518:G519)+G562+G565+G624+G625+G627+G673+G723+G766+G816</f>
        <v>3410</v>
      </c>
      <c r="H861" s="1">
        <f>SUM(H125:H125)+SUM(H295:H296)+H459+H462+H463+H465+H468+SUM(H518:H519)+H562+H565+H624+H625+H627+H673+H723+H766+H816</f>
        <v>870</v>
      </c>
      <c r="I861" s="59">
        <f t="shared" si="268"/>
        <v>4890</v>
      </c>
      <c r="J861" s="1">
        <f>SUM(J125:J125)+SUM(J295:J296)+J459+J462+J463+J465+J468+SUM(J518:J519)+J562+J565+J624+J625+J627+J673+J723+J766+J816</f>
        <v>1000</v>
      </c>
      <c r="K861" s="1">
        <f>SUM(K125:K125)+SUM(K295:K296)+K459+K462+K463+K465+K468+SUM(K518:K519)+K562+K565+K624+K625+K627+K673+K723+K766+K816</f>
        <v>3002</v>
      </c>
      <c r="L861" s="1">
        <f>SUM(L125:L125)+SUM(L295:L296)+L459+L462+L463+L465+L468+SUM(L518:L519)+L562+L565+L624+L625+L627+L673+L723+L766+L816</f>
        <v>400</v>
      </c>
      <c r="M861" s="59">
        <f t="shared" si="269"/>
        <v>4402</v>
      </c>
      <c r="N861" s="1">
        <f>SUM(N125:N125)+SUM(N295:N296)+N459+N462+N463+N465+N468+SUM(N518:N519)+N562+N565+N624+N625+N627+N673+N723+N766+N816</f>
        <v>300</v>
      </c>
      <c r="O861" s="1">
        <f>SUM(O125:O125)+SUM(O295:O296)+O459+O462+O463+O465+O468+SUM(O518:O519)+O562+O565+O624+O625+O627+O673+O723+O766+O816</f>
        <v>250</v>
      </c>
      <c r="P861" s="1">
        <f>SUM(P125:P125)+SUM(P295:P296)+P459+P462+P463+P465+P468+SUM(P518:P519)+P562+P565+P624+P625+P627+P673+P723+P766+P816</f>
        <v>150</v>
      </c>
      <c r="Q861" s="59">
        <f t="shared" si="270"/>
        <v>700</v>
      </c>
      <c r="R861" s="59">
        <f>+E861+I861+M861+Q861</f>
        <v>10502</v>
      </c>
    </row>
    <row r="862" spans="1:20" ht="18" thickBot="1" x14ac:dyDescent="0.35">
      <c r="A862" s="74" t="s">
        <v>627</v>
      </c>
      <c r="B862" s="1">
        <f>+B460+B464+B466+B520+B124+B461+B467+B563+B564+B626</f>
        <v>0</v>
      </c>
      <c r="C862" s="1">
        <f>+C460+C464+C466+C520+C124+C461+C467+C563+C564+C626</f>
        <v>0</v>
      </c>
      <c r="D862" s="1">
        <f>+D460+D464+D466+D520+D124+D461+D467+D563+D564+D626</f>
        <v>0</v>
      </c>
      <c r="E862" s="59">
        <f>SUM(B862:D862)</f>
        <v>0</v>
      </c>
      <c r="F862" s="1">
        <f>+F460+F464+F466+F520+F124+F461+F467+F563+F564+F626</f>
        <v>0</v>
      </c>
      <c r="G862" s="1">
        <f>+G460+G464+G466+G520+G124+G461+G467+G563+G564+G626</f>
        <v>0</v>
      </c>
      <c r="H862" s="1">
        <f>+H460+H464+H466+H520+H124+H461+H467+H563+H564+H626</f>
        <v>0</v>
      </c>
      <c r="I862" s="59">
        <f>SUM(F862:H862)</f>
        <v>0</v>
      </c>
      <c r="J862" s="1">
        <f>+J460+J464+J466+J520+J124+J461+J467+J563+J564+J626</f>
        <v>0</v>
      </c>
      <c r="K862" s="1">
        <f>+K460+K464+K466+K520+K124+K461+K467+K563+K564+K626</f>
        <v>2830</v>
      </c>
      <c r="L862" s="1">
        <f>+L460+L464+L466+L520+L124+L461+L467+L563+L564+L626</f>
        <v>2800</v>
      </c>
      <c r="M862" s="59">
        <f>SUM(J862:L862)</f>
        <v>5630</v>
      </c>
      <c r="N862" s="1">
        <f>+N460+N464+N466+N520+N124+N461+N467+N563+N564+N626</f>
        <v>2100</v>
      </c>
      <c r="O862" s="1">
        <f>+O460+O464+O466+O520+O124+O461+O467+O563+O564+O626</f>
        <v>1100</v>
      </c>
      <c r="P862" s="1">
        <f>+P460+P464+P466+P520+P124+P461+P467+P563+P564+P626</f>
        <v>600</v>
      </c>
      <c r="Q862" s="59">
        <f>SUM(N862:P862)</f>
        <v>3800</v>
      </c>
      <c r="R862" s="59">
        <f>+E862+I862+M862+Q862</f>
        <v>9430</v>
      </c>
    </row>
    <row r="863" spans="1:20" ht="16.5" customHeight="1" thickBot="1" x14ac:dyDescent="0.35">
      <c r="A863" s="62" t="s">
        <v>68</v>
      </c>
      <c r="B863" s="148">
        <f>SUM(B860:B862)</f>
        <v>0</v>
      </c>
      <c r="C863" s="148">
        <f>SUM(C860:C862)</f>
        <v>0</v>
      </c>
      <c r="D863" s="148">
        <f>SUM(D860:D862)</f>
        <v>510</v>
      </c>
      <c r="E863" s="65">
        <f t="shared" si="267"/>
        <v>510</v>
      </c>
      <c r="F863" s="148">
        <f>SUM(F860:F862)</f>
        <v>2610</v>
      </c>
      <c r="G863" s="148">
        <f>SUM(G860:G862)</f>
        <v>3910</v>
      </c>
      <c r="H863" s="148">
        <f>SUM(H860:H862)</f>
        <v>1370</v>
      </c>
      <c r="I863" s="65">
        <f t="shared" si="268"/>
        <v>7890</v>
      </c>
      <c r="J863" s="148">
        <f>SUM(J860:J862)</f>
        <v>1500</v>
      </c>
      <c r="K863" s="148">
        <f>SUM(K860:K862)</f>
        <v>6332</v>
      </c>
      <c r="L863" s="148">
        <f>SUM(L860:L862)</f>
        <v>3200</v>
      </c>
      <c r="M863" s="65">
        <f t="shared" si="269"/>
        <v>11032</v>
      </c>
      <c r="N863" s="148">
        <f>SUM(N860:N862)</f>
        <v>2500</v>
      </c>
      <c r="O863" s="148">
        <f>SUM(O860:O862)</f>
        <v>1450</v>
      </c>
      <c r="P863" s="148">
        <f>SUM(P860:P862)</f>
        <v>1550</v>
      </c>
      <c r="Q863" s="65">
        <f t="shared" si="270"/>
        <v>5500</v>
      </c>
      <c r="R863" s="64">
        <f t="shared" si="271"/>
        <v>24932</v>
      </c>
    </row>
    <row r="864" spans="1:20" ht="16.5" customHeight="1" thickBot="1" x14ac:dyDescent="0.35">
      <c r="A864" s="137" t="s">
        <v>69</v>
      </c>
      <c r="B864" s="100">
        <f>SUM(B856:B862)</f>
        <v>0</v>
      </c>
      <c r="C864" s="101">
        <f>SUM(C856:C862)</f>
        <v>0</v>
      </c>
      <c r="D864" s="138">
        <f>SUM(D856:D862)</f>
        <v>2510</v>
      </c>
      <c r="E864" s="165">
        <f t="shared" si="267"/>
        <v>2510</v>
      </c>
      <c r="F864" s="100">
        <f>SUM(F856:F862)</f>
        <v>6110</v>
      </c>
      <c r="G864" s="101">
        <f>SUM(G856:G862)</f>
        <v>7410</v>
      </c>
      <c r="H864" s="138">
        <f>SUM(H856:H862)</f>
        <v>2170</v>
      </c>
      <c r="I864" s="65">
        <f t="shared" si="268"/>
        <v>15690</v>
      </c>
      <c r="J864" s="100">
        <f>SUM(J856:J862)</f>
        <v>4300</v>
      </c>
      <c r="K864" s="101">
        <f>SUM(K856:K862)</f>
        <v>11132</v>
      </c>
      <c r="L864" s="138">
        <f>SUM(L856:L862)</f>
        <v>6877</v>
      </c>
      <c r="M864" s="65">
        <f t="shared" si="269"/>
        <v>22309</v>
      </c>
      <c r="N864" s="100">
        <f>SUM(N856:N862)</f>
        <v>6390</v>
      </c>
      <c r="O864" s="101">
        <f>SUM(O856:O862)</f>
        <v>5890</v>
      </c>
      <c r="P864" s="138">
        <f>SUM(P856:P862)</f>
        <v>3711</v>
      </c>
      <c r="Q864" s="65">
        <f t="shared" si="270"/>
        <v>15991</v>
      </c>
      <c r="R864" s="64">
        <f t="shared" si="271"/>
        <v>56500</v>
      </c>
    </row>
    <row r="865" spans="1:18" ht="16.5" customHeight="1" thickBot="1" x14ac:dyDescent="0.35">
      <c r="A865" s="62" t="s">
        <v>70</v>
      </c>
      <c r="B865" s="149">
        <f>+B846+B851+B855+B864</f>
        <v>66072</v>
      </c>
      <c r="C865" s="150">
        <f>+C846+C851+C855+C864</f>
        <v>72463</v>
      </c>
      <c r="D865" s="150">
        <f>+D846+D851+D855+D864</f>
        <v>119776</v>
      </c>
      <c r="E865" s="64">
        <f t="shared" si="267"/>
        <v>258311</v>
      </c>
      <c r="F865" s="63">
        <f>+F846+F851+F855+F864</f>
        <v>140413</v>
      </c>
      <c r="G865" s="63">
        <f>+G846+G851+G855+G864</f>
        <v>163074</v>
      </c>
      <c r="H865" s="63">
        <f>+H846+H851+H855+H864</f>
        <v>193422</v>
      </c>
      <c r="I865" s="64">
        <f t="shared" si="268"/>
        <v>496909</v>
      </c>
      <c r="J865" s="63">
        <f>+J846+J851+J855+J864</f>
        <v>197566</v>
      </c>
      <c r="K865" s="63">
        <f>+K846+K851+K855+K864</f>
        <v>183518</v>
      </c>
      <c r="L865" s="63">
        <f>+L846+L851+L855+L864</f>
        <v>138626</v>
      </c>
      <c r="M865" s="64">
        <f t="shared" si="269"/>
        <v>519710</v>
      </c>
      <c r="N865" s="63">
        <f>+N846+N851+N855+N864</f>
        <v>98190</v>
      </c>
      <c r="O865" s="63">
        <f>+O846+O851+O855+O864</f>
        <v>68640</v>
      </c>
      <c r="P865" s="63">
        <f>+P846+P851+P855+P864</f>
        <v>71360</v>
      </c>
      <c r="Q865" s="64">
        <f t="shared" si="270"/>
        <v>238190</v>
      </c>
      <c r="R865" s="88">
        <f t="shared" si="271"/>
        <v>1513120</v>
      </c>
    </row>
    <row r="866" spans="1:18" ht="15.75" customHeight="1" x14ac:dyDescent="0.3">
      <c r="A866" s="1" t="s">
        <v>628</v>
      </c>
      <c r="B866" s="1"/>
      <c r="C866" s="1"/>
      <c r="D866" s="1"/>
      <c r="E866" s="1"/>
      <c r="F866" s="1"/>
      <c r="G866" s="1"/>
      <c r="H866" s="1"/>
      <c r="I866" s="1"/>
      <c r="J866" s="1"/>
      <c r="K866" s="1"/>
      <c r="L866" s="1"/>
      <c r="M866" s="1"/>
      <c r="N866" s="1"/>
      <c r="O866" s="166"/>
      <c r="P866" s="1"/>
      <c r="Q866" s="1"/>
      <c r="R866" s="28"/>
    </row>
    <row r="867" spans="1:18" ht="15.75" customHeight="1" x14ac:dyDescent="0.3">
      <c r="A867" s="1" t="s">
        <v>629</v>
      </c>
      <c r="B867" s="1"/>
      <c r="C867" s="1"/>
      <c r="D867" s="1"/>
      <c r="E867" s="1"/>
      <c r="F867" s="1"/>
      <c r="G867" s="1"/>
      <c r="H867" s="1"/>
      <c r="I867" s="1"/>
      <c r="J867" s="1"/>
      <c r="K867" s="1"/>
      <c r="L867" s="1"/>
      <c r="M867" s="1"/>
      <c r="N867" s="1"/>
      <c r="O867" s="166"/>
      <c r="P867" s="1"/>
      <c r="Q867" s="1"/>
      <c r="R867" s="28"/>
    </row>
    <row r="868" spans="1:18" ht="15.75" customHeight="1" x14ac:dyDescent="0.3">
      <c r="A868" s="1"/>
      <c r="B868" s="1"/>
      <c r="C868" s="1"/>
      <c r="D868" s="1"/>
      <c r="E868" s="1"/>
      <c r="F868" s="1"/>
      <c r="G868" s="1"/>
      <c r="H868" s="1"/>
      <c r="I868" s="1"/>
      <c r="J868" s="1"/>
      <c r="K868" s="1"/>
      <c r="L868" s="1"/>
      <c r="M868" s="1"/>
      <c r="N868" s="1"/>
      <c r="O868" s="166"/>
      <c r="P868" s="1"/>
      <c r="Q868" s="2" t="str">
        <f>+Q1</f>
        <v xml:space="preserve">PRINTED:  </v>
      </c>
      <c r="R868" s="163">
        <f ca="1">+R1</f>
        <v>44894.658168518516</v>
      </c>
    </row>
    <row r="869" spans="1:18" ht="15.75" customHeight="1" x14ac:dyDescent="0.3">
      <c r="A869" s="383" t="s">
        <v>1</v>
      </c>
      <c r="B869" s="383"/>
      <c r="C869" s="383"/>
      <c r="D869" s="383"/>
      <c r="E869" s="383"/>
      <c r="F869" s="383"/>
      <c r="G869" s="383"/>
      <c r="H869" s="383"/>
      <c r="I869" s="383"/>
      <c r="J869" s="383"/>
      <c r="K869" s="383"/>
      <c r="L869" s="383"/>
      <c r="M869" s="383"/>
      <c r="N869" s="383"/>
      <c r="O869" s="383"/>
      <c r="P869" s="383"/>
      <c r="Q869" s="383"/>
      <c r="R869" s="383"/>
    </row>
    <row r="870" spans="1:18" ht="15.75" customHeight="1" x14ac:dyDescent="0.3">
      <c r="A870" s="383" t="s">
        <v>2</v>
      </c>
      <c r="B870" s="383"/>
      <c r="C870" s="383"/>
      <c r="D870" s="383"/>
      <c r="E870" s="383"/>
      <c r="F870" s="383"/>
      <c r="G870" s="383"/>
      <c r="H870" s="383"/>
      <c r="I870" s="383"/>
      <c r="J870" s="383"/>
      <c r="K870" s="383"/>
      <c r="L870" s="383"/>
      <c r="M870" s="383"/>
      <c r="N870" s="383"/>
      <c r="O870" s="383"/>
      <c r="P870" s="383"/>
      <c r="Q870" s="383"/>
      <c r="R870" s="383"/>
    </row>
    <row r="871" spans="1:18" ht="15.75" customHeight="1" x14ac:dyDescent="0.3">
      <c r="A871" s="383" t="s">
        <v>3</v>
      </c>
      <c r="B871" s="383"/>
      <c r="C871" s="383"/>
      <c r="D871" s="383"/>
      <c r="E871" s="383"/>
      <c r="F871" s="383"/>
      <c r="G871" s="383"/>
      <c r="H871" s="383"/>
      <c r="I871" s="383"/>
      <c r="J871" s="383"/>
      <c r="K871" s="383"/>
      <c r="L871" s="383"/>
      <c r="M871" s="383"/>
      <c r="N871" s="383"/>
      <c r="O871" s="383"/>
      <c r="P871" s="383"/>
      <c r="Q871" s="383"/>
      <c r="R871" s="383"/>
    </row>
    <row r="872" spans="1:18" ht="15.75" customHeight="1" x14ac:dyDescent="0.3">
      <c r="A872" s="392">
        <f>+A5</f>
        <v>2018</v>
      </c>
      <c r="B872" s="392"/>
      <c r="C872" s="392"/>
      <c r="D872" s="392"/>
      <c r="E872" s="392"/>
      <c r="F872" s="392"/>
      <c r="G872" s="392"/>
      <c r="H872" s="392"/>
      <c r="I872" s="392"/>
      <c r="J872" s="392"/>
      <c r="K872" s="392"/>
      <c r="L872" s="392"/>
      <c r="M872" s="392"/>
      <c r="N872" s="392"/>
      <c r="O872" s="392"/>
      <c r="P872" s="392"/>
      <c r="Q872" s="392"/>
      <c r="R872" s="392"/>
    </row>
    <row r="873" spans="1:18" ht="15.75" customHeight="1" x14ac:dyDescent="0.3">
      <c r="A873" s="1"/>
      <c r="B873" s="1"/>
      <c r="C873" s="1"/>
      <c r="D873" s="7"/>
      <c r="E873" s="7"/>
      <c r="F873" s="7"/>
      <c r="G873" s="8"/>
      <c r="H873" s="7"/>
      <c r="I873" s="7"/>
      <c r="J873" s="8"/>
      <c r="K873" s="8"/>
      <c r="L873" s="8"/>
      <c r="M873" s="8"/>
      <c r="N873" s="1"/>
      <c r="O873" s="8"/>
      <c r="P873" s="8"/>
      <c r="Q873" s="8"/>
      <c r="R873" s="8"/>
    </row>
    <row r="874" spans="1:18" ht="15.75" customHeight="1" x14ac:dyDescent="0.3">
      <c r="A874" s="383" t="str">
        <f>+A8</f>
        <v>Revised:  11/30/2017</v>
      </c>
      <c r="B874" s="383"/>
      <c r="C874" s="383"/>
      <c r="D874" s="383"/>
      <c r="E874" s="383"/>
      <c r="F874" s="383"/>
      <c r="G874" s="383"/>
      <c r="H874" s="383"/>
      <c r="I874" s="383"/>
      <c r="J874" s="383"/>
      <c r="K874" s="383"/>
      <c r="L874" s="383"/>
      <c r="M874" s="383"/>
      <c r="N874" s="383"/>
      <c r="O874" s="383"/>
      <c r="P874" s="383"/>
      <c r="Q874" s="383"/>
      <c r="R874" s="383"/>
    </row>
    <row r="875" spans="1:18" ht="15.75" customHeight="1" x14ac:dyDescent="0.3">
      <c r="A875" s="6"/>
      <c r="B875" s="6"/>
      <c r="C875" s="6"/>
      <c r="D875" s="6"/>
      <c r="E875" s="6"/>
      <c r="F875" s="6"/>
      <c r="G875" s="6"/>
      <c r="H875" s="6"/>
      <c r="I875" s="6"/>
      <c r="J875" s="6"/>
      <c r="K875" s="6"/>
      <c r="L875" s="6"/>
      <c r="M875" s="6"/>
      <c r="N875" s="6"/>
      <c r="O875" s="6"/>
      <c r="P875" s="6"/>
      <c r="Q875" s="6"/>
      <c r="R875" s="6"/>
    </row>
    <row r="876" spans="1:18" ht="15.75" customHeight="1" x14ac:dyDescent="0.3">
      <c r="A876" s="30"/>
      <c r="B876" s="1"/>
      <c r="C876" s="1"/>
      <c r="D876" s="1"/>
      <c r="E876" s="1"/>
      <c r="F876" s="1"/>
      <c r="G876" s="1"/>
      <c r="H876" s="1"/>
      <c r="I876" s="1"/>
      <c r="J876" s="1"/>
      <c r="K876" s="1"/>
      <c r="L876" s="1"/>
      <c r="M876" s="1"/>
      <c r="N876" s="1"/>
      <c r="O876" s="1"/>
      <c r="P876" s="1"/>
      <c r="Q876" s="1"/>
      <c r="R876" s="28"/>
    </row>
    <row r="877" spans="1:18" ht="15.75" customHeight="1" thickBot="1" x14ac:dyDescent="0.35">
      <c r="A877" s="1"/>
      <c r="B877" s="1"/>
      <c r="C877" s="1"/>
      <c r="D877" s="1"/>
      <c r="E877" s="1"/>
      <c r="F877" s="1"/>
      <c r="G877" s="1"/>
      <c r="H877" s="1"/>
      <c r="I877" s="1"/>
      <c r="J877" s="1"/>
      <c r="K877" s="1"/>
      <c r="L877" s="1"/>
      <c r="M877" s="1"/>
      <c r="N877" s="1"/>
      <c r="O877" s="166"/>
      <c r="P877" s="1"/>
      <c r="Q877" s="1"/>
      <c r="R877" s="28"/>
    </row>
    <row r="878" spans="1:18" ht="15.75" customHeight="1" thickBot="1" x14ac:dyDescent="0.35">
      <c r="A878" s="124" t="s">
        <v>630</v>
      </c>
      <c r="B878" s="54" t="s">
        <v>36</v>
      </c>
      <c r="C878" s="11" t="s">
        <v>9</v>
      </c>
      <c r="D878" s="11" t="s">
        <v>10</v>
      </c>
      <c r="E878" s="12" t="s">
        <v>11</v>
      </c>
      <c r="F878" s="11" t="s">
        <v>12</v>
      </c>
      <c r="G878" s="11" t="s">
        <v>13</v>
      </c>
      <c r="H878" s="11" t="s">
        <v>14</v>
      </c>
      <c r="I878" s="12" t="s">
        <v>15</v>
      </c>
      <c r="J878" s="11" t="s">
        <v>16</v>
      </c>
      <c r="K878" s="11" t="s">
        <v>17</v>
      </c>
      <c r="L878" s="11" t="s">
        <v>18</v>
      </c>
      <c r="M878" s="12" t="s">
        <v>19</v>
      </c>
      <c r="N878" s="11" t="s">
        <v>20</v>
      </c>
      <c r="O878" s="11" t="s">
        <v>21</v>
      </c>
      <c r="P878" s="11" t="s">
        <v>22</v>
      </c>
      <c r="Q878" s="12" t="s">
        <v>23</v>
      </c>
      <c r="R878" s="167" t="s">
        <v>24</v>
      </c>
    </row>
    <row r="879" spans="1:18" ht="16.5" customHeight="1" thickBot="1" x14ac:dyDescent="0.35">
      <c r="A879" s="168"/>
      <c r="B879" s="169"/>
      <c r="C879" s="169"/>
      <c r="D879" s="169"/>
      <c r="E879" s="16"/>
      <c r="F879" s="169"/>
      <c r="G879" s="169"/>
      <c r="H879" s="169"/>
      <c r="I879" s="38"/>
      <c r="J879" s="169"/>
      <c r="K879" s="169"/>
      <c r="L879" s="169"/>
      <c r="M879" s="38"/>
      <c r="N879" s="169"/>
      <c r="O879" s="169"/>
      <c r="P879" s="169"/>
      <c r="Q879" s="151"/>
      <c r="R879" s="170"/>
    </row>
    <row r="880" spans="1:18" ht="16.5" customHeight="1" thickBot="1" x14ac:dyDescent="0.35">
      <c r="A880" s="171" t="s">
        <v>26</v>
      </c>
      <c r="B880" s="172">
        <f>+B846</f>
        <v>40567</v>
      </c>
      <c r="C880" s="172">
        <f>+C846</f>
        <v>37222</v>
      </c>
      <c r="D880" s="172">
        <f>+D846</f>
        <v>35300</v>
      </c>
      <c r="E880" s="100">
        <f>+SUM(B880:D880)</f>
        <v>113089</v>
      </c>
      <c r="F880" s="172">
        <f>+F846</f>
        <v>32982</v>
      </c>
      <c r="G880" s="172">
        <f>+G846</f>
        <v>65061</v>
      </c>
      <c r="H880" s="172">
        <f>+H846</f>
        <v>82203</v>
      </c>
      <c r="I880" s="100">
        <f>+SUM(F880:H880)</f>
        <v>180246</v>
      </c>
      <c r="J880" s="172">
        <f>+J846</f>
        <v>77731</v>
      </c>
      <c r="K880" s="172">
        <f>+K846</f>
        <v>71269</v>
      </c>
      <c r="L880" s="172">
        <f>+L846</f>
        <v>65804</v>
      </c>
      <c r="M880" s="100">
        <f>+SUM(J880:L880)</f>
        <v>214804</v>
      </c>
      <c r="N880" s="172">
        <f>+N846</f>
        <v>49822</v>
      </c>
      <c r="O880" s="172">
        <f>+O846</f>
        <v>33435</v>
      </c>
      <c r="P880" s="172">
        <f>+P846</f>
        <v>31553</v>
      </c>
      <c r="Q880" s="100">
        <f>+SUM(N880:P880)</f>
        <v>114810</v>
      </c>
      <c r="R880" s="64">
        <f>+E880+I880+M880+Q880</f>
        <v>622949</v>
      </c>
    </row>
    <row r="881" spans="1:46" ht="16.5" customHeight="1" thickBot="1" x14ac:dyDescent="0.35">
      <c r="A881" s="34"/>
      <c r="B881" s="100"/>
      <c r="C881" s="100"/>
      <c r="D881" s="100"/>
      <c r="E881" s="100"/>
      <c r="F881" s="100"/>
      <c r="G881" s="100"/>
      <c r="H881" s="100"/>
      <c r="I881" s="100"/>
      <c r="J881" s="100"/>
      <c r="K881" s="100"/>
      <c r="L881" s="100"/>
      <c r="M881" s="100"/>
      <c r="N881" s="100"/>
      <c r="O881" s="100"/>
      <c r="P881" s="100"/>
      <c r="Q881" s="100"/>
      <c r="R881" s="64"/>
    </row>
    <row r="882" spans="1:46" ht="16.5" customHeight="1" thickBot="1" x14ac:dyDescent="0.35">
      <c r="A882" s="171" t="s">
        <v>631</v>
      </c>
      <c r="B882" s="172">
        <f>+B851</f>
        <v>5210</v>
      </c>
      <c r="C882" s="172">
        <f>+C851</f>
        <v>7000</v>
      </c>
      <c r="D882" s="172">
        <f>+D851</f>
        <v>28100</v>
      </c>
      <c r="E882" s="100">
        <f>+SUM(B882:D882)</f>
        <v>40310</v>
      </c>
      <c r="F882" s="172">
        <f>+F851</f>
        <v>36660</v>
      </c>
      <c r="G882" s="172">
        <f>+G851</f>
        <v>32676</v>
      </c>
      <c r="H882" s="172">
        <f>+H851</f>
        <v>42550</v>
      </c>
      <c r="I882" s="100">
        <f>+SUM(F882:H882)</f>
        <v>111886</v>
      </c>
      <c r="J882" s="172">
        <f>+J851</f>
        <v>37860</v>
      </c>
      <c r="K882" s="172">
        <f>+K851</f>
        <v>33000</v>
      </c>
      <c r="L882" s="172">
        <f>+L851</f>
        <v>14300</v>
      </c>
      <c r="M882" s="100">
        <f>+SUM(J882:L882)</f>
        <v>85160</v>
      </c>
      <c r="N882" s="172">
        <f>+N851</f>
        <v>6292</v>
      </c>
      <c r="O882" s="172">
        <f>+O851</f>
        <v>2730</v>
      </c>
      <c r="P882" s="172">
        <f>+P851</f>
        <v>4286</v>
      </c>
      <c r="Q882" s="100">
        <f>+SUM(N882:P882)</f>
        <v>13308</v>
      </c>
      <c r="R882" s="64">
        <f>+E882+I882+M882+Q882</f>
        <v>250664</v>
      </c>
    </row>
    <row r="883" spans="1:46" ht="16.5" customHeight="1" thickBot="1" x14ac:dyDescent="0.35">
      <c r="A883" s="34"/>
      <c r="B883" s="100"/>
      <c r="C883" s="100"/>
      <c r="D883" s="100"/>
      <c r="E883" s="100"/>
      <c r="F883" s="100"/>
      <c r="G883" s="100"/>
      <c r="H883" s="100"/>
      <c r="I883" s="100"/>
      <c r="J883" s="100"/>
      <c r="K883" s="100"/>
      <c r="L883" s="100"/>
      <c r="M883" s="100"/>
      <c r="N883" s="100"/>
      <c r="O883" s="100"/>
      <c r="P883" s="100"/>
      <c r="Q883" s="100"/>
      <c r="R883" s="64"/>
      <c r="AC883" s="173"/>
      <c r="AD883" s="174"/>
      <c r="AE883" s="175" t="s">
        <v>632</v>
      </c>
      <c r="AF883" s="174"/>
      <c r="AG883" s="174"/>
      <c r="AH883" s="174"/>
      <c r="AI883" s="174"/>
      <c r="AJ883" s="174"/>
      <c r="AK883" s="174" t="s">
        <v>633</v>
      </c>
      <c r="AL883" s="174"/>
      <c r="AM883" s="174" t="s">
        <v>7</v>
      </c>
      <c r="AN883" s="176" t="str">
        <f>+A8</f>
        <v>Revised:  11/30/2017</v>
      </c>
      <c r="AO883" s="174"/>
      <c r="AP883" s="174"/>
      <c r="AQ883" s="174"/>
      <c r="AR883" s="174"/>
      <c r="AS883" s="177" t="str">
        <f>+Q1</f>
        <v xml:space="preserve">PRINTED:  </v>
      </c>
      <c r="AT883" s="178">
        <f ca="1">+R1</f>
        <v>44894.658168518516</v>
      </c>
    </row>
    <row r="884" spans="1:46" ht="16.5" customHeight="1" thickBot="1" x14ac:dyDescent="0.35">
      <c r="A884" s="171" t="s">
        <v>28</v>
      </c>
      <c r="B884" s="172">
        <f>+B855</f>
        <v>20295</v>
      </c>
      <c r="C884" s="172">
        <f>+C855</f>
        <v>28241</v>
      </c>
      <c r="D884" s="172">
        <f>+D855</f>
        <v>53866</v>
      </c>
      <c r="E884" s="100">
        <f>+SUM(B884:D884)</f>
        <v>102402</v>
      </c>
      <c r="F884" s="172">
        <f>+F855</f>
        <v>64661</v>
      </c>
      <c r="G884" s="172">
        <f>+G855</f>
        <v>57927</v>
      </c>
      <c r="H884" s="172">
        <f>+H855</f>
        <v>66499</v>
      </c>
      <c r="I884" s="100">
        <f>+SUM(F884:H884)</f>
        <v>189087</v>
      </c>
      <c r="J884" s="172">
        <f>+J855</f>
        <v>77675</v>
      </c>
      <c r="K884" s="172">
        <f>+K855</f>
        <v>68117</v>
      </c>
      <c r="L884" s="172">
        <f>+L855</f>
        <v>51645</v>
      </c>
      <c r="M884" s="100">
        <f>+SUM(J884:L884)</f>
        <v>197437</v>
      </c>
      <c r="N884" s="172">
        <f>+N855</f>
        <v>35686</v>
      </c>
      <c r="O884" s="172">
        <f>+O855</f>
        <v>26585</v>
      </c>
      <c r="P884" s="172">
        <f>+P855</f>
        <v>31810</v>
      </c>
      <c r="Q884" s="100">
        <f>+SUM(N884:P884)</f>
        <v>94081</v>
      </c>
      <c r="R884" s="64">
        <f>+E884+I884+M884+Q884</f>
        <v>583007</v>
      </c>
      <c r="AC884" s="179"/>
      <c r="AD884" s="180"/>
      <c r="AE884" s="180"/>
      <c r="AF884" s="180">
        <f>++A5</f>
        <v>2018</v>
      </c>
      <c r="AG884" s="180"/>
      <c r="AH884" s="180"/>
      <c r="AI884" s="180"/>
      <c r="AJ884" s="180"/>
      <c r="AK884" s="180"/>
      <c r="AL884" s="180"/>
      <c r="AM884" s="180"/>
      <c r="AN884" s="180"/>
      <c r="AO884" s="180"/>
      <c r="AP884" s="180"/>
      <c r="AQ884" s="180"/>
      <c r="AR884" s="180"/>
      <c r="AS884" s="180"/>
      <c r="AT884" s="306"/>
    </row>
    <row r="885" spans="1:46" ht="16.5" customHeight="1" thickBot="1" x14ac:dyDescent="0.35">
      <c r="A885" s="34"/>
      <c r="B885" s="100"/>
      <c r="C885" s="100"/>
      <c r="D885" s="100"/>
      <c r="E885" s="100"/>
      <c r="F885" s="100"/>
      <c r="G885" s="100"/>
      <c r="H885" s="100"/>
      <c r="I885" s="100"/>
      <c r="J885" s="100"/>
      <c r="K885" s="100"/>
      <c r="L885" s="100"/>
      <c r="M885" s="100"/>
      <c r="N885" s="100"/>
      <c r="O885" s="100"/>
      <c r="P885" s="100"/>
      <c r="Q885" s="100"/>
      <c r="R885" s="64"/>
      <c r="AC885" s="179"/>
      <c r="AD885" s="180"/>
      <c r="AE885" s="180"/>
      <c r="AF885" s="180"/>
      <c r="AG885" s="180"/>
      <c r="AH885" s="180"/>
      <c r="AI885" s="180"/>
      <c r="AJ885" s="180"/>
      <c r="AK885" s="180"/>
      <c r="AL885" s="180"/>
      <c r="AM885" s="180"/>
      <c r="AN885" s="180"/>
      <c r="AO885" s="180"/>
      <c r="AP885" s="180"/>
      <c r="AQ885" s="180"/>
      <c r="AR885" s="180"/>
      <c r="AS885" s="180"/>
      <c r="AT885" s="306"/>
    </row>
    <row r="886" spans="1:46" ht="16.5" customHeight="1" thickBot="1" x14ac:dyDescent="0.35">
      <c r="A886" s="171" t="s">
        <v>634</v>
      </c>
      <c r="B886" s="172">
        <f>+B864</f>
        <v>0</v>
      </c>
      <c r="C886" s="172">
        <f>+C864</f>
        <v>0</v>
      </c>
      <c r="D886" s="172">
        <f>+D864</f>
        <v>2510</v>
      </c>
      <c r="E886" s="100">
        <f>+SUM(B886:D886)</f>
        <v>2510</v>
      </c>
      <c r="F886" s="172">
        <f>+F864</f>
        <v>6110</v>
      </c>
      <c r="G886" s="172">
        <f>+G864</f>
        <v>7410</v>
      </c>
      <c r="H886" s="172">
        <f>+H864</f>
        <v>2170</v>
      </c>
      <c r="I886" s="100">
        <f>+SUM(F886:H886)</f>
        <v>15690</v>
      </c>
      <c r="J886" s="172">
        <f>+J864</f>
        <v>4300</v>
      </c>
      <c r="K886" s="172">
        <f>+K864</f>
        <v>11132</v>
      </c>
      <c r="L886" s="172">
        <f>+L864</f>
        <v>6877</v>
      </c>
      <c r="M886" s="100">
        <f>+SUM(J886:L886)</f>
        <v>22309</v>
      </c>
      <c r="N886" s="172">
        <f>+N864</f>
        <v>6390</v>
      </c>
      <c r="O886" s="172">
        <f>+O864</f>
        <v>5890</v>
      </c>
      <c r="P886" s="172">
        <f>+P864</f>
        <v>3711</v>
      </c>
      <c r="Q886" s="100">
        <f>+SUM(N886:P886)</f>
        <v>15991</v>
      </c>
      <c r="R886" s="64">
        <f>+E886+I886+M886+Q886</f>
        <v>56500</v>
      </c>
      <c r="AC886" s="179"/>
      <c r="AD886" s="180"/>
      <c r="AE886" s="180"/>
      <c r="AF886" s="180"/>
      <c r="AG886" s="180"/>
      <c r="AH886" s="180"/>
      <c r="AI886" s="182" t="s">
        <v>635</v>
      </c>
      <c r="AJ886" s="180"/>
      <c r="AK886" s="180"/>
      <c r="AL886" s="180"/>
      <c r="AM886" s="180"/>
      <c r="AN886" s="180"/>
      <c r="AO886" s="180"/>
      <c r="AP886" s="180"/>
      <c r="AQ886" s="180"/>
      <c r="AR886" s="180"/>
      <c r="AS886" s="180"/>
      <c r="AT886" s="306"/>
    </row>
    <row r="887" spans="1:46" ht="16.5" customHeight="1" thickBot="1" x14ac:dyDescent="0.35">
      <c r="A887" s="34"/>
      <c r="B887" s="100"/>
      <c r="C887" s="100"/>
      <c r="D887" s="100"/>
      <c r="E887" s="100"/>
      <c r="F887" s="100"/>
      <c r="G887" s="100"/>
      <c r="H887" s="100"/>
      <c r="I887" s="100"/>
      <c r="J887" s="100"/>
      <c r="K887" s="100"/>
      <c r="L887" s="100"/>
      <c r="M887" s="100"/>
      <c r="N887" s="100"/>
      <c r="O887" s="100"/>
      <c r="P887" s="100"/>
      <c r="Q887" s="100"/>
      <c r="R887" s="64"/>
      <c r="AC887" s="179"/>
      <c r="AD887" s="180" t="s">
        <v>633</v>
      </c>
      <c r="AE887" s="180"/>
      <c r="AF887" s="182" t="s">
        <v>636</v>
      </c>
      <c r="AG887" s="182" t="s">
        <v>636</v>
      </c>
      <c r="AH887" s="182" t="s">
        <v>637</v>
      </c>
      <c r="AI887" s="182" t="s">
        <v>638</v>
      </c>
      <c r="AJ887" s="182" t="s">
        <v>639</v>
      </c>
      <c r="AK887" s="182" t="s">
        <v>640</v>
      </c>
      <c r="AL887" s="182" t="s">
        <v>641</v>
      </c>
      <c r="AM887" s="180" t="s">
        <v>633</v>
      </c>
      <c r="AN887" s="182" t="s">
        <v>642</v>
      </c>
      <c r="AO887" s="182" t="s">
        <v>642</v>
      </c>
      <c r="AP887" s="182" t="s">
        <v>642</v>
      </c>
      <c r="AQ887" s="180"/>
      <c r="AR887" s="180"/>
      <c r="AS887" s="180"/>
      <c r="AT887" s="306"/>
    </row>
    <row r="888" spans="1:46" ht="16.5" customHeight="1" thickBot="1" x14ac:dyDescent="0.4">
      <c r="A888" s="34" t="s">
        <v>643</v>
      </c>
      <c r="B888" s="107">
        <f t="shared" ref="B888:Q888" si="272">+SUM(B880:B886)</f>
        <v>66072</v>
      </c>
      <c r="C888" s="107">
        <f t="shared" si="272"/>
        <v>72463</v>
      </c>
      <c r="D888" s="107">
        <f t="shared" si="272"/>
        <v>119776</v>
      </c>
      <c r="E888" s="107">
        <f t="shared" si="272"/>
        <v>258311</v>
      </c>
      <c r="F888" s="107">
        <f t="shared" si="272"/>
        <v>140413</v>
      </c>
      <c r="G888" s="107">
        <f t="shared" si="272"/>
        <v>163074</v>
      </c>
      <c r="H888" s="107">
        <f t="shared" si="272"/>
        <v>193422</v>
      </c>
      <c r="I888" s="107">
        <f t="shared" si="272"/>
        <v>496909</v>
      </c>
      <c r="J888" s="107">
        <f t="shared" si="272"/>
        <v>197566</v>
      </c>
      <c r="K888" s="107">
        <f t="shared" si="272"/>
        <v>183518</v>
      </c>
      <c r="L888" s="107">
        <f t="shared" si="272"/>
        <v>138626</v>
      </c>
      <c r="M888" s="107">
        <f t="shared" si="272"/>
        <v>519710</v>
      </c>
      <c r="N888" s="107">
        <f t="shared" si="272"/>
        <v>98190</v>
      </c>
      <c r="O888" s="107">
        <f t="shared" si="272"/>
        <v>68640</v>
      </c>
      <c r="P888" s="107">
        <f t="shared" si="272"/>
        <v>71360</v>
      </c>
      <c r="Q888" s="107">
        <f t="shared" si="272"/>
        <v>238190</v>
      </c>
      <c r="R888" s="183">
        <f>+SUM(R880:R886)</f>
        <v>1513120</v>
      </c>
      <c r="AC888" s="179"/>
      <c r="AD888" s="182" t="s">
        <v>644</v>
      </c>
      <c r="AE888" s="182" t="s">
        <v>645</v>
      </c>
      <c r="AF888" s="182" t="s">
        <v>646</v>
      </c>
      <c r="AG888" s="182" t="s">
        <v>646</v>
      </c>
      <c r="AH888" s="182" t="s">
        <v>647</v>
      </c>
      <c r="AI888" s="184" t="s">
        <v>648</v>
      </c>
      <c r="AJ888" s="182" t="s">
        <v>649</v>
      </c>
      <c r="AK888" s="182" t="s">
        <v>650</v>
      </c>
      <c r="AL888" s="182" t="s">
        <v>651</v>
      </c>
      <c r="AM888" s="180" t="s">
        <v>633</v>
      </c>
      <c r="AN888" s="182" t="s">
        <v>652</v>
      </c>
      <c r="AO888" s="182" t="s">
        <v>648</v>
      </c>
      <c r="AP888" s="182" t="s">
        <v>653</v>
      </c>
      <c r="AQ888" s="180"/>
      <c r="AR888" s="180"/>
      <c r="AS888" s="180"/>
      <c r="AT888" s="306"/>
    </row>
    <row r="889" spans="1:46" ht="15.75" customHeight="1" x14ac:dyDescent="0.35">
      <c r="A889" s="185"/>
      <c r="B889" s="186"/>
      <c r="C889" s="186"/>
      <c r="D889" s="186"/>
      <c r="E889" s="186"/>
      <c r="F889" s="186"/>
      <c r="G889" s="186"/>
      <c r="H889" s="187" t="s">
        <v>654</v>
      </c>
      <c r="I889" s="186"/>
      <c r="J889" s="186"/>
      <c r="K889" s="186"/>
      <c r="L889" s="186"/>
      <c r="M889" s="186"/>
      <c r="N889" s="186"/>
      <c r="O889" s="186"/>
      <c r="P889" s="186"/>
      <c r="Q889" s="186"/>
      <c r="R889" s="186"/>
      <c r="AC889" s="179"/>
      <c r="AD889" s="182" t="s">
        <v>127</v>
      </c>
      <c r="AE889" s="182" t="s">
        <v>655</v>
      </c>
      <c r="AF889" s="182" t="s">
        <v>656</v>
      </c>
      <c r="AG889" s="182" t="s">
        <v>657</v>
      </c>
      <c r="AH889" s="182" t="s">
        <v>658</v>
      </c>
      <c r="AI889" s="182" t="s">
        <v>658</v>
      </c>
      <c r="AJ889" s="182" t="s">
        <v>658</v>
      </c>
      <c r="AK889" s="182" t="s">
        <v>658</v>
      </c>
      <c r="AL889" s="182" t="s">
        <v>659</v>
      </c>
      <c r="AM889" s="180" t="s">
        <v>633</v>
      </c>
      <c r="AN889" s="182" t="s">
        <v>660</v>
      </c>
      <c r="AO889" s="182" t="s">
        <v>661</v>
      </c>
      <c r="AP889" s="182" t="s">
        <v>661</v>
      </c>
      <c r="AQ889" s="180"/>
      <c r="AR889" s="180"/>
      <c r="AS889" s="180"/>
      <c r="AT889" s="306"/>
    </row>
    <row r="890" spans="1:46" ht="15.75" customHeight="1" x14ac:dyDescent="0.35">
      <c r="A890" s="185"/>
      <c r="B890" s="186"/>
      <c r="C890" s="186"/>
      <c r="D890" s="186"/>
      <c r="E890" s="186"/>
      <c r="F890" s="186"/>
      <c r="G890" s="1"/>
      <c r="H890" s="187"/>
      <c r="I890" s="186"/>
      <c r="J890" s="186"/>
      <c r="K890" s="186"/>
      <c r="L890" s="186"/>
      <c r="M890" s="186"/>
      <c r="N890" s="186"/>
      <c r="O890" s="186"/>
      <c r="P890" s="186"/>
      <c r="Q890" s="186"/>
      <c r="R890" s="186"/>
      <c r="AC890" s="179"/>
      <c r="AD890" s="182" t="s">
        <v>662</v>
      </c>
      <c r="AE890" s="182" t="s">
        <v>663</v>
      </c>
      <c r="AF890" s="182" t="s">
        <v>664</v>
      </c>
      <c r="AG890" s="182" t="s">
        <v>664</v>
      </c>
      <c r="AH890" s="182" t="s">
        <v>664</v>
      </c>
      <c r="AI890" s="182" t="s">
        <v>664</v>
      </c>
      <c r="AJ890" s="182" t="s">
        <v>664</v>
      </c>
      <c r="AK890" s="182" t="s">
        <v>664</v>
      </c>
      <c r="AL890" s="182" t="s">
        <v>664</v>
      </c>
      <c r="AM890" s="180" t="s">
        <v>633</v>
      </c>
      <c r="AN890" s="182" t="s">
        <v>665</v>
      </c>
      <c r="AO890" s="182" t="s">
        <v>665</v>
      </c>
      <c r="AP890" s="182" t="s">
        <v>665</v>
      </c>
      <c r="AQ890" s="180"/>
      <c r="AR890" s="180"/>
      <c r="AS890" s="180"/>
      <c r="AT890" s="306"/>
    </row>
    <row r="891" spans="1:46" ht="15.75" customHeight="1" thickBot="1" x14ac:dyDescent="0.4">
      <c r="A891" s="185"/>
      <c r="B891" s="186"/>
      <c r="C891" s="186"/>
      <c r="D891" s="186"/>
      <c r="E891" s="186"/>
      <c r="F891" s="186"/>
      <c r="G891" s="186"/>
      <c r="H891" s="187"/>
      <c r="I891" s="186"/>
      <c r="J891" s="186"/>
      <c r="K891" s="186"/>
      <c r="L891" s="186"/>
      <c r="M891" s="186"/>
      <c r="N891" s="186"/>
      <c r="O891" s="186"/>
      <c r="P891" s="186"/>
      <c r="Q891" s="186"/>
      <c r="R891" s="186"/>
      <c r="AC891" s="179"/>
      <c r="AD891" s="180" t="s">
        <v>666</v>
      </c>
      <c r="AE891" s="180" t="s">
        <v>666</v>
      </c>
      <c r="AF891" s="180" t="s">
        <v>666</v>
      </c>
      <c r="AG891" s="180" t="s">
        <v>666</v>
      </c>
      <c r="AH891" s="180" t="s">
        <v>666</v>
      </c>
      <c r="AI891" s="180" t="s">
        <v>666</v>
      </c>
      <c r="AJ891" s="180" t="s">
        <v>666</v>
      </c>
      <c r="AK891" s="180" t="s">
        <v>666</v>
      </c>
      <c r="AL891" s="180" t="s">
        <v>666</v>
      </c>
      <c r="AM891" s="180" t="s">
        <v>633</v>
      </c>
      <c r="AN891" s="180" t="s">
        <v>666</v>
      </c>
      <c r="AO891" s="180" t="s">
        <v>666</v>
      </c>
      <c r="AP891" s="180" t="s">
        <v>666</v>
      </c>
      <c r="AQ891" s="180"/>
      <c r="AR891" s="180"/>
      <c r="AS891" s="180"/>
      <c r="AT891" s="306"/>
    </row>
    <row r="892" spans="1:46" ht="15.75" customHeight="1" x14ac:dyDescent="0.3">
      <c r="A892" s="188"/>
      <c r="B892" s="387" t="s">
        <v>667</v>
      </c>
      <c r="C892" s="387"/>
      <c r="D892" s="387"/>
      <c r="E892" s="387"/>
      <c r="F892" s="387"/>
      <c r="G892" s="387"/>
      <c r="H892" s="387"/>
      <c r="I892" s="387"/>
      <c r="J892" s="387"/>
      <c r="K892" s="387"/>
      <c r="L892" s="387"/>
      <c r="M892" s="387"/>
      <c r="N892" s="387"/>
      <c r="O892" s="387"/>
      <c r="P892" s="387"/>
      <c r="Q892" s="177" t="str">
        <f>+Q1</f>
        <v xml:space="preserve">PRINTED:  </v>
      </c>
      <c r="R892" s="178">
        <f ca="1">+R1</f>
        <v>44894.658168518516</v>
      </c>
      <c r="AC892" s="189" t="s">
        <v>668</v>
      </c>
      <c r="AD892" s="180">
        <f t="shared" ref="AD892:AD903" si="273">(F901)</f>
        <v>22000</v>
      </c>
      <c r="AE892" s="180">
        <f t="shared" ref="AE892:AE903" si="274">SUM($B$956:$E$956)+(T901-1526.8)/0.7702</f>
        <v>1631.9413413566363</v>
      </c>
      <c r="AF892" s="180">
        <f>(AD892*AE892/1000)</f>
        <v>35902.709509845998</v>
      </c>
      <c r="AG892" s="180">
        <f t="shared" ref="AG892:AG903" si="275">(((B901-F901)*B$956)+((C901-F901)*C$956)+((D901-F901)*D$956)+((E901-F901)*E$956))/1000</f>
        <v>94958.694000000003</v>
      </c>
      <c r="AH892" s="180">
        <f>(AF892+AG892)</f>
        <v>130861.403509846</v>
      </c>
      <c r="AI892" s="180">
        <f t="shared" ref="AI892:AI903" si="276">SUM(H958:Q958)</f>
        <v>29378</v>
      </c>
      <c r="AJ892" s="180">
        <f>+AH892+AI892</f>
        <v>160239.40350984602</v>
      </c>
      <c r="AK892" s="180">
        <f t="shared" ref="AK892:AK899" si="277">(G986)</f>
        <v>0</v>
      </c>
      <c r="AL892" s="180">
        <f t="shared" ref="AL892:AL903" si="278">(AJ892-AK892)</f>
        <v>160239.40350984602</v>
      </c>
      <c r="AM892" s="180" t="s">
        <v>633</v>
      </c>
      <c r="AN892" s="180">
        <f>+B901/31/1.98</f>
        <v>1446.9045291625937</v>
      </c>
      <c r="AO892" s="180">
        <f>(AD892*43560/31/24/3600)</f>
        <v>357.7956989247312</v>
      </c>
      <c r="AP892" s="180">
        <f>+B319</f>
        <v>0</v>
      </c>
      <c r="AQ892" s="180"/>
      <c r="AR892" s="180"/>
      <c r="AS892" s="180"/>
      <c r="AT892" s="306"/>
    </row>
    <row r="893" spans="1:46" ht="15.75" customHeight="1" x14ac:dyDescent="0.3">
      <c r="A893" s="189"/>
      <c r="B893" s="394" t="str">
        <f>+A8</f>
        <v>Revised:  11/30/2017</v>
      </c>
      <c r="C893" s="394"/>
      <c r="D893" s="394"/>
      <c r="E893" s="394"/>
      <c r="F893" s="394"/>
      <c r="G893" s="394"/>
      <c r="H893" s="394"/>
      <c r="I893" s="394"/>
      <c r="J893" s="394"/>
      <c r="K893" s="394"/>
      <c r="L893" s="394"/>
      <c r="M893" s="394"/>
      <c r="N893" s="394"/>
      <c r="O893" s="394"/>
      <c r="P893" s="394"/>
      <c r="Q893" s="180"/>
      <c r="R893" s="306"/>
      <c r="AC893" s="189" t="s">
        <v>669</v>
      </c>
      <c r="AD893" s="180">
        <f t="shared" si="273"/>
        <v>35000</v>
      </c>
      <c r="AE893" s="180">
        <f t="shared" si="274"/>
        <v>1637.4225463837956</v>
      </c>
      <c r="AF893" s="180">
        <f>(AD893*AE893/1000)</f>
        <v>57309.789123432842</v>
      </c>
      <c r="AG893" s="180">
        <f t="shared" si="275"/>
        <v>107114.751</v>
      </c>
      <c r="AH893" s="180">
        <f t="shared" ref="AH893:AH903" si="279">(AF893+AG893)</f>
        <v>164424.54012343285</v>
      </c>
      <c r="AI893" s="180">
        <f t="shared" si="276"/>
        <v>30677</v>
      </c>
      <c r="AJ893" s="180">
        <f t="shared" ref="AJ893:AJ903" si="280">+AH893+AI893</f>
        <v>195101.54012343285</v>
      </c>
      <c r="AK893" s="180">
        <f t="shared" si="277"/>
        <v>0</v>
      </c>
      <c r="AL893" s="180">
        <f t="shared" si="278"/>
        <v>195101.54012343285</v>
      </c>
      <c r="AM893" s="180" t="s">
        <v>633</v>
      </c>
      <c r="AN893" s="180">
        <f>+B902/28/1.98</f>
        <v>1991.2157287157286</v>
      </c>
      <c r="AO893" s="180">
        <f>(AD893*43560/29/24/3600)</f>
        <v>608.47701149425291</v>
      </c>
      <c r="AP893" s="180">
        <f>+C319</f>
        <v>0</v>
      </c>
      <c r="AQ893" s="180"/>
      <c r="AR893" s="180"/>
      <c r="AS893" s="180"/>
      <c r="AT893" s="306"/>
    </row>
    <row r="894" spans="1:46" ht="15.75" customHeight="1" x14ac:dyDescent="0.3">
      <c r="A894" s="189"/>
      <c r="B894" s="394" t="s">
        <v>670</v>
      </c>
      <c r="C894" s="394"/>
      <c r="D894" s="394"/>
      <c r="E894" s="394"/>
      <c r="F894" s="394"/>
      <c r="G894" s="394"/>
      <c r="H894" s="394"/>
      <c r="I894" s="394"/>
      <c r="J894" s="394"/>
      <c r="K894" s="394"/>
      <c r="L894" s="394"/>
      <c r="M894" s="394"/>
      <c r="N894" s="394"/>
      <c r="O894" s="394"/>
      <c r="P894" s="394"/>
      <c r="Q894" s="180"/>
      <c r="R894" s="306"/>
      <c r="AC894" s="189" t="s">
        <v>671</v>
      </c>
      <c r="AD894" s="180">
        <f t="shared" si="273"/>
        <v>56000</v>
      </c>
      <c r="AE894" s="180">
        <f t="shared" si="274"/>
        <v>1645.1961640054219</v>
      </c>
      <c r="AF894" s="180">
        <f t="shared" ref="AF894:AF903" si="281">(AD894*AE894/1000)</f>
        <v>92130.98518430363</v>
      </c>
      <c r="AG894" s="180">
        <f t="shared" si="275"/>
        <v>176798.25200000001</v>
      </c>
      <c r="AH894" s="180">
        <f t="shared" si="279"/>
        <v>268929.23718430364</v>
      </c>
      <c r="AI894" s="180">
        <f t="shared" si="276"/>
        <v>38714</v>
      </c>
      <c r="AJ894" s="180">
        <f t="shared" si="280"/>
        <v>307643.23718430364</v>
      </c>
      <c r="AK894" s="180">
        <f t="shared" si="277"/>
        <v>0</v>
      </c>
      <c r="AL894" s="180">
        <f t="shared" si="278"/>
        <v>307643.23718430364</v>
      </c>
      <c r="AM894" s="180" t="s">
        <v>633</v>
      </c>
      <c r="AN894" s="180">
        <f>+B903/31/1.98</f>
        <v>2947.1977842945585</v>
      </c>
      <c r="AO894" s="180">
        <f>(AD894*43560/31/24/3600)</f>
        <v>910.75268817204312</v>
      </c>
      <c r="AP894" s="180">
        <f>+D319</f>
        <v>0</v>
      </c>
      <c r="AQ894" s="180"/>
      <c r="AR894" s="180"/>
      <c r="AS894" s="180"/>
      <c r="AT894" s="306"/>
    </row>
    <row r="895" spans="1:46" ht="15.75" customHeight="1" x14ac:dyDescent="0.3">
      <c r="A895" s="189"/>
      <c r="B895" s="394"/>
      <c r="C895" s="394"/>
      <c r="D895" s="394"/>
      <c r="E895" s="394"/>
      <c r="F895" s="394"/>
      <c r="G895" s="394"/>
      <c r="H895" s="394"/>
      <c r="I895" s="394"/>
      <c r="J895" s="394"/>
      <c r="K895" s="394"/>
      <c r="L895" s="394"/>
      <c r="M895" s="394"/>
      <c r="N895" s="394"/>
      <c r="O895" s="394"/>
      <c r="P895" s="394"/>
      <c r="Q895" s="180"/>
      <c r="R895" s="306"/>
      <c r="AC895" s="189" t="s">
        <v>672</v>
      </c>
      <c r="AD895" s="180">
        <f t="shared" si="273"/>
        <v>28000</v>
      </c>
      <c r="AE895" s="180">
        <f t="shared" si="274"/>
        <v>1648.4945735543342</v>
      </c>
      <c r="AF895" s="180">
        <f t="shared" si="281"/>
        <v>46157.848059521362</v>
      </c>
      <c r="AG895" s="180">
        <f t="shared" si="275"/>
        <v>206644.61199999999</v>
      </c>
      <c r="AH895" s="180">
        <f t="shared" si="279"/>
        <v>252802.46005952137</v>
      </c>
      <c r="AI895" s="180">
        <f t="shared" si="276"/>
        <v>43734</v>
      </c>
      <c r="AJ895" s="180">
        <f t="shared" si="280"/>
        <v>296536.46005952137</v>
      </c>
      <c r="AK895" s="180">
        <f t="shared" si="277"/>
        <v>0</v>
      </c>
      <c r="AL895" s="180">
        <f t="shared" si="278"/>
        <v>296536.46005952137</v>
      </c>
      <c r="AM895" s="180" t="s">
        <v>633</v>
      </c>
      <c r="AN895" s="180">
        <f>+B904/30/1.98</f>
        <v>2931.5824915824919</v>
      </c>
      <c r="AO895" s="180">
        <f>(AD895*43560/30/24/3600)</f>
        <v>470.55555555555554</v>
      </c>
      <c r="AP895" s="180">
        <f>+F319</f>
        <v>0</v>
      </c>
      <c r="AQ895" s="180"/>
      <c r="AR895" s="180"/>
      <c r="AS895" s="180"/>
      <c r="AT895" s="306"/>
    </row>
    <row r="896" spans="1:46" ht="15.75" customHeight="1" x14ac:dyDescent="0.3">
      <c r="A896" s="189"/>
      <c r="B896" s="395">
        <f>+A5</f>
        <v>2018</v>
      </c>
      <c r="C896" s="395"/>
      <c r="D896" s="395"/>
      <c r="E896" s="395"/>
      <c r="F896" s="395"/>
      <c r="G896" s="395"/>
      <c r="H896" s="395"/>
      <c r="I896" s="395"/>
      <c r="J896" s="395"/>
      <c r="K896" s="395"/>
      <c r="L896" s="395"/>
      <c r="M896" s="395"/>
      <c r="N896" s="395"/>
      <c r="O896" s="395"/>
      <c r="P896" s="395"/>
      <c r="Q896" s="180"/>
      <c r="R896" s="306"/>
      <c r="AC896" s="189" t="s">
        <v>673</v>
      </c>
      <c r="AD896" s="180">
        <f t="shared" si="273"/>
        <v>18000</v>
      </c>
      <c r="AE896" s="180">
        <f t="shared" si="274"/>
        <v>1649.8315473379289</v>
      </c>
      <c r="AF896" s="180">
        <f t="shared" si="281"/>
        <v>29696.967852082722</v>
      </c>
      <c r="AG896" s="180">
        <f t="shared" si="275"/>
        <v>238343.122</v>
      </c>
      <c r="AH896" s="180">
        <f t="shared" si="279"/>
        <v>268040.08985208272</v>
      </c>
      <c r="AI896" s="180">
        <f t="shared" si="276"/>
        <v>46329</v>
      </c>
      <c r="AJ896" s="180">
        <f t="shared" si="280"/>
        <v>314369.08985208272</v>
      </c>
      <c r="AK896" s="180">
        <f t="shared" si="277"/>
        <v>0</v>
      </c>
      <c r="AL896" s="180">
        <f t="shared" si="278"/>
        <v>314369.08985208272</v>
      </c>
      <c r="AM896" s="180" t="s">
        <v>633</v>
      </c>
      <c r="AN896" s="180">
        <f>+B905/31/1.98</f>
        <v>3037.5366568914956</v>
      </c>
      <c r="AO896" s="180">
        <f>(AD896*43560/31/24/3600)</f>
        <v>292.74193548387098</v>
      </c>
      <c r="AP896" s="180">
        <f>+G319</f>
        <v>0</v>
      </c>
      <c r="AQ896" s="180"/>
      <c r="AR896" s="180"/>
      <c r="AS896" s="180"/>
      <c r="AT896" s="306"/>
    </row>
    <row r="897" spans="1:46" ht="15.75" customHeight="1" x14ac:dyDescent="0.3">
      <c r="A897" s="189"/>
      <c r="B897" s="394" t="s">
        <v>674</v>
      </c>
      <c r="C897" s="394"/>
      <c r="D897" s="394"/>
      <c r="E897" s="394"/>
      <c r="F897" s="394"/>
      <c r="G897" s="394"/>
      <c r="H897" s="394"/>
      <c r="I897" s="394"/>
      <c r="J897" s="394"/>
      <c r="K897" s="394"/>
      <c r="L897" s="394"/>
      <c r="M897" s="394"/>
      <c r="N897" s="394"/>
      <c r="O897" s="394"/>
      <c r="P897" s="394"/>
      <c r="Q897" s="180"/>
      <c r="R897" s="306"/>
      <c r="AC897" s="189" t="s">
        <v>675</v>
      </c>
      <c r="AD897" s="180">
        <f t="shared" si="273"/>
        <v>0</v>
      </c>
      <c r="AE897" s="180">
        <f t="shared" si="274"/>
        <v>1631.0690892743764</v>
      </c>
      <c r="AF897" s="180">
        <f t="shared" si="281"/>
        <v>0</v>
      </c>
      <c r="AG897" s="180">
        <f t="shared" si="275"/>
        <v>101791.01700000001</v>
      </c>
      <c r="AH897" s="180">
        <f t="shared" si="279"/>
        <v>101791.01700000001</v>
      </c>
      <c r="AI897" s="180">
        <f t="shared" si="276"/>
        <v>52277</v>
      </c>
      <c r="AJ897" s="180">
        <f t="shared" si="280"/>
        <v>154068.01699999999</v>
      </c>
      <c r="AK897" s="180">
        <f t="shared" si="277"/>
        <v>17726.255889147997</v>
      </c>
      <c r="AL897" s="180">
        <f t="shared" si="278"/>
        <v>136341.76111085201</v>
      </c>
      <c r="AM897" s="180" t="s">
        <v>633</v>
      </c>
      <c r="AN897" s="180">
        <f>+B906/30/1.98</f>
        <v>1222.7777777777778</v>
      </c>
      <c r="AO897" s="180">
        <f t="shared" ref="AO897:AO902" si="282">(AD897*43560/30/24/3600)</f>
        <v>0</v>
      </c>
      <c r="AP897" s="180">
        <f>+H319</f>
        <v>-2118.0030257186081</v>
      </c>
      <c r="AQ897" s="180"/>
      <c r="AR897" s="180"/>
      <c r="AS897" s="180"/>
      <c r="AT897" s="306"/>
    </row>
    <row r="898" spans="1:46" ht="15.75" customHeight="1" x14ac:dyDescent="0.3">
      <c r="A898" s="189"/>
      <c r="B898" s="180"/>
      <c r="C898" s="180"/>
      <c r="D898" s="180"/>
      <c r="E898" s="180"/>
      <c r="F898" s="180"/>
      <c r="G898" s="180"/>
      <c r="H898" s="180"/>
      <c r="I898" s="180"/>
      <c r="J898" s="180"/>
      <c r="K898" s="180"/>
      <c r="L898" s="180"/>
      <c r="M898" s="180"/>
      <c r="N898" s="180"/>
      <c r="O898" s="180"/>
      <c r="P898" s="180"/>
      <c r="Q898" s="180"/>
      <c r="R898" s="306"/>
      <c r="AC898" s="189" t="s">
        <v>676</v>
      </c>
      <c r="AD898" s="180">
        <f t="shared" si="273"/>
        <v>0</v>
      </c>
      <c r="AE898" s="180">
        <f t="shared" si="274"/>
        <v>1609.8107462087094</v>
      </c>
      <c r="AF898" s="180">
        <f t="shared" si="281"/>
        <v>0</v>
      </c>
      <c r="AG898" s="180">
        <f t="shared" si="275"/>
        <v>103878.35799999999</v>
      </c>
      <c r="AH898" s="180">
        <f t="shared" si="279"/>
        <v>103878.35799999999</v>
      </c>
      <c r="AI898" s="180">
        <f t="shared" si="276"/>
        <v>53990</v>
      </c>
      <c r="AJ898" s="180">
        <f t="shared" si="280"/>
        <v>157868.35800000001</v>
      </c>
      <c r="AK898" s="180">
        <f t="shared" si="277"/>
        <v>14964.97925872385</v>
      </c>
      <c r="AL898" s="180">
        <f t="shared" si="278"/>
        <v>142903.37874127616</v>
      </c>
      <c r="AM898" s="180" t="s">
        <v>633</v>
      </c>
      <c r="AN898" s="180">
        <f>+B907/31/1.98</f>
        <v>1206.7774519387424</v>
      </c>
      <c r="AO898" s="180">
        <f t="shared" si="282"/>
        <v>0</v>
      </c>
      <c r="AP898" s="180">
        <f>+J319</f>
        <v>-2098.4822605046115</v>
      </c>
      <c r="AQ898" s="180"/>
      <c r="AR898" s="180"/>
      <c r="AS898" s="180"/>
      <c r="AT898" s="306"/>
    </row>
    <row r="899" spans="1:46" ht="15.75" customHeight="1" thickBot="1" x14ac:dyDescent="0.35">
      <c r="A899" s="189" t="s">
        <v>647</v>
      </c>
      <c r="B899" s="191" t="s">
        <v>677</v>
      </c>
      <c r="C899" s="191" t="s">
        <v>678</v>
      </c>
      <c r="D899" s="191" t="s">
        <v>679</v>
      </c>
      <c r="E899" s="191" t="s">
        <v>680</v>
      </c>
      <c r="F899" s="191" t="s">
        <v>644</v>
      </c>
      <c r="G899" s="191" t="s">
        <v>644</v>
      </c>
      <c r="H899" s="191" t="s">
        <v>681</v>
      </c>
      <c r="I899" s="191" t="s">
        <v>682</v>
      </c>
      <c r="J899" s="191" t="s">
        <v>683</v>
      </c>
      <c r="K899" s="191" t="s">
        <v>684</v>
      </c>
      <c r="L899" s="191" t="s">
        <v>685</v>
      </c>
      <c r="M899" s="191" t="s">
        <v>686</v>
      </c>
      <c r="N899" s="191" t="s">
        <v>687</v>
      </c>
      <c r="O899" s="191" t="s">
        <v>688</v>
      </c>
      <c r="P899" s="191" t="s">
        <v>689</v>
      </c>
      <c r="Q899" s="191" t="s">
        <v>638</v>
      </c>
      <c r="R899" s="306"/>
      <c r="T899" s="52" t="s">
        <v>690</v>
      </c>
      <c r="AC899" s="189" t="s">
        <v>691</v>
      </c>
      <c r="AD899" s="180">
        <f t="shared" si="273"/>
        <v>0</v>
      </c>
      <c r="AE899" s="180">
        <f t="shared" si="274"/>
        <v>1580.6145822343615</v>
      </c>
      <c r="AF899" s="180">
        <f t="shared" si="281"/>
        <v>0</v>
      </c>
      <c r="AG899" s="180">
        <f t="shared" si="275"/>
        <v>44936.947999999997</v>
      </c>
      <c r="AH899" s="180">
        <f t="shared" si="279"/>
        <v>44936.947999999997</v>
      </c>
      <c r="AI899" s="180">
        <f t="shared" si="276"/>
        <v>50287</v>
      </c>
      <c r="AJ899" s="180">
        <f t="shared" si="280"/>
        <v>95223.948000000004</v>
      </c>
      <c r="AK899" s="180">
        <f t="shared" si="277"/>
        <v>12728.023273127785</v>
      </c>
      <c r="AL899" s="180">
        <f t="shared" si="278"/>
        <v>82495.924726872225</v>
      </c>
      <c r="AM899" s="180" t="s">
        <v>633</v>
      </c>
      <c r="AN899" s="180">
        <f>+B908/31/1.98</f>
        <v>532.60019550342133</v>
      </c>
      <c r="AO899" s="180">
        <f t="shared" si="282"/>
        <v>0</v>
      </c>
      <c r="AP899" s="180">
        <f>+K319</f>
        <v>-2521.4321734745336</v>
      </c>
      <c r="AQ899" s="180"/>
      <c r="AR899" s="180"/>
      <c r="AS899" s="180"/>
      <c r="AT899" s="306"/>
    </row>
    <row r="900" spans="1:46" ht="15.75" customHeight="1" x14ac:dyDescent="0.3">
      <c r="A900" s="189"/>
      <c r="B900" s="180"/>
      <c r="C900" s="180"/>
      <c r="D900" s="180"/>
      <c r="E900" s="180"/>
      <c r="F900" s="182" t="s">
        <v>127</v>
      </c>
      <c r="G900" s="182" t="s">
        <v>653</v>
      </c>
      <c r="H900" s="180"/>
      <c r="I900" s="180"/>
      <c r="J900" s="180"/>
      <c r="K900" s="180"/>
      <c r="L900" s="180"/>
      <c r="M900" s="180"/>
      <c r="N900" s="180"/>
      <c r="O900" s="180"/>
      <c r="P900" s="180"/>
      <c r="Q900" s="180"/>
      <c r="R900" s="306"/>
      <c r="AC900" s="189" t="s">
        <v>692</v>
      </c>
      <c r="AD900" s="180">
        <f t="shared" si="273"/>
        <v>7000</v>
      </c>
      <c r="AE900" s="180">
        <f t="shared" si="274"/>
        <v>1582.0009524805994</v>
      </c>
      <c r="AF900" s="180">
        <f t="shared" si="281"/>
        <v>11074.006667364196</v>
      </c>
      <c r="AG900" s="180">
        <f t="shared" si="275"/>
        <v>204782.71799999999</v>
      </c>
      <c r="AH900" s="180">
        <f t="shared" si="279"/>
        <v>215856.72466736418</v>
      </c>
      <c r="AI900" s="180">
        <f t="shared" si="276"/>
        <v>39766</v>
      </c>
      <c r="AJ900" s="180">
        <f t="shared" si="280"/>
        <v>255622.72466736418</v>
      </c>
      <c r="AK900" s="180">
        <v>0</v>
      </c>
      <c r="AL900" s="180">
        <f t="shared" si="278"/>
        <v>255622.72466736418</v>
      </c>
      <c r="AM900" s="180" t="s">
        <v>633</v>
      </c>
      <c r="AN900" s="180">
        <f>+B909/30/1.98</f>
        <v>2549.0572390572388</v>
      </c>
      <c r="AO900" s="180">
        <f t="shared" si="282"/>
        <v>117.63888888888889</v>
      </c>
      <c r="AP900" s="180">
        <f>+L319</f>
        <v>0</v>
      </c>
      <c r="AQ900" s="180"/>
      <c r="AR900" s="180"/>
      <c r="AS900" s="180"/>
      <c r="AT900" s="306"/>
    </row>
    <row r="901" spans="1:46" ht="15.75" customHeight="1" x14ac:dyDescent="0.3">
      <c r="A901" s="192" t="s">
        <v>8</v>
      </c>
      <c r="B901" s="180">
        <f>+B29</f>
        <v>88811</v>
      </c>
      <c r="C901" s="180">
        <f>+B64</f>
        <v>88714</v>
      </c>
      <c r="D901" s="180">
        <f>+B133</f>
        <v>88618</v>
      </c>
      <c r="E901" s="180">
        <f>+B309</f>
        <v>87545</v>
      </c>
      <c r="F901" s="180">
        <f>+B304</f>
        <v>22000</v>
      </c>
      <c r="G901" s="180">
        <f>+B316</f>
        <v>0</v>
      </c>
      <c r="H901" s="180">
        <f>+B478</f>
        <v>42317</v>
      </c>
      <c r="I901" s="180">
        <f>+B528</f>
        <v>20283</v>
      </c>
      <c r="J901" s="180">
        <f>+B573</f>
        <v>19999</v>
      </c>
      <c r="K901" s="180">
        <f>+B635</f>
        <v>19771</v>
      </c>
      <c r="L901" s="180">
        <f>+B645</f>
        <v>18329</v>
      </c>
      <c r="M901" s="180">
        <f>+B681</f>
        <v>18309</v>
      </c>
      <c r="N901" s="180">
        <f>+B731</f>
        <v>17899</v>
      </c>
      <c r="O901" s="180">
        <f>+B741</f>
        <v>3935.0000000000005</v>
      </c>
      <c r="P901" s="180">
        <f>+B775</f>
        <v>2652.8333333333335</v>
      </c>
      <c r="Q901" s="180">
        <f>+B824</f>
        <v>3933</v>
      </c>
      <c r="R901" s="306"/>
      <c r="T901" s="193">
        <f>'[4]Lake Pleasant Forecast'!B83</f>
        <v>1685.4160211128813</v>
      </c>
      <c r="AC901" s="189" t="s">
        <v>693</v>
      </c>
      <c r="AD901" s="180">
        <f t="shared" si="273"/>
        <v>59000</v>
      </c>
      <c r="AE901" s="180">
        <f t="shared" si="274"/>
        <v>1593.556984135545</v>
      </c>
      <c r="AF901" s="180">
        <f t="shared" si="281"/>
        <v>94019.862063997149</v>
      </c>
      <c r="AG901" s="180">
        <f t="shared" si="275"/>
        <v>146678.101</v>
      </c>
      <c r="AH901" s="180">
        <f t="shared" si="279"/>
        <v>240697.96306399716</v>
      </c>
      <c r="AI901" s="180">
        <f t="shared" si="276"/>
        <v>23104</v>
      </c>
      <c r="AJ901" s="180">
        <f t="shared" si="280"/>
        <v>263801.96306399716</v>
      </c>
      <c r="AK901" s="180">
        <v>0</v>
      </c>
      <c r="AL901" s="180">
        <f t="shared" si="278"/>
        <v>263801.96306399716</v>
      </c>
      <c r="AM901" s="180" t="s">
        <v>633</v>
      </c>
      <c r="AN901" s="180">
        <f>+B910/31/1.98</f>
        <v>2644.3466927337895</v>
      </c>
      <c r="AO901" s="180">
        <f t="shared" si="282"/>
        <v>991.52777777777783</v>
      </c>
      <c r="AP901" s="180">
        <f>+N319</f>
        <v>0</v>
      </c>
      <c r="AQ901" s="180"/>
      <c r="AR901" s="180"/>
      <c r="AS901" s="180"/>
      <c r="AT901" s="306"/>
    </row>
    <row r="902" spans="1:46" ht="15.75" customHeight="1" x14ac:dyDescent="0.3">
      <c r="A902" s="192" t="s">
        <v>9</v>
      </c>
      <c r="B902" s="180">
        <f>+C29</f>
        <v>110393</v>
      </c>
      <c r="C902" s="180">
        <f>+C64</f>
        <v>110245</v>
      </c>
      <c r="D902" s="180">
        <f>+C133</f>
        <v>110100</v>
      </c>
      <c r="E902" s="180">
        <f>+C309</f>
        <v>108840</v>
      </c>
      <c r="F902" s="180">
        <f>+C304</f>
        <v>35000</v>
      </c>
      <c r="G902" s="180">
        <f>+C316</f>
        <v>0</v>
      </c>
      <c r="H902" s="180">
        <f>+C478</f>
        <v>50087</v>
      </c>
      <c r="I902" s="180">
        <f>+C528</f>
        <v>21162</v>
      </c>
      <c r="J902" s="180">
        <f>+C573</f>
        <v>20791</v>
      </c>
      <c r="K902" s="180">
        <f>+C635</f>
        <v>20123</v>
      </c>
      <c r="L902" s="180">
        <f>+C645</f>
        <v>18391</v>
      </c>
      <c r="M902" s="180">
        <f>+C681</f>
        <v>18369</v>
      </c>
      <c r="N902" s="180">
        <f>+C731</f>
        <v>17908</v>
      </c>
      <c r="O902" s="180">
        <f>+C741</f>
        <v>4021.9999999999995</v>
      </c>
      <c r="P902" s="180">
        <f>+C775</f>
        <v>2781.6666666666665</v>
      </c>
      <c r="Q902" s="180">
        <f>+C824</f>
        <v>4019</v>
      </c>
      <c r="R902" s="306"/>
      <c r="T902" s="193">
        <f>'[4]Lake Pleasant Forecast'!B85</f>
        <v>1689.6376452247994</v>
      </c>
      <c r="AC902" s="189" t="s">
        <v>694</v>
      </c>
      <c r="AD902" s="180">
        <f t="shared" si="273"/>
        <v>83000</v>
      </c>
      <c r="AE902" s="180">
        <f t="shared" si="274"/>
        <v>1608.4622919517069</v>
      </c>
      <c r="AF902" s="180">
        <f t="shared" si="281"/>
        <v>133502.37023199169</v>
      </c>
      <c r="AG902" s="180">
        <f t="shared" si="275"/>
        <v>105294.048</v>
      </c>
      <c r="AH902" s="180">
        <f t="shared" si="279"/>
        <v>238796.4182319917</v>
      </c>
      <c r="AI902" s="180">
        <f t="shared" si="276"/>
        <v>12678</v>
      </c>
      <c r="AJ902" s="180">
        <f t="shared" si="280"/>
        <v>251474.4182319917</v>
      </c>
      <c r="AK902" s="180">
        <f>(G996)</f>
        <v>0</v>
      </c>
      <c r="AL902" s="180">
        <f t="shared" si="278"/>
        <v>251474.4182319917</v>
      </c>
      <c r="AM902" s="180" t="s">
        <v>633</v>
      </c>
      <c r="AN902" s="180">
        <f>+B911/30/1.98</f>
        <v>2645.0841750841751</v>
      </c>
      <c r="AO902" s="180">
        <f t="shared" si="282"/>
        <v>1394.8611111111111</v>
      </c>
      <c r="AP902" s="180">
        <f>+O319</f>
        <v>0</v>
      </c>
      <c r="AQ902" s="180"/>
      <c r="AR902" s="180"/>
      <c r="AS902" s="180"/>
      <c r="AT902" s="306"/>
    </row>
    <row r="903" spans="1:46" ht="15.75" customHeight="1" x14ac:dyDescent="0.3">
      <c r="A903" s="192" t="s">
        <v>10</v>
      </c>
      <c r="B903" s="180">
        <f>+D29</f>
        <v>180899</v>
      </c>
      <c r="C903" s="180">
        <f>+D64</f>
        <v>180625</v>
      </c>
      <c r="D903" s="180">
        <f>+D133</f>
        <v>180364</v>
      </c>
      <c r="E903" s="180">
        <f>+D309</f>
        <v>175393</v>
      </c>
      <c r="F903" s="180">
        <f>+D304</f>
        <v>56000</v>
      </c>
      <c r="G903" s="180">
        <f>+D316</f>
        <v>0</v>
      </c>
      <c r="H903" s="180">
        <f>+D478</f>
        <v>87977</v>
      </c>
      <c r="I903" s="180">
        <f>+D528</f>
        <v>30319</v>
      </c>
      <c r="J903" s="180">
        <f>+D573</f>
        <v>25574</v>
      </c>
      <c r="K903" s="180">
        <f>+D635</f>
        <v>22358</v>
      </c>
      <c r="L903" s="180">
        <f>+D645</f>
        <v>19539</v>
      </c>
      <c r="M903" s="180">
        <f>+D681</f>
        <v>19511</v>
      </c>
      <c r="N903" s="180">
        <f>+D731</f>
        <v>18697</v>
      </c>
      <c r="O903" s="180">
        <f>+D741</f>
        <v>4134.0000000000009</v>
      </c>
      <c r="P903" s="180">
        <f>+D775</f>
        <v>4554.666666666667</v>
      </c>
      <c r="Q903" s="180">
        <f>+D824</f>
        <v>4129</v>
      </c>
      <c r="R903" s="306"/>
      <c r="T903" s="193">
        <f>'[4]Lake Pleasant Forecast'!B87</f>
        <v>1695.6248855169758</v>
      </c>
      <c r="AC903" s="189" t="s">
        <v>695</v>
      </c>
      <c r="AD903" s="180">
        <f t="shared" si="273"/>
        <v>80000</v>
      </c>
      <c r="AE903" s="180">
        <f t="shared" si="274"/>
        <v>1621.8538304907383</v>
      </c>
      <c r="AF903" s="180">
        <f t="shared" si="281"/>
        <v>129748.30643925906</v>
      </c>
      <c r="AG903" s="180">
        <f t="shared" si="275"/>
        <v>104595.599</v>
      </c>
      <c r="AH903" s="180">
        <f t="shared" si="279"/>
        <v>234343.90543925908</v>
      </c>
      <c r="AI903" s="180">
        <f t="shared" si="276"/>
        <v>13170</v>
      </c>
      <c r="AJ903" s="180">
        <f t="shared" si="280"/>
        <v>247513.90543925908</v>
      </c>
      <c r="AK903" s="180">
        <f>(G997)</f>
        <v>0</v>
      </c>
      <c r="AL903" s="180">
        <f t="shared" si="278"/>
        <v>247513.90543925908</v>
      </c>
      <c r="AM903" s="180" t="s">
        <v>633</v>
      </c>
      <c r="AN903" s="180">
        <f>+B912/31/1.98</f>
        <v>2503.502769631802</v>
      </c>
      <c r="AO903" s="180">
        <f>(AD903*43560/31/24/3600)</f>
        <v>1301.0752688172042</v>
      </c>
      <c r="AP903" s="180">
        <f>+P319</f>
        <v>0</v>
      </c>
      <c r="AQ903" s="180"/>
      <c r="AR903" s="180"/>
      <c r="AS903" s="180"/>
      <c r="AT903" s="306"/>
    </row>
    <row r="904" spans="1:46" ht="15.75" customHeight="1" x14ac:dyDescent="0.3">
      <c r="A904" s="192" t="s">
        <v>12</v>
      </c>
      <c r="B904" s="180">
        <f>+F29</f>
        <v>174136</v>
      </c>
      <c r="C904" s="180">
        <f>+F64</f>
        <v>173769</v>
      </c>
      <c r="D904" s="180">
        <f>+F133</f>
        <v>173419</v>
      </c>
      <c r="E904" s="180">
        <f>+F309</f>
        <v>166790</v>
      </c>
      <c r="F904" s="180">
        <f>+F304</f>
        <v>28000</v>
      </c>
      <c r="G904" s="180">
        <f>+F316</f>
        <v>0</v>
      </c>
      <c r="H904" s="180">
        <f>+F478</f>
        <v>106024</v>
      </c>
      <c r="I904" s="180">
        <f>+F528</f>
        <v>38879</v>
      </c>
      <c r="J904" s="180">
        <f>+F573</f>
        <v>29039</v>
      </c>
      <c r="K904" s="180">
        <f>+F635</f>
        <v>25398</v>
      </c>
      <c r="L904" s="180">
        <f>+F645</f>
        <v>19961</v>
      </c>
      <c r="M904" s="180">
        <f>+F681</f>
        <v>19924</v>
      </c>
      <c r="N904" s="180">
        <f>+F731</f>
        <v>18856</v>
      </c>
      <c r="O904" s="180">
        <f>+F741</f>
        <v>4134</v>
      </c>
      <c r="P904" s="180">
        <f>+F775</f>
        <v>4891</v>
      </c>
      <c r="Q904" s="180">
        <f>+F824</f>
        <v>4127</v>
      </c>
      <c r="R904" s="306"/>
      <c r="T904" s="193">
        <f>'[4]Lake Pleasant Forecast'!B89</f>
        <v>1698.1653205515481</v>
      </c>
      <c r="AC904" s="179"/>
      <c r="AD904" s="180"/>
      <c r="AE904" s="180"/>
      <c r="AF904" s="180"/>
      <c r="AG904" s="180"/>
      <c r="AH904" s="180"/>
      <c r="AI904" s="180"/>
      <c r="AJ904" s="180"/>
      <c r="AK904" s="180"/>
      <c r="AL904" s="180"/>
      <c r="AM904" s="180" t="s">
        <v>633</v>
      </c>
      <c r="AN904" s="180"/>
      <c r="AO904" s="180"/>
      <c r="AP904" s="180"/>
      <c r="AQ904" s="180"/>
      <c r="AR904" s="180"/>
      <c r="AS904" s="180"/>
      <c r="AT904" s="306"/>
    </row>
    <row r="905" spans="1:46" ht="15.75" customHeight="1" x14ac:dyDescent="0.3">
      <c r="A905" s="192" t="s">
        <v>13</v>
      </c>
      <c r="B905" s="180">
        <f>+G29</f>
        <v>186444</v>
      </c>
      <c r="C905" s="180">
        <f>+G64</f>
        <v>186019</v>
      </c>
      <c r="D905" s="180">
        <f>+G133</f>
        <v>185617</v>
      </c>
      <c r="E905" s="180">
        <f>+G309</f>
        <v>178680</v>
      </c>
      <c r="F905" s="180">
        <f>+G304</f>
        <v>18000</v>
      </c>
      <c r="G905" s="180">
        <f>+G316</f>
        <v>0</v>
      </c>
      <c r="H905" s="180">
        <f>+G478</f>
        <v>123555</v>
      </c>
      <c r="I905" s="180">
        <f>+G528</f>
        <v>38413</v>
      </c>
      <c r="J905" s="180">
        <f>+G573</f>
        <v>29759</v>
      </c>
      <c r="K905" s="180">
        <f>+G635</f>
        <v>26829</v>
      </c>
      <c r="L905" s="180">
        <f>+G645</f>
        <v>21012</v>
      </c>
      <c r="M905" s="180">
        <f>+G681</f>
        <v>20970</v>
      </c>
      <c r="N905" s="180">
        <f>+G731</f>
        <v>19399</v>
      </c>
      <c r="O905" s="180">
        <f>+G741</f>
        <v>4222</v>
      </c>
      <c r="P905" s="180">
        <f>+G775</f>
        <v>4878</v>
      </c>
      <c r="Q905" s="180">
        <f>+G824</f>
        <v>4214</v>
      </c>
      <c r="R905" s="306"/>
      <c r="T905" s="193">
        <f>'[4]Lake Pleasant Forecast'!B91</f>
        <v>1699.1950577596729</v>
      </c>
      <c r="AC905" s="179" t="s">
        <v>641</v>
      </c>
      <c r="AD905" s="180">
        <f>SUM(AD892:AD903)</f>
        <v>388000</v>
      </c>
      <c r="AE905" s="180"/>
      <c r="AF905" s="180">
        <f t="shared" ref="AF905:AL905" si="283">SUM(AF892:AF903)</f>
        <v>629542.84513179865</v>
      </c>
      <c r="AG905" s="180">
        <f t="shared" si="283"/>
        <v>1635816.22</v>
      </c>
      <c r="AH905" s="180">
        <f t="shared" si="283"/>
        <v>2265359.0651317989</v>
      </c>
      <c r="AI905" s="180">
        <f t="shared" si="283"/>
        <v>434104</v>
      </c>
      <c r="AJ905" s="180">
        <f t="shared" si="283"/>
        <v>2699463.0651317984</v>
      </c>
      <c r="AK905" s="180">
        <f t="shared" si="283"/>
        <v>45419.258420999635</v>
      </c>
      <c r="AL905" s="180">
        <f t="shared" si="283"/>
        <v>2654043.8067107988</v>
      </c>
      <c r="AM905" s="180"/>
      <c r="AN905" s="180"/>
      <c r="AO905" s="180"/>
      <c r="AP905" s="180"/>
      <c r="AQ905" s="180"/>
      <c r="AR905" s="180"/>
      <c r="AS905" s="180"/>
      <c r="AT905" s="306"/>
    </row>
    <row r="906" spans="1:46" ht="15.75" customHeight="1" x14ac:dyDescent="0.3">
      <c r="A906" s="192" t="s">
        <v>14</v>
      </c>
      <c r="B906" s="180">
        <f>+H29</f>
        <v>72633</v>
      </c>
      <c r="C906" s="180">
        <f>+H64</f>
        <v>72216</v>
      </c>
      <c r="D906" s="180">
        <f>+H133</f>
        <v>71820</v>
      </c>
      <c r="E906" s="180">
        <f>+H309</f>
        <v>65196</v>
      </c>
      <c r="F906" s="180">
        <f>+H304</f>
        <v>0</v>
      </c>
      <c r="G906" s="180">
        <f>+H316</f>
        <v>-126000</v>
      </c>
      <c r="H906" s="180">
        <f>+H478</f>
        <v>146840</v>
      </c>
      <c r="I906" s="180">
        <f>+H528</f>
        <v>51762</v>
      </c>
      <c r="J906" s="180">
        <f>+H573</f>
        <v>34909</v>
      </c>
      <c r="K906" s="180">
        <f>+H635</f>
        <v>26550</v>
      </c>
      <c r="L906" s="180">
        <f>+H645</f>
        <v>21264</v>
      </c>
      <c r="M906" s="180">
        <f>+H681</f>
        <v>21220</v>
      </c>
      <c r="N906" s="180">
        <f>+H731</f>
        <v>19498</v>
      </c>
      <c r="O906" s="180">
        <f>+H741</f>
        <v>4168.0000000000009</v>
      </c>
      <c r="P906" s="180">
        <f>+H775</f>
        <v>5743.166666666667</v>
      </c>
      <c r="Q906" s="180">
        <f>+H824</f>
        <v>4159</v>
      </c>
      <c r="R906" s="306"/>
      <c r="T906" s="193">
        <f>'[4]Lake Pleasant Forecast'!B93</f>
        <v>1684.7442125591247</v>
      </c>
      <c r="AC906" s="179"/>
      <c r="AD906" s="180"/>
      <c r="AE906" s="180"/>
      <c r="AF906" s="180"/>
      <c r="AG906" s="180"/>
      <c r="AH906" s="180"/>
      <c r="AI906" s="180"/>
      <c r="AJ906" s="180"/>
      <c r="AK906" s="180"/>
      <c r="AL906" s="180"/>
      <c r="AM906" s="180"/>
      <c r="AN906" s="180"/>
      <c r="AO906" s="180"/>
      <c r="AP906" s="180"/>
      <c r="AQ906" s="180"/>
      <c r="AR906" s="180"/>
      <c r="AS906" s="180"/>
      <c r="AT906" s="306"/>
    </row>
    <row r="907" spans="1:46" ht="15.75" customHeight="1" x14ac:dyDescent="0.3">
      <c r="A907" s="192" t="s">
        <v>16</v>
      </c>
      <c r="B907" s="180">
        <f>+J29</f>
        <v>74072</v>
      </c>
      <c r="C907" s="180">
        <f>+J64</f>
        <v>73656</v>
      </c>
      <c r="D907" s="180">
        <f>+J133</f>
        <v>73262</v>
      </c>
      <c r="E907" s="180">
        <f>+J309</f>
        <v>66794</v>
      </c>
      <c r="F907" s="180">
        <f>+J304</f>
        <v>0</v>
      </c>
      <c r="G907" s="180">
        <f>+J316</f>
        <v>-129000</v>
      </c>
      <c r="H907" s="180">
        <f>+J478</f>
        <v>143391</v>
      </c>
      <c r="I907" s="180">
        <f>+J528</f>
        <v>56397</v>
      </c>
      <c r="J907" s="180">
        <f>+J573</f>
        <v>35937</v>
      </c>
      <c r="K907" s="180">
        <f>+J635</f>
        <v>29509</v>
      </c>
      <c r="L907" s="180">
        <f>+J645</f>
        <v>22190</v>
      </c>
      <c r="M907" s="180">
        <f>+J681</f>
        <v>22151</v>
      </c>
      <c r="N907" s="180">
        <f>+J731</f>
        <v>19932</v>
      </c>
      <c r="O907" s="180">
        <f>+J741</f>
        <v>4207.9999999999991</v>
      </c>
      <c r="P907" s="180">
        <f>+J775</f>
        <v>5574.333333333333</v>
      </c>
      <c r="Q907" s="180">
        <f>+J824</f>
        <v>4201</v>
      </c>
      <c r="R907" s="306"/>
      <c r="T907" s="193">
        <f>'[4]Lake Pleasant Forecast'!B95</f>
        <v>1668.3710367299479</v>
      </c>
      <c r="AC907" s="179" t="s">
        <v>696</v>
      </c>
      <c r="AD907" s="180"/>
      <c r="AE907" s="180"/>
      <c r="AF907" s="180"/>
      <c r="AG907" s="180"/>
      <c r="AH907" s="180"/>
      <c r="AI907" s="180"/>
      <c r="AJ907" s="180"/>
      <c r="AK907" s="180"/>
      <c r="AL907" s="180"/>
      <c r="AM907" s="180"/>
      <c r="AN907" s="180"/>
      <c r="AO907" s="180"/>
      <c r="AP907" s="180"/>
      <c r="AQ907" s="180"/>
      <c r="AR907" s="180"/>
      <c r="AS907" s="180"/>
      <c r="AT907" s="306"/>
    </row>
    <row r="908" spans="1:46" ht="15.75" customHeight="1" x14ac:dyDescent="0.3">
      <c r="A908" s="192" t="s">
        <v>17</v>
      </c>
      <c r="B908" s="180">
        <f>+K29</f>
        <v>32691</v>
      </c>
      <c r="C908" s="180">
        <f>+K64</f>
        <v>32357</v>
      </c>
      <c r="D908" s="180">
        <f>+K133</f>
        <v>32039</v>
      </c>
      <c r="E908" s="180">
        <f>+K309</f>
        <v>25585</v>
      </c>
      <c r="F908" s="180">
        <f>+K304</f>
        <v>0</v>
      </c>
      <c r="G908" s="180">
        <f>+K316</f>
        <v>-155000</v>
      </c>
      <c r="H908" s="180">
        <f>+K478</f>
        <v>131334</v>
      </c>
      <c r="I908" s="180">
        <f>+K528</f>
        <v>47132</v>
      </c>
      <c r="J908" s="180">
        <f>+K573</f>
        <v>33824</v>
      </c>
      <c r="K908" s="180">
        <f>+K635</f>
        <v>27999</v>
      </c>
      <c r="L908" s="180">
        <f>+K645</f>
        <v>21702</v>
      </c>
      <c r="M908" s="180">
        <f>+K681</f>
        <v>21666</v>
      </c>
      <c r="N908" s="180">
        <f>+K731</f>
        <v>19849</v>
      </c>
      <c r="O908" s="180">
        <f>+K741</f>
        <v>4579</v>
      </c>
      <c r="P908" s="180">
        <f>+K775</f>
        <v>4865</v>
      </c>
      <c r="Q908" s="180">
        <f>+K824</f>
        <v>4573</v>
      </c>
      <c r="R908" s="306"/>
      <c r="T908" s="193">
        <f>'[4]Lake Pleasant Forecast'!B97</f>
        <v>1645.8841512369052</v>
      </c>
      <c r="AC908" s="179" t="s">
        <v>697</v>
      </c>
      <c r="AD908" s="180"/>
      <c r="AE908" s="180"/>
      <c r="AF908" s="180"/>
      <c r="AG908" s="180"/>
      <c r="AH908" s="180"/>
      <c r="AI908" s="180"/>
      <c r="AJ908" s="180"/>
      <c r="AK908" s="180"/>
      <c r="AL908" s="180"/>
      <c r="AM908" s="180"/>
      <c r="AN908" s="180"/>
      <c r="AO908" s="180"/>
      <c r="AP908" s="180"/>
      <c r="AQ908" s="180"/>
      <c r="AR908" s="180"/>
      <c r="AS908" s="180"/>
      <c r="AT908" s="306"/>
    </row>
    <row r="909" spans="1:46" ht="15.75" customHeight="1" x14ac:dyDescent="0.3">
      <c r="A909" s="192" t="s">
        <v>18</v>
      </c>
      <c r="B909" s="180">
        <f>+L29</f>
        <v>151414</v>
      </c>
      <c r="C909" s="180">
        <f>+L64</f>
        <v>151098</v>
      </c>
      <c r="D909" s="180">
        <f>+L133</f>
        <v>150797</v>
      </c>
      <c r="E909" s="180">
        <f>+L309</f>
        <v>146692</v>
      </c>
      <c r="F909" s="180">
        <f>+L304</f>
        <v>7000</v>
      </c>
      <c r="G909" s="180">
        <f>+L316</f>
        <v>0</v>
      </c>
      <c r="H909" s="180">
        <f>+L478</f>
        <v>90961</v>
      </c>
      <c r="I909" s="180">
        <f>+L528</f>
        <v>28405</v>
      </c>
      <c r="J909" s="180">
        <f>+L573</f>
        <v>26449</v>
      </c>
      <c r="K909" s="180">
        <f>+L635</f>
        <v>24269</v>
      </c>
      <c r="L909" s="180">
        <f>+L645</f>
        <v>20325</v>
      </c>
      <c r="M909" s="180">
        <f>+L681</f>
        <v>20291</v>
      </c>
      <c r="N909" s="180">
        <f>+L731</f>
        <v>19074</v>
      </c>
      <c r="O909" s="180">
        <f>+L741</f>
        <v>4544</v>
      </c>
      <c r="P909" s="180">
        <f>+L775</f>
        <v>4044.6666666666665</v>
      </c>
      <c r="Q909" s="180">
        <f>+L824</f>
        <v>4538</v>
      </c>
      <c r="R909" s="306"/>
      <c r="T909" s="193">
        <f>'[4]Lake Pleasant Forecast'!B99</f>
        <v>1646.9519336005576</v>
      </c>
      <c r="AC909" s="179"/>
      <c r="AD909" s="180"/>
      <c r="AE909" s="180"/>
      <c r="AF909" s="180"/>
      <c r="AG909" s="180"/>
      <c r="AH909" s="180"/>
      <c r="AI909" s="180"/>
      <c r="AJ909" s="180"/>
      <c r="AK909" s="180"/>
      <c r="AL909" s="180"/>
      <c r="AM909" s="180"/>
      <c r="AN909" s="180"/>
      <c r="AO909" s="180"/>
      <c r="AP909" s="180"/>
      <c r="AQ909" s="180"/>
      <c r="AR909" s="180"/>
      <c r="AS909" s="180"/>
      <c r="AT909" s="306"/>
    </row>
    <row r="910" spans="1:46" ht="15.75" customHeight="1" x14ac:dyDescent="0.3">
      <c r="A910" s="192" t="s">
        <v>20</v>
      </c>
      <c r="B910" s="180">
        <f>+N29</f>
        <v>162310</v>
      </c>
      <c r="C910" s="180">
        <f>+N64</f>
        <v>162025</v>
      </c>
      <c r="D910" s="180">
        <f>+N133</f>
        <v>161753</v>
      </c>
      <c r="E910" s="180">
        <f>+N309</f>
        <v>159863</v>
      </c>
      <c r="F910" s="180">
        <f>+N304</f>
        <v>59000</v>
      </c>
      <c r="G910" s="180">
        <f>+N316</f>
        <v>0</v>
      </c>
      <c r="H910" s="180">
        <f>+N478</f>
        <v>62850</v>
      </c>
      <c r="I910" s="180">
        <f>+N528</f>
        <v>14003</v>
      </c>
      <c r="J910" s="180">
        <f>+N573</f>
        <v>13164</v>
      </c>
      <c r="K910" s="180">
        <f>+N635</f>
        <v>12134</v>
      </c>
      <c r="L910" s="180">
        <f>+N645</f>
        <v>10278</v>
      </c>
      <c r="M910" s="180">
        <f>+N681</f>
        <v>10249</v>
      </c>
      <c r="N910" s="180">
        <f>+N731</f>
        <v>9835</v>
      </c>
      <c r="O910" s="180">
        <f>+N741</f>
        <v>3761.9999999999995</v>
      </c>
      <c r="P910" s="180">
        <f>+N775</f>
        <v>3589.6666666666665</v>
      </c>
      <c r="Q910" s="180">
        <f>+N824</f>
        <v>3757</v>
      </c>
      <c r="R910" s="306"/>
      <c r="T910" s="193">
        <f>'[4]Lake Pleasant Forecast'!B101</f>
        <v>1655.8523891811967</v>
      </c>
      <c r="AC910" s="179" t="s">
        <v>698</v>
      </c>
      <c r="AD910" s="180"/>
      <c r="AE910" s="180"/>
      <c r="AF910" s="180"/>
      <c r="AG910" s="180"/>
      <c r="AH910" s="180"/>
      <c r="AI910" s="180"/>
      <c r="AJ910" s="180"/>
      <c r="AK910" s="180"/>
      <c r="AL910" s="180"/>
      <c r="AM910" s="180"/>
      <c r="AN910" s="180"/>
      <c r="AO910" s="180"/>
      <c r="AP910" s="180"/>
      <c r="AQ910" s="180"/>
      <c r="AR910" s="180"/>
      <c r="AS910" s="180"/>
      <c r="AT910" s="306"/>
    </row>
    <row r="911" spans="1:46" ht="15.75" customHeight="1" x14ac:dyDescent="0.3">
      <c r="A911" s="192" t="s">
        <v>21</v>
      </c>
      <c r="B911" s="180">
        <f>+O29</f>
        <v>157118</v>
      </c>
      <c r="C911" s="180">
        <f>+O64</f>
        <v>156883</v>
      </c>
      <c r="D911" s="180">
        <f>+O133</f>
        <v>156657</v>
      </c>
      <c r="E911" s="180">
        <f>+O309</f>
        <v>155700</v>
      </c>
      <c r="F911" s="180">
        <f>+O304</f>
        <v>83000</v>
      </c>
      <c r="G911" s="180">
        <f>+O316</f>
        <v>0</v>
      </c>
      <c r="H911" s="180">
        <f>+O478</f>
        <v>40085</v>
      </c>
      <c r="I911" s="180">
        <f>+O528</f>
        <v>5612</v>
      </c>
      <c r="J911" s="180">
        <f>+O573</f>
        <v>5164</v>
      </c>
      <c r="K911" s="180">
        <f>+O635</f>
        <v>5066</v>
      </c>
      <c r="L911" s="180">
        <f>+O645</f>
        <v>3879</v>
      </c>
      <c r="M911" s="180">
        <f>+O681</f>
        <v>3856</v>
      </c>
      <c r="N911" s="180">
        <f>+O731</f>
        <v>3745</v>
      </c>
      <c r="O911" s="180">
        <f>+O741</f>
        <v>3470</v>
      </c>
      <c r="P911" s="180">
        <f>+O775</f>
        <v>3783.8</v>
      </c>
      <c r="Q911" s="180">
        <f>+O824</f>
        <v>3467</v>
      </c>
      <c r="R911" s="306"/>
      <c r="T911" s="193">
        <f>'[4]Lake Pleasant Forecast'!B103</f>
        <v>1667.3324572612046</v>
      </c>
      <c r="AC911" s="179"/>
      <c r="AD911" s="180"/>
      <c r="AE911" s="180"/>
      <c r="AF911" s="180"/>
      <c r="AG911" s="180"/>
      <c r="AH911" s="180"/>
      <c r="AI911" s="180"/>
      <c r="AJ911" s="180"/>
      <c r="AK911" s="180"/>
      <c r="AL911" s="180"/>
      <c r="AM911" s="180"/>
      <c r="AN911" s="180"/>
      <c r="AO911" s="180"/>
      <c r="AP911" s="180"/>
      <c r="AQ911" s="180"/>
      <c r="AR911" s="180"/>
      <c r="AS911" s="180"/>
      <c r="AT911" s="306"/>
    </row>
    <row r="912" spans="1:46" ht="15.75" customHeight="1" thickBot="1" x14ac:dyDescent="0.35">
      <c r="A912" s="192" t="s">
        <v>22</v>
      </c>
      <c r="B912" s="180">
        <f>+P29</f>
        <v>153665</v>
      </c>
      <c r="C912" s="180">
        <f>+P64</f>
        <v>153479</v>
      </c>
      <c r="D912" s="180">
        <f>+P133</f>
        <v>153300</v>
      </c>
      <c r="E912" s="180">
        <f>+P309</f>
        <v>151924</v>
      </c>
      <c r="F912" s="180">
        <f>+P304</f>
        <v>80000</v>
      </c>
      <c r="G912" s="180">
        <f>+P316</f>
        <v>0</v>
      </c>
      <c r="H912" s="180">
        <f>+P478</f>
        <v>45710</v>
      </c>
      <c r="I912" s="180">
        <f>+P528</f>
        <v>6531</v>
      </c>
      <c r="J912" s="180">
        <f>+P573</f>
        <v>6089</v>
      </c>
      <c r="K912" s="180">
        <f>+P635</f>
        <v>6007</v>
      </c>
      <c r="L912" s="180">
        <f>+P645</f>
        <v>3530</v>
      </c>
      <c r="M912" s="180">
        <f>+P681</f>
        <v>3511</v>
      </c>
      <c r="N912" s="180">
        <f>+P731</f>
        <v>3252</v>
      </c>
      <c r="O912" s="180">
        <f>+P741</f>
        <v>2981</v>
      </c>
      <c r="P912" s="180">
        <f>+P775</f>
        <v>3294.2</v>
      </c>
      <c r="Q912" s="180">
        <f>+P824</f>
        <v>2979</v>
      </c>
      <c r="R912" s="306"/>
      <c r="T912" s="193">
        <f>'[4]Lake Pleasant Forecast'!B105</f>
        <v>1677.6466202439667</v>
      </c>
      <c r="AC912" s="194" t="s">
        <v>699</v>
      </c>
      <c r="AD912" s="195"/>
      <c r="AE912" s="195"/>
      <c r="AF912" s="195"/>
      <c r="AG912" s="195"/>
      <c r="AH912" s="195"/>
      <c r="AI912" s="195"/>
      <c r="AJ912" s="195"/>
      <c r="AK912" s="195"/>
      <c r="AL912" s="195"/>
      <c r="AM912" s="195"/>
      <c r="AN912" s="195"/>
      <c r="AO912" s="195"/>
      <c r="AP912" s="195"/>
      <c r="AQ912" s="195"/>
      <c r="AR912" s="195"/>
      <c r="AS912" s="195"/>
      <c r="AT912" s="196"/>
    </row>
    <row r="913" spans="1:50" ht="15.75" customHeight="1" x14ac:dyDescent="0.3">
      <c r="A913" s="189"/>
      <c r="B913" s="180"/>
      <c r="C913" s="180"/>
      <c r="D913" s="180"/>
      <c r="E913" s="180"/>
      <c r="F913" s="180"/>
      <c r="G913" s="180"/>
      <c r="H913" s="180"/>
      <c r="I913" s="180"/>
      <c r="J913" s="180"/>
      <c r="K913" s="180"/>
      <c r="L913" s="180"/>
      <c r="M913" s="180"/>
      <c r="N913" s="180"/>
      <c r="O913" s="180"/>
      <c r="P913" s="180"/>
      <c r="Q913" s="180"/>
      <c r="R913" s="306"/>
    </row>
    <row r="914" spans="1:50" ht="15.75" customHeight="1" thickBot="1" x14ac:dyDescent="0.35">
      <c r="A914" s="189" t="s">
        <v>641</v>
      </c>
      <c r="B914" s="180">
        <f t="shared" ref="B914:Q914" si="284">SUM(B901:B912)</f>
        <v>1544586</v>
      </c>
      <c r="C914" s="180">
        <f t="shared" si="284"/>
        <v>1541086</v>
      </c>
      <c r="D914" s="180">
        <f t="shared" si="284"/>
        <v>1537746</v>
      </c>
      <c r="E914" s="180">
        <f t="shared" si="284"/>
        <v>1489002</v>
      </c>
      <c r="F914" s="180">
        <f t="shared" si="284"/>
        <v>388000</v>
      </c>
      <c r="G914" s="180">
        <f t="shared" si="284"/>
        <v>-410000</v>
      </c>
      <c r="H914" s="180">
        <f t="shared" si="284"/>
        <v>1071131</v>
      </c>
      <c r="I914" s="180">
        <f t="shared" si="284"/>
        <v>358898</v>
      </c>
      <c r="J914" s="180">
        <f t="shared" si="284"/>
        <v>280698</v>
      </c>
      <c r="K914" s="180">
        <f t="shared" si="284"/>
        <v>246013</v>
      </c>
      <c r="L914" s="180">
        <f t="shared" si="284"/>
        <v>200400</v>
      </c>
      <c r="M914" s="180">
        <f t="shared" si="284"/>
        <v>200027</v>
      </c>
      <c r="N914" s="180">
        <f t="shared" si="284"/>
        <v>187944</v>
      </c>
      <c r="O914" s="180">
        <f t="shared" si="284"/>
        <v>48159</v>
      </c>
      <c r="P914" s="180">
        <f t="shared" si="284"/>
        <v>50653</v>
      </c>
      <c r="Q914" s="180">
        <f t="shared" si="284"/>
        <v>48096</v>
      </c>
      <c r="R914" s="306"/>
    </row>
    <row r="915" spans="1:50" ht="15.75" customHeight="1" thickBot="1" x14ac:dyDescent="0.35">
      <c r="A915" s="135"/>
      <c r="B915" s="135"/>
      <c r="C915" s="135"/>
      <c r="D915" s="135"/>
      <c r="E915" s="135"/>
      <c r="F915" s="135"/>
      <c r="G915" s="135"/>
      <c r="H915" s="135"/>
      <c r="I915" s="135"/>
      <c r="J915" s="135"/>
      <c r="K915" s="135"/>
      <c r="L915" s="135"/>
      <c r="M915" s="135"/>
      <c r="N915" s="135"/>
      <c r="O915" s="135"/>
      <c r="P915" s="135"/>
      <c r="Q915" s="135"/>
      <c r="R915" s="196"/>
      <c r="AC915" s="173"/>
      <c r="AD915" s="174"/>
      <c r="AE915" s="174"/>
      <c r="AF915" s="174"/>
      <c r="AG915" s="174"/>
      <c r="AH915" s="174"/>
      <c r="AI915" s="174"/>
      <c r="AJ915" s="174"/>
      <c r="AK915" s="174"/>
      <c r="AL915" s="174"/>
      <c r="AM915" s="174"/>
      <c r="AN915" s="174"/>
      <c r="AO915" s="174"/>
      <c r="AP915" s="174"/>
      <c r="AQ915" s="174"/>
      <c r="AR915" s="174"/>
      <c r="AS915" s="177" t="str">
        <f>+Q1</f>
        <v xml:space="preserve">PRINTED:  </v>
      </c>
      <c r="AT915" s="197">
        <f ca="1">+R1</f>
        <v>44894.658168518516</v>
      </c>
      <c r="AU915" s="198"/>
      <c r="AW915" s="199" t="s">
        <v>700</v>
      </c>
      <c r="AX915" s="180"/>
    </row>
    <row r="916" spans="1:50" ht="15.75" customHeight="1" x14ac:dyDescent="0.35">
      <c r="A916" s="200"/>
      <c r="B916" s="200"/>
      <c r="C916" s="200"/>
      <c r="D916" s="200"/>
      <c r="E916" s="200"/>
      <c r="F916" s="200"/>
      <c r="G916" s="200"/>
      <c r="H916" s="200"/>
      <c r="I916" s="200"/>
      <c r="J916" s="200"/>
      <c r="K916" s="200"/>
      <c r="L916" s="200"/>
      <c r="M916" s="200"/>
      <c r="N916" s="200"/>
      <c r="O916" s="200"/>
      <c r="P916" s="200"/>
      <c r="Q916" s="200"/>
      <c r="R916" s="174"/>
      <c r="AC916" s="179"/>
      <c r="AD916" s="180"/>
      <c r="AE916" s="199" t="s">
        <v>701</v>
      </c>
      <c r="AF916" s="180"/>
      <c r="AG916" s="180"/>
      <c r="AH916" s="180"/>
      <c r="AI916" s="180"/>
      <c r="AJ916" s="180"/>
      <c r="AK916" s="180"/>
      <c r="AL916" s="180"/>
      <c r="AM916" s="180"/>
      <c r="AN916" s="201"/>
      <c r="AO916" s="199" t="s">
        <v>702</v>
      </c>
      <c r="AP916" s="180"/>
      <c r="AQ916" s="180"/>
      <c r="AR916" s="180"/>
      <c r="AS916" s="180"/>
      <c r="AT916" s="180"/>
      <c r="AU916" s="304"/>
      <c r="AW916" s="180" t="s">
        <v>703</v>
      </c>
      <c r="AX916" s="180"/>
    </row>
    <row r="917" spans="1:50" ht="16.5" customHeight="1" x14ac:dyDescent="0.3">
      <c r="A917" s="189" t="s">
        <v>7</v>
      </c>
      <c r="B917" s="180"/>
      <c r="C917" s="180"/>
      <c r="D917" s="180"/>
      <c r="E917" s="180"/>
      <c r="F917" s="180"/>
      <c r="G917" s="180"/>
      <c r="H917" s="180"/>
      <c r="I917" s="180"/>
      <c r="J917" s="180"/>
      <c r="K917" s="180"/>
      <c r="L917" s="180"/>
      <c r="M917" s="180"/>
      <c r="N917" s="180"/>
      <c r="O917" s="180"/>
      <c r="P917" s="180"/>
      <c r="Q917" s="180"/>
      <c r="R917" s="180"/>
      <c r="AC917" s="179"/>
      <c r="AD917" s="180"/>
      <c r="AE917" s="180"/>
      <c r="AF917" s="180"/>
      <c r="AG917" s="180" t="s">
        <v>7</v>
      </c>
      <c r="AH917" s="202" t="str">
        <f>+A8</f>
        <v>Revised:  11/30/2017</v>
      </c>
      <c r="AI917" s="180"/>
      <c r="AJ917" s="180"/>
      <c r="AK917" s="180"/>
      <c r="AL917" s="180"/>
      <c r="AM917" s="180"/>
      <c r="AN917" s="180"/>
      <c r="AO917" s="180"/>
      <c r="AP917" s="180"/>
      <c r="AQ917" s="180"/>
      <c r="AR917" s="180" t="s">
        <v>7</v>
      </c>
      <c r="AS917" s="202" t="str">
        <f>+A8</f>
        <v>Revised:  11/30/2017</v>
      </c>
      <c r="AT917" s="180"/>
      <c r="AU917" s="304"/>
      <c r="AW917" s="180"/>
      <c r="AX917" s="180"/>
    </row>
    <row r="918" spans="1:50" ht="15.75" customHeight="1" x14ac:dyDescent="0.3">
      <c r="A918" s="182"/>
      <c r="B918" s="180"/>
      <c r="C918" s="180"/>
      <c r="D918" s="180"/>
      <c r="E918" s="180"/>
      <c r="F918" s="180"/>
      <c r="G918" s="180"/>
      <c r="H918" s="180"/>
      <c r="I918" s="180"/>
      <c r="J918" s="180"/>
      <c r="K918" s="180"/>
      <c r="L918" s="180"/>
      <c r="M918" s="180"/>
      <c r="N918" s="180"/>
      <c r="O918" s="180"/>
      <c r="P918" s="180"/>
      <c r="Q918" s="180"/>
      <c r="R918" s="180"/>
      <c r="AC918" s="179"/>
      <c r="AD918" s="180"/>
      <c r="AE918" s="180"/>
      <c r="AF918" s="180" t="s">
        <v>704</v>
      </c>
      <c r="AG918" s="180"/>
      <c r="AH918" s="180"/>
      <c r="AI918" s="180"/>
      <c r="AJ918" s="180"/>
      <c r="AK918" s="180"/>
      <c r="AL918" s="180"/>
      <c r="AM918" s="180"/>
      <c r="AN918" s="180"/>
      <c r="AO918" s="180"/>
      <c r="AP918" s="180" t="s">
        <v>704</v>
      </c>
      <c r="AQ918" s="180"/>
      <c r="AR918" s="180"/>
      <c r="AS918" s="180"/>
      <c r="AT918" s="180"/>
      <c r="AU918" s="304"/>
      <c r="AW918" s="180" t="s">
        <v>633</v>
      </c>
      <c r="AX918" s="182" t="s">
        <v>658</v>
      </c>
    </row>
    <row r="919" spans="1:50" ht="15.75" customHeight="1" x14ac:dyDescent="0.3">
      <c r="A919" s="192"/>
      <c r="AC919" s="179"/>
      <c r="AD919" s="180"/>
      <c r="AE919" s="180"/>
      <c r="AF919" s="180"/>
      <c r="AG919" s="180"/>
      <c r="AH919" s="180"/>
      <c r="AI919" s="180"/>
      <c r="AJ919" s="180"/>
      <c r="AK919" s="180"/>
      <c r="AL919" s="180"/>
      <c r="AM919" s="180"/>
      <c r="AN919" s="180"/>
      <c r="AO919" s="180"/>
      <c r="AP919" s="180"/>
      <c r="AQ919" s="180"/>
      <c r="AR919" s="180"/>
      <c r="AS919" s="180"/>
      <c r="AT919" s="180"/>
      <c r="AU919" s="304"/>
      <c r="AW919" s="182" t="s">
        <v>658</v>
      </c>
      <c r="AX919" s="182" t="s">
        <v>655</v>
      </c>
    </row>
    <row r="920" spans="1:50" ht="15.75" customHeight="1" thickBot="1" x14ac:dyDescent="0.35">
      <c r="A920" s="192"/>
      <c r="AC920" s="179"/>
      <c r="AD920" s="180"/>
      <c r="AE920" s="180"/>
      <c r="AF920" s="180"/>
      <c r="AG920" s="180">
        <f>+A5</f>
        <v>2018</v>
      </c>
      <c r="AH920" s="180"/>
      <c r="AI920" s="180"/>
      <c r="AJ920" s="180"/>
      <c r="AK920" s="180"/>
      <c r="AL920" s="180"/>
      <c r="AM920" s="180"/>
      <c r="AN920" s="180"/>
      <c r="AO920" s="180"/>
      <c r="AP920" s="180"/>
      <c r="AQ920" s="180"/>
      <c r="AR920" s="180">
        <f>+A5</f>
        <v>2018</v>
      </c>
      <c r="AS920" s="180"/>
      <c r="AT920" s="180"/>
      <c r="AU920" s="304"/>
      <c r="AW920" s="182" t="s">
        <v>705</v>
      </c>
      <c r="AX920" s="182" t="s">
        <v>706</v>
      </c>
    </row>
    <row r="921" spans="1:50" ht="15.75" customHeight="1" x14ac:dyDescent="0.3">
      <c r="A921" s="188"/>
      <c r="B921" s="387" t="s">
        <v>707</v>
      </c>
      <c r="C921" s="387"/>
      <c r="D921" s="387"/>
      <c r="E921" s="387"/>
      <c r="F921" s="387"/>
      <c r="G921" s="387"/>
      <c r="H921" s="387"/>
      <c r="I921" s="387"/>
      <c r="J921" s="387"/>
      <c r="K921" s="387"/>
      <c r="L921" s="387"/>
      <c r="M921" s="387"/>
      <c r="N921" s="387"/>
      <c r="O921" s="387"/>
      <c r="P921" s="387"/>
      <c r="Q921" s="177" t="str">
        <f>+Q1</f>
        <v xml:space="preserve">PRINTED:  </v>
      </c>
      <c r="R921" s="178">
        <f ca="1">+R1</f>
        <v>44894.658168518516</v>
      </c>
      <c r="AC921" s="179"/>
      <c r="AD921" s="180"/>
      <c r="AE921" s="180"/>
      <c r="AF921" s="180"/>
      <c r="AG921" s="180" t="s">
        <v>708</v>
      </c>
      <c r="AH921" s="180"/>
      <c r="AI921" s="180"/>
      <c r="AJ921" s="180"/>
      <c r="AK921" s="180"/>
      <c r="AL921" s="180"/>
      <c r="AM921" s="180"/>
      <c r="AN921" s="180"/>
      <c r="AO921" s="180"/>
      <c r="AP921" s="180"/>
      <c r="AQ921" s="180"/>
      <c r="AR921" s="180" t="s">
        <v>708</v>
      </c>
      <c r="AS921" s="180"/>
      <c r="AT921" s="180"/>
      <c r="AU921" s="304"/>
      <c r="AW921" s="182" t="s">
        <v>666</v>
      </c>
      <c r="AX921" s="182" t="s">
        <v>666</v>
      </c>
    </row>
    <row r="922" spans="1:50" ht="15.75" customHeight="1" x14ac:dyDescent="0.3">
      <c r="A922" s="189"/>
      <c r="B922" s="394" t="str">
        <f>+A8</f>
        <v>Revised:  11/30/2017</v>
      </c>
      <c r="C922" s="394"/>
      <c r="D922" s="394"/>
      <c r="E922" s="394"/>
      <c r="F922" s="394"/>
      <c r="G922" s="394"/>
      <c r="H922" s="394"/>
      <c r="I922" s="394"/>
      <c r="J922" s="394"/>
      <c r="K922" s="394"/>
      <c r="L922" s="394"/>
      <c r="M922" s="394"/>
      <c r="N922" s="394"/>
      <c r="O922" s="394"/>
      <c r="P922" s="394"/>
      <c r="Q922" s="180"/>
      <c r="R922" s="306"/>
      <c r="AC922" s="179"/>
      <c r="AD922" s="180"/>
      <c r="AE922" s="180"/>
      <c r="AF922" s="180"/>
      <c r="AG922" s="180"/>
      <c r="AH922" s="180"/>
      <c r="AI922" s="180"/>
      <c r="AJ922" s="180"/>
      <c r="AK922" s="180"/>
      <c r="AL922" s="180"/>
      <c r="AM922" s="180"/>
      <c r="AN922" s="180"/>
      <c r="AO922" s="180"/>
      <c r="AP922" s="180"/>
      <c r="AQ922" s="180"/>
      <c r="AR922" s="180"/>
      <c r="AS922" s="180"/>
      <c r="AT922" s="180"/>
      <c r="AU922" s="304"/>
      <c r="AW922" s="180">
        <f t="shared" ref="AW922:AW933" si="285">SUM(L958:Q958)</f>
        <v>11888</v>
      </c>
      <c r="AX922" s="203">
        <v>2.4700000000000002</v>
      </c>
    </row>
    <row r="923" spans="1:50" ht="15.75" customHeight="1" x14ac:dyDescent="0.3">
      <c r="A923" s="189"/>
      <c r="B923" s="394" t="s">
        <v>670</v>
      </c>
      <c r="C923" s="394"/>
      <c r="D923" s="394"/>
      <c r="E923" s="394"/>
      <c r="F923" s="394"/>
      <c r="G923" s="394"/>
      <c r="H923" s="394"/>
      <c r="I923" s="394"/>
      <c r="J923" s="394"/>
      <c r="K923" s="394"/>
      <c r="L923" s="394"/>
      <c r="M923" s="394"/>
      <c r="N923" s="394"/>
      <c r="O923" s="394"/>
      <c r="P923" s="394"/>
      <c r="Q923" s="180"/>
      <c r="R923" s="306"/>
      <c r="AC923" s="179" t="s">
        <v>709</v>
      </c>
      <c r="AD923" s="182" t="s">
        <v>677</v>
      </c>
      <c r="AE923" s="182" t="s">
        <v>678</v>
      </c>
      <c r="AF923" s="182" t="s">
        <v>679</v>
      </c>
      <c r="AG923" s="182" t="s">
        <v>680</v>
      </c>
      <c r="AH923" s="182" t="s">
        <v>644</v>
      </c>
      <c r="AI923" s="180"/>
      <c r="AJ923" s="182" t="s">
        <v>641</v>
      </c>
      <c r="AK923" s="180"/>
      <c r="AL923" s="180"/>
      <c r="AM923" s="180"/>
      <c r="AN923" s="180" t="s">
        <v>709</v>
      </c>
      <c r="AO923" s="182" t="s">
        <v>677</v>
      </c>
      <c r="AP923" s="182" t="s">
        <v>678</v>
      </c>
      <c r="AQ923" s="182" t="s">
        <v>679</v>
      </c>
      <c r="AR923" s="182" t="s">
        <v>680</v>
      </c>
      <c r="AS923" s="182" t="s">
        <v>644</v>
      </c>
      <c r="AT923" s="182" t="s">
        <v>641</v>
      </c>
      <c r="AU923" s="304"/>
      <c r="AW923" s="180">
        <f t="shared" si="285"/>
        <v>12003</v>
      </c>
      <c r="AX923" s="203">
        <v>2.4700000000000002</v>
      </c>
    </row>
    <row r="924" spans="1:50" ht="15.75" customHeight="1" x14ac:dyDescent="0.3">
      <c r="A924" s="189"/>
      <c r="B924" s="394"/>
      <c r="C924" s="394"/>
      <c r="D924" s="394"/>
      <c r="E924" s="394"/>
      <c r="F924" s="394"/>
      <c r="G924" s="394"/>
      <c r="H924" s="394"/>
      <c r="I924" s="394"/>
      <c r="J924" s="394"/>
      <c r="K924" s="394"/>
      <c r="L924" s="394"/>
      <c r="M924" s="394"/>
      <c r="N924" s="394"/>
      <c r="O924" s="394"/>
      <c r="P924" s="394"/>
      <c r="Q924" s="180"/>
      <c r="R924" s="306"/>
      <c r="AC924" s="179" t="s">
        <v>710</v>
      </c>
      <c r="AD924" s="180"/>
      <c r="AE924" s="180"/>
      <c r="AF924" s="180"/>
      <c r="AG924" s="180"/>
      <c r="AH924" s="182" t="s">
        <v>127</v>
      </c>
      <c r="AI924" s="180"/>
      <c r="AJ924" s="182" t="s">
        <v>711</v>
      </c>
      <c r="AK924" s="180"/>
      <c r="AL924" s="180"/>
      <c r="AM924" s="180"/>
      <c r="AN924" s="180" t="s">
        <v>710</v>
      </c>
      <c r="AO924" s="180"/>
      <c r="AP924" s="180"/>
      <c r="AQ924" s="180"/>
      <c r="AR924" s="180"/>
      <c r="AS924" s="182" t="s">
        <v>127</v>
      </c>
      <c r="AT924" s="182" t="s">
        <v>711</v>
      </c>
      <c r="AU924" s="304"/>
      <c r="AW924" s="180">
        <f t="shared" si="285"/>
        <v>13122</v>
      </c>
      <c r="AX924" s="203">
        <v>2.4700000000000002</v>
      </c>
    </row>
    <row r="925" spans="1:50" ht="15.75" customHeight="1" x14ac:dyDescent="0.3">
      <c r="A925" s="189"/>
      <c r="B925" s="395">
        <f>+A5</f>
        <v>2018</v>
      </c>
      <c r="C925" s="395"/>
      <c r="D925" s="395"/>
      <c r="E925" s="395"/>
      <c r="F925" s="395"/>
      <c r="G925" s="395"/>
      <c r="H925" s="395"/>
      <c r="I925" s="395"/>
      <c r="J925" s="395"/>
      <c r="K925" s="395"/>
      <c r="L925" s="395"/>
      <c r="M925" s="395"/>
      <c r="N925" s="395"/>
      <c r="O925" s="395"/>
      <c r="P925" s="395"/>
      <c r="Q925" s="180"/>
      <c r="R925" s="306"/>
      <c r="AC925" s="179" t="s">
        <v>712</v>
      </c>
      <c r="AD925" s="180">
        <f>+$B$956</f>
        <v>957</v>
      </c>
      <c r="AE925" s="180">
        <f>+C$956</f>
        <v>122</v>
      </c>
      <c r="AF925" s="180">
        <f>+D$956</f>
        <v>128</v>
      </c>
      <c r="AG925" s="180">
        <f>+E$956</f>
        <v>219</v>
      </c>
      <c r="AH925" s="180"/>
      <c r="AI925" s="180"/>
      <c r="AJ925" s="182" t="s">
        <v>658</v>
      </c>
      <c r="AK925" s="180"/>
      <c r="AL925" s="180"/>
      <c r="AM925" s="180"/>
      <c r="AN925" s="180" t="s">
        <v>712</v>
      </c>
      <c r="AO925" s="180">
        <f>+$B$956</f>
        <v>957</v>
      </c>
      <c r="AP925" s="180">
        <f>+C$956</f>
        <v>122</v>
      </c>
      <c r="AQ925" s="180">
        <f>+D$956</f>
        <v>128</v>
      </c>
      <c r="AR925" s="180">
        <f>+E$956</f>
        <v>219</v>
      </c>
      <c r="AS925" s="180"/>
      <c r="AT925" s="182" t="s">
        <v>658</v>
      </c>
      <c r="AU925" s="304"/>
      <c r="AW925" s="180">
        <f t="shared" si="285"/>
        <v>13366</v>
      </c>
      <c r="AX925" s="203">
        <v>2.4700000000000002</v>
      </c>
    </row>
    <row r="926" spans="1:50" ht="15.75" customHeight="1" x14ac:dyDescent="0.3">
      <c r="A926" s="189"/>
      <c r="B926" s="394" t="s">
        <v>713</v>
      </c>
      <c r="C926" s="394"/>
      <c r="D926" s="394"/>
      <c r="E926" s="394"/>
      <c r="F926" s="394"/>
      <c r="G926" s="394"/>
      <c r="H926" s="394"/>
      <c r="I926" s="394"/>
      <c r="J926" s="394"/>
      <c r="K926" s="394"/>
      <c r="L926" s="394"/>
      <c r="M926" s="394"/>
      <c r="N926" s="394"/>
      <c r="O926" s="394"/>
      <c r="P926" s="394"/>
      <c r="Q926" s="180"/>
      <c r="R926" s="306"/>
      <c r="AC926" s="179"/>
      <c r="AD926" s="180" t="s">
        <v>666</v>
      </c>
      <c r="AE926" s="180" t="s">
        <v>666</v>
      </c>
      <c r="AF926" s="180" t="s">
        <v>666</v>
      </c>
      <c r="AG926" s="180" t="s">
        <v>666</v>
      </c>
      <c r="AH926" s="180" t="s">
        <v>666</v>
      </c>
      <c r="AI926" s="180"/>
      <c r="AJ926" s="180" t="s">
        <v>714</v>
      </c>
      <c r="AK926" s="180"/>
      <c r="AL926" s="180"/>
      <c r="AM926" s="180"/>
      <c r="AN926" s="180"/>
      <c r="AO926" s="180" t="s">
        <v>666</v>
      </c>
      <c r="AP926" s="180" t="s">
        <v>666</v>
      </c>
      <c r="AQ926" s="180" t="s">
        <v>666</v>
      </c>
      <c r="AR926" s="180" t="s">
        <v>666</v>
      </c>
      <c r="AS926" s="180" t="s">
        <v>666</v>
      </c>
      <c r="AT926" s="180" t="s">
        <v>714</v>
      </c>
      <c r="AU926" s="304"/>
      <c r="AW926" s="180">
        <f t="shared" si="285"/>
        <v>13782</v>
      </c>
      <c r="AX926" s="203">
        <v>2.4700000000000002</v>
      </c>
    </row>
    <row r="927" spans="1:50" ht="15.75" customHeight="1" x14ac:dyDescent="0.3">
      <c r="A927" s="189"/>
      <c r="B927" s="180"/>
      <c r="C927" s="180"/>
      <c r="D927" s="180"/>
      <c r="E927" s="180"/>
      <c r="F927" s="180"/>
      <c r="G927" s="180"/>
      <c r="H927" s="180"/>
      <c r="I927" s="180"/>
      <c r="J927" s="180"/>
      <c r="K927" s="180"/>
      <c r="L927" s="180"/>
      <c r="M927" s="180"/>
      <c r="N927" s="180"/>
      <c r="O927" s="180"/>
      <c r="P927" s="180"/>
      <c r="Q927" s="180"/>
      <c r="R927" s="306"/>
      <c r="AC927" s="189" t="s">
        <v>668</v>
      </c>
      <c r="AD927" s="180">
        <f t="shared" ref="AD927:AD938" si="286">ROUND($F901*$AD$925/1000,0)</f>
        <v>21054</v>
      </c>
      <c r="AE927" s="180">
        <f t="shared" ref="AE927:AE938" si="287">ROUND($F901*$AE$925/1000,0)</f>
        <v>2684</v>
      </c>
      <c r="AF927" s="180">
        <f t="shared" ref="AF927:AF938" si="288">ROUND($F901*$AF$925/1000,0)</f>
        <v>2816</v>
      </c>
      <c r="AG927" s="180">
        <f t="shared" ref="AG927:AG938" si="289">ROUND($F901*$AG$925/1000,0)</f>
        <v>4818</v>
      </c>
      <c r="AH927" s="180">
        <f t="shared" ref="AH927:AH938" si="290">(F901*((T901-1526.8)/0.7702))/1000</f>
        <v>4530.7095098459995</v>
      </c>
      <c r="AI927" s="180"/>
      <c r="AJ927" s="180">
        <f t="shared" ref="AJ927:AJ938" si="291">SUM(AD927:AH927)</f>
        <v>35902.709509845998</v>
      </c>
      <c r="AK927" s="180"/>
      <c r="AL927" s="180"/>
      <c r="AM927" s="180"/>
      <c r="AN927" s="182" t="s">
        <v>668</v>
      </c>
      <c r="AO927" s="180">
        <f t="shared" ref="AO927:AO938" si="292">ROUND((B901-$F901)*$AO$925/1000,0)</f>
        <v>63938</v>
      </c>
      <c r="AP927" s="180">
        <f t="shared" ref="AP927:AP938" si="293">ROUND((C901-$F901)*$AP$925/1000,0)</f>
        <v>8139</v>
      </c>
      <c r="AQ927" s="180">
        <f t="shared" ref="AQ927:AQ938" si="294">ROUND((D901-$F901)*$AQ$925/1000,0)</f>
        <v>8527</v>
      </c>
      <c r="AR927" s="180">
        <f t="shared" ref="AR927:AR938" si="295">ROUND((E901-$F901)*$AR$925/1000,0)</f>
        <v>14354</v>
      </c>
      <c r="AS927" s="180">
        <f>((F901-$F901)*(('[4]Lake Pleasant Forecast'!B35-1526.8)/0.7702))/1000</f>
        <v>0</v>
      </c>
      <c r="AT927" s="180">
        <f t="shared" ref="AT927:AT938" si="296">SUM(AN927:AR927)</f>
        <v>94958</v>
      </c>
      <c r="AU927" s="304"/>
      <c r="AW927" s="180">
        <f t="shared" si="285"/>
        <v>14122</v>
      </c>
      <c r="AX927" s="203">
        <v>2.4700000000000002</v>
      </c>
    </row>
    <row r="928" spans="1:50" ht="15.75" customHeight="1" thickBot="1" x14ac:dyDescent="0.35">
      <c r="A928" s="189" t="s">
        <v>647</v>
      </c>
      <c r="B928" s="191" t="s">
        <v>677</v>
      </c>
      <c r="C928" s="191" t="s">
        <v>678</v>
      </c>
      <c r="D928" s="191" t="s">
        <v>679</v>
      </c>
      <c r="E928" s="191" t="s">
        <v>680</v>
      </c>
      <c r="F928" s="191" t="s">
        <v>644</v>
      </c>
      <c r="G928" s="191" t="s">
        <v>644</v>
      </c>
      <c r="H928" s="191" t="s">
        <v>681</v>
      </c>
      <c r="I928" s="191" t="s">
        <v>682</v>
      </c>
      <c r="J928" s="191" t="s">
        <v>683</v>
      </c>
      <c r="K928" s="191" t="s">
        <v>684</v>
      </c>
      <c r="L928" s="191" t="s">
        <v>685</v>
      </c>
      <c r="M928" s="191" t="s">
        <v>686</v>
      </c>
      <c r="N928" s="191" t="s">
        <v>687</v>
      </c>
      <c r="O928" s="191" t="s">
        <v>688</v>
      </c>
      <c r="P928" s="191" t="s">
        <v>689</v>
      </c>
      <c r="Q928" s="191" t="s">
        <v>638</v>
      </c>
      <c r="R928" s="306"/>
      <c r="AC928" s="189" t="s">
        <v>669</v>
      </c>
      <c r="AD928" s="180">
        <f t="shared" si="286"/>
        <v>33495</v>
      </c>
      <c r="AE928" s="180">
        <f t="shared" si="287"/>
        <v>4270</v>
      </c>
      <c r="AF928" s="180">
        <f t="shared" si="288"/>
        <v>4480</v>
      </c>
      <c r="AG928" s="180">
        <f t="shared" si="289"/>
        <v>7665</v>
      </c>
      <c r="AH928" s="180">
        <f t="shared" si="290"/>
        <v>7399.789123432849</v>
      </c>
      <c r="AI928" s="180"/>
      <c r="AJ928" s="180">
        <f t="shared" si="291"/>
        <v>57309.789123432849</v>
      </c>
      <c r="AK928" s="180"/>
      <c r="AL928" s="180"/>
      <c r="AM928" s="180"/>
      <c r="AN928" s="182" t="s">
        <v>669</v>
      </c>
      <c r="AO928" s="180">
        <f t="shared" si="292"/>
        <v>72151</v>
      </c>
      <c r="AP928" s="180">
        <f t="shared" si="293"/>
        <v>9180</v>
      </c>
      <c r="AQ928" s="180">
        <f t="shared" si="294"/>
        <v>9613</v>
      </c>
      <c r="AR928" s="180">
        <f t="shared" si="295"/>
        <v>16171</v>
      </c>
      <c r="AS928" s="180">
        <f>((F902-$F902)*(('[4]Lake Pleasant Forecast'!B37-1526.8)/0.7702))/1000</f>
        <v>0</v>
      </c>
      <c r="AT928" s="180">
        <f t="shared" si="296"/>
        <v>107115</v>
      </c>
      <c r="AU928" s="304"/>
      <c r="AW928" s="180">
        <f t="shared" si="285"/>
        <v>14401</v>
      </c>
      <c r="AX928" s="203">
        <v>2.4700000000000002</v>
      </c>
    </row>
    <row r="929" spans="1:50" ht="15.75" customHeight="1" x14ac:dyDescent="0.3">
      <c r="A929" s="189"/>
      <c r="B929" s="180"/>
      <c r="C929" s="180"/>
      <c r="D929" s="180"/>
      <c r="E929" s="180"/>
      <c r="F929" s="182" t="s">
        <v>127</v>
      </c>
      <c r="G929" s="182" t="s">
        <v>653</v>
      </c>
      <c r="H929" s="180"/>
      <c r="I929" s="180"/>
      <c r="J929" s="180"/>
      <c r="K929" s="180"/>
      <c r="L929" s="180"/>
      <c r="M929" s="180"/>
      <c r="N929" s="180"/>
      <c r="O929" s="180"/>
      <c r="P929" s="180"/>
      <c r="Q929" s="180"/>
      <c r="R929" s="306"/>
      <c r="AC929" s="189" t="s">
        <v>671</v>
      </c>
      <c r="AD929" s="180">
        <f t="shared" si="286"/>
        <v>53592</v>
      </c>
      <c r="AE929" s="180">
        <f t="shared" si="287"/>
        <v>6832</v>
      </c>
      <c r="AF929" s="180">
        <f t="shared" si="288"/>
        <v>7168</v>
      </c>
      <c r="AG929" s="180">
        <f t="shared" si="289"/>
        <v>12264</v>
      </c>
      <c r="AH929" s="180">
        <f t="shared" si="290"/>
        <v>12274.985184303623</v>
      </c>
      <c r="AI929" s="180"/>
      <c r="AJ929" s="180">
        <f t="shared" si="291"/>
        <v>92130.98518430363</v>
      </c>
      <c r="AK929" s="180"/>
      <c r="AL929" s="180"/>
      <c r="AM929" s="180"/>
      <c r="AN929" s="182" t="s">
        <v>671</v>
      </c>
      <c r="AO929" s="180">
        <f t="shared" si="292"/>
        <v>119528</v>
      </c>
      <c r="AP929" s="180">
        <f t="shared" si="293"/>
        <v>15204</v>
      </c>
      <c r="AQ929" s="180">
        <f t="shared" si="294"/>
        <v>15919</v>
      </c>
      <c r="AR929" s="180">
        <f t="shared" si="295"/>
        <v>26147</v>
      </c>
      <c r="AS929" s="180">
        <f>((F903-$F903)*(('[4]Lake Pleasant Forecast'!B39-1526.8)/0.7702))/1000</f>
        <v>0</v>
      </c>
      <c r="AT929" s="180">
        <f t="shared" si="296"/>
        <v>176798</v>
      </c>
      <c r="AU929" s="304"/>
      <c r="AW929" s="180">
        <f t="shared" si="285"/>
        <v>14271</v>
      </c>
      <c r="AX929" s="203">
        <v>2.4700000000000002</v>
      </c>
    </row>
    <row r="930" spans="1:50" ht="15.75" customHeight="1" x14ac:dyDescent="0.3">
      <c r="A930" s="192" t="s">
        <v>8</v>
      </c>
      <c r="B930" s="180">
        <f t="shared" ref="B930:Q930" si="297">(B901/$B$10/1.983)</f>
        <v>1444.7155661835277</v>
      </c>
      <c r="C930" s="180">
        <f t="shared" si="297"/>
        <v>1443.1376376620628</v>
      </c>
      <c r="D930" s="180">
        <f t="shared" si="297"/>
        <v>1441.5759764449431</v>
      </c>
      <c r="E930" s="180">
        <f t="shared" si="297"/>
        <v>1424.1211588827614</v>
      </c>
      <c r="F930" s="180">
        <f t="shared" si="297"/>
        <v>357.88069558993374</v>
      </c>
      <c r="G930" s="180">
        <f t="shared" si="297"/>
        <v>0</v>
      </c>
      <c r="H930" s="180">
        <f t="shared" si="297"/>
        <v>688.38351796723759</v>
      </c>
      <c r="I930" s="180">
        <f t="shared" si="297"/>
        <v>329.9497340295739</v>
      </c>
      <c r="J930" s="180">
        <f t="shared" si="297"/>
        <v>325.32981959559481</v>
      </c>
      <c r="K930" s="180">
        <f t="shared" si="297"/>
        <v>321.62087420493549</v>
      </c>
      <c r="L930" s="180">
        <f t="shared" si="297"/>
        <v>298.16342133944983</v>
      </c>
      <c r="M930" s="180">
        <f t="shared" si="297"/>
        <v>297.83807525254991</v>
      </c>
      <c r="N930" s="180">
        <f t="shared" si="297"/>
        <v>291.16848047110113</v>
      </c>
      <c r="O930" s="180">
        <f t="shared" si="297"/>
        <v>64.01184259756316</v>
      </c>
      <c r="P930" s="180">
        <f t="shared" si="297"/>
        <v>43.154447209886179</v>
      </c>
      <c r="Q930" s="180">
        <f t="shared" si="297"/>
        <v>63.97930798887316</v>
      </c>
      <c r="R930" s="306"/>
      <c r="AC930" s="189" t="s">
        <v>672</v>
      </c>
      <c r="AD930" s="180">
        <f t="shared" si="286"/>
        <v>26796</v>
      </c>
      <c r="AE930" s="180">
        <f t="shared" si="287"/>
        <v>3416</v>
      </c>
      <c r="AF930" s="180">
        <f t="shared" si="288"/>
        <v>3584</v>
      </c>
      <c r="AG930" s="180">
        <f t="shared" si="289"/>
        <v>6132</v>
      </c>
      <c r="AH930" s="180">
        <f t="shared" si="290"/>
        <v>6229.8480595213568</v>
      </c>
      <c r="AI930" s="180"/>
      <c r="AJ930" s="180">
        <f t="shared" si="291"/>
        <v>46157.848059521355</v>
      </c>
      <c r="AK930" s="180"/>
      <c r="AL930" s="180"/>
      <c r="AM930" s="180"/>
      <c r="AN930" s="182" t="s">
        <v>672</v>
      </c>
      <c r="AO930" s="180">
        <f t="shared" si="292"/>
        <v>139852</v>
      </c>
      <c r="AP930" s="180">
        <f t="shared" si="293"/>
        <v>17784</v>
      </c>
      <c r="AQ930" s="180">
        <f t="shared" si="294"/>
        <v>18614</v>
      </c>
      <c r="AR930" s="180">
        <f t="shared" si="295"/>
        <v>30395</v>
      </c>
      <c r="AS930" s="180">
        <f>((F904-$F904)*(('[4]Lake Pleasant Forecast'!B41-1526.8)/0.7702))/1000</f>
        <v>0</v>
      </c>
      <c r="AT930" s="180">
        <f t="shared" si="296"/>
        <v>206645</v>
      </c>
      <c r="AU930" s="304"/>
      <c r="AW930" s="180">
        <f t="shared" si="285"/>
        <v>13476</v>
      </c>
      <c r="AX930" s="203">
        <v>2.4700000000000002</v>
      </c>
    </row>
    <row r="931" spans="1:50" ht="15.75" customHeight="1" x14ac:dyDescent="0.3">
      <c r="A931" s="192" t="s">
        <v>9</v>
      </c>
      <c r="B931" s="180">
        <f t="shared" ref="B931:Q931" si="298">(B902/$C$10/1.983)</f>
        <v>1988.2032994741012</v>
      </c>
      <c r="C931" s="180">
        <f t="shared" si="298"/>
        <v>1985.5377854621424</v>
      </c>
      <c r="D931" s="180">
        <f t="shared" si="298"/>
        <v>1982.9263021396152</v>
      </c>
      <c r="E931" s="180">
        <f t="shared" si="298"/>
        <v>1960.2334125783445</v>
      </c>
      <c r="F931" s="180">
        <f t="shared" si="298"/>
        <v>630.35804336863339</v>
      </c>
      <c r="G931" s="180">
        <f t="shared" si="298"/>
        <v>0</v>
      </c>
      <c r="H931" s="180">
        <f t="shared" si="298"/>
        <v>902.0783805201354</v>
      </c>
      <c r="I931" s="180">
        <f t="shared" si="298"/>
        <v>381.1324832504863</v>
      </c>
      <c r="J931" s="180">
        <f t="shared" si="298"/>
        <v>374.45068799077876</v>
      </c>
      <c r="K931" s="180">
        <f t="shared" si="298"/>
        <v>362.41985447734311</v>
      </c>
      <c r="L931" s="180">
        <f t="shared" si="298"/>
        <v>331.22613644550103</v>
      </c>
      <c r="M931" s="180">
        <f t="shared" si="298"/>
        <v>330.82991138966935</v>
      </c>
      <c r="N931" s="180">
        <f t="shared" si="298"/>
        <v>322.52719544701387</v>
      </c>
      <c r="O931" s="180">
        <f t="shared" si="298"/>
        <v>72.43714429796124</v>
      </c>
      <c r="P931" s="180">
        <f t="shared" si="298"/>
        <v>50.098455922964234</v>
      </c>
      <c r="Q931" s="180">
        <f t="shared" si="298"/>
        <v>72.383113608529641</v>
      </c>
      <c r="R931" s="306"/>
      <c r="AC931" s="189" t="s">
        <v>673</v>
      </c>
      <c r="AD931" s="180">
        <f t="shared" si="286"/>
        <v>17226</v>
      </c>
      <c r="AE931" s="180">
        <f t="shared" si="287"/>
        <v>2196</v>
      </c>
      <c r="AF931" s="180">
        <f t="shared" si="288"/>
        <v>2304</v>
      </c>
      <c r="AG931" s="180">
        <f t="shared" si="289"/>
        <v>3942</v>
      </c>
      <c r="AH931" s="180">
        <f t="shared" si="290"/>
        <v>4028.9678520827219</v>
      </c>
      <c r="AI931" s="180"/>
      <c r="AJ931" s="180">
        <f t="shared" si="291"/>
        <v>29696.967852082722</v>
      </c>
      <c r="AK931" s="180"/>
      <c r="AL931" s="180"/>
      <c r="AM931" s="180"/>
      <c r="AN931" s="182" t="s">
        <v>673</v>
      </c>
      <c r="AO931" s="180">
        <f t="shared" si="292"/>
        <v>161201</v>
      </c>
      <c r="AP931" s="180">
        <f t="shared" si="293"/>
        <v>20498</v>
      </c>
      <c r="AQ931" s="180">
        <f t="shared" si="294"/>
        <v>21455</v>
      </c>
      <c r="AR931" s="180">
        <f t="shared" si="295"/>
        <v>35189</v>
      </c>
      <c r="AS931" s="180">
        <f>((F905-$F905)*(('[4]Lake Pleasant Forecast'!B43-1526.8)/0.7702))/1000</f>
        <v>0</v>
      </c>
      <c r="AT931" s="180">
        <f t="shared" si="296"/>
        <v>238343</v>
      </c>
      <c r="AU931" s="304"/>
      <c r="AW931" s="180">
        <f t="shared" si="285"/>
        <v>8322</v>
      </c>
      <c r="AX931" s="203">
        <v>2.4700000000000002</v>
      </c>
    </row>
    <row r="932" spans="1:50" ht="15.75" customHeight="1" x14ac:dyDescent="0.3">
      <c r="A932" s="192" t="s">
        <v>10</v>
      </c>
      <c r="B932" s="180">
        <f t="shared" ref="B932:Q932" si="299">(B903/$D$10/1.983)</f>
        <v>2942.7390887056104</v>
      </c>
      <c r="C932" s="180">
        <f t="shared" si="299"/>
        <v>2938.2818473150814</v>
      </c>
      <c r="D932" s="180">
        <f t="shared" si="299"/>
        <v>2934.0360808810369</v>
      </c>
      <c r="E932" s="180">
        <f t="shared" si="299"/>
        <v>2853.1713109820571</v>
      </c>
      <c r="F932" s="180">
        <f t="shared" si="299"/>
        <v>910.96904331983148</v>
      </c>
      <c r="G932" s="180">
        <f t="shared" si="299"/>
        <v>0</v>
      </c>
      <c r="H932" s="180">
        <f t="shared" si="299"/>
        <v>1431.1486343598001</v>
      </c>
      <c r="I932" s="180">
        <f t="shared" si="299"/>
        <v>493.20840043596371</v>
      </c>
      <c r="J932" s="180">
        <f t="shared" si="299"/>
        <v>416.02004131895302</v>
      </c>
      <c r="K932" s="180">
        <f t="shared" si="299"/>
        <v>363.70439054544272</v>
      </c>
      <c r="L932" s="180">
        <f t="shared" si="299"/>
        <v>317.84685959689614</v>
      </c>
      <c r="M932" s="180">
        <f t="shared" si="299"/>
        <v>317.39137507523628</v>
      </c>
      <c r="N932" s="180">
        <f t="shared" si="299"/>
        <v>304.14978933840871</v>
      </c>
      <c r="O932" s="180">
        <f t="shared" si="299"/>
        <v>67.249036162217564</v>
      </c>
      <c r="P932" s="180">
        <f t="shared" si="299"/>
        <v>74.092148856679628</v>
      </c>
      <c r="Q932" s="180">
        <f t="shared" si="299"/>
        <v>67.167699640492572</v>
      </c>
      <c r="R932" s="306"/>
      <c r="AC932" s="189" t="s">
        <v>675</v>
      </c>
      <c r="AD932" s="180">
        <f t="shared" si="286"/>
        <v>0</v>
      </c>
      <c r="AE932" s="180">
        <f t="shared" si="287"/>
        <v>0</v>
      </c>
      <c r="AF932" s="180">
        <f t="shared" si="288"/>
        <v>0</v>
      </c>
      <c r="AG932" s="180">
        <f t="shared" si="289"/>
        <v>0</v>
      </c>
      <c r="AH932" s="180">
        <f t="shared" si="290"/>
        <v>0</v>
      </c>
      <c r="AI932" s="180"/>
      <c r="AJ932" s="180">
        <f t="shared" si="291"/>
        <v>0</v>
      </c>
      <c r="AK932" s="180"/>
      <c r="AL932" s="180"/>
      <c r="AM932" s="180"/>
      <c r="AN932" s="182" t="s">
        <v>675</v>
      </c>
      <c r="AO932" s="180">
        <f t="shared" si="292"/>
        <v>69510</v>
      </c>
      <c r="AP932" s="180">
        <f t="shared" si="293"/>
        <v>8810</v>
      </c>
      <c r="AQ932" s="180">
        <f t="shared" si="294"/>
        <v>9193</v>
      </c>
      <c r="AR932" s="180">
        <f t="shared" si="295"/>
        <v>14278</v>
      </c>
      <c r="AS932" s="180">
        <f>((F906-$F906)*(('[4]Lake Pleasant Forecast'!B45-1526.8)/0.7702))/1000</f>
        <v>0</v>
      </c>
      <c r="AT932" s="180">
        <f t="shared" si="296"/>
        <v>101791</v>
      </c>
      <c r="AU932" s="304"/>
      <c r="AW932" s="180">
        <f t="shared" si="285"/>
        <v>5284</v>
      </c>
      <c r="AX932" s="203">
        <v>2.4700000000000002</v>
      </c>
    </row>
    <row r="933" spans="1:50" ht="15.75" customHeight="1" x14ac:dyDescent="0.3">
      <c r="A933" s="192" t="s">
        <v>12</v>
      </c>
      <c r="B933" s="180">
        <f t="shared" ref="B933:Q933" si="300">(B904/$F$10/1.983)</f>
        <v>2927.1474197344091</v>
      </c>
      <c r="C933" s="180">
        <f t="shared" si="300"/>
        <v>2920.9783156833082</v>
      </c>
      <c r="D933" s="180">
        <f t="shared" si="300"/>
        <v>2915.0949739452008</v>
      </c>
      <c r="E933" s="180">
        <f t="shared" si="300"/>
        <v>2803.6644814254496</v>
      </c>
      <c r="F933" s="180">
        <f t="shared" si="300"/>
        <v>470.66733904857961</v>
      </c>
      <c r="G933" s="180">
        <f t="shared" si="300"/>
        <v>0</v>
      </c>
      <c r="H933" s="180">
        <f t="shared" si="300"/>
        <v>1782.2154984030929</v>
      </c>
      <c r="I933" s="180">
        <f t="shared" si="300"/>
        <v>653.53840981677592</v>
      </c>
      <c r="J933" s="180">
        <f t="shared" si="300"/>
        <v>488.1324592368465</v>
      </c>
      <c r="K933" s="180">
        <f t="shared" si="300"/>
        <v>426.928895612708</v>
      </c>
      <c r="L933" s="180">
        <f t="shared" si="300"/>
        <v>335.53538409816775</v>
      </c>
      <c r="M933" s="180">
        <f t="shared" si="300"/>
        <v>334.91343082871072</v>
      </c>
      <c r="N933" s="180">
        <f t="shared" si="300"/>
        <v>316.96083375357199</v>
      </c>
      <c r="O933" s="180">
        <f t="shared" si="300"/>
        <v>69.490670700958148</v>
      </c>
      <c r="P933" s="180">
        <f t="shared" si="300"/>
        <v>82.215498403092951</v>
      </c>
      <c r="Q933" s="180">
        <f t="shared" si="300"/>
        <v>69.373003866196001</v>
      </c>
      <c r="R933" s="306"/>
      <c r="AC933" s="189" t="s">
        <v>676</v>
      </c>
      <c r="AD933" s="180">
        <f t="shared" si="286"/>
        <v>0</v>
      </c>
      <c r="AE933" s="180">
        <f t="shared" si="287"/>
        <v>0</v>
      </c>
      <c r="AF933" s="180">
        <f t="shared" si="288"/>
        <v>0</v>
      </c>
      <c r="AG933" s="180">
        <f t="shared" si="289"/>
        <v>0</v>
      </c>
      <c r="AH933" s="180">
        <f t="shared" si="290"/>
        <v>0</v>
      </c>
      <c r="AI933" s="180"/>
      <c r="AJ933" s="180">
        <f t="shared" si="291"/>
        <v>0</v>
      </c>
      <c r="AK933" s="180"/>
      <c r="AL933" s="180"/>
      <c r="AM933" s="180"/>
      <c r="AN933" s="182" t="s">
        <v>676</v>
      </c>
      <c r="AO933" s="180">
        <f t="shared" si="292"/>
        <v>70887</v>
      </c>
      <c r="AP933" s="180">
        <f t="shared" si="293"/>
        <v>8986</v>
      </c>
      <c r="AQ933" s="180">
        <f t="shared" si="294"/>
        <v>9378</v>
      </c>
      <c r="AR933" s="180">
        <f t="shared" si="295"/>
        <v>14628</v>
      </c>
      <c r="AS933" s="180">
        <f>((F907-$F907)*(('[4]Lake Pleasant Forecast'!B47-1526.8)/0.7702))/1000</f>
        <v>0</v>
      </c>
      <c r="AT933" s="180">
        <f t="shared" si="296"/>
        <v>103879</v>
      </c>
      <c r="AU933" s="304"/>
      <c r="AW933" s="180">
        <f t="shared" si="285"/>
        <v>4607</v>
      </c>
      <c r="AX933" s="203">
        <v>2.4700000000000002</v>
      </c>
    </row>
    <row r="934" spans="1:50" ht="15.75" customHeight="1" x14ac:dyDescent="0.3">
      <c r="A934" s="192" t="s">
        <v>13</v>
      </c>
      <c r="B934" s="180">
        <f t="shared" ref="B934:Q934" si="301">(B905/$G$10/1.983)</f>
        <v>3032.9412912986186</v>
      </c>
      <c r="C934" s="180">
        <f t="shared" si="301"/>
        <v>3026.0276869519953</v>
      </c>
      <c r="D934" s="180">
        <f t="shared" si="301"/>
        <v>3019.4882306053064</v>
      </c>
      <c r="E934" s="180">
        <f t="shared" si="301"/>
        <v>2906.6419403640621</v>
      </c>
      <c r="F934" s="180">
        <f t="shared" si="301"/>
        <v>292.81147820994579</v>
      </c>
      <c r="G934" s="180">
        <f>(G905/$G$10/1.983)</f>
        <v>0</v>
      </c>
      <c r="H934" s="180">
        <f t="shared" si="301"/>
        <v>2009.906788346103</v>
      </c>
      <c r="I934" s="180">
        <f t="shared" si="301"/>
        <v>624.87596180436947</v>
      </c>
      <c r="J934" s="180">
        <f t="shared" si="301"/>
        <v>484.09871000276542</v>
      </c>
      <c r="K934" s="180">
        <f t="shared" si="301"/>
        <v>436.43550827192428</v>
      </c>
      <c r="L934" s="180">
        <f t="shared" si="301"/>
        <v>341.80859889707671</v>
      </c>
      <c r="M934" s="180">
        <f t="shared" si="301"/>
        <v>341.12537211458692</v>
      </c>
      <c r="N934" s="180">
        <f t="shared" si="301"/>
        <v>315.56943698859658</v>
      </c>
      <c r="O934" s="180">
        <f t="shared" si="301"/>
        <v>68.680558944577285</v>
      </c>
      <c r="P934" s="180">
        <f t="shared" si="301"/>
        <v>79.351910594895315</v>
      </c>
      <c r="Q934" s="180">
        <f t="shared" si="301"/>
        <v>68.550420509817314</v>
      </c>
      <c r="R934" s="306"/>
      <c r="AC934" s="189" t="s">
        <v>691</v>
      </c>
      <c r="AD934" s="180">
        <f t="shared" si="286"/>
        <v>0</v>
      </c>
      <c r="AE934" s="180">
        <f t="shared" si="287"/>
        <v>0</v>
      </c>
      <c r="AF934" s="180">
        <f t="shared" si="288"/>
        <v>0</v>
      </c>
      <c r="AG934" s="180">
        <f t="shared" si="289"/>
        <v>0</v>
      </c>
      <c r="AH934" s="180">
        <f t="shared" si="290"/>
        <v>0</v>
      </c>
      <c r="AI934" s="180"/>
      <c r="AJ934" s="180">
        <f t="shared" si="291"/>
        <v>0</v>
      </c>
      <c r="AK934" s="180"/>
      <c r="AL934" s="180"/>
      <c r="AM934" s="180"/>
      <c r="AN934" s="182" t="s">
        <v>691</v>
      </c>
      <c r="AO934" s="180">
        <f t="shared" si="292"/>
        <v>31285</v>
      </c>
      <c r="AP934" s="180">
        <f t="shared" si="293"/>
        <v>3948</v>
      </c>
      <c r="AQ934" s="180">
        <f t="shared" si="294"/>
        <v>4101</v>
      </c>
      <c r="AR934" s="180">
        <f t="shared" si="295"/>
        <v>5603</v>
      </c>
      <c r="AS934" s="180">
        <f>((F908-$F908)*(('[4]Lake Pleasant Forecast'!B49-1526.8)/0.7702))/1000</f>
        <v>0</v>
      </c>
      <c r="AT934" s="180">
        <f t="shared" si="296"/>
        <v>44937</v>
      </c>
      <c r="AU934" s="304"/>
      <c r="AW934" s="180"/>
      <c r="AX934" s="203"/>
    </row>
    <row r="935" spans="1:50" ht="15.75" customHeight="1" x14ac:dyDescent="0.3">
      <c r="A935" s="192" t="s">
        <v>14</v>
      </c>
      <c r="B935" s="180">
        <f t="shared" ref="B935:Q935" si="302">(B906/$H$10/1.983)</f>
        <v>1220.9278870398384</v>
      </c>
      <c r="C935" s="180">
        <f t="shared" si="302"/>
        <v>1213.9183055975793</v>
      </c>
      <c r="D935" s="180">
        <f t="shared" si="302"/>
        <v>1207.2617246596067</v>
      </c>
      <c r="E935" s="180">
        <f t="shared" si="302"/>
        <v>1095.9152798789712</v>
      </c>
      <c r="F935" s="180">
        <f t="shared" si="302"/>
        <v>0</v>
      </c>
      <c r="G935" s="180">
        <f t="shared" si="302"/>
        <v>-2118.0030257186081</v>
      </c>
      <c r="H935" s="180">
        <f t="shared" si="302"/>
        <v>2468.3140023533369</v>
      </c>
      <c r="I935" s="180">
        <f t="shared" si="302"/>
        <v>870.09581442259207</v>
      </c>
      <c r="J935" s="180">
        <f t="shared" si="302"/>
        <v>586.80450495881666</v>
      </c>
      <c r="K935" s="180">
        <f t="shared" si="302"/>
        <v>446.29349470499244</v>
      </c>
      <c r="L935" s="180">
        <f t="shared" si="302"/>
        <v>357.43822491174984</v>
      </c>
      <c r="M935" s="180">
        <f t="shared" si="302"/>
        <v>356.69860480753067</v>
      </c>
      <c r="N935" s="180">
        <f t="shared" si="302"/>
        <v>327.75256345604299</v>
      </c>
      <c r="O935" s="180">
        <f t="shared" si="302"/>
        <v>70.062195326945712</v>
      </c>
      <c r="P935" s="180">
        <f t="shared" si="302"/>
        <v>96.540034739732164</v>
      </c>
      <c r="Q935" s="180">
        <f t="shared" si="302"/>
        <v>69.910909396537221</v>
      </c>
      <c r="R935" s="306"/>
      <c r="AC935" s="189" t="s">
        <v>692</v>
      </c>
      <c r="AD935" s="180">
        <f t="shared" si="286"/>
        <v>6699</v>
      </c>
      <c r="AE935" s="180">
        <f t="shared" si="287"/>
        <v>854</v>
      </c>
      <c r="AF935" s="180">
        <f t="shared" si="288"/>
        <v>896</v>
      </c>
      <c r="AG935" s="180">
        <f t="shared" si="289"/>
        <v>1533</v>
      </c>
      <c r="AH935" s="180">
        <f t="shared" si="290"/>
        <v>1092.0066673641957</v>
      </c>
      <c r="AI935" s="180"/>
      <c r="AJ935" s="180">
        <f t="shared" si="291"/>
        <v>11074.006667364196</v>
      </c>
      <c r="AK935" s="180"/>
      <c r="AL935" s="180"/>
      <c r="AM935" s="180"/>
      <c r="AN935" s="182" t="s">
        <v>692</v>
      </c>
      <c r="AO935" s="180">
        <f t="shared" si="292"/>
        <v>138204</v>
      </c>
      <c r="AP935" s="180">
        <f t="shared" si="293"/>
        <v>17580</v>
      </c>
      <c r="AQ935" s="180">
        <f t="shared" si="294"/>
        <v>18406</v>
      </c>
      <c r="AR935" s="180">
        <f t="shared" si="295"/>
        <v>30593</v>
      </c>
      <c r="AS935" s="180">
        <f>((F909-$F909)*(('[4]Lake Pleasant Forecast'!B51-1526.8)/0.7702))/1000</f>
        <v>0</v>
      </c>
      <c r="AT935" s="180">
        <f t="shared" si="296"/>
        <v>204783</v>
      </c>
      <c r="AU935" s="304"/>
      <c r="AW935" s="180">
        <f>(SUM(AW922:AW933))</f>
        <v>138644</v>
      </c>
      <c r="AX935" s="203"/>
    </row>
    <row r="936" spans="1:50" ht="15.75" customHeight="1" x14ac:dyDescent="0.3">
      <c r="A936" s="192" t="s">
        <v>16</v>
      </c>
      <c r="B936" s="180">
        <f t="shared" ref="B936:Q936" si="303">(B907/$J$10/1.983)</f>
        <v>1204.951767442617</v>
      </c>
      <c r="C936" s="180">
        <f t="shared" si="303"/>
        <v>1198.1845688350984</v>
      </c>
      <c r="D936" s="180">
        <f t="shared" si="303"/>
        <v>1191.7752509231696</v>
      </c>
      <c r="E936" s="180">
        <f t="shared" si="303"/>
        <v>1086.5583264197289</v>
      </c>
      <c r="F936" s="180">
        <f t="shared" si="303"/>
        <v>0</v>
      </c>
      <c r="G936" s="180">
        <f t="shared" si="303"/>
        <v>-2098.4822605046115</v>
      </c>
      <c r="H936" s="180">
        <f t="shared" si="303"/>
        <v>2332.5850373334638</v>
      </c>
      <c r="I936" s="180">
        <f t="shared" si="303"/>
        <v>917.42716314479526</v>
      </c>
      <c r="J936" s="180">
        <f t="shared" si="303"/>
        <v>584.59811624615679</v>
      </c>
      <c r="K936" s="180">
        <f t="shared" si="303"/>
        <v>480.03188391651616</v>
      </c>
      <c r="L936" s="180">
        <f t="shared" si="303"/>
        <v>360.97148341548319</v>
      </c>
      <c r="M936" s="180">
        <f t="shared" si="303"/>
        <v>360.33705854602829</v>
      </c>
      <c r="N936" s="180">
        <f t="shared" si="303"/>
        <v>324.23991020448</v>
      </c>
      <c r="O936" s="180">
        <f t="shared" si="303"/>
        <v>68.452816683747329</v>
      </c>
      <c r="P936" s="180">
        <f t="shared" si="303"/>
        <v>90.679376853794878</v>
      </c>
      <c r="Q936" s="180">
        <f t="shared" si="303"/>
        <v>68.338945553332366</v>
      </c>
      <c r="R936" s="306"/>
      <c r="AC936" s="189" t="s">
        <v>693</v>
      </c>
      <c r="AD936" s="180">
        <f t="shared" si="286"/>
        <v>56463</v>
      </c>
      <c r="AE936" s="180">
        <f t="shared" si="287"/>
        <v>7198</v>
      </c>
      <c r="AF936" s="180">
        <f t="shared" si="288"/>
        <v>7552</v>
      </c>
      <c r="AG936" s="180">
        <f t="shared" si="289"/>
        <v>12921</v>
      </c>
      <c r="AH936" s="180">
        <f t="shared" si="290"/>
        <v>9885.8620639971559</v>
      </c>
      <c r="AI936" s="180"/>
      <c r="AJ936" s="180">
        <f t="shared" si="291"/>
        <v>94019.862063997163</v>
      </c>
      <c r="AK936" s="180"/>
      <c r="AL936" s="180"/>
      <c r="AM936" s="180"/>
      <c r="AN936" s="182" t="s">
        <v>693</v>
      </c>
      <c r="AO936" s="180">
        <f t="shared" si="292"/>
        <v>98868</v>
      </c>
      <c r="AP936" s="180">
        <f t="shared" si="293"/>
        <v>12569</v>
      </c>
      <c r="AQ936" s="180">
        <f t="shared" si="294"/>
        <v>13152</v>
      </c>
      <c r="AR936" s="180">
        <f t="shared" si="295"/>
        <v>22089</v>
      </c>
      <c r="AS936" s="180">
        <f>((F910-$F910)*(('[4]Lake Pleasant Forecast'!B53-1526.8)/0.7702))/1000</f>
        <v>0</v>
      </c>
      <c r="AT936" s="180">
        <f t="shared" si="296"/>
        <v>146678</v>
      </c>
      <c r="AU936" s="304"/>
    </row>
    <row r="937" spans="1:50" ht="15.75" customHeight="1" x14ac:dyDescent="0.3">
      <c r="A937" s="192" t="s">
        <v>17</v>
      </c>
      <c r="B937" s="180">
        <f t="shared" ref="B937:Q937" si="304">(B908/$K$10/1.983)</f>
        <v>531.79444634229662</v>
      </c>
      <c r="C937" s="180">
        <f t="shared" si="304"/>
        <v>526.36116669106764</v>
      </c>
      <c r="D937" s="180">
        <f t="shared" si="304"/>
        <v>521.18816390935854</v>
      </c>
      <c r="E937" s="180">
        <f t="shared" si="304"/>
        <v>416.19898166674801</v>
      </c>
      <c r="F937" s="180">
        <f t="shared" si="304"/>
        <v>0</v>
      </c>
      <c r="G937" s="180">
        <f t="shared" si="304"/>
        <v>-2521.4321734745336</v>
      </c>
      <c r="H937" s="180">
        <f t="shared" si="304"/>
        <v>2136.450148845835</v>
      </c>
      <c r="I937" s="180">
        <f t="shared" si="304"/>
        <v>766.71058838839815</v>
      </c>
      <c r="J937" s="180">
        <f t="shared" si="304"/>
        <v>550.22530216517816</v>
      </c>
      <c r="K937" s="180">
        <f t="shared" si="304"/>
        <v>455.46825435557076</v>
      </c>
      <c r="L937" s="180">
        <f t="shared" si="304"/>
        <v>353.03303889512472</v>
      </c>
      <c r="M937" s="180">
        <f t="shared" si="304"/>
        <v>352.44741593870475</v>
      </c>
      <c r="N937" s="180">
        <f t="shared" si="304"/>
        <v>322.88972394384524</v>
      </c>
      <c r="O937" s="180">
        <f t="shared" si="304"/>
        <v>74.487986595741219</v>
      </c>
      <c r="P937" s="180">
        <f t="shared" si="304"/>
        <v>79.140435638410352</v>
      </c>
      <c r="Q937" s="180">
        <f t="shared" si="304"/>
        <v>74.390382769671234</v>
      </c>
      <c r="R937" s="306"/>
      <c r="AC937" s="189" t="s">
        <v>694</v>
      </c>
      <c r="AD937" s="180">
        <f t="shared" si="286"/>
        <v>79431</v>
      </c>
      <c r="AE937" s="180">
        <f t="shared" si="287"/>
        <v>10126</v>
      </c>
      <c r="AF937" s="180">
        <f t="shared" si="288"/>
        <v>10624</v>
      </c>
      <c r="AG937" s="180">
        <f t="shared" si="289"/>
        <v>18177</v>
      </c>
      <c r="AH937" s="180">
        <f t="shared" si="290"/>
        <v>15144.37023199167</v>
      </c>
      <c r="AI937" s="180"/>
      <c r="AJ937" s="180">
        <f t="shared" si="291"/>
        <v>133502.37023199166</v>
      </c>
      <c r="AK937" s="180"/>
      <c r="AL937" s="180"/>
      <c r="AM937" s="180"/>
      <c r="AN937" s="182" t="s">
        <v>694</v>
      </c>
      <c r="AO937" s="180">
        <f t="shared" si="292"/>
        <v>70931</v>
      </c>
      <c r="AP937" s="180">
        <f t="shared" si="293"/>
        <v>9014</v>
      </c>
      <c r="AQ937" s="180">
        <f t="shared" si="294"/>
        <v>9428</v>
      </c>
      <c r="AR937" s="180">
        <f t="shared" si="295"/>
        <v>15921</v>
      </c>
      <c r="AS937" s="180">
        <f>((F911-$F911)*(('[4]Lake Pleasant Forecast'!B55-1526.8)/0.7702))/1000</f>
        <v>0</v>
      </c>
      <c r="AT937" s="180">
        <f t="shared" si="296"/>
        <v>105294</v>
      </c>
      <c r="AU937" s="304"/>
    </row>
    <row r="938" spans="1:50" ht="15.75" customHeight="1" x14ac:dyDescent="0.3">
      <c r="A938" s="192" t="s">
        <v>18</v>
      </c>
      <c r="B938" s="180">
        <f t="shared" ref="B938:Q938" si="305">(B909/$L$10/1.983)</f>
        <v>2545.2008740964866</v>
      </c>
      <c r="C938" s="180">
        <f t="shared" si="305"/>
        <v>2539.889056984367</v>
      </c>
      <c r="D938" s="180">
        <f t="shared" si="305"/>
        <v>2534.8293830895946</v>
      </c>
      <c r="E938" s="180">
        <f t="shared" si="305"/>
        <v>2465.8261892755086</v>
      </c>
      <c r="F938" s="180">
        <f t="shared" si="305"/>
        <v>117.6668347621449</v>
      </c>
      <c r="G938" s="180">
        <f t="shared" si="305"/>
        <v>0</v>
      </c>
      <c r="H938" s="180">
        <f t="shared" si="305"/>
        <v>1529.0132795427803</v>
      </c>
      <c r="I938" s="180">
        <f t="shared" si="305"/>
        <v>477.47520591696082</v>
      </c>
      <c r="J938" s="180">
        <f t="shared" si="305"/>
        <v>444.59573037485291</v>
      </c>
      <c r="K938" s="180">
        <f t="shared" si="305"/>
        <v>407.95091612035634</v>
      </c>
      <c r="L938" s="180">
        <f t="shared" si="305"/>
        <v>341.6540595057993</v>
      </c>
      <c r="M938" s="180">
        <f t="shared" si="305"/>
        <v>341.0825348798117</v>
      </c>
      <c r="N938" s="180">
        <f t="shared" si="305"/>
        <v>320.62531517902164</v>
      </c>
      <c r="O938" s="180">
        <f t="shared" si="305"/>
        <v>76.382585308455205</v>
      </c>
      <c r="P938" s="180">
        <f t="shared" si="305"/>
        <v>67.989017762088864</v>
      </c>
      <c r="Q938" s="180">
        <f t="shared" si="305"/>
        <v>76.28172802151623</v>
      </c>
      <c r="R938" s="306"/>
      <c r="AC938" s="189" t="s">
        <v>695</v>
      </c>
      <c r="AD938" s="180">
        <f t="shared" si="286"/>
        <v>76560</v>
      </c>
      <c r="AE938" s="180">
        <f t="shared" si="287"/>
        <v>9760</v>
      </c>
      <c r="AF938" s="180">
        <f t="shared" si="288"/>
        <v>10240</v>
      </c>
      <c r="AG938" s="180">
        <f t="shared" si="289"/>
        <v>17520</v>
      </c>
      <c r="AH938" s="180">
        <f t="shared" si="290"/>
        <v>15668.306439259077</v>
      </c>
      <c r="AI938" s="180"/>
      <c r="AJ938" s="180">
        <f t="shared" si="291"/>
        <v>129748.30643925907</v>
      </c>
      <c r="AK938" s="180"/>
      <c r="AL938" s="180"/>
      <c r="AM938" s="180"/>
      <c r="AN938" s="182" t="s">
        <v>695</v>
      </c>
      <c r="AO938" s="180">
        <f t="shared" si="292"/>
        <v>70497</v>
      </c>
      <c r="AP938" s="180">
        <f t="shared" si="293"/>
        <v>8964</v>
      </c>
      <c r="AQ938" s="180">
        <f t="shared" si="294"/>
        <v>9382</v>
      </c>
      <c r="AR938" s="180">
        <f t="shared" si="295"/>
        <v>15751</v>
      </c>
      <c r="AS938" s="180">
        <f>((F912-$F912)*(('[4]Lake Pleasant Forecast'!B57-1526.8)/0.7702))/1000</f>
        <v>0</v>
      </c>
      <c r="AT938" s="180">
        <f t="shared" si="296"/>
        <v>104594</v>
      </c>
      <c r="AU938" s="304"/>
    </row>
    <row r="939" spans="1:50" ht="15.75" customHeight="1" x14ac:dyDescent="0.3">
      <c r="A939" s="192" t="s">
        <v>20</v>
      </c>
      <c r="B939" s="180">
        <f t="shared" ref="B939:Q939" si="306">(B910/$N$10/1.983)</f>
        <v>2640.3461682364614</v>
      </c>
      <c r="C939" s="180">
        <f t="shared" si="306"/>
        <v>2635.7099864981374</v>
      </c>
      <c r="D939" s="180">
        <f t="shared" si="306"/>
        <v>2631.2852797162982</v>
      </c>
      <c r="E939" s="180">
        <f t="shared" si="306"/>
        <v>2600.5400745042539</v>
      </c>
      <c r="F939" s="180">
        <f t="shared" si="306"/>
        <v>959.77095635482237</v>
      </c>
      <c r="G939" s="180">
        <f t="shared" si="306"/>
        <v>0</v>
      </c>
      <c r="H939" s="180">
        <f t="shared" si="306"/>
        <v>1022.4000780830609</v>
      </c>
      <c r="I939" s="180">
        <f t="shared" si="306"/>
        <v>227.79106274299284</v>
      </c>
      <c r="J939" s="180">
        <f t="shared" si="306"/>
        <v>214.14279439754037</v>
      </c>
      <c r="K939" s="180">
        <f t="shared" si="306"/>
        <v>197.38747092219347</v>
      </c>
      <c r="L939" s="180">
        <f t="shared" si="306"/>
        <v>167.19535405787906</v>
      </c>
      <c r="M939" s="180">
        <f t="shared" si="306"/>
        <v>166.72360223187417</v>
      </c>
      <c r="N939" s="180">
        <f t="shared" si="306"/>
        <v>159.98893823304539</v>
      </c>
      <c r="O939" s="180">
        <f t="shared" si="306"/>
        <v>61.197598945878667</v>
      </c>
      <c r="P939" s="180">
        <f t="shared" si="306"/>
        <v>58.394200163757532</v>
      </c>
      <c r="Q939" s="180">
        <f t="shared" si="306"/>
        <v>61.116262424153689</v>
      </c>
      <c r="R939" s="306"/>
      <c r="AC939" s="179"/>
      <c r="AD939" s="180"/>
      <c r="AE939" s="180"/>
      <c r="AF939" s="180"/>
      <c r="AG939" s="180"/>
      <c r="AH939" s="180"/>
      <c r="AI939" s="180"/>
      <c r="AJ939" s="180"/>
      <c r="AK939" s="180"/>
      <c r="AL939" s="180"/>
      <c r="AM939" s="180"/>
      <c r="AN939" s="180"/>
      <c r="AO939" s="180"/>
      <c r="AP939" s="180"/>
      <c r="AQ939" s="180"/>
      <c r="AR939" s="180"/>
      <c r="AS939" s="180"/>
      <c r="AT939" s="180"/>
      <c r="AU939" s="304"/>
    </row>
    <row r="940" spans="1:50" ht="15.75" customHeight="1" thickBot="1" x14ac:dyDescent="0.35">
      <c r="A940" s="192" t="s">
        <v>21</v>
      </c>
      <c r="B940" s="180">
        <f t="shared" ref="B940:Q940" si="307">(B911/$O$10/1.983)</f>
        <v>2641.0825348798116</v>
      </c>
      <c r="C940" s="180">
        <f t="shared" si="307"/>
        <v>2637.1322911413681</v>
      </c>
      <c r="D940" s="180">
        <f t="shared" si="307"/>
        <v>2633.333333333333</v>
      </c>
      <c r="E940" s="180">
        <f t="shared" si="307"/>
        <v>2617.2465960665659</v>
      </c>
      <c r="F940" s="180">
        <f t="shared" si="307"/>
        <v>1395.1924693225751</v>
      </c>
      <c r="G940" s="180">
        <f t="shared" si="307"/>
        <v>0</v>
      </c>
      <c r="H940" s="180">
        <f t="shared" si="307"/>
        <v>673.81072449151122</v>
      </c>
      <c r="I940" s="180">
        <f t="shared" si="307"/>
        <v>94.335182383593875</v>
      </c>
      <c r="J940" s="180">
        <f t="shared" si="307"/>
        <v>86.804504958816594</v>
      </c>
      <c r="K940" s="180">
        <f t="shared" si="307"/>
        <v>85.157169272146575</v>
      </c>
      <c r="L940" s="180">
        <f t="shared" si="307"/>
        <v>65.204236006051445</v>
      </c>
      <c r="M940" s="180">
        <f t="shared" si="307"/>
        <v>64.817616406118674</v>
      </c>
      <c r="N940" s="180">
        <f t="shared" si="307"/>
        <v>62.951756597747519</v>
      </c>
      <c r="O940" s="180">
        <f t="shared" si="307"/>
        <v>58.329130946377539</v>
      </c>
      <c r="P940" s="180">
        <f t="shared" si="307"/>
        <v>63.603967053286269</v>
      </c>
      <c r="Q940" s="180">
        <f t="shared" si="307"/>
        <v>58.278702302908044</v>
      </c>
      <c r="R940" s="306"/>
      <c r="AC940" s="204" t="s">
        <v>641</v>
      </c>
      <c r="AD940" s="195">
        <f>SUM(AD927:AD938)</f>
        <v>371316</v>
      </c>
      <c r="AE940" s="195">
        <f>SUM(AE927:AE938)</f>
        <v>47336</v>
      </c>
      <c r="AF940" s="195">
        <f>SUM(AF927:AF938)</f>
        <v>49664</v>
      </c>
      <c r="AG940" s="195">
        <f>SUM(AG927:AG938)</f>
        <v>84972</v>
      </c>
      <c r="AH940" s="195">
        <f>SUM(AH927:AH938)</f>
        <v>76254.845131798647</v>
      </c>
      <c r="AI940" s="195"/>
      <c r="AJ940" s="195">
        <f>SUM(AJ927:AJ938)</f>
        <v>629542.84513179865</v>
      </c>
      <c r="AK940" s="195"/>
      <c r="AL940" s="195"/>
      <c r="AM940" s="195"/>
      <c r="AN940" s="205" t="s">
        <v>641</v>
      </c>
      <c r="AO940" s="195">
        <f t="shared" ref="AO940:AT940" si="308">SUM(AO927:AO938)</f>
        <v>1106852</v>
      </c>
      <c r="AP940" s="195">
        <f t="shared" si="308"/>
        <v>140676</v>
      </c>
      <c r="AQ940" s="195">
        <f t="shared" si="308"/>
        <v>147168</v>
      </c>
      <c r="AR940" s="195">
        <f t="shared" si="308"/>
        <v>241119</v>
      </c>
      <c r="AS940" s="195">
        <f t="shared" si="308"/>
        <v>0</v>
      </c>
      <c r="AT940" s="195">
        <f t="shared" si="308"/>
        <v>1635815</v>
      </c>
      <c r="AU940" s="136"/>
    </row>
    <row r="941" spans="1:50" ht="15.75" customHeight="1" thickBot="1" x14ac:dyDescent="0.35">
      <c r="A941" s="206" t="s">
        <v>22</v>
      </c>
      <c r="B941" s="195">
        <f t="shared" ref="B941:Q941" si="309">(B912/$P$10/1.983)</f>
        <v>2499.7153221739622</v>
      </c>
      <c r="C941" s="195">
        <f t="shared" si="309"/>
        <v>2496.6896035657928</v>
      </c>
      <c r="D941" s="195">
        <f t="shared" si="309"/>
        <v>2493.7777560880386</v>
      </c>
      <c r="E941" s="195">
        <f t="shared" si="309"/>
        <v>2471.3939453093226</v>
      </c>
      <c r="F941" s="195">
        <f t="shared" si="309"/>
        <v>1301.3843475997592</v>
      </c>
      <c r="G941" s="195">
        <f t="shared" si="309"/>
        <v>0</v>
      </c>
      <c r="H941" s="195">
        <f t="shared" si="309"/>
        <v>743.57848160981234</v>
      </c>
      <c r="I941" s="195">
        <f t="shared" si="309"/>
        <v>106.24176467717534</v>
      </c>
      <c r="J941" s="195">
        <f t="shared" si="309"/>
        <v>99.051616156686663</v>
      </c>
      <c r="K941" s="195">
        <f t="shared" si="309"/>
        <v>97.717697200396927</v>
      </c>
      <c r="L941" s="195">
        <f t="shared" si="309"/>
        <v>57.423584337839372</v>
      </c>
      <c r="M941" s="195">
        <f t="shared" si="309"/>
        <v>57.114505555284431</v>
      </c>
      <c r="N941" s="195">
        <f t="shared" si="309"/>
        <v>52.90127372993021</v>
      </c>
      <c r="O941" s="195">
        <f t="shared" si="309"/>
        <v>48.492834252436026</v>
      </c>
      <c r="P941" s="195">
        <f t="shared" si="309"/>
        <v>53.587753973289082</v>
      </c>
      <c r="Q941" s="195">
        <f t="shared" si="309"/>
        <v>48.460299643746033</v>
      </c>
      <c r="R941" s="196"/>
    </row>
    <row r="942" spans="1:50" ht="15.75" customHeight="1" x14ac:dyDescent="0.3">
      <c r="R942" s="174"/>
      <c r="AC942" s="207"/>
      <c r="AD942" s="387" t="s">
        <v>715</v>
      </c>
      <c r="AE942" s="393"/>
      <c r="AF942" s="393"/>
      <c r="AG942" s="393"/>
      <c r="AH942" s="393"/>
      <c r="AI942" s="393"/>
      <c r="AJ942" s="393"/>
      <c r="AK942" s="393"/>
      <c r="AL942" s="393"/>
      <c r="AM942" s="393"/>
      <c r="AN942" s="393"/>
      <c r="AO942" s="393"/>
      <c r="AP942" s="393"/>
      <c r="AQ942" s="393"/>
      <c r="AR942" s="177" t="str">
        <f>$Q$1</f>
        <v xml:space="preserve">PRINTED:  </v>
      </c>
      <c r="AS942" s="208">
        <f ca="1">$R$1</f>
        <v>44894.658168518516</v>
      </c>
    </row>
    <row r="943" spans="1:50" ht="15.75" customHeight="1" x14ac:dyDescent="0.3">
      <c r="R943" s="180"/>
      <c r="AC943" s="95"/>
      <c r="AD943" s="394" t="str">
        <f>+$A$8</f>
        <v>Revised:  11/30/2017</v>
      </c>
      <c r="AE943" s="396"/>
      <c r="AF943" s="396"/>
      <c r="AG943" s="396"/>
      <c r="AH943" s="396"/>
      <c r="AI943" s="396"/>
      <c r="AJ943" s="396"/>
      <c r="AK943" s="396"/>
      <c r="AL943" s="396"/>
      <c r="AM943" s="396"/>
      <c r="AN943" s="396"/>
      <c r="AO943" s="396"/>
      <c r="AP943" s="396"/>
      <c r="AQ943" s="396"/>
      <c r="AR943" s="192"/>
      <c r="AS943" s="304"/>
    </row>
    <row r="944" spans="1:50" ht="15.75" customHeight="1" x14ac:dyDescent="0.3">
      <c r="A944" s="192"/>
      <c r="AC944" s="95"/>
      <c r="AD944" s="394" t="s">
        <v>670</v>
      </c>
      <c r="AE944" s="397"/>
      <c r="AF944" s="397"/>
      <c r="AG944" s="397"/>
      <c r="AH944" s="397"/>
      <c r="AI944" s="397"/>
      <c r="AJ944" s="397"/>
      <c r="AK944" s="397"/>
      <c r="AL944" s="397"/>
      <c r="AM944" s="397"/>
      <c r="AN944" s="397"/>
      <c r="AO944" s="397"/>
      <c r="AP944" s="397"/>
      <c r="AQ944" s="397"/>
      <c r="AS944" s="304"/>
    </row>
    <row r="945" spans="1:48" ht="15.75" customHeight="1" x14ac:dyDescent="0.3">
      <c r="A945" s="192"/>
      <c r="AC945" s="95"/>
      <c r="AS945" s="304"/>
    </row>
    <row r="946" spans="1:48" ht="15.75" customHeight="1" thickBot="1" x14ac:dyDescent="0.35">
      <c r="A946" s="192"/>
      <c r="AC946" s="95"/>
      <c r="AD946" s="395">
        <f>$A$5</f>
        <v>2018</v>
      </c>
      <c r="AE946" s="397"/>
      <c r="AF946" s="397"/>
      <c r="AG946" s="397"/>
      <c r="AH946" s="397"/>
      <c r="AI946" s="397"/>
      <c r="AJ946" s="397"/>
      <c r="AK946" s="397"/>
      <c r="AL946" s="397"/>
      <c r="AM946" s="397"/>
      <c r="AN946" s="397"/>
      <c r="AO946" s="397"/>
      <c r="AP946" s="397"/>
      <c r="AQ946" s="397"/>
      <c r="AS946" s="304"/>
    </row>
    <row r="947" spans="1:48" ht="15.75" customHeight="1" x14ac:dyDescent="0.3">
      <c r="A947" s="188"/>
      <c r="B947" s="387" t="s">
        <v>716</v>
      </c>
      <c r="C947" s="387"/>
      <c r="D947" s="387"/>
      <c r="E947" s="387"/>
      <c r="F947" s="387"/>
      <c r="G947" s="387"/>
      <c r="H947" s="387"/>
      <c r="I947" s="387"/>
      <c r="J947" s="387"/>
      <c r="K947" s="387"/>
      <c r="L947" s="387"/>
      <c r="M947" s="387"/>
      <c r="N947" s="387"/>
      <c r="O947" s="387"/>
      <c r="P947" s="387"/>
      <c r="Q947" s="177" t="str">
        <f>+Q1</f>
        <v xml:space="preserve">PRINTED:  </v>
      </c>
      <c r="R947" s="178">
        <f ca="1">+R1</f>
        <v>44894.658168518516</v>
      </c>
      <c r="AC947" s="95"/>
      <c r="AD947" s="394" t="s">
        <v>717</v>
      </c>
      <c r="AE947" s="396"/>
      <c r="AF947" s="396"/>
      <c r="AG947" s="396"/>
      <c r="AH947" s="396"/>
      <c r="AI947" s="396"/>
      <c r="AJ947" s="396"/>
      <c r="AK947" s="396"/>
      <c r="AL947" s="396"/>
      <c r="AM947" s="396"/>
      <c r="AN947" s="396"/>
      <c r="AO947" s="396"/>
      <c r="AP947" s="396"/>
      <c r="AQ947" s="396"/>
      <c r="AR947" s="182"/>
      <c r="AS947" s="304"/>
    </row>
    <row r="948" spans="1:48" ht="16.5" customHeight="1" x14ac:dyDescent="0.3">
      <c r="A948" s="189"/>
      <c r="B948" s="394" t="str">
        <f>+A8</f>
        <v>Revised:  11/30/2017</v>
      </c>
      <c r="C948" s="394"/>
      <c r="D948" s="394"/>
      <c r="E948" s="394"/>
      <c r="F948" s="394"/>
      <c r="G948" s="394"/>
      <c r="H948" s="394"/>
      <c r="I948" s="394"/>
      <c r="J948" s="394"/>
      <c r="K948" s="394"/>
      <c r="L948" s="394"/>
      <c r="M948" s="394"/>
      <c r="N948" s="394"/>
      <c r="O948" s="394"/>
      <c r="P948" s="394"/>
      <c r="Q948" s="180"/>
      <c r="R948" s="306"/>
      <c r="AC948" s="95"/>
      <c r="AK948" s="190"/>
      <c r="AS948" s="304"/>
    </row>
    <row r="949" spans="1:48" ht="15.75" customHeight="1" thickBot="1" x14ac:dyDescent="0.35">
      <c r="A949" s="189"/>
      <c r="B949" s="394" t="s">
        <v>670</v>
      </c>
      <c r="C949" s="394"/>
      <c r="D949" s="394"/>
      <c r="E949" s="394"/>
      <c r="F949" s="394"/>
      <c r="G949" s="394"/>
      <c r="H949" s="394"/>
      <c r="I949" s="394"/>
      <c r="J949" s="394"/>
      <c r="K949" s="394"/>
      <c r="L949" s="394"/>
      <c r="M949" s="394"/>
      <c r="N949" s="394"/>
      <c r="O949" s="394"/>
      <c r="P949" s="394"/>
      <c r="Q949" s="180"/>
      <c r="R949" s="306"/>
      <c r="AC949" s="95"/>
      <c r="AD949" s="191" t="s">
        <v>677</v>
      </c>
      <c r="AE949" s="191" t="s">
        <v>678</v>
      </c>
      <c r="AF949" s="191" t="s">
        <v>679</v>
      </c>
      <c r="AG949" s="191" t="s">
        <v>680</v>
      </c>
      <c r="AH949" s="191" t="s">
        <v>644</v>
      </c>
      <c r="AI949" s="191" t="s">
        <v>681</v>
      </c>
      <c r="AJ949" s="191" t="s">
        <v>682</v>
      </c>
      <c r="AK949" s="191" t="s">
        <v>683</v>
      </c>
      <c r="AL949" s="191" t="s">
        <v>684</v>
      </c>
      <c r="AM949" s="191" t="s">
        <v>685</v>
      </c>
      <c r="AN949" s="191" t="s">
        <v>686</v>
      </c>
      <c r="AO949" s="191" t="s">
        <v>687</v>
      </c>
      <c r="AP949" s="191" t="s">
        <v>688</v>
      </c>
      <c r="AQ949" s="191" t="s">
        <v>689</v>
      </c>
      <c r="AR949" s="191" t="s">
        <v>638</v>
      </c>
      <c r="AS949" s="209" t="s">
        <v>641</v>
      </c>
    </row>
    <row r="950" spans="1:48" ht="15.75" customHeight="1" x14ac:dyDescent="0.3">
      <c r="A950" s="189"/>
      <c r="B950" s="180"/>
      <c r="C950" s="180"/>
      <c r="D950" s="180"/>
      <c r="E950" s="180"/>
      <c r="F950" s="180"/>
      <c r="G950" s="180"/>
      <c r="H950" s="180"/>
      <c r="I950" s="180"/>
      <c r="J950" s="180"/>
      <c r="K950" s="180"/>
      <c r="L950" s="180"/>
      <c r="M950" s="180"/>
      <c r="N950" s="180"/>
      <c r="O950" s="180"/>
      <c r="P950" s="180"/>
      <c r="Q950" s="180"/>
      <c r="R950" s="306"/>
      <c r="AC950" s="95"/>
      <c r="AD950" s="180"/>
      <c r="AE950" s="180"/>
      <c r="AF950" s="180"/>
      <c r="AG950" s="180"/>
      <c r="AH950" s="182" t="s">
        <v>718</v>
      </c>
      <c r="AI950" s="180"/>
      <c r="AJ950" s="180"/>
      <c r="AK950" s="180"/>
      <c r="AL950" s="180"/>
      <c r="AM950" s="180"/>
      <c r="AN950" s="180"/>
      <c r="AO950" s="180"/>
      <c r="AP950" s="180"/>
      <c r="AQ950" s="180"/>
      <c r="AR950" s="180"/>
      <c r="AS950" s="210"/>
    </row>
    <row r="951" spans="1:48" ht="15.75" customHeight="1" x14ac:dyDescent="0.3">
      <c r="A951" s="189"/>
      <c r="B951" s="395">
        <f>A5</f>
        <v>2018</v>
      </c>
      <c r="C951" s="395"/>
      <c r="D951" s="395"/>
      <c r="E951" s="395"/>
      <c r="F951" s="395"/>
      <c r="G951" s="395"/>
      <c r="H951" s="395"/>
      <c r="I951" s="395"/>
      <c r="J951" s="395"/>
      <c r="K951" s="395"/>
      <c r="L951" s="395"/>
      <c r="M951" s="395"/>
      <c r="N951" s="395"/>
      <c r="O951" s="395"/>
      <c r="P951" s="395"/>
      <c r="Q951" s="180"/>
      <c r="R951" s="306"/>
      <c r="S951" s="180"/>
      <c r="AC951" s="211" t="s">
        <v>719</v>
      </c>
      <c r="AD951" s="212">
        <v>1.7000000000000001E-2</v>
      </c>
      <c r="AE951" s="212">
        <v>1.7000000000000001E-2</v>
      </c>
      <c r="AF951" s="212">
        <v>1.7000000000000001E-2</v>
      </c>
      <c r="AG951" s="212">
        <v>1.7000000000000001E-2</v>
      </c>
      <c r="AH951" s="212"/>
      <c r="AI951" s="212"/>
      <c r="AJ951" s="212"/>
      <c r="AK951" s="212"/>
      <c r="AL951" s="212"/>
      <c r="AM951" s="212"/>
      <c r="AN951" s="212"/>
      <c r="AO951" s="212"/>
      <c r="AP951" s="212"/>
      <c r="AQ951" s="212"/>
      <c r="AR951" s="212"/>
      <c r="AS951" s="213"/>
    </row>
    <row r="952" spans="1:48" ht="15.75" customHeight="1" x14ac:dyDescent="0.3">
      <c r="A952" s="189"/>
      <c r="B952" s="394" t="s">
        <v>717</v>
      </c>
      <c r="C952" s="394"/>
      <c r="D952" s="394"/>
      <c r="E952" s="394"/>
      <c r="F952" s="394"/>
      <c r="G952" s="394"/>
      <c r="H952" s="394"/>
      <c r="I952" s="394"/>
      <c r="J952" s="394"/>
      <c r="K952" s="394"/>
      <c r="L952" s="394"/>
      <c r="M952" s="394"/>
      <c r="N952" s="394"/>
      <c r="O952" s="394"/>
      <c r="P952" s="394"/>
      <c r="Q952" s="180"/>
      <c r="R952" s="306"/>
      <c r="S952" s="180"/>
      <c r="AC952" s="211" t="s">
        <v>720</v>
      </c>
      <c r="AD952" s="212"/>
      <c r="AE952" s="212">
        <v>0.03</v>
      </c>
      <c r="AF952" s="212"/>
      <c r="AG952" s="212"/>
      <c r="AH952" s="212"/>
      <c r="AI952" s="212"/>
      <c r="AJ952" s="212"/>
      <c r="AK952" s="212"/>
      <c r="AL952" s="212"/>
      <c r="AM952" s="212">
        <v>0.03</v>
      </c>
      <c r="AN952" s="212">
        <v>0.03</v>
      </c>
      <c r="AO952" s="212">
        <v>0.03</v>
      </c>
      <c r="AP952" s="212">
        <v>0.03</v>
      </c>
      <c r="AQ952" s="212">
        <v>0.03</v>
      </c>
      <c r="AR952" s="212">
        <v>0.03</v>
      </c>
      <c r="AS952" s="213"/>
    </row>
    <row r="953" spans="1:48" ht="15.75" customHeight="1" x14ac:dyDescent="0.3">
      <c r="A953" s="189"/>
      <c r="B953" s="180"/>
      <c r="C953" s="180"/>
      <c r="D953" s="180"/>
      <c r="E953" s="180"/>
      <c r="F953" s="180"/>
      <c r="G953" s="180"/>
      <c r="H953" s="180"/>
      <c r="I953" s="180"/>
      <c r="J953" s="180"/>
      <c r="K953" s="180"/>
      <c r="L953" s="180"/>
      <c r="M953" s="180"/>
      <c r="N953" s="180"/>
      <c r="O953" s="180"/>
      <c r="P953" s="180"/>
      <c r="Q953" s="180"/>
      <c r="R953" s="306"/>
      <c r="S953" s="180"/>
      <c r="AC953" s="211" t="s">
        <v>721</v>
      </c>
      <c r="AD953" s="212"/>
      <c r="AE953" s="212"/>
      <c r="AF953" s="212">
        <v>0.03</v>
      </c>
      <c r="AG953" s="212">
        <v>0.03</v>
      </c>
      <c r="AH953" s="212"/>
      <c r="AI953" s="212"/>
      <c r="AJ953" s="212"/>
      <c r="AK953" s="212"/>
      <c r="AL953" s="212"/>
      <c r="AM953" s="212"/>
      <c r="AN953" s="212"/>
      <c r="AO953" s="212"/>
      <c r="AP953" s="212"/>
      <c r="AQ953" s="212"/>
      <c r="AR953" s="212"/>
      <c r="AS953" s="213"/>
    </row>
    <row r="954" spans="1:48" ht="15.75" customHeight="1" thickBot="1" x14ac:dyDescent="0.35">
      <c r="A954" s="189" t="s">
        <v>647</v>
      </c>
      <c r="B954" s="191" t="s">
        <v>677</v>
      </c>
      <c r="C954" s="191" t="s">
        <v>678</v>
      </c>
      <c r="D954" s="191" t="s">
        <v>679</v>
      </c>
      <c r="E954" s="191" t="s">
        <v>680</v>
      </c>
      <c r="F954" s="191" t="s">
        <v>644</v>
      </c>
      <c r="G954" s="191" t="s">
        <v>644</v>
      </c>
      <c r="H954" s="191" t="s">
        <v>681</v>
      </c>
      <c r="I954" s="191" t="s">
        <v>682</v>
      </c>
      <c r="J954" s="191" t="s">
        <v>683</v>
      </c>
      <c r="K954" s="191" t="s">
        <v>684</v>
      </c>
      <c r="L954" s="191" t="s">
        <v>685</v>
      </c>
      <c r="M954" s="191" t="s">
        <v>686</v>
      </c>
      <c r="N954" s="191" t="s">
        <v>687</v>
      </c>
      <c r="O954" s="191" t="s">
        <v>688</v>
      </c>
      <c r="P954" s="191" t="s">
        <v>689</v>
      </c>
      <c r="Q954" s="191" t="s">
        <v>638</v>
      </c>
      <c r="R954" s="209" t="s">
        <v>641</v>
      </c>
      <c r="S954" s="182"/>
      <c r="AC954" s="211" t="s">
        <v>137</v>
      </c>
      <c r="AD954" s="212"/>
      <c r="AE954" s="212"/>
      <c r="AF954" s="212"/>
      <c r="AG954" s="212"/>
      <c r="AH954" s="212"/>
      <c r="AI954" s="212">
        <v>0.03</v>
      </c>
      <c r="AJ954" s="212"/>
      <c r="AK954" s="212"/>
      <c r="AL954" s="212"/>
      <c r="AM954" s="212"/>
      <c r="AN954" s="212"/>
      <c r="AO954" s="212"/>
      <c r="AP954" s="212"/>
      <c r="AQ954" s="212"/>
      <c r="AR954" s="212"/>
      <c r="AS954" s="213"/>
    </row>
    <row r="955" spans="1:48" ht="15.75" customHeight="1" x14ac:dyDescent="0.3">
      <c r="A955" s="189"/>
      <c r="B955" s="180"/>
      <c r="C955" s="180"/>
      <c r="D955" s="180"/>
      <c r="E955" s="180"/>
      <c r="F955" s="182" t="s">
        <v>127</v>
      </c>
      <c r="G955" s="182" t="s">
        <v>653</v>
      </c>
      <c r="H955" s="180"/>
      <c r="I955" s="180"/>
      <c r="J955" s="180"/>
      <c r="K955" s="180"/>
      <c r="L955" s="180"/>
      <c r="M955" s="180"/>
      <c r="N955" s="180"/>
      <c r="O955" s="180"/>
      <c r="P955" s="180"/>
      <c r="Q955" s="180"/>
      <c r="R955" s="213" t="s">
        <v>722</v>
      </c>
      <c r="S955" s="182"/>
      <c r="AC955" s="211" t="s">
        <v>723</v>
      </c>
      <c r="AD955" s="212">
        <v>0.03</v>
      </c>
      <c r="AE955" s="212"/>
      <c r="AF955" s="212"/>
      <c r="AG955" s="212"/>
      <c r="AH955" s="212"/>
      <c r="AI955" s="212"/>
      <c r="AJ955" s="212">
        <v>0.03</v>
      </c>
      <c r="AK955" s="212">
        <v>0.03</v>
      </c>
      <c r="AL955" s="212">
        <v>0.03</v>
      </c>
      <c r="AM955" s="212"/>
      <c r="AN955" s="212"/>
      <c r="AO955" s="212"/>
      <c r="AP955" s="212"/>
      <c r="AQ955" s="212"/>
      <c r="AR955" s="212"/>
      <c r="AS955" s="213"/>
    </row>
    <row r="956" spans="1:48" ht="15.75" customHeight="1" x14ac:dyDescent="0.3">
      <c r="A956" s="189" t="s">
        <v>724</v>
      </c>
      <c r="B956" s="214">
        <v>957</v>
      </c>
      <c r="C956" s="214">
        <v>122</v>
      </c>
      <c r="D956" s="214">
        <v>128</v>
      </c>
      <c r="E956" s="214">
        <v>219</v>
      </c>
      <c r="F956" s="214"/>
      <c r="G956" s="214"/>
      <c r="H956" s="214">
        <v>97</v>
      </c>
      <c r="I956" s="214">
        <v>160</v>
      </c>
      <c r="J956" s="214">
        <v>250</v>
      </c>
      <c r="K956" s="214">
        <v>260</v>
      </c>
      <c r="L956" s="214">
        <v>100</v>
      </c>
      <c r="M956" s="214">
        <v>118</v>
      </c>
      <c r="N956" s="214">
        <v>250</v>
      </c>
      <c r="O956" s="214">
        <v>190</v>
      </c>
      <c r="P956" s="214">
        <v>340</v>
      </c>
      <c r="Q956" s="214">
        <v>450</v>
      </c>
      <c r="R956" s="213" t="s">
        <v>658</v>
      </c>
      <c r="S956" s="182"/>
      <c r="AC956" s="211" t="s">
        <v>641</v>
      </c>
      <c r="AD956" s="215">
        <f>SUM(AD951:AD955)</f>
        <v>4.7E-2</v>
      </c>
      <c r="AE956" s="215">
        <f t="shared" ref="AE956:AR956" si="310">SUM(AE951:AE955)</f>
        <v>4.7E-2</v>
      </c>
      <c r="AF956" s="215">
        <f t="shared" si="310"/>
        <v>4.7E-2</v>
      </c>
      <c r="AG956" s="215">
        <f t="shared" si="310"/>
        <v>4.7E-2</v>
      </c>
      <c r="AH956" s="215">
        <f t="shared" si="310"/>
        <v>0</v>
      </c>
      <c r="AI956" s="215">
        <f t="shared" si="310"/>
        <v>0.03</v>
      </c>
      <c r="AJ956" s="215">
        <f t="shared" si="310"/>
        <v>0.03</v>
      </c>
      <c r="AK956" s="215">
        <f t="shared" si="310"/>
        <v>0.03</v>
      </c>
      <c r="AL956" s="215">
        <f t="shared" si="310"/>
        <v>0.03</v>
      </c>
      <c r="AM956" s="215">
        <f t="shared" si="310"/>
        <v>0.03</v>
      </c>
      <c r="AN956" s="215">
        <f t="shared" si="310"/>
        <v>0.03</v>
      </c>
      <c r="AO956" s="215">
        <f t="shared" si="310"/>
        <v>0.03</v>
      </c>
      <c r="AP956" s="215">
        <f t="shared" si="310"/>
        <v>0.03</v>
      </c>
      <c r="AQ956" s="215">
        <f t="shared" si="310"/>
        <v>0.03</v>
      </c>
      <c r="AR956" s="215">
        <f t="shared" si="310"/>
        <v>0.03</v>
      </c>
      <c r="AS956" s="213"/>
      <c r="AU956" s="192" t="s">
        <v>725</v>
      </c>
      <c r="AV956" s="4" t="s">
        <v>726</v>
      </c>
    </row>
    <row r="957" spans="1:48" ht="15.75" customHeight="1" x14ac:dyDescent="0.3">
      <c r="A957" s="189"/>
      <c r="B957" s="182" t="s">
        <v>666</v>
      </c>
      <c r="C957" s="182" t="s">
        <v>666</v>
      </c>
      <c r="D957" s="182" t="s">
        <v>666</v>
      </c>
      <c r="E957" s="182" t="s">
        <v>666</v>
      </c>
      <c r="F957" s="182" t="s">
        <v>666</v>
      </c>
      <c r="G957" s="182" t="s">
        <v>666</v>
      </c>
      <c r="H957" s="182" t="s">
        <v>666</v>
      </c>
      <c r="I957" s="182" t="s">
        <v>666</v>
      </c>
      <c r="J957" s="182" t="s">
        <v>666</v>
      </c>
      <c r="K957" s="182" t="s">
        <v>666</v>
      </c>
      <c r="L957" s="182" t="s">
        <v>666</v>
      </c>
      <c r="M957" s="182" t="s">
        <v>666</v>
      </c>
      <c r="N957" s="182" t="s">
        <v>666</v>
      </c>
      <c r="O957" s="182" t="s">
        <v>666</v>
      </c>
      <c r="P957" s="182" t="s">
        <v>666</v>
      </c>
      <c r="Q957" s="182" t="s">
        <v>666</v>
      </c>
      <c r="R957" s="213" t="s">
        <v>714</v>
      </c>
      <c r="S957" s="182"/>
      <c r="T957" s="182"/>
      <c r="AC957" s="189" t="s">
        <v>666</v>
      </c>
      <c r="AD957" s="182" t="s">
        <v>666</v>
      </c>
      <c r="AE957" s="182" t="s">
        <v>666</v>
      </c>
      <c r="AF957" s="182" t="s">
        <v>666</v>
      </c>
      <c r="AG957" s="182" t="s">
        <v>666</v>
      </c>
      <c r="AH957" s="182" t="s">
        <v>666</v>
      </c>
      <c r="AI957" s="182" t="s">
        <v>666</v>
      </c>
      <c r="AJ957" s="182" t="s">
        <v>666</v>
      </c>
      <c r="AK957" s="182" t="s">
        <v>666</v>
      </c>
      <c r="AL957" s="182" t="s">
        <v>666</v>
      </c>
      <c r="AM957" s="182" t="s">
        <v>666</v>
      </c>
      <c r="AN957" s="182" t="s">
        <v>666</v>
      </c>
      <c r="AO957" s="182" t="s">
        <v>666</v>
      </c>
      <c r="AP957" s="182" t="s">
        <v>666</v>
      </c>
      <c r="AQ957" s="182" t="s">
        <v>666</v>
      </c>
      <c r="AR957" s="182" t="s">
        <v>666</v>
      </c>
      <c r="AS957" s="213" t="s">
        <v>666</v>
      </c>
    </row>
    <row r="958" spans="1:48" ht="15.75" customHeight="1" x14ac:dyDescent="0.3">
      <c r="A958" s="192" t="s">
        <v>8</v>
      </c>
      <c r="B958" s="180">
        <f>ROUND((B901*$B$956)/1000,0)</f>
        <v>84992</v>
      </c>
      <c r="C958" s="180">
        <f t="shared" ref="C958:C969" si="311">ROUND((C901*$C$956)/1000,0)</f>
        <v>10823</v>
      </c>
      <c r="D958" s="180">
        <f t="shared" ref="D958:D969" si="312">ROUND((D901*$D$956)/1000,0)</f>
        <v>11343</v>
      </c>
      <c r="E958" s="180">
        <f t="shared" ref="E958:E969" si="313">ROUND((E901*$E$956)/1000,0)</f>
        <v>19172</v>
      </c>
      <c r="F958" s="180">
        <f>(F901*((T901-1526.8)/0.7702))/1000</f>
        <v>4530.7095098459995</v>
      </c>
      <c r="G958" s="180">
        <f t="shared" ref="G958:G969" si="314">(G901*((T901-1591.4)/0.6635))/1000</f>
        <v>0</v>
      </c>
      <c r="H958" s="180">
        <f t="shared" ref="H958:H969" si="315">ROUND((H901*$H$956)/1000,0)</f>
        <v>4105</v>
      </c>
      <c r="I958" s="180">
        <f t="shared" ref="I958:I969" si="316">ROUND((I901*$I$956)/1000,0)</f>
        <v>3245</v>
      </c>
      <c r="J958" s="180">
        <f t="shared" ref="J958:J969" si="317">ROUND((J901*$J$956)/1000,0)</f>
        <v>5000</v>
      </c>
      <c r="K958" s="180">
        <f t="shared" ref="K958:K969" si="318">ROUND((K901*$K$956)/1000,0)</f>
        <v>5140</v>
      </c>
      <c r="L958" s="180">
        <f t="shared" ref="L958:L969" si="319">ROUND((L901*$L$956)/1000,0)</f>
        <v>1833</v>
      </c>
      <c r="M958" s="180">
        <f t="shared" ref="M958:M969" si="320">ROUND((M901*$M$956)/1000,0)</f>
        <v>2160</v>
      </c>
      <c r="N958" s="180">
        <f t="shared" ref="N958:N969" si="321">ROUND((N901*$N$956)/1000,0)</f>
        <v>4475</v>
      </c>
      <c r="O958" s="180">
        <f t="shared" ref="O958:O969" si="322">ROUND((O901*$O$956)/1000,0)</f>
        <v>748</v>
      </c>
      <c r="P958" s="180">
        <f t="shared" ref="P958:P969" si="323">ROUND((P901*$P$956)/1000,0)</f>
        <v>902</v>
      </c>
      <c r="Q958" s="180">
        <f t="shared" ref="Q958:Q969" si="324">ROUND((Q901*$Q$956)/1000,0)</f>
        <v>1770</v>
      </c>
      <c r="R958" s="216">
        <f>(SUM(B958:Q958))</f>
        <v>160238.709509846</v>
      </c>
      <c r="S958" s="217"/>
      <c r="AC958" s="211" t="s">
        <v>8</v>
      </c>
      <c r="AD958" s="180">
        <f>ROUND(B958*$AD$956, 0)</f>
        <v>3995</v>
      </c>
      <c r="AE958" s="180">
        <f>ROUND(C958*$AE$956,0)</f>
        <v>509</v>
      </c>
      <c r="AF958" s="180">
        <f>ROUND(D958*$AF$956,0)</f>
        <v>533</v>
      </c>
      <c r="AG958" s="180">
        <f>ROUND(E958*$AG$956,0)</f>
        <v>901</v>
      </c>
      <c r="AH958" s="180">
        <f>ROUND(F958*$AH$956,0)</f>
        <v>0</v>
      </c>
      <c r="AI958" s="180">
        <f>ROUND(H958*$AI$956,0)</f>
        <v>123</v>
      </c>
      <c r="AJ958" s="180">
        <f>ROUND(I958*$AJ$956,0)</f>
        <v>97</v>
      </c>
      <c r="AK958" s="180">
        <f>ROUND(J958*$AK$956,0)</f>
        <v>150</v>
      </c>
      <c r="AL958" s="180">
        <f>ROUND(K958*$AL$956,0)</f>
        <v>154</v>
      </c>
      <c r="AM958" s="180">
        <f>ROUND(L958*$AM$956,0)</f>
        <v>55</v>
      </c>
      <c r="AN958" s="180">
        <f>ROUND(M958*$AN$956,0)</f>
        <v>65</v>
      </c>
      <c r="AO958" s="180">
        <f>ROUND(N958*$AO$956,0)</f>
        <v>134</v>
      </c>
      <c r="AP958" s="180">
        <f>ROUND(O958*$AP$956,0)</f>
        <v>22</v>
      </c>
      <c r="AQ958" s="180">
        <f>ROUND(P958*$AQ$956,0)</f>
        <v>27</v>
      </c>
      <c r="AR958" s="180">
        <f>ROUND(Q958*$AR$956,0)</f>
        <v>53</v>
      </c>
      <c r="AS958" s="210">
        <f>SUM(AD958:AR958)</f>
        <v>6818</v>
      </c>
      <c r="AU958" s="218">
        <f>AS958/R958</f>
        <v>4.2549019652339766E-2</v>
      </c>
    </row>
    <row r="959" spans="1:48" ht="15.75" customHeight="1" x14ac:dyDescent="0.3">
      <c r="A959" s="192" t="s">
        <v>9</v>
      </c>
      <c r="B959" s="180">
        <f t="shared" ref="B959:B969" si="325">ROUND((B902*$B$956)/1000,0)</f>
        <v>105646</v>
      </c>
      <c r="C959" s="180">
        <f t="shared" si="311"/>
        <v>13450</v>
      </c>
      <c r="D959" s="180">
        <f t="shared" si="312"/>
        <v>14093</v>
      </c>
      <c r="E959" s="180">
        <f t="shared" si="313"/>
        <v>23836</v>
      </c>
      <c r="F959" s="180">
        <f t="shared" ref="F959:F969" si="326">(F902*((T902-1526.8)/0.7702))/1000</f>
        <v>7399.789123432849</v>
      </c>
      <c r="G959" s="180">
        <f>(G902*((T902-1591.4)/0.6635))/1000</f>
        <v>0</v>
      </c>
      <c r="H959" s="180">
        <f t="shared" si="315"/>
        <v>4858</v>
      </c>
      <c r="I959" s="180">
        <f t="shared" si="316"/>
        <v>3386</v>
      </c>
      <c r="J959" s="180">
        <f t="shared" si="317"/>
        <v>5198</v>
      </c>
      <c r="K959" s="180">
        <f t="shared" si="318"/>
        <v>5232</v>
      </c>
      <c r="L959" s="180">
        <f t="shared" si="319"/>
        <v>1839</v>
      </c>
      <c r="M959" s="180">
        <f t="shared" si="320"/>
        <v>2168</v>
      </c>
      <c r="N959" s="180">
        <f t="shared" si="321"/>
        <v>4477</v>
      </c>
      <c r="O959" s="180">
        <f t="shared" si="322"/>
        <v>764</v>
      </c>
      <c r="P959" s="180">
        <f t="shared" si="323"/>
        <v>946</v>
      </c>
      <c r="Q959" s="180">
        <f t="shared" si="324"/>
        <v>1809</v>
      </c>
      <c r="R959" s="216">
        <f>(SUM(B959:Q959))</f>
        <v>195101.78912343286</v>
      </c>
      <c r="S959" s="217"/>
      <c r="AC959" s="211" t="s">
        <v>9</v>
      </c>
      <c r="AD959" s="180">
        <f t="shared" ref="AD959:AD969" si="327">ROUND(B959*$AD$956, 0)</f>
        <v>4965</v>
      </c>
      <c r="AE959" s="180">
        <f t="shared" ref="AE959:AE969" si="328">ROUND(C959*$AE$956,0)</f>
        <v>632</v>
      </c>
      <c r="AF959" s="180">
        <f t="shared" ref="AF959:AF969" si="329">ROUND(D959*$AF$956,0)</f>
        <v>662</v>
      </c>
      <c r="AG959" s="180">
        <f t="shared" ref="AG959:AG969" si="330">ROUND(E959*$AG$956,0)</f>
        <v>1120</v>
      </c>
      <c r="AH959" s="180">
        <f t="shared" ref="AH959:AH969" si="331">ROUND(F959*$AH$956,0)</f>
        <v>0</v>
      </c>
      <c r="AI959" s="180">
        <f t="shared" ref="AI959:AI969" si="332">ROUND(H959*$AI$956,0)</f>
        <v>146</v>
      </c>
      <c r="AJ959" s="180">
        <f t="shared" ref="AJ959:AJ969" si="333">ROUND(I959*$AJ$956,0)</f>
        <v>102</v>
      </c>
      <c r="AK959" s="180">
        <f t="shared" ref="AK959:AK969" si="334">ROUND(J959*$AK$956,0)</f>
        <v>156</v>
      </c>
      <c r="AL959" s="180">
        <f t="shared" ref="AL959:AL969" si="335">ROUND(K959*$AL$956,0)</f>
        <v>157</v>
      </c>
      <c r="AM959" s="180">
        <f t="shared" ref="AM959:AM969" si="336">ROUND(L959*$AM$956,0)</f>
        <v>55</v>
      </c>
      <c r="AN959" s="180">
        <f t="shared" ref="AN959:AN969" si="337">ROUND(M959*$AN$956,0)</f>
        <v>65</v>
      </c>
      <c r="AO959" s="180">
        <f t="shared" ref="AO959:AO969" si="338">ROUND(N959*$AO$956,0)</f>
        <v>134</v>
      </c>
      <c r="AP959" s="180">
        <f t="shared" ref="AP959:AP969" si="339">ROUND(O959*$AP$956,0)</f>
        <v>23</v>
      </c>
      <c r="AQ959" s="180">
        <f t="shared" ref="AQ959:AQ969" si="340">ROUND(P959*$AQ$956,0)</f>
        <v>28</v>
      </c>
      <c r="AR959" s="180">
        <f t="shared" ref="AR959:AR969" si="341">ROUND(Q959*$AR$956,0)</f>
        <v>54</v>
      </c>
      <c r="AS959" s="210">
        <f t="shared" ref="AS959:AS969" si="342">SUM(AD959:AR959)</f>
        <v>8299</v>
      </c>
      <c r="AU959" s="218">
        <f t="shared" ref="AU959:AU971" si="343">AS959/R959</f>
        <v>4.2536770356060474E-2</v>
      </c>
    </row>
    <row r="960" spans="1:48" ht="15.75" customHeight="1" x14ac:dyDescent="0.3">
      <c r="A960" s="192" t="s">
        <v>10</v>
      </c>
      <c r="B960" s="180">
        <f t="shared" si="325"/>
        <v>173120</v>
      </c>
      <c r="C960" s="180">
        <f t="shared" si="311"/>
        <v>22036</v>
      </c>
      <c r="D960" s="180">
        <f t="shared" si="312"/>
        <v>23087</v>
      </c>
      <c r="E960" s="180">
        <f t="shared" si="313"/>
        <v>38411</v>
      </c>
      <c r="F960" s="180">
        <f t="shared" si="326"/>
        <v>12274.985184303623</v>
      </c>
      <c r="G960" s="180">
        <f t="shared" si="314"/>
        <v>0</v>
      </c>
      <c r="H960" s="180">
        <f t="shared" si="315"/>
        <v>8534</v>
      </c>
      <c r="I960" s="180">
        <f t="shared" si="316"/>
        <v>4851</v>
      </c>
      <c r="J960" s="180">
        <f t="shared" si="317"/>
        <v>6394</v>
      </c>
      <c r="K960" s="180">
        <f t="shared" si="318"/>
        <v>5813</v>
      </c>
      <c r="L960" s="180">
        <f t="shared" si="319"/>
        <v>1954</v>
      </c>
      <c r="M960" s="180">
        <f t="shared" si="320"/>
        <v>2302</v>
      </c>
      <c r="N960" s="180">
        <f t="shared" si="321"/>
        <v>4674</v>
      </c>
      <c r="O960" s="180">
        <f t="shared" si="322"/>
        <v>785</v>
      </c>
      <c r="P960" s="180">
        <f t="shared" si="323"/>
        <v>1549</v>
      </c>
      <c r="Q960" s="180">
        <f t="shared" si="324"/>
        <v>1858</v>
      </c>
      <c r="R960" s="216">
        <f t="shared" ref="R960:R969" si="344">(SUM(B960:Q960))</f>
        <v>307642.9851843036</v>
      </c>
      <c r="S960" s="217"/>
      <c r="AC960" s="211" t="s">
        <v>10</v>
      </c>
      <c r="AD960" s="180">
        <f t="shared" si="327"/>
        <v>8137</v>
      </c>
      <c r="AE960" s="180">
        <f t="shared" si="328"/>
        <v>1036</v>
      </c>
      <c r="AF960" s="180">
        <f t="shared" si="329"/>
        <v>1085</v>
      </c>
      <c r="AG960" s="180">
        <f t="shared" si="330"/>
        <v>1805</v>
      </c>
      <c r="AH960" s="180">
        <f t="shared" si="331"/>
        <v>0</v>
      </c>
      <c r="AI960" s="180">
        <f t="shared" si="332"/>
        <v>256</v>
      </c>
      <c r="AJ960" s="180">
        <f t="shared" si="333"/>
        <v>146</v>
      </c>
      <c r="AK960" s="180">
        <f t="shared" si="334"/>
        <v>192</v>
      </c>
      <c r="AL960" s="180">
        <f t="shared" si="335"/>
        <v>174</v>
      </c>
      <c r="AM960" s="180">
        <f t="shared" si="336"/>
        <v>59</v>
      </c>
      <c r="AN960" s="180">
        <f t="shared" si="337"/>
        <v>69</v>
      </c>
      <c r="AO960" s="180">
        <f t="shared" si="338"/>
        <v>140</v>
      </c>
      <c r="AP960" s="180">
        <f t="shared" si="339"/>
        <v>24</v>
      </c>
      <c r="AQ960" s="180">
        <f t="shared" si="340"/>
        <v>46</v>
      </c>
      <c r="AR960" s="180">
        <f t="shared" si="341"/>
        <v>56</v>
      </c>
      <c r="AS960" s="210">
        <f t="shared" si="342"/>
        <v>13225</v>
      </c>
      <c r="AU960" s="218">
        <f t="shared" si="343"/>
        <v>4.2988140919504897E-2</v>
      </c>
    </row>
    <row r="961" spans="1:47" ht="15.75" customHeight="1" x14ac:dyDescent="0.3">
      <c r="A961" s="192" t="s">
        <v>12</v>
      </c>
      <c r="B961" s="180">
        <f t="shared" si="325"/>
        <v>166648</v>
      </c>
      <c r="C961" s="180">
        <f t="shared" si="311"/>
        <v>21200</v>
      </c>
      <c r="D961" s="180">
        <f t="shared" si="312"/>
        <v>22198</v>
      </c>
      <c r="E961" s="180">
        <f t="shared" si="313"/>
        <v>36527</v>
      </c>
      <c r="F961" s="180">
        <f t="shared" si="326"/>
        <v>6229.8480595213568</v>
      </c>
      <c r="G961" s="180">
        <f t="shared" si="314"/>
        <v>0</v>
      </c>
      <c r="H961" s="180">
        <f t="shared" si="315"/>
        <v>10284</v>
      </c>
      <c r="I961" s="180">
        <f t="shared" si="316"/>
        <v>6221</v>
      </c>
      <c r="J961" s="180">
        <f t="shared" si="317"/>
        <v>7260</v>
      </c>
      <c r="K961" s="180">
        <f t="shared" si="318"/>
        <v>6603</v>
      </c>
      <c r="L961" s="180">
        <f t="shared" si="319"/>
        <v>1996</v>
      </c>
      <c r="M961" s="180">
        <f t="shared" si="320"/>
        <v>2351</v>
      </c>
      <c r="N961" s="180">
        <f t="shared" si="321"/>
        <v>4714</v>
      </c>
      <c r="O961" s="180">
        <f t="shared" si="322"/>
        <v>785</v>
      </c>
      <c r="P961" s="180">
        <f t="shared" si="323"/>
        <v>1663</v>
      </c>
      <c r="Q961" s="180">
        <f t="shared" si="324"/>
        <v>1857</v>
      </c>
      <c r="R961" s="216">
        <f t="shared" si="344"/>
        <v>296536.84805952135</v>
      </c>
      <c r="S961" s="217"/>
      <c r="AC961" s="211" t="s">
        <v>12</v>
      </c>
      <c r="AD961" s="180">
        <f t="shared" si="327"/>
        <v>7832</v>
      </c>
      <c r="AE961" s="180">
        <f t="shared" si="328"/>
        <v>996</v>
      </c>
      <c r="AF961" s="180">
        <f t="shared" si="329"/>
        <v>1043</v>
      </c>
      <c r="AG961" s="180">
        <f t="shared" si="330"/>
        <v>1717</v>
      </c>
      <c r="AH961" s="180">
        <f t="shared" si="331"/>
        <v>0</v>
      </c>
      <c r="AI961" s="180">
        <f t="shared" si="332"/>
        <v>309</v>
      </c>
      <c r="AJ961" s="180">
        <f t="shared" si="333"/>
        <v>187</v>
      </c>
      <c r="AK961" s="180">
        <f t="shared" si="334"/>
        <v>218</v>
      </c>
      <c r="AL961" s="180">
        <f t="shared" si="335"/>
        <v>198</v>
      </c>
      <c r="AM961" s="180">
        <f t="shared" si="336"/>
        <v>60</v>
      </c>
      <c r="AN961" s="180">
        <f t="shared" si="337"/>
        <v>71</v>
      </c>
      <c r="AO961" s="180">
        <f t="shared" si="338"/>
        <v>141</v>
      </c>
      <c r="AP961" s="180">
        <f t="shared" si="339"/>
        <v>24</v>
      </c>
      <c r="AQ961" s="180">
        <f t="shared" si="340"/>
        <v>50</v>
      </c>
      <c r="AR961" s="180">
        <f t="shared" si="341"/>
        <v>56</v>
      </c>
      <c r="AS961" s="210">
        <f t="shared" si="342"/>
        <v>12902</v>
      </c>
      <c r="AU961" s="218">
        <f t="shared" si="343"/>
        <v>4.3508926746973077E-2</v>
      </c>
    </row>
    <row r="962" spans="1:47" ht="15.75" customHeight="1" x14ac:dyDescent="0.3">
      <c r="A962" s="192" t="s">
        <v>13</v>
      </c>
      <c r="B962" s="180">
        <f t="shared" si="325"/>
        <v>178427</v>
      </c>
      <c r="C962" s="180">
        <f t="shared" si="311"/>
        <v>22694</v>
      </c>
      <c r="D962" s="180">
        <f t="shared" si="312"/>
        <v>23759</v>
      </c>
      <c r="E962" s="180">
        <f t="shared" si="313"/>
        <v>39131</v>
      </c>
      <c r="F962" s="180">
        <f t="shared" si="326"/>
        <v>4028.9678520827219</v>
      </c>
      <c r="G962" s="180">
        <f t="shared" si="314"/>
        <v>0</v>
      </c>
      <c r="H962" s="180">
        <f t="shared" si="315"/>
        <v>11985</v>
      </c>
      <c r="I962" s="180">
        <f t="shared" si="316"/>
        <v>6146</v>
      </c>
      <c r="J962" s="180">
        <f t="shared" si="317"/>
        <v>7440</v>
      </c>
      <c r="K962" s="180">
        <f t="shared" si="318"/>
        <v>6976</v>
      </c>
      <c r="L962" s="180">
        <f t="shared" si="319"/>
        <v>2101</v>
      </c>
      <c r="M962" s="180">
        <f t="shared" si="320"/>
        <v>2474</v>
      </c>
      <c r="N962" s="180">
        <f t="shared" si="321"/>
        <v>4850</v>
      </c>
      <c r="O962" s="180">
        <f t="shared" si="322"/>
        <v>802</v>
      </c>
      <c r="P962" s="180">
        <f t="shared" si="323"/>
        <v>1659</v>
      </c>
      <c r="Q962" s="180">
        <f t="shared" si="324"/>
        <v>1896</v>
      </c>
      <c r="R962" s="216">
        <f t="shared" si="344"/>
        <v>314368.96785208274</v>
      </c>
      <c r="S962" s="217"/>
      <c r="AC962" s="211" t="s">
        <v>13</v>
      </c>
      <c r="AD962" s="180">
        <f t="shared" si="327"/>
        <v>8386</v>
      </c>
      <c r="AE962" s="180">
        <f t="shared" si="328"/>
        <v>1067</v>
      </c>
      <c r="AF962" s="180">
        <f t="shared" si="329"/>
        <v>1117</v>
      </c>
      <c r="AG962" s="180">
        <f t="shared" si="330"/>
        <v>1839</v>
      </c>
      <c r="AH962" s="180">
        <f t="shared" si="331"/>
        <v>0</v>
      </c>
      <c r="AI962" s="180">
        <f t="shared" si="332"/>
        <v>360</v>
      </c>
      <c r="AJ962" s="180">
        <f t="shared" si="333"/>
        <v>184</v>
      </c>
      <c r="AK962" s="180">
        <f t="shared" si="334"/>
        <v>223</v>
      </c>
      <c r="AL962" s="180">
        <f t="shared" si="335"/>
        <v>209</v>
      </c>
      <c r="AM962" s="180">
        <f t="shared" si="336"/>
        <v>63</v>
      </c>
      <c r="AN962" s="180">
        <f t="shared" si="337"/>
        <v>74</v>
      </c>
      <c r="AO962" s="180">
        <f t="shared" si="338"/>
        <v>146</v>
      </c>
      <c r="AP962" s="180">
        <f t="shared" si="339"/>
        <v>24</v>
      </c>
      <c r="AQ962" s="180">
        <f t="shared" si="340"/>
        <v>50</v>
      </c>
      <c r="AR962" s="180">
        <f t="shared" si="341"/>
        <v>57</v>
      </c>
      <c r="AS962" s="210">
        <f t="shared" si="342"/>
        <v>13799</v>
      </c>
      <c r="AU962" s="218">
        <f t="shared" si="343"/>
        <v>4.3894281596180709E-2</v>
      </c>
    </row>
    <row r="963" spans="1:47" ht="15.75" customHeight="1" x14ac:dyDescent="0.3">
      <c r="A963" s="192" t="s">
        <v>14</v>
      </c>
      <c r="B963" s="180">
        <f t="shared" si="325"/>
        <v>69510</v>
      </c>
      <c r="C963" s="180">
        <f t="shared" si="311"/>
        <v>8810</v>
      </c>
      <c r="D963" s="180">
        <f t="shared" si="312"/>
        <v>9193</v>
      </c>
      <c r="E963" s="180">
        <f t="shared" si="313"/>
        <v>14278</v>
      </c>
      <c r="F963" s="180">
        <f t="shared" si="326"/>
        <v>0</v>
      </c>
      <c r="G963" s="180">
        <f t="shared" si="314"/>
        <v>-17726.255889147997</v>
      </c>
      <c r="H963" s="180">
        <f t="shared" si="315"/>
        <v>14243</v>
      </c>
      <c r="I963" s="180">
        <f t="shared" si="316"/>
        <v>8282</v>
      </c>
      <c r="J963" s="180">
        <f t="shared" si="317"/>
        <v>8727</v>
      </c>
      <c r="K963" s="180">
        <f t="shared" si="318"/>
        <v>6903</v>
      </c>
      <c r="L963" s="180">
        <f t="shared" si="319"/>
        <v>2126</v>
      </c>
      <c r="M963" s="180">
        <f t="shared" si="320"/>
        <v>2504</v>
      </c>
      <c r="N963" s="180">
        <f t="shared" si="321"/>
        <v>4875</v>
      </c>
      <c r="O963" s="180">
        <f t="shared" si="322"/>
        <v>792</v>
      </c>
      <c r="P963" s="180">
        <f t="shared" si="323"/>
        <v>1953</v>
      </c>
      <c r="Q963" s="180">
        <f t="shared" si="324"/>
        <v>1872</v>
      </c>
      <c r="R963" s="216">
        <f>(SUM(B963:Q963))</f>
        <v>136341.74411085201</v>
      </c>
      <c r="S963" s="217"/>
      <c r="AC963" s="211" t="s">
        <v>14</v>
      </c>
      <c r="AD963" s="180">
        <f t="shared" si="327"/>
        <v>3267</v>
      </c>
      <c r="AE963" s="180">
        <f t="shared" si="328"/>
        <v>414</v>
      </c>
      <c r="AF963" s="180">
        <f t="shared" si="329"/>
        <v>432</v>
      </c>
      <c r="AG963" s="180">
        <f t="shared" si="330"/>
        <v>671</v>
      </c>
      <c r="AH963" s="180">
        <f t="shared" si="331"/>
        <v>0</v>
      </c>
      <c r="AI963" s="180">
        <f t="shared" si="332"/>
        <v>427</v>
      </c>
      <c r="AJ963" s="180">
        <f t="shared" si="333"/>
        <v>248</v>
      </c>
      <c r="AK963" s="180">
        <f t="shared" si="334"/>
        <v>262</v>
      </c>
      <c r="AL963" s="180">
        <f t="shared" si="335"/>
        <v>207</v>
      </c>
      <c r="AM963" s="180">
        <f t="shared" si="336"/>
        <v>64</v>
      </c>
      <c r="AN963" s="180">
        <f t="shared" si="337"/>
        <v>75</v>
      </c>
      <c r="AO963" s="180">
        <f t="shared" si="338"/>
        <v>146</v>
      </c>
      <c r="AP963" s="180">
        <f t="shared" si="339"/>
        <v>24</v>
      </c>
      <c r="AQ963" s="180">
        <f t="shared" si="340"/>
        <v>59</v>
      </c>
      <c r="AR963" s="180">
        <f t="shared" si="341"/>
        <v>56</v>
      </c>
      <c r="AS963" s="210">
        <f t="shared" si="342"/>
        <v>6352</v>
      </c>
      <c r="AU963" s="218">
        <f t="shared" si="343"/>
        <v>4.6588812849830762E-2</v>
      </c>
    </row>
    <row r="964" spans="1:47" ht="15.75" customHeight="1" x14ac:dyDescent="0.3">
      <c r="A964" s="192" t="s">
        <v>16</v>
      </c>
      <c r="B964" s="180">
        <f t="shared" si="325"/>
        <v>70887</v>
      </c>
      <c r="C964" s="180">
        <f t="shared" si="311"/>
        <v>8986</v>
      </c>
      <c r="D964" s="180">
        <f t="shared" si="312"/>
        <v>9378</v>
      </c>
      <c r="E964" s="180">
        <f t="shared" si="313"/>
        <v>14628</v>
      </c>
      <c r="F964" s="180">
        <f t="shared" si="326"/>
        <v>0</v>
      </c>
      <c r="G964" s="180">
        <f t="shared" si="314"/>
        <v>-14964.97925872385</v>
      </c>
      <c r="H964" s="180">
        <f t="shared" si="315"/>
        <v>13909</v>
      </c>
      <c r="I964" s="180">
        <f t="shared" si="316"/>
        <v>9024</v>
      </c>
      <c r="J964" s="180">
        <f t="shared" si="317"/>
        <v>8984</v>
      </c>
      <c r="K964" s="180">
        <f t="shared" si="318"/>
        <v>7672</v>
      </c>
      <c r="L964" s="180">
        <f t="shared" si="319"/>
        <v>2219</v>
      </c>
      <c r="M964" s="180">
        <f t="shared" si="320"/>
        <v>2614</v>
      </c>
      <c r="N964" s="180">
        <f t="shared" si="321"/>
        <v>4983</v>
      </c>
      <c r="O964" s="180">
        <f t="shared" si="322"/>
        <v>800</v>
      </c>
      <c r="P964" s="180">
        <f t="shared" si="323"/>
        <v>1895</v>
      </c>
      <c r="Q964" s="180">
        <f t="shared" si="324"/>
        <v>1890</v>
      </c>
      <c r="R964" s="216">
        <f t="shared" si="344"/>
        <v>142904.02074127615</v>
      </c>
      <c r="S964" s="217"/>
      <c r="AC964" s="211" t="s">
        <v>16</v>
      </c>
      <c r="AD964" s="180">
        <f t="shared" si="327"/>
        <v>3332</v>
      </c>
      <c r="AE964" s="180">
        <f t="shared" si="328"/>
        <v>422</v>
      </c>
      <c r="AF964" s="180">
        <f t="shared" si="329"/>
        <v>441</v>
      </c>
      <c r="AG964" s="180">
        <f t="shared" si="330"/>
        <v>688</v>
      </c>
      <c r="AH964" s="180">
        <f t="shared" si="331"/>
        <v>0</v>
      </c>
      <c r="AI964" s="180">
        <f t="shared" si="332"/>
        <v>417</v>
      </c>
      <c r="AJ964" s="180">
        <f t="shared" si="333"/>
        <v>271</v>
      </c>
      <c r="AK964" s="180">
        <f t="shared" si="334"/>
        <v>270</v>
      </c>
      <c r="AL964" s="180">
        <f t="shared" si="335"/>
        <v>230</v>
      </c>
      <c r="AM964" s="180">
        <f t="shared" si="336"/>
        <v>67</v>
      </c>
      <c r="AN964" s="180">
        <f t="shared" si="337"/>
        <v>78</v>
      </c>
      <c r="AO964" s="180">
        <f t="shared" si="338"/>
        <v>149</v>
      </c>
      <c r="AP964" s="180">
        <f t="shared" si="339"/>
        <v>24</v>
      </c>
      <c r="AQ964" s="180">
        <f t="shared" si="340"/>
        <v>57</v>
      </c>
      <c r="AR964" s="180">
        <f t="shared" si="341"/>
        <v>57</v>
      </c>
      <c r="AS964" s="210">
        <f t="shared" si="342"/>
        <v>6503</v>
      </c>
      <c r="AU964" s="218">
        <f t="shared" si="343"/>
        <v>4.550606740291447E-2</v>
      </c>
    </row>
    <row r="965" spans="1:47" ht="15.75" customHeight="1" x14ac:dyDescent="0.3">
      <c r="A965" s="192" t="s">
        <v>17</v>
      </c>
      <c r="B965" s="180">
        <f t="shared" si="325"/>
        <v>31285</v>
      </c>
      <c r="C965" s="180">
        <f t="shared" si="311"/>
        <v>3948</v>
      </c>
      <c r="D965" s="180">
        <f t="shared" si="312"/>
        <v>4101</v>
      </c>
      <c r="E965" s="180">
        <f t="shared" si="313"/>
        <v>5603</v>
      </c>
      <c r="F965" s="180">
        <f t="shared" si="326"/>
        <v>0</v>
      </c>
      <c r="G965" s="180">
        <f t="shared" si="314"/>
        <v>-12728.023273127785</v>
      </c>
      <c r="H965" s="180">
        <f t="shared" si="315"/>
        <v>12739</v>
      </c>
      <c r="I965" s="180">
        <f t="shared" si="316"/>
        <v>7541</v>
      </c>
      <c r="J965" s="180">
        <f t="shared" si="317"/>
        <v>8456</v>
      </c>
      <c r="K965" s="180">
        <f t="shared" si="318"/>
        <v>7280</v>
      </c>
      <c r="L965" s="180">
        <f t="shared" si="319"/>
        <v>2170</v>
      </c>
      <c r="M965" s="180">
        <f t="shared" si="320"/>
        <v>2557</v>
      </c>
      <c r="N965" s="180">
        <f t="shared" si="321"/>
        <v>4962</v>
      </c>
      <c r="O965" s="180">
        <f t="shared" si="322"/>
        <v>870</v>
      </c>
      <c r="P965" s="180">
        <f t="shared" si="323"/>
        <v>1654</v>
      </c>
      <c r="Q965" s="180">
        <f t="shared" si="324"/>
        <v>2058</v>
      </c>
      <c r="R965" s="216">
        <f t="shared" si="344"/>
        <v>82495.976726872206</v>
      </c>
      <c r="S965" s="217"/>
      <c r="AC965" s="211" t="s">
        <v>17</v>
      </c>
      <c r="AD965" s="180">
        <f t="shared" si="327"/>
        <v>1470</v>
      </c>
      <c r="AE965" s="180">
        <f t="shared" si="328"/>
        <v>186</v>
      </c>
      <c r="AF965" s="180">
        <f t="shared" si="329"/>
        <v>193</v>
      </c>
      <c r="AG965" s="180">
        <f t="shared" si="330"/>
        <v>263</v>
      </c>
      <c r="AH965" s="180">
        <f t="shared" si="331"/>
        <v>0</v>
      </c>
      <c r="AI965" s="180">
        <f t="shared" si="332"/>
        <v>382</v>
      </c>
      <c r="AJ965" s="180">
        <f t="shared" si="333"/>
        <v>226</v>
      </c>
      <c r="AK965" s="180">
        <f t="shared" si="334"/>
        <v>254</v>
      </c>
      <c r="AL965" s="180">
        <f t="shared" si="335"/>
        <v>218</v>
      </c>
      <c r="AM965" s="180">
        <f t="shared" si="336"/>
        <v>65</v>
      </c>
      <c r="AN965" s="180">
        <f t="shared" si="337"/>
        <v>77</v>
      </c>
      <c r="AO965" s="180">
        <f t="shared" si="338"/>
        <v>149</v>
      </c>
      <c r="AP965" s="180">
        <f t="shared" si="339"/>
        <v>26</v>
      </c>
      <c r="AQ965" s="180">
        <f t="shared" si="340"/>
        <v>50</v>
      </c>
      <c r="AR965" s="180">
        <f t="shared" si="341"/>
        <v>62</v>
      </c>
      <c r="AS965" s="210">
        <f t="shared" si="342"/>
        <v>3621</v>
      </c>
      <c r="AU965" s="218">
        <f t="shared" si="343"/>
        <v>4.389304962093378E-2</v>
      </c>
    </row>
    <row r="966" spans="1:47" ht="15.75" customHeight="1" x14ac:dyDescent="0.3">
      <c r="A966" s="192" t="s">
        <v>18</v>
      </c>
      <c r="B966" s="180">
        <f t="shared" si="325"/>
        <v>144903</v>
      </c>
      <c r="C966" s="180">
        <f t="shared" si="311"/>
        <v>18434</v>
      </c>
      <c r="D966" s="180">
        <f t="shared" si="312"/>
        <v>19302</v>
      </c>
      <c r="E966" s="180">
        <f t="shared" si="313"/>
        <v>32126</v>
      </c>
      <c r="F966" s="180">
        <f t="shared" si="326"/>
        <v>1092.0066673641957</v>
      </c>
      <c r="G966" s="180">
        <f t="shared" si="314"/>
        <v>0</v>
      </c>
      <c r="H966" s="180">
        <f t="shared" si="315"/>
        <v>8823</v>
      </c>
      <c r="I966" s="180">
        <f t="shared" si="316"/>
        <v>4545</v>
      </c>
      <c r="J966" s="180">
        <f t="shared" si="317"/>
        <v>6612</v>
      </c>
      <c r="K966" s="180">
        <f t="shared" si="318"/>
        <v>6310</v>
      </c>
      <c r="L966" s="180">
        <f t="shared" si="319"/>
        <v>2033</v>
      </c>
      <c r="M966" s="180">
        <f t="shared" si="320"/>
        <v>2394</v>
      </c>
      <c r="N966" s="180">
        <f t="shared" si="321"/>
        <v>4769</v>
      </c>
      <c r="O966" s="180">
        <f t="shared" si="322"/>
        <v>863</v>
      </c>
      <c r="P966" s="180">
        <f t="shared" si="323"/>
        <v>1375</v>
      </c>
      <c r="Q966" s="180">
        <f t="shared" si="324"/>
        <v>2042</v>
      </c>
      <c r="R966" s="216">
        <f t="shared" si="344"/>
        <v>255623.00666736418</v>
      </c>
      <c r="S966" s="217"/>
      <c r="AC966" s="211" t="s">
        <v>18</v>
      </c>
      <c r="AD966" s="180">
        <f t="shared" si="327"/>
        <v>6810</v>
      </c>
      <c r="AE966" s="180">
        <f t="shared" si="328"/>
        <v>866</v>
      </c>
      <c r="AF966" s="180">
        <f t="shared" si="329"/>
        <v>907</v>
      </c>
      <c r="AG966" s="180">
        <f t="shared" si="330"/>
        <v>1510</v>
      </c>
      <c r="AH966" s="180">
        <f t="shared" si="331"/>
        <v>0</v>
      </c>
      <c r="AI966" s="180">
        <f t="shared" si="332"/>
        <v>265</v>
      </c>
      <c r="AJ966" s="180">
        <f t="shared" si="333"/>
        <v>136</v>
      </c>
      <c r="AK966" s="180">
        <f t="shared" si="334"/>
        <v>198</v>
      </c>
      <c r="AL966" s="180">
        <f t="shared" si="335"/>
        <v>189</v>
      </c>
      <c r="AM966" s="180">
        <f t="shared" si="336"/>
        <v>61</v>
      </c>
      <c r="AN966" s="180">
        <f t="shared" si="337"/>
        <v>72</v>
      </c>
      <c r="AO966" s="180">
        <f t="shared" si="338"/>
        <v>143</v>
      </c>
      <c r="AP966" s="180">
        <f t="shared" si="339"/>
        <v>26</v>
      </c>
      <c r="AQ966" s="180">
        <f t="shared" si="340"/>
        <v>41</v>
      </c>
      <c r="AR966" s="180">
        <f t="shared" si="341"/>
        <v>61</v>
      </c>
      <c r="AS966" s="210">
        <f t="shared" si="342"/>
        <v>11285</v>
      </c>
      <c r="AU966" s="218">
        <f t="shared" si="343"/>
        <v>4.4147043519775539E-2</v>
      </c>
    </row>
    <row r="967" spans="1:47" ht="15.75" customHeight="1" x14ac:dyDescent="0.3">
      <c r="A967" s="192" t="s">
        <v>20</v>
      </c>
      <c r="B967" s="180">
        <f t="shared" si="325"/>
        <v>155331</v>
      </c>
      <c r="C967" s="180">
        <f t="shared" si="311"/>
        <v>19767</v>
      </c>
      <c r="D967" s="180">
        <f t="shared" si="312"/>
        <v>20704</v>
      </c>
      <c r="E967" s="180">
        <f t="shared" si="313"/>
        <v>35010</v>
      </c>
      <c r="F967" s="180">
        <f t="shared" si="326"/>
        <v>9885.8620639971559</v>
      </c>
      <c r="G967" s="180">
        <f t="shared" si="314"/>
        <v>0</v>
      </c>
      <c r="H967" s="180">
        <f t="shared" si="315"/>
        <v>6096</v>
      </c>
      <c r="I967" s="180">
        <f t="shared" si="316"/>
        <v>2240</v>
      </c>
      <c r="J967" s="180">
        <f t="shared" si="317"/>
        <v>3291</v>
      </c>
      <c r="K967" s="180">
        <f t="shared" si="318"/>
        <v>3155</v>
      </c>
      <c r="L967" s="180">
        <f t="shared" si="319"/>
        <v>1028</v>
      </c>
      <c r="M967" s="180">
        <f t="shared" si="320"/>
        <v>1209</v>
      </c>
      <c r="N967" s="180">
        <f t="shared" si="321"/>
        <v>2459</v>
      </c>
      <c r="O967" s="180">
        <f t="shared" si="322"/>
        <v>715</v>
      </c>
      <c r="P967" s="180">
        <f t="shared" si="323"/>
        <v>1220</v>
      </c>
      <c r="Q967" s="180">
        <f t="shared" si="324"/>
        <v>1691</v>
      </c>
      <c r="R967" s="216">
        <f t="shared" si="344"/>
        <v>263801.86206399719</v>
      </c>
      <c r="S967" s="217"/>
      <c r="AC967" s="211" t="s">
        <v>20</v>
      </c>
      <c r="AD967" s="180">
        <f t="shared" si="327"/>
        <v>7301</v>
      </c>
      <c r="AE967" s="180">
        <f t="shared" si="328"/>
        <v>929</v>
      </c>
      <c r="AF967" s="180">
        <f t="shared" si="329"/>
        <v>973</v>
      </c>
      <c r="AG967" s="180">
        <f t="shared" si="330"/>
        <v>1645</v>
      </c>
      <c r="AH967" s="180">
        <f t="shared" si="331"/>
        <v>0</v>
      </c>
      <c r="AI967" s="180">
        <f t="shared" si="332"/>
        <v>183</v>
      </c>
      <c r="AJ967" s="180">
        <f t="shared" si="333"/>
        <v>67</v>
      </c>
      <c r="AK967" s="180">
        <f t="shared" si="334"/>
        <v>99</v>
      </c>
      <c r="AL967" s="180">
        <f t="shared" si="335"/>
        <v>95</v>
      </c>
      <c r="AM967" s="180">
        <f t="shared" si="336"/>
        <v>31</v>
      </c>
      <c r="AN967" s="180">
        <f t="shared" si="337"/>
        <v>36</v>
      </c>
      <c r="AO967" s="180">
        <f t="shared" si="338"/>
        <v>74</v>
      </c>
      <c r="AP967" s="180">
        <f t="shared" si="339"/>
        <v>21</v>
      </c>
      <c r="AQ967" s="180">
        <f t="shared" si="340"/>
        <v>37</v>
      </c>
      <c r="AR967" s="180">
        <f t="shared" si="341"/>
        <v>51</v>
      </c>
      <c r="AS967" s="210">
        <f t="shared" si="342"/>
        <v>11542</v>
      </c>
      <c r="AU967" s="218">
        <f t="shared" si="343"/>
        <v>4.375253423040646E-2</v>
      </c>
    </row>
    <row r="968" spans="1:47" ht="15.75" customHeight="1" x14ac:dyDescent="0.3">
      <c r="A968" s="192" t="s">
        <v>21</v>
      </c>
      <c r="B968" s="180">
        <f t="shared" si="325"/>
        <v>150362</v>
      </c>
      <c r="C968" s="180">
        <f t="shared" si="311"/>
        <v>19140</v>
      </c>
      <c r="D968" s="180">
        <f t="shared" si="312"/>
        <v>20052</v>
      </c>
      <c r="E968" s="180">
        <f t="shared" si="313"/>
        <v>34098</v>
      </c>
      <c r="F968" s="180">
        <f t="shared" si="326"/>
        <v>15144.37023199167</v>
      </c>
      <c r="G968" s="180">
        <f t="shared" si="314"/>
        <v>0</v>
      </c>
      <c r="H968" s="180">
        <f t="shared" si="315"/>
        <v>3888</v>
      </c>
      <c r="I968" s="180">
        <f t="shared" si="316"/>
        <v>898</v>
      </c>
      <c r="J968" s="180">
        <f t="shared" si="317"/>
        <v>1291</v>
      </c>
      <c r="K968" s="180">
        <f t="shared" si="318"/>
        <v>1317</v>
      </c>
      <c r="L968" s="180">
        <f t="shared" si="319"/>
        <v>388</v>
      </c>
      <c r="M968" s="180">
        <f t="shared" si="320"/>
        <v>455</v>
      </c>
      <c r="N968" s="180">
        <f t="shared" si="321"/>
        <v>936</v>
      </c>
      <c r="O968" s="180">
        <f t="shared" si="322"/>
        <v>659</v>
      </c>
      <c r="P968" s="180">
        <f t="shared" si="323"/>
        <v>1286</v>
      </c>
      <c r="Q968" s="180">
        <f t="shared" si="324"/>
        <v>1560</v>
      </c>
      <c r="R968" s="216">
        <f t="shared" si="344"/>
        <v>251474.37023199166</v>
      </c>
      <c r="S968" s="217"/>
      <c r="AC968" s="211" t="s">
        <v>21</v>
      </c>
      <c r="AD968" s="180">
        <f t="shared" si="327"/>
        <v>7067</v>
      </c>
      <c r="AE968" s="180">
        <f t="shared" si="328"/>
        <v>900</v>
      </c>
      <c r="AF968" s="180">
        <f t="shared" si="329"/>
        <v>942</v>
      </c>
      <c r="AG968" s="180">
        <f t="shared" si="330"/>
        <v>1603</v>
      </c>
      <c r="AH968" s="180">
        <f t="shared" si="331"/>
        <v>0</v>
      </c>
      <c r="AI968" s="180">
        <f t="shared" si="332"/>
        <v>117</v>
      </c>
      <c r="AJ968" s="180">
        <f t="shared" si="333"/>
        <v>27</v>
      </c>
      <c r="AK968" s="180">
        <f t="shared" si="334"/>
        <v>39</v>
      </c>
      <c r="AL968" s="180">
        <f t="shared" si="335"/>
        <v>40</v>
      </c>
      <c r="AM968" s="180">
        <f t="shared" si="336"/>
        <v>12</v>
      </c>
      <c r="AN968" s="180">
        <f t="shared" si="337"/>
        <v>14</v>
      </c>
      <c r="AO968" s="180">
        <f t="shared" si="338"/>
        <v>28</v>
      </c>
      <c r="AP968" s="180">
        <f t="shared" si="339"/>
        <v>20</v>
      </c>
      <c r="AQ968" s="180">
        <f t="shared" si="340"/>
        <v>39</v>
      </c>
      <c r="AR968" s="180">
        <f t="shared" si="341"/>
        <v>47</v>
      </c>
      <c r="AS968" s="210">
        <f t="shared" si="342"/>
        <v>10895</v>
      </c>
      <c r="AU968" s="218">
        <f t="shared" si="343"/>
        <v>4.3324494619269065E-2</v>
      </c>
    </row>
    <row r="969" spans="1:47" ht="15.75" customHeight="1" x14ac:dyDescent="0.3">
      <c r="A969" s="192" t="s">
        <v>22</v>
      </c>
      <c r="B969" s="180">
        <f t="shared" si="325"/>
        <v>147057</v>
      </c>
      <c r="C969" s="180">
        <f t="shared" si="311"/>
        <v>18724</v>
      </c>
      <c r="D969" s="180">
        <f t="shared" si="312"/>
        <v>19622</v>
      </c>
      <c r="E969" s="180">
        <f t="shared" si="313"/>
        <v>33271</v>
      </c>
      <c r="F969" s="180">
        <f t="shared" si="326"/>
        <v>15668.306439259077</v>
      </c>
      <c r="G969" s="180">
        <f t="shared" si="314"/>
        <v>0</v>
      </c>
      <c r="H969" s="180">
        <f t="shared" si="315"/>
        <v>4434</v>
      </c>
      <c r="I969" s="180">
        <f t="shared" si="316"/>
        <v>1045</v>
      </c>
      <c r="J969" s="180">
        <f t="shared" si="317"/>
        <v>1522</v>
      </c>
      <c r="K969" s="180">
        <f t="shared" si="318"/>
        <v>1562</v>
      </c>
      <c r="L969" s="180">
        <f t="shared" si="319"/>
        <v>353</v>
      </c>
      <c r="M969" s="180">
        <f t="shared" si="320"/>
        <v>414</v>
      </c>
      <c r="N969" s="180">
        <f t="shared" si="321"/>
        <v>813</v>
      </c>
      <c r="O969" s="180">
        <f t="shared" si="322"/>
        <v>566</v>
      </c>
      <c r="P969" s="180">
        <f t="shared" si="323"/>
        <v>1120</v>
      </c>
      <c r="Q969" s="180">
        <f t="shared" si="324"/>
        <v>1341</v>
      </c>
      <c r="R969" s="216">
        <f t="shared" si="344"/>
        <v>247512.30643925909</v>
      </c>
      <c r="S969" s="217"/>
      <c r="AC969" s="211" t="s">
        <v>22</v>
      </c>
      <c r="AD969" s="180">
        <f t="shared" si="327"/>
        <v>6912</v>
      </c>
      <c r="AE969" s="180">
        <f t="shared" si="328"/>
        <v>880</v>
      </c>
      <c r="AF969" s="180">
        <f t="shared" si="329"/>
        <v>922</v>
      </c>
      <c r="AG969" s="180">
        <f t="shared" si="330"/>
        <v>1564</v>
      </c>
      <c r="AH969" s="180">
        <f t="shared" si="331"/>
        <v>0</v>
      </c>
      <c r="AI969" s="180">
        <f t="shared" si="332"/>
        <v>133</v>
      </c>
      <c r="AJ969" s="180">
        <f t="shared" si="333"/>
        <v>31</v>
      </c>
      <c r="AK969" s="180">
        <f t="shared" si="334"/>
        <v>46</v>
      </c>
      <c r="AL969" s="180">
        <f t="shared" si="335"/>
        <v>47</v>
      </c>
      <c r="AM969" s="180">
        <f t="shared" si="336"/>
        <v>11</v>
      </c>
      <c r="AN969" s="180">
        <f t="shared" si="337"/>
        <v>12</v>
      </c>
      <c r="AO969" s="180">
        <f t="shared" si="338"/>
        <v>24</v>
      </c>
      <c r="AP969" s="180">
        <f t="shared" si="339"/>
        <v>17</v>
      </c>
      <c r="AQ969" s="180">
        <f t="shared" si="340"/>
        <v>34</v>
      </c>
      <c r="AR969" s="180">
        <f t="shared" si="341"/>
        <v>40</v>
      </c>
      <c r="AS969" s="210">
        <f t="shared" si="342"/>
        <v>10673</v>
      </c>
      <c r="AU969" s="218">
        <f t="shared" si="343"/>
        <v>4.3121088213927718E-2</v>
      </c>
    </row>
    <row r="970" spans="1:47" ht="15.75" customHeight="1" x14ac:dyDescent="0.3">
      <c r="A970" s="189"/>
      <c r="B970" s="180"/>
      <c r="C970" s="180"/>
      <c r="D970" s="180"/>
      <c r="E970" s="180"/>
      <c r="F970" s="180"/>
      <c r="G970" s="180"/>
      <c r="H970" s="180"/>
      <c r="I970" s="180"/>
      <c r="J970" s="180"/>
      <c r="K970" s="180"/>
      <c r="L970" s="180"/>
      <c r="M970" s="180"/>
      <c r="N970" s="180"/>
      <c r="O970" s="180"/>
      <c r="P970" s="180"/>
      <c r="Q970" s="180"/>
      <c r="R970" s="210"/>
      <c r="S970" s="217"/>
      <c r="AC970" s="95"/>
      <c r="AD970" s="180"/>
      <c r="AE970" s="180"/>
      <c r="AF970" s="180"/>
      <c r="AG970" s="180"/>
      <c r="AH970" s="180"/>
      <c r="AI970" s="180"/>
      <c r="AJ970" s="180"/>
      <c r="AK970" s="180"/>
      <c r="AL970" s="180"/>
      <c r="AM970" s="180"/>
      <c r="AN970" s="180"/>
      <c r="AO970" s="180"/>
      <c r="AP970" s="180"/>
      <c r="AQ970" s="180"/>
      <c r="AR970" s="180"/>
      <c r="AS970" s="210"/>
    </row>
    <row r="971" spans="1:47" ht="15.75" customHeight="1" thickBot="1" x14ac:dyDescent="0.35">
      <c r="A971" s="189" t="s">
        <v>641</v>
      </c>
      <c r="B971" s="180">
        <f>SUM(B958:B969)</f>
        <v>1478168</v>
      </c>
      <c r="C971" s="180">
        <f t="shared" ref="C971:Q971" si="345">SUM(C958:C969)</f>
        <v>188012</v>
      </c>
      <c r="D971" s="180">
        <f t="shared" si="345"/>
        <v>196832</v>
      </c>
      <c r="E971" s="180">
        <f t="shared" si="345"/>
        <v>326091</v>
      </c>
      <c r="F971" s="180">
        <f t="shared" si="345"/>
        <v>76254.845131798647</v>
      </c>
      <c r="G971" s="180">
        <f t="shared" si="345"/>
        <v>-45419.258420999635</v>
      </c>
      <c r="H971" s="180">
        <f t="shared" si="345"/>
        <v>103898</v>
      </c>
      <c r="I971" s="180">
        <f t="shared" si="345"/>
        <v>57424</v>
      </c>
      <c r="J971" s="180">
        <f t="shared" si="345"/>
        <v>70175</v>
      </c>
      <c r="K971" s="180">
        <f t="shared" si="345"/>
        <v>63963</v>
      </c>
      <c r="L971" s="180">
        <f t="shared" si="345"/>
        <v>20040</v>
      </c>
      <c r="M971" s="180">
        <f t="shared" si="345"/>
        <v>23602</v>
      </c>
      <c r="N971" s="180">
        <f t="shared" si="345"/>
        <v>46987</v>
      </c>
      <c r="O971" s="180">
        <f t="shared" si="345"/>
        <v>9149</v>
      </c>
      <c r="P971" s="180">
        <f t="shared" si="345"/>
        <v>17222</v>
      </c>
      <c r="Q971" s="180">
        <f t="shared" si="345"/>
        <v>21644</v>
      </c>
      <c r="R971" s="219">
        <f>SUM(R958:R969)</f>
        <v>2654042.586710799</v>
      </c>
      <c r="S971" s="217"/>
      <c r="AC971" s="220" t="s">
        <v>641</v>
      </c>
      <c r="AD971" s="195">
        <f>SUM(AD958:AD969)</f>
        <v>69474</v>
      </c>
      <c r="AE971" s="195">
        <f t="shared" ref="AE971:AS971" si="346">SUM(AE958:AE969)</f>
        <v>8837</v>
      </c>
      <c r="AF971" s="195">
        <f t="shared" si="346"/>
        <v>9250</v>
      </c>
      <c r="AG971" s="195">
        <f t="shared" si="346"/>
        <v>15326</v>
      </c>
      <c r="AH971" s="195">
        <f t="shared" si="346"/>
        <v>0</v>
      </c>
      <c r="AI971" s="195">
        <f t="shared" si="346"/>
        <v>3118</v>
      </c>
      <c r="AJ971" s="195">
        <f t="shared" si="346"/>
        <v>1722</v>
      </c>
      <c r="AK971" s="195">
        <f t="shared" si="346"/>
        <v>2107</v>
      </c>
      <c r="AL971" s="195">
        <f t="shared" si="346"/>
        <v>1918</v>
      </c>
      <c r="AM971" s="195">
        <f t="shared" si="346"/>
        <v>603</v>
      </c>
      <c r="AN971" s="195">
        <f t="shared" si="346"/>
        <v>708</v>
      </c>
      <c r="AO971" s="195">
        <f t="shared" si="346"/>
        <v>1408</v>
      </c>
      <c r="AP971" s="195">
        <f t="shared" si="346"/>
        <v>275</v>
      </c>
      <c r="AQ971" s="195">
        <f t="shared" si="346"/>
        <v>518</v>
      </c>
      <c r="AR971" s="195">
        <f t="shared" si="346"/>
        <v>650</v>
      </c>
      <c r="AS971" s="221">
        <f t="shared" si="346"/>
        <v>115914</v>
      </c>
      <c r="AU971" s="218">
        <f t="shared" si="343"/>
        <v>4.3674506422918494E-2</v>
      </c>
    </row>
    <row r="972" spans="1:47" ht="16.5" customHeight="1" thickBot="1" x14ac:dyDescent="0.35">
      <c r="A972" s="204" t="s">
        <v>7</v>
      </c>
      <c r="B972" s="195"/>
      <c r="C972" s="195"/>
      <c r="D972" s="195"/>
      <c r="E972" s="195"/>
      <c r="F972" s="195"/>
      <c r="G972" s="195"/>
      <c r="H972" s="195"/>
      <c r="I972" s="195"/>
      <c r="J972" s="195"/>
      <c r="K972" s="195"/>
      <c r="L972" s="195"/>
      <c r="M972" s="195"/>
      <c r="N972" s="195"/>
      <c r="O972" s="195"/>
      <c r="P972" s="195"/>
      <c r="Q972" s="195"/>
      <c r="R972" s="221"/>
      <c r="S972" s="180"/>
    </row>
    <row r="973" spans="1:47" ht="15.75" customHeight="1" x14ac:dyDescent="0.3">
      <c r="A973" s="180"/>
      <c r="B973" s="180"/>
      <c r="C973" s="180"/>
      <c r="D973" s="180"/>
      <c r="E973" s="180"/>
      <c r="F973" s="180"/>
      <c r="G973" s="180"/>
      <c r="H973" s="180"/>
      <c r="I973" s="180"/>
      <c r="J973" s="180"/>
      <c r="K973" s="180"/>
      <c r="L973" s="180"/>
      <c r="M973" s="180"/>
      <c r="N973" s="180"/>
      <c r="O973" s="180"/>
      <c r="P973" s="180"/>
      <c r="Q973" s="180"/>
      <c r="R973" s="180"/>
    </row>
    <row r="974" spans="1:47" ht="15.75" customHeight="1" x14ac:dyDescent="0.3"/>
    <row r="975" spans="1:47" ht="15.75" customHeight="1" thickBot="1" x14ac:dyDescent="0.35"/>
    <row r="976" spans="1:47" ht="15.75" customHeight="1" thickBot="1" x14ac:dyDescent="0.35">
      <c r="B976" s="398" t="s">
        <v>727</v>
      </c>
      <c r="C976" s="387"/>
      <c r="D976" s="387"/>
      <c r="E976" s="387"/>
      <c r="F976" s="387"/>
      <c r="G976" s="387"/>
      <c r="H976" s="387"/>
      <c r="I976" s="387"/>
      <c r="J976" s="387"/>
      <c r="K976" s="387"/>
      <c r="L976" s="387"/>
      <c r="M976" s="387"/>
      <c r="N976" s="387"/>
      <c r="O976" s="387"/>
      <c r="P976" s="387"/>
      <c r="Q976" s="177" t="str">
        <f>+Q1</f>
        <v xml:space="preserve">PRINTED:  </v>
      </c>
      <c r="R976" s="197">
        <f ca="1">+R1</f>
        <v>44894.658168518516</v>
      </c>
      <c r="S976" s="174"/>
      <c r="T976" s="200"/>
      <c r="U976" s="200"/>
      <c r="V976" s="198"/>
    </row>
    <row r="977" spans="1:45" ht="15.75" customHeight="1" x14ac:dyDescent="0.3">
      <c r="B977" s="399">
        <f>+A5</f>
        <v>2018</v>
      </c>
      <c r="C977" s="395"/>
      <c r="D977" s="395"/>
      <c r="E977" s="395"/>
      <c r="F977" s="395"/>
      <c r="G977" s="395"/>
      <c r="H977" s="395"/>
      <c r="I977" s="395"/>
      <c r="J977" s="395"/>
      <c r="K977" s="395"/>
      <c r="L977" s="395"/>
      <c r="M977" s="395"/>
      <c r="N977" s="395"/>
      <c r="O977" s="395"/>
      <c r="P977" s="395"/>
      <c r="Q977" s="180"/>
      <c r="R977" s="180"/>
      <c r="S977" s="180"/>
      <c r="V977" s="304"/>
      <c r="AC977" s="207"/>
      <c r="AD977" s="387" t="s">
        <v>728</v>
      </c>
      <c r="AE977" s="393"/>
      <c r="AF977" s="393"/>
      <c r="AG977" s="393"/>
      <c r="AH977" s="393"/>
      <c r="AI977" s="393"/>
      <c r="AJ977" s="393"/>
      <c r="AK977" s="393"/>
      <c r="AL977" s="393"/>
      <c r="AM977" s="393"/>
      <c r="AN977" s="393"/>
      <c r="AO977" s="393"/>
      <c r="AP977" s="393"/>
      <c r="AQ977" s="393"/>
      <c r="AR977" s="177" t="str">
        <f>$Q$1</f>
        <v xml:space="preserve">PRINTED:  </v>
      </c>
      <c r="AS977" s="208">
        <f ca="1">$R$1</f>
        <v>44894.658168518516</v>
      </c>
    </row>
    <row r="978" spans="1:45" ht="15.75" customHeight="1" x14ac:dyDescent="0.3">
      <c r="B978" s="400" t="str">
        <f>+A8</f>
        <v>Revised:  11/30/2017</v>
      </c>
      <c r="C978" s="394"/>
      <c r="D978" s="394"/>
      <c r="E978" s="394"/>
      <c r="F978" s="394"/>
      <c r="G978" s="394"/>
      <c r="H978" s="394"/>
      <c r="I978" s="394"/>
      <c r="J978" s="394"/>
      <c r="K978" s="394"/>
      <c r="L978" s="394"/>
      <c r="M978" s="394"/>
      <c r="N978" s="394"/>
      <c r="O978" s="394"/>
      <c r="P978" s="394"/>
      <c r="Q978" s="180"/>
      <c r="R978" s="180"/>
      <c r="S978" s="180"/>
      <c r="V978" s="304"/>
      <c r="AC978" s="95"/>
      <c r="AD978" s="394" t="str">
        <f>+$A$8</f>
        <v>Revised:  11/30/2017</v>
      </c>
      <c r="AE978" s="396"/>
      <c r="AF978" s="396"/>
      <c r="AG978" s="396"/>
      <c r="AH978" s="396"/>
      <c r="AI978" s="396"/>
      <c r="AJ978" s="396"/>
      <c r="AK978" s="396"/>
      <c r="AL978" s="396"/>
      <c r="AM978" s="396"/>
      <c r="AN978" s="396"/>
      <c r="AO978" s="396"/>
      <c r="AP978" s="396"/>
      <c r="AQ978" s="396"/>
      <c r="AR978" s="192"/>
      <c r="AS978" s="304"/>
    </row>
    <row r="979" spans="1:45" ht="15.75" customHeight="1" thickBot="1" x14ac:dyDescent="0.35">
      <c r="B979" s="401" t="s">
        <v>729</v>
      </c>
      <c r="C979" s="402"/>
      <c r="D979" s="402"/>
      <c r="E979" s="402"/>
      <c r="F979" s="402"/>
      <c r="G979" s="402"/>
      <c r="H979" s="402"/>
      <c r="I979" s="402"/>
      <c r="J979" s="402"/>
      <c r="K979" s="402"/>
      <c r="L979" s="402"/>
      <c r="M979" s="402"/>
      <c r="N979" s="402"/>
      <c r="O979" s="402"/>
      <c r="P979" s="402"/>
      <c r="Q979" s="180"/>
      <c r="R979" s="180"/>
      <c r="S979" s="195"/>
      <c r="V979" s="304"/>
      <c r="AC979" s="95"/>
      <c r="AD979" s="394" t="s">
        <v>670</v>
      </c>
      <c r="AE979" s="397"/>
      <c r="AF979" s="397"/>
      <c r="AG979" s="397"/>
      <c r="AH979" s="397"/>
      <c r="AI979" s="397"/>
      <c r="AJ979" s="397"/>
      <c r="AK979" s="397"/>
      <c r="AL979" s="397"/>
      <c r="AM979" s="397"/>
      <c r="AN979" s="397"/>
      <c r="AO979" s="397"/>
      <c r="AP979" s="397"/>
      <c r="AQ979" s="397"/>
      <c r="AS979" s="304"/>
    </row>
    <row r="980" spans="1:45" ht="15.75" customHeight="1" thickBot="1" x14ac:dyDescent="0.35">
      <c r="A980" s="222"/>
      <c r="B980" s="403" t="s">
        <v>730</v>
      </c>
      <c r="C980" s="404"/>
      <c r="D980" s="404"/>
      <c r="E980" s="404"/>
      <c r="F980" s="405"/>
      <c r="G980" s="403" t="s">
        <v>731</v>
      </c>
      <c r="H980" s="404"/>
      <c r="I980" s="404"/>
      <c r="J980" s="404"/>
      <c r="K980" s="404"/>
      <c r="L980" s="404"/>
      <c r="M980" s="406" t="s">
        <v>732</v>
      </c>
      <c r="N980" s="429"/>
      <c r="O980" s="429"/>
      <c r="P980" s="429"/>
      <c r="Q980" s="429"/>
      <c r="R980" s="430"/>
      <c r="S980" s="403" t="s">
        <v>733</v>
      </c>
      <c r="T980" s="431"/>
      <c r="U980" s="432"/>
      <c r="V980" s="304"/>
      <c r="AC980" s="95"/>
      <c r="AS980" s="304"/>
    </row>
    <row r="981" spans="1:45" ht="15.75" customHeight="1" x14ac:dyDescent="0.3">
      <c r="A981" s="222"/>
      <c r="B981" s="189" t="s">
        <v>639</v>
      </c>
      <c r="C981" s="182"/>
      <c r="D981" s="182" t="s">
        <v>734</v>
      </c>
      <c r="E981" s="182" t="s">
        <v>735</v>
      </c>
      <c r="F981" s="307" t="s">
        <v>736</v>
      </c>
      <c r="G981" s="189" t="s">
        <v>737</v>
      </c>
      <c r="H981" s="182"/>
      <c r="I981" s="182"/>
      <c r="J981" s="182" t="s">
        <v>738</v>
      </c>
      <c r="K981" s="182" t="s">
        <v>739</v>
      </c>
      <c r="L981" s="182" t="s">
        <v>740</v>
      </c>
      <c r="M981" s="446" t="s">
        <v>741</v>
      </c>
      <c r="N981" s="447"/>
      <c r="O981" s="448"/>
      <c r="P981" s="226"/>
      <c r="Q981" s="227"/>
      <c r="R981" s="225"/>
      <c r="S981" s="182" t="s">
        <v>742</v>
      </c>
      <c r="T981" s="228" t="s">
        <v>743</v>
      </c>
      <c r="U981" s="308" t="s">
        <v>744</v>
      </c>
      <c r="V981" s="304"/>
      <c r="AC981" s="95"/>
      <c r="AD981" s="395">
        <f>$A$5</f>
        <v>2018</v>
      </c>
      <c r="AE981" s="397"/>
      <c r="AF981" s="397"/>
      <c r="AG981" s="397"/>
      <c r="AH981" s="397"/>
      <c r="AI981" s="397"/>
      <c r="AJ981" s="397"/>
      <c r="AK981" s="397"/>
      <c r="AL981" s="397"/>
      <c r="AM981" s="397"/>
      <c r="AN981" s="397"/>
      <c r="AO981" s="397"/>
      <c r="AP981" s="397"/>
      <c r="AQ981" s="397"/>
      <c r="AS981" s="304"/>
    </row>
    <row r="982" spans="1:45" ht="15.75" customHeight="1" x14ac:dyDescent="0.3">
      <c r="A982" s="222"/>
      <c r="B982" s="230" t="s">
        <v>745</v>
      </c>
      <c r="C982" s="231" t="s">
        <v>746</v>
      </c>
      <c r="D982" s="231" t="s">
        <v>747</v>
      </c>
      <c r="E982" s="182" t="s">
        <v>658</v>
      </c>
      <c r="F982" s="309" t="s">
        <v>748</v>
      </c>
      <c r="G982" s="189" t="s">
        <v>640</v>
      </c>
      <c r="H982" s="182" t="s">
        <v>749</v>
      </c>
      <c r="I982" s="182" t="s">
        <v>750</v>
      </c>
      <c r="J982" s="231" t="s">
        <v>751</v>
      </c>
      <c r="K982" s="182" t="s">
        <v>723</v>
      </c>
      <c r="L982" s="231" t="s">
        <v>752</v>
      </c>
      <c r="M982" s="233" t="s">
        <v>753</v>
      </c>
      <c r="N982" s="226" t="s">
        <v>754</v>
      </c>
      <c r="O982" s="310" t="s">
        <v>641</v>
      </c>
      <c r="P982" s="226" t="s">
        <v>755</v>
      </c>
      <c r="Q982" s="226" t="s">
        <v>755</v>
      </c>
      <c r="R982" s="310" t="s">
        <v>756</v>
      </c>
      <c r="S982" s="182" t="s">
        <v>757</v>
      </c>
      <c r="T982" s="182" t="s">
        <v>758</v>
      </c>
      <c r="U982" s="307" t="s">
        <v>759</v>
      </c>
      <c r="V982" s="304"/>
      <c r="AC982" s="95"/>
      <c r="AD982" s="394" t="s">
        <v>717</v>
      </c>
      <c r="AE982" s="396"/>
      <c r="AF982" s="396"/>
      <c r="AG982" s="396"/>
      <c r="AH982" s="396"/>
      <c r="AI982" s="396"/>
      <c r="AJ982" s="396"/>
      <c r="AK982" s="396"/>
      <c r="AL982" s="396"/>
      <c r="AM982" s="396"/>
      <c r="AN982" s="396"/>
      <c r="AO982" s="396"/>
      <c r="AP982" s="396"/>
      <c r="AQ982" s="396"/>
      <c r="AR982" s="182"/>
      <c r="AS982" s="304"/>
    </row>
    <row r="983" spans="1:45" ht="15.75" customHeight="1" x14ac:dyDescent="0.3">
      <c r="A983" s="222"/>
      <c r="B983" s="235" t="s">
        <v>760</v>
      </c>
      <c r="C983" s="215">
        <v>0</v>
      </c>
      <c r="D983" s="215"/>
      <c r="E983" s="182" t="s">
        <v>761</v>
      </c>
      <c r="F983" s="311" t="s">
        <v>762</v>
      </c>
      <c r="G983" s="189" t="s">
        <v>763</v>
      </c>
      <c r="H983" s="182" t="s">
        <v>658</v>
      </c>
      <c r="I983" s="182" t="s">
        <v>658</v>
      </c>
      <c r="J983" s="182" t="s">
        <v>658</v>
      </c>
      <c r="K983" s="182" t="s">
        <v>743</v>
      </c>
      <c r="L983" s="182" t="s">
        <v>764</v>
      </c>
      <c r="M983" s="237" t="s">
        <v>648</v>
      </c>
      <c r="N983" s="227" t="s">
        <v>765</v>
      </c>
      <c r="O983" s="310" t="s">
        <v>766</v>
      </c>
      <c r="P983" s="227" t="s">
        <v>767</v>
      </c>
      <c r="Q983" s="226" t="s">
        <v>767</v>
      </c>
      <c r="R983" s="310" t="s">
        <v>766</v>
      </c>
      <c r="S983" s="182" t="s">
        <v>658</v>
      </c>
      <c r="T983" s="182" t="s">
        <v>658</v>
      </c>
      <c r="U983" s="307" t="s">
        <v>658</v>
      </c>
      <c r="V983" s="304"/>
      <c r="AC983" s="95"/>
      <c r="AK983" s="190"/>
      <c r="AS983" s="304"/>
    </row>
    <row r="984" spans="1:45" ht="15.75" customHeight="1" thickBot="1" x14ac:dyDescent="0.35">
      <c r="A984" s="213" t="s">
        <v>768</v>
      </c>
      <c r="B984" s="189" t="s">
        <v>705</v>
      </c>
      <c r="C984" s="182" t="s">
        <v>705</v>
      </c>
      <c r="D984" s="182" t="s">
        <v>705</v>
      </c>
      <c r="E984" s="182" t="s">
        <v>705</v>
      </c>
      <c r="F984" s="307" t="s">
        <v>705</v>
      </c>
      <c r="G984" s="189" t="s">
        <v>705</v>
      </c>
      <c r="H984" s="182" t="s">
        <v>705</v>
      </c>
      <c r="I984" s="182" t="s">
        <v>705</v>
      </c>
      <c r="J984" s="182" t="s">
        <v>705</v>
      </c>
      <c r="K984" s="182" t="s">
        <v>705</v>
      </c>
      <c r="L984" s="182" t="s">
        <v>705</v>
      </c>
      <c r="M984" s="237" t="s">
        <v>705</v>
      </c>
      <c r="N984" s="227" t="s">
        <v>705</v>
      </c>
      <c r="O984" s="310" t="s">
        <v>705</v>
      </c>
      <c r="P984" s="227" t="s">
        <v>365</v>
      </c>
      <c r="Q984" s="226" t="s">
        <v>705</v>
      </c>
      <c r="R984" s="310" t="s">
        <v>705</v>
      </c>
      <c r="S984" s="182" t="s">
        <v>705</v>
      </c>
      <c r="T984" s="182" t="s">
        <v>705</v>
      </c>
      <c r="U984" s="307" t="s">
        <v>705</v>
      </c>
      <c r="V984" s="304"/>
      <c r="AC984" s="95"/>
      <c r="AD984" s="191" t="s">
        <v>677</v>
      </c>
      <c r="AE984" s="191" t="s">
        <v>678</v>
      </c>
      <c r="AF984" s="191" t="s">
        <v>679</v>
      </c>
      <c r="AG984" s="191" t="s">
        <v>680</v>
      </c>
      <c r="AH984" s="191" t="s">
        <v>644</v>
      </c>
      <c r="AI984" s="191" t="s">
        <v>681</v>
      </c>
      <c r="AJ984" s="191" t="s">
        <v>682</v>
      </c>
      <c r="AK984" s="191" t="s">
        <v>683</v>
      </c>
      <c r="AL984" s="191" t="s">
        <v>684</v>
      </c>
      <c r="AM984" s="191" t="s">
        <v>685</v>
      </c>
      <c r="AN984" s="191" t="s">
        <v>686</v>
      </c>
      <c r="AO984" s="191" t="s">
        <v>687</v>
      </c>
      <c r="AP984" s="191" t="s">
        <v>688</v>
      </c>
      <c r="AQ984" s="191" t="s">
        <v>689</v>
      </c>
      <c r="AR984" s="191" t="s">
        <v>638</v>
      </c>
      <c r="AS984" s="209" t="s">
        <v>641</v>
      </c>
    </row>
    <row r="985" spans="1:45" ht="15.75" customHeight="1" x14ac:dyDescent="0.3">
      <c r="A985" s="213" t="s">
        <v>666</v>
      </c>
      <c r="B985" s="189" t="s">
        <v>666</v>
      </c>
      <c r="C985" s="182" t="s">
        <v>666</v>
      </c>
      <c r="D985" s="182" t="s">
        <v>666</v>
      </c>
      <c r="E985" s="182" t="s">
        <v>769</v>
      </c>
      <c r="F985" s="307" t="s">
        <v>666</v>
      </c>
      <c r="G985" s="189" t="s">
        <v>666</v>
      </c>
      <c r="H985" s="182" t="s">
        <v>770</v>
      </c>
      <c r="I985" s="182" t="s">
        <v>770</v>
      </c>
      <c r="J985" s="182" t="s">
        <v>666</v>
      </c>
      <c r="K985" s="182" t="s">
        <v>666</v>
      </c>
      <c r="L985" s="182" t="s">
        <v>666</v>
      </c>
      <c r="M985" s="237" t="s">
        <v>666</v>
      </c>
      <c r="N985" s="227" t="s">
        <v>666</v>
      </c>
      <c r="O985" s="310" t="s">
        <v>666</v>
      </c>
      <c r="P985" s="237" t="s">
        <v>666</v>
      </c>
      <c r="Q985" s="227" t="s">
        <v>666</v>
      </c>
      <c r="R985" s="310" t="s">
        <v>666</v>
      </c>
      <c r="S985" s="182" t="s">
        <v>666</v>
      </c>
      <c r="T985" s="182" t="s">
        <v>666</v>
      </c>
      <c r="U985" s="307" t="s">
        <v>666</v>
      </c>
      <c r="V985" s="304"/>
      <c r="AC985" s="95"/>
      <c r="AD985" s="180"/>
      <c r="AE985" s="180"/>
      <c r="AF985" s="180"/>
      <c r="AG985" s="180"/>
      <c r="AH985" s="182" t="s">
        <v>718</v>
      </c>
      <c r="AI985" s="180"/>
      <c r="AJ985" s="180"/>
      <c r="AK985" s="180"/>
      <c r="AL985" s="180"/>
      <c r="AM985" s="180"/>
      <c r="AN985" s="180"/>
      <c r="AO985" s="180"/>
      <c r="AP985" s="180"/>
      <c r="AQ985" s="180"/>
      <c r="AR985" s="180"/>
      <c r="AS985" s="210"/>
    </row>
    <row r="986" spans="1:45" ht="15.75" customHeight="1" x14ac:dyDescent="0.3">
      <c r="A986" s="192" t="s">
        <v>8</v>
      </c>
      <c r="B986" s="189">
        <f>ROUND(R958-G958,0)</f>
        <v>160239</v>
      </c>
      <c r="C986" s="182">
        <f>+ROUND(B986*$C$983,0)</f>
        <v>0</v>
      </c>
      <c r="D986" s="182">
        <f>AS958</f>
        <v>6818</v>
      </c>
      <c r="E986" s="182">
        <f>+B986+C986</f>
        <v>160239</v>
      </c>
      <c r="F986" s="307">
        <f>(D986+E986)</f>
        <v>167057</v>
      </c>
      <c r="G986" s="189">
        <f>ABS(G958)</f>
        <v>0</v>
      </c>
      <c r="H986" s="238">
        <v>8917</v>
      </c>
      <c r="I986" s="238">
        <v>0</v>
      </c>
      <c r="J986" s="182">
        <f>(H986+I986)</f>
        <v>8917</v>
      </c>
      <c r="K986" s="238">
        <v>0</v>
      </c>
      <c r="L986" s="238">
        <v>0</v>
      </c>
      <c r="M986" s="239">
        <f>D986+E986-G986-J986-K986-L986</f>
        <v>158140</v>
      </c>
      <c r="N986" s="240">
        <v>0</v>
      </c>
      <c r="O986" s="310">
        <v>251472</v>
      </c>
      <c r="P986" s="241">
        <v>0.2</v>
      </c>
      <c r="Q986" s="227">
        <f>-O986*P986</f>
        <v>-50294.400000000001</v>
      </c>
      <c r="R986" s="310">
        <f>O986+Q986</f>
        <v>201177.60000000001</v>
      </c>
      <c r="S986" s="242">
        <f t="shared" ref="S986:S997" si="347">(F986-G986-J986-K986-L986-R986)</f>
        <v>-43037.600000000006</v>
      </c>
      <c r="T986" s="182" t="str">
        <f>+IF(S986&gt;=0,ABS(S986),"")</f>
        <v/>
      </c>
      <c r="U986" s="307">
        <f>+IF(S986&lt;=0,ABS(S986),"")</f>
        <v>43037.600000000006</v>
      </c>
      <c r="V986" s="304"/>
      <c r="AC986" s="211" t="s">
        <v>771</v>
      </c>
      <c r="AD986" s="212"/>
      <c r="AE986" s="212"/>
      <c r="AF986" s="212"/>
      <c r="AG986" s="212"/>
      <c r="AH986" s="212">
        <v>1.6E-2</v>
      </c>
      <c r="AI986" s="212">
        <v>1.6E-2</v>
      </c>
      <c r="AJ986" s="212">
        <v>1.6E-2</v>
      </c>
      <c r="AK986" s="212">
        <v>1.6E-2</v>
      </c>
      <c r="AL986" s="212">
        <v>1.6E-2</v>
      </c>
      <c r="AM986" s="212">
        <v>1.6E-2</v>
      </c>
      <c r="AN986" s="212">
        <v>1.6E-2</v>
      </c>
      <c r="AO986" s="212">
        <v>1.6E-2</v>
      </c>
      <c r="AP986" s="212">
        <v>1.6E-2</v>
      </c>
      <c r="AQ986" s="212">
        <v>1.6E-2</v>
      </c>
      <c r="AR986" s="212">
        <v>1.6E-2</v>
      </c>
      <c r="AS986" s="213"/>
    </row>
    <row r="987" spans="1:45" ht="15.75" customHeight="1" x14ac:dyDescent="0.3">
      <c r="A987" s="192" t="s">
        <v>9</v>
      </c>
      <c r="B987" s="189">
        <f>ROUND(R959-G959,0)</f>
        <v>195102</v>
      </c>
      <c r="C987" s="182">
        <f t="shared" ref="C987:C997" si="348">+ROUND(B987*$C$983,0)</f>
        <v>0</v>
      </c>
      <c r="D987" s="182">
        <f t="shared" ref="D987:D997" si="349">AS959</f>
        <v>8299</v>
      </c>
      <c r="E987" s="182">
        <f t="shared" ref="E987:E999" si="350">+B987+C987</f>
        <v>195102</v>
      </c>
      <c r="F987" s="307">
        <f t="shared" ref="F987:F997" si="351">(D987+E987)</f>
        <v>203401</v>
      </c>
      <c r="G987" s="189">
        <f t="shared" ref="G987:G997" si="352">ABS(G959)</f>
        <v>0</v>
      </c>
      <c r="H987" s="238">
        <v>11170</v>
      </c>
      <c r="I987" s="238">
        <v>0</v>
      </c>
      <c r="J987" s="182">
        <f t="shared" ref="J987:J996" si="353">(H987+I987)</f>
        <v>11170</v>
      </c>
      <c r="K987" s="238">
        <v>0</v>
      </c>
      <c r="L987" s="238">
        <v>0</v>
      </c>
      <c r="M987" s="239">
        <f t="shared" ref="M987:M997" si="354">D987+E987-G987-J987-K987-L987</f>
        <v>192231</v>
      </c>
      <c r="N987" s="240">
        <v>0</v>
      </c>
      <c r="O987" s="310">
        <v>232512</v>
      </c>
      <c r="P987" s="241">
        <v>0.25</v>
      </c>
      <c r="Q987" s="227">
        <f t="shared" ref="Q987:Q997" si="355">-O987*P987</f>
        <v>-58128</v>
      </c>
      <c r="R987" s="310">
        <f t="shared" ref="R987:R997" si="356">O987+Q987</f>
        <v>174384</v>
      </c>
      <c r="S987" s="242">
        <f t="shared" si="347"/>
        <v>17847</v>
      </c>
      <c r="T987" s="182">
        <f t="shared" ref="T987:T997" si="357">+IF(S987&gt;=0,ABS(S987),"")</f>
        <v>17847</v>
      </c>
      <c r="U987" s="307" t="str">
        <f t="shared" ref="U987:U997" si="358">+IF(S987&lt;=0,ABS(S987),"")</f>
        <v/>
      </c>
      <c r="V987" s="304"/>
      <c r="AC987" s="211" t="s">
        <v>720</v>
      </c>
      <c r="AD987" s="212"/>
      <c r="AE987" s="212"/>
      <c r="AF987" s="212"/>
      <c r="AG987" s="212"/>
      <c r="AH987" s="212"/>
      <c r="AI987" s="212"/>
      <c r="AJ987" s="212"/>
      <c r="AK987" s="212"/>
      <c r="AL987" s="212"/>
      <c r="AM987" s="212"/>
      <c r="AN987" s="212"/>
      <c r="AO987" s="212"/>
      <c r="AP987" s="212"/>
      <c r="AQ987" s="212"/>
      <c r="AR987" s="212"/>
      <c r="AS987" s="213"/>
    </row>
    <row r="988" spans="1:45" ht="15.75" customHeight="1" x14ac:dyDescent="0.3">
      <c r="A988" s="192" t="s">
        <v>10</v>
      </c>
      <c r="B988" s="189">
        <f t="shared" ref="B988:B997" si="359">ROUND(R960-G960,0)</f>
        <v>307643</v>
      </c>
      <c r="C988" s="182">
        <f t="shared" si="348"/>
        <v>0</v>
      </c>
      <c r="D988" s="182">
        <f t="shared" si="349"/>
        <v>13225</v>
      </c>
      <c r="E988" s="182">
        <f t="shared" si="350"/>
        <v>307643</v>
      </c>
      <c r="F988" s="307">
        <f t="shared" si="351"/>
        <v>320868</v>
      </c>
      <c r="G988" s="189">
        <f t="shared" si="352"/>
        <v>0</v>
      </c>
      <c r="H988" s="238">
        <v>7738</v>
      </c>
      <c r="I988" s="238">
        <v>0</v>
      </c>
      <c r="J988" s="182">
        <f t="shared" si="353"/>
        <v>7738</v>
      </c>
      <c r="K988" s="238">
        <v>0</v>
      </c>
      <c r="L988" s="238">
        <v>0</v>
      </c>
      <c r="M988" s="239">
        <f t="shared" si="354"/>
        <v>313130</v>
      </c>
      <c r="N988" s="240">
        <v>0</v>
      </c>
      <c r="O988" s="310">
        <v>273972</v>
      </c>
      <c r="P988" s="241">
        <v>0.3</v>
      </c>
      <c r="Q988" s="227">
        <f t="shared" si="355"/>
        <v>-82191.599999999991</v>
      </c>
      <c r="R988" s="310">
        <f t="shared" si="356"/>
        <v>191780.40000000002</v>
      </c>
      <c r="S988" s="242">
        <f t="shared" si="347"/>
        <v>121349.59999999998</v>
      </c>
      <c r="T988" s="182">
        <f t="shared" si="357"/>
        <v>121349.59999999998</v>
      </c>
      <c r="U988" s="307" t="str">
        <f t="shared" si="358"/>
        <v/>
      </c>
      <c r="V988" s="304"/>
      <c r="AC988" s="211" t="s">
        <v>721</v>
      </c>
      <c r="AD988" s="212"/>
      <c r="AE988" s="212"/>
      <c r="AF988" s="212"/>
      <c r="AG988" s="212"/>
      <c r="AH988" s="212"/>
      <c r="AI988" s="212"/>
      <c r="AJ988" s="212"/>
      <c r="AK988" s="212"/>
      <c r="AL988" s="212"/>
      <c r="AM988" s="212"/>
      <c r="AN988" s="212"/>
      <c r="AO988" s="212"/>
      <c r="AP988" s="212"/>
      <c r="AQ988" s="212"/>
      <c r="AR988" s="212"/>
      <c r="AS988" s="213"/>
    </row>
    <row r="989" spans="1:45" ht="15.75" customHeight="1" x14ac:dyDescent="0.3">
      <c r="A989" s="192" t="s">
        <v>12</v>
      </c>
      <c r="B989" s="189">
        <f t="shared" si="359"/>
        <v>296537</v>
      </c>
      <c r="C989" s="182">
        <f t="shared" si="348"/>
        <v>0</v>
      </c>
      <c r="D989" s="182">
        <f t="shared" si="349"/>
        <v>12902</v>
      </c>
      <c r="E989" s="182">
        <f t="shared" si="350"/>
        <v>296537</v>
      </c>
      <c r="F989" s="307">
        <f t="shared" si="351"/>
        <v>309439</v>
      </c>
      <c r="G989" s="189">
        <f t="shared" si="352"/>
        <v>0</v>
      </c>
      <c r="H989" s="238">
        <v>11080</v>
      </c>
      <c r="I989" s="238">
        <v>0</v>
      </c>
      <c r="J989" s="182">
        <f t="shared" si="353"/>
        <v>11080</v>
      </c>
      <c r="K989" s="238">
        <v>0</v>
      </c>
      <c r="L989" s="238">
        <v>0</v>
      </c>
      <c r="M989" s="239">
        <f t="shared" si="354"/>
        <v>298359</v>
      </c>
      <c r="N989" s="240">
        <v>-22320</v>
      </c>
      <c r="O989" s="310">
        <v>277920</v>
      </c>
      <c r="P989" s="241">
        <v>0.35</v>
      </c>
      <c r="Q989" s="227">
        <f t="shared" si="355"/>
        <v>-97272</v>
      </c>
      <c r="R989" s="310">
        <f t="shared" si="356"/>
        <v>180648</v>
      </c>
      <c r="S989" s="242">
        <f t="shared" si="347"/>
        <v>117711</v>
      </c>
      <c r="T989" s="182">
        <f t="shared" si="357"/>
        <v>117711</v>
      </c>
      <c r="U989" s="307" t="str">
        <f t="shared" si="358"/>
        <v/>
      </c>
      <c r="V989" s="304"/>
      <c r="AC989" s="211" t="s">
        <v>137</v>
      </c>
      <c r="AD989" s="212"/>
      <c r="AE989" s="212"/>
      <c r="AF989" s="212"/>
      <c r="AG989" s="212"/>
      <c r="AH989" s="212"/>
      <c r="AI989" s="212"/>
      <c r="AJ989" s="212"/>
      <c r="AK989" s="212"/>
      <c r="AL989" s="212"/>
      <c r="AM989" s="212"/>
      <c r="AN989" s="212"/>
      <c r="AO989" s="212"/>
      <c r="AP989" s="212"/>
      <c r="AQ989" s="212"/>
      <c r="AR989" s="212"/>
      <c r="AS989" s="213"/>
    </row>
    <row r="990" spans="1:45" ht="15.75" customHeight="1" x14ac:dyDescent="0.3">
      <c r="A990" s="192" t="s">
        <v>13</v>
      </c>
      <c r="B990" s="189">
        <f t="shared" si="359"/>
        <v>314369</v>
      </c>
      <c r="C990" s="182">
        <f t="shared" si="348"/>
        <v>0</v>
      </c>
      <c r="D990" s="182">
        <f t="shared" si="349"/>
        <v>13799</v>
      </c>
      <c r="E990" s="182">
        <f t="shared" si="350"/>
        <v>314369</v>
      </c>
      <c r="F990" s="307">
        <f t="shared" si="351"/>
        <v>328168</v>
      </c>
      <c r="G990" s="189">
        <f t="shared" si="352"/>
        <v>0</v>
      </c>
      <c r="H990" s="238">
        <v>9265</v>
      </c>
      <c r="I990" s="238">
        <v>0</v>
      </c>
      <c r="J990" s="182">
        <f t="shared" si="353"/>
        <v>9265</v>
      </c>
      <c r="K990" s="238">
        <v>0</v>
      </c>
      <c r="L990" s="238">
        <v>0</v>
      </c>
      <c r="M990" s="239">
        <f t="shared" si="354"/>
        <v>318903</v>
      </c>
      <c r="N990" s="240">
        <v>0</v>
      </c>
      <c r="O990" s="310">
        <v>285944</v>
      </c>
      <c r="P990" s="241">
        <v>0.35</v>
      </c>
      <c r="Q990" s="227">
        <f t="shared" si="355"/>
        <v>-100080.4</v>
      </c>
      <c r="R990" s="310">
        <f t="shared" si="356"/>
        <v>185863.6</v>
      </c>
      <c r="S990" s="242">
        <f t="shared" si="347"/>
        <v>133039.4</v>
      </c>
      <c r="T990" s="182">
        <f t="shared" si="357"/>
        <v>133039.4</v>
      </c>
      <c r="U990" s="307" t="str">
        <f t="shared" si="358"/>
        <v/>
      </c>
      <c r="V990" s="304"/>
      <c r="AC990" s="211" t="s">
        <v>772</v>
      </c>
      <c r="AD990" s="212"/>
      <c r="AE990" s="212"/>
      <c r="AF990" s="212"/>
      <c r="AG990" s="212"/>
      <c r="AH990" s="212"/>
      <c r="AI990" s="212"/>
      <c r="AJ990" s="212">
        <v>2.5000000000000001E-2</v>
      </c>
      <c r="AK990" s="212">
        <v>2.5000000000000001E-2</v>
      </c>
      <c r="AL990" s="212">
        <v>2.5000000000000001E-2</v>
      </c>
      <c r="AM990" s="212">
        <v>2.5000000000000001E-2</v>
      </c>
      <c r="AN990" s="212">
        <v>2.5000000000000001E-2</v>
      </c>
      <c r="AO990" s="212">
        <v>2.5000000000000001E-2</v>
      </c>
      <c r="AP990" s="212">
        <v>2.5000000000000001E-2</v>
      </c>
      <c r="AQ990" s="212">
        <v>2.5000000000000001E-2</v>
      </c>
      <c r="AR990" s="212">
        <v>2.5000000000000001E-2</v>
      </c>
      <c r="AS990" s="213"/>
    </row>
    <row r="991" spans="1:45" ht="15.75" customHeight="1" x14ac:dyDescent="0.3">
      <c r="A991" s="192" t="s">
        <v>14</v>
      </c>
      <c r="B991" s="189">
        <f>ROUND(R963-G963,0)</f>
        <v>154068</v>
      </c>
      <c r="C991" s="182">
        <f t="shared" si="348"/>
        <v>0</v>
      </c>
      <c r="D991" s="182">
        <f t="shared" si="349"/>
        <v>6352</v>
      </c>
      <c r="E991" s="182">
        <f t="shared" si="350"/>
        <v>154068</v>
      </c>
      <c r="F991" s="307">
        <f t="shared" si="351"/>
        <v>160420</v>
      </c>
      <c r="G991" s="189">
        <f t="shared" si="352"/>
        <v>17726.255889147997</v>
      </c>
      <c r="H991" s="238">
        <v>15931</v>
      </c>
      <c r="I991" s="238">
        <v>0</v>
      </c>
      <c r="J991" s="182">
        <f t="shared" si="353"/>
        <v>15931</v>
      </c>
      <c r="K991" s="238">
        <v>0</v>
      </c>
      <c r="L991" s="238">
        <v>0</v>
      </c>
      <c r="M991" s="239">
        <f t="shared" si="354"/>
        <v>126762.74411085201</v>
      </c>
      <c r="N991" s="240">
        <v>47280</v>
      </c>
      <c r="O991" s="310">
        <v>175440</v>
      </c>
      <c r="P991" s="241">
        <v>7.4999999999999997E-2</v>
      </c>
      <c r="Q991" s="227">
        <f t="shared" si="355"/>
        <v>-13158</v>
      </c>
      <c r="R991" s="310">
        <f t="shared" si="356"/>
        <v>162282</v>
      </c>
      <c r="S991" s="242">
        <f t="shared" si="347"/>
        <v>-35519.255889147986</v>
      </c>
      <c r="T991" s="182" t="str">
        <f t="shared" si="357"/>
        <v/>
      </c>
      <c r="U991" s="307">
        <f t="shared" si="358"/>
        <v>35519.255889147986</v>
      </c>
      <c r="V991" s="304"/>
      <c r="AC991" s="211" t="s">
        <v>641</v>
      </c>
      <c r="AD991" s="215">
        <f>SUM(AD986:AD990)</f>
        <v>0</v>
      </c>
      <c r="AE991" s="215">
        <f t="shared" ref="AE991:AR991" si="360">SUM(AE986:AE990)</f>
        <v>0</v>
      </c>
      <c r="AF991" s="215">
        <f t="shared" si="360"/>
        <v>0</v>
      </c>
      <c r="AG991" s="215">
        <f t="shared" si="360"/>
        <v>0</v>
      </c>
      <c r="AH991" s="215">
        <f t="shared" si="360"/>
        <v>1.6E-2</v>
      </c>
      <c r="AI991" s="215">
        <f t="shared" si="360"/>
        <v>1.6E-2</v>
      </c>
      <c r="AJ991" s="215">
        <f t="shared" si="360"/>
        <v>4.1000000000000002E-2</v>
      </c>
      <c r="AK991" s="215">
        <f t="shared" si="360"/>
        <v>4.1000000000000002E-2</v>
      </c>
      <c r="AL991" s="215">
        <f t="shared" si="360"/>
        <v>4.1000000000000002E-2</v>
      </c>
      <c r="AM991" s="215">
        <f t="shared" si="360"/>
        <v>4.1000000000000002E-2</v>
      </c>
      <c r="AN991" s="215">
        <f t="shared" si="360"/>
        <v>4.1000000000000002E-2</v>
      </c>
      <c r="AO991" s="215">
        <f t="shared" si="360"/>
        <v>4.1000000000000002E-2</v>
      </c>
      <c r="AP991" s="215">
        <f t="shared" si="360"/>
        <v>4.1000000000000002E-2</v>
      </c>
      <c r="AQ991" s="215">
        <f t="shared" si="360"/>
        <v>4.1000000000000002E-2</v>
      </c>
      <c r="AR991" s="215">
        <f t="shared" si="360"/>
        <v>4.1000000000000002E-2</v>
      </c>
      <c r="AS991" s="213"/>
    </row>
    <row r="992" spans="1:45" ht="15.75" customHeight="1" x14ac:dyDescent="0.3">
      <c r="A992" s="192" t="s">
        <v>16</v>
      </c>
      <c r="B992" s="189">
        <f t="shared" si="359"/>
        <v>157869</v>
      </c>
      <c r="C992" s="182">
        <f t="shared" si="348"/>
        <v>0</v>
      </c>
      <c r="D992" s="182">
        <f t="shared" si="349"/>
        <v>6503</v>
      </c>
      <c r="E992" s="182">
        <f t="shared" si="350"/>
        <v>157869</v>
      </c>
      <c r="F992" s="307">
        <f t="shared" si="351"/>
        <v>164372</v>
      </c>
      <c r="G992" s="189">
        <f t="shared" si="352"/>
        <v>14964.97925872385</v>
      </c>
      <c r="H992" s="238">
        <v>16823</v>
      </c>
      <c r="I992" s="238">
        <v>0</v>
      </c>
      <c r="J992" s="182">
        <f t="shared" si="353"/>
        <v>16823</v>
      </c>
      <c r="K992" s="238">
        <v>0</v>
      </c>
      <c r="L992" s="238">
        <v>0</v>
      </c>
      <c r="M992" s="239">
        <f t="shared" si="354"/>
        <v>132584.02074127615</v>
      </c>
      <c r="N992" s="240">
        <v>47120</v>
      </c>
      <c r="O992" s="310">
        <v>184760</v>
      </c>
      <c r="P992" s="241">
        <v>0.05</v>
      </c>
      <c r="Q992" s="227">
        <f t="shared" si="355"/>
        <v>-9238</v>
      </c>
      <c r="R992" s="310">
        <f t="shared" si="356"/>
        <v>175522</v>
      </c>
      <c r="S992" s="242">
        <f t="shared" si="347"/>
        <v>-42937.979258723848</v>
      </c>
      <c r="T992" s="182" t="str">
        <f t="shared" si="357"/>
        <v/>
      </c>
      <c r="U992" s="307">
        <f t="shared" si="358"/>
        <v>42937.979258723848</v>
      </c>
      <c r="V992" s="304"/>
      <c r="AC992" s="189" t="s">
        <v>666</v>
      </c>
      <c r="AD992" s="182" t="s">
        <v>666</v>
      </c>
      <c r="AE992" s="182" t="s">
        <v>666</v>
      </c>
      <c r="AF992" s="182" t="s">
        <v>666</v>
      </c>
      <c r="AG992" s="182" t="s">
        <v>666</v>
      </c>
      <c r="AH992" s="182" t="s">
        <v>666</v>
      </c>
      <c r="AI992" s="182" t="s">
        <v>666</v>
      </c>
      <c r="AJ992" s="182" t="s">
        <v>666</v>
      </c>
      <c r="AK992" s="182" t="s">
        <v>666</v>
      </c>
      <c r="AL992" s="182" t="s">
        <v>666</v>
      </c>
      <c r="AM992" s="182" t="s">
        <v>666</v>
      </c>
      <c r="AN992" s="182" t="s">
        <v>666</v>
      </c>
      <c r="AO992" s="182" t="s">
        <v>666</v>
      </c>
      <c r="AP992" s="182" t="s">
        <v>666</v>
      </c>
      <c r="AQ992" s="182" t="s">
        <v>666</v>
      </c>
      <c r="AR992" s="182" t="s">
        <v>666</v>
      </c>
      <c r="AS992" s="213" t="s">
        <v>666</v>
      </c>
    </row>
    <row r="993" spans="1:45" ht="15.75" customHeight="1" x14ac:dyDescent="0.3">
      <c r="A993" s="192" t="s">
        <v>17</v>
      </c>
      <c r="B993" s="189">
        <f t="shared" si="359"/>
        <v>95224</v>
      </c>
      <c r="C993" s="182">
        <f t="shared" si="348"/>
        <v>0</v>
      </c>
      <c r="D993" s="182">
        <f t="shared" si="349"/>
        <v>3621</v>
      </c>
      <c r="E993" s="182">
        <f t="shared" si="350"/>
        <v>95224</v>
      </c>
      <c r="F993" s="307">
        <f t="shared" si="351"/>
        <v>98845</v>
      </c>
      <c r="G993" s="189">
        <f t="shared" si="352"/>
        <v>12728.023273127785</v>
      </c>
      <c r="H993" s="238">
        <v>14521</v>
      </c>
      <c r="I993" s="238">
        <v>0</v>
      </c>
      <c r="J993" s="182">
        <f t="shared" si="353"/>
        <v>14521</v>
      </c>
      <c r="K993" s="238">
        <v>0</v>
      </c>
      <c r="L993" s="238">
        <v>0</v>
      </c>
      <c r="M993" s="239">
        <f t="shared" si="354"/>
        <v>71595.976726872221</v>
      </c>
      <c r="N993" s="240">
        <v>58776</v>
      </c>
      <c r="O993" s="310">
        <v>118296</v>
      </c>
      <c r="P993" s="241">
        <v>0</v>
      </c>
      <c r="Q993" s="227">
        <f t="shared" si="355"/>
        <v>0</v>
      </c>
      <c r="R993" s="310">
        <f t="shared" si="356"/>
        <v>118296</v>
      </c>
      <c r="S993" s="242">
        <f t="shared" si="347"/>
        <v>-46700.023273127779</v>
      </c>
      <c r="T993" s="182" t="str">
        <f t="shared" si="357"/>
        <v/>
      </c>
      <c r="U993" s="307">
        <f t="shared" si="358"/>
        <v>46700.023273127779</v>
      </c>
      <c r="V993" s="304"/>
      <c r="AC993" s="211" t="s">
        <v>8</v>
      </c>
      <c r="AD993" s="180">
        <f>ROUND(B958*$AD$991, 0)</f>
        <v>0</v>
      </c>
      <c r="AE993" s="180">
        <f>ROUND(C958*$AE$991,0)</f>
        <v>0</v>
      </c>
      <c r="AF993" s="180">
        <f>ROUND(D958*$AF$991,0)</f>
        <v>0</v>
      </c>
      <c r="AG993" s="180">
        <f>ROUND(E958*$AG$991,0)</f>
        <v>0</v>
      </c>
      <c r="AH993" s="180">
        <f>ROUND(F958*$AH$991,0)</f>
        <v>72</v>
      </c>
      <c r="AI993" s="180">
        <f>ROUND(H958*$AI$991,0)</f>
        <v>66</v>
      </c>
      <c r="AJ993" s="180">
        <f>ROUND(I958*$AJ$991,0)</f>
        <v>133</v>
      </c>
      <c r="AK993" s="180">
        <f>ROUND(J958*$AK$991,0)</f>
        <v>205</v>
      </c>
      <c r="AL993" s="180">
        <f>ROUND(K958*$AL$991,0)</f>
        <v>211</v>
      </c>
      <c r="AM993" s="180">
        <f>ROUND(L958*$AM$991,0)</f>
        <v>75</v>
      </c>
      <c r="AN993" s="180">
        <f>ROUND(M958*$AN$991,0)</f>
        <v>89</v>
      </c>
      <c r="AO993" s="180">
        <f>ROUND(N958*$AO$991,0)</f>
        <v>183</v>
      </c>
      <c r="AP993" s="180">
        <f>ROUND(O958*$AP$991,0)</f>
        <v>31</v>
      </c>
      <c r="AQ993" s="180">
        <f>ROUND(P958*$AQ$991,0)</f>
        <v>37</v>
      </c>
      <c r="AR993" s="180">
        <f>ROUND(Q958*$AR$991,0)</f>
        <v>73</v>
      </c>
      <c r="AS993" s="210">
        <f>SUM(AD993:AR993)</f>
        <v>1175</v>
      </c>
    </row>
    <row r="994" spans="1:45" ht="15.75" customHeight="1" x14ac:dyDescent="0.3">
      <c r="A994" s="192" t="s">
        <v>18</v>
      </c>
      <c r="B994" s="189">
        <f t="shared" si="359"/>
        <v>255623</v>
      </c>
      <c r="C994" s="182">
        <f t="shared" si="348"/>
        <v>0</v>
      </c>
      <c r="D994" s="182">
        <f t="shared" si="349"/>
        <v>11285</v>
      </c>
      <c r="E994" s="182">
        <f t="shared" si="350"/>
        <v>255623</v>
      </c>
      <c r="F994" s="307">
        <f t="shared" si="351"/>
        <v>266908</v>
      </c>
      <c r="G994" s="189">
        <f t="shared" si="352"/>
        <v>0</v>
      </c>
      <c r="H994" s="238">
        <v>12767</v>
      </c>
      <c r="I994" s="238">
        <v>0</v>
      </c>
      <c r="J994" s="182">
        <f t="shared" si="353"/>
        <v>12767</v>
      </c>
      <c r="K994" s="238">
        <v>0</v>
      </c>
      <c r="L994" s="238">
        <v>0</v>
      </c>
      <c r="M994" s="239">
        <f t="shared" si="354"/>
        <v>254141</v>
      </c>
      <c r="N994" s="240">
        <v>0</v>
      </c>
      <c r="O994" s="310">
        <v>246000</v>
      </c>
      <c r="P994" s="241">
        <v>0.05</v>
      </c>
      <c r="Q994" s="227">
        <f t="shared" si="355"/>
        <v>-12300</v>
      </c>
      <c r="R994" s="310">
        <f t="shared" si="356"/>
        <v>233700</v>
      </c>
      <c r="S994" s="242">
        <f t="shared" si="347"/>
        <v>20441</v>
      </c>
      <c r="T994" s="182">
        <f t="shared" si="357"/>
        <v>20441</v>
      </c>
      <c r="U994" s="307" t="str">
        <f t="shared" si="358"/>
        <v/>
      </c>
      <c r="V994" s="304"/>
      <c r="AC994" s="211" t="s">
        <v>9</v>
      </c>
      <c r="AD994" s="180">
        <f t="shared" ref="AD994:AD1004" si="361">ROUND(B959*$AD$991, 0)</f>
        <v>0</v>
      </c>
      <c r="AE994" s="180">
        <f t="shared" ref="AE994:AE1004" si="362">ROUND(C959*$AE$991,0)</f>
        <v>0</v>
      </c>
      <c r="AF994" s="180">
        <f t="shared" ref="AF994:AF1004" si="363">ROUND(D959*$AF$991,0)</f>
        <v>0</v>
      </c>
      <c r="AG994" s="180">
        <f t="shared" ref="AG994:AG1004" si="364">ROUND(E959*$AG$991,0)</f>
        <v>0</v>
      </c>
      <c r="AH994" s="180">
        <f t="shared" ref="AH994:AH1004" si="365">ROUND(F959*$AH$991,0)</f>
        <v>118</v>
      </c>
      <c r="AI994" s="180">
        <f t="shared" ref="AI994:AI1004" si="366">ROUND(H959*$AI$991,0)</f>
        <v>78</v>
      </c>
      <c r="AJ994" s="180">
        <f t="shared" ref="AJ994:AJ1004" si="367">ROUND(I959*$AJ$991,0)</f>
        <v>139</v>
      </c>
      <c r="AK994" s="180">
        <f t="shared" ref="AK994:AK1004" si="368">ROUND(J959*$AK$991,0)</f>
        <v>213</v>
      </c>
      <c r="AL994" s="180">
        <f t="shared" ref="AL994:AL1004" si="369">ROUND(K959*$AL$991,0)</f>
        <v>215</v>
      </c>
      <c r="AM994" s="180">
        <f t="shared" ref="AM994:AM1004" si="370">ROUND(L959*$AM$991,0)</f>
        <v>75</v>
      </c>
      <c r="AN994" s="180">
        <f t="shared" ref="AN994:AN1004" si="371">ROUND(M959*$AN$991,0)</f>
        <v>89</v>
      </c>
      <c r="AO994" s="180">
        <f t="shared" ref="AO994:AO1004" si="372">ROUND(N959*$AO$991,0)</f>
        <v>184</v>
      </c>
      <c r="AP994" s="180">
        <f t="shared" ref="AP994:AP1004" si="373">ROUND(O959*$AP$991,0)</f>
        <v>31</v>
      </c>
      <c r="AQ994" s="180">
        <f t="shared" ref="AQ994:AQ1004" si="374">ROUND(P959*$AQ$991,0)</f>
        <v>39</v>
      </c>
      <c r="AR994" s="180">
        <f t="shared" ref="AR994:AR1004" si="375">ROUND(Q959*$AR$991,0)</f>
        <v>74</v>
      </c>
      <c r="AS994" s="210">
        <f t="shared" ref="AS994:AS1004" si="376">SUM(AD994:AR994)</f>
        <v>1255</v>
      </c>
    </row>
    <row r="995" spans="1:45" ht="15.75" customHeight="1" x14ac:dyDescent="0.3">
      <c r="A995" s="192" t="s">
        <v>20</v>
      </c>
      <c r="B995" s="189">
        <f t="shared" si="359"/>
        <v>263802</v>
      </c>
      <c r="C995" s="182">
        <f t="shared" si="348"/>
        <v>0</v>
      </c>
      <c r="D995" s="182">
        <f t="shared" si="349"/>
        <v>11542</v>
      </c>
      <c r="E995" s="182">
        <f t="shared" si="350"/>
        <v>263802</v>
      </c>
      <c r="F995" s="307">
        <f t="shared" si="351"/>
        <v>275344</v>
      </c>
      <c r="G995" s="189">
        <f t="shared" si="352"/>
        <v>0</v>
      </c>
      <c r="H995" s="238">
        <v>12362</v>
      </c>
      <c r="I995" s="238">
        <v>0</v>
      </c>
      <c r="J995" s="182">
        <f t="shared" si="353"/>
        <v>12362</v>
      </c>
      <c r="K995" s="238">
        <v>0</v>
      </c>
      <c r="L995" s="238">
        <v>0</v>
      </c>
      <c r="M995" s="239">
        <f t="shared" si="354"/>
        <v>262982</v>
      </c>
      <c r="N995" s="240">
        <v>0</v>
      </c>
      <c r="O995" s="310">
        <v>204168</v>
      </c>
      <c r="P995" s="241">
        <v>0.2</v>
      </c>
      <c r="Q995" s="227">
        <f t="shared" si="355"/>
        <v>-40833.600000000006</v>
      </c>
      <c r="R995" s="310">
        <f t="shared" si="356"/>
        <v>163334.39999999999</v>
      </c>
      <c r="S995" s="242">
        <f t="shared" si="347"/>
        <v>99647.6</v>
      </c>
      <c r="T995" s="182">
        <f t="shared" si="357"/>
        <v>99647.6</v>
      </c>
      <c r="U995" s="307" t="str">
        <f t="shared" si="358"/>
        <v/>
      </c>
      <c r="V995" s="304"/>
      <c r="AC995" s="211" t="s">
        <v>10</v>
      </c>
      <c r="AD995" s="180">
        <f t="shared" si="361"/>
        <v>0</v>
      </c>
      <c r="AE995" s="180">
        <f t="shared" si="362"/>
        <v>0</v>
      </c>
      <c r="AF995" s="180">
        <f t="shared" si="363"/>
        <v>0</v>
      </c>
      <c r="AG995" s="180">
        <f t="shared" si="364"/>
        <v>0</v>
      </c>
      <c r="AH995" s="180">
        <f t="shared" si="365"/>
        <v>196</v>
      </c>
      <c r="AI995" s="180">
        <f t="shared" si="366"/>
        <v>137</v>
      </c>
      <c r="AJ995" s="180">
        <f t="shared" si="367"/>
        <v>199</v>
      </c>
      <c r="AK995" s="180">
        <f t="shared" si="368"/>
        <v>262</v>
      </c>
      <c r="AL995" s="180">
        <f t="shared" si="369"/>
        <v>238</v>
      </c>
      <c r="AM995" s="180">
        <f t="shared" si="370"/>
        <v>80</v>
      </c>
      <c r="AN995" s="180">
        <f t="shared" si="371"/>
        <v>94</v>
      </c>
      <c r="AO995" s="180">
        <f t="shared" si="372"/>
        <v>192</v>
      </c>
      <c r="AP995" s="180">
        <f t="shared" si="373"/>
        <v>32</v>
      </c>
      <c r="AQ995" s="180">
        <f t="shared" si="374"/>
        <v>64</v>
      </c>
      <c r="AR995" s="180">
        <f t="shared" si="375"/>
        <v>76</v>
      </c>
      <c r="AS995" s="210">
        <f t="shared" si="376"/>
        <v>1570</v>
      </c>
    </row>
    <row r="996" spans="1:45" ht="15.75" customHeight="1" x14ac:dyDescent="0.3">
      <c r="A996" s="192" t="s">
        <v>21</v>
      </c>
      <c r="B996" s="189">
        <f t="shared" si="359"/>
        <v>251474</v>
      </c>
      <c r="C996" s="182">
        <f t="shared" si="348"/>
        <v>0</v>
      </c>
      <c r="D996" s="182">
        <f t="shared" si="349"/>
        <v>10895</v>
      </c>
      <c r="E996" s="182">
        <f t="shared" si="350"/>
        <v>251474</v>
      </c>
      <c r="F996" s="307">
        <f t="shared" si="351"/>
        <v>262369</v>
      </c>
      <c r="G996" s="189">
        <f t="shared" si="352"/>
        <v>0</v>
      </c>
      <c r="H996" s="238">
        <v>11454</v>
      </c>
      <c r="I996" s="238">
        <v>0</v>
      </c>
      <c r="J996" s="182">
        <f t="shared" si="353"/>
        <v>11454</v>
      </c>
      <c r="K996" s="238">
        <v>0</v>
      </c>
      <c r="L996" s="238">
        <v>0</v>
      </c>
      <c r="M996" s="239">
        <f t="shared" si="354"/>
        <v>250915</v>
      </c>
      <c r="N996" s="240">
        <v>0</v>
      </c>
      <c r="O996" s="310">
        <v>197520</v>
      </c>
      <c r="P996" s="241">
        <v>0.2</v>
      </c>
      <c r="Q996" s="227">
        <f t="shared" si="355"/>
        <v>-39504</v>
      </c>
      <c r="R996" s="310">
        <f t="shared" si="356"/>
        <v>158016</v>
      </c>
      <c r="S996" s="242">
        <f t="shared" si="347"/>
        <v>92899</v>
      </c>
      <c r="T996" s="182">
        <f t="shared" si="357"/>
        <v>92899</v>
      </c>
      <c r="U996" s="307" t="str">
        <f t="shared" si="358"/>
        <v/>
      </c>
      <c r="V996" s="304"/>
      <c r="AC996" s="211" t="s">
        <v>12</v>
      </c>
      <c r="AD996" s="180">
        <f t="shared" si="361"/>
        <v>0</v>
      </c>
      <c r="AE996" s="180">
        <f t="shared" si="362"/>
        <v>0</v>
      </c>
      <c r="AF996" s="180">
        <f t="shared" si="363"/>
        <v>0</v>
      </c>
      <c r="AG996" s="180">
        <f t="shared" si="364"/>
        <v>0</v>
      </c>
      <c r="AH996" s="180">
        <f t="shared" si="365"/>
        <v>100</v>
      </c>
      <c r="AI996" s="180">
        <f t="shared" si="366"/>
        <v>165</v>
      </c>
      <c r="AJ996" s="180">
        <f t="shared" si="367"/>
        <v>255</v>
      </c>
      <c r="AK996" s="180">
        <f t="shared" si="368"/>
        <v>298</v>
      </c>
      <c r="AL996" s="180">
        <f t="shared" si="369"/>
        <v>271</v>
      </c>
      <c r="AM996" s="180">
        <f t="shared" si="370"/>
        <v>82</v>
      </c>
      <c r="AN996" s="180">
        <f t="shared" si="371"/>
        <v>96</v>
      </c>
      <c r="AO996" s="180">
        <f t="shared" si="372"/>
        <v>193</v>
      </c>
      <c r="AP996" s="180">
        <f t="shared" si="373"/>
        <v>32</v>
      </c>
      <c r="AQ996" s="180">
        <f t="shared" si="374"/>
        <v>68</v>
      </c>
      <c r="AR996" s="180">
        <f t="shared" si="375"/>
        <v>76</v>
      </c>
      <c r="AS996" s="210">
        <f t="shared" si="376"/>
        <v>1636</v>
      </c>
    </row>
    <row r="997" spans="1:45" ht="15.75" customHeight="1" x14ac:dyDescent="0.3">
      <c r="A997" s="192" t="s">
        <v>22</v>
      </c>
      <c r="B997" s="189">
        <f t="shared" si="359"/>
        <v>247512</v>
      </c>
      <c r="C997" s="182">
        <f t="shared" si="348"/>
        <v>0</v>
      </c>
      <c r="D997" s="182">
        <f t="shared" si="349"/>
        <v>10673</v>
      </c>
      <c r="E997" s="182">
        <f t="shared" si="350"/>
        <v>247512</v>
      </c>
      <c r="F997" s="307">
        <f t="shared" si="351"/>
        <v>258185</v>
      </c>
      <c r="G997" s="189">
        <f t="shared" si="352"/>
        <v>0</v>
      </c>
      <c r="H997" s="238">
        <v>10317</v>
      </c>
      <c r="I997" s="238">
        <v>0</v>
      </c>
      <c r="J997" s="182">
        <f>(H997+I997)</f>
        <v>10317</v>
      </c>
      <c r="K997" s="238">
        <v>0</v>
      </c>
      <c r="L997" s="238">
        <v>0</v>
      </c>
      <c r="M997" s="239">
        <f t="shared" si="354"/>
        <v>247868</v>
      </c>
      <c r="N997" s="240">
        <v>0</v>
      </c>
      <c r="O997" s="310">
        <v>203856</v>
      </c>
      <c r="P997" s="241">
        <v>0.2</v>
      </c>
      <c r="Q997" s="227">
        <f t="shared" si="355"/>
        <v>-40771.200000000004</v>
      </c>
      <c r="R997" s="310">
        <f t="shared" si="356"/>
        <v>163084.79999999999</v>
      </c>
      <c r="S997" s="242">
        <f t="shared" si="347"/>
        <v>84783.200000000012</v>
      </c>
      <c r="T997" s="182">
        <f t="shared" si="357"/>
        <v>84783.200000000012</v>
      </c>
      <c r="U997" s="307" t="str">
        <f t="shared" si="358"/>
        <v/>
      </c>
      <c r="V997" s="304"/>
      <c r="AC997" s="211" t="s">
        <v>13</v>
      </c>
      <c r="AD997" s="180">
        <f t="shared" si="361"/>
        <v>0</v>
      </c>
      <c r="AE997" s="180">
        <f t="shared" si="362"/>
        <v>0</v>
      </c>
      <c r="AF997" s="180">
        <f t="shared" si="363"/>
        <v>0</v>
      </c>
      <c r="AG997" s="180">
        <f t="shared" si="364"/>
        <v>0</v>
      </c>
      <c r="AH997" s="180">
        <f t="shared" si="365"/>
        <v>64</v>
      </c>
      <c r="AI997" s="180">
        <f t="shared" si="366"/>
        <v>192</v>
      </c>
      <c r="AJ997" s="180">
        <f t="shared" si="367"/>
        <v>252</v>
      </c>
      <c r="AK997" s="180">
        <f t="shared" si="368"/>
        <v>305</v>
      </c>
      <c r="AL997" s="180">
        <f t="shared" si="369"/>
        <v>286</v>
      </c>
      <c r="AM997" s="180">
        <f t="shared" si="370"/>
        <v>86</v>
      </c>
      <c r="AN997" s="180">
        <f t="shared" si="371"/>
        <v>101</v>
      </c>
      <c r="AO997" s="180">
        <f t="shared" si="372"/>
        <v>199</v>
      </c>
      <c r="AP997" s="180">
        <f t="shared" si="373"/>
        <v>33</v>
      </c>
      <c r="AQ997" s="180">
        <f t="shared" si="374"/>
        <v>68</v>
      </c>
      <c r="AR997" s="180">
        <f t="shared" si="375"/>
        <v>78</v>
      </c>
      <c r="AS997" s="210">
        <f t="shared" si="376"/>
        <v>1664</v>
      </c>
    </row>
    <row r="998" spans="1:45" ht="15.75" customHeight="1" x14ac:dyDescent="0.3">
      <c r="A998" s="213" t="s">
        <v>633</v>
      </c>
      <c r="B998" s="189" t="s">
        <v>633</v>
      </c>
      <c r="C998" s="182"/>
      <c r="D998" s="182"/>
      <c r="E998" s="182" t="s">
        <v>7</v>
      </c>
      <c r="F998" s="307"/>
      <c r="G998" s="189"/>
      <c r="H998" s="182"/>
      <c r="I998" s="182" t="s">
        <v>7</v>
      </c>
      <c r="J998" s="182" t="s">
        <v>7</v>
      </c>
      <c r="K998" s="243"/>
      <c r="L998" s="182"/>
      <c r="M998" s="239"/>
      <c r="N998" s="240"/>
      <c r="O998" s="310"/>
      <c r="P998" s="241"/>
      <c r="Q998" s="240"/>
      <c r="R998" s="310"/>
      <c r="S998" s="242"/>
      <c r="T998" s="182"/>
      <c r="U998" s="307"/>
      <c r="V998" s="304"/>
      <c r="AC998" s="211" t="s">
        <v>14</v>
      </c>
      <c r="AD998" s="180">
        <f t="shared" si="361"/>
        <v>0</v>
      </c>
      <c r="AE998" s="180">
        <f t="shared" si="362"/>
        <v>0</v>
      </c>
      <c r="AF998" s="180">
        <f t="shared" si="363"/>
        <v>0</v>
      </c>
      <c r="AG998" s="180">
        <f t="shared" si="364"/>
        <v>0</v>
      </c>
      <c r="AH998" s="180">
        <f t="shared" si="365"/>
        <v>0</v>
      </c>
      <c r="AI998" s="180">
        <f t="shared" si="366"/>
        <v>228</v>
      </c>
      <c r="AJ998" s="180">
        <f t="shared" si="367"/>
        <v>340</v>
      </c>
      <c r="AK998" s="180">
        <f t="shared" si="368"/>
        <v>358</v>
      </c>
      <c r="AL998" s="180">
        <f t="shared" si="369"/>
        <v>283</v>
      </c>
      <c r="AM998" s="180">
        <f t="shared" si="370"/>
        <v>87</v>
      </c>
      <c r="AN998" s="180">
        <f t="shared" si="371"/>
        <v>103</v>
      </c>
      <c r="AO998" s="180">
        <f t="shared" si="372"/>
        <v>200</v>
      </c>
      <c r="AP998" s="180">
        <f t="shared" si="373"/>
        <v>32</v>
      </c>
      <c r="AQ998" s="180">
        <f t="shared" si="374"/>
        <v>80</v>
      </c>
      <c r="AR998" s="180">
        <f t="shared" si="375"/>
        <v>77</v>
      </c>
      <c r="AS998" s="210">
        <f t="shared" si="376"/>
        <v>1788</v>
      </c>
    </row>
    <row r="999" spans="1:45" ht="16.5" customHeight="1" thickBot="1" x14ac:dyDescent="0.35">
      <c r="A999" s="244" t="s">
        <v>641</v>
      </c>
      <c r="B999" s="204">
        <f>SUM(B986:B997)</f>
        <v>2699462</v>
      </c>
      <c r="C999" s="205">
        <f>+SUM(C986:C997)</f>
        <v>0</v>
      </c>
      <c r="D999" s="205">
        <f>SUM(D986:D997)</f>
        <v>115914</v>
      </c>
      <c r="E999" s="205">
        <f t="shared" si="350"/>
        <v>2699462</v>
      </c>
      <c r="F999" s="245">
        <f>SUM(F986:F997)</f>
        <v>2815376</v>
      </c>
      <c r="G999" s="204">
        <f>SUM(G986:G997)</f>
        <v>45419.258420999635</v>
      </c>
      <c r="H999" s="205">
        <f>SUM(H986:H997)</f>
        <v>142345</v>
      </c>
      <c r="I999" s="205">
        <f>SUM(I986:I997)</f>
        <v>0</v>
      </c>
      <c r="J999" s="205">
        <f>(H999+I999)</f>
        <v>142345</v>
      </c>
      <c r="K999" s="205">
        <f>SUM(K986:K997)</f>
        <v>0</v>
      </c>
      <c r="L999" s="205">
        <f>SUM(L986:L997)</f>
        <v>0</v>
      </c>
      <c r="M999" s="246">
        <f>SUM(M986:M997)</f>
        <v>2627611.7415790004</v>
      </c>
      <c r="N999" s="247">
        <f>SUM(N986:N997)</f>
        <v>130856</v>
      </c>
      <c r="O999" s="248">
        <f>+M999+N999</f>
        <v>2758467.7415790004</v>
      </c>
      <c r="P999" s="249">
        <f>Q999/O999</f>
        <v>-0.19712798950069824</v>
      </c>
      <c r="Q999" s="250">
        <f>SUM(Q986:Q997)</f>
        <v>-543771.19999999995</v>
      </c>
      <c r="R999" s="248">
        <f>SUM(R986:R997)</f>
        <v>2108088.7999999998</v>
      </c>
      <c r="S999" s="251">
        <f>(F999-G999-J999-K999-L999-R999)</f>
        <v>519522.94157900056</v>
      </c>
      <c r="T999" s="205">
        <f>+SUM(T986:T997)</f>
        <v>687717.8</v>
      </c>
      <c r="U999" s="245">
        <f>+SUM(U986:U997)</f>
        <v>168194.8584209996</v>
      </c>
      <c r="V999" s="304"/>
      <c r="AC999" s="211" t="s">
        <v>16</v>
      </c>
      <c r="AD999" s="180">
        <f t="shared" si="361"/>
        <v>0</v>
      </c>
      <c r="AE999" s="180">
        <f t="shared" si="362"/>
        <v>0</v>
      </c>
      <c r="AF999" s="180">
        <f t="shared" si="363"/>
        <v>0</v>
      </c>
      <c r="AG999" s="180">
        <f t="shared" si="364"/>
        <v>0</v>
      </c>
      <c r="AH999" s="180">
        <f t="shared" si="365"/>
        <v>0</v>
      </c>
      <c r="AI999" s="180">
        <f t="shared" si="366"/>
        <v>223</v>
      </c>
      <c r="AJ999" s="180">
        <f t="shared" si="367"/>
        <v>370</v>
      </c>
      <c r="AK999" s="180">
        <f t="shared" si="368"/>
        <v>368</v>
      </c>
      <c r="AL999" s="180">
        <f t="shared" si="369"/>
        <v>315</v>
      </c>
      <c r="AM999" s="180">
        <f t="shared" si="370"/>
        <v>91</v>
      </c>
      <c r="AN999" s="180">
        <f t="shared" si="371"/>
        <v>107</v>
      </c>
      <c r="AO999" s="180">
        <f t="shared" si="372"/>
        <v>204</v>
      </c>
      <c r="AP999" s="180">
        <f t="shared" si="373"/>
        <v>33</v>
      </c>
      <c r="AQ999" s="180">
        <f t="shared" si="374"/>
        <v>78</v>
      </c>
      <c r="AR999" s="180">
        <f t="shared" si="375"/>
        <v>77</v>
      </c>
      <c r="AS999" s="210">
        <f t="shared" si="376"/>
        <v>1866</v>
      </c>
    </row>
    <row r="1000" spans="1:45" ht="15.75" customHeight="1" x14ac:dyDescent="0.3">
      <c r="A1000" s="95"/>
      <c r="B1000" s="180"/>
      <c r="C1000" s="180"/>
      <c r="D1000" s="180"/>
      <c r="E1000" s="180"/>
      <c r="F1000" s="180" t="s">
        <v>633</v>
      </c>
      <c r="G1000" s="180"/>
      <c r="H1000" s="180"/>
      <c r="I1000" s="180"/>
      <c r="K1000" s="180"/>
      <c r="L1000" s="180"/>
      <c r="M1000" s="252"/>
      <c r="O1000" s="200"/>
      <c r="P1000" s="174"/>
      <c r="V1000" s="304"/>
      <c r="AC1000" s="211" t="s">
        <v>17</v>
      </c>
      <c r="AD1000" s="180">
        <f t="shared" si="361"/>
        <v>0</v>
      </c>
      <c r="AE1000" s="180">
        <f t="shared" si="362"/>
        <v>0</v>
      </c>
      <c r="AF1000" s="180">
        <f t="shared" si="363"/>
        <v>0</v>
      </c>
      <c r="AG1000" s="180">
        <f t="shared" si="364"/>
        <v>0</v>
      </c>
      <c r="AH1000" s="180">
        <f t="shared" si="365"/>
        <v>0</v>
      </c>
      <c r="AI1000" s="180">
        <f t="shared" si="366"/>
        <v>204</v>
      </c>
      <c r="AJ1000" s="180">
        <f t="shared" si="367"/>
        <v>309</v>
      </c>
      <c r="AK1000" s="180">
        <f t="shared" si="368"/>
        <v>347</v>
      </c>
      <c r="AL1000" s="180">
        <f t="shared" si="369"/>
        <v>298</v>
      </c>
      <c r="AM1000" s="180">
        <f t="shared" si="370"/>
        <v>89</v>
      </c>
      <c r="AN1000" s="180">
        <f t="shared" si="371"/>
        <v>105</v>
      </c>
      <c r="AO1000" s="180">
        <f t="shared" si="372"/>
        <v>203</v>
      </c>
      <c r="AP1000" s="180">
        <f t="shared" si="373"/>
        <v>36</v>
      </c>
      <c r="AQ1000" s="180">
        <f t="shared" si="374"/>
        <v>68</v>
      </c>
      <c r="AR1000" s="180">
        <f t="shared" si="375"/>
        <v>84</v>
      </c>
      <c r="AS1000" s="210">
        <f t="shared" si="376"/>
        <v>1743</v>
      </c>
    </row>
    <row r="1001" spans="1:45" ht="15.75" customHeight="1" x14ac:dyDescent="0.3">
      <c r="A1001" s="179" t="s">
        <v>773</v>
      </c>
      <c r="P1001" s="180"/>
      <c r="Q1001" s="180"/>
      <c r="R1001" s="180"/>
      <c r="V1001" s="304"/>
      <c r="AC1001" s="211" t="s">
        <v>18</v>
      </c>
      <c r="AD1001" s="180">
        <f t="shared" si="361"/>
        <v>0</v>
      </c>
      <c r="AE1001" s="180">
        <f t="shared" si="362"/>
        <v>0</v>
      </c>
      <c r="AF1001" s="180">
        <f t="shared" si="363"/>
        <v>0</v>
      </c>
      <c r="AG1001" s="180">
        <f t="shared" si="364"/>
        <v>0</v>
      </c>
      <c r="AH1001" s="180">
        <f t="shared" si="365"/>
        <v>17</v>
      </c>
      <c r="AI1001" s="180">
        <f t="shared" si="366"/>
        <v>141</v>
      </c>
      <c r="AJ1001" s="180">
        <f t="shared" si="367"/>
        <v>186</v>
      </c>
      <c r="AK1001" s="180">
        <f t="shared" si="368"/>
        <v>271</v>
      </c>
      <c r="AL1001" s="180">
        <f t="shared" si="369"/>
        <v>259</v>
      </c>
      <c r="AM1001" s="180">
        <f t="shared" si="370"/>
        <v>83</v>
      </c>
      <c r="AN1001" s="180">
        <f t="shared" si="371"/>
        <v>98</v>
      </c>
      <c r="AO1001" s="180">
        <f t="shared" si="372"/>
        <v>196</v>
      </c>
      <c r="AP1001" s="180">
        <f t="shared" si="373"/>
        <v>35</v>
      </c>
      <c r="AQ1001" s="180">
        <f t="shared" si="374"/>
        <v>56</v>
      </c>
      <c r="AR1001" s="180">
        <f t="shared" si="375"/>
        <v>84</v>
      </c>
      <c r="AS1001" s="210">
        <f t="shared" si="376"/>
        <v>1426</v>
      </c>
    </row>
    <row r="1002" spans="1:45" ht="15.75" customHeight="1" x14ac:dyDescent="0.3">
      <c r="A1002" s="179" t="s">
        <v>774</v>
      </c>
      <c r="D1002" s="180"/>
      <c r="E1002" s="180"/>
      <c r="F1002" s="180"/>
      <c r="G1002" s="180"/>
      <c r="H1002" s="180"/>
      <c r="I1002" s="180"/>
      <c r="J1002" s="180"/>
      <c r="K1002" s="180"/>
      <c r="L1002" s="180"/>
      <c r="M1002" s="180"/>
      <c r="N1002" s="180"/>
      <c r="O1002" s="180"/>
      <c r="P1002" s="180"/>
      <c r="Q1002" s="180"/>
      <c r="R1002" s="180"/>
      <c r="V1002" s="304"/>
      <c r="AC1002" s="211" t="s">
        <v>20</v>
      </c>
      <c r="AD1002" s="180">
        <f t="shared" si="361"/>
        <v>0</v>
      </c>
      <c r="AE1002" s="180">
        <f t="shared" si="362"/>
        <v>0</v>
      </c>
      <c r="AF1002" s="180">
        <f t="shared" si="363"/>
        <v>0</v>
      </c>
      <c r="AG1002" s="180">
        <f t="shared" si="364"/>
        <v>0</v>
      </c>
      <c r="AH1002" s="180">
        <f t="shared" si="365"/>
        <v>158</v>
      </c>
      <c r="AI1002" s="180">
        <f t="shared" si="366"/>
        <v>98</v>
      </c>
      <c r="AJ1002" s="180">
        <f t="shared" si="367"/>
        <v>92</v>
      </c>
      <c r="AK1002" s="180">
        <f t="shared" si="368"/>
        <v>135</v>
      </c>
      <c r="AL1002" s="180">
        <f t="shared" si="369"/>
        <v>129</v>
      </c>
      <c r="AM1002" s="180">
        <f t="shared" si="370"/>
        <v>42</v>
      </c>
      <c r="AN1002" s="180">
        <f t="shared" si="371"/>
        <v>50</v>
      </c>
      <c r="AO1002" s="180">
        <f t="shared" si="372"/>
        <v>101</v>
      </c>
      <c r="AP1002" s="180">
        <f t="shared" si="373"/>
        <v>29</v>
      </c>
      <c r="AQ1002" s="180">
        <f t="shared" si="374"/>
        <v>50</v>
      </c>
      <c r="AR1002" s="180">
        <f t="shared" si="375"/>
        <v>69</v>
      </c>
      <c r="AS1002" s="210">
        <f t="shared" si="376"/>
        <v>953</v>
      </c>
    </row>
    <row r="1003" spans="1:45" ht="15.75" customHeight="1" x14ac:dyDescent="0.3">
      <c r="A1003" s="179" t="s">
        <v>775</v>
      </c>
      <c r="D1003" s="180"/>
      <c r="E1003" s="180"/>
      <c r="F1003" s="180"/>
      <c r="G1003" s="180"/>
      <c r="H1003" s="180"/>
      <c r="I1003" s="180"/>
      <c r="J1003" s="180"/>
      <c r="K1003" s="180"/>
      <c r="L1003" s="180"/>
      <c r="M1003" s="180"/>
      <c r="N1003" s="180"/>
      <c r="O1003" s="180"/>
      <c r="P1003" s="180"/>
      <c r="Q1003" s="180"/>
      <c r="R1003" s="180"/>
      <c r="V1003" s="304"/>
      <c r="AC1003" s="211" t="s">
        <v>21</v>
      </c>
      <c r="AD1003" s="180">
        <f t="shared" si="361"/>
        <v>0</v>
      </c>
      <c r="AE1003" s="180">
        <f t="shared" si="362"/>
        <v>0</v>
      </c>
      <c r="AF1003" s="180">
        <f t="shared" si="363"/>
        <v>0</v>
      </c>
      <c r="AG1003" s="180">
        <f t="shared" si="364"/>
        <v>0</v>
      </c>
      <c r="AH1003" s="180">
        <f t="shared" si="365"/>
        <v>242</v>
      </c>
      <c r="AI1003" s="180">
        <f t="shared" si="366"/>
        <v>62</v>
      </c>
      <c r="AJ1003" s="180">
        <f t="shared" si="367"/>
        <v>37</v>
      </c>
      <c r="AK1003" s="180">
        <f t="shared" si="368"/>
        <v>53</v>
      </c>
      <c r="AL1003" s="180">
        <f t="shared" si="369"/>
        <v>54</v>
      </c>
      <c r="AM1003" s="180">
        <f t="shared" si="370"/>
        <v>16</v>
      </c>
      <c r="AN1003" s="180">
        <f t="shared" si="371"/>
        <v>19</v>
      </c>
      <c r="AO1003" s="180">
        <f t="shared" si="372"/>
        <v>38</v>
      </c>
      <c r="AP1003" s="180">
        <f t="shared" si="373"/>
        <v>27</v>
      </c>
      <c r="AQ1003" s="180">
        <f t="shared" si="374"/>
        <v>53</v>
      </c>
      <c r="AR1003" s="180">
        <f t="shared" si="375"/>
        <v>64</v>
      </c>
      <c r="AS1003" s="210">
        <f t="shared" si="376"/>
        <v>665</v>
      </c>
    </row>
    <row r="1004" spans="1:45" ht="15.75" customHeight="1" thickBot="1" x14ac:dyDescent="0.35">
      <c r="A1004" s="194" t="s">
        <v>776</v>
      </c>
      <c r="B1004" s="135"/>
      <c r="C1004" s="135"/>
      <c r="D1004" s="195"/>
      <c r="E1004" s="195"/>
      <c r="F1004" s="195"/>
      <c r="G1004" s="195"/>
      <c r="H1004" s="195"/>
      <c r="I1004" s="195"/>
      <c r="J1004" s="195"/>
      <c r="K1004" s="195"/>
      <c r="L1004" s="195"/>
      <c r="M1004" s="195"/>
      <c r="N1004" s="195"/>
      <c r="O1004" s="195"/>
      <c r="P1004" s="195"/>
      <c r="Q1004" s="195"/>
      <c r="R1004" s="195"/>
      <c r="S1004" s="135"/>
      <c r="T1004" s="135"/>
      <c r="U1004" s="135"/>
      <c r="V1004" s="136"/>
      <c r="AC1004" s="211" t="s">
        <v>22</v>
      </c>
      <c r="AD1004" s="180">
        <f t="shared" si="361"/>
        <v>0</v>
      </c>
      <c r="AE1004" s="180">
        <f t="shared" si="362"/>
        <v>0</v>
      </c>
      <c r="AF1004" s="180">
        <f t="shared" si="363"/>
        <v>0</v>
      </c>
      <c r="AG1004" s="180">
        <f t="shared" si="364"/>
        <v>0</v>
      </c>
      <c r="AH1004" s="180">
        <f t="shared" si="365"/>
        <v>251</v>
      </c>
      <c r="AI1004" s="180">
        <f t="shared" si="366"/>
        <v>71</v>
      </c>
      <c r="AJ1004" s="180">
        <f t="shared" si="367"/>
        <v>43</v>
      </c>
      <c r="AK1004" s="180">
        <f t="shared" si="368"/>
        <v>62</v>
      </c>
      <c r="AL1004" s="180">
        <f t="shared" si="369"/>
        <v>64</v>
      </c>
      <c r="AM1004" s="180">
        <f t="shared" si="370"/>
        <v>14</v>
      </c>
      <c r="AN1004" s="180">
        <f t="shared" si="371"/>
        <v>17</v>
      </c>
      <c r="AO1004" s="180">
        <f t="shared" si="372"/>
        <v>33</v>
      </c>
      <c r="AP1004" s="180">
        <f t="shared" si="373"/>
        <v>23</v>
      </c>
      <c r="AQ1004" s="180">
        <f t="shared" si="374"/>
        <v>46</v>
      </c>
      <c r="AR1004" s="180">
        <f t="shared" si="375"/>
        <v>55</v>
      </c>
      <c r="AS1004" s="210">
        <f t="shared" si="376"/>
        <v>679</v>
      </c>
    </row>
    <row r="1005" spans="1:45" ht="15.75" customHeight="1" thickBot="1" x14ac:dyDescent="0.35">
      <c r="A1005" s="179"/>
      <c r="D1005" s="180"/>
      <c r="E1005" s="180"/>
      <c r="F1005" s="180"/>
      <c r="G1005" s="180"/>
      <c r="H1005" s="180"/>
      <c r="I1005" s="180"/>
      <c r="J1005" s="180"/>
      <c r="K1005" s="180"/>
      <c r="L1005" s="180"/>
      <c r="M1005" s="180"/>
      <c r="N1005" s="180"/>
      <c r="O1005" s="180"/>
      <c r="P1005" s="180"/>
      <c r="Q1005" s="180"/>
      <c r="R1005" s="180"/>
      <c r="S1005" s="200"/>
      <c r="V1005" s="223"/>
      <c r="AC1005" s="95"/>
      <c r="AD1005" s="180"/>
      <c r="AE1005" s="180"/>
      <c r="AF1005" s="180"/>
      <c r="AG1005" s="180"/>
      <c r="AH1005" s="180"/>
      <c r="AI1005" s="180"/>
      <c r="AJ1005" s="180"/>
      <c r="AK1005" s="180"/>
      <c r="AL1005" s="180"/>
      <c r="AM1005" s="180"/>
      <c r="AN1005" s="180"/>
      <c r="AO1005" s="180"/>
      <c r="AP1005" s="180"/>
      <c r="AQ1005" s="180"/>
      <c r="AR1005" s="180"/>
      <c r="AS1005" s="210"/>
    </row>
    <row r="1006" spans="1:45" ht="15.75" customHeight="1" thickBot="1" x14ac:dyDescent="0.35">
      <c r="A1006" s="192"/>
      <c r="B1006" s="412" t="s">
        <v>777</v>
      </c>
      <c r="C1006" s="413"/>
      <c r="D1006" s="413"/>
      <c r="E1006" s="413"/>
      <c r="F1006" s="413"/>
      <c r="G1006" s="413"/>
      <c r="H1006" s="413"/>
      <c r="I1006" s="413"/>
      <c r="J1006" s="413"/>
      <c r="K1006" s="413"/>
      <c r="L1006" s="413"/>
      <c r="M1006" s="413"/>
      <c r="N1006" s="413"/>
      <c r="O1006" s="413"/>
      <c r="P1006" s="413"/>
      <c r="Q1006" s="174"/>
      <c r="R1006" s="174"/>
      <c r="S1006" s="223"/>
      <c r="T1006" s="200"/>
      <c r="U1006" s="200"/>
      <c r="V1006" s="198"/>
      <c r="AC1006" s="220" t="s">
        <v>641</v>
      </c>
      <c r="AD1006" s="195">
        <f>SUM(AD993:AD1004)</f>
        <v>0</v>
      </c>
      <c r="AE1006" s="195">
        <f t="shared" ref="AE1006:AS1006" si="377">SUM(AE993:AE1004)</f>
        <v>0</v>
      </c>
      <c r="AF1006" s="195">
        <f t="shared" si="377"/>
        <v>0</v>
      </c>
      <c r="AG1006" s="195">
        <f t="shared" si="377"/>
        <v>0</v>
      </c>
      <c r="AH1006" s="195">
        <f t="shared" si="377"/>
        <v>1218</v>
      </c>
      <c r="AI1006" s="195">
        <f t="shared" si="377"/>
        <v>1665</v>
      </c>
      <c r="AJ1006" s="195">
        <f t="shared" si="377"/>
        <v>2355</v>
      </c>
      <c r="AK1006" s="195">
        <f t="shared" si="377"/>
        <v>2877</v>
      </c>
      <c r="AL1006" s="195">
        <f t="shared" si="377"/>
        <v>2623</v>
      </c>
      <c r="AM1006" s="195">
        <f t="shared" si="377"/>
        <v>820</v>
      </c>
      <c r="AN1006" s="195">
        <f t="shared" si="377"/>
        <v>968</v>
      </c>
      <c r="AO1006" s="195">
        <f t="shared" si="377"/>
        <v>1926</v>
      </c>
      <c r="AP1006" s="195">
        <f t="shared" si="377"/>
        <v>374</v>
      </c>
      <c r="AQ1006" s="195">
        <f t="shared" si="377"/>
        <v>707</v>
      </c>
      <c r="AR1006" s="195">
        <f t="shared" si="377"/>
        <v>887</v>
      </c>
      <c r="AS1006" s="221">
        <f t="shared" si="377"/>
        <v>16420</v>
      </c>
    </row>
    <row r="1007" spans="1:45" ht="15.75" customHeight="1" thickBot="1" x14ac:dyDescent="0.35">
      <c r="A1007" s="192"/>
      <c r="B1007" s="403" t="s">
        <v>730</v>
      </c>
      <c r="C1007" s="404"/>
      <c r="D1007" s="404"/>
      <c r="E1007" s="404"/>
      <c r="F1007" s="405"/>
      <c r="G1007" s="403" t="s">
        <v>731</v>
      </c>
      <c r="H1007" s="404"/>
      <c r="I1007" s="404"/>
      <c r="J1007" s="404"/>
      <c r="K1007" s="404"/>
      <c r="L1007" s="404"/>
      <c r="M1007" s="406" t="s">
        <v>732</v>
      </c>
      <c r="N1007" s="407"/>
      <c r="O1007" s="407"/>
      <c r="P1007" s="429"/>
      <c r="Q1007" s="429"/>
      <c r="R1007" s="430"/>
      <c r="S1007" s="403" t="s">
        <v>733</v>
      </c>
      <c r="T1007" s="431"/>
      <c r="U1007" s="432"/>
      <c r="V1007" s="304"/>
    </row>
    <row r="1008" spans="1:45" ht="15.75" customHeight="1" x14ac:dyDescent="0.3">
      <c r="A1008" s="213"/>
      <c r="B1008" s="189" t="s">
        <v>639</v>
      </c>
      <c r="C1008" s="182"/>
      <c r="D1008" s="182" t="s">
        <v>734</v>
      </c>
      <c r="E1008" s="182" t="s">
        <v>735</v>
      </c>
      <c r="F1008" s="307" t="s">
        <v>736</v>
      </c>
      <c r="G1008" s="189" t="s">
        <v>737</v>
      </c>
      <c r="H1008" s="182"/>
      <c r="I1008" s="182"/>
      <c r="J1008" s="182" t="s">
        <v>738</v>
      </c>
      <c r="K1008" s="182" t="s">
        <v>739</v>
      </c>
      <c r="L1008" s="182" t="s">
        <v>740</v>
      </c>
      <c r="M1008" s="409" t="str">
        <f>+M981</f>
        <v>(NE)* per WAPA</v>
      </c>
      <c r="N1008" s="410"/>
      <c r="O1008" s="410"/>
      <c r="P1008" s="253"/>
      <c r="Q1008" s="227"/>
      <c r="R1008" s="310"/>
      <c r="S1008" s="189" t="s">
        <v>742</v>
      </c>
      <c r="T1008" s="228" t="s">
        <v>743</v>
      </c>
      <c r="U1008" s="308" t="s">
        <v>744</v>
      </c>
      <c r="V1008" s="304"/>
    </row>
    <row r="1009" spans="1:22" ht="15.75" customHeight="1" x14ac:dyDescent="0.3">
      <c r="A1009" s="213"/>
      <c r="B1009" s="230" t="s">
        <v>745</v>
      </c>
      <c r="C1009" s="231" t="s">
        <v>746</v>
      </c>
      <c r="D1009" s="231" t="s">
        <v>747</v>
      </c>
      <c r="E1009" s="182" t="s">
        <v>658</v>
      </c>
      <c r="F1009" s="309" t="s">
        <v>748</v>
      </c>
      <c r="G1009" s="189" t="s">
        <v>640</v>
      </c>
      <c r="H1009" s="182" t="s">
        <v>749</v>
      </c>
      <c r="I1009" s="182" t="s">
        <v>750</v>
      </c>
      <c r="J1009" s="231" t="s">
        <v>751</v>
      </c>
      <c r="K1009" s="182" t="s">
        <v>723</v>
      </c>
      <c r="L1009" s="231" t="s">
        <v>752</v>
      </c>
      <c r="M1009" s="233" t="s">
        <v>753</v>
      </c>
      <c r="N1009" s="226" t="s">
        <v>754</v>
      </c>
      <c r="O1009" s="227" t="s">
        <v>641</v>
      </c>
      <c r="P1009" s="233" t="s">
        <v>755</v>
      </c>
      <c r="Q1009" s="226" t="s">
        <v>755</v>
      </c>
      <c r="R1009" s="310" t="s">
        <v>756</v>
      </c>
      <c r="S1009" s="189" t="s">
        <v>757</v>
      </c>
      <c r="T1009" s="182" t="s">
        <v>758</v>
      </c>
      <c r="U1009" s="307" t="s">
        <v>759</v>
      </c>
      <c r="V1009" s="304"/>
    </row>
    <row r="1010" spans="1:22" ht="15.75" customHeight="1" x14ac:dyDescent="0.3">
      <c r="A1010" s="213"/>
      <c r="B1010" s="235" t="s">
        <v>760</v>
      </c>
      <c r="C1010" s="215">
        <v>5.0000000000000001E-3</v>
      </c>
      <c r="D1010" s="215">
        <v>4.2999999999999997E-2</v>
      </c>
      <c r="E1010" s="182" t="s">
        <v>761</v>
      </c>
      <c r="F1010" s="311" t="s">
        <v>762</v>
      </c>
      <c r="G1010" s="189" t="s">
        <v>763</v>
      </c>
      <c r="H1010" s="182" t="s">
        <v>658</v>
      </c>
      <c r="I1010" s="182" t="s">
        <v>658</v>
      </c>
      <c r="J1010" s="182" t="s">
        <v>658</v>
      </c>
      <c r="K1010" s="182" t="s">
        <v>743</v>
      </c>
      <c r="L1010" s="182" t="s">
        <v>764</v>
      </c>
      <c r="M1010" s="237" t="s">
        <v>648</v>
      </c>
      <c r="N1010" s="227" t="s">
        <v>765</v>
      </c>
      <c r="O1010" s="227" t="s">
        <v>766</v>
      </c>
      <c r="P1010" s="237" t="s">
        <v>767</v>
      </c>
      <c r="Q1010" s="226" t="s">
        <v>767</v>
      </c>
      <c r="R1010" s="310" t="s">
        <v>766</v>
      </c>
      <c r="S1010" s="189" t="s">
        <v>658</v>
      </c>
      <c r="T1010" s="182" t="s">
        <v>658</v>
      </c>
      <c r="U1010" s="307" t="s">
        <v>658</v>
      </c>
      <c r="V1010" s="304"/>
    </row>
    <row r="1011" spans="1:22" ht="15.75" customHeight="1" x14ac:dyDescent="0.3">
      <c r="A1011" s="213" t="s">
        <v>768</v>
      </c>
      <c r="B1011" s="189" t="s">
        <v>778</v>
      </c>
      <c r="C1011" s="182" t="s">
        <v>778</v>
      </c>
      <c r="D1011" s="182" t="s">
        <v>778</v>
      </c>
      <c r="E1011" s="182" t="s">
        <v>778</v>
      </c>
      <c r="F1011" s="182" t="s">
        <v>778</v>
      </c>
      <c r="G1011" s="189" t="s">
        <v>778</v>
      </c>
      <c r="H1011" s="182" t="s">
        <v>778</v>
      </c>
      <c r="I1011" s="182" t="s">
        <v>778</v>
      </c>
      <c r="J1011" s="182" t="s">
        <v>778</v>
      </c>
      <c r="K1011" s="182" t="s">
        <v>778</v>
      </c>
      <c r="L1011" s="182" t="s">
        <v>778</v>
      </c>
      <c r="M1011" s="237" t="s">
        <v>778</v>
      </c>
      <c r="N1011" s="227" t="s">
        <v>779</v>
      </c>
      <c r="O1011" s="227" t="s">
        <v>778</v>
      </c>
      <c r="P1011" s="237" t="s">
        <v>365</v>
      </c>
      <c r="Q1011" s="226" t="s">
        <v>705</v>
      </c>
      <c r="R1011" s="310" t="s">
        <v>705</v>
      </c>
      <c r="S1011" s="189" t="s">
        <v>778</v>
      </c>
      <c r="T1011" s="182" t="s">
        <v>778</v>
      </c>
      <c r="U1011" s="307" t="s">
        <v>778</v>
      </c>
      <c r="V1011" s="304"/>
    </row>
    <row r="1012" spans="1:22" ht="15.75" customHeight="1" x14ac:dyDescent="0.3">
      <c r="A1012" s="213" t="s">
        <v>666</v>
      </c>
      <c r="B1012" s="189" t="s">
        <v>666</v>
      </c>
      <c r="C1012" s="182" t="s">
        <v>666</v>
      </c>
      <c r="D1012" s="182" t="s">
        <v>666</v>
      </c>
      <c r="E1012" s="182" t="s">
        <v>769</v>
      </c>
      <c r="F1012" s="307" t="s">
        <v>666</v>
      </c>
      <c r="G1012" s="189" t="s">
        <v>666</v>
      </c>
      <c r="H1012" s="182" t="s">
        <v>770</v>
      </c>
      <c r="I1012" s="182" t="s">
        <v>770</v>
      </c>
      <c r="J1012" s="182" t="s">
        <v>666</v>
      </c>
      <c r="K1012" s="182" t="s">
        <v>666</v>
      </c>
      <c r="L1012" s="182" t="s">
        <v>666</v>
      </c>
      <c r="M1012" s="237" t="s">
        <v>666</v>
      </c>
      <c r="N1012" s="227" t="s">
        <v>666</v>
      </c>
      <c r="O1012" s="227" t="s">
        <v>666</v>
      </c>
      <c r="P1012" s="237" t="s">
        <v>666</v>
      </c>
      <c r="Q1012" s="227" t="s">
        <v>666</v>
      </c>
      <c r="R1012" s="310" t="s">
        <v>666</v>
      </c>
      <c r="S1012" s="189" t="s">
        <v>666</v>
      </c>
      <c r="T1012" s="182" t="s">
        <v>666</v>
      </c>
      <c r="U1012" s="307" t="s">
        <v>666</v>
      </c>
      <c r="V1012" s="304"/>
    </row>
    <row r="1013" spans="1:22" ht="15.75" customHeight="1" x14ac:dyDescent="0.3">
      <c r="A1013" s="192" t="s">
        <v>8</v>
      </c>
      <c r="B1013" s="189">
        <f>+B986/($B$10*24)</f>
        <v>215.375</v>
      </c>
      <c r="C1013" s="182">
        <f t="shared" ref="C1013:L1013" si="378">+C986/($B$10*24)</f>
        <v>0</v>
      </c>
      <c r="D1013" s="182">
        <f t="shared" si="378"/>
        <v>9.163978494623656</v>
      </c>
      <c r="E1013" s="182">
        <f t="shared" si="378"/>
        <v>215.375</v>
      </c>
      <c r="F1013" s="307">
        <f t="shared" si="378"/>
        <v>224.53897849462365</v>
      </c>
      <c r="G1013" s="182">
        <f t="shared" si="378"/>
        <v>0</v>
      </c>
      <c r="H1013" s="182">
        <f t="shared" si="378"/>
        <v>11.98521505376344</v>
      </c>
      <c r="I1013" s="182">
        <f t="shared" si="378"/>
        <v>0</v>
      </c>
      <c r="J1013" s="182">
        <f t="shared" si="378"/>
        <v>11.98521505376344</v>
      </c>
      <c r="K1013" s="182">
        <f t="shared" si="378"/>
        <v>0</v>
      </c>
      <c r="L1013" s="182">
        <f t="shared" si="378"/>
        <v>0</v>
      </c>
      <c r="M1013" s="237">
        <f>+M986/($B$10*24)</f>
        <v>212.55376344086022</v>
      </c>
      <c r="N1013" s="227">
        <f t="shared" ref="N1013" si="379">+N986/($B$10*24)</f>
        <v>0</v>
      </c>
      <c r="O1013" s="227">
        <f>+O986/($B$10*24)</f>
        <v>338</v>
      </c>
      <c r="P1013" s="254">
        <f>P986</f>
        <v>0.2</v>
      </c>
      <c r="Q1013" s="227">
        <f>-O1013*P1013</f>
        <v>-67.600000000000009</v>
      </c>
      <c r="R1013" s="310">
        <f>O1013+Q1013</f>
        <v>270.39999999999998</v>
      </c>
      <c r="S1013" s="255">
        <f>+S986/($B$10*24)</f>
        <v>-57.84623655913979</v>
      </c>
      <c r="T1013" s="182" t="str">
        <f>+IF(S1013&gt;=0,ABS(S1013),"")</f>
        <v/>
      </c>
      <c r="U1013" s="307">
        <f>+IF(S1013&lt;=0,ABS(S1013),"")</f>
        <v>57.84623655913979</v>
      </c>
      <c r="V1013" s="304"/>
    </row>
    <row r="1014" spans="1:22" ht="15.75" customHeight="1" x14ac:dyDescent="0.3">
      <c r="A1014" s="192" t="s">
        <v>9</v>
      </c>
      <c r="B1014" s="189">
        <f>+B987/($C$10*24)</f>
        <v>290.33035714285717</v>
      </c>
      <c r="C1014" s="182">
        <f t="shared" ref="C1014:N1014" si="380">+C987/($C$10*24)</f>
        <v>0</v>
      </c>
      <c r="D1014" s="182">
        <f t="shared" si="380"/>
        <v>12.349702380952381</v>
      </c>
      <c r="E1014" s="182">
        <f t="shared" si="380"/>
        <v>290.33035714285717</v>
      </c>
      <c r="F1014" s="307">
        <f t="shared" si="380"/>
        <v>302.68005952380952</v>
      </c>
      <c r="G1014" s="182">
        <f t="shared" si="380"/>
        <v>0</v>
      </c>
      <c r="H1014" s="182">
        <f t="shared" si="380"/>
        <v>16.62202380952381</v>
      </c>
      <c r="I1014" s="182">
        <f t="shared" si="380"/>
        <v>0</v>
      </c>
      <c r="J1014" s="182">
        <f t="shared" si="380"/>
        <v>16.62202380952381</v>
      </c>
      <c r="K1014" s="182">
        <f t="shared" si="380"/>
        <v>0</v>
      </c>
      <c r="L1014" s="182">
        <f t="shared" si="380"/>
        <v>0</v>
      </c>
      <c r="M1014" s="237">
        <f t="shared" si="380"/>
        <v>286.05803571428572</v>
      </c>
      <c r="N1014" s="227">
        <f t="shared" si="380"/>
        <v>0</v>
      </c>
      <c r="O1014" s="227">
        <f t="shared" ref="O1014:O1024" si="381">+O987/($B$10*24)</f>
        <v>312.51612903225805</v>
      </c>
      <c r="P1014" s="254">
        <f t="shared" ref="P1014:P1024" si="382">P987</f>
        <v>0.25</v>
      </c>
      <c r="Q1014" s="227">
        <f t="shared" ref="Q1014:Q1024" si="383">-O1014*P1014</f>
        <v>-78.129032258064512</v>
      </c>
      <c r="R1014" s="310">
        <f t="shared" ref="R1014:R1024" si="384">O1014+Q1014</f>
        <v>234.38709677419354</v>
      </c>
      <c r="S1014" s="255">
        <f>+S987/($C$10*24)</f>
        <v>26.558035714285715</v>
      </c>
      <c r="T1014" s="182">
        <f t="shared" ref="T1014:T1024" si="385">+IF(S1014&gt;=0,ABS(S1014),"")</f>
        <v>26.558035714285715</v>
      </c>
      <c r="U1014" s="307" t="str">
        <f t="shared" ref="U1014:U1024" si="386">+IF(S1014&lt;=0,ABS(S1014),"")</f>
        <v/>
      </c>
      <c r="V1014" s="304"/>
    </row>
    <row r="1015" spans="1:22" ht="15.75" customHeight="1" x14ac:dyDescent="0.3">
      <c r="A1015" s="192" t="s">
        <v>10</v>
      </c>
      <c r="B1015" s="189">
        <f>+B988/($D$10*24)</f>
        <v>413.4986559139785</v>
      </c>
      <c r="C1015" s="182">
        <f t="shared" ref="C1015:N1015" si="387">+C988/($D$10*24)</f>
        <v>0</v>
      </c>
      <c r="D1015" s="182">
        <f t="shared" si="387"/>
        <v>17.775537634408604</v>
      </c>
      <c r="E1015" s="182">
        <f t="shared" si="387"/>
        <v>413.4986559139785</v>
      </c>
      <c r="F1015" s="307">
        <f t="shared" si="387"/>
        <v>431.27419354838707</v>
      </c>
      <c r="G1015" s="182">
        <f t="shared" si="387"/>
        <v>0</v>
      </c>
      <c r="H1015" s="182">
        <f>+H988/($D$10*24)</f>
        <v>10.400537634408602</v>
      </c>
      <c r="I1015" s="182">
        <f t="shared" si="387"/>
        <v>0</v>
      </c>
      <c r="J1015" s="182">
        <f t="shared" si="387"/>
        <v>10.400537634408602</v>
      </c>
      <c r="K1015" s="182">
        <f t="shared" si="387"/>
        <v>0</v>
      </c>
      <c r="L1015" s="182">
        <f t="shared" si="387"/>
        <v>0</v>
      </c>
      <c r="M1015" s="237">
        <f t="shared" si="387"/>
        <v>420.8736559139785</v>
      </c>
      <c r="N1015" s="227">
        <f t="shared" si="387"/>
        <v>0</v>
      </c>
      <c r="O1015" s="227">
        <f t="shared" si="381"/>
        <v>368.24193548387098</v>
      </c>
      <c r="P1015" s="254">
        <f t="shared" si="382"/>
        <v>0.3</v>
      </c>
      <c r="Q1015" s="227">
        <f t="shared" si="383"/>
        <v>-110.47258064516129</v>
      </c>
      <c r="R1015" s="310">
        <f t="shared" si="384"/>
        <v>257.76935483870966</v>
      </c>
      <c r="S1015" s="255">
        <f>+S988/($D$10*24)</f>
        <v>163.10430107526878</v>
      </c>
      <c r="T1015" s="182">
        <f t="shared" si="385"/>
        <v>163.10430107526878</v>
      </c>
      <c r="U1015" s="307" t="str">
        <f t="shared" si="386"/>
        <v/>
      </c>
      <c r="V1015" s="304"/>
    </row>
    <row r="1016" spans="1:22" ht="15.75" customHeight="1" x14ac:dyDescent="0.3">
      <c r="A1016" s="192" t="s">
        <v>12</v>
      </c>
      <c r="B1016" s="189">
        <f>+B989/($F$10*24)</f>
        <v>411.85694444444442</v>
      </c>
      <c r="C1016" s="182">
        <f t="shared" ref="C1016:N1016" si="388">+C989/($F$10*24)</f>
        <v>0</v>
      </c>
      <c r="D1016" s="182">
        <f t="shared" si="388"/>
        <v>17.919444444444444</v>
      </c>
      <c r="E1016" s="182">
        <f t="shared" si="388"/>
        <v>411.85694444444442</v>
      </c>
      <c r="F1016" s="307">
        <f t="shared" si="388"/>
        <v>429.7763888888889</v>
      </c>
      <c r="G1016" s="182">
        <f t="shared" si="388"/>
        <v>0</v>
      </c>
      <c r="H1016" s="182">
        <f t="shared" si="388"/>
        <v>15.388888888888889</v>
      </c>
      <c r="I1016" s="182">
        <f t="shared" si="388"/>
        <v>0</v>
      </c>
      <c r="J1016" s="182">
        <f t="shared" si="388"/>
        <v>15.388888888888889</v>
      </c>
      <c r="K1016" s="182">
        <f t="shared" si="388"/>
        <v>0</v>
      </c>
      <c r="L1016" s="182">
        <f t="shared" si="388"/>
        <v>0</v>
      </c>
      <c r="M1016" s="237">
        <f t="shared" si="388"/>
        <v>414.38749999999999</v>
      </c>
      <c r="N1016" s="227">
        <f t="shared" si="388"/>
        <v>-31</v>
      </c>
      <c r="O1016" s="227">
        <f t="shared" si="381"/>
        <v>373.54838709677421</v>
      </c>
      <c r="P1016" s="254">
        <f t="shared" si="382"/>
        <v>0.35</v>
      </c>
      <c r="Q1016" s="227">
        <f t="shared" si="383"/>
        <v>-130.74193548387098</v>
      </c>
      <c r="R1016" s="310">
        <f t="shared" si="384"/>
        <v>242.80645161290323</v>
      </c>
      <c r="S1016" s="255">
        <f>+S989/($F$10*24)</f>
        <v>163.48750000000001</v>
      </c>
      <c r="T1016" s="182">
        <f t="shared" si="385"/>
        <v>163.48750000000001</v>
      </c>
      <c r="U1016" s="307" t="str">
        <f t="shared" si="386"/>
        <v/>
      </c>
      <c r="V1016" s="304"/>
    </row>
    <row r="1017" spans="1:22" ht="15.75" customHeight="1" x14ac:dyDescent="0.3">
      <c r="A1017" s="192" t="s">
        <v>13</v>
      </c>
      <c r="B1017" s="189">
        <f>+B990/($G$10*24)</f>
        <v>422.53897849462368</v>
      </c>
      <c r="C1017" s="182">
        <f t="shared" ref="C1017:N1017" si="389">+C990/($G$10*24)</f>
        <v>0</v>
      </c>
      <c r="D1017" s="182">
        <f t="shared" si="389"/>
        <v>18.547043010752688</v>
      </c>
      <c r="E1017" s="182">
        <f t="shared" si="389"/>
        <v>422.53897849462368</v>
      </c>
      <c r="F1017" s="307">
        <f t="shared" si="389"/>
        <v>441.08602150537632</v>
      </c>
      <c r="G1017" s="182">
        <f t="shared" si="389"/>
        <v>0</v>
      </c>
      <c r="H1017" s="182">
        <f t="shared" si="389"/>
        <v>12.452956989247312</v>
      </c>
      <c r="I1017" s="182">
        <f t="shared" si="389"/>
        <v>0</v>
      </c>
      <c r="J1017" s="182">
        <f t="shared" si="389"/>
        <v>12.452956989247312</v>
      </c>
      <c r="K1017" s="182">
        <f t="shared" si="389"/>
        <v>0</v>
      </c>
      <c r="L1017" s="182">
        <f t="shared" si="389"/>
        <v>0</v>
      </c>
      <c r="M1017" s="237">
        <f t="shared" si="389"/>
        <v>428.63306451612902</v>
      </c>
      <c r="N1017" s="227">
        <f t="shared" si="389"/>
        <v>0</v>
      </c>
      <c r="O1017" s="227">
        <f t="shared" si="381"/>
        <v>384.33333333333331</v>
      </c>
      <c r="P1017" s="254">
        <f t="shared" si="382"/>
        <v>0.35</v>
      </c>
      <c r="Q1017" s="227">
        <f t="shared" si="383"/>
        <v>-134.51666666666665</v>
      </c>
      <c r="R1017" s="310">
        <f t="shared" si="384"/>
        <v>249.81666666666666</v>
      </c>
      <c r="S1017" s="255">
        <f>+S990/($G$10*24)</f>
        <v>178.81639784946236</v>
      </c>
      <c r="T1017" s="182">
        <f t="shared" si="385"/>
        <v>178.81639784946236</v>
      </c>
      <c r="U1017" s="307" t="str">
        <f t="shared" si="386"/>
        <v/>
      </c>
      <c r="V1017" s="304"/>
    </row>
    <row r="1018" spans="1:22" ht="15.75" customHeight="1" x14ac:dyDescent="0.3">
      <c r="A1018" s="192" t="s">
        <v>14</v>
      </c>
      <c r="B1018" s="189">
        <f>+B991/($H$10*24)</f>
        <v>213.98333333333332</v>
      </c>
      <c r="C1018" s="182">
        <f t="shared" ref="C1018:N1018" si="390">+C991/($H$10*24)</f>
        <v>0</v>
      </c>
      <c r="D1018" s="182">
        <f t="shared" si="390"/>
        <v>8.8222222222222229</v>
      </c>
      <c r="E1018" s="182">
        <f t="shared" si="390"/>
        <v>213.98333333333332</v>
      </c>
      <c r="F1018" s="307">
        <f t="shared" si="390"/>
        <v>222.80555555555554</v>
      </c>
      <c r="G1018" s="182">
        <f t="shared" si="390"/>
        <v>24.619799846038884</v>
      </c>
      <c r="H1018" s="182">
        <f t="shared" si="390"/>
        <v>22.12638888888889</v>
      </c>
      <c r="I1018" s="182">
        <f t="shared" si="390"/>
        <v>0</v>
      </c>
      <c r="J1018" s="182">
        <f t="shared" si="390"/>
        <v>22.12638888888889</v>
      </c>
      <c r="K1018" s="182">
        <f t="shared" si="390"/>
        <v>0</v>
      </c>
      <c r="L1018" s="182">
        <f t="shared" si="390"/>
        <v>0</v>
      </c>
      <c r="M1018" s="237">
        <f t="shared" si="390"/>
        <v>176.05936682062779</v>
      </c>
      <c r="N1018" s="227">
        <f t="shared" si="390"/>
        <v>65.666666666666671</v>
      </c>
      <c r="O1018" s="227">
        <f t="shared" si="381"/>
        <v>235.80645161290323</v>
      </c>
      <c r="P1018" s="254">
        <f t="shared" si="382"/>
        <v>7.4999999999999997E-2</v>
      </c>
      <c r="Q1018" s="227">
        <f t="shared" si="383"/>
        <v>-17.68548387096774</v>
      </c>
      <c r="R1018" s="310">
        <f t="shared" si="384"/>
        <v>218.12096774193549</v>
      </c>
      <c r="S1018" s="255">
        <f>+S991/($H$10*24)</f>
        <v>-49.332299846038872</v>
      </c>
      <c r="T1018" s="182" t="str">
        <f t="shared" si="385"/>
        <v/>
      </c>
      <c r="U1018" s="307">
        <f t="shared" si="386"/>
        <v>49.332299846038872</v>
      </c>
      <c r="V1018" s="304"/>
    </row>
    <row r="1019" spans="1:22" ht="15.75" customHeight="1" x14ac:dyDescent="0.3">
      <c r="A1019" s="192" t="s">
        <v>16</v>
      </c>
      <c r="B1019" s="189">
        <f>+B992/($J$10*24)</f>
        <v>212.18951612903226</v>
      </c>
      <c r="C1019" s="182">
        <f t="shared" ref="C1019:N1019" si="391">+C992/($J$10*24)</f>
        <v>0</v>
      </c>
      <c r="D1019" s="182">
        <f t="shared" si="391"/>
        <v>8.740591397849462</v>
      </c>
      <c r="E1019" s="182">
        <f t="shared" si="391"/>
        <v>212.18951612903226</v>
      </c>
      <c r="F1019" s="307">
        <f t="shared" si="391"/>
        <v>220.93010752688173</v>
      </c>
      <c r="G1019" s="182">
        <f t="shared" si="391"/>
        <v>20.114219433768614</v>
      </c>
      <c r="H1019" s="182">
        <f t="shared" si="391"/>
        <v>22.611559139784948</v>
      </c>
      <c r="I1019" s="182">
        <f t="shared" si="391"/>
        <v>0</v>
      </c>
      <c r="J1019" s="182">
        <f t="shared" si="391"/>
        <v>22.611559139784948</v>
      </c>
      <c r="K1019" s="182">
        <f t="shared" si="391"/>
        <v>0</v>
      </c>
      <c r="L1019" s="182">
        <f t="shared" si="391"/>
        <v>0</v>
      </c>
      <c r="M1019" s="237">
        <f t="shared" si="391"/>
        <v>178.20432895332817</v>
      </c>
      <c r="N1019" s="227">
        <f t="shared" si="391"/>
        <v>63.333333333333336</v>
      </c>
      <c r="O1019" s="227">
        <f t="shared" si="381"/>
        <v>248.33333333333334</v>
      </c>
      <c r="P1019" s="254">
        <f t="shared" si="382"/>
        <v>0.05</v>
      </c>
      <c r="Q1019" s="227">
        <f t="shared" si="383"/>
        <v>-12.416666666666668</v>
      </c>
      <c r="R1019" s="310">
        <f t="shared" si="384"/>
        <v>235.91666666666669</v>
      </c>
      <c r="S1019" s="255">
        <f>+S992/($J$10*24)</f>
        <v>-57.712337713338506</v>
      </c>
      <c r="T1019" s="182" t="str">
        <f t="shared" si="385"/>
        <v/>
      </c>
      <c r="U1019" s="307">
        <f t="shared" si="386"/>
        <v>57.712337713338506</v>
      </c>
      <c r="V1019" s="304"/>
    </row>
    <row r="1020" spans="1:22" ht="15.75" customHeight="1" x14ac:dyDescent="0.3">
      <c r="A1020" s="192" t="s">
        <v>17</v>
      </c>
      <c r="B1020" s="189">
        <f>+B993/($K$10*24)</f>
        <v>127.98924731182795</v>
      </c>
      <c r="C1020" s="182">
        <f t="shared" ref="C1020:N1020" si="392">+C993/($K$10*24)</f>
        <v>0</v>
      </c>
      <c r="D1020" s="182">
        <f t="shared" si="392"/>
        <v>4.866935483870968</v>
      </c>
      <c r="E1020" s="182">
        <f t="shared" si="392"/>
        <v>127.98924731182795</v>
      </c>
      <c r="F1020" s="307">
        <f t="shared" si="392"/>
        <v>132.85618279569891</v>
      </c>
      <c r="G1020" s="182">
        <f t="shared" si="392"/>
        <v>17.107558162806161</v>
      </c>
      <c r="H1020" s="182">
        <f t="shared" si="392"/>
        <v>19.517473118279568</v>
      </c>
      <c r="I1020" s="182">
        <f t="shared" si="392"/>
        <v>0</v>
      </c>
      <c r="J1020" s="182">
        <f t="shared" si="392"/>
        <v>19.517473118279568</v>
      </c>
      <c r="K1020" s="182">
        <f t="shared" si="392"/>
        <v>0</v>
      </c>
      <c r="L1020" s="182">
        <f t="shared" si="392"/>
        <v>0</v>
      </c>
      <c r="M1020" s="237">
        <f t="shared" si="392"/>
        <v>96.231151514613202</v>
      </c>
      <c r="N1020" s="227">
        <f t="shared" si="392"/>
        <v>79</v>
      </c>
      <c r="O1020" s="227">
        <f t="shared" si="381"/>
        <v>159</v>
      </c>
      <c r="P1020" s="254">
        <f t="shared" si="382"/>
        <v>0</v>
      </c>
      <c r="Q1020" s="227">
        <f t="shared" si="383"/>
        <v>0</v>
      </c>
      <c r="R1020" s="310">
        <f t="shared" si="384"/>
        <v>159</v>
      </c>
      <c r="S1020" s="255">
        <f>+S993/($K$10*24)</f>
        <v>-62.768848485386798</v>
      </c>
      <c r="T1020" s="182" t="str">
        <f t="shared" si="385"/>
        <v/>
      </c>
      <c r="U1020" s="307">
        <f t="shared" si="386"/>
        <v>62.768848485386798</v>
      </c>
      <c r="V1020" s="304"/>
    </row>
    <row r="1021" spans="1:22" ht="15.75" customHeight="1" x14ac:dyDescent="0.3">
      <c r="A1021" s="192" t="s">
        <v>18</v>
      </c>
      <c r="B1021" s="189">
        <f>+B994/($L$10*24)</f>
        <v>355.03194444444443</v>
      </c>
      <c r="C1021" s="182">
        <f t="shared" ref="C1021:N1021" si="393">+C994/($L$10*24)</f>
        <v>0</v>
      </c>
      <c r="D1021" s="182">
        <f t="shared" si="393"/>
        <v>15.673611111111111</v>
      </c>
      <c r="E1021" s="182">
        <f t="shared" si="393"/>
        <v>355.03194444444443</v>
      </c>
      <c r="F1021" s="307">
        <f t="shared" si="393"/>
        <v>370.70555555555558</v>
      </c>
      <c r="G1021" s="182">
        <f t="shared" si="393"/>
        <v>0</v>
      </c>
      <c r="H1021" s="182">
        <f t="shared" si="393"/>
        <v>17.731944444444444</v>
      </c>
      <c r="I1021" s="182">
        <f t="shared" si="393"/>
        <v>0</v>
      </c>
      <c r="J1021" s="182">
        <f t="shared" si="393"/>
        <v>17.731944444444444</v>
      </c>
      <c r="K1021" s="182">
        <f t="shared" si="393"/>
        <v>0</v>
      </c>
      <c r="L1021" s="182">
        <f t="shared" si="393"/>
        <v>0</v>
      </c>
      <c r="M1021" s="237">
        <f t="shared" si="393"/>
        <v>352.9736111111111</v>
      </c>
      <c r="N1021" s="227">
        <f t="shared" si="393"/>
        <v>0</v>
      </c>
      <c r="O1021" s="227">
        <f t="shared" si="381"/>
        <v>330.64516129032256</v>
      </c>
      <c r="P1021" s="254">
        <f t="shared" si="382"/>
        <v>0.05</v>
      </c>
      <c r="Q1021" s="227">
        <f t="shared" si="383"/>
        <v>-16.532258064516128</v>
      </c>
      <c r="R1021" s="310">
        <f t="shared" si="384"/>
        <v>314.11290322580646</v>
      </c>
      <c r="S1021" s="255">
        <f>+S994/($L$10*24)</f>
        <v>28.390277777777779</v>
      </c>
      <c r="T1021" s="182">
        <f t="shared" si="385"/>
        <v>28.390277777777779</v>
      </c>
      <c r="U1021" s="307" t="str">
        <f t="shared" si="386"/>
        <v/>
      </c>
      <c r="V1021" s="304"/>
    </row>
    <row r="1022" spans="1:22" ht="15.75" customHeight="1" x14ac:dyDescent="0.3">
      <c r="A1022" s="192" t="s">
        <v>20</v>
      </c>
      <c r="B1022" s="189">
        <f>+B995/($N$10*24)</f>
        <v>354.57258064516128</v>
      </c>
      <c r="C1022" s="182">
        <f t="shared" ref="C1022:N1022" si="394">+C995/($N$10*24)</f>
        <v>0</v>
      </c>
      <c r="D1022" s="182">
        <f t="shared" si="394"/>
        <v>15.513440860215054</v>
      </c>
      <c r="E1022" s="182">
        <f t="shared" si="394"/>
        <v>354.57258064516128</v>
      </c>
      <c r="F1022" s="307">
        <f t="shared" si="394"/>
        <v>370.08602150537632</v>
      </c>
      <c r="G1022" s="182">
        <f t="shared" si="394"/>
        <v>0</v>
      </c>
      <c r="H1022" s="182">
        <f t="shared" si="394"/>
        <v>16.615591397849464</v>
      </c>
      <c r="I1022" s="182">
        <f t="shared" si="394"/>
        <v>0</v>
      </c>
      <c r="J1022" s="182">
        <f t="shared" si="394"/>
        <v>16.615591397849464</v>
      </c>
      <c r="K1022" s="182">
        <f t="shared" si="394"/>
        <v>0</v>
      </c>
      <c r="L1022" s="182">
        <f t="shared" si="394"/>
        <v>0</v>
      </c>
      <c r="M1022" s="237">
        <f t="shared" si="394"/>
        <v>353.47043010752691</v>
      </c>
      <c r="N1022" s="227">
        <f t="shared" si="394"/>
        <v>0</v>
      </c>
      <c r="O1022" s="227">
        <f t="shared" si="381"/>
        <v>274.41935483870969</v>
      </c>
      <c r="P1022" s="254">
        <f t="shared" si="382"/>
        <v>0.2</v>
      </c>
      <c r="Q1022" s="227">
        <f t="shared" si="383"/>
        <v>-54.883870967741942</v>
      </c>
      <c r="R1022" s="310">
        <f t="shared" si="384"/>
        <v>219.53548387096777</v>
      </c>
      <c r="S1022" s="255">
        <f>+S995/($N$10*24)</f>
        <v>133.93494623655914</v>
      </c>
      <c r="T1022" s="182">
        <f t="shared" si="385"/>
        <v>133.93494623655914</v>
      </c>
      <c r="U1022" s="307" t="str">
        <f t="shared" si="386"/>
        <v/>
      </c>
      <c r="V1022" s="304"/>
    </row>
    <row r="1023" spans="1:22" ht="15.75" customHeight="1" x14ac:dyDescent="0.3">
      <c r="A1023" s="192" t="s">
        <v>21</v>
      </c>
      <c r="B1023" s="189">
        <f>+B996/($O$10*24)</f>
        <v>349.26944444444445</v>
      </c>
      <c r="C1023" s="182">
        <f t="shared" ref="C1023:N1023" si="395">+C996/($O$10*24)</f>
        <v>0</v>
      </c>
      <c r="D1023" s="182">
        <f t="shared" si="395"/>
        <v>15.131944444444445</v>
      </c>
      <c r="E1023" s="182">
        <f t="shared" si="395"/>
        <v>349.26944444444445</v>
      </c>
      <c r="F1023" s="307">
        <f t="shared" si="395"/>
        <v>364.4013888888889</v>
      </c>
      <c r="G1023" s="182">
        <f t="shared" si="395"/>
        <v>0</v>
      </c>
      <c r="H1023" s="182">
        <f t="shared" si="395"/>
        <v>15.908333333333333</v>
      </c>
      <c r="I1023" s="182">
        <f t="shared" si="395"/>
        <v>0</v>
      </c>
      <c r="J1023" s="182">
        <f t="shared" si="395"/>
        <v>15.908333333333333</v>
      </c>
      <c r="K1023" s="182">
        <f t="shared" si="395"/>
        <v>0</v>
      </c>
      <c r="L1023" s="182">
        <f t="shared" si="395"/>
        <v>0</v>
      </c>
      <c r="M1023" s="237">
        <f t="shared" si="395"/>
        <v>348.49305555555554</v>
      </c>
      <c r="N1023" s="227">
        <f t="shared" si="395"/>
        <v>0</v>
      </c>
      <c r="O1023" s="227">
        <f t="shared" si="381"/>
        <v>265.48387096774195</v>
      </c>
      <c r="P1023" s="254">
        <f t="shared" si="382"/>
        <v>0.2</v>
      </c>
      <c r="Q1023" s="227">
        <f t="shared" si="383"/>
        <v>-53.096774193548391</v>
      </c>
      <c r="R1023" s="310">
        <f t="shared" si="384"/>
        <v>212.38709677419357</v>
      </c>
      <c r="S1023" s="255">
        <f>+S996/($O$10*24)</f>
        <v>129.0263888888889</v>
      </c>
      <c r="T1023" s="182">
        <f t="shared" si="385"/>
        <v>129.0263888888889</v>
      </c>
      <c r="U1023" s="307" t="str">
        <f t="shared" si="386"/>
        <v/>
      </c>
      <c r="V1023" s="304"/>
    </row>
    <row r="1024" spans="1:22" ht="15.75" customHeight="1" thickBot="1" x14ac:dyDescent="0.35">
      <c r="A1024" s="192" t="s">
        <v>22</v>
      </c>
      <c r="B1024" s="204">
        <f>+B997/($P$10*24)</f>
        <v>332.67741935483872</v>
      </c>
      <c r="C1024" s="205">
        <f t="shared" ref="C1024:N1024" si="396">+C997/($P$10*24)</f>
        <v>0</v>
      </c>
      <c r="D1024" s="205">
        <f t="shared" si="396"/>
        <v>14.345430107526882</v>
      </c>
      <c r="E1024" s="205">
        <f t="shared" si="396"/>
        <v>332.67741935483872</v>
      </c>
      <c r="F1024" s="245">
        <f t="shared" si="396"/>
        <v>347.02284946236557</v>
      </c>
      <c r="G1024" s="205">
        <f t="shared" si="396"/>
        <v>0</v>
      </c>
      <c r="H1024" s="205">
        <f t="shared" si="396"/>
        <v>13.866935483870968</v>
      </c>
      <c r="I1024" s="205">
        <f t="shared" si="396"/>
        <v>0</v>
      </c>
      <c r="J1024" s="205">
        <f t="shared" si="396"/>
        <v>13.866935483870968</v>
      </c>
      <c r="K1024" s="205">
        <f t="shared" si="396"/>
        <v>0</v>
      </c>
      <c r="L1024" s="205">
        <f t="shared" si="396"/>
        <v>0</v>
      </c>
      <c r="M1024" s="246">
        <f t="shared" si="396"/>
        <v>333.1559139784946</v>
      </c>
      <c r="N1024" s="247">
        <f t="shared" si="396"/>
        <v>0</v>
      </c>
      <c r="O1024" s="248">
        <f t="shared" si="381"/>
        <v>274</v>
      </c>
      <c r="P1024" s="249">
        <f t="shared" si="382"/>
        <v>0.2</v>
      </c>
      <c r="Q1024" s="247">
        <f t="shared" si="383"/>
        <v>-54.800000000000004</v>
      </c>
      <c r="R1024" s="248">
        <f t="shared" si="384"/>
        <v>219.2</v>
      </c>
      <c r="S1024" s="256">
        <f>+S997/($P$10*24)</f>
        <v>113.95591397849464</v>
      </c>
      <c r="T1024" s="205">
        <f t="shared" si="385"/>
        <v>113.95591397849464</v>
      </c>
      <c r="U1024" s="245" t="str">
        <f t="shared" si="386"/>
        <v/>
      </c>
      <c r="V1024" s="304"/>
    </row>
    <row r="1025" spans="1:50" ht="15.75" customHeight="1" x14ac:dyDescent="0.3">
      <c r="A1025" s="257"/>
      <c r="V1025" s="304"/>
    </row>
    <row r="1026" spans="1:50" ht="16.5" customHeight="1" thickBot="1" x14ac:dyDescent="0.35">
      <c r="A1026" s="258"/>
      <c r="B1026" s="135"/>
      <c r="C1026" s="135"/>
      <c r="D1026" s="135"/>
      <c r="E1026" s="135"/>
      <c r="F1026" s="135"/>
      <c r="G1026" s="135"/>
      <c r="H1026" s="135"/>
      <c r="I1026" s="135"/>
      <c r="J1026" s="135"/>
      <c r="K1026" s="135"/>
      <c r="L1026" s="135"/>
      <c r="M1026" s="135"/>
      <c r="N1026" s="135"/>
      <c r="O1026" s="135"/>
      <c r="P1026" s="135"/>
      <c r="Q1026" s="135"/>
      <c r="R1026" s="135"/>
      <c r="S1026" s="135"/>
      <c r="T1026" s="135"/>
      <c r="U1026" s="135"/>
      <c r="V1026" s="136"/>
    </row>
    <row r="1027" spans="1:50" ht="15.75" customHeight="1" x14ac:dyDescent="0.3">
      <c r="A1027" s="259"/>
      <c r="B1027" s="180"/>
      <c r="C1027" s="180"/>
      <c r="D1027" s="180"/>
      <c r="E1027" s="180"/>
      <c r="F1027" s="180"/>
      <c r="G1027" s="180"/>
      <c r="H1027" s="180"/>
      <c r="I1027" s="180"/>
      <c r="J1027" s="180"/>
      <c r="K1027" s="180"/>
      <c r="L1027" s="180"/>
      <c r="M1027" s="180"/>
      <c r="N1027" s="180"/>
      <c r="O1027" s="180"/>
      <c r="P1027" s="180"/>
      <c r="Q1027" s="180"/>
      <c r="R1027" s="180"/>
    </row>
    <row r="1028" spans="1:50" ht="15.75" customHeight="1" x14ac:dyDescent="0.3">
      <c r="A1028" s="260"/>
    </row>
    <row r="1029" spans="1:50" ht="15.75" customHeight="1" thickBot="1" x14ac:dyDescent="0.35">
      <c r="A1029" s="260"/>
    </row>
    <row r="1030" spans="1:50" ht="15.75" customHeight="1" x14ac:dyDescent="0.3">
      <c r="A1030" s="261"/>
      <c r="B1030" s="387" t="s">
        <v>780</v>
      </c>
      <c r="C1030" s="387"/>
      <c r="D1030" s="387"/>
      <c r="E1030" s="387"/>
      <c r="F1030" s="387"/>
      <c r="G1030" s="387"/>
      <c r="H1030" s="387"/>
      <c r="I1030" s="387"/>
      <c r="J1030" s="387"/>
      <c r="K1030" s="387"/>
      <c r="L1030" s="387"/>
      <c r="M1030" s="387"/>
      <c r="N1030" s="387"/>
      <c r="O1030" s="387"/>
      <c r="P1030" s="387"/>
      <c r="Q1030" s="177" t="str">
        <f>+Q1</f>
        <v xml:space="preserve">PRINTED:  </v>
      </c>
      <c r="R1030" s="197">
        <f ca="1">+R1</f>
        <v>44894.658168518516</v>
      </c>
      <c r="S1030" s="198"/>
    </row>
    <row r="1031" spans="1:50" ht="15.75" customHeight="1" x14ac:dyDescent="0.3">
      <c r="A1031" s="262"/>
      <c r="B1031" s="394" t="str">
        <f>+A8</f>
        <v>Revised:  11/30/2017</v>
      </c>
      <c r="C1031" s="394"/>
      <c r="D1031" s="394"/>
      <c r="E1031" s="394"/>
      <c r="F1031" s="394"/>
      <c r="G1031" s="394"/>
      <c r="H1031" s="394"/>
      <c r="I1031" s="394"/>
      <c r="J1031" s="394"/>
      <c r="K1031" s="394"/>
      <c r="L1031" s="394"/>
      <c r="M1031" s="394"/>
      <c r="N1031" s="394"/>
      <c r="O1031" s="394"/>
      <c r="P1031" s="394"/>
      <c r="Q1031" s="180"/>
      <c r="R1031" s="180"/>
      <c r="S1031" s="304"/>
    </row>
    <row r="1032" spans="1:50" ht="16.5" customHeight="1" x14ac:dyDescent="0.3">
      <c r="A1032" s="262"/>
      <c r="B1032" s="394" t="s">
        <v>670</v>
      </c>
      <c r="C1032" s="394"/>
      <c r="D1032" s="394"/>
      <c r="E1032" s="394"/>
      <c r="F1032" s="394"/>
      <c r="G1032" s="394"/>
      <c r="H1032" s="394"/>
      <c r="I1032" s="394"/>
      <c r="J1032" s="394"/>
      <c r="K1032" s="394"/>
      <c r="L1032" s="394"/>
      <c r="M1032" s="394"/>
      <c r="N1032" s="394"/>
      <c r="O1032" s="394"/>
      <c r="P1032" s="394"/>
      <c r="Q1032" s="180"/>
      <c r="R1032" s="180"/>
      <c r="S1032" s="304"/>
    </row>
    <row r="1033" spans="1:50" ht="15.75" customHeight="1" x14ac:dyDescent="0.3">
      <c r="A1033" s="262"/>
      <c r="B1033" s="180"/>
      <c r="C1033" s="180"/>
      <c r="D1033" s="180"/>
      <c r="E1033" s="180"/>
      <c r="F1033" s="180"/>
      <c r="G1033" s="180"/>
      <c r="H1033" s="180"/>
      <c r="I1033" s="180"/>
      <c r="J1033" s="180"/>
      <c r="K1033" s="180"/>
      <c r="L1033" s="180"/>
      <c r="M1033" s="180"/>
      <c r="N1033" s="180"/>
      <c r="O1033" s="180"/>
      <c r="P1033" s="180"/>
      <c r="Q1033" s="180"/>
      <c r="R1033" s="180"/>
      <c r="S1033" s="304"/>
      <c r="AG1033" s="192"/>
    </row>
    <row r="1034" spans="1:50" ht="15.75" customHeight="1" x14ac:dyDescent="0.3">
      <c r="A1034" s="262"/>
      <c r="B1034" s="415">
        <f>+A5</f>
        <v>2018</v>
      </c>
      <c r="C1034" s="395"/>
      <c r="D1034" s="395"/>
      <c r="E1034" s="395"/>
      <c r="F1034" s="395"/>
      <c r="G1034" s="395"/>
      <c r="H1034" s="395"/>
      <c r="I1034" s="395"/>
      <c r="J1034" s="395"/>
      <c r="K1034" s="395"/>
      <c r="L1034" s="395"/>
      <c r="M1034" s="395"/>
      <c r="N1034" s="395"/>
      <c r="O1034" s="395"/>
      <c r="P1034" s="395"/>
      <c r="Q1034" s="180"/>
      <c r="R1034" s="180"/>
      <c r="S1034" s="304"/>
      <c r="AE1034" s="4" t="s">
        <v>781</v>
      </c>
      <c r="AF1034" s="4" t="s">
        <v>782</v>
      </c>
    </row>
    <row r="1035" spans="1:50" ht="15.75" customHeight="1" thickBot="1" x14ac:dyDescent="0.35">
      <c r="A1035" s="262"/>
      <c r="B1035" s="394" t="s">
        <v>708</v>
      </c>
      <c r="C1035" s="394"/>
      <c r="D1035" s="394"/>
      <c r="E1035" s="394"/>
      <c r="F1035" s="394"/>
      <c r="G1035" s="394"/>
      <c r="H1035" s="394"/>
      <c r="I1035" s="394"/>
      <c r="J1035" s="394"/>
      <c r="K1035" s="394"/>
      <c r="L1035" s="394"/>
      <c r="M1035" s="394"/>
      <c r="N1035" s="394"/>
      <c r="O1035" s="394"/>
      <c r="P1035" s="394"/>
      <c r="Q1035" s="180"/>
      <c r="R1035" s="180"/>
      <c r="S1035" s="304"/>
      <c r="V1035" s="4" t="s">
        <v>783</v>
      </c>
      <c r="AC1035" s="4" t="s">
        <v>784</v>
      </c>
      <c r="AD1035" s="263" t="s">
        <v>785</v>
      </c>
      <c r="AE1035" s="4">
        <f>DAY(DATE($A$5,MONTH(CONCATENATE(1,"-",AD1035,"-",$A$5))+1,1)-1)</f>
        <v>28</v>
      </c>
      <c r="AI1035" s="264"/>
      <c r="AJ1035" s="264"/>
    </row>
    <row r="1036" spans="1:50" ht="15.75" customHeight="1" x14ac:dyDescent="0.3">
      <c r="A1036" s="262"/>
      <c r="B1036" s="420" t="s">
        <v>786</v>
      </c>
      <c r="C1036" s="421"/>
      <c r="D1036" s="422"/>
      <c r="E1036" s="182"/>
      <c r="F1036" s="182"/>
      <c r="G1036" s="182"/>
      <c r="H1036" s="182"/>
      <c r="I1036" s="182"/>
      <c r="J1036" s="182"/>
      <c r="K1036" s="182"/>
      <c r="L1036" s="182"/>
      <c r="M1036" s="182"/>
      <c r="N1036" s="182"/>
      <c r="O1036" s="182"/>
      <c r="P1036" s="182"/>
      <c r="Q1036" s="180"/>
      <c r="R1036" s="180"/>
      <c r="S1036" s="265"/>
      <c r="T1036" s="444" t="s">
        <v>787</v>
      </c>
      <c r="U1036" s="445"/>
      <c r="V1036" s="445" t="s">
        <v>788</v>
      </c>
      <c r="W1036" s="445"/>
      <c r="X1036" s="266" t="s">
        <v>640</v>
      </c>
      <c r="Y1036" s="266" t="s">
        <v>789</v>
      </c>
      <c r="Z1036" s="266" t="s">
        <v>790</v>
      </c>
    </row>
    <row r="1037" spans="1:50" ht="15.75" customHeight="1" thickBot="1" x14ac:dyDescent="0.35">
      <c r="A1037" s="191" t="s">
        <v>768</v>
      </c>
      <c r="B1037" s="267" t="s">
        <v>791</v>
      </c>
      <c r="C1037" s="268" t="s">
        <v>792</v>
      </c>
      <c r="D1037" s="269" t="s">
        <v>793</v>
      </c>
      <c r="E1037" s="268" t="s">
        <v>678</v>
      </c>
      <c r="F1037" s="268" t="s">
        <v>679</v>
      </c>
      <c r="G1037" s="268" t="s">
        <v>680</v>
      </c>
      <c r="H1037" s="268" t="s">
        <v>794</v>
      </c>
      <c r="I1037" s="268" t="s">
        <v>795</v>
      </c>
      <c r="J1037" s="268" t="s">
        <v>681</v>
      </c>
      <c r="K1037" s="268" t="s">
        <v>682</v>
      </c>
      <c r="L1037" s="268" t="s">
        <v>683</v>
      </c>
      <c r="M1037" s="268" t="s">
        <v>684</v>
      </c>
      <c r="N1037" s="268" t="s">
        <v>685</v>
      </c>
      <c r="O1037" s="268" t="s">
        <v>686</v>
      </c>
      <c r="P1037" s="268" t="s">
        <v>687</v>
      </c>
      <c r="Q1037" s="268" t="s">
        <v>688</v>
      </c>
      <c r="R1037" s="268" t="s">
        <v>689</v>
      </c>
      <c r="S1037" s="269" t="s">
        <v>638</v>
      </c>
      <c r="T1037" s="268" t="s">
        <v>796</v>
      </c>
      <c r="U1037" s="268" t="s">
        <v>792</v>
      </c>
      <c r="V1037" s="268" t="s">
        <v>797</v>
      </c>
      <c r="W1037" s="268" t="s">
        <v>792</v>
      </c>
      <c r="X1037" s="268" t="s">
        <v>127</v>
      </c>
      <c r="Y1037" s="268" t="s">
        <v>798</v>
      </c>
      <c r="Z1037" s="268" t="s">
        <v>799</v>
      </c>
      <c r="AD1037" s="191" t="s">
        <v>677</v>
      </c>
      <c r="AE1037" s="191" t="s">
        <v>678</v>
      </c>
      <c r="AF1037" s="191" t="s">
        <v>679</v>
      </c>
      <c r="AG1037" s="191" t="s">
        <v>680</v>
      </c>
      <c r="AH1037" s="191" t="s">
        <v>644</v>
      </c>
      <c r="AI1037" s="191" t="s">
        <v>681</v>
      </c>
      <c r="AJ1037" s="191" t="s">
        <v>682</v>
      </c>
      <c r="AK1037" s="191" t="s">
        <v>683</v>
      </c>
      <c r="AL1037" s="191" t="s">
        <v>684</v>
      </c>
      <c r="AM1037" s="191" t="s">
        <v>685</v>
      </c>
      <c r="AN1037" s="191" t="s">
        <v>686</v>
      </c>
      <c r="AO1037" s="191" t="s">
        <v>687</v>
      </c>
      <c r="AP1037" s="191" t="s">
        <v>688</v>
      </c>
      <c r="AQ1037" s="191" t="s">
        <v>689</v>
      </c>
      <c r="AR1037" s="191" t="s">
        <v>638</v>
      </c>
      <c r="AS1037" s="191" t="s">
        <v>641</v>
      </c>
      <c r="AT1037" s="191" t="s">
        <v>800</v>
      </c>
      <c r="AU1037" s="191" t="s">
        <v>641</v>
      </c>
      <c r="AW1037" s="270" t="s">
        <v>801</v>
      </c>
      <c r="AX1037" s="270" t="s">
        <v>802</v>
      </c>
    </row>
    <row r="1038" spans="1:50" ht="15.75" customHeight="1" x14ac:dyDescent="0.3">
      <c r="A1038" s="211" t="s">
        <v>8</v>
      </c>
      <c r="B1038" s="211">
        <f>+F1065</f>
        <v>196</v>
      </c>
      <c r="C1038" s="192">
        <f t="shared" ref="B1038:C1049" si="397">+G1065</f>
        <v>0</v>
      </c>
      <c r="D1038" s="312" t="s">
        <v>803</v>
      </c>
      <c r="E1038" s="192">
        <f>+C958/$B$10/24</f>
        <v>14.547043010752688</v>
      </c>
      <c r="F1038" s="192">
        <f t="shared" ref="F1038:S1038" si="398">+D958/$B$10/24</f>
        <v>15.245967741935482</v>
      </c>
      <c r="G1038" s="192">
        <f t="shared" si="398"/>
        <v>25.768817204301076</v>
      </c>
      <c r="H1038" s="192">
        <f t="shared" si="398"/>
        <v>6.0896633196854824</v>
      </c>
      <c r="I1038" s="192">
        <f t="shared" si="398"/>
        <v>0</v>
      </c>
      <c r="J1038" s="192">
        <f t="shared" si="398"/>
        <v>5.5174731182795691</v>
      </c>
      <c r="K1038" s="192">
        <f t="shared" si="398"/>
        <v>4.361559139784946</v>
      </c>
      <c r="L1038" s="192">
        <f t="shared" si="398"/>
        <v>6.7204301075268811</v>
      </c>
      <c r="M1038" s="192">
        <f t="shared" si="398"/>
        <v>6.9086021505376349</v>
      </c>
      <c r="N1038" s="192">
        <f t="shared" si="398"/>
        <v>2.463709677419355</v>
      </c>
      <c r="O1038" s="192">
        <f t="shared" si="398"/>
        <v>2.9032258064516125</v>
      </c>
      <c r="P1038" s="192">
        <f t="shared" si="398"/>
        <v>6.014784946236559</v>
      </c>
      <c r="Q1038" s="192">
        <f t="shared" si="398"/>
        <v>1.0053763440860215</v>
      </c>
      <c r="R1038" s="192">
        <f t="shared" si="398"/>
        <v>1.2123655913978495</v>
      </c>
      <c r="S1038" s="312">
        <f t="shared" si="398"/>
        <v>2.379032258064516</v>
      </c>
      <c r="T1038" s="192">
        <f>+B1038+SUM(E1038:S1038)</f>
        <v>297.13805041645969</v>
      </c>
      <c r="U1038" s="192">
        <f t="shared" ref="U1038:U1049" si="399">+C1038+SUM(E1038:S1038)</f>
        <v>101.13805041645968</v>
      </c>
      <c r="V1038" s="192">
        <f>+B1038+SUM(E1038:G1038)</f>
        <v>251.56182795698925</v>
      </c>
      <c r="W1038" s="192">
        <f>+C1038+SUM(E1038:G1038)</f>
        <v>55.561827956989248</v>
      </c>
      <c r="X1038" s="192">
        <f>+H1038</f>
        <v>6.0896633196854824</v>
      </c>
      <c r="Y1038" s="192">
        <f>+I1038</f>
        <v>0</v>
      </c>
      <c r="Z1038" s="192">
        <f>+SUM(J1038:S1038)</f>
        <v>39.486559139784944</v>
      </c>
      <c r="AC1038" s="4">
        <v>1</v>
      </c>
      <c r="AD1038" s="192">
        <f>IF($AF$1035=1,VLOOKUP($AD$1035,$A$1065:$P$1076,12,FALSE),VLOOKUP($AD$1035,$A$1038:$S$1049,2,FALSE))</f>
        <v>98</v>
      </c>
      <c r="AE1038" s="192">
        <f>VLOOKUP($AD$1035,$A$1038:$S$1049,5,FALSE)</f>
        <v>20.014880952380953</v>
      </c>
      <c r="AF1038" s="192">
        <f>VLOOKUP($AD$1035,$A$1038:$S$1049,6,FALSE)</f>
        <v>20.97172619047619</v>
      </c>
      <c r="AG1038" s="192">
        <f>VLOOKUP($AD$1035,$A$1038:$S$1049,7,FALSE)</f>
        <v>35.470238095238095</v>
      </c>
      <c r="AH1038" s="192">
        <f>VLOOKUP($AD$1035,$A$1038:$S$1049,8,FALSE)</f>
        <v>11.011590957489359</v>
      </c>
      <c r="AI1038" s="192">
        <f>VLOOKUP($AD$1035,$A$1038:$S$1049,10,FALSE)</f>
        <v>7.229166666666667</v>
      </c>
      <c r="AJ1038" s="192">
        <f>VLOOKUP($AD$1035,$A$1038:$S$1049,11,FALSE)</f>
        <v>5.0386904761904763</v>
      </c>
      <c r="AK1038" s="192">
        <f>VLOOKUP($AD$1035,$A$1038:$S$1049,12,FALSE)</f>
        <v>7.7351190476190474</v>
      </c>
      <c r="AL1038" s="192">
        <f>VLOOKUP($AD$1035,$A$1038:$S$1049,13,FALSE)</f>
        <v>7.7857142857142856</v>
      </c>
      <c r="AM1038" s="192">
        <f>VLOOKUP($AD$1035,$A$1038:$S$1049,14,FALSE)</f>
        <v>2.7366071428571428</v>
      </c>
      <c r="AN1038" s="192">
        <f>VLOOKUP($AD$1035,$A$1038:$S$1049,15,FALSE)</f>
        <v>3.2261904761904763</v>
      </c>
      <c r="AO1038" s="192">
        <f>VLOOKUP($AD$1035,$A$1038:$S$1049,16,FALSE)</f>
        <v>6.6622023809523805</v>
      </c>
      <c r="AP1038" s="192">
        <f>VLOOKUP($AD$1035,$A$1038:$S$1049,17,FALSE)</f>
        <v>1.1369047619047619</v>
      </c>
      <c r="AQ1038" s="192">
        <f>VLOOKUP($AD$1035,$A$1038:$S$1049,18,FALSE)</f>
        <v>1.4077380952380951</v>
      </c>
      <c r="AR1038" s="192">
        <f>VLOOKUP($AD$1035,$A$1038:$S$1049,19,FALSE)</f>
        <v>2.691964285714286</v>
      </c>
      <c r="AS1038" s="192">
        <f>SUM(AD1038:AR1038)</f>
        <v>231.11873381463218</v>
      </c>
      <c r="AT1038" s="192">
        <f>VLOOKUP($AD$1035,$AC$958:$AS$969,17,FALSE)/$AE$1035*(AS1038/$AS$1062)</f>
        <v>17.216519482336626</v>
      </c>
      <c r="AU1038" s="192">
        <f>AS1038+AT1038</f>
        <v>248.3352532969688</v>
      </c>
      <c r="AW1038" s="192">
        <f>VLOOKUP($AD$1035,$A$986:$O$999,15,FALSE)/$AE$1035/24</f>
        <v>346</v>
      </c>
      <c r="AX1038" s="192">
        <f>AU1038-AW1038</f>
        <v>-97.664746703031199</v>
      </c>
    </row>
    <row r="1039" spans="1:50" ht="15.75" customHeight="1" x14ac:dyDescent="0.3">
      <c r="A1039" s="211" t="s">
        <v>9</v>
      </c>
      <c r="B1039" s="211">
        <f t="shared" si="397"/>
        <v>98</v>
      </c>
      <c r="C1039" s="192">
        <f t="shared" si="397"/>
        <v>0</v>
      </c>
      <c r="D1039" s="312" t="s">
        <v>803</v>
      </c>
      <c r="E1039" s="192">
        <f t="shared" ref="E1039:S1039" si="400">+C959/$C$10/24</f>
        <v>20.014880952380953</v>
      </c>
      <c r="F1039" s="192">
        <f t="shared" si="400"/>
        <v>20.97172619047619</v>
      </c>
      <c r="G1039" s="192">
        <f t="shared" si="400"/>
        <v>35.470238095238095</v>
      </c>
      <c r="H1039" s="192">
        <f t="shared" si="400"/>
        <v>11.011590957489359</v>
      </c>
      <c r="I1039" s="192">
        <f t="shared" si="400"/>
        <v>0</v>
      </c>
      <c r="J1039" s="192">
        <f t="shared" si="400"/>
        <v>7.229166666666667</v>
      </c>
      <c r="K1039" s="192">
        <f t="shared" si="400"/>
        <v>5.0386904761904763</v>
      </c>
      <c r="L1039" s="192">
        <f t="shared" si="400"/>
        <v>7.7351190476190474</v>
      </c>
      <c r="M1039" s="192">
        <f t="shared" si="400"/>
        <v>7.7857142857142856</v>
      </c>
      <c r="N1039" s="192">
        <f t="shared" si="400"/>
        <v>2.7366071428571428</v>
      </c>
      <c r="O1039" s="192">
        <f t="shared" si="400"/>
        <v>3.2261904761904763</v>
      </c>
      <c r="P1039" s="192">
        <f t="shared" si="400"/>
        <v>6.6622023809523805</v>
      </c>
      <c r="Q1039" s="192">
        <f t="shared" si="400"/>
        <v>1.1369047619047619</v>
      </c>
      <c r="R1039" s="192">
        <f t="shared" si="400"/>
        <v>1.4077380952380951</v>
      </c>
      <c r="S1039" s="312">
        <f t="shared" si="400"/>
        <v>2.691964285714286</v>
      </c>
      <c r="T1039" s="192">
        <f t="shared" ref="T1039:T1049" si="401">+B1039+SUM(E1039:S1039)</f>
        <v>231.11873381463224</v>
      </c>
      <c r="U1039" s="192">
        <f t="shared" si="399"/>
        <v>133.11873381463224</v>
      </c>
      <c r="V1039" s="192">
        <f t="shared" ref="V1039:V1049" si="402">+B1039+SUM(E1039:G1039)</f>
        <v>174.45684523809524</v>
      </c>
      <c r="W1039" s="192">
        <f t="shared" ref="W1039:W1049" si="403">+C1039+SUM(E1039:G1039)</f>
        <v>76.456845238095241</v>
      </c>
      <c r="X1039" s="192">
        <f t="shared" ref="X1039:Y1049" si="404">+H1039</f>
        <v>11.011590957489359</v>
      </c>
      <c r="Y1039" s="192">
        <f t="shared" si="404"/>
        <v>0</v>
      </c>
      <c r="Z1039" s="192">
        <f t="shared" ref="Z1039:Z1049" si="405">+SUM(J1039:S1039)</f>
        <v>45.650297619047613</v>
      </c>
      <c r="AC1039" s="4">
        <v>2</v>
      </c>
      <c r="AD1039" s="192">
        <f t="shared" ref="AD1039:AD1043" si="406">IF($AF$1035=1,VLOOKUP($AD$1035,$A$1065:$P$1076,12,FALSE),VLOOKUP($AD$1035,$A$1038:$S$1049,2,FALSE))</f>
        <v>98</v>
      </c>
      <c r="AE1039" s="192">
        <f t="shared" ref="AE1039:AE1061" si="407">VLOOKUP($AD$1035,$A$1038:$S$1049,5,FALSE)</f>
        <v>20.014880952380953</v>
      </c>
      <c r="AF1039" s="192">
        <f t="shared" ref="AF1039:AF1061" si="408">VLOOKUP($AD$1035,$A$1038:$S$1049,6,FALSE)</f>
        <v>20.97172619047619</v>
      </c>
      <c r="AG1039" s="192">
        <f t="shared" ref="AG1039:AG1061" si="409">VLOOKUP($AD$1035,$A$1038:$S$1049,7,FALSE)</f>
        <v>35.470238095238095</v>
      </c>
      <c r="AH1039" s="192">
        <f t="shared" ref="AH1039:AH1061" si="410">VLOOKUP($AD$1035,$A$1038:$S$1049,8,FALSE)</f>
        <v>11.011590957489359</v>
      </c>
      <c r="AI1039" s="192">
        <f t="shared" ref="AI1039:AI1061" si="411">VLOOKUP($AD$1035,$A$1038:$S$1049,10,FALSE)</f>
        <v>7.229166666666667</v>
      </c>
      <c r="AJ1039" s="192">
        <f t="shared" ref="AJ1039:AJ1061" si="412">VLOOKUP($AD$1035,$A$1038:$S$1049,11,FALSE)</f>
        <v>5.0386904761904763</v>
      </c>
      <c r="AK1039" s="192">
        <f t="shared" ref="AK1039:AK1061" si="413">VLOOKUP($AD$1035,$A$1038:$S$1049,12,FALSE)</f>
        <v>7.7351190476190474</v>
      </c>
      <c r="AL1039" s="192">
        <f t="shared" ref="AL1039:AL1061" si="414">VLOOKUP($AD$1035,$A$1038:$S$1049,13,FALSE)</f>
        <v>7.7857142857142856</v>
      </c>
      <c r="AM1039" s="192">
        <f t="shared" ref="AM1039:AM1061" si="415">VLOOKUP($AD$1035,$A$1038:$S$1049,14,FALSE)</f>
        <v>2.7366071428571428</v>
      </c>
      <c r="AN1039" s="192">
        <f t="shared" ref="AN1039:AN1061" si="416">VLOOKUP($AD$1035,$A$1038:$S$1049,15,FALSE)</f>
        <v>3.2261904761904763</v>
      </c>
      <c r="AO1039" s="192">
        <f t="shared" ref="AO1039:AO1061" si="417">VLOOKUP($AD$1035,$A$1038:$S$1049,16,FALSE)</f>
        <v>6.6622023809523805</v>
      </c>
      <c r="AP1039" s="192">
        <f t="shared" ref="AP1039:AP1061" si="418">VLOOKUP($AD$1035,$A$1038:$S$1049,17,FALSE)</f>
        <v>1.1369047619047619</v>
      </c>
      <c r="AQ1039" s="192">
        <f t="shared" ref="AQ1039:AQ1061" si="419">VLOOKUP($AD$1035,$A$1038:$S$1049,18,FALSE)</f>
        <v>1.4077380952380951</v>
      </c>
      <c r="AR1039" s="192">
        <f t="shared" ref="AR1039:AR1061" si="420">VLOOKUP($AD$1035,$A$1038:$S$1049,19,FALSE)</f>
        <v>2.691964285714286</v>
      </c>
      <c r="AS1039" s="192">
        <f t="shared" ref="AS1039:AS1061" si="421">SUM(AD1039:AR1039)</f>
        <v>231.11873381463218</v>
      </c>
      <c r="AT1039" s="192">
        <f t="shared" ref="AT1039:AT1061" si="422">VLOOKUP($AD$1035,$AC$958:$AS$969,17,FALSE)/$AE$1035*(AS1039/$AS$1062)</f>
        <v>17.216519482336626</v>
      </c>
      <c r="AU1039" s="192">
        <f t="shared" ref="AU1039:AU1061" si="423">AS1039+AT1039</f>
        <v>248.3352532969688</v>
      </c>
      <c r="AW1039" s="192">
        <f t="shared" ref="AW1039:AW1061" si="424">VLOOKUP($AD$1035,$A$986:$O$999,15,FALSE)/$AE$1035/24</f>
        <v>346</v>
      </c>
      <c r="AX1039" s="192">
        <f t="shared" ref="AX1039:AX1061" si="425">AU1039-AW1039</f>
        <v>-97.664746703031199</v>
      </c>
    </row>
    <row r="1040" spans="1:50" ht="15.75" customHeight="1" x14ac:dyDescent="0.3">
      <c r="A1040" s="211" t="s">
        <v>10</v>
      </c>
      <c r="B1040" s="211">
        <f t="shared" si="397"/>
        <v>294</v>
      </c>
      <c r="C1040" s="192">
        <f t="shared" si="397"/>
        <v>0</v>
      </c>
      <c r="D1040" s="312" t="s">
        <v>803</v>
      </c>
      <c r="E1040" s="192">
        <f t="shared" ref="E1040:S1040" si="426">+C960/$D$10/24</f>
        <v>29.618279569892476</v>
      </c>
      <c r="F1040" s="192">
        <f t="shared" si="426"/>
        <v>31.030913978494624</v>
      </c>
      <c r="G1040" s="192">
        <f t="shared" si="426"/>
        <v>51.627688172043008</v>
      </c>
      <c r="H1040" s="192">
        <f t="shared" si="426"/>
        <v>16.498636000408094</v>
      </c>
      <c r="I1040" s="192">
        <f t="shared" si="426"/>
        <v>0</v>
      </c>
      <c r="J1040" s="192">
        <f t="shared" si="426"/>
        <v>11.470430107526882</v>
      </c>
      <c r="K1040" s="192">
        <f t="shared" si="426"/>
        <v>6.5201612903225801</v>
      </c>
      <c r="L1040" s="192">
        <f t="shared" si="426"/>
        <v>8.594086021505376</v>
      </c>
      <c r="M1040" s="192">
        <f t="shared" si="426"/>
        <v>7.813172043010753</v>
      </c>
      <c r="N1040" s="192">
        <f t="shared" si="426"/>
        <v>2.6263440860215055</v>
      </c>
      <c r="O1040" s="192">
        <f t="shared" si="426"/>
        <v>3.0940860215053765</v>
      </c>
      <c r="P1040" s="192">
        <f t="shared" si="426"/>
        <v>6.282258064516129</v>
      </c>
      <c r="Q1040" s="192">
        <f t="shared" si="426"/>
        <v>1.0551075268817205</v>
      </c>
      <c r="R1040" s="192">
        <f t="shared" si="426"/>
        <v>2.081989247311828</v>
      </c>
      <c r="S1040" s="312">
        <f t="shared" si="426"/>
        <v>2.4973118279569895</v>
      </c>
      <c r="T1040" s="192">
        <f t="shared" si="401"/>
        <v>474.81046395739736</v>
      </c>
      <c r="U1040" s="192">
        <f t="shared" si="399"/>
        <v>180.81046395739736</v>
      </c>
      <c r="V1040" s="192">
        <f t="shared" si="402"/>
        <v>406.27688172043008</v>
      </c>
      <c r="W1040" s="192">
        <f t="shared" si="403"/>
        <v>112.27688172043011</v>
      </c>
      <c r="X1040" s="192">
        <f t="shared" si="404"/>
        <v>16.498636000408094</v>
      </c>
      <c r="Y1040" s="192">
        <f t="shared" si="404"/>
        <v>0</v>
      </c>
      <c r="Z1040" s="192">
        <f t="shared" si="405"/>
        <v>52.034946236559136</v>
      </c>
      <c r="AC1040" s="4">
        <v>3</v>
      </c>
      <c r="AD1040" s="192">
        <f t="shared" si="406"/>
        <v>98</v>
      </c>
      <c r="AE1040" s="192">
        <f t="shared" si="407"/>
        <v>20.014880952380953</v>
      </c>
      <c r="AF1040" s="192">
        <f t="shared" si="408"/>
        <v>20.97172619047619</v>
      </c>
      <c r="AG1040" s="192">
        <f t="shared" si="409"/>
        <v>35.470238095238095</v>
      </c>
      <c r="AH1040" s="192">
        <f t="shared" si="410"/>
        <v>11.011590957489359</v>
      </c>
      <c r="AI1040" s="192">
        <f t="shared" si="411"/>
        <v>7.229166666666667</v>
      </c>
      <c r="AJ1040" s="192">
        <f t="shared" si="412"/>
        <v>5.0386904761904763</v>
      </c>
      <c r="AK1040" s="192">
        <f t="shared" si="413"/>
        <v>7.7351190476190474</v>
      </c>
      <c r="AL1040" s="192">
        <f t="shared" si="414"/>
        <v>7.7857142857142856</v>
      </c>
      <c r="AM1040" s="192">
        <f t="shared" si="415"/>
        <v>2.7366071428571428</v>
      </c>
      <c r="AN1040" s="192">
        <f t="shared" si="416"/>
        <v>3.2261904761904763</v>
      </c>
      <c r="AO1040" s="192">
        <f t="shared" si="417"/>
        <v>6.6622023809523805</v>
      </c>
      <c r="AP1040" s="192">
        <f t="shared" si="418"/>
        <v>1.1369047619047619</v>
      </c>
      <c r="AQ1040" s="192">
        <f t="shared" si="419"/>
        <v>1.4077380952380951</v>
      </c>
      <c r="AR1040" s="192">
        <f t="shared" si="420"/>
        <v>2.691964285714286</v>
      </c>
      <c r="AS1040" s="192">
        <f t="shared" si="421"/>
        <v>231.11873381463218</v>
      </c>
      <c r="AT1040" s="192">
        <f t="shared" si="422"/>
        <v>17.216519482336626</v>
      </c>
      <c r="AU1040" s="192">
        <f t="shared" si="423"/>
        <v>248.3352532969688</v>
      </c>
      <c r="AW1040" s="192">
        <f t="shared" si="424"/>
        <v>346</v>
      </c>
      <c r="AX1040" s="192">
        <f t="shared" si="425"/>
        <v>-97.664746703031199</v>
      </c>
    </row>
    <row r="1041" spans="1:50" ht="15.75" customHeight="1" x14ac:dyDescent="0.3">
      <c r="A1041" s="211" t="s">
        <v>12</v>
      </c>
      <c r="B1041" s="211">
        <f t="shared" si="397"/>
        <v>294</v>
      </c>
      <c r="C1041" s="192">
        <f t="shared" si="397"/>
        <v>0</v>
      </c>
      <c r="D1041" s="312" t="s">
        <v>803</v>
      </c>
      <c r="E1041" s="192">
        <f t="shared" ref="E1041:S1041" si="427">+C961/$F$10/24</f>
        <v>29.444444444444443</v>
      </c>
      <c r="F1041" s="192">
        <f t="shared" si="427"/>
        <v>30.830555555555552</v>
      </c>
      <c r="G1041" s="192">
        <f t="shared" si="427"/>
        <v>50.731944444444444</v>
      </c>
      <c r="H1041" s="192">
        <f t="shared" si="427"/>
        <v>8.6525667493352181</v>
      </c>
      <c r="I1041" s="192">
        <f t="shared" si="427"/>
        <v>0</v>
      </c>
      <c r="J1041" s="192">
        <f t="shared" si="427"/>
        <v>14.283333333333333</v>
      </c>
      <c r="K1041" s="192">
        <f t="shared" si="427"/>
        <v>8.6402777777777775</v>
      </c>
      <c r="L1041" s="192">
        <f t="shared" si="427"/>
        <v>10.083333333333334</v>
      </c>
      <c r="M1041" s="192">
        <f t="shared" si="427"/>
        <v>9.1708333333333325</v>
      </c>
      <c r="N1041" s="192">
        <f t="shared" si="427"/>
        <v>2.7722222222222221</v>
      </c>
      <c r="O1041" s="192">
        <f t="shared" si="427"/>
        <v>3.2652777777777775</v>
      </c>
      <c r="P1041" s="192">
        <f t="shared" si="427"/>
        <v>6.5472222222222216</v>
      </c>
      <c r="Q1041" s="192">
        <f t="shared" si="427"/>
        <v>1.0902777777777779</v>
      </c>
      <c r="R1041" s="192">
        <f t="shared" si="427"/>
        <v>2.3097222222222222</v>
      </c>
      <c r="S1041" s="312">
        <f t="shared" si="427"/>
        <v>2.5791666666666666</v>
      </c>
      <c r="T1041" s="192">
        <f t="shared" si="401"/>
        <v>474.4011778604463</v>
      </c>
      <c r="U1041" s="192">
        <f t="shared" si="399"/>
        <v>180.40117786044632</v>
      </c>
      <c r="V1041" s="192">
        <f t="shared" si="402"/>
        <v>405.00694444444446</v>
      </c>
      <c r="W1041" s="192">
        <f t="shared" si="403"/>
        <v>111.00694444444443</v>
      </c>
      <c r="X1041" s="192">
        <f t="shared" si="404"/>
        <v>8.6525667493352181</v>
      </c>
      <c r="Y1041" s="192">
        <f t="shared" si="404"/>
        <v>0</v>
      </c>
      <c r="Z1041" s="192">
        <f t="shared" si="405"/>
        <v>60.741666666666667</v>
      </c>
      <c r="AC1041" s="4">
        <v>4</v>
      </c>
      <c r="AD1041" s="192">
        <f t="shared" si="406"/>
        <v>98</v>
      </c>
      <c r="AE1041" s="192">
        <f t="shared" si="407"/>
        <v>20.014880952380953</v>
      </c>
      <c r="AF1041" s="192">
        <f t="shared" si="408"/>
        <v>20.97172619047619</v>
      </c>
      <c r="AG1041" s="192">
        <f t="shared" si="409"/>
        <v>35.470238095238095</v>
      </c>
      <c r="AH1041" s="192">
        <f t="shared" si="410"/>
        <v>11.011590957489359</v>
      </c>
      <c r="AI1041" s="192">
        <f t="shared" si="411"/>
        <v>7.229166666666667</v>
      </c>
      <c r="AJ1041" s="192">
        <f t="shared" si="412"/>
        <v>5.0386904761904763</v>
      </c>
      <c r="AK1041" s="192">
        <f t="shared" si="413"/>
        <v>7.7351190476190474</v>
      </c>
      <c r="AL1041" s="192">
        <f t="shared" si="414"/>
        <v>7.7857142857142856</v>
      </c>
      <c r="AM1041" s="192">
        <f t="shared" si="415"/>
        <v>2.7366071428571428</v>
      </c>
      <c r="AN1041" s="192">
        <f t="shared" si="416"/>
        <v>3.2261904761904763</v>
      </c>
      <c r="AO1041" s="192">
        <f t="shared" si="417"/>
        <v>6.6622023809523805</v>
      </c>
      <c r="AP1041" s="192">
        <f t="shared" si="418"/>
        <v>1.1369047619047619</v>
      </c>
      <c r="AQ1041" s="192">
        <f t="shared" si="419"/>
        <v>1.4077380952380951</v>
      </c>
      <c r="AR1041" s="192">
        <f t="shared" si="420"/>
        <v>2.691964285714286</v>
      </c>
      <c r="AS1041" s="192">
        <f t="shared" si="421"/>
        <v>231.11873381463218</v>
      </c>
      <c r="AT1041" s="192">
        <f t="shared" si="422"/>
        <v>17.216519482336626</v>
      </c>
      <c r="AU1041" s="192">
        <f t="shared" si="423"/>
        <v>248.3352532969688</v>
      </c>
      <c r="AW1041" s="192">
        <f t="shared" si="424"/>
        <v>346</v>
      </c>
      <c r="AX1041" s="192">
        <f t="shared" si="425"/>
        <v>-97.664746703031199</v>
      </c>
    </row>
    <row r="1042" spans="1:50" ht="15.75" customHeight="1" x14ac:dyDescent="0.3">
      <c r="A1042" s="211" t="s">
        <v>13</v>
      </c>
      <c r="B1042" s="211">
        <f t="shared" si="397"/>
        <v>294</v>
      </c>
      <c r="C1042" s="192">
        <f t="shared" si="397"/>
        <v>0</v>
      </c>
      <c r="D1042" s="312" t="s">
        <v>803</v>
      </c>
      <c r="E1042" s="192">
        <f t="shared" ref="E1042:S1042" si="428">+C962/$G$10/24</f>
        <v>30.502688172043012</v>
      </c>
      <c r="F1042" s="192">
        <f t="shared" si="428"/>
        <v>31.934139784946236</v>
      </c>
      <c r="G1042" s="192">
        <f t="shared" si="428"/>
        <v>52.59543010752688</v>
      </c>
      <c r="H1042" s="192">
        <f t="shared" si="428"/>
        <v>5.4152793710789275</v>
      </c>
      <c r="I1042" s="192">
        <f t="shared" si="428"/>
        <v>0</v>
      </c>
      <c r="J1042" s="192">
        <f t="shared" si="428"/>
        <v>16.108870967741936</v>
      </c>
      <c r="K1042" s="192">
        <f t="shared" si="428"/>
        <v>8.2607526881720421</v>
      </c>
      <c r="L1042" s="192">
        <f t="shared" si="428"/>
        <v>10</v>
      </c>
      <c r="M1042" s="192">
        <f t="shared" si="428"/>
        <v>9.3763440860215059</v>
      </c>
      <c r="N1042" s="192">
        <f t="shared" si="428"/>
        <v>2.823924731182796</v>
      </c>
      <c r="O1042" s="192">
        <f t="shared" si="428"/>
        <v>3.3252688172043015</v>
      </c>
      <c r="P1042" s="192">
        <f t="shared" si="428"/>
        <v>6.518817204301075</v>
      </c>
      <c r="Q1042" s="192">
        <f t="shared" si="428"/>
        <v>1.0779569892473118</v>
      </c>
      <c r="R1042" s="192">
        <f t="shared" si="428"/>
        <v>2.2298387096774195</v>
      </c>
      <c r="S1042" s="312">
        <f t="shared" si="428"/>
        <v>2.5483870967741935</v>
      </c>
      <c r="T1042" s="192">
        <f t="shared" si="401"/>
        <v>476.71769872591761</v>
      </c>
      <c r="U1042" s="192">
        <f t="shared" si="399"/>
        <v>182.71769872591761</v>
      </c>
      <c r="V1042" s="192">
        <f t="shared" si="402"/>
        <v>409.0322580645161</v>
      </c>
      <c r="W1042" s="192">
        <f t="shared" si="403"/>
        <v>115.03225806451613</v>
      </c>
      <c r="X1042" s="192">
        <f t="shared" si="404"/>
        <v>5.4152793710789275</v>
      </c>
      <c r="Y1042" s="192">
        <f t="shared" si="404"/>
        <v>0</v>
      </c>
      <c r="Z1042" s="192">
        <f t="shared" si="405"/>
        <v>62.270161290322569</v>
      </c>
      <c r="AC1042" s="4">
        <v>5</v>
      </c>
      <c r="AD1042" s="192">
        <f t="shared" si="406"/>
        <v>98</v>
      </c>
      <c r="AE1042" s="192">
        <f t="shared" si="407"/>
        <v>20.014880952380953</v>
      </c>
      <c r="AF1042" s="192">
        <f t="shared" si="408"/>
        <v>20.97172619047619</v>
      </c>
      <c r="AG1042" s="192">
        <f t="shared" si="409"/>
        <v>35.470238095238095</v>
      </c>
      <c r="AH1042" s="192">
        <f t="shared" si="410"/>
        <v>11.011590957489359</v>
      </c>
      <c r="AI1042" s="192">
        <f t="shared" si="411"/>
        <v>7.229166666666667</v>
      </c>
      <c r="AJ1042" s="192">
        <f t="shared" si="412"/>
        <v>5.0386904761904763</v>
      </c>
      <c r="AK1042" s="192">
        <f t="shared" si="413"/>
        <v>7.7351190476190474</v>
      </c>
      <c r="AL1042" s="192">
        <f t="shared" si="414"/>
        <v>7.7857142857142856</v>
      </c>
      <c r="AM1042" s="192">
        <f t="shared" si="415"/>
        <v>2.7366071428571428</v>
      </c>
      <c r="AN1042" s="192">
        <f t="shared" si="416"/>
        <v>3.2261904761904763</v>
      </c>
      <c r="AO1042" s="192">
        <f t="shared" si="417"/>
        <v>6.6622023809523805</v>
      </c>
      <c r="AP1042" s="192">
        <f t="shared" si="418"/>
        <v>1.1369047619047619</v>
      </c>
      <c r="AQ1042" s="192">
        <f t="shared" si="419"/>
        <v>1.4077380952380951</v>
      </c>
      <c r="AR1042" s="192">
        <f t="shared" si="420"/>
        <v>2.691964285714286</v>
      </c>
      <c r="AS1042" s="192">
        <f t="shared" si="421"/>
        <v>231.11873381463218</v>
      </c>
      <c r="AT1042" s="192">
        <f t="shared" si="422"/>
        <v>17.216519482336626</v>
      </c>
      <c r="AU1042" s="192">
        <f t="shared" si="423"/>
        <v>248.3352532969688</v>
      </c>
      <c r="AW1042" s="192">
        <f t="shared" si="424"/>
        <v>346</v>
      </c>
      <c r="AX1042" s="192">
        <f t="shared" si="425"/>
        <v>-97.664746703031199</v>
      </c>
    </row>
    <row r="1043" spans="1:50" ht="15.75" customHeight="1" x14ac:dyDescent="0.3">
      <c r="A1043" s="211" t="s">
        <v>14</v>
      </c>
      <c r="B1043" s="211">
        <f t="shared" si="397"/>
        <v>147</v>
      </c>
      <c r="C1043" s="192">
        <f t="shared" si="397"/>
        <v>0</v>
      </c>
      <c r="D1043" s="312" t="str">
        <f>H1070</f>
        <v>n/a</v>
      </c>
      <c r="E1043" s="192">
        <f t="shared" ref="E1043:S1043" si="429">+C963/$H$10/24</f>
        <v>12.236111111111112</v>
      </c>
      <c r="F1043" s="192">
        <f t="shared" si="429"/>
        <v>12.768055555555556</v>
      </c>
      <c r="G1043" s="192">
        <f t="shared" si="429"/>
        <v>19.830555555555556</v>
      </c>
      <c r="H1043" s="192">
        <f t="shared" si="429"/>
        <v>0</v>
      </c>
      <c r="I1043" s="192">
        <f t="shared" si="429"/>
        <v>-24.619799846038884</v>
      </c>
      <c r="J1043" s="192">
        <f t="shared" si="429"/>
        <v>19.781944444444445</v>
      </c>
      <c r="K1043" s="192">
        <f t="shared" si="429"/>
        <v>11.502777777777778</v>
      </c>
      <c r="L1043" s="192">
        <f t="shared" si="429"/>
        <v>12.120833333333332</v>
      </c>
      <c r="M1043" s="192">
        <f t="shared" si="429"/>
        <v>9.5875000000000004</v>
      </c>
      <c r="N1043" s="192">
        <f t="shared" si="429"/>
        <v>2.9527777777777775</v>
      </c>
      <c r="O1043" s="192">
        <f t="shared" si="429"/>
        <v>3.4777777777777779</v>
      </c>
      <c r="P1043" s="192">
        <f t="shared" si="429"/>
        <v>6.770833333333333</v>
      </c>
      <c r="Q1043" s="192">
        <f t="shared" si="429"/>
        <v>1.0999999999999999</v>
      </c>
      <c r="R1043" s="192">
        <f t="shared" si="429"/>
        <v>2.7124999999999999</v>
      </c>
      <c r="S1043" s="312">
        <f t="shared" si="429"/>
        <v>2.6</v>
      </c>
      <c r="T1043" s="192">
        <f t="shared" si="401"/>
        <v>239.82186682062778</v>
      </c>
      <c r="U1043" s="192">
        <f t="shared" si="399"/>
        <v>92.821866820627775</v>
      </c>
      <c r="V1043" s="192">
        <f t="shared" si="402"/>
        <v>191.83472222222224</v>
      </c>
      <c r="W1043" s="192">
        <f t="shared" si="403"/>
        <v>44.834722222222226</v>
      </c>
      <c r="X1043" s="192">
        <f t="shared" si="404"/>
        <v>0</v>
      </c>
      <c r="Y1043" s="192">
        <f t="shared" si="404"/>
        <v>-24.619799846038884</v>
      </c>
      <c r="Z1043" s="192">
        <f t="shared" si="405"/>
        <v>72.606944444444423</v>
      </c>
      <c r="AC1043" s="4">
        <v>6</v>
      </c>
      <c r="AD1043" s="192">
        <f t="shared" si="406"/>
        <v>98</v>
      </c>
      <c r="AE1043" s="192">
        <f t="shared" si="407"/>
        <v>20.014880952380953</v>
      </c>
      <c r="AF1043" s="192">
        <f t="shared" si="408"/>
        <v>20.97172619047619</v>
      </c>
      <c r="AG1043" s="192">
        <f t="shared" si="409"/>
        <v>35.470238095238095</v>
      </c>
      <c r="AH1043" s="192">
        <f t="shared" si="410"/>
        <v>11.011590957489359</v>
      </c>
      <c r="AI1043" s="192">
        <f t="shared" si="411"/>
        <v>7.229166666666667</v>
      </c>
      <c r="AJ1043" s="192">
        <f t="shared" si="412"/>
        <v>5.0386904761904763</v>
      </c>
      <c r="AK1043" s="192">
        <f t="shared" si="413"/>
        <v>7.7351190476190474</v>
      </c>
      <c r="AL1043" s="192">
        <f t="shared" si="414"/>
        <v>7.7857142857142856</v>
      </c>
      <c r="AM1043" s="192">
        <f t="shared" si="415"/>
        <v>2.7366071428571428</v>
      </c>
      <c r="AN1043" s="192">
        <f t="shared" si="416"/>
        <v>3.2261904761904763</v>
      </c>
      <c r="AO1043" s="192">
        <f t="shared" si="417"/>
        <v>6.6622023809523805</v>
      </c>
      <c r="AP1043" s="192">
        <f t="shared" si="418"/>
        <v>1.1369047619047619</v>
      </c>
      <c r="AQ1043" s="192">
        <f t="shared" si="419"/>
        <v>1.4077380952380951</v>
      </c>
      <c r="AR1043" s="192">
        <f t="shared" si="420"/>
        <v>2.691964285714286</v>
      </c>
      <c r="AS1043" s="192">
        <f t="shared" si="421"/>
        <v>231.11873381463218</v>
      </c>
      <c r="AT1043" s="192">
        <f t="shared" si="422"/>
        <v>17.216519482336626</v>
      </c>
      <c r="AU1043" s="192">
        <f t="shared" si="423"/>
        <v>248.3352532969688</v>
      </c>
      <c r="AW1043" s="192">
        <f t="shared" si="424"/>
        <v>346</v>
      </c>
      <c r="AX1043" s="192">
        <f t="shared" si="425"/>
        <v>-97.664746703031199</v>
      </c>
    </row>
    <row r="1044" spans="1:50" ht="15.75" customHeight="1" x14ac:dyDescent="0.3">
      <c r="A1044" s="211" t="s">
        <v>16</v>
      </c>
      <c r="B1044" s="211">
        <f t="shared" si="397"/>
        <v>147</v>
      </c>
      <c r="C1044" s="192">
        <f t="shared" si="397"/>
        <v>0</v>
      </c>
      <c r="D1044" s="312" t="str">
        <f>H1071</f>
        <v>n/a</v>
      </c>
      <c r="E1044" s="192">
        <f t="shared" ref="E1044:S1044" si="430">+C964/$J$10/24</f>
        <v>12.077956989247312</v>
      </c>
      <c r="F1044" s="192">
        <f t="shared" si="430"/>
        <v>12.604838709677418</v>
      </c>
      <c r="G1044" s="192">
        <f t="shared" si="430"/>
        <v>19.661290322580644</v>
      </c>
      <c r="H1044" s="192">
        <f t="shared" si="430"/>
        <v>0</v>
      </c>
      <c r="I1044" s="192">
        <f t="shared" si="430"/>
        <v>-20.114219433768614</v>
      </c>
      <c r="J1044" s="192">
        <f t="shared" si="430"/>
        <v>18.69489247311828</v>
      </c>
      <c r="K1044" s="192">
        <f t="shared" si="430"/>
        <v>12.129032258064518</v>
      </c>
      <c r="L1044" s="192">
        <f t="shared" si="430"/>
        <v>12.075268817204302</v>
      </c>
      <c r="M1044" s="192">
        <f t="shared" si="430"/>
        <v>10.311827956989246</v>
      </c>
      <c r="N1044" s="192">
        <f t="shared" si="430"/>
        <v>2.98252688172043</v>
      </c>
      <c r="O1044" s="192">
        <f t="shared" si="430"/>
        <v>3.513440860215054</v>
      </c>
      <c r="P1044" s="192">
        <f t="shared" si="430"/>
        <v>6.6975806451612909</v>
      </c>
      <c r="Q1044" s="192">
        <f t="shared" si="430"/>
        <v>1.075268817204301</v>
      </c>
      <c r="R1044" s="192">
        <f t="shared" si="430"/>
        <v>2.5470430107526885</v>
      </c>
      <c r="S1044" s="312">
        <f t="shared" si="430"/>
        <v>2.5403225806451615</v>
      </c>
      <c r="T1044" s="192">
        <f t="shared" si="401"/>
        <v>243.79707088881204</v>
      </c>
      <c r="U1044" s="192">
        <f t="shared" si="399"/>
        <v>96.797070888812044</v>
      </c>
      <c r="V1044" s="192">
        <f t="shared" si="402"/>
        <v>191.34408602150538</v>
      </c>
      <c r="W1044" s="192">
        <f t="shared" si="403"/>
        <v>44.344086021505376</v>
      </c>
      <c r="X1044" s="192">
        <f t="shared" si="404"/>
        <v>0</v>
      </c>
      <c r="Y1044" s="192">
        <f t="shared" si="404"/>
        <v>-20.114219433768614</v>
      </c>
      <c r="Z1044" s="192">
        <f t="shared" si="405"/>
        <v>72.567204301075293</v>
      </c>
      <c r="AC1044" s="4">
        <v>7</v>
      </c>
      <c r="AD1044" s="192">
        <f>IF($AF$1035=1,VLOOKUP($AD$1035,$A$1065:$P$1076,12,FALSE),IF(OR($AD$1035="JAN",$AD$1035="FEB",$AD$1035="NOV",$AD$1035="DEC"),VLOOKUP($AD$1035,$A$1038:$S$1049,2,FALSE),VLOOKUP($AD$1035,$A$1038:$S$1049,3,FALSE)))</f>
        <v>98</v>
      </c>
      <c r="AE1044" s="192">
        <f t="shared" si="407"/>
        <v>20.014880952380953</v>
      </c>
      <c r="AF1044" s="192">
        <f t="shared" si="408"/>
        <v>20.97172619047619</v>
      </c>
      <c r="AG1044" s="192">
        <f t="shared" si="409"/>
        <v>35.470238095238095</v>
      </c>
      <c r="AH1044" s="192">
        <f t="shared" si="410"/>
        <v>11.011590957489359</v>
      </c>
      <c r="AI1044" s="192">
        <f t="shared" si="411"/>
        <v>7.229166666666667</v>
      </c>
      <c r="AJ1044" s="192">
        <f t="shared" si="412"/>
        <v>5.0386904761904763</v>
      </c>
      <c r="AK1044" s="192">
        <f t="shared" si="413"/>
        <v>7.7351190476190474</v>
      </c>
      <c r="AL1044" s="192">
        <f t="shared" si="414"/>
        <v>7.7857142857142856</v>
      </c>
      <c r="AM1044" s="192">
        <f t="shared" si="415"/>
        <v>2.7366071428571428</v>
      </c>
      <c r="AN1044" s="192">
        <f t="shared" si="416"/>
        <v>3.2261904761904763</v>
      </c>
      <c r="AO1044" s="192">
        <f t="shared" si="417"/>
        <v>6.6622023809523805</v>
      </c>
      <c r="AP1044" s="192">
        <f t="shared" si="418"/>
        <v>1.1369047619047619</v>
      </c>
      <c r="AQ1044" s="192">
        <f t="shared" si="419"/>
        <v>1.4077380952380951</v>
      </c>
      <c r="AR1044" s="192">
        <f t="shared" si="420"/>
        <v>2.691964285714286</v>
      </c>
      <c r="AS1044" s="192">
        <f t="shared" si="421"/>
        <v>231.11873381463218</v>
      </c>
      <c r="AT1044" s="192">
        <f t="shared" si="422"/>
        <v>17.216519482336626</v>
      </c>
      <c r="AU1044" s="192">
        <f t="shared" si="423"/>
        <v>248.3352532969688</v>
      </c>
      <c r="AW1044" s="192">
        <f t="shared" si="424"/>
        <v>346</v>
      </c>
      <c r="AX1044" s="192">
        <f t="shared" si="425"/>
        <v>-97.664746703031199</v>
      </c>
    </row>
    <row r="1045" spans="1:50" ht="15.75" customHeight="1" x14ac:dyDescent="0.3">
      <c r="A1045" s="211" t="s">
        <v>17</v>
      </c>
      <c r="B1045" s="211">
        <f t="shared" si="397"/>
        <v>147</v>
      </c>
      <c r="C1045" s="192">
        <f t="shared" si="397"/>
        <v>0</v>
      </c>
      <c r="D1045" s="312" t="str">
        <f>H1072</f>
        <v>n/a</v>
      </c>
      <c r="E1045" s="192">
        <f t="shared" ref="E1045:S1045" si="431">+C965/$K$10/24</f>
        <v>5.306451612903226</v>
      </c>
      <c r="F1045" s="192">
        <f t="shared" si="431"/>
        <v>5.512096774193548</v>
      </c>
      <c r="G1045" s="192">
        <f t="shared" si="431"/>
        <v>7.530913978494624</v>
      </c>
      <c r="H1045" s="192">
        <f t="shared" si="431"/>
        <v>0</v>
      </c>
      <c r="I1045" s="192">
        <f t="shared" si="431"/>
        <v>-17.107558162806161</v>
      </c>
      <c r="J1045" s="192">
        <f t="shared" si="431"/>
        <v>17.122311827956988</v>
      </c>
      <c r="K1045" s="192">
        <f t="shared" si="431"/>
        <v>10.135752688172042</v>
      </c>
      <c r="L1045" s="192">
        <f t="shared" si="431"/>
        <v>11.365591397849462</v>
      </c>
      <c r="M1045" s="192">
        <f t="shared" si="431"/>
        <v>9.78494623655914</v>
      </c>
      <c r="N1045" s="192">
        <f t="shared" si="431"/>
        <v>2.9166666666666665</v>
      </c>
      <c r="O1045" s="192">
        <f t="shared" si="431"/>
        <v>3.4368279569892475</v>
      </c>
      <c r="P1045" s="192">
        <f t="shared" si="431"/>
        <v>6.669354838709677</v>
      </c>
      <c r="Q1045" s="192">
        <f t="shared" si="431"/>
        <v>1.1693548387096775</v>
      </c>
      <c r="R1045" s="192">
        <f t="shared" si="431"/>
        <v>2.2231182795698925</v>
      </c>
      <c r="S1045" s="312">
        <f t="shared" si="431"/>
        <v>2.7661290322580645</v>
      </c>
      <c r="T1045" s="192">
        <f t="shared" si="401"/>
        <v>215.8319579662261</v>
      </c>
      <c r="U1045" s="192">
        <f t="shared" si="399"/>
        <v>68.831957966226099</v>
      </c>
      <c r="V1045" s="192">
        <f t="shared" si="402"/>
        <v>165.34946236559139</v>
      </c>
      <c r="W1045" s="192">
        <f t="shared" si="403"/>
        <v>18.3494623655914</v>
      </c>
      <c r="X1045" s="192">
        <f t="shared" si="404"/>
        <v>0</v>
      </c>
      <c r="Y1045" s="192">
        <f t="shared" si="404"/>
        <v>-17.107558162806161</v>
      </c>
      <c r="Z1045" s="192">
        <f t="shared" si="405"/>
        <v>67.590053763440864</v>
      </c>
      <c r="AC1045" s="4">
        <v>8</v>
      </c>
      <c r="AD1045" s="192">
        <f>IF($AF$1035=1,VLOOKUP($AD$1035,$A$1065:$P$1076,12,FALSE),VLOOKUP($AD$1035,$A$1038:$S$1049,3,FALSE))</f>
        <v>0</v>
      </c>
      <c r="AE1045" s="192">
        <f t="shared" si="407"/>
        <v>20.014880952380953</v>
      </c>
      <c r="AF1045" s="192">
        <f t="shared" si="408"/>
        <v>20.97172619047619</v>
      </c>
      <c r="AG1045" s="192">
        <f t="shared" si="409"/>
        <v>35.470238095238095</v>
      </c>
      <c r="AH1045" s="192">
        <f t="shared" si="410"/>
        <v>11.011590957489359</v>
      </c>
      <c r="AI1045" s="192">
        <f t="shared" si="411"/>
        <v>7.229166666666667</v>
      </c>
      <c r="AJ1045" s="192">
        <f t="shared" si="412"/>
        <v>5.0386904761904763</v>
      </c>
      <c r="AK1045" s="192">
        <f t="shared" si="413"/>
        <v>7.7351190476190474</v>
      </c>
      <c r="AL1045" s="192">
        <f t="shared" si="414"/>
        <v>7.7857142857142856</v>
      </c>
      <c r="AM1045" s="192">
        <f t="shared" si="415"/>
        <v>2.7366071428571428</v>
      </c>
      <c r="AN1045" s="192">
        <f t="shared" si="416"/>
        <v>3.2261904761904763</v>
      </c>
      <c r="AO1045" s="192">
        <f t="shared" si="417"/>
        <v>6.6622023809523805</v>
      </c>
      <c r="AP1045" s="192">
        <f t="shared" si="418"/>
        <v>1.1369047619047619</v>
      </c>
      <c r="AQ1045" s="192">
        <f t="shared" si="419"/>
        <v>1.4077380952380951</v>
      </c>
      <c r="AR1045" s="192">
        <f t="shared" si="420"/>
        <v>2.691964285714286</v>
      </c>
      <c r="AS1045" s="192">
        <f t="shared" si="421"/>
        <v>133.11873381463224</v>
      </c>
      <c r="AT1045" s="192">
        <f t="shared" si="422"/>
        <v>9.9162938302602548</v>
      </c>
      <c r="AU1045" s="192">
        <f t="shared" si="423"/>
        <v>143.03502764489249</v>
      </c>
      <c r="AW1045" s="192">
        <f t="shared" si="424"/>
        <v>346</v>
      </c>
      <c r="AX1045" s="192">
        <f t="shared" si="425"/>
        <v>-202.96497235510751</v>
      </c>
    </row>
    <row r="1046" spans="1:50" ht="15.75" customHeight="1" x14ac:dyDescent="0.3">
      <c r="A1046" s="211" t="s">
        <v>18</v>
      </c>
      <c r="B1046" s="211">
        <f t="shared" si="397"/>
        <v>245</v>
      </c>
      <c r="C1046" s="192">
        <f t="shared" si="397"/>
        <v>0</v>
      </c>
      <c r="D1046" s="312" t="s">
        <v>803</v>
      </c>
      <c r="E1046" s="192">
        <f t="shared" ref="E1046:S1046" si="432">+C966/$L$10/24</f>
        <v>25.602777777777778</v>
      </c>
      <c r="F1046" s="192">
        <f t="shared" si="432"/>
        <v>26.808333333333334</v>
      </c>
      <c r="G1046" s="192">
        <f t="shared" si="432"/>
        <v>44.61944444444444</v>
      </c>
      <c r="H1046" s="192">
        <f t="shared" si="432"/>
        <v>1.5166759268947161</v>
      </c>
      <c r="I1046" s="192">
        <f t="shared" si="432"/>
        <v>0</v>
      </c>
      <c r="J1046" s="192">
        <f t="shared" si="432"/>
        <v>12.254166666666668</v>
      </c>
      <c r="K1046" s="192">
        <f t="shared" si="432"/>
        <v>6.3125</v>
      </c>
      <c r="L1046" s="192">
        <f t="shared" si="432"/>
        <v>9.1833333333333336</v>
      </c>
      <c r="M1046" s="192">
        <f t="shared" si="432"/>
        <v>8.7638888888888893</v>
      </c>
      <c r="N1046" s="192">
        <f t="shared" si="432"/>
        <v>2.8236111111111111</v>
      </c>
      <c r="O1046" s="192">
        <f t="shared" si="432"/>
        <v>3.3249999999999997</v>
      </c>
      <c r="P1046" s="192">
        <f t="shared" si="432"/>
        <v>6.6236111111111109</v>
      </c>
      <c r="Q1046" s="192">
        <f t="shared" si="432"/>
        <v>1.1986111111111111</v>
      </c>
      <c r="R1046" s="192">
        <f t="shared" si="432"/>
        <v>1.9097222222222223</v>
      </c>
      <c r="S1046" s="312">
        <f t="shared" si="432"/>
        <v>2.8361111111111108</v>
      </c>
      <c r="T1046" s="192">
        <f t="shared" si="401"/>
        <v>398.77778703800584</v>
      </c>
      <c r="U1046" s="192">
        <f t="shared" si="399"/>
        <v>153.77778703800584</v>
      </c>
      <c r="V1046" s="192">
        <f t="shared" si="402"/>
        <v>342.03055555555557</v>
      </c>
      <c r="W1046" s="192">
        <f t="shared" si="403"/>
        <v>97.030555555555551</v>
      </c>
      <c r="X1046" s="192">
        <f t="shared" si="404"/>
        <v>1.5166759268947161</v>
      </c>
      <c r="Y1046" s="192">
        <f t="shared" si="404"/>
        <v>0</v>
      </c>
      <c r="Z1046" s="192">
        <f t="shared" si="405"/>
        <v>55.230555555555561</v>
      </c>
      <c r="AC1046" s="4">
        <v>9</v>
      </c>
      <c r="AD1046" s="192">
        <f>IF($AF$1035=1,VLOOKUP($AD$1035,$A$1065:$P$1076,12,FALSE),VLOOKUP($AD$1035,$A$1038:$S$1049,3,FALSE))</f>
        <v>0</v>
      </c>
      <c r="AE1046" s="192">
        <f t="shared" si="407"/>
        <v>20.014880952380953</v>
      </c>
      <c r="AF1046" s="192">
        <f t="shared" si="408"/>
        <v>20.97172619047619</v>
      </c>
      <c r="AG1046" s="192">
        <f t="shared" si="409"/>
        <v>35.470238095238095</v>
      </c>
      <c r="AH1046" s="192">
        <f t="shared" si="410"/>
        <v>11.011590957489359</v>
      </c>
      <c r="AI1046" s="192">
        <f t="shared" si="411"/>
        <v>7.229166666666667</v>
      </c>
      <c r="AJ1046" s="192">
        <f t="shared" si="412"/>
        <v>5.0386904761904763</v>
      </c>
      <c r="AK1046" s="192">
        <f t="shared" si="413"/>
        <v>7.7351190476190474</v>
      </c>
      <c r="AL1046" s="192">
        <f t="shared" si="414"/>
        <v>7.7857142857142856</v>
      </c>
      <c r="AM1046" s="192">
        <f t="shared" si="415"/>
        <v>2.7366071428571428</v>
      </c>
      <c r="AN1046" s="192">
        <f t="shared" si="416"/>
        <v>3.2261904761904763</v>
      </c>
      <c r="AO1046" s="192">
        <f t="shared" si="417"/>
        <v>6.6622023809523805</v>
      </c>
      <c r="AP1046" s="192">
        <f t="shared" si="418"/>
        <v>1.1369047619047619</v>
      </c>
      <c r="AQ1046" s="192">
        <f t="shared" si="419"/>
        <v>1.4077380952380951</v>
      </c>
      <c r="AR1046" s="192">
        <f t="shared" si="420"/>
        <v>2.691964285714286</v>
      </c>
      <c r="AS1046" s="192">
        <f t="shared" si="421"/>
        <v>133.11873381463224</v>
      </c>
      <c r="AT1046" s="192">
        <f t="shared" si="422"/>
        <v>9.9162938302602548</v>
      </c>
      <c r="AU1046" s="192">
        <f t="shared" si="423"/>
        <v>143.03502764489249</v>
      </c>
      <c r="AW1046" s="192">
        <f t="shared" si="424"/>
        <v>346</v>
      </c>
      <c r="AX1046" s="192">
        <f t="shared" si="425"/>
        <v>-202.96497235510751</v>
      </c>
    </row>
    <row r="1047" spans="1:50" ht="15.75" customHeight="1" x14ac:dyDescent="0.3">
      <c r="A1047" s="211" t="s">
        <v>20</v>
      </c>
      <c r="B1047" s="211">
        <f t="shared" si="397"/>
        <v>245</v>
      </c>
      <c r="C1047" s="192">
        <f t="shared" si="397"/>
        <v>0</v>
      </c>
      <c r="D1047" s="312" t="s">
        <v>803</v>
      </c>
      <c r="E1047" s="192">
        <f t="shared" ref="E1047:S1047" si="433">+C967/$N$10/24</f>
        <v>26.568548387096772</v>
      </c>
      <c r="F1047" s="192">
        <f t="shared" si="433"/>
        <v>27.827956989247312</v>
      </c>
      <c r="G1047" s="192">
        <f t="shared" si="433"/>
        <v>47.056451612903224</v>
      </c>
      <c r="H1047" s="192">
        <f t="shared" si="433"/>
        <v>13.287449010748865</v>
      </c>
      <c r="I1047" s="192">
        <f t="shared" si="433"/>
        <v>0</v>
      </c>
      <c r="J1047" s="192">
        <f t="shared" si="433"/>
        <v>8.193548387096774</v>
      </c>
      <c r="K1047" s="192">
        <f t="shared" si="433"/>
        <v>3.0107526881720434</v>
      </c>
      <c r="L1047" s="192">
        <f t="shared" si="433"/>
        <v>4.4233870967741931</v>
      </c>
      <c r="M1047" s="192">
        <f t="shared" si="433"/>
        <v>4.2405913978494629</v>
      </c>
      <c r="N1047" s="192">
        <f t="shared" si="433"/>
        <v>1.381720430107527</v>
      </c>
      <c r="O1047" s="192">
        <f t="shared" si="433"/>
        <v>1.625</v>
      </c>
      <c r="P1047" s="192">
        <f t="shared" si="433"/>
        <v>3.3051075268817205</v>
      </c>
      <c r="Q1047" s="192">
        <f t="shared" si="433"/>
        <v>0.96102150537634412</v>
      </c>
      <c r="R1047" s="192">
        <f t="shared" si="433"/>
        <v>1.639784946236559</v>
      </c>
      <c r="S1047" s="312">
        <f t="shared" si="433"/>
        <v>2.2728494623655915</v>
      </c>
      <c r="T1047" s="192">
        <f t="shared" si="401"/>
        <v>390.79416944085642</v>
      </c>
      <c r="U1047" s="192">
        <f t="shared" si="399"/>
        <v>145.79416944085639</v>
      </c>
      <c r="V1047" s="192">
        <f t="shared" si="402"/>
        <v>346.4529569892473</v>
      </c>
      <c r="W1047" s="192">
        <f t="shared" si="403"/>
        <v>101.4529569892473</v>
      </c>
      <c r="X1047" s="192">
        <f t="shared" si="404"/>
        <v>13.287449010748865</v>
      </c>
      <c r="Y1047" s="192">
        <f t="shared" si="404"/>
        <v>0</v>
      </c>
      <c r="Z1047" s="192">
        <f t="shared" si="405"/>
        <v>31.053763440860219</v>
      </c>
      <c r="AC1047" s="4">
        <v>10</v>
      </c>
      <c r="AD1047" s="192">
        <f>IF($AF$1035=1,VLOOKUP($AD$1035,$A$1065:$P$1076,12,FALSE),VLOOKUP($AD$1035,$A$1038:$S$1049,3,FALSE))</f>
        <v>0</v>
      </c>
      <c r="AE1047" s="192">
        <f t="shared" si="407"/>
        <v>20.014880952380953</v>
      </c>
      <c r="AF1047" s="192">
        <f t="shared" si="408"/>
        <v>20.97172619047619</v>
      </c>
      <c r="AG1047" s="192">
        <f t="shared" si="409"/>
        <v>35.470238095238095</v>
      </c>
      <c r="AH1047" s="192">
        <f t="shared" si="410"/>
        <v>11.011590957489359</v>
      </c>
      <c r="AI1047" s="192">
        <f t="shared" si="411"/>
        <v>7.229166666666667</v>
      </c>
      <c r="AJ1047" s="192">
        <f t="shared" si="412"/>
        <v>5.0386904761904763</v>
      </c>
      <c r="AK1047" s="192">
        <f t="shared" si="413"/>
        <v>7.7351190476190474</v>
      </c>
      <c r="AL1047" s="192">
        <f t="shared" si="414"/>
        <v>7.7857142857142856</v>
      </c>
      <c r="AM1047" s="192">
        <f t="shared" si="415"/>
        <v>2.7366071428571428</v>
      </c>
      <c r="AN1047" s="192">
        <f t="shared" si="416"/>
        <v>3.2261904761904763</v>
      </c>
      <c r="AO1047" s="192">
        <f t="shared" si="417"/>
        <v>6.6622023809523805</v>
      </c>
      <c r="AP1047" s="192">
        <f t="shared" si="418"/>
        <v>1.1369047619047619</v>
      </c>
      <c r="AQ1047" s="192">
        <f t="shared" si="419"/>
        <v>1.4077380952380951</v>
      </c>
      <c r="AR1047" s="192">
        <f t="shared" si="420"/>
        <v>2.691964285714286</v>
      </c>
      <c r="AS1047" s="192">
        <f t="shared" si="421"/>
        <v>133.11873381463224</v>
      </c>
      <c r="AT1047" s="192">
        <f t="shared" si="422"/>
        <v>9.9162938302602548</v>
      </c>
      <c r="AU1047" s="192">
        <f t="shared" si="423"/>
        <v>143.03502764489249</v>
      </c>
      <c r="AW1047" s="192">
        <f t="shared" si="424"/>
        <v>346</v>
      </c>
      <c r="AX1047" s="192">
        <f t="shared" si="425"/>
        <v>-202.96497235510751</v>
      </c>
    </row>
    <row r="1048" spans="1:50" ht="15.75" customHeight="1" x14ac:dyDescent="0.3">
      <c r="A1048" s="211" t="s">
        <v>21</v>
      </c>
      <c r="B1048" s="211">
        <f t="shared" si="397"/>
        <v>245</v>
      </c>
      <c r="C1048" s="192">
        <f t="shared" si="397"/>
        <v>0</v>
      </c>
      <c r="D1048" s="312" t="s">
        <v>803</v>
      </c>
      <c r="E1048" s="192">
        <f t="shared" ref="E1048:S1048" si="434">+C968/$O$10/24</f>
        <v>26.583333333333332</v>
      </c>
      <c r="F1048" s="192">
        <f t="shared" si="434"/>
        <v>27.849999999999998</v>
      </c>
      <c r="G1048" s="192">
        <f t="shared" si="434"/>
        <v>47.358333333333327</v>
      </c>
      <c r="H1048" s="192">
        <f t="shared" si="434"/>
        <v>21.033847544432877</v>
      </c>
      <c r="I1048" s="192">
        <f t="shared" si="434"/>
        <v>0</v>
      </c>
      <c r="J1048" s="192">
        <f t="shared" si="434"/>
        <v>5.3999999999999995</v>
      </c>
      <c r="K1048" s="192">
        <f t="shared" si="434"/>
        <v>1.2472222222222222</v>
      </c>
      <c r="L1048" s="192">
        <f t="shared" si="434"/>
        <v>1.7930555555555554</v>
      </c>
      <c r="M1048" s="192">
        <f t="shared" si="434"/>
        <v>1.8291666666666666</v>
      </c>
      <c r="N1048" s="192">
        <f t="shared" si="434"/>
        <v>0.53888888888888886</v>
      </c>
      <c r="O1048" s="192">
        <f t="shared" si="434"/>
        <v>0.63194444444444442</v>
      </c>
      <c r="P1048" s="192">
        <f t="shared" si="434"/>
        <v>1.3</v>
      </c>
      <c r="Q1048" s="192">
        <f t="shared" si="434"/>
        <v>0.91527777777777775</v>
      </c>
      <c r="R1048" s="192">
        <f t="shared" si="434"/>
        <v>1.7861111111111112</v>
      </c>
      <c r="S1048" s="312">
        <f t="shared" si="434"/>
        <v>2.1666666666666665</v>
      </c>
      <c r="T1048" s="192">
        <f t="shared" si="401"/>
        <v>385.43384754443287</v>
      </c>
      <c r="U1048" s="192">
        <f t="shared" si="399"/>
        <v>140.43384754443289</v>
      </c>
      <c r="V1048" s="192">
        <f t="shared" si="402"/>
        <v>346.79166666666663</v>
      </c>
      <c r="W1048" s="192">
        <f t="shared" si="403"/>
        <v>101.79166666666666</v>
      </c>
      <c r="X1048" s="192">
        <f t="shared" si="404"/>
        <v>21.033847544432877</v>
      </c>
      <c r="Y1048" s="192">
        <f t="shared" si="404"/>
        <v>0</v>
      </c>
      <c r="Z1048" s="192">
        <f t="shared" si="405"/>
        <v>17.608333333333338</v>
      </c>
      <c r="AC1048" s="4">
        <v>11</v>
      </c>
      <c r="AD1048" s="192">
        <f>IF($AF$1035=1,VLOOKUP($AD$1035,$A$1065:$P$1076,12,FALSE),VLOOKUP($AD$1035,$A$1038:$S$1049,3,FALSE))</f>
        <v>0</v>
      </c>
      <c r="AE1048" s="192">
        <f t="shared" si="407"/>
        <v>20.014880952380953</v>
      </c>
      <c r="AF1048" s="192">
        <f t="shared" si="408"/>
        <v>20.97172619047619</v>
      </c>
      <c r="AG1048" s="192">
        <f t="shared" si="409"/>
        <v>35.470238095238095</v>
      </c>
      <c r="AH1048" s="192">
        <f t="shared" si="410"/>
        <v>11.011590957489359</v>
      </c>
      <c r="AI1048" s="192">
        <f t="shared" si="411"/>
        <v>7.229166666666667</v>
      </c>
      <c r="AJ1048" s="192">
        <f t="shared" si="412"/>
        <v>5.0386904761904763</v>
      </c>
      <c r="AK1048" s="192">
        <f t="shared" si="413"/>
        <v>7.7351190476190474</v>
      </c>
      <c r="AL1048" s="192">
        <f t="shared" si="414"/>
        <v>7.7857142857142856</v>
      </c>
      <c r="AM1048" s="192">
        <f t="shared" si="415"/>
        <v>2.7366071428571428</v>
      </c>
      <c r="AN1048" s="192">
        <f t="shared" si="416"/>
        <v>3.2261904761904763</v>
      </c>
      <c r="AO1048" s="192">
        <f t="shared" si="417"/>
        <v>6.6622023809523805</v>
      </c>
      <c r="AP1048" s="192">
        <f t="shared" si="418"/>
        <v>1.1369047619047619</v>
      </c>
      <c r="AQ1048" s="192">
        <f t="shared" si="419"/>
        <v>1.4077380952380951</v>
      </c>
      <c r="AR1048" s="192">
        <f t="shared" si="420"/>
        <v>2.691964285714286</v>
      </c>
      <c r="AS1048" s="192">
        <f t="shared" si="421"/>
        <v>133.11873381463224</v>
      </c>
      <c r="AT1048" s="192">
        <f t="shared" si="422"/>
        <v>9.9162938302602548</v>
      </c>
      <c r="AU1048" s="192">
        <f t="shared" si="423"/>
        <v>143.03502764489249</v>
      </c>
      <c r="AW1048" s="192">
        <f t="shared" si="424"/>
        <v>346</v>
      </c>
      <c r="AX1048" s="192">
        <f t="shared" si="425"/>
        <v>-202.96497235510751</v>
      </c>
    </row>
    <row r="1049" spans="1:50" ht="15.75" customHeight="1" thickBot="1" x14ac:dyDescent="0.35">
      <c r="A1049" s="220" t="s">
        <v>22</v>
      </c>
      <c r="B1049" s="220">
        <f t="shared" si="397"/>
        <v>245</v>
      </c>
      <c r="C1049" s="206">
        <f t="shared" si="397"/>
        <v>0</v>
      </c>
      <c r="D1049" s="272" t="s">
        <v>803</v>
      </c>
      <c r="E1049" s="206">
        <f t="shared" ref="E1049:S1049" si="435">+C969/$P$10/24</f>
        <v>25.166666666666668</v>
      </c>
      <c r="F1049" s="206">
        <f t="shared" si="435"/>
        <v>26.373655913978496</v>
      </c>
      <c r="G1049" s="206">
        <f t="shared" si="435"/>
        <v>44.719086021505376</v>
      </c>
      <c r="H1049" s="206">
        <f t="shared" si="435"/>
        <v>21.059551665670803</v>
      </c>
      <c r="I1049" s="206">
        <f t="shared" si="435"/>
        <v>0</v>
      </c>
      <c r="J1049" s="206">
        <f t="shared" si="435"/>
        <v>5.959677419354839</v>
      </c>
      <c r="K1049" s="206">
        <f t="shared" si="435"/>
        <v>1.4045698924731183</v>
      </c>
      <c r="L1049" s="206">
        <f t="shared" si="435"/>
        <v>2.0456989247311825</v>
      </c>
      <c r="M1049" s="206">
        <f t="shared" si="435"/>
        <v>2.099462365591398</v>
      </c>
      <c r="N1049" s="206">
        <f t="shared" si="435"/>
        <v>0.47446236559139782</v>
      </c>
      <c r="O1049" s="206">
        <f t="shared" si="435"/>
        <v>0.55645161290322587</v>
      </c>
      <c r="P1049" s="206">
        <f t="shared" si="435"/>
        <v>1.092741935483871</v>
      </c>
      <c r="Q1049" s="206">
        <f t="shared" si="435"/>
        <v>0.760752688172043</v>
      </c>
      <c r="R1049" s="206">
        <f t="shared" si="435"/>
        <v>1.5053763440860217</v>
      </c>
      <c r="S1049" s="272">
        <f t="shared" si="435"/>
        <v>1.8024193548387097</v>
      </c>
      <c r="T1049" s="192">
        <f t="shared" si="401"/>
        <v>380.02057317104715</v>
      </c>
      <c r="U1049" s="192">
        <f t="shared" si="399"/>
        <v>135.02057317104715</v>
      </c>
      <c r="V1049" s="192">
        <f t="shared" si="402"/>
        <v>341.25940860215053</v>
      </c>
      <c r="W1049" s="192">
        <f t="shared" si="403"/>
        <v>96.259408602150543</v>
      </c>
      <c r="X1049" s="192">
        <f t="shared" si="404"/>
        <v>21.059551665670803</v>
      </c>
      <c r="Y1049" s="192">
        <f t="shared" si="404"/>
        <v>0</v>
      </c>
      <c r="Z1049" s="192">
        <f t="shared" si="405"/>
        <v>17.701612903225808</v>
      </c>
      <c r="AC1049" s="4">
        <v>12</v>
      </c>
      <c r="AD1049" s="192">
        <f>IF($AF$1035=1,VLOOKUP($AD$1035,$A$1065:$P$1076,12,FALSE),VLOOKUP($AD$1035,$A$1038:$S$1049,3,FALSE))</f>
        <v>0</v>
      </c>
      <c r="AE1049" s="192">
        <f t="shared" si="407"/>
        <v>20.014880952380953</v>
      </c>
      <c r="AF1049" s="192">
        <f t="shared" si="408"/>
        <v>20.97172619047619</v>
      </c>
      <c r="AG1049" s="192">
        <f t="shared" si="409"/>
        <v>35.470238095238095</v>
      </c>
      <c r="AH1049" s="192">
        <f t="shared" si="410"/>
        <v>11.011590957489359</v>
      </c>
      <c r="AI1049" s="192">
        <f t="shared" si="411"/>
        <v>7.229166666666667</v>
      </c>
      <c r="AJ1049" s="192">
        <f t="shared" si="412"/>
        <v>5.0386904761904763</v>
      </c>
      <c r="AK1049" s="192">
        <f t="shared" si="413"/>
        <v>7.7351190476190474</v>
      </c>
      <c r="AL1049" s="192">
        <f t="shared" si="414"/>
        <v>7.7857142857142856</v>
      </c>
      <c r="AM1049" s="192">
        <f t="shared" si="415"/>
        <v>2.7366071428571428</v>
      </c>
      <c r="AN1049" s="192">
        <f t="shared" si="416"/>
        <v>3.2261904761904763</v>
      </c>
      <c r="AO1049" s="192">
        <f t="shared" si="417"/>
        <v>6.6622023809523805</v>
      </c>
      <c r="AP1049" s="192">
        <f t="shared" si="418"/>
        <v>1.1369047619047619</v>
      </c>
      <c r="AQ1049" s="192">
        <f t="shared" si="419"/>
        <v>1.4077380952380951</v>
      </c>
      <c r="AR1049" s="192">
        <f t="shared" si="420"/>
        <v>2.691964285714286</v>
      </c>
      <c r="AS1049" s="192">
        <f t="shared" si="421"/>
        <v>133.11873381463224</v>
      </c>
      <c r="AT1049" s="192">
        <f t="shared" si="422"/>
        <v>9.9162938302602548</v>
      </c>
      <c r="AU1049" s="192">
        <f t="shared" si="423"/>
        <v>143.03502764489249</v>
      </c>
      <c r="AW1049" s="192">
        <f t="shared" si="424"/>
        <v>346</v>
      </c>
      <c r="AX1049" s="192">
        <f t="shared" si="425"/>
        <v>-202.96497235510751</v>
      </c>
    </row>
    <row r="1050" spans="1:50" ht="15.75" customHeight="1" x14ac:dyDescent="0.3">
      <c r="A1050" s="260"/>
      <c r="AC1050" s="4">
        <v>13</v>
      </c>
      <c r="AD1050" s="192">
        <f>IF($AF$1035=1,VLOOKUP($AD$1035,$A$1065:$P$1076,12,FALSE),IF(OR($AD$1035="JUN",$AD$1035="JUL",$AD$1035="AUG"),VLOOKUP($AD$1035,$A$1038:$S$1049,4,FALSE),VLOOKUP($AD$1035,$A$1038:$S$1049,3,FALSE)))</f>
        <v>0</v>
      </c>
      <c r="AE1050" s="192">
        <f t="shared" si="407"/>
        <v>20.014880952380953</v>
      </c>
      <c r="AF1050" s="192">
        <f t="shared" si="408"/>
        <v>20.97172619047619</v>
      </c>
      <c r="AG1050" s="192">
        <f t="shared" si="409"/>
        <v>35.470238095238095</v>
      </c>
      <c r="AH1050" s="192">
        <f t="shared" si="410"/>
        <v>11.011590957489359</v>
      </c>
      <c r="AI1050" s="192">
        <f t="shared" si="411"/>
        <v>7.229166666666667</v>
      </c>
      <c r="AJ1050" s="192">
        <f t="shared" si="412"/>
        <v>5.0386904761904763</v>
      </c>
      <c r="AK1050" s="192">
        <f t="shared" si="413"/>
        <v>7.7351190476190474</v>
      </c>
      <c r="AL1050" s="192">
        <f t="shared" si="414"/>
        <v>7.7857142857142856</v>
      </c>
      <c r="AM1050" s="192">
        <f t="shared" si="415"/>
        <v>2.7366071428571428</v>
      </c>
      <c r="AN1050" s="192">
        <f t="shared" si="416"/>
        <v>3.2261904761904763</v>
      </c>
      <c r="AO1050" s="192">
        <f t="shared" si="417"/>
        <v>6.6622023809523805</v>
      </c>
      <c r="AP1050" s="192">
        <f t="shared" si="418"/>
        <v>1.1369047619047619</v>
      </c>
      <c r="AQ1050" s="192">
        <f t="shared" si="419"/>
        <v>1.4077380952380951</v>
      </c>
      <c r="AR1050" s="192">
        <f t="shared" si="420"/>
        <v>2.691964285714286</v>
      </c>
      <c r="AS1050" s="192">
        <f t="shared" si="421"/>
        <v>133.11873381463224</v>
      </c>
      <c r="AT1050" s="192">
        <f t="shared" si="422"/>
        <v>9.9162938302602548</v>
      </c>
      <c r="AU1050" s="192">
        <f t="shared" si="423"/>
        <v>143.03502764489249</v>
      </c>
      <c r="AW1050" s="192">
        <f t="shared" si="424"/>
        <v>346</v>
      </c>
      <c r="AX1050" s="192">
        <f t="shared" si="425"/>
        <v>-202.96497235510751</v>
      </c>
    </row>
    <row r="1051" spans="1:50" ht="27.75" customHeight="1" x14ac:dyDescent="0.3">
      <c r="A1051" s="260" t="s">
        <v>804</v>
      </c>
      <c r="AC1051" s="4">
        <v>14</v>
      </c>
      <c r="AD1051" s="192">
        <f t="shared" ref="AD1051:AD1057" si="436">IF($AF$1035=1,VLOOKUP($AD$1035,$A$1065:$P$1076,12,FALSE),IF(OR($AD$1035="JUN",$AD$1035="JUL",$AD$1035="AUG"),VLOOKUP($AD$1035,$A$1038:$S$1049,4,FALSE),VLOOKUP($AD$1035,$A$1038:$S$1049,3,FALSE)))</f>
        <v>0</v>
      </c>
      <c r="AE1051" s="192">
        <f t="shared" si="407"/>
        <v>20.014880952380953</v>
      </c>
      <c r="AF1051" s="192">
        <f t="shared" si="408"/>
        <v>20.97172619047619</v>
      </c>
      <c r="AG1051" s="192">
        <f t="shared" si="409"/>
        <v>35.470238095238095</v>
      </c>
      <c r="AH1051" s="192">
        <f t="shared" si="410"/>
        <v>11.011590957489359</v>
      </c>
      <c r="AI1051" s="192">
        <f t="shared" si="411"/>
        <v>7.229166666666667</v>
      </c>
      <c r="AJ1051" s="192">
        <f t="shared" si="412"/>
        <v>5.0386904761904763</v>
      </c>
      <c r="AK1051" s="192">
        <f t="shared" si="413"/>
        <v>7.7351190476190474</v>
      </c>
      <c r="AL1051" s="192">
        <f t="shared" si="414"/>
        <v>7.7857142857142856</v>
      </c>
      <c r="AM1051" s="192">
        <f t="shared" si="415"/>
        <v>2.7366071428571428</v>
      </c>
      <c r="AN1051" s="192">
        <f t="shared" si="416"/>
        <v>3.2261904761904763</v>
      </c>
      <c r="AO1051" s="192">
        <f t="shared" si="417"/>
        <v>6.6622023809523805</v>
      </c>
      <c r="AP1051" s="192">
        <f t="shared" si="418"/>
        <v>1.1369047619047619</v>
      </c>
      <c r="AQ1051" s="192">
        <f t="shared" si="419"/>
        <v>1.4077380952380951</v>
      </c>
      <c r="AR1051" s="192">
        <f t="shared" si="420"/>
        <v>2.691964285714286</v>
      </c>
      <c r="AS1051" s="192">
        <f t="shared" si="421"/>
        <v>133.11873381463224</v>
      </c>
      <c r="AT1051" s="192">
        <f t="shared" si="422"/>
        <v>9.9162938302602548</v>
      </c>
      <c r="AU1051" s="192">
        <f t="shared" si="423"/>
        <v>143.03502764489249</v>
      </c>
      <c r="AW1051" s="192">
        <f t="shared" si="424"/>
        <v>346</v>
      </c>
      <c r="AX1051" s="192">
        <f t="shared" si="425"/>
        <v>-202.96497235510751</v>
      </c>
    </row>
    <row r="1052" spans="1:50" ht="15.75" customHeight="1" x14ac:dyDescent="0.3">
      <c r="A1052" s="260"/>
      <c r="AC1052" s="4">
        <v>15</v>
      </c>
      <c r="AD1052" s="192">
        <f t="shared" si="436"/>
        <v>0</v>
      </c>
      <c r="AE1052" s="192">
        <f t="shared" si="407"/>
        <v>20.014880952380953</v>
      </c>
      <c r="AF1052" s="192">
        <f t="shared" si="408"/>
        <v>20.97172619047619</v>
      </c>
      <c r="AG1052" s="192">
        <f t="shared" si="409"/>
        <v>35.470238095238095</v>
      </c>
      <c r="AH1052" s="192">
        <f t="shared" si="410"/>
        <v>11.011590957489359</v>
      </c>
      <c r="AI1052" s="192">
        <f t="shared" si="411"/>
        <v>7.229166666666667</v>
      </c>
      <c r="AJ1052" s="192">
        <f t="shared" si="412"/>
        <v>5.0386904761904763</v>
      </c>
      <c r="AK1052" s="192">
        <f t="shared" si="413"/>
        <v>7.7351190476190474</v>
      </c>
      <c r="AL1052" s="192">
        <f t="shared" si="414"/>
        <v>7.7857142857142856</v>
      </c>
      <c r="AM1052" s="192">
        <f t="shared" si="415"/>
        <v>2.7366071428571428</v>
      </c>
      <c r="AN1052" s="192">
        <f t="shared" si="416"/>
        <v>3.2261904761904763</v>
      </c>
      <c r="AO1052" s="192">
        <f t="shared" si="417"/>
        <v>6.6622023809523805</v>
      </c>
      <c r="AP1052" s="192">
        <f t="shared" si="418"/>
        <v>1.1369047619047619</v>
      </c>
      <c r="AQ1052" s="192">
        <f t="shared" si="419"/>
        <v>1.4077380952380951</v>
      </c>
      <c r="AR1052" s="192">
        <f t="shared" si="420"/>
        <v>2.691964285714286</v>
      </c>
      <c r="AS1052" s="192">
        <f t="shared" si="421"/>
        <v>133.11873381463224</v>
      </c>
      <c r="AT1052" s="192">
        <f t="shared" si="422"/>
        <v>9.9162938302602548</v>
      </c>
      <c r="AU1052" s="192">
        <f t="shared" si="423"/>
        <v>143.03502764489249</v>
      </c>
      <c r="AW1052" s="192">
        <f t="shared" si="424"/>
        <v>346</v>
      </c>
      <c r="AX1052" s="192">
        <f t="shared" si="425"/>
        <v>-202.96497235510751</v>
      </c>
    </row>
    <row r="1053" spans="1:50" ht="15.75" customHeight="1" x14ac:dyDescent="0.3">
      <c r="A1053" s="260"/>
      <c r="AC1053" s="4">
        <v>16</v>
      </c>
      <c r="AD1053" s="192">
        <f t="shared" si="436"/>
        <v>0</v>
      </c>
      <c r="AE1053" s="192">
        <f t="shared" si="407"/>
        <v>20.014880952380953</v>
      </c>
      <c r="AF1053" s="192">
        <f t="shared" si="408"/>
        <v>20.97172619047619</v>
      </c>
      <c r="AG1053" s="192">
        <f t="shared" si="409"/>
        <v>35.470238095238095</v>
      </c>
      <c r="AH1053" s="192">
        <f t="shared" si="410"/>
        <v>11.011590957489359</v>
      </c>
      <c r="AI1053" s="192">
        <f t="shared" si="411"/>
        <v>7.229166666666667</v>
      </c>
      <c r="AJ1053" s="192">
        <f t="shared" si="412"/>
        <v>5.0386904761904763</v>
      </c>
      <c r="AK1053" s="192">
        <f t="shared" si="413"/>
        <v>7.7351190476190474</v>
      </c>
      <c r="AL1053" s="192">
        <f t="shared" si="414"/>
        <v>7.7857142857142856</v>
      </c>
      <c r="AM1053" s="192">
        <f t="shared" si="415"/>
        <v>2.7366071428571428</v>
      </c>
      <c r="AN1053" s="192">
        <f t="shared" si="416"/>
        <v>3.2261904761904763</v>
      </c>
      <c r="AO1053" s="192">
        <f t="shared" si="417"/>
        <v>6.6622023809523805</v>
      </c>
      <c r="AP1053" s="192">
        <f t="shared" si="418"/>
        <v>1.1369047619047619</v>
      </c>
      <c r="AQ1053" s="192">
        <f t="shared" si="419"/>
        <v>1.4077380952380951</v>
      </c>
      <c r="AR1053" s="192">
        <f t="shared" si="420"/>
        <v>2.691964285714286</v>
      </c>
      <c r="AS1053" s="192">
        <f t="shared" si="421"/>
        <v>133.11873381463224</v>
      </c>
      <c r="AT1053" s="192">
        <f t="shared" si="422"/>
        <v>9.9162938302602548</v>
      </c>
      <c r="AU1053" s="192">
        <f t="shared" si="423"/>
        <v>143.03502764489249</v>
      </c>
      <c r="AW1053" s="192">
        <f t="shared" si="424"/>
        <v>346</v>
      </c>
      <c r="AX1053" s="192">
        <f t="shared" si="425"/>
        <v>-202.96497235510751</v>
      </c>
    </row>
    <row r="1054" spans="1:50" ht="15.75" customHeight="1" thickBot="1" x14ac:dyDescent="0.35">
      <c r="A1054" s="260"/>
      <c r="AC1054" s="4">
        <v>17</v>
      </c>
      <c r="AD1054" s="192">
        <f t="shared" si="436"/>
        <v>0</v>
      </c>
      <c r="AE1054" s="192">
        <f t="shared" si="407"/>
        <v>20.014880952380953</v>
      </c>
      <c r="AF1054" s="192">
        <f t="shared" si="408"/>
        <v>20.97172619047619</v>
      </c>
      <c r="AG1054" s="192">
        <f t="shared" si="409"/>
        <v>35.470238095238095</v>
      </c>
      <c r="AH1054" s="192">
        <f t="shared" si="410"/>
        <v>11.011590957489359</v>
      </c>
      <c r="AI1054" s="192">
        <f t="shared" si="411"/>
        <v>7.229166666666667</v>
      </c>
      <c r="AJ1054" s="192">
        <f t="shared" si="412"/>
        <v>5.0386904761904763</v>
      </c>
      <c r="AK1054" s="192">
        <f t="shared" si="413"/>
        <v>7.7351190476190474</v>
      </c>
      <c r="AL1054" s="192">
        <f t="shared" si="414"/>
        <v>7.7857142857142856</v>
      </c>
      <c r="AM1054" s="192">
        <f t="shared" si="415"/>
        <v>2.7366071428571428</v>
      </c>
      <c r="AN1054" s="192">
        <f t="shared" si="416"/>
        <v>3.2261904761904763</v>
      </c>
      <c r="AO1054" s="192">
        <f t="shared" si="417"/>
        <v>6.6622023809523805</v>
      </c>
      <c r="AP1054" s="192">
        <f t="shared" si="418"/>
        <v>1.1369047619047619</v>
      </c>
      <c r="AQ1054" s="192">
        <f t="shared" si="419"/>
        <v>1.4077380952380951</v>
      </c>
      <c r="AR1054" s="192">
        <f t="shared" si="420"/>
        <v>2.691964285714286</v>
      </c>
      <c r="AS1054" s="192">
        <f t="shared" si="421"/>
        <v>133.11873381463224</v>
      </c>
      <c r="AT1054" s="192">
        <f t="shared" si="422"/>
        <v>9.9162938302602548</v>
      </c>
      <c r="AU1054" s="192">
        <f t="shared" si="423"/>
        <v>143.03502764489249</v>
      </c>
      <c r="AW1054" s="192">
        <f t="shared" si="424"/>
        <v>346</v>
      </c>
      <c r="AX1054" s="192">
        <f t="shared" si="425"/>
        <v>-202.96497235510751</v>
      </c>
    </row>
    <row r="1055" spans="1:50" ht="15.75" customHeight="1" x14ac:dyDescent="0.3">
      <c r="A1055" s="273"/>
      <c r="B1055" s="387" t="s">
        <v>805</v>
      </c>
      <c r="C1055" s="387"/>
      <c r="D1055" s="387"/>
      <c r="E1055" s="387"/>
      <c r="F1055" s="387"/>
      <c r="G1055" s="387"/>
      <c r="H1055" s="387"/>
      <c r="I1055" s="387"/>
      <c r="J1055" s="387"/>
      <c r="K1055" s="387"/>
      <c r="L1055" s="387"/>
      <c r="M1055" s="387"/>
      <c r="N1055" s="387"/>
      <c r="O1055" s="387"/>
      <c r="P1055" s="387"/>
      <c r="Q1055" s="177" t="str">
        <f>+Q1</f>
        <v xml:space="preserve">PRINTED:  </v>
      </c>
      <c r="R1055" s="178">
        <f ca="1">+R1</f>
        <v>44894.658168518516</v>
      </c>
      <c r="AC1055" s="4">
        <v>18</v>
      </c>
      <c r="AD1055" s="192">
        <f t="shared" si="436"/>
        <v>0</v>
      </c>
      <c r="AE1055" s="192">
        <f t="shared" si="407"/>
        <v>20.014880952380953</v>
      </c>
      <c r="AF1055" s="192">
        <f t="shared" si="408"/>
        <v>20.97172619047619</v>
      </c>
      <c r="AG1055" s="192">
        <f t="shared" si="409"/>
        <v>35.470238095238095</v>
      </c>
      <c r="AH1055" s="192">
        <f t="shared" si="410"/>
        <v>11.011590957489359</v>
      </c>
      <c r="AI1055" s="192">
        <f t="shared" si="411"/>
        <v>7.229166666666667</v>
      </c>
      <c r="AJ1055" s="192">
        <f t="shared" si="412"/>
        <v>5.0386904761904763</v>
      </c>
      <c r="AK1055" s="192">
        <f t="shared" si="413"/>
        <v>7.7351190476190474</v>
      </c>
      <c r="AL1055" s="192">
        <f t="shared" si="414"/>
        <v>7.7857142857142856</v>
      </c>
      <c r="AM1055" s="192">
        <f t="shared" si="415"/>
        <v>2.7366071428571428</v>
      </c>
      <c r="AN1055" s="192">
        <f t="shared" si="416"/>
        <v>3.2261904761904763</v>
      </c>
      <c r="AO1055" s="192">
        <f t="shared" si="417"/>
        <v>6.6622023809523805</v>
      </c>
      <c r="AP1055" s="192">
        <f t="shared" si="418"/>
        <v>1.1369047619047619</v>
      </c>
      <c r="AQ1055" s="192">
        <f t="shared" si="419"/>
        <v>1.4077380952380951</v>
      </c>
      <c r="AR1055" s="192">
        <f t="shared" si="420"/>
        <v>2.691964285714286</v>
      </c>
      <c r="AS1055" s="192">
        <f t="shared" si="421"/>
        <v>133.11873381463224</v>
      </c>
      <c r="AT1055" s="192">
        <f t="shared" si="422"/>
        <v>9.9162938302602548</v>
      </c>
      <c r="AU1055" s="192">
        <f t="shared" si="423"/>
        <v>143.03502764489249</v>
      </c>
      <c r="AW1055" s="192">
        <f t="shared" si="424"/>
        <v>346</v>
      </c>
      <c r="AX1055" s="192">
        <f t="shared" si="425"/>
        <v>-202.96497235510751</v>
      </c>
    </row>
    <row r="1056" spans="1:50" ht="16.5" customHeight="1" x14ac:dyDescent="0.3">
      <c r="A1056" s="257"/>
      <c r="B1056" s="394" t="str">
        <f>+A8</f>
        <v>Revised:  11/30/2017</v>
      </c>
      <c r="C1056" s="394"/>
      <c r="D1056" s="394"/>
      <c r="E1056" s="394"/>
      <c r="F1056" s="394"/>
      <c r="G1056" s="394"/>
      <c r="H1056" s="394"/>
      <c r="I1056" s="394"/>
      <c r="J1056" s="394"/>
      <c r="K1056" s="394"/>
      <c r="L1056" s="394"/>
      <c r="M1056" s="394"/>
      <c r="N1056" s="394"/>
      <c r="O1056" s="394"/>
      <c r="P1056" s="394"/>
      <c r="R1056" s="304"/>
      <c r="AC1056" s="4">
        <v>19</v>
      </c>
      <c r="AD1056" s="192">
        <f t="shared" si="436"/>
        <v>0</v>
      </c>
      <c r="AE1056" s="192">
        <f t="shared" si="407"/>
        <v>20.014880952380953</v>
      </c>
      <c r="AF1056" s="192">
        <f t="shared" si="408"/>
        <v>20.97172619047619</v>
      </c>
      <c r="AG1056" s="192">
        <f t="shared" si="409"/>
        <v>35.470238095238095</v>
      </c>
      <c r="AH1056" s="192">
        <f t="shared" si="410"/>
        <v>11.011590957489359</v>
      </c>
      <c r="AI1056" s="192">
        <f t="shared" si="411"/>
        <v>7.229166666666667</v>
      </c>
      <c r="AJ1056" s="192">
        <f t="shared" si="412"/>
        <v>5.0386904761904763</v>
      </c>
      <c r="AK1056" s="192">
        <f t="shared" si="413"/>
        <v>7.7351190476190474</v>
      </c>
      <c r="AL1056" s="192">
        <f t="shared" si="414"/>
        <v>7.7857142857142856</v>
      </c>
      <c r="AM1056" s="192">
        <f t="shared" si="415"/>
        <v>2.7366071428571428</v>
      </c>
      <c r="AN1056" s="192">
        <f t="shared" si="416"/>
        <v>3.2261904761904763</v>
      </c>
      <c r="AO1056" s="192">
        <f t="shared" si="417"/>
        <v>6.6622023809523805</v>
      </c>
      <c r="AP1056" s="192">
        <f t="shared" si="418"/>
        <v>1.1369047619047619</v>
      </c>
      <c r="AQ1056" s="192">
        <f t="shared" si="419"/>
        <v>1.4077380952380951</v>
      </c>
      <c r="AR1056" s="192">
        <f t="shared" si="420"/>
        <v>2.691964285714286</v>
      </c>
      <c r="AS1056" s="192">
        <f t="shared" si="421"/>
        <v>133.11873381463224</v>
      </c>
      <c r="AT1056" s="192">
        <f t="shared" si="422"/>
        <v>9.9162938302602548</v>
      </c>
      <c r="AU1056" s="192">
        <f t="shared" si="423"/>
        <v>143.03502764489249</v>
      </c>
      <c r="AW1056" s="192">
        <f t="shared" si="424"/>
        <v>346</v>
      </c>
      <c r="AX1056" s="192">
        <f t="shared" si="425"/>
        <v>-202.96497235510751</v>
      </c>
    </row>
    <row r="1057" spans="1:50" ht="16.5" customHeight="1" x14ac:dyDescent="0.3">
      <c r="A1057" s="257"/>
      <c r="B1057" s="394" t="s">
        <v>670</v>
      </c>
      <c r="C1057" s="394"/>
      <c r="D1057" s="394"/>
      <c r="E1057" s="394"/>
      <c r="F1057" s="394"/>
      <c r="G1057" s="394"/>
      <c r="H1057" s="394"/>
      <c r="I1057" s="394"/>
      <c r="J1057" s="394"/>
      <c r="K1057" s="394"/>
      <c r="L1057" s="394"/>
      <c r="M1057" s="394"/>
      <c r="N1057" s="394"/>
      <c r="O1057" s="394"/>
      <c r="P1057" s="394"/>
      <c r="R1057" s="304"/>
      <c r="AC1057" s="4">
        <v>20</v>
      </c>
      <c r="AD1057" s="192">
        <f t="shared" si="436"/>
        <v>0</v>
      </c>
      <c r="AE1057" s="192">
        <f t="shared" si="407"/>
        <v>20.014880952380953</v>
      </c>
      <c r="AF1057" s="192">
        <f t="shared" si="408"/>
        <v>20.97172619047619</v>
      </c>
      <c r="AG1057" s="192">
        <f t="shared" si="409"/>
        <v>35.470238095238095</v>
      </c>
      <c r="AH1057" s="192">
        <f t="shared" si="410"/>
        <v>11.011590957489359</v>
      </c>
      <c r="AI1057" s="192">
        <f t="shared" si="411"/>
        <v>7.229166666666667</v>
      </c>
      <c r="AJ1057" s="192">
        <f t="shared" si="412"/>
        <v>5.0386904761904763</v>
      </c>
      <c r="AK1057" s="192">
        <f t="shared" si="413"/>
        <v>7.7351190476190474</v>
      </c>
      <c r="AL1057" s="192">
        <f t="shared" si="414"/>
        <v>7.7857142857142856</v>
      </c>
      <c r="AM1057" s="192">
        <f t="shared" si="415"/>
        <v>2.7366071428571428</v>
      </c>
      <c r="AN1057" s="192">
        <f t="shared" si="416"/>
        <v>3.2261904761904763</v>
      </c>
      <c r="AO1057" s="192">
        <f t="shared" si="417"/>
        <v>6.6622023809523805</v>
      </c>
      <c r="AP1057" s="192">
        <f t="shared" si="418"/>
        <v>1.1369047619047619</v>
      </c>
      <c r="AQ1057" s="192">
        <f t="shared" si="419"/>
        <v>1.4077380952380951</v>
      </c>
      <c r="AR1057" s="192">
        <f t="shared" si="420"/>
        <v>2.691964285714286</v>
      </c>
      <c r="AS1057" s="192">
        <f t="shared" si="421"/>
        <v>133.11873381463224</v>
      </c>
      <c r="AT1057" s="192">
        <f t="shared" si="422"/>
        <v>9.9162938302602548</v>
      </c>
      <c r="AU1057" s="192">
        <f t="shared" si="423"/>
        <v>143.03502764489249</v>
      </c>
      <c r="AW1057" s="192">
        <f t="shared" si="424"/>
        <v>346</v>
      </c>
      <c r="AX1057" s="192">
        <f t="shared" si="425"/>
        <v>-202.96497235510751</v>
      </c>
    </row>
    <row r="1058" spans="1:50" ht="16.5" customHeight="1" x14ac:dyDescent="0.3">
      <c r="A1058" s="257"/>
      <c r="B1058" s="180"/>
      <c r="C1058" s="180"/>
      <c r="D1058" s="180"/>
      <c r="E1058" s="180"/>
      <c r="F1058" s="180"/>
      <c r="G1058" s="180"/>
      <c r="H1058" s="180"/>
      <c r="I1058" s="180"/>
      <c r="J1058" s="180"/>
      <c r="K1058" s="180"/>
      <c r="L1058" s="180"/>
      <c r="M1058" s="180"/>
      <c r="N1058" s="180"/>
      <c r="O1058" s="180"/>
      <c r="P1058" s="180"/>
      <c r="R1058" s="304"/>
      <c r="AC1058" s="4">
        <v>21</v>
      </c>
      <c r="AD1058" s="192">
        <f>IF($AF$1035=1,VLOOKUP($AD$1035,$A$1065:$P$1076,12,FALSE),VLOOKUP($AD$1035,$A$1038:$S$1049,3,FALSE))</f>
        <v>0</v>
      </c>
      <c r="AE1058" s="192">
        <f t="shared" si="407"/>
        <v>20.014880952380953</v>
      </c>
      <c r="AF1058" s="192">
        <f t="shared" si="408"/>
        <v>20.97172619047619</v>
      </c>
      <c r="AG1058" s="192">
        <f t="shared" si="409"/>
        <v>35.470238095238095</v>
      </c>
      <c r="AH1058" s="192">
        <f t="shared" si="410"/>
        <v>11.011590957489359</v>
      </c>
      <c r="AI1058" s="192">
        <f t="shared" si="411"/>
        <v>7.229166666666667</v>
      </c>
      <c r="AJ1058" s="192">
        <f t="shared" si="412"/>
        <v>5.0386904761904763</v>
      </c>
      <c r="AK1058" s="192">
        <f t="shared" si="413"/>
        <v>7.7351190476190474</v>
      </c>
      <c r="AL1058" s="192">
        <f t="shared" si="414"/>
        <v>7.7857142857142856</v>
      </c>
      <c r="AM1058" s="192">
        <f t="shared" si="415"/>
        <v>2.7366071428571428</v>
      </c>
      <c r="AN1058" s="192">
        <f t="shared" si="416"/>
        <v>3.2261904761904763</v>
      </c>
      <c r="AO1058" s="192">
        <f t="shared" si="417"/>
        <v>6.6622023809523805</v>
      </c>
      <c r="AP1058" s="192">
        <f t="shared" si="418"/>
        <v>1.1369047619047619</v>
      </c>
      <c r="AQ1058" s="192">
        <f t="shared" si="419"/>
        <v>1.4077380952380951</v>
      </c>
      <c r="AR1058" s="192">
        <f t="shared" si="420"/>
        <v>2.691964285714286</v>
      </c>
      <c r="AS1058" s="192">
        <f t="shared" si="421"/>
        <v>133.11873381463224</v>
      </c>
      <c r="AT1058" s="192">
        <f t="shared" si="422"/>
        <v>9.9162938302602548</v>
      </c>
      <c r="AU1058" s="192">
        <f t="shared" si="423"/>
        <v>143.03502764489249</v>
      </c>
      <c r="AW1058" s="192">
        <f t="shared" si="424"/>
        <v>346</v>
      </c>
      <c r="AX1058" s="192">
        <f t="shared" si="425"/>
        <v>-202.96497235510751</v>
      </c>
    </row>
    <row r="1059" spans="1:50" ht="16.5" customHeight="1" x14ac:dyDescent="0.3">
      <c r="A1059" s="257"/>
      <c r="B1059" s="415">
        <f>+A5</f>
        <v>2018</v>
      </c>
      <c r="C1059" s="395"/>
      <c r="D1059" s="395"/>
      <c r="E1059" s="395"/>
      <c r="F1059" s="395"/>
      <c r="G1059" s="395"/>
      <c r="H1059" s="395"/>
      <c r="I1059" s="395"/>
      <c r="J1059" s="395"/>
      <c r="K1059" s="395"/>
      <c r="L1059" s="395"/>
      <c r="M1059" s="395"/>
      <c r="N1059" s="395"/>
      <c r="O1059" s="395"/>
      <c r="P1059" s="395"/>
      <c r="R1059" s="304"/>
      <c r="AC1059" s="4">
        <v>22</v>
      </c>
      <c r="AD1059" s="192">
        <f>IF($AF$1035=1,VLOOKUP($AD$1035,$A$1065:$P$1076,12,FALSE),VLOOKUP($AD$1035,$A$1038:$S$1049,3,FALSE))</f>
        <v>0</v>
      </c>
      <c r="AE1059" s="192">
        <f t="shared" si="407"/>
        <v>20.014880952380953</v>
      </c>
      <c r="AF1059" s="192">
        <f t="shared" si="408"/>
        <v>20.97172619047619</v>
      </c>
      <c r="AG1059" s="192">
        <f t="shared" si="409"/>
        <v>35.470238095238095</v>
      </c>
      <c r="AH1059" s="192">
        <f t="shared" si="410"/>
        <v>11.011590957489359</v>
      </c>
      <c r="AI1059" s="192">
        <f t="shared" si="411"/>
        <v>7.229166666666667</v>
      </c>
      <c r="AJ1059" s="192">
        <f t="shared" si="412"/>
        <v>5.0386904761904763</v>
      </c>
      <c r="AK1059" s="192">
        <f t="shared" si="413"/>
        <v>7.7351190476190474</v>
      </c>
      <c r="AL1059" s="192">
        <f t="shared" si="414"/>
        <v>7.7857142857142856</v>
      </c>
      <c r="AM1059" s="192">
        <f t="shared" si="415"/>
        <v>2.7366071428571428</v>
      </c>
      <c r="AN1059" s="192">
        <f t="shared" si="416"/>
        <v>3.2261904761904763</v>
      </c>
      <c r="AO1059" s="192">
        <f t="shared" si="417"/>
        <v>6.6622023809523805</v>
      </c>
      <c r="AP1059" s="192">
        <f t="shared" si="418"/>
        <v>1.1369047619047619</v>
      </c>
      <c r="AQ1059" s="192">
        <f t="shared" si="419"/>
        <v>1.4077380952380951</v>
      </c>
      <c r="AR1059" s="192">
        <f t="shared" si="420"/>
        <v>2.691964285714286</v>
      </c>
      <c r="AS1059" s="192">
        <f t="shared" si="421"/>
        <v>133.11873381463224</v>
      </c>
      <c r="AT1059" s="192">
        <f t="shared" si="422"/>
        <v>9.9162938302602548</v>
      </c>
      <c r="AU1059" s="192">
        <f t="shared" si="423"/>
        <v>143.03502764489249</v>
      </c>
      <c r="AW1059" s="192">
        <f t="shared" si="424"/>
        <v>346</v>
      </c>
      <c r="AX1059" s="192">
        <f t="shared" si="425"/>
        <v>-202.96497235510751</v>
      </c>
    </row>
    <row r="1060" spans="1:50" ht="15.75" customHeight="1" x14ac:dyDescent="0.3">
      <c r="A1060" s="257"/>
      <c r="B1060" s="394" t="s">
        <v>708</v>
      </c>
      <c r="C1060" s="394"/>
      <c r="D1060" s="394"/>
      <c r="E1060" s="394"/>
      <c r="F1060" s="394"/>
      <c r="G1060" s="394"/>
      <c r="H1060" s="394"/>
      <c r="I1060" s="394"/>
      <c r="J1060" s="394"/>
      <c r="K1060" s="394"/>
      <c r="L1060" s="394"/>
      <c r="M1060" s="394"/>
      <c r="N1060" s="394"/>
      <c r="O1060" s="394"/>
      <c r="P1060" s="394"/>
      <c r="R1060" s="304"/>
      <c r="AC1060" s="4">
        <v>23</v>
      </c>
      <c r="AD1060" s="192">
        <f>IF($AF$1035=1,VLOOKUP($AD$1035,$A$1065:$P$1076,12,FALSE),IF(OR($AD$1035="JAN",$AD$1035="FEB",$AD$1035="NOV",$AD$1035="DEC"),VLOOKUP($AD$1035,$A$1038:$S$1049,3,FALSE),VLOOKUP($AD$1035,$A$1038:$S$1049,2,FALSE)))</f>
        <v>0</v>
      </c>
      <c r="AE1060" s="192">
        <f t="shared" si="407"/>
        <v>20.014880952380953</v>
      </c>
      <c r="AF1060" s="192">
        <f t="shared" si="408"/>
        <v>20.97172619047619</v>
      </c>
      <c r="AG1060" s="192">
        <f t="shared" si="409"/>
        <v>35.470238095238095</v>
      </c>
      <c r="AH1060" s="192">
        <f t="shared" si="410"/>
        <v>11.011590957489359</v>
      </c>
      <c r="AI1060" s="192">
        <f t="shared" si="411"/>
        <v>7.229166666666667</v>
      </c>
      <c r="AJ1060" s="192">
        <f t="shared" si="412"/>
        <v>5.0386904761904763</v>
      </c>
      <c r="AK1060" s="192">
        <f t="shared" si="413"/>
        <v>7.7351190476190474</v>
      </c>
      <c r="AL1060" s="192">
        <f t="shared" si="414"/>
        <v>7.7857142857142856</v>
      </c>
      <c r="AM1060" s="192">
        <f t="shared" si="415"/>
        <v>2.7366071428571428</v>
      </c>
      <c r="AN1060" s="192">
        <f t="shared" si="416"/>
        <v>3.2261904761904763</v>
      </c>
      <c r="AO1060" s="192">
        <f t="shared" si="417"/>
        <v>6.6622023809523805</v>
      </c>
      <c r="AP1060" s="192">
        <f t="shared" si="418"/>
        <v>1.1369047619047619</v>
      </c>
      <c r="AQ1060" s="192">
        <f t="shared" si="419"/>
        <v>1.4077380952380951</v>
      </c>
      <c r="AR1060" s="192">
        <f t="shared" si="420"/>
        <v>2.691964285714286</v>
      </c>
      <c r="AS1060" s="192">
        <f t="shared" si="421"/>
        <v>133.11873381463224</v>
      </c>
      <c r="AT1060" s="192">
        <f t="shared" si="422"/>
        <v>9.9162938302602548</v>
      </c>
      <c r="AU1060" s="192">
        <f t="shared" si="423"/>
        <v>143.03502764489249</v>
      </c>
      <c r="AW1060" s="192">
        <f t="shared" si="424"/>
        <v>346</v>
      </c>
      <c r="AX1060" s="192">
        <f t="shared" si="425"/>
        <v>-202.96497235510751</v>
      </c>
    </row>
    <row r="1061" spans="1:50" ht="15.75" customHeight="1" thickBot="1" x14ac:dyDescent="0.35">
      <c r="A1061" s="257"/>
      <c r="R1061" s="304"/>
      <c r="AC1061" s="4">
        <v>24</v>
      </c>
      <c r="AD1061" s="192">
        <f>IF($AF$1035=1,VLOOKUP($AD$1035,$A$1065:$P$1076,12,FALSE),VLOOKUP($AD$1035,$A$1038:$S$1049,2,FALSE))</f>
        <v>98</v>
      </c>
      <c r="AE1061" s="192">
        <f t="shared" si="407"/>
        <v>20.014880952380953</v>
      </c>
      <c r="AF1061" s="192">
        <f t="shared" si="408"/>
        <v>20.97172619047619</v>
      </c>
      <c r="AG1061" s="192">
        <f t="shared" si="409"/>
        <v>35.470238095238095</v>
      </c>
      <c r="AH1061" s="192">
        <f t="shared" si="410"/>
        <v>11.011590957489359</v>
      </c>
      <c r="AI1061" s="192">
        <f t="shared" si="411"/>
        <v>7.229166666666667</v>
      </c>
      <c r="AJ1061" s="192">
        <f t="shared" si="412"/>
        <v>5.0386904761904763</v>
      </c>
      <c r="AK1061" s="192">
        <f t="shared" si="413"/>
        <v>7.7351190476190474</v>
      </c>
      <c r="AL1061" s="192">
        <f t="shared" si="414"/>
        <v>7.7857142857142856</v>
      </c>
      <c r="AM1061" s="192">
        <f t="shared" si="415"/>
        <v>2.7366071428571428</v>
      </c>
      <c r="AN1061" s="192">
        <f t="shared" si="416"/>
        <v>3.2261904761904763</v>
      </c>
      <c r="AO1061" s="192">
        <f t="shared" si="417"/>
        <v>6.6622023809523805</v>
      </c>
      <c r="AP1061" s="192">
        <f t="shared" si="418"/>
        <v>1.1369047619047619</v>
      </c>
      <c r="AQ1061" s="192">
        <f t="shared" si="419"/>
        <v>1.4077380952380951</v>
      </c>
      <c r="AR1061" s="192">
        <f t="shared" si="420"/>
        <v>2.691964285714286</v>
      </c>
      <c r="AS1061" s="192">
        <f t="shared" si="421"/>
        <v>231.11873381463218</v>
      </c>
      <c r="AT1061" s="192">
        <f t="shared" si="422"/>
        <v>17.216519482336626</v>
      </c>
      <c r="AU1061" s="192">
        <f t="shared" si="423"/>
        <v>248.3352532969688</v>
      </c>
      <c r="AW1061" s="192">
        <f t="shared" si="424"/>
        <v>346</v>
      </c>
      <c r="AX1061" s="192">
        <f t="shared" si="425"/>
        <v>-97.664746703031199</v>
      </c>
    </row>
    <row r="1062" spans="1:50" ht="15.75" customHeight="1" x14ac:dyDescent="0.3">
      <c r="A1062" s="257"/>
      <c r="B1062" s="416" t="s">
        <v>806</v>
      </c>
      <c r="C1062" s="417"/>
      <c r="D1062" s="417"/>
      <c r="E1062" s="417"/>
      <c r="F1062" s="417"/>
      <c r="G1062" s="417"/>
      <c r="H1062" s="417"/>
      <c r="I1062" s="417"/>
      <c r="J1062" s="417"/>
      <c r="K1062" s="417"/>
      <c r="L1062" s="418"/>
      <c r="M1062" s="419" t="s">
        <v>807</v>
      </c>
      <c r="N1062" s="417"/>
      <c r="O1062" s="417"/>
      <c r="P1062" s="417"/>
      <c r="Q1062" s="192" t="s">
        <v>808</v>
      </c>
      <c r="R1062" s="312" t="s">
        <v>809</v>
      </c>
      <c r="S1062" s="192" t="s">
        <v>810</v>
      </c>
      <c r="T1062" s="192" t="s">
        <v>782</v>
      </c>
      <c r="AC1062" s="4" t="s">
        <v>641</v>
      </c>
      <c r="AD1062" s="192">
        <f>SUM(AD1038:AD1061)</f>
        <v>784</v>
      </c>
      <c r="AE1062" s="192">
        <f>SUM(AE1038:AE1061)</f>
        <v>480.357142857143</v>
      </c>
      <c r="AF1062" s="192">
        <f t="shared" ref="AF1062:AW1062" si="437">SUM(AF1038:AF1061)</f>
        <v>503.32142857142878</v>
      </c>
      <c r="AG1062" s="192">
        <f t="shared" si="437"/>
        <v>851.28571428571399</v>
      </c>
      <c r="AH1062" s="192">
        <f t="shared" si="437"/>
        <v>264.27818297974449</v>
      </c>
      <c r="AI1062" s="192">
        <f t="shared" si="437"/>
        <v>173.49999999999997</v>
      </c>
      <c r="AJ1062" s="192">
        <f t="shared" si="437"/>
        <v>120.92857142857147</v>
      </c>
      <c r="AK1062" s="192">
        <f t="shared" si="437"/>
        <v>185.64285714285711</v>
      </c>
      <c r="AL1062" s="192">
        <f t="shared" si="437"/>
        <v>186.85714285714283</v>
      </c>
      <c r="AM1062" s="192">
        <f t="shared" si="437"/>
        <v>65.678571428571459</v>
      </c>
      <c r="AN1062" s="192">
        <f t="shared" si="437"/>
        <v>77.428571428571431</v>
      </c>
      <c r="AO1062" s="192">
        <f t="shared" si="437"/>
        <v>159.89285714285714</v>
      </c>
      <c r="AP1062" s="192">
        <f t="shared" si="437"/>
        <v>27.285714285714299</v>
      </c>
      <c r="AQ1062" s="192">
        <f t="shared" si="437"/>
        <v>33.785714285714285</v>
      </c>
      <c r="AR1062" s="192">
        <f t="shared" si="437"/>
        <v>64.607142857142847</v>
      </c>
      <c r="AS1062" s="192">
        <f t="shared" si="437"/>
        <v>3978.8496115511748</v>
      </c>
      <c r="AT1062" s="192">
        <f t="shared" si="437"/>
        <v>296.39285714285711</v>
      </c>
      <c r="AU1062" s="192">
        <f t="shared" si="437"/>
        <v>4275.2424686940312</v>
      </c>
      <c r="AW1062" s="192">
        <f t="shared" si="437"/>
        <v>8304</v>
      </c>
      <c r="AX1062" s="192">
        <f>SUMIF(AX1038:AX1061,"&gt;0")</f>
        <v>0</v>
      </c>
    </row>
    <row r="1063" spans="1:50" ht="15.75" customHeight="1" thickBot="1" x14ac:dyDescent="0.35">
      <c r="A1063" s="257" t="s">
        <v>768</v>
      </c>
      <c r="B1063" s="274" t="s">
        <v>811</v>
      </c>
      <c r="C1063" s="275" t="s">
        <v>791</v>
      </c>
      <c r="D1063" s="275" t="s">
        <v>792</v>
      </c>
      <c r="E1063" s="275" t="s">
        <v>812</v>
      </c>
      <c r="F1063" s="275" t="s">
        <v>791</v>
      </c>
      <c r="G1063" s="275" t="s">
        <v>792</v>
      </c>
      <c r="H1063" s="275" t="s">
        <v>793</v>
      </c>
      <c r="I1063" s="275" t="s">
        <v>791</v>
      </c>
      <c r="J1063" s="275" t="s">
        <v>792</v>
      </c>
      <c r="K1063" s="275" t="s">
        <v>793</v>
      </c>
      <c r="L1063" s="276" t="s">
        <v>813</v>
      </c>
      <c r="M1063" s="274" t="s">
        <v>814</v>
      </c>
      <c r="N1063" s="275" t="s">
        <v>791</v>
      </c>
      <c r="O1063" s="275" t="s">
        <v>791</v>
      </c>
      <c r="P1063" s="276" t="s">
        <v>813</v>
      </c>
      <c r="Q1063" s="277" t="s">
        <v>641</v>
      </c>
      <c r="R1063" s="313" t="s">
        <v>815</v>
      </c>
      <c r="S1063" s="275" t="s">
        <v>816</v>
      </c>
      <c r="T1063" s="275" t="s">
        <v>816</v>
      </c>
      <c r="AU1063" s="192"/>
      <c r="AW1063" s="192"/>
      <c r="AX1063" s="192"/>
    </row>
    <row r="1064" spans="1:50" ht="15.75" customHeight="1" thickTop="1" thickBot="1" x14ac:dyDescent="0.35">
      <c r="A1064" s="257"/>
      <c r="B1064" s="279"/>
      <c r="C1064" s="280" t="s">
        <v>817</v>
      </c>
      <c r="D1064" s="280" t="s">
        <v>817</v>
      </c>
      <c r="E1064" s="280" t="s">
        <v>817</v>
      </c>
      <c r="F1064" s="281" t="s">
        <v>779</v>
      </c>
      <c r="G1064" s="281" t="s">
        <v>779</v>
      </c>
      <c r="H1064" s="281" t="s">
        <v>779</v>
      </c>
      <c r="I1064" s="281" t="s">
        <v>818</v>
      </c>
      <c r="J1064" s="281" t="s">
        <v>818</v>
      </c>
      <c r="K1064" s="281" t="s">
        <v>818</v>
      </c>
      <c r="L1064" s="314" t="s">
        <v>819</v>
      </c>
      <c r="M1064" s="283"/>
      <c r="N1064" s="280" t="s">
        <v>817</v>
      </c>
      <c r="O1064" s="281" t="s">
        <v>779</v>
      </c>
      <c r="P1064" s="314" t="s">
        <v>818</v>
      </c>
      <c r="Q1064" s="277" t="s">
        <v>818</v>
      </c>
      <c r="R1064" s="313" t="s">
        <v>818</v>
      </c>
      <c r="S1064" s="281" t="s">
        <v>820</v>
      </c>
      <c r="T1064" s="281" t="s">
        <v>820</v>
      </c>
    </row>
    <row r="1065" spans="1:50" ht="15.75" customHeight="1" x14ac:dyDescent="0.3">
      <c r="A1065" s="257" t="s">
        <v>8</v>
      </c>
      <c r="B1065" s="211" t="e">
        <f ca="1">+$B$10-M1065</f>
        <v>#NAME?</v>
      </c>
      <c r="C1065" s="284">
        <v>4</v>
      </c>
      <c r="D1065" s="284">
        <v>0</v>
      </c>
      <c r="E1065" s="284" t="s">
        <v>803</v>
      </c>
      <c r="F1065" s="192">
        <f>+I1065/(24-S1065)</f>
        <v>196</v>
      </c>
      <c r="G1065" s="192">
        <f>+J1065/S1065</f>
        <v>0</v>
      </c>
      <c r="H1065" s="192" t="s">
        <v>803</v>
      </c>
      <c r="I1065" s="192">
        <f>+C1065*49*(24-S1065)</f>
        <v>3724</v>
      </c>
      <c r="J1065" s="192">
        <f>+D1065*49*S1065</f>
        <v>0</v>
      </c>
      <c r="K1065" s="192" t="s">
        <v>803</v>
      </c>
      <c r="L1065" s="312">
        <f>+J1065+I1065</f>
        <v>3724</v>
      </c>
      <c r="M1065" s="211" t="e">
        <f ca="1">SUMPRODUCT(--(WEEKDAY(ROW(INDIRECT(DATE($B$1059,MonthFromText(A1065),1)&amp;":"&amp;DATE($B$1059,MonthFromText(A1065),$B$10))),1)=1))</f>
        <v>#NAME?</v>
      </c>
      <c r="N1065" s="284">
        <v>4</v>
      </c>
      <c r="O1065" s="4">
        <f>+P1065/(24-T1065)</f>
        <v>196</v>
      </c>
      <c r="P1065" s="312">
        <f>+N1065*49*(24-T1065)</f>
        <v>3724</v>
      </c>
      <c r="Q1065" s="192" t="e">
        <f ca="1">+(L1065*B1065)+(M1065*P1065)</f>
        <v>#NAME?</v>
      </c>
      <c r="R1065" s="312" t="e">
        <f ca="1">+Q1065-B958</f>
        <v>#NAME?</v>
      </c>
      <c r="S1065" s="285">
        <v>5</v>
      </c>
      <c r="T1065" s="285">
        <v>5</v>
      </c>
      <c r="AD1065" s="207"/>
      <c r="AE1065" s="200"/>
      <c r="AF1065" s="286" t="s">
        <v>821</v>
      </c>
      <c r="AG1065" s="287" t="s">
        <v>822</v>
      </c>
      <c r="AH1065" s="287" t="s">
        <v>823</v>
      </c>
      <c r="AI1065" s="287" t="s">
        <v>824</v>
      </c>
      <c r="AJ1065" s="198"/>
    </row>
    <row r="1066" spans="1:50" ht="15.75" customHeight="1" x14ac:dyDescent="0.3">
      <c r="A1066" s="257" t="s">
        <v>9</v>
      </c>
      <c r="B1066" s="211" t="e">
        <f ca="1">+$C$10-M1066</f>
        <v>#NAME?</v>
      </c>
      <c r="C1066" s="284">
        <v>2</v>
      </c>
      <c r="D1066" s="284">
        <v>0</v>
      </c>
      <c r="E1066" s="284" t="s">
        <v>803</v>
      </c>
      <c r="F1066" s="192">
        <f t="shared" ref="F1066:F1076" si="438">+I1066/(24-S1066)</f>
        <v>98</v>
      </c>
      <c r="G1066" s="192">
        <f t="shared" ref="G1066:G1076" si="439">+J1066/S1066</f>
        <v>0</v>
      </c>
      <c r="H1066" s="192" t="s">
        <v>803</v>
      </c>
      <c r="I1066" s="192">
        <f t="shared" ref="I1066:I1076" si="440">+C1066*49*(24-S1066)</f>
        <v>1862</v>
      </c>
      <c r="J1066" s="192">
        <f t="shared" ref="J1066:J1076" si="441">+D1066*49*S1066</f>
        <v>0</v>
      </c>
      <c r="K1066" s="192" t="s">
        <v>803</v>
      </c>
      <c r="L1066" s="312">
        <f t="shared" ref="L1066:L1076" si="442">+J1066+I1066</f>
        <v>1862</v>
      </c>
      <c r="M1066" s="211" t="e">
        <f ca="1">SUMPRODUCT(--(WEEKDAY(ROW(INDIRECT(DATE($B$1059,MonthFromText(A1066),1)&amp;":"&amp;DATE($B$1059,MonthFromText(A1066),$C$10))),1)=1))</f>
        <v>#NAME?</v>
      </c>
      <c r="N1066" s="284">
        <f t="shared" ref="N1066:N1074" si="443">+C1066</f>
        <v>2</v>
      </c>
      <c r="O1066" s="4">
        <f t="shared" ref="O1066:O1076" si="444">+P1066/24</f>
        <v>98</v>
      </c>
      <c r="P1066" s="312">
        <f t="shared" ref="P1066:P1076" si="445">+N1066*49*24</f>
        <v>2352</v>
      </c>
      <c r="Q1066" s="192" t="e">
        <f ca="1">+(L1066*B1066)+(M1066*P1066)</f>
        <v>#NAME?</v>
      </c>
      <c r="R1066" s="312" t="e">
        <f t="shared" ref="R1066:R1076" ca="1" si="446">+Q1066-B959</f>
        <v>#NAME?</v>
      </c>
      <c r="S1066" s="285">
        <v>5</v>
      </c>
      <c r="T1066" s="285">
        <v>5</v>
      </c>
      <c r="AD1066" s="288" t="s">
        <v>668</v>
      </c>
      <c r="AE1066" s="289" t="s">
        <v>825</v>
      </c>
      <c r="AF1066" s="4">
        <f>V1038</f>
        <v>251.56182795698925</v>
      </c>
      <c r="AG1066" s="4">
        <f>X1038</f>
        <v>6.0896633196854824</v>
      </c>
      <c r="AH1066" s="4">
        <f>Y1038</f>
        <v>0</v>
      </c>
      <c r="AI1066" s="4">
        <f>Z1038</f>
        <v>39.486559139784944</v>
      </c>
      <c r="AJ1066" s="304"/>
    </row>
    <row r="1067" spans="1:50" ht="16.5" customHeight="1" x14ac:dyDescent="0.3">
      <c r="A1067" s="257" t="s">
        <v>10</v>
      </c>
      <c r="B1067" s="211" t="e">
        <f ca="1">+$D$10-M1067</f>
        <v>#NAME?</v>
      </c>
      <c r="C1067" s="284">
        <v>6</v>
      </c>
      <c r="D1067" s="284">
        <v>0</v>
      </c>
      <c r="E1067" s="284" t="s">
        <v>803</v>
      </c>
      <c r="F1067" s="192">
        <f t="shared" si="438"/>
        <v>294</v>
      </c>
      <c r="G1067" s="192">
        <f t="shared" si="439"/>
        <v>0</v>
      </c>
      <c r="H1067" s="192" t="s">
        <v>803</v>
      </c>
      <c r="I1067" s="192">
        <f t="shared" si="440"/>
        <v>5586</v>
      </c>
      <c r="J1067" s="192">
        <f t="shared" si="441"/>
        <v>0</v>
      </c>
      <c r="K1067" s="192" t="s">
        <v>803</v>
      </c>
      <c r="L1067" s="312">
        <f t="shared" si="442"/>
        <v>5586</v>
      </c>
      <c r="M1067" s="211" t="e">
        <f ca="1">SUMPRODUCT(--(WEEKDAY(ROW(INDIRECT(DATE($B$1059,MonthFromText(A1067),1)&amp;":"&amp;DATE($B$1059,MonthFromText(A1067),$D$10))),1)=1))</f>
        <v>#NAME?</v>
      </c>
      <c r="N1067" s="284">
        <v>3</v>
      </c>
      <c r="O1067" s="4">
        <f t="shared" si="444"/>
        <v>147</v>
      </c>
      <c r="P1067" s="312">
        <f t="shared" si="445"/>
        <v>3528</v>
      </c>
      <c r="Q1067" s="192" t="e">
        <f t="shared" ref="Q1067:Q1076" ca="1" si="447">+(L1067*B1067)+(M1067*P1067)</f>
        <v>#NAME?</v>
      </c>
      <c r="R1067" s="312" t="e">
        <f t="shared" ca="1" si="446"/>
        <v>#NAME?</v>
      </c>
      <c r="S1067" s="285">
        <v>5</v>
      </c>
      <c r="T1067" s="285">
        <v>5</v>
      </c>
      <c r="AD1067" s="288"/>
      <c r="AE1067" s="289" t="s">
        <v>816</v>
      </c>
      <c r="AF1067" s="4">
        <f>W1038</f>
        <v>55.561827956989248</v>
      </c>
      <c r="AG1067" s="4">
        <f>X1038</f>
        <v>6.0896633196854824</v>
      </c>
      <c r="AH1067" s="4">
        <f>Y1038</f>
        <v>0</v>
      </c>
      <c r="AI1067" s="4">
        <f>Z1038</f>
        <v>39.486559139784944</v>
      </c>
      <c r="AJ1067" s="304"/>
    </row>
    <row r="1068" spans="1:50" ht="16.5" customHeight="1" x14ac:dyDescent="0.3">
      <c r="A1068" s="257" t="s">
        <v>12</v>
      </c>
      <c r="B1068" s="211" t="e">
        <f ca="1">+$F$10-M1068</f>
        <v>#NAME?</v>
      </c>
      <c r="C1068" s="284">
        <v>6</v>
      </c>
      <c r="D1068" s="284">
        <v>0</v>
      </c>
      <c r="E1068" s="284" t="s">
        <v>803</v>
      </c>
      <c r="F1068" s="192">
        <f t="shared" si="438"/>
        <v>294</v>
      </c>
      <c r="G1068" s="192">
        <f t="shared" si="439"/>
        <v>0</v>
      </c>
      <c r="H1068" s="192" t="s">
        <v>803</v>
      </c>
      <c r="I1068" s="192">
        <f t="shared" si="440"/>
        <v>5586</v>
      </c>
      <c r="J1068" s="192">
        <f t="shared" si="441"/>
        <v>0</v>
      </c>
      <c r="K1068" s="192" t="s">
        <v>803</v>
      </c>
      <c r="L1068" s="312">
        <f t="shared" si="442"/>
        <v>5586</v>
      </c>
      <c r="M1068" s="211" t="e">
        <f ca="1">SUMPRODUCT(--(WEEKDAY(ROW(INDIRECT(DATE($B$1059,MonthFromText(A1068),1)&amp;":"&amp;DATE($B$1059,MonthFromText(A1068),$F$10))),1)=1))</f>
        <v>#NAME?</v>
      </c>
      <c r="N1068" s="284">
        <v>5</v>
      </c>
      <c r="O1068" s="4">
        <f t="shared" si="444"/>
        <v>245</v>
      </c>
      <c r="P1068" s="312">
        <f t="shared" si="445"/>
        <v>5880</v>
      </c>
      <c r="Q1068" s="192" t="e">
        <f t="shared" ca="1" si="447"/>
        <v>#NAME?</v>
      </c>
      <c r="R1068" s="312" t="e">
        <f t="shared" ca="1" si="446"/>
        <v>#NAME?</v>
      </c>
      <c r="S1068" s="285">
        <v>5</v>
      </c>
      <c r="T1068" s="285">
        <v>5</v>
      </c>
      <c r="AD1068" s="288" t="s">
        <v>826</v>
      </c>
      <c r="AE1068" s="289" t="s">
        <v>7</v>
      </c>
      <c r="AJ1068" s="304"/>
    </row>
    <row r="1069" spans="1:50" ht="15.75" customHeight="1" x14ac:dyDescent="0.3">
      <c r="A1069" s="257" t="s">
        <v>13</v>
      </c>
      <c r="B1069" s="211" t="e">
        <f ca="1">+$G$10-M1069</f>
        <v>#NAME?</v>
      </c>
      <c r="C1069" s="284">
        <v>6</v>
      </c>
      <c r="D1069" s="284">
        <v>0</v>
      </c>
      <c r="E1069" s="284" t="s">
        <v>803</v>
      </c>
      <c r="F1069" s="192">
        <f t="shared" si="438"/>
        <v>294</v>
      </c>
      <c r="G1069" s="192">
        <f t="shared" si="439"/>
        <v>0</v>
      </c>
      <c r="H1069" s="192" t="s">
        <v>803</v>
      </c>
      <c r="I1069" s="192">
        <f t="shared" si="440"/>
        <v>5586</v>
      </c>
      <c r="J1069" s="192">
        <f t="shared" si="441"/>
        <v>0</v>
      </c>
      <c r="K1069" s="192" t="s">
        <v>803</v>
      </c>
      <c r="L1069" s="312">
        <f t="shared" si="442"/>
        <v>5586</v>
      </c>
      <c r="M1069" s="211" t="e">
        <f ca="1">SUMPRODUCT(--(WEEKDAY(ROW(INDIRECT(DATE($B$1059,MonthFromText(A1069),1)&amp;":"&amp;DATE($B$1059,MonthFromText(A1069),$G$10))),1)=1))</f>
        <v>#NAME?</v>
      </c>
      <c r="N1069" s="284">
        <f t="shared" si="443"/>
        <v>6</v>
      </c>
      <c r="O1069" s="4">
        <f t="shared" si="444"/>
        <v>294</v>
      </c>
      <c r="P1069" s="312">
        <f t="shared" si="445"/>
        <v>7056</v>
      </c>
      <c r="Q1069" s="192" t="e">
        <f t="shared" ca="1" si="447"/>
        <v>#NAME?</v>
      </c>
      <c r="R1069" s="312" t="e">
        <f t="shared" ca="1" si="446"/>
        <v>#NAME?</v>
      </c>
      <c r="S1069" s="285">
        <v>5</v>
      </c>
      <c r="T1069" s="285">
        <v>5</v>
      </c>
      <c r="AD1069" s="288" t="s">
        <v>669</v>
      </c>
      <c r="AE1069" s="289" t="s">
        <v>825</v>
      </c>
      <c r="AF1069" s="4">
        <f>V1039</f>
        <v>174.45684523809524</v>
      </c>
      <c r="AG1069" s="4">
        <f>X1039</f>
        <v>11.011590957489359</v>
      </c>
      <c r="AH1069" s="4">
        <f>Y1039</f>
        <v>0</v>
      </c>
      <c r="AI1069" s="4">
        <f>Z1039</f>
        <v>45.650297619047613</v>
      </c>
      <c r="AJ1069" s="304"/>
    </row>
    <row r="1070" spans="1:50" ht="15.75" customHeight="1" x14ac:dyDescent="0.3">
      <c r="A1070" s="257" t="s">
        <v>14</v>
      </c>
      <c r="B1070" s="211" t="e">
        <f ca="1">+$H$10-M1070</f>
        <v>#NAME?</v>
      </c>
      <c r="C1070" s="284">
        <v>3</v>
      </c>
      <c r="D1070" s="284">
        <v>0</v>
      </c>
      <c r="E1070" s="284">
        <v>0</v>
      </c>
      <c r="F1070" s="192">
        <f t="shared" si="438"/>
        <v>147</v>
      </c>
      <c r="G1070" s="192">
        <f t="shared" si="439"/>
        <v>0</v>
      </c>
      <c r="H1070" s="192" t="s">
        <v>803</v>
      </c>
      <c r="I1070" s="192">
        <f t="shared" si="440"/>
        <v>2205</v>
      </c>
      <c r="J1070" s="192">
        <f t="shared" si="441"/>
        <v>0</v>
      </c>
      <c r="K1070" s="192" t="s">
        <v>803</v>
      </c>
      <c r="L1070" s="312">
        <f t="shared" si="442"/>
        <v>2205</v>
      </c>
      <c r="M1070" s="211" t="e">
        <f ca="1">SUMPRODUCT(--(WEEKDAY(ROW(INDIRECT(DATE($B$1059,MonthFromText(A1070),1)&amp;":"&amp;DATE($B$1059,MonthFromText(A1070),$H$10))),1)=1))</f>
        <v>#NAME?</v>
      </c>
      <c r="N1070" s="284">
        <f t="shared" si="443"/>
        <v>3</v>
      </c>
      <c r="O1070" s="4">
        <f t="shared" si="444"/>
        <v>147</v>
      </c>
      <c r="P1070" s="312">
        <f t="shared" si="445"/>
        <v>3528</v>
      </c>
      <c r="Q1070" s="192" t="e">
        <f ca="1">+(L1070*B1070)+(M1070*P1070)</f>
        <v>#NAME?</v>
      </c>
      <c r="R1070" s="312" t="e">
        <f t="shared" ca="1" si="446"/>
        <v>#NAME?</v>
      </c>
      <c r="S1070" s="285">
        <v>9</v>
      </c>
      <c r="T1070" s="285">
        <v>9</v>
      </c>
      <c r="AD1070" s="288"/>
      <c r="AE1070" s="289" t="s">
        <v>816</v>
      </c>
      <c r="AF1070" s="4">
        <f>W1039</f>
        <v>76.456845238095241</v>
      </c>
      <c r="AG1070" s="4">
        <f>X1039</f>
        <v>11.011590957489359</v>
      </c>
      <c r="AH1070" s="4">
        <f>Y1039</f>
        <v>0</v>
      </c>
      <c r="AI1070" s="4">
        <f>Z1039</f>
        <v>45.650297619047613</v>
      </c>
      <c r="AJ1070" s="304"/>
    </row>
    <row r="1071" spans="1:50" ht="15.75" customHeight="1" x14ac:dyDescent="0.3">
      <c r="A1071" s="257" t="s">
        <v>16</v>
      </c>
      <c r="B1071" s="211" t="e">
        <f ca="1">+$J$10-M1071</f>
        <v>#NAME?</v>
      </c>
      <c r="C1071" s="284">
        <v>3</v>
      </c>
      <c r="D1071" s="284">
        <v>0</v>
      </c>
      <c r="E1071" s="284">
        <v>0</v>
      </c>
      <c r="F1071" s="192">
        <f t="shared" si="438"/>
        <v>147</v>
      </c>
      <c r="G1071" s="192">
        <f t="shared" si="439"/>
        <v>0</v>
      </c>
      <c r="H1071" s="192" t="s">
        <v>803</v>
      </c>
      <c r="I1071" s="192">
        <f t="shared" si="440"/>
        <v>2205</v>
      </c>
      <c r="J1071" s="192">
        <f t="shared" si="441"/>
        <v>0</v>
      </c>
      <c r="K1071" s="192" t="s">
        <v>803</v>
      </c>
      <c r="L1071" s="312">
        <f t="shared" si="442"/>
        <v>2205</v>
      </c>
      <c r="M1071" s="211" t="e">
        <f ca="1">SUMPRODUCT(--(WEEKDAY(ROW(INDIRECT(DATE($B$1059,MonthFromText(A1071),1)&amp;":"&amp;DATE($B$1059,MonthFromText(A1071),$J$10))),1)=1))</f>
        <v>#NAME?</v>
      </c>
      <c r="N1071" s="284">
        <f t="shared" si="443"/>
        <v>3</v>
      </c>
      <c r="O1071" s="4">
        <f t="shared" si="444"/>
        <v>147</v>
      </c>
      <c r="P1071" s="312">
        <f t="shared" si="445"/>
        <v>3528</v>
      </c>
      <c r="Q1071" s="192" t="e">
        <f t="shared" ca="1" si="447"/>
        <v>#NAME?</v>
      </c>
      <c r="R1071" s="312" t="e">
        <f t="shared" ca="1" si="446"/>
        <v>#NAME?</v>
      </c>
      <c r="S1071" s="285">
        <v>9</v>
      </c>
      <c r="T1071" s="285">
        <v>9</v>
      </c>
      <c r="AD1071" s="288" t="s">
        <v>826</v>
      </c>
      <c r="AE1071" s="289" t="s">
        <v>7</v>
      </c>
      <c r="AJ1071" s="304"/>
    </row>
    <row r="1072" spans="1:50" ht="15.75" customHeight="1" x14ac:dyDescent="0.3">
      <c r="A1072" s="257" t="s">
        <v>17</v>
      </c>
      <c r="B1072" s="211" t="e">
        <f ca="1">+$K$10-M1072</f>
        <v>#NAME?</v>
      </c>
      <c r="C1072" s="284">
        <v>3</v>
      </c>
      <c r="D1072" s="284">
        <v>0</v>
      </c>
      <c r="E1072" s="284">
        <v>0</v>
      </c>
      <c r="F1072" s="192">
        <f t="shared" si="438"/>
        <v>147</v>
      </c>
      <c r="G1072" s="192">
        <f t="shared" si="439"/>
        <v>0</v>
      </c>
      <c r="H1072" s="192" t="s">
        <v>803</v>
      </c>
      <c r="I1072" s="192">
        <f t="shared" si="440"/>
        <v>2205</v>
      </c>
      <c r="J1072" s="192">
        <f t="shared" si="441"/>
        <v>0</v>
      </c>
      <c r="K1072" s="192" t="s">
        <v>803</v>
      </c>
      <c r="L1072" s="312">
        <f t="shared" si="442"/>
        <v>2205</v>
      </c>
      <c r="M1072" s="211" t="e">
        <f ca="1">SUMPRODUCT(--(WEEKDAY(ROW(INDIRECT(DATE($B$1059,MonthFromText(A1072),1)&amp;":"&amp;DATE($B$1059,MonthFromText(A1072),$K$10))),1)=1))</f>
        <v>#NAME?</v>
      </c>
      <c r="N1072" s="284">
        <f t="shared" si="443"/>
        <v>3</v>
      </c>
      <c r="O1072" s="4">
        <f t="shared" si="444"/>
        <v>147</v>
      </c>
      <c r="P1072" s="312">
        <f t="shared" si="445"/>
        <v>3528</v>
      </c>
      <c r="Q1072" s="192" t="e">
        <f t="shared" ca="1" si="447"/>
        <v>#NAME?</v>
      </c>
      <c r="R1072" s="312" t="e">
        <f t="shared" ca="1" si="446"/>
        <v>#NAME?</v>
      </c>
      <c r="S1072" s="285">
        <v>9</v>
      </c>
      <c r="T1072" s="285">
        <v>9</v>
      </c>
      <c r="AD1072" s="288" t="s">
        <v>671</v>
      </c>
      <c r="AE1072" s="289" t="s">
        <v>825</v>
      </c>
      <c r="AF1072" s="4">
        <f>V1040</f>
        <v>406.27688172043008</v>
      </c>
      <c r="AG1072" s="4">
        <f>X1040</f>
        <v>16.498636000408094</v>
      </c>
      <c r="AH1072" s="4">
        <f>Y1040</f>
        <v>0</v>
      </c>
      <c r="AI1072" s="4">
        <f>Z1040</f>
        <v>52.034946236559136</v>
      </c>
      <c r="AJ1072" s="304"/>
    </row>
    <row r="1073" spans="1:36" ht="15.75" customHeight="1" x14ac:dyDescent="0.3">
      <c r="A1073" s="257" t="s">
        <v>18</v>
      </c>
      <c r="B1073" s="211" t="e">
        <f ca="1">+$L$10-M1073</f>
        <v>#NAME?</v>
      </c>
      <c r="C1073" s="284">
        <v>5</v>
      </c>
      <c r="D1073" s="284">
        <v>0</v>
      </c>
      <c r="E1073" s="284" t="s">
        <v>803</v>
      </c>
      <c r="F1073" s="192">
        <f t="shared" si="438"/>
        <v>245</v>
      </c>
      <c r="G1073" s="192">
        <f t="shared" si="439"/>
        <v>0</v>
      </c>
      <c r="H1073" s="192" t="s">
        <v>803</v>
      </c>
      <c r="I1073" s="192">
        <f t="shared" si="440"/>
        <v>4410</v>
      </c>
      <c r="J1073" s="192">
        <f t="shared" si="441"/>
        <v>0</v>
      </c>
      <c r="K1073" s="192" t="s">
        <v>803</v>
      </c>
      <c r="L1073" s="312">
        <f t="shared" si="442"/>
        <v>4410</v>
      </c>
      <c r="M1073" s="211" t="e">
        <f ca="1">SUMPRODUCT(--(WEEKDAY(ROW(INDIRECT(DATE($B$1059,MonthFromText(A1073),1)&amp;":"&amp;DATE($B$1059,MonthFromText(A1073),$L$10))),1)=1))</f>
        <v>#NAME?</v>
      </c>
      <c r="N1073" s="284">
        <f t="shared" si="443"/>
        <v>5</v>
      </c>
      <c r="O1073" s="4">
        <f t="shared" si="444"/>
        <v>245</v>
      </c>
      <c r="P1073" s="312">
        <f t="shared" si="445"/>
        <v>5880</v>
      </c>
      <c r="Q1073" s="192" t="e">
        <f t="shared" ca="1" si="447"/>
        <v>#NAME?</v>
      </c>
      <c r="R1073" s="312" t="e">
        <f t="shared" ca="1" si="446"/>
        <v>#NAME?</v>
      </c>
      <c r="S1073" s="285">
        <v>6</v>
      </c>
      <c r="T1073" s="285">
        <v>4</v>
      </c>
      <c r="AD1073" s="288"/>
      <c r="AE1073" s="289" t="s">
        <v>816</v>
      </c>
      <c r="AF1073" s="4">
        <f>W1040</f>
        <v>112.27688172043011</v>
      </c>
      <c r="AG1073" s="4">
        <f>X1040</f>
        <v>16.498636000408094</v>
      </c>
      <c r="AH1073" s="4">
        <f>Y1040</f>
        <v>0</v>
      </c>
      <c r="AI1073" s="4">
        <f>Z1040</f>
        <v>52.034946236559136</v>
      </c>
      <c r="AJ1073" s="304"/>
    </row>
    <row r="1074" spans="1:36" ht="15.75" customHeight="1" x14ac:dyDescent="0.3">
      <c r="A1074" s="257" t="s">
        <v>20</v>
      </c>
      <c r="B1074" s="211" t="e">
        <f ca="1">+$N$10-M1074</f>
        <v>#NAME?</v>
      </c>
      <c r="C1074" s="284">
        <v>5</v>
      </c>
      <c r="D1074" s="284">
        <v>0</v>
      </c>
      <c r="E1074" s="284" t="s">
        <v>803</v>
      </c>
      <c r="F1074" s="192">
        <f t="shared" si="438"/>
        <v>245</v>
      </c>
      <c r="G1074" s="192">
        <f t="shared" si="439"/>
        <v>0</v>
      </c>
      <c r="H1074" s="192" t="s">
        <v>803</v>
      </c>
      <c r="I1074" s="192">
        <f t="shared" si="440"/>
        <v>4410</v>
      </c>
      <c r="J1074" s="192">
        <f t="shared" si="441"/>
        <v>0</v>
      </c>
      <c r="K1074" s="192" t="s">
        <v>803</v>
      </c>
      <c r="L1074" s="312">
        <f t="shared" si="442"/>
        <v>4410</v>
      </c>
      <c r="M1074" s="211" t="e">
        <f ca="1">SUMPRODUCT(--(WEEKDAY(ROW(INDIRECT(DATE($B$1059,MonthFromText(A1074),1)&amp;":"&amp;DATE($B$1059,MonthFromText(A1074),$N$10))),1)=1))</f>
        <v>#NAME?</v>
      </c>
      <c r="N1074" s="284">
        <f t="shared" si="443"/>
        <v>5</v>
      </c>
      <c r="O1074" s="4">
        <f t="shared" si="444"/>
        <v>245</v>
      </c>
      <c r="P1074" s="312">
        <f t="shared" si="445"/>
        <v>5880</v>
      </c>
      <c r="Q1074" s="192" t="e">
        <f t="shared" ca="1" si="447"/>
        <v>#NAME?</v>
      </c>
      <c r="R1074" s="312" t="e">
        <f t="shared" ca="1" si="446"/>
        <v>#NAME?</v>
      </c>
      <c r="S1074" s="285">
        <v>6</v>
      </c>
      <c r="T1074" s="285">
        <v>4</v>
      </c>
      <c r="AD1074" s="288" t="s">
        <v>826</v>
      </c>
      <c r="AE1074" s="289" t="s">
        <v>7</v>
      </c>
      <c r="AJ1074" s="304"/>
    </row>
    <row r="1075" spans="1:36" ht="15.75" customHeight="1" x14ac:dyDescent="0.3">
      <c r="A1075" s="257" t="s">
        <v>21</v>
      </c>
      <c r="B1075" s="211" t="e">
        <f ca="1">+$O$10-M1075</f>
        <v>#NAME?</v>
      </c>
      <c r="C1075" s="284">
        <v>5</v>
      </c>
      <c r="D1075" s="284">
        <v>0</v>
      </c>
      <c r="E1075" s="284" t="s">
        <v>803</v>
      </c>
      <c r="F1075" s="192">
        <f t="shared" si="438"/>
        <v>245</v>
      </c>
      <c r="G1075" s="192">
        <f t="shared" si="439"/>
        <v>0</v>
      </c>
      <c r="H1075" s="192" t="s">
        <v>803</v>
      </c>
      <c r="I1075" s="192">
        <f t="shared" si="440"/>
        <v>4410</v>
      </c>
      <c r="J1075" s="192">
        <f t="shared" si="441"/>
        <v>0</v>
      </c>
      <c r="K1075" s="192" t="s">
        <v>803</v>
      </c>
      <c r="L1075" s="312">
        <f t="shared" si="442"/>
        <v>4410</v>
      </c>
      <c r="M1075" s="211" t="e">
        <f ca="1">SUMPRODUCT(--(WEEKDAY(ROW(INDIRECT(DATE($B$1059,MonthFromText(A1075),1)&amp;":"&amp;DATE($B$1059,MonthFromText(A1075),$O$10))),1)=1))</f>
        <v>#NAME?</v>
      </c>
      <c r="N1075" s="284">
        <v>3</v>
      </c>
      <c r="O1075" s="4">
        <f t="shared" si="444"/>
        <v>147</v>
      </c>
      <c r="P1075" s="312">
        <f t="shared" si="445"/>
        <v>3528</v>
      </c>
      <c r="Q1075" s="192" t="e">
        <f t="shared" ca="1" si="447"/>
        <v>#NAME?</v>
      </c>
      <c r="R1075" s="312" t="e">
        <f t="shared" ca="1" si="446"/>
        <v>#NAME?</v>
      </c>
      <c r="S1075" s="285">
        <v>6</v>
      </c>
      <c r="T1075" s="285">
        <v>4</v>
      </c>
      <c r="AD1075" s="288" t="s">
        <v>672</v>
      </c>
      <c r="AE1075" s="289" t="s">
        <v>825</v>
      </c>
      <c r="AF1075" s="4">
        <f>V1041</f>
        <v>405.00694444444446</v>
      </c>
      <c r="AG1075" s="4">
        <f>X1041</f>
        <v>8.6525667493352181</v>
      </c>
      <c r="AH1075" s="4">
        <f>Y1041</f>
        <v>0</v>
      </c>
      <c r="AI1075" s="4">
        <f>Z1041</f>
        <v>60.741666666666667</v>
      </c>
      <c r="AJ1075" s="304"/>
    </row>
    <row r="1076" spans="1:36" ht="15.75" customHeight="1" thickBot="1" x14ac:dyDescent="0.35">
      <c r="A1076" s="257" t="s">
        <v>22</v>
      </c>
      <c r="B1076" s="220" t="e">
        <f ca="1">+$P$10-M1076</f>
        <v>#NAME?</v>
      </c>
      <c r="C1076" s="290">
        <v>5</v>
      </c>
      <c r="D1076" s="290">
        <v>0</v>
      </c>
      <c r="E1076" s="284" t="s">
        <v>803</v>
      </c>
      <c r="F1076" s="192">
        <f t="shared" si="438"/>
        <v>245</v>
      </c>
      <c r="G1076" s="192">
        <f t="shared" si="439"/>
        <v>0</v>
      </c>
      <c r="H1076" s="192" t="s">
        <v>803</v>
      </c>
      <c r="I1076" s="192">
        <f t="shared" si="440"/>
        <v>4410</v>
      </c>
      <c r="J1076" s="192">
        <f t="shared" si="441"/>
        <v>0</v>
      </c>
      <c r="K1076" s="192" t="s">
        <v>803</v>
      </c>
      <c r="L1076" s="312">
        <f t="shared" si="442"/>
        <v>4410</v>
      </c>
      <c r="M1076" s="220" t="e">
        <f ca="1">SUMPRODUCT(--(WEEKDAY(ROW(INDIRECT(DATE($B$1059,MonthFromText(A1076),1)&amp;":"&amp;DATE($B$1059,MonthFromText(A1076),$P$10))),1)=1))</f>
        <v>#NAME?</v>
      </c>
      <c r="N1076" s="284">
        <v>3</v>
      </c>
      <c r="O1076" s="135">
        <f t="shared" si="444"/>
        <v>147</v>
      </c>
      <c r="P1076" s="272">
        <f t="shared" si="445"/>
        <v>3528</v>
      </c>
      <c r="Q1076" s="291" t="e">
        <f t="shared" ca="1" si="447"/>
        <v>#NAME?</v>
      </c>
      <c r="R1076" s="292" t="e">
        <f t="shared" ca="1" si="446"/>
        <v>#NAME?</v>
      </c>
      <c r="S1076" s="285">
        <v>6</v>
      </c>
      <c r="T1076" s="285">
        <v>4</v>
      </c>
      <c r="AD1076" s="288"/>
      <c r="AE1076" s="289" t="s">
        <v>816</v>
      </c>
      <c r="AF1076" s="4">
        <f>W1041</f>
        <v>111.00694444444443</v>
      </c>
      <c r="AG1076" s="4">
        <f>X1041</f>
        <v>8.6525667493352181</v>
      </c>
      <c r="AH1076" s="4">
        <f>Y1041</f>
        <v>0</v>
      </c>
      <c r="AI1076" s="4">
        <f>Z1041</f>
        <v>60.741666666666667</v>
      </c>
      <c r="AJ1076" s="304"/>
    </row>
    <row r="1077" spans="1:36" ht="15.75" customHeight="1" thickBot="1" x14ac:dyDescent="0.35">
      <c r="A1077" s="134"/>
      <c r="B1077" s="135"/>
      <c r="C1077" s="135"/>
      <c r="D1077" s="135"/>
      <c r="E1077" s="293"/>
      <c r="F1077" s="293"/>
      <c r="G1077" s="293"/>
      <c r="H1077" s="293"/>
      <c r="I1077" s="293"/>
      <c r="J1077" s="293"/>
      <c r="K1077" s="293"/>
      <c r="L1077" s="293"/>
      <c r="M1077" s="135"/>
      <c r="N1077" s="135"/>
      <c r="O1077" s="135"/>
      <c r="P1077" s="135"/>
      <c r="Q1077" s="206" t="e">
        <f ca="1">+SUM(Q1065:Q1076)</f>
        <v>#NAME?</v>
      </c>
      <c r="R1077" s="272" t="e">
        <f ca="1">+Q1077-B971</f>
        <v>#NAME?</v>
      </c>
      <c r="AD1077" s="288" t="s">
        <v>826</v>
      </c>
      <c r="AE1077" s="289" t="s">
        <v>7</v>
      </c>
      <c r="AJ1077" s="304"/>
    </row>
    <row r="1078" spans="1:36" ht="15.75" customHeight="1" x14ac:dyDescent="0.3">
      <c r="A1078" s="260" t="s">
        <v>827</v>
      </c>
      <c r="J1078" s="192"/>
      <c r="AD1078" s="288" t="s">
        <v>673</v>
      </c>
      <c r="AE1078" s="289" t="s">
        <v>825</v>
      </c>
      <c r="AF1078" s="4">
        <f>V1042</f>
        <v>409.0322580645161</v>
      </c>
      <c r="AG1078" s="4">
        <f>X1042</f>
        <v>5.4152793710789275</v>
      </c>
      <c r="AH1078" s="4">
        <f>Y1042</f>
        <v>0</v>
      </c>
      <c r="AI1078" s="4">
        <f>Z1042</f>
        <v>62.270161290322569</v>
      </c>
      <c r="AJ1078" s="304"/>
    </row>
    <row r="1079" spans="1:36" ht="15.75" customHeight="1" x14ac:dyDescent="0.3">
      <c r="A1079" s="260" t="s">
        <v>828</v>
      </c>
      <c r="AD1079" s="288"/>
      <c r="AE1079" s="289" t="s">
        <v>816</v>
      </c>
      <c r="AF1079" s="4">
        <f>W1042</f>
        <v>115.03225806451613</v>
      </c>
      <c r="AG1079" s="4">
        <f>X1042</f>
        <v>5.4152793710789275</v>
      </c>
      <c r="AH1079" s="4">
        <f>Y1042</f>
        <v>0</v>
      </c>
      <c r="AI1079" s="4">
        <f>Z1042</f>
        <v>62.270161290322569</v>
      </c>
      <c r="AJ1079" s="304"/>
    </row>
    <row r="1080" spans="1:36" ht="15.75" customHeight="1" x14ac:dyDescent="0.3">
      <c r="A1080" s="260" t="s">
        <v>829</v>
      </c>
      <c r="AD1080" s="288" t="s">
        <v>826</v>
      </c>
      <c r="AE1080" s="289" t="s">
        <v>7</v>
      </c>
      <c r="AJ1080" s="304"/>
    </row>
    <row r="1081" spans="1:36" ht="15.75" customHeight="1" x14ac:dyDescent="0.3">
      <c r="AD1081" s="288" t="s">
        <v>675</v>
      </c>
      <c r="AE1081" s="289" t="s">
        <v>825</v>
      </c>
      <c r="AF1081" s="4">
        <f>V1043</f>
        <v>191.83472222222224</v>
      </c>
      <c r="AG1081" s="4">
        <f>X1043</f>
        <v>0</v>
      </c>
      <c r="AH1081" s="4">
        <f>Y1043</f>
        <v>-24.619799846038884</v>
      </c>
      <c r="AI1081" s="4">
        <f>Z1043</f>
        <v>72.606944444444423</v>
      </c>
      <c r="AJ1081" s="304"/>
    </row>
    <row r="1082" spans="1:36" ht="15.75" customHeight="1" x14ac:dyDescent="0.3">
      <c r="A1082" s="4" t="s">
        <v>830</v>
      </c>
      <c r="AD1082" s="288"/>
      <c r="AE1082" s="289" t="s">
        <v>816</v>
      </c>
      <c r="AF1082" s="4">
        <f>W1043</f>
        <v>44.834722222222226</v>
      </c>
      <c r="AG1082" s="4">
        <f>X1043</f>
        <v>0</v>
      </c>
      <c r="AH1082" s="4">
        <f>Y1043</f>
        <v>-24.619799846038884</v>
      </c>
      <c r="AI1082" s="4">
        <f>Z1043</f>
        <v>72.606944444444423</v>
      </c>
      <c r="AJ1082" s="304"/>
    </row>
    <row r="1083" spans="1:36" ht="15.75" customHeight="1" x14ac:dyDescent="0.3">
      <c r="AD1083" s="288" t="s">
        <v>826</v>
      </c>
      <c r="AE1083" s="289" t="s">
        <v>7</v>
      </c>
      <c r="AJ1083" s="304"/>
    </row>
    <row r="1084" spans="1:36" ht="15.75" customHeight="1" x14ac:dyDescent="0.3">
      <c r="AD1084" s="288" t="s">
        <v>676</v>
      </c>
      <c r="AE1084" s="289" t="s">
        <v>825</v>
      </c>
      <c r="AF1084" s="4">
        <f>V1044</f>
        <v>191.34408602150538</v>
      </c>
      <c r="AG1084" s="4">
        <f>X1044</f>
        <v>0</v>
      </c>
      <c r="AH1084" s="4">
        <f>Y1044</f>
        <v>-20.114219433768614</v>
      </c>
      <c r="AI1084" s="4">
        <f>Z1044</f>
        <v>72.567204301075293</v>
      </c>
      <c r="AJ1084" s="304"/>
    </row>
    <row r="1085" spans="1:36" ht="16.5" customHeight="1" x14ac:dyDescent="0.3">
      <c r="AD1085" s="288"/>
      <c r="AE1085" s="289" t="s">
        <v>816</v>
      </c>
      <c r="AF1085" s="4">
        <f>W1044</f>
        <v>44.344086021505376</v>
      </c>
      <c r="AG1085" s="4">
        <f>X1044</f>
        <v>0</v>
      </c>
      <c r="AH1085" s="4">
        <f>Y1044</f>
        <v>-20.114219433768614</v>
      </c>
      <c r="AI1085" s="4">
        <f>Z1044</f>
        <v>72.567204301075293</v>
      </c>
      <c r="AJ1085" s="304"/>
    </row>
    <row r="1086" spans="1:36" ht="15.75" customHeight="1" x14ac:dyDescent="0.3">
      <c r="AD1086" s="288" t="s">
        <v>826</v>
      </c>
      <c r="AE1086" s="289" t="s">
        <v>7</v>
      </c>
      <c r="AJ1086" s="304"/>
    </row>
    <row r="1087" spans="1:36" ht="16.5" customHeight="1" x14ac:dyDescent="0.3">
      <c r="AD1087" s="288" t="s">
        <v>691</v>
      </c>
      <c r="AE1087" s="289" t="s">
        <v>825</v>
      </c>
      <c r="AF1087" s="4">
        <f>V1045</f>
        <v>165.34946236559139</v>
      </c>
      <c r="AG1087" s="4">
        <f>X1045</f>
        <v>0</v>
      </c>
      <c r="AH1087" s="4">
        <f>Y1045</f>
        <v>-17.107558162806161</v>
      </c>
      <c r="AI1087" s="4">
        <f>Z1045</f>
        <v>67.590053763440864</v>
      </c>
      <c r="AJ1087" s="304"/>
    </row>
    <row r="1088" spans="1:36" ht="15.75" customHeight="1" x14ac:dyDescent="0.3">
      <c r="AD1088" s="288"/>
      <c r="AE1088" s="289" t="s">
        <v>816</v>
      </c>
      <c r="AF1088" s="4">
        <f>W1045</f>
        <v>18.3494623655914</v>
      </c>
      <c r="AG1088" s="4">
        <f>X1045</f>
        <v>0</v>
      </c>
      <c r="AH1088" s="4">
        <f>Y1045</f>
        <v>-17.107558162806161</v>
      </c>
      <c r="AI1088" s="4">
        <f>Z1045</f>
        <v>67.590053763440864</v>
      </c>
      <c r="AJ1088" s="304"/>
    </row>
    <row r="1089" spans="1:36" ht="15.75" customHeight="1" x14ac:dyDescent="0.3">
      <c r="AD1089" s="288" t="s">
        <v>826</v>
      </c>
      <c r="AE1089" s="289" t="s">
        <v>7</v>
      </c>
      <c r="AJ1089" s="304"/>
    </row>
    <row r="1090" spans="1:36" ht="15.75" customHeight="1" x14ac:dyDescent="0.3">
      <c r="AD1090" s="288" t="s">
        <v>831</v>
      </c>
      <c r="AE1090" s="289" t="s">
        <v>825</v>
      </c>
      <c r="AF1090" s="4">
        <f>V1046</f>
        <v>342.03055555555557</v>
      </c>
      <c r="AG1090" s="4">
        <f>X1046</f>
        <v>1.5166759268947161</v>
      </c>
      <c r="AH1090" s="4">
        <f>Y1046</f>
        <v>0</v>
      </c>
      <c r="AI1090" s="4">
        <f>Z1046</f>
        <v>55.230555555555561</v>
      </c>
      <c r="AJ1090" s="304"/>
    </row>
    <row r="1091" spans="1:36" ht="15.75" customHeight="1" x14ac:dyDescent="0.3">
      <c r="AD1091" s="288"/>
      <c r="AE1091" s="289" t="s">
        <v>816</v>
      </c>
      <c r="AF1091" s="4">
        <f>W1046</f>
        <v>97.030555555555551</v>
      </c>
      <c r="AG1091" s="4">
        <f>X1046</f>
        <v>1.5166759268947161</v>
      </c>
      <c r="AH1091" s="4">
        <f>Y1046</f>
        <v>0</v>
      </c>
      <c r="AI1091" s="4">
        <f>Z1046</f>
        <v>55.230555555555561</v>
      </c>
      <c r="AJ1091" s="304"/>
    </row>
    <row r="1092" spans="1:36" ht="15.75" customHeight="1" x14ac:dyDescent="0.3">
      <c r="I1092" s="192"/>
      <c r="J1092" s="192"/>
      <c r="AD1092" s="288" t="s">
        <v>826</v>
      </c>
      <c r="AE1092" s="289" t="s">
        <v>7</v>
      </c>
      <c r="AJ1092" s="304"/>
    </row>
    <row r="1093" spans="1:36" ht="15.75" customHeight="1" x14ac:dyDescent="0.3">
      <c r="AD1093" s="288" t="s">
        <v>693</v>
      </c>
      <c r="AE1093" s="289" t="s">
        <v>825</v>
      </c>
      <c r="AF1093" s="4">
        <f>V1047</f>
        <v>346.4529569892473</v>
      </c>
      <c r="AG1093" s="4">
        <f>X1047</f>
        <v>13.287449010748865</v>
      </c>
      <c r="AH1093" s="4">
        <f>Y1047</f>
        <v>0</v>
      </c>
      <c r="AI1093" s="4">
        <f>Z1047</f>
        <v>31.053763440860219</v>
      </c>
      <c r="AJ1093" s="304"/>
    </row>
    <row r="1094" spans="1:36" ht="15.75" customHeight="1" x14ac:dyDescent="0.3">
      <c r="AD1094" s="288"/>
      <c r="AE1094" s="289" t="s">
        <v>816</v>
      </c>
      <c r="AF1094" s="4">
        <f>W1047</f>
        <v>101.4529569892473</v>
      </c>
      <c r="AG1094" s="4">
        <f>X1047</f>
        <v>13.287449010748865</v>
      </c>
      <c r="AH1094" s="4">
        <f>Y1047</f>
        <v>0</v>
      </c>
      <c r="AI1094" s="4">
        <f>Z1047</f>
        <v>31.053763440860219</v>
      </c>
      <c r="AJ1094" s="304"/>
    </row>
    <row r="1095" spans="1:36" ht="15.75" customHeight="1" x14ac:dyDescent="0.3">
      <c r="AD1095" s="288" t="s">
        <v>826</v>
      </c>
      <c r="AE1095" s="289" t="s">
        <v>7</v>
      </c>
      <c r="AJ1095" s="304"/>
    </row>
    <row r="1096" spans="1:36" ht="15.75" customHeight="1" x14ac:dyDescent="0.3">
      <c r="AD1096" s="288" t="s">
        <v>694</v>
      </c>
      <c r="AE1096" s="289" t="s">
        <v>825</v>
      </c>
      <c r="AF1096" s="4">
        <f>V1048</f>
        <v>346.79166666666663</v>
      </c>
      <c r="AG1096" s="4">
        <f>X1048</f>
        <v>21.033847544432877</v>
      </c>
      <c r="AH1096" s="4">
        <f>Y1048</f>
        <v>0</v>
      </c>
      <c r="AI1096" s="4">
        <f>Z1048</f>
        <v>17.608333333333338</v>
      </c>
      <c r="AJ1096" s="304"/>
    </row>
    <row r="1097" spans="1:36" ht="15.75" customHeight="1" x14ac:dyDescent="0.3">
      <c r="AD1097" s="288"/>
      <c r="AE1097" s="289" t="s">
        <v>816</v>
      </c>
      <c r="AF1097" s="4">
        <f>W1048</f>
        <v>101.79166666666666</v>
      </c>
      <c r="AG1097" s="4">
        <f>X1048</f>
        <v>21.033847544432877</v>
      </c>
      <c r="AH1097" s="4">
        <f>Y1048</f>
        <v>0</v>
      </c>
      <c r="AI1097" s="4">
        <f>Z1048</f>
        <v>17.608333333333338</v>
      </c>
      <c r="AJ1097" s="304"/>
    </row>
    <row r="1098" spans="1:36" ht="15.75" customHeight="1" x14ac:dyDescent="0.3">
      <c r="AD1098" s="288" t="s">
        <v>826</v>
      </c>
      <c r="AE1098" s="289" t="s">
        <v>7</v>
      </c>
      <c r="AJ1098" s="304"/>
    </row>
    <row r="1099" spans="1:36" ht="15.75" customHeight="1" thickBot="1" x14ac:dyDescent="0.35">
      <c r="AD1099" s="288" t="s">
        <v>695</v>
      </c>
      <c r="AE1099" s="289" t="s">
        <v>825</v>
      </c>
      <c r="AF1099" s="4">
        <f>V1049</f>
        <v>341.25940860215053</v>
      </c>
      <c r="AG1099" s="4">
        <f>X1049</f>
        <v>21.059551665670803</v>
      </c>
      <c r="AH1099" s="4">
        <f>Y1049</f>
        <v>0</v>
      </c>
      <c r="AI1099" s="4">
        <f>Z1049</f>
        <v>17.701612903225808</v>
      </c>
      <c r="AJ1099" s="304"/>
    </row>
    <row r="1100" spans="1:36" ht="15.75" customHeight="1" x14ac:dyDescent="0.35">
      <c r="A1100" s="173"/>
      <c r="B1100" s="174"/>
      <c r="C1100" s="294"/>
      <c r="D1100" s="294"/>
      <c r="E1100" s="294"/>
      <c r="F1100" s="294"/>
      <c r="G1100" s="294"/>
      <c r="H1100" s="175" t="s">
        <v>832</v>
      </c>
      <c r="I1100" s="174"/>
      <c r="J1100" s="174"/>
      <c r="K1100" s="174"/>
      <c r="L1100" s="174"/>
      <c r="M1100" s="174"/>
      <c r="N1100" s="174"/>
      <c r="O1100" s="174"/>
      <c r="P1100" s="174"/>
      <c r="Q1100" s="177" t="str">
        <f>+Q1</f>
        <v xml:space="preserve">PRINTED:  </v>
      </c>
      <c r="R1100" s="197">
        <f ca="1">+R1</f>
        <v>44894.658168518516</v>
      </c>
      <c r="S1100" s="198"/>
      <c r="AD1100" s="288"/>
      <c r="AE1100" s="289" t="s">
        <v>816</v>
      </c>
      <c r="AF1100" s="4">
        <f>W1049</f>
        <v>96.259408602150543</v>
      </c>
      <c r="AG1100" s="4">
        <f>X1049</f>
        <v>21.059551665670803</v>
      </c>
      <c r="AH1100" s="4">
        <f>Y1049</f>
        <v>0</v>
      </c>
      <c r="AI1100" s="4">
        <f>Z1049</f>
        <v>17.701612903225808</v>
      </c>
      <c r="AJ1100" s="304"/>
    </row>
    <row r="1101" spans="1:36" ht="15.75" customHeight="1" thickBot="1" x14ac:dyDescent="0.4">
      <c r="A1101" s="179"/>
      <c r="B1101" s="180"/>
      <c r="C1101" s="201"/>
      <c r="D1101" s="201"/>
      <c r="E1101" s="201"/>
      <c r="F1101" s="201"/>
      <c r="G1101" s="201"/>
      <c r="H1101" s="180" t="s">
        <v>633</v>
      </c>
      <c r="I1101" s="180" t="s">
        <v>7</v>
      </c>
      <c r="J1101" s="202" t="str">
        <f>+A8</f>
        <v>Revised:  11/30/2017</v>
      </c>
      <c r="K1101" s="180"/>
      <c r="L1101" s="180"/>
      <c r="M1101" s="180"/>
      <c r="N1101" s="180"/>
      <c r="O1101" s="180"/>
      <c r="P1101" s="180"/>
      <c r="Q1101" s="180"/>
      <c r="R1101" s="180"/>
      <c r="S1101" s="304"/>
      <c r="AD1101" s="295" t="s">
        <v>826</v>
      </c>
      <c r="AE1101" s="296" t="s">
        <v>7</v>
      </c>
      <c r="AF1101" s="135"/>
      <c r="AG1101" s="135"/>
      <c r="AH1101" s="135"/>
      <c r="AI1101" s="135"/>
      <c r="AJ1101" s="136"/>
    </row>
    <row r="1102" spans="1:36" ht="15.75" customHeight="1" x14ac:dyDescent="0.35">
      <c r="A1102" s="179"/>
      <c r="B1102" s="180"/>
      <c r="C1102" s="201"/>
      <c r="D1102" s="201"/>
      <c r="E1102" s="201"/>
      <c r="F1102" s="201"/>
      <c r="G1102" s="201"/>
      <c r="H1102" s="180" t="s">
        <v>833</v>
      </c>
      <c r="I1102" s="180"/>
      <c r="J1102" s="180"/>
      <c r="K1102" s="180"/>
      <c r="L1102" s="180"/>
      <c r="M1102" s="180"/>
      <c r="N1102" s="180"/>
      <c r="O1102" s="180"/>
      <c r="P1102" s="180"/>
      <c r="Q1102" s="180"/>
      <c r="R1102" s="180"/>
      <c r="S1102" s="304"/>
    </row>
    <row r="1103" spans="1:36" ht="15.75" customHeight="1" x14ac:dyDescent="0.35">
      <c r="A1103" s="179"/>
      <c r="B1103" s="180"/>
      <c r="C1103" s="201"/>
      <c r="D1103" s="201"/>
      <c r="E1103" s="201"/>
      <c r="F1103" s="201"/>
      <c r="G1103" s="201"/>
      <c r="H1103" s="180"/>
      <c r="I1103" s="180"/>
      <c r="J1103" s="180"/>
      <c r="K1103" s="180"/>
      <c r="L1103" s="180"/>
      <c r="M1103" s="180"/>
      <c r="N1103" s="180"/>
      <c r="O1103" s="180"/>
      <c r="P1103" s="180"/>
      <c r="Q1103" s="180"/>
      <c r="R1103" s="180"/>
      <c r="S1103" s="304"/>
    </row>
    <row r="1104" spans="1:36" ht="15.75" customHeight="1" x14ac:dyDescent="0.35">
      <c r="A1104" s="179"/>
      <c r="B1104" s="180"/>
      <c r="C1104" s="201"/>
      <c r="D1104" s="201"/>
      <c r="E1104" s="201"/>
      <c r="F1104" s="201"/>
      <c r="G1104" s="201"/>
      <c r="H1104" s="180" t="s">
        <v>633</v>
      </c>
      <c r="I1104" s="297">
        <f>+A5</f>
        <v>2018</v>
      </c>
      <c r="J1104" s="180"/>
      <c r="K1104" s="180"/>
      <c r="L1104" s="180"/>
      <c r="M1104" s="180"/>
      <c r="N1104" s="180"/>
      <c r="O1104" s="180"/>
      <c r="P1104" s="180"/>
      <c r="Q1104" s="180"/>
      <c r="R1104" s="180"/>
      <c r="S1104" s="304"/>
    </row>
    <row r="1105" spans="1:19" ht="15.75" customHeight="1" x14ac:dyDescent="0.3">
      <c r="A1105" s="179"/>
      <c r="B1105" s="180"/>
      <c r="C1105" s="180"/>
      <c r="D1105" s="180"/>
      <c r="E1105" s="180"/>
      <c r="F1105" s="180"/>
      <c r="G1105" s="180"/>
      <c r="H1105" s="180"/>
      <c r="I1105" s="180"/>
      <c r="J1105" s="180"/>
      <c r="K1105" s="180"/>
      <c r="L1105" s="180"/>
      <c r="M1105" s="180"/>
      <c r="N1105" s="180"/>
      <c r="O1105" s="180"/>
      <c r="P1105" s="180"/>
      <c r="Q1105" s="180"/>
      <c r="R1105" s="180"/>
      <c r="S1105" s="304"/>
    </row>
    <row r="1106" spans="1:19" ht="15.75" customHeight="1" x14ac:dyDescent="0.3">
      <c r="A1106" s="179"/>
      <c r="B1106" s="180"/>
      <c r="C1106" s="199" t="s">
        <v>834</v>
      </c>
      <c r="D1106" s="180"/>
      <c r="E1106" s="180"/>
      <c r="F1106" s="180"/>
      <c r="G1106" s="199" t="s">
        <v>835</v>
      </c>
      <c r="H1106" s="180"/>
      <c r="I1106" s="180"/>
      <c r="J1106" s="180"/>
      <c r="K1106" s="298" t="s">
        <v>836</v>
      </c>
      <c r="L1106" s="180"/>
      <c r="M1106" s="180"/>
      <c r="N1106" s="180"/>
      <c r="O1106" s="298" t="s">
        <v>837</v>
      </c>
      <c r="P1106" s="180"/>
      <c r="Q1106" s="180"/>
      <c r="R1106" s="180"/>
      <c r="S1106" s="304"/>
    </row>
    <row r="1107" spans="1:19" ht="15.75" customHeight="1" x14ac:dyDescent="0.3">
      <c r="A1107" s="179"/>
      <c r="B1107" s="180"/>
      <c r="C1107" s="180">
        <f>+A5</f>
        <v>2018</v>
      </c>
      <c r="D1107" s="180"/>
      <c r="E1107" s="180"/>
      <c r="F1107" s="180" t="s">
        <v>838</v>
      </c>
      <c r="G1107" s="180"/>
      <c r="H1107" s="180"/>
      <c r="I1107" s="180"/>
      <c r="J1107" s="180"/>
      <c r="K1107" s="180">
        <f>+A5</f>
        <v>2018</v>
      </c>
      <c r="L1107" s="180"/>
      <c r="M1107" s="180"/>
      <c r="N1107" s="180"/>
      <c r="O1107" s="180">
        <f>+A5</f>
        <v>2018</v>
      </c>
      <c r="P1107" s="180"/>
      <c r="Q1107" s="180"/>
      <c r="R1107" s="180"/>
      <c r="S1107" s="304"/>
    </row>
    <row r="1108" spans="1:19" ht="15.75" customHeight="1" x14ac:dyDescent="0.3">
      <c r="A1108" s="179"/>
      <c r="B1108" s="180"/>
      <c r="C1108" s="180"/>
      <c r="D1108" s="180"/>
      <c r="E1108" s="180"/>
      <c r="F1108" s="180"/>
      <c r="G1108" s="180">
        <f>+A5</f>
        <v>2018</v>
      </c>
      <c r="H1108" s="180"/>
      <c r="I1108" s="180"/>
      <c r="J1108" s="180"/>
      <c r="K1108" s="180"/>
      <c r="L1108" s="180"/>
      <c r="M1108" s="180"/>
      <c r="N1108" s="180"/>
      <c r="O1108" s="180"/>
      <c r="P1108" s="180"/>
      <c r="Q1108" s="180"/>
      <c r="R1108" s="180"/>
      <c r="S1108" s="304"/>
    </row>
    <row r="1109" spans="1:19" ht="15.75" customHeight="1" x14ac:dyDescent="0.3">
      <c r="A1109" s="179"/>
      <c r="B1109" s="180"/>
      <c r="C1109" s="182" t="s">
        <v>839</v>
      </c>
      <c r="D1109" s="182" t="s">
        <v>840</v>
      </c>
      <c r="E1109" s="182" t="s">
        <v>841</v>
      </c>
      <c r="F1109" s="180"/>
      <c r="G1109" s="182" t="s">
        <v>842</v>
      </c>
      <c r="H1109" s="182" t="s">
        <v>840</v>
      </c>
      <c r="I1109" s="182" t="s">
        <v>843</v>
      </c>
      <c r="J1109" s="180"/>
      <c r="K1109" s="182" t="s">
        <v>738</v>
      </c>
      <c r="L1109" s="182" t="s">
        <v>840</v>
      </c>
      <c r="M1109" s="182" t="s">
        <v>844</v>
      </c>
      <c r="N1109" s="180"/>
      <c r="O1109" s="182" t="s">
        <v>738</v>
      </c>
      <c r="P1109" s="182" t="s">
        <v>840</v>
      </c>
      <c r="Q1109" s="182" t="s">
        <v>844</v>
      </c>
      <c r="R1109" s="180"/>
      <c r="S1109" s="304"/>
    </row>
    <row r="1110" spans="1:19" ht="15.75" customHeight="1" x14ac:dyDescent="0.3">
      <c r="A1110" s="179"/>
      <c r="B1110" s="180"/>
      <c r="C1110" s="182" t="s">
        <v>845</v>
      </c>
      <c r="D1110" s="182" t="s">
        <v>658</v>
      </c>
      <c r="E1110" s="182" t="s">
        <v>846</v>
      </c>
      <c r="F1110" s="180"/>
      <c r="G1110" s="182" t="s">
        <v>847</v>
      </c>
      <c r="H1110" s="182" t="s">
        <v>658</v>
      </c>
      <c r="I1110" s="182" t="s">
        <v>846</v>
      </c>
      <c r="J1110" s="180"/>
      <c r="K1110" s="182" t="s">
        <v>848</v>
      </c>
      <c r="L1110" s="182" t="s">
        <v>658</v>
      </c>
      <c r="M1110" s="182" t="s">
        <v>846</v>
      </c>
      <c r="N1110" s="180"/>
      <c r="O1110" s="182" t="s">
        <v>848</v>
      </c>
      <c r="P1110" s="182" t="s">
        <v>658</v>
      </c>
      <c r="Q1110" s="182" t="s">
        <v>846</v>
      </c>
      <c r="R1110" s="180"/>
      <c r="S1110" s="304"/>
    </row>
    <row r="1111" spans="1:19" ht="15.75" customHeight="1" x14ac:dyDescent="0.3">
      <c r="A1111" s="179"/>
      <c r="B1111" s="180"/>
      <c r="C1111" s="182" t="s">
        <v>658</v>
      </c>
      <c r="D1111" s="182" t="s">
        <v>655</v>
      </c>
      <c r="E1111" s="182" t="s">
        <v>849</v>
      </c>
      <c r="F1111" s="180"/>
      <c r="G1111" s="182" t="s">
        <v>743</v>
      </c>
      <c r="H1111" s="182" t="s">
        <v>655</v>
      </c>
      <c r="I1111" s="182" t="s">
        <v>849</v>
      </c>
      <c r="J1111" s="180"/>
      <c r="K1111" s="182" t="s">
        <v>658</v>
      </c>
      <c r="L1111" s="182" t="s">
        <v>655</v>
      </c>
      <c r="M1111" s="182" t="s">
        <v>849</v>
      </c>
      <c r="N1111" s="180"/>
      <c r="O1111" s="182" t="s">
        <v>658</v>
      </c>
      <c r="P1111" s="182" t="s">
        <v>655</v>
      </c>
      <c r="Q1111" s="182" t="s">
        <v>849</v>
      </c>
      <c r="R1111" s="180"/>
      <c r="S1111" s="304"/>
    </row>
    <row r="1112" spans="1:19" ht="15.75" customHeight="1" x14ac:dyDescent="0.3">
      <c r="A1112" s="179"/>
      <c r="B1112" s="180"/>
      <c r="C1112" s="182" t="s">
        <v>664</v>
      </c>
      <c r="D1112" s="182" t="s">
        <v>850</v>
      </c>
      <c r="E1112" s="182" t="s">
        <v>851</v>
      </c>
      <c r="F1112" s="180"/>
      <c r="G1112" s="182" t="s">
        <v>664</v>
      </c>
      <c r="H1112" s="182" t="s">
        <v>850</v>
      </c>
      <c r="I1112" s="182" t="s">
        <v>851</v>
      </c>
      <c r="J1112" s="180"/>
      <c r="K1112" s="182" t="s">
        <v>664</v>
      </c>
      <c r="L1112" s="182" t="s">
        <v>850</v>
      </c>
      <c r="M1112" s="182" t="s">
        <v>851</v>
      </c>
      <c r="N1112" s="180"/>
      <c r="O1112" s="182" t="s">
        <v>664</v>
      </c>
      <c r="P1112" s="182" t="s">
        <v>850</v>
      </c>
      <c r="Q1112" s="182" t="s">
        <v>851</v>
      </c>
      <c r="R1112" s="180"/>
      <c r="S1112" s="304"/>
    </row>
    <row r="1113" spans="1:19" ht="15.75" customHeight="1" x14ac:dyDescent="0.3">
      <c r="A1113" s="179"/>
      <c r="B1113" s="180"/>
      <c r="C1113" s="180" t="s">
        <v>666</v>
      </c>
      <c r="D1113" s="180" t="s">
        <v>666</v>
      </c>
      <c r="E1113" s="180" t="s">
        <v>666</v>
      </c>
      <c r="F1113" s="180"/>
      <c r="G1113" s="182" t="s">
        <v>666</v>
      </c>
      <c r="H1113" s="182" t="s">
        <v>666</v>
      </c>
      <c r="I1113" s="182" t="s">
        <v>666</v>
      </c>
      <c r="J1113" s="180"/>
      <c r="K1113" s="180" t="s">
        <v>666</v>
      </c>
      <c r="L1113" s="180" t="s">
        <v>666</v>
      </c>
      <c r="M1113" s="180" t="s">
        <v>666</v>
      </c>
      <c r="N1113" s="180"/>
      <c r="O1113" s="180" t="s">
        <v>666</v>
      </c>
      <c r="P1113" s="180" t="s">
        <v>666</v>
      </c>
      <c r="Q1113" s="180" t="s">
        <v>666</v>
      </c>
      <c r="R1113" s="180"/>
      <c r="S1113" s="304"/>
    </row>
    <row r="1114" spans="1:19" ht="15.75" customHeight="1" x14ac:dyDescent="0.3">
      <c r="A1114" s="189" t="s">
        <v>668</v>
      </c>
      <c r="B1114" s="180"/>
      <c r="C1114" s="180">
        <f t="shared" ref="C1114:C1125" si="448">(P986)</f>
        <v>0.2</v>
      </c>
      <c r="D1114" s="203">
        <v>0</v>
      </c>
      <c r="E1114" s="217">
        <f t="shared" ref="E1114:E1125" si="449">(P986*D1114/1000)</f>
        <v>0</v>
      </c>
      <c r="F1114" s="180"/>
      <c r="G1114" s="180">
        <v>0</v>
      </c>
      <c r="H1114" s="203">
        <v>0</v>
      </c>
      <c r="I1114" s="217">
        <f t="shared" ref="I1114:I1125" si="450">(G1114*H1114/1000)</f>
        <v>0</v>
      </c>
      <c r="J1114" s="180"/>
      <c r="K1114" s="299">
        <v>11848</v>
      </c>
      <c r="L1114" s="300">
        <v>0</v>
      </c>
      <c r="M1114" s="217">
        <f t="shared" ref="M1114:M1125" si="451">(K1114*L1114/1000)</f>
        <v>0</v>
      </c>
      <c r="N1114" s="180"/>
      <c r="O1114" s="299">
        <v>0</v>
      </c>
      <c r="P1114" s="203">
        <v>0</v>
      </c>
      <c r="Q1114" s="217">
        <f t="shared" ref="Q1114:Q1125" si="452">(O1114*P1114/1000)</f>
        <v>0</v>
      </c>
      <c r="R1114" s="180"/>
      <c r="S1114" s="304"/>
    </row>
    <row r="1115" spans="1:19" ht="15.75" customHeight="1" x14ac:dyDescent="0.3">
      <c r="A1115" s="189" t="s">
        <v>669</v>
      </c>
      <c r="B1115" s="180"/>
      <c r="C1115" s="180">
        <f t="shared" si="448"/>
        <v>0.25</v>
      </c>
      <c r="D1115" s="203">
        <v>0</v>
      </c>
      <c r="E1115" s="217">
        <f t="shared" si="449"/>
        <v>0</v>
      </c>
      <c r="F1115" s="180"/>
      <c r="G1115" s="180" t="e">
        <f>#REF!</f>
        <v>#REF!</v>
      </c>
      <c r="H1115" s="203">
        <v>0</v>
      </c>
      <c r="I1115" s="217" t="e">
        <f t="shared" si="450"/>
        <v>#REF!</v>
      </c>
      <c r="J1115" s="180"/>
      <c r="K1115" s="299">
        <v>11489</v>
      </c>
      <c r="L1115" s="300">
        <v>0</v>
      </c>
      <c r="M1115" s="217">
        <f t="shared" si="451"/>
        <v>0</v>
      </c>
      <c r="N1115" s="180"/>
      <c r="O1115" s="299">
        <v>0</v>
      </c>
      <c r="P1115" s="203">
        <v>0</v>
      </c>
      <c r="Q1115" s="217">
        <f t="shared" si="452"/>
        <v>0</v>
      </c>
      <c r="R1115" s="180"/>
      <c r="S1115" s="304"/>
    </row>
    <row r="1116" spans="1:19" ht="15.75" customHeight="1" x14ac:dyDescent="0.3">
      <c r="A1116" s="189" t="s">
        <v>671</v>
      </c>
      <c r="B1116" s="180"/>
      <c r="C1116" s="180">
        <f t="shared" si="448"/>
        <v>0.3</v>
      </c>
      <c r="D1116" s="203">
        <v>0</v>
      </c>
      <c r="E1116" s="217">
        <f t="shared" si="449"/>
        <v>0</v>
      </c>
      <c r="F1116" s="180">
        <f>SUM(E1114:E1116)</f>
        <v>0</v>
      </c>
      <c r="G1116" s="180" t="e">
        <f>#REF!</f>
        <v>#REF!</v>
      </c>
      <c r="H1116" s="203">
        <v>0</v>
      </c>
      <c r="I1116" s="217" t="e">
        <f t="shared" si="450"/>
        <v>#REF!</v>
      </c>
      <c r="J1116" s="180" t="e">
        <f>SUM(I1114:I1116)</f>
        <v>#REF!</v>
      </c>
      <c r="K1116" s="299">
        <v>16247</v>
      </c>
      <c r="L1116" s="300">
        <v>0</v>
      </c>
      <c r="M1116" s="217">
        <f t="shared" si="451"/>
        <v>0</v>
      </c>
      <c r="N1116" s="180">
        <f>SUM(M1114:M1116)</f>
        <v>0</v>
      </c>
      <c r="O1116" s="299">
        <v>0</v>
      </c>
      <c r="P1116" s="203">
        <v>0</v>
      </c>
      <c r="Q1116" s="217">
        <f t="shared" si="452"/>
        <v>0</v>
      </c>
      <c r="R1116" s="180">
        <f>SUM(Q1114:Q1116)</f>
        <v>0</v>
      </c>
      <c r="S1116" s="304"/>
    </row>
    <row r="1117" spans="1:19" ht="15.75" customHeight="1" x14ac:dyDescent="0.3">
      <c r="A1117" s="189" t="s">
        <v>672</v>
      </c>
      <c r="B1117" s="180"/>
      <c r="C1117" s="180">
        <f t="shared" si="448"/>
        <v>0.35</v>
      </c>
      <c r="D1117" s="203">
        <v>0</v>
      </c>
      <c r="E1117" s="217">
        <f t="shared" si="449"/>
        <v>0</v>
      </c>
      <c r="F1117" s="180"/>
      <c r="G1117" s="180" t="e">
        <f>#REF!</f>
        <v>#REF!</v>
      </c>
      <c r="H1117" s="203">
        <v>0</v>
      </c>
      <c r="I1117" s="217" t="e">
        <f t="shared" si="450"/>
        <v>#REF!</v>
      </c>
      <c r="J1117" s="180"/>
      <c r="K1117" s="299">
        <v>17740</v>
      </c>
      <c r="L1117" s="300">
        <v>0</v>
      </c>
      <c r="M1117" s="217">
        <f t="shared" si="451"/>
        <v>0</v>
      </c>
      <c r="N1117" s="180"/>
      <c r="O1117" s="299">
        <v>0</v>
      </c>
      <c r="P1117" s="203">
        <v>0</v>
      </c>
      <c r="Q1117" s="217">
        <f t="shared" si="452"/>
        <v>0</v>
      </c>
      <c r="R1117" s="180"/>
      <c r="S1117" s="304"/>
    </row>
    <row r="1118" spans="1:19" ht="15.75" customHeight="1" x14ac:dyDescent="0.3">
      <c r="A1118" s="189" t="s">
        <v>673</v>
      </c>
      <c r="B1118" s="180"/>
      <c r="C1118" s="180">
        <f t="shared" si="448"/>
        <v>0.35</v>
      </c>
      <c r="D1118" s="203">
        <v>0</v>
      </c>
      <c r="E1118" s="217">
        <f t="shared" si="449"/>
        <v>0</v>
      </c>
      <c r="F1118" s="180"/>
      <c r="G1118" s="180" t="e">
        <f>#REF!</f>
        <v>#REF!</v>
      </c>
      <c r="H1118" s="203">
        <v>0</v>
      </c>
      <c r="I1118" s="217" t="e">
        <f t="shared" si="450"/>
        <v>#REF!</v>
      </c>
      <c r="J1118" s="180"/>
      <c r="K1118" s="299">
        <v>15434</v>
      </c>
      <c r="L1118" s="300">
        <v>0</v>
      </c>
      <c r="M1118" s="217">
        <f t="shared" si="451"/>
        <v>0</v>
      </c>
      <c r="N1118" s="180"/>
      <c r="O1118" s="299">
        <v>0</v>
      </c>
      <c r="P1118" s="203">
        <v>0</v>
      </c>
      <c r="Q1118" s="217">
        <f t="shared" si="452"/>
        <v>0</v>
      </c>
      <c r="R1118" s="180"/>
      <c r="S1118" s="304"/>
    </row>
    <row r="1119" spans="1:19" ht="15.75" customHeight="1" x14ac:dyDescent="0.3">
      <c r="A1119" s="189" t="s">
        <v>675</v>
      </c>
      <c r="B1119" s="180"/>
      <c r="C1119" s="180">
        <f t="shared" si="448"/>
        <v>7.4999999999999997E-2</v>
      </c>
      <c r="D1119" s="203">
        <v>0</v>
      </c>
      <c r="E1119" s="217">
        <f t="shared" si="449"/>
        <v>0</v>
      </c>
      <c r="F1119" s="180">
        <f>SUM(E1117:E1119)</f>
        <v>0</v>
      </c>
      <c r="G1119" s="180" t="e">
        <f>#REF!</f>
        <v>#REF!</v>
      </c>
      <c r="H1119" s="203">
        <v>0</v>
      </c>
      <c r="I1119" s="217" t="e">
        <f t="shared" si="450"/>
        <v>#REF!</v>
      </c>
      <c r="J1119" s="180" t="e">
        <f>SUM(I1117:I1119)</f>
        <v>#REF!</v>
      </c>
      <c r="K1119" s="299">
        <v>14355</v>
      </c>
      <c r="L1119" s="300">
        <v>0</v>
      </c>
      <c r="M1119" s="217">
        <f t="shared" si="451"/>
        <v>0</v>
      </c>
      <c r="N1119" s="180">
        <f>SUM(M1117:M1119)</f>
        <v>0</v>
      </c>
      <c r="O1119" s="299">
        <v>0</v>
      </c>
      <c r="P1119" s="203">
        <v>0</v>
      </c>
      <c r="Q1119" s="217">
        <f t="shared" si="452"/>
        <v>0</v>
      </c>
      <c r="R1119" s="180">
        <f>SUM(Q1117:Q1119)</f>
        <v>0</v>
      </c>
      <c r="S1119" s="304"/>
    </row>
    <row r="1120" spans="1:19" ht="15.75" customHeight="1" x14ac:dyDescent="0.3">
      <c r="A1120" s="189" t="s">
        <v>676</v>
      </c>
      <c r="B1120" s="180"/>
      <c r="C1120" s="180">
        <f t="shared" si="448"/>
        <v>0.05</v>
      </c>
      <c r="D1120" s="203">
        <v>0</v>
      </c>
      <c r="E1120" s="217">
        <f t="shared" si="449"/>
        <v>0</v>
      </c>
      <c r="F1120" s="180"/>
      <c r="G1120" s="180" t="e">
        <f>#REF!</f>
        <v>#REF!</v>
      </c>
      <c r="H1120" s="203">
        <v>0</v>
      </c>
      <c r="I1120" s="217" t="e">
        <f t="shared" si="450"/>
        <v>#REF!</v>
      </c>
      <c r="J1120" s="180"/>
      <c r="K1120" s="299">
        <v>13129</v>
      </c>
      <c r="L1120" s="300">
        <v>0</v>
      </c>
      <c r="M1120" s="217">
        <f t="shared" si="451"/>
        <v>0</v>
      </c>
      <c r="N1120" s="180"/>
      <c r="O1120" s="299">
        <v>0</v>
      </c>
      <c r="P1120" s="203">
        <v>0</v>
      </c>
      <c r="Q1120" s="217">
        <f t="shared" si="452"/>
        <v>0</v>
      </c>
      <c r="R1120" s="180"/>
      <c r="S1120" s="304"/>
    </row>
    <row r="1121" spans="1:19" ht="15.75" customHeight="1" x14ac:dyDescent="0.3">
      <c r="A1121" s="189" t="s">
        <v>691</v>
      </c>
      <c r="B1121" s="180"/>
      <c r="C1121" s="180">
        <f t="shared" si="448"/>
        <v>0</v>
      </c>
      <c r="D1121" s="203">
        <v>0</v>
      </c>
      <c r="E1121" s="217">
        <f t="shared" si="449"/>
        <v>0</v>
      </c>
      <c r="F1121" s="180"/>
      <c r="G1121" s="180" t="e">
        <f>#REF!</f>
        <v>#REF!</v>
      </c>
      <c r="H1121" s="203">
        <v>0</v>
      </c>
      <c r="I1121" s="217" t="e">
        <f t="shared" si="450"/>
        <v>#REF!</v>
      </c>
      <c r="J1121" s="180"/>
      <c r="K1121" s="299">
        <v>12545</v>
      </c>
      <c r="L1121" s="300">
        <v>0</v>
      </c>
      <c r="M1121" s="217">
        <f t="shared" si="451"/>
        <v>0</v>
      </c>
      <c r="N1121" s="180"/>
      <c r="O1121" s="299">
        <v>0</v>
      </c>
      <c r="P1121" s="203">
        <v>0</v>
      </c>
      <c r="Q1121" s="217">
        <f t="shared" si="452"/>
        <v>0</v>
      </c>
      <c r="R1121" s="180"/>
      <c r="S1121" s="304"/>
    </row>
    <row r="1122" spans="1:19" ht="15.75" customHeight="1" x14ac:dyDescent="0.3">
      <c r="A1122" s="189" t="s">
        <v>692</v>
      </c>
      <c r="B1122" s="180"/>
      <c r="C1122" s="180">
        <f t="shared" si="448"/>
        <v>0.05</v>
      </c>
      <c r="D1122" s="203">
        <v>0</v>
      </c>
      <c r="E1122" s="217">
        <f t="shared" si="449"/>
        <v>0</v>
      </c>
      <c r="F1122" s="180">
        <f>SUM(E1120:E1122)</f>
        <v>0</v>
      </c>
      <c r="G1122" s="180" t="e">
        <f>#REF!</f>
        <v>#REF!</v>
      </c>
      <c r="H1122" s="203">
        <v>0</v>
      </c>
      <c r="I1122" s="217" t="e">
        <f t="shared" si="450"/>
        <v>#REF!</v>
      </c>
      <c r="J1122" s="180" t="e">
        <f>SUM(I1120:I1122)</f>
        <v>#REF!</v>
      </c>
      <c r="K1122" s="299">
        <v>9350</v>
      </c>
      <c r="L1122" s="300">
        <v>0</v>
      </c>
      <c r="M1122" s="217">
        <f t="shared" si="451"/>
        <v>0</v>
      </c>
      <c r="N1122" s="180">
        <f>SUM(M1120:M1122)</f>
        <v>0</v>
      </c>
      <c r="O1122" s="299">
        <v>0</v>
      </c>
      <c r="P1122" s="203">
        <v>0</v>
      </c>
      <c r="Q1122" s="217">
        <f t="shared" si="452"/>
        <v>0</v>
      </c>
      <c r="R1122" s="180">
        <f>SUM(Q1120:Q1122)</f>
        <v>0</v>
      </c>
      <c r="S1122" s="304"/>
    </row>
    <row r="1123" spans="1:19" ht="15.75" customHeight="1" x14ac:dyDescent="0.3">
      <c r="A1123" s="189" t="s">
        <v>693</v>
      </c>
      <c r="B1123" s="180"/>
      <c r="C1123" s="180">
        <f t="shared" si="448"/>
        <v>0.2</v>
      </c>
      <c r="D1123" s="203">
        <v>0</v>
      </c>
      <c r="E1123" s="217">
        <f t="shared" si="449"/>
        <v>0</v>
      </c>
      <c r="F1123" s="180"/>
      <c r="G1123" s="180" t="e">
        <f>#REF!</f>
        <v>#REF!</v>
      </c>
      <c r="H1123" s="203">
        <v>0</v>
      </c>
      <c r="I1123" s="217" t="e">
        <f t="shared" si="450"/>
        <v>#REF!</v>
      </c>
      <c r="J1123" s="180"/>
      <c r="K1123" s="299">
        <v>11649</v>
      </c>
      <c r="L1123" s="300">
        <v>0</v>
      </c>
      <c r="M1123" s="217">
        <f t="shared" si="451"/>
        <v>0</v>
      </c>
      <c r="N1123" s="180"/>
      <c r="O1123" s="299">
        <v>0</v>
      </c>
      <c r="P1123" s="203">
        <v>0</v>
      </c>
      <c r="Q1123" s="217">
        <f t="shared" si="452"/>
        <v>0</v>
      </c>
      <c r="R1123" s="180"/>
      <c r="S1123" s="304"/>
    </row>
    <row r="1124" spans="1:19" ht="15.75" customHeight="1" x14ac:dyDescent="0.3">
      <c r="A1124" s="189" t="s">
        <v>694</v>
      </c>
      <c r="B1124" s="180"/>
      <c r="C1124" s="180">
        <f t="shared" si="448"/>
        <v>0.2</v>
      </c>
      <c r="D1124" s="203">
        <v>0</v>
      </c>
      <c r="E1124" s="217">
        <f t="shared" si="449"/>
        <v>0</v>
      </c>
      <c r="F1124" s="180"/>
      <c r="G1124" s="180" t="e">
        <f>#REF!</f>
        <v>#REF!</v>
      </c>
      <c r="H1124" s="203">
        <v>0</v>
      </c>
      <c r="I1124" s="217" t="e">
        <f t="shared" si="450"/>
        <v>#REF!</v>
      </c>
      <c r="J1124" s="180"/>
      <c r="K1124" s="299">
        <v>8035</v>
      </c>
      <c r="L1124" s="300">
        <v>0</v>
      </c>
      <c r="M1124" s="217">
        <f t="shared" si="451"/>
        <v>0</v>
      </c>
      <c r="N1124" s="180"/>
      <c r="O1124" s="299">
        <v>0</v>
      </c>
      <c r="P1124" s="203">
        <v>0</v>
      </c>
      <c r="Q1124" s="217">
        <f t="shared" si="452"/>
        <v>0</v>
      </c>
      <c r="R1124" s="180"/>
      <c r="S1124" s="304"/>
    </row>
    <row r="1125" spans="1:19" ht="15.75" customHeight="1" x14ac:dyDescent="0.3">
      <c r="A1125" s="189" t="s">
        <v>695</v>
      </c>
      <c r="B1125" s="180"/>
      <c r="C1125" s="180">
        <f t="shared" si="448"/>
        <v>0.2</v>
      </c>
      <c r="D1125" s="203">
        <v>0</v>
      </c>
      <c r="E1125" s="217">
        <f t="shared" si="449"/>
        <v>0</v>
      </c>
      <c r="F1125" s="180">
        <f>SUM(E1123:E1125)</f>
        <v>0</v>
      </c>
      <c r="G1125" s="180" t="e">
        <f>#REF!</f>
        <v>#REF!</v>
      </c>
      <c r="H1125" s="203">
        <v>0</v>
      </c>
      <c r="I1125" s="217" t="e">
        <f t="shared" si="450"/>
        <v>#REF!</v>
      </c>
      <c r="J1125" s="180" t="e">
        <f>SUM(I1123:I1125)</f>
        <v>#REF!</v>
      </c>
      <c r="K1125" s="299">
        <v>8092</v>
      </c>
      <c r="L1125" s="300">
        <v>0</v>
      </c>
      <c r="M1125" s="217">
        <f t="shared" si="451"/>
        <v>0</v>
      </c>
      <c r="N1125" s="180">
        <f>SUM(M1123:M1125)</f>
        <v>0</v>
      </c>
      <c r="O1125" s="299">
        <v>0</v>
      </c>
      <c r="P1125" s="203">
        <v>0</v>
      </c>
      <c r="Q1125" s="217">
        <f t="shared" si="452"/>
        <v>0</v>
      </c>
      <c r="R1125" s="180">
        <f>SUM(Q1123:Q1125)</f>
        <v>0</v>
      </c>
      <c r="S1125" s="304"/>
    </row>
    <row r="1126" spans="1:19" ht="15.75" customHeight="1" x14ac:dyDescent="0.3">
      <c r="A1126" s="179"/>
      <c r="B1126" s="180"/>
      <c r="C1126" s="180"/>
      <c r="D1126" s="180"/>
      <c r="E1126" s="180"/>
      <c r="F1126" s="180"/>
      <c r="G1126" s="180"/>
      <c r="H1126" s="180"/>
      <c r="I1126" s="180"/>
      <c r="J1126" s="180"/>
      <c r="K1126" s="180"/>
      <c r="L1126" s="180"/>
      <c r="M1126" s="180"/>
      <c r="N1126" s="180"/>
      <c r="O1126" s="180"/>
      <c r="P1126" s="180"/>
      <c r="Q1126" s="180"/>
      <c r="R1126" s="180"/>
      <c r="S1126" s="304"/>
    </row>
    <row r="1127" spans="1:19" ht="15.75" customHeight="1" x14ac:dyDescent="0.3">
      <c r="A1127" s="179"/>
      <c r="B1127" s="180"/>
      <c r="C1127" s="180"/>
      <c r="D1127" s="180"/>
      <c r="E1127" s="180"/>
      <c r="F1127" s="180"/>
      <c r="G1127" s="180"/>
      <c r="H1127" s="180"/>
      <c r="I1127" s="180"/>
      <c r="J1127" s="180"/>
      <c r="K1127" s="180"/>
      <c r="L1127" s="180"/>
      <c r="M1127" s="180"/>
      <c r="N1127" s="180"/>
      <c r="O1127" s="180"/>
      <c r="P1127" s="180"/>
      <c r="Q1127" s="180"/>
      <c r="R1127" s="180"/>
      <c r="S1127" s="304"/>
    </row>
    <row r="1128" spans="1:19" ht="16.5" customHeight="1" thickBot="1" x14ac:dyDescent="0.35">
      <c r="A1128" s="194" t="s">
        <v>641</v>
      </c>
      <c r="B1128" s="195"/>
      <c r="C1128" s="195">
        <f>SUM(C1114:C1125)</f>
        <v>2.2250000000000005</v>
      </c>
      <c r="D1128" s="195"/>
      <c r="E1128" s="301">
        <f>SUM(E1114:E1125)</f>
        <v>0</v>
      </c>
      <c r="F1128" s="195"/>
      <c r="G1128" s="195" t="e">
        <f>SUM(G1114:G1125)</f>
        <v>#REF!</v>
      </c>
      <c r="H1128" s="195" t="s">
        <v>633</v>
      </c>
      <c r="I1128" s="301" t="e">
        <f>SUM(I1114:I1125)</f>
        <v>#REF!</v>
      </c>
      <c r="J1128" s="195"/>
      <c r="K1128" s="195">
        <f>SUM(K1114:K1125)</f>
        <v>149913</v>
      </c>
      <c r="L1128" s="195" t="s">
        <v>633</v>
      </c>
      <c r="M1128" s="301">
        <f>SUM(M1114:M1125)</f>
        <v>0</v>
      </c>
      <c r="N1128" s="195"/>
      <c r="O1128" s="195">
        <f>(SUM(O1114:O1125))</f>
        <v>0</v>
      </c>
      <c r="P1128" s="195" t="s">
        <v>633</v>
      </c>
      <c r="Q1128" s="301">
        <f>SUM(Q1114:Q1125)</f>
        <v>0</v>
      </c>
      <c r="R1128" s="195"/>
      <c r="S1128" s="136"/>
    </row>
  </sheetData>
  <scenarios current="0">
    <scenario name="Jan" count="1" user="Windows User" comment="Created by Windows User on 4/11/2013">
      <inputCells r="B304" val="57771.3688407242" numFmtId="37"/>
    </scenario>
  </scenarios>
  <autoFilter ref="A31:R889" xr:uid="{00000000-0009-0000-0000-000001000000}"/>
  <mergeCells count="73">
    <mergeCell ref="B1059:P1059"/>
    <mergeCell ref="B1060:P1060"/>
    <mergeCell ref="B1062:L1062"/>
    <mergeCell ref="M1062:P1062"/>
    <mergeCell ref="B1036:D1036"/>
    <mergeCell ref="T1036:U1036"/>
    <mergeCell ref="V1036:W1036"/>
    <mergeCell ref="B1055:P1055"/>
    <mergeCell ref="B1056:P1056"/>
    <mergeCell ref="B1057:P1057"/>
    <mergeCell ref="B1035:P1035"/>
    <mergeCell ref="M981:O981"/>
    <mergeCell ref="AD981:AQ981"/>
    <mergeCell ref="AD982:AQ982"/>
    <mergeCell ref="B1006:P1006"/>
    <mergeCell ref="B1007:F1007"/>
    <mergeCell ref="G1007:L1007"/>
    <mergeCell ref="M1007:R1007"/>
    <mergeCell ref="S1007:U1007"/>
    <mergeCell ref="M1008:O1008"/>
    <mergeCell ref="B1030:P1030"/>
    <mergeCell ref="B1031:P1031"/>
    <mergeCell ref="B1032:P1032"/>
    <mergeCell ref="B1034:P1034"/>
    <mergeCell ref="B979:P979"/>
    <mergeCell ref="AD979:AQ979"/>
    <mergeCell ref="B980:F980"/>
    <mergeCell ref="G980:L980"/>
    <mergeCell ref="M980:R980"/>
    <mergeCell ref="S980:U980"/>
    <mergeCell ref="B978:P978"/>
    <mergeCell ref="AD978:AQ978"/>
    <mergeCell ref="AD944:AQ944"/>
    <mergeCell ref="AD946:AQ946"/>
    <mergeCell ref="B947:P947"/>
    <mergeCell ref="AD947:AQ947"/>
    <mergeCell ref="B948:P948"/>
    <mergeCell ref="B949:P949"/>
    <mergeCell ref="B951:P951"/>
    <mergeCell ref="B952:P952"/>
    <mergeCell ref="B976:P976"/>
    <mergeCell ref="B977:P977"/>
    <mergeCell ref="AD977:AQ977"/>
    <mergeCell ref="AD943:AQ943"/>
    <mergeCell ref="B894:P894"/>
    <mergeCell ref="B895:P895"/>
    <mergeCell ref="B896:P896"/>
    <mergeCell ref="B897:P897"/>
    <mergeCell ref="B921:P921"/>
    <mergeCell ref="B922:P922"/>
    <mergeCell ref="B923:P923"/>
    <mergeCell ref="B924:P924"/>
    <mergeCell ref="B925:P925"/>
    <mergeCell ref="B926:P926"/>
    <mergeCell ref="AD942:AQ942"/>
    <mergeCell ref="B893:P893"/>
    <mergeCell ref="A828:R828"/>
    <mergeCell ref="A829:R829"/>
    <mergeCell ref="A830:R830"/>
    <mergeCell ref="A831:R831"/>
    <mergeCell ref="A833:R833"/>
    <mergeCell ref="A869:R869"/>
    <mergeCell ref="A870:R870"/>
    <mergeCell ref="A871:R871"/>
    <mergeCell ref="A872:R872"/>
    <mergeCell ref="A874:R874"/>
    <mergeCell ref="B892:P892"/>
    <mergeCell ref="A8:R8"/>
    <mergeCell ref="A2:R2"/>
    <mergeCell ref="A3:R3"/>
    <mergeCell ref="A4:R4"/>
    <mergeCell ref="A5:R5"/>
    <mergeCell ref="A6:R6"/>
  </mergeCells>
  <conditionalFormatting sqref="S986:S997 S999">
    <cfRule type="cellIs" dxfId="23" priority="3" operator="lessThan">
      <formula>0</formula>
    </cfRule>
    <cfRule type="cellIs" dxfId="22" priority="4" operator="greaterThan">
      <formula>0</formula>
    </cfRule>
  </conditionalFormatting>
  <conditionalFormatting sqref="S1013:S1024">
    <cfRule type="cellIs" dxfId="21" priority="1" operator="lessThan">
      <formula>0</formula>
    </cfRule>
    <cfRule type="cellIs" dxfId="20" priority="2" operator="greaterThan">
      <formula>0</formula>
    </cfRule>
  </conditionalFormatting>
  <printOptions horizontalCentered="1"/>
  <pageMargins left="0.25" right="0.25" top="0.25" bottom="0.25" header="0" footer="0"/>
  <pageSetup paperSize="17" scale="10" orientation="landscape" r:id="rId1"/>
  <headerFooter alignWithMargins="0"/>
  <rowBreaks count="5" manualBreakCount="5">
    <brk id="825" max="17" man="1"/>
    <brk id="865" max="17" man="1"/>
    <brk id="918" max="18" man="1"/>
    <brk id="946" max="18" man="1"/>
    <brk id="914" min="28" max="46"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B8A11-DC55-4557-B9F3-6BFCA2340FC6}">
  <sheetPr codeName="Sheet32">
    <pageSetUpPr fitToPage="1"/>
  </sheetPr>
  <dimension ref="A1:AX1150"/>
  <sheetViews>
    <sheetView topLeftCell="A8" zoomScale="70" zoomScaleNormal="70" workbookViewId="0">
      <pane ySplit="24" topLeftCell="A46" activePane="bottomLeft" state="frozen"/>
      <selection activeCell="A8" sqref="A8"/>
      <selection pane="bottomLeft" activeCell="D24" sqref="D24"/>
    </sheetView>
  </sheetViews>
  <sheetFormatPr defaultColWidth="8.77734375" defaultRowHeight="15.6" x14ac:dyDescent="0.3"/>
  <cols>
    <col min="1" max="1" width="48.21875" style="4" customWidth="1"/>
    <col min="2" max="3" width="11.21875" style="4" customWidth="1"/>
    <col min="4" max="4" width="12.44140625" style="4" customWidth="1"/>
    <col min="5" max="5" width="14" style="4" customWidth="1"/>
    <col min="6" max="7" width="11.21875" style="4" customWidth="1"/>
    <col min="8" max="8" width="11.77734375" style="4" bestFit="1" customWidth="1"/>
    <col min="9" max="9" width="13.109375" style="4" customWidth="1"/>
    <col min="10" max="10" width="11.77734375" style="4" bestFit="1" customWidth="1"/>
    <col min="11" max="12" width="11.21875" style="4" bestFit="1" customWidth="1"/>
    <col min="13" max="13" width="15" style="4" customWidth="1"/>
    <col min="14" max="14" width="11.21875" style="4" bestFit="1" customWidth="1"/>
    <col min="15" max="15" width="11.77734375" style="4" bestFit="1" customWidth="1"/>
    <col min="16" max="16" width="11.21875" style="4" bestFit="1" customWidth="1"/>
    <col min="17" max="17" width="13" style="4" customWidth="1"/>
    <col min="18" max="18" width="14.21875" style="4" customWidth="1"/>
    <col min="19" max="19" width="15.21875" style="4" customWidth="1"/>
    <col min="20" max="20" width="11.21875" style="4" bestFit="1" customWidth="1"/>
    <col min="21" max="21" width="8.77734375" style="4"/>
    <col min="22" max="22" width="11.6640625" style="4" customWidth="1"/>
    <col min="23" max="23" width="13.6640625" style="4" customWidth="1"/>
    <col min="24" max="24" width="12.44140625" style="4" customWidth="1"/>
    <col min="25" max="25" width="13.109375" style="4" customWidth="1"/>
    <col min="26" max="26" width="12.33203125" style="4" bestFit="1" customWidth="1"/>
    <col min="27" max="28" width="8.77734375" style="4"/>
    <col min="29" max="29" width="13.6640625" style="4" customWidth="1"/>
    <col min="30" max="34" width="8.77734375" style="4"/>
    <col min="35" max="35" width="11.6640625" style="4" customWidth="1"/>
    <col min="36" max="48" width="8.77734375" style="4"/>
    <col min="49" max="49" width="21.33203125" style="4" customWidth="1"/>
    <col min="50" max="50" width="20.88671875" style="4" bestFit="1" customWidth="1"/>
    <col min="51" max="16384" width="8.77734375" style="4"/>
  </cols>
  <sheetData>
    <row r="1" spans="1:36" x14ac:dyDescent="0.3">
      <c r="A1" s="1"/>
      <c r="B1" s="1"/>
      <c r="C1" s="1"/>
      <c r="D1" s="1"/>
      <c r="E1" s="1"/>
      <c r="F1" s="1"/>
      <c r="G1" s="1"/>
      <c r="H1" s="1"/>
      <c r="I1" s="1"/>
      <c r="J1" s="1"/>
      <c r="K1" s="1"/>
      <c r="L1" s="1"/>
      <c r="M1" s="1"/>
      <c r="N1" s="1"/>
      <c r="O1" s="1"/>
      <c r="P1" s="1"/>
      <c r="Q1" s="2" t="s">
        <v>0</v>
      </c>
      <c r="R1" s="3">
        <f ca="1">NOW()</f>
        <v>44894.658168402777</v>
      </c>
    </row>
    <row r="2" spans="1:36" ht="19.5" customHeight="1" x14ac:dyDescent="0.35">
      <c r="A2" s="384" t="s">
        <v>1</v>
      </c>
      <c r="B2" s="384"/>
      <c r="C2" s="384"/>
      <c r="D2" s="384"/>
      <c r="E2" s="384"/>
      <c r="F2" s="384"/>
      <c r="G2" s="384"/>
      <c r="H2" s="384"/>
      <c r="I2" s="384"/>
      <c r="J2" s="384"/>
      <c r="K2" s="384"/>
      <c r="L2" s="384"/>
      <c r="M2" s="384"/>
      <c r="N2" s="384"/>
      <c r="O2" s="384"/>
      <c r="P2" s="384"/>
      <c r="Q2" s="384"/>
      <c r="R2" s="384"/>
    </row>
    <row r="3" spans="1:36" ht="19.5" customHeight="1" x14ac:dyDescent="0.35">
      <c r="A3" s="384" t="s">
        <v>2</v>
      </c>
      <c r="B3" s="384"/>
      <c r="C3" s="384"/>
      <c r="D3" s="384"/>
      <c r="E3" s="384"/>
      <c r="F3" s="384"/>
      <c r="G3" s="384"/>
      <c r="H3" s="384"/>
      <c r="I3" s="384"/>
      <c r="J3" s="384"/>
      <c r="K3" s="384"/>
      <c r="L3" s="384"/>
      <c r="M3" s="384"/>
      <c r="N3" s="384"/>
      <c r="O3" s="384"/>
      <c r="P3" s="384"/>
      <c r="Q3" s="384"/>
      <c r="R3" s="384"/>
    </row>
    <row r="4" spans="1:36" ht="19.5" customHeight="1" x14ac:dyDescent="0.35">
      <c r="A4" s="385" t="s">
        <v>3</v>
      </c>
      <c r="B4" s="385"/>
      <c r="C4" s="385"/>
      <c r="D4" s="385"/>
      <c r="E4" s="385"/>
      <c r="F4" s="385"/>
      <c r="G4" s="385"/>
      <c r="H4" s="385"/>
      <c r="I4" s="385"/>
      <c r="J4" s="385"/>
      <c r="K4" s="385"/>
      <c r="L4" s="385"/>
      <c r="M4" s="385"/>
      <c r="N4" s="385"/>
      <c r="O4" s="385"/>
      <c r="P4" s="385"/>
      <c r="Q4" s="385"/>
      <c r="R4" s="385"/>
    </row>
    <row r="5" spans="1:36" ht="19.5" customHeight="1" x14ac:dyDescent="0.35">
      <c r="A5" s="386">
        <v>2019</v>
      </c>
      <c r="B5" s="386"/>
      <c r="C5" s="386"/>
      <c r="D5" s="386"/>
      <c r="E5" s="386"/>
      <c r="F5" s="386"/>
      <c r="G5" s="386"/>
      <c r="H5" s="386"/>
      <c r="I5" s="386"/>
      <c r="J5" s="386"/>
      <c r="K5" s="386"/>
      <c r="L5" s="386"/>
      <c r="M5" s="386"/>
      <c r="N5" s="386"/>
      <c r="O5" s="386"/>
      <c r="P5" s="386"/>
      <c r="Q5" s="386"/>
      <c r="R5" s="386"/>
    </row>
    <row r="6" spans="1:36" ht="19.5" customHeight="1" x14ac:dyDescent="0.35">
      <c r="A6" s="385" t="s">
        <v>969</v>
      </c>
      <c r="B6" s="385"/>
      <c r="C6" s="385"/>
      <c r="D6" s="385"/>
      <c r="E6" s="385"/>
      <c r="F6" s="385"/>
      <c r="G6" s="385"/>
      <c r="H6" s="385"/>
      <c r="I6" s="385"/>
      <c r="J6" s="385"/>
      <c r="K6" s="385"/>
      <c r="L6" s="385"/>
      <c r="M6" s="385"/>
      <c r="N6" s="385"/>
      <c r="O6" s="385"/>
      <c r="P6" s="385"/>
      <c r="Q6" s="385"/>
      <c r="R6" s="385"/>
    </row>
    <row r="7" spans="1:36" ht="19.5" customHeight="1" x14ac:dyDescent="0.35">
      <c r="A7" s="5"/>
      <c r="B7" s="5"/>
      <c r="C7" s="5"/>
      <c r="D7" s="5"/>
      <c r="E7" s="5"/>
      <c r="F7" s="5"/>
      <c r="G7" s="5"/>
      <c r="H7" s="5"/>
      <c r="I7" s="5"/>
      <c r="J7" s="5"/>
      <c r="K7" s="5"/>
      <c r="L7" s="5"/>
      <c r="M7" s="5"/>
      <c r="N7" s="5"/>
      <c r="O7" s="5"/>
      <c r="P7" s="5"/>
      <c r="Q7" s="5"/>
      <c r="R7" s="5"/>
    </row>
    <row r="8" spans="1:36" ht="15.75" customHeight="1" x14ac:dyDescent="0.3">
      <c r="A8" s="383" t="s">
        <v>970</v>
      </c>
      <c r="B8" s="383"/>
      <c r="C8" s="383"/>
      <c r="D8" s="383"/>
      <c r="E8" s="383"/>
      <c r="F8" s="383"/>
      <c r="G8" s="383"/>
      <c r="H8" s="383"/>
      <c r="I8" s="383"/>
      <c r="J8" s="383"/>
      <c r="K8" s="383"/>
      <c r="L8" s="383"/>
      <c r="M8" s="383"/>
      <c r="N8" s="383"/>
      <c r="O8" s="383"/>
      <c r="P8" s="383"/>
      <c r="Q8" s="383"/>
      <c r="R8" s="383"/>
    </row>
    <row r="9" spans="1:36" ht="15.75" customHeight="1" x14ac:dyDescent="0.3">
      <c r="A9" s="7"/>
      <c r="B9" s="8"/>
      <c r="C9" s="8"/>
      <c r="D9" s="8"/>
      <c r="E9" s="8"/>
      <c r="F9" s="8"/>
      <c r="G9" s="8"/>
      <c r="H9" s="8"/>
      <c r="I9" s="8"/>
      <c r="J9" s="8"/>
      <c r="K9" s="8"/>
      <c r="L9" s="8"/>
      <c r="M9" s="8"/>
      <c r="N9" s="8"/>
      <c r="O9" s="8"/>
      <c r="P9" s="8"/>
      <c r="Q9" s="8"/>
      <c r="R9" s="8"/>
    </row>
    <row r="10" spans="1:36" ht="16.2" thickBot="1" x14ac:dyDescent="0.35">
      <c r="A10" s="1" t="s">
        <v>6</v>
      </c>
      <c r="B10" s="1">
        <v>31</v>
      </c>
      <c r="C10" s="1">
        <v>28</v>
      </c>
      <c r="D10" s="1">
        <v>31</v>
      </c>
      <c r="E10" s="1"/>
      <c r="F10" s="1">
        <v>30</v>
      </c>
      <c r="G10" s="1">
        <v>31</v>
      </c>
      <c r="H10" s="1">
        <v>30</v>
      </c>
      <c r="I10" s="1"/>
      <c r="J10" s="1">
        <v>31</v>
      </c>
      <c r="K10" s="1">
        <v>31</v>
      </c>
      <c r="L10" s="1">
        <v>30</v>
      </c>
      <c r="M10" s="1"/>
      <c r="N10" s="1">
        <v>31</v>
      </c>
      <c r="O10" s="1">
        <v>30</v>
      </c>
      <c r="P10" s="1">
        <v>31</v>
      </c>
      <c r="Q10" s="1"/>
      <c r="R10" s="1"/>
    </row>
    <row r="11" spans="1:36" ht="15.75" customHeight="1" thickBot="1" x14ac:dyDescent="0.35">
      <c r="A11" s="370" t="s">
        <v>7</v>
      </c>
      <c r="B11" s="371" t="s">
        <v>8</v>
      </c>
      <c r="C11" s="331" t="s">
        <v>9</v>
      </c>
      <c r="D11" s="331" t="s">
        <v>10</v>
      </c>
      <c r="E11" s="325" t="s">
        <v>11</v>
      </c>
      <c r="F11" s="331" t="s">
        <v>12</v>
      </c>
      <c r="G11" s="331" t="s">
        <v>13</v>
      </c>
      <c r="H11" s="331" t="s">
        <v>14</v>
      </c>
      <c r="I11" s="325" t="s">
        <v>15</v>
      </c>
      <c r="J11" s="331" t="s">
        <v>16</v>
      </c>
      <c r="K11" s="331" t="s">
        <v>17</v>
      </c>
      <c r="L11" s="331" t="s">
        <v>18</v>
      </c>
      <c r="M11" s="325" t="s">
        <v>19</v>
      </c>
      <c r="N11" s="331" t="s">
        <v>20</v>
      </c>
      <c r="O11" s="331" t="s">
        <v>21</v>
      </c>
      <c r="P11" s="331" t="s">
        <v>22</v>
      </c>
      <c r="Q11" s="325" t="s">
        <v>23</v>
      </c>
      <c r="R11" s="332" t="s">
        <v>24</v>
      </c>
    </row>
    <row r="12" spans="1:36" ht="16.5" customHeight="1" thickBot="1" x14ac:dyDescent="0.35">
      <c r="A12" s="14"/>
      <c r="B12" s="56"/>
      <c r="C12" s="56"/>
      <c r="D12" s="56"/>
      <c r="E12" s="16"/>
      <c r="F12" s="56"/>
      <c r="G12" s="56"/>
      <c r="H12" s="56"/>
      <c r="I12" s="16"/>
      <c r="J12" s="56"/>
      <c r="K12" s="56"/>
      <c r="L12" s="56"/>
      <c r="M12" s="16"/>
      <c r="N12" s="56"/>
      <c r="O12" s="56"/>
      <c r="P12" s="56"/>
      <c r="Q12" s="16"/>
      <c r="R12" s="16"/>
    </row>
    <row r="13" spans="1:36" ht="15.75" customHeight="1" x14ac:dyDescent="0.3">
      <c r="A13" s="17" t="s">
        <v>25</v>
      </c>
      <c r="B13" s="1">
        <f>+B910</f>
        <v>42078</v>
      </c>
      <c r="C13" s="1">
        <f>+C910</f>
        <v>50313</v>
      </c>
      <c r="D13" s="1">
        <f>+D910</f>
        <v>82174</v>
      </c>
      <c r="E13" s="18">
        <f>SUM(B13:D13)</f>
        <v>174565</v>
      </c>
      <c r="F13" s="1">
        <f>+F910</f>
        <v>143255</v>
      </c>
      <c r="G13" s="1">
        <f>+G910</f>
        <v>140285</v>
      </c>
      <c r="H13" s="1">
        <f>+H910</f>
        <v>183443</v>
      </c>
      <c r="I13" s="18">
        <f t="shared" ref="I13:I19" si="0">SUM(F13:H13)</f>
        <v>466983</v>
      </c>
      <c r="J13" s="1">
        <f>+J910</f>
        <v>188724</v>
      </c>
      <c r="K13" s="1">
        <f>+K910</f>
        <v>181776</v>
      </c>
      <c r="L13" s="1">
        <f>+L910</f>
        <v>124651</v>
      </c>
      <c r="M13" s="18">
        <f t="shared" ref="M13:M20" si="1">SUM(J13:L13)</f>
        <v>495151</v>
      </c>
      <c r="N13" s="1">
        <f>+N910</f>
        <v>103093</v>
      </c>
      <c r="O13" s="1">
        <f>+O910</f>
        <v>23617</v>
      </c>
      <c r="P13" s="1">
        <f>+P910</f>
        <v>48082</v>
      </c>
      <c r="Q13" s="19">
        <f t="shared" ref="Q13:Q19" si="2">SUM(N13:P13)</f>
        <v>174792</v>
      </c>
      <c r="R13" s="18">
        <f t="shared" ref="R13:R20" si="3">+E13+I13+M13+Q13</f>
        <v>1311491</v>
      </c>
      <c r="S13" s="4">
        <f>R13-13500</f>
        <v>1297991</v>
      </c>
      <c r="T13" s="4">
        <f>+R13-S13</f>
        <v>13500</v>
      </c>
      <c r="V13" s="21"/>
      <c r="W13" s="21"/>
      <c r="X13" s="21"/>
      <c r="Z13" s="21"/>
      <c r="AA13" s="21"/>
      <c r="AB13" s="21"/>
      <c r="AD13" s="21"/>
      <c r="AE13" s="21"/>
      <c r="AF13" s="21"/>
      <c r="AH13" s="21"/>
      <c r="AI13" s="21"/>
      <c r="AJ13" s="21"/>
    </row>
    <row r="14" spans="1:36" ht="15.75" customHeight="1" x14ac:dyDescent="0.3">
      <c r="A14" s="17" t="s">
        <v>27</v>
      </c>
      <c r="B14" s="1">
        <f>B25+B60+B129+B314+B488+B538+B583+B650+B660+B696+B749+B759+B793+B842</f>
        <v>739</v>
      </c>
      <c r="C14" s="1">
        <f>C25+C60+C129+C314+C488+C538+C583+C650+C660+C696+C749+C759+C793+C842</f>
        <v>1283</v>
      </c>
      <c r="D14" s="1">
        <f>D25+D60+D129+D314+D488+D538+D583+D650+D660+D696+D749+D759+D793+D842</f>
        <v>2185</v>
      </c>
      <c r="E14" s="18">
        <f t="shared" ref="E14:E19" si="4">SUM(B14:D14)</f>
        <v>4207</v>
      </c>
      <c r="F14" s="1">
        <f>F25+F60+F129+F314+F488+F538+F583+F650+F660+F696+F749+F759+F793+F842</f>
        <v>2959</v>
      </c>
      <c r="G14" s="1">
        <f>G25+G60+G129+G314+G488+G538+G583+G650+G660+G696+G749+G759+G793+G842</f>
        <v>3425</v>
      </c>
      <c r="H14" s="1">
        <f>H25+H60+H129+H314+H488+H538+H583+H650+H660+H696+H749+H759+H793+H842</f>
        <v>3464</v>
      </c>
      <c r="I14" s="18">
        <f t="shared" si="0"/>
        <v>9848</v>
      </c>
      <c r="J14" s="1">
        <f>J25+J60+J129+J314+J488+J538+J583+J650+J660+J696+J749+J759+J793+J842</f>
        <v>3382</v>
      </c>
      <c r="K14" s="1">
        <f>K25+K60+K129+K314+K488+K538+K583+K650+K660+K696+K749+K759+K793+K842</f>
        <v>2663</v>
      </c>
      <c r="L14" s="1">
        <f>L25+L60+L129+L314+L488+L538+L583+L650+L660+L696+L749+L759+L793+L842</f>
        <v>2559</v>
      </c>
      <c r="M14" s="18">
        <f t="shared" si="1"/>
        <v>8604</v>
      </c>
      <c r="N14" s="1">
        <f>N25+N60+N129+N314+N488+N538+N583+N650+N660+N696+N749+N759+N793+N842</f>
        <v>2343</v>
      </c>
      <c r="O14" s="1">
        <f>O25+O60+O129+O314+O488+O538+O583+O650+O660+O696+O749+O759+O793+O842</f>
        <v>1892</v>
      </c>
      <c r="P14" s="1">
        <f>P25+P60+P129+P314+P488+P538+P583+P650+P660+P696+P749+P759+P793+P842</f>
        <v>1423</v>
      </c>
      <c r="Q14" s="19">
        <f t="shared" si="2"/>
        <v>5658</v>
      </c>
      <c r="R14" s="18">
        <f t="shared" si="3"/>
        <v>28317</v>
      </c>
    </row>
    <row r="15" spans="1:36" ht="15.75" customHeight="1" x14ac:dyDescent="0.3">
      <c r="A15" s="17" t="s">
        <v>29</v>
      </c>
      <c r="B15" s="1">
        <f>B309</f>
        <v>0</v>
      </c>
      <c r="C15" s="1">
        <f>C309</f>
        <v>55</v>
      </c>
      <c r="D15" s="1">
        <f>D309</f>
        <v>1056</v>
      </c>
      <c r="E15" s="18">
        <f t="shared" si="4"/>
        <v>1111</v>
      </c>
      <c r="F15" s="1">
        <f>F309</f>
        <v>1915</v>
      </c>
      <c r="G15" s="1">
        <f>G309</f>
        <v>2784</v>
      </c>
      <c r="H15" s="1">
        <f>H309</f>
        <v>2521</v>
      </c>
      <c r="I15" s="18">
        <f t="shared" si="0"/>
        <v>7220</v>
      </c>
      <c r="J15" s="1">
        <f>J309</f>
        <v>2267</v>
      </c>
      <c r="K15" s="1">
        <f>K309</f>
        <v>2783</v>
      </c>
      <c r="L15" s="1">
        <f>L309</f>
        <v>1859</v>
      </c>
      <c r="M15" s="18">
        <f t="shared" si="1"/>
        <v>6909</v>
      </c>
      <c r="N15" s="1">
        <f>N309</f>
        <v>2787</v>
      </c>
      <c r="O15" s="1">
        <f>O309</f>
        <v>2962</v>
      </c>
      <c r="P15" s="1">
        <f>P309</f>
        <v>659</v>
      </c>
      <c r="Q15" s="19">
        <f t="shared" si="2"/>
        <v>6408</v>
      </c>
      <c r="R15" s="18">
        <f t="shared" si="3"/>
        <v>21648</v>
      </c>
    </row>
    <row r="16" spans="1:36" ht="15.75" customHeight="1" x14ac:dyDescent="0.3">
      <c r="A16" s="22" t="s">
        <v>30</v>
      </c>
      <c r="B16" s="1">
        <f>+B310</f>
        <v>0</v>
      </c>
      <c r="C16" s="1">
        <f>+C310</f>
        <v>0</v>
      </c>
      <c r="D16" s="1">
        <f>+D310</f>
        <v>-2608</v>
      </c>
      <c r="E16" s="18">
        <f t="shared" si="4"/>
        <v>-2608</v>
      </c>
      <c r="F16" s="1">
        <f>+F310</f>
        <v>2028</v>
      </c>
      <c r="G16" s="1">
        <f>+G310</f>
        <v>3526</v>
      </c>
      <c r="H16" s="1">
        <f>+H310</f>
        <v>80</v>
      </c>
      <c r="I16" s="18">
        <f t="shared" si="0"/>
        <v>5634</v>
      </c>
      <c r="J16" s="1">
        <f>+J310</f>
        <v>-3173</v>
      </c>
      <c r="K16" s="1">
        <f>+K310</f>
        <v>-8011</v>
      </c>
      <c r="L16" s="1">
        <f>+L310</f>
        <v>-1070</v>
      </c>
      <c r="M16" s="18">
        <f t="shared" si="1"/>
        <v>-12254</v>
      </c>
      <c r="N16" s="1">
        <f>+N310</f>
        <v>2064</v>
      </c>
      <c r="O16" s="1">
        <f>+O310</f>
        <v>-6509</v>
      </c>
      <c r="P16" s="1">
        <f>+P310</f>
        <v>-2166</v>
      </c>
      <c r="Q16" s="19">
        <f t="shared" si="2"/>
        <v>-6611</v>
      </c>
      <c r="R16" s="18">
        <f t="shared" si="3"/>
        <v>-15839</v>
      </c>
    </row>
    <row r="17" spans="1:20" ht="15.75" customHeight="1" x14ac:dyDescent="0.3">
      <c r="A17" s="23" t="s">
        <v>31</v>
      </c>
      <c r="B17" s="1">
        <f>B313</f>
        <v>62928</v>
      </c>
      <c r="C17" s="1">
        <f>C313</f>
        <v>99729</v>
      </c>
      <c r="D17" s="1">
        <f>D313</f>
        <v>62</v>
      </c>
      <c r="E17" s="18">
        <f t="shared" si="4"/>
        <v>162719</v>
      </c>
      <c r="F17" s="1">
        <f>F313</f>
        <v>11000</v>
      </c>
      <c r="G17" s="1">
        <f>G313</f>
        <v>18293</v>
      </c>
      <c r="H17" s="1">
        <f>H313</f>
        <v>1475</v>
      </c>
      <c r="I17" s="18">
        <f t="shared" si="0"/>
        <v>30768</v>
      </c>
      <c r="J17" s="1">
        <f>J313</f>
        <v>0</v>
      </c>
      <c r="K17" s="1">
        <f>K313</f>
        <v>29</v>
      </c>
      <c r="L17" s="1">
        <f>L313</f>
        <v>31893</v>
      </c>
      <c r="M17" s="18">
        <f t="shared" si="1"/>
        <v>31922</v>
      </c>
      <c r="N17" s="1">
        <f>N313</f>
        <v>39398</v>
      </c>
      <c r="O17" s="1">
        <f>O313</f>
        <v>102175</v>
      </c>
      <c r="P17" s="1">
        <f>P313</f>
        <v>25914</v>
      </c>
      <c r="Q17" s="19">
        <f t="shared" si="2"/>
        <v>167487</v>
      </c>
      <c r="R17" s="18">
        <f t="shared" si="3"/>
        <v>392896</v>
      </c>
    </row>
    <row r="18" spans="1:20" ht="15.75" customHeight="1" x14ac:dyDescent="0.3">
      <c r="A18" s="23" t="s">
        <v>32</v>
      </c>
      <c r="B18" s="1">
        <f>B325</f>
        <v>-18404</v>
      </c>
      <c r="C18" s="1">
        <f>C325</f>
        <v>0</v>
      </c>
      <c r="D18" s="1">
        <f>D325</f>
        <v>-127</v>
      </c>
      <c r="E18" s="18">
        <f t="shared" si="4"/>
        <v>-18531</v>
      </c>
      <c r="F18" s="1">
        <f>F325</f>
        <v>-13494</v>
      </c>
      <c r="G18" s="1">
        <f>G325</f>
        <v>-15508</v>
      </c>
      <c r="H18" s="1">
        <f>H325</f>
        <v>-84160</v>
      </c>
      <c r="I18" s="18">
        <f t="shared" si="0"/>
        <v>-113162</v>
      </c>
      <c r="J18" s="1">
        <f>J325</f>
        <v>-93396</v>
      </c>
      <c r="K18" s="1">
        <f>K325</f>
        <v>-75286</v>
      </c>
      <c r="L18" s="1">
        <f>L325</f>
        <v>0</v>
      </c>
      <c r="M18" s="18">
        <f t="shared" si="1"/>
        <v>-168682</v>
      </c>
      <c r="N18" s="1">
        <f>N325</f>
        <v>0</v>
      </c>
      <c r="O18" s="1">
        <f>O325</f>
        <v>-1783</v>
      </c>
      <c r="P18" s="1">
        <f>P325</f>
        <v>0</v>
      </c>
      <c r="Q18" s="19">
        <f t="shared" si="2"/>
        <v>-1783</v>
      </c>
      <c r="R18" s="18">
        <f t="shared" si="3"/>
        <v>-302158</v>
      </c>
    </row>
    <row r="19" spans="1:20" ht="16.5" customHeight="1" thickBot="1" x14ac:dyDescent="0.35">
      <c r="A19" s="24" t="s">
        <v>33</v>
      </c>
      <c r="B19" s="25">
        <f>(B29)</f>
        <v>87341</v>
      </c>
      <c r="C19" s="25">
        <f>(C29)</f>
        <v>151380</v>
      </c>
      <c r="D19" s="25">
        <f>(D29)</f>
        <v>82742</v>
      </c>
      <c r="E19" s="26">
        <f t="shared" si="4"/>
        <v>321463</v>
      </c>
      <c r="F19" s="25">
        <f>(F29)</f>
        <v>147663</v>
      </c>
      <c r="G19" s="25">
        <f>(G29)</f>
        <v>152805</v>
      </c>
      <c r="H19" s="25">
        <f>(H29)</f>
        <v>106823</v>
      </c>
      <c r="I19" s="26">
        <f t="shared" si="0"/>
        <v>407291</v>
      </c>
      <c r="J19" s="25">
        <f>(J29)</f>
        <v>97804</v>
      </c>
      <c r="K19" s="25">
        <f>(K29)</f>
        <v>103954</v>
      </c>
      <c r="L19" s="25">
        <f>(L29)</f>
        <v>159892</v>
      </c>
      <c r="M19" s="26">
        <f t="shared" si="1"/>
        <v>361650</v>
      </c>
      <c r="N19" s="25">
        <f>(N29)</f>
        <v>149685</v>
      </c>
      <c r="O19" s="25">
        <f>(O29)</f>
        <v>122354</v>
      </c>
      <c r="P19" s="25">
        <f>(P29)</f>
        <v>73912</v>
      </c>
      <c r="Q19" s="27">
        <f t="shared" si="2"/>
        <v>345951</v>
      </c>
      <c r="R19" s="26">
        <f t="shared" si="3"/>
        <v>1436355</v>
      </c>
    </row>
    <row r="20" spans="1:20" ht="16.5" customHeight="1" thickBot="1" x14ac:dyDescent="0.35">
      <c r="A20" s="24" t="s">
        <v>34</v>
      </c>
      <c r="B20" s="25">
        <v>90530</v>
      </c>
      <c r="C20" s="25">
        <v>150723</v>
      </c>
      <c r="D20" s="25">
        <v>82674</v>
      </c>
      <c r="E20" s="26">
        <f>SUM(B20:D20)</f>
        <v>323927</v>
      </c>
      <c r="F20" s="25">
        <v>143769</v>
      </c>
      <c r="G20" s="25">
        <v>153751</v>
      </c>
      <c r="H20" s="25">
        <v>103850</v>
      </c>
      <c r="I20" s="26">
        <f>SUM(F20:H20)</f>
        <v>401370</v>
      </c>
      <c r="J20" s="25">
        <v>92195</v>
      </c>
      <c r="K20" s="25">
        <v>101771</v>
      </c>
      <c r="L20" s="25">
        <v>160158</v>
      </c>
      <c r="M20" s="26">
        <f t="shared" si="1"/>
        <v>354124</v>
      </c>
      <c r="N20" s="25">
        <v>151035</v>
      </c>
      <c r="O20" s="25">
        <v>125435</v>
      </c>
      <c r="P20" s="25">
        <f>+P19</f>
        <v>73912</v>
      </c>
      <c r="Q20" s="27">
        <f>SUM(N20:P20)</f>
        <v>350382</v>
      </c>
      <c r="R20" s="26">
        <f t="shared" si="3"/>
        <v>1429803</v>
      </c>
    </row>
    <row r="21" spans="1:20" ht="15.75" customHeight="1" x14ac:dyDescent="0.3">
      <c r="A21" s="1"/>
      <c r="B21" s="1"/>
      <c r="C21" s="1"/>
      <c r="D21" s="1"/>
      <c r="E21" s="1"/>
      <c r="F21" s="1"/>
      <c r="G21" s="1"/>
      <c r="H21" s="1"/>
      <c r="I21" s="1"/>
      <c r="J21" s="1"/>
      <c r="K21" s="1"/>
      <c r="L21" s="1"/>
      <c r="M21" s="1"/>
      <c r="N21" s="1"/>
      <c r="O21" s="1"/>
      <c r="P21" s="1"/>
      <c r="Q21" s="1"/>
      <c r="R21" s="28"/>
    </row>
    <row r="22" spans="1:20" ht="15.75" customHeight="1" thickBot="1" x14ac:dyDescent="0.35">
      <c r="A22" s="1"/>
      <c r="B22" s="1"/>
      <c r="C22" s="1"/>
      <c r="D22" s="1"/>
      <c r="E22" s="1"/>
      <c r="F22" s="29" t="s">
        <v>7</v>
      </c>
      <c r="G22" s="29" t="s">
        <v>7</v>
      </c>
      <c r="H22" s="1"/>
      <c r="I22" s="1"/>
      <c r="J22" s="1"/>
      <c r="K22" s="1"/>
      <c r="L22" s="1"/>
      <c r="M22" s="1"/>
      <c r="N22" s="29" t="s">
        <v>7</v>
      </c>
      <c r="O22" s="29" t="s">
        <v>7</v>
      </c>
      <c r="P22" s="29" t="s">
        <v>7</v>
      </c>
      <c r="Q22" s="29"/>
      <c r="R22" s="30" t="s">
        <v>7</v>
      </c>
    </row>
    <row r="23" spans="1:20" ht="16.5" customHeight="1" thickBot="1" x14ac:dyDescent="0.35">
      <c r="A23" s="31" t="s">
        <v>35</v>
      </c>
      <c r="B23" s="323" t="s">
        <v>36</v>
      </c>
      <c r="C23" s="324" t="s">
        <v>9</v>
      </c>
      <c r="D23" s="324" t="s">
        <v>10</v>
      </c>
      <c r="E23" s="325" t="s">
        <v>11</v>
      </c>
      <c r="F23" s="324" t="s">
        <v>12</v>
      </c>
      <c r="G23" s="324" t="s">
        <v>13</v>
      </c>
      <c r="H23" s="324" t="s">
        <v>14</v>
      </c>
      <c r="I23" s="34" t="s">
        <v>15</v>
      </c>
      <c r="J23" s="324" t="s">
        <v>16</v>
      </c>
      <c r="K23" s="324" t="s">
        <v>17</v>
      </c>
      <c r="L23" s="324" t="s">
        <v>18</v>
      </c>
      <c r="M23" s="34" t="s">
        <v>19</v>
      </c>
      <c r="N23" s="324" t="s">
        <v>20</v>
      </c>
      <c r="O23" s="324" t="s">
        <v>21</v>
      </c>
      <c r="P23" s="324" t="s">
        <v>22</v>
      </c>
      <c r="Q23" s="34" t="s">
        <v>23</v>
      </c>
      <c r="R23" s="326" t="s">
        <v>24</v>
      </c>
    </row>
    <row r="24" spans="1:20" ht="16.5" customHeight="1" thickBot="1" x14ac:dyDescent="0.35">
      <c r="A24" s="36"/>
      <c r="B24" s="37"/>
      <c r="C24" s="37"/>
      <c r="D24" s="37"/>
      <c r="E24" s="38"/>
      <c r="F24" s="37"/>
      <c r="G24" s="37"/>
      <c r="H24" s="37"/>
      <c r="I24" s="38"/>
      <c r="J24" s="37"/>
      <c r="K24" s="37"/>
      <c r="L24" s="37"/>
      <c r="M24" s="38"/>
      <c r="N24" s="37"/>
      <c r="O24" s="37"/>
      <c r="P24" s="37"/>
      <c r="Q24" s="38"/>
      <c r="R24" s="39"/>
    </row>
    <row r="25" spans="1:20" ht="16.5" customHeight="1" thickBot="1" x14ac:dyDescent="0.35">
      <c r="A25" s="40" t="s">
        <v>37</v>
      </c>
      <c r="B25" s="25">
        <v>97</v>
      </c>
      <c r="C25" s="25">
        <v>148</v>
      </c>
      <c r="D25" s="25">
        <v>274</v>
      </c>
      <c r="E25" s="327">
        <f>SUM(B25:D25)</f>
        <v>519</v>
      </c>
      <c r="F25" s="25">
        <v>367</v>
      </c>
      <c r="G25" s="25">
        <v>425</v>
      </c>
      <c r="H25" s="25">
        <v>417</v>
      </c>
      <c r="I25" s="327">
        <f>SUM(F25:H25)</f>
        <v>1209</v>
      </c>
      <c r="J25" s="25">
        <v>416</v>
      </c>
      <c r="K25" s="25">
        <v>334</v>
      </c>
      <c r="L25" s="25">
        <v>316</v>
      </c>
      <c r="M25" s="327">
        <f>SUM(J25:L25)</f>
        <v>1066</v>
      </c>
      <c r="N25" s="25">
        <v>285</v>
      </c>
      <c r="O25" s="25">
        <v>235</v>
      </c>
      <c r="P25" s="25">
        <v>186</v>
      </c>
      <c r="Q25" s="327">
        <f>SUM(N25:P25)</f>
        <v>706</v>
      </c>
      <c r="R25" s="26">
        <f>+E25+I25+M25+Q25</f>
        <v>3500</v>
      </c>
    </row>
    <row r="26" spans="1:20" ht="17.25" customHeight="1" thickBot="1" x14ac:dyDescent="0.35">
      <c r="A26" s="42"/>
      <c r="B26" s="37"/>
      <c r="C26" s="37"/>
      <c r="D26" s="37"/>
      <c r="E26" s="43"/>
      <c r="F26" s="37"/>
      <c r="G26" s="37"/>
      <c r="H26" s="37"/>
      <c r="I26" s="43"/>
      <c r="J26" s="37"/>
      <c r="K26" s="37"/>
      <c r="L26" s="37"/>
      <c r="M26" s="43"/>
      <c r="N26" s="37"/>
      <c r="O26" s="37"/>
      <c r="P26" s="37"/>
      <c r="Q26" s="43"/>
      <c r="R26" s="44"/>
    </row>
    <row r="27" spans="1:20" ht="15.75" customHeight="1" x14ac:dyDescent="0.3">
      <c r="A27" s="17" t="s">
        <v>38</v>
      </c>
      <c r="B27" s="1">
        <f>B25</f>
        <v>97</v>
      </c>
      <c r="C27" s="1">
        <f>C25</f>
        <v>148</v>
      </c>
      <c r="D27" s="1">
        <f>D25</f>
        <v>274</v>
      </c>
      <c r="E27" s="327">
        <f>SUM(B27:D27)</f>
        <v>519</v>
      </c>
      <c r="F27" s="1">
        <f>F25</f>
        <v>367</v>
      </c>
      <c r="G27" s="1">
        <f>G25</f>
        <v>425</v>
      </c>
      <c r="H27" s="1">
        <f>H25</f>
        <v>417</v>
      </c>
      <c r="I27" s="327">
        <f>SUM(F27:H27)</f>
        <v>1209</v>
      </c>
      <c r="J27" s="1">
        <f>J25</f>
        <v>416</v>
      </c>
      <c r="K27" s="1">
        <f>K25</f>
        <v>334</v>
      </c>
      <c r="L27" s="1">
        <f>L25</f>
        <v>316</v>
      </c>
      <c r="M27" s="327">
        <f>SUM(J27:L27)</f>
        <v>1066</v>
      </c>
      <c r="N27" s="1">
        <f>N25</f>
        <v>285</v>
      </c>
      <c r="O27" s="1">
        <f>O25</f>
        <v>235</v>
      </c>
      <c r="P27" s="1">
        <f>P25</f>
        <v>186</v>
      </c>
      <c r="Q27" s="328">
        <f>SUM(N27:P27)</f>
        <v>706</v>
      </c>
      <c r="R27" s="327">
        <f>+E27+I27+M27+Q27</f>
        <v>3500</v>
      </c>
    </row>
    <row r="28" spans="1:20" ht="15.75" customHeight="1" x14ac:dyDescent="0.3">
      <c r="A28" s="17" t="s">
        <v>39</v>
      </c>
      <c r="B28" s="1">
        <f>(B27/B10)/1.983</f>
        <v>1.5779285214647079</v>
      </c>
      <c r="C28" s="1">
        <f>(C27/C10)/1.983</f>
        <v>2.6655140119587926</v>
      </c>
      <c r="D28" s="1">
        <f>(D27/D10)/1.983</f>
        <v>4.457241390529175</v>
      </c>
      <c r="E28" s="18"/>
      <c r="F28" s="1">
        <f>(F27/F10)/1.983</f>
        <v>6.1691040511010247</v>
      </c>
      <c r="G28" s="1">
        <f>(G27/G10)/1.983</f>
        <v>6.9136043466237203</v>
      </c>
      <c r="H28" s="1">
        <f>(H27/H10)/1.983</f>
        <v>7.0095814422592033</v>
      </c>
      <c r="I28" s="18"/>
      <c r="J28" s="1">
        <f>(J27/J10)/1.983</f>
        <v>6.7671986075187478</v>
      </c>
      <c r="K28" s="1">
        <f>(K27/K10)/1.983</f>
        <v>5.433279651228994</v>
      </c>
      <c r="L28" s="1">
        <f>(L27/L10)/1.983</f>
        <v>5.3118171121196838</v>
      </c>
      <c r="M28" s="18"/>
      <c r="N28" s="1">
        <f>(N27/N10)/1.983</f>
        <v>4.6361817383241419</v>
      </c>
      <c r="O28" s="1">
        <f>(O27/O10)/1.983</f>
        <v>3.9502437384434357</v>
      </c>
      <c r="P28" s="1">
        <f>(P27/P10)/1.983</f>
        <v>3.02571860816944</v>
      </c>
      <c r="Q28" s="19"/>
      <c r="R28" s="18"/>
    </row>
    <row r="29" spans="1:20" ht="15.75" customHeight="1" x14ac:dyDescent="0.3">
      <c r="A29" s="17" t="s">
        <v>40</v>
      </c>
      <c r="B29" s="1">
        <f>B27+B64</f>
        <v>87341</v>
      </c>
      <c r="C29" s="1">
        <f>C27+C64</f>
        <v>151380</v>
      </c>
      <c r="D29" s="1">
        <f>D27+D64</f>
        <v>82742</v>
      </c>
      <c r="E29" s="18">
        <f>SUM(B29:D29)</f>
        <v>321463</v>
      </c>
      <c r="F29" s="1">
        <f>F27+F64</f>
        <v>147663</v>
      </c>
      <c r="G29" s="1">
        <f>G27+G64</f>
        <v>152805</v>
      </c>
      <c r="H29" s="1">
        <f>H27+H64</f>
        <v>106823</v>
      </c>
      <c r="I29" s="18">
        <f>SUM(F29:H29)</f>
        <v>407291</v>
      </c>
      <c r="J29" s="1">
        <f>J27+J64</f>
        <v>97804</v>
      </c>
      <c r="K29" s="1">
        <f>K27+K64</f>
        <v>103954</v>
      </c>
      <c r="L29" s="1">
        <f>L27+L64</f>
        <v>159892</v>
      </c>
      <c r="M29" s="18">
        <f>SUM(J29:L29)</f>
        <v>361650</v>
      </c>
      <c r="N29" s="1">
        <f>N27+N64</f>
        <v>149685</v>
      </c>
      <c r="O29" s="1">
        <f>O27+O64</f>
        <v>122354</v>
      </c>
      <c r="P29" s="1">
        <f>P27+P64</f>
        <v>73912</v>
      </c>
      <c r="Q29" s="19">
        <f>SUM(N29:P29)</f>
        <v>345951</v>
      </c>
      <c r="R29" s="18">
        <f>+E29+I29+M29+Q29</f>
        <v>1436355</v>
      </c>
    </row>
    <row r="30" spans="1:20" s="50" customFormat="1" ht="16.5" customHeight="1" thickBot="1" x14ac:dyDescent="0.35">
      <c r="A30" s="46" t="s">
        <v>41</v>
      </c>
      <c r="B30" s="47">
        <f>(B29/B10)/1.983</f>
        <v>1420.8026287963821</v>
      </c>
      <c r="C30" s="47">
        <f>(C29/C10)/1.983</f>
        <v>2726.3885887183919</v>
      </c>
      <c r="D30" s="47">
        <f>(D29/D10)/1.983</f>
        <v>1345.9892961137409</v>
      </c>
      <c r="E30" s="48"/>
      <c r="F30" s="47">
        <f>(F29/F10)/1.983</f>
        <v>2482.1482602118003</v>
      </c>
      <c r="G30" s="47">
        <f>(G29/G10)/1.983</f>
        <v>2485.7254404372648</v>
      </c>
      <c r="H30" s="47">
        <f>(H29/H10)/1.983</f>
        <v>1795.6463271138007</v>
      </c>
      <c r="I30" s="48"/>
      <c r="J30" s="47">
        <f>(J29/J10)/1.983</f>
        <v>1591.0074341580855</v>
      </c>
      <c r="K30" s="47">
        <f>(K29/K10)/1.983</f>
        <v>1691.051355879817</v>
      </c>
      <c r="L30" s="47">
        <f>(L29/L10)/1.983</f>
        <v>2687.7122205412675</v>
      </c>
      <c r="M30" s="48"/>
      <c r="N30" s="47">
        <f>(N29/N10)/1.983</f>
        <v>2434.9714508808747</v>
      </c>
      <c r="O30" s="47">
        <f>(O29/O10)/1.983</f>
        <v>2056.7154143553539</v>
      </c>
      <c r="P30" s="47">
        <f>(P29/P10)/1.983</f>
        <v>1202.3489987474177</v>
      </c>
      <c r="Q30" s="49"/>
      <c r="R30" s="48"/>
      <c r="T30" s="51" t="s">
        <v>42</v>
      </c>
    </row>
    <row r="31" spans="1:20" ht="15.75" customHeight="1" x14ac:dyDescent="0.3">
      <c r="A31" s="28"/>
      <c r="B31" s="1"/>
      <c r="C31" s="1"/>
      <c r="D31" s="1"/>
      <c r="E31" s="1"/>
      <c r="F31" s="1"/>
      <c r="G31" s="1"/>
      <c r="H31" s="1"/>
      <c r="I31" s="1"/>
      <c r="J31" s="1"/>
      <c r="K31" s="1"/>
      <c r="L31" s="1"/>
      <c r="M31" s="1"/>
      <c r="N31" s="1"/>
      <c r="O31" s="1"/>
      <c r="P31" s="1"/>
      <c r="Q31" s="1"/>
      <c r="R31" s="28"/>
      <c r="T31" s="52" t="s">
        <v>43</v>
      </c>
    </row>
    <row r="32" spans="1:20" ht="15.75" customHeight="1" thickBot="1" x14ac:dyDescent="0.35">
      <c r="A32" s="28"/>
      <c r="B32" s="1"/>
      <c r="C32" s="1"/>
      <c r="D32" s="1"/>
      <c r="E32" s="1"/>
      <c r="F32" s="1"/>
      <c r="G32" s="1"/>
      <c r="H32" s="1"/>
      <c r="I32" s="1"/>
      <c r="J32" s="1"/>
      <c r="K32" s="1"/>
      <c r="L32" s="1"/>
      <c r="M32" s="1"/>
      <c r="N32" s="1"/>
      <c r="O32" s="1"/>
      <c r="P32" s="1"/>
      <c r="Q32" s="1"/>
      <c r="R32" s="28"/>
    </row>
    <row r="33" spans="1:18" ht="15.75" customHeight="1" thickBot="1" x14ac:dyDescent="0.35">
      <c r="A33" s="329" t="s">
        <v>44</v>
      </c>
      <c r="B33" s="330" t="s">
        <v>36</v>
      </c>
      <c r="C33" s="331" t="s">
        <v>9</v>
      </c>
      <c r="D33" s="331" t="s">
        <v>10</v>
      </c>
      <c r="E33" s="325" t="s">
        <v>11</v>
      </c>
      <c r="F33" s="331" t="s">
        <v>12</v>
      </c>
      <c r="G33" s="331" t="s">
        <v>13</v>
      </c>
      <c r="H33" s="331" t="s">
        <v>14</v>
      </c>
      <c r="I33" s="325" t="s">
        <v>15</v>
      </c>
      <c r="J33" s="331" t="s">
        <v>16</v>
      </c>
      <c r="K33" s="331" t="s">
        <v>17</v>
      </c>
      <c r="L33" s="331" t="s">
        <v>18</v>
      </c>
      <c r="M33" s="325" t="s">
        <v>19</v>
      </c>
      <c r="N33" s="331" t="s">
        <v>20</v>
      </c>
      <c r="O33" s="331" t="s">
        <v>21</v>
      </c>
      <c r="P33" s="331" t="s">
        <v>22</v>
      </c>
      <c r="Q33" s="325" t="s">
        <v>23</v>
      </c>
      <c r="R33" s="332" t="s">
        <v>24</v>
      </c>
    </row>
    <row r="34" spans="1:18" ht="16.5" customHeight="1" thickBot="1" x14ac:dyDescent="0.35">
      <c r="A34" s="43"/>
      <c r="B34" s="55"/>
      <c r="C34" s="56"/>
      <c r="D34" s="56"/>
      <c r="E34" s="16"/>
      <c r="F34" s="56"/>
      <c r="G34" s="56"/>
      <c r="H34" s="56"/>
      <c r="I34" s="16"/>
      <c r="J34" s="56"/>
      <c r="K34" s="56"/>
      <c r="L34" s="56"/>
      <c r="M34" s="16"/>
      <c r="N34" s="56"/>
      <c r="O34" s="56"/>
      <c r="P34" s="56"/>
      <c r="Q34" s="16"/>
      <c r="R34" s="57"/>
    </row>
    <row r="35" spans="1:18" ht="15.75" customHeight="1" x14ac:dyDescent="0.3">
      <c r="A35" s="333" t="s">
        <v>45</v>
      </c>
      <c r="B35" s="30"/>
      <c r="C35" s="30"/>
      <c r="D35" s="30"/>
      <c r="E35" s="59" t="s">
        <v>7</v>
      </c>
      <c r="F35" s="30"/>
      <c r="G35" s="30"/>
      <c r="H35" s="30"/>
      <c r="I35" s="59" t="s">
        <v>7</v>
      </c>
      <c r="J35" s="30"/>
      <c r="K35" s="30"/>
      <c r="L35" s="30"/>
      <c r="M35" s="59" t="s">
        <v>7</v>
      </c>
      <c r="N35" s="30"/>
      <c r="O35" s="30"/>
      <c r="P35" s="30"/>
      <c r="Q35" s="59" t="s">
        <v>7</v>
      </c>
      <c r="R35" s="59" t="s">
        <v>7</v>
      </c>
    </row>
    <row r="36" spans="1:18" ht="15.75" customHeight="1" x14ac:dyDescent="0.3">
      <c r="A36" s="22" t="s">
        <v>46</v>
      </c>
      <c r="B36" s="30" t="s">
        <v>7</v>
      </c>
      <c r="C36" s="60"/>
      <c r="D36" s="60"/>
      <c r="E36" s="59" t="s">
        <v>7</v>
      </c>
      <c r="F36" s="60"/>
      <c r="G36" s="60"/>
      <c r="H36" s="60"/>
      <c r="I36" s="59" t="s">
        <v>7</v>
      </c>
      <c r="J36" s="60"/>
      <c r="K36" s="60"/>
      <c r="L36" s="60"/>
      <c r="M36" s="59" t="s">
        <v>7</v>
      </c>
      <c r="N36" s="60"/>
      <c r="O36" s="60"/>
      <c r="P36" s="60"/>
      <c r="Q36" s="59" t="s">
        <v>7</v>
      </c>
      <c r="R36" s="59" t="s">
        <v>7</v>
      </c>
    </row>
    <row r="37" spans="1:18" ht="15.75" customHeight="1" x14ac:dyDescent="0.3">
      <c r="A37" s="22" t="s">
        <v>47</v>
      </c>
      <c r="B37" s="30"/>
      <c r="C37" s="30"/>
      <c r="D37" s="30"/>
      <c r="E37" s="59" t="s">
        <v>7</v>
      </c>
      <c r="F37" s="30"/>
      <c r="G37" s="30"/>
      <c r="H37" s="30"/>
      <c r="I37" s="59" t="s">
        <v>7</v>
      </c>
      <c r="J37" s="30"/>
      <c r="K37" s="30"/>
      <c r="L37" s="30"/>
      <c r="M37" s="59" t="s">
        <v>7</v>
      </c>
      <c r="N37" s="30"/>
      <c r="O37" s="30"/>
      <c r="P37" s="30"/>
      <c r="Q37" s="59" t="s">
        <v>7</v>
      </c>
      <c r="R37" s="59" t="s">
        <v>7</v>
      </c>
    </row>
    <row r="38" spans="1:18" ht="15.75" customHeight="1" x14ac:dyDescent="0.3">
      <c r="A38" s="61" t="s">
        <v>48</v>
      </c>
      <c r="B38" s="1"/>
      <c r="C38" s="1"/>
      <c r="D38" s="1"/>
      <c r="E38" s="59">
        <f>SUM(B38:D38)</f>
        <v>0</v>
      </c>
      <c r="F38" s="1"/>
      <c r="G38" s="1"/>
      <c r="H38" s="1"/>
      <c r="I38" s="59">
        <f>SUM(F38:H38)</f>
        <v>0</v>
      </c>
      <c r="J38" s="1"/>
      <c r="K38" s="1"/>
      <c r="L38" s="1"/>
      <c r="M38" s="59">
        <f>SUM(J38:L38)</f>
        <v>0</v>
      </c>
      <c r="N38" s="1"/>
      <c r="O38" s="1"/>
      <c r="P38" s="1"/>
      <c r="Q38" s="59">
        <f>SUM(N38:P38)</f>
        <v>0</v>
      </c>
      <c r="R38" s="59">
        <f>+E38+I38+M38+Q38</f>
        <v>0</v>
      </c>
    </row>
    <row r="39" spans="1:18" ht="15.75" customHeight="1" x14ac:dyDescent="0.3">
      <c r="A39" s="22" t="s">
        <v>49</v>
      </c>
      <c r="B39" s="30"/>
      <c r="C39" s="30"/>
      <c r="D39" s="30"/>
      <c r="E39" s="59" t="s">
        <v>50</v>
      </c>
      <c r="F39" s="30"/>
      <c r="G39" s="30"/>
      <c r="H39" s="30"/>
      <c r="I39" s="59" t="s">
        <v>50</v>
      </c>
      <c r="J39" s="30"/>
      <c r="K39" s="30"/>
      <c r="L39" s="30"/>
      <c r="M39" s="59" t="s">
        <v>50</v>
      </c>
      <c r="N39" s="30"/>
      <c r="O39" s="30"/>
      <c r="P39" s="30"/>
      <c r="Q39" s="59" t="s">
        <v>50</v>
      </c>
      <c r="R39" s="59" t="s">
        <v>50</v>
      </c>
    </row>
    <row r="40" spans="1:18" ht="15.75" customHeight="1" thickBot="1" x14ac:dyDescent="0.35">
      <c r="A40" s="22" t="s">
        <v>51</v>
      </c>
      <c r="B40" s="60"/>
      <c r="C40" s="60"/>
      <c r="D40" s="60"/>
      <c r="E40" s="59" t="s">
        <v>7</v>
      </c>
      <c r="F40" s="60"/>
      <c r="G40" s="60"/>
      <c r="H40" s="60"/>
      <c r="I40" s="59" t="s">
        <v>7</v>
      </c>
      <c r="J40" s="60"/>
      <c r="K40" s="60"/>
      <c r="L40" s="60"/>
      <c r="M40" s="59" t="s">
        <v>7</v>
      </c>
      <c r="N40" s="60"/>
      <c r="O40" s="60"/>
      <c r="P40" s="60"/>
      <c r="Q40" s="59" t="s">
        <v>7</v>
      </c>
      <c r="R40" s="59" t="s">
        <v>7</v>
      </c>
    </row>
    <row r="41" spans="1:18" ht="16.5" customHeight="1" thickBot="1" x14ac:dyDescent="0.35">
      <c r="A41" s="62" t="s">
        <v>52</v>
      </c>
      <c r="B41" s="63">
        <f>SUM(B35:B40)</f>
        <v>0</v>
      </c>
      <c r="C41" s="63">
        <f>SUM(C35:C40)</f>
        <v>0</v>
      </c>
      <c r="D41" s="63">
        <f>SUM(D35:D40)</f>
        <v>0</v>
      </c>
      <c r="E41" s="64">
        <f>SUM(B41:D41)</f>
        <v>0</v>
      </c>
      <c r="F41" s="63">
        <f>SUM(F35:F40)</f>
        <v>0</v>
      </c>
      <c r="G41" s="63">
        <f>SUM(G35:G40)</f>
        <v>0</v>
      </c>
      <c r="H41" s="63">
        <f>SUM(H35:H40)</f>
        <v>0</v>
      </c>
      <c r="I41" s="64">
        <f>SUM(F41:H41)</f>
        <v>0</v>
      </c>
      <c r="J41" s="63">
        <f>SUM(J35:J40)</f>
        <v>0</v>
      </c>
      <c r="K41" s="63">
        <f>SUM(K35:K40)</f>
        <v>0</v>
      </c>
      <c r="L41" s="63">
        <f>SUM(L35:L40)</f>
        <v>0</v>
      </c>
      <c r="M41" s="64">
        <f>SUM(J41:L41)</f>
        <v>0</v>
      </c>
      <c r="N41" s="63">
        <f>SUM(N35:N40)</f>
        <v>0</v>
      </c>
      <c r="O41" s="63">
        <f>SUM(O35:O40)</f>
        <v>0</v>
      </c>
      <c r="P41" s="63">
        <f>SUM(P35:P40)</f>
        <v>0</v>
      </c>
      <c r="Q41" s="64">
        <f>SUM(N41:P41)</f>
        <v>0</v>
      </c>
      <c r="R41" s="64">
        <f>+E41+I41+M41+Q41</f>
        <v>0</v>
      </c>
    </row>
    <row r="42" spans="1:18" ht="15.75" customHeight="1" x14ac:dyDescent="0.3">
      <c r="A42" s="22" t="s">
        <v>53</v>
      </c>
      <c r="B42" s="60"/>
      <c r="C42" s="60"/>
      <c r="D42" s="60"/>
      <c r="E42" s="59" t="s">
        <v>7</v>
      </c>
      <c r="F42" s="60"/>
      <c r="G42" s="60"/>
      <c r="H42" s="60"/>
      <c r="I42" s="59" t="s">
        <v>7</v>
      </c>
      <c r="J42" s="60"/>
      <c r="K42" s="60"/>
      <c r="L42" s="60"/>
      <c r="M42" s="59" t="s">
        <v>7</v>
      </c>
      <c r="N42" s="60"/>
      <c r="O42" s="60"/>
      <c r="P42" s="60"/>
      <c r="Q42" s="59" t="s">
        <v>7</v>
      </c>
      <c r="R42" s="334" t="s">
        <v>7</v>
      </c>
    </row>
    <row r="43" spans="1:18" ht="15.75" customHeight="1" x14ac:dyDescent="0.3">
      <c r="A43" s="22" t="s">
        <v>54</v>
      </c>
      <c r="B43" s="60"/>
      <c r="C43" s="60"/>
      <c r="D43" s="60"/>
      <c r="E43" s="59"/>
      <c r="F43" s="60"/>
      <c r="G43" s="60"/>
      <c r="H43" s="60"/>
      <c r="I43" s="59"/>
      <c r="J43" s="60"/>
      <c r="K43" s="60"/>
      <c r="L43" s="60"/>
      <c r="M43" s="59"/>
      <c r="N43" s="60"/>
      <c r="O43" s="60"/>
      <c r="P43" s="60"/>
      <c r="Q43" s="59"/>
      <c r="R43" s="59"/>
    </row>
    <row r="44" spans="1:18" ht="15.75" customHeight="1" x14ac:dyDescent="0.3">
      <c r="A44" s="22" t="s">
        <v>55</v>
      </c>
      <c r="B44" s="60"/>
      <c r="C44" s="60"/>
      <c r="D44" s="60"/>
      <c r="E44" s="59" t="s">
        <v>7</v>
      </c>
      <c r="F44" s="60"/>
      <c r="G44" s="60"/>
      <c r="H44" s="60"/>
      <c r="I44" s="59" t="s">
        <v>7</v>
      </c>
      <c r="J44" s="60"/>
      <c r="K44" s="60"/>
      <c r="L44" s="60"/>
      <c r="M44" s="59" t="s">
        <v>7</v>
      </c>
      <c r="N44" s="60"/>
      <c r="O44" s="60"/>
      <c r="P44" s="60"/>
      <c r="Q44" s="59" t="s">
        <v>7</v>
      </c>
      <c r="R44" s="59" t="s">
        <v>7</v>
      </c>
    </row>
    <row r="45" spans="1:18" ht="15.75" customHeight="1" thickBot="1" x14ac:dyDescent="0.35">
      <c r="A45" s="22" t="s">
        <v>56</v>
      </c>
      <c r="B45" s="60"/>
      <c r="C45" s="60"/>
      <c r="D45" s="60"/>
      <c r="E45" s="59" t="s">
        <v>7</v>
      </c>
      <c r="F45" s="60"/>
      <c r="G45" s="60"/>
      <c r="H45" s="60"/>
      <c r="I45" s="59" t="s">
        <v>7</v>
      </c>
      <c r="J45" s="60"/>
      <c r="K45" s="60"/>
      <c r="L45" s="60"/>
      <c r="M45" s="59" t="s">
        <v>7</v>
      </c>
      <c r="N45" s="60"/>
      <c r="O45" s="60"/>
      <c r="P45" s="60"/>
      <c r="Q45" s="59" t="s">
        <v>7</v>
      </c>
      <c r="R45" s="59" t="s">
        <v>7</v>
      </c>
    </row>
    <row r="46" spans="1:18" ht="16.5" customHeight="1" thickBot="1" x14ac:dyDescent="0.35">
      <c r="A46" s="62" t="s">
        <v>57</v>
      </c>
      <c r="B46" s="63">
        <f>SUM(B42:B45)</f>
        <v>0</v>
      </c>
      <c r="C46" s="63">
        <f>SUM(C42:C45)</f>
        <v>0</v>
      </c>
      <c r="D46" s="63">
        <f>SUM(D42:D45)</f>
        <v>0</v>
      </c>
      <c r="E46" s="64">
        <f>SUM(B46:D46)</f>
        <v>0</v>
      </c>
      <c r="F46" s="63">
        <f>SUM(F42:F45)</f>
        <v>0</v>
      </c>
      <c r="G46" s="63">
        <f>SUM(G42:G45)</f>
        <v>0</v>
      </c>
      <c r="H46" s="63">
        <f>SUM(H42:H45)</f>
        <v>0</v>
      </c>
      <c r="I46" s="64">
        <f>SUM(F46:H46)</f>
        <v>0</v>
      </c>
      <c r="J46" s="63">
        <f>SUM(J42:J45)</f>
        <v>0</v>
      </c>
      <c r="K46" s="63">
        <f>SUM(K42:K45)</f>
        <v>0</v>
      </c>
      <c r="L46" s="63">
        <f>SUM(L42:L45)</f>
        <v>0</v>
      </c>
      <c r="M46" s="64">
        <f>SUM(J46:L46)</f>
        <v>0</v>
      </c>
      <c r="N46" s="63">
        <f>SUM(N42:N45)</f>
        <v>0</v>
      </c>
      <c r="O46" s="63">
        <f>SUM(O42:O45)</f>
        <v>0</v>
      </c>
      <c r="P46" s="63">
        <f>SUM(P42:P45)</f>
        <v>0</v>
      </c>
      <c r="Q46" s="64">
        <f>SUM(N46:P46)</f>
        <v>0</v>
      </c>
      <c r="R46" s="64">
        <f>+E46+I46+M46+Q46</f>
        <v>0</v>
      </c>
    </row>
    <row r="47" spans="1:18" ht="15.75" customHeight="1" x14ac:dyDescent="0.3">
      <c r="A47" s="22" t="s">
        <v>58</v>
      </c>
      <c r="B47" s="60"/>
      <c r="C47" s="60"/>
      <c r="D47" s="60"/>
      <c r="E47" s="59" t="s">
        <v>7</v>
      </c>
      <c r="F47" s="60"/>
      <c r="G47" s="60"/>
      <c r="H47" s="60"/>
      <c r="I47" s="59" t="s">
        <v>7</v>
      </c>
      <c r="J47" s="60"/>
      <c r="K47" s="60"/>
      <c r="L47" s="60"/>
      <c r="M47" s="59" t="s">
        <v>7</v>
      </c>
      <c r="N47" s="60"/>
      <c r="O47" s="60"/>
      <c r="P47" s="60"/>
      <c r="Q47" s="59" t="s">
        <v>7</v>
      </c>
      <c r="R47" s="59" t="s">
        <v>7</v>
      </c>
    </row>
    <row r="48" spans="1:18" ht="15.75" customHeight="1" x14ac:dyDescent="0.3">
      <c r="A48" s="22" t="s">
        <v>59</v>
      </c>
      <c r="B48" s="60"/>
      <c r="C48" s="60"/>
      <c r="D48" s="60"/>
      <c r="E48" s="59" t="s">
        <v>7</v>
      </c>
      <c r="F48" s="60"/>
      <c r="G48" s="60"/>
      <c r="H48" s="60"/>
      <c r="I48" s="59" t="s">
        <v>7</v>
      </c>
      <c r="J48" s="60"/>
      <c r="K48" s="60"/>
      <c r="L48" s="60"/>
      <c r="M48" s="59" t="s">
        <v>7</v>
      </c>
      <c r="N48" s="60"/>
      <c r="O48" s="60"/>
      <c r="P48" s="60"/>
      <c r="Q48" s="59" t="s">
        <v>7</v>
      </c>
      <c r="R48" s="59" t="s">
        <v>7</v>
      </c>
    </row>
    <row r="49" spans="1:18" ht="15.75" customHeight="1" thickBot="1" x14ac:dyDescent="0.35">
      <c r="A49" s="22" t="s">
        <v>60</v>
      </c>
      <c r="B49" s="60"/>
      <c r="C49" s="60"/>
      <c r="D49" s="60"/>
      <c r="E49" s="59"/>
      <c r="F49" s="60"/>
      <c r="G49" s="60"/>
      <c r="H49" s="60"/>
      <c r="I49" s="59"/>
      <c r="J49" s="60"/>
      <c r="K49" s="60"/>
      <c r="L49" s="60"/>
      <c r="M49" s="59"/>
      <c r="N49" s="60"/>
      <c r="O49" s="60"/>
      <c r="P49" s="60"/>
      <c r="Q49" s="59"/>
      <c r="R49" s="59"/>
    </row>
    <row r="50" spans="1:18" ht="16.5" customHeight="1" thickBot="1" x14ac:dyDescent="0.35">
      <c r="A50" s="62" t="s">
        <v>61</v>
      </c>
      <c r="B50" s="63">
        <f>SUM(B47:B49)</f>
        <v>0</v>
      </c>
      <c r="C50" s="63">
        <f>SUM(C47:C49)</f>
        <v>0</v>
      </c>
      <c r="D50" s="63">
        <f>SUM(D47:D49)</f>
        <v>0</v>
      </c>
      <c r="E50" s="64">
        <f>SUM(B50:D50)</f>
        <v>0</v>
      </c>
      <c r="F50" s="63">
        <f>SUM(F47:F49)</f>
        <v>0</v>
      </c>
      <c r="G50" s="63">
        <f>SUM(G47:G49)</f>
        <v>0</v>
      </c>
      <c r="H50" s="63">
        <f>SUM(H47:H49)</f>
        <v>0</v>
      </c>
      <c r="I50" s="64">
        <f>SUM(F50:H50)</f>
        <v>0</v>
      </c>
      <c r="J50" s="63">
        <f>SUM(J47:J49)</f>
        <v>0</v>
      </c>
      <c r="K50" s="63">
        <f>SUM(K47:K49)</f>
        <v>0</v>
      </c>
      <c r="L50" s="63">
        <f>SUM(L47:L49)</f>
        <v>0</v>
      </c>
      <c r="M50" s="64">
        <f>SUM(J50:L50)</f>
        <v>0</v>
      </c>
      <c r="N50" s="63">
        <f>SUM(N47:N49)</f>
        <v>0</v>
      </c>
      <c r="O50" s="63">
        <f>SUM(O47:O49)</f>
        <v>0</v>
      </c>
      <c r="P50" s="63">
        <f>SUM(P47:P49)</f>
        <v>0</v>
      </c>
      <c r="Q50" s="64">
        <f>SUM(N50:P50)</f>
        <v>0</v>
      </c>
      <c r="R50" s="64">
        <f>+E50+I50+M50+Q50</f>
        <v>0</v>
      </c>
    </row>
    <row r="51" spans="1:18" ht="15.75" customHeight="1" x14ac:dyDescent="0.3">
      <c r="A51" s="22" t="s">
        <v>62</v>
      </c>
      <c r="B51" s="60"/>
      <c r="C51" s="60"/>
      <c r="D51" s="60"/>
      <c r="E51" s="59" t="s">
        <v>7</v>
      </c>
      <c r="F51" s="60"/>
      <c r="G51" s="60"/>
      <c r="H51" s="60"/>
      <c r="I51" s="59" t="s">
        <v>7</v>
      </c>
      <c r="J51" s="60"/>
      <c r="K51" s="60"/>
      <c r="L51" s="60"/>
      <c r="M51" s="59" t="s">
        <v>7</v>
      </c>
      <c r="N51" s="60"/>
      <c r="O51" s="60"/>
      <c r="P51" s="60"/>
      <c r="Q51" s="59" t="s">
        <v>7</v>
      </c>
      <c r="R51" s="59" t="s">
        <v>7</v>
      </c>
    </row>
    <row r="52" spans="1:18" ht="15.75" customHeight="1" x14ac:dyDescent="0.3">
      <c r="A52" s="22" t="s">
        <v>63</v>
      </c>
      <c r="B52" s="60"/>
      <c r="C52" s="60"/>
      <c r="D52" s="60"/>
      <c r="E52" s="59" t="s">
        <v>7</v>
      </c>
      <c r="F52" s="60"/>
      <c r="G52" s="60"/>
      <c r="H52" s="60"/>
      <c r="I52" s="59" t="s">
        <v>7</v>
      </c>
      <c r="J52" s="60"/>
      <c r="K52" s="60"/>
      <c r="L52" s="60"/>
      <c r="M52" s="59" t="s">
        <v>7</v>
      </c>
      <c r="N52" s="60"/>
      <c r="O52" s="60"/>
      <c r="P52" s="60"/>
      <c r="Q52" s="59" t="s">
        <v>7</v>
      </c>
      <c r="R52" s="59" t="s">
        <v>7</v>
      </c>
    </row>
    <row r="53" spans="1:18" ht="15.75" customHeight="1" x14ac:dyDescent="0.3">
      <c r="A53" s="22" t="s">
        <v>64</v>
      </c>
      <c r="B53" s="60"/>
      <c r="C53" s="60"/>
      <c r="D53" s="60"/>
      <c r="E53" s="59" t="s">
        <v>7</v>
      </c>
      <c r="F53" s="60"/>
      <c r="G53" s="60"/>
      <c r="H53" s="60"/>
      <c r="I53" s="59" t="s">
        <v>7</v>
      </c>
      <c r="J53" s="60"/>
      <c r="K53" s="60"/>
      <c r="L53" s="60"/>
      <c r="M53" s="59" t="s">
        <v>7</v>
      </c>
      <c r="N53" s="60"/>
      <c r="O53" s="60"/>
      <c r="P53" s="60"/>
      <c r="Q53" s="59" t="s">
        <v>7</v>
      </c>
      <c r="R53" s="59" t="s">
        <v>7</v>
      </c>
    </row>
    <row r="54" spans="1:18" ht="15.75" customHeight="1" x14ac:dyDescent="0.3">
      <c r="A54" s="61" t="s">
        <v>65</v>
      </c>
      <c r="B54" s="1"/>
      <c r="C54" s="1"/>
      <c r="D54" s="1"/>
      <c r="E54" s="59">
        <f>SUM(B54:D54)</f>
        <v>0</v>
      </c>
      <c r="F54" s="1"/>
      <c r="G54" s="1"/>
      <c r="H54" s="1"/>
      <c r="I54" s="59">
        <f>SUM(F54:H54)</f>
        <v>0</v>
      </c>
      <c r="J54" s="1"/>
      <c r="K54" s="1"/>
      <c r="L54" s="1"/>
      <c r="M54" s="59">
        <f>SUM(J54:L54)</f>
        <v>0</v>
      </c>
      <c r="N54" s="1"/>
      <c r="O54" s="1"/>
      <c r="P54" s="1"/>
      <c r="Q54" s="59">
        <f>SUM(N54:P54)</f>
        <v>0</v>
      </c>
      <c r="R54" s="59">
        <f>+E54+I54+M54+Q54</f>
        <v>0</v>
      </c>
    </row>
    <row r="55" spans="1:18" ht="15.75" customHeight="1" x14ac:dyDescent="0.3">
      <c r="A55" s="22" t="s">
        <v>66</v>
      </c>
      <c r="B55" s="60"/>
      <c r="C55" s="60"/>
      <c r="D55" s="60"/>
      <c r="E55" s="59" t="s">
        <v>7</v>
      </c>
      <c r="F55" s="60"/>
      <c r="G55" s="60"/>
      <c r="H55" s="60"/>
      <c r="I55" s="59" t="s">
        <v>7</v>
      </c>
      <c r="J55" s="60"/>
      <c r="K55" s="60"/>
      <c r="L55" s="60"/>
      <c r="M55" s="59" t="s">
        <v>7</v>
      </c>
      <c r="N55" s="60"/>
      <c r="O55" s="60"/>
      <c r="P55" s="60"/>
      <c r="Q55" s="59" t="s">
        <v>7</v>
      </c>
      <c r="R55" s="59" t="s">
        <v>7</v>
      </c>
    </row>
    <row r="56" spans="1:18" ht="15.75" customHeight="1" thickBot="1" x14ac:dyDescent="0.35">
      <c r="A56" s="22" t="s">
        <v>67</v>
      </c>
      <c r="B56" s="60"/>
      <c r="C56" s="60"/>
      <c r="D56" s="60"/>
      <c r="E56" s="59" t="s">
        <v>7</v>
      </c>
      <c r="F56" s="60"/>
      <c r="G56" s="60"/>
      <c r="H56" s="60"/>
      <c r="I56" s="59" t="s">
        <v>7</v>
      </c>
      <c r="J56" s="60"/>
      <c r="K56" s="60"/>
      <c r="L56" s="60"/>
      <c r="M56" s="59" t="s">
        <v>7</v>
      </c>
      <c r="N56" s="60"/>
      <c r="O56" s="60"/>
      <c r="P56" s="60"/>
      <c r="Q56" s="59" t="s">
        <v>7</v>
      </c>
      <c r="R56" s="59" t="s">
        <v>7</v>
      </c>
    </row>
    <row r="57" spans="1:18" ht="16.5" customHeight="1" thickBot="1" x14ac:dyDescent="0.35">
      <c r="A57" s="62" t="s">
        <v>68</v>
      </c>
      <c r="B57" s="63">
        <f>SUM(B55:B56)</f>
        <v>0</v>
      </c>
      <c r="C57" s="63">
        <f>SUM(C55:C56)</f>
        <v>0</v>
      </c>
      <c r="D57" s="63">
        <f>SUM(D55:D56)</f>
        <v>0</v>
      </c>
      <c r="E57" s="334">
        <f>SUM(B57:D57)</f>
        <v>0</v>
      </c>
      <c r="F57" s="63">
        <f>SUM(F55:F56)</f>
        <v>0</v>
      </c>
      <c r="G57" s="63">
        <f>SUM(G55:G56)</f>
        <v>0</v>
      </c>
      <c r="H57" s="63">
        <f>SUM(H55:H56)</f>
        <v>0</v>
      </c>
      <c r="I57" s="334">
        <f>SUM(F57:H57)</f>
        <v>0</v>
      </c>
      <c r="J57" s="63">
        <f>SUM(J55:J56)</f>
        <v>0</v>
      </c>
      <c r="K57" s="63">
        <f>SUM(K55:K56)</f>
        <v>0</v>
      </c>
      <c r="L57" s="63">
        <f>SUM(L55:L56)</f>
        <v>0</v>
      </c>
      <c r="M57" s="334">
        <f>SUM(J57:L57)</f>
        <v>0</v>
      </c>
      <c r="N57" s="63">
        <f>SUM(N55:N56)</f>
        <v>0</v>
      </c>
      <c r="O57" s="63">
        <f>SUM(O55:O56)</f>
        <v>0</v>
      </c>
      <c r="P57" s="63">
        <f>SUM(P55:P56)</f>
        <v>0</v>
      </c>
      <c r="Q57" s="334">
        <f>SUM(N57:P57)</f>
        <v>0</v>
      </c>
      <c r="R57" s="64">
        <f>+E57+I57+M57+Q57</f>
        <v>0</v>
      </c>
    </row>
    <row r="58" spans="1:18" ht="16.5" customHeight="1" thickBot="1" x14ac:dyDescent="0.35">
      <c r="A58" s="62" t="s">
        <v>69</v>
      </c>
      <c r="B58" s="63">
        <f>SUM(B51:B56)</f>
        <v>0</v>
      </c>
      <c r="C58" s="63">
        <f>SUM(C51:C56)</f>
        <v>0</v>
      </c>
      <c r="D58" s="63">
        <f>SUM(D51:D56)</f>
        <v>0</v>
      </c>
      <c r="E58" s="334">
        <f>SUM(B58:D58)</f>
        <v>0</v>
      </c>
      <c r="F58" s="63">
        <f>SUM(F51:F56)</f>
        <v>0</v>
      </c>
      <c r="G58" s="63">
        <f>SUM(G51:G56)</f>
        <v>0</v>
      </c>
      <c r="H58" s="63">
        <f>SUM(H51:H56)</f>
        <v>0</v>
      </c>
      <c r="I58" s="334">
        <f>SUM(F58:H58)</f>
        <v>0</v>
      </c>
      <c r="J58" s="63">
        <f>SUM(J51:J56)</f>
        <v>0</v>
      </c>
      <c r="K58" s="63">
        <f>SUM(K51:K56)</f>
        <v>0</v>
      </c>
      <c r="L58" s="63">
        <f>SUM(L51:L56)</f>
        <v>0</v>
      </c>
      <c r="M58" s="334">
        <f>SUM(J58:L58)</f>
        <v>0</v>
      </c>
      <c r="N58" s="63">
        <f>SUM(N51:N56)</f>
        <v>0</v>
      </c>
      <c r="O58" s="63">
        <f>SUM(O51:O56)</f>
        <v>0</v>
      </c>
      <c r="P58" s="63">
        <f>SUM(P51:P56)</f>
        <v>0</v>
      </c>
      <c r="Q58" s="334">
        <f>SUM(N58:P58)</f>
        <v>0</v>
      </c>
      <c r="R58" s="64">
        <f>+E58+I58+M58+Q58</f>
        <v>0</v>
      </c>
    </row>
    <row r="59" spans="1:18" ht="16.5" customHeight="1" thickBot="1" x14ac:dyDescent="0.35">
      <c r="A59" s="62" t="s">
        <v>70</v>
      </c>
      <c r="B59" s="63">
        <f>+B41+B46+B50+B58</f>
        <v>0</v>
      </c>
      <c r="C59" s="63">
        <f>+C41+C46+C50+C58</f>
        <v>0</v>
      </c>
      <c r="D59" s="63">
        <f>+D41+D46+D50+D58</f>
        <v>0</v>
      </c>
      <c r="E59" s="64">
        <f>SUM(B59:D59)</f>
        <v>0</v>
      </c>
      <c r="F59" s="63">
        <f>+F41+F46+F50+F58</f>
        <v>0</v>
      </c>
      <c r="G59" s="63">
        <f>+G41+G46+G50+G58</f>
        <v>0</v>
      </c>
      <c r="H59" s="63">
        <f>+H41+H46+H50+H58</f>
        <v>0</v>
      </c>
      <c r="I59" s="64">
        <f>SUM(F59:H59)</f>
        <v>0</v>
      </c>
      <c r="J59" s="63">
        <f>+J41+J46+J50+J58</f>
        <v>0</v>
      </c>
      <c r="K59" s="63">
        <f>+K41+K46+K50+K58</f>
        <v>0</v>
      </c>
      <c r="L59" s="63">
        <f>+L41+L46+L50+L58</f>
        <v>0</v>
      </c>
      <c r="M59" s="64">
        <f>SUM(J59:L59)</f>
        <v>0</v>
      </c>
      <c r="N59" s="63">
        <f>+N41+N46+N50+N58</f>
        <v>0</v>
      </c>
      <c r="O59" s="63">
        <f>+O41+O46+O50+O58</f>
        <v>0</v>
      </c>
      <c r="P59" s="63">
        <f>+P41+P46+P50+P58</f>
        <v>0</v>
      </c>
      <c r="Q59" s="64">
        <f>SUM(N59:P59)</f>
        <v>0</v>
      </c>
      <c r="R59" s="64">
        <f>+E59+I59+M59+Q59</f>
        <v>0</v>
      </c>
    </row>
    <row r="60" spans="1:18" ht="16.5" customHeight="1" thickBot="1" x14ac:dyDescent="0.35">
      <c r="A60" s="66" t="s">
        <v>37</v>
      </c>
      <c r="B60" s="67">
        <v>96</v>
      </c>
      <c r="C60" s="67">
        <v>145</v>
      </c>
      <c r="D60" s="67">
        <v>261</v>
      </c>
      <c r="E60" s="43">
        <f>SUM(B60:D60)</f>
        <v>502</v>
      </c>
      <c r="F60" s="67">
        <v>350</v>
      </c>
      <c r="G60" s="67">
        <v>402</v>
      </c>
      <c r="H60" s="67">
        <v>396</v>
      </c>
      <c r="I60" s="43">
        <f>SUM(F60:H60)</f>
        <v>1148</v>
      </c>
      <c r="J60" s="67">
        <v>394</v>
      </c>
      <c r="K60" s="67">
        <v>318</v>
      </c>
      <c r="L60" s="67">
        <v>301</v>
      </c>
      <c r="M60" s="43">
        <f>SUM(J60:L60)</f>
        <v>1013</v>
      </c>
      <c r="N60" s="67">
        <v>272</v>
      </c>
      <c r="O60" s="67">
        <v>226</v>
      </c>
      <c r="P60" s="67">
        <v>179</v>
      </c>
      <c r="Q60" s="43">
        <f>SUM(N60:P60)</f>
        <v>677</v>
      </c>
      <c r="R60" s="43">
        <f>+E60+I60+M60+Q60</f>
        <v>3340</v>
      </c>
    </row>
    <row r="61" spans="1:18" ht="16.5" customHeight="1" thickBot="1" x14ac:dyDescent="0.35">
      <c r="A61" s="42"/>
      <c r="B61" s="37"/>
      <c r="C61" s="37"/>
      <c r="D61" s="37"/>
      <c r="E61" s="26"/>
      <c r="F61" s="37"/>
      <c r="G61" s="37"/>
      <c r="H61" s="37"/>
      <c r="I61" s="26"/>
      <c r="J61" s="37"/>
      <c r="K61" s="37"/>
      <c r="L61" s="37"/>
      <c r="M61" s="26"/>
      <c r="N61" s="37"/>
      <c r="O61" s="37"/>
      <c r="P61" s="37"/>
      <c r="Q61" s="26"/>
      <c r="R61" s="42"/>
    </row>
    <row r="62" spans="1:18" ht="15.75" customHeight="1" x14ac:dyDescent="0.3">
      <c r="A62" s="17" t="s">
        <v>38</v>
      </c>
      <c r="B62" s="1">
        <f>+B59+B60</f>
        <v>96</v>
      </c>
      <c r="C62" s="1">
        <f>+C59+C60</f>
        <v>145</v>
      </c>
      <c r="D62" s="1">
        <f>+D59+D60</f>
        <v>261</v>
      </c>
      <c r="E62" s="327">
        <f>SUM(B62:D62)</f>
        <v>502</v>
      </c>
      <c r="F62" s="1">
        <f>+F59+F60</f>
        <v>350</v>
      </c>
      <c r="G62" s="1">
        <f>+G59+G60</f>
        <v>402</v>
      </c>
      <c r="H62" s="1">
        <f>+H59+H60</f>
        <v>396</v>
      </c>
      <c r="I62" s="327">
        <f>SUM(F62:H62)</f>
        <v>1148</v>
      </c>
      <c r="J62" s="1">
        <f>+J59+J60</f>
        <v>394</v>
      </c>
      <c r="K62" s="1">
        <f>+K59+K60</f>
        <v>318</v>
      </c>
      <c r="L62" s="1">
        <f>+L59+L60</f>
        <v>301</v>
      </c>
      <c r="M62" s="327">
        <f>SUM(J62:L62)</f>
        <v>1013</v>
      </c>
      <c r="N62" s="1">
        <f>+N59+N60</f>
        <v>272</v>
      </c>
      <c r="O62" s="1">
        <f>+O59+O60</f>
        <v>226</v>
      </c>
      <c r="P62" s="1">
        <f>+P59+P60</f>
        <v>179</v>
      </c>
      <c r="Q62" s="328">
        <f>SUM(N62:P62)</f>
        <v>677</v>
      </c>
      <c r="R62" s="18">
        <f>+E62+I62+M62+Q62</f>
        <v>3340</v>
      </c>
    </row>
    <row r="63" spans="1:18" ht="15.75" customHeight="1" x14ac:dyDescent="0.3">
      <c r="A63" s="17" t="s">
        <v>39</v>
      </c>
      <c r="B63" s="1">
        <f>(B62/B10)/1.983</f>
        <v>1.5616612171197111</v>
      </c>
      <c r="C63" s="1">
        <f>(C62/C10)/1.983</f>
        <v>2.6114833225271954</v>
      </c>
      <c r="D63" s="1">
        <f>(D62/D10)/1.983</f>
        <v>4.2457664340442145</v>
      </c>
      <c r="E63" s="18"/>
      <c r="F63" s="1">
        <f>(F62/F10)/1.983</f>
        <v>5.8833417381072444</v>
      </c>
      <c r="G63" s="1">
        <f>(G62/G10)/1.983</f>
        <v>6.5394563466887892</v>
      </c>
      <c r="H63" s="1">
        <f>(H62/H10)/1.983</f>
        <v>6.6565809379727678</v>
      </c>
      <c r="I63" s="18"/>
      <c r="J63" s="1">
        <f>(J62/J10)/1.983</f>
        <v>6.4093179119288139</v>
      </c>
      <c r="K63" s="1">
        <f>(K62/K10)/1.983</f>
        <v>5.1730027817090427</v>
      </c>
      <c r="L63" s="1">
        <f>(L62/L10)/1.983</f>
        <v>5.0596738947722306</v>
      </c>
      <c r="M63" s="18"/>
      <c r="N63" s="1">
        <f>(N62/N10)/1.983</f>
        <v>4.4247067818391805</v>
      </c>
      <c r="O63" s="1">
        <f>(O62/O10)/1.983</f>
        <v>3.7989578080349635</v>
      </c>
      <c r="P63" s="1">
        <f>(P62/P10)/1.983</f>
        <v>2.9118474777544612</v>
      </c>
      <c r="Q63" s="19"/>
      <c r="R63" s="68"/>
    </row>
    <row r="64" spans="1:18" ht="15.75" customHeight="1" x14ac:dyDescent="0.3">
      <c r="A64" s="17" t="s">
        <v>71</v>
      </c>
      <c r="B64" s="1">
        <f>B62+B133</f>
        <v>87244</v>
      </c>
      <c r="C64" s="1">
        <f>C62+C133</f>
        <v>151232</v>
      </c>
      <c r="D64" s="1">
        <f>D62+D133</f>
        <v>82468</v>
      </c>
      <c r="E64" s="18">
        <f>SUM(B64:D64)</f>
        <v>320944</v>
      </c>
      <c r="F64" s="1">
        <f>F62+F133</f>
        <v>147296</v>
      </c>
      <c r="G64" s="1">
        <f>G62+G133</f>
        <v>152380</v>
      </c>
      <c r="H64" s="1">
        <f>H62+H133</f>
        <v>106406</v>
      </c>
      <c r="I64" s="18">
        <f>SUM(F64:H64)</f>
        <v>406082</v>
      </c>
      <c r="J64" s="1">
        <f>J62+J133</f>
        <v>97388</v>
      </c>
      <c r="K64" s="1">
        <f>K62+K133</f>
        <v>103620</v>
      </c>
      <c r="L64" s="1">
        <f>L62+L133</f>
        <v>159576</v>
      </c>
      <c r="M64" s="18">
        <f>SUM(J64:L64)</f>
        <v>360584</v>
      </c>
      <c r="N64" s="1">
        <f>N62+N133</f>
        <v>149400</v>
      </c>
      <c r="O64" s="1">
        <f>O62+O133</f>
        <v>122119</v>
      </c>
      <c r="P64" s="1">
        <f>P62+P133</f>
        <v>73726</v>
      </c>
      <c r="Q64" s="19">
        <f>SUM(N64:P64)</f>
        <v>345245</v>
      </c>
      <c r="R64" s="18">
        <f>+E64+I64+M64+Q64</f>
        <v>1432855</v>
      </c>
    </row>
    <row r="65" spans="1:20" ht="16.5" customHeight="1" thickBot="1" x14ac:dyDescent="0.35">
      <c r="A65" s="24" t="s">
        <v>72</v>
      </c>
      <c r="B65" s="25">
        <f>(B64/B10)/1.983</f>
        <v>1419.2247002749175</v>
      </c>
      <c r="C65" s="25">
        <f>(C64/C10)/1.983</f>
        <v>2723.7230747064332</v>
      </c>
      <c r="D65" s="25">
        <f>(D64/D10)/1.983</f>
        <v>1341.5320547232118</v>
      </c>
      <c r="E65" s="26"/>
      <c r="F65" s="25">
        <f>(F64/F10)/1.983</f>
        <v>2475.9791561606994</v>
      </c>
      <c r="G65" s="25">
        <f>(G64/G10)/1.983</f>
        <v>2478.811836090641</v>
      </c>
      <c r="H65" s="25">
        <f>(H64/H10)/1.983</f>
        <v>1788.6367456715413</v>
      </c>
      <c r="I65" s="26"/>
      <c r="J65" s="25">
        <f>(J64/J10)/1.983</f>
        <v>1584.2402355505669</v>
      </c>
      <c r="K65" s="25">
        <f>(K64/K10)/1.983</f>
        <v>1685.6180762285881</v>
      </c>
      <c r="L65" s="25">
        <f>(L64/L10)/1.983</f>
        <v>2682.4004034291474</v>
      </c>
      <c r="M65" s="26"/>
      <c r="N65" s="25">
        <f>(N64/N10)/1.983</f>
        <v>2430.3352691425503</v>
      </c>
      <c r="O65" s="25">
        <f>(O64/O10)/1.983</f>
        <v>2052.7651706169104</v>
      </c>
      <c r="P65" s="25">
        <f>(P64/P10)/1.983</f>
        <v>1199.3232801392483</v>
      </c>
      <c r="Q65" s="27"/>
      <c r="R65" s="69" t="s">
        <v>7</v>
      </c>
    </row>
    <row r="66" spans="1:20" ht="15.75" customHeight="1" x14ac:dyDescent="0.3">
      <c r="A66" s="28"/>
      <c r="B66" s="1"/>
      <c r="C66" s="1"/>
      <c r="D66" s="1"/>
      <c r="E66" s="1"/>
      <c r="F66" s="1"/>
      <c r="G66" s="1"/>
      <c r="H66" s="1"/>
      <c r="I66" s="1"/>
      <c r="J66" s="1"/>
      <c r="K66" s="1"/>
      <c r="L66" s="1"/>
      <c r="M66" s="1"/>
      <c r="N66" s="1"/>
      <c r="O66" s="1"/>
      <c r="P66" s="1"/>
      <c r="Q66" s="1"/>
      <c r="R66" s="28"/>
    </row>
    <row r="67" spans="1:20" ht="15.75" customHeight="1" thickBot="1" x14ac:dyDescent="0.35">
      <c r="A67" s="28"/>
      <c r="B67" s="1"/>
      <c r="C67" s="1"/>
      <c r="D67" s="1"/>
      <c r="E67" s="1"/>
      <c r="F67" s="1"/>
      <c r="G67" s="1"/>
      <c r="H67" s="1"/>
      <c r="I67" s="1"/>
      <c r="J67" s="1"/>
      <c r="K67" s="1"/>
      <c r="L67" s="1"/>
      <c r="M67" s="1"/>
      <c r="N67" s="1"/>
      <c r="O67" s="1"/>
      <c r="P67" s="1"/>
      <c r="Q67" s="1"/>
      <c r="R67" s="28"/>
    </row>
    <row r="68" spans="1:20" ht="16.5" customHeight="1" thickBot="1" x14ac:dyDescent="0.35">
      <c r="A68" s="31" t="s">
        <v>73</v>
      </c>
      <c r="B68" s="323" t="s">
        <v>36</v>
      </c>
      <c r="C68" s="324" t="s">
        <v>9</v>
      </c>
      <c r="D68" s="324" t="s">
        <v>10</v>
      </c>
      <c r="E68" s="325" t="s">
        <v>11</v>
      </c>
      <c r="F68" s="324" t="s">
        <v>12</v>
      </c>
      <c r="G68" s="324" t="s">
        <v>13</v>
      </c>
      <c r="H68" s="324" t="s">
        <v>14</v>
      </c>
      <c r="I68" s="34" t="s">
        <v>15</v>
      </c>
      <c r="J68" s="324" t="s">
        <v>16</v>
      </c>
      <c r="K68" s="324" t="s">
        <v>17</v>
      </c>
      <c r="L68" s="324" t="s">
        <v>18</v>
      </c>
      <c r="M68" s="34" t="s">
        <v>19</v>
      </c>
      <c r="N68" s="324" t="s">
        <v>20</v>
      </c>
      <c r="O68" s="324" t="s">
        <v>21</v>
      </c>
      <c r="P68" s="324" t="s">
        <v>22</v>
      </c>
      <c r="Q68" s="34" t="s">
        <v>23</v>
      </c>
      <c r="R68" s="326" t="s">
        <v>24</v>
      </c>
    </row>
    <row r="69" spans="1:20" ht="16.5" customHeight="1" thickBot="1" x14ac:dyDescent="0.35">
      <c r="A69" s="70"/>
      <c r="B69" s="14"/>
      <c r="C69" s="71"/>
      <c r="D69" s="71"/>
      <c r="E69" s="72"/>
      <c r="F69" s="71"/>
      <c r="G69" s="71"/>
      <c r="H69" s="71"/>
      <c r="I69" s="72"/>
      <c r="J69" s="71"/>
      <c r="K69" s="71"/>
      <c r="L69" s="71"/>
      <c r="M69" s="72"/>
      <c r="N69" s="71"/>
      <c r="O69" s="71"/>
      <c r="P69" s="73"/>
      <c r="Q69" s="72"/>
      <c r="R69" s="64"/>
    </row>
    <row r="70" spans="1:20" ht="15.75" customHeight="1" x14ac:dyDescent="0.3">
      <c r="A70" s="333" t="s">
        <v>45</v>
      </c>
      <c r="B70" s="30"/>
      <c r="C70" s="30"/>
      <c r="D70" s="30"/>
      <c r="E70" s="59" t="s">
        <v>7</v>
      </c>
      <c r="F70" s="30"/>
      <c r="G70" s="30"/>
      <c r="H70" s="30"/>
      <c r="I70" s="59" t="s">
        <v>7</v>
      </c>
      <c r="J70" s="30"/>
      <c r="K70" s="30"/>
      <c r="L70" s="30"/>
      <c r="M70" s="59" t="s">
        <v>7</v>
      </c>
      <c r="N70" s="30"/>
      <c r="O70" s="30"/>
      <c r="P70" s="30"/>
      <c r="Q70" s="59" t="s">
        <v>7</v>
      </c>
      <c r="R70" s="59" t="s">
        <v>7</v>
      </c>
    </row>
    <row r="71" spans="1:20" ht="15.75" customHeight="1" x14ac:dyDescent="0.3">
      <c r="A71" s="22" t="s">
        <v>46</v>
      </c>
      <c r="B71" s="30"/>
      <c r="C71" s="60"/>
      <c r="D71" s="60"/>
      <c r="E71" s="59" t="s">
        <v>7</v>
      </c>
      <c r="F71" s="60"/>
      <c r="G71" s="60"/>
      <c r="H71" s="60"/>
      <c r="I71" s="59" t="s">
        <v>7</v>
      </c>
      <c r="J71" s="60"/>
      <c r="K71" s="60"/>
      <c r="L71" s="60"/>
      <c r="M71" s="59" t="s">
        <v>7</v>
      </c>
      <c r="N71" s="60"/>
      <c r="O71" s="60"/>
      <c r="P71" s="60"/>
      <c r="Q71" s="59" t="s">
        <v>7</v>
      </c>
      <c r="R71" s="59" t="s">
        <v>7</v>
      </c>
    </row>
    <row r="72" spans="1:20" ht="15.75" customHeight="1" x14ac:dyDescent="0.3">
      <c r="A72" s="74" t="s">
        <v>74</v>
      </c>
      <c r="B72" s="1"/>
      <c r="C72" s="1"/>
      <c r="D72" s="1"/>
      <c r="E72" s="59">
        <f t="shared" ref="E72:E82" si="5">SUM(B72:D72)</f>
        <v>0</v>
      </c>
      <c r="F72" s="1"/>
      <c r="G72" s="1"/>
      <c r="H72" s="1"/>
      <c r="I72" s="59">
        <f t="shared" ref="I72:I82" si="6">SUM(F72:H72)</f>
        <v>0</v>
      </c>
      <c r="J72" s="1"/>
      <c r="K72" s="1"/>
      <c r="L72" s="1"/>
      <c r="M72" s="59">
        <f t="shared" ref="M72:M82" si="7">SUM(J72:L72)</f>
        <v>0</v>
      </c>
      <c r="N72" s="1"/>
      <c r="O72" s="1"/>
      <c r="P72" s="1"/>
      <c r="Q72" s="59">
        <f t="shared" ref="Q72:Q82" si="8">SUM(N72:P72)</f>
        <v>0</v>
      </c>
      <c r="R72" s="59">
        <f t="shared" ref="R72:R82" si="9">+E72+I72+M72+Q72</f>
        <v>0</v>
      </c>
    </row>
    <row r="73" spans="1:20" ht="15.75" customHeight="1" x14ac:dyDescent="0.3">
      <c r="A73" s="74" t="s">
        <v>75</v>
      </c>
      <c r="B73" s="1"/>
      <c r="C73" s="1"/>
      <c r="D73" s="1"/>
      <c r="E73" s="59">
        <f>SUM(B73:D73)</f>
        <v>0</v>
      </c>
      <c r="F73" s="1"/>
      <c r="G73" s="1"/>
      <c r="H73" s="1"/>
      <c r="I73" s="59">
        <f>SUM(F73:H73)</f>
        <v>0</v>
      </c>
      <c r="J73" s="1"/>
      <c r="K73" s="1"/>
      <c r="L73" s="1"/>
      <c r="M73" s="59">
        <f>SUM(J73:L73)</f>
        <v>0</v>
      </c>
      <c r="N73" s="1"/>
      <c r="O73" s="1"/>
      <c r="P73" s="1"/>
      <c r="Q73" s="59">
        <f>SUM(N73:P73)</f>
        <v>0</v>
      </c>
      <c r="R73" s="59">
        <f>+E73+I73+M73+Q73</f>
        <v>0</v>
      </c>
    </row>
    <row r="74" spans="1:20" ht="15.75" customHeight="1" x14ac:dyDescent="0.3">
      <c r="A74" s="74" t="s">
        <v>76</v>
      </c>
      <c r="B74" s="1"/>
      <c r="C74" s="1"/>
      <c r="D74" s="1"/>
      <c r="E74" s="59">
        <f t="shared" si="5"/>
        <v>0</v>
      </c>
      <c r="F74" s="1"/>
      <c r="G74" s="1"/>
      <c r="H74" s="1"/>
      <c r="I74" s="59">
        <f t="shared" si="6"/>
        <v>0</v>
      </c>
      <c r="J74" s="1"/>
      <c r="K74" s="1"/>
      <c r="L74" s="1"/>
      <c r="M74" s="59">
        <f t="shared" si="7"/>
        <v>0</v>
      </c>
      <c r="N74" s="1"/>
      <c r="O74" s="1"/>
      <c r="P74" s="1"/>
      <c r="Q74" s="59">
        <f t="shared" si="8"/>
        <v>0</v>
      </c>
      <c r="R74" s="59">
        <f t="shared" si="9"/>
        <v>0</v>
      </c>
    </row>
    <row r="75" spans="1:20" ht="15.75" customHeight="1" x14ac:dyDescent="0.3">
      <c r="A75" s="74" t="s">
        <v>77</v>
      </c>
      <c r="B75" s="1"/>
      <c r="C75" s="1"/>
      <c r="D75" s="1"/>
      <c r="E75" s="59">
        <f t="shared" si="5"/>
        <v>0</v>
      </c>
      <c r="F75" s="1"/>
      <c r="G75" s="1"/>
      <c r="H75" s="1"/>
      <c r="I75" s="59">
        <f t="shared" si="6"/>
        <v>0</v>
      </c>
      <c r="K75" s="1"/>
      <c r="L75" s="1"/>
      <c r="M75" s="59">
        <f t="shared" si="7"/>
        <v>0</v>
      </c>
      <c r="N75" s="1"/>
      <c r="O75" s="1"/>
      <c r="P75" s="1"/>
      <c r="Q75" s="59">
        <f t="shared" si="8"/>
        <v>0</v>
      </c>
      <c r="R75" s="59">
        <f t="shared" si="9"/>
        <v>0</v>
      </c>
      <c r="T75" s="4" t="s">
        <v>78</v>
      </c>
    </row>
    <row r="76" spans="1:20" ht="15.75" customHeight="1" x14ac:dyDescent="0.3">
      <c r="A76" s="74" t="s">
        <v>79</v>
      </c>
      <c r="B76" s="1">
        <v>361</v>
      </c>
      <c r="C76" s="1">
        <v>48</v>
      </c>
      <c r="D76" s="1">
        <v>798</v>
      </c>
      <c r="E76" s="59">
        <f t="shared" si="5"/>
        <v>1207</v>
      </c>
      <c r="F76" s="1">
        <v>1707</v>
      </c>
      <c r="G76" s="1">
        <v>1573</v>
      </c>
      <c r="H76" s="1">
        <v>1619</v>
      </c>
      <c r="I76" s="59">
        <f t="shared" si="6"/>
        <v>4899</v>
      </c>
      <c r="J76" s="1">
        <v>721</v>
      </c>
      <c r="K76" s="1">
        <v>467</v>
      </c>
      <c r="L76" s="1"/>
      <c r="M76" s="59">
        <f t="shared" si="7"/>
        <v>1188</v>
      </c>
      <c r="N76" s="1"/>
      <c r="O76" s="1"/>
      <c r="P76" s="1"/>
      <c r="Q76" s="59">
        <f t="shared" si="8"/>
        <v>0</v>
      </c>
      <c r="R76" s="59">
        <f t="shared" si="9"/>
        <v>7294</v>
      </c>
      <c r="S76" s="75" t="s">
        <v>80</v>
      </c>
      <c r="T76" s="4" t="s">
        <v>78</v>
      </c>
    </row>
    <row r="77" spans="1:20" ht="15.75" customHeight="1" x14ac:dyDescent="0.3">
      <c r="A77" s="74" t="s">
        <v>81</v>
      </c>
      <c r="B77" s="1"/>
      <c r="C77" s="1"/>
      <c r="D77" s="1"/>
      <c r="E77" s="59">
        <f t="shared" si="5"/>
        <v>0</v>
      </c>
      <c r="F77" s="1"/>
      <c r="G77" s="1"/>
      <c r="H77" s="1"/>
      <c r="I77" s="59">
        <f t="shared" si="6"/>
        <v>0</v>
      </c>
      <c r="J77" s="1"/>
      <c r="K77" s="1"/>
      <c r="L77" s="1"/>
      <c r="M77" s="59">
        <f t="shared" si="7"/>
        <v>0</v>
      </c>
      <c r="N77" s="1"/>
      <c r="O77" s="1"/>
      <c r="P77" s="1"/>
      <c r="Q77" s="59">
        <f t="shared" si="8"/>
        <v>0</v>
      </c>
      <c r="R77" s="59">
        <f t="shared" si="9"/>
        <v>0</v>
      </c>
    </row>
    <row r="78" spans="1:20" ht="15.75" customHeight="1" x14ac:dyDescent="0.3">
      <c r="A78" s="74" t="s">
        <v>82</v>
      </c>
      <c r="B78" s="1"/>
      <c r="C78" s="1"/>
      <c r="D78" s="1"/>
      <c r="E78" s="59">
        <f t="shared" si="5"/>
        <v>0</v>
      </c>
      <c r="F78" s="1"/>
      <c r="G78" s="1"/>
      <c r="H78" s="1"/>
      <c r="I78" s="59">
        <f t="shared" si="6"/>
        <v>0</v>
      </c>
      <c r="J78" s="1"/>
      <c r="K78" s="1"/>
      <c r="L78" s="1"/>
      <c r="M78" s="59">
        <f t="shared" si="7"/>
        <v>0</v>
      </c>
      <c r="N78" s="1"/>
      <c r="O78" s="1"/>
      <c r="P78" s="1"/>
      <c r="Q78" s="59">
        <f t="shared" si="8"/>
        <v>0</v>
      </c>
      <c r="R78" s="59">
        <f t="shared" si="9"/>
        <v>0</v>
      </c>
      <c r="T78" s="4" t="s">
        <v>83</v>
      </c>
    </row>
    <row r="79" spans="1:20" ht="15.75" customHeight="1" x14ac:dyDescent="0.3">
      <c r="A79" s="76" t="s">
        <v>84</v>
      </c>
      <c r="B79" s="1"/>
      <c r="C79" s="1"/>
      <c r="D79" s="1"/>
      <c r="E79" s="59">
        <f t="shared" si="5"/>
        <v>0</v>
      </c>
      <c r="F79" s="1"/>
      <c r="G79" s="1">
        <v>512</v>
      </c>
      <c r="H79" s="1">
        <v>512</v>
      </c>
      <c r="I79" s="59">
        <f t="shared" si="6"/>
        <v>1024</v>
      </c>
      <c r="J79" s="1">
        <v>512</v>
      </c>
      <c r="K79" s="1">
        <v>512</v>
      </c>
      <c r="L79" s="1"/>
      <c r="M79" s="59">
        <f t="shared" si="7"/>
        <v>1024</v>
      </c>
      <c r="N79" s="1"/>
      <c r="O79" s="1"/>
      <c r="P79" s="1"/>
      <c r="Q79" s="59">
        <f t="shared" si="8"/>
        <v>0</v>
      </c>
      <c r="R79" s="59">
        <f t="shared" si="9"/>
        <v>2048</v>
      </c>
    </row>
    <row r="80" spans="1:20" ht="15.75" customHeight="1" x14ac:dyDescent="0.3">
      <c r="A80" s="76" t="s">
        <v>85</v>
      </c>
      <c r="B80" s="1"/>
      <c r="C80" s="1"/>
      <c r="D80" s="1"/>
      <c r="E80" s="59">
        <f t="shared" si="5"/>
        <v>0</v>
      </c>
      <c r="F80" s="1"/>
      <c r="G80" s="1"/>
      <c r="H80" s="1"/>
      <c r="I80" s="59">
        <f t="shared" si="6"/>
        <v>0</v>
      </c>
      <c r="J80" s="1"/>
      <c r="K80" s="1"/>
      <c r="L80" s="1"/>
      <c r="M80" s="59">
        <f t="shared" si="7"/>
        <v>0</v>
      </c>
      <c r="N80" s="1"/>
      <c r="O80" s="1"/>
      <c r="P80" s="1"/>
      <c r="Q80" s="59">
        <f t="shared" si="8"/>
        <v>0</v>
      </c>
      <c r="R80" s="59">
        <f t="shared" si="9"/>
        <v>0</v>
      </c>
    </row>
    <row r="81" spans="1:20" ht="15.75" customHeight="1" x14ac:dyDescent="0.3">
      <c r="A81" s="76" t="s">
        <v>86</v>
      </c>
      <c r="B81" s="1"/>
      <c r="C81" s="1"/>
      <c r="D81" s="1"/>
      <c r="E81" s="59">
        <f>SUM(B81:D81)</f>
        <v>0</v>
      </c>
      <c r="F81" s="1"/>
      <c r="G81" s="1"/>
      <c r="H81" s="1"/>
      <c r="I81" s="59">
        <f>SUM(F81:H81)</f>
        <v>0</v>
      </c>
      <c r="J81" s="1"/>
      <c r="K81" s="1"/>
      <c r="L81" s="1"/>
      <c r="M81" s="59">
        <f>SUM(J81:L81)</f>
        <v>0</v>
      </c>
      <c r="N81" s="1"/>
      <c r="O81" s="1"/>
      <c r="P81" s="1"/>
      <c r="Q81" s="59">
        <f>SUM(N81:P81)</f>
        <v>0</v>
      </c>
      <c r="R81" s="59">
        <f t="shared" si="9"/>
        <v>0</v>
      </c>
    </row>
    <row r="82" spans="1:20" ht="15.75" customHeight="1" x14ac:dyDescent="0.3">
      <c r="A82" s="76" t="s">
        <v>87</v>
      </c>
      <c r="B82" s="1"/>
      <c r="C82" s="1"/>
      <c r="D82" s="1"/>
      <c r="E82" s="59">
        <f t="shared" si="5"/>
        <v>0</v>
      </c>
      <c r="F82" s="1"/>
      <c r="G82" s="1"/>
      <c r="H82" s="1"/>
      <c r="I82" s="59">
        <f t="shared" si="6"/>
        <v>0</v>
      </c>
      <c r="J82" s="1"/>
      <c r="K82" s="1"/>
      <c r="L82" s="1"/>
      <c r="M82" s="59">
        <f t="shared" si="7"/>
        <v>0</v>
      </c>
      <c r="N82" s="1"/>
      <c r="O82" s="1"/>
      <c r="P82" s="1"/>
      <c r="Q82" s="59">
        <f t="shared" si="8"/>
        <v>0</v>
      </c>
      <c r="R82" s="59">
        <f t="shared" si="9"/>
        <v>0</v>
      </c>
      <c r="S82" s="4">
        <f>SUM(R72:R82)</f>
        <v>9342</v>
      </c>
    </row>
    <row r="83" spans="1:20" ht="15.75" customHeight="1" x14ac:dyDescent="0.3">
      <c r="A83" s="22" t="s">
        <v>47</v>
      </c>
      <c r="B83" s="30"/>
      <c r="C83" s="30"/>
      <c r="D83" s="30"/>
      <c r="E83" s="59" t="s">
        <v>7</v>
      </c>
      <c r="F83" s="30"/>
      <c r="G83" s="30"/>
      <c r="H83" s="30"/>
      <c r="I83" s="59" t="s">
        <v>7</v>
      </c>
      <c r="J83" s="30"/>
      <c r="K83" s="30"/>
      <c r="L83" s="30"/>
      <c r="M83" s="59" t="s">
        <v>7</v>
      </c>
      <c r="N83" s="30"/>
      <c r="O83" s="30"/>
      <c r="P83" s="30"/>
      <c r="Q83" s="59" t="s">
        <v>7</v>
      </c>
      <c r="R83" s="59" t="s">
        <v>7</v>
      </c>
    </row>
    <row r="84" spans="1:20" ht="15.75" customHeight="1" x14ac:dyDescent="0.3">
      <c r="A84" s="76" t="s">
        <v>88</v>
      </c>
      <c r="B84" s="1"/>
      <c r="C84" s="1"/>
      <c r="D84" s="1"/>
      <c r="E84" s="59">
        <f>SUM(B84:D84)</f>
        <v>0</v>
      </c>
      <c r="F84" s="1"/>
      <c r="G84" s="1"/>
      <c r="H84" s="1"/>
      <c r="I84" s="59">
        <f>SUM(F84:H84)</f>
        <v>0</v>
      </c>
      <c r="J84" s="1"/>
      <c r="K84" s="1"/>
      <c r="L84" s="1"/>
      <c r="M84" s="59">
        <f>SUM(J84:L84)</f>
        <v>0</v>
      </c>
      <c r="N84" s="1"/>
      <c r="O84" s="1"/>
      <c r="P84" s="1"/>
      <c r="Q84" s="59">
        <f>SUM(N84:P84)</f>
        <v>0</v>
      </c>
      <c r="R84" s="59">
        <f>+E84+I84+M84+Q84</f>
        <v>0</v>
      </c>
    </row>
    <row r="85" spans="1:20" ht="15.75" customHeight="1" x14ac:dyDescent="0.3">
      <c r="A85" s="22" t="s">
        <v>49</v>
      </c>
      <c r="B85" s="30"/>
      <c r="C85" s="30"/>
      <c r="D85" s="30"/>
      <c r="E85" s="59" t="s">
        <v>50</v>
      </c>
      <c r="F85" s="30"/>
      <c r="G85" s="30"/>
      <c r="H85" s="30"/>
      <c r="I85" s="59" t="s">
        <v>50</v>
      </c>
      <c r="J85" s="30"/>
      <c r="K85" s="30"/>
      <c r="L85" s="30"/>
      <c r="M85" s="59" t="s">
        <v>50</v>
      </c>
      <c r="N85" s="30"/>
      <c r="O85" s="30"/>
      <c r="P85" s="30"/>
      <c r="Q85" s="59" t="s">
        <v>50</v>
      </c>
      <c r="R85" s="59" t="s">
        <v>50</v>
      </c>
    </row>
    <row r="86" spans="1:20" ht="15.75" customHeight="1" x14ac:dyDescent="0.3">
      <c r="A86" s="61" t="s">
        <v>89</v>
      </c>
      <c r="B86" s="1"/>
      <c r="C86" s="1"/>
      <c r="D86" s="1"/>
      <c r="E86" s="59">
        <f>SUM(B86:D86)</f>
        <v>0</v>
      </c>
      <c r="F86" s="1"/>
      <c r="G86" s="1"/>
      <c r="H86" s="1"/>
      <c r="I86" s="59">
        <f>SUM(F86:H86)</f>
        <v>0</v>
      </c>
      <c r="J86" s="1"/>
      <c r="K86" s="1"/>
      <c r="L86" s="1"/>
      <c r="M86" s="59">
        <f>SUM(J86:L86)</f>
        <v>0</v>
      </c>
      <c r="N86" s="1"/>
      <c r="O86" s="1"/>
      <c r="P86" s="1"/>
      <c r="Q86" s="59">
        <f>SUM(N86:P86)</f>
        <v>0</v>
      </c>
      <c r="R86" s="59">
        <f>+E86+I86+M86+Q86</f>
        <v>0</v>
      </c>
      <c r="S86" s="77" t="s">
        <v>90</v>
      </c>
    </row>
    <row r="87" spans="1:20" ht="15.75" customHeight="1" x14ac:dyDescent="0.3">
      <c r="A87" s="61" t="s">
        <v>91</v>
      </c>
      <c r="B87" s="1"/>
      <c r="C87" s="1"/>
      <c r="D87" s="1"/>
      <c r="E87" s="59">
        <f>SUM(B87:D87)</f>
        <v>0</v>
      </c>
      <c r="F87" s="1"/>
      <c r="G87" s="1"/>
      <c r="H87" s="1"/>
      <c r="I87" s="59">
        <f>SUM(F87:H87)</f>
        <v>0</v>
      </c>
      <c r="J87" s="1"/>
      <c r="K87" s="1">
        <v>766</v>
      </c>
      <c r="L87" s="1">
        <v>1352</v>
      </c>
      <c r="M87" s="59">
        <f>SUM(J87:L87)</f>
        <v>2118</v>
      </c>
      <c r="N87" s="1">
        <v>1588</v>
      </c>
      <c r="O87" s="1"/>
      <c r="P87" s="1"/>
      <c r="Q87" s="59">
        <f>SUM(N87:P87)</f>
        <v>1588</v>
      </c>
      <c r="R87" s="59">
        <f>+E87+I87+M87+Q87</f>
        <v>3706</v>
      </c>
      <c r="S87" s="77" t="s">
        <v>90</v>
      </c>
      <c r="T87" s="4" t="s">
        <v>78</v>
      </c>
    </row>
    <row r="88" spans="1:20" ht="15.75" customHeight="1" thickBot="1" x14ac:dyDescent="0.35">
      <c r="A88" s="22" t="s">
        <v>51</v>
      </c>
      <c r="B88" s="60"/>
      <c r="C88" s="60"/>
      <c r="D88" s="60"/>
      <c r="E88" s="59" t="s">
        <v>7</v>
      </c>
      <c r="F88" s="60"/>
      <c r="G88" s="60"/>
      <c r="H88" s="60"/>
      <c r="I88" s="59" t="s">
        <v>7</v>
      </c>
      <c r="J88" s="60"/>
      <c r="K88" s="60"/>
      <c r="L88" s="60"/>
      <c r="M88" s="59" t="s">
        <v>7</v>
      </c>
      <c r="N88" s="60"/>
      <c r="O88" s="60"/>
      <c r="P88" s="60"/>
      <c r="Q88" s="59" t="s">
        <v>7</v>
      </c>
      <c r="R88" s="59" t="s">
        <v>7</v>
      </c>
    </row>
    <row r="89" spans="1:20" ht="16.5" customHeight="1" thickBot="1" x14ac:dyDescent="0.35">
      <c r="A89" s="62" t="s">
        <v>52</v>
      </c>
      <c r="B89" s="63">
        <f>SUM(B70:B88)</f>
        <v>361</v>
      </c>
      <c r="C89" s="63">
        <f>SUM(C70:C88)</f>
        <v>48</v>
      </c>
      <c r="D89" s="63">
        <f>SUM(D70:D88)</f>
        <v>798</v>
      </c>
      <c r="E89" s="64">
        <f>SUM(B89:D89)</f>
        <v>1207</v>
      </c>
      <c r="F89" s="63">
        <f>SUM(F70:F88)</f>
        <v>1707</v>
      </c>
      <c r="G89" s="63">
        <f>SUM(G70:G88)</f>
        <v>2085</v>
      </c>
      <c r="H89" s="63">
        <f>SUM(H70:H88)</f>
        <v>2131</v>
      </c>
      <c r="I89" s="64">
        <f>SUM(F89:H89)</f>
        <v>5923</v>
      </c>
      <c r="J89" s="63">
        <f>SUM(J70:J88)</f>
        <v>1233</v>
      </c>
      <c r="K89" s="63">
        <f>SUM(K70:K88)</f>
        <v>1745</v>
      </c>
      <c r="L89" s="63">
        <f>SUM(L70:L88)</f>
        <v>1352</v>
      </c>
      <c r="M89" s="64">
        <f>SUM(J89:L89)</f>
        <v>4330</v>
      </c>
      <c r="N89" s="63">
        <f>SUM(N70:N88)</f>
        <v>1588</v>
      </c>
      <c r="O89" s="63">
        <f>SUM(O70:O88)</f>
        <v>0</v>
      </c>
      <c r="P89" s="63">
        <f>SUM(P70:P88)</f>
        <v>0</v>
      </c>
      <c r="Q89" s="64">
        <f>SUM(N89:P89)</f>
        <v>1588</v>
      </c>
      <c r="R89" s="64">
        <f>+E89+I89+M89+Q89</f>
        <v>13048</v>
      </c>
    </row>
    <row r="90" spans="1:20" ht="15.75" customHeight="1" x14ac:dyDescent="0.3">
      <c r="A90" s="22" t="s">
        <v>53</v>
      </c>
      <c r="B90" s="60"/>
      <c r="C90" s="60"/>
      <c r="D90" s="60"/>
      <c r="E90" s="59" t="s">
        <v>7</v>
      </c>
      <c r="F90" s="60"/>
      <c r="G90" s="60"/>
      <c r="H90" s="60"/>
      <c r="I90" s="59" t="s">
        <v>7</v>
      </c>
      <c r="J90" s="60"/>
      <c r="K90" s="60"/>
      <c r="L90" s="60"/>
      <c r="M90" s="59" t="s">
        <v>7</v>
      </c>
      <c r="N90" s="60"/>
      <c r="O90" s="60"/>
      <c r="P90" s="60"/>
      <c r="Q90" s="59" t="s">
        <v>7</v>
      </c>
      <c r="R90" s="334" t="s">
        <v>7</v>
      </c>
    </row>
    <row r="91" spans="1:20" ht="15.75" customHeight="1" x14ac:dyDescent="0.3">
      <c r="A91" s="22" t="s">
        <v>54</v>
      </c>
      <c r="B91" s="60"/>
      <c r="C91" s="60"/>
      <c r="D91" s="60"/>
      <c r="E91" s="59" t="s">
        <v>7</v>
      </c>
      <c r="F91" s="60"/>
      <c r="G91" s="60"/>
      <c r="H91" s="60"/>
      <c r="I91" s="59" t="s">
        <v>7</v>
      </c>
      <c r="J91" s="60"/>
      <c r="K91" s="60"/>
      <c r="L91" s="60"/>
      <c r="M91" s="59" t="s">
        <v>7</v>
      </c>
      <c r="N91" s="60"/>
      <c r="O91" s="60"/>
      <c r="P91" s="60"/>
      <c r="Q91" s="59" t="s">
        <v>7</v>
      </c>
      <c r="R91" s="59" t="s">
        <v>7</v>
      </c>
    </row>
    <row r="92" spans="1:20" ht="15.75" customHeight="1" x14ac:dyDescent="0.3">
      <c r="A92" s="22" t="s">
        <v>55</v>
      </c>
      <c r="B92" s="60"/>
      <c r="C92" s="60"/>
      <c r="D92" s="60"/>
      <c r="E92" s="59" t="s">
        <v>7</v>
      </c>
      <c r="F92" s="60"/>
      <c r="G92" s="60"/>
      <c r="H92" s="60"/>
      <c r="I92" s="59" t="s">
        <v>7</v>
      </c>
      <c r="J92" s="60"/>
      <c r="K92" s="60"/>
      <c r="L92" s="60"/>
      <c r="M92" s="59" t="s">
        <v>7</v>
      </c>
      <c r="N92" s="60"/>
      <c r="O92" s="60"/>
      <c r="P92" s="60"/>
      <c r="Q92" s="59" t="s">
        <v>7</v>
      </c>
      <c r="R92" s="59" t="s">
        <v>7</v>
      </c>
    </row>
    <row r="93" spans="1:20" ht="15.75" customHeight="1" x14ac:dyDescent="0.3">
      <c r="A93" s="76" t="s">
        <v>92</v>
      </c>
      <c r="B93" s="1">
        <v>133</v>
      </c>
      <c r="C93" s="1">
        <v>149</v>
      </c>
      <c r="D93" s="1">
        <v>493</v>
      </c>
      <c r="E93" s="59">
        <f>SUM(B93:D93)</f>
        <v>775</v>
      </c>
      <c r="F93" s="1">
        <v>2137</v>
      </c>
      <c r="G93" s="1">
        <v>2076</v>
      </c>
      <c r="H93" s="1">
        <v>3656</v>
      </c>
      <c r="I93" s="59">
        <f>SUM(F93:H93)</f>
        <v>7869</v>
      </c>
      <c r="J93" s="1">
        <v>5536</v>
      </c>
      <c r="K93" s="1">
        <v>5302</v>
      </c>
      <c r="L93" s="1">
        <v>2958</v>
      </c>
      <c r="M93" s="59">
        <f>SUM(J93:L93)</f>
        <v>13796</v>
      </c>
      <c r="N93" s="1">
        <v>3000</v>
      </c>
      <c r="O93" s="1">
        <v>1213</v>
      </c>
      <c r="P93" s="1">
        <v>2748</v>
      </c>
      <c r="Q93" s="59">
        <f>SUM(N93:P93)</f>
        <v>6961</v>
      </c>
      <c r="R93" s="59">
        <f>+E93+I93+M93+Q93</f>
        <v>29401</v>
      </c>
      <c r="T93" s="4" t="s">
        <v>93</v>
      </c>
    </row>
    <row r="94" spans="1:20" ht="15.75" customHeight="1" x14ac:dyDescent="0.3">
      <c r="A94" s="76" t="s">
        <v>94</v>
      </c>
      <c r="B94" s="1"/>
      <c r="C94" s="1">
        <v>24</v>
      </c>
      <c r="D94" s="1">
        <v>290</v>
      </c>
      <c r="E94" s="59">
        <f>SUM(B94:D94)</f>
        <v>314</v>
      </c>
      <c r="F94" s="1">
        <v>386</v>
      </c>
      <c r="G94" s="1">
        <v>188</v>
      </c>
      <c r="H94" s="1">
        <v>188</v>
      </c>
      <c r="I94" s="59">
        <f>SUM(F94:H94)</f>
        <v>762</v>
      </c>
      <c r="J94" s="1">
        <v>444</v>
      </c>
      <c r="K94" s="1">
        <f>380+200</f>
        <v>580</v>
      </c>
      <c r="L94" s="1">
        <f>202+200</f>
        <v>402</v>
      </c>
      <c r="M94" s="59">
        <f>SUM(J94:L94)</f>
        <v>1426</v>
      </c>
      <c r="N94" s="1">
        <f>128+122</f>
        <v>250</v>
      </c>
      <c r="O94" s="1">
        <v>200</v>
      </c>
      <c r="P94" s="1">
        <v>100</v>
      </c>
      <c r="Q94" s="59">
        <f>SUM(N94:P94)</f>
        <v>550</v>
      </c>
      <c r="R94" s="59">
        <f>+E94+I94+M94+Q94</f>
        <v>3052</v>
      </c>
      <c r="T94" s="4" t="s">
        <v>78</v>
      </c>
    </row>
    <row r="95" spans="1:20" ht="15.75" customHeight="1" thickBot="1" x14ac:dyDescent="0.35">
      <c r="A95" s="22" t="s">
        <v>56</v>
      </c>
      <c r="B95" s="60"/>
      <c r="C95" s="60"/>
      <c r="D95" s="60"/>
      <c r="E95" s="59" t="s">
        <v>7</v>
      </c>
      <c r="F95" s="60"/>
      <c r="G95" s="60"/>
      <c r="H95" s="60"/>
      <c r="I95" s="59" t="s">
        <v>7</v>
      </c>
      <c r="J95" s="60"/>
      <c r="K95" s="60"/>
      <c r="L95" s="60"/>
      <c r="M95" s="59" t="s">
        <v>7</v>
      </c>
      <c r="N95" s="60"/>
      <c r="O95" s="60"/>
      <c r="P95" s="60"/>
      <c r="Q95" s="59" t="s">
        <v>7</v>
      </c>
      <c r="R95" s="59" t="s">
        <v>7</v>
      </c>
    </row>
    <row r="96" spans="1:20" ht="16.5" customHeight="1" thickBot="1" x14ac:dyDescent="0.35">
      <c r="A96" s="62" t="s">
        <v>57</v>
      </c>
      <c r="B96" s="63">
        <f>SUM(B90:B95)</f>
        <v>133</v>
      </c>
      <c r="C96" s="63">
        <f>SUM(C90:C95)</f>
        <v>173</v>
      </c>
      <c r="D96" s="63">
        <f>SUM(D90:D95)</f>
        <v>783</v>
      </c>
      <c r="E96" s="64">
        <f>SUM(B96:D96)</f>
        <v>1089</v>
      </c>
      <c r="F96" s="63">
        <f>SUM(F90:F95)</f>
        <v>2523</v>
      </c>
      <c r="G96" s="63">
        <f>SUM(G90:G95)</f>
        <v>2264</v>
      </c>
      <c r="H96" s="63">
        <f>SUM(H90:H95)</f>
        <v>3844</v>
      </c>
      <c r="I96" s="64">
        <f>SUM(F96:H96)</f>
        <v>8631</v>
      </c>
      <c r="J96" s="63">
        <f>SUM(J90:J95)</f>
        <v>5980</v>
      </c>
      <c r="K96" s="63">
        <f>SUM(K90:K95)</f>
        <v>5882</v>
      </c>
      <c r="L96" s="63">
        <f>SUM(L90:L95)</f>
        <v>3360</v>
      </c>
      <c r="M96" s="64">
        <f>SUM(J96:L96)</f>
        <v>15222</v>
      </c>
      <c r="N96" s="63">
        <f>SUM(N90:N95)</f>
        <v>3250</v>
      </c>
      <c r="O96" s="63">
        <f>SUM(O90:O95)</f>
        <v>1413</v>
      </c>
      <c r="P96" s="63">
        <f>SUM(P90:P95)</f>
        <v>2848</v>
      </c>
      <c r="Q96" s="64">
        <f>SUM(N96:P96)</f>
        <v>7511</v>
      </c>
      <c r="R96" s="64">
        <f>+E96+I96+M96+Q96</f>
        <v>32453</v>
      </c>
    </row>
    <row r="97" spans="1:20" ht="15.75" customHeight="1" x14ac:dyDescent="0.3">
      <c r="A97" s="22" t="s">
        <v>58</v>
      </c>
      <c r="B97" s="60"/>
      <c r="C97" s="60"/>
      <c r="D97" s="60"/>
      <c r="E97" s="59" t="s">
        <v>7</v>
      </c>
      <c r="F97" s="60"/>
      <c r="G97" s="60"/>
      <c r="H97" s="60"/>
      <c r="I97" s="59" t="s">
        <v>7</v>
      </c>
      <c r="J97" s="60"/>
      <c r="K97" s="60"/>
      <c r="L97" s="60"/>
      <c r="M97" s="59" t="s">
        <v>7</v>
      </c>
      <c r="N97" s="60"/>
      <c r="O97" s="60"/>
      <c r="P97" s="60"/>
      <c r="Q97" s="59" t="s">
        <v>7</v>
      </c>
      <c r="R97" s="59" t="s">
        <v>7</v>
      </c>
    </row>
    <row r="98" spans="1:20" ht="15.75" customHeight="1" x14ac:dyDescent="0.3">
      <c r="A98" s="22" t="s">
        <v>59</v>
      </c>
      <c r="B98" s="60"/>
      <c r="C98" s="60"/>
      <c r="D98" s="60"/>
      <c r="E98" s="59" t="s">
        <v>7</v>
      </c>
      <c r="F98" s="60"/>
      <c r="G98" s="60"/>
      <c r="H98" s="60"/>
      <c r="I98" s="59" t="s">
        <v>7</v>
      </c>
      <c r="J98" s="60"/>
      <c r="K98" s="60"/>
      <c r="L98" s="60"/>
      <c r="M98" s="59" t="s">
        <v>7</v>
      </c>
      <c r="N98" s="60"/>
      <c r="O98" s="60"/>
      <c r="P98" s="60"/>
      <c r="Q98" s="59" t="s">
        <v>7</v>
      </c>
      <c r="R98" s="59" t="s">
        <v>7</v>
      </c>
    </row>
    <row r="99" spans="1:20" ht="15.75" customHeight="1" x14ac:dyDescent="0.3">
      <c r="A99" s="22" t="s">
        <v>60</v>
      </c>
      <c r="B99" s="60"/>
      <c r="C99" s="60"/>
      <c r="D99" s="60"/>
      <c r="E99" s="59"/>
      <c r="F99" s="60"/>
      <c r="G99" s="60"/>
      <c r="H99" s="60"/>
      <c r="I99" s="59"/>
      <c r="J99" s="60"/>
      <c r="K99" s="60"/>
      <c r="L99" s="60"/>
      <c r="M99" s="59"/>
      <c r="N99" s="60"/>
      <c r="O99" s="60"/>
      <c r="P99" s="60"/>
      <c r="Q99" s="59"/>
      <c r="R99" s="59"/>
    </row>
    <row r="100" spans="1:20" ht="15.75" customHeight="1" x14ac:dyDescent="0.3">
      <c r="A100" s="76" t="s">
        <v>95</v>
      </c>
      <c r="B100" s="1"/>
      <c r="C100" s="1"/>
      <c r="D100" s="1"/>
      <c r="E100" s="59">
        <f t="shared" ref="E100:E107" si="10">SUM(B100:D100)</f>
        <v>0</v>
      </c>
      <c r="F100" s="1"/>
      <c r="G100" s="1"/>
      <c r="H100" s="1"/>
      <c r="I100" s="59">
        <f t="shared" ref="I100:I107" si="11">SUM(F100:H100)</f>
        <v>0</v>
      </c>
      <c r="J100" s="1"/>
      <c r="K100" s="1"/>
      <c r="L100" s="1"/>
      <c r="M100" s="59">
        <f t="shared" ref="M100:M107" si="12">SUM(J100:L100)</f>
        <v>0</v>
      </c>
      <c r="N100" s="1"/>
      <c r="O100" s="1"/>
      <c r="P100" s="1"/>
      <c r="Q100" s="59">
        <f t="shared" ref="Q100:Q107" si="13">SUM(N100:P100)</f>
        <v>0</v>
      </c>
      <c r="R100" s="59">
        <f t="shared" ref="R100:R107" si="14">+E100+I100+M100+Q100</f>
        <v>0</v>
      </c>
    </row>
    <row r="101" spans="1:20" ht="15.75" customHeight="1" x14ac:dyDescent="0.3">
      <c r="A101" s="76" t="s">
        <v>96</v>
      </c>
      <c r="B101" s="1"/>
      <c r="C101" s="1"/>
      <c r="D101" s="1"/>
      <c r="E101" s="59">
        <f t="shared" si="10"/>
        <v>0</v>
      </c>
      <c r="F101" s="1"/>
      <c r="G101" s="1"/>
      <c r="H101" s="1"/>
      <c r="I101" s="59">
        <f t="shared" si="11"/>
        <v>0</v>
      </c>
      <c r="J101" s="1"/>
      <c r="K101" s="1"/>
      <c r="L101" s="1"/>
      <c r="M101" s="59">
        <f t="shared" si="12"/>
        <v>0</v>
      </c>
      <c r="N101" s="1"/>
      <c r="O101" s="1"/>
      <c r="P101" s="1"/>
      <c r="Q101" s="59">
        <f t="shared" si="13"/>
        <v>0</v>
      </c>
      <c r="R101" s="59">
        <f t="shared" si="14"/>
        <v>0</v>
      </c>
    </row>
    <row r="102" spans="1:20" ht="15.75" customHeight="1" x14ac:dyDescent="0.3">
      <c r="A102" s="76" t="s">
        <v>97</v>
      </c>
      <c r="B102" s="1"/>
      <c r="C102" s="1"/>
      <c r="D102" s="1"/>
      <c r="E102" s="59">
        <f>SUM(B102:D102)</f>
        <v>0</v>
      </c>
      <c r="F102" s="1"/>
      <c r="G102" s="1"/>
      <c r="H102" s="1"/>
      <c r="I102" s="59">
        <f>SUM(F102:H102)</f>
        <v>0</v>
      </c>
      <c r="J102" s="1"/>
      <c r="K102" s="1"/>
      <c r="L102" s="1"/>
      <c r="M102" s="59">
        <f>SUM(J102:L102)</f>
        <v>0</v>
      </c>
      <c r="N102" s="1"/>
      <c r="O102" s="1"/>
      <c r="P102" s="1"/>
      <c r="Q102" s="59">
        <f>SUM(N102:P102)</f>
        <v>0</v>
      </c>
      <c r="R102" s="59">
        <f>+E102+I102+M102+Q102</f>
        <v>0</v>
      </c>
    </row>
    <row r="103" spans="1:20" ht="15.75" customHeight="1" x14ac:dyDescent="0.3">
      <c r="A103" s="76" t="s">
        <v>98</v>
      </c>
      <c r="B103" s="1"/>
      <c r="C103" s="1"/>
      <c r="D103" s="1"/>
      <c r="E103" s="59">
        <f>SUM(B103:D103)</f>
        <v>0</v>
      </c>
      <c r="F103" s="1"/>
      <c r="G103" s="1"/>
      <c r="H103" s="1"/>
      <c r="I103" s="59">
        <f>SUM(F103:H103)</f>
        <v>0</v>
      </c>
      <c r="J103" s="1"/>
      <c r="K103" s="1"/>
      <c r="L103" s="1"/>
      <c r="M103" s="59">
        <f>SUM(J103:L103)</f>
        <v>0</v>
      </c>
      <c r="N103" s="1"/>
      <c r="O103" s="1"/>
      <c r="P103" s="1"/>
      <c r="Q103" s="59">
        <f>SUM(N103:P103)</f>
        <v>0</v>
      </c>
      <c r="R103" s="59">
        <f>+E103+I103+M103+Q103</f>
        <v>0</v>
      </c>
      <c r="T103" s="4" t="s">
        <v>83</v>
      </c>
    </row>
    <row r="104" spans="1:20" ht="15.75" customHeight="1" x14ac:dyDescent="0.3">
      <c r="A104" s="76" t="s">
        <v>99</v>
      </c>
      <c r="B104" s="1"/>
      <c r="C104" s="1"/>
      <c r="D104" s="1"/>
      <c r="E104" s="59">
        <f>SUM(B104:D104)</f>
        <v>0</v>
      </c>
      <c r="F104" s="1"/>
      <c r="G104" s="1"/>
      <c r="H104" s="1"/>
      <c r="I104" s="59">
        <f>SUM(F104:H104)</f>
        <v>0</v>
      </c>
      <c r="J104" s="1"/>
      <c r="K104" s="1"/>
      <c r="L104" s="1"/>
      <c r="M104" s="59">
        <f>SUM(J104:L104)</f>
        <v>0</v>
      </c>
      <c r="N104" s="1"/>
      <c r="O104" s="1"/>
      <c r="P104" s="1"/>
      <c r="Q104" s="59">
        <f>SUM(N104:P104)</f>
        <v>0</v>
      </c>
      <c r="R104" s="59">
        <f>+E104+I104+M104+Q104</f>
        <v>0</v>
      </c>
    </row>
    <row r="105" spans="1:20" ht="15.75" customHeight="1" x14ac:dyDescent="0.3">
      <c r="A105" s="76" t="s">
        <v>100</v>
      </c>
      <c r="B105" s="1"/>
      <c r="C105" s="1"/>
      <c r="D105" s="1"/>
      <c r="E105" s="59">
        <f t="shared" si="10"/>
        <v>0</v>
      </c>
      <c r="F105" s="1"/>
      <c r="G105" s="1"/>
      <c r="H105" s="1"/>
      <c r="I105" s="59">
        <f t="shared" si="11"/>
        <v>0</v>
      </c>
      <c r="J105" s="1"/>
      <c r="K105" s="1"/>
      <c r="L105" s="1"/>
      <c r="M105" s="59">
        <f t="shared" si="12"/>
        <v>0</v>
      </c>
      <c r="N105" s="1"/>
      <c r="O105" s="1"/>
      <c r="P105" s="1"/>
      <c r="Q105" s="59">
        <f t="shared" si="13"/>
        <v>0</v>
      </c>
      <c r="R105" s="59">
        <f t="shared" si="14"/>
        <v>0</v>
      </c>
    </row>
    <row r="106" spans="1:20" ht="15.75" customHeight="1" thickBot="1" x14ac:dyDescent="0.35">
      <c r="A106" s="76" t="s">
        <v>101</v>
      </c>
      <c r="B106" s="1"/>
      <c r="C106" s="1"/>
      <c r="D106" s="1"/>
      <c r="E106" s="59">
        <f t="shared" si="10"/>
        <v>0</v>
      </c>
      <c r="F106" s="1"/>
      <c r="G106" s="1"/>
      <c r="H106" s="1"/>
      <c r="I106" s="59">
        <f t="shared" si="11"/>
        <v>0</v>
      </c>
      <c r="J106" s="1"/>
      <c r="K106" s="1"/>
      <c r="L106" s="1"/>
      <c r="M106" s="59">
        <f t="shared" si="12"/>
        <v>0</v>
      </c>
      <c r="N106" s="1"/>
      <c r="O106" s="1"/>
      <c r="P106" s="1"/>
      <c r="Q106" s="59">
        <f t="shared" si="13"/>
        <v>0</v>
      </c>
      <c r="R106" s="59">
        <f t="shared" si="14"/>
        <v>0</v>
      </c>
    </row>
    <row r="107" spans="1:20" ht="16.5" customHeight="1" thickBot="1" x14ac:dyDescent="0.35">
      <c r="A107" s="62" t="s">
        <v>61</v>
      </c>
      <c r="B107" s="63">
        <f>SUM(B97:B106)</f>
        <v>0</v>
      </c>
      <c r="C107" s="63">
        <f>SUM(C97:C106)</f>
        <v>0</v>
      </c>
      <c r="D107" s="63">
        <f>SUM(D97:D106)</f>
        <v>0</v>
      </c>
      <c r="E107" s="64">
        <f t="shared" si="10"/>
        <v>0</v>
      </c>
      <c r="F107" s="63">
        <f>SUM(F97:F106)</f>
        <v>0</v>
      </c>
      <c r="G107" s="63">
        <f>SUM(G97:G106)</f>
        <v>0</v>
      </c>
      <c r="H107" s="63">
        <f>SUM(H97:H106)</f>
        <v>0</v>
      </c>
      <c r="I107" s="64">
        <f t="shared" si="11"/>
        <v>0</v>
      </c>
      <c r="J107" s="63">
        <f>SUM(J97:J106)</f>
        <v>0</v>
      </c>
      <c r="K107" s="63">
        <f>SUM(K97:K106)</f>
        <v>0</v>
      </c>
      <c r="L107" s="63">
        <f>SUM(L97:L106)</f>
        <v>0</v>
      </c>
      <c r="M107" s="64">
        <f t="shared" si="12"/>
        <v>0</v>
      </c>
      <c r="N107" s="63">
        <f>SUM(N97:N106)</f>
        <v>0</v>
      </c>
      <c r="O107" s="63">
        <f>SUM(O97:O106)</f>
        <v>0</v>
      </c>
      <c r="P107" s="63">
        <f>SUM(P97:P106)</f>
        <v>0</v>
      </c>
      <c r="Q107" s="64">
        <f t="shared" si="13"/>
        <v>0</v>
      </c>
      <c r="R107" s="64">
        <f t="shared" si="14"/>
        <v>0</v>
      </c>
    </row>
    <row r="108" spans="1:20" ht="15.75" customHeight="1" x14ac:dyDescent="0.3">
      <c r="A108" s="22" t="s">
        <v>62</v>
      </c>
      <c r="B108" s="60"/>
      <c r="C108" s="60"/>
      <c r="D108" s="60"/>
      <c r="E108" s="59" t="s">
        <v>7</v>
      </c>
      <c r="F108" s="60"/>
      <c r="G108" s="60"/>
      <c r="H108" s="60"/>
      <c r="I108" s="59" t="s">
        <v>7</v>
      </c>
      <c r="J108" s="60"/>
      <c r="K108" s="60"/>
      <c r="L108" s="60"/>
      <c r="M108" s="59" t="s">
        <v>7</v>
      </c>
      <c r="N108" s="60"/>
      <c r="O108" s="60"/>
      <c r="P108" s="60"/>
      <c r="Q108" s="59" t="s">
        <v>7</v>
      </c>
      <c r="R108" s="59" t="s">
        <v>7</v>
      </c>
    </row>
    <row r="109" spans="1:20" ht="15.75" customHeight="1" x14ac:dyDescent="0.3">
      <c r="A109" s="22" t="s">
        <v>63</v>
      </c>
      <c r="B109" s="60"/>
      <c r="C109" s="60"/>
      <c r="D109" s="60"/>
      <c r="E109" s="59" t="s">
        <v>7</v>
      </c>
      <c r="F109" s="60"/>
      <c r="G109" s="60"/>
      <c r="H109" s="60"/>
      <c r="I109" s="59" t="s">
        <v>7</v>
      </c>
      <c r="J109" s="60"/>
      <c r="K109" s="60"/>
      <c r="L109" s="60"/>
      <c r="M109" s="59" t="s">
        <v>7</v>
      </c>
      <c r="N109" s="60"/>
      <c r="O109" s="60"/>
      <c r="P109" s="60"/>
      <c r="Q109" s="59" t="s">
        <v>7</v>
      </c>
      <c r="R109" s="59" t="s">
        <v>7</v>
      </c>
    </row>
    <row r="110" spans="1:20" ht="15.75" customHeight="1" x14ac:dyDescent="0.3">
      <c r="A110" s="61" t="s">
        <v>103</v>
      </c>
      <c r="B110" s="1"/>
      <c r="C110" s="1"/>
      <c r="D110" s="1"/>
      <c r="E110" s="59">
        <f t="shared" ref="E110:E115" si="15">SUM(B110:D110)</f>
        <v>0</v>
      </c>
      <c r="F110" s="1"/>
      <c r="G110" s="1"/>
      <c r="H110" s="1"/>
      <c r="I110" s="59">
        <f t="shared" ref="I110:I115" si="16">SUM(F110:H110)</f>
        <v>0</v>
      </c>
      <c r="J110" s="1"/>
      <c r="K110" s="1"/>
      <c r="L110" s="1"/>
      <c r="M110" s="59">
        <f t="shared" ref="M110:M115" si="17">SUM(J110:L110)</f>
        <v>0</v>
      </c>
      <c r="N110" s="1"/>
      <c r="O110" s="1"/>
      <c r="P110" s="1"/>
      <c r="Q110" s="59">
        <f t="shared" ref="Q110:Q115" si="18">SUM(N110:P110)</f>
        <v>0</v>
      </c>
      <c r="R110" s="59">
        <f t="shared" ref="R110:R115" si="19">+E110+I110+M110+Q110</f>
        <v>0</v>
      </c>
    </row>
    <row r="111" spans="1:20" ht="15.75" customHeight="1" x14ac:dyDescent="0.3">
      <c r="A111" s="61" t="s">
        <v>104</v>
      </c>
      <c r="B111" s="1"/>
      <c r="C111" s="1"/>
      <c r="D111" s="1"/>
      <c r="E111" s="59">
        <f t="shared" si="15"/>
        <v>0</v>
      </c>
      <c r="F111" s="1"/>
      <c r="G111" s="1"/>
      <c r="H111" s="1"/>
      <c r="I111" s="59">
        <f t="shared" si="16"/>
        <v>0</v>
      </c>
      <c r="J111" s="1"/>
      <c r="K111" s="1"/>
      <c r="L111" s="1"/>
      <c r="M111" s="59">
        <f t="shared" si="17"/>
        <v>0</v>
      </c>
      <c r="N111" s="1"/>
      <c r="O111" s="1"/>
      <c r="P111" s="1"/>
      <c r="Q111" s="59">
        <f t="shared" si="18"/>
        <v>0</v>
      </c>
      <c r="R111" s="59">
        <f t="shared" si="19"/>
        <v>0</v>
      </c>
    </row>
    <row r="112" spans="1:20" ht="15.75" customHeight="1" x14ac:dyDescent="0.3">
      <c r="A112" s="61" t="s">
        <v>105</v>
      </c>
      <c r="B112" s="1"/>
      <c r="C112" s="1"/>
      <c r="D112" s="1"/>
      <c r="E112" s="59">
        <f t="shared" si="15"/>
        <v>0</v>
      </c>
      <c r="F112" s="1"/>
      <c r="G112" s="1"/>
      <c r="H112" s="1"/>
      <c r="I112" s="59">
        <f t="shared" si="16"/>
        <v>0</v>
      </c>
      <c r="J112" s="1"/>
      <c r="K112" s="1"/>
      <c r="L112" s="1"/>
      <c r="M112" s="59">
        <f t="shared" si="17"/>
        <v>0</v>
      </c>
      <c r="N112" s="1"/>
      <c r="O112" s="1"/>
      <c r="P112" s="1"/>
      <c r="Q112" s="59">
        <f t="shared" si="18"/>
        <v>0</v>
      </c>
      <c r="R112" s="59">
        <f t="shared" si="19"/>
        <v>0</v>
      </c>
    </row>
    <row r="113" spans="1:20" ht="15.75" customHeight="1" x14ac:dyDescent="0.3">
      <c r="A113" s="61" t="s">
        <v>106</v>
      </c>
      <c r="B113" s="1"/>
      <c r="C113" s="1"/>
      <c r="D113" s="1"/>
      <c r="E113" s="59">
        <f t="shared" si="15"/>
        <v>0</v>
      </c>
      <c r="F113" s="1"/>
      <c r="G113" s="1"/>
      <c r="H113" s="1"/>
      <c r="I113" s="59">
        <f t="shared" si="16"/>
        <v>0</v>
      </c>
      <c r="J113" s="1"/>
      <c r="K113" s="1"/>
      <c r="L113" s="1"/>
      <c r="M113" s="59">
        <f t="shared" si="17"/>
        <v>0</v>
      </c>
      <c r="N113" s="1"/>
      <c r="O113" s="1"/>
      <c r="P113" s="1"/>
      <c r="Q113" s="59">
        <f t="shared" si="18"/>
        <v>0</v>
      </c>
      <c r="R113" s="59">
        <f t="shared" si="19"/>
        <v>0</v>
      </c>
    </row>
    <row r="114" spans="1:20" ht="15.75" customHeight="1" x14ac:dyDescent="0.3">
      <c r="A114" s="61" t="s">
        <v>107</v>
      </c>
      <c r="B114" s="1"/>
      <c r="C114" s="1"/>
      <c r="D114" s="1"/>
      <c r="E114" s="59">
        <f t="shared" si="15"/>
        <v>0</v>
      </c>
      <c r="F114" s="1"/>
      <c r="G114" s="1"/>
      <c r="H114" s="1"/>
      <c r="I114" s="59">
        <f t="shared" si="16"/>
        <v>0</v>
      </c>
      <c r="J114" s="1"/>
      <c r="K114" s="1"/>
      <c r="L114" s="1"/>
      <c r="M114" s="59">
        <f t="shared" si="17"/>
        <v>0</v>
      </c>
      <c r="N114" s="1"/>
      <c r="O114" s="1"/>
      <c r="P114" s="1"/>
      <c r="Q114" s="59">
        <f t="shared" si="18"/>
        <v>0</v>
      </c>
      <c r="R114" s="59">
        <f t="shared" si="19"/>
        <v>0</v>
      </c>
    </row>
    <row r="115" spans="1:20" ht="15.75" customHeight="1" x14ac:dyDescent="0.3">
      <c r="A115" s="61" t="s">
        <v>108</v>
      </c>
      <c r="B115" s="1"/>
      <c r="C115" s="1"/>
      <c r="D115" s="1"/>
      <c r="E115" s="59">
        <f t="shared" si="15"/>
        <v>0</v>
      </c>
      <c r="F115" s="1"/>
      <c r="G115" s="1"/>
      <c r="H115" s="1"/>
      <c r="I115" s="59">
        <f t="shared" si="16"/>
        <v>0</v>
      </c>
      <c r="J115" s="1"/>
      <c r="K115" s="1"/>
      <c r="L115" s="1"/>
      <c r="M115" s="59">
        <f t="shared" si="17"/>
        <v>0</v>
      </c>
      <c r="N115" s="1"/>
      <c r="O115" s="1"/>
      <c r="P115" s="1"/>
      <c r="Q115" s="59">
        <f t="shared" si="18"/>
        <v>0</v>
      </c>
      <c r="R115" s="59">
        <f t="shared" si="19"/>
        <v>0</v>
      </c>
    </row>
    <row r="116" spans="1:20" ht="15.75" customHeight="1" x14ac:dyDescent="0.3">
      <c r="A116" s="61" t="s">
        <v>109</v>
      </c>
      <c r="B116" s="1"/>
      <c r="C116" s="1"/>
      <c r="D116" s="1"/>
      <c r="E116" s="59">
        <f>SUM(B116:D116)</f>
        <v>0</v>
      </c>
      <c r="F116" s="1"/>
      <c r="G116" s="1"/>
      <c r="H116" s="1"/>
      <c r="I116" s="59">
        <f>SUM(F116:H116)</f>
        <v>0</v>
      </c>
      <c r="J116" s="1"/>
      <c r="K116" s="1"/>
      <c r="L116" s="1"/>
      <c r="M116" s="59">
        <f>SUM(J116:L116)</f>
        <v>0</v>
      </c>
      <c r="N116" s="1"/>
      <c r="O116" s="1"/>
      <c r="P116" s="1"/>
      <c r="Q116" s="59">
        <f>SUM(N116:P116)</f>
        <v>0</v>
      </c>
      <c r="R116" s="59">
        <f>+E116+I116+M116+Q116</f>
        <v>0</v>
      </c>
    </row>
    <row r="117" spans="1:20" ht="15.75" customHeight="1" x14ac:dyDescent="0.3">
      <c r="A117" s="78" t="s">
        <v>110</v>
      </c>
      <c r="B117" s="1"/>
      <c r="C117" s="1"/>
      <c r="D117" s="1"/>
      <c r="E117" s="59">
        <f>SUM(B117:D117)</f>
        <v>0</v>
      </c>
      <c r="F117" s="1"/>
      <c r="G117" s="1"/>
      <c r="H117" s="1"/>
      <c r="I117" s="59">
        <f>SUM(F117:H117)</f>
        <v>0</v>
      </c>
      <c r="J117" s="1"/>
      <c r="K117" s="1"/>
      <c r="L117" s="1"/>
      <c r="M117" s="59">
        <f>SUM(J117:L117)</f>
        <v>0</v>
      </c>
      <c r="N117" s="1"/>
      <c r="O117" s="1"/>
      <c r="P117" s="1"/>
      <c r="Q117" s="59">
        <f>SUM(N117:P117)</f>
        <v>0</v>
      </c>
      <c r="R117" s="59">
        <f>+E117+I117+M117+Q117</f>
        <v>0</v>
      </c>
      <c r="T117" s="4" t="s">
        <v>111</v>
      </c>
    </row>
    <row r="118" spans="1:20" ht="15.75" customHeight="1" x14ac:dyDescent="0.3">
      <c r="A118" s="22" t="s">
        <v>64</v>
      </c>
      <c r="B118" s="60"/>
      <c r="C118" s="60"/>
      <c r="D118" s="60"/>
      <c r="E118" s="59" t="s">
        <v>7</v>
      </c>
      <c r="F118" s="60"/>
      <c r="G118" s="60"/>
      <c r="H118" s="60"/>
      <c r="I118" s="59" t="s">
        <v>7</v>
      </c>
      <c r="J118" s="60"/>
      <c r="K118" s="60"/>
      <c r="L118" s="60"/>
      <c r="M118" s="59" t="s">
        <v>7</v>
      </c>
      <c r="N118" s="60"/>
      <c r="O118" s="60"/>
      <c r="P118" s="60"/>
      <c r="Q118" s="59" t="s">
        <v>7</v>
      </c>
      <c r="R118" s="59" t="s">
        <v>7</v>
      </c>
    </row>
    <row r="119" spans="1:20" ht="15.75" customHeight="1" x14ac:dyDescent="0.3">
      <c r="A119" s="61" t="s">
        <v>112</v>
      </c>
      <c r="B119" s="1"/>
      <c r="C119" s="1"/>
      <c r="D119" s="1"/>
      <c r="E119" s="59">
        <f>SUM(B119:D119)</f>
        <v>0</v>
      </c>
      <c r="F119" s="1"/>
      <c r="G119" s="1"/>
      <c r="H119" s="1"/>
      <c r="I119" s="59">
        <f>SUM(F119:H119)</f>
        <v>0</v>
      </c>
      <c r="J119" s="1"/>
      <c r="K119" s="1"/>
      <c r="L119" s="1"/>
      <c r="M119" s="59">
        <f>SUM(J119:L119)</f>
        <v>0</v>
      </c>
      <c r="N119" s="1"/>
      <c r="O119" s="1"/>
      <c r="P119" s="1"/>
      <c r="Q119" s="59">
        <f>SUM(N119:P119)</f>
        <v>0</v>
      </c>
      <c r="R119" s="59">
        <f>+E119+I119+M119+Q119</f>
        <v>0</v>
      </c>
    </row>
    <row r="120" spans="1:20" ht="15.75" customHeight="1" x14ac:dyDescent="0.3">
      <c r="A120" s="61" t="s">
        <v>113</v>
      </c>
      <c r="B120" s="1"/>
      <c r="C120" s="1"/>
      <c r="D120" s="1"/>
      <c r="E120" s="59">
        <f>SUM(B120:D120)</f>
        <v>0</v>
      </c>
      <c r="F120" s="1"/>
      <c r="G120" s="1"/>
      <c r="H120" s="1"/>
      <c r="I120" s="59">
        <f>SUM(F120:H120)</f>
        <v>0</v>
      </c>
      <c r="J120" s="1"/>
      <c r="K120" s="1"/>
      <c r="L120" s="1"/>
      <c r="M120" s="59">
        <f>SUM(J120:L120)</f>
        <v>0</v>
      </c>
      <c r="N120" s="1"/>
      <c r="O120" s="1"/>
      <c r="P120" s="1"/>
      <c r="Q120" s="59">
        <f>SUM(N120:P120)</f>
        <v>0</v>
      </c>
      <c r="R120" s="59">
        <f>+E120+I120+M120+Q120</f>
        <v>0</v>
      </c>
    </row>
    <row r="121" spans="1:20" ht="15.75" customHeight="1" x14ac:dyDescent="0.3">
      <c r="A121" s="22" t="s">
        <v>66</v>
      </c>
      <c r="B121" s="60"/>
      <c r="C121" s="60"/>
      <c r="D121" s="60"/>
      <c r="E121" s="59" t="s">
        <v>7</v>
      </c>
      <c r="F121" s="60"/>
      <c r="G121" s="60"/>
      <c r="H121" s="60"/>
      <c r="I121" s="59" t="s">
        <v>7</v>
      </c>
      <c r="J121" s="60"/>
      <c r="K121" s="60"/>
      <c r="L121" s="60"/>
      <c r="M121" s="59" t="s">
        <v>7</v>
      </c>
      <c r="N121" s="60"/>
      <c r="O121" s="60"/>
      <c r="P121" s="60"/>
      <c r="Q121" s="59" t="s">
        <v>7</v>
      </c>
      <c r="R121" s="59" t="s">
        <v>7</v>
      </c>
    </row>
    <row r="122" spans="1:20" ht="15.75" customHeight="1" x14ac:dyDescent="0.3">
      <c r="A122" s="61" t="s">
        <v>114</v>
      </c>
      <c r="B122" s="1"/>
      <c r="C122" s="1"/>
      <c r="D122" s="1"/>
      <c r="E122" s="59">
        <f>SUM(B122:D122)</f>
        <v>0</v>
      </c>
      <c r="F122" s="1"/>
      <c r="G122" s="1"/>
      <c r="H122" s="1"/>
      <c r="I122" s="59">
        <f>SUM(F122:H122)</f>
        <v>0</v>
      </c>
      <c r="J122" s="1"/>
      <c r="K122" s="1"/>
      <c r="L122" s="1"/>
      <c r="M122" s="59">
        <f>SUM(J122:L122)</f>
        <v>0</v>
      </c>
      <c r="N122" s="1"/>
      <c r="O122" s="1"/>
      <c r="P122" s="1"/>
      <c r="Q122" s="59">
        <f>SUM(N122:P122)</f>
        <v>0</v>
      </c>
      <c r="R122" s="59">
        <f>+E122+I122+M122+Q122</f>
        <v>0</v>
      </c>
      <c r="T122" s="4" t="s">
        <v>78</v>
      </c>
    </row>
    <row r="123" spans="1:20" ht="15.75" customHeight="1" x14ac:dyDescent="0.3">
      <c r="A123" s="22" t="s">
        <v>67</v>
      </c>
      <c r="B123" s="60"/>
      <c r="C123" s="60"/>
      <c r="D123" s="60"/>
      <c r="E123" s="59" t="s">
        <v>7</v>
      </c>
      <c r="F123" s="60"/>
      <c r="G123" s="60"/>
      <c r="H123" s="60"/>
      <c r="I123" s="59" t="s">
        <v>7</v>
      </c>
      <c r="J123" s="60"/>
      <c r="K123" s="60"/>
      <c r="L123" s="60"/>
      <c r="M123" s="59" t="s">
        <v>7</v>
      </c>
      <c r="N123" s="60"/>
      <c r="O123" s="60"/>
      <c r="P123" s="60"/>
      <c r="Q123" s="59" t="s">
        <v>7</v>
      </c>
      <c r="R123" s="59" t="s">
        <v>7</v>
      </c>
    </row>
    <row r="124" spans="1:20" ht="15.75" customHeight="1" x14ac:dyDescent="0.3">
      <c r="A124" s="61" t="s">
        <v>115</v>
      </c>
      <c r="B124" s="1"/>
      <c r="C124" s="1"/>
      <c r="D124" s="1"/>
      <c r="E124" s="59">
        <f t="shared" ref="E124:E129" si="20">SUM(B124:D124)</f>
        <v>0</v>
      </c>
      <c r="F124" s="1"/>
      <c r="G124" s="1"/>
      <c r="H124" s="1"/>
      <c r="I124" s="59">
        <f t="shared" ref="I124:I129" si="21">SUM(F124:H124)</f>
        <v>0</v>
      </c>
      <c r="J124" s="1"/>
      <c r="K124" s="1"/>
      <c r="L124" s="1"/>
      <c r="M124" s="59">
        <f t="shared" ref="M124:M129" si="22">SUM(J124:L124)</f>
        <v>0</v>
      </c>
      <c r="N124" s="1"/>
      <c r="O124" s="1"/>
      <c r="P124" s="1"/>
      <c r="Q124" s="59">
        <f t="shared" ref="Q124:Q129" si="23">SUM(N124:P124)</f>
        <v>0</v>
      </c>
      <c r="R124" s="59">
        <f t="shared" ref="R124:R129" si="24">+E124+I124+M124+Q124</f>
        <v>0</v>
      </c>
    </row>
    <row r="125" spans="1:20" ht="15.75" customHeight="1" thickBot="1" x14ac:dyDescent="0.35">
      <c r="A125" s="61" t="s">
        <v>116</v>
      </c>
      <c r="B125" s="1"/>
      <c r="C125" s="1"/>
      <c r="D125" s="1"/>
      <c r="E125" s="59">
        <f t="shared" si="20"/>
        <v>0</v>
      </c>
      <c r="F125" s="1"/>
      <c r="G125" s="1"/>
      <c r="H125" s="1"/>
      <c r="I125" s="59">
        <f t="shared" si="21"/>
        <v>0</v>
      </c>
      <c r="J125" s="1"/>
      <c r="K125" s="1"/>
      <c r="L125" s="1"/>
      <c r="M125" s="59">
        <f t="shared" si="22"/>
        <v>0</v>
      </c>
      <c r="N125" s="1"/>
      <c r="O125" s="1"/>
      <c r="P125" s="1"/>
      <c r="Q125" s="59">
        <f t="shared" si="23"/>
        <v>0</v>
      </c>
      <c r="R125" s="59">
        <f t="shared" si="24"/>
        <v>0</v>
      </c>
    </row>
    <row r="126" spans="1:20" ht="16.5" customHeight="1" thickBot="1" x14ac:dyDescent="0.35">
      <c r="A126" s="62" t="s">
        <v>68</v>
      </c>
      <c r="B126" s="63">
        <f>SUM(B121:B125)</f>
        <v>0</v>
      </c>
      <c r="C126" s="63">
        <f>SUM(C121:C125)</f>
        <v>0</v>
      </c>
      <c r="D126" s="63">
        <f>SUM(D121:D125)</f>
        <v>0</v>
      </c>
      <c r="E126" s="334">
        <f t="shared" si="20"/>
        <v>0</v>
      </c>
      <c r="F126" s="63">
        <f>SUM(F121:F125)</f>
        <v>0</v>
      </c>
      <c r="G126" s="63">
        <f>SUM(G121:G125)</f>
        <v>0</v>
      </c>
      <c r="H126" s="63">
        <f>SUM(H121:H125)</f>
        <v>0</v>
      </c>
      <c r="I126" s="334">
        <f t="shared" si="21"/>
        <v>0</v>
      </c>
      <c r="J126" s="63">
        <f>SUM(J121:J125)</f>
        <v>0</v>
      </c>
      <c r="K126" s="63">
        <f>SUM(K121:K125)</f>
        <v>0</v>
      </c>
      <c r="L126" s="63">
        <f>SUM(L121:L125)</f>
        <v>0</v>
      </c>
      <c r="M126" s="334">
        <f t="shared" si="22"/>
        <v>0</v>
      </c>
      <c r="N126" s="63">
        <f>SUM(N121:N125)</f>
        <v>0</v>
      </c>
      <c r="O126" s="63">
        <f>SUM(O121:O125)</f>
        <v>0</v>
      </c>
      <c r="P126" s="63">
        <f>SUM(P121:P125)</f>
        <v>0</v>
      </c>
      <c r="Q126" s="334">
        <f t="shared" si="23"/>
        <v>0</v>
      </c>
      <c r="R126" s="64">
        <f t="shared" si="24"/>
        <v>0</v>
      </c>
    </row>
    <row r="127" spans="1:20" ht="16.5" customHeight="1" thickBot="1" x14ac:dyDescent="0.35">
      <c r="A127" s="62" t="s">
        <v>69</v>
      </c>
      <c r="B127" s="63">
        <f>SUM(B108:B125)</f>
        <v>0</v>
      </c>
      <c r="C127" s="63">
        <f>SUM(C108:C125)</f>
        <v>0</v>
      </c>
      <c r="D127" s="63">
        <f>SUM(D108:D125)</f>
        <v>0</v>
      </c>
      <c r="E127" s="334">
        <f t="shared" si="20"/>
        <v>0</v>
      </c>
      <c r="F127" s="63">
        <f>SUM(F108:F125)</f>
        <v>0</v>
      </c>
      <c r="G127" s="63">
        <f>SUM(G108:G125)</f>
        <v>0</v>
      </c>
      <c r="H127" s="63">
        <f>SUM(H108:H125)</f>
        <v>0</v>
      </c>
      <c r="I127" s="334">
        <f t="shared" si="21"/>
        <v>0</v>
      </c>
      <c r="J127" s="63">
        <f>SUM(J108:J125)</f>
        <v>0</v>
      </c>
      <c r="K127" s="63">
        <f>SUM(K108:K125)</f>
        <v>0</v>
      </c>
      <c r="L127" s="63">
        <f>SUM(L108:L125)</f>
        <v>0</v>
      </c>
      <c r="M127" s="334">
        <f t="shared" si="22"/>
        <v>0</v>
      </c>
      <c r="N127" s="63">
        <f>SUM(N108:N125)</f>
        <v>0</v>
      </c>
      <c r="O127" s="63">
        <f>SUM(O108:O125)</f>
        <v>0</v>
      </c>
      <c r="P127" s="63">
        <f>SUM(P108:P125)</f>
        <v>0</v>
      </c>
      <c r="Q127" s="334">
        <f t="shared" si="23"/>
        <v>0</v>
      </c>
      <c r="R127" s="64">
        <f t="shared" si="24"/>
        <v>0</v>
      </c>
    </row>
    <row r="128" spans="1:20" ht="16.5" customHeight="1" thickBot="1" x14ac:dyDescent="0.35">
      <c r="A128" s="62" t="s">
        <v>70</v>
      </c>
      <c r="B128" s="63">
        <f>+B89+B96+B107+B127</f>
        <v>494</v>
      </c>
      <c r="C128" s="63">
        <f>+C89+C96+C107+C127</f>
        <v>221</v>
      </c>
      <c r="D128" s="63">
        <f>+D89+D96+D107+D127</f>
        <v>1581</v>
      </c>
      <c r="E128" s="64">
        <f t="shared" si="20"/>
        <v>2296</v>
      </c>
      <c r="F128" s="63">
        <f>+F89+F96+F107+F127</f>
        <v>4230</v>
      </c>
      <c r="G128" s="63">
        <f>+G89+G96+G107+G127</f>
        <v>4349</v>
      </c>
      <c r="H128" s="63">
        <f>+H89+H96+H107+H127</f>
        <v>5975</v>
      </c>
      <c r="I128" s="64">
        <f t="shared" si="21"/>
        <v>14554</v>
      </c>
      <c r="J128" s="63">
        <f>+J89+J96+J107+J127</f>
        <v>7213</v>
      </c>
      <c r="K128" s="63">
        <f>+K89+K96+K107+K127</f>
        <v>7627</v>
      </c>
      <c r="L128" s="63">
        <f>+L89+L96+L107+L127</f>
        <v>4712</v>
      </c>
      <c r="M128" s="64">
        <f t="shared" si="22"/>
        <v>19552</v>
      </c>
      <c r="N128" s="63">
        <f>+N89+N96+N107+N127</f>
        <v>4838</v>
      </c>
      <c r="O128" s="63">
        <f>+O89+O96+O107+O127</f>
        <v>1413</v>
      </c>
      <c r="P128" s="63">
        <f>+P89+P96+P107+P127</f>
        <v>2848</v>
      </c>
      <c r="Q128" s="64">
        <f t="shared" si="23"/>
        <v>9099</v>
      </c>
      <c r="R128" s="64">
        <f t="shared" si="24"/>
        <v>45501</v>
      </c>
    </row>
    <row r="129" spans="1:20" ht="16.5" customHeight="1" thickBot="1" x14ac:dyDescent="0.35">
      <c r="A129" s="79" t="s">
        <v>37</v>
      </c>
      <c r="B129" s="25">
        <v>173</v>
      </c>
      <c r="C129" s="25">
        <v>260</v>
      </c>
      <c r="D129" s="25">
        <v>471</v>
      </c>
      <c r="E129" s="59">
        <f t="shared" si="20"/>
        <v>904</v>
      </c>
      <c r="F129" s="25">
        <v>629</v>
      </c>
      <c r="G129" s="25">
        <v>725</v>
      </c>
      <c r="H129" s="25">
        <v>712</v>
      </c>
      <c r="I129" s="59">
        <f t="shared" si="21"/>
        <v>2066</v>
      </c>
      <c r="J129" s="25">
        <v>711</v>
      </c>
      <c r="K129" s="25">
        <v>573</v>
      </c>
      <c r="L129" s="25">
        <v>542</v>
      </c>
      <c r="M129" s="59">
        <f t="shared" si="22"/>
        <v>1826</v>
      </c>
      <c r="N129" s="25">
        <v>490</v>
      </c>
      <c r="O129" s="25">
        <v>407</v>
      </c>
      <c r="P129" s="25">
        <v>323</v>
      </c>
      <c r="Q129" s="59">
        <f t="shared" si="23"/>
        <v>1220</v>
      </c>
      <c r="R129" s="59">
        <f t="shared" si="24"/>
        <v>6016</v>
      </c>
    </row>
    <row r="130" spans="1:20" ht="16.5" customHeight="1" thickBot="1" x14ac:dyDescent="0.35">
      <c r="A130" s="80"/>
      <c r="B130" s="81"/>
      <c r="C130" s="81"/>
      <c r="D130" s="81"/>
      <c r="E130" s="64" t="s">
        <v>7</v>
      </c>
      <c r="F130" s="81"/>
      <c r="G130" s="81"/>
      <c r="H130" s="81"/>
      <c r="I130" s="64" t="s">
        <v>7</v>
      </c>
      <c r="J130" s="81"/>
      <c r="K130" s="81"/>
      <c r="L130" s="81"/>
      <c r="M130" s="64" t="s">
        <v>7</v>
      </c>
      <c r="N130" s="81"/>
      <c r="O130" s="81"/>
      <c r="P130" s="81"/>
      <c r="Q130" s="64" t="s">
        <v>7</v>
      </c>
      <c r="R130" s="64" t="s">
        <v>7</v>
      </c>
    </row>
    <row r="131" spans="1:20" ht="15.75" customHeight="1" x14ac:dyDescent="0.3">
      <c r="A131" s="335" t="s">
        <v>38</v>
      </c>
      <c r="B131" s="336">
        <f>+B128+B129</f>
        <v>667</v>
      </c>
      <c r="C131" s="336">
        <f>+C128+C129</f>
        <v>481</v>
      </c>
      <c r="D131" s="336">
        <f>+D128+D129</f>
        <v>2052</v>
      </c>
      <c r="E131" s="59">
        <f>SUM(B131:D131)</f>
        <v>3200</v>
      </c>
      <c r="F131" s="336">
        <f>+F128+F129</f>
        <v>4859</v>
      </c>
      <c r="G131" s="336">
        <f>+G128+G129</f>
        <v>5074</v>
      </c>
      <c r="H131" s="336">
        <f>+H128+H129</f>
        <v>6687</v>
      </c>
      <c r="I131" s="59">
        <f>SUM(F131:H131)</f>
        <v>16620</v>
      </c>
      <c r="J131" s="336">
        <f>+J128+J129</f>
        <v>7924</v>
      </c>
      <c r="K131" s="336">
        <f>+K128+K129</f>
        <v>8200</v>
      </c>
      <c r="L131" s="336">
        <f>+L128+L129</f>
        <v>5254</v>
      </c>
      <c r="M131" s="59">
        <f>SUM(J131:L131)</f>
        <v>21378</v>
      </c>
      <c r="N131" s="336">
        <f>+N128+N129</f>
        <v>5328</v>
      </c>
      <c r="O131" s="336">
        <f>+O128+O129</f>
        <v>1820</v>
      </c>
      <c r="P131" s="336">
        <f>+P128+P129</f>
        <v>3171</v>
      </c>
      <c r="Q131" s="59">
        <f>SUM(N131:P131)</f>
        <v>10319</v>
      </c>
      <c r="R131" s="59">
        <f>+E131+I131+M131+Q131</f>
        <v>51517</v>
      </c>
    </row>
    <row r="132" spans="1:20" ht="15.75" customHeight="1" x14ac:dyDescent="0.3">
      <c r="A132" s="84" t="s">
        <v>39</v>
      </c>
      <c r="B132" s="1">
        <f>(B131/B10)/1.983</f>
        <v>10.850291998112992</v>
      </c>
      <c r="C132" s="1">
        <f>(C131/C10)/1.983</f>
        <v>8.662920538866075</v>
      </c>
      <c r="D132" s="1">
        <f>(D131/D10)/1.983</f>
        <v>33.380508515933819</v>
      </c>
      <c r="E132" s="59" t="s">
        <v>7</v>
      </c>
      <c r="F132" s="1">
        <f>(F131/F10)/1.983</f>
        <v>81.677592872751717</v>
      </c>
      <c r="G132" s="1">
        <f>(G131/G10)/1.983</f>
        <v>82.540302246514727</v>
      </c>
      <c r="H132" s="1">
        <f>(H131/H10)/1.983</f>
        <v>112.40544629349471</v>
      </c>
      <c r="I132" s="59" t="s">
        <v>7</v>
      </c>
      <c r="J132" s="1">
        <f>(J131/J10)/1.983</f>
        <v>128.90211962975616</v>
      </c>
      <c r="K132" s="1">
        <f>(K131/K10)/1.983</f>
        <v>133.39189562897531</v>
      </c>
      <c r="L132" s="1">
        <f>(L131/L10)/1.983</f>
        <v>88.317364262901322</v>
      </c>
      <c r="M132" s="59" t="s">
        <v>7</v>
      </c>
      <c r="N132" s="1">
        <f>(N131/N10)/1.983</f>
        <v>86.672197550143963</v>
      </c>
      <c r="O132" s="1">
        <f>(O131/O10)/1.983</f>
        <v>30.593377038157669</v>
      </c>
      <c r="P132" s="1">
        <f>(P131/P10)/1.983</f>
        <v>51.58362207798546</v>
      </c>
      <c r="Q132" s="59" t="s">
        <v>7</v>
      </c>
      <c r="R132" s="59" t="s">
        <v>7</v>
      </c>
    </row>
    <row r="133" spans="1:20" ht="15.75" customHeight="1" x14ac:dyDescent="0.3">
      <c r="A133" s="85" t="s">
        <v>117</v>
      </c>
      <c r="B133" s="1">
        <f>B131+B318</f>
        <v>87148</v>
      </c>
      <c r="C133" s="1">
        <f>C131+C318</f>
        <v>151087</v>
      </c>
      <c r="D133" s="1">
        <f>D131+D318</f>
        <v>82207</v>
      </c>
      <c r="E133" s="59">
        <f>SUM(B133:D133)</f>
        <v>320442</v>
      </c>
      <c r="F133" s="1">
        <f>F131+F318</f>
        <v>146946</v>
      </c>
      <c r="G133" s="1">
        <f>G131+G318</f>
        <v>151978</v>
      </c>
      <c r="H133" s="1">
        <f>H131+H318</f>
        <v>106010</v>
      </c>
      <c r="I133" s="59">
        <f>SUM(F133:H133)</f>
        <v>404934</v>
      </c>
      <c r="J133" s="1">
        <f>J131+J318</f>
        <v>96994</v>
      </c>
      <c r="K133" s="1">
        <f>K131+K318</f>
        <v>103302</v>
      </c>
      <c r="L133" s="1">
        <f>L131+L318</f>
        <v>159275</v>
      </c>
      <c r="M133" s="59">
        <f>SUM(J133:L133)</f>
        <v>359571</v>
      </c>
      <c r="N133" s="1">
        <f>N131+N318</f>
        <v>149128</v>
      </c>
      <c r="O133" s="1">
        <f>O131+O318</f>
        <v>121893</v>
      </c>
      <c r="P133" s="1">
        <f>P131+P318</f>
        <v>73547</v>
      </c>
      <c r="Q133" s="59">
        <f>SUM(N133:P133)</f>
        <v>344568</v>
      </c>
      <c r="R133" s="59">
        <f>+E133+I133+M133+Q133</f>
        <v>1429515</v>
      </c>
    </row>
    <row r="134" spans="1:20" ht="16.5" customHeight="1" thickBot="1" x14ac:dyDescent="0.35">
      <c r="A134" s="86" t="s">
        <v>118</v>
      </c>
      <c r="B134" s="87">
        <f>(B133/B10)/1.983</f>
        <v>1417.6630390577975</v>
      </c>
      <c r="C134" s="87">
        <f>(C133/C10)/1.983</f>
        <v>2721.1115913839058</v>
      </c>
      <c r="D134" s="87">
        <f>(D133/D10)/1.983</f>
        <v>1337.2862882891677</v>
      </c>
      <c r="E134" s="88" t="s">
        <v>7</v>
      </c>
      <c r="F134" s="87">
        <f>(F133/F10)/1.983</f>
        <v>2470.095814422592</v>
      </c>
      <c r="G134" s="87">
        <f>(G133/G10)/1.983</f>
        <v>2472.2723797439526</v>
      </c>
      <c r="H134" s="87">
        <f>(H133/H10)/1.983</f>
        <v>1781.9801647335685</v>
      </c>
      <c r="I134" s="88" t="s">
        <v>7</v>
      </c>
      <c r="J134" s="87">
        <f>(J133/J10)/1.983</f>
        <v>1577.8309176386381</v>
      </c>
      <c r="K134" s="87">
        <f>(K133/K10)/1.983</f>
        <v>1680.4450734468792</v>
      </c>
      <c r="L134" s="87">
        <f>(L133/L10)/1.983</f>
        <v>2677.3407295343754</v>
      </c>
      <c r="M134" s="88" t="s">
        <v>7</v>
      </c>
      <c r="N134" s="87">
        <f>(N133/N10)/1.983</f>
        <v>2425.9105623607111</v>
      </c>
      <c r="O134" s="87">
        <f>(O133/O10)/1.983</f>
        <v>2048.9662128088753</v>
      </c>
      <c r="P134" s="87">
        <f>(P133/P10)/1.983</f>
        <v>1196.4114326614936</v>
      </c>
      <c r="Q134" s="88" t="s">
        <v>7</v>
      </c>
      <c r="R134" s="88" t="s">
        <v>7</v>
      </c>
    </row>
    <row r="135" spans="1:20" ht="15.75" customHeight="1" x14ac:dyDescent="0.3">
      <c r="A135" s="30"/>
      <c r="B135" s="1"/>
      <c r="C135" s="1"/>
      <c r="D135" s="1"/>
      <c r="E135" s="1"/>
      <c r="F135" s="1"/>
      <c r="G135" s="1"/>
      <c r="H135" s="1"/>
      <c r="I135" s="1"/>
      <c r="J135" s="1"/>
      <c r="K135" s="1"/>
      <c r="L135" s="1"/>
      <c r="M135" s="1"/>
      <c r="N135" s="1"/>
      <c r="O135" s="1"/>
      <c r="P135" s="1"/>
      <c r="Q135" s="1"/>
      <c r="R135" s="28"/>
    </row>
    <row r="136" spans="1:20" ht="15.75" customHeight="1" thickBot="1" x14ac:dyDescent="0.35">
      <c r="A136" s="30" t="s">
        <v>7</v>
      </c>
      <c r="B136" s="1"/>
      <c r="C136" s="1"/>
      <c r="D136" s="1"/>
      <c r="E136" s="1"/>
      <c r="F136" s="1"/>
      <c r="G136" s="1"/>
      <c r="H136" s="1"/>
      <c r="I136" s="1"/>
      <c r="J136" s="1"/>
      <c r="K136" s="1"/>
      <c r="L136" s="1"/>
      <c r="M136" s="1"/>
      <c r="N136" s="1"/>
      <c r="O136" s="1"/>
      <c r="P136" s="1"/>
      <c r="Q136" s="1"/>
      <c r="R136" s="28"/>
    </row>
    <row r="137" spans="1:20" ht="16.5" customHeight="1" thickBot="1" x14ac:dyDescent="0.35">
      <c r="A137" s="31" t="s">
        <v>119</v>
      </c>
      <c r="B137" s="323" t="s">
        <v>36</v>
      </c>
      <c r="C137" s="324" t="s">
        <v>9</v>
      </c>
      <c r="D137" s="324" t="s">
        <v>10</v>
      </c>
      <c r="E137" s="325" t="s">
        <v>11</v>
      </c>
      <c r="F137" s="324" t="s">
        <v>12</v>
      </c>
      <c r="G137" s="324" t="s">
        <v>13</v>
      </c>
      <c r="H137" s="324" t="s">
        <v>14</v>
      </c>
      <c r="I137" s="34" t="s">
        <v>15</v>
      </c>
      <c r="J137" s="324" t="s">
        <v>16</v>
      </c>
      <c r="K137" s="324" t="s">
        <v>17</v>
      </c>
      <c r="L137" s="324" t="s">
        <v>18</v>
      </c>
      <c r="M137" s="34" t="s">
        <v>19</v>
      </c>
      <c r="N137" s="324" t="s">
        <v>20</v>
      </c>
      <c r="O137" s="324" t="s">
        <v>21</v>
      </c>
      <c r="P137" s="324" t="s">
        <v>22</v>
      </c>
      <c r="Q137" s="34" t="s">
        <v>23</v>
      </c>
      <c r="R137" s="326" t="s">
        <v>24</v>
      </c>
    </row>
    <row r="138" spans="1:20" ht="16.5" customHeight="1" thickBot="1" x14ac:dyDescent="0.35">
      <c r="A138" s="80"/>
      <c r="B138" s="81"/>
      <c r="C138" s="81"/>
      <c r="D138" s="81"/>
      <c r="E138" s="89"/>
      <c r="F138" s="81"/>
      <c r="G138" s="81"/>
      <c r="H138" s="81"/>
      <c r="I138" s="89"/>
      <c r="J138" s="81"/>
      <c r="K138" s="81"/>
      <c r="L138" s="81"/>
      <c r="M138" s="89"/>
      <c r="N138" s="81"/>
      <c r="O138" s="81"/>
      <c r="P138" s="81"/>
      <c r="Q138" s="89"/>
      <c r="R138" s="80"/>
    </row>
    <row r="139" spans="1:20" ht="15.75" customHeight="1" x14ac:dyDescent="0.3">
      <c r="A139" s="17" t="s">
        <v>45</v>
      </c>
      <c r="B139" s="1" t="s">
        <v>7</v>
      </c>
      <c r="C139" s="1" t="s">
        <v>7</v>
      </c>
      <c r="D139" s="1" t="s">
        <v>7</v>
      </c>
      <c r="E139" s="59" t="s">
        <v>7</v>
      </c>
      <c r="F139" s="1" t="s">
        <v>7</v>
      </c>
      <c r="G139" s="1" t="s">
        <v>7</v>
      </c>
      <c r="H139" s="1" t="s">
        <v>7</v>
      </c>
      <c r="I139" s="59" t="s">
        <v>7</v>
      </c>
      <c r="J139" s="1" t="s">
        <v>7</v>
      </c>
      <c r="K139" s="1" t="s">
        <v>7</v>
      </c>
      <c r="L139" s="1" t="s">
        <v>7</v>
      </c>
      <c r="M139" s="59" t="s">
        <v>7</v>
      </c>
      <c r="N139" s="1" t="s">
        <v>7</v>
      </c>
      <c r="O139" s="1" t="s">
        <v>7</v>
      </c>
      <c r="P139" s="1" t="s">
        <v>7</v>
      </c>
      <c r="Q139" s="59" t="s">
        <v>7</v>
      </c>
      <c r="R139" s="90" t="s">
        <v>7</v>
      </c>
    </row>
    <row r="140" spans="1:20" ht="15.75" customHeight="1" x14ac:dyDescent="0.3">
      <c r="A140" s="17" t="s">
        <v>46</v>
      </c>
      <c r="B140" s="1"/>
      <c r="C140" s="1"/>
      <c r="D140" s="1"/>
      <c r="E140" s="59" t="s">
        <v>7</v>
      </c>
      <c r="F140" s="1"/>
      <c r="G140" s="1"/>
      <c r="H140" s="1"/>
      <c r="I140" s="59" t="s">
        <v>7</v>
      </c>
      <c r="J140" s="1"/>
      <c r="K140" s="1"/>
      <c r="L140" s="1"/>
      <c r="M140" s="59" t="s">
        <v>7</v>
      </c>
      <c r="N140" s="1"/>
      <c r="O140" s="1"/>
      <c r="P140" s="1"/>
      <c r="Q140" s="59" t="s">
        <v>7</v>
      </c>
      <c r="R140" s="90"/>
    </row>
    <row r="141" spans="1:20" ht="15.75" customHeight="1" x14ac:dyDescent="0.3">
      <c r="A141" s="91" t="s">
        <v>120</v>
      </c>
      <c r="B141" s="1"/>
      <c r="C141" s="1">
        <v>40</v>
      </c>
      <c r="D141" s="1">
        <v>599</v>
      </c>
      <c r="E141" s="59">
        <f t="shared" ref="E141:E144" si="25">SUM(B141:D141)</f>
        <v>639</v>
      </c>
      <c r="F141" s="1">
        <v>584</v>
      </c>
      <c r="G141" s="1">
        <v>624</v>
      </c>
      <c r="H141" s="1">
        <v>534</v>
      </c>
      <c r="I141" s="59">
        <f t="shared" ref="I141:I144" si="26">SUM(F141:H141)</f>
        <v>1742</v>
      </c>
      <c r="J141" s="1">
        <v>468</v>
      </c>
      <c r="K141" s="1">
        <v>468</v>
      </c>
      <c r="L141" s="1">
        <v>475</v>
      </c>
      <c r="M141" s="59">
        <f t="shared" ref="M141:M144" si="27">SUM(J141:L141)</f>
        <v>1411</v>
      </c>
      <c r="N141" s="1">
        <v>397</v>
      </c>
      <c r="O141" s="1"/>
      <c r="P141" s="1"/>
      <c r="Q141" s="59">
        <f t="shared" ref="Q141:Q147" si="28">SUM(N141:P141)</f>
        <v>397</v>
      </c>
      <c r="R141" s="59">
        <f>+E141+I141+M141+Q141</f>
        <v>4189</v>
      </c>
      <c r="T141" s="4" t="s">
        <v>121</v>
      </c>
    </row>
    <row r="142" spans="1:20" ht="15.75" customHeight="1" x14ac:dyDescent="0.3">
      <c r="A142" s="91" t="s">
        <v>122</v>
      </c>
      <c r="B142" s="1"/>
      <c r="C142" s="1">
        <v>190</v>
      </c>
      <c r="D142" s="1">
        <v>710</v>
      </c>
      <c r="E142" s="59">
        <f t="shared" si="25"/>
        <v>900</v>
      </c>
      <c r="F142" s="1">
        <v>1017</v>
      </c>
      <c r="G142" s="1">
        <v>1193</v>
      </c>
      <c r="H142" s="1">
        <v>1653</v>
      </c>
      <c r="I142" s="59">
        <f t="shared" si="26"/>
        <v>3863</v>
      </c>
      <c r="J142" s="1">
        <v>1777</v>
      </c>
      <c r="K142" s="1">
        <v>1780</v>
      </c>
      <c r="L142" s="1">
        <v>1520</v>
      </c>
      <c r="M142" s="59">
        <f>SUM(J142:L142)</f>
        <v>5077</v>
      </c>
      <c r="N142" s="1">
        <v>1253</v>
      </c>
      <c r="O142" s="1"/>
      <c r="P142" s="1"/>
      <c r="Q142" s="59">
        <f t="shared" si="28"/>
        <v>1253</v>
      </c>
      <c r="R142" s="59">
        <f t="shared" ref="R142:R192" si="29">+E142+I142+M142+Q142</f>
        <v>11093</v>
      </c>
      <c r="T142" s="4" t="s">
        <v>121</v>
      </c>
    </row>
    <row r="143" spans="1:20" ht="15.75" customHeight="1" x14ac:dyDescent="0.3">
      <c r="A143" s="91" t="s">
        <v>123</v>
      </c>
      <c r="B143" s="1"/>
      <c r="C143" s="1">
        <v>27</v>
      </c>
      <c r="D143" s="1">
        <v>339</v>
      </c>
      <c r="E143" s="59">
        <f t="shared" si="25"/>
        <v>366</v>
      </c>
      <c r="F143" s="1">
        <v>339</v>
      </c>
      <c r="G143" s="1">
        <v>363</v>
      </c>
      <c r="H143" s="1">
        <v>309</v>
      </c>
      <c r="I143" s="59">
        <f t="shared" si="26"/>
        <v>1011</v>
      </c>
      <c r="J143" s="1">
        <v>272</v>
      </c>
      <c r="K143" s="1">
        <v>272</v>
      </c>
      <c r="L143" s="1">
        <v>276</v>
      </c>
      <c r="M143" s="59">
        <f t="shared" si="27"/>
        <v>820</v>
      </c>
      <c r="N143" s="1">
        <v>175</v>
      </c>
      <c r="O143" s="1"/>
      <c r="P143" s="1"/>
      <c r="Q143" s="59">
        <f t="shared" si="28"/>
        <v>175</v>
      </c>
      <c r="R143" s="59">
        <f t="shared" si="29"/>
        <v>2372</v>
      </c>
      <c r="T143" s="4" t="s">
        <v>121</v>
      </c>
    </row>
    <row r="144" spans="1:20" ht="15.75" customHeight="1" x14ac:dyDescent="0.3">
      <c r="A144" s="91" t="s">
        <v>124</v>
      </c>
      <c r="B144" s="1"/>
      <c r="C144" s="1">
        <v>33</v>
      </c>
      <c r="D144" s="1">
        <v>323</v>
      </c>
      <c r="E144" s="59">
        <f t="shared" si="25"/>
        <v>356</v>
      </c>
      <c r="F144" s="1">
        <v>452</v>
      </c>
      <c r="G144" s="1">
        <v>484</v>
      </c>
      <c r="H144" s="1">
        <v>413</v>
      </c>
      <c r="I144" s="59">
        <f t="shared" si="26"/>
        <v>1349</v>
      </c>
      <c r="J144" s="1">
        <v>362</v>
      </c>
      <c r="K144" s="1">
        <v>362</v>
      </c>
      <c r="L144" s="1">
        <v>368</v>
      </c>
      <c r="M144" s="59">
        <f t="shared" si="27"/>
        <v>1092</v>
      </c>
      <c r="N144" s="1">
        <v>434</v>
      </c>
      <c r="O144" s="1"/>
      <c r="P144" s="1"/>
      <c r="Q144" s="59">
        <f t="shared" si="28"/>
        <v>434</v>
      </c>
      <c r="R144" s="59">
        <f t="shared" si="29"/>
        <v>3231</v>
      </c>
      <c r="T144" s="4" t="s">
        <v>121</v>
      </c>
    </row>
    <row r="145" spans="1:20" ht="15.75" customHeight="1" x14ac:dyDescent="0.3">
      <c r="A145" s="74" t="s">
        <v>126</v>
      </c>
      <c r="B145" s="1">
        <v>15</v>
      </c>
      <c r="C145" s="1">
        <v>10</v>
      </c>
      <c r="D145" s="1">
        <v>7</v>
      </c>
      <c r="E145" s="59">
        <f t="shared" ref="E145:E146" si="30">SUM(B145:D145)</f>
        <v>32</v>
      </c>
      <c r="F145" s="1">
        <v>9</v>
      </c>
      <c r="G145" s="1">
        <v>8</v>
      </c>
      <c r="H145" s="1">
        <v>12</v>
      </c>
      <c r="I145" s="59">
        <f t="shared" ref="I145:I189" si="31">SUM(F145:H145)</f>
        <v>29</v>
      </c>
      <c r="J145" s="1">
        <v>13</v>
      </c>
      <c r="K145" s="1">
        <v>9</v>
      </c>
      <c r="L145" s="1">
        <v>14</v>
      </c>
      <c r="M145" s="59">
        <f t="shared" ref="M145:M189" si="32">SUM(J145:L145)</f>
        <v>36</v>
      </c>
      <c r="N145" s="1">
        <v>25</v>
      </c>
      <c r="O145" s="1">
        <v>25</v>
      </c>
      <c r="P145" s="1">
        <v>145</v>
      </c>
      <c r="Q145" s="59">
        <f t="shared" si="28"/>
        <v>195</v>
      </c>
      <c r="R145" s="59">
        <f t="shared" si="29"/>
        <v>292</v>
      </c>
      <c r="T145" s="4" t="s">
        <v>127</v>
      </c>
    </row>
    <row r="146" spans="1:20" ht="15.75" customHeight="1" x14ac:dyDescent="0.3">
      <c r="A146" s="74" t="s">
        <v>128</v>
      </c>
      <c r="B146" s="1"/>
      <c r="C146" s="1">
        <v>348</v>
      </c>
      <c r="D146" s="1"/>
      <c r="E146" s="59">
        <f t="shared" si="30"/>
        <v>348</v>
      </c>
      <c r="F146" s="1"/>
      <c r="G146" s="1">
        <v>652</v>
      </c>
      <c r="H146" s="1"/>
      <c r="I146" s="59">
        <f t="shared" si="31"/>
        <v>652</v>
      </c>
      <c r="J146" s="1"/>
      <c r="K146" s="1"/>
      <c r="L146" s="1"/>
      <c r="M146" s="59">
        <f t="shared" si="32"/>
        <v>0</v>
      </c>
      <c r="N146" s="1"/>
      <c r="O146" s="1"/>
      <c r="P146" s="1"/>
      <c r="Q146" s="59">
        <f t="shared" ref="Q146" si="33">SUM(N146:P146)</f>
        <v>0</v>
      </c>
      <c r="R146" s="59">
        <f t="shared" si="29"/>
        <v>1000</v>
      </c>
    </row>
    <row r="147" spans="1:20" ht="15.75" customHeight="1" x14ac:dyDescent="0.3">
      <c r="A147" s="91" t="s">
        <v>129</v>
      </c>
      <c r="C147" s="1"/>
      <c r="D147" s="1"/>
      <c r="E147" s="59">
        <f>SUM(C147:D147)</f>
        <v>0</v>
      </c>
      <c r="F147" s="1"/>
      <c r="G147" s="1"/>
      <c r="H147" s="1">
        <v>750</v>
      </c>
      <c r="I147" s="59">
        <f t="shared" si="31"/>
        <v>750</v>
      </c>
      <c r="J147" s="1"/>
      <c r="K147" s="1"/>
      <c r="L147" s="1"/>
      <c r="M147" s="59">
        <f t="shared" si="32"/>
        <v>0</v>
      </c>
      <c r="N147" s="1"/>
      <c r="O147" s="1"/>
      <c r="P147" s="1"/>
      <c r="Q147" s="59">
        <f t="shared" si="28"/>
        <v>0</v>
      </c>
      <c r="R147" s="59">
        <f t="shared" si="29"/>
        <v>750</v>
      </c>
      <c r="T147" s="4" t="s">
        <v>121</v>
      </c>
    </row>
    <row r="148" spans="1:20" ht="15.75" customHeight="1" x14ac:dyDescent="0.3">
      <c r="A148" s="74" t="s">
        <v>130</v>
      </c>
      <c r="C148" s="1"/>
      <c r="D148" s="1"/>
      <c r="E148" s="59">
        <f>SUM(C148:D148)</f>
        <v>0</v>
      </c>
      <c r="F148" s="1"/>
      <c r="G148" s="1">
        <v>1087</v>
      </c>
      <c r="H148" s="1">
        <v>4112</v>
      </c>
      <c r="I148" s="59">
        <f t="shared" si="31"/>
        <v>5199</v>
      </c>
      <c r="J148" s="1">
        <v>5359</v>
      </c>
      <c r="K148" s="1">
        <v>6212</v>
      </c>
      <c r="L148" s="1">
        <v>4230</v>
      </c>
      <c r="M148" s="59">
        <f t="shared" si="32"/>
        <v>15801</v>
      </c>
      <c r="N148" s="1"/>
      <c r="O148" s="1"/>
      <c r="P148" s="1"/>
      <c r="Q148" s="59">
        <f t="shared" ref="Q148:Q195" si="34">SUM(N148:P148)</f>
        <v>0</v>
      </c>
      <c r="R148" s="59">
        <f t="shared" si="29"/>
        <v>21000</v>
      </c>
    </row>
    <row r="149" spans="1:20" ht="15.75" customHeight="1" x14ac:dyDescent="0.3">
      <c r="A149" s="91" t="s">
        <v>131</v>
      </c>
      <c r="B149" s="1"/>
      <c r="C149" s="1"/>
      <c r="D149" s="1"/>
      <c r="E149" s="59">
        <f t="shared" ref="E149:E164" si="35">SUM(B149:D149)</f>
        <v>0</v>
      </c>
      <c r="F149" s="1"/>
      <c r="G149" s="1"/>
      <c r="H149" s="1"/>
      <c r="I149" s="59">
        <f t="shared" si="31"/>
        <v>0</v>
      </c>
      <c r="J149" s="1"/>
      <c r="K149" s="1"/>
      <c r="L149" s="1"/>
      <c r="M149" s="59">
        <f t="shared" si="32"/>
        <v>0</v>
      </c>
      <c r="N149" s="1"/>
      <c r="O149" s="1"/>
      <c r="P149" s="1"/>
      <c r="Q149" s="59">
        <f t="shared" si="34"/>
        <v>0</v>
      </c>
      <c r="R149" s="59">
        <f t="shared" si="29"/>
        <v>0</v>
      </c>
      <c r="T149" s="4" t="s">
        <v>132</v>
      </c>
    </row>
    <row r="150" spans="1:20" ht="15.75" customHeight="1" x14ac:dyDescent="0.3">
      <c r="A150" s="91" t="s">
        <v>133</v>
      </c>
      <c r="B150" s="1"/>
      <c r="C150" s="1"/>
      <c r="D150" s="1"/>
      <c r="E150" s="59">
        <f t="shared" si="35"/>
        <v>0</v>
      </c>
      <c r="F150" s="1"/>
      <c r="G150" s="1"/>
      <c r="H150" s="4">
        <v>2696</v>
      </c>
      <c r="I150" s="59">
        <f t="shared" si="31"/>
        <v>2696</v>
      </c>
      <c r="J150" s="1"/>
      <c r="K150" s="1"/>
      <c r="L150" s="1"/>
      <c r="M150" s="59">
        <f t="shared" si="32"/>
        <v>0</v>
      </c>
      <c r="N150" s="1"/>
      <c r="O150" s="1"/>
      <c r="P150" s="1"/>
      <c r="Q150" s="59">
        <f t="shared" si="34"/>
        <v>0</v>
      </c>
      <c r="R150" s="59">
        <f t="shared" si="29"/>
        <v>2696</v>
      </c>
      <c r="T150" s="4" t="s">
        <v>134</v>
      </c>
    </row>
    <row r="151" spans="1:20" ht="15.75" customHeight="1" x14ac:dyDescent="0.3">
      <c r="A151" s="74" t="s">
        <v>135</v>
      </c>
      <c r="B151" s="1"/>
      <c r="C151" s="1"/>
      <c r="D151" s="1"/>
      <c r="E151" s="59">
        <f t="shared" si="35"/>
        <v>0</v>
      </c>
      <c r="F151" s="1"/>
      <c r="G151" s="1"/>
      <c r="H151" s="1">
        <v>2720</v>
      </c>
      <c r="I151" s="59">
        <f t="shared" si="31"/>
        <v>2720</v>
      </c>
      <c r="J151" s="1"/>
      <c r="K151" s="1"/>
      <c r="L151" s="1"/>
      <c r="M151" s="59">
        <f t="shared" si="32"/>
        <v>0</v>
      </c>
      <c r="N151" s="1"/>
      <c r="O151" s="1"/>
      <c r="P151" s="1"/>
      <c r="Q151" s="59">
        <f t="shared" si="34"/>
        <v>0</v>
      </c>
      <c r="R151" s="59">
        <f t="shared" si="29"/>
        <v>2720</v>
      </c>
      <c r="S151" s="4" t="s">
        <v>136</v>
      </c>
      <c r="T151" s="4" t="s">
        <v>137</v>
      </c>
    </row>
    <row r="152" spans="1:20" ht="15.75" customHeight="1" x14ac:dyDescent="0.3">
      <c r="A152" s="76" t="s">
        <v>138</v>
      </c>
      <c r="B152" s="1"/>
      <c r="C152" s="1">
        <v>1</v>
      </c>
      <c r="D152" s="1">
        <f>27+10</f>
        <v>37</v>
      </c>
      <c r="E152" s="59">
        <f>SUM(B152:D152)</f>
        <v>38</v>
      </c>
      <c r="F152" s="1">
        <f>40+20</f>
        <v>60</v>
      </c>
      <c r="G152" s="1">
        <f>34+41</f>
        <v>75</v>
      </c>
      <c r="H152" s="1">
        <f>75+32</f>
        <v>107</v>
      </c>
      <c r="I152" s="59">
        <f>SUM(F152:H152)</f>
        <v>242</v>
      </c>
      <c r="K152" s="1"/>
      <c r="L152" s="1"/>
      <c r="M152" s="59">
        <f>SUM(J152:L152)</f>
        <v>0</v>
      </c>
      <c r="N152" s="1"/>
      <c r="O152" s="1"/>
      <c r="P152" s="1"/>
      <c r="Q152" s="59">
        <f>SUM(N152:P152)</f>
        <v>0</v>
      </c>
      <c r="R152" s="59">
        <f>+E152+I152+M152+Q152</f>
        <v>280</v>
      </c>
      <c r="S152" s="94"/>
    </row>
    <row r="153" spans="1:20" ht="15.75" customHeight="1" x14ac:dyDescent="0.3">
      <c r="A153" s="91" t="s">
        <v>139</v>
      </c>
      <c r="B153" s="1"/>
      <c r="C153" s="1"/>
      <c r="D153" s="1"/>
      <c r="E153" s="59">
        <f t="shared" si="35"/>
        <v>0</v>
      </c>
      <c r="F153" s="1"/>
      <c r="G153" s="1"/>
      <c r="H153" s="1"/>
      <c r="I153" s="59">
        <f t="shared" si="31"/>
        <v>0</v>
      </c>
      <c r="J153" s="1"/>
      <c r="K153" s="1"/>
      <c r="L153" s="1"/>
      <c r="M153" s="59">
        <f t="shared" si="32"/>
        <v>0</v>
      </c>
      <c r="N153" s="1">
        <v>545</v>
      </c>
      <c r="O153" s="1"/>
      <c r="P153" s="1"/>
      <c r="Q153" s="59">
        <f t="shared" si="34"/>
        <v>545</v>
      </c>
      <c r="R153" s="59">
        <f t="shared" si="29"/>
        <v>545</v>
      </c>
      <c r="S153" s="75" t="s">
        <v>80</v>
      </c>
      <c r="T153" s="4" t="s">
        <v>132</v>
      </c>
    </row>
    <row r="154" spans="1:20" ht="15.75" customHeight="1" x14ac:dyDescent="0.3">
      <c r="A154" s="91" t="s">
        <v>140</v>
      </c>
      <c r="B154" s="1"/>
      <c r="C154" s="1"/>
      <c r="E154" s="59">
        <f t="shared" si="35"/>
        <v>0</v>
      </c>
      <c r="F154" s="1"/>
      <c r="G154" s="1"/>
      <c r="H154" s="1"/>
      <c r="I154" s="59">
        <f t="shared" si="31"/>
        <v>0</v>
      </c>
      <c r="J154" s="1"/>
      <c r="K154" s="1"/>
      <c r="L154" s="1">
        <v>156</v>
      </c>
      <c r="M154" s="59">
        <f t="shared" si="32"/>
        <v>156</v>
      </c>
      <c r="N154" s="1">
        <v>1</v>
      </c>
      <c r="O154" s="1"/>
      <c r="P154" s="1"/>
      <c r="Q154" s="59">
        <f t="shared" si="34"/>
        <v>1</v>
      </c>
      <c r="R154" s="59">
        <f t="shared" si="29"/>
        <v>157</v>
      </c>
      <c r="S154" s="75" t="s">
        <v>80</v>
      </c>
      <c r="T154" s="4" t="s">
        <v>134</v>
      </c>
    </row>
    <row r="155" spans="1:20" ht="15.75" customHeight="1" x14ac:dyDescent="0.3">
      <c r="A155" s="91" t="s">
        <v>141</v>
      </c>
      <c r="B155" s="1"/>
      <c r="C155" s="1"/>
      <c r="D155" s="1"/>
      <c r="E155" s="59">
        <f t="shared" si="35"/>
        <v>0</v>
      </c>
      <c r="F155" s="1"/>
      <c r="G155" s="1"/>
      <c r="H155" s="1"/>
      <c r="I155" s="59">
        <f t="shared" si="31"/>
        <v>0</v>
      </c>
      <c r="J155" s="1"/>
      <c r="K155" s="1"/>
      <c r="L155" s="1"/>
      <c r="M155" s="59">
        <f t="shared" si="32"/>
        <v>0</v>
      </c>
      <c r="N155" s="1"/>
      <c r="O155" s="1"/>
      <c r="P155" s="1"/>
      <c r="Q155" s="59">
        <f t="shared" si="34"/>
        <v>0</v>
      </c>
      <c r="R155" s="59">
        <f t="shared" si="29"/>
        <v>0</v>
      </c>
      <c r="S155" s="75" t="s">
        <v>80</v>
      </c>
      <c r="T155" s="4" t="s">
        <v>121</v>
      </c>
    </row>
    <row r="156" spans="1:20" ht="15.75" customHeight="1" x14ac:dyDescent="0.3">
      <c r="A156" s="74" t="s">
        <v>142</v>
      </c>
      <c r="B156" s="1">
        <v>46</v>
      </c>
      <c r="C156" s="1">
        <v>47</v>
      </c>
      <c r="D156" s="1">
        <v>43</v>
      </c>
      <c r="E156" s="59">
        <f t="shared" si="35"/>
        <v>136</v>
      </c>
      <c r="F156" s="1">
        <v>58</v>
      </c>
      <c r="G156" s="1">
        <v>60</v>
      </c>
      <c r="H156" s="1">
        <v>67</v>
      </c>
      <c r="I156" s="59">
        <f t="shared" si="31"/>
        <v>185</v>
      </c>
      <c r="J156" s="1">
        <v>63</v>
      </c>
      <c r="K156" s="1">
        <f>12+51</f>
        <v>63</v>
      </c>
      <c r="L156" s="1">
        <v>61</v>
      </c>
      <c r="M156" s="59">
        <f t="shared" si="32"/>
        <v>187</v>
      </c>
      <c r="N156" s="1">
        <f>12+43</f>
        <v>55</v>
      </c>
      <c r="O156" s="1">
        <f>12+43</f>
        <v>55</v>
      </c>
      <c r="P156" s="1">
        <v>37</v>
      </c>
      <c r="Q156" s="59">
        <f t="shared" si="34"/>
        <v>147</v>
      </c>
      <c r="R156" s="59">
        <f t="shared" si="29"/>
        <v>655</v>
      </c>
      <c r="T156" s="4" t="s">
        <v>143</v>
      </c>
    </row>
    <row r="157" spans="1:20" ht="15.75" customHeight="1" x14ac:dyDescent="0.3">
      <c r="A157" s="74" t="s">
        <v>144</v>
      </c>
      <c r="B157" s="1">
        <v>127</v>
      </c>
      <c r="C157" s="1">
        <v>98</v>
      </c>
      <c r="D157" s="1">
        <v>144</v>
      </c>
      <c r="E157" s="59">
        <f t="shared" si="35"/>
        <v>369</v>
      </c>
      <c r="F157" s="1">
        <v>149</v>
      </c>
      <c r="G157" s="1">
        <v>162</v>
      </c>
      <c r="H157" s="1">
        <v>190</v>
      </c>
      <c r="I157" s="59">
        <f t="shared" si="31"/>
        <v>501</v>
      </c>
      <c r="J157" s="1">
        <v>214</v>
      </c>
      <c r="K157" s="1">
        <v>224</v>
      </c>
      <c r="L157" s="1">
        <v>177</v>
      </c>
      <c r="M157" s="59">
        <f t="shared" si="32"/>
        <v>615</v>
      </c>
      <c r="N157" s="1">
        <v>180</v>
      </c>
      <c r="O157" s="1">
        <v>180</v>
      </c>
      <c r="P157" s="1">
        <v>360</v>
      </c>
      <c r="Q157" s="59">
        <f t="shared" si="34"/>
        <v>720</v>
      </c>
      <c r="R157" s="59">
        <f t="shared" si="29"/>
        <v>2205</v>
      </c>
      <c r="T157" s="4" t="s">
        <v>145</v>
      </c>
    </row>
    <row r="158" spans="1:20" ht="15.75" customHeight="1" x14ac:dyDescent="0.3">
      <c r="A158" s="74" t="s">
        <v>147</v>
      </c>
      <c r="B158" s="1"/>
      <c r="C158" s="1"/>
      <c r="D158" s="1"/>
      <c r="E158" s="59">
        <f t="shared" si="35"/>
        <v>0</v>
      </c>
      <c r="F158" s="1"/>
      <c r="G158" s="1">
        <v>410</v>
      </c>
      <c r="H158" s="1"/>
      <c r="I158" s="59">
        <f t="shared" si="31"/>
        <v>410</v>
      </c>
      <c r="J158" s="1"/>
      <c r="K158" s="1">
        <v>445</v>
      </c>
      <c r="L158" s="1">
        <f>580+357</f>
        <v>937</v>
      </c>
      <c r="M158" s="59">
        <f t="shared" si="32"/>
        <v>1382</v>
      </c>
      <c r="N158" s="1">
        <v>750</v>
      </c>
      <c r="O158" s="1">
        <v>492</v>
      </c>
      <c r="P158" s="1">
        <v>352</v>
      </c>
      <c r="Q158" s="59">
        <f t="shared" si="34"/>
        <v>1594</v>
      </c>
      <c r="R158" s="59">
        <f t="shared" si="29"/>
        <v>3386</v>
      </c>
      <c r="S158" s="4" t="s">
        <v>136</v>
      </c>
    </row>
    <row r="159" spans="1:20" ht="15.75" customHeight="1" x14ac:dyDescent="0.3">
      <c r="A159" s="91" t="s">
        <v>148</v>
      </c>
      <c r="B159" s="1"/>
      <c r="C159" s="1">
        <v>300</v>
      </c>
      <c r="D159" s="1">
        <v>539</v>
      </c>
      <c r="E159" s="59">
        <f>SUM(B159:D159)</f>
        <v>839</v>
      </c>
      <c r="F159" s="1">
        <v>509</v>
      </c>
      <c r="G159" s="1">
        <v>544</v>
      </c>
      <c r="H159" s="1">
        <v>465</v>
      </c>
      <c r="I159" s="59">
        <f t="shared" si="31"/>
        <v>1518</v>
      </c>
      <c r="J159" s="1">
        <v>408</v>
      </c>
      <c r="K159" s="1">
        <v>408</v>
      </c>
      <c r="L159" s="1">
        <v>414</v>
      </c>
      <c r="M159" s="59">
        <f t="shared" si="32"/>
        <v>1230</v>
      </c>
      <c r="N159" s="1">
        <v>13</v>
      </c>
      <c r="O159" s="1"/>
      <c r="P159" s="1"/>
      <c r="Q159" s="59">
        <f t="shared" si="34"/>
        <v>13</v>
      </c>
      <c r="R159" s="59">
        <f t="shared" si="29"/>
        <v>3600</v>
      </c>
      <c r="T159" s="4" t="s">
        <v>121</v>
      </c>
    </row>
    <row r="160" spans="1:20" ht="15.75" customHeight="1" x14ac:dyDescent="0.3">
      <c r="A160" s="74" t="s">
        <v>149</v>
      </c>
      <c r="B160" s="1">
        <v>334</v>
      </c>
      <c r="C160" s="1">
        <v>314</v>
      </c>
      <c r="D160" s="1">
        <v>375</v>
      </c>
      <c r="E160" s="59">
        <f t="shared" si="35"/>
        <v>1023</v>
      </c>
      <c r="F160" s="1">
        <v>358</v>
      </c>
      <c r="G160" s="1">
        <v>306</v>
      </c>
      <c r="H160" s="1">
        <v>394</v>
      </c>
      <c r="I160" s="59">
        <f t="shared" si="31"/>
        <v>1058</v>
      </c>
      <c r="J160" s="1">
        <v>493</v>
      </c>
      <c r="K160" s="1">
        <v>524</v>
      </c>
      <c r="L160" s="1">
        <v>537</v>
      </c>
      <c r="M160" s="59">
        <f t="shared" si="32"/>
        <v>1554</v>
      </c>
      <c r="N160" s="1">
        <v>377</v>
      </c>
      <c r="O160" s="1">
        <v>90</v>
      </c>
      <c r="P160" s="1">
        <v>1201</v>
      </c>
      <c r="Q160" s="59">
        <f t="shared" si="34"/>
        <v>1668</v>
      </c>
      <c r="R160" s="59">
        <f t="shared" si="29"/>
        <v>5303</v>
      </c>
      <c r="T160" s="4" t="s">
        <v>150</v>
      </c>
    </row>
    <row r="161" spans="1:20" ht="15.75" customHeight="1" x14ac:dyDescent="0.3">
      <c r="A161" s="91" t="s">
        <v>971</v>
      </c>
      <c r="B161" s="1"/>
      <c r="C161" s="1"/>
      <c r="D161" s="1"/>
      <c r="E161" s="59">
        <f t="shared" si="35"/>
        <v>0</v>
      </c>
      <c r="F161" s="1"/>
      <c r="G161" s="1"/>
      <c r="H161" s="1"/>
      <c r="I161" s="59">
        <f t="shared" si="31"/>
        <v>0</v>
      </c>
      <c r="J161" s="1">
        <v>508</v>
      </c>
      <c r="K161" s="1"/>
      <c r="L161" s="1"/>
      <c r="M161" s="59">
        <f t="shared" si="32"/>
        <v>508</v>
      </c>
      <c r="N161" s="1"/>
      <c r="O161" s="1"/>
      <c r="P161" s="1"/>
      <c r="Q161" s="59">
        <f t="shared" si="34"/>
        <v>0</v>
      </c>
      <c r="R161" s="59">
        <f t="shared" si="29"/>
        <v>508</v>
      </c>
      <c r="T161" s="4" t="s">
        <v>132</v>
      </c>
    </row>
    <row r="162" spans="1:20" ht="15.75" customHeight="1" x14ac:dyDescent="0.3">
      <c r="A162" s="76" t="s">
        <v>153</v>
      </c>
      <c r="B162" s="1"/>
      <c r="C162" s="1"/>
      <c r="D162" s="1"/>
      <c r="E162" s="59">
        <f t="shared" ref="E162" si="36">SUM(B162:D162)</f>
        <v>0</v>
      </c>
      <c r="F162" s="1"/>
      <c r="G162" s="1"/>
      <c r="H162" s="1">
        <v>1325</v>
      </c>
      <c r="I162" s="59">
        <f t="shared" ref="I162" si="37">SUM(F162:H162)</f>
        <v>1325</v>
      </c>
      <c r="J162" s="1">
        <v>1581</v>
      </c>
      <c r="K162" s="1"/>
      <c r="L162" s="1"/>
      <c r="M162" s="59">
        <f t="shared" ref="M162" si="38">SUM(J162:L162)</f>
        <v>1581</v>
      </c>
      <c r="N162" s="1"/>
      <c r="O162" s="1"/>
      <c r="P162" s="1"/>
      <c r="Q162" s="59">
        <f t="shared" ref="Q162" si="39">SUM(N162:P162)</f>
        <v>0</v>
      </c>
      <c r="R162" s="59">
        <f t="shared" si="29"/>
        <v>2906</v>
      </c>
    </row>
    <row r="163" spans="1:20" ht="15.75" customHeight="1" x14ac:dyDescent="0.3">
      <c r="A163" s="76" t="s">
        <v>858</v>
      </c>
      <c r="B163" s="1"/>
      <c r="C163" s="1"/>
      <c r="D163" s="1"/>
      <c r="E163" s="59">
        <f t="shared" si="35"/>
        <v>0</v>
      </c>
      <c r="F163" s="1"/>
      <c r="G163" s="1"/>
      <c r="H163" s="1"/>
      <c r="I163" s="59">
        <f t="shared" si="31"/>
        <v>0</v>
      </c>
      <c r="J163" s="1"/>
      <c r="K163" s="1"/>
      <c r="L163" s="1"/>
      <c r="M163" s="59">
        <f t="shared" si="32"/>
        <v>0</v>
      </c>
      <c r="N163" s="1"/>
      <c r="O163" s="1"/>
      <c r="P163" s="1"/>
      <c r="Q163" s="59">
        <f t="shared" si="34"/>
        <v>0</v>
      </c>
      <c r="R163" s="59">
        <f t="shared" si="29"/>
        <v>0</v>
      </c>
    </row>
    <row r="164" spans="1:20" ht="15.75" customHeight="1" x14ac:dyDescent="0.3">
      <c r="A164" s="74" t="s">
        <v>155</v>
      </c>
      <c r="B164" s="1"/>
      <c r="C164" s="1"/>
      <c r="D164" s="1"/>
      <c r="E164" s="59">
        <f t="shared" si="35"/>
        <v>0</v>
      </c>
      <c r="F164" s="1"/>
      <c r="G164" s="1"/>
      <c r="H164" s="1"/>
      <c r="I164" s="59">
        <f t="shared" si="31"/>
        <v>0</v>
      </c>
      <c r="J164" s="1"/>
      <c r="K164" s="1"/>
      <c r="L164" s="1"/>
      <c r="M164" s="59">
        <f t="shared" si="32"/>
        <v>0</v>
      </c>
      <c r="N164" s="1"/>
      <c r="O164" s="1"/>
      <c r="P164" s="1"/>
      <c r="Q164" s="59">
        <f t="shared" si="34"/>
        <v>0</v>
      </c>
      <c r="R164" s="59">
        <f t="shared" si="29"/>
        <v>0</v>
      </c>
      <c r="S164" s="4" t="s">
        <v>136</v>
      </c>
      <c r="T164" s="4" t="s">
        <v>137</v>
      </c>
    </row>
    <row r="165" spans="1:20" s="98" customFormat="1" ht="15.75" customHeight="1" x14ac:dyDescent="0.3">
      <c r="A165" s="96" t="s">
        <v>156</v>
      </c>
      <c r="B165" s="92"/>
      <c r="C165" s="92"/>
      <c r="D165" s="92"/>
      <c r="E165" s="97">
        <f t="shared" ref="E165:E188" si="40">SUM(B165:D165)</f>
        <v>0</v>
      </c>
      <c r="F165" s="92"/>
      <c r="G165" s="92"/>
      <c r="H165" s="92"/>
      <c r="I165" s="97">
        <f t="shared" si="31"/>
        <v>0</v>
      </c>
      <c r="J165" s="92"/>
      <c r="K165" s="92"/>
      <c r="L165" s="92"/>
      <c r="M165" s="97">
        <f t="shared" si="32"/>
        <v>0</v>
      </c>
      <c r="N165" s="92">
        <v>-11000</v>
      </c>
      <c r="O165" s="92">
        <v>-10000</v>
      </c>
      <c r="P165" s="92">
        <v>-15000</v>
      </c>
      <c r="Q165" s="97">
        <f t="shared" si="34"/>
        <v>-36000</v>
      </c>
      <c r="R165" s="97">
        <f t="shared" si="29"/>
        <v>-36000</v>
      </c>
    </row>
    <row r="166" spans="1:20" ht="15.75" customHeight="1" x14ac:dyDescent="0.3">
      <c r="A166" s="74" t="s">
        <v>157</v>
      </c>
      <c r="B166" s="1"/>
      <c r="C166" s="1"/>
      <c r="D166" s="1"/>
      <c r="E166" s="59">
        <f t="shared" si="40"/>
        <v>0</v>
      </c>
      <c r="F166" s="1">
        <v>758</v>
      </c>
      <c r="G166" s="1">
        <v>1756</v>
      </c>
      <c r="H166" s="1">
        <v>1873</v>
      </c>
      <c r="I166" s="59">
        <f t="shared" si="31"/>
        <v>4387</v>
      </c>
      <c r="J166" s="1">
        <v>1751</v>
      </c>
      <c r="K166" s="1">
        <v>1854</v>
      </c>
      <c r="L166" s="1">
        <v>1717</v>
      </c>
      <c r="M166" s="59">
        <f t="shared" si="32"/>
        <v>5322</v>
      </c>
      <c r="N166" s="1">
        <v>1500</v>
      </c>
      <c r="O166" s="1">
        <v>1700</v>
      </c>
      <c r="P166" s="1">
        <v>1795</v>
      </c>
      <c r="Q166" s="59">
        <f t="shared" si="34"/>
        <v>4995</v>
      </c>
      <c r="R166" s="59">
        <f>+E166+I166+M166+Q166</f>
        <v>14704</v>
      </c>
      <c r="T166" s="4" t="s">
        <v>158</v>
      </c>
    </row>
    <row r="167" spans="1:20" ht="15.75" customHeight="1" x14ac:dyDescent="0.3">
      <c r="A167" s="91" t="s">
        <v>159</v>
      </c>
      <c r="B167" s="1"/>
      <c r="C167" s="1"/>
      <c r="D167" s="1"/>
      <c r="E167" s="59">
        <f t="shared" si="40"/>
        <v>0</v>
      </c>
      <c r="F167" s="1"/>
      <c r="G167" s="1"/>
      <c r="H167" s="1"/>
      <c r="I167" s="59">
        <f t="shared" si="31"/>
        <v>0</v>
      </c>
      <c r="J167" s="1"/>
      <c r="K167" s="1"/>
      <c r="L167" s="1">
        <v>500</v>
      </c>
      <c r="M167" s="59">
        <f t="shared" si="32"/>
        <v>500</v>
      </c>
      <c r="N167" s="1"/>
      <c r="O167" s="1"/>
      <c r="P167" s="1"/>
      <c r="Q167" s="59">
        <f t="shared" si="34"/>
        <v>0</v>
      </c>
      <c r="R167" s="59">
        <f t="shared" ref="R167:R173" si="41">+E167+I167+M167+Q167</f>
        <v>500</v>
      </c>
      <c r="T167" s="4" t="s">
        <v>121</v>
      </c>
    </row>
    <row r="168" spans="1:20" ht="15.75" customHeight="1" x14ac:dyDescent="0.3">
      <c r="A168" s="91" t="s">
        <v>160</v>
      </c>
      <c r="B168" s="1"/>
      <c r="C168" s="1"/>
      <c r="D168" s="1"/>
      <c r="E168" s="59">
        <f t="shared" si="40"/>
        <v>0</v>
      </c>
      <c r="F168" s="1"/>
      <c r="G168" s="1">
        <v>500</v>
      </c>
      <c r="H168" s="1">
        <v>300</v>
      </c>
      <c r="I168" s="59">
        <f t="shared" si="31"/>
        <v>800</v>
      </c>
      <c r="J168" s="1">
        <v>832</v>
      </c>
      <c r="K168" s="1"/>
      <c r="L168" s="1"/>
      <c r="M168" s="59">
        <f t="shared" si="32"/>
        <v>832</v>
      </c>
      <c r="N168" s="1">
        <v>200</v>
      </c>
      <c r="O168" s="1"/>
      <c r="P168" s="1"/>
      <c r="Q168" s="59">
        <f t="shared" si="34"/>
        <v>200</v>
      </c>
      <c r="R168" s="59">
        <f t="shared" si="41"/>
        <v>1832</v>
      </c>
      <c r="T168" s="4" t="s">
        <v>134</v>
      </c>
    </row>
    <row r="169" spans="1:20" ht="15.75" customHeight="1" x14ac:dyDescent="0.3">
      <c r="A169" s="91" t="s">
        <v>951</v>
      </c>
      <c r="B169" s="1"/>
      <c r="C169" s="1"/>
      <c r="D169" s="1"/>
      <c r="E169" s="59">
        <f t="shared" si="40"/>
        <v>0</v>
      </c>
      <c r="F169" s="1"/>
      <c r="G169" s="1"/>
      <c r="H169" s="1"/>
      <c r="I169" s="59">
        <f t="shared" si="31"/>
        <v>0</v>
      </c>
      <c r="J169" s="1"/>
      <c r="K169" s="1"/>
      <c r="L169" s="1">
        <v>200</v>
      </c>
      <c r="M169" s="59">
        <f t="shared" si="32"/>
        <v>200</v>
      </c>
      <c r="N169" s="1"/>
      <c r="O169" s="1"/>
      <c r="P169" s="1"/>
      <c r="Q169" s="59">
        <f t="shared" ref="Q169" si="42">SUM(N169:P169)</f>
        <v>0</v>
      </c>
      <c r="R169" s="59">
        <f t="shared" si="41"/>
        <v>200</v>
      </c>
    </row>
    <row r="170" spans="1:20" ht="15.75" customHeight="1" x14ac:dyDescent="0.3">
      <c r="A170" s="74" t="s">
        <v>161</v>
      </c>
      <c r="B170" s="1"/>
      <c r="C170" s="1"/>
      <c r="D170" s="1"/>
      <c r="E170" s="59">
        <f t="shared" si="40"/>
        <v>0</v>
      </c>
      <c r="F170" s="1"/>
      <c r="G170" s="1"/>
      <c r="H170" s="1"/>
      <c r="I170" s="59">
        <f t="shared" si="31"/>
        <v>0</v>
      </c>
      <c r="J170" s="1"/>
      <c r="K170" s="1"/>
      <c r="L170" s="1"/>
      <c r="M170" s="59">
        <f t="shared" si="32"/>
        <v>0</v>
      </c>
      <c r="N170" s="1"/>
      <c r="O170" s="1"/>
      <c r="P170" s="1"/>
      <c r="Q170" s="59">
        <f t="shared" si="34"/>
        <v>0</v>
      </c>
      <c r="R170" s="59">
        <f t="shared" si="41"/>
        <v>0</v>
      </c>
      <c r="S170" s="94" t="s">
        <v>136</v>
      </c>
      <c r="T170" s="4" t="s">
        <v>162</v>
      </c>
    </row>
    <row r="171" spans="1:20" ht="15.75" customHeight="1" x14ac:dyDescent="0.3">
      <c r="A171" s="91" t="s">
        <v>164</v>
      </c>
      <c r="B171" s="1"/>
      <c r="C171" s="1"/>
      <c r="D171" s="1"/>
      <c r="E171" s="59">
        <f t="shared" si="40"/>
        <v>0</v>
      </c>
      <c r="F171" s="1"/>
      <c r="G171" s="1"/>
      <c r="H171" s="1"/>
      <c r="I171" s="59">
        <f t="shared" si="31"/>
        <v>0</v>
      </c>
      <c r="J171" s="1"/>
      <c r="K171" s="1"/>
      <c r="L171" s="1"/>
      <c r="M171" s="59">
        <f t="shared" si="32"/>
        <v>0</v>
      </c>
      <c r="N171" s="1"/>
      <c r="O171" s="1"/>
      <c r="P171" s="1"/>
      <c r="Q171" s="59">
        <f t="shared" si="34"/>
        <v>0</v>
      </c>
      <c r="R171" s="59">
        <f t="shared" si="41"/>
        <v>0</v>
      </c>
      <c r="T171" s="4" t="s">
        <v>132</v>
      </c>
    </row>
    <row r="172" spans="1:20" ht="15.75" customHeight="1" x14ac:dyDescent="0.3">
      <c r="A172" s="91" t="s">
        <v>165</v>
      </c>
      <c r="B172" s="1"/>
      <c r="C172" s="1"/>
      <c r="D172" s="1"/>
      <c r="E172" s="59">
        <f t="shared" si="40"/>
        <v>0</v>
      </c>
      <c r="F172" s="1"/>
      <c r="G172" s="1"/>
      <c r="H172" s="1"/>
      <c r="I172" s="59">
        <f t="shared" si="31"/>
        <v>0</v>
      </c>
      <c r="J172" s="1"/>
      <c r="K172" s="1"/>
      <c r="L172" s="1"/>
      <c r="M172" s="59">
        <f t="shared" si="32"/>
        <v>0</v>
      </c>
      <c r="N172" s="1"/>
      <c r="O172" s="1"/>
      <c r="P172" s="1"/>
      <c r="Q172" s="59">
        <f t="shared" si="34"/>
        <v>0</v>
      </c>
      <c r="R172" s="59">
        <f t="shared" si="41"/>
        <v>0</v>
      </c>
      <c r="T172" s="4" t="s">
        <v>134</v>
      </c>
    </row>
    <row r="173" spans="1:20" ht="15.75" customHeight="1" x14ac:dyDescent="0.3">
      <c r="A173" s="74" t="s">
        <v>166</v>
      </c>
      <c r="B173" s="1">
        <v>10</v>
      </c>
      <c r="C173" s="1">
        <v>11</v>
      </c>
      <c r="D173" s="1">
        <v>27</v>
      </c>
      <c r="E173" s="59">
        <f t="shared" si="40"/>
        <v>48</v>
      </c>
      <c r="F173" s="1">
        <v>53</v>
      </c>
      <c r="G173" s="1">
        <v>56</v>
      </c>
      <c r="H173" s="1">
        <v>83</v>
      </c>
      <c r="I173" s="59">
        <f t="shared" si="31"/>
        <v>192</v>
      </c>
      <c r="J173" s="1">
        <v>69</v>
      </c>
      <c r="K173" s="1">
        <v>85</v>
      </c>
      <c r="L173" s="1">
        <v>42</v>
      </c>
      <c r="M173" s="59">
        <f t="shared" si="32"/>
        <v>196</v>
      </c>
      <c r="N173" s="1">
        <v>75</v>
      </c>
      <c r="O173" s="1">
        <v>35</v>
      </c>
      <c r="P173" s="1">
        <v>39</v>
      </c>
      <c r="Q173" s="59">
        <f t="shared" si="34"/>
        <v>149</v>
      </c>
      <c r="R173" s="59">
        <f t="shared" si="41"/>
        <v>585</v>
      </c>
      <c r="T173" s="4" t="s">
        <v>127</v>
      </c>
    </row>
    <row r="174" spans="1:20" ht="15.75" customHeight="1" x14ac:dyDescent="0.3">
      <c r="A174" s="91" t="s">
        <v>167</v>
      </c>
      <c r="B174" s="1"/>
      <c r="C174" s="1"/>
      <c r="D174" s="1"/>
      <c r="E174" s="59">
        <f t="shared" si="40"/>
        <v>0</v>
      </c>
      <c r="F174" s="1">
        <f>1353+564</f>
        <v>1917</v>
      </c>
      <c r="G174" s="1">
        <f>1008+1328</f>
        <v>2336</v>
      </c>
      <c r="H174" s="1">
        <f>1167+1505</f>
        <v>2672</v>
      </c>
      <c r="I174" s="59">
        <f t="shared" si="31"/>
        <v>6925</v>
      </c>
      <c r="J174" s="1">
        <f>964+824</f>
        <v>1788</v>
      </c>
      <c r="K174" s="1">
        <f>232+671</f>
        <v>903</v>
      </c>
      <c r="L174" s="1">
        <f>70+149</f>
        <v>219</v>
      </c>
      <c r="M174" s="59">
        <f t="shared" si="32"/>
        <v>2910</v>
      </c>
      <c r="N174" s="1">
        <v>900</v>
      </c>
      <c r="O174" s="1"/>
      <c r="P174" s="1">
        <v>166</v>
      </c>
      <c r="Q174" s="59">
        <f t="shared" si="34"/>
        <v>1066</v>
      </c>
      <c r="R174" s="59">
        <f t="shared" si="29"/>
        <v>10901</v>
      </c>
      <c r="T174" s="4" t="s">
        <v>132</v>
      </c>
    </row>
    <row r="175" spans="1:20" ht="15.75" customHeight="1" x14ac:dyDescent="0.3">
      <c r="A175" s="91" t="s">
        <v>168</v>
      </c>
      <c r="B175" s="1"/>
      <c r="C175" s="1"/>
      <c r="D175" s="1"/>
      <c r="E175" s="59">
        <f t="shared" si="40"/>
        <v>0</v>
      </c>
      <c r="F175" s="1"/>
      <c r="G175" s="1">
        <v>86</v>
      </c>
      <c r="H175" s="1">
        <v>553</v>
      </c>
      <c r="I175" s="59">
        <f t="shared" si="31"/>
        <v>639</v>
      </c>
      <c r="J175" s="1">
        <v>1618</v>
      </c>
      <c r="K175" s="1"/>
      <c r="L175" s="1"/>
      <c r="M175" s="59">
        <f t="shared" si="32"/>
        <v>1618</v>
      </c>
      <c r="N175" s="1"/>
      <c r="O175" s="1"/>
      <c r="P175" s="1"/>
      <c r="Q175" s="59">
        <f t="shared" si="34"/>
        <v>0</v>
      </c>
      <c r="R175" s="59">
        <f t="shared" si="29"/>
        <v>2257</v>
      </c>
      <c r="T175" s="4" t="s">
        <v>134</v>
      </c>
    </row>
    <row r="176" spans="1:20" ht="15.75" customHeight="1" x14ac:dyDescent="0.3">
      <c r="A176" s="91" t="s">
        <v>169</v>
      </c>
      <c r="B176" s="1">
        <v>22</v>
      </c>
      <c r="C176" s="1">
        <v>14</v>
      </c>
      <c r="D176" s="1">
        <v>30</v>
      </c>
      <c r="E176" s="59">
        <f t="shared" si="40"/>
        <v>66</v>
      </c>
      <c r="F176" s="1">
        <v>42</v>
      </c>
      <c r="G176" s="1">
        <v>57</v>
      </c>
      <c r="H176" s="1">
        <v>82</v>
      </c>
      <c r="I176" s="59">
        <f>SUM(F176:H176)</f>
        <v>181</v>
      </c>
      <c r="J176" s="1">
        <v>76</v>
      </c>
      <c r="K176" s="1">
        <v>78</v>
      </c>
      <c r="L176" s="1">
        <v>58</v>
      </c>
      <c r="M176" s="59">
        <f t="shared" si="32"/>
        <v>212</v>
      </c>
      <c r="N176" s="1">
        <v>70</v>
      </c>
      <c r="O176" s="1">
        <v>31</v>
      </c>
      <c r="P176" s="1">
        <v>15</v>
      </c>
      <c r="Q176" s="59">
        <f t="shared" si="34"/>
        <v>116</v>
      </c>
      <c r="R176" s="59">
        <f t="shared" si="29"/>
        <v>575</v>
      </c>
      <c r="T176" s="4" t="s">
        <v>170</v>
      </c>
    </row>
    <row r="177" spans="1:20" ht="15.75" customHeight="1" x14ac:dyDescent="0.3">
      <c r="A177" s="91" t="s">
        <v>171</v>
      </c>
      <c r="B177" s="1">
        <v>1</v>
      </c>
      <c r="C177" s="1">
        <v>1</v>
      </c>
      <c r="D177" s="1">
        <v>3</v>
      </c>
      <c r="E177" s="59">
        <f t="shared" si="40"/>
        <v>5</v>
      </c>
      <c r="F177" s="1">
        <v>29</v>
      </c>
      <c r="G177" s="1">
        <v>36</v>
      </c>
      <c r="H177" s="1">
        <v>103</v>
      </c>
      <c r="I177" s="59">
        <f t="shared" si="31"/>
        <v>168</v>
      </c>
      <c r="J177" s="1">
        <v>91</v>
      </c>
      <c r="K177" s="1">
        <v>106</v>
      </c>
      <c r="L177" s="1">
        <v>46</v>
      </c>
      <c r="M177" s="59">
        <f t="shared" si="32"/>
        <v>243</v>
      </c>
      <c r="N177" s="1">
        <v>70</v>
      </c>
      <c r="O177" s="1">
        <v>23</v>
      </c>
      <c r="P177" s="1">
        <v>26</v>
      </c>
      <c r="Q177" s="59">
        <f t="shared" si="34"/>
        <v>119</v>
      </c>
      <c r="R177" s="59">
        <f t="shared" si="29"/>
        <v>535</v>
      </c>
      <c r="T177" s="4" t="s">
        <v>127</v>
      </c>
    </row>
    <row r="178" spans="1:20" ht="15.75" customHeight="1" x14ac:dyDescent="0.3">
      <c r="A178" s="91" t="s">
        <v>172</v>
      </c>
      <c r="B178" s="1"/>
      <c r="C178" s="1"/>
      <c r="D178" s="1">
        <v>1</v>
      </c>
      <c r="E178" s="59">
        <f t="shared" si="40"/>
        <v>1</v>
      </c>
      <c r="F178" s="1">
        <v>7</v>
      </c>
      <c r="G178" s="1">
        <v>9</v>
      </c>
      <c r="H178" s="1">
        <v>29</v>
      </c>
      <c r="I178" s="59">
        <f t="shared" si="31"/>
        <v>45</v>
      </c>
      <c r="J178" s="1">
        <v>44</v>
      </c>
      <c r="K178" s="1">
        <v>21</v>
      </c>
      <c r="L178" s="1">
        <v>9</v>
      </c>
      <c r="M178" s="59">
        <f t="shared" si="32"/>
        <v>74</v>
      </c>
      <c r="N178" s="1">
        <v>34</v>
      </c>
      <c r="O178" s="1">
        <v>6</v>
      </c>
      <c r="P178" s="1"/>
      <c r="Q178" s="59">
        <f t="shared" si="34"/>
        <v>40</v>
      </c>
      <c r="R178" s="59">
        <f t="shared" si="29"/>
        <v>160</v>
      </c>
      <c r="T178" s="4" t="s">
        <v>121</v>
      </c>
    </row>
    <row r="179" spans="1:20" ht="15.75" customHeight="1" x14ac:dyDescent="0.3">
      <c r="A179" s="74" t="s">
        <v>173</v>
      </c>
      <c r="B179" s="1"/>
      <c r="C179" s="1"/>
      <c r="D179" s="1"/>
      <c r="E179" s="59">
        <f t="shared" si="40"/>
        <v>0</v>
      </c>
      <c r="F179" s="1">
        <v>928</v>
      </c>
      <c r="G179" s="1">
        <v>1040</v>
      </c>
      <c r="H179" s="1">
        <v>1071</v>
      </c>
      <c r="I179" s="59">
        <f t="shared" si="31"/>
        <v>3039</v>
      </c>
      <c r="J179" s="1">
        <v>1115</v>
      </c>
      <c r="K179" s="1">
        <v>1056</v>
      </c>
      <c r="L179" s="1">
        <v>992</v>
      </c>
      <c r="M179" s="59">
        <f t="shared" si="32"/>
        <v>3163</v>
      </c>
      <c r="N179" s="1">
        <v>1109</v>
      </c>
      <c r="O179" s="1">
        <v>1100</v>
      </c>
      <c r="P179" s="1">
        <v>397</v>
      </c>
      <c r="Q179" s="59">
        <f t="shared" si="34"/>
        <v>2606</v>
      </c>
      <c r="R179" s="59">
        <f t="shared" si="29"/>
        <v>8808</v>
      </c>
      <c r="T179" s="4" t="s">
        <v>158</v>
      </c>
    </row>
    <row r="180" spans="1:20" ht="15.75" customHeight="1" x14ac:dyDescent="0.3">
      <c r="A180" s="74" t="s">
        <v>174</v>
      </c>
      <c r="B180" s="1"/>
      <c r="C180" s="1"/>
      <c r="D180" s="1"/>
      <c r="E180" s="59">
        <f t="shared" si="40"/>
        <v>0</v>
      </c>
      <c r="F180" s="1"/>
      <c r="G180" s="1"/>
      <c r="H180" s="1"/>
      <c r="I180" s="59">
        <f t="shared" si="31"/>
        <v>0</v>
      </c>
      <c r="J180" s="1">
        <v>2000</v>
      </c>
      <c r="K180" s="1"/>
      <c r="L180" s="1"/>
      <c r="M180" s="59">
        <f t="shared" si="32"/>
        <v>2000</v>
      </c>
      <c r="N180" s="1"/>
      <c r="O180" s="1"/>
      <c r="P180" s="1"/>
      <c r="Q180" s="59">
        <f t="shared" si="34"/>
        <v>0</v>
      </c>
      <c r="R180" s="59">
        <f t="shared" si="29"/>
        <v>2000</v>
      </c>
      <c r="S180" s="94" t="s">
        <v>136</v>
      </c>
      <c r="T180" s="4" t="s">
        <v>137</v>
      </c>
    </row>
    <row r="181" spans="1:20" ht="15.75" customHeight="1" x14ac:dyDescent="0.3">
      <c r="A181" s="74" t="s">
        <v>175</v>
      </c>
      <c r="B181" s="1"/>
      <c r="C181" s="1"/>
      <c r="D181" s="1"/>
      <c r="E181" s="59">
        <f t="shared" si="40"/>
        <v>0</v>
      </c>
      <c r="F181" s="1"/>
      <c r="G181" s="1"/>
      <c r="H181" s="1"/>
      <c r="I181" s="59">
        <f t="shared" si="31"/>
        <v>0</v>
      </c>
      <c r="J181" s="1"/>
      <c r="K181" s="1"/>
      <c r="L181" s="1"/>
      <c r="M181" s="59">
        <f t="shared" si="32"/>
        <v>0</v>
      </c>
      <c r="N181" s="1"/>
      <c r="O181" s="1"/>
      <c r="P181" s="1"/>
      <c r="Q181" s="59">
        <f t="shared" si="34"/>
        <v>0</v>
      </c>
      <c r="R181" s="59">
        <f t="shared" si="29"/>
        <v>0</v>
      </c>
      <c r="T181" s="4" t="s">
        <v>137</v>
      </c>
    </row>
    <row r="182" spans="1:20" ht="15.75" customHeight="1" x14ac:dyDescent="0.3">
      <c r="A182" s="91" t="s">
        <v>972</v>
      </c>
      <c r="B182" s="1"/>
      <c r="C182" s="1"/>
      <c r="D182" s="1"/>
      <c r="E182" s="59">
        <f t="shared" si="40"/>
        <v>0</v>
      </c>
      <c r="F182" s="1"/>
      <c r="G182" s="1"/>
      <c r="H182" s="1"/>
      <c r="I182" s="59">
        <f t="shared" si="31"/>
        <v>0</v>
      </c>
      <c r="J182" s="1"/>
      <c r="K182" s="1"/>
      <c r="L182" s="1"/>
      <c r="M182" s="59">
        <f t="shared" si="32"/>
        <v>0</v>
      </c>
      <c r="N182" s="1"/>
      <c r="O182" s="1"/>
      <c r="P182" s="1"/>
      <c r="Q182" s="59">
        <f t="shared" si="34"/>
        <v>0</v>
      </c>
      <c r="R182" s="59">
        <f t="shared" si="29"/>
        <v>0</v>
      </c>
    </row>
    <row r="183" spans="1:20" ht="15.75" customHeight="1" x14ac:dyDescent="0.3">
      <c r="A183" s="74" t="s">
        <v>176</v>
      </c>
      <c r="B183" s="1">
        <f>2292+5871</f>
        <v>8163</v>
      </c>
      <c r="C183" s="1">
        <f>2204+5520</f>
        <v>7724</v>
      </c>
      <c r="D183" s="1">
        <f>2559+6604</f>
        <v>9163</v>
      </c>
      <c r="E183" s="59">
        <f t="shared" si="40"/>
        <v>25050</v>
      </c>
      <c r="F183" s="1">
        <f>2503+7612</f>
        <v>10115</v>
      </c>
      <c r="G183" s="1">
        <f>2563+7461</f>
        <v>10024</v>
      </c>
      <c r="H183" s="1">
        <f>2416+9372</f>
        <v>11788</v>
      </c>
      <c r="I183" s="59">
        <f t="shared" si="31"/>
        <v>31927</v>
      </c>
      <c r="J183" s="1">
        <f>2487+11293</f>
        <v>13780</v>
      </c>
      <c r="K183" s="1">
        <f>2530+10768</f>
        <v>13298</v>
      </c>
      <c r="L183" s="1">
        <f>2462+7648</f>
        <v>10110</v>
      </c>
      <c r="M183" s="59">
        <f t="shared" si="32"/>
        <v>37188</v>
      </c>
      <c r="N183" s="1">
        <v>10044</v>
      </c>
      <c r="O183" s="1">
        <v>3497</v>
      </c>
      <c r="P183" s="1">
        <v>4328</v>
      </c>
      <c r="Q183" s="59">
        <f t="shared" si="34"/>
        <v>17869</v>
      </c>
      <c r="R183" s="59">
        <f t="shared" si="29"/>
        <v>112034</v>
      </c>
      <c r="S183" s="4" t="s">
        <v>136</v>
      </c>
    </row>
    <row r="184" spans="1:20" ht="15.75" customHeight="1" x14ac:dyDescent="0.3">
      <c r="A184" s="74" t="s">
        <v>973</v>
      </c>
      <c r="B184" s="1">
        <f>1+1+14</f>
        <v>16</v>
      </c>
      <c r="C184" s="1">
        <f>1+1+4</f>
        <v>6</v>
      </c>
      <c r="D184" s="1">
        <f>1+1+30</f>
        <v>32</v>
      </c>
      <c r="E184" s="59">
        <f t="shared" si="40"/>
        <v>54</v>
      </c>
      <c r="F184" s="1">
        <f>1+1+59</f>
        <v>61</v>
      </c>
      <c r="G184" s="1">
        <f>1+1+210</f>
        <v>212</v>
      </c>
      <c r="H184" s="1">
        <f>1+1+92</f>
        <v>94</v>
      </c>
      <c r="I184" s="59">
        <f t="shared" si="31"/>
        <v>367</v>
      </c>
      <c r="J184" s="1">
        <f>1+2+98</f>
        <v>101</v>
      </c>
      <c r="K184" s="1">
        <f>1+2+80</f>
        <v>83</v>
      </c>
      <c r="L184" s="1"/>
      <c r="M184" s="59">
        <f t="shared" si="32"/>
        <v>184</v>
      </c>
      <c r="N184" s="1"/>
      <c r="O184" s="1"/>
      <c r="P184" s="1"/>
      <c r="Q184" s="59">
        <f t="shared" ref="Q184" si="43">SUM(N184:P184)</f>
        <v>0</v>
      </c>
      <c r="R184" s="59">
        <f t="shared" si="29"/>
        <v>605</v>
      </c>
    </row>
    <row r="185" spans="1:20" ht="15.75" customHeight="1" x14ac:dyDescent="0.3">
      <c r="A185" s="74" t="s">
        <v>177</v>
      </c>
      <c r="B185" s="1"/>
      <c r="C185" s="1"/>
      <c r="D185" s="1"/>
      <c r="E185" s="59">
        <f t="shared" si="40"/>
        <v>0</v>
      </c>
      <c r="F185" s="1"/>
      <c r="G185" s="1"/>
      <c r="H185" s="1"/>
      <c r="I185" s="59">
        <f>SUM(F185:H185)</f>
        <v>0</v>
      </c>
      <c r="J185" s="1"/>
      <c r="K185" s="1"/>
      <c r="L185" s="1"/>
      <c r="M185" s="59">
        <f t="shared" si="32"/>
        <v>0</v>
      </c>
      <c r="N185" s="1">
        <v>4921</v>
      </c>
      <c r="O185" s="1">
        <v>534</v>
      </c>
      <c r="P185" s="1">
        <v>640</v>
      </c>
      <c r="Q185" s="59">
        <f t="shared" si="34"/>
        <v>6095</v>
      </c>
      <c r="R185" s="59">
        <f>+E185+I185+M185+Q185</f>
        <v>6095</v>
      </c>
      <c r="S185" s="94"/>
      <c r="T185" s="4" t="s">
        <v>137</v>
      </c>
    </row>
    <row r="186" spans="1:20" ht="15.75" customHeight="1" x14ac:dyDescent="0.3">
      <c r="A186" s="74" t="s">
        <v>974</v>
      </c>
      <c r="B186" s="1">
        <v>864</v>
      </c>
      <c r="C186" s="1">
        <f>864+181</f>
        <v>1045</v>
      </c>
      <c r="D186" s="1">
        <f>1210+235</f>
        <v>1445</v>
      </c>
      <c r="E186" s="59">
        <f t="shared" si="40"/>
        <v>3354</v>
      </c>
      <c r="F186" s="1">
        <f>864+592</f>
        <v>1456</v>
      </c>
      <c r="G186" s="1">
        <f>1210+507+5000</f>
        <v>6717</v>
      </c>
      <c r="H186" s="1">
        <f>1210+395+250</f>
        <v>1855</v>
      </c>
      <c r="I186" s="59">
        <f>SUM(F186:H186)</f>
        <v>10028</v>
      </c>
      <c r="J186" s="1">
        <f>605+395</f>
        <v>1000</v>
      </c>
      <c r="K186" s="1"/>
      <c r="L186" s="1"/>
      <c r="M186" s="59">
        <f t="shared" si="32"/>
        <v>1000</v>
      </c>
      <c r="N186" s="1"/>
      <c r="O186" s="1"/>
      <c r="P186" s="1"/>
      <c r="Q186" s="59">
        <f t="shared" ref="Q186" si="44">SUM(N186:P186)</f>
        <v>0</v>
      </c>
      <c r="R186" s="59">
        <f>+E186+I186+M186+Q186</f>
        <v>14382</v>
      </c>
      <c r="S186" s="94"/>
    </row>
    <row r="187" spans="1:20" ht="15.75" customHeight="1" x14ac:dyDescent="0.3">
      <c r="A187" s="74" t="s">
        <v>859</v>
      </c>
      <c r="B187" s="1">
        <v>40</v>
      </c>
      <c r="C187" s="1">
        <v>45</v>
      </c>
      <c r="D187" s="1"/>
      <c r="E187" s="59">
        <f t="shared" si="40"/>
        <v>85</v>
      </c>
      <c r="F187" s="1">
        <v>45</v>
      </c>
      <c r="G187" s="1">
        <v>90</v>
      </c>
      <c r="H187" s="1">
        <v>50</v>
      </c>
      <c r="I187" s="59">
        <f t="shared" si="31"/>
        <v>185</v>
      </c>
      <c r="J187" s="1">
        <v>55</v>
      </c>
      <c r="K187" s="1">
        <v>55</v>
      </c>
      <c r="L187" s="1">
        <v>45</v>
      </c>
      <c r="M187" s="59">
        <f t="shared" si="32"/>
        <v>155</v>
      </c>
      <c r="N187" s="1">
        <v>45</v>
      </c>
      <c r="O187" s="1">
        <v>45</v>
      </c>
      <c r="P187" s="1">
        <v>45</v>
      </c>
      <c r="Q187" s="59">
        <f t="shared" si="34"/>
        <v>135</v>
      </c>
      <c r="R187" s="59">
        <f t="shared" si="29"/>
        <v>560</v>
      </c>
      <c r="S187" s="4" t="s">
        <v>136</v>
      </c>
      <c r="T187" s="4" t="s">
        <v>137</v>
      </c>
    </row>
    <row r="188" spans="1:20" ht="15.75" customHeight="1" x14ac:dyDescent="0.3">
      <c r="A188" s="74" t="s">
        <v>180</v>
      </c>
      <c r="B188" s="1">
        <v>3283</v>
      </c>
      <c r="C188" s="1"/>
      <c r="D188" s="1"/>
      <c r="E188" s="59">
        <f t="shared" si="40"/>
        <v>3283</v>
      </c>
      <c r="F188" s="1"/>
      <c r="G188" s="1">
        <v>74</v>
      </c>
      <c r="H188" s="1">
        <f>49+5522+634+120</f>
        <v>6325</v>
      </c>
      <c r="I188" s="59">
        <f t="shared" si="31"/>
        <v>6399</v>
      </c>
      <c r="J188" s="1">
        <f>55+6055+675+193</f>
        <v>6978</v>
      </c>
      <c r="K188" s="1">
        <f>44+6226+540+152</f>
        <v>6962</v>
      </c>
      <c r="L188" s="1">
        <f>32+5330+292+124</f>
        <v>5778</v>
      </c>
      <c r="M188" s="59">
        <f t="shared" si="32"/>
        <v>19718</v>
      </c>
      <c r="N188" s="1">
        <f>6030+190+114+58</f>
        <v>6392</v>
      </c>
      <c r="O188" s="1">
        <f>5209+85+28</f>
        <v>5322</v>
      </c>
      <c r="P188" s="1">
        <v>6103</v>
      </c>
      <c r="Q188" s="59">
        <f t="shared" si="34"/>
        <v>17817</v>
      </c>
      <c r="R188" s="59">
        <f>+E188+I188+M188+Q188</f>
        <v>47217</v>
      </c>
    </row>
    <row r="189" spans="1:20" ht="15.75" customHeight="1" x14ac:dyDescent="0.3">
      <c r="A189" s="74" t="s">
        <v>181</v>
      </c>
      <c r="B189" s="1"/>
      <c r="C189" s="1"/>
      <c r="D189" s="1"/>
      <c r="E189" s="59">
        <f t="shared" ref="E189" si="45">SUM(B189:D189)</f>
        <v>0</v>
      </c>
      <c r="F189" s="1"/>
      <c r="G189" s="1">
        <v>138</v>
      </c>
      <c r="H189" s="1">
        <f>138+500</f>
        <v>638</v>
      </c>
      <c r="I189" s="59">
        <f t="shared" si="31"/>
        <v>776</v>
      </c>
      <c r="J189" s="1">
        <f>104+500+1588</f>
        <v>2192</v>
      </c>
      <c r="K189" s="1">
        <f>72+500+500</f>
        <v>1072</v>
      </c>
      <c r="L189" s="1">
        <f>59+200</f>
        <v>259</v>
      </c>
      <c r="M189" s="59">
        <f t="shared" si="32"/>
        <v>3523</v>
      </c>
      <c r="N189" s="1">
        <f>2490</f>
        <v>2490</v>
      </c>
      <c r="O189" s="1"/>
      <c r="P189" s="1"/>
      <c r="Q189" s="59">
        <f t="shared" si="34"/>
        <v>2490</v>
      </c>
      <c r="R189" s="59">
        <f t="shared" si="29"/>
        <v>6789</v>
      </c>
      <c r="S189" s="4" t="s">
        <v>136</v>
      </c>
    </row>
    <row r="190" spans="1:20" ht="15.75" customHeight="1" x14ac:dyDescent="0.3">
      <c r="A190" s="91" t="s">
        <v>182</v>
      </c>
      <c r="B190" s="1"/>
      <c r="C190" s="1"/>
      <c r="D190" s="1"/>
      <c r="E190" s="59">
        <f t="shared" ref="E190:E195" si="46">SUM(B190:D190)</f>
        <v>0</v>
      </c>
      <c r="F190" s="1"/>
      <c r="G190" s="1"/>
      <c r="H190" s="1"/>
      <c r="I190" s="59">
        <f t="shared" ref="I190:I195" si="47">SUM(F190:H190)</f>
        <v>0</v>
      </c>
      <c r="J190" s="1"/>
      <c r="K190" s="1"/>
      <c r="L190" s="1"/>
      <c r="M190" s="59">
        <f t="shared" ref="M190:M195" si="48">SUM(J190:L190)</f>
        <v>0</v>
      </c>
      <c r="N190" s="1"/>
      <c r="O190" s="1"/>
      <c r="P190" s="1"/>
      <c r="Q190" s="59">
        <f t="shared" si="34"/>
        <v>0</v>
      </c>
      <c r="R190" s="59">
        <f t="shared" si="29"/>
        <v>0</v>
      </c>
      <c r="T190" s="4" t="s">
        <v>132</v>
      </c>
    </row>
    <row r="191" spans="1:20" ht="15.75" customHeight="1" x14ac:dyDescent="0.3">
      <c r="A191" s="91" t="s">
        <v>183</v>
      </c>
      <c r="B191" s="1"/>
      <c r="C191" s="1"/>
      <c r="D191" s="1"/>
      <c r="E191" s="59">
        <f t="shared" si="46"/>
        <v>0</v>
      </c>
      <c r="F191" s="1"/>
      <c r="G191" s="1"/>
      <c r="H191" s="1"/>
      <c r="I191" s="59">
        <f t="shared" si="47"/>
        <v>0</v>
      </c>
      <c r="J191" s="1"/>
      <c r="K191" s="1"/>
      <c r="L191" s="1"/>
      <c r="M191" s="59">
        <f t="shared" si="48"/>
        <v>0</v>
      </c>
      <c r="N191" s="1"/>
      <c r="O191" s="1"/>
      <c r="P191" s="1"/>
      <c r="Q191" s="59">
        <f t="shared" si="34"/>
        <v>0</v>
      </c>
      <c r="R191" s="59">
        <f>+E191+I191+M191+Q191</f>
        <v>0</v>
      </c>
    </row>
    <row r="192" spans="1:20" ht="15.75" customHeight="1" x14ac:dyDescent="0.3">
      <c r="A192" s="91" t="s">
        <v>184</v>
      </c>
      <c r="B192" s="1"/>
      <c r="C192" s="1"/>
      <c r="D192" s="1"/>
      <c r="E192" s="59">
        <f t="shared" si="46"/>
        <v>0</v>
      </c>
      <c r="F192" s="1">
        <v>1000</v>
      </c>
      <c r="G192" s="1">
        <v>1000</v>
      </c>
      <c r="H192" s="1">
        <v>1502</v>
      </c>
      <c r="I192" s="59">
        <f t="shared" si="47"/>
        <v>3502</v>
      </c>
      <c r="J192" s="1">
        <v>1000</v>
      </c>
      <c r="K192" s="1">
        <v>799</v>
      </c>
      <c r="L192" s="1">
        <v>900</v>
      </c>
      <c r="M192" s="59">
        <f t="shared" si="48"/>
        <v>2699</v>
      </c>
      <c r="N192" s="1">
        <v>900</v>
      </c>
      <c r="O192" s="1">
        <v>900</v>
      </c>
      <c r="P192" s="1"/>
      <c r="Q192" s="59">
        <f t="shared" si="34"/>
        <v>1800</v>
      </c>
      <c r="R192" s="59">
        <f t="shared" si="29"/>
        <v>8001</v>
      </c>
    </row>
    <row r="193" spans="1:20" ht="15.75" customHeight="1" x14ac:dyDescent="0.3">
      <c r="A193" s="74" t="s">
        <v>185</v>
      </c>
      <c r="B193" s="1">
        <v>122</v>
      </c>
      <c r="C193" s="1">
        <v>300</v>
      </c>
      <c r="D193" s="1"/>
      <c r="E193" s="59">
        <f t="shared" si="46"/>
        <v>422</v>
      </c>
      <c r="F193" s="1">
        <v>350</v>
      </c>
      <c r="G193" s="1">
        <v>750</v>
      </c>
      <c r="H193" s="1">
        <v>450</v>
      </c>
      <c r="I193" s="59">
        <f t="shared" si="47"/>
        <v>1550</v>
      </c>
      <c r="J193" s="1">
        <v>493</v>
      </c>
      <c r="K193" s="1">
        <v>401</v>
      </c>
      <c r="L193" s="1">
        <v>301</v>
      </c>
      <c r="M193" s="59">
        <f t="shared" si="48"/>
        <v>1195</v>
      </c>
      <c r="N193" s="1">
        <v>450</v>
      </c>
      <c r="O193" s="1">
        <v>350</v>
      </c>
      <c r="P193" s="1">
        <v>348</v>
      </c>
      <c r="Q193" s="59">
        <f t="shared" si="34"/>
        <v>1148</v>
      </c>
      <c r="R193" s="59">
        <f>+E193+I193+M193+Q193</f>
        <v>4315</v>
      </c>
      <c r="S193" s="4" t="s">
        <v>136</v>
      </c>
      <c r="T193" s="4" t="s">
        <v>137</v>
      </c>
    </row>
    <row r="194" spans="1:20" ht="15.75" customHeight="1" x14ac:dyDescent="0.3">
      <c r="A194" s="74" t="s">
        <v>186</v>
      </c>
      <c r="B194" s="1">
        <v>2</v>
      </c>
      <c r="C194" s="1">
        <v>2</v>
      </c>
      <c r="D194" s="1">
        <v>2</v>
      </c>
      <c r="E194" s="59">
        <f t="shared" si="46"/>
        <v>6</v>
      </c>
      <c r="F194" s="1">
        <v>3</v>
      </c>
      <c r="G194" s="1">
        <v>3</v>
      </c>
      <c r="H194" s="1">
        <v>4</v>
      </c>
      <c r="I194" s="59">
        <f t="shared" si="47"/>
        <v>10</v>
      </c>
      <c r="J194" s="1">
        <v>4</v>
      </c>
      <c r="K194" s="1">
        <v>3</v>
      </c>
      <c r="L194" s="1">
        <v>2</v>
      </c>
      <c r="M194" s="59">
        <f t="shared" si="48"/>
        <v>9</v>
      </c>
      <c r="N194" s="1">
        <v>3</v>
      </c>
      <c r="O194" s="1">
        <v>3</v>
      </c>
      <c r="P194" s="1">
        <v>7</v>
      </c>
      <c r="Q194" s="59">
        <f t="shared" si="34"/>
        <v>13</v>
      </c>
      <c r="R194" s="59">
        <f>+E194+I194+M194+Q194</f>
        <v>38</v>
      </c>
      <c r="S194" s="4">
        <f>SUM(R141:R194)</f>
        <v>275981</v>
      </c>
    </row>
    <row r="195" spans="1:20" ht="15.75" customHeight="1" x14ac:dyDescent="0.3">
      <c r="A195" s="74" t="s">
        <v>187</v>
      </c>
      <c r="B195" s="1"/>
      <c r="C195" s="1"/>
      <c r="D195" s="1"/>
      <c r="E195" s="59">
        <f t="shared" si="46"/>
        <v>0</v>
      </c>
      <c r="F195" s="1"/>
      <c r="G195" s="1"/>
      <c r="H195" s="1"/>
      <c r="I195" s="59">
        <f t="shared" si="47"/>
        <v>0</v>
      </c>
      <c r="J195" s="1"/>
      <c r="K195" s="1"/>
      <c r="L195" s="1"/>
      <c r="M195" s="59">
        <f t="shared" si="48"/>
        <v>0</v>
      </c>
      <c r="N195" s="1"/>
      <c r="O195" s="1"/>
      <c r="P195" s="1"/>
      <c r="Q195" s="59">
        <f t="shared" si="34"/>
        <v>0</v>
      </c>
      <c r="R195" s="59">
        <f>+E195+I195+M195+Q195</f>
        <v>0</v>
      </c>
      <c r="S195" s="94" t="s">
        <v>136</v>
      </c>
      <c r="T195" s="4" t="s">
        <v>137</v>
      </c>
    </row>
    <row r="196" spans="1:20" ht="15.75" customHeight="1" x14ac:dyDescent="0.3">
      <c r="A196" s="17" t="s">
        <v>47</v>
      </c>
      <c r="B196" s="1"/>
      <c r="C196" s="1"/>
      <c r="D196" s="1"/>
      <c r="E196" s="59" t="s">
        <v>7</v>
      </c>
      <c r="F196" s="1"/>
      <c r="G196" s="1"/>
      <c r="H196" s="1"/>
      <c r="I196" s="59" t="s">
        <v>7</v>
      </c>
      <c r="J196" s="1"/>
      <c r="K196" s="1"/>
      <c r="L196" s="1"/>
      <c r="M196" s="59" t="s">
        <v>7</v>
      </c>
      <c r="N196" s="1"/>
      <c r="O196" s="1"/>
      <c r="P196" s="1"/>
      <c r="Q196" s="59" t="s">
        <v>7</v>
      </c>
      <c r="R196" s="59" t="s">
        <v>7</v>
      </c>
    </row>
    <row r="197" spans="1:20" ht="15.75" customHeight="1" x14ac:dyDescent="0.3">
      <c r="A197" s="74" t="s">
        <v>188</v>
      </c>
      <c r="B197" s="1"/>
      <c r="C197" s="1"/>
      <c r="D197" s="1"/>
      <c r="E197" s="59">
        <f t="shared" ref="E197:E206" si="49">SUM(B197:D197)</f>
        <v>0</v>
      </c>
      <c r="F197" s="1"/>
      <c r="G197" s="1"/>
      <c r="H197" s="1"/>
      <c r="I197" s="59">
        <f t="shared" ref="I197:I206" si="50">SUM(F197:H197)</f>
        <v>0</v>
      </c>
      <c r="J197" s="1"/>
      <c r="K197" s="1"/>
      <c r="L197" s="1"/>
      <c r="M197" s="59">
        <f t="shared" ref="M197:M206" si="51">SUM(J197:L197)</f>
        <v>0</v>
      </c>
      <c r="N197" s="1"/>
      <c r="O197" s="1"/>
      <c r="P197" s="1"/>
      <c r="Q197" s="59">
        <f t="shared" ref="Q197:Q206" si="52">SUM(N197:P197)</f>
        <v>0</v>
      </c>
      <c r="R197" s="59">
        <f t="shared" ref="R197:R206" si="53">+E197+I197+M197+Q197</f>
        <v>0</v>
      </c>
    </row>
    <row r="198" spans="1:20" ht="15.75" customHeight="1" x14ac:dyDescent="0.3">
      <c r="A198" s="74" t="s">
        <v>189</v>
      </c>
      <c r="B198" s="1"/>
      <c r="C198" s="1"/>
      <c r="D198" s="1"/>
      <c r="E198" s="59">
        <f>SUM(B198:D198)</f>
        <v>0</v>
      </c>
      <c r="F198" s="1"/>
      <c r="G198" s="1"/>
      <c r="H198" s="1"/>
      <c r="I198" s="59">
        <f>SUM(F198:H198)</f>
        <v>0</v>
      </c>
      <c r="J198" s="1"/>
      <c r="K198" s="1"/>
      <c r="L198" s="1"/>
      <c r="M198" s="59">
        <f>SUM(J198:L198)</f>
        <v>0</v>
      </c>
      <c r="N198" s="1"/>
      <c r="O198" s="1"/>
      <c r="P198" s="1"/>
      <c r="Q198" s="59">
        <f>SUM(N198:P198)</f>
        <v>0</v>
      </c>
      <c r="R198" s="59">
        <f>+E198+I198+M198+Q198</f>
        <v>0</v>
      </c>
      <c r="T198" s="4" t="s">
        <v>127</v>
      </c>
    </row>
    <row r="199" spans="1:20" ht="15.75" customHeight="1" x14ac:dyDescent="0.3">
      <c r="A199" s="74" t="s">
        <v>190</v>
      </c>
      <c r="B199" s="1"/>
      <c r="C199" s="1"/>
      <c r="D199" s="1"/>
      <c r="E199" s="59">
        <f t="shared" si="49"/>
        <v>0</v>
      </c>
      <c r="F199" s="1"/>
      <c r="G199" s="1"/>
      <c r="H199" s="1"/>
      <c r="I199" s="59">
        <f t="shared" si="50"/>
        <v>0</v>
      </c>
      <c r="J199" s="1"/>
      <c r="K199" s="1"/>
      <c r="L199" s="1"/>
      <c r="M199" s="59">
        <f t="shared" si="51"/>
        <v>0</v>
      </c>
      <c r="N199" s="1"/>
      <c r="O199" s="1"/>
      <c r="P199" s="1"/>
      <c r="Q199" s="59">
        <f t="shared" si="52"/>
        <v>0</v>
      </c>
      <c r="R199" s="59">
        <f t="shared" si="53"/>
        <v>0</v>
      </c>
    </row>
    <row r="200" spans="1:20" ht="15.75" customHeight="1" x14ac:dyDescent="0.3">
      <c r="A200" s="74" t="s">
        <v>191</v>
      </c>
      <c r="B200" s="1"/>
      <c r="C200" s="1"/>
      <c r="D200" s="1"/>
      <c r="E200" s="59">
        <f t="shared" si="49"/>
        <v>0</v>
      </c>
      <c r="F200" s="1"/>
      <c r="G200" s="1"/>
      <c r="H200" s="1"/>
      <c r="I200" s="59">
        <f t="shared" si="50"/>
        <v>0</v>
      </c>
      <c r="J200" s="1"/>
      <c r="K200" s="1"/>
      <c r="L200" s="1"/>
      <c r="M200" s="59">
        <f t="shared" si="51"/>
        <v>0</v>
      </c>
      <c r="N200" s="1"/>
      <c r="O200" s="1"/>
      <c r="P200" s="1"/>
      <c r="Q200" s="59">
        <f t="shared" si="52"/>
        <v>0</v>
      </c>
      <c r="R200" s="59">
        <f t="shared" si="53"/>
        <v>0</v>
      </c>
      <c r="T200" s="4" t="s">
        <v>137</v>
      </c>
    </row>
    <row r="201" spans="1:20" ht="15.75" customHeight="1" x14ac:dyDescent="0.3">
      <c r="A201" s="74" t="s">
        <v>192</v>
      </c>
      <c r="B201" s="1"/>
      <c r="C201" s="1"/>
      <c r="D201" s="1"/>
      <c r="E201" s="59">
        <f t="shared" si="49"/>
        <v>0</v>
      </c>
      <c r="F201" s="1"/>
      <c r="G201" s="1"/>
      <c r="H201" s="1"/>
      <c r="I201" s="59">
        <f t="shared" si="50"/>
        <v>0</v>
      </c>
      <c r="J201" s="1"/>
      <c r="K201" s="1"/>
      <c r="L201" s="1"/>
      <c r="M201" s="59">
        <f t="shared" si="51"/>
        <v>0</v>
      </c>
      <c r="N201" s="1"/>
      <c r="O201" s="1"/>
      <c r="P201" s="1"/>
      <c r="Q201" s="59">
        <f t="shared" si="52"/>
        <v>0</v>
      </c>
      <c r="R201" s="59">
        <f t="shared" si="53"/>
        <v>0</v>
      </c>
    </row>
    <row r="202" spans="1:20" ht="15.75" customHeight="1" x14ac:dyDescent="0.3">
      <c r="A202" s="74" t="s">
        <v>193</v>
      </c>
      <c r="B202" s="1"/>
      <c r="C202" s="1"/>
      <c r="D202" s="1"/>
      <c r="E202" s="59">
        <f t="shared" si="49"/>
        <v>0</v>
      </c>
      <c r="F202" s="1"/>
      <c r="G202" s="1"/>
      <c r="H202" s="1"/>
      <c r="I202" s="59">
        <f t="shared" si="50"/>
        <v>0</v>
      </c>
      <c r="J202" s="1"/>
      <c r="K202" s="1"/>
      <c r="L202" s="1"/>
      <c r="M202" s="59">
        <f t="shared" si="51"/>
        <v>0</v>
      </c>
      <c r="N202" s="1"/>
      <c r="O202" s="1"/>
      <c r="P202" s="1"/>
      <c r="Q202" s="59">
        <f t="shared" si="52"/>
        <v>0</v>
      </c>
      <c r="R202" s="59">
        <f t="shared" si="53"/>
        <v>0</v>
      </c>
    </row>
    <row r="203" spans="1:20" ht="15.75" customHeight="1" x14ac:dyDescent="0.3">
      <c r="A203" s="91" t="s">
        <v>194</v>
      </c>
      <c r="B203" s="1"/>
      <c r="C203" s="1"/>
      <c r="D203" s="1"/>
      <c r="E203" s="59">
        <f t="shared" si="49"/>
        <v>0</v>
      </c>
      <c r="F203" s="1"/>
      <c r="G203" s="1"/>
      <c r="H203" s="1"/>
      <c r="I203" s="59">
        <f t="shared" si="50"/>
        <v>0</v>
      </c>
      <c r="J203" s="1"/>
      <c r="K203" s="1"/>
      <c r="L203" s="1"/>
      <c r="M203" s="59">
        <f t="shared" si="51"/>
        <v>0</v>
      </c>
      <c r="N203" s="1"/>
      <c r="O203" s="1"/>
      <c r="P203" s="1"/>
      <c r="Q203" s="59">
        <f t="shared" si="52"/>
        <v>0</v>
      </c>
      <c r="R203" s="59">
        <f t="shared" si="53"/>
        <v>0</v>
      </c>
      <c r="T203" s="4" t="s">
        <v>121</v>
      </c>
    </row>
    <row r="204" spans="1:20" ht="15.75" customHeight="1" x14ac:dyDescent="0.3">
      <c r="A204" s="74" t="s">
        <v>195</v>
      </c>
      <c r="B204" s="1"/>
      <c r="C204" s="1"/>
      <c r="D204" s="1"/>
      <c r="E204" s="59">
        <f t="shared" si="49"/>
        <v>0</v>
      </c>
      <c r="F204" s="1"/>
      <c r="G204" s="1"/>
      <c r="H204" s="1"/>
      <c r="I204" s="59">
        <f t="shared" si="50"/>
        <v>0</v>
      </c>
      <c r="J204" s="1"/>
      <c r="K204" s="1"/>
      <c r="L204" s="1"/>
      <c r="M204" s="59">
        <f t="shared" si="51"/>
        <v>0</v>
      </c>
      <c r="N204" s="1"/>
      <c r="O204" s="1"/>
      <c r="P204" s="1"/>
      <c r="Q204" s="59">
        <f t="shared" si="52"/>
        <v>0</v>
      </c>
      <c r="R204" s="59">
        <f t="shared" si="53"/>
        <v>0</v>
      </c>
      <c r="T204" s="4" t="s">
        <v>137</v>
      </c>
    </row>
    <row r="205" spans="1:20" ht="15.75" customHeight="1" x14ac:dyDescent="0.3">
      <c r="A205" s="74" t="s">
        <v>196</v>
      </c>
      <c r="B205" s="1"/>
      <c r="C205" s="1"/>
      <c r="D205" s="1"/>
      <c r="E205" s="59">
        <f t="shared" si="49"/>
        <v>0</v>
      </c>
      <c r="F205" s="1"/>
      <c r="G205" s="1"/>
      <c r="H205" s="1"/>
      <c r="I205" s="59">
        <f t="shared" si="50"/>
        <v>0</v>
      </c>
      <c r="J205" s="1"/>
      <c r="K205" s="1"/>
      <c r="L205" s="1"/>
      <c r="M205" s="59">
        <f t="shared" si="51"/>
        <v>0</v>
      </c>
      <c r="N205" s="1"/>
      <c r="O205" s="1"/>
      <c r="P205" s="1"/>
      <c r="Q205" s="59">
        <f t="shared" si="52"/>
        <v>0</v>
      </c>
      <c r="R205" s="59">
        <f t="shared" si="53"/>
        <v>0</v>
      </c>
      <c r="T205" s="4" t="s">
        <v>197</v>
      </c>
    </row>
    <row r="206" spans="1:20" ht="15.75" customHeight="1" x14ac:dyDescent="0.3">
      <c r="A206" s="91" t="s">
        <v>198</v>
      </c>
      <c r="B206" s="1"/>
      <c r="C206" s="1"/>
      <c r="D206" s="1"/>
      <c r="E206" s="59">
        <f t="shared" si="49"/>
        <v>0</v>
      </c>
      <c r="F206" s="1"/>
      <c r="G206" s="1"/>
      <c r="H206" s="1"/>
      <c r="I206" s="59">
        <f t="shared" si="50"/>
        <v>0</v>
      </c>
      <c r="J206" s="1"/>
      <c r="K206" s="1"/>
      <c r="L206" s="1"/>
      <c r="M206" s="59">
        <f t="shared" si="51"/>
        <v>0</v>
      </c>
      <c r="N206" s="1"/>
      <c r="O206" s="1"/>
      <c r="P206" s="1"/>
      <c r="Q206" s="59">
        <f t="shared" si="52"/>
        <v>0</v>
      </c>
      <c r="R206" s="59">
        <f t="shared" si="53"/>
        <v>0</v>
      </c>
    </row>
    <row r="207" spans="1:20" ht="15.75" customHeight="1" x14ac:dyDescent="0.3">
      <c r="A207" s="17" t="s">
        <v>49</v>
      </c>
      <c r="B207" s="1"/>
      <c r="C207" s="1"/>
      <c r="D207" s="1"/>
      <c r="E207" s="59" t="s">
        <v>7</v>
      </c>
      <c r="F207" s="1"/>
      <c r="G207" s="1"/>
      <c r="H207" s="1"/>
      <c r="I207" s="59" t="s">
        <v>7</v>
      </c>
      <c r="J207" s="1"/>
      <c r="K207" s="1"/>
      <c r="L207" s="1"/>
      <c r="M207" s="59" t="s">
        <v>7</v>
      </c>
      <c r="N207" s="1"/>
      <c r="O207" s="1"/>
      <c r="P207" s="1"/>
      <c r="Q207" s="59" t="s">
        <v>7</v>
      </c>
      <c r="R207" s="59" t="s">
        <v>7</v>
      </c>
    </row>
    <row r="208" spans="1:20" ht="15.75" customHeight="1" x14ac:dyDescent="0.3">
      <c r="A208" s="99" t="s">
        <v>199</v>
      </c>
      <c r="B208" s="1"/>
      <c r="C208" s="1"/>
      <c r="D208" s="1"/>
      <c r="E208" s="59">
        <f>SUM(B208:D208)</f>
        <v>0</v>
      </c>
      <c r="F208" s="1"/>
      <c r="G208" s="1"/>
      <c r="H208" s="1"/>
      <c r="I208" s="59">
        <f>SUM(F208:H208)</f>
        <v>0</v>
      </c>
      <c r="J208" s="1"/>
      <c r="K208" s="1"/>
      <c r="L208" s="1"/>
      <c r="M208" s="59">
        <f>SUM(J208:L208)</f>
        <v>0</v>
      </c>
      <c r="N208" s="1"/>
      <c r="O208" s="1"/>
      <c r="P208" s="1"/>
      <c r="Q208" s="59">
        <f>SUM(N208:P208)</f>
        <v>0</v>
      </c>
      <c r="R208" s="59">
        <f>+E208+I208+M208+Q208</f>
        <v>0</v>
      </c>
      <c r="S208" s="77" t="s">
        <v>90</v>
      </c>
      <c r="T208" s="4" t="s">
        <v>132</v>
      </c>
    </row>
    <row r="209" spans="1:20" ht="15.75" customHeight="1" x14ac:dyDescent="0.3">
      <c r="A209" s="99" t="s">
        <v>200</v>
      </c>
      <c r="B209" s="1"/>
      <c r="C209" s="1"/>
      <c r="D209" s="1"/>
      <c r="E209" s="59">
        <f>SUM(B209:D209)</f>
        <v>0</v>
      </c>
      <c r="F209" s="1"/>
      <c r="G209" s="1"/>
      <c r="H209" s="1"/>
      <c r="I209" s="59">
        <f>SUM(F209:H209)</f>
        <v>0</v>
      </c>
      <c r="J209" s="1"/>
      <c r="K209" s="1"/>
      <c r="L209" s="1"/>
      <c r="M209" s="59">
        <f>SUM(J209:L209)</f>
        <v>0</v>
      </c>
      <c r="N209" s="1">
        <v>80</v>
      </c>
      <c r="O209" s="1"/>
      <c r="P209" s="1"/>
      <c r="Q209" s="59">
        <f>SUM(N209:P209)</f>
        <v>80</v>
      </c>
      <c r="R209" s="59">
        <f>+E209+I209+M209+Q209</f>
        <v>80</v>
      </c>
      <c r="S209" s="77" t="s">
        <v>90</v>
      </c>
      <c r="T209" s="4" t="s">
        <v>134</v>
      </c>
    </row>
    <row r="210" spans="1:20" ht="15.75" customHeight="1" x14ac:dyDescent="0.3">
      <c r="A210" s="61" t="s">
        <v>201</v>
      </c>
      <c r="B210" s="1">
        <v>10</v>
      </c>
      <c r="C210" s="1">
        <v>3</v>
      </c>
      <c r="D210" s="1">
        <v>18</v>
      </c>
      <c r="E210" s="59">
        <f>SUM(B210:D210)</f>
        <v>31</v>
      </c>
      <c r="F210" s="1">
        <v>113</v>
      </c>
      <c r="G210" s="1">
        <v>102</v>
      </c>
      <c r="H210" s="1">
        <v>164</v>
      </c>
      <c r="I210" s="59">
        <f>SUM(F210:H210)</f>
        <v>379</v>
      </c>
      <c r="J210" s="1">
        <v>182</v>
      </c>
      <c r="K210" s="1">
        <v>170</v>
      </c>
      <c r="L210" s="1">
        <v>96</v>
      </c>
      <c r="M210" s="59">
        <f>SUM(J210:L210)</f>
        <v>448</v>
      </c>
      <c r="N210" s="1">
        <v>118</v>
      </c>
      <c r="O210" s="1">
        <v>44</v>
      </c>
      <c r="P210" s="1">
        <v>240</v>
      </c>
      <c r="Q210" s="59">
        <f>SUM(N210:P210)</f>
        <v>402</v>
      </c>
      <c r="R210" s="59">
        <f>+E210+I210+M210+Q210</f>
        <v>1260</v>
      </c>
      <c r="S210" s="77" t="s">
        <v>90</v>
      </c>
      <c r="T210" s="4" t="s">
        <v>202</v>
      </c>
    </row>
    <row r="211" spans="1:20" ht="15.75" customHeight="1" thickBot="1" x14ac:dyDescent="0.35">
      <c r="A211" s="17" t="s">
        <v>51</v>
      </c>
      <c r="B211" s="1"/>
      <c r="C211" s="1"/>
      <c r="D211" s="1"/>
      <c r="E211" s="59" t="s">
        <v>7</v>
      </c>
      <c r="F211" s="1"/>
      <c r="G211" s="1"/>
      <c r="H211" s="1"/>
      <c r="I211" s="59" t="s">
        <v>7</v>
      </c>
      <c r="J211" s="1"/>
      <c r="K211" s="1"/>
      <c r="L211" s="1"/>
      <c r="M211" s="59" t="s">
        <v>7</v>
      </c>
      <c r="N211" s="1"/>
      <c r="O211" s="1"/>
      <c r="P211" s="1"/>
      <c r="Q211" s="59" t="s">
        <v>7</v>
      </c>
      <c r="R211" s="59" t="s">
        <v>7</v>
      </c>
    </row>
    <row r="212" spans="1:20" ht="16.5" customHeight="1" thickBot="1" x14ac:dyDescent="0.35">
      <c r="A212" s="62" t="s">
        <v>52</v>
      </c>
      <c r="B212" s="100">
        <f>SUM(B139:B211)</f>
        <v>13055</v>
      </c>
      <c r="C212" s="101">
        <f>SUM(C139:C211)</f>
        <v>10559</v>
      </c>
      <c r="D212" s="101">
        <f>SUM(D139:D211)</f>
        <v>13837</v>
      </c>
      <c r="E212" s="64">
        <f>SUM(B212:D212)</f>
        <v>37451</v>
      </c>
      <c r="F212" s="101">
        <f>SUM(F139:F211)</f>
        <v>20412</v>
      </c>
      <c r="G212" s="101">
        <f>SUM(G139:G211)</f>
        <v>30954</v>
      </c>
      <c r="H212" s="101">
        <f>SUM(H139:H211)</f>
        <v>45383</v>
      </c>
      <c r="I212" s="64">
        <f>SUM(F212:H212)</f>
        <v>96749</v>
      </c>
      <c r="J212" s="101">
        <f>SUM(J139:J211)</f>
        <v>46687</v>
      </c>
      <c r="K212" s="101">
        <f>SUM(K139:K211)</f>
        <v>37713</v>
      </c>
      <c r="L212" s="101">
        <f>SUM(L139:L211)</f>
        <v>30439</v>
      </c>
      <c r="M212" s="64">
        <f>SUM(J212:L212)</f>
        <v>114839</v>
      </c>
      <c r="N212" s="101">
        <f>SUM(N139:N211)</f>
        <v>22606</v>
      </c>
      <c r="O212" s="101">
        <f>SUM(O139:O211)</f>
        <v>4432</v>
      </c>
      <c r="P212" s="101">
        <f>SUM(P139:P211)</f>
        <v>1244</v>
      </c>
      <c r="Q212" s="64">
        <f>SUM(N212:P212)</f>
        <v>28282</v>
      </c>
      <c r="R212" s="64">
        <f>+E212+I212+M212+Q212</f>
        <v>277321</v>
      </c>
    </row>
    <row r="213" spans="1:20" ht="15.75" customHeight="1" x14ac:dyDescent="0.3">
      <c r="A213" s="17" t="s">
        <v>53</v>
      </c>
      <c r="B213" s="1"/>
      <c r="C213" s="1"/>
      <c r="D213" s="1"/>
      <c r="E213" s="59" t="s">
        <v>7</v>
      </c>
      <c r="F213" s="1"/>
      <c r="G213" s="1"/>
      <c r="H213" s="1"/>
      <c r="I213" s="59" t="s">
        <v>7</v>
      </c>
      <c r="J213" s="1"/>
      <c r="K213" s="1"/>
      <c r="L213" s="1"/>
      <c r="M213" s="59" t="s">
        <v>7</v>
      </c>
      <c r="N213" s="1"/>
      <c r="O213" s="1"/>
      <c r="P213" s="1"/>
      <c r="Q213" s="59" t="s">
        <v>7</v>
      </c>
      <c r="R213" s="59" t="s">
        <v>7</v>
      </c>
    </row>
    <row r="214" spans="1:20" ht="15.75" customHeight="1" x14ac:dyDescent="0.3">
      <c r="A214" s="17" t="s">
        <v>54</v>
      </c>
      <c r="B214" s="1"/>
      <c r="C214" s="1"/>
      <c r="D214" s="1"/>
      <c r="E214" s="59" t="s">
        <v>7</v>
      </c>
      <c r="F214" s="1"/>
      <c r="G214" s="1"/>
      <c r="H214" s="1"/>
      <c r="I214" s="59" t="s">
        <v>7</v>
      </c>
      <c r="J214" s="1"/>
      <c r="K214" s="1"/>
      <c r="L214" s="1"/>
      <c r="M214" s="59" t="s">
        <v>7</v>
      </c>
      <c r="N214" s="1"/>
      <c r="O214" s="1"/>
      <c r="P214" s="1"/>
      <c r="Q214" s="59" t="s">
        <v>7</v>
      </c>
      <c r="R214" s="59" t="s">
        <v>7</v>
      </c>
    </row>
    <row r="215" spans="1:20" ht="15.75" customHeight="1" x14ac:dyDescent="0.3">
      <c r="A215" s="17" t="s">
        <v>55</v>
      </c>
      <c r="B215" s="1"/>
      <c r="C215" s="1"/>
      <c r="D215" s="1"/>
      <c r="E215" s="59" t="s">
        <v>7</v>
      </c>
      <c r="F215" s="1"/>
      <c r="G215" s="1"/>
      <c r="H215" s="1"/>
      <c r="I215" s="59" t="s">
        <v>7</v>
      </c>
      <c r="J215" s="1"/>
      <c r="K215" s="1"/>
      <c r="L215" s="1"/>
      <c r="M215" s="59" t="s">
        <v>7</v>
      </c>
      <c r="N215" s="1"/>
      <c r="O215" s="1"/>
      <c r="P215" s="1"/>
      <c r="Q215" s="59" t="s">
        <v>7</v>
      </c>
      <c r="R215" s="59" t="s">
        <v>7</v>
      </c>
    </row>
    <row r="216" spans="1:20" ht="15.75" customHeight="1" x14ac:dyDescent="0.3">
      <c r="A216" s="99" t="s">
        <v>203</v>
      </c>
      <c r="B216" s="1"/>
      <c r="C216" s="1"/>
      <c r="D216" s="1"/>
      <c r="E216" s="59">
        <f>SUM(B216:D216)</f>
        <v>0</v>
      </c>
      <c r="F216" s="1"/>
      <c r="G216" s="1"/>
      <c r="H216" s="1"/>
      <c r="I216" s="59">
        <f>SUM(F216:H216)</f>
        <v>0</v>
      </c>
      <c r="J216" s="1"/>
      <c r="K216" s="1"/>
      <c r="L216" s="1"/>
      <c r="M216" s="59">
        <f>SUM(J216:L216)</f>
        <v>0</v>
      </c>
      <c r="N216" s="1"/>
      <c r="O216" s="1"/>
      <c r="P216" s="1"/>
      <c r="Q216" s="59">
        <f>SUM(N216:P216)</f>
        <v>0</v>
      </c>
      <c r="R216" s="59">
        <f>+E216+I216+M216+Q216</f>
        <v>0</v>
      </c>
      <c r="T216" s="4" t="s">
        <v>121</v>
      </c>
    </row>
    <row r="217" spans="1:20" ht="15.75" customHeight="1" x14ac:dyDescent="0.3">
      <c r="A217" s="76" t="s">
        <v>204</v>
      </c>
      <c r="B217" s="1"/>
      <c r="C217" s="1"/>
      <c r="D217" s="1"/>
      <c r="E217" s="59">
        <f>SUM(B217:D217)</f>
        <v>0</v>
      </c>
      <c r="F217" s="1"/>
      <c r="G217" s="1"/>
      <c r="H217" s="1"/>
      <c r="I217" s="59">
        <f>SUM(F217:H217)</f>
        <v>0</v>
      </c>
      <c r="J217" s="1"/>
      <c r="K217" s="1"/>
      <c r="L217" s="1"/>
      <c r="M217" s="59">
        <f>SUM(J217:L217)</f>
        <v>0</v>
      </c>
      <c r="N217" s="1"/>
      <c r="O217" s="1"/>
      <c r="P217" s="1"/>
      <c r="Q217" s="59">
        <f>SUM(N217:P217)</f>
        <v>0</v>
      </c>
      <c r="R217" s="59">
        <f>+E217+I217+M217+Q217</f>
        <v>0</v>
      </c>
      <c r="S217" s="4" t="s">
        <v>136</v>
      </c>
      <c r="T217" s="4" t="s">
        <v>137</v>
      </c>
    </row>
    <row r="218" spans="1:20" ht="15.75" customHeight="1" thickBot="1" x14ac:dyDescent="0.35">
      <c r="A218" s="17" t="s">
        <v>56</v>
      </c>
      <c r="B218" s="1"/>
      <c r="C218" s="1"/>
      <c r="D218" s="1"/>
      <c r="E218" s="59" t="s">
        <v>7</v>
      </c>
      <c r="F218" s="1"/>
      <c r="G218" s="1"/>
      <c r="H218" s="1"/>
      <c r="I218" s="59" t="s">
        <v>7</v>
      </c>
      <c r="J218" s="1"/>
      <c r="K218" s="1"/>
      <c r="L218" s="1"/>
      <c r="M218" s="59" t="s">
        <v>7</v>
      </c>
      <c r="N218" s="1"/>
      <c r="O218" s="1"/>
      <c r="P218" s="1"/>
      <c r="Q218" s="59" t="s">
        <v>7</v>
      </c>
      <c r="R218" s="59" t="s">
        <v>7</v>
      </c>
    </row>
    <row r="219" spans="1:20" ht="16.5" customHeight="1" thickBot="1" x14ac:dyDescent="0.35">
      <c r="A219" s="62" t="s">
        <v>57</v>
      </c>
      <c r="B219" s="100">
        <f>SUM(B213:B218)</f>
        <v>0</v>
      </c>
      <c r="C219" s="101">
        <f>SUM(C213:C218)</f>
        <v>0</v>
      </c>
      <c r="D219" s="101">
        <f>SUM(D213:D218)</f>
        <v>0</v>
      </c>
      <c r="E219" s="64">
        <f>SUM(B219:D219)</f>
        <v>0</v>
      </c>
      <c r="F219" s="101"/>
      <c r="G219" s="101"/>
      <c r="H219" s="101"/>
      <c r="I219" s="64">
        <f>SUM(F219:H219)</f>
        <v>0</v>
      </c>
      <c r="J219" s="101">
        <f>SUM(J213:J218)</f>
        <v>0</v>
      </c>
      <c r="K219" s="101">
        <f>SUM(K213:K218)</f>
        <v>0</v>
      </c>
      <c r="L219" s="101">
        <f>SUM(L213:L218)</f>
        <v>0</v>
      </c>
      <c r="M219" s="64">
        <f>SUM(J219:L219)</f>
        <v>0</v>
      </c>
      <c r="N219" s="101">
        <f>SUM(N213:N218)</f>
        <v>0</v>
      </c>
      <c r="O219" s="101">
        <f>SUM(O213:O218)</f>
        <v>0</v>
      </c>
      <c r="P219" s="101">
        <f>SUM(P213:P218)</f>
        <v>0</v>
      </c>
      <c r="Q219" s="64">
        <f>SUM(N219:P219)</f>
        <v>0</v>
      </c>
      <c r="R219" s="64">
        <f>+E219+I219+M219+Q219</f>
        <v>0</v>
      </c>
    </row>
    <row r="220" spans="1:20" ht="15.75" customHeight="1" x14ac:dyDescent="0.3">
      <c r="A220" s="17" t="s">
        <v>58</v>
      </c>
      <c r="B220" s="1"/>
      <c r="C220" s="1"/>
      <c r="D220" s="1"/>
      <c r="E220" s="59" t="s">
        <v>7</v>
      </c>
      <c r="F220" s="1"/>
      <c r="G220" s="1"/>
      <c r="H220" s="1"/>
      <c r="I220" s="59" t="s">
        <v>7</v>
      </c>
      <c r="J220" s="1"/>
      <c r="K220" s="1"/>
      <c r="L220" s="1"/>
      <c r="M220" s="59" t="s">
        <v>7</v>
      </c>
      <c r="N220" s="1"/>
      <c r="O220" s="1"/>
      <c r="P220" s="1"/>
      <c r="Q220" s="59" t="s">
        <v>7</v>
      </c>
      <c r="R220" s="59" t="s">
        <v>7</v>
      </c>
    </row>
    <row r="221" spans="1:20" ht="15.75" customHeight="1" x14ac:dyDescent="0.3">
      <c r="A221" s="17" t="s">
        <v>59</v>
      </c>
      <c r="B221" s="1"/>
      <c r="C221" s="1"/>
      <c r="D221" s="1"/>
      <c r="E221" s="59" t="s">
        <v>7</v>
      </c>
      <c r="F221" s="1"/>
      <c r="G221" s="1"/>
      <c r="H221" s="1"/>
      <c r="I221" s="59" t="s">
        <v>7</v>
      </c>
      <c r="J221" s="1"/>
      <c r="K221" s="1"/>
      <c r="L221" s="1"/>
      <c r="M221" s="59" t="s">
        <v>7</v>
      </c>
      <c r="N221" s="1"/>
      <c r="O221" s="1"/>
      <c r="P221" s="1"/>
      <c r="Q221" s="59" t="s">
        <v>7</v>
      </c>
      <c r="R221" s="59" t="s">
        <v>7</v>
      </c>
    </row>
    <row r="222" spans="1:20" ht="15.75" customHeight="1" x14ac:dyDescent="0.3">
      <c r="A222" s="17" t="s">
        <v>60</v>
      </c>
      <c r="B222" s="1"/>
      <c r="C222" s="1"/>
      <c r="D222" s="1"/>
      <c r="E222" s="59" t="s">
        <v>7</v>
      </c>
      <c r="F222" s="1"/>
      <c r="G222" s="1"/>
      <c r="H222" s="1"/>
      <c r="I222" s="59" t="s">
        <v>7</v>
      </c>
      <c r="J222" s="1"/>
      <c r="K222" s="1"/>
      <c r="L222" s="1"/>
      <c r="M222" s="59" t="s">
        <v>7</v>
      </c>
      <c r="N222" s="1"/>
      <c r="O222" s="1"/>
      <c r="P222" s="1"/>
      <c r="Q222" s="59" t="s">
        <v>7</v>
      </c>
      <c r="R222" s="59" t="s">
        <v>7</v>
      </c>
    </row>
    <row r="223" spans="1:20" ht="15.75" customHeight="1" x14ac:dyDescent="0.3">
      <c r="A223" s="102" t="s">
        <v>205</v>
      </c>
      <c r="B223" s="1">
        <v>243</v>
      </c>
      <c r="C223" s="1">
        <v>204</v>
      </c>
      <c r="D223" s="1">
        <v>259</v>
      </c>
      <c r="E223" s="59">
        <f t="shared" ref="E223:E230" si="54">SUM(B223:D223)</f>
        <v>706</v>
      </c>
      <c r="F223" s="1">
        <v>356</v>
      </c>
      <c r="G223" s="1">
        <v>394</v>
      </c>
      <c r="H223" s="1">
        <v>466</v>
      </c>
      <c r="I223" s="59">
        <f t="shared" ref="I223:I230" si="55">SUM(F223:H223)</f>
        <v>1216</v>
      </c>
      <c r="J223" s="1">
        <v>525</v>
      </c>
      <c r="K223" s="1">
        <v>482</v>
      </c>
      <c r="L223" s="1">
        <v>440</v>
      </c>
      <c r="M223" s="59">
        <f t="shared" ref="M223:M230" si="56">SUM(J223:L223)</f>
        <v>1447</v>
      </c>
      <c r="N223" s="1">
        <v>468</v>
      </c>
      <c r="O223" s="1">
        <v>389</v>
      </c>
      <c r="P223" s="1">
        <v>342</v>
      </c>
      <c r="Q223" s="59">
        <f t="shared" ref="Q223:Q229" si="57">SUM(N223:P223)</f>
        <v>1199</v>
      </c>
      <c r="R223" s="59">
        <f t="shared" ref="R223:R287" si="58">+E223+I223+M223+Q223</f>
        <v>4568</v>
      </c>
      <c r="T223" s="4" t="s">
        <v>206</v>
      </c>
    </row>
    <row r="224" spans="1:20" ht="15.75" customHeight="1" x14ac:dyDescent="0.3">
      <c r="A224" s="102" t="s">
        <v>207</v>
      </c>
      <c r="B224" s="1"/>
      <c r="C224" s="1"/>
      <c r="D224" s="1">
        <v>357</v>
      </c>
      <c r="E224" s="59">
        <f t="shared" si="54"/>
        <v>357</v>
      </c>
      <c r="F224" s="1"/>
      <c r="G224" s="1"/>
      <c r="H224" s="1"/>
      <c r="I224" s="59">
        <f t="shared" si="55"/>
        <v>0</v>
      </c>
      <c r="J224" s="1"/>
      <c r="K224" s="1"/>
      <c r="L224" s="1"/>
      <c r="M224" s="59">
        <f t="shared" si="56"/>
        <v>0</v>
      </c>
      <c r="N224" s="1"/>
      <c r="O224" s="1"/>
      <c r="P224" s="1"/>
      <c r="Q224" s="59">
        <f t="shared" si="57"/>
        <v>0</v>
      </c>
      <c r="R224" s="59">
        <f t="shared" si="58"/>
        <v>357</v>
      </c>
      <c r="T224" s="4" t="s">
        <v>121</v>
      </c>
    </row>
    <row r="225" spans="1:20" ht="15.75" customHeight="1" x14ac:dyDescent="0.3">
      <c r="A225" s="76" t="s">
        <v>208</v>
      </c>
      <c r="B225" s="1"/>
      <c r="C225" s="1"/>
      <c r="D225" s="1"/>
      <c r="E225" s="59">
        <f t="shared" si="54"/>
        <v>0</v>
      </c>
      <c r="F225" s="1"/>
      <c r="G225" s="1"/>
      <c r="H225" s="1"/>
      <c r="I225" s="59">
        <f t="shared" si="55"/>
        <v>0</v>
      </c>
      <c r="J225" s="1"/>
      <c r="K225" s="1">
        <v>8</v>
      </c>
      <c r="L225" s="1">
        <v>10</v>
      </c>
      <c r="M225" s="59">
        <f t="shared" si="56"/>
        <v>18</v>
      </c>
      <c r="N225" s="1"/>
      <c r="O225" s="1"/>
      <c r="P225" s="1"/>
      <c r="Q225" s="59">
        <f t="shared" si="57"/>
        <v>0</v>
      </c>
      <c r="R225" s="59">
        <f t="shared" si="58"/>
        <v>18</v>
      </c>
    </row>
    <row r="226" spans="1:20" ht="15.75" customHeight="1" x14ac:dyDescent="0.3">
      <c r="A226" s="102" t="s">
        <v>209</v>
      </c>
      <c r="B226" s="1">
        <f>17+19</f>
        <v>36</v>
      </c>
      <c r="C226" s="1"/>
      <c r="D226" s="1"/>
      <c r="E226" s="59">
        <f t="shared" si="54"/>
        <v>36</v>
      </c>
      <c r="F226" s="1">
        <v>2</v>
      </c>
      <c r="G226" s="1"/>
      <c r="H226" s="1">
        <v>51</v>
      </c>
      <c r="I226" s="59">
        <f t="shared" si="55"/>
        <v>53</v>
      </c>
      <c r="J226" s="1">
        <f>54+68</f>
        <v>122</v>
      </c>
      <c r="K226" s="1">
        <f>67+68</f>
        <v>135</v>
      </c>
      <c r="L226" s="1">
        <f>49+34</f>
        <v>83</v>
      </c>
      <c r="M226" s="59">
        <f t="shared" si="56"/>
        <v>340</v>
      </c>
      <c r="N226" s="1">
        <v>134</v>
      </c>
      <c r="O226" s="1">
        <v>42</v>
      </c>
      <c r="P226" s="1">
        <v>39</v>
      </c>
      <c r="Q226" s="59">
        <f t="shared" si="57"/>
        <v>215</v>
      </c>
      <c r="R226" s="59">
        <f t="shared" si="58"/>
        <v>644</v>
      </c>
      <c r="T226" s="4" t="s">
        <v>127</v>
      </c>
    </row>
    <row r="227" spans="1:20" ht="15.75" customHeight="1" x14ac:dyDescent="0.3">
      <c r="A227" s="102" t="s">
        <v>210</v>
      </c>
      <c r="B227" s="1"/>
      <c r="C227" s="1"/>
      <c r="D227" s="1"/>
      <c r="E227" s="59">
        <f t="shared" si="54"/>
        <v>0</v>
      </c>
      <c r="F227" s="1"/>
      <c r="G227" s="1"/>
      <c r="H227" s="1"/>
      <c r="I227" s="59">
        <f t="shared" si="55"/>
        <v>0</v>
      </c>
      <c r="J227" s="1"/>
      <c r="K227" s="1">
        <v>100</v>
      </c>
      <c r="L227" s="1"/>
      <c r="M227" s="59">
        <f t="shared" si="56"/>
        <v>100</v>
      </c>
      <c r="N227" s="1">
        <v>800</v>
      </c>
      <c r="O227" s="1"/>
      <c r="P227" s="1"/>
      <c r="Q227" s="59">
        <f t="shared" si="57"/>
        <v>800</v>
      </c>
      <c r="R227" s="59">
        <f>+E227+I227+M227+Q227</f>
        <v>900</v>
      </c>
      <c r="T227" s="4" t="s">
        <v>134</v>
      </c>
    </row>
    <row r="228" spans="1:20" ht="15.75" customHeight="1" x14ac:dyDescent="0.3">
      <c r="A228" s="102" t="s">
        <v>211</v>
      </c>
      <c r="B228" s="1"/>
      <c r="C228" s="1"/>
      <c r="D228" s="1"/>
      <c r="E228" s="59">
        <f t="shared" si="54"/>
        <v>0</v>
      </c>
      <c r="F228" s="1"/>
      <c r="G228" s="1"/>
      <c r="H228" s="1"/>
      <c r="I228" s="59">
        <f t="shared" si="55"/>
        <v>0</v>
      </c>
      <c r="J228" s="1"/>
      <c r="K228" s="1">
        <v>1021</v>
      </c>
      <c r="L228" s="1">
        <v>979</v>
      </c>
      <c r="M228" s="59">
        <f t="shared" si="56"/>
        <v>2000</v>
      </c>
      <c r="N228" s="1"/>
      <c r="O228" s="1"/>
      <c r="P228" s="1"/>
      <c r="Q228" s="59">
        <f t="shared" si="57"/>
        <v>0</v>
      </c>
      <c r="R228" s="59">
        <f>+E228+I228+M228+Q228</f>
        <v>2000</v>
      </c>
      <c r="T228" s="4" t="s">
        <v>134</v>
      </c>
    </row>
    <row r="229" spans="1:20" ht="15.75" customHeight="1" x14ac:dyDescent="0.3">
      <c r="A229" s="76" t="s">
        <v>212</v>
      </c>
      <c r="B229" s="1"/>
      <c r="C229" s="1"/>
      <c r="D229" s="1"/>
      <c r="E229" s="59">
        <f t="shared" si="54"/>
        <v>0</v>
      </c>
      <c r="F229" s="1"/>
      <c r="G229" s="1"/>
      <c r="H229" s="1"/>
      <c r="I229" s="59">
        <f t="shared" si="55"/>
        <v>0</v>
      </c>
      <c r="J229" s="1"/>
      <c r="K229" s="1"/>
      <c r="L229" s="1"/>
      <c r="M229" s="59">
        <f t="shared" si="56"/>
        <v>0</v>
      </c>
      <c r="N229" s="1"/>
      <c r="O229" s="1"/>
      <c r="P229" s="1"/>
      <c r="Q229" s="59">
        <f t="shared" si="57"/>
        <v>0</v>
      </c>
      <c r="R229" s="59">
        <f>+E229+I229+M229+Q229</f>
        <v>0</v>
      </c>
      <c r="S229" s="94"/>
      <c r="T229" s="4" t="s">
        <v>137</v>
      </c>
    </row>
    <row r="230" spans="1:20" ht="15.75" customHeight="1" x14ac:dyDescent="0.3">
      <c r="A230" s="76" t="s">
        <v>214</v>
      </c>
      <c r="B230" s="1"/>
      <c r="C230" s="1"/>
      <c r="D230" s="1"/>
      <c r="E230" s="59">
        <f t="shared" si="54"/>
        <v>0</v>
      </c>
      <c r="F230" s="1">
        <v>200</v>
      </c>
      <c r="G230" s="1"/>
      <c r="H230" s="1"/>
      <c r="I230" s="59">
        <f t="shared" si="55"/>
        <v>200</v>
      </c>
      <c r="J230" s="1"/>
      <c r="K230" s="1"/>
      <c r="L230" s="1"/>
      <c r="M230" s="59">
        <f t="shared" si="56"/>
        <v>0</v>
      </c>
      <c r="N230" s="1"/>
      <c r="O230" s="1"/>
      <c r="P230" s="1"/>
      <c r="Q230" s="59">
        <f t="shared" ref="Q230" si="59">SUM(N230:P230)</f>
        <v>0</v>
      </c>
      <c r="R230" s="59">
        <f>+E230+I230+M230+Q230</f>
        <v>200</v>
      </c>
      <c r="S230" s="94"/>
    </row>
    <row r="231" spans="1:20" ht="15.75" customHeight="1" x14ac:dyDescent="0.3">
      <c r="A231" s="76" t="s">
        <v>215</v>
      </c>
      <c r="B231" s="1"/>
      <c r="C231" s="1">
        <v>200</v>
      </c>
      <c r="D231" s="1">
        <v>300</v>
      </c>
      <c r="E231" s="59">
        <f>SUM(B231:D231)</f>
        <v>500</v>
      </c>
      <c r="F231" s="1">
        <v>400</v>
      </c>
      <c r="G231" s="1"/>
      <c r="H231" s="1"/>
      <c r="I231" s="59">
        <f t="shared" ref="I231:I285" si="60">SUM(F231:H231)</f>
        <v>400</v>
      </c>
      <c r="J231" s="1"/>
      <c r="K231" s="1"/>
      <c r="L231" s="1"/>
      <c r="M231" s="59">
        <f t="shared" ref="M231:M285" si="61">SUM(J231:L231)</f>
        <v>0</v>
      </c>
      <c r="N231" s="1"/>
      <c r="O231" s="1"/>
      <c r="P231" s="1"/>
      <c r="Q231" s="59">
        <f t="shared" ref="Q231:Q285" si="62">SUM(N231:P231)</f>
        <v>0</v>
      </c>
      <c r="R231" s="59">
        <f t="shared" si="58"/>
        <v>900</v>
      </c>
      <c r="S231" s="4" t="s">
        <v>136</v>
      </c>
    </row>
    <row r="232" spans="1:20" ht="15.75" customHeight="1" x14ac:dyDescent="0.3">
      <c r="A232" s="103" t="s">
        <v>216</v>
      </c>
      <c r="B232" s="1">
        <v>370</v>
      </c>
      <c r="C232" s="1"/>
      <c r="D232" s="1"/>
      <c r="E232" s="59">
        <f t="shared" ref="E232" si="63">SUM(B232:D232)</f>
        <v>370</v>
      </c>
      <c r="F232" s="1"/>
      <c r="G232" s="1"/>
      <c r="H232" s="1"/>
      <c r="I232" s="59">
        <f t="shared" si="60"/>
        <v>0</v>
      </c>
      <c r="J232" s="1"/>
      <c r="K232" s="1"/>
      <c r="L232" s="1"/>
      <c r="M232" s="59">
        <f t="shared" si="61"/>
        <v>0</v>
      </c>
      <c r="N232" s="1"/>
      <c r="O232" s="1"/>
      <c r="P232" s="1"/>
      <c r="Q232" s="59">
        <f t="shared" si="62"/>
        <v>0</v>
      </c>
      <c r="R232" s="59">
        <f>+E232+I232+M232+Q232</f>
        <v>370</v>
      </c>
      <c r="T232" s="4" t="s">
        <v>217</v>
      </c>
    </row>
    <row r="233" spans="1:20" ht="15.75" customHeight="1" x14ac:dyDescent="0.3">
      <c r="A233" s="76" t="s">
        <v>218</v>
      </c>
      <c r="B233" s="1">
        <v>682</v>
      </c>
      <c r="C233" s="1"/>
      <c r="D233" s="1"/>
      <c r="E233" s="59">
        <f>SUM(B233:D233)</f>
        <v>682</v>
      </c>
      <c r="F233" s="1"/>
      <c r="G233" s="1"/>
      <c r="H233" s="1"/>
      <c r="I233" s="59">
        <f>SUM(F233:H233)</f>
        <v>0</v>
      </c>
      <c r="J233" s="1"/>
      <c r="K233" s="1"/>
      <c r="L233" s="1"/>
      <c r="M233" s="59">
        <f>SUM(J233:L233)</f>
        <v>0</v>
      </c>
      <c r="N233" s="1"/>
      <c r="O233" s="1"/>
      <c r="P233" s="1"/>
      <c r="Q233" s="59">
        <f>SUM(N233:P233)</f>
        <v>0</v>
      </c>
      <c r="R233" s="59">
        <f t="shared" si="58"/>
        <v>682</v>
      </c>
      <c r="T233" s="4" t="s">
        <v>158</v>
      </c>
    </row>
    <row r="234" spans="1:20" ht="15.75" customHeight="1" x14ac:dyDescent="0.3">
      <c r="A234" s="102" t="s">
        <v>219</v>
      </c>
      <c r="B234" s="1"/>
      <c r="C234" s="1"/>
      <c r="D234" s="1"/>
      <c r="E234" s="59">
        <f>SUM(B234:D234)</f>
        <v>0</v>
      </c>
      <c r="F234" s="1"/>
      <c r="G234" s="1"/>
      <c r="H234" s="1"/>
      <c r="I234" s="59">
        <f>SUM(F234:H234)</f>
        <v>0</v>
      </c>
      <c r="J234" s="1"/>
      <c r="K234" s="1"/>
      <c r="L234" s="1"/>
      <c r="M234" s="59">
        <f>SUM(J234:L234)</f>
        <v>0</v>
      </c>
      <c r="N234" s="1"/>
      <c r="O234" s="1"/>
      <c r="P234" s="1"/>
      <c r="Q234" s="59">
        <f>SUM(N234:P234)</f>
        <v>0</v>
      </c>
      <c r="R234" s="59">
        <f t="shared" si="58"/>
        <v>0</v>
      </c>
    </row>
    <row r="235" spans="1:20" ht="15.75" customHeight="1" x14ac:dyDescent="0.3">
      <c r="A235" s="76" t="s">
        <v>220</v>
      </c>
      <c r="B235" s="1"/>
      <c r="C235" s="1"/>
      <c r="D235" s="1"/>
      <c r="E235" s="59">
        <f t="shared" ref="E235:E277" si="64">SUM(B235:D235)</f>
        <v>0</v>
      </c>
      <c r="F235" s="1"/>
      <c r="G235" s="1"/>
      <c r="H235" s="1"/>
      <c r="I235" s="59">
        <f t="shared" si="60"/>
        <v>0</v>
      </c>
      <c r="J235" s="1"/>
      <c r="K235" s="1"/>
      <c r="L235" s="1"/>
      <c r="M235" s="59">
        <f t="shared" si="61"/>
        <v>0</v>
      </c>
      <c r="N235" s="1"/>
      <c r="O235" s="1"/>
      <c r="P235" s="1"/>
      <c r="Q235" s="59">
        <f t="shared" si="62"/>
        <v>0</v>
      </c>
      <c r="R235" s="59">
        <f t="shared" si="58"/>
        <v>0</v>
      </c>
    </row>
    <row r="236" spans="1:20" ht="15.75" customHeight="1" x14ac:dyDescent="0.3">
      <c r="A236" s="76" t="s">
        <v>221</v>
      </c>
      <c r="B236" s="1">
        <v>23</v>
      </c>
      <c r="C236" s="1"/>
      <c r="D236" s="1"/>
      <c r="E236" s="59">
        <f t="shared" si="64"/>
        <v>23</v>
      </c>
      <c r="F236" s="1"/>
      <c r="G236" s="1"/>
      <c r="H236" s="1"/>
      <c r="I236" s="59">
        <f t="shared" si="60"/>
        <v>0</v>
      </c>
      <c r="J236" s="1"/>
      <c r="K236" s="1"/>
      <c r="L236" s="1"/>
      <c r="M236" s="59">
        <f t="shared" si="61"/>
        <v>0</v>
      </c>
      <c r="N236" s="1"/>
      <c r="O236" s="1"/>
      <c r="P236" s="1"/>
      <c r="Q236" s="59">
        <f t="shared" si="62"/>
        <v>0</v>
      </c>
      <c r="R236" s="59">
        <f t="shared" si="58"/>
        <v>23</v>
      </c>
    </row>
    <row r="237" spans="1:20" ht="15.75" customHeight="1" x14ac:dyDescent="0.3">
      <c r="A237" s="76" t="s">
        <v>222</v>
      </c>
      <c r="B237" s="1">
        <v>23</v>
      </c>
      <c r="C237" s="1"/>
      <c r="D237" s="1"/>
      <c r="E237" s="59">
        <f t="shared" si="64"/>
        <v>23</v>
      </c>
      <c r="F237" s="1"/>
      <c r="G237" s="1"/>
      <c r="H237" s="1"/>
      <c r="I237" s="59">
        <f t="shared" si="60"/>
        <v>0</v>
      </c>
      <c r="J237" s="1"/>
      <c r="K237" s="1"/>
      <c r="L237" s="1"/>
      <c r="M237" s="59">
        <f t="shared" si="61"/>
        <v>0</v>
      </c>
      <c r="N237" s="1"/>
      <c r="O237" s="1"/>
      <c r="P237" s="1"/>
      <c r="Q237" s="59">
        <f t="shared" si="62"/>
        <v>0</v>
      </c>
      <c r="R237" s="59">
        <f t="shared" si="58"/>
        <v>23</v>
      </c>
      <c r="S237" s="4" t="s">
        <v>136</v>
      </c>
      <c r="T237" s="4" t="s">
        <v>137</v>
      </c>
    </row>
    <row r="238" spans="1:20" ht="15.75" customHeight="1" x14ac:dyDescent="0.3">
      <c r="A238" s="76" t="s">
        <v>223</v>
      </c>
      <c r="B238" s="1"/>
      <c r="C238" s="1"/>
      <c r="D238" s="1"/>
      <c r="E238" s="59">
        <f t="shared" si="64"/>
        <v>0</v>
      </c>
      <c r="F238" s="1"/>
      <c r="G238" s="1"/>
      <c r="H238" s="1"/>
      <c r="I238" s="59">
        <f t="shared" si="60"/>
        <v>0</v>
      </c>
      <c r="J238" s="1"/>
      <c r="K238" s="1"/>
      <c r="L238" s="1"/>
      <c r="M238" s="59">
        <f t="shared" si="61"/>
        <v>0</v>
      </c>
      <c r="N238" s="1"/>
      <c r="O238" s="1"/>
      <c r="P238" s="1"/>
      <c r="Q238" s="59">
        <f t="shared" si="62"/>
        <v>0</v>
      </c>
      <c r="R238" s="59">
        <f t="shared" si="58"/>
        <v>0</v>
      </c>
      <c r="S238" s="4" t="s">
        <v>136</v>
      </c>
      <c r="T238" s="4" t="s">
        <v>137</v>
      </c>
    </row>
    <row r="239" spans="1:20" ht="15.75" customHeight="1" x14ac:dyDescent="0.3">
      <c r="A239" s="76" t="s">
        <v>224</v>
      </c>
      <c r="B239" s="1"/>
      <c r="C239" s="1"/>
      <c r="D239" s="1"/>
      <c r="E239" s="59">
        <f t="shared" si="64"/>
        <v>0</v>
      </c>
      <c r="G239" s="1"/>
      <c r="H239" s="1"/>
      <c r="I239" s="59">
        <f t="shared" si="60"/>
        <v>0</v>
      </c>
      <c r="J239" s="1"/>
      <c r="K239" s="1"/>
      <c r="L239" s="1"/>
      <c r="M239" s="59">
        <f t="shared" si="61"/>
        <v>0</v>
      </c>
      <c r="N239" s="1"/>
      <c r="O239" s="1"/>
      <c r="P239" s="1"/>
      <c r="Q239" s="59">
        <f t="shared" si="62"/>
        <v>0</v>
      </c>
      <c r="R239" s="59">
        <f t="shared" si="58"/>
        <v>0</v>
      </c>
    </row>
    <row r="240" spans="1:20" ht="15.75" customHeight="1" x14ac:dyDescent="0.3">
      <c r="A240" s="76" t="s">
        <v>225</v>
      </c>
      <c r="B240" s="1"/>
      <c r="C240" s="1"/>
      <c r="D240" s="1"/>
      <c r="E240" s="59">
        <f t="shared" si="64"/>
        <v>0</v>
      </c>
      <c r="H240" s="1"/>
      <c r="I240" s="59">
        <f t="shared" si="60"/>
        <v>0</v>
      </c>
      <c r="J240" s="1"/>
      <c r="K240" s="1"/>
      <c r="L240" s="1"/>
      <c r="M240" s="59">
        <f t="shared" si="61"/>
        <v>0</v>
      </c>
      <c r="N240" s="1"/>
      <c r="O240" s="1"/>
      <c r="P240" s="1"/>
      <c r="Q240" s="59">
        <f t="shared" si="62"/>
        <v>0</v>
      </c>
      <c r="R240" s="59">
        <f t="shared" si="58"/>
        <v>0</v>
      </c>
    </row>
    <row r="241" spans="1:20" ht="15.75" customHeight="1" x14ac:dyDescent="0.3">
      <c r="A241" s="102" t="s">
        <v>226</v>
      </c>
      <c r="B241" s="1"/>
      <c r="C241" s="1"/>
      <c r="D241" s="1"/>
      <c r="E241" s="59">
        <f t="shared" si="64"/>
        <v>0</v>
      </c>
      <c r="F241" s="1"/>
      <c r="G241" s="1"/>
      <c r="H241" s="1"/>
      <c r="I241" s="59">
        <f t="shared" si="60"/>
        <v>0</v>
      </c>
      <c r="J241" s="1"/>
      <c r="K241" s="1"/>
      <c r="L241" s="1"/>
      <c r="M241" s="59">
        <f t="shared" si="61"/>
        <v>0</v>
      </c>
      <c r="N241" s="1"/>
      <c r="O241" s="1"/>
      <c r="P241" s="1"/>
      <c r="Q241" s="59">
        <f t="shared" si="62"/>
        <v>0</v>
      </c>
      <c r="R241" s="59">
        <f t="shared" si="58"/>
        <v>0</v>
      </c>
      <c r="T241" s="4" t="s">
        <v>121</v>
      </c>
    </row>
    <row r="242" spans="1:20" ht="15.75" customHeight="1" x14ac:dyDescent="0.3">
      <c r="A242" s="76" t="s">
        <v>227</v>
      </c>
      <c r="B242" s="1"/>
      <c r="C242" s="1"/>
      <c r="D242" s="1"/>
      <c r="E242" s="59">
        <f t="shared" si="64"/>
        <v>0</v>
      </c>
      <c r="F242" s="1"/>
      <c r="G242" s="1">
        <v>550</v>
      </c>
      <c r="H242" s="1"/>
      <c r="I242" s="59">
        <f t="shared" si="60"/>
        <v>550</v>
      </c>
      <c r="J242" s="1"/>
      <c r="K242" s="1"/>
      <c r="L242" s="1"/>
      <c r="M242" s="59">
        <f t="shared" si="61"/>
        <v>0</v>
      </c>
      <c r="N242" s="1"/>
      <c r="O242" s="1"/>
      <c r="P242" s="1"/>
      <c r="Q242" s="59">
        <f>SUM(N242:P242)</f>
        <v>0</v>
      </c>
      <c r="R242" s="59">
        <f>+E242+I242+M242+Q242</f>
        <v>550</v>
      </c>
      <c r="S242" s="94"/>
      <c r="T242" s="4" t="s">
        <v>137</v>
      </c>
    </row>
    <row r="243" spans="1:20" ht="15.75" customHeight="1" x14ac:dyDescent="0.3">
      <c r="A243" s="102" t="s">
        <v>228</v>
      </c>
      <c r="B243" s="1"/>
      <c r="C243" s="1"/>
      <c r="D243" s="1"/>
      <c r="E243" s="59">
        <f>SUM(B243:D243)</f>
        <v>0</v>
      </c>
      <c r="F243" s="1"/>
      <c r="G243" s="1"/>
      <c r="H243" s="1"/>
      <c r="I243" s="59">
        <f t="shared" si="60"/>
        <v>0</v>
      </c>
      <c r="J243" s="1"/>
      <c r="K243" s="1"/>
      <c r="L243" s="1"/>
      <c r="M243" s="59">
        <f t="shared" si="61"/>
        <v>0</v>
      </c>
      <c r="N243" s="1"/>
      <c r="O243" s="1"/>
      <c r="P243" s="1"/>
      <c r="Q243" s="59">
        <f t="shared" si="62"/>
        <v>0</v>
      </c>
      <c r="R243" s="59">
        <f t="shared" si="58"/>
        <v>0</v>
      </c>
    </row>
    <row r="244" spans="1:20" ht="15.75" customHeight="1" x14ac:dyDescent="0.3">
      <c r="A244" s="102" t="s">
        <v>229</v>
      </c>
      <c r="B244" s="1"/>
      <c r="C244" s="1"/>
      <c r="D244" s="1"/>
      <c r="E244" s="59">
        <f t="shared" si="64"/>
        <v>0</v>
      </c>
      <c r="F244" s="1"/>
      <c r="G244" s="1"/>
      <c r="H244" s="1"/>
      <c r="I244" s="59">
        <f t="shared" si="60"/>
        <v>0</v>
      </c>
      <c r="J244" s="1"/>
      <c r="K244" s="1"/>
      <c r="L244" s="1"/>
      <c r="M244" s="59">
        <f t="shared" si="61"/>
        <v>0</v>
      </c>
      <c r="N244" s="1"/>
      <c r="O244" s="1"/>
      <c r="P244" s="1"/>
      <c r="Q244" s="59">
        <f t="shared" si="62"/>
        <v>0</v>
      </c>
      <c r="R244" s="59">
        <f t="shared" si="58"/>
        <v>0</v>
      </c>
    </row>
    <row r="245" spans="1:20" ht="15.75" customHeight="1" x14ac:dyDescent="0.3">
      <c r="A245" s="102" t="s">
        <v>231</v>
      </c>
      <c r="B245" s="1"/>
      <c r="C245" s="1">
        <f>630+778</f>
        <v>1408</v>
      </c>
      <c r="D245" s="1">
        <f>1206+1403</f>
        <v>2609</v>
      </c>
      <c r="E245" s="59">
        <f t="shared" ref="E245:E246" si="65">SUM(B245:D245)</f>
        <v>4017</v>
      </c>
      <c r="F245" s="1">
        <v>596</v>
      </c>
      <c r="G245" s="1"/>
      <c r="H245" s="1"/>
      <c r="I245" s="59">
        <f t="shared" si="60"/>
        <v>596</v>
      </c>
      <c r="J245" s="1"/>
      <c r="K245" s="1"/>
      <c r="L245" s="1"/>
      <c r="M245" s="59">
        <f t="shared" si="61"/>
        <v>0</v>
      </c>
      <c r="N245" s="1"/>
      <c r="O245" s="1"/>
      <c r="P245" s="1"/>
      <c r="Q245" s="59">
        <f t="shared" si="62"/>
        <v>0</v>
      </c>
      <c r="R245" s="59">
        <f t="shared" si="58"/>
        <v>4613</v>
      </c>
    </row>
    <row r="246" spans="1:20" ht="15.75" customHeight="1" x14ac:dyDescent="0.3">
      <c r="A246" s="102" t="s">
        <v>232</v>
      </c>
      <c r="B246" s="1"/>
      <c r="C246" s="1"/>
      <c r="D246" s="1"/>
      <c r="E246" s="59">
        <f t="shared" si="65"/>
        <v>0</v>
      </c>
      <c r="F246" s="1"/>
      <c r="G246" s="1"/>
      <c r="H246" s="1"/>
      <c r="I246" s="59">
        <f t="shared" si="60"/>
        <v>0</v>
      </c>
      <c r="J246" s="1"/>
      <c r="K246" s="1"/>
      <c r="L246" s="1"/>
      <c r="M246" s="59">
        <f t="shared" si="61"/>
        <v>0</v>
      </c>
      <c r="N246" s="1"/>
      <c r="O246" s="1"/>
      <c r="P246" s="1"/>
      <c r="Q246" s="59">
        <f t="shared" si="62"/>
        <v>0</v>
      </c>
      <c r="R246" s="59">
        <f t="shared" si="58"/>
        <v>0</v>
      </c>
    </row>
    <row r="247" spans="1:20" ht="15.75" customHeight="1" x14ac:dyDescent="0.3">
      <c r="A247" s="76" t="s">
        <v>233</v>
      </c>
      <c r="B247" s="1">
        <v>809</v>
      </c>
      <c r="C247" s="1">
        <v>732</v>
      </c>
      <c r="D247" s="1">
        <v>846</v>
      </c>
      <c r="E247" s="59">
        <f>SUM(B247:D247)</f>
        <v>2387</v>
      </c>
      <c r="F247" s="1"/>
      <c r="G247" s="1"/>
      <c r="H247" s="1"/>
      <c r="I247" s="59">
        <f t="shared" ref="I247" si="66">SUM(F247:H247)</f>
        <v>0</v>
      </c>
      <c r="J247" s="1"/>
      <c r="K247" s="1"/>
      <c r="L247" s="1"/>
      <c r="M247" s="59">
        <f t="shared" si="61"/>
        <v>0</v>
      </c>
      <c r="N247" s="1"/>
      <c r="O247" s="1"/>
      <c r="P247" s="1"/>
      <c r="Q247" s="59">
        <f t="shared" si="62"/>
        <v>0</v>
      </c>
      <c r="R247" s="59">
        <f t="shared" si="58"/>
        <v>2387</v>
      </c>
    </row>
    <row r="248" spans="1:20" ht="15.75" customHeight="1" x14ac:dyDescent="0.3">
      <c r="A248" s="91" t="s">
        <v>234</v>
      </c>
      <c r="B248" s="1"/>
      <c r="C248" s="1"/>
      <c r="D248" s="1"/>
      <c r="E248" s="59">
        <f>SUM(B248:D248)</f>
        <v>0</v>
      </c>
      <c r="F248" s="1"/>
      <c r="G248" s="1"/>
      <c r="H248" s="1"/>
      <c r="I248" s="59">
        <f t="shared" si="60"/>
        <v>0</v>
      </c>
      <c r="J248" s="1"/>
      <c r="K248" s="1"/>
      <c r="L248" s="1"/>
      <c r="M248" s="59">
        <f t="shared" si="61"/>
        <v>0</v>
      </c>
      <c r="N248" s="1"/>
      <c r="O248" s="1"/>
      <c r="P248" s="1"/>
      <c r="Q248" s="59">
        <f t="shared" si="62"/>
        <v>0</v>
      </c>
      <c r="R248" s="59">
        <f t="shared" si="58"/>
        <v>0</v>
      </c>
    </row>
    <row r="249" spans="1:20" ht="15.75" customHeight="1" x14ac:dyDescent="0.3">
      <c r="A249" s="91" t="s">
        <v>235</v>
      </c>
      <c r="B249" s="1"/>
      <c r="C249" s="1"/>
      <c r="D249" s="1"/>
      <c r="E249" s="59">
        <f>SUM(B249:D249)</f>
        <v>0</v>
      </c>
      <c r="F249" s="1"/>
      <c r="G249" s="1"/>
      <c r="H249" s="1"/>
      <c r="I249" s="59">
        <f t="shared" si="60"/>
        <v>0</v>
      </c>
      <c r="J249" s="1"/>
      <c r="K249" s="1"/>
      <c r="L249" s="1"/>
      <c r="M249" s="59">
        <f t="shared" si="61"/>
        <v>0</v>
      </c>
      <c r="N249" s="1"/>
      <c r="O249" s="1"/>
      <c r="P249" s="1"/>
      <c r="Q249" s="59">
        <f t="shared" si="62"/>
        <v>0</v>
      </c>
      <c r="R249" s="59">
        <f t="shared" si="58"/>
        <v>0</v>
      </c>
    </row>
    <row r="250" spans="1:20" ht="15.75" customHeight="1" x14ac:dyDescent="0.3">
      <c r="A250" s="91" t="s">
        <v>236</v>
      </c>
      <c r="B250" s="1"/>
      <c r="C250" s="1"/>
      <c r="D250" s="1"/>
      <c r="E250" s="59">
        <f>SUM(B250:D250)</f>
        <v>0</v>
      </c>
      <c r="F250" s="1"/>
      <c r="G250" s="1"/>
      <c r="H250" s="1"/>
      <c r="I250" s="59">
        <f t="shared" si="60"/>
        <v>0</v>
      </c>
      <c r="J250" s="1"/>
      <c r="K250" s="1"/>
      <c r="L250" s="1"/>
      <c r="M250" s="59">
        <f t="shared" si="61"/>
        <v>0</v>
      </c>
      <c r="N250" s="1"/>
      <c r="O250" s="1"/>
      <c r="P250" s="1"/>
      <c r="Q250" s="59">
        <f t="shared" si="62"/>
        <v>0</v>
      </c>
      <c r="R250" s="59">
        <f t="shared" si="58"/>
        <v>0</v>
      </c>
      <c r="T250" s="4" t="s">
        <v>121</v>
      </c>
    </row>
    <row r="251" spans="1:20" ht="15.75" customHeight="1" x14ac:dyDescent="0.3">
      <c r="A251" s="372" t="s">
        <v>975</v>
      </c>
      <c r="B251" s="1"/>
      <c r="C251" s="1"/>
      <c r="D251" s="1"/>
      <c r="E251" s="59">
        <f>SUM(B251:D251)</f>
        <v>0</v>
      </c>
      <c r="F251" s="1"/>
      <c r="G251" s="1"/>
      <c r="H251" s="1"/>
      <c r="I251" s="59">
        <f t="shared" si="60"/>
        <v>0</v>
      </c>
      <c r="J251" s="1"/>
      <c r="K251" s="1"/>
      <c r="L251" s="1"/>
      <c r="M251" s="59">
        <f t="shared" si="61"/>
        <v>0</v>
      </c>
      <c r="N251" s="1"/>
      <c r="O251" s="1"/>
      <c r="P251" s="1"/>
      <c r="Q251" s="59">
        <f>SUM(N251:P251)</f>
        <v>0</v>
      </c>
      <c r="R251" s="59">
        <f t="shared" si="58"/>
        <v>0</v>
      </c>
    </row>
    <row r="252" spans="1:20" ht="15.75" customHeight="1" x14ac:dyDescent="0.3">
      <c r="A252" s="76" t="s">
        <v>237</v>
      </c>
      <c r="B252" s="1"/>
      <c r="C252" s="1"/>
      <c r="D252" s="1"/>
      <c r="E252" s="59">
        <f t="shared" ref="E252:E255" si="67">SUM(B252:D252)</f>
        <v>0</v>
      </c>
      <c r="F252" s="1"/>
      <c r="G252" s="1"/>
      <c r="H252" s="1"/>
      <c r="I252" s="59">
        <f>SUM(F252:H252)</f>
        <v>0</v>
      </c>
      <c r="J252" s="1"/>
      <c r="K252" s="1"/>
      <c r="L252" s="1"/>
      <c r="M252" s="59">
        <f t="shared" ref="M252:M253" si="68">SUM(J252:L252)</f>
        <v>0</v>
      </c>
      <c r="N252" s="1">
        <v>1490</v>
      </c>
      <c r="O252" s="1">
        <v>3952</v>
      </c>
      <c r="P252" s="1"/>
      <c r="Q252" s="59">
        <f t="shared" ref="Q252" si="69">SUM(N252:P252)</f>
        <v>5442</v>
      </c>
      <c r="R252" s="59">
        <f t="shared" si="58"/>
        <v>5442</v>
      </c>
      <c r="S252" s="105" t="s">
        <v>136</v>
      </c>
    </row>
    <row r="253" spans="1:20" ht="15.75" customHeight="1" x14ac:dyDescent="0.3">
      <c r="A253" s="76" t="s">
        <v>238</v>
      </c>
      <c r="B253" s="1"/>
      <c r="C253" s="1"/>
      <c r="D253" s="1"/>
      <c r="E253" s="59">
        <f t="shared" si="67"/>
        <v>0</v>
      </c>
      <c r="F253" s="1"/>
      <c r="G253" s="1"/>
      <c r="H253" s="1"/>
      <c r="I253" s="59">
        <f>SUM(F253:H253)</f>
        <v>0</v>
      </c>
      <c r="J253" s="1"/>
      <c r="K253" s="1"/>
      <c r="L253" s="1"/>
      <c r="M253" s="59">
        <f t="shared" si="68"/>
        <v>0</v>
      </c>
      <c r="N253" s="1"/>
      <c r="O253" s="1"/>
      <c r="P253" s="1"/>
      <c r="Q253" s="59">
        <f>SUM(N253:P253)</f>
        <v>0</v>
      </c>
      <c r="R253" s="59">
        <f t="shared" si="58"/>
        <v>0</v>
      </c>
      <c r="S253" s="4" t="s">
        <v>136</v>
      </c>
    </row>
    <row r="254" spans="1:20" ht="15.75" customHeight="1" x14ac:dyDescent="0.3">
      <c r="A254" s="76" t="s">
        <v>239</v>
      </c>
      <c r="B254" s="1"/>
      <c r="C254" s="1"/>
      <c r="D254" s="1"/>
      <c r="E254" s="59">
        <f t="shared" si="67"/>
        <v>0</v>
      </c>
      <c r="F254" s="1">
        <f>5021+287+134+37-60-95</f>
        <v>5324</v>
      </c>
      <c r="G254" s="1">
        <v>5768</v>
      </c>
      <c r="H254" s="1"/>
      <c r="I254" s="59">
        <f t="shared" si="60"/>
        <v>11092</v>
      </c>
      <c r="J254" s="1"/>
      <c r="K254" s="1"/>
      <c r="L254" s="1"/>
      <c r="M254" s="59">
        <f t="shared" si="61"/>
        <v>0</v>
      </c>
      <c r="N254" s="1"/>
      <c r="O254" s="1"/>
      <c r="P254" s="1"/>
      <c r="Q254" s="59">
        <f t="shared" si="62"/>
        <v>0</v>
      </c>
      <c r="R254" s="59">
        <f t="shared" si="58"/>
        <v>11092</v>
      </c>
      <c r="S254" s="4" t="s">
        <v>136</v>
      </c>
    </row>
    <row r="255" spans="1:20" ht="15.75" customHeight="1" x14ac:dyDescent="0.3">
      <c r="A255" s="76" t="s">
        <v>240</v>
      </c>
      <c r="B255" s="1"/>
      <c r="C255" s="1"/>
      <c r="D255" s="1"/>
      <c r="E255" s="59">
        <f t="shared" si="67"/>
        <v>0</v>
      </c>
      <c r="F255" s="1">
        <v>98</v>
      </c>
      <c r="G255" s="1"/>
      <c r="H255" s="1"/>
      <c r="I255" s="59">
        <f t="shared" si="60"/>
        <v>98</v>
      </c>
      <c r="J255" s="1"/>
      <c r="K255" s="1"/>
      <c r="L255" s="1"/>
      <c r="M255" s="59">
        <f t="shared" si="61"/>
        <v>0</v>
      </c>
      <c r="N255" s="1"/>
      <c r="O255" s="1"/>
      <c r="P255" s="1"/>
      <c r="Q255" s="59">
        <f>SUM(N255:P255)</f>
        <v>0</v>
      </c>
      <c r="R255" s="59">
        <f t="shared" si="58"/>
        <v>98</v>
      </c>
    </row>
    <row r="256" spans="1:20" ht="15.75" customHeight="1" x14ac:dyDescent="0.3">
      <c r="A256" s="76" t="s">
        <v>241</v>
      </c>
      <c r="B256" s="1"/>
      <c r="C256" s="1"/>
      <c r="D256" s="1"/>
      <c r="E256" s="59">
        <f>SUM(B256:D256)</f>
        <v>0</v>
      </c>
      <c r="F256" s="1"/>
      <c r="G256" s="1">
        <v>90</v>
      </c>
      <c r="H256" s="1">
        <v>2496</v>
      </c>
      <c r="I256" s="59">
        <f t="shared" si="60"/>
        <v>2586</v>
      </c>
      <c r="J256" s="1"/>
      <c r="K256" s="1"/>
      <c r="L256" s="1"/>
      <c r="M256" s="59">
        <f t="shared" si="61"/>
        <v>0</v>
      </c>
      <c r="N256" s="1"/>
      <c r="O256" s="1"/>
      <c r="P256" s="1"/>
      <c r="Q256" s="59">
        <f t="shared" si="62"/>
        <v>0</v>
      </c>
      <c r="R256" s="59">
        <f t="shared" si="58"/>
        <v>2586</v>
      </c>
      <c r="S256" s="4" t="s">
        <v>136</v>
      </c>
      <c r="T256" s="4" t="s">
        <v>137</v>
      </c>
    </row>
    <row r="257" spans="1:21" ht="15.75" customHeight="1" x14ac:dyDescent="0.3">
      <c r="A257" s="76" t="s">
        <v>242</v>
      </c>
      <c r="B257" s="1"/>
      <c r="C257" s="1"/>
      <c r="D257" s="1"/>
      <c r="E257" s="59">
        <f t="shared" ref="E257" si="70">SUM(B257:D257)</f>
        <v>0</v>
      </c>
      <c r="F257" s="1"/>
      <c r="G257" s="1">
        <v>44</v>
      </c>
      <c r="H257" s="1"/>
      <c r="I257" s="59">
        <f t="shared" si="60"/>
        <v>44</v>
      </c>
      <c r="J257" s="1"/>
      <c r="K257" s="1"/>
      <c r="L257" s="1"/>
      <c r="M257" s="59">
        <f t="shared" si="61"/>
        <v>0</v>
      </c>
      <c r="N257" s="1"/>
      <c r="O257" s="1"/>
      <c r="P257" s="1"/>
      <c r="Q257" s="59">
        <f t="shared" si="62"/>
        <v>0</v>
      </c>
      <c r="R257" s="59">
        <f t="shared" si="58"/>
        <v>44</v>
      </c>
      <c r="S257" s="106" t="s">
        <v>136</v>
      </c>
      <c r="T257" s="106" t="s">
        <v>137</v>
      </c>
      <c r="U257" s="106"/>
    </row>
    <row r="258" spans="1:21" ht="15.75" customHeight="1" x14ac:dyDescent="0.3">
      <c r="A258" s="76" t="s">
        <v>243</v>
      </c>
      <c r="B258" s="1"/>
      <c r="C258" s="1"/>
      <c r="D258" s="1">
        <v>919</v>
      </c>
      <c r="E258" s="59">
        <f>SUM(B258:D258)</f>
        <v>919</v>
      </c>
      <c r="F258" s="1">
        <v>895</v>
      </c>
      <c r="G258" s="1"/>
      <c r="H258" s="1"/>
      <c r="I258" s="59">
        <f>SUM(F258:H258)</f>
        <v>895</v>
      </c>
      <c r="J258" s="1"/>
      <c r="K258" s="1"/>
      <c r="L258" s="1"/>
      <c r="M258" s="59">
        <f t="shared" si="61"/>
        <v>0</v>
      </c>
      <c r="N258" s="1"/>
      <c r="O258" s="1"/>
      <c r="P258" s="1"/>
      <c r="Q258" s="59">
        <f t="shared" si="62"/>
        <v>0</v>
      </c>
      <c r="R258" s="59">
        <f t="shared" si="58"/>
        <v>1814</v>
      </c>
      <c r="T258" s="4" t="s">
        <v>244</v>
      </c>
    </row>
    <row r="259" spans="1:21" ht="15.75" customHeight="1" x14ac:dyDescent="0.3">
      <c r="A259" s="91" t="s">
        <v>245</v>
      </c>
      <c r="B259" s="1"/>
      <c r="C259" s="1"/>
      <c r="D259" s="1"/>
      <c r="E259" s="59">
        <f>SUM(B259:D259)</f>
        <v>0</v>
      </c>
      <c r="F259" s="1"/>
      <c r="G259" s="1"/>
      <c r="H259" s="1"/>
      <c r="I259" s="59">
        <f>SUM(F259:H259)</f>
        <v>0</v>
      </c>
      <c r="J259" s="1"/>
      <c r="K259" s="1"/>
      <c r="L259" s="1"/>
      <c r="M259" s="59">
        <f t="shared" si="61"/>
        <v>0</v>
      </c>
      <c r="N259" s="1"/>
      <c r="O259" s="1"/>
      <c r="P259" s="1"/>
      <c r="Q259" s="59">
        <f>SUM(N259:P259)</f>
        <v>0</v>
      </c>
      <c r="R259" s="59">
        <f>+E259+I259+M259+Q259</f>
        <v>0</v>
      </c>
      <c r="T259" s="4" t="s">
        <v>134</v>
      </c>
    </row>
    <row r="260" spans="1:21" ht="15.75" customHeight="1" x14ac:dyDescent="0.3">
      <c r="A260" s="76" t="s">
        <v>246</v>
      </c>
      <c r="B260" s="1"/>
      <c r="C260" s="1"/>
      <c r="D260" s="1"/>
      <c r="E260" s="59">
        <f t="shared" si="64"/>
        <v>0</v>
      </c>
      <c r="F260" s="1"/>
      <c r="G260" s="1"/>
      <c r="H260" s="1"/>
      <c r="I260" s="59">
        <f t="shared" si="60"/>
        <v>0</v>
      </c>
      <c r="J260" s="1"/>
      <c r="K260" s="1"/>
      <c r="L260" s="1">
        <f>1+2+65</f>
        <v>68</v>
      </c>
      <c r="M260" s="59">
        <f t="shared" si="61"/>
        <v>68</v>
      </c>
      <c r="N260" s="1"/>
      <c r="O260" s="1"/>
      <c r="P260" s="1"/>
      <c r="Q260" s="59">
        <f t="shared" si="62"/>
        <v>0</v>
      </c>
      <c r="R260" s="59">
        <f t="shared" si="58"/>
        <v>68</v>
      </c>
    </row>
    <row r="261" spans="1:21" ht="15.75" customHeight="1" x14ac:dyDescent="0.3">
      <c r="A261" s="76" t="s">
        <v>247</v>
      </c>
      <c r="B261" s="1"/>
      <c r="C261" s="1"/>
      <c r="D261" s="1"/>
      <c r="E261" s="59">
        <f t="shared" si="64"/>
        <v>0</v>
      </c>
      <c r="F261" s="1"/>
      <c r="G261" s="1"/>
      <c r="H261" s="1"/>
      <c r="I261" s="59">
        <f t="shared" si="60"/>
        <v>0</v>
      </c>
      <c r="J261" s="1"/>
      <c r="K261" s="1"/>
      <c r="L261" s="1">
        <f>513+395</f>
        <v>908</v>
      </c>
      <c r="M261" s="59">
        <f t="shared" si="61"/>
        <v>908</v>
      </c>
      <c r="N261" s="1"/>
      <c r="O261" s="1"/>
      <c r="P261" s="1"/>
      <c r="Q261" s="59">
        <f t="shared" si="62"/>
        <v>0</v>
      </c>
      <c r="R261" s="59">
        <f t="shared" si="58"/>
        <v>908</v>
      </c>
    </row>
    <row r="262" spans="1:21" ht="15.75" customHeight="1" x14ac:dyDescent="0.3">
      <c r="A262" s="76" t="s">
        <v>248</v>
      </c>
      <c r="B262" s="1"/>
      <c r="C262" s="1"/>
      <c r="D262" s="1"/>
      <c r="E262" s="59">
        <f t="shared" si="64"/>
        <v>0</v>
      </c>
      <c r="F262" s="1">
        <v>60</v>
      </c>
      <c r="G262" s="1"/>
      <c r="H262" s="1"/>
      <c r="I262" s="59">
        <f t="shared" si="60"/>
        <v>60</v>
      </c>
      <c r="J262" s="1"/>
      <c r="K262" s="1"/>
      <c r="L262" s="1"/>
      <c r="M262" s="59">
        <f t="shared" si="61"/>
        <v>0</v>
      </c>
      <c r="N262" s="1"/>
      <c r="O262" s="1"/>
      <c r="P262" s="1"/>
      <c r="Q262" s="59">
        <f t="shared" si="62"/>
        <v>0</v>
      </c>
      <c r="R262" s="59">
        <f t="shared" si="58"/>
        <v>60</v>
      </c>
    </row>
    <row r="263" spans="1:21" ht="15.75" customHeight="1" x14ac:dyDescent="0.3">
      <c r="A263" s="76" t="s">
        <v>249</v>
      </c>
      <c r="B263" s="1">
        <v>60</v>
      </c>
      <c r="C263" s="1"/>
      <c r="D263" s="1"/>
      <c r="E263" s="59">
        <f t="shared" si="64"/>
        <v>60</v>
      </c>
      <c r="F263" s="1"/>
      <c r="G263" s="1"/>
      <c r="H263" s="1"/>
      <c r="I263" s="59">
        <f t="shared" si="60"/>
        <v>0</v>
      </c>
      <c r="J263" s="1"/>
      <c r="K263" s="1"/>
      <c r="L263" s="1"/>
      <c r="M263" s="59">
        <f t="shared" si="61"/>
        <v>0</v>
      </c>
      <c r="N263" s="1"/>
      <c r="O263" s="1"/>
      <c r="P263" s="1"/>
      <c r="Q263" s="59">
        <f t="shared" si="62"/>
        <v>0</v>
      </c>
      <c r="R263" s="59">
        <f t="shared" si="58"/>
        <v>60</v>
      </c>
      <c r="S263" s="4" t="s">
        <v>136</v>
      </c>
      <c r="T263" s="4" t="s">
        <v>137</v>
      </c>
    </row>
    <row r="264" spans="1:21" ht="15.75" customHeight="1" x14ac:dyDescent="0.3">
      <c r="A264" s="76" t="s">
        <v>250</v>
      </c>
      <c r="B264" s="1"/>
      <c r="C264" s="1"/>
      <c r="D264" s="1"/>
      <c r="E264" s="59">
        <f t="shared" si="64"/>
        <v>0</v>
      </c>
      <c r="F264" s="1"/>
      <c r="G264" s="1">
        <v>250</v>
      </c>
      <c r="H264" s="1"/>
      <c r="I264" s="59">
        <f t="shared" si="60"/>
        <v>250</v>
      </c>
      <c r="J264" s="1"/>
      <c r="K264" s="1"/>
      <c r="L264" s="1"/>
      <c r="M264" s="59">
        <f t="shared" si="61"/>
        <v>0</v>
      </c>
      <c r="N264" s="1"/>
      <c r="O264" s="1"/>
      <c r="P264" s="1"/>
      <c r="Q264" s="59">
        <f t="shared" si="62"/>
        <v>0</v>
      </c>
      <c r="R264" s="59">
        <f t="shared" si="58"/>
        <v>250</v>
      </c>
      <c r="T264" s="4" t="s">
        <v>137</v>
      </c>
    </row>
    <row r="265" spans="1:21" ht="15.75" customHeight="1" x14ac:dyDescent="0.3">
      <c r="A265" s="76" t="s">
        <v>251</v>
      </c>
      <c r="B265" s="1">
        <v>518</v>
      </c>
      <c r="C265" s="1">
        <v>518</v>
      </c>
      <c r="D265" s="1">
        <v>725</v>
      </c>
      <c r="E265" s="59">
        <f t="shared" ref="E265" si="71">SUM(B265:D265)</f>
        <v>1761</v>
      </c>
      <c r="F265" s="1">
        <v>518</v>
      </c>
      <c r="G265" s="1">
        <v>725</v>
      </c>
      <c r="H265" s="1">
        <v>725</v>
      </c>
      <c r="I265" s="59">
        <f t="shared" ref="I265:I267" si="72">SUM(F265:H265)</f>
        <v>1968</v>
      </c>
      <c r="J265" s="1">
        <v>486</v>
      </c>
      <c r="K265" s="1">
        <v>378</v>
      </c>
      <c r="L265" s="1">
        <v>307</v>
      </c>
      <c r="M265" s="59">
        <f t="shared" ref="M265:M267" si="73">SUM(J265:L265)</f>
        <v>1171</v>
      </c>
      <c r="N265" s="1"/>
      <c r="O265" s="1"/>
      <c r="P265" s="1"/>
      <c r="Q265" s="59">
        <f t="shared" ref="Q265" si="74">SUM(N265:P265)</f>
        <v>0</v>
      </c>
      <c r="R265" s="59">
        <f t="shared" si="58"/>
        <v>4900</v>
      </c>
      <c r="S265" s="4" t="s">
        <v>136</v>
      </c>
      <c r="T265" s="4" t="s">
        <v>137</v>
      </c>
    </row>
    <row r="266" spans="1:21" ht="15.75" customHeight="1" x14ac:dyDescent="0.3">
      <c r="A266" s="76" t="s">
        <v>252</v>
      </c>
      <c r="B266" s="1"/>
      <c r="C266" s="1"/>
      <c r="D266" s="1"/>
      <c r="E266" s="59">
        <f t="shared" si="64"/>
        <v>0</v>
      </c>
      <c r="F266" s="1"/>
      <c r="G266" s="1"/>
      <c r="H266" s="1"/>
      <c r="I266" s="59">
        <f t="shared" si="72"/>
        <v>0</v>
      </c>
      <c r="J266" s="1"/>
      <c r="K266" s="1">
        <v>5000</v>
      </c>
      <c r="L266" s="1">
        <v>5000</v>
      </c>
      <c r="M266" s="59">
        <f t="shared" si="73"/>
        <v>10000</v>
      </c>
      <c r="N266" s="1"/>
      <c r="O266" s="1"/>
      <c r="P266" s="1"/>
      <c r="Q266" s="59">
        <f t="shared" si="62"/>
        <v>0</v>
      </c>
      <c r="R266" s="59">
        <f>+E266+I266+M266+Q266</f>
        <v>10000</v>
      </c>
      <c r="S266" s="94" t="s">
        <v>136</v>
      </c>
      <c r="T266" s="4" t="s">
        <v>137</v>
      </c>
    </row>
    <row r="267" spans="1:21" ht="15.75" customHeight="1" x14ac:dyDescent="0.3">
      <c r="A267" s="76" t="s">
        <v>976</v>
      </c>
      <c r="B267" s="1"/>
      <c r="C267" s="1"/>
      <c r="D267" s="1"/>
      <c r="E267" s="59">
        <f t="shared" si="64"/>
        <v>0</v>
      </c>
      <c r="F267" s="1"/>
      <c r="G267" s="1"/>
      <c r="H267" s="1"/>
      <c r="I267" s="59">
        <f t="shared" si="72"/>
        <v>0</v>
      </c>
      <c r="J267" s="1"/>
      <c r="K267" s="1"/>
      <c r="L267" s="1"/>
      <c r="M267" s="59">
        <f t="shared" si="73"/>
        <v>0</v>
      </c>
      <c r="N267" s="1"/>
      <c r="O267" s="1"/>
      <c r="P267" s="1"/>
      <c r="Q267" s="59">
        <f t="shared" ref="Q267" si="75">SUM(N267:P267)</f>
        <v>0</v>
      </c>
      <c r="R267" s="59">
        <f>+E267+I267+M267+Q267</f>
        <v>0</v>
      </c>
      <c r="S267" s="94"/>
    </row>
    <row r="268" spans="1:21" ht="15.75" customHeight="1" x14ac:dyDescent="0.3">
      <c r="A268" s="91" t="s">
        <v>253</v>
      </c>
      <c r="B268" s="1"/>
      <c r="C268" s="1"/>
      <c r="D268" s="1"/>
      <c r="E268" s="59">
        <f t="shared" si="64"/>
        <v>0</v>
      </c>
      <c r="F268" s="1"/>
      <c r="G268" s="1"/>
      <c r="H268" s="1"/>
      <c r="I268" s="59">
        <f t="shared" si="60"/>
        <v>0</v>
      </c>
      <c r="J268" s="1"/>
      <c r="K268" s="1"/>
      <c r="L268" s="1"/>
      <c r="M268" s="59">
        <f t="shared" si="61"/>
        <v>0</v>
      </c>
      <c r="N268" s="1"/>
      <c r="O268" s="1">
        <v>2200</v>
      </c>
      <c r="P268" s="1">
        <v>58</v>
      </c>
      <c r="Q268" s="59">
        <f>SUM(N268:P268)</f>
        <v>2258</v>
      </c>
      <c r="R268" s="59">
        <f t="shared" si="58"/>
        <v>2258</v>
      </c>
      <c r="T268" s="4" t="s">
        <v>132</v>
      </c>
    </row>
    <row r="269" spans="1:21" ht="15.75" customHeight="1" x14ac:dyDescent="0.3">
      <c r="A269" s="91" t="s">
        <v>254</v>
      </c>
      <c r="B269" s="1"/>
      <c r="C269" s="1"/>
      <c r="D269" s="1"/>
      <c r="E269" s="59">
        <f>SUM(B269:D269)</f>
        <v>0</v>
      </c>
      <c r="F269" s="1"/>
      <c r="G269" s="1"/>
      <c r="H269" s="1"/>
      <c r="I269" s="59">
        <f t="shared" ref="I269:I270" si="76">SUM(F269:H269)</f>
        <v>0</v>
      </c>
      <c r="J269" s="1">
        <v>1650</v>
      </c>
      <c r="K269" s="1">
        <f>1550+530</f>
        <v>2080</v>
      </c>
      <c r="L269" s="1"/>
      <c r="M269" s="59">
        <f t="shared" ref="M269" si="77">SUM(J269:L269)</f>
        <v>3730</v>
      </c>
      <c r="N269" s="1"/>
      <c r="O269" s="1">
        <v>2200</v>
      </c>
      <c r="P269" s="1">
        <v>8223</v>
      </c>
      <c r="Q269" s="59">
        <f>SUM(N269:P269)</f>
        <v>10423</v>
      </c>
      <c r="R269" s="59">
        <f t="shared" si="58"/>
        <v>14153</v>
      </c>
      <c r="T269" s="4" t="s">
        <v>134</v>
      </c>
    </row>
    <row r="270" spans="1:21" ht="15.75" customHeight="1" x14ac:dyDescent="0.3">
      <c r="A270" s="76" t="s">
        <v>255</v>
      </c>
      <c r="B270" s="1"/>
      <c r="C270" s="1"/>
      <c r="D270" s="1"/>
      <c r="E270" s="59">
        <f>SUM(B270:D270)</f>
        <v>0</v>
      </c>
      <c r="F270" s="1"/>
      <c r="G270" s="1"/>
      <c r="H270" s="1">
        <v>709</v>
      </c>
      <c r="I270" s="59">
        <f t="shared" si="76"/>
        <v>709</v>
      </c>
      <c r="J270" s="1">
        <v>500</v>
      </c>
      <c r="K270" s="1">
        <v>355</v>
      </c>
      <c r="L270" s="1"/>
      <c r="M270" s="59">
        <f>SUM(J270:L270)</f>
        <v>855</v>
      </c>
      <c r="N270" s="1"/>
      <c r="O270" s="1"/>
      <c r="P270" s="1"/>
      <c r="Q270" s="59">
        <f t="shared" si="62"/>
        <v>0</v>
      </c>
      <c r="R270" s="59">
        <f t="shared" si="58"/>
        <v>1564</v>
      </c>
      <c r="S270" s="4" t="s">
        <v>136</v>
      </c>
      <c r="T270" s="4" t="s">
        <v>137</v>
      </c>
    </row>
    <row r="271" spans="1:21" ht="15.75" customHeight="1" x14ac:dyDescent="0.3">
      <c r="A271" s="76" t="s">
        <v>256</v>
      </c>
      <c r="B271" s="1">
        <v>21</v>
      </c>
      <c r="C271" s="1">
        <v>809</v>
      </c>
      <c r="D271" s="1"/>
      <c r="E271" s="59">
        <f t="shared" ref="E271:E272" si="78">SUM(B271:D271)</f>
        <v>830</v>
      </c>
      <c r="F271" s="1"/>
      <c r="G271" s="1"/>
      <c r="H271" s="1"/>
      <c r="I271" s="59">
        <f t="shared" si="60"/>
        <v>0</v>
      </c>
      <c r="J271" s="1"/>
      <c r="K271" s="1"/>
      <c r="L271" s="1"/>
      <c r="M271" s="59">
        <f t="shared" si="61"/>
        <v>0</v>
      </c>
      <c r="N271" s="1"/>
      <c r="O271" s="1"/>
      <c r="P271" s="1"/>
      <c r="Q271" s="59">
        <f t="shared" si="62"/>
        <v>0</v>
      </c>
      <c r="R271" s="59">
        <f t="shared" si="58"/>
        <v>830</v>
      </c>
      <c r="T271" s="4" t="s">
        <v>137</v>
      </c>
    </row>
    <row r="272" spans="1:21" ht="15.75" customHeight="1" x14ac:dyDescent="0.3">
      <c r="A272" s="91" t="s">
        <v>257</v>
      </c>
      <c r="B272" s="1"/>
      <c r="C272" s="1"/>
      <c r="D272" s="1"/>
      <c r="E272" s="59">
        <f t="shared" si="78"/>
        <v>0</v>
      </c>
      <c r="F272" s="1"/>
      <c r="G272" s="1"/>
      <c r="H272" s="1"/>
      <c r="I272" s="59">
        <f t="shared" si="60"/>
        <v>0</v>
      </c>
      <c r="J272" s="1"/>
      <c r="K272" s="1"/>
      <c r="L272" s="1"/>
      <c r="M272" s="59">
        <f t="shared" si="61"/>
        <v>0</v>
      </c>
      <c r="N272" s="1"/>
      <c r="O272" s="1"/>
      <c r="P272" s="1"/>
      <c r="Q272" s="59">
        <f t="shared" ref="Q272" si="79">SUM(N272:P272)</f>
        <v>0</v>
      </c>
      <c r="R272" s="59">
        <f t="shared" si="58"/>
        <v>0</v>
      </c>
    </row>
    <row r="273" spans="1:20" ht="15.75" customHeight="1" x14ac:dyDescent="0.3">
      <c r="A273" s="76" t="s">
        <v>258</v>
      </c>
      <c r="B273" s="1">
        <v>1026</v>
      </c>
      <c r="C273" s="1">
        <v>1312</v>
      </c>
      <c r="D273" s="1">
        <v>512</v>
      </c>
      <c r="E273" s="59">
        <f t="shared" si="64"/>
        <v>2850</v>
      </c>
      <c r="F273" s="1"/>
      <c r="G273" s="1"/>
      <c r="H273" s="1"/>
      <c r="I273" s="59">
        <f t="shared" si="60"/>
        <v>0</v>
      </c>
      <c r="J273" s="1"/>
      <c r="K273" s="1"/>
      <c r="L273" s="1"/>
      <c r="M273" s="59">
        <f t="shared" si="61"/>
        <v>0</v>
      </c>
      <c r="N273" s="1"/>
      <c r="O273" s="1"/>
      <c r="P273" s="1"/>
      <c r="Q273" s="59">
        <f t="shared" si="62"/>
        <v>0</v>
      </c>
      <c r="R273" s="59">
        <f t="shared" si="58"/>
        <v>2850</v>
      </c>
      <c r="T273" s="4" t="s">
        <v>158</v>
      </c>
    </row>
    <row r="274" spans="1:20" ht="15.75" customHeight="1" x14ac:dyDescent="0.3">
      <c r="A274" s="76" t="s">
        <v>259</v>
      </c>
      <c r="B274" s="1"/>
      <c r="C274" s="1"/>
      <c r="D274" s="1"/>
      <c r="E274" s="59">
        <f t="shared" si="64"/>
        <v>0</v>
      </c>
      <c r="F274" s="1"/>
      <c r="G274" s="1"/>
      <c r="H274" s="1"/>
      <c r="I274" s="59">
        <f>SUM(F274:H274)</f>
        <v>0</v>
      </c>
      <c r="J274" s="1"/>
      <c r="K274" s="1"/>
      <c r="L274" s="1"/>
      <c r="M274" s="59">
        <f t="shared" si="61"/>
        <v>0</v>
      </c>
      <c r="N274" s="1"/>
      <c r="O274" s="1"/>
      <c r="P274" s="1"/>
      <c r="Q274" s="59">
        <f t="shared" si="62"/>
        <v>0</v>
      </c>
      <c r="R274" s="59">
        <f t="shared" si="58"/>
        <v>0</v>
      </c>
      <c r="S274" s="4" t="s">
        <v>136</v>
      </c>
    </row>
    <row r="275" spans="1:20" ht="15.75" customHeight="1" x14ac:dyDescent="0.3">
      <c r="A275" s="76" t="s">
        <v>260</v>
      </c>
      <c r="B275" s="1"/>
      <c r="C275" s="1"/>
      <c r="D275" s="1"/>
      <c r="E275" s="59">
        <f t="shared" si="64"/>
        <v>0</v>
      </c>
      <c r="F275" s="1"/>
      <c r="G275" s="1"/>
      <c r="H275" s="1"/>
      <c r="I275" s="59">
        <f>SUM(F275:H275)</f>
        <v>0</v>
      </c>
      <c r="J275" s="1"/>
      <c r="K275" s="1">
        <v>984</v>
      </c>
      <c r="L275" s="1"/>
      <c r="M275" s="59">
        <f t="shared" si="61"/>
        <v>984</v>
      </c>
      <c r="N275" s="1"/>
      <c r="O275" s="1"/>
      <c r="P275" s="1"/>
      <c r="Q275" s="59">
        <f t="shared" ref="Q275" si="80">SUM(N275:P275)</f>
        <v>0</v>
      </c>
      <c r="R275" s="59">
        <f t="shared" si="58"/>
        <v>984</v>
      </c>
    </row>
    <row r="276" spans="1:20" ht="15.75" customHeight="1" x14ac:dyDescent="0.3">
      <c r="A276" s="76" t="s">
        <v>261</v>
      </c>
      <c r="B276" s="1"/>
      <c r="C276" s="1"/>
      <c r="D276" s="1"/>
      <c r="E276" s="59">
        <f t="shared" si="64"/>
        <v>0</v>
      </c>
      <c r="F276" s="1">
        <v>95</v>
      </c>
      <c r="G276" s="1"/>
      <c r="H276" s="1"/>
      <c r="I276" s="59">
        <f t="shared" si="60"/>
        <v>95</v>
      </c>
      <c r="J276" s="1"/>
      <c r="K276" s="1"/>
      <c r="L276" s="1"/>
      <c r="M276" s="59">
        <f t="shared" si="61"/>
        <v>0</v>
      </c>
      <c r="N276" s="1"/>
      <c r="O276" s="1"/>
      <c r="P276" s="1"/>
      <c r="Q276" s="59">
        <f t="shared" si="62"/>
        <v>0</v>
      </c>
      <c r="R276" s="59">
        <f t="shared" si="58"/>
        <v>95</v>
      </c>
    </row>
    <row r="277" spans="1:20" ht="15.75" customHeight="1" x14ac:dyDescent="0.3">
      <c r="A277" s="76" t="s">
        <v>262</v>
      </c>
      <c r="B277" s="1">
        <v>95</v>
      </c>
      <c r="C277" s="1"/>
      <c r="D277" s="1"/>
      <c r="E277" s="59">
        <f t="shared" si="64"/>
        <v>95</v>
      </c>
      <c r="F277" s="1"/>
      <c r="G277" s="1"/>
      <c r="H277" s="1"/>
      <c r="I277" s="59">
        <f t="shared" si="60"/>
        <v>0</v>
      </c>
      <c r="J277" s="1"/>
      <c r="K277" s="1"/>
      <c r="L277" s="1"/>
      <c r="M277" s="59">
        <f t="shared" si="61"/>
        <v>0</v>
      </c>
      <c r="N277" s="1"/>
      <c r="O277" s="1"/>
      <c r="P277" s="1"/>
      <c r="Q277" s="59">
        <f t="shared" si="62"/>
        <v>0</v>
      </c>
      <c r="R277" s="59">
        <f t="shared" si="58"/>
        <v>95</v>
      </c>
      <c r="S277" s="4" t="s">
        <v>136</v>
      </c>
      <c r="T277" s="4" t="s">
        <v>137</v>
      </c>
    </row>
    <row r="278" spans="1:20" ht="15.75" customHeight="1" x14ac:dyDescent="0.3">
      <c r="A278" s="76" t="s">
        <v>263</v>
      </c>
      <c r="B278" s="1"/>
      <c r="C278" s="1"/>
      <c r="D278" s="1"/>
      <c r="E278" s="59">
        <f>SUM(B278:D278)</f>
        <v>0</v>
      </c>
      <c r="F278" s="1">
        <v>1400</v>
      </c>
      <c r="G278" s="1">
        <v>1000</v>
      </c>
      <c r="H278" s="1">
        <v>400</v>
      </c>
      <c r="I278" s="59">
        <f>SUM(F278:H278)</f>
        <v>2800</v>
      </c>
      <c r="J278" s="1">
        <f>400+149</f>
        <v>549</v>
      </c>
      <c r="K278" s="1">
        <v>1500</v>
      </c>
      <c r="L278" s="1">
        <v>2200</v>
      </c>
      <c r="M278" s="59">
        <f>SUM(J278:L278)</f>
        <v>4249</v>
      </c>
      <c r="N278" s="1">
        <v>1200</v>
      </c>
      <c r="O278" s="1">
        <v>1100</v>
      </c>
      <c r="P278" s="1">
        <v>1100</v>
      </c>
      <c r="Q278" s="59">
        <f>SUM(N278:P278)</f>
        <v>3400</v>
      </c>
      <c r="R278" s="59">
        <f>+E278+I278+M278+Q278</f>
        <v>10449</v>
      </c>
      <c r="S278" s="4" t="s">
        <v>136</v>
      </c>
      <c r="T278" s="4" t="s">
        <v>137</v>
      </c>
    </row>
    <row r="279" spans="1:20" ht="15.75" customHeight="1" x14ac:dyDescent="0.3">
      <c r="A279" s="76" t="s">
        <v>265</v>
      </c>
      <c r="B279" s="1"/>
      <c r="C279" s="1"/>
      <c r="D279" s="1"/>
      <c r="E279" s="59">
        <f>SUM(B279:D279)</f>
        <v>0</v>
      </c>
      <c r="F279" s="1"/>
      <c r="G279" s="1"/>
      <c r="H279" s="1"/>
      <c r="I279" s="59">
        <f>SUM(F279:H279)</f>
        <v>0</v>
      </c>
      <c r="J279" s="1"/>
      <c r="K279" s="1"/>
      <c r="L279" s="1"/>
      <c r="M279" s="59">
        <f>SUM(J279:L279)</f>
        <v>0</v>
      </c>
      <c r="N279" s="1"/>
      <c r="O279" s="1"/>
      <c r="P279" s="1"/>
      <c r="Q279" s="59">
        <f t="shared" ref="Q279" si="81">SUM(N279:P279)</f>
        <v>0</v>
      </c>
      <c r="R279" s="59">
        <f>+E279+I279+M279+Q279</f>
        <v>0</v>
      </c>
      <c r="T279" s="4" t="s">
        <v>137</v>
      </c>
    </row>
    <row r="280" spans="1:20" ht="15.75" customHeight="1" x14ac:dyDescent="0.3">
      <c r="A280" s="76" t="s">
        <v>266</v>
      </c>
      <c r="B280" s="1"/>
      <c r="C280" s="1"/>
      <c r="D280" s="1"/>
      <c r="E280" s="59">
        <f t="shared" ref="E280" si="82">SUM(B280:D280)</f>
        <v>0</v>
      </c>
      <c r="F280" s="1"/>
      <c r="G280" s="1"/>
      <c r="H280" s="1"/>
      <c r="I280" s="59">
        <f t="shared" ref="I280" si="83">SUM(F280:H280)</f>
        <v>0</v>
      </c>
      <c r="J280" s="1"/>
      <c r="K280" s="1"/>
      <c r="L280" s="1"/>
      <c r="M280" s="59">
        <f t="shared" ref="M280" si="84">SUM(J280:L280)</f>
        <v>0</v>
      </c>
      <c r="N280" s="1"/>
      <c r="O280" s="1"/>
      <c r="P280" s="1"/>
      <c r="Q280" s="59">
        <f t="shared" ref="Q280" si="85">SUM(N280:P280)</f>
        <v>0</v>
      </c>
      <c r="R280" s="59">
        <f>+E280+I280+M280+Q280</f>
        <v>0</v>
      </c>
      <c r="T280" s="4" t="s">
        <v>137</v>
      </c>
    </row>
    <row r="281" spans="1:20" ht="15.75" customHeight="1" x14ac:dyDescent="0.3">
      <c r="A281" s="76" t="s">
        <v>860</v>
      </c>
      <c r="B281" s="1"/>
      <c r="C281" s="1"/>
      <c r="D281" s="1"/>
      <c r="E281" s="59">
        <f t="shared" ref="E281" si="86">SUM(B281:D281)</f>
        <v>0</v>
      </c>
      <c r="F281" s="1">
        <v>550</v>
      </c>
      <c r="G281" s="1">
        <v>750</v>
      </c>
      <c r="H281" s="1">
        <v>1100</v>
      </c>
      <c r="I281" s="59">
        <f t="shared" ref="I281" si="87">SUM(F281:H281)</f>
        <v>2400</v>
      </c>
      <c r="J281" s="1">
        <v>550</v>
      </c>
      <c r="K281" s="1">
        <v>200</v>
      </c>
      <c r="L281" s="1">
        <v>200</v>
      </c>
      <c r="M281" s="59">
        <f t="shared" ref="M281" si="88">SUM(J281:L281)</f>
        <v>950</v>
      </c>
      <c r="N281" s="1">
        <v>75</v>
      </c>
      <c r="O281" s="1"/>
      <c r="P281" s="1"/>
      <c r="Q281" s="59">
        <f t="shared" si="62"/>
        <v>75</v>
      </c>
      <c r="R281" s="59">
        <f t="shared" si="58"/>
        <v>3425</v>
      </c>
      <c r="S281" s="4" t="s">
        <v>136</v>
      </c>
    </row>
    <row r="282" spans="1:20" ht="15.75" customHeight="1" x14ac:dyDescent="0.3">
      <c r="A282" s="76" t="s">
        <v>270</v>
      </c>
      <c r="B282" s="1"/>
      <c r="C282" s="1">
        <v>3634</v>
      </c>
      <c r="D282" s="1">
        <v>4754</v>
      </c>
      <c r="E282" s="59">
        <f>SUM(B282:D282)</f>
        <v>8388</v>
      </c>
      <c r="F282" s="1"/>
      <c r="G282" s="1"/>
      <c r="H282" s="1"/>
      <c r="I282" s="59">
        <f>SUM(F282:H282)</f>
        <v>0</v>
      </c>
      <c r="J282" s="1"/>
      <c r="K282" s="1"/>
      <c r="L282" s="1"/>
      <c r="M282" s="59">
        <f>SUM(J282:L282)</f>
        <v>0</v>
      </c>
      <c r="N282" s="1"/>
      <c r="O282" s="1"/>
      <c r="P282" s="1"/>
      <c r="Q282" s="59">
        <f>SUM(N282:P282)</f>
        <v>0</v>
      </c>
      <c r="R282" s="59">
        <f>+E282+I282+M282+Q282</f>
        <v>8388</v>
      </c>
      <c r="S282" s="4" t="s">
        <v>136</v>
      </c>
    </row>
    <row r="283" spans="1:20" ht="15.75" customHeight="1" x14ac:dyDescent="0.3">
      <c r="A283" s="76" t="s">
        <v>271</v>
      </c>
      <c r="B283" s="1">
        <v>86</v>
      </c>
      <c r="C283" s="1">
        <v>99</v>
      </c>
      <c r="D283" s="1">
        <v>138</v>
      </c>
      <c r="E283" s="59">
        <f>SUM(B283:D283)</f>
        <v>323</v>
      </c>
      <c r="F283" s="1"/>
      <c r="G283" s="1"/>
      <c r="H283" s="1"/>
      <c r="I283" s="59">
        <f>SUM(F283:H283)</f>
        <v>0</v>
      </c>
      <c r="J283" s="1"/>
      <c r="K283" s="1"/>
      <c r="L283" s="1"/>
      <c r="M283" s="59">
        <f>SUM(J283:L283)</f>
        <v>0</v>
      </c>
      <c r="N283" s="1"/>
      <c r="O283" s="1"/>
      <c r="P283" s="1"/>
      <c r="Q283" s="59">
        <f>SUM(N283:P283)</f>
        <v>0</v>
      </c>
      <c r="R283" s="59">
        <f>+E283+I283+M283+Q283</f>
        <v>323</v>
      </c>
    </row>
    <row r="284" spans="1:20" ht="15.75" customHeight="1" x14ac:dyDescent="0.3">
      <c r="A284" s="76" t="s">
        <v>272</v>
      </c>
      <c r="B284" s="1">
        <v>13</v>
      </c>
      <c r="C284" s="1"/>
      <c r="D284" s="1"/>
      <c r="E284" s="59">
        <f t="shared" ref="E284" si="89">SUM(B284:D284)</f>
        <v>13</v>
      </c>
      <c r="F284" s="1"/>
      <c r="G284" s="1"/>
      <c r="H284" s="1"/>
      <c r="I284" s="59">
        <f t="shared" ref="I284" si="90">SUM(F284:H284)</f>
        <v>0</v>
      </c>
      <c r="J284" s="1"/>
      <c r="K284" s="1"/>
      <c r="L284" s="1"/>
      <c r="M284" s="59">
        <f t="shared" ref="M284" si="91">SUM(J284:L284)</f>
        <v>0</v>
      </c>
      <c r="N284" s="1"/>
      <c r="O284" s="1"/>
      <c r="P284" s="1"/>
      <c r="Q284" s="59">
        <f t="shared" ref="Q284" si="92">SUM(N284:P284)</f>
        <v>0</v>
      </c>
      <c r="R284" s="59">
        <f t="shared" ref="R284" si="93">+E284+I284+M284+Q284</f>
        <v>13</v>
      </c>
    </row>
    <row r="285" spans="1:20" ht="15.75" customHeight="1" x14ac:dyDescent="0.3">
      <c r="A285" s="76" t="s">
        <v>273</v>
      </c>
      <c r="B285" s="1">
        <v>487</v>
      </c>
      <c r="C285" s="1"/>
      <c r="D285" s="1"/>
      <c r="E285" s="59">
        <f t="shared" ref="E285" si="94">SUM(B285:D285)</f>
        <v>487</v>
      </c>
      <c r="F285" s="1"/>
      <c r="G285" s="1"/>
      <c r="H285" s="1"/>
      <c r="I285" s="59">
        <f t="shared" si="60"/>
        <v>0</v>
      </c>
      <c r="J285" s="1"/>
      <c r="K285" s="1"/>
      <c r="L285" s="1"/>
      <c r="M285" s="59">
        <f t="shared" si="61"/>
        <v>0</v>
      </c>
      <c r="N285" s="1"/>
      <c r="O285" s="1"/>
      <c r="P285" s="1"/>
      <c r="Q285" s="59">
        <f t="shared" si="62"/>
        <v>0</v>
      </c>
      <c r="R285" s="59">
        <f t="shared" si="58"/>
        <v>487</v>
      </c>
    </row>
    <row r="286" spans="1:20" ht="15.75" customHeight="1" thickBot="1" x14ac:dyDescent="0.35">
      <c r="A286" s="76" t="s">
        <v>275</v>
      </c>
      <c r="B286" s="1"/>
      <c r="C286" s="1"/>
      <c r="D286" s="1"/>
      <c r="E286" s="59">
        <f>SUM(B286:D286)</f>
        <v>0</v>
      </c>
      <c r="F286" s="1"/>
      <c r="G286" s="1"/>
      <c r="H286" s="1"/>
      <c r="I286" s="59">
        <f>SUM(F286:H286)</f>
        <v>0</v>
      </c>
      <c r="J286" s="1"/>
      <c r="K286" s="1"/>
      <c r="L286" s="1"/>
      <c r="M286" s="59">
        <f>SUM(J286:L286)</f>
        <v>0</v>
      </c>
      <c r="N286" s="1"/>
      <c r="O286" s="1"/>
      <c r="P286" s="1"/>
      <c r="Q286" s="59">
        <f>SUM(N286:P286)</f>
        <v>0</v>
      </c>
      <c r="R286" s="59">
        <f t="shared" si="58"/>
        <v>0</v>
      </c>
      <c r="S286" s="94" t="s">
        <v>136</v>
      </c>
    </row>
    <row r="287" spans="1:20" ht="16.5" customHeight="1" thickBot="1" x14ac:dyDescent="0.35">
      <c r="A287" s="62" t="s">
        <v>61</v>
      </c>
      <c r="B287" s="100">
        <f>SUM(B220:B286)</f>
        <v>4492</v>
      </c>
      <c r="C287" s="101">
        <f>SUM(C220:C286)</f>
        <v>8916</v>
      </c>
      <c r="D287" s="101">
        <f>SUM(D220:D286)</f>
        <v>11419</v>
      </c>
      <c r="E287" s="64">
        <f t="shared" ref="E287" si="95">SUM(B287:D287)</f>
        <v>24827</v>
      </c>
      <c r="F287" s="101">
        <f>SUM(F220:F286)</f>
        <v>10494</v>
      </c>
      <c r="G287" s="101">
        <f>SUM(G220:G286)</f>
        <v>9571</v>
      </c>
      <c r="H287" s="101">
        <f>SUM(H220:H286)</f>
        <v>5947</v>
      </c>
      <c r="I287" s="64">
        <f t="shared" ref="I287" si="96">SUM(F287:H287)</f>
        <v>26012</v>
      </c>
      <c r="J287" s="101">
        <f>SUM(J220:J286)</f>
        <v>4382</v>
      </c>
      <c r="K287" s="101">
        <f>SUM(K220:K286)</f>
        <v>12243</v>
      </c>
      <c r="L287" s="101">
        <f>SUM(L220:L286)</f>
        <v>10195</v>
      </c>
      <c r="M287" s="64">
        <f t="shared" ref="M287" si="97">SUM(J287:L287)</f>
        <v>26820</v>
      </c>
      <c r="N287" s="101">
        <f>SUM(N220:N286)</f>
        <v>4167</v>
      </c>
      <c r="O287" s="101">
        <f>SUM(O220:O286)</f>
        <v>9883</v>
      </c>
      <c r="P287" s="101">
        <f>SUM(P220:P286)</f>
        <v>9762</v>
      </c>
      <c r="Q287" s="64">
        <f t="shared" ref="Q287" si="98">SUM(N287:P287)</f>
        <v>23812</v>
      </c>
      <c r="R287" s="64">
        <f t="shared" si="58"/>
        <v>101471</v>
      </c>
    </row>
    <row r="288" spans="1:20" ht="15.75" customHeight="1" x14ac:dyDescent="0.3">
      <c r="A288" s="17" t="s">
        <v>62</v>
      </c>
      <c r="B288" s="1"/>
      <c r="C288" s="1"/>
      <c r="D288" s="1"/>
      <c r="E288" s="59" t="s">
        <v>7</v>
      </c>
      <c r="F288" s="1"/>
      <c r="G288" s="1"/>
      <c r="H288" s="1"/>
      <c r="I288" s="59" t="s">
        <v>7</v>
      </c>
      <c r="J288" s="1"/>
      <c r="K288" s="1"/>
      <c r="L288" s="1"/>
      <c r="M288" s="59" t="s">
        <v>7</v>
      </c>
      <c r="N288" s="1"/>
      <c r="O288" s="1"/>
      <c r="P288" s="1"/>
      <c r="Q288" s="59" t="s">
        <v>7</v>
      </c>
      <c r="R288" s="59" t="s">
        <v>7</v>
      </c>
    </row>
    <row r="289" spans="1:20" ht="15.75" customHeight="1" x14ac:dyDescent="0.3">
      <c r="A289" s="17" t="s">
        <v>63</v>
      </c>
      <c r="B289" s="1"/>
      <c r="C289" s="1"/>
      <c r="D289" s="1"/>
      <c r="E289" s="59" t="s">
        <v>7</v>
      </c>
      <c r="F289" s="1"/>
      <c r="G289" s="1"/>
      <c r="H289" s="1"/>
      <c r="I289" s="59" t="s">
        <v>7</v>
      </c>
      <c r="J289" s="1"/>
      <c r="K289" s="1"/>
      <c r="L289" s="1"/>
      <c r="M289" s="59" t="s">
        <v>7</v>
      </c>
      <c r="N289" s="1"/>
      <c r="O289" s="1"/>
      <c r="P289" s="1"/>
      <c r="Q289" s="59" t="s">
        <v>7</v>
      </c>
      <c r="R289" s="59" t="s">
        <v>7</v>
      </c>
    </row>
    <row r="290" spans="1:20" ht="15.75" customHeight="1" x14ac:dyDescent="0.3">
      <c r="A290" s="78" t="s">
        <v>854</v>
      </c>
      <c r="B290" s="1"/>
      <c r="C290" s="1"/>
      <c r="D290" s="1"/>
      <c r="E290" s="59">
        <f>SUM(B290:D290)</f>
        <v>0</v>
      </c>
      <c r="F290" s="1"/>
      <c r="G290" s="1"/>
      <c r="H290" s="1"/>
      <c r="I290" s="59">
        <f>SUM(F290:H290)</f>
        <v>0</v>
      </c>
      <c r="J290" s="1"/>
      <c r="K290" s="1"/>
      <c r="L290" s="1"/>
      <c r="M290" s="59">
        <f>SUM(J290:L290)</f>
        <v>0</v>
      </c>
      <c r="N290" s="1"/>
      <c r="O290" s="1"/>
      <c r="P290" s="1"/>
      <c r="Q290" s="59">
        <f>SUM(N290:P290)</f>
        <v>0</v>
      </c>
      <c r="R290" s="59">
        <f>+E290+I290+M290+Q290</f>
        <v>0</v>
      </c>
      <c r="T290" s="4" t="s">
        <v>137</v>
      </c>
    </row>
    <row r="291" spans="1:20" ht="15.75" customHeight="1" x14ac:dyDescent="0.3">
      <c r="A291" s="99" t="s">
        <v>276</v>
      </c>
      <c r="B291" s="1"/>
      <c r="C291" s="1"/>
      <c r="D291" s="1"/>
      <c r="E291" s="59">
        <f>SUM(B291:D291)</f>
        <v>0</v>
      </c>
      <c r="F291" s="1"/>
      <c r="G291" s="1"/>
      <c r="H291" s="1"/>
      <c r="I291" s="59">
        <f>SUM(F291:H291)</f>
        <v>0</v>
      </c>
      <c r="J291" s="1"/>
      <c r="K291" s="1"/>
      <c r="L291" s="1"/>
      <c r="M291" s="59">
        <f>SUM(J291:L291)</f>
        <v>0</v>
      </c>
      <c r="N291" s="1"/>
      <c r="O291" s="1">
        <v>500</v>
      </c>
      <c r="P291" s="1">
        <v>800</v>
      </c>
      <c r="Q291" s="59">
        <f>SUM(N291:P291)</f>
        <v>1300</v>
      </c>
      <c r="R291" s="59">
        <f>+E291+I291+M291+Q291</f>
        <v>1300</v>
      </c>
      <c r="T291" s="4" t="s">
        <v>132</v>
      </c>
    </row>
    <row r="292" spans="1:20" ht="15.75" customHeight="1" x14ac:dyDescent="0.3">
      <c r="A292" s="99" t="s">
        <v>277</v>
      </c>
      <c r="B292" s="1"/>
      <c r="C292" s="1"/>
      <c r="D292" s="1"/>
      <c r="E292" s="59">
        <f>SUM(B292:D292)</f>
        <v>0</v>
      </c>
      <c r="F292" s="1"/>
      <c r="G292" s="1"/>
      <c r="H292" s="1"/>
      <c r="I292" s="59">
        <f>SUM(F292:H292)</f>
        <v>0</v>
      </c>
      <c r="J292" s="1"/>
      <c r="K292" s="1"/>
      <c r="L292" s="1"/>
      <c r="M292" s="59">
        <f>SUM(J292:L292)</f>
        <v>0</v>
      </c>
      <c r="N292" s="1"/>
      <c r="O292" s="1">
        <v>1500</v>
      </c>
      <c r="P292" s="1">
        <v>500</v>
      </c>
      <c r="Q292" s="59">
        <f>SUM(N292:P292)</f>
        <v>2000</v>
      </c>
      <c r="R292" s="59">
        <f>+E292+I292+M292+Q292</f>
        <v>2000</v>
      </c>
      <c r="T292" s="4" t="s">
        <v>134</v>
      </c>
    </row>
    <row r="293" spans="1:20" ht="15.75" customHeight="1" x14ac:dyDescent="0.3">
      <c r="A293" s="17" t="s">
        <v>64</v>
      </c>
      <c r="B293" s="1"/>
      <c r="C293" s="1"/>
      <c r="D293" s="1"/>
      <c r="E293" s="59" t="s">
        <v>7</v>
      </c>
      <c r="F293" s="1"/>
      <c r="G293" s="1"/>
      <c r="H293" s="1"/>
      <c r="I293" s="59" t="s">
        <v>7</v>
      </c>
      <c r="J293" s="1"/>
      <c r="K293" s="1"/>
      <c r="L293" s="1"/>
      <c r="M293" s="59" t="s">
        <v>7</v>
      </c>
      <c r="N293" s="1"/>
      <c r="O293" s="1"/>
      <c r="P293" s="1"/>
      <c r="Q293" s="59" t="s">
        <v>7</v>
      </c>
      <c r="R293" s="59" t="s">
        <v>7</v>
      </c>
    </row>
    <row r="294" spans="1:20" ht="15.75" customHeight="1" x14ac:dyDescent="0.3">
      <c r="A294" s="99" t="s">
        <v>278</v>
      </c>
      <c r="B294" s="1"/>
      <c r="C294" s="1"/>
      <c r="D294" s="1"/>
      <c r="E294" s="59">
        <f>SUM(B294:D294)</f>
        <v>0</v>
      </c>
      <c r="F294" s="1"/>
      <c r="G294" s="1"/>
      <c r="H294" s="1"/>
      <c r="I294" s="59">
        <f>SUM(F294:H294)</f>
        <v>0</v>
      </c>
      <c r="J294" s="1"/>
      <c r="K294" s="1"/>
      <c r="L294" s="1"/>
      <c r="M294" s="59">
        <f>SUM(J294:L294)</f>
        <v>0</v>
      </c>
      <c r="N294" s="1"/>
      <c r="O294" s="1"/>
      <c r="P294" s="1"/>
      <c r="Q294" s="59">
        <f>SUM(N294:P294)</f>
        <v>0</v>
      </c>
      <c r="R294" s="59">
        <f>+E294+I294+M294+Q294</f>
        <v>0</v>
      </c>
    </row>
    <row r="295" spans="1:20" ht="15.75" customHeight="1" x14ac:dyDescent="0.3">
      <c r="A295" s="99" t="s">
        <v>279</v>
      </c>
      <c r="B295" s="1"/>
      <c r="C295" s="1"/>
      <c r="D295" s="1"/>
      <c r="E295" s="59">
        <f>SUM(B295:D295)</f>
        <v>0</v>
      </c>
      <c r="F295" s="1"/>
      <c r="G295" s="1"/>
      <c r="H295" s="1"/>
      <c r="I295" s="59">
        <f>SUM(F295:H295)</f>
        <v>0</v>
      </c>
      <c r="J295" s="1"/>
      <c r="K295" s="1"/>
      <c r="L295" s="1"/>
      <c r="M295" s="59">
        <f>SUM(J295:L295)</f>
        <v>0</v>
      </c>
      <c r="N295" s="1"/>
      <c r="O295" s="1"/>
      <c r="P295" s="1"/>
      <c r="Q295" s="59">
        <f>SUM(N295:P295)</f>
        <v>0</v>
      </c>
      <c r="R295" s="59">
        <f>+E295+I295+M295+Q295</f>
        <v>0</v>
      </c>
      <c r="T295" s="4">
        <f>24000-SUM(R149,R153,R171,R174,R190,R208,R244,R245,R268,R291,R294,R295)</f>
        <v>4383</v>
      </c>
    </row>
    <row r="296" spans="1:20" ht="15.75" customHeight="1" x14ac:dyDescent="0.3">
      <c r="A296" s="74" t="s">
        <v>280</v>
      </c>
      <c r="B296" s="1"/>
      <c r="C296" s="1"/>
      <c r="D296" s="1"/>
      <c r="E296" s="59">
        <f t="shared" ref="E296:E301" si="99">SUM(B296:D296)</f>
        <v>0</v>
      </c>
      <c r="F296" s="1"/>
      <c r="G296" s="1"/>
      <c r="H296" s="1"/>
      <c r="I296" s="59">
        <f t="shared" ref="I296:I301" si="100">SUM(F296:H296)</f>
        <v>0</v>
      </c>
      <c r="J296" s="1"/>
      <c r="K296" s="1"/>
      <c r="L296" s="1"/>
      <c r="M296" s="59">
        <f t="shared" ref="M296:M301" si="101">SUM(J296:L296)</f>
        <v>0</v>
      </c>
      <c r="N296" s="1"/>
      <c r="O296" s="1"/>
      <c r="P296" s="1"/>
      <c r="Q296" s="59">
        <f t="shared" ref="Q296:Q301" si="102">SUM(N296:P296)</f>
        <v>0</v>
      </c>
      <c r="R296" s="59">
        <f t="shared" ref="R296:R301" si="103">+E296+I296+M296+Q296</f>
        <v>0</v>
      </c>
      <c r="S296" s="4" t="s">
        <v>136</v>
      </c>
    </row>
    <row r="297" spans="1:20" ht="15.75" customHeight="1" x14ac:dyDescent="0.3">
      <c r="A297" s="74" t="s">
        <v>281</v>
      </c>
      <c r="B297" s="1"/>
      <c r="C297" s="1"/>
      <c r="D297" s="1"/>
      <c r="E297" s="59">
        <f t="shared" si="99"/>
        <v>0</v>
      </c>
      <c r="F297" s="1"/>
      <c r="G297" s="1"/>
      <c r="H297" s="1"/>
      <c r="I297" s="59">
        <f t="shared" si="100"/>
        <v>0</v>
      </c>
      <c r="J297" s="1"/>
      <c r="K297" s="1"/>
      <c r="L297" s="1"/>
      <c r="M297" s="59">
        <f t="shared" si="101"/>
        <v>0</v>
      </c>
      <c r="N297" s="1"/>
      <c r="O297" s="1"/>
      <c r="P297" s="1"/>
      <c r="Q297" s="59">
        <f t="shared" si="102"/>
        <v>0</v>
      </c>
      <c r="R297" s="59">
        <f t="shared" si="103"/>
        <v>0</v>
      </c>
    </row>
    <row r="298" spans="1:20" ht="15.75" customHeight="1" x14ac:dyDescent="0.3">
      <c r="A298" s="91" t="s">
        <v>282</v>
      </c>
      <c r="B298" s="1"/>
      <c r="C298" s="1"/>
      <c r="D298" s="1"/>
      <c r="E298" s="59">
        <f t="shared" si="99"/>
        <v>0</v>
      </c>
      <c r="F298" s="1"/>
      <c r="G298" s="1"/>
      <c r="H298" s="1"/>
      <c r="I298" s="59">
        <f t="shared" si="100"/>
        <v>0</v>
      </c>
      <c r="J298" s="1"/>
      <c r="K298" s="1"/>
      <c r="L298" s="1"/>
      <c r="M298" s="59">
        <f t="shared" si="101"/>
        <v>0</v>
      </c>
      <c r="N298" s="1"/>
      <c r="O298" s="1"/>
      <c r="P298" s="1"/>
      <c r="Q298" s="59">
        <f t="shared" si="102"/>
        <v>0</v>
      </c>
      <c r="R298" s="59">
        <f t="shared" si="103"/>
        <v>0</v>
      </c>
    </row>
    <row r="299" spans="1:20" ht="15.75" customHeight="1" x14ac:dyDescent="0.3">
      <c r="A299" s="91" t="s">
        <v>283</v>
      </c>
      <c r="B299" s="1"/>
      <c r="C299" s="1"/>
      <c r="D299" s="1"/>
      <c r="E299" s="59">
        <f t="shared" si="99"/>
        <v>0</v>
      </c>
      <c r="F299" s="1"/>
      <c r="G299" s="1"/>
      <c r="H299" s="1"/>
      <c r="I299" s="59">
        <f t="shared" si="100"/>
        <v>0</v>
      </c>
      <c r="J299" s="1"/>
      <c r="K299" s="1"/>
      <c r="L299" s="1"/>
      <c r="M299" s="59">
        <f t="shared" si="101"/>
        <v>0</v>
      </c>
      <c r="N299" s="1"/>
      <c r="O299" s="1"/>
      <c r="P299" s="1"/>
      <c r="Q299" s="59">
        <f t="shared" si="102"/>
        <v>0</v>
      </c>
      <c r="R299" s="59">
        <f t="shared" si="103"/>
        <v>0</v>
      </c>
    </row>
    <row r="300" spans="1:20" ht="15.75" customHeight="1" x14ac:dyDescent="0.3">
      <c r="A300" s="61" t="s">
        <v>284</v>
      </c>
      <c r="B300" s="1"/>
      <c r="C300" s="1"/>
      <c r="D300" s="1"/>
      <c r="E300" s="59">
        <f t="shared" si="99"/>
        <v>0</v>
      </c>
      <c r="F300" s="1"/>
      <c r="G300" s="1"/>
      <c r="H300" s="1"/>
      <c r="I300" s="59">
        <f t="shared" si="100"/>
        <v>0</v>
      </c>
      <c r="J300" s="1"/>
      <c r="K300" s="1"/>
      <c r="L300" s="1"/>
      <c r="M300" s="59">
        <f t="shared" si="101"/>
        <v>0</v>
      </c>
      <c r="N300" s="1"/>
      <c r="O300" s="1"/>
      <c r="P300" s="1"/>
      <c r="Q300" s="59">
        <f t="shared" si="102"/>
        <v>0</v>
      </c>
      <c r="R300" s="59">
        <f t="shared" si="103"/>
        <v>0</v>
      </c>
    </row>
    <row r="301" spans="1:20" ht="15.75" customHeight="1" x14ac:dyDescent="0.3">
      <c r="A301" s="61" t="s">
        <v>285</v>
      </c>
      <c r="B301" s="1"/>
      <c r="C301" s="1"/>
      <c r="D301" s="1"/>
      <c r="E301" s="59">
        <f t="shared" si="99"/>
        <v>0</v>
      </c>
      <c r="F301" s="1"/>
      <c r="G301" s="1"/>
      <c r="H301" s="1"/>
      <c r="I301" s="59">
        <f t="shared" si="100"/>
        <v>0</v>
      </c>
      <c r="J301" s="1"/>
      <c r="K301" s="1"/>
      <c r="L301" s="1"/>
      <c r="M301" s="59">
        <f t="shared" si="101"/>
        <v>0</v>
      </c>
      <c r="N301" s="1"/>
      <c r="O301" s="1"/>
      <c r="P301" s="1"/>
      <c r="Q301" s="59">
        <f t="shared" si="102"/>
        <v>0</v>
      </c>
      <c r="R301" s="59">
        <f t="shared" si="103"/>
        <v>0</v>
      </c>
    </row>
    <row r="302" spans="1:20" ht="15.75" customHeight="1" x14ac:dyDescent="0.3">
      <c r="A302" s="17" t="s">
        <v>66</v>
      </c>
      <c r="B302" s="1"/>
      <c r="C302" s="1"/>
      <c r="D302" s="1"/>
      <c r="E302" s="59" t="s">
        <v>7</v>
      </c>
      <c r="F302" s="1"/>
      <c r="G302" s="1"/>
      <c r="H302" s="1"/>
      <c r="I302" s="59" t="s">
        <v>7</v>
      </c>
      <c r="J302" s="1"/>
      <c r="K302" s="1"/>
      <c r="L302" s="1"/>
      <c r="M302" s="59" t="s">
        <v>7</v>
      </c>
      <c r="N302" s="1"/>
      <c r="O302" s="1"/>
      <c r="P302" s="1"/>
      <c r="Q302" s="59" t="s">
        <v>7</v>
      </c>
      <c r="R302" s="59" t="s">
        <v>7</v>
      </c>
    </row>
    <row r="303" spans="1:20" ht="15.75" customHeight="1" x14ac:dyDescent="0.3">
      <c r="A303" s="99" t="s">
        <v>286</v>
      </c>
      <c r="B303" s="1"/>
      <c r="C303" s="1"/>
      <c r="D303" s="1"/>
      <c r="E303" s="59">
        <f t="shared" ref="E303" si="104">SUM(B303:D303)</f>
        <v>0</v>
      </c>
      <c r="F303" s="1"/>
      <c r="G303" s="1"/>
      <c r="H303" s="1"/>
      <c r="I303" s="59">
        <f t="shared" ref="I303" si="105">SUM(F303:H303)</f>
        <v>0</v>
      </c>
      <c r="J303" s="1"/>
      <c r="K303" s="1"/>
      <c r="L303" s="1"/>
      <c r="M303" s="59">
        <f t="shared" ref="M303" si="106">SUM(J303:L303)</f>
        <v>0</v>
      </c>
      <c r="N303" s="1"/>
      <c r="O303" s="1"/>
      <c r="P303" s="1"/>
      <c r="Q303" s="59">
        <f t="shared" ref="Q303" si="107">SUM(N303:P303)</f>
        <v>0</v>
      </c>
      <c r="R303" s="59">
        <f t="shared" ref="R303" si="108">+E303+I303+M303+Q303</f>
        <v>0</v>
      </c>
    </row>
    <row r="304" spans="1:20" ht="15.75" customHeight="1" x14ac:dyDescent="0.3">
      <c r="A304" s="17" t="s">
        <v>67</v>
      </c>
      <c r="B304" s="1"/>
      <c r="C304" s="1"/>
      <c r="D304" s="1"/>
      <c r="E304" s="59" t="s">
        <v>7</v>
      </c>
      <c r="F304" s="1"/>
      <c r="G304" s="1"/>
      <c r="H304" s="1"/>
      <c r="I304" s="59" t="s">
        <v>7</v>
      </c>
      <c r="J304" s="1"/>
      <c r="K304" s="1"/>
      <c r="L304" s="1"/>
      <c r="M304" s="59" t="s">
        <v>7</v>
      </c>
      <c r="N304" s="1"/>
      <c r="O304" s="1"/>
      <c r="P304" s="1"/>
      <c r="Q304" s="59" t="s">
        <v>7</v>
      </c>
      <c r="R304" s="59" t="s">
        <v>7</v>
      </c>
    </row>
    <row r="305" spans="1:20" ht="15.75" customHeight="1" thickBot="1" x14ac:dyDescent="0.35">
      <c r="A305" s="74" t="s">
        <v>287</v>
      </c>
      <c r="B305" s="1"/>
      <c r="C305" s="1"/>
      <c r="D305" s="1"/>
      <c r="E305" s="59">
        <f t="shared" ref="E305" si="109">SUM(B305:D305)</f>
        <v>0</v>
      </c>
      <c r="F305" s="1"/>
      <c r="G305" s="1"/>
      <c r="H305" s="1"/>
      <c r="I305" s="59">
        <f t="shared" ref="I305:I314" si="110">SUM(F305:H305)</f>
        <v>0</v>
      </c>
      <c r="J305" s="1"/>
      <c r="K305" s="1"/>
      <c r="L305" s="1"/>
      <c r="M305" s="59">
        <f t="shared" ref="M305:M314" si="111">SUM(J305:L305)</f>
        <v>0</v>
      </c>
      <c r="N305" s="1"/>
      <c r="O305" s="1"/>
      <c r="P305" s="1"/>
      <c r="Q305" s="59">
        <f t="shared" ref="Q305:Q314" si="112">SUM(N305:P305)</f>
        <v>0</v>
      </c>
      <c r="R305" s="59">
        <f t="shared" ref="R305:R314" si="113">+E305+I305+M305+Q305</f>
        <v>0</v>
      </c>
      <c r="S305" s="4" t="s">
        <v>136</v>
      </c>
    </row>
    <row r="306" spans="1:20" ht="16.5" customHeight="1" thickBot="1" x14ac:dyDescent="0.35">
      <c r="A306" s="62" t="s">
        <v>68</v>
      </c>
      <c r="B306" s="63">
        <f>SUM(B302:B305)</f>
        <v>0</v>
      </c>
      <c r="C306" s="63">
        <f>SUM(C302:C305)</f>
        <v>0</v>
      </c>
      <c r="D306" s="63">
        <f>SUM(D302:D305)</f>
        <v>0</v>
      </c>
      <c r="E306" s="334">
        <f t="shared" ref="E306:E311" si="114">SUM(B306:D306)</f>
        <v>0</v>
      </c>
      <c r="F306" s="63">
        <f>SUM(F302:F305)</f>
        <v>0</v>
      </c>
      <c r="G306" s="63">
        <f>SUM(G302:G305)</f>
        <v>0</v>
      </c>
      <c r="H306" s="63">
        <f>SUM(H302:H305)</f>
        <v>0</v>
      </c>
      <c r="I306" s="334">
        <f t="shared" si="110"/>
        <v>0</v>
      </c>
      <c r="J306" s="63">
        <f>SUM(J302:J305)</f>
        <v>0</v>
      </c>
      <c r="K306" s="63">
        <f>SUM(K302:K305)</f>
        <v>0</v>
      </c>
      <c r="L306" s="63">
        <f>SUM(L302:L305)</f>
        <v>0</v>
      </c>
      <c r="M306" s="334">
        <f t="shared" si="111"/>
        <v>0</v>
      </c>
      <c r="N306" s="63">
        <f>SUM(N302:N305)</f>
        <v>0</v>
      </c>
      <c r="O306" s="63">
        <f>SUM(O302:O305)</f>
        <v>0</v>
      </c>
      <c r="P306" s="63">
        <f>SUM(P302:P305)</f>
        <v>0</v>
      </c>
      <c r="Q306" s="334">
        <f t="shared" si="112"/>
        <v>0</v>
      </c>
      <c r="R306" s="64">
        <f t="shared" si="113"/>
        <v>0</v>
      </c>
    </row>
    <row r="307" spans="1:20" ht="16.5" customHeight="1" thickBot="1" x14ac:dyDescent="0.35">
      <c r="A307" s="62" t="s">
        <v>69</v>
      </c>
      <c r="B307" s="100">
        <f>SUM(B288:B305)</f>
        <v>0</v>
      </c>
      <c r="C307" s="101">
        <f>SUM(C288:C305)</f>
        <v>0</v>
      </c>
      <c r="D307" s="101">
        <f>SUM(D288:D305)</f>
        <v>0</v>
      </c>
      <c r="E307" s="64">
        <f t="shared" si="114"/>
        <v>0</v>
      </c>
      <c r="F307" s="101">
        <f>SUM(F288:F305)</f>
        <v>0</v>
      </c>
      <c r="G307" s="101">
        <f>SUM(G288:G305)</f>
        <v>0</v>
      </c>
      <c r="H307" s="101">
        <f>SUM(H288:H305)</f>
        <v>0</v>
      </c>
      <c r="I307" s="64">
        <f t="shared" si="110"/>
        <v>0</v>
      </c>
      <c r="J307" s="101">
        <f>SUM(J288:J305)</f>
        <v>0</v>
      </c>
      <c r="K307" s="101">
        <f>SUM(K288:K305)</f>
        <v>0</v>
      </c>
      <c r="L307" s="101">
        <f>SUM(L288:L305)</f>
        <v>0</v>
      </c>
      <c r="M307" s="64">
        <f t="shared" si="111"/>
        <v>0</v>
      </c>
      <c r="N307" s="101">
        <f>SUM(N288:N305)</f>
        <v>0</v>
      </c>
      <c r="O307" s="101">
        <f>SUM(O288:O305)</f>
        <v>2000</v>
      </c>
      <c r="P307" s="101">
        <f>SUM(P288:P305)</f>
        <v>1300</v>
      </c>
      <c r="Q307" s="64">
        <f t="shared" si="112"/>
        <v>3300</v>
      </c>
      <c r="R307" s="64">
        <f t="shared" si="113"/>
        <v>3300</v>
      </c>
    </row>
    <row r="308" spans="1:20" ht="16.5" customHeight="1" thickBot="1" x14ac:dyDescent="0.35">
      <c r="A308" s="62" t="s">
        <v>70</v>
      </c>
      <c r="B308" s="107">
        <f>+B212+B219+B287+B307</f>
        <v>17547</v>
      </c>
      <c r="C308" s="63">
        <f>+C212+C219+C287+C307</f>
        <v>19475</v>
      </c>
      <c r="D308" s="63">
        <f>+D212+D219+D287+D307</f>
        <v>25256</v>
      </c>
      <c r="E308" s="88">
        <f t="shared" si="114"/>
        <v>62278</v>
      </c>
      <c r="F308" s="63">
        <f>+F212+F219+F287+F307</f>
        <v>30906</v>
      </c>
      <c r="G308" s="63">
        <f>+G212+G219+G287+G307</f>
        <v>40525</v>
      </c>
      <c r="H308" s="63">
        <f>+H212+H219+H287+H307</f>
        <v>51330</v>
      </c>
      <c r="I308" s="88">
        <f t="shared" si="110"/>
        <v>122761</v>
      </c>
      <c r="J308" s="63">
        <f>+J212+J219+J287+J307</f>
        <v>51069</v>
      </c>
      <c r="K308" s="63">
        <f>+K212+K219+K287+K307</f>
        <v>49956</v>
      </c>
      <c r="L308" s="63">
        <f>+L212+L219+L287+L307</f>
        <v>40634</v>
      </c>
      <c r="M308" s="88">
        <f t="shared" si="111"/>
        <v>141659</v>
      </c>
      <c r="N308" s="63">
        <f>+N212+N219+N287+N307</f>
        <v>26773</v>
      </c>
      <c r="O308" s="63">
        <f>+O212+O219+O287+O307</f>
        <v>16315</v>
      </c>
      <c r="P308" s="63">
        <f>+P212+P219+P287+P307</f>
        <v>12306</v>
      </c>
      <c r="Q308" s="88">
        <f t="shared" si="112"/>
        <v>55394</v>
      </c>
      <c r="R308" s="88">
        <f t="shared" si="113"/>
        <v>382092</v>
      </c>
    </row>
    <row r="309" spans="1:20" ht="15.75" customHeight="1" x14ac:dyDescent="0.3">
      <c r="A309" s="102" t="s">
        <v>288</v>
      </c>
      <c r="B309" s="1">
        <v>0</v>
      </c>
      <c r="C309" s="1">
        <v>55</v>
      </c>
      <c r="D309" s="1">
        <v>1056</v>
      </c>
      <c r="E309" s="59">
        <f t="shared" si="114"/>
        <v>1111</v>
      </c>
      <c r="F309" s="1">
        <v>1915</v>
      </c>
      <c r="G309" s="1">
        <v>2784</v>
      </c>
      <c r="H309" s="1">
        <v>2521</v>
      </c>
      <c r="I309" s="59">
        <f t="shared" si="110"/>
        <v>7220</v>
      </c>
      <c r="J309" s="1">
        <v>2267</v>
      </c>
      <c r="K309" s="1">
        <v>2783</v>
      </c>
      <c r="L309" s="1">
        <v>1859</v>
      </c>
      <c r="M309" s="59">
        <f t="shared" si="111"/>
        <v>6909</v>
      </c>
      <c r="N309" s="1">
        <v>2787</v>
      </c>
      <c r="O309" s="1">
        <v>2962</v>
      </c>
      <c r="P309" s="1">
        <v>659</v>
      </c>
      <c r="Q309" s="59">
        <f t="shared" si="112"/>
        <v>6408</v>
      </c>
      <c r="R309" s="59">
        <f t="shared" si="113"/>
        <v>21648</v>
      </c>
      <c r="T309" s="4" t="s">
        <v>121</v>
      </c>
    </row>
    <row r="310" spans="1:20" ht="15.75" customHeight="1" x14ac:dyDescent="0.3">
      <c r="A310" s="108" t="s">
        <v>289</v>
      </c>
      <c r="B310" s="1"/>
      <c r="C310" s="1"/>
      <c r="D310" s="1">
        <v>-2608</v>
      </c>
      <c r="E310" s="59">
        <f t="shared" si="114"/>
        <v>-2608</v>
      </c>
      <c r="F310" s="1">
        <v>2028</v>
      </c>
      <c r="G310" s="1">
        <v>3526</v>
      </c>
      <c r="H310" s="1">
        <v>80</v>
      </c>
      <c r="I310" s="59">
        <f t="shared" si="110"/>
        <v>5634</v>
      </c>
      <c r="J310" s="1">
        <v>-3173</v>
      </c>
      <c r="K310" s="1">
        <v>-8011</v>
      </c>
      <c r="L310" s="1">
        <v>-1070</v>
      </c>
      <c r="M310" s="59">
        <f t="shared" si="111"/>
        <v>-12254</v>
      </c>
      <c r="N310" s="1">
        <v>2064</v>
      </c>
      <c r="O310" s="1">
        <v>-6509</v>
      </c>
      <c r="P310" s="1">
        <v>-2166</v>
      </c>
      <c r="Q310" s="59">
        <f t="shared" si="112"/>
        <v>-6611</v>
      </c>
      <c r="R310" s="59">
        <f t="shared" si="113"/>
        <v>-15839</v>
      </c>
    </row>
    <row r="311" spans="1:20" ht="15.75" customHeight="1" x14ac:dyDescent="0.3">
      <c r="A311" s="74" t="s">
        <v>290</v>
      </c>
      <c r="B311" s="1"/>
      <c r="C311" s="1"/>
      <c r="D311" s="1"/>
      <c r="E311" s="59">
        <f t="shared" si="114"/>
        <v>0</v>
      </c>
      <c r="F311" s="1"/>
      <c r="G311" s="1"/>
      <c r="H311" s="1"/>
      <c r="I311" s="59">
        <f t="shared" si="110"/>
        <v>0</v>
      </c>
      <c r="J311" s="1"/>
      <c r="K311" s="1"/>
      <c r="L311" s="1"/>
      <c r="M311" s="59">
        <f t="shared" si="111"/>
        <v>0</v>
      </c>
      <c r="N311" s="1"/>
      <c r="O311" s="1"/>
      <c r="P311" s="1"/>
      <c r="Q311" s="59">
        <f t="shared" si="112"/>
        <v>0</v>
      </c>
      <c r="R311" s="59">
        <f t="shared" si="113"/>
        <v>0</v>
      </c>
    </row>
    <row r="312" spans="1:20" ht="15.75" customHeight="1" x14ac:dyDescent="0.3">
      <c r="A312" s="108" t="s">
        <v>291</v>
      </c>
      <c r="B312" s="1">
        <v>29</v>
      </c>
      <c r="C312" s="1">
        <v>21</v>
      </c>
      <c r="D312" s="1">
        <v>26</v>
      </c>
      <c r="E312" s="59">
        <f>SUM(B312:D312)</f>
        <v>76</v>
      </c>
      <c r="F312" s="1">
        <v>23</v>
      </c>
      <c r="G312" s="1">
        <v>91</v>
      </c>
      <c r="H312" s="1">
        <v>31</v>
      </c>
      <c r="I312" s="59">
        <f>SUM(F312:H312)</f>
        <v>145</v>
      </c>
      <c r="J312" s="1">
        <v>29</v>
      </c>
      <c r="K312" s="1">
        <v>203</v>
      </c>
      <c r="L312" s="1">
        <v>59</v>
      </c>
      <c r="M312" s="59">
        <f>SUM(J312:L312)</f>
        <v>291</v>
      </c>
      <c r="N312" s="1">
        <v>58</v>
      </c>
      <c r="O312" s="1">
        <v>43</v>
      </c>
      <c r="P312" s="1">
        <v>12</v>
      </c>
      <c r="Q312" s="59">
        <f>SUM(N312:P312)</f>
        <v>113</v>
      </c>
      <c r="R312" s="59">
        <f t="shared" si="113"/>
        <v>625</v>
      </c>
    </row>
    <row r="313" spans="1:20" ht="15.75" customHeight="1" x14ac:dyDescent="0.3">
      <c r="A313" s="91" t="s">
        <v>292</v>
      </c>
      <c r="B313" s="1">
        <v>62928</v>
      </c>
      <c r="C313" s="1">
        <v>99729</v>
      </c>
      <c r="D313" s="1">
        <v>62</v>
      </c>
      <c r="E313" s="59">
        <f t="shared" ref="E313" si="115">SUM(B313:D313)</f>
        <v>162719</v>
      </c>
      <c r="F313" s="1">
        <v>11000</v>
      </c>
      <c r="G313" s="1">
        <v>18293</v>
      </c>
      <c r="H313" s="1">
        <v>1475</v>
      </c>
      <c r="I313" s="59">
        <f t="shared" ref="I313" si="116">SUM(F313:H313)</f>
        <v>30768</v>
      </c>
      <c r="J313" s="1"/>
      <c r="K313" s="1">
        <v>29</v>
      </c>
      <c r="L313" s="1">
        <v>31893</v>
      </c>
      <c r="M313" s="59">
        <f t="shared" ref="M313" si="117">SUM(J313:L313)</f>
        <v>31922</v>
      </c>
      <c r="N313" s="1">
        <v>39398</v>
      </c>
      <c r="O313" s="1">
        <v>102175</v>
      </c>
      <c r="P313" s="1">
        <v>25914</v>
      </c>
      <c r="Q313" s="59">
        <f t="shared" si="112"/>
        <v>167487</v>
      </c>
      <c r="R313" s="59">
        <f t="shared" si="113"/>
        <v>392896</v>
      </c>
    </row>
    <row r="314" spans="1:20" ht="16.5" customHeight="1" thickBot="1" x14ac:dyDescent="0.35">
      <c r="A314" s="40" t="s">
        <v>37</v>
      </c>
      <c r="B314" s="25">
        <v>104</v>
      </c>
      <c r="C314" s="25">
        <v>268</v>
      </c>
      <c r="D314" s="25">
        <v>474</v>
      </c>
      <c r="E314" s="59">
        <f>SUM(B314:D314)</f>
        <v>846</v>
      </c>
      <c r="F314" s="25">
        <v>647</v>
      </c>
      <c r="G314" s="25">
        <v>742</v>
      </c>
      <c r="H314" s="25">
        <v>781</v>
      </c>
      <c r="I314" s="59">
        <f t="shared" si="110"/>
        <v>2170</v>
      </c>
      <c r="J314" s="25">
        <v>774</v>
      </c>
      <c r="K314" s="25">
        <v>596</v>
      </c>
      <c r="L314" s="25">
        <v>546</v>
      </c>
      <c r="M314" s="59">
        <f t="shared" si="111"/>
        <v>1916</v>
      </c>
      <c r="N314" s="25">
        <v>517</v>
      </c>
      <c r="O314" s="25">
        <v>413</v>
      </c>
      <c r="P314" s="25">
        <v>302</v>
      </c>
      <c r="Q314" s="59">
        <f t="shared" si="112"/>
        <v>1232</v>
      </c>
      <c r="R314" s="59">
        <f t="shared" si="113"/>
        <v>6164</v>
      </c>
    </row>
    <row r="315" spans="1:20" ht="16.5" customHeight="1" thickBot="1" x14ac:dyDescent="0.35">
      <c r="A315" s="80"/>
      <c r="B315" s="81"/>
      <c r="C315" s="81"/>
      <c r="D315" s="81"/>
      <c r="E315" s="334"/>
      <c r="F315" s="81"/>
      <c r="G315" s="81"/>
      <c r="H315" s="81"/>
      <c r="I315" s="64"/>
      <c r="J315" s="81"/>
      <c r="K315" s="81"/>
      <c r="L315" s="81"/>
      <c r="M315" s="64"/>
      <c r="N315" s="81"/>
      <c r="O315" s="81"/>
      <c r="P315" s="81"/>
      <c r="Q315" s="64"/>
      <c r="R315" s="64" t="s">
        <v>7</v>
      </c>
    </row>
    <row r="316" spans="1:20" ht="15.75" customHeight="1" x14ac:dyDescent="0.3">
      <c r="A316" s="335" t="s">
        <v>38</v>
      </c>
      <c r="B316" s="336">
        <f>SUM(B308:B314)</f>
        <v>80608</v>
      </c>
      <c r="C316" s="336">
        <f>SUM(C308:C314)</f>
        <v>119548</v>
      </c>
      <c r="D316" s="336">
        <f>SUM(D308:D314)</f>
        <v>24266</v>
      </c>
      <c r="E316" s="334">
        <f>SUM(B316:D316)</f>
        <v>224422</v>
      </c>
      <c r="F316" s="336">
        <f>SUM(F308:F314)</f>
        <v>46519</v>
      </c>
      <c r="G316" s="336">
        <f>SUM(G308:G314)</f>
        <v>65961</v>
      </c>
      <c r="H316" s="336">
        <f>SUM(H308:H314)</f>
        <v>56218</v>
      </c>
      <c r="I316" s="334">
        <f>SUM(F316:H316)</f>
        <v>168698</v>
      </c>
      <c r="J316" s="336">
        <f>SUM(J308:J314)</f>
        <v>50966</v>
      </c>
      <c r="K316" s="336">
        <f>SUM(K308:K314)</f>
        <v>45556</v>
      </c>
      <c r="L316" s="336">
        <f>SUM(L308:L314)</f>
        <v>73921</v>
      </c>
      <c r="M316" s="334">
        <f>SUM(J316:L316)</f>
        <v>170443</v>
      </c>
      <c r="N316" s="336">
        <f>SUM(N308:N314)</f>
        <v>71597</v>
      </c>
      <c r="O316" s="336">
        <f>SUM(O308:O314)</f>
        <v>115399</v>
      </c>
      <c r="P316" s="336">
        <f>SUM(P308:P314)</f>
        <v>37027</v>
      </c>
      <c r="Q316" s="337">
        <f>SUM(N316:P316)</f>
        <v>224023</v>
      </c>
      <c r="R316" s="334">
        <f>+E316+I316+M316+Q316</f>
        <v>787586</v>
      </c>
    </row>
    <row r="317" spans="1:20" ht="15.75" customHeight="1" x14ac:dyDescent="0.3">
      <c r="A317" s="85" t="s">
        <v>39</v>
      </c>
      <c r="B317" s="1">
        <f>(B316/B10)/1.983</f>
        <v>1311.2748686415175</v>
      </c>
      <c r="C317" s="1">
        <f>(C316/C10)/1.983</f>
        <v>2153.0869533895252</v>
      </c>
      <c r="D317" s="1">
        <f>(D316/D10)/1.983</f>
        <v>394.74240723569693</v>
      </c>
      <c r="E317" s="59" t="s">
        <v>7</v>
      </c>
      <c r="F317" s="1">
        <f>(F316/F10)/1.983</f>
        <v>781.96335518574551</v>
      </c>
      <c r="G317" s="1">
        <f>(G316/G10)/1.983</f>
        <v>1073.0076619003466</v>
      </c>
      <c r="H317" s="1">
        <f>(H316/H10)/1.983</f>
        <v>944.99915952260881</v>
      </c>
      <c r="I317" s="59" t="s">
        <v>7</v>
      </c>
      <c r="J317" s="1">
        <f>(J316/J10)/1.983</f>
        <v>829.07943324711653</v>
      </c>
      <c r="K317" s="1">
        <f>(K316/K10)/1.983</f>
        <v>741.0733167406828</v>
      </c>
      <c r="L317" s="1">
        <f>(L316/L10)/1.983</f>
        <v>1242.5785846360732</v>
      </c>
      <c r="M317" s="59" t="s">
        <v>7</v>
      </c>
      <c r="N317" s="1">
        <f>(N316/N10)/1.983</f>
        <v>1164.6901891887494</v>
      </c>
      <c r="O317" s="1">
        <f>(O316/O10)/1.983</f>
        <v>1939.8050092452511</v>
      </c>
      <c r="P317" s="1">
        <f>(P316/P10)/1.983</f>
        <v>602.32947798220357</v>
      </c>
      <c r="Q317" s="110" t="s">
        <v>7</v>
      </c>
      <c r="R317" s="59" t="s">
        <v>7</v>
      </c>
    </row>
    <row r="318" spans="1:20" ht="15.75" customHeight="1" x14ac:dyDescent="0.3">
      <c r="A318" s="85" t="s">
        <v>293</v>
      </c>
      <c r="B318" s="1">
        <f>(+B316+B492)+B325</f>
        <v>86481</v>
      </c>
      <c r="C318" s="1">
        <f>(+C316+C492)+C325</f>
        <v>150606</v>
      </c>
      <c r="D318" s="1">
        <f>(+D316+D492)+D325</f>
        <v>80155</v>
      </c>
      <c r="E318" s="59">
        <f>SUM(B318:D318)</f>
        <v>317242</v>
      </c>
      <c r="F318" s="1">
        <f>(+F316+F492)+F325</f>
        <v>142087</v>
      </c>
      <c r="G318" s="1">
        <f>(+G316+G492)+G325</f>
        <v>146904</v>
      </c>
      <c r="H318" s="1">
        <f>(+H316+H492)+H325</f>
        <v>99323</v>
      </c>
      <c r="I318" s="59">
        <f>SUM(F318:H318)</f>
        <v>388314</v>
      </c>
      <c r="J318" s="1">
        <f>(+J316+J492)+J325</f>
        <v>89070</v>
      </c>
      <c r="K318" s="1">
        <f>(+K316+K492)+K325</f>
        <v>95102</v>
      </c>
      <c r="L318" s="1">
        <f>(+L316+L492)+L325</f>
        <v>154021</v>
      </c>
      <c r="M318" s="59">
        <f>SUM(J318:L318)</f>
        <v>338193</v>
      </c>
      <c r="N318" s="1">
        <f>(+N316+N492)+N325</f>
        <v>143800</v>
      </c>
      <c r="O318" s="1">
        <f>(+O316+O492)+O325</f>
        <v>120073</v>
      </c>
      <c r="P318" s="1">
        <f>(+P316+P492)+P325</f>
        <v>70376</v>
      </c>
      <c r="Q318" s="110">
        <f>SUM(N318:P318)</f>
        <v>334249</v>
      </c>
      <c r="R318" s="59">
        <f>+E318+I318+M318+Q318</f>
        <v>1377998</v>
      </c>
    </row>
    <row r="319" spans="1:20" ht="16.5" customHeight="1" thickBot="1" x14ac:dyDescent="0.35">
      <c r="A319" s="86" t="s">
        <v>294</v>
      </c>
      <c r="B319" s="87">
        <f>(B318/B10)/1.983</f>
        <v>1406.8127470596846</v>
      </c>
      <c r="C319" s="87">
        <f>(C318/C10)/1.983</f>
        <v>2712.4486708450399</v>
      </c>
      <c r="D319" s="87">
        <f>(D318/D10)/1.983</f>
        <v>1303.9057797732337</v>
      </c>
      <c r="E319" s="88" t="s">
        <v>7</v>
      </c>
      <c r="F319" s="87">
        <f>(F318/F10)/1.983</f>
        <v>2388.4182215498404</v>
      </c>
      <c r="G319" s="87">
        <f>(G318/G10)/1.983</f>
        <v>2389.7320774974378</v>
      </c>
      <c r="H319" s="87">
        <f>(H318/H10)/1.983</f>
        <v>1669.5747184400741</v>
      </c>
      <c r="I319" s="88" t="s">
        <v>7</v>
      </c>
      <c r="J319" s="87">
        <f>(J318/J10)/1.983</f>
        <v>1448.9287980088818</v>
      </c>
      <c r="K319" s="87">
        <f>(K318/K10)/1.983</f>
        <v>1547.0531778179038</v>
      </c>
      <c r="L319" s="87">
        <f>(L318/L10)/1.983</f>
        <v>2589.0233652714742</v>
      </c>
      <c r="M319" s="88" t="s">
        <v>7</v>
      </c>
      <c r="N319" s="87">
        <f>(N318/N10)/1.983</f>
        <v>2339.2383648105674</v>
      </c>
      <c r="O319" s="87">
        <f>(O318/O10)/1.983</f>
        <v>2018.3728357707178</v>
      </c>
      <c r="P319" s="87">
        <f>(P318/P10)/1.983</f>
        <v>1144.8278105835082</v>
      </c>
      <c r="Q319" s="111" t="s">
        <v>7</v>
      </c>
      <c r="R319" s="88" t="s">
        <v>7</v>
      </c>
    </row>
    <row r="320" spans="1:20" ht="16.5" customHeight="1" thickBot="1" x14ac:dyDescent="0.35">
      <c r="A320" s="112" t="s">
        <v>295</v>
      </c>
      <c r="B320" s="113">
        <f>+(B318-(B141+B142+B143+B144+B147+B149+B150+B153+B154+B155+B159+B161++B167+B168+B169+B171+B172+B174+B175+B176+B177+B178+B182+B190+B191+B192+B203+B206+B208+B209+B216+B223+B224+B226+B227+B228+B234+B241+B243+B244+B245+B246+B248+B249+B250+B251+B259+B268+B269+B272+B291+B292+B294+B295+B298+B299+B303+B309+B313+B321)-B325)/(B10*1.983)</f>
        <v>677.61456249084961</v>
      </c>
      <c r="C320" s="113">
        <f>+(C318-(C141+C142+C143+C144+C147+C149+C150+C153+C154+C155+C159+C161++C167+C168+C169+C171+C172+C174+C175+C176+C177+C178+C182+C190+C191+C192+C203+C206+C208+C209+C216+C223+C224+C226+C227+C228+C234+C241+C243+C244+C245+C246+C248+C249+C250+C251+C259+C268+C269+C272+C291+C292+C294+C295+C298+C299+C303+C309+C313+C321)-C325)/(C10*1.983)</f>
        <v>875.38721994092646</v>
      </c>
      <c r="D320" s="113">
        <f>+(D318-(D141+D142+D143+D144+D147+D149+D150+D153+D154+D155+D159+D161++D167+D168+D169+D171+D172+D174+D175+D176+D177+D178+D182+D190+D191+D192+D203+D206+D208+D209+D216+D223+D224+D226+D227+D228+D234+D241+D243+D244+D245+D246+D248+D249+D250+D251+D259+D268+D269+D272+D291+D292+D294+D295+D298+D299+D303+D309+D313+D321)-D325)/(D10*1.983)</f>
        <v>1193.9388024010541</v>
      </c>
      <c r="E320" s="114"/>
      <c r="F320" s="113">
        <f>+(F318-(F141+F142+F143+F144+F147+F149+F150+F153+F154+F155+F159+F161++F167+F168+F169+F171+F172+F174+F175+F176+F177+F178+F182+F190+F191+F192+F203+F206+F208+F209+F216+F223+F224+F226+F227+F228+F234+F241+F243+F244+F245+F246+F248+F249+F250+F251+F259+F268+F269+F272+F291+F292+F294+F295+F298+F299+F303+F309+F313+F321)-F325)/(F10*1.983)</f>
        <v>2283.0055471507817</v>
      </c>
      <c r="G320" s="113">
        <f>+(G318-(G141+G142+G143+G144+G147+G149+G150+G153+G154+G155+G159+G161++G167+G168+G169+G171+G172+G174+G175+G176+G177+G178+G182+G190+G191+G192+G203+G206+G208+G209+G216+G223+G224+G226+G227+G228+G234+G241+G243+G244+G245+G246+G248+G249+G250+G251+G259+G268+G269+G272+G291+G292+G294+G295+G298+G299+G303+G309+G313+G321)-G325)/(G10*1.983)</f>
        <v>2175.0849966652022</v>
      </c>
      <c r="H320" s="113">
        <f>+(H318-(H141+H142+H143+H144+H147+H149+H150+H153+H154+H155+H159+H161++H167+H168+H169+H171+H172+H174+H175+H176+H177+H178+H182+H190+H191+H192+H203+H206+H208+H209+H216+H223+H224+H226+H227+H228+H234+H241+H243+H244+H245+H246+H248+H249+H250+H251+H259+H268+H269+H272+H291+H292+H294+H295+H298+H299+H303+H309+H313+H321)-H325)/(H10*1.983)</f>
        <v>2805.6648176164058</v>
      </c>
      <c r="I320" s="114"/>
      <c r="J320" s="113">
        <f>+(J318-(J141+J142+J143+J144+J147+J149+J150+J153+J154+J155+J159+J161++J167+J168+J169+J171+J172+J174+J175+J176+J177+J178+J182+J190+J191+J192+J203+J206+J208+J209+J216+J223+J224+J226+J227+J228+J234+J241+J243+J244+J245+J246+J248+J249+J250+J251+J259+J268+J269+J272+J291+J292+J294+J295+J298+J299+J303+J309+J313+J321)-J325)/(J10*1.983)</f>
        <v>2743.6110162185023</v>
      </c>
      <c r="K320" s="113">
        <f>+(K318-(K141+K142+K143+K144+K147+K149+K150+K153+K154+K155+K159+K161++K167+K168+K169+K171+K172+K174+K175+K176+K177+K178+K182+K190+K191+K192+K203+K206+K208+K209+K216+K223+K224+K226+K227+K228+K234+K241+K243+K244+K245+K246+K248+K249+K250+K251+K259+K268+K269+K272+K291+K292+K294+K295+K298+K299+K303+K309+K313+K321)-K325)/(K10*1.983)</f>
        <v>2579.3600442470674</v>
      </c>
      <c r="L320" s="113">
        <f>+(L318-(L141+L142+L143+L144+L147+L149+L150+L153+L154+L155+L159+L161++L167+L168+L169+L171+L172+L174+L175+L176+L177+L178+L182+L190+L191+L192+L203+L206+L208+L209+L216+L223+L224+L226+L227+L228+L234+L241+L243+L244+L245+L246+L248+L249+L250+L251+L259+L268+L269+L272+L291+L292+L294+L295+L298+L299+L303+L309+L313+L321)-L325)/(L10*1.983)</f>
        <v>1910.0016809547822</v>
      </c>
      <c r="M320" s="114"/>
      <c r="N320" s="113">
        <f>+(N318-(N141+N142+N143+N144+N147+N149+N150+N153+N154+N155+N159+N161++N167+N168+N169+N171+N172+N174+N175+N176+N177+N178+N182+N190+N191+N192+N203+N206+N208+N209+N216+N223+N224+N226+N227+N228+N234+N241+N243+N244+N245+N246+N248+N249+N250+N251+N259+N268+N269+N272+N291+N292+N294+N295+N298+N299+N303+N309+N313+N321)-N325)/(N10*1.983)</f>
        <v>1547.6876026873585</v>
      </c>
      <c r="O320" s="113">
        <f>+(O318-(O141+O142+O143+O144+O147+O149+O150+O153+O154+O155+O159+O161++O167+O168+O169+O171+O172+O174+O175+O176+O177+O178+O182+O190+O191+O192+O203+O206+O208+O209+O216+O223+O224+O226+O227+O228+O234+O241+O243+O244+O245+O246+O248+O249+O250+O251+O259+O268+O269+O272+O291+O292+O294+O295+O298+O299+O303+O309+O313+O321)-O325)/(O10*1.983)</f>
        <v>150.07564296520422</v>
      </c>
      <c r="P320" s="113">
        <f>+(P318-(P141+P142+P143+P144+P147+P149+P150+P153+P154+P155+P159+P161++P167+P168+P169+P171+P172+P174+P175+P176+P177+P178+P182+P190+P191+P192+P203+P206+P208+P209+P216+P223+P224+P226+P227+P228+P234+P241+P243+P244+P245+P246+P248+P249+P250+P251+P259+P268+P269+P272+P291+P292+P294+P295+P298+P299+P303+P309+P313+P321)-P325)/(P10*1.983)</f>
        <v>547.13451433962871</v>
      </c>
      <c r="Q320" s="115"/>
      <c r="R320" s="114"/>
    </row>
    <row r="321" spans="1:20" ht="15.75" customHeight="1" x14ac:dyDescent="0.3">
      <c r="A321" s="116" t="s">
        <v>296</v>
      </c>
      <c r="B321" s="1"/>
      <c r="C321" s="1"/>
      <c r="D321" s="1"/>
      <c r="E321" s="1"/>
      <c r="F321" s="1"/>
      <c r="G321" s="1"/>
      <c r="H321" s="1"/>
      <c r="I321" s="1"/>
      <c r="J321" s="1"/>
      <c r="K321" s="1"/>
      <c r="L321" s="1"/>
      <c r="M321" s="1"/>
      <c r="N321" s="1"/>
      <c r="O321" s="1"/>
      <c r="P321" s="1"/>
      <c r="Q321" s="1"/>
      <c r="R321" s="28"/>
    </row>
    <row r="322" spans="1:20" ht="15.75" customHeight="1" thickBot="1" x14ac:dyDescent="0.35">
      <c r="A322" s="30"/>
      <c r="B322" s="1"/>
      <c r="C322" s="1"/>
      <c r="D322" s="1"/>
      <c r="E322" s="1"/>
      <c r="F322" s="1"/>
      <c r="G322" s="1"/>
      <c r="H322" s="1"/>
      <c r="I322" s="1"/>
      <c r="J322" s="1"/>
      <c r="K322" s="1"/>
      <c r="L322" s="1"/>
      <c r="M322" s="1"/>
      <c r="N322" s="1"/>
      <c r="O322" s="1"/>
      <c r="P322" s="1"/>
      <c r="Q322" s="1"/>
      <c r="R322" s="28"/>
    </row>
    <row r="323" spans="1:20" ht="16.5" customHeight="1" thickBot="1" x14ac:dyDescent="0.35">
      <c r="A323" s="31" t="s">
        <v>297</v>
      </c>
      <c r="B323" s="323" t="s">
        <v>36</v>
      </c>
      <c r="C323" s="324" t="s">
        <v>9</v>
      </c>
      <c r="D323" s="324" t="s">
        <v>10</v>
      </c>
      <c r="E323" s="325" t="s">
        <v>11</v>
      </c>
      <c r="F323" s="324" t="s">
        <v>12</v>
      </c>
      <c r="G323" s="324" t="s">
        <v>13</v>
      </c>
      <c r="H323" s="324" t="s">
        <v>14</v>
      </c>
      <c r="I323" s="34" t="s">
        <v>15</v>
      </c>
      <c r="J323" s="324" t="s">
        <v>16</v>
      </c>
      <c r="K323" s="324" t="s">
        <v>17</v>
      </c>
      <c r="L323" s="324" t="s">
        <v>18</v>
      </c>
      <c r="M323" s="34" t="s">
        <v>19</v>
      </c>
      <c r="N323" s="324" t="s">
        <v>20</v>
      </c>
      <c r="O323" s="324" t="s">
        <v>21</v>
      </c>
      <c r="P323" s="324" t="s">
        <v>22</v>
      </c>
      <c r="Q323" s="34" t="s">
        <v>23</v>
      </c>
      <c r="R323" s="326" t="s">
        <v>24</v>
      </c>
    </row>
    <row r="324" spans="1:20" ht="16.5" customHeight="1" thickBot="1" x14ac:dyDescent="0.35">
      <c r="A324" s="80"/>
      <c r="B324" s="81"/>
      <c r="C324" s="81"/>
      <c r="D324" s="81"/>
      <c r="E324" s="89"/>
      <c r="F324" s="81"/>
      <c r="G324" s="81"/>
      <c r="H324" s="81"/>
      <c r="I324" s="89"/>
      <c r="J324" s="81"/>
      <c r="K324" s="81"/>
      <c r="L324" s="81"/>
      <c r="M324" s="89"/>
      <c r="N324" s="81"/>
      <c r="O324" s="81"/>
      <c r="P324" s="81"/>
      <c r="Q324" s="89"/>
      <c r="R324" s="117"/>
    </row>
    <row r="325" spans="1:20" ht="15.75" customHeight="1" thickBot="1" x14ac:dyDescent="0.35">
      <c r="A325" s="74" t="s">
        <v>298</v>
      </c>
      <c r="B325" s="1">
        <v>-18404</v>
      </c>
      <c r="C325" s="1"/>
      <c r="D325" s="1">
        <v>-127</v>
      </c>
      <c r="E325" s="59">
        <f>SUM(B325:D325)</f>
        <v>-18531</v>
      </c>
      <c r="F325" s="1">
        <v>-13494</v>
      </c>
      <c r="G325" s="1">
        <v>-15508</v>
      </c>
      <c r="H325" s="1">
        <v>-84160</v>
      </c>
      <c r="I325" s="59">
        <f>SUM(F325:H325)</f>
        <v>-113162</v>
      </c>
      <c r="J325" s="1">
        <v>-93396</v>
      </c>
      <c r="K325" s="1">
        <v>-75286</v>
      </c>
      <c r="L325" s="1"/>
      <c r="M325" s="59">
        <f>SUM(J325:L325)</f>
        <v>-168682</v>
      </c>
      <c r="N325" s="1"/>
      <c r="O325" s="1">
        <v>-1783</v>
      </c>
      <c r="P325" s="1"/>
      <c r="Q325" s="59">
        <f>SUM(N325:P325)</f>
        <v>-1783</v>
      </c>
      <c r="R325" s="59">
        <f>+E325+I325+M325+Q325</f>
        <v>-302158</v>
      </c>
    </row>
    <row r="326" spans="1:20" ht="16.5" customHeight="1" thickBot="1" x14ac:dyDescent="0.35">
      <c r="A326" s="338"/>
      <c r="B326" s="339"/>
      <c r="C326" s="339"/>
      <c r="D326" s="339"/>
      <c r="E326" s="340"/>
      <c r="F326" s="339"/>
      <c r="G326" s="339"/>
      <c r="H326" s="339"/>
      <c r="I326" s="340"/>
      <c r="J326" s="339"/>
      <c r="K326" s="339"/>
      <c r="L326" s="339"/>
      <c r="M326" s="340"/>
      <c r="N326" s="339"/>
      <c r="O326" s="339"/>
      <c r="P326" s="339"/>
      <c r="Q326" s="340"/>
      <c r="R326" s="341"/>
    </row>
    <row r="327" spans="1:20" ht="15.75" customHeight="1" x14ac:dyDescent="0.3">
      <c r="A327" s="17" t="s">
        <v>32</v>
      </c>
      <c r="B327" s="1">
        <f>B325</f>
        <v>-18404</v>
      </c>
      <c r="C327" s="1">
        <f>C325</f>
        <v>0</v>
      </c>
      <c r="D327" s="1">
        <f>D325</f>
        <v>-127</v>
      </c>
      <c r="E327" s="59">
        <f>SUM(B327:D327)</f>
        <v>-18531</v>
      </c>
      <c r="F327" s="1">
        <f>F325</f>
        <v>-13494</v>
      </c>
      <c r="G327" s="1">
        <f>G325</f>
        <v>-15508</v>
      </c>
      <c r="H327" s="1">
        <f>H325</f>
        <v>-84160</v>
      </c>
      <c r="I327" s="59">
        <f>SUM(F327:H327)</f>
        <v>-113162</v>
      </c>
      <c r="J327" s="1">
        <f>J325</f>
        <v>-93396</v>
      </c>
      <c r="K327" s="1">
        <f>K325</f>
        <v>-75286</v>
      </c>
      <c r="L327" s="1">
        <f>L325</f>
        <v>0</v>
      </c>
      <c r="M327" s="59">
        <f>SUM(J327:L327)</f>
        <v>-168682</v>
      </c>
      <c r="N327" s="1">
        <f>N325</f>
        <v>0</v>
      </c>
      <c r="O327" s="1">
        <f>O325</f>
        <v>-1783</v>
      </c>
      <c r="P327" s="1">
        <f>P325</f>
        <v>0</v>
      </c>
      <c r="Q327" s="59">
        <f>SUM(N327:P327)</f>
        <v>-1783</v>
      </c>
      <c r="R327" s="122">
        <f>R325</f>
        <v>-302158</v>
      </c>
    </row>
    <row r="328" spans="1:20" ht="16.5" customHeight="1" thickBot="1" x14ac:dyDescent="0.35">
      <c r="A328" s="24" t="s">
        <v>39</v>
      </c>
      <c r="B328" s="25">
        <f>(B327/B10)/1.983</f>
        <v>-299.38346916532458</v>
      </c>
      <c r="C328" s="25">
        <f>(C327/C10)/1.983</f>
        <v>0</v>
      </c>
      <c r="D328" s="25">
        <f>(D327/D10)/1.983</f>
        <v>-2.0659476518146178</v>
      </c>
      <c r="E328" s="88"/>
      <c r="F328" s="25">
        <f>(F327/F10)/1.983</f>
        <v>-226.82803832576903</v>
      </c>
      <c r="G328" s="25">
        <f>(G327/G10)/1.983</f>
        <v>-252.27335578221332</v>
      </c>
      <c r="H328" s="25">
        <f>(H327/H10)/1.983</f>
        <v>-1414.691544797445</v>
      </c>
      <c r="I328" s="88"/>
      <c r="J328" s="25">
        <f>(J327/J10)/1.983</f>
        <v>-1519.301156605339</v>
      </c>
      <c r="K328" s="25">
        <f>(K327/K10)/1.983</f>
        <v>-1224.7002749174433</v>
      </c>
      <c r="L328" s="25">
        <f>(L327/L10)/1.983</f>
        <v>0</v>
      </c>
      <c r="M328" s="88"/>
      <c r="N328" s="25">
        <f>(N327/N10)/1.983</f>
        <v>0</v>
      </c>
      <c r="O328" s="25">
        <f>(O327/O10)/1.983</f>
        <v>-29.971423768700618</v>
      </c>
      <c r="P328" s="25">
        <f>(P327/P10)/1.983</f>
        <v>0</v>
      </c>
      <c r="Q328" s="88"/>
      <c r="R328" s="117" t="s">
        <v>7</v>
      </c>
    </row>
    <row r="329" spans="1:20" ht="15.75" customHeight="1" x14ac:dyDescent="0.3">
      <c r="A329" s="28"/>
      <c r="B329" s="1"/>
      <c r="C329" s="1"/>
      <c r="D329" s="1"/>
      <c r="E329" s="1"/>
      <c r="F329" s="1"/>
      <c r="G329" s="1"/>
      <c r="H329" s="1"/>
      <c r="I329" s="1"/>
      <c r="J329" s="1"/>
      <c r="K329" s="1"/>
      <c r="L329" s="1"/>
      <c r="M329" s="1"/>
      <c r="N329" s="1"/>
      <c r="O329" s="1"/>
      <c r="P329" s="1"/>
      <c r="Q329" s="1"/>
      <c r="R329" s="28"/>
    </row>
    <row r="330" spans="1:20" ht="16.5" customHeight="1" thickBot="1" x14ac:dyDescent="0.35">
      <c r="A330" s="123"/>
      <c r="B330" s="25"/>
      <c r="C330" s="25"/>
      <c r="D330" s="25"/>
      <c r="E330" s="25"/>
      <c r="F330" s="25"/>
      <c r="G330" s="25"/>
      <c r="H330" s="25"/>
      <c r="I330" s="25"/>
      <c r="J330" s="25"/>
      <c r="K330" s="25"/>
      <c r="L330" s="25"/>
      <c r="M330" s="25"/>
      <c r="N330" s="25"/>
      <c r="O330" s="25"/>
      <c r="P330" s="25"/>
      <c r="Q330" s="25"/>
      <c r="R330" s="123"/>
    </row>
    <row r="331" spans="1:20" ht="16.5" customHeight="1" thickBot="1" x14ac:dyDescent="0.35">
      <c r="A331" s="342" t="s">
        <v>299</v>
      </c>
      <c r="B331" s="323" t="s">
        <v>36</v>
      </c>
      <c r="C331" s="324" t="s">
        <v>9</v>
      </c>
      <c r="D331" s="324" t="s">
        <v>10</v>
      </c>
      <c r="E331" s="325" t="s">
        <v>11</v>
      </c>
      <c r="F331" s="324" t="s">
        <v>12</v>
      </c>
      <c r="G331" s="324" t="s">
        <v>13</v>
      </c>
      <c r="H331" s="324" t="s">
        <v>14</v>
      </c>
      <c r="I331" s="34" t="s">
        <v>15</v>
      </c>
      <c r="J331" s="324" t="s">
        <v>16</v>
      </c>
      <c r="K331" s="324" t="s">
        <v>17</v>
      </c>
      <c r="L331" s="324" t="s">
        <v>18</v>
      </c>
      <c r="M331" s="34" t="s">
        <v>19</v>
      </c>
      <c r="N331" s="324" t="s">
        <v>20</v>
      </c>
      <c r="O331" s="324" t="s">
        <v>21</v>
      </c>
      <c r="P331" s="324" t="s">
        <v>22</v>
      </c>
      <c r="Q331" s="34" t="s">
        <v>23</v>
      </c>
      <c r="R331" s="326" t="s">
        <v>24</v>
      </c>
    </row>
    <row r="332" spans="1:20" ht="16.5" customHeight="1" thickBot="1" x14ac:dyDescent="0.35">
      <c r="A332" s="64"/>
      <c r="B332" s="81"/>
      <c r="C332" s="81"/>
      <c r="D332" s="81"/>
      <c r="E332" s="72"/>
      <c r="F332" s="81"/>
      <c r="G332" s="81"/>
      <c r="H332" s="81"/>
      <c r="I332" s="89"/>
      <c r="J332" s="81"/>
      <c r="K332" s="81"/>
      <c r="L332" s="81"/>
      <c r="M332" s="89"/>
      <c r="N332" s="81"/>
      <c r="O332" s="81"/>
      <c r="P332" s="81"/>
      <c r="Q332" s="89"/>
      <c r="R332" s="122"/>
    </row>
    <row r="333" spans="1:20" ht="15.75" customHeight="1" x14ac:dyDescent="0.3">
      <c r="A333" s="17" t="s">
        <v>45</v>
      </c>
      <c r="B333" s="1"/>
      <c r="C333" s="1"/>
      <c r="D333" s="1"/>
      <c r="E333" s="59" t="s">
        <v>7</v>
      </c>
      <c r="F333" s="1" t="s">
        <v>7</v>
      </c>
      <c r="G333" s="1" t="s">
        <v>7</v>
      </c>
      <c r="H333" s="1" t="s">
        <v>7</v>
      </c>
      <c r="I333" s="59" t="s">
        <v>7</v>
      </c>
      <c r="J333" s="1" t="s">
        <v>7</v>
      </c>
      <c r="K333" s="1" t="s">
        <v>7</v>
      </c>
      <c r="L333" s="1" t="s">
        <v>7</v>
      </c>
      <c r="M333" s="59" t="s">
        <v>7</v>
      </c>
      <c r="N333" s="1" t="s">
        <v>7</v>
      </c>
      <c r="O333" s="1" t="s">
        <v>7</v>
      </c>
      <c r="P333" s="1" t="s">
        <v>7</v>
      </c>
      <c r="Q333" s="59" t="s">
        <v>7</v>
      </c>
      <c r="R333" s="334" t="s">
        <v>7</v>
      </c>
    </row>
    <row r="334" spans="1:20" ht="15.75" customHeight="1" x14ac:dyDescent="0.3">
      <c r="A334" s="17" t="s">
        <v>46</v>
      </c>
      <c r="B334" s="1"/>
      <c r="C334" s="1"/>
      <c r="D334" s="1"/>
      <c r="E334" s="59" t="s">
        <v>7</v>
      </c>
      <c r="F334" s="1"/>
      <c r="G334" s="1"/>
      <c r="H334" s="1"/>
      <c r="I334" s="59" t="s">
        <v>7</v>
      </c>
      <c r="J334" s="1"/>
      <c r="K334" s="1"/>
      <c r="L334" s="1"/>
      <c r="M334" s="59" t="s">
        <v>7</v>
      </c>
      <c r="N334" s="1"/>
      <c r="O334" s="1"/>
      <c r="P334" s="1"/>
      <c r="Q334" s="59" t="s">
        <v>7</v>
      </c>
      <c r="R334" s="59" t="s">
        <v>7</v>
      </c>
    </row>
    <row r="335" spans="1:20" ht="15.75" customHeight="1" x14ac:dyDescent="0.3">
      <c r="A335" s="76" t="s">
        <v>300</v>
      </c>
      <c r="B335" s="1"/>
      <c r="C335" s="1"/>
      <c r="D335" s="1"/>
      <c r="E335" s="59">
        <f t="shared" ref="E335:E363" si="118">SUM(B335:D335)</f>
        <v>0</v>
      </c>
      <c r="F335" s="1"/>
      <c r="G335" s="1"/>
      <c r="H335" s="1"/>
      <c r="I335" s="59">
        <f t="shared" ref="I335:I363" si="119">SUM(F335:H335)</f>
        <v>0</v>
      </c>
      <c r="J335" s="1">
        <v>52</v>
      </c>
      <c r="K335" s="1">
        <f>127+1+1</f>
        <v>129</v>
      </c>
      <c r="L335" s="1">
        <f>119+2+2</f>
        <v>123</v>
      </c>
      <c r="M335" s="59">
        <f t="shared" ref="M335:M363" si="120">SUM(J335:L335)</f>
        <v>304</v>
      </c>
      <c r="N335" s="1">
        <f>1+2+115</f>
        <v>118</v>
      </c>
      <c r="O335" s="1">
        <f>1+2+110</f>
        <v>113</v>
      </c>
      <c r="P335" s="1">
        <v>51</v>
      </c>
      <c r="Q335" s="59">
        <f t="shared" ref="Q335:Q366" si="121">SUM(N335:P335)</f>
        <v>282</v>
      </c>
      <c r="R335" s="59">
        <f t="shared" ref="R335:R366" si="122">+E335+I335+M335+Q335</f>
        <v>586</v>
      </c>
      <c r="T335" s="4" t="s">
        <v>301</v>
      </c>
    </row>
    <row r="336" spans="1:20" ht="15.75" customHeight="1" x14ac:dyDescent="0.3">
      <c r="A336" s="76" t="s">
        <v>303</v>
      </c>
      <c r="B336" s="1"/>
      <c r="C336" s="1"/>
      <c r="D336" s="1"/>
      <c r="E336" s="59">
        <f t="shared" si="118"/>
        <v>0</v>
      </c>
      <c r="F336" s="1"/>
      <c r="G336" s="1"/>
      <c r="H336" s="1"/>
      <c r="I336" s="59">
        <f t="shared" si="119"/>
        <v>0</v>
      </c>
      <c r="J336" s="1"/>
      <c r="K336" s="1">
        <v>400</v>
      </c>
      <c r="L336" s="1"/>
      <c r="M336" s="59">
        <f t="shared" si="120"/>
        <v>400</v>
      </c>
      <c r="N336" s="1"/>
      <c r="O336" s="1"/>
      <c r="P336" s="1"/>
      <c r="Q336" s="59">
        <f t="shared" si="121"/>
        <v>0</v>
      </c>
      <c r="R336" s="59">
        <f t="shared" si="122"/>
        <v>400</v>
      </c>
    </row>
    <row r="337" spans="1:20" ht="15.75" customHeight="1" x14ac:dyDescent="0.3">
      <c r="A337" s="76" t="s">
        <v>126</v>
      </c>
      <c r="B337" s="1"/>
      <c r="C337" s="1"/>
      <c r="D337" s="1"/>
      <c r="E337" s="59">
        <f t="shared" si="118"/>
        <v>0</v>
      </c>
      <c r="F337" s="1"/>
      <c r="G337" s="1">
        <v>1</v>
      </c>
      <c r="H337" s="1">
        <v>3</v>
      </c>
      <c r="I337" s="59">
        <f t="shared" si="119"/>
        <v>4</v>
      </c>
      <c r="J337" s="1">
        <v>3</v>
      </c>
      <c r="K337" s="1">
        <v>1</v>
      </c>
      <c r="L337" s="1"/>
      <c r="M337" s="59">
        <f t="shared" si="120"/>
        <v>4</v>
      </c>
      <c r="N337" s="1"/>
      <c r="O337" s="1"/>
      <c r="P337" s="1"/>
      <c r="Q337" s="59">
        <f t="shared" ref="Q337" si="123">SUM(N337:P337)</f>
        <v>0</v>
      </c>
      <c r="R337" s="59">
        <f t="shared" si="122"/>
        <v>8</v>
      </c>
      <c r="T337" s="4" t="s">
        <v>305</v>
      </c>
    </row>
    <row r="338" spans="1:20" ht="15.75" customHeight="1" x14ac:dyDescent="0.3">
      <c r="A338" s="76" t="s">
        <v>304</v>
      </c>
      <c r="B338" s="1">
        <v>20</v>
      </c>
      <c r="C338" s="1">
        <v>48</v>
      </c>
      <c r="D338" s="1">
        <v>111</v>
      </c>
      <c r="E338" s="59">
        <f t="shared" si="118"/>
        <v>179</v>
      </c>
      <c r="F338" s="1">
        <v>275</v>
      </c>
      <c r="G338" s="1">
        <v>208</v>
      </c>
      <c r="H338" s="1">
        <v>254</v>
      </c>
      <c r="I338" s="59">
        <f t="shared" si="119"/>
        <v>737</v>
      </c>
      <c r="J338" s="1">
        <v>319</v>
      </c>
      <c r="K338" s="1">
        <v>277</v>
      </c>
      <c r="L338" s="1">
        <v>205</v>
      </c>
      <c r="M338" s="59">
        <f t="shared" si="120"/>
        <v>801</v>
      </c>
      <c r="N338" s="1">
        <v>210</v>
      </c>
      <c r="O338" s="1">
        <v>95</v>
      </c>
      <c r="P338" s="1">
        <v>533</v>
      </c>
      <c r="Q338" s="59">
        <f t="shared" si="121"/>
        <v>838</v>
      </c>
      <c r="R338" s="59">
        <f t="shared" si="122"/>
        <v>2555</v>
      </c>
      <c r="T338" s="4" t="s">
        <v>305</v>
      </c>
    </row>
    <row r="339" spans="1:20" ht="15.75" customHeight="1" x14ac:dyDescent="0.3">
      <c r="A339" s="76" t="s">
        <v>306</v>
      </c>
      <c r="B339" s="1"/>
      <c r="C339" s="1"/>
      <c r="D339" s="1"/>
      <c r="E339" s="59">
        <f>SUM(B339:D339)</f>
        <v>0</v>
      </c>
      <c r="F339" s="1"/>
      <c r="G339" s="1"/>
      <c r="H339" s="1"/>
      <c r="I339" s="59">
        <f t="shared" ref="I339" si="124">SUM(F339:H339)</f>
        <v>0</v>
      </c>
      <c r="J339" s="1"/>
      <c r="K339" s="1"/>
      <c r="L339" s="1"/>
      <c r="M339" s="59">
        <f t="shared" ref="M339" si="125">SUM(J339:L339)</f>
        <v>0</v>
      </c>
      <c r="N339" s="1"/>
      <c r="O339" s="1"/>
      <c r="P339" s="1">
        <v>79</v>
      </c>
      <c r="Q339" s="59">
        <f t="shared" ref="Q339" si="126">SUM(N339:P339)</f>
        <v>79</v>
      </c>
      <c r="R339" s="59">
        <f t="shared" si="122"/>
        <v>79</v>
      </c>
      <c r="T339" s="4" t="s">
        <v>307</v>
      </c>
    </row>
    <row r="340" spans="1:20" ht="15.75" customHeight="1" x14ac:dyDescent="0.3">
      <c r="A340" s="76" t="s">
        <v>308</v>
      </c>
      <c r="B340" s="1"/>
      <c r="C340" s="1"/>
      <c r="D340" s="1"/>
      <c r="E340" s="59">
        <f t="shared" si="118"/>
        <v>0</v>
      </c>
      <c r="F340" s="1"/>
      <c r="G340" s="1">
        <v>300</v>
      </c>
      <c r="H340" s="1"/>
      <c r="I340" s="59">
        <f t="shared" si="119"/>
        <v>300</v>
      </c>
      <c r="J340" s="1"/>
      <c r="K340" s="1">
        <v>300</v>
      </c>
      <c r="L340" s="1"/>
      <c r="M340" s="59">
        <f t="shared" si="120"/>
        <v>300</v>
      </c>
      <c r="N340" s="1"/>
      <c r="O340" s="1"/>
      <c r="P340" s="1"/>
      <c r="Q340" s="59">
        <f t="shared" si="121"/>
        <v>0</v>
      </c>
      <c r="R340" s="59">
        <f t="shared" si="122"/>
        <v>600</v>
      </c>
      <c r="T340" s="4" t="s">
        <v>307</v>
      </c>
    </row>
    <row r="341" spans="1:20" ht="15.75" customHeight="1" x14ac:dyDescent="0.3">
      <c r="A341" s="76" t="s">
        <v>309</v>
      </c>
      <c r="C341" s="1"/>
      <c r="D341" s="1"/>
      <c r="E341" s="59">
        <f>SUM(B341:D341)</f>
        <v>0</v>
      </c>
      <c r="F341" s="1"/>
      <c r="G341" s="1"/>
      <c r="H341" s="1">
        <v>2800</v>
      </c>
      <c r="I341" s="59">
        <f>SUM(F341:H341)</f>
        <v>2800</v>
      </c>
      <c r="J341" s="1"/>
      <c r="K341" s="1"/>
      <c r="L341" s="1">
        <v>250</v>
      </c>
      <c r="M341" s="59">
        <f t="shared" ref="M341:M346" si="127">SUM(J341:L341)</f>
        <v>250</v>
      </c>
      <c r="N341" s="1"/>
      <c r="O341" s="1"/>
      <c r="P341" s="1"/>
      <c r="Q341" s="59">
        <f>SUM(N341:P341)</f>
        <v>0</v>
      </c>
      <c r="R341" s="59">
        <f t="shared" si="122"/>
        <v>3050</v>
      </c>
      <c r="T341" s="4" t="s">
        <v>305</v>
      </c>
    </row>
    <row r="342" spans="1:20" ht="15.75" customHeight="1" x14ac:dyDescent="0.3">
      <c r="A342" s="76" t="s">
        <v>310</v>
      </c>
      <c r="B342" s="1"/>
      <c r="C342" s="1"/>
      <c r="D342" s="1"/>
      <c r="E342" s="59">
        <f t="shared" ref="E342:E346" si="128">SUM(B342:D342)</f>
        <v>0</v>
      </c>
      <c r="F342" s="1"/>
      <c r="G342" s="1">
        <v>2000</v>
      </c>
      <c r="H342" s="1"/>
      <c r="I342" s="59">
        <f t="shared" ref="I342:I346" si="129">SUM(F342:H342)</f>
        <v>2000</v>
      </c>
      <c r="J342" s="1"/>
      <c r="K342" s="1"/>
      <c r="L342" s="1"/>
      <c r="M342" s="59">
        <f t="shared" si="127"/>
        <v>0</v>
      </c>
      <c r="N342" s="1"/>
      <c r="O342" s="1"/>
      <c r="P342" s="1"/>
      <c r="Q342" s="59">
        <f>SUM(N342:P342)</f>
        <v>0</v>
      </c>
      <c r="R342" s="59">
        <f t="shared" si="122"/>
        <v>2000</v>
      </c>
      <c r="T342" s="4" t="s">
        <v>307</v>
      </c>
    </row>
    <row r="343" spans="1:20" ht="15.75" customHeight="1" x14ac:dyDescent="0.3">
      <c r="A343" s="76" t="s">
        <v>312</v>
      </c>
      <c r="B343" s="1">
        <f>25+73</f>
        <v>98</v>
      </c>
      <c r="C343" s="1">
        <f>6+18</f>
        <v>24</v>
      </c>
      <c r="D343" s="1">
        <f>21+120</f>
        <v>141</v>
      </c>
      <c r="E343" s="59">
        <f t="shared" si="128"/>
        <v>263</v>
      </c>
      <c r="F343" s="1">
        <f>28+216</f>
        <v>244</v>
      </c>
      <c r="G343" s="1">
        <f>48+251</f>
        <v>299</v>
      </c>
      <c r="H343" s="1">
        <f>61+406</f>
        <v>467</v>
      </c>
      <c r="I343" s="59">
        <f t="shared" si="129"/>
        <v>1010</v>
      </c>
      <c r="J343" s="1">
        <f>55+369</f>
        <v>424</v>
      </c>
      <c r="K343" s="1">
        <f>47+318</f>
        <v>365</v>
      </c>
      <c r="L343" s="1">
        <f>32+174</f>
        <v>206</v>
      </c>
      <c r="M343" s="59">
        <f t="shared" si="127"/>
        <v>995</v>
      </c>
      <c r="N343" s="1">
        <f>35+370</f>
        <v>405</v>
      </c>
      <c r="O343" s="1">
        <f>30+149</f>
        <v>179</v>
      </c>
      <c r="P343" s="1">
        <v>229</v>
      </c>
      <c r="Q343" s="59">
        <f>SUM(N343:P343)</f>
        <v>813</v>
      </c>
      <c r="R343" s="59">
        <f>+E343+I343+M343+Q343</f>
        <v>3081</v>
      </c>
      <c r="T343" s="4" t="s">
        <v>313</v>
      </c>
    </row>
    <row r="344" spans="1:20" ht="15.75" customHeight="1" x14ac:dyDescent="0.3">
      <c r="A344" s="76" t="s">
        <v>316</v>
      </c>
      <c r="B344" s="1"/>
      <c r="C344" s="1"/>
      <c r="D344" s="1"/>
      <c r="E344" s="59">
        <f t="shared" si="128"/>
        <v>0</v>
      </c>
      <c r="F344" s="1"/>
      <c r="G344" s="1"/>
      <c r="H344" s="1"/>
      <c r="I344" s="59">
        <f t="shared" si="129"/>
        <v>0</v>
      </c>
      <c r="J344" s="1"/>
      <c r="K344" s="1">
        <v>1008</v>
      </c>
      <c r="L344" s="1">
        <v>1712</v>
      </c>
      <c r="M344" s="59">
        <f t="shared" si="127"/>
        <v>2720</v>
      </c>
      <c r="N344" s="1">
        <v>480</v>
      </c>
      <c r="O344" s="1"/>
      <c r="P344" s="1"/>
      <c r="Q344" s="59">
        <f>SUM(N344:P344)</f>
        <v>480</v>
      </c>
      <c r="R344" s="59">
        <f>+E344+I344+M344+Q344</f>
        <v>3200</v>
      </c>
      <c r="T344" s="4" t="s">
        <v>317</v>
      </c>
    </row>
    <row r="345" spans="1:20" ht="15.75" customHeight="1" x14ac:dyDescent="0.3">
      <c r="A345" s="76" t="s">
        <v>318</v>
      </c>
      <c r="B345" s="1"/>
      <c r="C345" s="1"/>
      <c r="D345" s="1"/>
      <c r="E345" s="59">
        <f t="shared" si="128"/>
        <v>0</v>
      </c>
      <c r="F345" s="1"/>
      <c r="G345" s="1"/>
      <c r="H345" s="1"/>
      <c r="I345" s="59">
        <f t="shared" si="129"/>
        <v>0</v>
      </c>
      <c r="J345" s="1"/>
      <c r="K345" s="1"/>
      <c r="L345" s="1"/>
      <c r="M345" s="59">
        <f t="shared" si="127"/>
        <v>0</v>
      </c>
      <c r="N345" s="1"/>
      <c r="O345" s="1"/>
      <c r="P345" s="1"/>
      <c r="Q345" s="59">
        <f t="shared" ref="Q345" si="130">SUM(N345:P345)</f>
        <v>0</v>
      </c>
      <c r="R345" s="59">
        <f>+E345+I345+M345+Q345</f>
        <v>0</v>
      </c>
    </row>
    <row r="346" spans="1:20" ht="15.75" customHeight="1" x14ac:dyDescent="0.3">
      <c r="A346" s="76" t="s">
        <v>319</v>
      </c>
      <c r="B346" s="1"/>
      <c r="C346" s="1"/>
      <c r="D346" s="1">
        <v>315</v>
      </c>
      <c r="E346" s="59">
        <f t="shared" si="128"/>
        <v>315</v>
      </c>
      <c r="F346" s="1"/>
      <c r="G346" s="1"/>
      <c r="H346" s="1"/>
      <c r="I346" s="59">
        <f t="shared" si="129"/>
        <v>0</v>
      </c>
      <c r="J346" s="1"/>
      <c r="K346" s="1"/>
      <c r="L346" s="1"/>
      <c r="M346" s="59">
        <f t="shared" si="127"/>
        <v>0</v>
      </c>
      <c r="N346" s="1"/>
      <c r="O346" s="1"/>
      <c r="P346" s="1"/>
      <c r="Q346" s="59">
        <f>SUM(N346:P346)</f>
        <v>0</v>
      </c>
      <c r="R346" s="59">
        <f>+E346+I346+M346+Q346</f>
        <v>315</v>
      </c>
      <c r="S346" s="75" t="s">
        <v>80</v>
      </c>
    </row>
    <row r="347" spans="1:20" ht="15.75" customHeight="1" x14ac:dyDescent="0.3">
      <c r="A347" s="76" t="s">
        <v>320</v>
      </c>
      <c r="B347" s="1"/>
      <c r="C347" s="1"/>
      <c r="D347" s="1"/>
      <c r="E347" s="59">
        <f>SUM(B347:D347)</f>
        <v>0</v>
      </c>
      <c r="F347" s="1"/>
      <c r="G347" s="1">
        <v>1000</v>
      </c>
      <c r="H347" s="1"/>
      <c r="I347" s="59">
        <f t="shared" ref="I347:I348" si="131">SUM(F347:H347)</f>
        <v>1000</v>
      </c>
      <c r="J347" s="1"/>
      <c r="K347" s="1"/>
      <c r="L347" s="1"/>
      <c r="M347" s="59">
        <f t="shared" ref="M347:M348" si="132">SUM(J347:L347)</f>
        <v>0</v>
      </c>
      <c r="N347" s="1"/>
      <c r="O347" s="1"/>
      <c r="P347" s="1"/>
      <c r="Q347" s="59">
        <f t="shared" ref="Q347:Q348" si="133">SUM(N347:P347)</f>
        <v>0</v>
      </c>
      <c r="R347" s="59">
        <f t="shared" ref="R347:R348" si="134">+E347+I347+M347+Q347</f>
        <v>1000</v>
      </c>
    </row>
    <row r="348" spans="1:20" ht="15.75" customHeight="1" x14ac:dyDescent="0.3">
      <c r="A348" s="76" t="s">
        <v>321</v>
      </c>
      <c r="B348" s="1"/>
      <c r="C348" s="1"/>
      <c r="D348" s="1"/>
      <c r="E348" s="59">
        <f>SUM(B348:D348)</f>
        <v>0</v>
      </c>
      <c r="F348" s="1">
        <v>1542</v>
      </c>
      <c r="G348" s="1"/>
      <c r="H348" s="1"/>
      <c r="I348" s="59">
        <f t="shared" si="131"/>
        <v>1542</v>
      </c>
      <c r="J348" s="1"/>
      <c r="K348" s="1">
        <v>855</v>
      </c>
      <c r="L348" s="1">
        <v>845</v>
      </c>
      <c r="M348" s="59">
        <f t="shared" si="132"/>
        <v>1700</v>
      </c>
      <c r="N348" s="1"/>
      <c r="O348" s="1"/>
      <c r="P348" s="1"/>
      <c r="Q348" s="59">
        <f t="shared" si="133"/>
        <v>0</v>
      </c>
      <c r="R348" s="59">
        <f t="shared" si="134"/>
        <v>3242</v>
      </c>
      <c r="T348" s="4" t="s">
        <v>315</v>
      </c>
    </row>
    <row r="349" spans="1:20" ht="15.75" customHeight="1" x14ac:dyDescent="0.3">
      <c r="A349" s="76" t="s">
        <v>322</v>
      </c>
      <c r="B349" s="1"/>
      <c r="C349" s="1"/>
      <c r="D349" s="1"/>
      <c r="E349" s="59">
        <f t="shared" ref="E349:E350" si="135">SUM(B349:D349)</f>
        <v>0</v>
      </c>
      <c r="F349" s="1"/>
      <c r="G349" s="1"/>
      <c r="H349" s="1"/>
      <c r="I349" s="59">
        <f t="shared" ref="I349:I350" si="136">SUM(F349:H349)</f>
        <v>0</v>
      </c>
      <c r="J349" s="1"/>
      <c r="K349" s="1">
        <v>454</v>
      </c>
      <c r="L349" s="1">
        <v>1367</v>
      </c>
      <c r="M349" s="59">
        <f t="shared" ref="M349:M350" si="137">SUM(J349:L349)</f>
        <v>1821</v>
      </c>
      <c r="N349" s="1">
        <v>1427</v>
      </c>
      <c r="O349" s="1"/>
      <c r="P349" s="1">
        <v>687</v>
      </c>
      <c r="Q349" s="59">
        <f t="shared" si="121"/>
        <v>2114</v>
      </c>
      <c r="R349" s="59">
        <f t="shared" si="122"/>
        <v>3935</v>
      </c>
      <c r="T349" s="4" t="s">
        <v>217</v>
      </c>
    </row>
    <row r="350" spans="1:20" ht="15.75" customHeight="1" x14ac:dyDescent="0.3">
      <c r="A350" s="76" t="s">
        <v>324</v>
      </c>
      <c r="B350" s="1">
        <v>200</v>
      </c>
      <c r="C350" s="1">
        <f>39+161</f>
        <v>200</v>
      </c>
      <c r="D350" s="1">
        <v>200</v>
      </c>
      <c r="E350" s="59">
        <f t="shared" si="135"/>
        <v>600</v>
      </c>
      <c r="F350" s="1">
        <v>200</v>
      </c>
      <c r="G350" s="1">
        <v>200</v>
      </c>
      <c r="H350" s="1">
        <v>200</v>
      </c>
      <c r="I350" s="59">
        <f t="shared" si="136"/>
        <v>600</v>
      </c>
      <c r="J350" s="1">
        <v>200</v>
      </c>
      <c r="K350" s="1">
        <v>200</v>
      </c>
      <c r="L350" s="1">
        <v>200</v>
      </c>
      <c r="M350" s="59">
        <f t="shared" si="137"/>
        <v>600</v>
      </c>
      <c r="N350" s="1">
        <v>200</v>
      </c>
      <c r="O350" s="1"/>
      <c r="P350" s="1"/>
      <c r="Q350" s="59">
        <f t="shared" si="121"/>
        <v>200</v>
      </c>
      <c r="R350" s="59">
        <f t="shared" si="122"/>
        <v>2000</v>
      </c>
      <c r="T350" s="4" t="s">
        <v>305</v>
      </c>
    </row>
    <row r="351" spans="1:20" ht="15.75" customHeight="1" x14ac:dyDescent="0.3">
      <c r="A351" s="76" t="s">
        <v>325</v>
      </c>
      <c r="B351" s="1"/>
      <c r="C351" s="1"/>
      <c r="D351" s="1"/>
      <c r="E351" s="59">
        <f t="shared" si="118"/>
        <v>0</v>
      </c>
      <c r="F351" s="1"/>
      <c r="G351" s="1"/>
      <c r="H351" s="1"/>
      <c r="I351" s="59">
        <f t="shared" si="119"/>
        <v>0</v>
      </c>
      <c r="J351" s="1"/>
      <c r="K351" s="1"/>
      <c r="L351" s="1"/>
      <c r="M351" s="59">
        <f t="shared" si="120"/>
        <v>0</v>
      </c>
      <c r="N351" s="1"/>
      <c r="O351" s="1"/>
      <c r="P351" s="1"/>
      <c r="Q351" s="59">
        <f t="shared" si="121"/>
        <v>0</v>
      </c>
      <c r="R351" s="59">
        <f t="shared" si="122"/>
        <v>0</v>
      </c>
      <c r="T351" s="4" t="s">
        <v>305</v>
      </c>
    </row>
    <row r="352" spans="1:20" ht="15.75" customHeight="1" x14ac:dyDescent="0.3">
      <c r="A352" s="76" t="s">
        <v>327</v>
      </c>
      <c r="B352" s="1"/>
      <c r="C352" s="1"/>
      <c r="D352" s="1"/>
      <c r="E352" s="59">
        <f>SUM(B352:D352)</f>
        <v>0</v>
      </c>
      <c r="F352" s="1"/>
      <c r="G352" s="1"/>
      <c r="H352" s="1"/>
      <c r="I352" s="59">
        <f>SUM(F352:H352)</f>
        <v>0</v>
      </c>
      <c r="J352" s="1"/>
      <c r="K352" s="1"/>
      <c r="L352" s="1"/>
      <c r="M352" s="59">
        <f t="shared" si="120"/>
        <v>0</v>
      </c>
      <c r="N352" s="1"/>
      <c r="O352" s="1"/>
      <c r="P352" s="1">
        <v>140</v>
      </c>
      <c r="Q352" s="59">
        <f>SUM(N352:P352)</f>
        <v>140</v>
      </c>
      <c r="R352" s="59">
        <f t="shared" si="122"/>
        <v>140</v>
      </c>
      <c r="T352" s="4" t="s">
        <v>315</v>
      </c>
    </row>
    <row r="353" spans="1:20" ht="15.75" customHeight="1" x14ac:dyDescent="0.3">
      <c r="A353" s="76" t="s">
        <v>328</v>
      </c>
      <c r="B353" s="1"/>
      <c r="C353" s="1"/>
      <c r="D353" s="1"/>
      <c r="E353" s="59">
        <f t="shared" ref="E353" si="138">SUM(B353:D353)</f>
        <v>0</v>
      </c>
      <c r="F353" s="1"/>
      <c r="G353" s="1"/>
      <c r="H353" s="1"/>
      <c r="I353" s="59">
        <f t="shared" ref="I353" si="139">SUM(F353:H353)</f>
        <v>0</v>
      </c>
      <c r="J353" s="1">
        <v>1456</v>
      </c>
      <c r="K353" s="1">
        <v>2474</v>
      </c>
      <c r="L353" s="1">
        <v>2322</v>
      </c>
      <c r="M353" s="59">
        <f t="shared" si="120"/>
        <v>6252</v>
      </c>
      <c r="N353" s="1">
        <v>503</v>
      </c>
      <c r="O353" s="1"/>
      <c r="P353" s="1">
        <v>340</v>
      </c>
      <c r="Q353" s="59">
        <f t="shared" si="121"/>
        <v>843</v>
      </c>
      <c r="R353" s="59">
        <f t="shared" si="122"/>
        <v>7095</v>
      </c>
      <c r="T353" s="4" t="s">
        <v>217</v>
      </c>
    </row>
    <row r="354" spans="1:20" ht="15.75" customHeight="1" x14ac:dyDescent="0.3">
      <c r="A354" s="76" t="s">
        <v>329</v>
      </c>
      <c r="B354" s="1"/>
      <c r="C354" s="1"/>
      <c r="D354" s="1"/>
      <c r="E354" s="59">
        <f>SUM(B354:D354)</f>
        <v>0</v>
      </c>
      <c r="F354" s="1"/>
      <c r="G354" s="1"/>
      <c r="H354" s="1"/>
      <c r="I354" s="59">
        <f>SUM(F354:H354)</f>
        <v>0</v>
      </c>
      <c r="J354" s="1"/>
      <c r="K354" s="1"/>
      <c r="L354" s="1"/>
      <c r="M354" s="59">
        <f>SUM(J354:L354)</f>
        <v>0</v>
      </c>
      <c r="N354" s="1"/>
      <c r="O354" s="1"/>
      <c r="P354" s="1"/>
      <c r="Q354" s="59">
        <f>SUM(N354:P354)</f>
        <v>0</v>
      </c>
      <c r="R354" s="59">
        <f t="shared" si="122"/>
        <v>0</v>
      </c>
      <c r="T354" s="4" t="s">
        <v>315</v>
      </c>
    </row>
    <row r="355" spans="1:20" ht="15.75" customHeight="1" x14ac:dyDescent="0.3">
      <c r="A355" s="76" t="s">
        <v>330</v>
      </c>
      <c r="B355" s="1"/>
      <c r="C355" s="1"/>
      <c r="D355" s="1"/>
      <c r="E355" s="59">
        <f t="shared" si="118"/>
        <v>0</v>
      </c>
      <c r="F355" s="1"/>
      <c r="G355" s="1"/>
      <c r="H355" s="1"/>
      <c r="I355" s="59">
        <f t="shared" si="119"/>
        <v>0</v>
      </c>
      <c r="J355" s="1"/>
      <c r="K355" s="1"/>
      <c r="L355" s="1"/>
      <c r="M355" s="59">
        <f t="shared" si="120"/>
        <v>0</v>
      </c>
      <c r="N355" s="1"/>
      <c r="O355" s="1"/>
      <c r="P355" s="1"/>
      <c r="Q355" s="59">
        <f t="shared" si="121"/>
        <v>0</v>
      </c>
      <c r="R355" s="59">
        <f t="shared" si="122"/>
        <v>0</v>
      </c>
      <c r="S355" s="125"/>
      <c r="T355" s="4" t="s">
        <v>331</v>
      </c>
    </row>
    <row r="356" spans="1:20" ht="15.75" customHeight="1" x14ac:dyDescent="0.3">
      <c r="A356" s="76" t="s">
        <v>332</v>
      </c>
      <c r="B356" s="1">
        <v>20</v>
      </c>
      <c r="C356" s="1">
        <v>6</v>
      </c>
      <c r="D356" s="1">
        <v>23</v>
      </c>
      <c r="E356" s="59">
        <f t="shared" si="118"/>
        <v>49</v>
      </c>
      <c r="F356" s="1">
        <v>49</v>
      </c>
      <c r="G356" s="1">
        <v>65</v>
      </c>
      <c r="H356" s="1">
        <v>60</v>
      </c>
      <c r="I356" s="59">
        <f>SUM(F356:H356)</f>
        <v>174</v>
      </c>
      <c r="J356" s="1">
        <v>68</v>
      </c>
      <c r="K356" s="1">
        <v>65</v>
      </c>
      <c r="L356" s="1">
        <v>32</v>
      </c>
      <c r="M356" s="59">
        <f>SUM(J356:L356)</f>
        <v>165</v>
      </c>
      <c r="N356" s="1">
        <v>60</v>
      </c>
      <c r="O356" s="1">
        <v>44</v>
      </c>
      <c r="P356" s="1">
        <v>125</v>
      </c>
      <c r="Q356" s="59">
        <f>SUM(N356:P356)</f>
        <v>229</v>
      </c>
      <c r="R356" s="59">
        <f>+E356+I356+M356+Q356</f>
        <v>617</v>
      </c>
      <c r="T356" s="4" t="s">
        <v>127</v>
      </c>
    </row>
    <row r="357" spans="1:20" ht="15.75" customHeight="1" x14ac:dyDescent="0.3">
      <c r="A357" s="76" t="s">
        <v>333</v>
      </c>
      <c r="B357" s="1">
        <v>1924</v>
      </c>
      <c r="C357" s="1">
        <v>286</v>
      </c>
      <c r="D357" s="1">
        <v>153</v>
      </c>
      <c r="E357" s="59">
        <f t="shared" ref="E357:E358" si="140">SUM(B357:D357)</f>
        <v>2363</v>
      </c>
      <c r="F357" s="1">
        <f>1202+2328-668-627</f>
        <v>2235</v>
      </c>
      <c r="G357" s="1">
        <f>1572+3291-1001-2622</f>
        <v>1240</v>
      </c>
      <c r="H357" s="1">
        <f>1716+3853</f>
        <v>5569</v>
      </c>
      <c r="I357" s="59">
        <f t="shared" ref="I357:I358" si="141">SUM(F357:H357)</f>
        <v>9044</v>
      </c>
      <c r="J357" s="1">
        <f>1942+4320</f>
        <v>6262</v>
      </c>
      <c r="K357" s="1">
        <f>1817+4206</f>
        <v>6023</v>
      </c>
      <c r="L357" s="1">
        <f>1615+3690</f>
        <v>5305</v>
      </c>
      <c r="M357" s="59">
        <f t="shared" ref="M357:M359" si="142">SUM(J357:L357)</f>
        <v>17590</v>
      </c>
      <c r="N357" s="1">
        <f>3705+2600</f>
        <v>6305</v>
      </c>
      <c r="O357" s="1"/>
      <c r="P357" s="1">
        <v>8338</v>
      </c>
      <c r="Q357" s="59">
        <f t="shared" si="121"/>
        <v>14643</v>
      </c>
      <c r="R357" s="59">
        <f t="shared" si="122"/>
        <v>43640</v>
      </c>
      <c r="T357" s="4" t="s">
        <v>334</v>
      </c>
    </row>
    <row r="358" spans="1:20" ht="15.75" customHeight="1" x14ac:dyDescent="0.3">
      <c r="A358" s="76" t="s">
        <v>977</v>
      </c>
      <c r="B358" s="1"/>
      <c r="C358" s="1"/>
      <c r="D358" s="1"/>
      <c r="E358" s="59">
        <f t="shared" si="140"/>
        <v>0</v>
      </c>
      <c r="F358" s="1"/>
      <c r="G358" s="1"/>
      <c r="H358" s="1"/>
      <c r="I358" s="59">
        <f t="shared" si="141"/>
        <v>0</v>
      </c>
      <c r="J358" s="1"/>
      <c r="K358" s="1"/>
      <c r="L358" s="1">
        <f>10+1642</f>
        <v>1652</v>
      </c>
      <c r="M358" s="59">
        <f t="shared" si="142"/>
        <v>1652</v>
      </c>
      <c r="N358" s="1">
        <v>2000</v>
      </c>
      <c r="O358" s="1"/>
      <c r="P358" s="1">
        <v>423</v>
      </c>
      <c r="Q358" s="59">
        <f t="shared" ref="Q358" si="143">SUM(N358:P358)</f>
        <v>2423</v>
      </c>
      <c r="R358" s="59">
        <f t="shared" si="122"/>
        <v>4075</v>
      </c>
    </row>
    <row r="359" spans="1:20" ht="15.75" customHeight="1" x14ac:dyDescent="0.3">
      <c r="A359" s="76" t="s">
        <v>335</v>
      </c>
      <c r="B359" s="1"/>
      <c r="C359" s="1"/>
      <c r="D359" s="1"/>
      <c r="E359" s="59">
        <f t="shared" si="118"/>
        <v>0</v>
      </c>
      <c r="F359" s="1"/>
      <c r="G359" s="1"/>
      <c r="H359" s="1"/>
      <c r="I359" s="59">
        <f t="shared" si="119"/>
        <v>0</v>
      </c>
      <c r="J359" s="1"/>
      <c r="K359" s="1"/>
      <c r="L359" s="1"/>
      <c r="M359" s="59">
        <f t="shared" si="142"/>
        <v>0</v>
      </c>
      <c r="N359" s="1"/>
      <c r="O359" s="1"/>
      <c r="P359" s="1"/>
      <c r="Q359" s="59">
        <f t="shared" si="121"/>
        <v>0</v>
      </c>
      <c r="R359" s="59">
        <f t="shared" si="122"/>
        <v>0</v>
      </c>
      <c r="T359" s="4" t="s">
        <v>336</v>
      </c>
    </row>
    <row r="360" spans="1:20" ht="15.75" customHeight="1" x14ac:dyDescent="0.3">
      <c r="A360" s="76" t="s">
        <v>978</v>
      </c>
      <c r="B360" s="1"/>
      <c r="C360" s="1"/>
      <c r="D360" s="1">
        <v>1513</v>
      </c>
      <c r="E360" s="59">
        <f t="shared" si="118"/>
        <v>1513</v>
      </c>
      <c r="F360" s="1">
        <v>1513</v>
      </c>
      <c r="G360" s="1">
        <v>1513</v>
      </c>
      <c r="H360" s="1"/>
      <c r="I360" s="59">
        <f t="shared" si="119"/>
        <v>3026</v>
      </c>
      <c r="J360" s="1"/>
      <c r="K360" s="1"/>
      <c r="L360" s="1"/>
      <c r="M360" s="59">
        <f t="shared" si="120"/>
        <v>0</v>
      </c>
      <c r="N360" s="1"/>
      <c r="O360" s="1"/>
      <c r="P360" s="1"/>
      <c r="Q360" s="59">
        <f t="shared" ref="Q360" si="144">SUM(N360:P360)</f>
        <v>0</v>
      </c>
      <c r="R360" s="59">
        <f t="shared" si="122"/>
        <v>4539</v>
      </c>
    </row>
    <row r="361" spans="1:20" ht="15.75" customHeight="1" x14ac:dyDescent="0.3">
      <c r="A361" s="76" t="s">
        <v>339</v>
      </c>
      <c r="B361" s="1">
        <f>69+37+118</f>
        <v>224</v>
      </c>
      <c r="C361" s="1">
        <f>34+190</f>
        <v>224</v>
      </c>
      <c r="D361" s="1">
        <f>224</f>
        <v>224</v>
      </c>
      <c r="E361" s="59">
        <f t="shared" si="118"/>
        <v>672</v>
      </c>
      <c r="F361" s="1">
        <v>224</v>
      </c>
      <c r="G361" s="1">
        <v>224</v>
      </c>
      <c r="H361" s="1">
        <v>227</v>
      </c>
      <c r="I361" s="59">
        <f t="shared" si="119"/>
        <v>675</v>
      </c>
      <c r="J361" s="1">
        <v>227</v>
      </c>
      <c r="K361" s="1">
        <v>226</v>
      </c>
      <c r="L361" s="1">
        <v>224</v>
      </c>
      <c r="M361" s="59">
        <f t="shared" si="120"/>
        <v>677</v>
      </c>
      <c r="N361" s="1">
        <v>224</v>
      </c>
      <c r="O361" s="1"/>
      <c r="P361" s="1"/>
      <c r="Q361" s="59">
        <f t="shared" si="121"/>
        <v>224</v>
      </c>
      <c r="R361" s="59">
        <f t="shared" si="122"/>
        <v>2248</v>
      </c>
    </row>
    <row r="362" spans="1:20" ht="15.75" customHeight="1" x14ac:dyDescent="0.3">
      <c r="A362" s="76" t="s">
        <v>340</v>
      </c>
      <c r="B362" s="1"/>
      <c r="C362" s="1"/>
      <c r="D362" s="1"/>
      <c r="E362" s="59">
        <f t="shared" si="118"/>
        <v>0</v>
      </c>
      <c r="F362" s="1"/>
      <c r="G362" s="1"/>
      <c r="H362" s="1"/>
      <c r="I362" s="59">
        <f t="shared" si="119"/>
        <v>0</v>
      </c>
      <c r="J362" s="1"/>
      <c r="K362" s="1"/>
      <c r="L362" s="1"/>
      <c r="M362" s="59">
        <f t="shared" si="120"/>
        <v>0</v>
      </c>
      <c r="N362" s="1"/>
      <c r="O362" s="1"/>
      <c r="P362" s="1"/>
      <c r="Q362" s="59">
        <f t="shared" si="121"/>
        <v>0</v>
      </c>
      <c r="R362" s="59">
        <f t="shared" si="122"/>
        <v>0</v>
      </c>
      <c r="S362" s="75" t="s">
        <v>80</v>
      </c>
    </row>
    <row r="363" spans="1:20" ht="15.75" customHeight="1" x14ac:dyDescent="0.3">
      <c r="A363" s="76" t="s">
        <v>341</v>
      </c>
      <c r="B363" s="1"/>
      <c r="C363" s="1"/>
      <c r="D363" s="1"/>
      <c r="E363" s="59">
        <f t="shared" si="118"/>
        <v>0</v>
      </c>
      <c r="F363" s="1"/>
      <c r="G363" s="1"/>
      <c r="H363" s="1"/>
      <c r="I363" s="59">
        <f t="shared" si="119"/>
        <v>0</v>
      </c>
      <c r="J363" s="1"/>
      <c r="K363" s="1"/>
      <c r="L363" s="1">
        <v>2083</v>
      </c>
      <c r="M363" s="59">
        <f t="shared" si="120"/>
        <v>2083</v>
      </c>
      <c r="N363" s="1">
        <v>4</v>
      </c>
      <c r="O363" s="1"/>
      <c r="P363" s="1"/>
      <c r="Q363" s="59">
        <f>SUM(N363:P363)</f>
        <v>4</v>
      </c>
      <c r="R363" s="59">
        <f>+E363+I363+M363+Q363</f>
        <v>2087</v>
      </c>
      <c r="T363" s="4" t="s">
        <v>315</v>
      </c>
    </row>
    <row r="364" spans="1:20" ht="15.75" customHeight="1" x14ac:dyDescent="0.3">
      <c r="A364" s="76" t="s">
        <v>342</v>
      </c>
      <c r="B364" s="1">
        <v>32</v>
      </c>
      <c r="C364" s="1">
        <v>20</v>
      </c>
      <c r="D364" s="1"/>
      <c r="E364" s="59">
        <f>SUM(B364:D364)</f>
        <v>52</v>
      </c>
      <c r="F364" s="1">
        <v>96</v>
      </c>
      <c r="G364" s="1">
        <v>57</v>
      </c>
      <c r="H364" s="1">
        <v>75</v>
      </c>
      <c r="I364" s="59">
        <f>SUM(F364:H364)</f>
        <v>228</v>
      </c>
      <c r="J364" s="1">
        <v>81</v>
      </c>
      <c r="K364" s="1">
        <v>81</v>
      </c>
      <c r="L364" s="1">
        <v>39</v>
      </c>
      <c r="M364" s="59">
        <f>SUM(J364:L364)</f>
        <v>201</v>
      </c>
      <c r="N364" s="1">
        <v>68</v>
      </c>
      <c r="O364" s="1">
        <v>50</v>
      </c>
      <c r="P364" s="1">
        <v>103</v>
      </c>
      <c r="Q364" s="59">
        <f>SUM(N364:P364)</f>
        <v>221</v>
      </c>
      <c r="R364" s="59">
        <f>+E364+I364+M364+Q364</f>
        <v>702</v>
      </c>
      <c r="T364" s="4" t="s">
        <v>127</v>
      </c>
    </row>
    <row r="365" spans="1:20" ht="15.75" customHeight="1" x14ac:dyDescent="0.3">
      <c r="A365" s="74" t="s">
        <v>343</v>
      </c>
      <c r="B365" s="1"/>
      <c r="C365" s="1"/>
      <c r="D365" s="1"/>
      <c r="E365" s="59">
        <f>SUM(B365:D365)</f>
        <v>0</v>
      </c>
      <c r="F365" s="1"/>
      <c r="G365" s="1"/>
      <c r="H365" s="1"/>
      <c r="I365" s="59">
        <f>SUM(F365:H365)</f>
        <v>0</v>
      </c>
      <c r="J365" s="1"/>
      <c r="K365" s="1">
        <v>33</v>
      </c>
      <c r="L365" s="1"/>
      <c r="M365" s="59">
        <f>SUM(J365:L365)</f>
        <v>33</v>
      </c>
      <c r="N365" s="1"/>
      <c r="O365" s="1"/>
      <c r="P365" s="1"/>
      <c r="Q365" s="59">
        <f>SUM(N365:P365)</f>
        <v>0</v>
      </c>
      <c r="R365" s="59">
        <f t="shared" si="122"/>
        <v>33</v>
      </c>
    </row>
    <row r="366" spans="1:20" ht="15.75" customHeight="1" x14ac:dyDescent="0.3">
      <c r="A366" s="76" t="s">
        <v>344</v>
      </c>
      <c r="B366" s="1"/>
      <c r="C366" s="1"/>
      <c r="D366" s="1"/>
      <c r="E366" s="59">
        <f t="shared" ref="E366" si="145">SUM(B366:D366)</f>
        <v>0</v>
      </c>
      <c r="F366" s="1"/>
      <c r="G366" s="1">
        <v>68</v>
      </c>
      <c r="H366" s="1">
        <v>179</v>
      </c>
      <c r="I366" s="59">
        <f t="shared" ref="I366" si="146">SUM(F366:H366)</f>
        <v>247</v>
      </c>
      <c r="J366" s="1">
        <v>142</v>
      </c>
      <c r="K366" s="1">
        <v>84</v>
      </c>
      <c r="L366" s="1">
        <v>22</v>
      </c>
      <c r="M366" s="59">
        <f t="shared" ref="M366" si="147">SUM(J366:L366)</f>
        <v>248</v>
      </c>
      <c r="N366" s="1"/>
      <c r="O366" s="1"/>
      <c r="P366" s="1"/>
      <c r="Q366" s="59">
        <f t="shared" si="121"/>
        <v>0</v>
      </c>
      <c r="R366" s="59">
        <f t="shared" si="122"/>
        <v>495</v>
      </c>
      <c r="S366" s="4">
        <f>SUM(R335:R366)</f>
        <v>91722</v>
      </c>
      <c r="T366" s="4" t="s">
        <v>331</v>
      </c>
    </row>
    <row r="367" spans="1:20" ht="15.75" customHeight="1" x14ac:dyDescent="0.3">
      <c r="A367" s="76" t="s">
        <v>345</v>
      </c>
      <c r="B367" s="1">
        <v>70</v>
      </c>
      <c r="C367" s="1">
        <v>1</v>
      </c>
      <c r="D367" s="1">
        <v>3</v>
      </c>
      <c r="E367" s="59">
        <f>SUM(B367:D367)</f>
        <v>74</v>
      </c>
      <c r="F367" s="1">
        <v>6</v>
      </c>
      <c r="G367" s="1">
        <v>6</v>
      </c>
      <c r="H367" s="1">
        <v>11</v>
      </c>
      <c r="I367" s="59">
        <f>SUM(F367:H367)</f>
        <v>23</v>
      </c>
      <c r="J367" s="1">
        <v>7</v>
      </c>
      <c r="K367" s="1">
        <v>12</v>
      </c>
      <c r="L367" s="1">
        <v>4</v>
      </c>
      <c r="M367" s="59">
        <f>SUM(J367:L367)</f>
        <v>23</v>
      </c>
      <c r="N367" s="1">
        <v>42</v>
      </c>
      <c r="O367" s="1">
        <v>31</v>
      </c>
      <c r="P367" s="1">
        <v>243</v>
      </c>
      <c r="Q367" s="59">
        <f>SUM(N367:P367)</f>
        <v>316</v>
      </c>
      <c r="R367" s="59">
        <f>+E367+I367+M367+Q367</f>
        <v>436</v>
      </c>
      <c r="T367" s="4" t="s">
        <v>127</v>
      </c>
    </row>
    <row r="368" spans="1:20" ht="15.75" customHeight="1" x14ac:dyDescent="0.3">
      <c r="A368" s="17" t="s">
        <v>47</v>
      </c>
      <c r="B368" s="1"/>
      <c r="C368" s="1"/>
      <c r="D368" s="1"/>
      <c r="E368" s="59" t="s">
        <v>7</v>
      </c>
      <c r="F368" s="1"/>
      <c r="G368" s="1"/>
      <c r="H368" s="1"/>
      <c r="I368" s="59" t="s">
        <v>7</v>
      </c>
      <c r="J368" s="1"/>
      <c r="K368" s="1"/>
      <c r="L368" s="1"/>
      <c r="M368" s="59" t="s">
        <v>7</v>
      </c>
      <c r="N368" s="1"/>
      <c r="O368" s="1"/>
      <c r="P368" s="1"/>
      <c r="Q368" s="59" t="s">
        <v>7</v>
      </c>
      <c r="R368" s="59" t="s">
        <v>7</v>
      </c>
    </row>
    <row r="369" spans="1:20" ht="15.75" customHeight="1" x14ac:dyDescent="0.3">
      <c r="A369" s="76" t="s">
        <v>346</v>
      </c>
      <c r="B369" s="1"/>
      <c r="C369" s="1"/>
      <c r="D369" s="1"/>
      <c r="E369" s="59">
        <f t="shared" ref="E369:E379" si="148">SUM(B369:D369)</f>
        <v>0</v>
      </c>
      <c r="F369" s="1"/>
      <c r="G369" s="1"/>
      <c r="H369" s="1"/>
      <c r="I369" s="59">
        <f t="shared" ref="I369:I379" si="149">SUM(F369:H369)</f>
        <v>0</v>
      </c>
      <c r="J369" s="1"/>
      <c r="K369" s="1"/>
      <c r="L369" s="1"/>
      <c r="M369" s="59">
        <f t="shared" ref="M369:M379" si="150">SUM(J369:L369)</f>
        <v>0</v>
      </c>
      <c r="N369" s="1"/>
      <c r="O369" s="1"/>
      <c r="P369" s="1"/>
      <c r="Q369" s="59">
        <f t="shared" ref="Q369:Q379" si="151">SUM(N369:P369)</f>
        <v>0</v>
      </c>
      <c r="R369" s="59">
        <f t="shared" ref="R369:R379" si="152">+E369+I369+M369+Q369</f>
        <v>0</v>
      </c>
    </row>
    <row r="370" spans="1:20" ht="15.75" customHeight="1" x14ac:dyDescent="0.3">
      <c r="A370" s="76" t="s">
        <v>347</v>
      </c>
      <c r="B370" s="1"/>
      <c r="C370" s="1"/>
      <c r="D370" s="1"/>
      <c r="E370" s="59">
        <f>SUM(B370:D370)</f>
        <v>0</v>
      </c>
      <c r="F370" s="1"/>
      <c r="G370" s="1"/>
      <c r="H370" s="1"/>
      <c r="I370" s="59">
        <f>SUM(F370:H370)</f>
        <v>0</v>
      </c>
      <c r="J370" s="1"/>
      <c r="K370" s="1"/>
      <c r="L370" s="1"/>
      <c r="M370" s="59">
        <f>SUM(J370:L370)</f>
        <v>0</v>
      </c>
      <c r="N370" s="1"/>
      <c r="O370" s="1"/>
      <c r="P370" s="1"/>
      <c r="Q370" s="59">
        <f>SUM(N370:P370)</f>
        <v>0</v>
      </c>
      <c r="R370" s="59">
        <f>+E370+I370+M370+Q370</f>
        <v>0</v>
      </c>
      <c r="T370" s="4" t="s">
        <v>348</v>
      </c>
    </row>
    <row r="371" spans="1:20" ht="15.75" customHeight="1" x14ac:dyDescent="0.3">
      <c r="A371" s="76" t="s">
        <v>349</v>
      </c>
      <c r="B371" s="1"/>
      <c r="C371" s="1"/>
      <c r="D371" s="1"/>
      <c r="E371" s="59">
        <f>SUM(B371:D371)</f>
        <v>0</v>
      </c>
      <c r="F371" s="1"/>
      <c r="G371" s="1"/>
      <c r="H371" s="1"/>
      <c r="I371" s="59">
        <f>SUM(F371:H371)</f>
        <v>0</v>
      </c>
      <c r="J371" s="1"/>
      <c r="K371" s="1"/>
      <c r="L371" s="1"/>
      <c r="M371" s="59">
        <f>SUM(J371:L371)</f>
        <v>0</v>
      </c>
      <c r="N371" s="1"/>
      <c r="O371" s="1"/>
      <c r="P371" s="1"/>
      <c r="Q371" s="59">
        <f>SUM(N371:P371)</f>
        <v>0</v>
      </c>
      <c r="R371" s="59">
        <f>+E371+I371+M371+Q371</f>
        <v>0</v>
      </c>
      <c r="T371" s="4" t="s">
        <v>336</v>
      </c>
    </row>
    <row r="372" spans="1:20" ht="15.75" customHeight="1" x14ac:dyDescent="0.3">
      <c r="A372" s="76" t="s">
        <v>330</v>
      </c>
      <c r="B372" s="1"/>
      <c r="C372" s="1"/>
      <c r="D372" s="1"/>
      <c r="E372" s="59">
        <f t="shared" si="148"/>
        <v>0</v>
      </c>
      <c r="F372" s="1"/>
      <c r="G372" s="1"/>
      <c r="H372" s="1"/>
      <c r="I372" s="59">
        <f t="shared" si="149"/>
        <v>0</v>
      </c>
      <c r="J372" s="1"/>
      <c r="K372" s="1"/>
      <c r="L372" s="1"/>
      <c r="M372" s="59">
        <f t="shared" si="150"/>
        <v>0</v>
      </c>
      <c r="N372" s="1"/>
      <c r="O372" s="1"/>
      <c r="P372" s="1"/>
      <c r="Q372" s="59">
        <f t="shared" si="151"/>
        <v>0</v>
      </c>
      <c r="R372" s="59">
        <f>+E372+I372+M372+Q372</f>
        <v>0</v>
      </c>
      <c r="T372" s="4" t="s">
        <v>331</v>
      </c>
    </row>
    <row r="373" spans="1:20" ht="15.75" customHeight="1" x14ac:dyDescent="0.3">
      <c r="A373" s="76" t="s">
        <v>350</v>
      </c>
      <c r="B373" s="1"/>
      <c r="C373" s="1"/>
      <c r="D373" s="1"/>
      <c r="E373" s="59">
        <f>SUM(B373:D373)</f>
        <v>0</v>
      </c>
      <c r="F373" s="1"/>
      <c r="G373" s="1"/>
      <c r="H373" s="1"/>
      <c r="I373" s="59">
        <f>SUM(F373:H373)</f>
        <v>0</v>
      </c>
      <c r="J373" s="1"/>
      <c r="K373" s="1"/>
      <c r="L373" s="1"/>
      <c r="M373" s="59">
        <f>SUM(J373:L373)</f>
        <v>0</v>
      </c>
      <c r="N373" s="1"/>
      <c r="O373" s="1"/>
      <c r="P373" s="1"/>
      <c r="Q373" s="59">
        <f>SUM(N373:P373)</f>
        <v>0</v>
      </c>
      <c r="R373" s="59">
        <f>+E373+I373+M373+Q373</f>
        <v>0</v>
      </c>
      <c r="T373" s="4" t="s">
        <v>351</v>
      </c>
    </row>
    <row r="374" spans="1:20" ht="15.75" customHeight="1" x14ac:dyDescent="0.3">
      <c r="A374" s="76" t="s">
        <v>352</v>
      </c>
      <c r="B374" s="1"/>
      <c r="C374" s="1"/>
      <c r="D374" s="1"/>
      <c r="E374" s="59">
        <f t="shared" si="148"/>
        <v>0</v>
      </c>
      <c r="F374" s="1"/>
      <c r="G374" s="1"/>
      <c r="H374" s="1"/>
      <c r="I374" s="59">
        <f t="shared" si="149"/>
        <v>0</v>
      </c>
      <c r="J374" s="1"/>
      <c r="K374" s="1"/>
      <c r="L374" s="1"/>
      <c r="M374" s="59">
        <f t="shared" si="150"/>
        <v>0</v>
      </c>
      <c r="N374" s="1"/>
      <c r="O374" s="1"/>
      <c r="P374" s="1"/>
      <c r="Q374" s="59">
        <f t="shared" si="151"/>
        <v>0</v>
      </c>
      <c r="R374" s="59">
        <f t="shared" si="152"/>
        <v>0</v>
      </c>
    </row>
    <row r="375" spans="1:20" ht="15.75" customHeight="1" x14ac:dyDescent="0.3">
      <c r="A375" s="76" t="s">
        <v>353</v>
      </c>
      <c r="B375" s="1"/>
      <c r="C375" s="1"/>
      <c r="D375" s="1"/>
      <c r="E375" s="59">
        <f t="shared" si="148"/>
        <v>0</v>
      </c>
      <c r="F375" s="1"/>
      <c r="G375" s="1"/>
      <c r="H375" s="1"/>
      <c r="I375" s="59">
        <f t="shared" si="149"/>
        <v>0</v>
      </c>
      <c r="J375" s="1"/>
      <c r="K375" s="1"/>
      <c r="L375" s="1"/>
      <c r="M375" s="59">
        <f t="shared" si="150"/>
        <v>0</v>
      </c>
      <c r="N375" s="1"/>
      <c r="O375" s="1"/>
      <c r="P375" s="1"/>
      <c r="Q375" s="59">
        <f t="shared" si="151"/>
        <v>0</v>
      </c>
      <c r="R375" s="59">
        <f t="shared" si="152"/>
        <v>0</v>
      </c>
      <c r="T375" s="4" t="s">
        <v>354</v>
      </c>
    </row>
    <row r="376" spans="1:20" ht="15.75" customHeight="1" x14ac:dyDescent="0.3">
      <c r="A376" s="76" t="s">
        <v>355</v>
      </c>
      <c r="B376" s="1"/>
      <c r="C376" s="1"/>
      <c r="D376" s="1"/>
      <c r="E376" s="59">
        <f t="shared" si="148"/>
        <v>0</v>
      </c>
      <c r="F376" s="1"/>
      <c r="G376" s="1"/>
      <c r="H376" s="1"/>
      <c r="I376" s="59">
        <f t="shared" si="149"/>
        <v>0</v>
      </c>
      <c r="J376" s="1"/>
      <c r="K376" s="1"/>
      <c r="L376" s="1"/>
      <c r="M376" s="59">
        <f t="shared" si="150"/>
        <v>0</v>
      </c>
      <c r="N376" s="1"/>
      <c r="O376" s="1"/>
      <c r="P376" s="1"/>
      <c r="Q376" s="59">
        <f t="shared" si="151"/>
        <v>0</v>
      </c>
      <c r="R376" s="59">
        <f t="shared" si="152"/>
        <v>0</v>
      </c>
      <c r="T376" s="4" t="s">
        <v>354</v>
      </c>
    </row>
    <row r="377" spans="1:20" ht="15.75" customHeight="1" x14ac:dyDescent="0.3">
      <c r="A377" s="76" t="s">
        <v>356</v>
      </c>
      <c r="B377" s="1"/>
      <c r="C377" s="1"/>
      <c r="D377" s="1"/>
      <c r="E377" s="59">
        <f t="shared" si="148"/>
        <v>0</v>
      </c>
      <c r="F377" s="1"/>
      <c r="G377" s="1"/>
      <c r="H377" s="1"/>
      <c r="I377" s="59">
        <f t="shared" si="149"/>
        <v>0</v>
      </c>
      <c r="J377" s="1"/>
      <c r="K377" s="1"/>
      <c r="L377" s="1"/>
      <c r="M377" s="59">
        <f t="shared" si="150"/>
        <v>0</v>
      </c>
      <c r="N377" s="1"/>
      <c r="O377" s="1"/>
      <c r="P377" s="1"/>
      <c r="Q377" s="59">
        <f t="shared" si="151"/>
        <v>0</v>
      </c>
      <c r="R377" s="59">
        <f t="shared" si="152"/>
        <v>0</v>
      </c>
      <c r="T377" s="4" t="s">
        <v>127</v>
      </c>
    </row>
    <row r="378" spans="1:20" ht="15.75" customHeight="1" x14ac:dyDescent="0.3">
      <c r="A378" s="76" t="s">
        <v>357</v>
      </c>
      <c r="B378" s="1"/>
      <c r="C378" s="1"/>
      <c r="D378" s="1"/>
      <c r="E378" s="59">
        <f>SUM(B378:D378)</f>
        <v>0</v>
      </c>
      <c r="F378" s="1"/>
      <c r="G378" s="1"/>
      <c r="H378" s="1"/>
      <c r="I378" s="59">
        <f>SUM(F378:H378)</f>
        <v>0</v>
      </c>
      <c r="J378" s="1"/>
      <c r="K378" s="1"/>
      <c r="L378" s="1"/>
      <c r="M378" s="59">
        <f>SUM(J378:L378)</f>
        <v>0</v>
      </c>
      <c r="N378" s="1"/>
      <c r="O378" s="1"/>
      <c r="P378" s="1"/>
      <c r="Q378" s="59">
        <f>SUM(N378:P378)</f>
        <v>0</v>
      </c>
      <c r="R378" s="59">
        <f>+E378+I378+M378+Q378</f>
        <v>0</v>
      </c>
      <c r="T378" s="4" t="s">
        <v>127</v>
      </c>
    </row>
    <row r="379" spans="1:20" ht="15.75" customHeight="1" x14ac:dyDescent="0.3">
      <c r="A379" s="76" t="s">
        <v>358</v>
      </c>
      <c r="B379" s="1"/>
      <c r="C379" s="1"/>
      <c r="D379" s="1"/>
      <c r="E379" s="59">
        <f t="shared" si="148"/>
        <v>0</v>
      </c>
      <c r="F379" s="1"/>
      <c r="G379" s="1"/>
      <c r="H379" s="1"/>
      <c r="I379" s="59">
        <f t="shared" si="149"/>
        <v>0</v>
      </c>
      <c r="J379" s="1"/>
      <c r="K379" s="1"/>
      <c r="L379" s="1"/>
      <c r="M379" s="59">
        <f t="shared" si="150"/>
        <v>0</v>
      </c>
      <c r="N379" s="1"/>
      <c r="O379" s="1"/>
      <c r="P379" s="1"/>
      <c r="Q379" s="59">
        <f t="shared" si="151"/>
        <v>0</v>
      </c>
      <c r="R379" s="59">
        <f t="shared" si="152"/>
        <v>0</v>
      </c>
      <c r="T379" s="4" t="s">
        <v>359</v>
      </c>
    </row>
    <row r="380" spans="1:20" ht="15.75" customHeight="1" x14ac:dyDescent="0.3">
      <c r="A380" s="17" t="s">
        <v>49</v>
      </c>
      <c r="B380" s="1"/>
      <c r="C380" s="1"/>
      <c r="D380" s="1"/>
      <c r="E380" s="59" t="s">
        <v>7</v>
      </c>
      <c r="F380" s="1"/>
      <c r="G380" s="1"/>
      <c r="H380" s="1"/>
      <c r="I380" s="59" t="s">
        <v>7</v>
      </c>
      <c r="J380" s="1"/>
      <c r="K380" s="1"/>
      <c r="L380" s="1"/>
      <c r="M380" s="59" t="s">
        <v>7</v>
      </c>
      <c r="N380" s="1"/>
      <c r="O380" s="1"/>
      <c r="P380" s="1"/>
      <c r="Q380" s="59" t="s">
        <v>7</v>
      </c>
      <c r="R380" s="59" t="s">
        <v>7</v>
      </c>
    </row>
    <row r="381" spans="1:20" ht="15.75" customHeight="1" x14ac:dyDescent="0.3">
      <c r="A381" s="76" t="s">
        <v>360</v>
      </c>
      <c r="B381" s="1"/>
      <c r="C381" s="1"/>
      <c r="D381" s="1"/>
      <c r="E381" s="59">
        <f>SUM(B381:D381)</f>
        <v>0</v>
      </c>
      <c r="F381" s="1"/>
      <c r="G381" s="1"/>
      <c r="H381" s="1"/>
      <c r="I381" s="59">
        <f>SUM(F381:H381)</f>
        <v>0</v>
      </c>
      <c r="J381" s="1"/>
      <c r="K381" s="1"/>
      <c r="L381" s="1"/>
      <c r="M381" s="59">
        <f>SUM(J381:L381)</f>
        <v>0</v>
      </c>
      <c r="N381" s="1"/>
      <c r="O381" s="1"/>
      <c r="P381" s="1"/>
      <c r="Q381" s="59">
        <f>SUM(N381:P381)</f>
        <v>0</v>
      </c>
      <c r="R381" s="59">
        <f>+E381+I381+M381+Q381</f>
        <v>0</v>
      </c>
      <c r="S381" s="77" t="s">
        <v>90</v>
      </c>
      <c r="T381" s="4" t="s">
        <v>305</v>
      </c>
    </row>
    <row r="382" spans="1:20" ht="15.75" customHeight="1" x14ac:dyDescent="0.3">
      <c r="A382" s="76" t="s">
        <v>361</v>
      </c>
      <c r="B382" s="1"/>
      <c r="C382" s="1"/>
      <c r="D382" s="1"/>
      <c r="E382" s="59">
        <f>SUM(B382:D382)</f>
        <v>0</v>
      </c>
      <c r="F382" s="1"/>
      <c r="G382" s="1">
        <v>2000</v>
      </c>
      <c r="H382" s="1">
        <v>2000</v>
      </c>
      <c r="I382" s="59">
        <f>SUM(F382:H382)</f>
        <v>4000</v>
      </c>
      <c r="J382" s="1">
        <v>2000</v>
      </c>
      <c r="K382" s="1"/>
      <c r="L382" s="1"/>
      <c r="M382" s="59">
        <f>SUM(J382:L382)</f>
        <v>2000</v>
      </c>
      <c r="N382" s="1"/>
      <c r="O382" s="1"/>
      <c r="P382" s="1"/>
      <c r="Q382" s="59">
        <f>SUM(N382:P382)</f>
        <v>0</v>
      </c>
      <c r="R382" s="59">
        <f>+E382+I382+M382+Q382</f>
        <v>6000</v>
      </c>
      <c r="S382" s="77" t="s">
        <v>90</v>
      </c>
    </row>
    <row r="383" spans="1:20" ht="15.75" customHeight="1" x14ac:dyDescent="0.3">
      <c r="A383" s="76" t="s">
        <v>362</v>
      </c>
      <c r="B383" s="1"/>
      <c r="C383" s="1"/>
      <c r="D383" s="1"/>
      <c r="E383" s="59">
        <f>SUM(B383:D383)</f>
        <v>0</v>
      </c>
      <c r="F383" s="1"/>
      <c r="G383" s="1">
        <v>1518</v>
      </c>
      <c r="H383" s="1">
        <f>2077+90</f>
        <v>2167</v>
      </c>
      <c r="I383" s="59">
        <f>SUM(F383:H383)</f>
        <v>3685</v>
      </c>
      <c r="J383" s="1"/>
      <c r="K383" s="1"/>
      <c r="L383" s="1"/>
      <c r="M383" s="59">
        <f>SUM(J383:L383)</f>
        <v>0</v>
      </c>
      <c r="N383" s="1"/>
      <c r="O383" s="1"/>
      <c r="P383" s="1"/>
      <c r="Q383" s="59">
        <f>SUM(N383:P383)</f>
        <v>0</v>
      </c>
      <c r="R383" s="59">
        <f>+E383+I383+M383+Q383</f>
        <v>3685</v>
      </c>
      <c r="S383" s="77" t="s">
        <v>90</v>
      </c>
      <c r="T383" s="4" t="s">
        <v>331</v>
      </c>
    </row>
    <row r="384" spans="1:20" ht="15.75" customHeight="1" x14ac:dyDescent="0.3">
      <c r="A384" s="76" t="s">
        <v>363</v>
      </c>
      <c r="B384" s="1"/>
      <c r="C384" s="1"/>
      <c r="D384" s="1"/>
      <c r="E384" s="59">
        <f>SUM(B384:D384)</f>
        <v>0</v>
      </c>
      <c r="F384" s="1"/>
      <c r="G384" s="1"/>
      <c r="H384" s="1"/>
      <c r="I384" s="59">
        <f>SUM(F384:H384)</f>
        <v>0</v>
      </c>
      <c r="J384" s="1"/>
      <c r="K384" s="1"/>
      <c r="L384" s="1"/>
      <c r="M384" s="59">
        <f>SUM(J384:L384)</f>
        <v>0</v>
      </c>
      <c r="N384" s="1"/>
      <c r="O384" s="1"/>
      <c r="P384" s="1"/>
      <c r="Q384" s="59">
        <f>SUM(N384:P384)</f>
        <v>0</v>
      </c>
      <c r="R384" s="59">
        <f>+E384+I384+M384+Q384</f>
        <v>0</v>
      </c>
      <c r="S384" s="77" t="s">
        <v>90</v>
      </c>
      <c r="T384" s="4" t="s">
        <v>315</v>
      </c>
    </row>
    <row r="385" spans="1:39" ht="16.5" customHeight="1" thickBot="1" x14ac:dyDescent="0.35">
      <c r="A385" s="17" t="s">
        <v>51</v>
      </c>
      <c r="B385" s="1"/>
      <c r="C385" s="1"/>
      <c r="D385" s="1"/>
      <c r="E385" s="59" t="s">
        <v>7</v>
      </c>
      <c r="F385" s="1"/>
      <c r="G385" s="1"/>
      <c r="H385" s="1"/>
      <c r="I385" s="59" t="s">
        <v>7</v>
      </c>
      <c r="J385" s="1"/>
      <c r="K385" s="1"/>
      <c r="L385" s="1"/>
      <c r="M385" s="59" t="s">
        <v>7</v>
      </c>
      <c r="N385" s="1"/>
      <c r="O385" s="1"/>
      <c r="P385" s="1"/>
      <c r="Q385" s="59" t="s">
        <v>7</v>
      </c>
      <c r="R385" s="88" t="s">
        <v>7</v>
      </c>
      <c r="V385" s="4" t="s">
        <v>364</v>
      </c>
      <c r="W385" s="4" t="s">
        <v>365</v>
      </c>
    </row>
    <row r="386" spans="1:39" ht="16.5" customHeight="1" thickBot="1" x14ac:dyDescent="0.35">
      <c r="A386" s="126" t="s">
        <v>52</v>
      </c>
      <c r="B386" s="100">
        <f>SUM(B333:B385)</f>
        <v>2588</v>
      </c>
      <c r="C386" s="101">
        <f>SUM(C333:C385)</f>
        <v>809</v>
      </c>
      <c r="D386" s="101">
        <f>SUM(D333:D385)</f>
        <v>2683</v>
      </c>
      <c r="E386" s="64">
        <f>SUM(B386:D386)</f>
        <v>6080</v>
      </c>
      <c r="F386" s="101">
        <f>SUM(F333:F385)</f>
        <v>6384</v>
      </c>
      <c r="G386" s="101">
        <f>SUM(G333:G385)</f>
        <v>10699</v>
      </c>
      <c r="H386" s="101">
        <f>SUM(H333:H385)</f>
        <v>14012</v>
      </c>
      <c r="I386" s="64">
        <f>SUM(F386:H386)</f>
        <v>31095</v>
      </c>
      <c r="J386" s="101">
        <f>SUM(J333:J385)</f>
        <v>11241</v>
      </c>
      <c r="K386" s="101">
        <f>SUM(K333:K385)</f>
        <v>12987</v>
      </c>
      <c r="L386" s="101">
        <f>SUM(L333:L385)</f>
        <v>16591</v>
      </c>
      <c r="M386" s="64">
        <f>SUM(J386:L386)</f>
        <v>40819</v>
      </c>
      <c r="N386" s="101">
        <f>SUM(N333:N385)</f>
        <v>12046</v>
      </c>
      <c r="O386" s="101">
        <f>SUM(O333:O385)</f>
        <v>512</v>
      </c>
      <c r="P386" s="101">
        <f>SUM(P333:P385)</f>
        <v>11291</v>
      </c>
      <c r="Q386" s="64">
        <f>SUM(N386:P386)</f>
        <v>23849</v>
      </c>
      <c r="R386" s="64">
        <f>+E386+I386+M386+Q386</f>
        <v>101843</v>
      </c>
      <c r="T386" s="106"/>
      <c r="V386" s="4" t="s">
        <v>305</v>
      </c>
      <c r="W386" s="127">
        <v>0.18</v>
      </c>
    </row>
    <row r="387" spans="1:39" ht="15.75" customHeight="1" x14ac:dyDescent="0.3">
      <c r="A387" s="17" t="s">
        <v>53</v>
      </c>
      <c r="B387" s="1"/>
      <c r="C387" s="1"/>
      <c r="D387" s="1"/>
      <c r="E387" s="59" t="s">
        <v>7</v>
      </c>
      <c r="F387" s="1"/>
      <c r="G387" s="1"/>
      <c r="H387" s="1"/>
      <c r="I387" s="59" t="s">
        <v>7</v>
      </c>
      <c r="J387" s="1"/>
      <c r="K387" s="1"/>
      <c r="L387" s="1"/>
      <c r="M387" s="59" t="s">
        <v>7</v>
      </c>
      <c r="N387" s="1"/>
      <c r="O387" s="1"/>
      <c r="P387" s="1"/>
      <c r="Q387" s="59" t="s">
        <v>7</v>
      </c>
      <c r="R387" s="59" t="s">
        <v>7</v>
      </c>
      <c r="V387" s="4" t="s">
        <v>366</v>
      </c>
      <c r="W387" s="127">
        <v>0.52</v>
      </c>
    </row>
    <row r="388" spans="1:39" ht="15.75" customHeight="1" x14ac:dyDescent="0.3">
      <c r="A388" s="17" t="s">
        <v>367</v>
      </c>
      <c r="B388" s="1"/>
      <c r="C388" s="1"/>
      <c r="D388" s="1"/>
      <c r="E388" s="59"/>
      <c r="F388" s="1"/>
      <c r="G388" s="1"/>
      <c r="H388" s="1"/>
      <c r="I388" s="59"/>
      <c r="J388" s="1"/>
      <c r="K388" s="1"/>
      <c r="L388" s="1"/>
      <c r="M388" s="59"/>
      <c r="N388" s="1"/>
      <c r="O388" s="1"/>
      <c r="P388" s="1"/>
      <c r="Q388" s="59"/>
      <c r="R388" s="59"/>
      <c r="V388" s="4" t="s">
        <v>368</v>
      </c>
      <c r="W388" s="127">
        <v>0.3</v>
      </c>
    </row>
    <row r="389" spans="1:39" ht="15.75" customHeight="1" x14ac:dyDescent="0.3">
      <c r="A389" s="17" t="s">
        <v>55</v>
      </c>
      <c r="B389" s="1"/>
      <c r="C389" s="1"/>
      <c r="D389" s="1"/>
      <c r="E389" s="59" t="s">
        <v>7</v>
      </c>
      <c r="F389" s="1"/>
      <c r="G389" s="1"/>
      <c r="H389" s="1"/>
      <c r="I389" s="59" t="s">
        <v>7</v>
      </c>
      <c r="J389" s="1"/>
      <c r="K389" s="1"/>
      <c r="L389" s="1"/>
      <c r="M389" s="59" t="s">
        <v>7</v>
      </c>
      <c r="N389" s="1"/>
      <c r="O389" s="1"/>
      <c r="P389" s="1"/>
      <c r="Q389" s="59" t="s">
        <v>7</v>
      </c>
      <c r="R389" s="59" t="s">
        <v>7</v>
      </c>
      <c r="W389" s="128">
        <f>+SUM(W386:W388)</f>
        <v>1</v>
      </c>
    </row>
    <row r="390" spans="1:39" ht="15.75" customHeight="1" x14ac:dyDescent="0.3">
      <c r="A390" s="76" t="s">
        <v>369</v>
      </c>
      <c r="B390" s="1">
        <v>3</v>
      </c>
      <c r="C390" s="1">
        <v>47</v>
      </c>
      <c r="D390" s="1">
        <v>427</v>
      </c>
      <c r="E390" s="59">
        <f>SUM(B390:D390)</f>
        <v>477</v>
      </c>
      <c r="F390" s="1">
        <v>2363</v>
      </c>
      <c r="G390" s="1">
        <v>999</v>
      </c>
      <c r="H390" s="1">
        <v>2323</v>
      </c>
      <c r="I390" s="59">
        <f>SUM(F390:H390)</f>
        <v>5685</v>
      </c>
      <c r="J390" s="1">
        <v>4148</v>
      </c>
      <c r="K390" s="1">
        <v>5275</v>
      </c>
      <c r="L390" s="1">
        <v>3230</v>
      </c>
      <c r="M390" s="59">
        <f>SUM(J390:L390)</f>
        <v>12653</v>
      </c>
      <c r="N390" s="1"/>
      <c r="O390" s="1"/>
      <c r="P390" s="1"/>
      <c r="Q390" s="59">
        <f>SUM(N390:P390)</f>
        <v>0</v>
      </c>
      <c r="R390" s="59">
        <f t="shared" ref="R390:R398" si="153">+E390+I390+M390+Q390</f>
        <v>18815</v>
      </c>
      <c r="T390" s="4" t="s">
        <v>305</v>
      </c>
      <c r="V390" s="129" t="s">
        <v>370</v>
      </c>
      <c r="W390" s="30" t="s">
        <v>36</v>
      </c>
      <c r="X390" s="2" t="s">
        <v>9</v>
      </c>
      <c r="Y390" s="2" t="s">
        <v>10</v>
      </c>
      <c r="Z390" s="130" t="s">
        <v>11</v>
      </c>
      <c r="AA390" s="2" t="s">
        <v>12</v>
      </c>
      <c r="AB390" s="2" t="s">
        <v>13</v>
      </c>
      <c r="AC390" s="2" t="s">
        <v>14</v>
      </c>
      <c r="AD390" s="130" t="s">
        <v>15</v>
      </c>
      <c r="AE390" s="2" t="s">
        <v>16</v>
      </c>
      <c r="AF390" s="2" t="s">
        <v>17</v>
      </c>
      <c r="AG390" s="2" t="s">
        <v>18</v>
      </c>
      <c r="AH390" s="130" t="s">
        <v>19</v>
      </c>
      <c r="AI390" s="2" t="s">
        <v>20</v>
      </c>
      <c r="AJ390" s="2" t="s">
        <v>21</v>
      </c>
      <c r="AK390" s="2" t="s">
        <v>22</v>
      </c>
      <c r="AL390" s="130" t="s">
        <v>23</v>
      </c>
      <c r="AM390" s="303" t="s">
        <v>24</v>
      </c>
    </row>
    <row r="391" spans="1:39" ht="15.75" customHeight="1" x14ac:dyDescent="0.3">
      <c r="A391" s="76" t="s">
        <v>371</v>
      </c>
      <c r="B391" s="1"/>
      <c r="C391" s="1"/>
      <c r="D391" s="1"/>
      <c r="E391" s="59">
        <f>SUM(B391:D391)</f>
        <v>0</v>
      </c>
      <c r="F391" s="1">
        <v>18</v>
      </c>
      <c r="G391" s="1">
        <v>22</v>
      </c>
      <c r="H391" s="1"/>
      <c r="I391" s="59">
        <f>SUM(F391:H391)</f>
        <v>40</v>
      </c>
      <c r="J391" s="1">
        <v>57</v>
      </c>
      <c r="K391" s="1">
        <v>9</v>
      </c>
      <c r="L391" s="1">
        <v>13</v>
      </c>
      <c r="M391" s="59">
        <f>SUM(J391:L391)</f>
        <v>79</v>
      </c>
      <c r="N391" s="1"/>
      <c r="O391" s="1"/>
      <c r="P391" s="1"/>
      <c r="Q391" s="59">
        <f>SUM(N391:P391)</f>
        <v>0</v>
      </c>
      <c r="R391" s="59">
        <f t="shared" si="153"/>
        <v>119</v>
      </c>
      <c r="T391" s="4" t="s">
        <v>331</v>
      </c>
      <c r="V391" s="95" t="s">
        <v>372</v>
      </c>
      <c r="W391" s="132">
        <v>1500</v>
      </c>
      <c r="X391" s="132">
        <v>1500</v>
      </c>
      <c r="Y391" s="132">
        <v>6800</v>
      </c>
      <c r="Z391" s="4">
        <f>+SUM(W391:Y391)</f>
        <v>9800</v>
      </c>
      <c r="AA391" s="132">
        <f>8000+1500</f>
        <v>9500</v>
      </c>
      <c r="AB391" s="132">
        <f>10000+2000</f>
        <v>12000</v>
      </c>
      <c r="AC391" s="132">
        <f>12000+1500</f>
        <v>13500</v>
      </c>
      <c r="AD391" s="4">
        <f>+SUM(AA391:AC391)</f>
        <v>35000</v>
      </c>
      <c r="AE391" s="132">
        <v>25500</v>
      </c>
      <c r="AF391" s="132">
        <v>19000</v>
      </c>
      <c r="AG391" s="132">
        <v>4000</v>
      </c>
      <c r="AH391" s="4">
        <f>+SUM(AE391:AG391)</f>
        <v>48500</v>
      </c>
      <c r="AI391" s="132">
        <v>1500</v>
      </c>
      <c r="AJ391" s="132">
        <v>1000</v>
      </c>
      <c r="AK391" s="132">
        <v>1069</v>
      </c>
      <c r="AL391" s="4">
        <f>+SUM(AI391:AK391)</f>
        <v>3569</v>
      </c>
      <c r="AM391" s="304">
        <f>+Z391+AD391+AH391+AL391</f>
        <v>96869</v>
      </c>
    </row>
    <row r="392" spans="1:39" ht="15.75" customHeight="1" x14ac:dyDescent="0.3">
      <c r="A392" s="76" t="s">
        <v>373</v>
      </c>
      <c r="B392" s="1">
        <v>201</v>
      </c>
      <c r="C392" s="1">
        <v>175</v>
      </c>
      <c r="D392" s="1">
        <v>2106</v>
      </c>
      <c r="E392" s="59">
        <f t="shared" ref="E392:E393" si="154">SUM(B392:D392)</f>
        <v>2482</v>
      </c>
      <c r="F392" s="1">
        <v>4270</v>
      </c>
      <c r="G392" s="1">
        <v>1842</v>
      </c>
      <c r="H392" s="1">
        <v>7638</v>
      </c>
      <c r="I392" s="59">
        <f t="shared" ref="I392:I397" si="155">SUM(F392:H392)</f>
        <v>13750</v>
      </c>
      <c r="J392" s="1">
        <v>10019</v>
      </c>
      <c r="K392" s="1">
        <v>5223</v>
      </c>
      <c r="L392" s="1"/>
      <c r="M392" s="59">
        <f t="shared" ref="M392:M397" si="156">SUM(J392:L392)</f>
        <v>15242</v>
      </c>
      <c r="N392" s="1"/>
      <c r="O392" s="1"/>
      <c r="P392" s="1"/>
      <c r="Q392" s="59">
        <f t="shared" ref="Q392:Q398" si="157">SUM(N392:P392)</f>
        <v>0</v>
      </c>
      <c r="R392" s="59">
        <f t="shared" si="153"/>
        <v>31474</v>
      </c>
      <c r="T392" s="4" t="s">
        <v>307</v>
      </c>
      <c r="V392" s="95" t="s">
        <v>305</v>
      </c>
      <c r="W392" s="4">
        <f>+$W$386*W391</f>
        <v>270</v>
      </c>
      <c r="X392" s="4">
        <f>+$W$386*X391</f>
        <v>270</v>
      </c>
      <c r="Y392" s="4">
        <f>+$W$386*Y391</f>
        <v>1224</v>
      </c>
      <c r="Z392" s="4">
        <f>+SUM(W392:Y392)</f>
        <v>1764</v>
      </c>
      <c r="AA392" s="4">
        <f>+$W$386*AA391</f>
        <v>1710</v>
      </c>
      <c r="AB392" s="4">
        <f>+$W$386*AB391</f>
        <v>2160</v>
      </c>
      <c r="AC392" s="4">
        <f>+$W$386*AC391</f>
        <v>2430</v>
      </c>
      <c r="AD392" s="4">
        <f>+SUM(AA392:AC392)</f>
        <v>6300</v>
      </c>
      <c r="AE392" s="4">
        <f>+$W$386*AE391</f>
        <v>4590</v>
      </c>
      <c r="AF392" s="4">
        <f>+$W$386*AF391</f>
        <v>3420</v>
      </c>
      <c r="AG392" s="4">
        <f>+$W$386*AG391</f>
        <v>720</v>
      </c>
      <c r="AH392" s="4">
        <f>+SUM(AE392:AG392)</f>
        <v>8730</v>
      </c>
      <c r="AI392" s="4">
        <f>+$W$386*AI391</f>
        <v>270</v>
      </c>
      <c r="AJ392" s="4">
        <f>+$W$386*AJ391</f>
        <v>180</v>
      </c>
      <c r="AK392" s="4">
        <f>+$W$386*AK391</f>
        <v>192.42</v>
      </c>
      <c r="AL392" s="4">
        <f>+SUM(AI392:AK392)</f>
        <v>642.41999999999996</v>
      </c>
      <c r="AM392" s="304">
        <f>+Z392+AD392+AH392+AL392</f>
        <v>17436.419999999998</v>
      </c>
    </row>
    <row r="393" spans="1:39" ht="15.75" customHeight="1" x14ac:dyDescent="0.3">
      <c r="A393" s="76" t="s">
        <v>374</v>
      </c>
      <c r="B393" s="1">
        <v>1078</v>
      </c>
      <c r="C393" s="1">
        <v>1291</v>
      </c>
      <c r="D393" s="1">
        <v>1316</v>
      </c>
      <c r="E393" s="59">
        <f t="shared" si="154"/>
        <v>3685</v>
      </c>
      <c r="F393" s="1">
        <v>15102</v>
      </c>
      <c r="G393" s="1">
        <v>14476</v>
      </c>
      <c r="H393" s="1">
        <v>22253</v>
      </c>
      <c r="I393" s="59">
        <f t="shared" ref="I393" si="158">SUM(F393:H393)</f>
        <v>51831</v>
      </c>
      <c r="J393" s="1">
        <v>17587</v>
      </c>
      <c r="K393" s="1">
        <v>12033</v>
      </c>
      <c r="L393" s="1">
        <v>3449</v>
      </c>
      <c r="M393" s="59">
        <f t="shared" ref="M393" si="159">SUM(J393:L393)</f>
        <v>33069</v>
      </c>
      <c r="N393" s="1">
        <v>10899</v>
      </c>
      <c r="O393" s="1">
        <v>370</v>
      </c>
      <c r="P393" s="1">
        <v>356</v>
      </c>
      <c r="Q393" s="59">
        <f t="shared" si="157"/>
        <v>11625</v>
      </c>
      <c r="R393" s="59">
        <f t="shared" si="153"/>
        <v>100210</v>
      </c>
      <c r="T393" s="4" t="s">
        <v>305</v>
      </c>
      <c r="V393" s="95" t="s">
        <v>366</v>
      </c>
      <c r="W393" s="4">
        <f>+$W$387*W391</f>
        <v>780</v>
      </c>
      <c r="X393" s="4">
        <f>+$W$387*X391</f>
        <v>780</v>
      </c>
      <c r="Y393" s="4">
        <f>+$W$387*Y391</f>
        <v>3536</v>
      </c>
      <c r="Z393" s="4">
        <f>+SUM(W393:Y393)</f>
        <v>5096</v>
      </c>
      <c r="AA393" s="4">
        <f>+$W$387*AA391</f>
        <v>4940</v>
      </c>
      <c r="AB393" s="4">
        <f>+$W$387*AB391</f>
        <v>6240</v>
      </c>
      <c r="AC393" s="4">
        <f>+$W$387*AC391</f>
        <v>7020</v>
      </c>
      <c r="AD393" s="4">
        <f>+SUM(AA393:AC393)</f>
        <v>18200</v>
      </c>
      <c r="AE393" s="4">
        <f>+$W$387*AE391</f>
        <v>13260</v>
      </c>
      <c r="AF393" s="4">
        <f>+$W$387*AF391</f>
        <v>9880</v>
      </c>
      <c r="AG393" s="4">
        <f>+$W$387*AG391</f>
        <v>2080</v>
      </c>
      <c r="AH393" s="4">
        <f>+SUM(AE393:AG393)</f>
        <v>25220</v>
      </c>
      <c r="AI393" s="4">
        <f>+$W$387*AI391</f>
        <v>780</v>
      </c>
      <c r="AJ393" s="4">
        <f>+$W$387*AJ391</f>
        <v>520</v>
      </c>
      <c r="AK393" s="4">
        <f>+$W$387*AK391</f>
        <v>555.88</v>
      </c>
      <c r="AL393" s="4">
        <f>+SUM(AI393:AK393)</f>
        <v>1855.88</v>
      </c>
      <c r="AM393" s="304">
        <f>+Z393+AD393+AH393+AL393</f>
        <v>50371.88</v>
      </c>
    </row>
    <row r="394" spans="1:39" ht="15.75" customHeight="1" x14ac:dyDescent="0.3">
      <c r="A394" s="76" t="s">
        <v>375</v>
      </c>
      <c r="B394" s="1"/>
      <c r="C394" s="1"/>
      <c r="D394" s="1"/>
      <c r="E394" s="59">
        <f t="shared" ref="E394:E397" si="160">SUM(B394:D394)</f>
        <v>0</v>
      </c>
      <c r="F394" s="1"/>
      <c r="G394" s="1"/>
      <c r="H394" s="1"/>
      <c r="I394" s="59">
        <f t="shared" si="155"/>
        <v>0</v>
      </c>
      <c r="J394" s="1"/>
      <c r="K394" s="1"/>
      <c r="L394" s="1"/>
      <c r="M394" s="59">
        <f t="shared" si="156"/>
        <v>0</v>
      </c>
      <c r="N394" s="1"/>
      <c r="O394" s="1"/>
      <c r="P394" s="1"/>
      <c r="Q394" s="59">
        <f t="shared" si="157"/>
        <v>0</v>
      </c>
      <c r="R394" s="59">
        <f t="shared" si="153"/>
        <v>0</v>
      </c>
      <c r="T394" s="4" t="s">
        <v>376</v>
      </c>
      <c r="V394" s="95" t="s">
        <v>368</v>
      </c>
      <c r="W394" s="4">
        <f>+$W$388*W391</f>
        <v>450</v>
      </c>
      <c r="X394" s="4">
        <f>+$W$388*X391</f>
        <v>450</v>
      </c>
      <c r="Y394" s="4">
        <f>+$W$388*Y391</f>
        <v>2040</v>
      </c>
      <c r="Z394" s="4">
        <f>+SUM(W394:Y394)</f>
        <v>2940</v>
      </c>
      <c r="AA394" s="4">
        <f>+$W$388*AA391</f>
        <v>2850</v>
      </c>
      <c r="AB394" s="4">
        <f>+$W$388*AB391</f>
        <v>3600</v>
      </c>
      <c r="AC394" s="4">
        <f>+$W$388*AC391</f>
        <v>4050</v>
      </c>
      <c r="AD394" s="4">
        <f>+SUM(AA394:AC394)</f>
        <v>10500</v>
      </c>
      <c r="AE394" s="4">
        <f>+$W$388*AE391</f>
        <v>7650</v>
      </c>
      <c r="AF394" s="4">
        <f>+$W$388*AF391</f>
        <v>5700</v>
      </c>
      <c r="AG394" s="4">
        <f>+$W$388*AG391</f>
        <v>1200</v>
      </c>
      <c r="AH394" s="4">
        <f>+SUM(AE394:AG394)</f>
        <v>14550</v>
      </c>
      <c r="AI394" s="4">
        <f>+$W$388*AI391</f>
        <v>450</v>
      </c>
      <c r="AJ394" s="4">
        <f>+$W$388*AJ391</f>
        <v>300</v>
      </c>
      <c r="AK394" s="4">
        <f>+$W$388*AK391</f>
        <v>320.7</v>
      </c>
      <c r="AL394" s="4">
        <f>+$W$388*AL391</f>
        <v>1070.7</v>
      </c>
      <c r="AM394" s="304">
        <f>+Z394+AD394+AH394+AL394</f>
        <v>29060.7</v>
      </c>
    </row>
    <row r="395" spans="1:39" ht="15.75" customHeight="1" thickBot="1" x14ac:dyDescent="0.35">
      <c r="A395" s="76" t="s">
        <v>377</v>
      </c>
      <c r="B395" s="1"/>
      <c r="C395" s="1">
        <v>12</v>
      </c>
      <c r="D395" s="1">
        <v>454</v>
      </c>
      <c r="E395" s="59">
        <f t="shared" ref="E395" si="161">SUM(B395:D395)</f>
        <v>466</v>
      </c>
      <c r="F395" s="1">
        <v>1845</v>
      </c>
      <c r="G395" s="1">
        <v>56</v>
      </c>
      <c r="H395" s="1"/>
      <c r="I395" s="59">
        <f t="shared" ref="I395" si="162">SUM(F395:H395)</f>
        <v>1901</v>
      </c>
      <c r="J395" s="1">
        <v>48</v>
      </c>
      <c r="K395" s="1"/>
      <c r="L395" s="1"/>
      <c r="M395" s="59">
        <f t="shared" ref="M395" si="163">SUM(J395:L395)</f>
        <v>48</v>
      </c>
      <c r="N395" s="1"/>
      <c r="O395" s="1"/>
      <c r="P395" s="1"/>
      <c r="Q395" s="59">
        <f t="shared" si="157"/>
        <v>0</v>
      </c>
      <c r="R395" s="59">
        <f t="shared" si="153"/>
        <v>2415</v>
      </c>
      <c r="T395" s="4" t="s">
        <v>331</v>
      </c>
      <c r="V395" s="134"/>
      <c r="W395" s="135"/>
      <c r="X395" s="135"/>
      <c r="Y395" s="135"/>
      <c r="Z395" s="135"/>
      <c r="AA395" s="135"/>
      <c r="AB395" s="135"/>
      <c r="AC395" s="135"/>
      <c r="AD395" s="135"/>
      <c r="AE395" s="135"/>
      <c r="AF395" s="135"/>
      <c r="AG395" s="135"/>
      <c r="AH395" s="135"/>
      <c r="AI395" s="135"/>
      <c r="AJ395" s="135"/>
      <c r="AK395" s="135"/>
      <c r="AL395" s="135"/>
      <c r="AM395" s="136"/>
    </row>
    <row r="396" spans="1:39" s="20" customFormat="1" ht="15.75" customHeight="1" x14ac:dyDescent="0.3">
      <c r="A396" s="104" t="s">
        <v>378</v>
      </c>
      <c r="B396" s="92"/>
      <c r="C396" s="92"/>
      <c r="D396" s="92"/>
      <c r="E396" s="93">
        <f t="shared" si="160"/>
        <v>0</v>
      </c>
      <c r="F396" s="92"/>
      <c r="G396" s="92"/>
      <c r="H396" s="92"/>
      <c r="I396" s="93">
        <f t="shared" si="155"/>
        <v>0</v>
      </c>
      <c r="J396" s="92"/>
      <c r="K396" s="92"/>
      <c r="L396" s="92"/>
      <c r="M396" s="93">
        <f t="shared" si="156"/>
        <v>0</v>
      </c>
      <c r="N396" s="92">
        <v>-5000</v>
      </c>
      <c r="O396" s="92"/>
      <c r="P396" s="92">
        <v>5000</v>
      </c>
      <c r="Q396" s="93">
        <f t="shared" ref="Q396" si="164">SUM(N396:P396)</f>
        <v>0</v>
      </c>
      <c r="R396" s="93">
        <f t="shared" si="153"/>
        <v>0</v>
      </c>
    </row>
    <row r="397" spans="1:39" ht="15.75" customHeight="1" x14ac:dyDescent="0.3">
      <c r="A397" s="76" t="s">
        <v>379</v>
      </c>
      <c r="B397" s="1"/>
      <c r="C397" s="1"/>
      <c r="D397" s="1"/>
      <c r="E397" s="59">
        <f t="shared" si="160"/>
        <v>0</v>
      </c>
      <c r="F397" s="1"/>
      <c r="G397" s="1"/>
      <c r="H397" s="1"/>
      <c r="I397" s="59">
        <f t="shared" si="155"/>
        <v>0</v>
      </c>
      <c r="J397" s="1"/>
      <c r="K397" s="1"/>
      <c r="L397" s="1"/>
      <c r="M397" s="59">
        <f t="shared" si="156"/>
        <v>0</v>
      </c>
      <c r="N397" s="1">
        <v>1</v>
      </c>
      <c r="O397" s="1"/>
      <c r="P397" s="1"/>
      <c r="Q397" s="59">
        <f t="shared" si="157"/>
        <v>1</v>
      </c>
      <c r="R397" s="59">
        <f t="shared" si="153"/>
        <v>1</v>
      </c>
      <c r="T397" s="4" t="s">
        <v>317</v>
      </c>
    </row>
    <row r="398" spans="1:39" ht="15.75" customHeight="1" x14ac:dyDescent="0.3">
      <c r="A398" s="76" t="s">
        <v>380</v>
      </c>
      <c r="B398" s="1"/>
      <c r="C398" s="1">
        <v>53</v>
      </c>
      <c r="D398" s="1"/>
      <c r="E398" s="59">
        <f t="shared" ref="E398" si="165">SUM(B398:D398)</f>
        <v>53</v>
      </c>
      <c r="F398" s="1">
        <v>97</v>
      </c>
      <c r="G398" s="1"/>
      <c r="H398" s="1"/>
      <c r="I398" s="59">
        <f t="shared" ref="I398" si="166">SUM(F398:H398)</f>
        <v>97</v>
      </c>
      <c r="J398" s="1">
        <v>256</v>
      </c>
      <c r="K398" s="1">
        <v>288</v>
      </c>
      <c r="L398" s="1">
        <f>60+1293+154</f>
        <v>1507</v>
      </c>
      <c r="M398" s="59">
        <f t="shared" ref="M398" si="167">SUM(J398:L398)</f>
        <v>2051</v>
      </c>
      <c r="N398" s="1">
        <v>799</v>
      </c>
      <c r="O398" s="1"/>
      <c r="P398" s="1"/>
      <c r="Q398" s="59">
        <f t="shared" si="157"/>
        <v>799</v>
      </c>
      <c r="R398" s="59">
        <f t="shared" si="153"/>
        <v>3000</v>
      </c>
    </row>
    <row r="399" spans="1:39" ht="15.75" customHeight="1" thickBot="1" x14ac:dyDescent="0.35">
      <c r="A399" s="17" t="s">
        <v>56</v>
      </c>
      <c r="B399" s="1"/>
      <c r="C399" s="1"/>
      <c r="D399" s="1"/>
      <c r="E399" s="59" t="s">
        <v>7</v>
      </c>
      <c r="F399" s="1"/>
      <c r="G399" s="1"/>
      <c r="H399" s="1"/>
      <c r="I399" s="59" t="s">
        <v>7</v>
      </c>
      <c r="J399" s="1"/>
      <c r="K399" s="1"/>
      <c r="L399" s="1"/>
      <c r="M399" s="59" t="s">
        <v>7</v>
      </c>
      <c r="N399" s="1"/>
      <c r="O399" s="1"/>
      <c r="P399" s="1"/>
      <c r="Q399" s="59" t="s">
        <v>7</v>
      </c>
      <c r="R399" s="59" t="s">
        <v>7</v>
      </c>
    </row>
    <row r="400" spans="1:39" ht="16.5" customHeight="1" thickBot="1" x14ac:dyDescent="0.35">
      <c r="A400" s="62" t="s">
        <v>57</v>
      </c>
      <c r="B400" s="100">
        <f>SUM(B387:B399)</f>
        <v>1282</v>
      </c>
      <c r="C400" s="101">
        <f>SUM(C387:C399)</f>
        <v>1578</v>
      </c>
      <c r="D400" s="101">
        <f>SUM(D387:D399)</f>
        <v>4303</v>
      </c>
      <c r="E400" s="64">
        <f>SUM(B400:D400)</f>
        <v>7163</v>
      </c>
      <c r="F400" s="101">
        <f>SUM(F387:F399)</f>
        <v>23695</v>
      </c>
      <c r="G400" s="101">
        <f>SUM(G387:G399)</f>
        <v>17395</v>
      </c>
      <c r="H400" s="101">
        <f>SUM(H387:H399)</f>
        <v>32214</v>
      </c>
      <c r="I400" s="64">
        <f>SUM(F400:H400)</f>
        <v>73304</v>
      </c>
      <c r="J400" s="101">
        <f>SUM(J387:J399)</f>
        <v>32115</v>
      </c>
      <c r="K400" s="101">
        <f>SUM(K387:K399)</f>
        <v>22828</v>
      </c>
      <c r="L400" s="101">
        <f>SUM(L387:L399)</f>
        <v>8199</v>
      </c>
      <c r="M400" s="64">
        <f>SUM(J400:L400)</f>
        <v>63142</v>
      </c>
      <c r="N400" s="101">
        <f>SUM(N387:N399)</f>
        <v>6699</v>
      </c>
      <c r="O400" s="101">
        <f>SUM(O387:O399)</f>
        <v>370</v>
      </c>
      <c r="P400" s="101">
        <f>SUM(P387:P399)</f>
        <v>5356</v>
      </c>
      <c r="Q400" s="64">
        <f>SUM(N400:P400)</f>
        <v>12425</v>
      </c>
      <c r="R400" s="64">
        <f>+E400+I400+M400+Q400</f>
        <v>156034</v>
      </c>
    </row>
    <row r="401" spans="1:20" ht="15.75" customHeight="1" x14ac:dyDescent="0.3">
      <c r="A401" s="17" t="s">
        <v>58</v>
      </c>
      <c r="B401" s="1"/>
      <c r="C401" s="1"/>
      <c r="D401" s="1"/>
      <c r="E401" s="59" t="s">
        <v>7</v>
      </c>
      <c r="F401" s="1"/>
      <c r="G401" s="1"/>
      <c r="H401" s="1"/>
      <c r="I401" s="59" t="s">
        <v>7</v>
      </c>
      <c r="J401" s="1"/>
      <c r="K401" s="1"/>
      <c r="L401" s="1"/>
      <c r="M401" s="59" t="s">
        <v>7</v>
      </c>
      <c r="N401" s="1"/>
      <c r="O401" s="1"/>
      <c r="P401" s="1"/>
      <c r="Q401" s="59" t="s">
        <v>7</v>
      </c>
      <c r="R401" s="59" t="s">
        <v>7</v>
      </c>
    </row>
    <row r="402" spans="1:20" ht="15.75" customHeight="1" x14ac:dyDescent="0.3">
      <c r="A402" s="17" t="s">
        <v>59</v>
      </c>
      <c r="B402" s="1"/>
      <c r="C402" s="1"/>
      <c r="D402" s="1"/>
      <c r="E402" s="59" t="s">
        <v>7</v>
      </c>
      <c r="F402" s="1"/>
      <c r="G402" s="1"/>
      <c r="H402" s="1"/>
      <c r="I402" s="59" t="s">
        <v>7</v>
      </c>
      <c r="J402" s="1"/>
      <c r="K402" s="1"/>
      <c r="L402" s="1"/>
      <c r="M402" s="59" t="s">
        <v>7</v>
      </c>
      <c r="N402" s="1"/>
      <c r="O402" s="1"/>
      <c r="P402" s="1"/>
      <c r="Q402" s="59" t="s">
        <v>7</v>
      </c>
      <c r="R402" s="59" t="s">
        <v>7</v>
      </c>
    </row>
    <row r="403" spans="1:20" ht="15.75" customHeight="1" x14ac:dyDescent="0.3">
      <c r="A403" s="76" t="s">
        <v>381</v>
      </c>
      <c r="B403" s="1">
        <v>431</v>
      </c>
      <c r="C403" s="1">
        <v>2533</v>
      </c>
      <c r="D403" s="1">
        <v>5731</v>
      </c>
      <c r="E403" s="59">
        <f>SUM(B403:D403)</f>
        <v>8695</v>
      </c>
      <c r="F403" s="1">
        <v>8808</v>
      </c>
      <c r="G403" s="1">
        <v>10272</v>
      </c>
      <c r="H403" s="1">
        <v>11718</v>
      </c>
      <c r="I403" s="59">
        <f>SUM(F403:H403)</f>
        <v>30798</v>
      </c>
      <c r="J403" s="1">
        <v>11648</v>
      </c>
      <c r="K403" s="1">
        <v>9985</v>
      </c>
      <c r="L403" s="1">
        <v>5320</v>
      </c>
      <c r="M403" s="59">
        <f>SUM(J403:L403)</f>
        <v>26953</v>
      </c>
      <c r="N403" s="1">
        <v>3975</v>
      </c>
      <c r="O403" s="1">
        <v>2221</v>
      </c>
      <c r="P403" s="1">
        <v>512</v>
      </c>
      <c r="Q403" s="59">
        <f>SUM(N403:P403)</f>
        <v>6708</v>
      </c>
      <c r="R403" s="59">
        <f>+E403+I403+M403+Q403</f>
        <v>73154</v>
      </c>
      <c r="T403" s="4" t="s">
        <v>305</v>
      </c>
    </row>
    <row r="404" spans="1:20" ht="15.75" customHeight="1" x14ac:dyDescent="0.3">
      <c r="A404" s="76" t="s">
        <v>382</v>
      </c>
      <c r="B404" s="1">
        <f>41+127</f>
        <v>168</v>
      </c>
      <c r="C404" s="1">
        <f>895+103</f>
        <v>998</v>
      </c>
      <c r="D404" s="1">
        <f>623+355</f>
        <v>978</v>
      </c>
      <c r="E404" s="59">
        <f>SUM(B404:D404)</f>
        <v>2144</v>
      </c>
      <c r="F404" s="1">
        <f>1860+1303</f>
        <v>3163</v>
      </c>
      <c r="G404" s="1">
        <f>1570+2395</f>
        <v>3965</v>
      </c>
      <c r="H404" s="1">
        <f>2044+258</f>
        <v>2302</v>
      </c>
      <c r="I404" s="59">
        <f>SUM(F404:H404)</f>
        <v>9430</v>
      </c>
      <c r="J404" s="1">
        <f>2602+183</f>
        <v>2785</v>
      </c>
      <c r="K404" s="1">
        <f>2592+183</f>
        <v>2775</v>
      </c>
      <c r="L404" s="1">
        <f>2174+386</f>
        <v>2560</v>
      </c>
      <c r="M404" s="59">
        <f>SUM(J404:L404)</f>
        <v>8120</v>
      </c>
      <c r="N404" s="1">
        <v>5495</v>
      </c>
      <c r="O404" s="1"/>
      <c r="P404" s="1">
        <v>4609</v>
      </c>
      <c r="Q404" s="59">
        <f>SUM(N404:P404)</f>
        <v>10104</v>
      </c>
      <c r="R404" s="59">
        <f>+E404+I404+M404+Q404</f>
        <v>29798</v>
      </c>
      <c r="T404" s="4" t="s">
        <v>336</v>
      </c>
    </row>
    <row r="405" spans="1:20" ht="15.75" customHeight="1" x14ac:dyDescent="0.3">
      <c r="A405" s="17" t="s">
        <v>60</v>
      </c>
      <c r="B405" s="1"/>
      <c r="C405" s="1"/>
      <c r="D405" s="1"/>
      <c r="E405" s="59" t="s">
        <v>7</v>
      </c>
      <c r="F405" s="1"/>
      <c r="G405" s="1"/>
      <c r="H405" s="1"/>
      <c r="I405" s="59" t="s">
        <v>7</v>
      </c>
      <c r="J405" s="1"/>
      <c r="K405" s="1"/>
      <c r="L405" s="1"/>
      <c r="M405" s="59" t="s">
        <v>7</v>
      </c>
      <c r="N405" s="1"/>
      <c r="O405" s="1"/>
      <c r="P405" s="1"/>
      <c r="Q405" s="59" t="s">
        <v>7</v>
      </c>
      <c r="R405" s="59" t="s">
        <v>7</v>
      </c>
    </row>
    <row r="406" spans="1:20" ht="15.75" customHeight="1" x14ac:dyDescent="0.3">
      <c r="A406" s="76" t="s">
        <v>385</v>
      </c>
      <c r="B406" s="1"/>
      <c r="C406" s="1"/>
      <c r="D406" s="1"/>
      <c r="E406" s="59">
        <f>SUM(B406:D406)</f>
        <v>0</v>
      </c>
      <c r="F406" s="1"/>
      <c r="G406" s="1"/>
      <c r="H406" s="1"/>
      <c r="I406" s="59">
        <f>SUM(F406:H406)</f>
        <v>0</v>
      </c>
      <c r="J406" s="1">
        <v>2056</v>
      </c>
      <c r="K406" s="1">
        <v>3944</v>
      </c>
      <c r="L406" s="1"/>
      <c r="M406" s="59">
        <f>SUM(J406:L406)</f>
        <v>6000</v>
      </c>
      <c r="N406" s="1"/>
      <c r="O406" s="1"/>
      <c r="P406" s="1"/>
      <c r="Q406" s="59">
        <f>SUM(N406:P406)</f>
        <v>0</v>
      </c>
      <c r="R406" s="59">
        <f t="shared" ref="R406:R457" si="168">+E406+I406+M406+Q406</f>
        <v>6000</v>
      </c>
    </row>
    <row r="407" spans="1:20" ht="15.75" customHeight="1" x14ac:dyDescent="0.3">
      <c r="A407" s="76" t="s">
        <v>386</v>
      </c>
      <c r="B407" s="1"/>
      <c r="C407" s="1"/>
      <c r="D407" s="1"/>
      <c r="E407" s="59">
        <f>SUM(B407:D407)</f>
        <v>0</v>
      </c>
      <c r="F407" s="1"/>
      <c r="G407" s="1"/>
      <c r="H407" s="1"/>
      <c r="I407" s="59">
        <f>SUM(F407:H407)</f>
        <v>0</v>
      </c>
      <c r="J407" s="1">
        <v>1613</v>
      </c>
      <c r="K407" s="1"/>
      <c r="L407" s="1"/>
      <c r="M407" s="59">
        <f>SUM(J407:L407)</f>
        <v>1613</v>
      </c>
      <c r="N407" s="1"/>
      <c r="O407" s="1"/>
      <c r="P407" s="1"/>
      <c r="Q407" s="59">
        <f>SUM(N407:P407)</f>
        <v>0</v>
      </c>
      <c r="R407" s="59">
        <f t="shared" si="168"/>
        <v>1613</v>
      </c>
    </row>
    <row r="408" spans="1:20" ht="15.75" customHeight="1" x14ac:dyDescent="0.3">
      <c r="A408" s="76" t="s">
        <v>979</v>
      </c>
      <c r="B408" s="1"/>
      <c r="C408" s="1"/>
      <c r="D408" s="1"/>
      <c r="E408" s="59">
        <f t="shared" ref="E408:E411" si="169">SUM(B408:D408)</f>
        <v>0</v>
      </c>
      <c r="F408" s="1"/>
      <c r="G408" s="1"/>
      <c r="H408" s="1"/>
      <c r="I408" s="59">
        <f t="shared" ref="I408:I458" si="170">SUM(F408:H408)</f>
        <v>0</v>
      </c>
      <c r="J408" s="1"/>
      <c r="K408" s="1"/>
      <c r="L408" s="1"/>
      <c r="M408" s="59">
        <f t="shared" ref="M408:M458" si="171">SUM(J408:L408)</f>
        <v>0</v>
      </c>
      <c r="N408" s="1"/>
      <c r="O408" s="1"/>
      <c r="P408" s="1"/>
      <c r="Q408" s="59">
        <f t="shared" ref="Q408:Q458" si="172">SUM(N408:P408)</f>
        <v>0</v>
      </c>
      <c r="R408" s="59">
        <f t="shared" si="168"/>
        <v>0</v>
      </c>
    </row>
    <row r="409" spans="1:20" ht="15.75" customHeight="1" x14ac:dyDescent="0.3">
      <c r="A409" s="76" t="s">
        <v>389</v>
      </c>
      <c r="B409" s="1"/>
      <c r="C409" s="1"/>
      <c r="D409" s="1"/>
      <c r="E409" s="59">
        <f t="shared" si="169"/>
        <v>0</v>
      </c>
      <c r="F409" s="1">
        <v>72</v>
      </c>
      <c r="G409" s="1"/>
      <c r="H409" s="1"/>
      <c r="I409" s="59">
        <f t="shared" si="170"/>
        <v>72</v>
      </c>
      <c r="J409" s="1"/>
      <c r="K409" s="1"/>
      <c r="L409" s="1"/>
      <c r="M409" s="59">
        <f t="shared" si="171"/>
        <v>0</v>
      </c>
      <c r="N409" s="1"/>
      <c r="O409" s="1"/>
      <c r="P409" s="1"/>
      <c r="Q409" s="59">
        <f t="shared" si="172"/>
        <v>0</v>
      </c>
      <c r="R409" s="59">
        <f t="shared" si="168"/>
        <v>72</v>
      </c>
      <c r="T409" s="4" t="s">
        <v>315</v>
      </c>
    </row>
    <row r="410" spans="1:20" ht="15.75" customHeight="1" x14ac:dyDescent="0.3">
      <c r="A410" s="76" t="s">
        <v>391</v>
      </c>
      <c r="B410" s="1">
        <v>1167</v>
      </c>
      <c r="C410" s="1"/>
      <c r="D410" s="1"/>
      <c r="E410" s="59">
        <f t="shared" si="169"/>
        <v>1167</v>
      </c>
      <c r="F410" s="1"/>
      <c r="G410" s="1"/>
      <c r="H410" s="1"/>
      <c r="I410" s="59">
        <f t="shared" si="170"/>
        <v>0</v>
      </c>
      <c r="J410" s="1"/>
      <c r="K410" s="1"/>
      <c r="L410" s="1"/>
      <c r="M410" s="59">
        <f t="shared" si="171"/>
        <v>0</v>
      </c>
      <c r="N410" s="1"/>
      <c r="O410" s="1"/>
      <c r="P410" s="1"/>
      <c r="Q410" s="59">
        <f t="shared" si="172"/>
        <v>0</v>
      </c>
      <c r="R410" s="59">
        <f t="shared" si="168"/>
        <v>1167</v>
      </c>
      <c r="T410" s="4" t="s">
        <v>217</v>
      </c>
    </row>
    <row r="411" spans="1:20" ht="15.75" customHeight="1" x14ac:dyDescent="0.3">
      <c r="A411" s="76" t="s">
        <v>392</v>
      </c>
      <c r="B411" s="1"/>
      <c r="C411" s="1"/>
      <c r="D411" s="1"/>
      <c r="E411" s="59">
        <f t="shared" si="169"/>
        <v>0</v>
      </c>
      <c r="F411" s="1"/>
      <c r="G411" s="1"/>
      <c r="H411" s="1"/>
      <c r="I411" s="59">
        <f t="shared" si="170"/>
        <v>0</v>
      </c>
      <c r="J411" s="1"/>
      <c r="K411" s="1"/>
      <c r="L411" s="1"/>
      <c r="M411" s="59">
        <f t="shared" si="171"/>
        <v>0</v>
      </c>
      <c r="N411" s="1"/>
      <c r="O411" s="1"/>
      <c r="P411" s="1"/>
      <c r="Q411" s="59">
        <f t="shared" si="172"/>
        <v>0</v>
      </c>
      <c r="R411" s="59">
        <f t="shared" si="168"/>
        <v>0</v>
      </c>
      <c r="T411" s="4" t="s">
        <v>315</v>
      </c>
    </row>
    <row r="412" spans="1:20" ht="15.75" customHeight="1" x14ac:dyDescent="0.3">
      <c r="A412" s="76" t="s">
        <v>393</v>
      </c>
      <c r="B412" s="1"/>
      <c r="C412" s="1"/>
      <c r="D412" s="1"/>
      <c r="E412" s="59">
        <f t="shared" ref="E412:E458" si="173">SUM(B412:D412)</f>
        <v>0</v>
      </c>
      <c r="F412" s="1">
        <v>627</v>
      </c>
      <c r="G412" s="1"/>
      <c r="H412" s="1"/>
      <c r="I412" s="59">
        <f t="shared" si="170"/>
        <v>627</v>
      </c>
      <c r="J412" s="1"/>
      <c r="K412" s="1"/>
      <c r="L412" s="1"/>
      <c r="M412" s="59">
        <f t="shared" si="171"/>
        <v>0</v>
      </c>
      <c r="N412" s="1"/>
      <c r="O412" s="1"/>
      <c r="P412" s="1"/>
      <c r="Q412" s="59">
        <f t="shared" si="172"/>
        <v>0</v>
      </c>
      <c r="R412" s="59">
        <f t="shared" si="168"/>
        <v>627</v>
      </c>
    </row>
    <row r="413" spans="1:20" ht="15.75" customHeight="1" x14ac:dyDescent="0.3">
      <c r="A413" s="76" t="s">
        <v>394</v>
      </c>
      <c r="B413" s="1"/>
      <c r="C413" s="1"/>
      <c r="D413" s="1"/>
      <c r="E413" s="59">
        <f t="shared" si="173"/>
        <v>0</v>
      </c>
      <c r="F413" s="1"/>
      <c r="G413" s="1"/>
      <c r="H413" s="1"/>
      <c r="I413" s="59">
        <f t="shared" si="170"/>
        <v>0</v>
      </c>
      <c r="J413" s="1"/>
      <c r="K413" s="1"/>
      <c r="L413" s="1"/>
      <c r="M413" s="59">
        <f t="shared" si="171"/>
        <v>0</v>
      </c>
      <c r="N413" s="1"/>
      <c r="O413" s="1"/>
      <c r="P413" s="1"/>
      <c r="Q413" s="59">
        <f t="shared" si="172"/>
        <v>0</v>
      </c>
      <c r="R413" s="59">
        <f t="shared" si="168"/>
        <v>0</v>
      </c>
    </row>
    <row r="414" spans="1:20" ht="15.75" customHeight="1" x14ac:dyDescent="0.3">
      <c r="A414" s="76" t="s">
        <v>395</v>
      </c>
      <c r="B414" s="1"/>
      <c r="C414" s="1"/>
      <c r="D414" s="1"/>
      <c r="E414" s="59">
        <f t="shared" si="173"/>
        <v>0</v>
      </c>
      <c r="F414" s="1"/>
      <c r="G414" s="1"/>
      <c r="H414" s="1"/>
      <c r="I414" s="59">
        <f t="shared" si="170"/>
        <v>0</v>
      </c>
      <c r="J414" s="1"/>
      <c r="K414" s="1"/>
      <c r="L414" s="1"/>
      <c r="M414" s="59">
        <f t="shared" si="171"/>
        <v>0</v>
      </c>
      <c r="N414" s="1"/>
      <c r="O414" s="1"/>
      <c r="P414" s="1"/>
      <c r="Q414" s="59">
        <f t="shared" si="172"/>
        <v>0</v>
      </c>
      <c r="R414" s="59">
        <f>+E414+I414+M414+Q414</f>
        <v>0</v>
      </c>
      <c r="T414" s="4" t="s">
        <v>317</v>
      </c>
    </row>
    <row r="415" spans="1:20" ht="15.75" customHeight="1" x14ac:dyDescent="0.3">
      <c r="A415" s="76" t="s">
        <v>396</v>
      </c>
      <c r="B415" s="1"/>
      <c r="C415" s="1"/>
      <c r="D415" s="1"/>
      <c r="E415" s="59">
        <f t="shared" si="173"/>
        <v>0</v>
      </c>
      <c r="F415" s="1"/>
      <c r="G415" s="1"/>
      <c r="H415" s="1"/>
      <c r="I415" s="59">
        <f t="shared" si="170"/>
        <v>0</v>
      </c>
      <c r="J415" s="1"/>
      <c r="K415" s="1"/>
      <c r="L415" s="1"/>
      <c r="M415" s="59">
        <f t="shared" si="171"/>
        <v>0</v>
      </c>
      <c r="N415" s="1"/>
      <c r="O415" s="1"/>
      <c r="P415" s="1"/>
      <c r="Q415" s="59">
        <f t="shared" si="172"/>
        <v>0</v>
      </c>
      <c r="R415" s="59">
        <f t="shared" si="168"/>
        <v>0</v>
      </c>
      <c r="T415" s="4" t="s">
        <v>305</v>
      </c>
    </row>
    <row r="416" spans="1:20" ht="15.75" customHeight="1" x14ac:dyDescent="0.3">
      <c r="A416" s="76" t="s">
        <v>397</v>
      </c>
      <c r="B416" s="1"/>
      <c r="C416" s="1">
        <f>142+68</f>
        <v>210</v>
      </c>
      <c r="D416" s="1">
        <f>138+459+4</f>
        <v>601</v>
      </c>
      <c r="E416" s="59">
        <f t="shared" si="173"/>
        <v>811</v>
      </c>
      <c r="F416" s="1">
        <f>1871+1054</f>
        <v>2925</v>
      </c>
      <c r="G416" s="1">
        <f>144+32+752</f>
        <v>928</v>
      </c>
      <c r="H416" s="1">
        <f>3068</f>
        <v>3068</v>
      </c>
      <c r="I416" s="59">
        <f t="shared" si="170"/>
        <v>6921</v>
      </c>
      <c r="J416" s="1">
        <f>613+2697</f>
        <v>3310</v>
      </c>
      <c r="K416" s="1">
        <f>1180+233+2995</f>
        <v>4408</v>
      </c>
      <c r="L416" s="1">
        <f>683+776+1654</f>
        <v>3113</v>
      </c>
      <c r="M416" s="59">
        <f t="shared" si="171"/>
        <v>10831</v>
      </c>
      <c r="N416" s="1">
        <v>4000</v>
      </c>
      <c r="O416" s="1"/>
      <c r="P416" s="1">
        <v>1437</v>
      </c>
      <c r="Q416" s="59">
        <f t="shared" si="172"/>
        <v>5437</v>
      </c>
      <c r="R416" s="59">
        <f t="shared" si="168"/>
        <v>24000</v>
      </c>
    </row>
    <row r="417" spans="1:20" ht="15.75" customHeight="1" x14ac:dyDescent="0.3">
      <c r="A417" s="76" t="s">
        <v>398</v>
      </c>
      <c r="B417" s="1"/>
      <c r="C417" s="1"/>
      <c r="D417" s="1">
        <v>1050</v>
      </c>
      <c r="E417" s="59">
        <f t="shared" si="173"/>
        <v>1050</v>
      </c>
      <c r="F417" s="1">
        <v>1060</v>
      </c>
      <c r="G417" s="1">
        <v>1670</v>
      </c>
      <c r="H417" s="1">
        <v>2010</v>
      </c>
      <c r="I417" s="59">
        <f t="shared" si="170"/>
        <v>4740</v>
      </c>
      <c r="J417" s="1">
        <v>210</v>
      </c>
      <c r="K417" s="1"/>
      <c r="L417" s="1">
        <v>2500</v>
      </c>
      <c r="M417" s="59">
        <f t="shared" si="171"/>
        <v>2710</v>
      </c>
      <c r="N417" s="1">
        <v>6738</v>
      </c>
      <c r="O417" s="1"/>
      <c r="P417" s="1">
        <v>443</v>
      </c>
      <c r="Q417" s="59">
        <f t="shared" si="172"/>
        <v>7181</v>
      </c>
      <c r="R417" s="59">
        <f t="shared" si="168"/>
        <v>15681</v>
      </c>
      <c r="T417" s="4" t="s">
        <v>305</v>
      </c>
    </row>
    <row r="418" spans="1:20" ht="15.75" customHeight="1" x14ac:dyDescent="0.3">
      <c r="A418" s="76" t="s">
        <v>399</v>
      </c>
      <c r="B418" s="1"/>
      <c r="C418" s="1"/>
      <c r="D418" s="1"/>
      <c r="E418" s="59">
        <f t="shared" si="173"/>
        <v>0</v>
      </c>
      <c r="F418" s="1"/>
      <c r="G418" s="1"/>
      <c r="H418" s="1"/>
      <c r="I418" s="59">
        <f t="shared" si="170"/>
        <v>0</v>
      </c>
      <c r="J418" s="1"/>
      <c r="K418" s="1">
        <v>4321</v>
      </c>
      <c r="L418" s="1">
        <f>4882+368</f>
        <v>5250</v>
      </c>
      <c r="M418" s="59">
        <f t="shared" si="171"/>
        <v>9571</v>
      </c>
      <c r="N418" s="1">
        <v>5429</v>
      </c>
      <c r="O418" s="1"/>
      <c r="P418" s="1"/>
      <c r="Q418" s="59">
        <f t="shared" si="172"/>
        <v>5429</v>
      </c>
      <c r="R418" s="59">
        <f t="shared" si="168"/>
        <v>15000</v>
      </c>
    </row>
    <row r="419" spans="1:20" ht="15.75" customHeight="1" x14ac:dyDescent="0.3">
      <c r="A419" s="76" t="s">
        <v>404</v>
      </c>
      <c r="B419" s="1">
        <v>1099</v>
      </c>
      <c r="C419" s="1">
        <v>850</v>
      </c>
      <c r="D419" s="1">
        <v>1281</v>
      </c>
      <c r="E419" s="59">
        <f t="shared" si="173"/>
        <v>3230</v>
      </c>
      <c r="F419" s="1">
        <v>5635</v>
      </c>
      <c r="G419" s="1">
        <v>5628</v>
      </c>
      <c r="H419" s="1">
        <v>6362</v>
      </c>
      <c r="I419" s="59">
        <f t="shared" si="170"/>
        <v>17625</v>
      </c>
      <c r="J419" s="1">
        <v>595</v>
      </c>
      <c r="K419" s="1"/>
      <c r="L419" s="1"/>
      <c r="M419" s="59">
        <f t="shared" si="171"/>
        <v>595</v>
      </c>
      <c r="N419" s="1"/>
      <c r="O419" s="1"/>
      <c r="P419" s="1"/>
      <c r="Q419" s="59">
        <f t="shared" si="172"/>
        <v>0</v>
      </c>
      <c r="R419" s="59">
        <f t="shared" si="168"/>
        <v>21450</v>
      </c>
    </row>
    <row r="420" spans="1:20" ht="15.75" customHeight="1" x14ac:dyDescent="0.3">
      <c r="A420" s="76" t="s">
        <v>405</v>
      </c>
      <c r="B420" s="1"/>
      <c r="C420" s="1"/>
      <c r="D420" s="1"/>
      <c r="E420" s="59">
        <f t="shared" si="173"/>
        <v>0</v>
      </c>
      <c r="F420" s="1"/>
      <c r="G420" s="1"/>
      <c r="H420" s="1"/>
      <c r="I420" s="59">
        <f t="shared" si="170"/>
        <v>0</v>
      </c>
      <c r="J420" s="1"/>
      <c r="K420" s="1"/>
      <c r="L420" s="1"/>
      <c r="M420" s="59">
        <f t="shared" si="171"/>
        <v>0</v>
      </c>
      <c r="N420" s="1"/>
      <c r="O420" s="1"/>
      <c r="P420" s="1"/>
      <c r="Q420" s="59">
        <f t="shared" ref="Q420" si="174">SUM(N420:P420)</f>
        <v>0</v>
      </c>
      <c r="R420" s="59">
        <f t="shared" si="168"/>
        <v>0</v>
      </c>
    </row>
    <row r="421" spans="1:20" ht="15.75" customHeight="1" x14ac:dyDescent="0.3">
      <c r="A421" s="76" t="s">
        <v>406</v>
      </c>
      <c r="B421" s="1">
        <v>116</v>
      </c>
      <c r="C421" s="1">
        <f>107+1</f>
        <v>108</v>
      </c>
      <c r="D421" s="1">
        <f>121+11</f>
        <v>132</v>
      </c>
      <c r="E421" s="59">
        <f t="shared" si="173"/>
        <v>356</v>
      </c>
      <c r="F421" s="1">
        <f>117+1+2</f>
        <v>120</v>
      </c>
      <c r="G421" s="1">
        <f>118+1</f>
        <v>119</v>
      </c>
      <c r="H421" s="1">
        <f>118+1+2</f>
        <v>121</v>
      </c>
      <c r="I421" s="59">
        <f t="shared" si="170"/>
        <v>360</v>
      </c>
      <c r="J421" s="1">
        <f>134+1+1-52</f>
        <v>84</v>
      </c>
      <c r="K421" s="1"/>
      <c r="L421" s="1"/>
      <c r="M421" s="59">
        <f t="shared" si="171"/>
        <v>84</v>
      </c>
      <c r="N421" s="1"/>
      <c r="O421" s="1"/>
      <c r="P421" s="1"/>
      <c r="Q421" s="59">
        <f t="shared" si="172"/>
        <v>0</v>
      </c>
      <c r="R421" s="59">
        <f t="shared" si="168"/>
        <v>800</v>
      </c>
    </row>
    <row r="422" spans="1:20" ht="15.75" customHeight="1" x14ac:dyDescent="0.3">
      <c r="A422" s="76" t="s">
        <v>407</v>
      </c>
      <c r="B422" s="1"/>
      <c r="C422" s="1">
        <v>3536</v>
      </c>
      <c r="D422" s="1">
        <v>6783</v>
      </c>
      <c r="E422" s="59">
        <f t="shared" si="173"/>
        <v>10319</v>
      </c>
      <c r="F422" s="1"/>
      <c r="G422" s="1"/>
      <c r="H422" s="1"/>
      <c r="I422" s="59">
        <f t="shared" si="170"/>
        <v>0</v>
      </c>
      <c r="J422" s="1"/>
      <c r="K422" s="1"/>
      <c r="L422" s="1"/>
      <c r="M422" s="59">
        <f t="shared" si="171"/>
        <v>0</v>
      </c>
      <c r="N422" s="1"/>
      <c r="O422" s="1"/>
      <c r="P422" s="1"/>
      <c r="Q422" s="59">
        <f t="shared" si="172"/>
        <v>0</v>
      </c>
      <c r="R422" s="59">
        <f t="shared" si="168"/>
        <v>10319</v>
      </c>
      <c r="T422" s="4" t="s">
        <v>315</v>
      </c>
    </row>
    <row r="423" spans="1:20" ht="15.75" customHeight="1" x14ac:dyDescent="0.3">
      <c r="A423" s="76" t="s">
        <v>408</v>
      </c>
      <c r="B423" s="1">
        <v>4</v>
      </c>
      <c r="C423" s="1">
        <v>33</v>
      </c>
      <c r="D423" s="1">
        <v>19</v>
      </c>
      <c r="E423" s="59">
        <f t="shared" si="173"/>
        <v>56</v>
      </c>
      <c r="F423" s="1">
        <v>18</v>
      </c>
      <c r="G423" s="1">
        <v>18</v>
      </c>
      <c r="H423" s="1">
        <v>18</v>
      </c>
      <c r="I423" s="59">
        <f t="shared" si="170"/>
        <v>54</v>
      </c>
      <c r="J423" s="1">
        <v>18</v>
      </c>
      <c r="K423" s="1">
        <v>24</v>
      </c>
      <c r="L423" s="1">
        <v>18</v>
      </c>
      <c r="M423" s="59">
        <f t="shared" si="171"/>
        <v>60</v>
      </c>
      <c r="N423" s="1">
        <v>23</v>
      </c>
      <c r="O423" s="1">
        <v>16</v>
      </c>
      <c r="P423" s="1">
        <v>141</v>
      </c>
      <c r="Q423" s="59">
        <f t="shared" si="172"/>
        <v>180</v>
      </c>
      <c r="R423" s="59">
        <f t="shared" si="168"/>
        <v>350</v>
      </c>
      <c r="T423" s="4" t="s">
        <v>348</v>
      </c>
    </row>
    <row r="424" spans="1:20" ht="15.75" customHeight="1" x14ac:dyDescent="0.3">
      <c r="A424" s="76" t="s">
        <v>409</v>
      </c>
      <c r="B424" s="1">
        <v>1119</v>
      </c>
      <c r="C424" s="1">
        <v>1271</v>
      </c>
      <c r="D424" s="1">
        <v>1318</v>
      </c>
      <c r="E424" s="59">
        <f t="shared" si="173"/>
        <v>3708</v>
      </c>
      <c r="F424" s="1">
        <v>1180</v>
      </c>
      <c r="G424" s="1">
        <v>1409</v>
      </c>
      <c r="H424" s="1">
        <v>1373</v>
      </c>
      <c r="I424" s="59">
        <f t="shared" si="170"/>
        <v>3962</v>
      </c>
      <c r="J424" s="1">
        <v>1426</v>
      </c>
      <c r="K424" s="1">
        <v>969</v>
      </c>
      <c r="L424" s="1"/>
      <c r="M424" s="59">
        <f t="shared" si="171"/>
        <v>2395</v>
      </c>
      <c r="N424" s="1"/>
      <c r="O424" s="1"/>
      <c r="P424" s="1"/>
      <c r="Q424" s="59">
        <f t="shared" si="172"/>
        <v>0</v>
      </c>
      <c r="R424" s="59">
        <f t="shared" si="168"/>
        <v>10065</v>
      </c>
      <c r="T424" s="4" t="s">
        <v>217</v>
      </c>
    </row>
    <row r="425" spans="1:20" ht="15.75" customHeight="1" x14ac:dyDescent="0.3">
      <c r="A425" s="76" t="s">
        <v>410</v>
      </c>
      <c r="B425" s="1">
        <v>583</v>
      </c>
      <c r="C425" s="1">
        <v>2246</v>
      </c>
      <c r="D425" s="1">
        <v>2980</v>
      </c>
      <c r="E425" s="59">
        <f t="shared" si="173"/>
        <v>5809</v>
      </c>
      <c r="F425" s="1">
        <v>878</v>
      </c>
      <c r="G425" s="1"/>
      <c r="H425" s="1"/>
      <c r="I425" s="59">
        <f t="shared" si="170"/>
        <v>878</v>
      </c>
      <c r="J425" s="1"/>
      <c r="K425" s="1"/>
      <c r="L425" s="1"/>
      <c r="M425" s="59">
        <f t="shared" si="171"/>
        <v>0</v>
      </c>
      <c r="N425" s="1"/>
      <c r="O425" s="1"/>
      <c r="P425" s="1"/>
      <c r="Q425" s="59">
        <f t="shared" si="172"/>
        <v>0</v>
      </c>
      <c r="R425" s="59">
        <f>+E425+I425+M425+Q425</f>
        <v>6687</v>
      </c>
    </row>
    <row r="426" spans="1:20" ht="15.75" customHeight="1" x14ac:dyDescent="0.3">
      <c r="A426" s="76" t="s">
        <v>411</v>
      </c>
      <c r="B426" s="1"/>
      <c r="C426" s="1"/>
      <c r="D426" s="1"/>
      <c r="E426" s="59">
        <f t="shared" si="173"/>
        <v>0</v>
      </c>
      <c r="F426" s="1"/>
      <c r="G426" s="1"/>
      <c r="H426" s="1"/>
      <c r="I426" s="59">
        <f t="shared" si="170"/>
        <v>0</v>
      </c>
      <c r="J426" s="1"/>
      <c r="K426" s="1"/>
      <c r="L426" s="1"/>
      <c r="M426" s="59">
        <f t="shared" si="171"/>
        <v>0</v>
      </c>
      <c r="N426" s="1"/>
      <c r="O426" s="1"/>
      <c r="P426" s="1"/>
      <c r="Q426" s="59">
        <f t="shared" si="172"/>
        <v>0</v>
      </c>
      <c r="R426" s="59">
        <f>+E426+I426+M426+Q426</f>
        <v>0</v>
      </c>
    </row>
    <row r="427" spans="1:20" ht="15.75" customHeight="1" x14ac:dyDescent="0.3">
      <c r="A427" s="76" t="s">
        <v>412</v>
      </c>
      <c r="B427" s="1"/>
      <c r="C427" s="1"/>
      <c r="D427" s="1"/>
      <c r="E427" s="59">
        <f t="shared" si="173"/>
        <v>0</v>
      </c>
      <c r="F427" s="1"/>
      <c r="G427" s="1"/>
      <c r="H427" s="1"/>
      <c r="I427" s="59">
        <f t="shared" si="170"/>
        <v>0</v>
      </c>
      <c r="J427" s="1"/>
      <c r="K427" s="1"/>
      <c r="L427" s="1"/>
      <c r="M427" s="59">
        <f t="shared" si="171"/>
        <v>0</v>
      </c>
      <c r="N427" s="1"/>
      <c r="O427" s="1"/>
      <c r="P427" s="1"/>
      <c r="Q427" s="59">
        <f t="shared" si="172"/>
        <v>0</v>
      </c>
      <c r="R427" s="59">
        <f>+E427+I427+M427+Q427</f>
        <v>0</v>
      </c>
    </row>
    <row r="428" spans="1:20" ht="15.75" customHeight="1" x14ac:dyDescent="0.3">
      <c r="A428" s="76" t="s">
        <v>413</v>
      </c>
      <c r="B428" s="1"/>
      <c r="C428" s="1"/>
      <c r="D428" s="1"/>
      <c r="E428" s="59">
        <f t="shared" si="173"/>
        <v>0</v>
      </c>
      <c r="F428" s="1"/>
      <c r="G428" s="1"/>
      <c r="H428" s="1"/>
      <c r="I428" s="59">
        <f t="shared" si="170"/>
        <v>0</v>
      </c>
      <c r="J428" s="1"/>
      <c r="K428" s="1"/>
      <c r="L428" s="1"/>
      <c r="M428" s="59">
        <f t="shared" si="171"/>
        <v>0</v>
      </c>
      <c r="N428" s="1"/>
      <c r="O428" s="1"/>
      <c r="P428" s="1"/>
      <c r="Q428" s="59">
        <f t="shared" si="172"/>
        <v>0</v>
      </c>
      <c r="R428" s="59">
        <f>+E428+I428+M428+Q428</f>
        <v>0</v>
      </c>
      <c r="T428" s="4" t="s">
        <v>315</v>
      </c>
    </row>
    <row r="429" spans="1:20" ht="15.75" customHeight="1" x14ac:dyDescent="0.3">
      <c r="A429" s="76" t="s">
        <v>414</v>
      </c>
      <c r="B429" s="1"/>
      <c r="C429" s="1"/>
      <c r="D429" s="1"/>
      <c r="E429" s="59">
        <f t="shared" ref="E429" si="175">SUM(B429:D429)</f>
        <v>0</v>
      </c>
      <c r="F429" s="1"/>
      <c r="G429" s="1"/>
      <c r="H429" s="1"/>
      <c r="I429" s="59">
        <f t="shared" ref="I429" si="176">SUM(F429:H429)</f>
        <v>0</v>
      </c>
      <c r="J429" s="1"/>
      <c r="K429" s="1"/>
      <c r="L429" s="1"/>
      <c r="M429" s="59">
        <f t="shared" ref="M429" si="177">SUM(J429:L429)</f>
        <v>0</v>
      </c>
      <c r="N429" s="1"/>
      <c r="O429" s="1"/>
      <c r="P429" s="1"/>
      <c r="Q429" s="59">
        <f t="shared" ref="Q429" si="178">SUM(N429:P429)</f>
        <v>0</v>
      </c>
      <c r="R429" s="59">
        <f t="shared" ref="R429:R430" si="179">+E429+I429+M429+Q429</f>
        <v>0</v>
      </c>
      <c r="T429" s="4" t="s">
        <v>137</v>
      </c>
    </row>
    <row r="430" spans="1:20" ht="16.5" customHeight="1" x14ac:dyDescent="0.3">
      <c r="A430" s="76" t="s">
        <v>861</v>
      </c>
      <c r="B430" s="1"/>
      <c r="C430" s="1"/>
      <c r="D430" s="1"/>
      <c r="E430" s="59">
        <f t="shared" si="173"/>
        <v>0</v>
      </c>
      <c r="F430" s="1"/>
      <c r="G430" s="1"/>
      <c r="H430" s="1"/>
      <c r="I430" s="59">
        <f t="shared" si="170"/>
        <v>0</v>
      </c>
      <c r="J430" s="1"/>
      <c r="K430" s="1"/>
      <c r="L430" s="1"/>
      <c r="M430" s="59">
        <f t="shared" si="171"/>
        <v>0</v>
      </c>
      <c r="N430" s="1"/>
      <c r="O430" s="1"/>
      <c r="P430" s="1"/>
      <c r="Q430" s="59">
        <f t="shared" ref="Q430" si="180">SUM(N430:P430)</f>
        <v>0</v>
      </c>
      <c r="R430" s="59">
        <f t="shared" si="179"/>
        <v>0</v>
      </c>
      <c r="T430" s="4" t="s">
        <v>376</v>
      </c>
    </row>
    <row r="431" spans="1:20" ht="15.75" customHeight="1" x14ac:dyDescent="0.3">
      <c r="A431" s="76" t="s">
        <v>416</v>
      </c>
      <c r="B431" s="1"/>
      <c r="C431" s="1"/>
      <c r="D431" s="1"/>
      <c r="E431" s="59">
        <f t="shared" si="173"/>
        <v>0</v>
      </c>
      <c r="F431" s="1"/>
      <c r="G431" s="1"/>
      <c r="H431" s="1"/>
      <c r="I431" s="59">
        <f t="shared" si="170"/>
        <v>0</v>
      </c>
      <c r="J431" s="1"/>
      <c r="K431" s="1"/>
      <c r="L431" s="1"/>
      <c r="M431" s="59">
        <f t="shared" si="171"/>
        <v>0</v>
      </c>
      <c r="N431" s="1"/>
      <c r="O431" s="1"/>
      <c r="P431" s="1"/>
      <c r="Q431" s="59">
        <f t="shared" ref="Q431" si="181">SUM(N431:P431)</f>
        <v>0</v>
      </c>
      <c r="R431" s="59">
        <f t="shared" si="168"/>
        <v>0</v>
      </c>
      <c r="T431" s="4" t="s">
        <v>331</v>
      </c>
    </row>
    <row r="432" spans="1:20" ht="15.75" customHeight="1" x14ac:dyDescent="0.3">
      <c r="A432" s="76" t="s">
        <v>862</v>
      </c>
      <c r="B432" s="1">
        <v>262</v>
      </c>
      <c r="C432" s="1">
        <v>249</v>
      </c>
      <c r="D432" s="1">
        <v>350</v>
      </c>
      <c r="E432" s="59">
        <f t="shared" si="173"/>
        <v>861</v>
      </c>
      <c r="F432" s="1">
        <v>325</v>
      </c>
      <c r="G432" s="1">
        <v>350</v>
      </c>
      <c r="H432" s="1">
        <v>25</v>
      </c>
      <c r="I432" s="59">
        <f t="shared" si="170"/>
        <v>700</v>
      </c>
      <c r="J432" s="1">
        <v>510</v>
      </c>
      <c r="K432" s="1"/>
      <c r="L432" s="1"/>
      <c r="M432" s="59">
        <f t="shared" si="171"/>
        <v>510</v>
      </c>
      <c r="N432" s="1"/>
      <c r="O432" s="1"/>
      <c r="P432" s="1"/>
      <c r="Q432" s="59">
        <f t="shared" si="172"/>
        <v>0</v>
      </c>
      <c r="R432" s="59">
        <f t="shared" si="168"/>
        <v>2071</v>
      </c>
      <c r="T432" s="4" t="s">
        <v>331</v>
      </c>
    </row>
    <row r="433" spans="1:20" ht="15.75" customHeight="1" x14ac:dyDescent="0.3">
      <c r="A433" s="76" t="s">
        <v>418</v>
      </c>
      <c r="B433" s="1"/>
      <c r="C433" s="1"/>
      <c r="D433" s="1"/>
      <c r="E433" s="59">
        <f t="shared" si="173"/>
        <v>0</v>
      </c>
      <c r="F433" s="1"/>
      <c r="G433" s="1"/>
      <c r="H433" s="1"/>
      <c r="I433" s="59">
        <f t="shared" si="170"/>
        <v>0</v>
      </c>
      <c r="J433" s="1"/>
      <c r="K433" s="1"/>
      <c r="L433" s="1"/>
      <c r="M433" s="59">
        <f t="shared" si="171"/>
        <v>0</v>
      </c>
      <c r="N433" s="1">
        <v>2000</v>
      </c>
      <c r="O433" s="1"/>
      <c r="P433" s="1"/>
      <c r="Q433" s="59">
        <f t="shared" si="172"/>
        <v>2000</v>
      </c>
      <c r="R433" s="59">
        <f t="shared" si="168"/>
        <v>2000</v>
      </c>
      <c r="T433" s="4" t="s">
        <v>217</v>
      </c>
    </row>
    <row r="434" spans="1:20" ht="15.75" customHeight="1" x14ac:dyDescent="0.3">
      <c r="A434" s="76" t="s">
        <v>864</v>
      </c>
      <c r="B434" s="1"/>
      <c r="C434" s="1"/>
      <c r="D434" s="1"/>
      <c r="E434" s="59">
        <f t="shared" si="173"/>
        <v>0</v>
      </c>
      <c r="F434" s="1"/>
      <c r="G434" s="1">
        <v>356</v>
      </c>
      <c r="H434" s="1">
        <v>356</v>
      </c>
      <c r="I434" s="59">
        <f t="shared" si="170"/>
        <v>712</v>
      </c>
      <c r="J434" s="1">
        <v>356</v>
      </c>
      <c r="K434" s="1">
        <v>1002</v>
      </c>
      <c r="L434" s="1"/>
      <c r="M434" s="59">
        <f t="shared" si="171"/>
        <v>1358</v>
      </c>
      <c r="N434" s="1"/>
      <c r="O434" s="1"/>
      <c r="P434" s="1"/>
      <c r="Q434" s="59">
        <f t="shared" si="172"/>
        <v>0</v>
      </c>
      <c r="R434" s="59">
        <f t="shared" si="168"/>
        <v>2070</v>
      </c>
    </row>
    <row r="435" spans="1:20" ht="15.75" customHeight="1" x14ac:dyDescent="0.3">
      <c r="A435" s="76" t="s">
        <v>980</v>
      </c>
      <c r="B435" s="1"/>
      <c r="C435" s="1"/>
      <c r="D435" s="1"/>
      <c r="E435" s="59">
        <f t="shared" si="173"/>
        <v>0</v>
      </c>
      <c r="F435" s="1"/>
      <c r="G435" s="1"/>
      <c r="H435" s="1"/>
      <c r="I435" s="59">
        <f t="shared" si="170"/>
        <v>0</v>
      </c>
      <c r="J435" s="1"/>
      <c r="K435" s="1"/>
      <c r="L435" s="1">
        <v>2075</v>
      </c>
      <c r="M435" s="59">
        <f t="shared" si="171"/>
        <v>2075</v>
      </c>
      <c r="N435" s="1">
        <v>500</v>
      </c>
      <c r="O435" s="1"/>
      <c r="P435" s="1"/>
      <c r="Q435" s="59">
        <f t="shared" si="172"/>
        <v>500</v>
      </c>
      <c r="R435" s="59">
        <f t="shared" si="168"/>
        <v>2575</v>
      </c>
      <c r="T435" s="4" t="s">
        <v>315</v>
      </c>
    </row>
    <row r="436" spans="1:20" ht="15.75" customHeight="1" x14ac:dyDescent="0.3">
      <c r="A436" s="76" t="s">
        <v>421</v>
      </c>
      <c r="B436" s="1"/>
      <c r="C436" s="1"/>
      <c r="D436" s="1">
        <v>1100</v>
      </c>
      <c r="E436" s="59">
        <f t="shared" si="173"/>
        <v>1100</v>
      </c>
      <c r="F436" s="1">
        <v>1100</v>
      </c>
      <c r="G436" s="1">
        <v>1300</v>
      </c>
      <c r="H436" s="1">
        <v>1300</v>
      </c>
      <c r="I436" s="59">
        <f t="shared" si="170"/>
        <v>3700</v>
      </c>
      <c r="J436" s="1">
        <v>1500</v>
      </c>
      <c r="K436" s="1">
        <v>1300</v>
      </c>
      <c r="L436" s="1">
        <v>1000</v>
      </c>
      <c r="M436" s="59">
        <f t="shared" si="171"/>
        <v>3800</v>
      </c>
      <c r="N436" s="1">
        <v>400</v>
      </c>
      <c r="O436" s="1"/>
      <c r="P436" s="1"/>
      <c r="Q436" s="59">
        <f t="shared" si="172"/>
        <v>400</v>
      </c>
      <c r="R436" s="59">
        <f t="shared" si="168"/>
        <v>9000</v>
      </c>
    </row>
    <row r="437" spans="1:20" ht="15.75" customHeight="1" x14ac:dyDescent="0.3">
      <c r="A437" s="76" t="s">
        <v>981</v>
      </c>
      <c r="B437" s="1"/>
      <c r="C437" s="1"/>
      <c r="D437" s="1"/>
      <c r="E437" s="59">
        <f>SUM(B437:D437)</f>
        <v>0</v>
      </c>
      <c r="F437" s="1"/>
      <c r="G437" s="1"/>
      <c r="H437" s="1"/>
      <c r="I437" s="59">
        <f>SUM(F437:H437)</f>
        <v>0</v>
      </c>
      <c r="J437" s="1">
        <v>3551</v>
      </c>
      <c r="K437" s="1"/>
      <c r="L437" s="1"/>
      <c r="M437" s="59">
        <f>SUM(J437:L437)</f>
        <v>3551</v>
      </c>
      <c r="N437" s="1"/>
      <c r="O437" s="1"/>
      <c r="P437" s="1"/>
      <c r="Q437" s="59">
        <f>SUM(N437:P437)</f>
        <v>0</v>
      </c>
      <c r="R437" s="59">
        <f>+E437+I437+M437+Q437</f>
        <v>3551</v>
      </c>
    </row>
    <row r="438" spans="1:20" ht="15.75" customHeight="1" x14ac:dyDescent="0.3">
      <c r="A438" s="76" t="s">
        <v>866</v>
      </c>
      <c r="B438" s="1"/>
      <c r="C438" s="1"/>
      <c r="D438" s="1"/>
      <c r="E438" s="59">
        <f>SUM(B438:D438)</f>
        <v>0</v>
      </c>
      <c r="F438" s="1"/>
      <c r="G438" s="1"/>
      <c r="H438" s="1"/>
      <c r="I438" s="59">
        <f>SUM(F438:H438)</f>
        <v>0</v>
      </c>
      <c r="J438" s="1"/>
      <c r="K438" s="1"/>
      <c r="L438" s="1"/>
      <c r="M438" s="59">
        <f>SUM(J438:L438)</f>
        <v>0</v>
      </c>
      <c r="N438" s="1"/>
      <c r="O438" s="1"/>
      <c r="P438" s="1"/>
      <c r="Q438" s="59">
        <f>SUM(N438:P438)</f>
        <v>0</v>
      </c>
      <c r="R438" s="59">
        <f>+E438+I438+M438+Q438</f>
        <v>0</v>
      </c>
    </row>
    <row r="439" spans="1:20" ht="15.75" customHeight="1" x14ac:dyDescent="0.3">
      <c r="A439" s="76" t="s">
        <v>428</v>
      </c>
      <c r="B439" s="1"/>
      <c r="C439" s="1"/>
      <c r="D439" s="1"/>
      <c r="E439" s="59">
        <f t="shared" si="173"/>
        <v>0</v>
      </c>
      <c r="F439" s="1">
        <v>810</v>
      </c>
      <c r="G439" s="1"/>
      <c r="H439" s="1"/>
      <c r="I439" s="59">
        <f t="shared" si="170"/>
        <v>810</v>
      </c>
      <c r="J439" s="1"/>
      <c r="K439" s="1"/>
      <c r="L439" s="1"/>
      <c r="M439" s="59">
        <f t="shared" si="171"/>
        <v>0</v>
      </c>
      <c r="N439" s="1"/>
      <c r="O439" s="1"/>
      <c r="P439" s="1"/>
      <c r="Q439" s="59">
        <f>SUM(N439:P439)</f>
        <v>0</v>
      </c>
      <c r="R439" s="59">
        <f t="shared" si="168"/>
        <v>810</v>
      </c>
    </row>
    <row r="440" spans="1:20" ht="15.75" customHeight="1" x14ac:dyDescent="0.3">
      <c r="A440" s="76" t="s">
        <v>429</v>
      </c>
      <c r="B440" s="1"/>
      <c r="C440" s="1"/>
      <c r="D440" s="1"/>
      <c r="E440" s="59">
        <f t="shared" si="173"/>
        <v>0</v>
      </c>
      <c r="F440" s="1">
        <v>3789</v>
      </c>
      <c r="G440" s="1"/>
      <c r="H440" s="1"/>
      <c r="I440" s="59">
        <f t="shared" si="170"/>
        <v>3789</v>
      </c>
      <c r="J440" s="1"/>
      <c r="K440" s="1"/>
      <c r="L440" s="1"/>
      <c r="M440" s="59">
        <f t="shared" si="171"/>
        <v>0</v>
      </c>
      <c r="N440" s="1"/>
      <c r="O440" s="1"/>
      <c r="P440" s="1"/>
      <c r="Q440" s="59">
        <f t="shared" si="172"/>
        <v>0</v>
      </c>
      <c r="R440" s="59">
        <f t="shared" si="168"/>
        <v>3789</v>
      </c>
    </row>
    <row r="441" spans="1:20" ht="15.75" customHeight="1" x14ac:dyDescent="0.3">
      <c r="A441" s="76" t="s">
        <v>432</v>
      </c>
      <c r="B441" s="1"/>
      <c r="C441" s="1"/>
      <c r="D441" s="1"/>
      <c r="E441" s="59">
        <f t="shared" ref="E441" si="182">SUM(B441:D441)</f>
        <v>0</v>
      </c>
      <c r="F441" s="1"/>
      <c r="G441" s="1"/>
      <c r="H441" s="1"/>
      <c r="I441" s="59">
        <f t="shared" ref="I441" si="183">SUM(F441:H441)</f>
        <v>0</v>
      </c>
      <c r="J441" s="1"/>
      <c r="K441" s="1"/>
      <c r="L441" s="1"/>
      <c r="M441" s="59">
        <f t="shared" ref="M441" si="184">SUM(J441:L441)</f>
        <v>0</v>
      </c>
      <c r="N441" s="1"/>
      <c r="O441" s="1"/>
      <c r="P441" s="1"/>
      <c r="Q441" s="59">
        <f t="shared" ref="Q441" si="185">SUM(N441:P441)</f>
        <v>0</v>
      </c>
      <c r="R441" s="59">
        <f t="shared" si="168"/>
        <v>0</v>
      </c>
      <c r="T441" s="4" t="s">
        <v>217</v>
      </c>
    </row>
    <row r="442" spans="1:20" ht="15.75" customHeight="1" x14ac:dyDescent="0.3">
      <c r="A442" s="76" t="s">
        <v>433</v>
      </c>
      <c r="B442" s="1"/>
      <c r="C442" s="1"/>
      <c r="D442" s="1"/>
      <c r="E442" s="59">
        <f t="shared" si="173"/>
        <v>0</v>
      </c>
      <c r="F442" s="1"/>
      <c r="G442" s="1"/>
      <c r="H442" s="1"/>
      <c r="I442" s="59">
        <f t="shared" si="170"/>
        <v>0</v>
      </c>
      <c r="J442" s="1"/>
      <c r="K442" s="1"/>
      <c r="L442" s="1"/>
      <c r="M442" s="59">
        <f t="shared" si="171"/>
        <v>0</v>
      </c>
      <c r="N442" s="1"/>
      <c r="O442" s="1"/>
      <c r="P442" s="1"/>
      <c r="Q442" s="59">
        <f t="shared" si="172"/>
        <v>0</v>
      </c>
      <c r="R442" s="59">
        <f t="shared" si="168"/>
        <v>0</v>
      </c>
      <c r="T442" s="4" t="s">
        <v>217</v>
      </c>
    </row>
    <row r="443" spans="1:20" ht="15.75" customHeight="1" x14ac:dyDescent="0.3">
      <c r="A443" s="76" t="s">
        <v>434</v>
      </c>
      <c r="B443" s="1"/>
      <c r="C443" s="1"/>
      <c r="D443" s="1"/>
      <c r="E443" s="59">
        <f t="shared" si="173"/>
        <v>0</v>
      </c>
      <c r="F443" s="1"/>
      <c r="G443" s="1">
        <v>1237</v>
      </c>
      <c r="H443" s="1">
        <v>1861</v>
      </c>
      <c r="I443" s="59">
        <f t="shared" si="170"/>
        <v>3098</v>
      </c>
      <c r="J443" s="1">
        <v>946</v>
      </c>
      <c r="K443" s="1"/>
      <c r="L443" s="1"/>
      <c r="M443" s="59">
        <f t="shared" si="171"/>
        <v>946</v>
      </c>
      <c r="N443" s="1"/>
      <c r="O443" s="1"/>
      <c r="P443" s="1"/>
      <c r="Q443" s="59">
        <f t="shared" si="172"/>
        <v>0</v>
      </c>
      <c r="R443" s="59">
        <f t="shared" si="168"/>
        <v>4044</v>
      </c>
      <c r="T443" s="4" t="s">
        <v>217</v>
      </c>
    </row>
    <row r="444" spans="1:20" ht="15.75" customHeight="1" x14ac:dyDescent="0.3">
      <c r="A444" s="76" t="s">
        <v>435</v>
      </c>
      <c r="B444" s="1"/>
      <c r="C444" s="1"/>
      <c r="D444" s="1"/>
      <c r="E444" s="59">
        <f t="shared" si="173"/>
        <v>0</v>
      </c>
      <c r="F444" s="1"/>
      <c r="G444" s="1"/>
      <c r="H444" s="1"/>
      <c r="I444" s="59">
        <f t="shared" si="170"/>
        <v>0</v>
      </c>
      <c r="J444" s="1"/>
      <c r="K444" s="1"/>
      <c r="L444" s="1"/>
      <c r="M444" s="59">
        <f t="shared" si="171"/>
        <v>0</v>
      </c>
      <c r="N444" s="1"/>
      <c r="O444" s="1"/>
      <c r="P444" s="1"/>
      <c r="Q444" s="59">
        <f t="shared" si="172"/>
        <v>0</v>
      </c>
      <c r="R444" s="59">
        <f t="shared" si="168"/>
        <v>0</v>
      </c>
      <c r="T444" s="4" t="s">
        <v>315</v>
      </c>
    </row>
    <row r="445" spans="1:20" ht="15.75" customHeight="1" x14ac:dyDescent="0.3">
      <c r="A445" s="76" t="s">
        <v>436</v>
      </c>
      <c r="B445" s="1"/>
      <c r="C445" s="1"/>
      <c r="D445" s="1"/>
      <c r="E445" s="59">
        <f t="shared" si="173"/>
        <v>0</v>
      </c>
      <c r="F445" s="1">
        <v>668</v>
      </c>
      <c r="G445" s="1">
        <v>1001</v>
      </c>
      <c r="H445" s="1"/>
      <c r="I445" s="59">
        <f t="shared" si="170"/>
        <v>1669</v>
      </c>
      <c r="J445" s="1"/>
      <c r="K445" s="1"/>
      <c r="L445" s="1"/>
      <c r="M445" s="59">
        <f t="shared" si="171"/>
        <v>0</v>
      </c>
      <c r="N445" s="1"/>
      <c r="O445" s="1"/>
      <c r="P445" s="1"/>
      <c r="Q445" s="59">
        <f t="shared" si="172"/>
        <v>0</v>
      </c>
      <c r="R445" s="59">
        <f t="shared" si="168"/>
        <v>1669</v>
      </c>
    </row>
    <row r="446" spans="1:20" ht="15.75" customHeight="1" x14ac:dyDescent="0.3">
      <c r="A446" s="76" t="s">
        <v>867</v>
      </c>
      <c r="B446" s="1"/>
      <c r="C446" s="1"/>
      <c r="D446" s="1"/>
      <c r="E446" s="59">
        <f t="shared" si="173"/>
        <v>0</v>
      </c>
      <c r="F446" s="1"/>
      <c r="G446" s="1"/>
      <c r="H446" s="1"/>
      <c r="I446" s="59">
        <f t="shared" si="170"/>
        <v>0</v>
      </c>
      <c r="J446" s="1"/>
      <c r="K446" s="1"/>
      <c r="L446" s="1"/>
      <c r="M446" s="59">
        <f t="shared" si="171"/>
        <v>0</v>
      </c>
      <c r="N446" s="1"/>
      <c r="O446" s="1"/>
      <c r="P446" s="1"/>
      <c r="Q446" s="59">
        <f t="shared" si="172"/>
        <v>0</v>
      </c>
      <c r="R446" s="59">
        <f t="shared" si="168"/>
        <v>0</v>
      </c>
      <c r="T446" s="4" t="s">
        <v>315</v>
      </c>
    </row>
    <row r="447" spans="1:20" ht="15.75" customHeight="1" x14ac:dyDescent="0.3">
      <c r="A447" s="76" t="s">
        <v>439</v>
      </c>
      <c r="B447" s="1"/>
      <c r="C447" s="1"/>
      <c r="D447" s="1"/>
      <c r="E447" s="59">
        <f t="shared" si="173"/>
        <v>0</v>
      </c>
      <c r="F447" s="1"/>
      <c r="G447" s="1"/>
      <c r="H447" s="1"/>
      <c r="I447" s="59">
        <f t="shared" si="170"/>
        <v>0</v>
      </c>
      <c r="J447" s="1"/>
      <c r="K447" s="1"/>
      <c r="L447" s="1"/>
      <c r="M447" s="59">
        <f t="shared" si="171"/>
        <v>0</v>
      </c>
      <c r="N447" s="1"/>
      <c r="O447" s="1"/>
      <c r="P447" s="1"/>
      <c r="Q447" s="59">
        <f t="shared" si="172"/>
        <v>0</v>
      </c>
      <c r="R447" s="59">
        <f t="shared" si="168"/>
        <v>0</v>
      </c>
      <c r="T447" s="4" t="s">
        <v>217</v>
      </c>
    </row>
    <row r="448" spans="1:20" ht="15.75" customHeight="1" x14ac:dyDescent="0.3">
      <c r="A448" s="76" t="s">
        <v>440</v>
      </c>
      <c r="B448" s="1"/>
      <c r="C448" s="1"/>
      <c r="D448" s="1"/>
      <c r="E448" s="59">
        <f t="shared" si="173"/>
        <v>0</v>
      </c>
      <c r="F448" s="1"/>
      <c r="G448" s="1"/>
      <c r="H448" s="1">
        <v>1000</v>
      </c>
      <c r="I448" s="59">
        <f t="shared" si="170"/>
        <v>1000</v>
      </c>
      <c r="J448" s="1">
        <v>1500</v>
      </c>
      <c r="K448" s="1"/>
      <c r="L448" s="1"/>
      <c r="M448" s="59">
        <f t="shared" si="171"/>
        <v>1500</v>
      </c>
      <c r="N448" s="1"/>
      <c r="O448" s="1"/>
      <c r="P448" s="1"/>
      <c r="Q448" s="59">
        <f t="shared" si="172"/>
        <v>0</v>
      </c>
      <c r="R448" s="59">
        <f>+E448+I448+M448+Q448</f>
        <v>2500</v>
      </c>
    </row>
    <row r="449" spans="1:21" ht="15.75" customHeight="1" x14ac:dyDescent="0.3">
      <c r="A449" s="76" t="s">
        <v>441</v>
      </c>
      <c r="B449" s="1"/>
      <c r="C449" s="1"/>
      <c r="D449" s="1"/>
      <c r="E449" s="59">
        <f t="shared" si="173"/>
        <v>0</v>
      </c>
      <c r="F449" s="1"/>
      <c r="G449" s="1"/>
      <c r="H449" s="1"/>
      <c r="I449" s="59">
        <f t="shared" si="170"/>
        <v>0</v>
      </c>
      <c r="J449" s="1"/>
      <c r="K449" s="1"/>
      <c r="L449" s="1"/>
      <c r="M449" s="59">
        <f t="shared" si="171"/>
        <v>0</v>
      </c>
      <c r="N449" s="1"/>
      <c r="O449" s="1"/>
      <c r="P449" s="1"/>
      <c r="Q449" s="59">
        <f t="shared" si="172"/>
        <v>0</v>
      </c>
      <c r="R449" s="59">
        <f>+E449+I449+M449+Q449</f>
        <v>0</v>
      </c>
      <c r="T449" s="4" t="s">
        <v>315</v>
      </c>
    </row>
    <row r="450" spans="1:21" ht="15.75" customHeight="1" x14ac:dyDescent="0.3">
      <c r="A450" s="76" t="s">
        <v>442</v>
      </c>
      <c r="B450" s="1"/>
      <c r="C450" s="1">
        <v>1365</v>
      </c>
      <c r="D450" s="1">
        <v>1652</v>
      </c>
      <c r="E450" s="59">
        <f t="shared" si="173"/>
        <v>3017</v>
      </c>
      <c r="F450" s="1">
        <v>1878</v>
      </c>
      <c r="G450" s="1">
        <v>699</v>
      </c>
      <c r="H450" s="1"/>
      <c r="I450" s="59">
        <f t="shared" si="170"/>
        <v>2577</v>
      </c>
      <c r="J450" s="1"/>
      <c r="K450" s="1"/>
      <c r="L450" s="1"/>
      <c r="M450" s="59">
        <f t="shared" si="171"/>
        <v>0</v>
      </c>
      <c r="N450" s="1"/>
      <c r="O450" s="1"/>
      <c r="P450" s="1"/>
      <c r="Q450" s="59">
        <f t="shared" si="172"/>
        <v>0</v>
      </c>
      <c r="R450" s="59">
        <f t="shared" si="168"/>
        <v>5594</v>
      </c>
      <c r="T450" s="4" t="s">
        <v>217</v>
      </c>
    </row>
    <row r="451" spans="1:21" ht="15.75" customHeight="1" x14ac:dyDescent="0.3">
      <c r="A451" s="76" t="s">
        <v>443</v>
      </c>
      <c r="B451" s="1"/>
      <c r="C451" s="1"/>
      <c r="D451" s="1"/>
      <c r="E451" s="59">
        <f t="shared" si="173"/>
        <v>0</v>
      </c>
      <c r="F451" s="1"/>
      <c r="G451" s="1"/>
      <c r="H451" s="1"/>
      <c r="I451" s="59">
        <f t="shared" si="170"/>
        <v>0</v>
      </c>
      <c r="J451" s="1"/>
      <c r="K451" s="1"/>
      <c r="L451" s="1"/>
      <c r="M451" s="59">
        <f t="shared" si="171"/>
        <v>0</v>
      </c>
      <c r="N451" s="1"/>
      <c r="O451" s="1"/>
      <c r="P451" s="1"/>
      <c r="Q451" s="59">
        <f t="shared" si="172"/>
        <v>0</v>
      </c>
      <c r="R451" s="59">
        <f t="shared" si="168"/>
        <v>0</v>
      </c>
      <c r="T451" s="4" t="s">
        <v>315</v>
      </c>
    </row>
    <row r="452" spans="1:21" ht="15.75" customHeight="1" x14ac:dyDescent="0.3">
      <c r="A452" s="76" t="s">
        <v>868</v>
      </c>
      <c r="B452" s="1"/>
      <c r="C452" s="1"/>
      <c r="D452" s="1"/>
      <c r="E452" s="59">
        <f t="shared" ref="E452:E453" si="186">SUM(B452:D452)</f>
        <v>0</v>
      </c>
      <c r="F452" s="1"/>
      <c r="G452" s="1"/>
      <c r="H452" s="1"/>
      <c r="I452" s="59">
        <f t="shared" ref="I452:I454" si="187">SUM(F452:H452)</f>
        <v>0</v>
      </c>
      <c r="J452" s="1"/>
      <c r="K452" s="1"/>
      <c r="L452" s="1"/>
      <c r="M452" s="59">
        <f t="shared" ref="M452:M454" si="188">SUM(J452:L452)</f>
        <v>0</v>
      </c>
      <c r="N452" s="1"/>
      <c r="O452" s="1"/>
      <c r="P452" s="1"/>
      <c r="Q452" s="59">
        <f t="shared" ref="Q452:Q454" si="189">SUM(N452:P452)</f>
        <v>0</v>
      </c>
      <c r="R452" s="59">
        <f t="shared" si="168"/>
        <v>0</v>
      </c>
    </row>
    <row r="453" spans="1:21" ht="15.75" customHeight="1" x14ac:dyDescent="0.3">
      <c r="A453" s="76" t="s">
        <v>869</v>
      </c>
      <c r="B453" s="1"/>
      <c r="C453" s="1"/>
      <c r="D453" s="1"/>
      <c r="E453" s="59">
        <f t="shared" si="186"/>
        <v>0</v>
      </c>
      <c r="F453" s="1"/>
      <c r="G453" s="1"/>
      <c r="H453" s="1"/>
      <c r="I453" s="59">
        <f t="shared" si="187"/>
        <v>0</v>
      </c>
      <c r="J453" s="1"/>
      <c r="K453" s="1"/>
      <c r="L453" s="1"/>
      <c r="M453" s="59">
        <f t="shared" si="188"/>
        <v>0</v>
      </c>
      <c r="N453" s="1"/>
      <c r="O453" s="1"/>
      <c r="P453" s="1"/>
      <c r="Q453" s="59">
        <f t="shared" si="189"/>
        <v>0</v>
      </c>
      <c r="R453" s="59">
        <f>+E453+I453+M453+Q453</f>
        <v>0</v>
      </c>
    </row>
    <row r="454" spans="1:21" ht="15.75" customHeight="1" x14ac:dyDescent="0.3">
      <c r="A454" s="76" t="s">
        <v>870</v>
      </c>
      <c r="B454" s="1"/>
      <c r="C454" s="1"/>
      <c r="D454" s="1"/>
      <c r="E454" s="59">
        <f>SUM(B454:D454)</f>
        <v>0</v>
      </c>
      <c r="F454" s="1"/>
      <c r="G454" s="1"/>
      <c r="H454" s="1"/>
      <c r="I454" s="59">
        <f t="shared" si="187"/>
        <v>0</v>
      </c>
      <c r="J454" s="1"/>
      <c r="K454" s="1"/>
      <c r="L454" s="1"/>
      <c r="M454" s="59">
        <f t="shared" si="188"/>
        <v>0</v>
      </c>
      <c r="N454" s="1"/>
      <c r="O454" s="1"/>
      <c r="P454" s="1"/>
      <c r="Q454" s="59">
        <f t="shared" si="189"/>
        <v>0</v>
      </c>
      <c r="R454" s="59">
        <f t="shared" si="168"/>
        <v>0</v>
      </c>
    </row>
    <row r="455" spans="1:21" ht="15.75" customHeight="1" x14ac:dyDescent="0.3">
      <c r="A455" s="76" t="s">
        <v>449</v>
      </c>
      <c r="B455" s="1"/>
      <c r="C455" s="1"/>
      <c r="D455" s="1"/>
      <c r="E455" s="59">
        <f t="shared" si="173"/>
        <v>0</v>
      </c>
      <c r="F455" s="1"/>
      <c r="G455" s="1">
        <v>2622</v>
      </c>
      <c r="H455" s="1"/>
      <c r="I455" s="59">
        <f t="shared" si="170"/>
        <v>2622</v>
      </c>
      <c r="J455" s="1"/>
      <c r="K455" s="1"/>
      <c r="L455" s="1"/>
      <c r="M455" s="59">
        <f t="shared" si="171"/>
        <v>0</v>
      </c>
      <c r="N455" s="1"/>
      <c r="O455" s="1"/>
      <c r="P455" s="1"/>
      <c r="Q455" s="59">
        <f t="shared" si="172"/>
        <v>0</v>
      </c>
      <c r="R455" s="59">
        <f t="shared" si="168"/>
        <v>2622</v>
      </c>
    </row>
    <row r="456" spans="1:21" ht="15.75" customHeight="1" x14ac:dyDescent="0.3">
      <c r="A456" s="76" t="s">
        <v>982</v>
      </c>
      <c r="B456" s="1"/>
      <c r="C456" s="1"/>
      <c r="D456" s="1"/>
      <c r="E456" s="59">
        <f t="shared" si="173"/>
        <v>0</v>
      </c>
      <c r="F456" s="1"/>
      <c r="G456" s="1"/>
      <c r="H456" s="1"/>
      <c r="I456" s="59">
        <f t="shared" si="170"/>
        <v>0</v>
      </c>
      <c r="J456" s="1"/>
      <c r="K456" s="1">
        <v>1925</v>
      </c>
      <c r="L456" s="1"/>
      <c r="M456" s="59">
        <f t="shared" si="171"/>
        <v>1925</v>
      </c>
      <c r="N456" s="1"/>
      <c r="O456" s="1"/>
      <c r="P456" s="1"/>
      <c r="Q456" s="59">
        <f t="shared" ref="Q456" si="190">SUM(N456:P456)</f>
        <v>0</v>
      </c>
      <c r="R456" s="59">
        <f t="shared" si="168"/>
        <v>1925</v>
      </c>
    </row>
    <row r="457" spans="1:21" ht="15.75" customHeight="1" thickBot="1" x14ac:dyDescent="0.35">
      <c r="A457" s="76" t="s">
        <v>450</v>
      </c>
      <c r="B457" s="1">
        <f>88+22</f>
        <v>110</v>
      </c>
      <c r="C457" s="1">
        <f>210</f>
        <v>210</v>
      </c>
      <c r="D457" s="1">
        <f>43+557</f>
        <v>600</v>
      </c>
      <c r="E457" s="59">
        <f t="shared" si="173"/>
        <v>920</v>
      </c>
      <c r="F457" s="1">
        <f>612+862+1452</f>
        <v>2926</v>
      </c>
      <c r="G457" s="1">
        <f>356+572</f>
        <v>928</v>
      </c>
      <c r="H457" s="1">
        <f>1545+762+37+725</f>
        <v>3069</v>
      </c>
      <c r="I457" s="59">
        <f t="shared" si="170"/>
        <v>6923</v>
      </c>
      <c r="J457" s="1">
        <f>1007+500+963+840</f>
        <v>3310</v>
      </c>
      <c r="K457" s="1">
        <f>1375+3034</f>
        <v>4409</v>
      </c>
      <c r="L457" s="1">
        <f>406+2708</f>
        <v>3114</v>
      </c>
      <c r="M457" s="59">
        <f t="shared" si="171"/>
        <v>10833</v>
      </c>
      <c r="N457" s="1">
        <v>2580</v>
      </c>
      <c r="O457" s="1">
        <v>1744</v>
      </c>
      <c r="P457" s="1">
        <v>2000</v>
      </c>
      <c r="Q457" s="59">
        <f t="shared" si="172"/>
        <v>6324</v>
      </c>
      <c r="R457" s="59">
        <f t="shared" si="168"/>
        <v>25000</v>
      </c>
    </row>
    <row r="458" spans="1:21" ht="16.5" customHeight="1" thickBot="1" x14ac:dyDescent="0.35">
      <c r="A458" s="137" t="s">
        <v>61</v>
      </c>
      <c r="B458" s="107">
        <f>SUM(B401:B457)</f>
        <v>5059</v>
      </c>
      <c r="C458" s="63">
        <f>SUM(C401:C457)</f>
        <v>13609</v>
      </c>
      <c r="D458" s="63">
        <f>SUM(D401:D457)</f>
        <v>24575</v>
      </c>
      <c r="E458" s="64">
        <f t="shared" si="173"/>
        <v>43243</v>
      </c>
      <c r="F458" s="63">
        <f>SUM(F401:F457)</f>
        <v>35982</v>
      </c>
      <c r="G458" s="63">
        <f>SUM(G401:G457)</f>
        <v>32502</v>
      </c>
      <c r="H458" s="63">
        <f>SUM(H401:H457)</f>
        <v>34583</v>
      </c>
      <c r="I458" s="64">
        <f t="shared" si="170"/>
        <v>103067</v>
      </c>
      <c r="J458" s="63">
        <f>SUM(J401:J457)</f>
        <v>35418</v>
      </c>
      <c r="K458" s="63">
        <f>SUM(K401:K457)</f>
        <v>35062</v>
      </c>
      <c r="L458" s="63">
        <f>SUM(L401:L457)</f>
        <v>24950</v>
      </c>
      <c r="M458" s="64">
        <f t="shared" si="171"/>
        <v>95430</v>
      </c>
      <c r="N458" s="63">
        <f>SUM(N401:N457)</f>
        <v>31140</v>
      </c>
      <c r="O458" s="63">
        <f>SUM(O401:O457)</f>
        <v>3981</v>
      </c>
      <c r="P458" s="63">
        <f>SUM(P401:P457)</f>
        <v>9142</v>
      </c>
      <c r="Q458" s="64">
        <f t="shared" si="172"/>
        <v>44263</v>
      </c>
      <c r="R458" s="64">
        <f>+E458+I458+M458+Q458</f>
        <v>286003</v>
      </c>
      <c r="T458" s="106"/>
    </row>
    <row r="459" spans="1:21" ht="15.75" customHeight="1" x14ac:dyDescent="0.3">
      <c r="A459" s="17" t="s">
        <v>62</v>
      </c>
      <c r="B459" s="1"/>
      <c r="C459" s="1"/>
      <c r="D459" s="1"/>
      <c r="E459" s="59" t="s">
        <v>7</v>
      </c>
      <c r="F459" s="1"/>
      <c r="G459" s="1"/>
      <c r="H459" s="1"/>
      <c r="I459" s="59" t="s">
        <v>7</v>
      </c>
      <c r="J459" s="1"/>
      <c r="K459" s="1"/>
      <c r="L459" s="1"/>
      <c r="M459" s="59" t="s">
        <v>7</v>
      </c>
      <c r="N459" s="1"/>
      <c r="O459" s="1"/>
      <c r="P459" s="1"/>
      <c r="Q459" s="59" t="s">
        <v>7</v>
      </c>
      <c r="R459" s="59" t="s">
        <v>7</v>
      </c>
    </row>
    <row r="460" spans="1:21" ht="15.75" customHeight="1" x14ac:dyDescent="0.3">
      <c r="A460" s="17" t="s">
        <v>63</v>
      </c>
      <c r="B460" s="1"/>
      <c r="C460" s="1"/>
      <c r="D460" s="1"/>
      <c r="E460" s="59" t="s">
        <v>7</v>
      </c>
      <c r="F460" s="1"/>
      <c r="G460" s="1"/>
      <c r="H460" s="1"/>
      <c r="I460" s="59" t="s">
        <v>7</v>
      </c>
      <c r="J460" s="1"/>
      <c r="K460" s="1"/>
      <c r="L460" s="1"/>
      <c r="M460" s="59" t="s">
        <v>7</v>
      </c>
      <c r="N460" s="1"/>
      <c r="O460" s="1"/>
      <c r="P460" s="1"/>
      <c r="Q460" s="59" t="s">
        <v>7</v>
      </c>
      <c r="R460" s="59" t="s">
        <v>7</v>
      </c>
    </row>
    <row r="461" spans="1:21" ht="15.75" customHeight="1" x14ac:dyDescent="0.3">
      <c r="A461" s="76" t="s">
        <v>451</v>
      </c>
      <c r="B461" s="1"/>
      <c r="C461" s="1"/>
      <c r="D461" s="1"/>
      <c r="E461" s="59">
        <f>SUM(B461:D461)</f>
        <v>0</v>
      </c>
      <c r="F461" s="1"/>
      <c r="G461" s="1"/>
      <c r="H461" s="1"/>
      <c r="I461" s="59">
        <f>SUM(F461:H461)</f>
        <v>0</v>
      </c>
      <c r="J461" s="1"/>
      <c r="K461" s="1"/>
      <c r="L461" s="1"/>
      <c r="M461" s="59">
        <f>SUM(J461:L461)</f>
        <v>0</v>
      </c>
      <c r="N461" s="1"/>
      <c r="O461" s="1"/>
      <c r="P461" s="1"/>
      <c r="Q461" s="59">
        <f>SUM(N461:P461)</f>
        <v>0</v>
      </c>
      <c r="R461" s="59">
        <f>+E461+I461+M461+Q461</f>
        <v>0</v>
      </c>
      <c r="U461" s="20"/>
    </row>
    <row r="462" spans="1:21" ht="15.75" customHeight="1" x14ac:dyDescent="0.3">
      <c r="A462" s="17" t="s">
        <v>64</v>
      </c>
      <c r="B462" s="1"/>
      <c r="C462" s="1"/>
      <c r="D462" s="1"/>
      <c r="E462" s="59" t="s">
        <v>7</v>
      </c>
      <c r="F462" s="1"/>
      <c r="G462" s="1"/>
      <c r="H462" s="1"/>
      <c r="I462" s="59" t="s">
        <v>7</v>
      </c>
      <c r="J462" s="1"/>
      <c r="K462" s="1"/>
      <c r="L462" s="1"/>
      <c r="M462" s="59" t="s">
        <v>7</v>
      </c>
      <c r="N462" s="1"/>
      <c r="O462" s="1"/>
      <c r="P462" s="1"/>
      <c r="Q462" s="59" t="s">
        <v>7</v>
      </c>
      <c r="R462" s="59" t="s">
        <v>7</v>
      </c>
    </row>
    <row r="463" spans="1:21" ht="15.75" customHeight="1" x14ac:dyDescent="0.3">
      <c r="A463" s="76" t="s">
        <v>452</v>
      </c>
      <c r="B463" s="1"/>
      <c r="C463" s="1"/>
      <c r="D463" s="1"/>
      <c r="E463" s="59">
        <f>SUM(B463:D463)</f>
        <v>0</v>
      </c>
      <c r="F463" s="1"/>
      <c r="G463" s="1"/>
      <c r="H463" s="1"/>
      <c r="I463" s="59">
        <f>SUM(F463:H463)</f>
        <v>0</v>
      </c>
      <c r="J463" s="1"/>
      <c r="K463" s="1"/>
      <c r="L463" s="1"/>
      <c r="M463" s="59">
        <f>SUM(J463:L463)</f>
        <v>0</v>
      </c>
      <c r="N463" s="1"/>
      <c r="O463" s="1"/>
      <c r="P463" s="1"/>
      <c r="Q463" s="59">
        <f>SUM(N463:P463)</f>
        <v>0</v>
      </c>
      <c r="R463" s="59">
        <f>+E463+I463+M463+Q463</f>
        <v>0</v>
      </c>
    </row>
    <row r="464" spans="1:21" ht="15.75" customHeight="1" x14ac:dyDescent="0.3">
      <c r="A464" s="76" t="s">
        <v>453</v>
      </c>
      <c r="B464" s="1"/>
      <c r="C464" s="1"/>
      <c r="D464" s="1"/>
      <c r="E464" s="59">
        <f>SUM(B464:D464)</f>
        <v>0</v>
      </c>
      <c r="F464" s="1"/>
      <c r="G464" s="1"/>
      <c r="H464" s="1"/>
      <c r="I464" s="59">
        <f>SUM(F464:H464)</f>
        <v>0</v>
      </c>
      <c r="J464" s="1"/>
      <c r="K464" s="1"/>
      <c r="L464" s="1"/>
      <c r="M464" s="59">
        <f>SUM(J464:L464)</f>
        <v>0</v>
      </c>
      <c r="N464" s="1"/>
      <c r="O464" s="1"/>
      <c r="P464" s="1"/>
      <c r="Q464" s="59">
        <f>SUM(N464:P464)</f>
        <v>0</v>
      </c>
      <c r="R464" s="59">
        <f>+E464+I464+M464+Q464</f>
        <v>0</v>
      </c>
    </row>
    <row r="465" spans="1:21" ht="15.75" customHeight="1" x14ac:dyDescent="0.3">
      <c r="A465" s="17" t="s">
        <v>66</v>
      </c>
      <c r="B465" s="1"/>
      <c r="C465" s="1"/>
      <c r="D465" s="1"/>
      <c r="E465" s="59" t="s">
        <v>7</v>
      </c>
      <c r="F465" s="1"/>
      <c r="G465" s="1"/>
      <c r="H465" s="1"/>
      <c r="I465" s="59" t="s">
        <v>7</v>
      </c>
      <c r="J465" s="1"/>
      <c r="K465" s="1"/>
      <c r="L465" s="1"/>
      <c r="M465" s="59" t="s">
        <v>7</v>
      </c>
      <c r="N465" s="1"/>
      <c r="O465" s="1"/>
      <c r="P465" s="1"/>
      <c r="Q465" s="59" t="s">
        <v>7</v>
      </c>
      <c r="R465" s="59" t="s">
        <v>7</v>
      </c>
    </row>
    <row r="466" spans="1:21" ht="15.75" customHeight="1" x14ac:dyDescent="0.3">
      <c r="A466" s="76" t="s">
        <v>454</v>
      </c>
      <c r="B466" s="1"/>
      <c r="C466" s="1"/>
      <c r="D466" s="1"/>
      <c r="E466" s="59">
        <f t="shared" ref="E466:E471" si="191">SUM(B466:D466)</f>
        <v>0</v>
      </c>
      <c r="F466" s="1"/>
      <c r="G466" s="1"/>
      <c r="H466" s="1"/>
      <c r="I466" s="59">
        <f t="shared" ref="I466:I471" si="192">SUM(F466:H466)</f>
        <v>0</v>
      </c>
      <c r="J466" s="1"/>
      <c r="K466" s="1"/>
      <c r="L466" s="1"/>
      <c r="M466" s="59">
        <f t="shared" ref="M466:M471" si="193">SUM(J466:L466)</f>
        <v>0</v>
      </c>
      <c r="N466" s="1"/>
      <c r="O466" s="1"/>
      <c r="P466" s="1"/>
      <c r="Q466" s="59">
        <f t="shared" ref="Q466:Q471" si="194">SUM(N466:P466)</f>
        <v>0</v>
      </c>
      <c r="R466" s="59">
        <f t="shared" ref="R466:R471" si="195">+E466+I466+M466+Q466</f>
        <v>0</v>
      </c>
      <c r="T466" s="4" t="s">
        <v>317</v>
      </c>
    </row>
    <row r="467" spans="1:21" ht="15.75" customHeight="1" x14ac:dyDescent="0.3">
      <c r="A467" s="76" t="s">
        <v>455</v>
      </c>
      <c r="B467" s="1"/>
      <c r="C467" s="1"/>
      <c r="D467" s="1"/>
      <c r="E467" s="59">
        <f t="shared" ref="E467" si="196">SUM(B467:D467)</f>
        <v>0</v>
      </c>
      <c r="F467" s="1"/>
      <c r="G467" s="1"/>
      <c r="H467" s="1"/>
      <c r="I467" s="59">
        <f t="shared" si="192"/>
        <v>0</v>
      </c>
      <c r="J467" s="1"/>
      <c r="K467" s="1"/>
      <c r="L467" s="1"/>
      <c r="M467" s="59">
        <f t="shared" si="193"/>
        <v>0</v>
      </c>
      <c r="N467" s="1"/>
      <c r="O467" s="1"/>
      <c r="P467" s="1"/>
      <c r="Q467" s="59">
        <f t="shared" si="194"/>
        <v>0</v>
      </c>
      <c r="R467" s="59">
        <f t="shared" si="195"/>
        <v>0</v>
      </c>
      <c r="T467" s="4" t="s">
        <v>317</v>
      </c>
    </row>
    <row r="468" spans="1:21" ht="15.75" customHeight="1" x14ac:dyDescent="0.3">
      <c r="A468" s="76" t="s">
        <v>456</v>
      </c>
      <c r="B468" s="1"/>
      <c r="C468" s="1"/>
      <c r="D468" s="1"/>
      <c r="E468" s="59">
        <f t="shared" si="191"/>
        <v>0</v>
      </c>
      <c r="F468" s="1"/>
      <c r="G468" s="1"/>
      <c r="H468" s="1"/>
      <c r="I468" s="59">
        <f t="shared" si="192"/>
        <v>0</v>
      </c>
      <c r="J468" s="1"/>
      <c r="K468" s="1"/>
      <c r="L468" s="1"/>
      <c r="M468" s="59">
        <f t="shared" si="193"/>
        <v>0</v>
      </c>
      <c r="N468" s="1"/>
      <c r="O468" s="1"/>
      <c r="P468" s="1"/>
      <c r="Q468" s="59">
        <f t="shared" si="194"/>
        <v>0</v>
      </c>
      <c r="R468" s="59">
        <f t="shared" si="195"/>
        <v>0</v>
      </c>
      <c r="T468" s="4" t="s">
        <v>331</v>
      </c>
    </row>
    <row r="469" spans="1:21" ht="15.75" customHeight="1" x14ac:dyDescent="0.3">
      <c r="A469" s="76" t="s">
        <v>457</v>
      </c>
      <c r="B469" s="1"/>
      <c r="C469" s="1"/>
      <c r="D469" s="1"/>
      <c r="E469" s="59">
        <f t="shared" si="191"/>
        <v>0</v>
      </c>
      <c r="F469" s="1"/>
      <c r="G469" s="1"/>
      <c r="H469" s="1"/>
      <c r="I469" s="59">
        <f t="shared" si="192"/>
        <v>0</v>
      </c>
      <c r="J469" s="1"/>
      <c r="K469" s="1"/>
      <c r="L469" s="1"/>
      <c r="M469" s="59">
        <f t="shared" si="193"/>
        <v>0</v>
      </c>
      <c r="N469" s="1"/>
      <c r="O469" s="1"/>
      <c r="P469" s="1"/>
      <c r="Q469" s="59">
        <f t="shared" si="194"/>
        <v>0</v>
      </c>
      <c r="R469" s="59">
        <f t="shared" si="195"/>
        <v>0</v>
      </c>
    </row>
    <row r="470" spans="1:21" ht="15.75" customHeight="1" x14ac:dyDescent="0.3">
      <c r="A470" s="76" t="s">
        <v>458</v>
      </c>
      <c r="B470" s="1"/>
      <c r="C470" s="1"/>
      <c r="D470" s="1"/>
      <c r="E470" s="59">
        <f t="shared" si="191"/>
        <v>0</v>
      </c>
      <c r="F470" s="1"/>
      <c r="G470" s="1"/>
      <c r="H470" s="1"/>
      <c r="I470" s="59">
        <f t="shared" si="192"/>
        <v>0</v>
      </c>
      <c r="J470" s="1"/>
      <c r="K470" s="1"/>
      <c r="L470" s="1"/>
      <c r="M470" s="59">
        <f t="shared" si="193"/>
        <v>0</v>
      </c>
      <c r="N470" s="1"/>
      <c r="O470" s="1"/>
      <c r="P470" s="1"/>
      <c r="Q470" s="59">
        <f t="shared" si="194"/>
        <v>0</v>
      </c>
      <c r="R470" s="59">
        <f t="shared" si="195"/>
        <v>0</v>
      </c>
    </row>
    <row r="471" spans="1:21" ht="15.75" customHeight="1" x14ac:dyDescent="0.3">
      <c r="A471" s="76" t="s">
        <v>459</v>
      </c>
      <c r="B471" s="1"/>
      <c r="C471" s="1"/>
      <c r="D471" s="1"/>
      <c r="E471" s="59">
        <f t="shared" si="191"/>
        <v>0</v>
      </c>
      <c r="F471" s="1"/>
      <c r="G471" s="1"/>
      <c r="H471" s="1"/>
      <c r="I471" s="59">
        <f t="shared" si="192"/>
        <v>0</v>
      </c>
      <c r="J471" s="1"/>
      <c r="K471" s="1"/>
      <c r="L471" s="1"/>
      <c r="M471" s="59">
        <f t="shared" si="193"/>
        <v>0</v>
      </c>
      <c r="N471" s="1"/>
      <c r="O471" s="1"/>
      <c r="P471" s="1"/>
      <c r="Q471" s="59">
        <f t="shared" si="194"/>
        <v>0</v>
      </c>
      <c r="R471" s="59">
        <f t="shared" si="195"/>
        <v>0</v>
      </c>
      <c r="T471" s="4" t="s">
        <v>317</v>
      </c>
    </row>
    <row r="472" spans="1:21" ht="15.75" customHeight="1" x14ac:dyDescent="0.3">
      <c r="A472" s="17" t="s">
        <v>67</v>
      </c>
      <c r="B472" s="1"/>
      <c r="C472" s="1"/>
      <c r="D472" s="1"/>
      <c r="E472" s="59" t="s">
        <v>7</v>
      </c>
      <c r="F472" s="1"/>
      <c r="G472" s="1"/>
      <c r="H472" s="1"/>
      <c r="I472" s="59" t="s">
        <v>7</v>
      </c>
      <c r="J472" s="1"/>
      <c r="K472" s="1"/>
      <c r="L472" s="1"/>
      <c r="M472" s="59" t="s">
        <v>7</v>
      </c>
      <c r="N472" s="1"/>
      <c r="O472" s="1"/>
      <c r="P472" s="1"/>
      <c r="Q472" s="59" t="s">
        <v>7</v>
      </c>
      <c r="R472" s="59" t="s">
        <v>7</v>
      </c>
    </row>
    <row r="473" spans="1:21" ht="15.75" customHeight="1" x14ac:dyDescent="0.3">
      <c r="A473" s="76" t="s">
        <v>460</v>
      </c>
      <c r="B473" s="1"/>
      <c r="C473" s="1"/>
      <c r="D473" s="1"/>
      <c r="E473" s="59">
        <f>SUM(B473:D473)</f>
        <v>0</v>
      </c>
      <c r="F473" s="1"/>
      <c r="G473" s="1"/>
      <c r="H473" s="1"/>
      <c r="I473" s="59">
        <f>SUM(F473:H473)</f>
        <v>0</v>
      </c>
      <c r="J473" s="1"/>
      <c r="K473" s="1"/>
      <c r="L473" s="1"/>
      <c r="M473" s="59">
        <f>SUM(J473:L473)</f>
        <v>0</v>
      </c>
      <c r="N473" s="1"/>
      <c r="O473" s="1"/>
      <c r="P473" s="1"/>
      <c r="Q473" s="59">
        <f>SUM(N473:P473)</f>
        <v>0</v>
      </c>
      <c r="R473" s="59">
        <f>+E473+I473+M473+Q473</f>
        <v>0</v>
      </c>
      <c r="T473" s="4" t="s">
        <v>305</v>
      </c>
    </row>
    <row r="474" spans="1:21" ht="15.75" customHeight="1" x14ac:dyDescent="0.3">
      <c r="A474" s="76" t="s">
        <v>461</v>
      </c>
      <c r="B474" s="1"/>
      <c r="C474" s="1"/>
      <c r="D474" s="1"/>
      <c r="E474" s="59">
        <f>SUM(B474:D474)</f>
        <v>0</v>
      </c>
      <c r="F474" s="1"/>
      <c r="G474" s="1"/>
      <c r="H474" s="1"/>
      <c r="I474" s="59">
        <f>SUM(F474:H474)</f>
        <v>0</v>
      </c>
      <c r="J474" s="1"/>
      <c r="K474" s="1"/>
      <c r="L474" s="1"/>
      <c r="M474" s="59">
        <f>SUM(J474:L474)</f>
        <v>0</v>
      </c>
      <c r="N474" s="1"/>
      <c r="O474" s="1"/>
      <c r="P474" s="1"/>
      <c r="Q474" s="59">
        <f>SUM(N474:P474)</f>
        <v>0</v>
      </c>
      <c r="R474" s="59">
        <f>+E474+I474+M474+Q474</f>
        <v>0</v>
      </c>
      <c r="T474" s="4" t="s">
        <v>305</v>
      </c>
    </row>
    <row r="475" spans="1:21" ht="15.75" customHeight="1" x14ac:dyDescent="0.3">
      <c r="A475" s="76" t="s">
        <v>462</v>
      </c>
      <c r="B475" s="1"/>
      <c r="C475" s="1"/>
      <c r="D475" s="1"/>
      <c r="E475" s="59">
        <f>SUM(B475:D475)</f>
        <v>0</v>
      </c>
      <c r="F475" s="1"/>
      <c r="G475" s="1"/>
      <c r="H475" s="1"/>
      <c r="I475" s="59">
        <f>SUM(F475:H475)</f>
        <v>0</v>
      </c>
      <c r="J475" s="1"/>
      <c r="K475" s="1"/>
      <c r="L475" s="1"/>
      <c r="M475" s="59">
        <f>SUM(J475:L475)</f>
        <v>0</v>
      </c>
      <c r="N475" s="1"/>
      <c r="O475" s="1"/>
      <c r="P475" s="1"/>
      <c r="Q475" s="59">
        <f>SUM(N475:P475)</f>
        <v>0</v>
      </c>
      <c r="R475" s="59">
        <f>+E475+I475+M475+Q475</f>
        <v>0</v>
      </c>
    </row>
    <row r="476" spans="1:21" ht="15.75" customHeight="1" x14ac:dyDescent="0.3">
      <c r="A476" s="76" t="s">
        <v>463</v>
      </c>
      <c r="B476" s="1"/>
      <c r="C476" s="1"/>
      <c r="D476" s="1"/>
      <c r="E476" s="59">
        <f>SUM(B476:D476)</f>
        <v>0</v>
      </c>
      <c r="F476" s="1"/>
      <c r="G476" s="1"/>
      <c r="H476" s="1"/>
      <c r="I476" s="59">
        <f>SUM(F476:H476)</f>
        <v>0</v>
      </c>
      <c r="J476" s="1"/>
      <c r="K476" s="1"/>
      <c r="L476" s="1"/>
      <c r="M476" s="59">
        <f>SUM(J476:L476)</f>
        <v>0</v>
      </c>
      <c r="N476" s="1"/>
      <c r="O476" s="1"/>
      <c r="P476" s="1"/>
      <c r="Q476" s="59">
        <f>SUM(N476:P476)</f>
        <v>0</v>
      </c>
      <c r="R476" s="59">
        <f>+E476+I476+M476+Q476</f>
        <v>0</v>
      </c>
    </row>
    <row r="477" spans="1:21" ht="15.75" customHeight="1" x14ac:dyDescent="0.3">
      <c r="A477" s="76" t="s">
        <v>464</v>
      </c>
      <c r="B477" s="1"/>
      <c r="C477" s="1"/>
      <c r="D477" s="1"/>
      <c r="E477" s="59">
        <f t="shared" ref="E477" si="197">SUM(B477:D477)</f>
        <v>0</v>
      </c>
      <c r="F477" s="1"/>
      <c r="G477" s="1"/>
      <c r="H477" s="1"/>
      <c r="I477" s="59">
        <f t="shared" ref="I477" si="198">SUM(F477:H477)</f>
        <v>0</v>
      </c>
      <c r="J477" s="1"/>
      <c r="K477" s="1"/>
      <c r="L477" s="1"/>
      <c r="M477" s="59">
        <f t="shared" ref="M477" si="199">SUM(J477:L477)</f>
        <v>0</v>
      </c>
      <c r="N477" s="1"/>
      <c r="O477" s="1"/>
      <c r="P477" s="1"/>
      <c r="Q477" s="59">
        <f t="shared" ref="Q477:Q488" si="200">SUM(N477:P477)</f>
        <v>0</v>
      </c>
      <c r="R477" s="59">
        <f t="shared" ref="R477:R488" si="201">+E477+I477+M477+Q477</f>
        <v>0</v>
      </c>
    </row>
    <row r="478" spans="1:21" ht="15.75" customHeight="1" x14ac:dyDescent="0.3">
      <c r="A478" s="76" t="s">
        <v>465</v>
      </c>
      <c r="B478" s="1"/>
      <c r="C478" s="1"/>
      <c r="D478" s="1"/>
      <c r="E478" s="59">
        <f>SUM(B478:D478)</f>
        <v>0</v>
      </c>
      <c r="F478" s="1"/>
      <c r="G478" s="1"/>
      <c r="H478" s="1"/>
      <c r="I478" s="59">
        <f>SUM(F478:H478)</f>
        <v>0</v>
      </c>
      <c r="J478" s="1"/>
      <c r="K478" s="1"/>
      <c r="L478" s="1"/>
      <c r="M478" s="59">
        <f>SUM(J478:L478)</f>
        <v>0</v>
      </c>
      <c r="N478" s="1"/>
      <c r="O478" s="1"/>
      <c r="P478" s="1"/>
      <c r="Q478" s="59">
        <f>SUM(N478:P478)</f>
        <v>0</v>
      </c>
      <c r="R478" s="59">
        <f>+E478+I478+M478+Q478</f>
        <v>0</v>
      </c>
    </row>
    <row r="479" spans="1:21" ht="15.75" customHeight="1" x14ac:dyDescent="0.3">
      <c r="A479" s="76" t="s">
        <v>466</v>
      </c>
      <c r="B479" s="1"/>
      <c r="C479" s="1"/>
      <c r="D479" s="1"/>
      <c r="E479" s="59">
        <f>SUM(B479:D479)</f>
        <v>0</v>
      </c>
      <c r="F479" s="1"/>
      <c r="G479" s="1"/>
      <c r="H479" s="1"/>
      <c r="I479" s="59">
        <f>SUM(F479:H479)</f>
        <v>0</v>
      </c>
      <c r="J479" s="1"/>
      <c r="K479" s="1"/>
      <c r="L479" s="1"/>
      <c r="M479" s="59">
        <f>SUM(J479:L479)</f>
        <v>0</v>
      </c>
      <c r="N479" s="1"/>
      <c r="O479" s="1"/>
      <c r="P479" s="1"/>
      <c r="Q479" s="59">
        <f>SUM(N479:P479)</f>
        <v>0</v>
      </c>
      <c r="R479" s="59">
        <f>+E479+I479+M479+Q479</f>
        <v>0</v>
      </c>
      <c r="T479" s="4" t="s">
        <v>305</v>
      </c>
      <c r="U479" s="20"/>
    </row>
    <row r="480" spans="1:21" ht="15.75" customHeight="1" x14ac:dyDescent="0.3">
      <c r="A480" s="76" t="s">
        <v>467</v>
      </c>
      <c r="B480" s="1"/>
      <c r="C480" s="1"/>
      <c r="D480" s="1"/>
      <c r="E480" s="59">
        <f>SUM(B480:D480)</f>
        <v>0</v>
      </c>
      <c r="F480" s="1"/>
      <c r="G480" s="1"/>
      <c r="H480" s="1"/>
      <c r="I480" s="59">
        <f>SUM(F480:H480)</f>
        <v>0</v>
      </c>
      <c r="J480" s="1"/>
      <c r="K480" s="1"/>
      <c r="L480" s="1"/>
      <c r="M480" s="59">
        <f>SUM(J480:L480)</f>
        <v>0</v>
      </c>
      <c r="N480" s="1"/>
      <c r="O480" s="1"/>
      <c r="P480" s="1"/>
      <c r="Q480" s="59">
        <f>SUM(N480:P480)</f>
        <v>0</v>
      </c>
      <c r="R480" s="59">
        <f>+E480+I480+M480+Q480</f>
        <v>0</v>
      </c>
    </row>
    <row r="481" spans="1:20" ht="15.75" customHeight="1" x14ac:dyDescent="0.3">
      <c r="A481" s="76" t="s">
        <v>468</v>
      </c>
      <c r="B481" s="1"/>
      <c r="C481" s="1"/>
      <c r="D481" s="1"/>
      <c r="E481" s="59">
        <f>SUM(B481:D481)</f>
        <v>0</v>
      </c>
      <c r="F481" s="1"/>
      <c r="G481" s="1"/>
      <c r="H481" s="1"/>
      <c r="I481" s="59">
        <f>SUM(F481:H481)</f>
        <v>0</v>
      </c>
      <c r="J481" s="1"/>
      <c r="K481" s="1"/>
      <c r="L481" s="1"/>
      <c r="M481" s="59">
        <f>SUM(J481:L481)</f>
        <v>0</v>
      </c>
      <c r="N481" s="1"/>
      <c r="O481" s="1"/>
      <c r="P481" s="1"/>
      <c r="Q481" s="59">
        <f>SUM(N481:P481)</f>
        <v>0</v>
      </c>
      <c r="R481" s="59">
        <f>+E481+I481+M481+Q481</f>
        <v>0</v>
      </c>
      <c r="T481" s="4" t="s">
        <v>331</v>
      </c>
    </row>
    <row r="482" spans="1:20" ht="15.75" customHeight="1" thickBot="1" x14ac:dyDescent="0.35">
      <c r="A482" s="76" t="s">
        <v>469</v>
      </c>
      <c r="B482" s="1"/>
      <c r="C482" s="1"/>
      <c r="D482" s="1"/>
      <c r="E482" s="59">
        <f>SUM(B482:D482)</f>
        <v>0</v>
      </c>
      <c r="F482" s="1"/>
      <c r="G482" s="1"/>
      <c r="H482" s="1"/>
      <c r="I482" s="59">
        <f>SUM(F482:H482)</f>
        <v>0</v>
      </c>
      <c r="J482" s="1"/>
      <c r="K482" s="1"/>
      <c r="L482" s="1"/>
      <c r="M482" s="59">
        <f>SUM(J482:L482)</f>
        <v>0</v>
      </c>
      <c r="N482" s="1"/>
      <c r="O482" s="1"/>
      <c r="P482" s="1"/>
      <c r="Q482" s="59">
        <f>SUM(N482:P482)</f>
        <v>0</v>
      </c>
      <c r="R482" s="59">
        <f>+E482+I482+M482+Q482</f>
        <v>0</v>
      </c>
      <c r="T482" s="4" t="s">
        <v>331</v>
      </c>
    </row>
    <row r="483" spans="1:20" ht="16.5" customHeight="1" thickBot="1" x14ac:dyDescent="0.35">
      <c r="A483" s="62" t="s">
        <v>68</v>
      </c>
      <c r="B483" s="63">
        <f>SUM(B465:B482)</f>
        <v>0</v>
      </c>
      <c r="C483" s="63">
        <f>SUM(C465:C482)</f>
        <v>0</v>
      </c>
      <c r="D483" s="63">
        <f>SUM(D465:D482)</f>
        <v>0</v>
      </c>
      <c r="E483" s="334">
        <f t="shared" ref="E483:E488" si="202">SUM(B483:D483)</f>
        <v>0</v>
      </c>
      <c r="F483" s="63">
        <f>SUM(F465:F482)</f>
        <v>0</v>
      </c>
      <c r="G483" s="63">
        <f>SUM(G465:G482)</f>
        <v>0</v>
      </c>
      <c r="H483" s="63">
        <f>SUM(H465:H482)</f>
        <v>0</v>
      </c>
      <c r="I483" s="334">
        <f t="shared" ref="I483:I488" si="203">SUM(F483:H483)</f>
        <v>0</v>
      </c>
      <c r="J483" s="63">
        <f>SUM(J465:J482)</f>
        <v>0</v>
      </c>
      <c r="K483" s="63">
        <f>SUM(K465:K482)</f>
        <v>0</v>
      </c>
      <c r="L483" s="63">
        <f>SUM(L465:L482)</f>
        <v>0</v>
      </c>
      <c r="M483" s="334">
        <f t="shared" ref="M483:M488" si="204">SUM(J483:L483)</f>
        <v>0</v>
      </c>
      <c r="N483" s="63">
        <f>SUM(N465:N482)</f>
        <v>0</v>
      </c>
      <c r="O483" s="63">
        <f>SUM(O465:O482)</f>
        <v>0</v>
      </c>
      <c r="P483" s="63">
        <f>SUM(P465:P482)</f>
        <v>0</v>
      </c>
      <c r="Q483" s="334">
        <f t="shared" si="200"/>
        <v>0</v>
      </c>
      <c r="R483" s="64">
        <f t="shared" si="201"/>
        <v>0</v>
      </c>
    </row>
    <row r="484" spans="1:20" ht="16.5" customHeight="1" thickBot="1" x14ac:dyDescent="0.35">
      <c r="A484" s="137" t="s">
        <v>69</v>
      </c>
      <c r="B484" s="100">
        <f>SUM(B459:B482)</f>
        <v>0</v>
      </c>
      <c r="C484" s="101">
        <f>SUM(C459:C482)</f>
        <v>0</v>
      </c>
      <c r="D484" s="138">
        <f>SUM(D459:D482)</f>
        <v>0</v>
      </c>
      <c r="E484" s="334">
        <f t="shared" si="202"/>
        <v>0</v>
      </c>
      <c r="F484" s="101">
        <f>SUM(F459:F482)</f>
        <v>0</v>
      </c>
      <c r="G484" s="101">
        <f>SUM(G459:G482)</f>
        <v>0</v>
      </c>
      <c r="H484" s="101">
        <f>SUM(H459:H482)</f>
        <v>0</v>
      </c>
      <c r="I484" s="334">
        <f t="shared" si="203"/>
        <v>0</v>
      </c>
      <c r="J484" s="101">
        <f>SUM(J459:J482)</f>
        <v>0</v>
      </c>
      <c r="K484" s="101">
        <f>SUM(K459:K482)</f>
        <v>0</v>
      </c>
      <c r="L484" s="101">
        <f>SUM(L459:L482)</f>
        <v>0</v>
      </c>
      <c r="M484" s="334">
        <f t="shared" si="204"/>
        <v>0</v>
      </c>
      <c r="N484" s="101">
        <f>SUM(N459:N482)</f>
        <v>0</v>
      </c>
      <c r="O484" s="101">
        <f>SUM(O459:O482)</f>
        <v>0</v>
      </c>
      <c r="P484" s="101">
        <f>SUM(P459:P482)</f>
        <v>0</v>
      </c>
      <c r="Q484" s="334">
        <f t="shared" si="200"/>
        <v>0</v>
      </c>
      <c r="R484" s="64">
        <f t="shared" si="201"/>
        <v>0</v>
      </c>
    </row>
    <row r="485" spans="1:20" ht="16.5" customHeight="1" thickBot="1" x14ac:dyDescent="0.35">
      <c r="A485" s="62" t="s">
        <v>70</v>
      </c>
      <c r="B485" s="107">
        <f>+B386+B400+B458+B484</f>
        <v>8929</v>
      </c>
      <c r="C485" s="63">
        <f>+C386+C400+C458+C484</f>
        <v>15996</v>
      </c>
      <c r="D485" s="63">
        <f>+D386+D400+D458+D484</f>
        <v>31561</v>
      </c>
      <c r="E485" s="64">
        <f t="shared" si="202"/>
        <v>56486</v>
      </c>
      <c r="F485" s="63">
        <f>+F386+F400+F458+F484</f>
        <v>66061</v>
      </c>
      <c r="G485" s="63">
        <f>+G386+G400+G458+G484</f>
        <v>60596</v>
      </c>
      <c r="H485" s="63">
        <f>+H386+H400+H458+H484</f>
        <v>80809</v>
      </c>
      <c r="I485" s="64">
        <f t="shared" si="203"/>
        <v>207466</v>
      </c>
      <c r="J485" s="63">
        <f>+J386+J400+J458+J484</f>
        <v>78774</v>
      </c>
      <c r="K485" s="63">
        <f>+K386+K400+K458+K484</f>
        <v>70877</v>
      </c>
      <c r="L485" s="63">
        <f>+L386+L400+L458+L484</f>
        <v>49740</v>
      </c>
      <c r="M485" s="64">
        <f t="shared" si="204"/>
        <v>199391</v>
      </c>
      <c r="N485" s="63">
        <f>+N386+N400+N458+N484</f>
        <v>49885</v>
      </c>
      <c r="O485" s="63">
        <f>+O386+O400+O458+O484</f>
        <v>4863</v>
      </c>
      <c r="P485" s="63">
        <f>+P386+P400+P458+P484</f>
        <v>25789</v>
      </c>
      <c r="Q485" s="64">
        <f t="shared" si="200"/>
        <v>80537</v>
      </c>
      <c r="R485" s="88">
        <f t="shared" si="201"/>
        <v>543880</v>
      </c>
    </row>
    <row r="486" spans="1:20" ht="15.75" customHeight="1" x14ac:dyDescent="0.3">
      <c r="A486" s="74" t="s">
        <v>470</v>
      </c>
      <c r="B486" s="1"/>
      <c r="C486" s="1"/>
      <c r="D486" s="1"/>
      <c r="E486" s="59">
        <f t="shared" si="202"/>
        <v>0</v>
      </c>
      <c r="F486" s="1"/>
      <c r="G486" s="1"/>
      <c r="H486" s="1"/>
      <c r="I486" s="59">
        <f t="shared" si="203"/>
        <v>0</v>
      </c>
      <c r="J486" s="1"/>
      <c r="K486" s="1"/>
      <c r="L486" s="1"/>
      <c r="M486" s="59">
        <f t="shared" si="204"/>
        <v>0</v>
      </c>
      <c r="N486" s="1"/>
      <c r="O486" s="1"/>
      <c r="P486" s="1"/>
      <c r="Q486" s="59">
        <f t="shared" si="200"/>
        <v>0</v>
      </c>
      <c r="R486" s="59">
        <f t="shared" si="201"/>
        <v>0</v>
      </c>
    </row>
    <row r="487" spans="1:20" ht="15.75" customHeight="1" x14ac:dyDescent="0.3">
      <c r="A487" s="74" t="s">
        <v>471</v>
      </c>
      <c r="B487" s="1"/>
      <c r="C487" s="1"/>
      <c r="D487" s="1"/>
      <c r="E487" s="59">
        <f t="shared" si="202"/>
        <v>0</v>
      </c>
      <c r="F487" s="1"/>
      <c r="G487" s="1"/>
      <c r="H487" s="1"/>
      <c r="I487" s="59">
        <f t="shared" si="203"/>
        <v>0</v>
      </c>
      <c r="J487" s="1"/>
      <c r="K487" s="1"/>
      <c r="L487" s="1"/>
      <c r="M487" s="59">
        <f t="shared" si="204"/>
        <v>0</v>
      </c>
      <c r="N487" s="1"/>
      <c r="O487" s="1"/>
      <c r="P487" s="1"/>
      <c r="Q487" s="59">
        <f t="shared" si="200"/>
        <v>0</v>
      </c>
      <c r="R487" s="59">
        <f t="shared" si="201"/>
        <v>0</v>
      </c>
    </row>
    <row r="488" spans="1:20" ht="16.5" customHeight="1" thickBot="1" x14ac:dyDescent="0.35">
      <c r="A488" s="79" t="s">
        <v>37</v>
      </c>
      <c r="B488" s="25">
        <v>155</v>
      </c>
      <c r="C488" s="25">
        <v>283</v>
      </c>
      <c r="D488" s="25">
        <v>435</v>
      </c>
      <c r="E488" s="88">
        <f t="shared" si="202"/>
        <v>873</v>
      </c>
      <c r="F488" s="25">
        <v>602</v>
      </c>
      <c r="G488" s="25">
        <v>711</v>
      </c>
      <c r="H488" s="25">
        <v>722</v>
      </c>
      <c r="I488" s="88">
        <f t="shared" si="203"/>
        <v>2035</v>
      </c>
      <c r="J488" s="25">
        <v>686</v>
      </c>
      <c r="K488" s="25">
        <v>519</v>
      </c>
      <c r="L488" s="25">
        <v>531</v>
      </c>
      <c r="M488" s="88">
        <f t="shared" si="204"/>
        <v>1736</v>
      </c>
      <c r="N488" s="25">
        <v>489</v>
      </c>
      <c r="O488" s="25">
        <v>389</v>
      </c>
      <c r="P488" s="25">
        <v>275</v>
      </c>
      <c r="Q488" s="88">
        <f t="shared" si="200"/>
        <v>1153</v>
      </c>
      <c r="R488" s="59">
        <f t="shared" si="201"/>
        <v>5797</v>
      </c>
    </row>
    <row r="489" spans="1:20" ht="16.5" customHeight="1" thickBot="1" x14ac:dyDescent="0.35">
      <c r="A489" s="80"/>
      <c r="B489" s="81"/>
      <c r="C489" s="81"/>
      <c r="D489" s="81"/>
      <c r="E489" s="64"/>
      <c r="F489" s="81"/>
      <c r="G489" s="81"/>
      <c r="H489" s="81"/>
      <c r="I489" s="64"/>
      <c r="J489" s="81"/>
      <c r="K489" s="81"/>
      <c r="L489" s="81"/>
      <c r="M489" s="64"/>
      <c r="N489" s="81"/>
      <c r="O489" s="81"/>
      <c r="P489" s="81"/>
      <c r="Q489" s="64"/>
      <c r="R489" s="64" t="s">
        <v>7</v>
      </c>
    </row>
    <row r="490" spans="1:20" ht="15.75" customHeight="1" x14ac:dyDescent="0.3">
      <c r="A490" s="335" t="s">
        <v>38</v>
      </c>
      <c r="B490" s="336">
        <f>SUM(B485:B488)</f>
        <v>9084</v>
      </c>
      <c r="C490" s="336">
        <f>SUM(C485:C488)</f>
        <v>16279</v>
      </c>
      <c r="D490" s="336">
        <f>SUM(D485:D488)</f>
        <v>31996</v>
      </c>
      <c r="E490" s="334">
        <f>SUM(B490:D490)</f>
        <v>57359</v>
      </c>
      <c r="F490" s="336">
        <f>SUM(F485:F488)</f>
        <v>66663</v>
      </c>
      <c r="G490" s="336">
        <f>SUM(G485:G488)</f>
        <v>61307</v>
      </c>
      <c r="H490" s="336">
        <f>SUM(H485:H488)</f>
        <v>81531</v>
      </c>
      <c r="I490" s="334">
        <f>SUM(F490:H490)</f>
        <v>209501</v>
      </c>
      <c r="J490" s="336">
        <f>SUM(J485:J488)</f>
        <v>79460</v>
      </c>
      <c r="K490" s="336">
        <f>SUM(K485:K488)</f>
        <v>71396</v>
      </c>
      <c r="L490" s="336">
        <f>SUM(L485:L488)</f>
        <v>50271</v>
      </c>
      <c r="M490" s="334">
        <f>SUM(J490:L490)</f>
        <v>201127</v>
      </c>
      <c r="N490" s="336">
        <f>SUM(N485:N488)</f>
        <v>50374</v>
      </c>
      <c r="O490" s="336">
        <f>SUM(O485:O488)</f>
        <v>5252</v>
      </c>
      <c r="P490" s="336">
        <f>SUM(P485:P488)</f>
        <v>26064</v>
      </c>
      <c r="Q490" s="334">
        <f>SUM(N490:P490)</f>
        <v>81690</v>
      </c>
      <c r="R490" s="334">
        <f>+E490+I490+M490+Q490</f>
        <v>549677</v>
      </c>
    </row>
    <row r="491" spans="1:20" ht="15.75" customHeight="1" x14ac:dyDescent="0.3">
      <c r="A491" s="85" t="s">
        <v>39</v>
      </c>
      <c r="B491" s="1">
        <f>(B490/B10)/1.983</f>
        <v>147.77219266995266</v>
      </c>
      <c r="C491" s="1">
        <f>(C490/C10)/1.983</f>
        <v>293.18853108565662</v>
      </c>
      <c r="D491" s="1">
        <f>(D490/D10)/1.983</f>
        <v>520.48866982252378</v>
      </c>
      <c r="E491" s="59" t="s">
        <v>7</v>
      </c>
      <c r="F491" s="1">
        <f>(F490/F10)/1.983</f>
        <v>1120.5748865355522</v>
      </c>
      <c r="G491" s="1">
        <f>(G490/G10)/1.983</f>
        <v>997.29962747873049</v>
      </c>
      <c r="H491" s="1">
        <f>(H490/H10)/1.983</f>
        <v>1370.4992435703477</v>
      </c>
      <c r="I491" s="59" t="s">
        <v>7</v>
      </c>
      <c r="J491" s="1">
        <f>(J490/J10)/1.983</f>
        <v>1292.6000032534607</v>
      </c>
      <c r="K491" s="1">
        <f>(K490/K10)/1.983</f>
        <v>1161.420461015405</v>
      </c>
      <c r="L491" s="1">
        <f>(L490/L10)/1.983</f>
        <v>845.03277861825518</v>
      </c>
      <c r="M491" s="59" t="s">
        <v>7</v>
      </c>
      <c r="N491" s="1">
        <f>(N490/N10)/1.983</f>
        <v>819.4491890748784</v>
      </c>
      <c r="O491" s="1">
        <f>(O490/O10)/1.983</f>
        <v>88.283745167254992</v>
      </c>
      <c r="P491" s="1">
        <f>(P490/P10)/1.983</f>
        <v>423.99102044800151</v>
      </c>
      <c r="Q491" s="59" t="s">
        <v>7</v>
      </c>
      <c r="R491" s="59" t="s">
        <v>7</v>
      </c>
    </row>
    <row r="492" spans="1:20" ht="15.75" customHeight="1" x14ac:dyDescent="0.3">
      <c r="A492" s="85" t="s">
        <v>472</v>
      </c>
      <c r="B492" s="1">
        <f>B490+B542</f>
        <v>24277</v>
      </c>
      <c r="C492" s="1">
        <f>C490+C542</f>
        <v>31058</v>
      </c>
      <c r="D492" s="1">
        <f>D490+D542</f>
        <v>56016</v>
      </c>
      <c r="E492" s="59">
        <f>SUM(B492:D492)</f>
        <v>111351</v>
      </c>
      <c r="F492" s="1">
        <f>F490+F542</f>
        <v>109062</v>
      </c>
      <c r="G492" s="1">
        <f>G490+G542</f>
        <v>96451</v>
      </c>
      <c r="H492" s="1">
        <f>H490+H542</f>
        <v>127265</v>
      </c>
      <c r="I492" s="59">
        <f>SUM(F492:H492)</f>
        <v>332778</v>
      </c>
      <c r="J492" s="1">
        <f>J490+J542</f>
        <v>131500</v>
      </c>
      <c r="K492" s="1">
        <f>K490+K542</f>
        <v>124832</v>
      </c>
      <c r="L492" s="1">
        <f>L490+L542</f>
        <v>80100</v>
      </c>
      <c r="M492" s="59">
        <f>SUM(J492:L492)</f>
        <v>336432</v>
      </c>
      <c r="N492" s="1">
        <f>N490+N542</f>
        <v>72203</v>
      </c>
      <c r="O492" s="1">
        <f>O490+O542</f>
        <v>6457</v>
      </c>
      <c r="P492" s="1">
        <f>P490+P542</f>
        <v>33349</v>
      </c>
      <c r="Q492" s="59">
        <f>SUM(N492:P492)</f>
        <v>112009</v>
      </c>
      <c r="R492" s="59">
        <f>+E492+I492+M492+Q492</f>
        <v>892570</v>
      </c>
    </row>
    <row r="493" spans="1:20" s="50" customFormat="1" ht="16.5" customHeight="1" thickBot="1" x14ac:dyDescent="0.35">
      <c r="A493" s="139" t="s">
        <v>473</v>
      </c>
      <c r="B493" s="140">
        <f>(B492/B10)/1.983</f>
        <v>394.92134758349192</v>
      </c>
      <c r="C493" s="140">
        <f>(C492/C10)/1.983</f>
        <v>559.36171745551474</v>
      </c>
      <c r="D493" s="140">
        <f>(D492/D10)/1.983</f>
        <v>911.22932018935137</v>
      </c>
      <c r="E493" s="141" t="s">
        <v>7</v>
      </c>
      <c r="F493" s="140">
        <f>(F492/F10)/1.983</f>
        <v>1833.2829046898637</v>
      </c>
      <c r="G493" s="140">
        <f>(G492/G10)/1.983</f>
        <v>1568.9977713793048</v>
      </c>
      <c r="H493" s="140">
        <f>(H492/H10)/1.983</f>
        <v>2139.2671037149103</v>
      </c>
      <c r="I493" s="141" t="s">
        <v>7</v>
      </c>
      <c r="J493" s="140">
        <f>(J492/J10)/1.983</f>
        <v>2139.1505213671044</v>
      </c>
      <c r="K493" s="140">
        <f>(K492/K10)/1.983</f>
        <v>2030.6801359946644</v>
      </c>
      <c r="L493" s="140">
        <f>(L492/L10)/1.983</f>
        <v>1346.4447806354008</v>
      </c>
      <c r="M493" s="141" t="s">
        <v>7</v>
      </c>
      <c r="N493" s="140">
        <f>(N492/N10)/1.983</f>
        <v>1174.5481756218176</v>
      </c>
      <c r="O493" s="140">
        <f>(O492/O10)/1.983</f>
        <v>108.53925029416708</v>
      </c>
      <c r="P493" s="140">
        <f>(P492/P10)/1.983</f>
        <v>542.49833260130458</v>
      </c>
      <c r="Q493" s="141" t="s">
        <v>7</v>
      </c>
      <c r="R493" s="141" t="s">
        <v>7</v>
      </c>
    </row>
    <row r="494" spans="1:20" ht="15.75" customHeight="1" x14ac:dyDescent="0.3">
      <c r="A494" s="142" t="s">
        <v>474</v>
      </c>
      <c r="B494" s="143">
        <f>B$495+(SUMIF($T$326:$T$469,"FLG",B$333:B$487)/B10/1.98)+(SUMIF($T$326:$T$469,"FCA",B$333:B$487)/B10/1.98)+(SUMIF($T$326:$T$469,"NSC",B$333:B$487)/B10/1.98)</f>
        <v>336.6245540663578</v>
      </c>
      <c r="C494" s="143">
        <f>C$495+(SUMIF($T$326:$T$469,"FLG",C$333:C$487)/C10/1.98)+(SUMIF($T$326:$T$469,"FCA",C$333:C$487)/C10/1.98)+(SUMIF($T$326:$T$469,"NSC",C$333:C$487)/C10/1.98)</f>
        <v>386.50146919814085</v>
      </c>
      <c r="D494" s="143">
        <f>D$495+(SUMIF($T$326:$T$469,"FLG",D$333:D$487)/D10/1.98)+(SUMIF($T$326:$T$469,"FCA",D$333:D$487)/D10/1.98)+(SUMIF($T$326:$T$469,"NSC",D$333:D$487)/D10/1.98)</f>
        <v>595.31868881583387</v>
      </c>
      <c r="E494" s="144"/>
      <c r="F494" s="143">
        <f>F$495+(SUMIF($T$326:$T$469,"FLG",F$333:F$487)/F10/1.98)+(SUMIF($T$326:$T$469,"FCA",F$333:F$487)/F10/1.98)+(SUMIF($T$326:$T$469,"NSC",F$333:F$487)/F10/1.98)</f>
        <v>1195.064920511214</v>
      </c>
      <c r="G494" s="143">
        <f>G$495+(SUMIF($T$326:$T$469,"FLG",G$333:G$487)/G10/1.98)+(SUMIF($T$326:$T$469,"FCA",G$333:G$487)/G10/1.98)+(SUMIF($T$326:$T$469,"NSC",G$333:G$487)/G10/1.98)</f>
        <v>899.36187801592132</v>
      </c>
      <c r="H494" s="143">
        <f>H$495+(SUMIF($T$326:$T$469,"FLG",H$333:H$487)/H10/1.98)+(SUMIF($T$326:$T$469,"FCA",H$333:H$487)/H10/1.98)+(SUMIF($T$326:$T$469,"NSC",H$333:H$487)/H10/1.98)</f>
        <v>1430.9732473499491</v>
      </c>
      <c r="I494" s="52"/>
      <c r="J494" s="143">
        <f>J$495+(SUMIF($T$326:$T$469,"FLG",J$333:J$487)/J10/1.98)+(SUMIF($T$326:$T$469,"FCA",J$333:J$487)/J10/1.98)+(SUMIF($T$326:$T$469,"NSC",J$333:J$487)/J10/1.98)</f>
        <v>1497.3325317988829</v>
      </c>
      <c r="K494" s="143">
        <f>K$495+(SUMIF($T$326:$T$469,"FLG",K$333:K$487)/K10/1.98)+(SUMIF($T$326:$T$469,"FCA",K$333:K$487)/K10/1.98)+(SUMIF($T$326:$T$469,"NSC",K$333:K$487)/K10/1.98)</f>
        <v>1386.80610704182</v>
      </c>
      <c r="L494" s="143">
        <f>L$495+(SUMIF($T$326:$T$469,"FLG",L$333:L$487)/L10/1.98)+(SUMIF($T$326:$T$469,"FCA",L$333:L$487)/L10/1.98)+(SUMIF($T$326:$T$469,"NSC",L$333:L$487)/L10/1.98)</f>
        <v>799.98102558616927</v>
      </c>
      <c r="M494" s="52"/>
      <c r="N494" s="143">
        <f>N$495+(SUMIF($T$326:$T$469,"FLG",N$333:N$487)/N10/1.98)+(SUMIF($T$326:$T$469,"FCA",N$333:N$487)/N10/1.98)+(SUMIF($T$326:$T$469,"NSC",N$333:N$487)/N10/1.98)</f>
        <v>607.37985979555447</v>
      </c>
      <c r="O494" s="143">
        <f>O$495+(SUMIF($T$326:$T$469,"FLG",O$333:O$487)/O10/1.98)+(SUMIF($T$326:$T$469,"FCA",O$333:O$487)/O10/1.98)+(SUMIF($T$326:$T$469,"NSC",O$333:O$487)/O10/1.98)</f>
        <v>26.484461355868312</v>
      </c>
      <c r="P494" s="143">
        <f>P$495+(SUMIF($T$326:$T$469,"FLG",P$333:P$487)/P10/1.98)+(SUMIF($T$326:$T$469,"FCA",P$333:P$487)/P10/1.98)+(SUMIF($T$326:$T$469,"NSC",P$333:P$487)/P10/1.98)</f>
        <v>348.50079537259273</v>
      </c>
      <c r="Q494" s="52"/>
      <c r="R494" s="52"/>
    </row>
    <row r="495" spans="1:20" ht="15.75" customHeight="1" x14ac:dyDescent="0.3">
      <c r="A495" s="142" t="s">
        <v>475</v>
      </c>
      <c r="B495" s="143">
        <f>B$496+(SUMIF($T$326:$T$469,"FCI",B$333:B$487)/B10/1.98)+(SUMIF($T$326:$T$469,"FCC",B$333:B$487)/B10/1.98)</f>
        <v>336.6245540663578</v>
      </c>
      <c r="C495" s="143">
        <f>C$496+(SUMIF($T$326:$T$469,"FCI",C$333:C$487)/C10/1.98)+(SUMIF($T$326:$T$469,"FCC",C$333:C$487)/C10/1.98)</f>
        <v>386.50146919814085</v>
      </c>
      <c r="D495" s="143">
        <f>D$496+(SUMIF($T$326:$T$469,"FCI",D$333:D$487)/D10/1.98)+(SUMIF($T$326:$T$469,"FCC",D$333:D$487)/D10/1.98)</f>
        <v>595.31868881583387</v>
      </c>
      <c r="E495" s="144"/>
      <c r="F495" s="143">
        <f>F$496+(SUMIF($T$326:$T$469,"FCI",F$333:F$487)/F10/1.98)+(SUMIF($T$326:$T$469,"FCC",F$333:F$487)/F10/1.98)</f>
        <v>1195.064920511214</v>
      </c>
      <c r="G495" s="143">
        <f>G$496+(SUMIF($T$326:$T$469,"FCI",G$333:G$487)/G10/1.98)+(SUMIF($T$326:$T$469,"FCC",G$333:G$487)/G10/1.98)</f>
        <v>899.36187801592132</v>
      </c>
      <c r="H495" s="143">
        <f>H$496+(SUMIF($T$326:$T$469,"FCI",H$333:H$487)/H10/1.98)+(SUMIF($T$326:$T$469,"FCC",H$333:H$487)/H10/1.98)</f>
        <v>1430.9732473499491</v>
      </c>
      <c r="I495" s="52"/>
      <c r="J495" s="143">
        <f>J$496+(SUMIF($T$326:$T$469,"FCI",J$333:J$487)/J10/1.98)+(SUMIF($T$326:$T$469,"FCC",J$333:J$487)/J10/1.98)</f>
        <v>1497.3325317988829</v>
      </c>
      <c r="K495" s="143">
        <f>K$496+(SUMIF($T$326:$T$469,"FCI",K$333:K$487)/K10/1.98)+(SUMIF($T$326:$T$469,"FCC",K$333:K$487)/K10/1.98)</f>
        <v>1386.80610704182</v>
      </c>
      <c r="L495" s="143">
        <f>L$496+(SUMIF($T$326:$T$469,"FCI",L$333:L$487)/L10/1.98)+(SUMIF($T$326:$T$469,"FCC",L$333:L$487)/L10/1.98)</f>
        <v>799.98102558616927</v>
      </c>
      <c r="M495" s="52"/>
      <c r="N495" s="143">
        <f>N$496+(SUMIF($T$326:$T$469,"FCI",N$333:N$487)/N10/1.98)+(SUMIF($T$326:$T$469,"FCC",N$333:N$487)/N10/1.98)</f>
        <v>607.37985979555447</v>
      </c>
      <c r="O495" s="143">
        <f>O$496+(SUMIF($T$326:$T$469,"FCI",O$333:O$487)/O10/1.98)+(SUMIF($T$326:$T$469,"FCC",O$333:O$487)/O10/1.98)</f>
        <v>26.484461355868312</v>
      </c>
      <c r="P495" s="143">
        <f>P$496+(SUMIF($T$326:$T$469,"FCI",P$333:P$487)/P10/1.98)+(SUMIF($T$326:$T$469,"FCC",P$333:P$487)/P10/1.98)</f>
        <v>348.50079537259273</v>
      </c>
      <c r="Q495" s="52"/>
      <c r="R495" s="52"/>
    </row>
    <row r="496" spans="1:20" ht="15.75" customHeight="1" x14ac:dyDescent="0.3">
      <c r="A496" s="142" t="s">
        <v>476</v>
      </c>
      <c r="B496" s="143">
        <f>B$497+(SUMIF($T$326:$T$469,"PIL",B$333:B$487)/B10/1.98)+(SUMIF($T$326:$T$469,"KLK",B$333:B$487)/B10/1.98)</f>
        <v>336.6245540663578</v>
      </c>
      <c r="C496" s="143">
        <f>C$497+(SUMIF($T$326:$T$469,"PIL",C$333:C$487)/C10/1.98)+(SUMIF($T$326:$T$469,"KLK",C$333:C$487)/C10/1.98)</f>
        <v>386.50146919814085</v>
      </c>
      <c r="D496" s="143">
        <f>D$497+(SUMIF($T$326:$T$469,"PIL",D$333:D$487)/D10/1.98)+(SUMIF($T$326:$T$469,"KLK",D$333:D$487)/D10/1.98)</f>
        <v>595.31868881583387</v>
      </c>
      <c r="E496" s="144"/>
      <c r="F496" s="143">
        <f>F$497+(SUMIF($T$326:$T$469,"PIL",F$333:F$487)/F10/1.98)+(SUMIF($T$326:$T$469,"KLK",F$333:F$487)/F10/1.98)</f>
        <v>1195.064920511214</v>
      </c>
      <c r="G496" s="143">
        <f>G$497+(SUMIF($T$326:$T$469,"PIL",G$333:G$487)/G10/1.98)+(SUMIF($T$326:$T$469,"KLK",G$333:G$487)/G10/1.98)</f>
        <v>899.36187801592132</v>
      </c>
      <c r="H496" s="143">
        <f>H$497+(SUMIF($T$326:$T$469,"PIL",H$333:H$487)/H10/1.98)+(SUMIF($T$326:$T$469,"KLK",H$333:H$487)/H10/1.98)</f>
        <v>1430.9732473499491</v>
      </c>
      <c r="I496" s="52"/>
      <c r="J496" s="143">
        <f>J$497+(SUMIF($T$326:$T$469,"PIL",J$333:J$487)/J10/1.98)+(SUMIF($T$326:$T$469,"KLK",J$333:J$487)/J10/1.98)</f>
        <v>1497.3325317988829</v>
      </c>
      <c r="K496" s="143">
        <f>K$497+(SUMIF($T$326:$T$469,"PIL",K$333:K$487)/K10/1.98)+(SUMIF($T$326:$T$469,"KLK",K$333:K$487)/K10/1.98)</f>
        <v>1386.80610704182</v>
      </c>
      <c r="L496" s="143">
        <f>L$497+(SUMIF($T$326:$T$469,"PIL",L$333:L$487)/L10/1.98)+(SUMIF($T$326:$T$469,"KLK",L$333:L$487)/L10/1.98)</f>
        <v>799.98102558616927</v>
      </c>
      <c r="M496" s="52"/>
      <c r="N496" s="143">
        <f>N$497+(SUMIF($T$326:$T$469,"PIL",N$333:N$487)/N10/1.98)+(SUMIF($T$326:$T$469,"KLK",N$333:N$487)/N10/1.98)</f>
        <v>607.37985979555447</v>
      </c>
      <c r="O496" s="143">
        <f>O$497+(SUMIF($T$326:$T$469,"PIL",O$333:O$487)/O10/1.98)+(SUMIF($T$326:$T$469,"KLK",O$333:O$487)/O10/1.98)</f>
        <v>26.484461355868312</v>
      </c>
      <c r="P496" s="143">
        <f>P$497+(SUMIF($T$326:$T$469,"PIL",P$333:P$487)/P10/1.98)+(SUMIF($T$326:$T$469,"KLK",P$333:P$487)/P10/1.98)</f>
        <v>348.50079537259273</v>
      </c>
      <c r="Q496" s="52"/>
      <c r="R496" s="52"/>
    </row>
    <row r="497" spans="1:20" ht="15.75" customHeight="1" x14ac:dyDescent="0.3">
      <c r="A497" s="142" t="s">
        <v>477</v>
      </c>
      <c r="B497" s="143">
        <f>B$498+(SUMIF($T$326:$T$469,"CGE",B$333:B$487)/B10/1.98)</f>
        <v>336.6245540663578</v>
      </c>
      <c r="C497" s="143">
        <f>C$498+(SUMIF($T$326:$T$469,"CGE",C$333:C$487)/C10/1.98)</f>
        <v>386.50146919814085</v>
      </c>
      <c r="D497" s="143">
        <f>D$498+(SUMIF($T$326:$T$469,"CGE",D$333:D$487)/D10/1.98)</f>
        <v>595.31868881583387</v>
      </c>
      <c r="E497" s="144"/>
      <c r="F497" s="143">
        <f>F$498+(SUMIF($T$326:$T$469,"CGE",F$333:F$487)/F10/1.98)</f>
        <v>1195.064920511214</v>
      </c>
      <c r="G497" s="143">
        <f>G$498+(SUMIF($T$326:$T$469,"CGE",G$333:G$487)/G10/1.98)</f>
        <v>898.25402529516532</v>
      </c>
      <c r="H497" s="143">
        <f>H$498+(SUMIF($T$326:$T$469,"CGE",H$333:H$487)/H10/1.98)</f>
        <v>1427.9597793364812</v>
      </c>
      <c r="I497" s="52"/>
      <c r="J497" s="143">
        <f>J$498+(SUMIF($T$326:$T$469,"CGE",J$333:J$487)/J10/1.98)</f>
        <v>1495.019074646716</v>
      </c>
      <c r="K497" s="143">
        <f>K$498+(SUMIF($T$326:$T$469,"CGE",K$333:K$487)/K10/1.98)</f>
        <v>1385.437583092651</v>
      </c>
      <c r="L497" s="143">
        <f>L$498+(SUMIF($T$326:$T$469,"CGE",L$333:L$487)/L10/1.98)</f>
        <v>799.61065521579894</v>
      </c>
      <c r="M497" s="52"/>
      <c r="N497" s="143">
        <f>N$498+(SUMIF($T$326:$T$469,"CGE",N$333:N$487)/N10/1.98)</f>
        <v>607.37985979555447</v>
      </c>
      <c r="O497" s="143">
        <f>O$498+(SUMIF($T$326:$T$469,"CGE",O$333:O$487)/O10/1.98)</f>
        <v>26.484461355868312</v>
      </c>
      <c r="P497" s="143">
        <f>P$498+(SUMIF($T$326:$T$469,"CGE",P$333:P$487)/P10/1.98)</f>
        <v>348.50079537259273</v>
      </c>
      <c r="Q497" s="52"/>
      <c r="R497" s="52"/>
    </row>
    <row r="498" spans="1:20" ht="15.75" customHeight="1" x14ac:dyDescent="0.3">
      <c r="A498" s="142" t="s">
        <v>478</v>
      </c>
      <c r="B498" s="143">
        <f>B$499+(SUMIF($T$326:$T$469,"SRO",B$333:B$487)/B10/1.98)</f>
        <v>336.6245540663578</v>
      </c>
      <c r="C498" s="143">
        <f>C$499+(SUMIF($T$326:$T$469,"SRO",C$333:C$487)/C10/1.98)</f>
        <v>386.50146919814085</v>
      </c>
      <c r="D498" s="143">
        <f>D$499+(SUMIF($T$326:$T$469,"SRO",D$333:D$487)/D10/1.98)</f>
        <v>595.31868881583387</v>
      </c>
      <c r="E498" s="144"/>
      <c r="F498" s="143">
        <f>F$499+(SUMIF($T$326:$T$469,"SRO",F$333:F$487)/F10/1.98)</f>
        <v>1195.064920511214</v>
      </c>
      <c r="G498" s="143">
        <f>G$499+(SUMIF($T$326:$T$469,"SRO",G$333:G$487)/G10/1.98)</f>
        <v>898.25402529516532</v>
      </c>
      <c r="H498" s="143">
        <f>H$499+(SUMIF($T$326:$T$469,"SRO",H$333:H$487)/H10/1.98)</f>
        <v>1427.9597793364812</v>
      </c>
      <c r="I498" s="52"/>
      <c r="J498" s="143">
        <f>J$499+(SUMIF($T$326:$T$469,"SRO",J$333:J$487)/J10/1.98)</f>
        <v>1495.019074646716</v>
      </c>
      <c r="K498" s="143">
        <f>K$499+(SUMIF($T$326:$T$469,"SRO",K$333:K$487)/K10/1.98)</f>
        <v>1385.437583092651</v>
      </c>
      <c r="L498" s="143">
        <f>L$499+(SUMIF($T$326:$T$469,"SRO",L$333:L$487)/L10/1.98)</f>
        <v>799.61065521579894</v>
      </c>
      <c r="M498" s="52"/>
      <c r="N498" s="143">
        <f>N$499+(SUMIF($T$326:$T$469,"SRO",N$333:N$487)/N10/1.98)</f>
        <v>607.37985979555447</v>
      </c>
      <c r="O498" s="143">
        <f>O$499+(SUMIF($T$326:$T$469,"SRO",O$333:O$487)/O10/1.98)</f>
        <v>26.484461355868312</v>
      </c>
      <c r="P498" s="143">
        <f>P$499+(SUMIF($T$326:$T$469,"SRO",P$333:P$487)/P10/1.98)</f>
        <v>348.50079537259273</v>
      </c>
      <c r="Q498" s="52"/>
      <c r="R498" s="52"/>
    </row>
    <row r="499" spans="1:20" ht="15.75" customHeight="1" x14ac:dyDescent="0.3">
      <c r="A499" s="142" t="s">
        <v>479</v>
      </c>
      <c r="B499" s="143">
        <f>B$542/B10/1.983</f>
        <v>247.14915491353929</v>
      </c>
      <c r="C499" s="143">
        <f>C$542/C10/1.983</f>
        <v>266.17318636985806</v>
      </c>
      <c r="D499" s="143">
        <f>D$542/D10/1.983</f>
        <v>390.74065036682771</v>
      </c>
      <c r="E499" s="98"/>
      <c r="F499" s="143">
        <f>F$542/F10/1.983</f>
        <v>712.70801815431162</v>
      </c>
      <c r="G499" s="143">
        <f>G$542/G10/1.983</f>
        <v>571.69814390057422</v>
      </c>
      <c r="H499" s="143">
        <f>H$542/H10/1.983</f>
        <v>768.76786014456206</v>
      </c>
      <c r="I499" s="1"/>
      <c r="J499" s="143">
        <f>J$542/J10/1.983</f>
        <v>846.55051811364342</v>
      </c>
      <c r="K499" s="143">
        <f>K$542/K10/1.983</f>
        <v>869.2596749792591</v>
      </c>
      <c r="L499" s="143">
        <f>L$542/L10/1.983</f>
        <v>501.41200201714571</v>
      </c>
      <c r="N499" s="143">
        <f>N$542/N10/1.983</f>
        <v>355.09898654693927</v>
      </c>
      <c r="O499" s="143">
        <f>O$542/O10/1.983</f>
        <v>20.255505126912084</v>
      </c>
      <c r="P499" s="143">
        <f>P$542/P10/1.983</f>
        <v>118.50731215330308</v>
      </c>
      <c r="R499" s="52"/>
    </row>
    <row r="500" spans="1:20" ht="15.75" customHeight="1" x14ac:dyDescent="0.3">
      <c r="A500" s="142"/>
      <c r="B500" s="143"/>
      <c r="C500" s="143"/>
      <c r="D500" s="143"/>
      <c r="E500" s="98"/>
      <c r="F500" s="143"/>
      <c r="G500" s="143"/>
      <c r="H500" s="143"/>
      <c r="I500" s="1"/>
      <c r="J500" s="143"/>
      <c r="K500" s="143"/>
      <c r="L500" s="143"/>
      <c r="N500" s="143"/>
      <c r="O500" s="143"/>
      <c r="P500" s="143"/>
      <c r="R500" s="52"/>
    </row>
    <row r="501" spans="1:20" ht="15.75" customHeight="1" thickBot="1" x14ac:dyDescent="0.35">
      <c r="A501" s="30"/>
      <c r="B501" s="1"/>
      <c r="C501" s="1"/>
      <c r="D501" s="1"/>
      <c r="E501" s="1"/>
      <c r="F501" s="1"/>
      <c r="G501" s="1"/>
      <c r="H501" s="1"/>
      <c r="I501" s="1"/>
      <c r="J501" s="1"/>
      <c r="K501" s="1"/>
      <c r="L501" s="1"/>
      <c r="M501" s="1"/>
      <c r="N501" s="1"/>
      <c r="O501" s="1"/>
      <c r="P501" s="1"/>
      <c r="Q501" s="1"/>
      <c r="R501" s="28"/>
    </row>
    <row r="502" spans="1:20" ht="16.5" customHeight="1" thickBot="1" x14ac:dyDescent="0.35">
      <c r="A502" s="31" t="s">
        <v>480</v>
      </c>
      <c r="B502" s="323" t="s">
        <v>36</v>
      </c>
      <c r="C502" s="324" t="s">
        <v>9</v>
      </c>
      <c r="D502" s="324" t="s">
        <v>10</v>
      </c>
      <c r="E502" s="325" t="s">
        <v>11</v>
      </c>
      <c r="F502" s="324" t="s">
        <v>12</v>
      </c>
      <c r="G502" s="324" t="s">
        <v>13</v>
      </c>
      <c r="H502" s="324" t="s">
        <v>14</v>
      </c>
      <c r="I502" s="34" t="s">
        <v>15</v>
      </c>
      <c r="J502" s="324" t="s">
        <v>16</v>
      </c>
      <c r="K502" s="324" t="s">
        <v>17</v>
      </c>
      <c r="L502" s="324" t="s">
        <v>18</v>
      </c>
      <c r="M502" s="34" t="s">
        <v>19</v>
      </c>
      <c r="N502" s="324" t="s">
        <v>20</v>
      </c>
      <c r="O502" s="324" t="s">
        <v>21</v>
      </c>
      <c r="P502" s="324" t="s">
        <v>22</v>
      </c>
      <c r="Q502" s="34" t="s">
        <v>23</v>
      </c>
      <c r="R502" s="326" t="s">
        <v>24</v>
      </c>
    </row>
    <row r="503" spans="1:20" ht="16.5" customHeight="1" thickBot="1" x14ac:dyDescent="0.35">
      <c r="A503" s="64"/>
      <c r="B503" s="81"/>
      <c r="C503" s="81"/>
      <c r="D503" s="81"/>
      <c r="E503" s="72"/>
      <c r="F503" s="81"/>
      <c r="G503" s="81"/>
      <c r="H503" s="81"/>
      <c r="I503" s="89"/>
      <c r="J503" s="81"/>
      <c r="K503" s="81"/>
      <c r="L503" s="81"/>
      <c r="M503" s="89"/>
      <c r="N503" s="81"/>
      <c r="O503" s="81"/>
      <c r="P503" s="81"/>
      <c r="Q503" s="89"/>
      <c r="R503" s="117"/>
    </row>
    <row r="504" spans="1:20" ht="15.75" customHeight="1" x14ac:dyDescent="0.3">
      <c r="A504" s="17" t="s">
        <v>45</v>
      </c>
      <c r="B504" s="1" t="s">
        <v>7</v>
      </c>
      <c r="C504" s="1" t="s">
        <v>7</v>
      </c>
      <c r="D504" s="1" t="s">
        <v>7</v>
      </c>
      <c r="E504" s="59" t="s">
        <v>7</v>
      </c>
      <c r="F504" s="1"/>
      <c r="G504" s="1"/>
      <c r="H504" s="1"/>
      <c r="I504" s="59" t="s">
        <v>7</v>
      </c>
      <c r="J504" s="1" t="s">
        <v>7</v>
      </c>
      <c r="K504" s="1" t="s">
        <v>7</v>
      </c>
      <c r="L504" s="1" t="s">
        <v>7</v>
      </c>
      <c r="M504" s="59" t="s">
        <v>7</v>
      </c>
      <c r="N504" s="1" t="s">
        <v>7</v>
      </c>
      <c r="O504" s="1" t="s">
        <v>7</v>
      </c>
      <c r="P504" s="1" t="s">
        <v>7</v>
      </c>
      <c r="Q504" s="59" t="s">
        <v>7</v>
      </c>
      <c r="R504" s="59" t="s">
        <v>7</v>
      </c>
    </row>
    <row r="505" spans="1:20" ht="15.75" customHeight="1" x14ac:dyDescent="0.3">
      <c r="A505" s="17" t="s">
        <v>46</v>
      </c>
      <c r="B505" s="1"/>
      <c r="C505" s="1"/>
      <c r="D505" s="1"/>
      <c r="E505" s="59" t="s">
        <v>7</v>
      </c>
      <c r="F505" s="1"/>
      <c r="G505" s="1"/>
      <c r="H505" s="1"/>
      <c r="I505" s="59" t="s">
        <v>7</v>
      </c>
      <c r="J505" s="1"/>
      <c r="K505" s="1"/>
      <c r="L505" s="1"/>
      <c r="M505" s="59" t="s">
        <v>7</v>
      </c>
      <c r="N505" s="1"/>
      <c r="O505" s="1"/>
      <c r="P505" s="1"/>
      <c r="Q505" s="59" t="s">
        <v>7</v>
      </c>
      <c r="R505" s="59" t="s">
        <v>7</v>
      </c>
    </row>
    <row r="506" spans="1:20" ht="15.75" customHeight="1" x14ac:dyDescent="0.3">
      <c r="A506" s="74" t="s">
        <v>481</v>
      </c>
      <c r="B506" s="1"/>
      <c r="C506" s="1"/>
      <c r="D506" s="1"/>
      <c r="E506" s="59">
        <f t="shared" ref="E506:E510" si="205">SUM(B506:D506)</f>
        <v>0</v>
      </c>
      <c r="F506" s="1">
        <v>2</v>
      </c>
      <c r="G506" s="1"/>
      <c r="H506" s="1">
        <v>32</v>
      </c>
      <c r="I506" s="59">
        <f t="shared" ref="I506:I510" si="206">SUM(F506:H506)</f>
        <v>34</v>
      </c>
      <c r="J506" s="1">
        <v>14</v>
      </c>
      <c r="K506" s="1">
        <v>4</v>
      </c>
      <c r="L506" s="1"/>
      <c r="M506" s="59">
        <f t="shared" ref="M506:M510" si="207">SUM(J506:L506)</f>
        <v>18</v>
      </c>
      <c r="N506" s="1">
        <v>8</v>
      </c>
      <c r="O506" s="1"/>
      <c r="P506" s="1"/>
      <c r="Q506" s="59">
        <f t="shared" ref="Q506:Q510" si="208">SUM(N506:P506)</f>
        <v>8</v>
      </c>
      <c r="R506" s="59">
        <f t="shared" ref="R506:R510" si="209">+E506+I506+M506+Q506</f>
        <v>60</v>
      </c>
      <c r="T506" s="4" t="s">
        <v>366</v>
      </c>
    </row>
    <row r="507" spans="1:20" ht="15.75" customHeight="1" x14ac:dyDescent="0.3">
      <c r="A507" s="74" t="s">
        <v>482</v>
      </c>
      <c r="B507" s="1"/>
      <c r="C507" s="1"/>
      <c r="D507" s="1"/>
      <c r="E507" s="59">
        <f t="shared" si="205"/>
        <v>0</v>
      </c>
      <c r="F507" s="1"/>
      <c r="G507" s="1"/>
      <c r="H507" s="1"/>
      <c r="I507" s="59">
        <f t="shared" si="206"/>
        <v>0</v>
      </c>
      <c r="J507" s="1"/>
      <c r="K507" s="1"/>
      <c r="L507" s="1"/>
      <c r="M507" s="59">
        <f t="shared" si="207"/>
        <v>0</v>
      </c>
      <c r="N507" s="1"/>
      <c r="O507" s="1"/>
      <c r="P507" s="1"/>
      <c r="Q507" s="59">
        <f t="shared" si="208"/>
        <v>0</v>
      </c>
      <c r="R507" s="59">
        <f t="shared" si="209"/>
        <v>0</v>
      </c>
      <c r="T507" s="4" t="s">
        <v>366</v>
      </c>
    </row>
    <row r="508" spans="1:20" ht="15.75" customHeight="1" x14ac:dyDescent="0.3">
      <c r="A508" s="74" t="s">
        <v>871</v>
      </c>
      <c r="B508" s="1"/>
      <c r="C508" s="1"/>
      <c r="D508" s="1"/>
      <c r="E508" s="59">
        <f t="shared" si="205"/>
        <v>0</v>
      </c>
      <c r="F508" s="1"/>
      <c r="G508" s="1"/>
      <c r="H508" s="1"/>
      <c r="I508" s="59">
        <f t="shared" si="206"/>
        <v>0</v>
      </c>
      <c r="J508" s="1"/>
      <c r="K508" s="1"/>
      <c r="L508" s="1"/>
      <c r="M508" s="59">
        <f t="shared" si="207"/>
        <v>0</v>
      </c>
      <c r="N508" s="1"/>
      <c r="O508" s="1"/>
      <c r="P508" s="1"/>
      <c r="Q508" s="59">
        <f t="shared" si="208"/>
        <v>0</v>
      </c>
      <c r="R508" s="59">
        <f t="shared" si="209"/>
        <v>0</v>
      </c>
    </row>
    <row r="509" spans="1:20" ht="15.75" customHeight="1" x14ac:dyDescent="0.3">
      <c r="A509" s="74" t="s">
        <v>484</v>
      </c>
      <c r="C509" s="1"/>
      <c r="D509" s="1"/>
      <c r="E509" s="59">
        <f t="shared" si="205"/>
        <v>0</v>
      </c>
      <c r="F509" s="1"/>
      <c r="G509" s="1">
        <v>2300</v>
      </c>
      <c r="H509" s="1"/>
      <c r="I509" s="59">
        <f t="shared" si="206"/>
        <v>2300</v>
      </c>
      <c r="J509" s="1"/>
      <c r="K509" s="1"/>
      <c r="L509" s="1">
        <v>300</v>
      </c>
      <c r="M509" s="59">
        <f t="shared" si="207"/>
        <v>300</v>
      </c>
      <c r="N509" s="1"/>
      <c r="O509" s="1"/>
      <c r="P509" s="1"/>
      <c r="Q509" s="59">
        <f t="shared" si="208"/>
        <v>0</v>
      </c>
      <c r="R509" s="59">
        <f t="shared" si="209"/>
        <v>2600</v>
      </c>
      <c r="T509" s="4" t="s">
        <v>366</v>
      </c>
    </row>
    <row r="510" spans="1:20" ht="15.75" customHeight="1" x14ac:dyDescent="0.3">
      <c r="A510" s="76" t="s">
        <v>485</v>
      </c>
      <c r="B510" s="1"/>
      <c r="C510" s="1"/>
      <c r="D510" s="1"/>
      <c r="E510" s="59">
        <f t="shared" si="205"/>
        <v>0</v>
      </c>
      <c r="F510" s="1"/>
      <c r="G510" s="1"/>
      <c r="H510" s="1"/>
      <c r="I510" s="59">
        <f t="shared" si="206"/>
        <v>0</v>
      </c>
      <c r="J510" s="1"/>
      <c r="K510" s="1"/>
      <c r="L510" s="1"/>
      <c r="M510" s="59">
        <f t="shared" si="207"/>
        <v>0</v>
      </c>
      <c r="N510" s="1"/>
      <c r="O510" s="1"/>
      <c r="P510" s="1"/>
      <c r="Q510" s="59">
        <f t="shared" si="208"/>
        <v>0</v>
      </c>
      <c r="R510" s="59">
        <f t="shared" si="209"/>
        <v>0</v>
      </c>
      <c r="T510" s="4" t="s">
        <v>366</v>
      </c>
    </row>
    <row r="511" spans="1:20" ht="15.75" customHeight="1" x14ac:dyDescent="0.3">
      <c r="A511" s="17" t="s">
        <v>47</v>
      </c>
      <c r="B511" s="1"/>
      <c r="C511" s="1"/>
      <c r="D511" s="1"/>
      <c r="E511" s="59" t="s">
        <v>7</v>
      </c>
      <c r="F511" s="1"/>
      <c r="G511" s="1"/>
      <c r="H511" s="1"/>
      <c r="I511" s="59" t="s">
        <v>7</v>
      </c>
      <c r="J511" s="1"/>
      <c r="K511" s="1"/>
      <c r="L511" s="1"/>
      <c r="M511" s="59" t="s">
        <v>7</v>
      </c>
      <c r="N511" s="1"/>
      <c r="O511" s="1"/>
      <c r="P511" s="1"/>
      <c r="Q511" s="59" t="s">
        <v>7</v>
      </c>
      <c r="R511" s="59" t="s">
        <v>7</v>
      </c>
    </row>
    <row r="512" spans="1:20" ht="15.75" customHeight="1" x14ac:dyDescent="0.3">
      <c r="A512" s="74" t="s">
        <v>486</v>
      </c>
      <c r="B512" s="1"/>
      <c r="C512" s="1"/>
      <c r="D512" s="1"/>
      <c r="E512" s="59">
        <f>SUM(B512:D512)</f>
        <v>0</v>
      </c>
      <c r="F512" s="1"/>
      <c r="G512" s="1"/>
      <c r="H512" s="1"/>
      <c r="I512" s="59">
        <f>SUM(F512:H512)</f>
        <v>0</v>
      </c>
      <c r="J512" s="1"/>
      <c r="K512" s="1"/>
      <c r="L512" s="1"/>
      <c r="M512" s="59">
        <f>SUM(J512:L512)</f>
        <v>0</v>
      </c>
      <c r="N512" s="1"/>
      <c r="O512" s="1"/>
      <c r="P512" s="1"/>
      <c r="Q512" s="59">
        <f>SUM(N512:P512)</f>
        <v>0</v>
      </c>
      <c r="R512" s="59">
        <f>+E512+I512+M512+Q512</f>
        <v>0</v>
      </c>
    </row>
    <row r="513" spans="1:20" ht="15.75" customHeight="1" x14ac:dyDescent="0.3">
      <c r="A513" s="74" t="s">
        <v>487</v>
      </c>
      <c r="B513" s="1"/>
      <c r="C513" s="1"/>
      <c r="D513" s="1"/>
      <c r="E513" s="59">
        <f>SUM(B513:D513)</f>
        <v>0</v>
      </c>
      <c r="F513" s="1"/>
      <c r="G513" s="1"/>
      <c r="H513" s="1"/>
      <c r="I513" s="59">
        <f>SUM(F513:H513)</f>
        <v>0</v>
      </c>
      <c r="J513" s="1"/>
      <c r="K513" s="1"/>
      <c r="L513" s="1"/>
      <c r="M513" s="59">
        <f>SUM(J513:L513)</f>
        <v>0</v>
      </c>
      <c r="N513" s="1"/>
      <c r="O513" s="1"/>
      <c r="P513" s="1"/>
      <c r="Q513" s="59">
        <f>SUM(N513:P513)</f>
        <v>0</v>
      </c>
      <c r="R513" s="59">
        <f>+E513+I513+M513+Q513</f>
        <v>0</v>
      </c>
    </row>
    <row r="514" spans="1:20" ht="15.75" customHeight="1" x14ac:dyDescent="0.3">
      <c r="A514" s="17" t="s">
        <v>49</v>
      </c>
      <c r="B514" s="1"/>
      <c r="C514" s="1"/>
      <c r="D514" s="1"/>
      <c r="E514" s="59" t="s">
        <v>7</v>
      </c>
      <c r="F514" s="1"/>
      <c r="G514" s="1"/>
      <c r="H514" s="1"/>
      <c r="I514" s="59" t="s">
        <v>7</v>
      </c>
      <c r="J514" s="1"/>
      <c r="K514" s="1"/>
      <c r="L514" s="1"/>
      <c r="M514" s="59" t="s">
        <v>7</v>
      </c>
      <c r="N514" s="1"/>
      <c r="O514" s="1"/>
      <c r="P514" s="1"/>
      <c r="Q514" s="59" t="s">
        <v>7</v>
      </c>
      <c r="R514" s="59" t="s">
        <v>7</v>
      </c>
    </row>
    <row r="515" spans="1:20" ht="15.75" customHeight="1" thickBot="1" x14ac:dyDescent="0.35">
      <c r="A515" s="17" t="s">
        <v>51</v>
      </c>
      <c r="B515" s="1"/>
      <c r="C515" s="1"/>
      <c r="D515" s="1"/>
      <c r="E515" s="59" t="s">
        <v>7</v>
      </c>
      <c r="F515" s="1"/>
      <c r="G515" s="1"/>
      <c r="H515" s="1"/>
      <c r="I515" s="59" t="s">
        <v>7</v>
      </c>
      <c r="J515" s="1"/>
      <c r="K515" s="1"/>
      <c r="L515" s="1"/>
      <c r="M515" s="59" t="s">
        <v>7</v>
      </c>
      <c r="N515" s="1"/>
      <c r="O515" s="1"/>
      <c r="P515" s="1"/>
      <c r="Q515" s="59" t="s">
        <v>7</v>
      </c>
      <c r="R515" s="59" t="s">
        <v>7</v>
      </c>
    </row>
    <row r="516" spans="1:20" ht="16.5" customHeight="1" thickBot="1" x14ac:dyDescent="0.35">
      <c r="A516" s="126" t="s">
        <v>52</v>
      </c>
      <c r="B516" s="100">
        <f>SUM(B504:B515)</f>
        <v>0</v>
      </c>
      <c r="C516" s="101">
        <f>SUM(C504:C515)</f>
        <v>0</v>
      </c>
      <c r="D516" s="101">
        <f>SUM(D504:D515)</f>
        <v>0</v>
      </c>
      <c r="E516" s="64">
        <f>SUM(B516:D516)</f>
        <v>0</v>
      </c>
      <c r="F516" s="101">
        <f>SUM(F504:F515)</f>
        <v>2</v>
      </c>
      <c r="G516" s="101">
        <f>SUM(G504:G515)</f>
        <v>2300</v>
      </c>
      <c r="H516" s="101">
        <f>SUM(H504:H515)</f>
        <v>32</v>
      </c>
      <c r="I516" s="64">
        <f>SUM(F516:H516)</f>
        <v>2334</v>
      </c>
      <c r="J516" s="101">
        <f>SUM(J504:J515)</f>
        <v>14</v>
      </c>
      <c r="K516" s="101">
        <f>SUM(K504:K515)</f>
        <v>4</v>
      </c>
      <c r="L516" s="101">
        <f>SUM(L504:L515)</f>
        <v>300</v>
      </c>
      <c r="M516" s="64">
        <f>SUM(J516:L516)</f>
        <v>318</v>
      </c>
      <c r="N516" s="101">
        <f>SUM(N504:N515)</f>
        <v>8</v>
      </c>
      <c r="O516" s="101">
        <f>SUM(O504:O515)</f>
        <v>0</v>
      </c>
      <c r="P516" s="101">
        <f>SUM(P504:P515)</f>
        <v>0</v>
      </c>
      <c r="Q516" s="64">
        <f>SUM(N516:P516)</f>
        <v>8</v>
      </c>
      <c r="R516" s="64">
        <f>+E516+I516+M516+Q516</f>
        <v>2660</v>
      </c>
    </row>
    <row r="517" spans="1:20" ht="15.75" customHeight="1" x14ac:dyDescent="0.3">
      <c r="A517" s="17" t="s">
        <v>53</v>
      </c>
      <c r="B517" s="1"/>
      <c r="C517" s="1"/>
      <c r="D517" s="1"/>
      <c r="E517" s="59" t="s">
        <v>7</v>
      </c>
      <c r="F517" s="1"/>
      <c r="G517" s="1"/>
      <c r="H517" s="1"/>
      <c r="I517" s="59" t="s">
        <v>7</v>
      </c>
      <c r="J517" s="1"/>
      <c r="K517" s="1"/>
      <c r="L517" s="1"/>
      <c r="M517" s="59" t="s">
        <v>7</v>
      </c>
      <c r="N517" s="1" t="s">
        <v>7</v>
      </c>
      <c r="O517" s="1"/>
      <c r="P517" s="1"/>
      <c r="Q517" s="59" t="s">
        <v>7</v>
      </c>
      <c r="R517" s="59" t="s">
        <v>7</v>
      </c>
    </row>
    <row r="518" spans="1:20" ht="15.75" customHeight="1" x14ac:dyDescent="0.3">
      <c r="A518" s="17" t="s">
        <v>55</v>
      </c>
      <c r="B518" s="1"/>
      <c r="C518" s="1"/>
      <c r="D518" s="1"/>
      <c r="E518" s="59" t="s">
        <v>7</v>
      </c>
      <c r="F518" s="1"/>
      <c r="G518" s="1"/>
      <c r="H518" s="1"/>
      <c r="I518" s="59" t="s">
        <v>7</v>
      </c>
      <c r="J518" s="1"/>
      <c r="K518" s="1"/>
      <c r="L518" s="1"/>
      <c r="M518" s="59" t="s">
        <v>7</v>
      </c>
      <c r="N518" s="1"/>
      <c r="O518" s="1"/>
      <c r="P518" s="1"/>
      <c r="Q518" s="59" t="s">
        <v>7</v>
      </c>
      <c r="R518" s="59" t="s">
        <v>7</v>
      </c>
    </row>
    <row r="519" spans="1:20" ht="15.75" customHeight="1" x14ac:dyDescent="0.3">
      <c r="A519" s="74" t="s">
        <v>488</v>
      </c>
      <c r="B519" s="1">
        <v>7</v>
      </c>
      <c r="C519" s="1"/>
      <c r="D519" s="1">
        <v>2601</v>
      </c>
      <c r="E519" s="59">
        <f>SUM(B519:D519)</f>
        <v>2608</v>
      </c>
      <c r="F519" s="1">
        <v>10548</v>
      </c>
      <c r="G519" s="1">
        <v>2590</v>
      </c>
      <c r="H519" s="1">
        <f>6676+2000</f>
        <v>8676</v>
      </c>
      <c r="I519" s="59">
        <f>SUM(F519:H519)</f>
        <v>21814</v>
      </c>
      <c r="J519" s="1">
        <f>6808+5463</f>
        <v>12271</v>
      </c>
      <c r="K519" s="1">
        <f>4258+3805</f>
        <v>8063</v>
      </c>
      <c r="L519" s="1">
        <v>3728</v>
      </c>
      <c r="M519" s="59">
        <f>SUM(J519:L519)</f>
        <v>24062</v>
      </c>
      <c r="N519" s="1">
        <v>1940</v>
      </c>
      <c r="O519" s="1"/>
      <c r="P519" s="1">
        <v>270</v>
      </c>
      <c r="Q519" s="59">
        <f>SUM(N519:P519)</f>
        <v>2210</v>
      </c>
      <c r="R519" s="59">
        <f>+E519+I519+M519+Q519</f>
        <v>50694</v>
      </c>
    </row>
    <row r="520" spans="1:20" ht="15.75" customHeight="1" thickBot="1" x14ac:dyDescent="0.35">
      <c r="A520" s="17" t="s">
        <v>56</v>
      </c>
      <c r="B520" s="1"/>
      <c r="C520" s="1"/>
      <c r="D520" s="1"/>
      <c r="E520" s="59" t="s">
        <v>7</v>
      </c>
      <c r="F520" s="1"/>
      <c r="G520" s="1"/>
      <c r="H520" s="1"/>
      <c r="I520" s="59" t="s">
        <v>7</v>
      </c>
      <c r="J520" s="1"/>
      <c r="K520" s="1"/>
      <c r="L520" s="1"/>
      <c r="M520" s="59" t="s">
        <v>7</v>
      </c>
      <c r="N520" s="1"/>
      <c r="O520" s="1"/>
      <c r="P520" s="1"/>
      <c r="Q520" s="59" t="s">
        <v>7</v>
      </c>
      <c r="R520" s="59" t="s">
        <v>7</v>
      </c>
    </row>
    <row r="521" spans="1:20" ht="16.5" customHeight="1" thickBot="1" x14ac:dyDescent="0.35">
      <c r="A521" s="62" t="s">
        <v>57</v>
      </c>
      <c r="B521" s="100">
        <f>SUM(B517:B520)</f>
        <v>7</v>
      </c>
      <c r="C521" s="101">
        <f>SUM(C517:C520)</f>
        <v>0</v>
      </c>
      <c r="D521" s="101">
        <f>SUM(D517:D520)</f>
        <v>2601</v>
      </c>
      <c r="E521" s="64">
        <f>SUM(B521:D521)</f>
        <v>2608</v>
      </c>
      <c r="F521" s="101">
        <f>SUM(F517:F520)</f>
        <v>10548</v>
      </c>
      <c r="G521" s="101">
        <f>SUM(G517:G520)</f>
        <v>2590</v>
      </c>
      <c r="H521" s="101">
        <f>SUM(H517:H520)</f>
        <v>8676</v>
      </c>
      <c r="I521" s="64">
        <f>SUM(F521:H521)</f>
        <v>21814</v>
      </c>
      <c r="J521" s="101">
        <f>SUM(J517:J520)</f>
        <v>12271</v>
      </c>
      <c r="K521" s="101">
        <f>SUM(K517:K520)</f>
        <v>8063</v>
      </c>
      <c r="L521" s="101">
        <f>SUM(L517:L520)</f>
        <v>3728</v>
      </c>
      <c r="M521" s="64">
        <f>SUM(J521:L521)</f>
        <v>24062</v>
      </c>
      <c r="N521" s="101">
        <f>SUM(N517:N520)</f>
        <v>1940</v>
      </c>
      <c r="O521" s="101">
        <f>SUM(O517:O520)</f>
        <v>0</v>
      </c>
      <c r="P521" s="101">
        <f>SUM(P517:P520)</f>
        <v>270</v>
      </c>
      <c r="Q521" s="64">
        <f>SUM(N521:P521)</f>
        <v>2210</v>
      </c>
      <c r="R521" s="64">
        <f>+E521+I521+M521+Q521</f>
        <v>50694</v>
      </c>
    </row>
    <row r="522" spans="1:20" ht="15.75" customHeight="1" x14ac:dyDescent="0.3">
      <c r="A522" s="17" t="s">
        <v>58</v>
      </c>
      <c r="B522" s="1"/>
      <c r="C522" s="1"/>
      <c r="D522" s="1"/>
      <c r="E522" s="59" t="s">
        <v>7</v>
      </c>
      <c r="F522" s="1"/>
      <c r="G522" s="1"/>
      <c r="H522" s="1"/>
      <c r="I522" s="59" t="s">
        <v>7</v>
      </c>
      <c r="J522" s="1"/>
      <c r="K522" s="1"/>
      <c r="L522" s="1"/>
      <c r="M522" s="59" t="s">
        <v>7</v>
      </c>
      <c r="N522" s="1"/>
      <c r="O522" s="1"/>
      <c r="P522" s="1"/>
      <c r="Q522" s="59" t="s">
        <v>7</v>
      </c>
      <c r="R522" s="59" t="s">
        <v>7</v>
      </c>
    </row>
    <row r="523" spans="1:20" ht="15.75" customHeight="1" x14ac:dyDescent="0.3">
      <c r="A523" s="17" t="s">
        <v>59</v>
      </c>
      <c r="B523" s="1"/>
      <c r="C523" s="1"/>
      <c r="D523" s="1"/>
      <c r="E523" s="59" t="s">
        <v>7</v>
      </c>
      <c r="F523" s="1"/>
      <c r="G523" s="1"/>
      <c r="H523" s="1"/>
      <c r="I523" s="59" t="s">
        <v>7</v>
      </c>
      <c r="J523" s="1"/>
      <c r="K523" s="1"/>
      <c r="L523" s="1"/>
      <c r="M523" s="59" t="s">
        <v>7</v>
      </c>
      <c r="N523" s="1"/>
      <c r="O523" s="1"/>
      <c r="P523" s="1"/>
      <c r="Q523" s="59" t="s">
        <v>7</v>
      </c>
      <c r="R523" s="59" t="s">
        <v>7</v>
      </c>
    </row>
    <row r="524" spans="1:20" ht="15.75" customHeight="1" x14ac:dyDescent="0.3">
      <c r="A524" s="17" t="s">
        <v>60</v>
      </c>
      <c r="B524" s="1"/>
      <c r="C524" s="1"/>
      <c r="D524" s="1"/>
      <c r="E524" s="59" t="s">
        <v>7</v>
      </c>
      <c r="F524" s="1"/>
      <c r="G524" s="1"/>
      <c r="H524" s="1"/>
      <c r="I524" s="59" t="s">
        <v>7</v>
      </c>
      <c r="J524" s="1"/>
      <c r="K524" s="1"/>
      <c r="L524" s="1"/>
      <c r="M524" s="59" t="s">
        <v>7</v>
      </c>
      <c r="N524" s="1"/>
      <c r="O524" s="1"/>
      <c r="P524" s="1"/>
      <c r="Q524" s="59" t="s">
        <v>7</v>
      </c>
      <c r="R524" s="59" t="s">
        <v>7</v>
      </c>
    </row>
    <row r="525" spans="1:20" ht="15.75" customHeight="1" x14ac:dyDescent="0.3">
      <c r="A525" s="74" t="s">
        <v>872</v>
      </c>
      <c r="B525" s="1"/>
      <c r="C525" s="1"/>
      <c r="D525" s="1"/>
      <c r="E525" s="59">
        <f>SUM(B525:D525)</f>
        <v>0</v>
      </c>
      <c r="F525" s="1"/>
      <c r="G525" s="1"/>
      <c r="H525" s="1"/>
      <c r="I525" s="59">
        <f>SUM(F525:H525)</f>
        <v>0</v>
      </c>
      <c r="J525" s="1"/>
      <c r="K525" s="1">
        <v>8000</v>
      </c>
      <c r="L525" s="1"/>
      <c r="M525" s="59">
        <f>SUM(J525:L525)</f>
        <v>8000</v>
      </c>
      <c r="N525" s="1"/>
      <c r="O525" s="1"/>
      <c r="P525" s="1"/>
      <c r="Q525" s="59">
        <f>SUM(N525:P525)</f>
        <v>0</v>
      </c>
      <c r="R525" s="59">
        <f>+E525+I525+M525+Q525</f>
        <v>8000</v>
      </c>
      <c r="T525" s="4" t="s">
        <v>366</v>
      </c>
    </row>
    <row r="526" spans="1:20" ht="15.75" customHeight="1" thickBot="1" x14ac:dyDescent="0.35">
      <c r="A526" s="103" t="s">
        <v>856</v>
      </c>
      <c r="B526" s="1"/>
      <c r="C526" s="1"/>
      <c r="E526" s="59">
        <f>SUM(B526:D526)</f>
        <v>0</v>
      </c>
      <c r="F526" s="1"/>
      <c r="G526" s="1"/>
      <c r="H526" s="1">
        <v>3000</v>
      </c>
      <c r="I526" s="59">
        <f>SUM(F526:H526)</f>
        <v>3000</v>
      </c>
      <c r="J526" s="1">
        <v>3000</v>
      </c>
      <c r="K526" s="1"/>
      <c r="L526" s="1">
        <v>3000</v>
      </c>
      <c r="M526" s="59">
        <f>SUM(J526:L526)</f>
        <v>6000</v>
      </c>
      <c r="N526" s="1">
        <v>2000</v>
      </c>
      <c r="O526" s="1"/>
      <c r="P526" s="1"/>
      <c r="Q526" s="59">
        <f>SUM(N526:P526)</f>
        <v>2000</v>
      </c>
      <c r="R526" s="59">
        <f>+E526+I526+M526+Q526</f>
        <v>11000</v>
      </c>
      <c r="T526" s="4" t="s">
        <v>366</v>
      </c>
    </row>
    <row r="527" spans="1:20" ht="16.5" customHeight="1" thickBot="1" x14ac:dyDescent="0.35">
      <c r="A527" s="137" t="s">
        <v>61</v>
      </c>
      <c r="B527" s="100">
        <f>SUM(B522:B526)</f>
        <v>0</v>
      </c>
      <c r="C527" s="101">
        <f>SUM(C522:C526)</f>
        <v>0</v>
      </c>
      <c r="D527" s="101">
        <f>SUM(D522:D526)</f>
        <v>0</v>
      </c>
      <c r="E527" s="64">
        <f>SUM(B527:D527)</f>
        <v>0</v>
      </c>
      <c r="F527" s="101">
        <f>SUM(F522:F526)</f>
        <v>0</v>
      </c>
      <c r="G527" s="101">
        <f>SUM(G522:G526)</f>
        <v>0</v>
      </c>
      <c r="H527" s="101">
        <f>SUM(H522:H526)</f>
        <v>3000</v>
      </c>
      <c r="I527" s="64">
        <f>SUM(F527:H527)</f>
        <v>3000</v>
      </c>
      <c r="J527" s="101">
        <f>SUM(J522:J526)</f>
        <v>3000</v>
      </c>
      <c r="K527" s="101">
        <f>SUM(K522:K526)</f>
        <v>8000</v>
      </c>
      <c r="L527" s="101">
        <f>SUM(L522:L526)</f>
        <v>3000</v>
      </c>
      <c r="M527" s="64">
        <f>SUM(J527:L527)</f>
        <v>14000</v>
      </c>
      <c r="N527" s="101">
        <f>SUM(N522:N526)</f>
        <v>2000</v>
      </c>
      <c r="O527" s="101">
        <f>SUM(O522:O526)</f>
        <v>0</v>
      </c>
      <c r="P527" s="101">
        <f>SUM(P522:P526)</f>
        <v>0</v>
      </c>
      <c r="Q527" s="64">
        <f>SUM(N527:P527)</f>
        <v>2000</v>
      </c>
      <c r="R527" s="64">
        <f>+E527+I527+M527+Q527</f>
        <v>19000</v>
      </c>
    </row>
    <row r="528" spans="1:20" ht="15.75" customHeight="1" x14ac:dyDescent="0.3">
      <c r="A528" s="17" t="s">
        <v>62</v>
      </c>
      <c r="B528" s="1"/>
      <c r="C528" s="1"/>
      <c r="D528" s="1"/>
      <c r="E528" s="59" t="s">
        <v>7</v>
      </c>
      <c r="F528" s="1"/>
      <c r="G528" s="1"/>
      <c r="H528" s="1"/>
      <c r="I528" s="59" t="s">
        <v>7</v>
      </c>
      <c r="J528" s="1"/>
      <c r="K528" s="1"/>
      <c r="L528" s="1"/>
      <c r="M528" s="59" t="s">
        <v>7</v>
      </c>
      <c r="N528" s="1"/>
      <c r="O528" s="1"/>
      <c r="P528" s="1"/>
      <c r="Q528" s="59" t="s">
        <v>7</v>
      </c>
      <c r="R528" s="59" t="s">
        <v>7</v>
      </c>
    </row>
    <row r="529" spans="1:20" ht="15.75" customHeight="1" x14ac:dyDescent="0.3">
      <c r="A529" s="17" t="s">
        <v>63</v>
      </c>
      <c r="B529" s="1"/>
      <c r="C529" s="1"/>
      <c r="D529" s="1"/>
      <c r="E529" s="59" t="s">
        <v>7</v>
      </c>
      <c r="F529" s="1"/>
      <c r="G529" s="1"/>
      <c r="H529" s="1"/>
      <c r="I529" s="59" t="s">
        <v>7</v>
      </c>
      <c r="J529" s="1"/>
      <c r="K529" s="1"/>
      <c r="L529" s="1"/>
      <c r="M529" s="59" t="s">
        <v>7</v>
      </c>
      <c r="N529" s="1"/>
      <c r="O529" s="1"/>
      <c r="P529" s="1"/>
      <c r="Q529" s="59" t="s">
        <v>7</v>
      </c>
      <c r="R529" s="59" t="s">
        <v>7</v>
      </c>
    </row>
    <row r="530" spans="1:20" ht="15.75" customHeight="1" x14ac:dyDescent="0.3">
      <c r="A530" s="17" t="s">
        <v>64</v>
      </c>
      <c r="B530" s="1"/>
      <c r="C530" s="1"/>
      <c r="D530" s="1"/>
      <c r="E530" s="59" t="s">
        <v>7</v>
      </c>
      <c r="F530" s="1"/>
      <c r="G530" s="1"/>
      <c r="H530" s="1"/>
      <c r="I530" s="59" t="s">
        <v>7</v>
      </c>
      <c r="J530" s="1"/>
      <c r="K530" s="1"/>
      <c r="L530" s="1"/>
      <c r="M530" s="59" t="s">
        <v>7</v>
      </c>
      <c r="N530" s="1"/>
      <c r="O530" s="1"/>
      <c r="P530" s="1"/>
      <c r="Q530" s="59" t="s">
        <v>7</v>
      </c>
      <c r="R530" s="59" t="s">
        <v>7</v>
      </c>
    </row>
    <row r="531" spans="1:20" ht="15.75" customHeight="1" x14ac:dyDescent="0.3">
      <c r="A531" s="17" t="s">
        <v>66</v>
      </c>
      <c r="B531" s="1"/>
      <c r="C531" s="1"/>
      <c r="D531" s="1"/>
      <c r="E531" s="59" t="s">
        <v>7</v>
      </c>
      <c r="F531" s="1"/>
      <c r="G531" s="1"/>
      <c r="H531" s="1"/>
      <c r="I531" s="59" t="s">
        <v>7</v>
      </c>
      <c r="J531" s="1"/>
      <c r="K531" s="1"/>
      <c r="L531" s="1"/>
      <c r="M531" s="59" t="s">
        <v>7</v>
      </c>
      <c r="N531" s="1"/>
      <c r="O531" s="1"/>
      <c r="P531" s="1"/>
      <c r="Q531" s="59" t="s">
        <v>7</v>
      </c>
      <c r="R531" s="59" t="s">
        <v>7</v>
      </c>
    </row>
    <row r="532" spans="1:20" ht="15.75" customHeight="1" x14ac:dyDescent="0.3">
      <c r="A532" s="17" t="s">
        <v>67</v>
      </c>
      <c r="B532" s="1"/>
      <c r="C532" s="1"/>
      <c r="D532" s="1"/>
      <c r="E532" s="59" t="s">
        <v>7</v>
      </c>
      <c r="F532" s="1"/>
      <c r="G532" s="1"/>
      <c r="H532" s="1"/>
      <c r="I532" s="59" t="s">
        <v>7</v>
      </c>
      <c r="J532" s="1"/>
      <c r="K532" s="1"/>
      <c r="L532" s="1"/>
      <c r="M532" s="59" t="s">
        <v>7</v>
      </c>
      <c r="N532" s="1"/>
      <c r="O532" s="1"/>
      <c r="P532" s="1"/>
      <c r="Q532" s="59" t="s">
        <v>7</v>
      </c>
      <c r="R532" s="59" t="s">
        <v>7</v>
      </c>
    </row>
    <row r="533" spans="1:20" ht="15.75" customHeight="1" x14ac:dyDescent="0.3">
      <c r="A533" s="74" t="s">
        <v>460</v>
      </c>
      <c r="B533" s="1"/>
      <c r="C533" s="1"/>
      <c r="D533" s="1"/>
      <c r="E533" s="59">
        <f t="shared" ref="E533:E534" si="210">SUM(B533:D533)</f>
        <v>0</v>
      </c>
      <c r="F533" s="1"/>
      <c r="G533" s="1"/>
      <c r="H533" s="1"/>
      <c r="I533" s="59">
        <f t="shared" ref="I533:I534" si="211">SUM(F533:H533)</f>
        <v>0</v>
      </c>
      <c r="J533" s="1"/>
      <c r="K533" s="1"/>
      <c r="L533" s="1"/>
      <c r="M533" s="59">
        <f t="shared" ref="M533:M534" si="212">SUM(J533:L533)</f>
        <v>0</v>
      </c>
      <c r="N533" s="1"/>
      <c r="O533" s="1"/>
      <c r="P533" s="1"/>
      <c r="Q533" s="59">
        <f t="shared" ref="Q533:Q534" si="213">SUM(N533:P533)</f>
        <v>0</v>
      </c>
      <c r="R533" s="59">
        <f t="shared" ref="R533:R538" si="214">+E533+I533+M533+Q533</f>
        <v>0</v>
      </c>
      <c r="T533" s="4" t="s">
        <v>366</v>
      </c>
    </row>
    <row r="534" spans="1:20" ht="15.75" customHeight="1" thickBot="1" x14ac:dyDescent="0.35">
      <c r="A534" s="74" t="s">
        <v>491</v>
      </c>
      <c r="B534" s="1"/>
      <c r="C534" s="1"/>
      <c r="D534" s="1"/>
      <c r="E534" s="59">
        <f t="shared" si="210"/>
        <v>0</v>
      </c>
      <c r="F534" s="1"/>
      <c r="G534" s="1"/>
      <c r="H534" s="1"/>
      <c r="I534" s="59">
        <f t="shared" si="211"/>
        <v>0</v>
      </c>
      <c r="J534" s="1"/>
      <c r="K534" s="1"/>
      <c r="L534" s="1"/>
      <c r="M534" s="59">
        <f t="shared" si="212"/>
        <v>0</v>
      </c>
      <c r="N534" s="1"/>
      <c r="O534" s="1"/>
      <c r="P534" s="1"/>
      <c r="Q534" s="59">
        <f t="shared" si="213"/>
        <v>0</v>
      </c>
      <c r="R534" s="59">
        <f t="shared" si="214"/>
        <v>0</v>
      </c>
      <c r="T534" s="4" t="s">
        <v>366</v>
      </c>
    </row>
    <row r="535" spans="1:20" ht="16.5" customHeight="1" thickBot="1" x14ac:dyDescent="0.35">
      <c r="A535" s="62" t="s">
        <v>68</v>
      </c>
      <c r="B535" s="63">
        <f>SUM(B531:B534)</f>
        <v>0</v>
      </c>
      <c r="C535" s="63">
        <f>SUM(C531:C534)</f>
        <v>0</v>
      </c>
      <c r="D535" s="63">
        <f>SUM(D531:D534)</f>
        <v>0</v>
      </c>
      <c r="E535" s="334">
        <f t="shared" ref="E535:E538" si="215">SUM(B535:D535)</f>
        <v>0</v>
      </c>
      <c r="F535" s="63">
        <f>SUM(F531:F534)</f>
        <v>0</v>
      </c>
      <c r="G535" s="63">
        <f>SUM(G531:G534)</f>
        <v>0</v>
      </c>
      <c r="H535" s="63">
        <f>SUM(H531:H534)</f>
        <v>0</v>
      </c>
      <c r="I535" s="334">
        <f t="shared" ref="I535:I538" si="216">SUM(F535:H535)</f>
        <v>0</v>
      </c>
      <c r="J535" s="63">
        <f>SUM(J531:J534)</f>
        <v>0</v>
      </c>
      <c r="K535" s="63">
        <f>SUM(K531:K534)</f>
        <v>0</v>
      </c>
      <c r="L535" s="63">
        <f>SUM(L531:L534)</f>
        <v>0</v>
      </c>
      <c r="M535" s="334">
        <f t="shared" ref="M535:M538" si="217">SUM(J535:L535)</f>
        <v>0</v>
      </c>
      <c r="N535" s="63">
        <f>SUM(N531:N534)</f>
        <v>0</v>
      </c>
      <c r="O535" s="63">
        <f>SUM(O531:O534)</f>
        <v>0</v>
      </c>
      <c r="P535" s="63">
        <f>SUM(P531:P534)</f>
        <v>0</v>
      </c>
      <c r="Q535" s="334">
        <f t="shared" ref="Q535:Q538" si="218">SUM(N535:P535)</f>
        <v>0</v>
      </c>
      <c r="R535" s="64">
        <f t="shared" si="214"/>
        <v>0</v>
      </c>
    </row>
    <row r="536" spans="1:20" ht="16.5" customHeight="1" thickBot="1" x14ac:dyDescent="0.35">
      <c r="A536" s="137" t="s">
        <v>69</v>
      </c>
      <c r="B536" s="100">
        <f>SUM(B528:B534)</f>
        <v>0</v>
      </c>
      <c r="C536" s="101">
        <f>SUM(C528:C534)</f>
        <v>0</v>
      </c>
      <c r="D536" s="138">
        <f>SUM(D528:D534)</f>
        <v>0</v>
      </c>
      <c r="E536" s="334">
        <f t="shared" si="215"/>
        <v>0</v>
      </c>
      <c r="F536" s="101">
        <f>SUM(F528:F534)</f>
        <v>0</v>
      </c>
      <c r="G536" s="101">
        <f>SUM(G528:G534)</f>
        <v>0</v>
      </c>
      <c r="H536" s="101">
        <f>SUM(H528:H534)</f>
        <v>0</v>
      </c>
      <c r="I536" s="334">
        <f t="shared" si="216"/>
        <v>0</v>
      </c>
      <c r="J536" s="101">
        <f>SUM(J528:J534)</f>
        <v>0</v>
      </c>
      <c r="K536" s="101">
        <f>SUM(K528:K534)</f>
        <v>0</v>
      </c>
      <c r="L536" s="101">
        <f>SUM(L528:L534)</f>
        <v>0</v>
      </c>
      <c r="M536" s="334">
        <f t="shared" si="217"/>
        <v>0</v>
      </c>
      <c r="N536" s="101">
        <f>SUM(N528:N534)</f>
        <v>0</v>
      </c>
      <c r="O536" s="101">
        <f>SUM(O528:O534)</f>
        <v>0</v>
      </c>
      <c r="P536" s="101">
        <f>SUM(P528:P534)</f>
        <v>0</v>
      </c>
      <c r="Q536" s="334">
        <f t="shared" si="218"/>
        <v>0</v>
      </c>
      <c r="R536" s="64">
        <f t="shared" si="214"/>
        <v>0</v>
      </c>
    </row>
    <row r="537" spans="1:20" ht="16.5" customHeight="1" thickBot="1" x14ac:dyDescent="0.35">
      <c r="A537" s="62" t="s">
        <v>70</v>
      </c>
      <c r="B537" s="107">
        <f>+B516+B521+B527+B536</f>
        <v>7</v>
      </c>
      <c r="C537" s="63">
        <f>+C516+C521+C527+C536</f>
        <v>0</v>
      </c>
      <c r="D537" s="63">
        <f>+D516+D521+D527+D536</f>
        <v>2601</v>
      </c>
      <c r="E537" s="64">
        <f t="shared" si="215"/>
        <v>2608</v>
      </c>
      <c r="F537" s="63">
        <f>+F516+F521+F527+F536</f>
        <v>10550</v>
      </c>
      <c r="G537" s="63">
        <f>+G516+G521+G527+G536</f>
        <v>4890</v>
      </c>
      <c r="H537" s="63">
        <f>+H516+H521+H527+H536</f>
        <v>11708</v>
      </c>
      <c r="I537" s="64">
        <f t="shared" si="216"/>
        <v>27148</v>
      </c>
      <c r="J537" s="63">
        <f>+J516+J521+J527+J536</f>
        <v>15285</v>
      </c>
      <c r="K537" s="63">
        <f>+K516+K521+K527+K536</f>
        <v>16067</v>
      </c>
      <c r="L537" s="63">
        <f>+L516+L521+L527+L536</f>
        <v>7028</v>
      </c>
      <c r="M537" s="64">
        <f t="shared" si="217"/>
        <v>38380</v>
      </c>
      <c r="N537" s="63">
        <f>+N516+N521+N527+N536</f>
        <v>3948</v>
      </c>
      <c r="O537" s="63">
        <f>+O516+O521+O527+O536</f>
        <v>0</v>
      </c>
      <c r="P537" s="63">
        <f>+P516+P521+P527+P536</f>
        <v>270</v>
      </c>
      <c r="Q537" s="64">
        <f t="shared" si="218"/>
        <v>4218</v>
      </c>
      <c r="R537" s="88">
        <f>+E537+I537+M537+Q537</f>
        <v>72354</v>
      </c>
    </row>
    <row r="538" spans="1:20" ht="16.5" customHeight="1" thickBot="1" x14ac:dyDescent="0.35">
      <c r="A538" s="40" t="s">
        <v>37</v>
      </c>
      <c r="B538" s="25">
        <v>9</v>
      </c>
      <c r="C538" s="25">
        <v>16</v>
      </c>
      <c r="D538" s="25">
        <v>25</v>
      </c>
      <c r="E538" s="59">
        <f t="shared" si="215"/>
        <v>50</v>
      </c>
      <c r="F538" s="25">
        <v>34</v>
      </c>
      <c r="G538" s="25">
        <v>41</v>
      </c>
      <c r="H538" s="25">
        <v>41</v>
      </c>
      <c r="I538" s="59">
        <f t="shared" si="216"/>
        <v>116</v>
      </c>
      <c r="J538" s="25">
        <v>39</v>
      </c>
      <c r="K538" s="25">
        <v>30</v>
      </c>
      <c r="L538" s="25">
        <v>30</v>
      </c>
      <c r="M538" s="59">
        <f t="shared" si="217"/>
        <v>99</v>
      </c>
      <c r="N538" s="25">
        <v>28</v>
      </c>
      <c r="O538" s="25">
        <v>22</v>
      </c>
      <c r="P538" s="25">
        <v>16</v>
      </c>
      <c r="Q538" s="59">
        <f t="shared" si="218"/>
        <v>66</v>
      </c>
      <c r="R538" s="59">
        <f t="shared" si="214"/>
        <v>331</v>
      </c>
    </row>
    <row r="539" spans="1:20" ht="16.5" customHeight="1" thickBot="1" x14ac:dyDescent="0.35">
      <c r="A539" s="80"/>
      <c r="B539" s="81"/>
      <c r="C539" s="81"/>
      <c r="D539" s="81"/>
      <c r="E539" s="64"/>
      <c r="F539" s="81"/>
      <c r="G539" s="81"/>
      <c r="H539" s="81"/>
      <c r="I539" s="64"/>
      <c r="J539" s="81"/>
      <c r="K539" s="81"/>
      <c r="L539" s="81"/>
      <c r="M539" s="64"/>
      <c r="N539" s="81"/>
      <c r="O539" s="81"/>
      <c r="P539" s="81"/>
      <c r="Q539" s="64"/>
      <c r="R539" s="64" t="s">
        <v>7</v>
      </c>
    </row>
    <row r="540" spans="1:20" ht="15.75" customHeight="1" x14ac:dyDescent="0.3">
      <c r="A540" s="335" t="s">
        <v>38</v>
      </c>
      <c r="B540" s="336">
        <f>SUM(B537:B538)</f>
        <v>16</v>
      </c>
      <c r="C540" s="336">
        <f>SUM(C537:C538)</f>
        <v>16</v>
      </c>
      <c r="D540" s="336">
        <f>SUM(D537:D538)</f>
        <v>2626</v>
      </c>
      <c r="E540" s="334">
        <f>SUM(B540:D540)</f>
        <v>2658</v>
      </c>
      <c r="F540" s="336">
        <f>SUM(F537:F538)</f>
        <v>10584</v>
      </c>
      <c r="G540" s="336">
        <f>SUM(G537:G538)</f>
        <v>4931</v>
      </c>
      <c r="H540" s="336">
        <f>SUM(H537:H538)</f>
        <v>11749</v>
      </c>
      <c r="I540" s="334">
        <f>SUM(F540:H540)</f>
        <v>27264</v>
      </c>
      <c r="J540" s="336">
        <f>SUM(J537:J538)</f>
        <v>15324</v>
      </c>
      <c r="K540" s="336">
        <f>SUM(K537:K538)</f>
        <v>16097</v>
      </c>
      <c r="L540" s="336">
        <f>SUM(L537:L538)</f>
        <v>7058</v>
      </c>
      <c r="M540" s="334">
        <f>SUM(J540:L540)</f>
        <v>38479</v>
      </c>
      <c r="N540" s="336">
        <f>SUM(N537:N538)</f>
        <v>3976</v>
      </c>
      <c r="O540" s="336">
        <f>SUM(O537:O538)</f>
        <v>22</v>
      </c>
      <c r="P540" s="336">
        <f>SUM(P537:P538)</f>
        <v>286</v>
      </c>
      <c r="Q540" s="334">
        <f>SUM(N540:P540)</f>
        <v>4284</v>
      </c>
      <c r="R540" s="334">
        <f>+E540+I540+M540+Q540</f>
        <v>72685</v>
      </c>
    </row>
    <row r="541" spans="1:20" ht="15.75" customHeight="1" x14ac:dyDescent="0.3">
      <c r="A541" s="85" t="s">
        <v>39</v>
      </c>
      <c r="B541" s="1">
        <f>(B540/B10)/1.983</f>
        <v>0.26027686951995183</v>
      </c>
      <c r="C541" s="1">
        <f>(C540/C10)/1.983</f>
        <v>0.28816367696851808</v>
      </c>
      <c r="D541" s="1">
        <f>(D540/D10)/1.983</f>
        <v>42.717941209962092</v>
      </c>
      <c r="E541" s="59" t="s">
        <v>7</v>
      </c>
      <c r="F541" s="1">
        <f>(F540/F10)/1.983</f>
        <v>177.91225416036309</v>
      </c>
      <c r="G541" s="1">
        <f>(G540/G10)/1.983</f>
        <v>80.214077725180161</v>
      </c>
      <c r="H541" s="1">
        <f>(H540/H10)/1.983</f>
        <v>197.49537737434861</v>
      </c>
      <c r="I541" s="59" t="s">
        <v>7</v>
      </c>
      <c r="J541" s="1">
        <f>(J540/J10)/1.983</f>
        <v>249.28017178273387</v>
      </c>
      <c r="K541" s="1">
        <f>(K540/K10)/1.983</f>
        <v>261.85479804141653</v>
      </c>
      <c r="L541" s="1">
        <f>(L540/L10)/1.983</f>
        <v>118.64178853588838</v>
      </c>
      <c r="M541" s="59" t="s">
        <v>7</v>
      </c>
      <c r="N541" s="1">
        <f>(N540/N10)/1.983</f>
        <v>64.678802075708035</v>
      </c>
      <c r="O541" s="1">
        <f>(O540/O10)/1.983</f>
        <v>0.36981005210959822</v>
      </c>
      <c r="P541" s="1">
        <f>(P540/P10)/1.983</f>
        <v>4.6524490426691392</v>
      </c>
      <c r="Q541" s="59" t="s">
        <v>7</v>
      </c>
      <c r="R541" s="59" t="s">
        <v>7</v>
      </c>
    </row>
    <row r="542" spans="1:20" ht="15.75" customHeight="1" x14ac:dyDescent="0.3">
      <c r="A542" s="85" t="s">
        <v>492</v>
      </c>
      <c r="B542" s="1">
        <f>B540+B587</f>
        <v>15193</v>
      </c>
      <c r="C542" s="1">
        <f>C540+C587</f>
        <v>14779</v>
      </c>
      <c r="D542" s="1">
        <f>D540+D587</f>
        <v>24020</v>
      </c>
      <c r="E542" s="59">
        <f>SUM(B542:D542)</f>
        <v>53992</v>
      </c>
      <c r="F542" s="1">
        <f>F540+F587</f>
        <v>42399</v>
      </c>
      <c r="G542" s="1">
        <f>G540+G587</f>
        <v>35144</v>
      </c>
      <c r="H542" s="1">
        <f>H540+H587</f>
        <v>45734</v>
      </c>
      <c r="I542" s="59">
        <f>SUM(F542:H542)</f>
        <v>123277</v>
      </c>
      <c r="J542" s="1">
        <f>J540+J587</f>
        <v>52040</v>
      </c>
      <c r="K542" s="1">
        <f>K540+K587</f>
        <v>53436</v>
      </c>
      <c r="L542" s="1">
        <f>L540+L587</f>
        <v>29829</v>
      </c>
      <c r="M542" s="59">
        <f>SUM(J542:L542)</f>
        <v>135305</v>
      </c>
      <c r="N542" s="1">
        <f>N540+N587</f>
        <v>21829</v>
      </c>
      <c r="O542" s="1">
        <f>O540+O587</f>
        <v>1205</v>
      </c>
      <c r="P542" s="1">
        <f>P540+P587</f>
        <v>7285</v>
      </c>
      <c r="Q542" s="59">
        <f>SUM(N542:P542)</f>
        <v>30319</v>
      </c>
      <c r="R542" s="59">
        <f>+E542+I542+M542+Q542</f>
        <v>342893</v>
      </c>
    </row>
    <row r="543" spans="1:20" ht="16.5" customHeight="1" thickBot="1" x14ac:dyDescent="0.35">
      <c r="A543" s="86" t="s">
        <v>493</v>
      </c>
      <c r="B543" s="87">
        <f>(B542/B10)/1.983</f>
        <v>247.14915491353929</v>
      </c>
      <c r="C543" s="87">
        <f>(C542/C10)/1.983</f>
        <v>266.17318636985806</v>
      </c>
      <c r="D543" s="87">
        <f>(D542/D10)/1.983</f>
        <v>390.74065036682771</v>
      </c>
      <c r="E543" s="88" t="s">
        <v>7</v>
      </c>
      <c r="F543" s="87">
        <f>(F542/F10)/1.983</f>
        <v>712.70801815431162</v>
      </c>
      <c r="G543" s="87">
        <f>(G542/G10)/1.983</f>
        <v>571.69814390057422</v>
      </c>
      <c r="H543" s="87">
        <f>(H542/H10)/1.983</f>
        <v>768.76786014456206</v>
      </c>
      <c r="I543" s="88" t="s">
        <v>7</v>
      </c>
      <c r="J543" s="87">
        <f>(J542/J10)/1.983</f>
        <v>846.55051811364342</v>
      </c>
      <c r="K543" s="87">
        <f>(K542/K10)/1.983</f>
        <v>869.2596749792591</v>
      </c>
      <c r="L543" s="87">
        <f>(L542/L10)/1.983</f>
        <v>501.41200201714571</v>
      </c>
      <c r="M543" s="88" t="s">
        <v>7</v>
      </c>
      <c r="N543" s="87">
        <f>(N542/N10)/1.983</f>
        <v>355.09898654693927</v>
      </c>
      <c r="O543" s="87">
        <f>(O542/O10)/1.983</f>
        <v>20.255505126912084</v>
      </c>
      <c r="P543" s="87">
        <f>(P542/P10)/1.983</f>
        <v>118.50731215330308</v>
      </c>
      <c r="Q543" s="88" t="s">
        <v>7</v>
      </c>
      <c r="R543" s="88" t="s">
        <v>7</v>
      </c>
    </row>
    <row r="544" spans="1:20" ht="15.75" customHeight="1" x14ac:dyDescent="0.3">
      <c r="A544" s="28"/>
      <c r="B544" s="1"/>
      <c r="C544" s="1"/>
      <c r="D544" s="1"/>
      <c r="E544" s="1"/>
      <c r="F544" s="1"/>
      <c r="G544" s="1"/>
      <c r="H544" s="1"/>
      <c r="I544" s="1"/>
      <c r="J544" s="1"/>
      <c r="K544" s="1"/>
      <c r="L544" s="1"/>
      <c r="M544" s="1"/>
      <c r="N544" s="1"/>
      <c r="O544" s="1"/>
      <c r="P544" s="1"/>
      <c r="Q544" s="1"/>
      <c r="R544" s="28"/>
    </row>
    <row r="545" spans="1:20" ht="15.75" customHeight="1" thickBot="1" x14ac:dyDescent="0.35">
      <c r="A545" s="28"/>
      <c r="B545" s="1"/>
      <c r="C545" s="1"/>
      <c r="D545" s="1"/>
      <c r="E545" s="1"/>
      <c r="F545" s="1"/>
      <c r="G545" s="1"/>
      <c r="H545" s="1"/>
      <c r="I545" s="1"/>
      <c r="J545" s="1"/>
      <c r="K545" s="1"/>
      <c r="L545" s="1"/>
      <c r="M545" s="1"/>
      <c r="N545" s="1"/>
      <c r="O545" s="1"/>
      <c r="P545" s="1"/>
      <c r="Q545" s="1"/>
      <c r="R545" s="28"/>
    </row>
    <row r="546" spans="1:20" ht="16.5" customHeight="1" thickBot="1" x14ac:dyDescent="0.35">
      <c r="A546" s="343" t="s">
        <v>494</v>
      </c>
      <c r="B546" s="323" t="s">
        <v>36</v>
      </c>
      <c r="C546" s="324" t="s">
        <v>9</v>
      </c>
      <c r="D546" s="324" t="s">
        <v>10</v>
      </c>
      <c r="E546" s="325" t="s">
        <v>11</v>
      </c>
      <c r="F546" s="324" t="s">
        <v>12</v>
      </c>
      <c r="G546" s="324" t="s">
        <v>13</v>
      </c>
      <c r="H546" s="324" t="s">
        <v>14</v>
      </c>
      <c r="I546" s="34" t="s">
        <v>15</v>
      </c>
      <c r="J546" s="324" t="s">
        <v>16</v>
      </c>
      <c r="K546" s="324" t="s">
        <v>17</v>
      </c>
      <c r="L546" s="324" t="s">
        <v>18</v>
      </c>
      <c r="M546" s="34" t="s">
        <v>19</v>
      </c>
      <c r="N546" s="324" t="s">
        <v>20</v>
      </c>
      <c r="O546" s="324" t="s">
        <v>21</v>
      </c>
      <c r="P546" s="324" t="s">
        <v>22</v>
      </c>
      <c r="Q546" s="34" t="s">
        <v>23</v>
      </c>
      <c r="R546" s="326" t="s">
        <v>24</v>
      </c>
    </row>
    <row r="547" spans="1:20" ht="16.5" customHeight="1" thickBot="1" x14ac:dyDescent="0.35">
      <c r="A547" s="64"/>
      <c r="B547" s="81"/>
      <c r="C547" s="81"/>
      <c r="D547" s="81"/>
      <c r="E547" s="72"/>
      <c r="F547" s="81"/>
      <c r="G547" s="81"/>
      <c r="H547" s="81"/>
      <c r="I547" s="89"/>
      <c r="J547" s="81"/>
      <c r="K547" s="81"/>
      <c r="L547" s="81"/>
      <c r="M547" s="89"/>
      <c r="N547" s="81"/>
      <c r="O547" s="81"/>
      <c r="P547" s="81"/>
      <c r="Q547" s="89"/>
      <c r="R547" s="117"/>
    </row>
    <row r="548" spans="1:20" ht="15.75" customHeight="1" x14ac:dyDescent="0.3">
      <c r="A548" s="17" t="s">
        <v>45</v>
      </c>
      <c r="B548" s="1" t="s">
        <v>7</v>
      </c>
      <c r="C548" s="1" t="s">
        <v>7</v>
      </c>
      <c r="D548" s="1" t="s">
        <v>7</v>
      </c>
      <c r="E548" s="59" t="s">
        <v>7</v>
      </c>
      <c r="F548" s="1"/>
      <c r="G548" s="1"/>
      <c r="H548" s="1"/>
      <c r="I548" s="59" t="s">
        <v>7</v>
      </c>
      <c r="J548" s="1" t="s">
        <v>7</v>
      </c>
      <c r="K548" s="1" t="s">
        <v>7</v>
      </c>
      <c r="L548" s="1" t="s">
        <v>7</v>
      </c>
      <c r="M548" s="59" t="s">
        <v>7</v>
      </c>
      <c r="N548" s="1" t="s">
        <v>7</v>
      </c>
      <c r="O548" s="1" t="s">
        <v>7</v>
      </c>
      <c r="P548" s="1" t="s">
        <v>7</v>
      </c>
      <c r="Q548" s="59" t="s">
        <v>7</v>
      </c>
      <c r="R548" s="59" t="s">
        <v>7</v>
      </c>
    </row>
    <row r="549" spans="1:20" ht="15.75" customHeight="1" x14ac:dyDescent="0.3">
      <c r="A549" s="17" t="s">
        <v>46</v>
      </c>
      <c r="B549" s="1"/>
      <c r="C549" s="1"/>
      <c r="D549" s="1"/>
      <c r="E549" s="59" t="s">
        <v>7</v>
      </c>
      <c r="F549" s="1"/>
      <c r="G549" s="1"/>
      <c r="H549" s="1"/>
      <c r="I549" s="59" t="s">
        <v>7</v>
      </c>
      <c r="J549" s="1"/>
      <c r="K549" s="1"/>
      <c r="L549" s="1"/>
      <c r="M549" s="59" t="s">
        <v>7</v>
      </c>
      <c r="N549" s="1"/>
      <c r="O549" s="1"/>
      <c r="P549" s="1"/>
      <c r="Q549" s="59" t="s">
        <v>7</v>
      </c>
      <c r="R549" s="59" t="s">
        <v>7</v>
      </c>
    </row>
    <row r="550" spans="1:20" ht="15.75" customHeight="1" x14ac:dyDescent="0.3">
      <c r="A550" s="17" t="s">
        <v>495</v>
      </c>
      <c r="C550" s="1"/>
      <c r="D550" s="1"/>
      <c r="E550" s="59">
        <f>SUM(B550:D550)</f>
        <v>0</v>
      </c>
      <c r="F550" s="1"/>
      <c r="G550" s="1"/>
      <c r="H550" s="1"/>
      <c r="I550" s="59">
        <f>SUM(F550:H550)</f>
        <v>0</v>
      </c>
      <c r="J550" s="1"/>
      <c r="K550" s="1"/>
      <c r="L550" s="1"/>
      <c r="M550" s="59">
        <f>SUM(J550:L550)</f>
        <v>0</v>
      </c>
      <c r="N550" s="1"/>
      <c r="O550" s="1"/>
      <c r="P550" s="1"/>
      <c r="Q550" s="59">
        <f>SUM(N550:P550)</f>
        <v>0</v>
      </c>
      <c r="R550" s="59">
        <f>+E550+I550+M550+Q550</f>
        <v>0</v>
      </c>
      <c r="T550" s="4" t="s">
        <v>368</v>
      </c>
    </row>
    <row r="551" spans="1:20" ht="15.75" customHeight="1" x14ac:dyDescent="0.3">
      <c r="A551" s="74" t="s">
        <v>496</v>
      </c>
      <c r="B551" s="1"/>
      <c r="C551" s="1"/>
      <c r="D551" s="1">
        <v>303</v>
      </c>
      <c r="E551" s="59">
        <f>SUM(B551:D551)</f>
        <v>303</v>
      </c>
      <c r="F551" s="1">
        <v>462</v>
      </c>
      <c r="G551" s="1">
        <v>1002</v>
      </c>
      <c r="H551" s="1">
        <v>233</v>
      </c>
      <c r="I551" s="59">
        <f>SUM(F551:H551)</f>
        <v>1697</v>
      </c>
      <c r="J551" s="1"/>
      <c r="K551" s="1"/>
      <c r="L551" s="1"/>
      <c r="M551" s="59">
        <f>SUM(J551:L551)</f>
        <v>0</v>
      </c>
      <c r="N551" s="1"/>
      <c r="O551" s="1"/>
      <c r="P551" s="1"/>
      <c r="Q551" s="59">
        <f>SUM(N551:P551)</f>
        <v>0</v>
      </c>
      <c r="R551" s="59">
        <f>+E551+I551+M551+Q551</f>
        <v>2000</v>
      </c>
    </row>
    <row r="552" spans="1:20" ht="15.75" customHeight="1" x14ac:dyDescent="0.3">
      <c r="A552" s="74" t="s">
        <v>497</v>
      </c>
      <c r="B552" s="1"/>
      <c r="C552" s="1"/>
      <c r="D552" s="1"/>
      <c r="E552" s="59">
        <f>SUM(B552:D552)</f>
        <v>0</v>
      </c>
      <c r="F552" s="1"/>
      <c r="G552" s="1"/>
      <c r="H552" s="1">
        <v>656</v>
      </c>
      <c r="I552" s="59">
        <f>SUM(F552:H552)</f>
        <v>656</v>
      </c>
      <c r="J552" s="1">
        <v>1173</v>
      </c>
      <c r="K552" s="1">
        <v>1826</v>
      </c>
      <c r="L552" s="1">
        <v>345</v>
      </c>
      <c r="M552" s="59">
        <f>SUM(J552:L552)</f>
        <v>3344</v>
      </c>
      <c r="N552" s="1"/>
      <c r="O552" s="1"/>
      <c r="P552" s="1"/>
      <c r="Q552" s="59">
        <f>SUM(N552:P552)</f>
        <v>0</v>
      </c>
      <c r="R552" s="59">
        <f>+E552+I552+M552+Q552</f>
        <v>4000</v>
      </c>
    </row>
    <row r="553" spans="1:20" ht="15.75" customHeight="1" x14ac:dyDescent="0.3">
      <c r="A553" s="74" t="s">
        <v>498</v>
      </c>
      <c r="B553" s="1"/>
      <c r="C553" s="1"/>
      <c r="D553" s="1"/>
      <c r="E553" s="59">
        <f>SUM(B553:D553)</f>
        <v>0</v>
      </c>
      <c r="F553" s="1"/>
      <c r="G553" s="1"/>
      <c r="H553" s="1"/>
      <c r="I553" s="59">
        <f>SUM(F553:H553)</f>
        <v>0</v>
      </c>
      <c r="J553" s="1"/>
      <c r="K553" s="1"/>
      <c r="L553" s="1">
        <v>381</v>
      </c>
      <c r="M553" s="59">
        <f>SUM(J553:L553)</f>
        <v>381</v>
      </c>
      <c r="N553" s="1">
        <v>372</v>
      </c>
      <c r="O553" s="1"/>
      <c r="P553" s="1"/>
      <c r="Q553" s="59">
        <f>SUM(N553:P553)</f>
        <v>372</v>
      </c>
      <c r="R553" s="59">
        <f>+E553+I553+M553+Q553</f>
        <v>753</v>
      </c>
    </row>
    <row r="554" spans="1:20" ht="15.75" customHeight="1" x14ac:dyDescent="0.3">
      <c r="A554" s="74" t="s">
        <v>499</v>
      </c>
      <c r="B554" s="1"/>
      <c r="C554" s="1"/>
      <c r="D554" s="1"/>
      <c r="E554" s="59">
        <f>SUM(B554:D554)</f>
        <v>0</v>
      </c>
      <c r="F554" s="1"/>
      <c r="G554" s="1"/>
      <c r="H554" s="1"/>
      <c r="I554" s="59">
        <f>SUM(F554:H554)</f>
        <v>0</v>
      </c>
      <c r="J554" s="1">
        <v>237</v>
      </c>
      <c r="K554" s="1"/>
      <c r="L554" s="1">
        <v>300</v>
      </c>
      <c r="M554" s="59">
        <f>SUM(J554:L554)</f>
        <v>537</v>
      </c>
      <c r="N554" s="1"/>
      <c r="O554" s="1"/>
      <c r="P554" s="1"/>
      <c r="Q554" s="59">
        <f>SUM(N554:P554)</f>
        <v>0</v>
      </c>
      <c r="R554" s="59">
        <f>+E554+I554+M554+Q554</f>
        <v>537</v>
      </c>
    </row>
    <row r="555" spans="1:20" ht="15.75" customHeight="1" x14ac:dyDescent="0.3">
      <c r="A555" s="17" t="s">
        <v>47</v>
      </c>
      <c r="B555" s="1"/>
      <c r="C555" s="1"/>
      <c r="D555" s="1"/>
      <c r="E555" s="59" t="s">
        <v>7</v>
      </c>
      <c r="F555" s="1"/>
      <c r="G555" s="1"/>
      <c r="H555" s="1"/>
      <c r="I555" s="59" t="s">
        <v>7</v>
      </c>
      <c r="J555" s="1"/>
      <c r="K555" s="1"/>
      <c r="L555" s="1"/>
      <c r="M555" s="59" t="s">
        <v>7</v>
      </c>
      <c r="N555" s="1"/>
      <c r="O555" s="1"/>
      <c r="P555" s="1"/>
      <c r="Q555" s="59" t="s">
        <v>7</v>
      </c>
      <c r="R555" s="59" t="s">
        <v>7</v>
      </c>
    </row>
    <row r="556" spans="1:20" ht="15.75" customHeight="1" x14ac:dyDescent="0.3">
      <c r="A556" s="17" t="s">
        <v>49</v>
      </c>
      <c r="B556" s="1"/>
      <c r="C556" s="1"/>
      <c r="D556" s="1"/>
      <c r="E556" s="59" t="s">
        <v>7</v>
      </c>
      <c r="F556" s="1"/>
      <c r="G556" s="1"/>
      <c r="H556" s="1"/>
      <c r="I556" s="59" t="s">
        <v>7</v>
      </c>
      <c r="J556" s="1"/>
      <c r="K556" s="1"/>
      <c r="L556" s="1"/>
      <c r="M556" s="59" t="s">
        <v>7</v>
      </c>
      <c r="N556" s="1"/>
      <c r="O556" s="1"/>
      <c r="P556" s="1"/>
      <c r="Q556" s="59" t="s">
        <v>7</v>
      </c>
      <c r="R556" s="59" t="s">
        <v>7</v>
      </c>
    </row>
    <row r="557" spans="1:20" ht="15.75" customHeight="1" thickBot="1" x14ac:dyDescent="0.35">
      <c r="A557" s="17" t="s">
        <v>51</v>
      </c>
      <c r="B557" s="1"/>
      <c r="C557" s="1"/>
      <c r="D557" s="1"/>
      <c r="E557" s="59" t="s">
        <v>7</v>
      </c>
      <c r="F557" s="1"/>
      <c r="G557" s="1"/>
      <c r="H557" s="1"/>
      <c r="I557" s="59" t="s">
        <v>7</v>
      </c>
      <c r="J557" s="1"/>
      <c r="K557" s="1"/>
      <c r="L557" s="1"/>
      <c r="M557" s="59" t="s">
        <v>7</v>
      </c>
      <c r="N557" s="1"/>
      <c r="O557" s="1"/>
      <c r="P557" s="1"/>
      <c r="Q557" s="59" t="s">
        <v>7</v>
      </c>
      <c r="R557" s="59" t="s">
        <v>7</v>
      </c>
    </row>
    <row r="558" spans="1:20" ht="16.5" customHeight="1" thickBot="1" x14ac:dyDescent="0.35">
      <c r="A558" s="126" t="s">
        <v>52</v>
      </c>
      <c r="B558" s="100">
        <f>SUM(B548:B557)</f>
        <v>0</v>
      </c>
      <c r="C558" s="101">
        <f>SUM(C548:C557)</f>
        <v>0</v>
      </c>
      <c r="D558" s="101">
        <f>SUM(D548:D557)</f>
        <v>303</v>
      </c>
      <c r="E558" s="64">
        <f>SUM(B558:D558)</f>
        <v>303</v>
      </c>
      <c r="F558" s="101">
        <f>SUM(F548:F557)</f>
        <v>462</v>
      </c>
      <c r="G558" s="101">
        <f>SUM(G548:G557)</f>
        <v>1002</v>
      </c>
      <c r="H558" s="101">
        <f>SUM(H548:H557)</f>
        <v>889</v>
      </c>
      <c r="I558" s="64">
        <f>SUM(F558:H558)</f>
        <v>2353</v>
      </c>
      <c r="J558" s="101">
        <f>SUM(J548:J557)</f>
        <v>1410</v>
      </c>
      <c r="K558" s="101">
        <f>SUM(K548:K557)</f>
        <v>1826</v>
      </c>
      <c r="L558" s="101">
        <f>SUM(L548:L557)</f>
        <v>1026</v>
      </c>
      <c r="M558" s="64">
        <f>SUM(J558:L558)</f>
        <v>4262</v>
      </c>
      <c r="N558" s="101">
        <f>SUM(N548:N557)</f>
        <v>372</v>
      </c>
      <c r="O558" s="101">
        <f>SUM(O548:O557)</f>
        <v>0</v>
      </c>
      <c r="P558" s="101">
        <f>SUM(P548:P557)</f>
        <v>0</v>
      </c>
      <c r="Q558" s="64">
        <f>SUM(N558:P558)</f>
        <v>372</v>
      </c>
      <c r="R558" s="64">
        <f>+E558+I558+M558+Q558</f>
        <v>7290</v>
      </c>
    </row>
    <row r="559" spans="1:20" ht="15.75" customHeight="1" x14ac:dyDescent="0.3">
      <c r="A559" s="17" t="s">
        <v>53</v>
      </c>
      <c r="B559" s="1"/>
      <c r="C559" s="1"/>
      <c r="D559" s="1"/>
      <c r="E559" s="334" t="s">
        <v>7</v>
      </c>
      <c r="F559" s="1"/>
      <c r="G559" s="1"/>
      <c r="H559" s="1"/>
      <c r="I559" s="334" t="s">
        <v>7</v>
      </c>
      <c r="J559" s="1"/>
      <c r="K559" s="1"/>
      <c r="L559" s="1"/>
      <c r="M559" s="334" t="s">
        <v>7</v>
      </c>
      <c r="N559" s="1"/>
      <c r="O559" s="1"/>
      <c r="P559" s="1"/>
      <c r="Q559" s="334" t="s">
        <v>7</v>
      </c>
      <c r="R559" s="305" t="s">
        <v>7</v>
      </c>
    </row>
    <row r="560" spans="1:20" ht="15.75" customHeight="1" x14ac:dyDescent="0.3">
      <c r="A560" s="17" t="s">
        <v>55</v>
      </c>
      <c r="B560" s="1"/>
      <c r="C560" s="1"/>
      <c r="D560" s="1"/>
      <c r="E560" s="59" t="s">
        <v>7</v>
      </c>
      <c r="F560" s="1"/>
      <c r="G560" s="1"/>
      <c r="H560" s="1"/>
      <c r="I560" s="59" t="s">
        <v>7</v>
      </c>
      <c r="J560" s="1"/>
      <c r="K560" s="1"/>
      <c r="L560" s="1"/>
      <c r="M560" s="59" t="s">
        <v>7</v>
      </c>
      <c r="N560" s="1"/>
      <c r="O560" s="1"/>
      <c r="P560" s="1"/>
      <c r="Q560" s="59" t="s">
        <v>7</v>
      </c>
      <c r="R560" s="305" t="s">
        <v>7</v>
      </c>
    </row>
    <row r="561" spans="1:20" ht="15.75" customHeight="1" x14ac:dyDescent="0.3">
      <c r="A561" s="74" t="s">
        <v>500</v>
      </c>
      <c r="B561" s="1"/>
      <c r="C561" s="1"/>
      <c r="D561" s="1">
        <v>305</v>
      </c>
      <c r="E561" s="59">
        <f>SUM(B561:D561)</f>
        <v>305</v>
      </c>
      <c r="F561" s="1">
        <v>3190</v>
      </c>
      <c r="G561" s="1">
        <v>1941</v>
      </c>
      <c r="H561" s="1">
        <v>4082</v>
      </c>
      <c r="I561" s="59">
        <f>SUM(F561:H561)</f>
        <v>9213</v>
      </c>
      <c r="J561" s="1">
        <v>4836</v>
      </c>
      <c r="K561" s="1">
        <v>5554</v>
      </c>
      <c r="L561" s="1">
        <v>2606</v>
      </c>
      <c r="M561" s="59">
        <f>SUM(J561:L561)</f>
        <v>12996</v>
      </c>
      <c r="N561" s="1">
        <v>952</v>
      </c>
      <c r="O561" s="1">
        <v>8</v>
      </c>
      <c r="P561" s="1">
        <v>40</v>
      </c>
      <c r="Q561" s="59">
        <f>SUM(N561:P561)</f>
        <v>1000</v>
      </c>
      <c r="R561" s="59">
        <f>+E561+I561+M561+Q561</f>
        <v>23514</v>
      </c>
      <c r="S561" s="4">
        <f>+SUM(R561,R519,R390)</f>
        <v>93023</v>
      </c>
      <c r="T561" s="4" t="s">
        <v>501</v>
      </c>
    </row>
    <row r="562" spans="1:20" ht="15.75" customHeight="1" x14ac:dyDescent="0.3">
      <c r="A562" s="74" t="s">
        <v>502</v>
      </c>
      <c r="B562" s="1"/>
      <c r="C562" s="1"/>
      <c r="D562" s="1"/>
      <c r="E562" s="59">
        <f>SUM(B562:D562)</f>
        <v>0</v>
      </c>
      <c r="F562" s="1"/>
      <c r="G562" s="1"/>
      <c r="H562" s="1"/>
      <c r="I562" s="59">
        <f>SUM(F562:H562)</f>
        <v>0</v>
      </c>
      <c r="J562" s="1"/>
      <c r="K562" s="1"/>
      <c r="L562" s="1"/>
      <c r="M562" s="59">
        <f>SUM(J562:L562)</f>
        <v>0</v>
      </c>
      <c r="N562" s="1"/>
      <c r="O562" s="1"/>
      <c r="P562" s="1"/>
      <c r="Q562" s="59">
        <f>SUM(N562:P562)</f>
        <v>0</v>
      </c>
      <c r="R562" s="59">
        <f>+E562+I562+M562+Q562</f>
        <v>0</v>
      </c>
    </row>
    <row r="563" spans="1:20" ht="15.75" customHeight="1" thickBot="1" x14ac:dyDescent="0.35">
      <c r="A563" s="17" t="s">
        <v>56</v>
      </c>
      <c r="B563" s="1"/>
      <c r="C563" s="1"/>
      <c r="D563" s="1"/>
      <c r="E563" s="59" t="s">
        <v>7</v>
      </c>
      <c r="F563" s="1"/>
      <c r="G563" s="1"/>
      <c r="H563" s="1"/>
      <c r="I563" s="59" t="s">
        <v>7</v>
      </c>
      <c r="J563" s="1"/>
      <c r="K563" s="1"/>
      <c r="L563" s="1"/>
      <c r="M563" s="59" t="s">
        <v>7</v>
      </c>
      <c r="N563" s="1"/>
      <c r="O563" s="1"/>
      <c r="P563" s="1"/>
      <c r="Q563" s="59" t="s">
        <v>7</v>
      </c>
      <c r="R563" s="305" t="s">
        <v>7</v>
      </c>
    </row>
    <row r="564" spans="1:20" ht="16.5" customHeight="1" thickBot="1" x14ac:dyDescent="0.35">
      <c r="A564" s="62" t="s">
        <v>57</v>
      </c>
      <c r="B564" s="100">
        <f>SUM(B559:B563)</f>
        <v>0</v>
      </c>
      <c r="C564" s="101">
        <f>SUM(C559:C563)</f>
        <v>0</v>
      </c>
      <c r="D564" s="101">
        <f>SUM(D559:D563)</f>
        <v>305</v>
      </c>
      <c r="E564" s="64">
        <f>SUM(B564:D564)</f>
        <v>305</v>
      </c>
      <c r="F564" s="101">
        <f>SUM(F559:F563)</f>
        <v>3190</v>
      </c>
      <c r="G564" s="101">
        <f>SUM(G559:G563)</f>
        <v>1941</v>
      </c>
      <c r="H564" s="101">
        <f>SUM(H559:H563)</f>
        <v>4082</v>
      </c>
      <c r="I564" s="64">
        <f>SUM(F564:H564)</f>
        <v>9213</v>
      </c>
      <c r="J564" s="101">
        <f>SUM(J559:J563)</f>
        <v>4836</v>
      </c>
      <c r="K564" s="101">
        <f>SUM(K559:K563)</f>
        <v>5554</v>
      </c>
      <c r="L564" s="101">
        <f>SUM(L559:L563)</f>
        <v>2606</v>
      </c>
      <c r="M564" s="64">
        <f>SUM(J564:L564)</f>
        <v>12996</v>
      </c>
      <c r="N564" s="101">
        <f>SUM(N559:N563)</f>
        <v>952</v>
      </c>
      <c r="O564" s="101">
        <f>SUM(O559:O563)</f>
        <v>8</v>
      </c>
      <c r="P564" s="101">
        <f>SUM(P559:P563)</f>
        <v>40</v>
      </c>
      <c r="Q564" s="64">
        <f>SUM(N564:P564)</f>
        <v>1000</v>
      </c>
      <c r="R564" s="64">
        <f>+E564+I564+M564+Q564</f>
        <v>23514</v>
      </c>
    </row>
    <row r="565" spans="1:20" ht="15.75" customHeight="1" x14ac:dyDescent="0.3">
      <c r="A565" s="17" t="s">
        <v>58</v>
      </c>
      <c r="B565" s="1"/>
      <c r="C565" s="1"/>
      <c r="D565" s="1"/>
      <c r="E565" s="59" t="s">
        <v>7</v>
      </c>
      <c r="F565" s="1"/>
      <c r="G565" s="1"/>
      <c r="H565" s="1"/>
      <c r="I565" s="59" t="s">
        <v>7</v>
      </c>
      <c r="J565" s="1"/>
      <c r="K565" s="1"/>
      <c r="L565" s="1"/>
      <c r="M565" s="59" t="s">
        <v>7</v>
      </c>
      <c r="N565" s="1"/>
      <c r="O565" s="1"/>
      <c r="P565" s="1"/>
      <c r="Q565" s="59" t="s">
        <v>7</v>
      </c>
      <c r="R565" s="59" t="s">
        <v>7</v>
      </c>
    </row>
    <row r="566" spans="1:20" ht="15.75" customHeight="1" x14ac:dyDescent="0.3">
      <c r="A566" s="17" t="s">
        <v>59</v>
      </c>
      <c r="B566" s="1"/>
      <c r="C566" s="1"/>
      <c r="D566" s="1"/>
      <c r="E566" s="59" t="s">
        <v>7</v>
      </c>
      <c r="F566" s="1"/>
      <c r="G566" s="1"/>
      <c r="H566" s="1"/>
      <c r="I566" s="59" t="s">
        <v>7</v>
      </c>
      <c r="J566" s="1"/>
      <c r="K566" s="1"/>
      <c r="L566" s="1"/>
      <c r="M566" s="59" t="s">
        <v>7</v>
      </c>
      <c r="N566" s="1"/>
      <c r="O566" s="1"/>
      <c r="P566" s="1"/>
      <c r="Q566" s="59" t="s">
        <v>7</v>
      </c>
      <c r="R566" s="59" t="s">
        <v>7</v>
      </c>
    </row>
    <row r="567" spans="1:20" ht="15.75" customHeight="1" x14ac:dyDescent="0.3">
      <c r="A567" s="17" t="s">
        <v>60</v>
      </c>
      <c r="B567" s="1"/>
      <c r="C567" s="1"/>
      <c r="D567" s="1"/>
      <c r="E567" s="59" t="s">
        <v>7</v>
      </c>
      <c r="F567" s="1"/>
      <c r="G567" s="1"/>
      <c r="H567" s="1"/>
      <c r="I567" s="59" t="s">
        <v>7</v>
      </c>
      <c r="J567" s="1"/>
      <c r="K567" s="1"/>
      <c r="L567" s="1"/>
      <c r="M567" s="59" t="s">
        <v>7</v>
      </c>
      <c r="N567" s="1"/>
      <c r="O567" s="1"/>
      <c r="P567" s="1"/>
      <c r="Q567" s="59" t="s">
        <v>7</v>
      </c>
      <c r="R567" s="59" t="s">
        <v>7</v>
      </c>
    </row>
    <row r="568" spans="1:20" ht="15.75" customHeight="1" thickBot="1" x14ac:dyDescent="0.35">
      <c r="A568" s="103" t="s">
        <v>856</v>
      </c>
      <c r="B568" s="1"/>
      <c r="C568" s="1"/>
      <c r="D568" s="1"/>
      <c r="E568" s="59">
        <f>SUM(B568:D568)</f>
        <v>0</v>
      </c>
      <c r="F568" s="1"/>
      <c r="G568" s="1"/>
      <c r="H568" s="1"/>
      <c r="I568" s="59">
        <f>SUM(F568:H568)</f>
        <v>0</v>
      </c>
      <c r="J568" s="1"/>
      <c r="K568" s="1"/>
      <c r="L568" s="1"/>
      <c r="M568" s="59">
        <f>SUM(J568:L568)</f>
        <v>0</v>
      </c>
      <c r="N568" s="1"/>
      <c r="O568" s="1"/>
      <c r="P568" s="1"/>
      <c r="Q568" s="59">
        <f>SUM(N568:P568)</f>
        <v>0</v>
      </c>
      <c r="R568" s="59">
        <f>+E568+I568+M568+Q568</f>
        <v>0</v>
      </c>
      <c r="T568" s="4" t="s">
        <v>368</v>
      </c>
    </row>
    <row r="569" spans="1:20" ht="16.5" customHeight="1" thickBot="1" x14ac:dyDescent="0.35">
      <c r="A569" s="137" t="s">
        <v>61</v>
      </c>
      <c r="B569" s="100">
        <f>SUM(B565:B568)</f>
        <v>0</v>
      </c>
      <c r="C569" s="101">
        <f>SUM(C565:C568)</f>
        <v>0</v>
      </c>
      <c r="D569" s="101">
        <f>SUM(D565:D568)</f>
        <v>0</v>
      </c>
      <c r="E569" s="64">
        <f>SUM(B569:D569)</f>
        <v>0</v>
      </c>
      <c r="F569" s="101">
        <f>SUM(F565:F568)</f>
        <v>0</v>
      </c>
      <c r="G569" s="101">
        <f>SUM(G565:G568)</f>
        <v>0</v>
      </c>
      <c r="H569" s="101">
        <f>SUM(H565:H568)</f>
        <v>0</v>
      </c>
      <c r="I569" s="64">
        <f>SUM(F569:H569)</f>
        <v>0</v>
      </c>
      <c r="J569" s="101">
        <f>SUM(J565:J568)</f>
        <v>0</v>
      </c>
      <c r="K569" s="101">
        <f>SUM(K565:K568)</f>
        <v>0</v>
      </c>
      <c r="L569" s="101">
        <f>SUM(L565:L568)</f>
        <v>0</v>
      </c>
      <c r="M569" s="64">
        <f>SUM(J569:L569)</f>
        <v>0</v>
      </c>
      <c r="N569" s="101">
        <f>SUM(N565:N568)</f>
        <v>0</v>
      </c>
      <c r="O569" s="101">
        <f>SUM(O565:O568)</f>
        <v>0</v>
      </c>
      <c r="P569" s="101">
        <f>SUM(P565:P568)</f>
        <v>0</v>
      </c>
      <c r="Q569" s="64">
        <f>SUM(N569:P569)</f>
        <v>0</v>
      </c>
      <c r="R569" s="64">
        <f>+E569+I569+M569+Q569</f>
        <v>0</v>
      </c>
    </row>
    <row r="570" spans="1:20" ht="15.75" customHeight="1" x14ac:dyDescent="0.3">
      <c r="A570" s="17" t="s">
        <v>62</v>
      </c>
      <c r="B570" s="1"/>
      <c r="C570" s="1"/>
      <c r="D570" s="1"/>
      <c r="E570" s="59" t="s">
        <v>7</v>
      </c>
      <c r="F570" s="1"/>
      <c r="G570" s="1"/>
      <c r="H570" s="1"/>
      <c r="I570" s="59" t="s">
        <v>7</v>
      </c>
      <c r="J570" s="1"/>
      <c r="K570" s="1"/>
      <c r="L570" s="1"/>
      <c r="M570" s="59" t="s">
        <v>7</v>
      </c>
      <c r="N570" s="1"/>
      <c r="O570" s="1"/>
      <c r="P570" s="1"/>
      <c r="Q570" s="59" t="s">
        <v>7</v>
      </c>
      <c r="R570" s="59" t="s">
        <v>7</v>
      </c>
    </row>
    <row r="571" spans="1:20" ht="15.75" customHeight="1" x14ac:dyDescent="0.3">
      <c r="A571" s="17" t="s">
        <v>63</v>
      </c>
      <c r="B571" s="1"/>
      <c r="C571" s="1"/>
      <c r="D571" s="1"/>
      <c r="E571" s="59" t="s">
        <v>7</v>
      </c>
      <c r="F571" s="1"/>
      <c r="G571" s="1"/>
      <c r="H571" s="1"/>
      <c r="I571" s="59" t="s">
        <v>7</v>
      </c>
      <c r="J571" s="1"/>
      <c r="K571" s="1"/>
      <c r="L571" s="1"/>
      <c r="M571" s="59" t="s">
        <v>7</v>
      </c>
      <c r="N571" s="1"/>
      <c r="O571" s="1"/>
      <c r="P571" s="1"/>
      <c r="Q571" s="59" t="s">
        <v>7</v>
      </c>
      <c r="R571" s="59" t="s">
        <v>7</v>
      </c>
    </row>
    <row r="572" spans="1:20" ht="15.75" customHeight="1" x14ac:dyDescent="0.3">
      <c r="A572" s="17" t="s">
        <v>64</v>
      </c>
      <c r="B572" s="1"/>
      <c r="C572" s="1"/>
      <c r="D572" s="1"/>
      <c r="E572" s="59" t="s">
        <v>7</v>
      </c>
      <c r="F572" s="1"/>
      <c r="G572" s="1"/>
      <c r="H572" s="1"/>
      <c r="I572" s="59" t="s">
        <v>7</v>
      </c>
      <c r="J572" s="1"/>
      <c r="K572" s="1"/>
      <c r="L572" s="1"/>
      <c r="M572" s="59" t="s">
        <v>7</v>
      </c>
      <c r="N572" s="1"/>
      <c r="O572" s="1"/>
      <c r="P572" s="1"/>
      <c r="Q572" s="59" t="s">
        <v>7</v>
      </c>
      <c r="R572" s="59" t="s">
        <v>7</v>
      </c>
    </row>
    <row r="573" spans="1:20" ht="15.75" customHeight="1" x14ac:dyDescent="0.3">
      <c r="A573" s="17" t="s">
        <v>66</v>
      </c>
      <c r="B573" s="1"/>
      <c r="C573" s="1"/>
      <c r="D573" s="1"/>
      <c r="E573" s="59" t="s">
        <v>7</v>
      </c>
      <c r="F573" s="1"/>
      <c r="G573" s="1"/>
      <c r="H573" s="1"/>
      <c r="I573" s="59" t="s">
        <v>7</v>
      </c>
      <c r="J573" s="1"/>
      <c r="K573" s="1"/>
      <c r="L573" s="1"/>
      <c r="M573" s="59" t="s">
        <v>7</v>
      </c>
      <c r="N573" s="1"/>
      <c r="O573" s="1"/>
      <c r="P573" s="1"/>
      <c r="Q573" s="59" t="s">
        <v>7</v>
      </c>
      <c r="R573" s="59" t="s">
        <v>7</v>
      </c>
    </row>
    <row r="574" spans="1:20" ht="15.75" customHeight="1" x14ac:dyDescent="0.3">
      <c r="A574" s="74" t="s">
        <v>503</v>
      </c>
      <c r="B574" s="1"/>
      <c r="C574" s="1"/>
      <c r="D574" s="1"/>
      <c r="E574" s="59">
        <f>SUM(B574:D574)</f>
        <v>0</v>
      </c>
      <c r="F574" s="1"/>
      <c r="G574" s="1"/>
      <c r="H574" s="1"/>
      <c r="I574" s="59">
        <f>SUM(F574:H574)</f>
        <v>0</v>
      </c>
      <c r="J574" s="1"/>
      <c r="K574" s="1"/>
      <c r="L574" s="1"/>
      <c r="M574" s="59">
        <f>SUM(J574:L574)</f>
        <v>0</v>
      </c>
      <c r="N574" s="1"/>
      <c r="O574" s="1"/>
      <c r="P574" s="1"/>
      <c r="Q574" s="59">
        <f>SUM(N574:P574)</f>
        <v>0</v>
      </c>
      <c r="R574" s="59">
        <f>+E574+I574+M574+Q574</f>
        <v>0</v>
      </c>
    </row>
    <row r="575" spans="1:20" ht="15.75" customHeight="1" x14ac:dyDescent="0.3">
      <c r="A575" s="17" t="s">
        <v>67</v>
      </c>
      <c r="B575" s="1"/>
      <c r="C575" s="1"/>
      <c r="D575" s="1"/>
      <c r="E575" s="59"/>
      <c r="F575" s="1"/>
      <c r="G575" s="1"/>
      <c r="H575" s="1"/>
      <c r="I575" s="59"/>
      <c r="J575" s="1"/>
      <c r="K575" s="1"/>
      <c r="L575" s="1"/>
      <c r="M575" s="59"/>
      <c r="N575" s="1"/>
      <c r="O575" s="1"/>
      <c r="P575" s="1"/>
      <c r="Q575" s="59"/>
      <c r="R575" s="59" t="s">
        <v>7</v>
      </c>
    </row>
    <row r="576" spans="1:20" ht="15.75" customHeight="1" x14ac:dyDescent="0.3">
      <c r="A576" s="74" t="s">
        <v>460</v>
      </c>
      <c r="B576" s="1"/>
      <c r="C576" s="1"/>
      <c r="D576" s="1"/>
      <c r="E576" s="59">
        <f t="shared" ref="E576:E583" si="219">SUM(B576:D576)</f>
        <v>0</v>
      </c>
      <c r="F576" s="1"/>
      <c r="G576" s="1"/>
      <c r="H576" s="1"/>
      <c r="I576" s="59">
        <f t="shared" ref="I576:I583" si="220">SUM(F576:H576)</f>
        <v>0</v>
      </c>
      <c r="J576" s="1"/>
      <c r="K576" s="1"/>
      <c r="L576" s="1"/>
      <c r="M576" s="59">
        <f t="shared" ref="M576:M583" si="221">SUM(J576:L576)</f>
        <v>0</v>
      </c>
      <c r="N576" s="1"/>
      <c r="O576" s="1"/>
      <c r="P576" s="1"/>
      <c r="Q576" s="59">
        <f t="shared" ref="Q576:Q583" si="222">SUM(N576:P576)</f>
        <v>0</v>
      </c>
      <c r="R576" s="59">
        <f t="shared" ref="R576:R583" si="223">+E576+I576+M576+Q576</f>
        <v>0</v>
      </c>
      <c r="T576" s="4" t="s">
        <v>368</v>
      </c>
    </row>
    <row r="577" spans="1:20" ht="15.75" customHeight="1" x14ac:dyDescent="0.3">
      <c r="A577" s="74" t="s">
        <v>504</v>
      </c>
      <c r="B577" s="1"/>
      <c r="C577" s="1"/>
      <c r="D577" s="1"/>
      <c r="E577" s="59">
        <f>SUM(B577:D577)</f>
        <v>0</v>
      </c>
      <c r="F577" s="1"/>
      <c r="G577" s="1"/>
      <c r="H577" s="1"/>
      <c r="I577" s="59">
        <f>SUM(F577:H577)</f>
        <v>0</v>
      </c>
      <c r="J577" s="1"/>
      <c r="K577" s="1"/>
      <c r="L577" s="1"/>
      <c r="M577" s="59">
        <f>SUM(J577:L577)</f>
        <v>0</v>
      </c>
      <c r="N577" s="1"/>
      <c r="O577" s="1"/>
      <c r="P577" s="1"/>
      <c r="Q577" s="59">
        <f>SUM(N577:P577)</f>
        <v>0</v>
      </c>
      <c r="R577" s="59">
        <f>+E577+I577+M577+Q577</f>
        <v>0</v>
      </c>
      <c r="T577" s="4" t="s">
        <v>368</v>
      </c>
    </row>
    <row r="578" spans="1:20" ht="15.75" customHeight="1" x14ac:dyDescent="0.3">
      <c r="A578" s="74" t="s">
        <v>505</v>
      </c>
      <c r="B578" s="1"/>
      <c r="C578" s="1"/>
      <c r="D578" s="1"/>
      <c r="E578" s="59">
        <f t="shared" ref="E578" si="224">SUM(B578:D578)</f>
        <v>0</v>
      </c>
      <c r="F578" s="1"/>
      <c r="G578" s="1"/>
      <c r="H578" s="1"/>
      <c r="I578" s="59">
        <f t="shared" ref="I578" si="225">SUM(F578:H578)</f>
        <v>0</v>
      </c>
      <c r="J578" s="1"/>
      <c r="K578" s="1"/>
      <c r="L578" s="1"/>
      <c r="M578" s="59">
        <f t="shared" ref="M578" si="226">SUM(J578:L578)</f>
        <v>0</v>
      </c>
      <c r="N578" s="1"/>
      <c r="O578" s="1"/>
      <c r="P578" s="1"/>
      <c r="Q578" s="59">
        <f t="shared" ref="Q578" si="227">SUM(N578:P578)</f>
        <v>0</v>
      </c>
      <c r="R578" s="59">
        <f t="shared" ref="R578" si="228">+E578+I578+M578+Q578</f>
        <v>0</v>
      </c>
    </row>
    <row r="579" spans="1:20" ht="15.75" customHeight="1" thickBot="1" x14ac:dyDescent="0.35">
      <c r="A579" s="74" t="s">
        <v>506</v>
      </c>
      <c r="B579" s="1"/>
      <c r="C579" s="1"/>
      <c r="D579" s="1"/>
      <c r="E579" s="59">
        <f t="shared" si="219"/>
        <v>0</v>
      </c>
      <c r="F579" s="1"/>
      <c r="G579" s="1"/>
      <c r="H579" s="1"/>
      <c r="I579" s="59">
        <f t="shared" si="220"/>
        <v>0</v>
      </c>
      <c r="J579" s="1"/>
      <c r="K579" s="1"/>
      <c r="L579" s="1"/>
      <c r="M579" s="59">
        <f t="shared" si="221"/>
        <v>0</v>
      </c>
      <c r="N579" s="1"/>
      <c r="O579" s="1"/>
      <c r="P579" s="1"/>
      <c r="Q579" s="59">
        <f t="shared" si="222"/>
        <v>0</v>
      </c>
      <c r="R579" s="59">
        <f t="shared" si="223"/>
        <v>0</v>
      </c>
    </row>
    <row r="580" spans="1:20" ht="16.5" customHeight="1" thickBot="1" x14ac:dyDescent="0.35">
      <c r="A580" s="62" t="s">
        <v>68</v>
      </c>
      <c r="B580" s="63">
        <f>SUM(B573:B579)</f>
        <v>0</v>
      </c>
      <c r="C580" s="63">
        <f>SUM(C573:C579)</f>
        <v>0</v>
      </c>
      <c r="D580" s="63">
        <f>SUM(D573:D579)</f>
        <v>0</v>
      </c>
      <c r="E580" s="334">
        <f t="shared" si="219"/>
        <v>0</v>
      </c>
      <c r="F580" s="63">
        <f>SUM(F573:F579)</f>
        <v>0</v>
      </c>
      <c r="G580" s="63">
        <f>SUM(G573:G579)</f>
        <v>0</v>
      </c>
      <c r="H580" s="63">
        <f>SUM(H573:H579)</f>
        <v>0</v>
      </c>
      <c r="I580" s="334">
        <f t="shared" si="220"/>
        <v>0</v>
      </c>
      <c r="J580" s="63">
        <f>SUM(J573:J579)</f>
        <v>0</v>
      </c>
      <c r="K580" s="63">
        <f>SUM(K573:K579)</f>
        <v>0</v>
      </c>
      <c r="L580" s="63">
        <f>SUM(L573:L579)</f>
        <v>0</v>
      </c>
      <c r="M580" s="334">
        <f t="shared" si="221"/>
        <v>0</v>
      </c>
      <c r="N580" s="63">
        <f>SUM(N573:N579)</f>
        <v>0</v>
      </c>
      <c r="O580" s="63">
        <f>SUM(O573:O579)</f>
        <v>0</v>
      </c>
      <c r="P580" s="63">
        <f>SUM(P573:P579)</f>
        <v>0</v>
      </c>
      <c r="Q580" s="334">
        <f t="shared" si="222"/>
        <v>0</v>
      </c>
      <c r="R580" s="64">
        <f t="shared" si="223"/>
        <v>0</v>
      </c>
    </row>
    <row r="581" spans="1:20" ht="16.5" customHeight="1" thickBot="1" x14ac:dyDescent="0.35">
      <c r="A581" s="137" t="s">
        <v>69</v>
      </c>
      <c r="B581" s="100">
        <f>SUM(B570:B579)</f>
        <v>0</v>
      </c>
      <c r="C581" s="101">
        <f>SUM(C570:C579)</f>
        <v>0</v>
      </c>
      <c r="D581" s="138">
        <f>SUM(D570:D579)</f>
        <v>0</v>
      </c>
      <c r="E581" s="334">
        <f t="shared" si="219"/>
        <v>0</v>
      </c>
      <c r="F581" s="101">
        <f>SUM(F570:F579)</f>
        <v>0</v>
      </c>
      <c r="G581" s="101">
        <f>SUM(G570:G579)</f>
        <v>0</v>
      </c>
      <c r="H581" s="101">
        <f>SUM(H570:H579)</f>
        <v>0</v>
      </c>
      <c r="I581" s="334">
        <f t="shared" si="220"/>
        <v>0</v>
      </c>
      <c r="J581" s="101">
        <f>SUM(J570:J579)</f>
        <v>0</v>
      </c>
      <c r="K581" s="101">
        <f>SUM(K570:K579)</f>
        <v>0</v>
      </c>
      <c r="L581" s="101">
        <f>SUM(L570:L579)</f>
        <v>0</v>
      </c>
      <c r="M581" s="334">
        <f t="shared" si="221"/>
        <v>0</v>
      </c>
      <c r="N581" s="101">
        <f>SUM(N570:N579)</f>
        <v>0</v>
      </c>
      <c r="O581" s="101">
        <f>SUM(O570:O579)</f>
        <v>0</v>
      </c>
      <c r="P581" s="101">
        <f>SUM(P570:P579)</f>
        <v>0</v>
      </c>
      <c r="Q581" s="334">
        <f t="shared" si="222"/>
        <v>0</v>
      </c>
      <c r="R581" s="64">
        <f t="shared" si="223"/>
        <v>0</v>
      </c>
    </row>
    <row r="582" spans="1:20" ht="16.5" customHeight="1" thickBot="1" x14ac:dyDescent="0.35">
      <c r="A582" s="62" t="s">
        <v>70</v>
      </c>
      <c r="B582" s="107">
        <f>+B558+B564+B569+B581</f>
        <v>0</v>
      </c>
      <c r="C582" s="63">
        <f>+C558+C564+C569+C581</f>
        <v>0</v>
      </c>
      <c r="D582" s="63">
        <f>+D558+D564+D569+D581</f>
        <v>608</v>
      </c>
      <c r="E582" s="64">
        <f t="shared" si="219"/>
        <v>608</v>
      </c>
      <c r="F582" s="63">
        <f>+F558+F564+F569+F581</f>
        <v>3652</v>
      </c>
      <c r="G582" s="63">
        <f>+G558+G564+G569+G581</f>
        <v>2943</v>
      </c>
      <c r="H582" s="63">
        <f>+H558+H564+H569+H581</f>
        <v>4971</v>
      </c>
      <c r="I582" s="64">
        <f t="shared" si="220"/>
        <v>11566</v>
      </c>
      <c r="J582" s="63">
        <f>+J558+J564+J569+J581</f>
        <v>6246</v>
      </c>
      <c r="K582" s="63">
        <f>+K558+K564+K569+K581</f>
        <v>7380</v>
      </c>
      <c r="L582" s="63">
        <f>+L558+L564+L569+L581</f>
        <v>3632</v>
      </c>
      <c r="M582" s="64">
        <f t="shared" si="221"/>
        <v>17258</v>
      </c>
      <c r="N582" s="63">
        <f>+N558+N564+N569+N581</f>
        <v>1324</v>
      </c>
      <c r="O582" s="63">
        <f>+O558+O564+O569+O581</f>
        <v>8</v>
      </c>
      <c r="P582" s="63">
        <f>+P558+P564+P569+P581</f>
        <v>40</v>
      </c>
      <c r="Q582" s="64">
        <f t="shared" si="222"/>
        <v>1372</v>
      </c>
      <c r="R582" s="88">
        <f t="shared" si="223"/>
        <v>30804</v>
      </c>
    </row>
    <row r="583" spans="1:20" ht="16.5" customHeight="1" thickBot="1" x14ac:dyDescent="0.35">
      <c r="A583" s="40" t="s">
        <v>37</v>
      </c>
      <c r="B583" s="25">
        <v>23</v>
      </c>
      <c r="C583" s="25">
        <v>43</v>
      </c>
      <c r="D583" s="25">
        <v>66</v>
      </c>
      <c r="E583" s="88">
        <f t="shared" si="219"/>
        <v>132</v>
      </c>
      <c r="F583" s="25">
        <v>91</v>
      </c>
      <c r="G583" s="25">
        <v>108</v>
      </c>
      <c r="H583" s="25">
        <v>109</v>
      </c>
      <c r="I583" s="88">
        <f t="shared" si="220"/>
        <v>308</v>
      </c>
      <c r="J583" s="25">
        <v>104</v>
      </c>
      <c r="K583" s="25">
        <v>79</v>
      </c>
      <c r="L583" s="25">
        <v>80</v>
      </c>
      <c r="M583" s="88">
        <f t="shared" si="221"/>
        <v>263</v>
      </c>
      <c r="N583" s="25">
        <v>74</v>
      </c>
      <c r="O583" s="25">
        <v>58</v>
      </c>
      <c r="P583" s="25">
        <v>42</v>
      </c>
      <c r="Q583" s="88">
        <f t="shared" si="222"/>
        <v>174</v>
      </c>
      <c r="R583" s="59">
        <f t="shared" si="223"/>
        <v>877</v>
      </c>
    </row>
    <row r="584" spans="1:20" ht="16.5" customHeight="1" thickBot="1" x14ac:dyDescent="0.35">
      <c r="A584" s="42"/>
      <c r="B584" s="37"/>
      <c r="C584" s="37"/>
      <c r="D584" s="37"/>
      <c r="E584" s="43"/>
      <c r="F584" s="37"/>
      <c r="G584" s="37"/>
      <c r="H584" s="37"/>
      <c r="I584" s="147"/>
      <c r="J584" s="37"/>
      <c r="K584" s="37"/>
      <c r="L584" s="37"/>
      <c r="M584" s="147"/>
      <c r="N584" s="37"/>
      <c r="O584" s="37"/>
      <c r="P584" s="37"/>
      <c r="Q584" s="147"/>
      <c r="R584" s="43"/>
    </row>
    <row r="585" spans="1:20" ht="15.75" customHeight="1" x14ac:dyDescent="0.3">
      <c r="A585" s="17" t="s">
        <v>507</v>
      </c>
      <c r="B585" s="336">
        <f>SUM(B582:B583)</f>
        <v>23</v>
      </c>
      <c r="C585" s="336">
        <f>SUM(C582:C583)</f>
        <v>43</v>
      </c>
      <c r="D585" s="336">
        <f>SUM(D582:D583)</f>
        <v>674</v>
      </c>
      <c r="E585" s="334">
        <f>SUM(B585:D585)</f>
        <v>740</v>
      </c>
      <c r="F585" s="336">
        <f>SUM(F582:F583)</f>
        <v>3743</v>
      </c>
      <c r="G585" s="336">
        <f>SUM(G582:G583)</f>
        <v>3051</v>
      </c>
      <c r="H585" s="336">
        <f>SUM(H582:H583)</f>
        <v>5080</v>
      </c>
      <c r="I585" s="334">
        <f>SUM(F585:H585)</f>
        <v>11874</v>
      </c>
      <c r="J585" s="336">
        <f>SUM(J582:J583)</f>
        <v>6350</v>
      </c>
      <c r="K585" s="336">
        <f>SUM(K582:K583)</f>
        <v>7459</v>
      </c>
      <c r="L585" s="336">
        <f>SUM(L582:L583)</f>
        <v>3712</v>
      </c>
      <c r="M585" s="334">
        <f>SUM(J585:L585)</f>
        <v>17521</v>
      </c>
      <c r="N585" s="336">
        <f>SUM(N582:N583)</f>
        <v>1398</v>
      </c>
      <c r="O585" s="336">
        <f>SUM(O582:O583)</f>
        <v>66</v>
      </c>
      <c r="P585" s="336">
        <f>SUM(P582:P583)</f>
        <v>82</v>
      </c>
      <c r="Q585" s="334">
        <f>SUM(N585:P585)</f>
        <v>1546</v>
      </c>
      <c r="R585" s="334">
        <f>+E585+I585+M585+Q585</f>
        <v>31681</v>
      </c>
    </row>
    <row r="586" spans="1:20" ht="15.75" customHeight="1" x14ac:dyDescent="0.3">
      <c r="A586" s="17" t="s">
        <v>39</v>
      </c>
      <c r="B586" s="1">
        <f>(B585/B10)/1.983</f>
        <v>0.37414799993493075</v>
      </c>
      <c r="C586" s="1">
        <f>(C585/C10)/1.983</f>
        <v>0.77443988185289248</v>
      </c>
      <c r="D586" s="1">
        <f>(D585/D10)/1.983</f>
        <v>10.964163128527971</v>
      </c>
      <c r="E586" s="59" t="s">
        <v>7</v>
      </c>
      <c r="F586" s="1">
        <f>(F585/F10)/1.983</f>
        <v>62.918137502101189</v>
      </c>
      <c r="G586" s="1">
        <f>(G585/G10)/1.983</f>
        <v>49.63154555658582</v>
      </c>
      <c r="H586" s="1">
        <f>(H585/H10)/1.983</f>
        <v>85.39250294167087</v>
      </c>
      <c r="I586" s="59" t="s">
        <v>7</v>
      </c>
      <c r="J586" s="1">
        <f>(J585/J10)/1.983</f>
        <v>103.29738259073089</v>
      </c>
      <c r="K586" s="1">
        <f>(K585/K10)/1.983</f>
        <v>121.33782310933255</v>
      </c>
      <c r="L586" s="1">
        <f>(L585/L10)/1.983</f>
        <v>62.397041519583119</v>
      </c>
      <c r="M586" s="59" t="s">
        <v>7</v>
      </c>
      <c r="N586" s="1">
        <f>(N585/N10)/1.983</f>
        <v>22.741691474305789</v>
      </c>
      <c r="O586" s="1">
        <f>(O585/O10)/1.983</f>
        <v>1.1094301563287947</v>
      </c>
      <c r="P586" s="1">
        <f>(P585/P10)/1.983</f>
        <v>1.3339189562897531</v>
      </c>
      <c r="Q586" s="59" t="s">
        <v>7</v>
      </c>
      <c r="R586" s="59" t="s">
        <v>7</v>
      </c>
    </row>
    <row r="587" spans="1:20" ht="15.75" customHeight="1" x14ac:dyDescent="0.3">
      <c r="A587" s="17" t="s">
        <v>508</v>
      </c>
      <c r="B587" s="1">
        <f>B585+B654</f>
        <v>15177</v>
      </c>
      <c r="C587" s="1">
        <f>C585+C654</f>
        <v>14763</v>
      </c>
      <c r="D587" s="1">
        <f>D585+D654</f>
        <v>21394</v>
      </c>
      <c r="E587" s="59">
        <f>SUM(B587:D587)</f>
        <v>51334</v>
      </c>
      <c r="F587" s="1">
        <f>F585+F654</f>
        <v>31815</v>
      </c>
      <c r="G587" s="1">
        <f>G585+G654</f>
        <v>30213</v>
      </c>
      <c r="H587" s="1">
        <f>H585+H654</f>
        <v>33985</v>
      </c>
      <c r="I587" s="59">
        <f>SUM(F587:H587)</f>
        <v>96013</v>
      </c>
      <c r="J587" s="1">
        <f>J585+J654</f>
        <v>36716</v>
      </c>
      <c r="K587" s="1">
        <f>K585+K654</f>
        <v>37339</v>
      </c>
      <c r="L587" s="1">
        <f>L585+L654</f>
        <v>22771</v>
      </c>
      <c r="M587" s="59">
        <f>SUM(J587:L587)</f>
        <v>96826</v>
      </c>
      <c r="N587" s="1">
        <f>N585+N654</f>
        <v>17853</v>
      </c>
      <c r="O587" s="1">
        <f>O585+O654</f>
        <v>1183</v>
      </c>
      <c r="P587" s="1">
        <f>P585+P654</f>
        <v>6999</v>
      </c>
      <c r="Q587" s="59">
        <f>SUM(N587:P587)</f>
        <v>26035</v>
      </c>
      <c r="R587" s="59">
        <f>+E587+I587+M587+Q587</f>
        <v>270208</v>
      </c>
    </row>
    <row r="588" spans="1:20" ht="16.5" customHeight="1" thickBot="1" x14ac:dyDescent="0.35">
      <c r="A588" s="24" t="s">
        <v>509</v>
      </c>
      <c r="B588" s="87">
        <f>(B587/B10)/1.983</f>
        <v>246.88887804401929</v>
      </c>
      <c r="C588" s="87">
        <f>(C587/C10)/1.983</f>
        <v>265.88502269288955</v>
      </c>
      <c r="D588" s="87">
        <f>(D587/D10)/1.983</f>
        <v>348.02270915686557</v>
      </c>
      <c r="E588" s="88" t="s">
        <v>7</v>
      </c>
      <c r="F588" s="87">
        <f>(F587/F10)/1.983</f>
        <v>534.79576399394853</v>
      </c>
      <c r="G588" s="87">
        <f>(G587/G10)/1.983</f>
        <v>491.48406617539405</v>
      </c>
      <c r="H588" s="87">
        <f>(H587/H10)/1.983</f>
        <v>571.2724827702134</v>
      </c>
      <c r="I588" s="88" t="s">
        <v>7</v>
      </c>
      <c r="J588" s="87">
        <f>(J587/J10)/1.983</f>
        <v>597.27034633090955</v>
      </c>
      <c r="K588" s="87">
        <f>(K587/K10)/1.983</f>
        <v>607.40487693784257</v>
      </c>
      <c r="L588" s="87">
        <f>(L587/L10)/1.983</f>
        <v>382.77021348125731</v>
      </c>
      <c r="M588" s="88" t="s">
        <v>7</v>
      </c>
      <c r="N588" s="87">
        <f>(N587/N10)/1.983</f>
        <v>290.42018447123127</v>
      </c>
      <c r="O588" s="87">
        <f>(O587/O10)/1.983</f>
        <v>19.885695074802484</v>
      </c>
      <c r="P588" s="87">
        <f>(P587/P10)/1.983</f>
        <v>113.85486311063393</v>
      </c>
      <c r="Q588" s="88" t="s">
        <v>7</v>
      </c>
      <c r="R588" s="88" t="s">
        <v>7</v>
      </c>
    </row>
    <row r="589" spans="1:20" ht="15.75" customHeight="1" x14ac:dyDescent="0.3">
      <c r="A589" s="28"/>
      <c r="B589" s="1"/>
      <c r="C589" s="1"/>
      <c r="D589" s="1"/>
      <c r="E589" s="1"/>
      <c r="F589" s="1"/>
      <c r="G589" s="1"/>
      <c r="H589" s="1"/>
      <c r="I589" s="1"/>
      <c r="J589" s="1"/>
      <c r="K589" s="1"/>
      <c r="L589" s="1"/>
      <c r="M589" s="1"/>
      <c r="N589" s="1"/>
      <c r="O589" s="1"/>
      <c r="P589" s="1"/>
      <c r="Q589" s="1"/>
      <c r="R589" s="28"/>
    </row>
    <row r="590" spans="1:20" ht="15.75" customHeight="1" thickBot="1" x14ac:dyDescent="0.35">
      <c r="A590" s="28"/>
      <c r="B590" s="1"/>
      <c r="C590" s="1"/>
      <c r="D590" s="1"/>
      <c r="E590" s="1"/>
      <c r="F590" s="1"/>
      <c r="G590" s="1"/>
      <c r="H590" s="1"/>
      <c r="I590" s="1"/>
      <c r="J590" s="1"/>
      <c r="K590" s="1"/>
      <c r="L590" s="1"/>
      <c r="M590" s="1"/>
      <c r="N590" s="1"/>
      <c r="O590" s="1"/>
      <c r="P590" s="1"/>
      <c r="Q590" s="1"/>
      <c r="R590" s="28"/>
    </row>
    <row r="591" spans="1:20" ht="16.5" customHeight="1" thickBot="1" x14ac:dyDescent="0.35">
      <c r="A591" s="343" t="s">
        <v>510</v>
      </c>
      <c r="B591" s="323" t="s">
        <v>36</v>
      </c>
      <c r="C591" s="324" t="s">
        <v>9</v>
      </c>
      <c r="D591" s="324" t="s">
        <v>10</v>
      </c>
      <c r="E591" s="325" t="s">
        <v>11</v>
      </c>
      <c r="F591" s="324" t="s">
        <v>12</v>
      </c>
      <c r="G591" s="324" t="s">
        <v>13</v>
      </c>
      <c r="H591" s="324" t="s">
        <v>14</v>
      </c>
      <c r="I591" s="34" t="s">
        <v>15</v>
      </c>
      <c r="J591" s="324" t="s">
        <v>16</v>
      </c>
      <c r="K591" s="324" t="s">
        <v>17</v>
      </c>
      <c r="L591" s="324" t="s">
        <v>18</v>
      </c>
      <c r="M591" s="34" t="s">
        <v>19</v>
      </c>
      <c r="N591" s="324" t="s">
        <v>20</v>
      </c>
      <c r="O591" s="324" t="s">
        <v>21</v>
      </c>
      <c r="P591" s="324" t="s">
        <v>22</v>
      </c>
      <c r="Q591" s="34" t="s">
        <v>23</v>
      </c>
      <c r="R591" s="326" t="s">
        <v>24</v>
      </c>
    </row>
    <row r="592" spans="1:20" ht="16.5" customHeight="1" thickBot="1" x14ac:dyDescent="0.35">
      <c r="A592" s="64"/>
      <c r="B592" s="81"/>
      <c r="C592" s="81"/>
      <c r="D592" s="81"/>
      <c r="E592" s="72"/>
      <c r="F592" s="81"/>
      <c r="G592" s="81"/>
      <c r="H592" s="81"/>
      <c r="I592" s="89"/>
      <c r="J592" s="81"/>
      <c r="K592" s="81"/>
      <c r="L592" s="81"/>
      <c r="M592" s="89"/>
      <c r="N592" s="81"/>
      <c r="O592" s="81"/>
      <c r="P592" s="81"/>
      <c r="Q592" s="89"/>
      <c r="R592" s="117"/>
    </row>
    <row r="593" spans="1:20" ht="15.75" customHeight="1" x14ac:dyDescent="0.3">
      <c r="A593" s="17" t="s">
        <v>45</v>
      </c>
      <c r="B593" s="1"/>
      <c r="C593" s="1"/>
      <c r="D593" s="1"/>
      <c r="E593" s="59" t="s">
        <v>7</v>
      </c>
      <c r="F593" s="1"/>
      <c r="G593" s="1"/>
      <c r="H593" s="1"/>
      <c r="I593" s="59" t="s">
        <v>7</v>
      </c>
      <c r="J593" s="1" t="s">
        <v>7</v>
      </c>
      <c r="K593" s="1" t="s">
        <v>7</v>
      </c>
      <c r="L593" s="1" t="s">
        <v>7</v>
      </c>
      <c r="M593" s="59" t="s">
        <v>7</v>
      </c>
      <c r="N593" s="1" t="s">
        <v>7</v>
      </c>
      <c r="O593" s="1" t="s">
        <v>7</v>
      </c>
      <c r="P593" s="1" t="s">
        <v>7</v>
      </c>
      <c r="Q593" s="59" t="s">
        <v>7</v>
      </c>
      <c r="R593" s="59" t="s">
        <v>7</v>
      </c>
    </row>
    <row r="594" spans="1:20" ht="15.75" customHeight="1" x14ac:dyDescent="0.3">
      <c r="A594" s="17" t="s">
        <v>46</v>
      </c>
      <c r="B594" s="1"/>
      <c r="C594" s="1"/>
      <c r="D594" s="1"/>
      <c r="E594" s="59" t="s">
        <v>7</v>
      </c>
      <c r="F594" s="1"/>
      <c r="G594" s="1"/>
      <c r="H594" s="1"/>
      <c r="I594" s="59" t="s">
        <v>7</v>
      </c>
      <c r="J594" s="1"/>
      <c r="K594" s="1"/>
      <c r="L594" s="1"/>
      <c r="M594" s="59" t="s">
        <v>7</v>
      </c>
      <c r="N594" s="1"/>
      <c r="O594" s="1"/>
      <c r="P594" s="1"/>
      <c r="Q594" s="59" t="s">
        <v>7</v>
      </c>
      <c r="R594" s="59" t="s">
        <v>7</v>
      </c>
    </row>
    <row r="595" spans="1:20" ht="15.75" customHeight="1" x14ac:dyDescent="0.3">
      <c r="A595" s="74" t="s">
        <v>511</v>
      </c>
      <c r="B595" s="1"/>
      <c r="C595" s="1">
        <v>211</v>
      </c>
      <c r="D595" s="1">
        <v>106</v>
      </c>
      <c r="E595" s="59">
        <f t="shared" ref="E595" si="229">SUM(B595:D595)</f>
        <v>317</v>
      </c>
      <c r="F595" s="1">
        <v>116</v>
      </c>
      <c r="G595" s="1"/>
      <c r="H595" s="1">
        <v>147</v>
      </c>
      <c r="I595" s="59">
        <f t="shared" ref="I595" si="230">SUM(F595:H595)</f>
        <v>263</v>
      </c>
      <c r="J595" s="1">
        <v>617</v>
      </c>
      <c r="K595" s="1">
        <v>638</v>
      </c>
      <c r="L595" s="1">
        <v>125</v>
      </c>
      <c r="M595" s="59">
        <f t="shared" ref="M595" si="231">SUM(J595:L595)</f>
        <v>1380</v>
      </c>
      <c r="N595" s="1">
        <v>43</v>
      </c>
      <c r="O595" s="1"/>
      <c r="P595" s="1"/>
      <c r="Q595" s="59">
        <f t="shared" ref="Q595:Q605" si="232">SUM(N595:P595)</f>
        <v>43</v>
      </c>
      <c r="R595" s="59">
        <f t="shared" ref="R595:R608" si="233">+E595+I595+M595+Q595</f>
        <v>2003</v>
      </c>
    </row>
    <row r="596" spans="1:20" ht="15.75" customHeight="1" x14ac:dyDescent="0.3">
      <c r="A596" s="74" t="s">
        <v>512</v>
      </c>
      <c r="B596" s="1"/>
      <c r="C596" s="1"/>
      <c r="D596" s="1"/>
      <c r="E596" s="59">
        <f>SUM(B596:D596)</f>
        <v>0</v>
      </c>
      <c r="F596" s="1"/>
      <c r="G596" s="1"/>
      <c r="H596" s="1"/>
      <c r="I596" s="59">
        <f>SUM(F596:H596)</f>
        <v>0</v>
      </c>
      <c r="J596" s="1"/>
      <c r="K596" s="1">
        <v>1000</v>
      </c>
      <c r="L596" s="1">
        <v>600</v>
      </c>
      <c r="M596" s="59">
        <f>SUM(J596:L596)</f>
        <v>1600</v>
      </c>
      <c r="N596" s="1"/>
      <c r="O596" s="1"/>
      <c r="P596" s="1"/>
      <c r="Q596" s="59">
        <f>SUM(N596:P596)</f>
        <v>0</v>
      </c>
      <c r="R596" s="59">
        <f>+E596+I596+M596+Q596</f>
        <v>1600</v>
      </c>
    </row>
    <row r="597" spans="1:20" ht="15.75" customHeight="1" x14ac:dyDescent="0.3">
      <c r="A597" s="74" t="s">
        <v>513</v>
      </c>
      <c r="B597" s="1"/>
      <c r="C597" s="1"/>
      <c r="D597" s="1"/>
      <c r="E597" s="59">
        <f t="shared" ref="E597" si="234">SUM(B597:D597)</f>
        <v>0</v>
      </c>
      <c r="F597" s="1">
        <v>750</v>
      </c>
      <c r="G597" s="1">
        <v>550</v>
      </c>
      <c r="H597" s="1">
        <v>1227</v>
      </c>
      <c r="I597" s="59">
        <f t="shared" ref="I597" si="235">SUM(F597:H597)</f>
        <v>2527</v>
      </c>
      <c r="J597" s="1">
        <v>2457</v>
      </c>
      <c r="K597" s="1">
        <v>2311</v>
      </c>
      <c r="L597" s="1">
        <v>105</v>
      </c>
      <c r="M597" s="59">
        <f t="shared" ref="M597" si="236">SUM(J597:L597)</f>
        <v>4873</v>
      </c>
      <c r="N597" s="1"/>
      <c r="O597" s="1"/>
      <c r="P597" s="1"/>
      <c r="Q597" s="59">
        <f t="shared" si="232"/>
        <v>0</v>
      </c>
      <c r="R597" s="59">
        <f t="shared" si="233"/>
        <v>7400</v>
      </c>
      <c r="T597" s="4" t="s">
        <v>514</v>
      </c>
    </row>
    <row r="598" spans="1:20" ht="15.75" customHeight="1" x14ac:dyDescent="0.3">
      <c r="A598" s="74" t="s">
        <v>515</v>
      </c>
      <c r="B598" s="1"/>
      <c r="C598" s="1"/>
      <c r="D598" s="1"/>
      <c r="E598" s="59">
        <f>SUM(B598:D598)</f>
        <v>0</v>
      </c>
      <c r="F598" s="1"/>
      <c r="G598" s="1"/>
      <c r="H598" s="1"/>
      <c r="I598" s="59">
        <f>SUM(F598:H598)</f>
        <v>0</v>
      </c>
      <c r="J598" s="1"/>
      <c r="K598" s="1"/>
      <c r="L598" s="1"/>
      <c r="M598" s="59">
        <f>SUM(J598:L598)</f>
        <v>0</v>
      </c>
      <c r="N598" s="1"/>
      <c r="O598" s="1"/>
      <c r="P598" s="1"/>
      <c r="Q598" s="59">
        <f>SUM(N598:P598)</f>
        <v>0</v>
      </c>
      <c r="R598" s="59">
        <f>+E598+I598+M598+Q598</f>
        <v>0</v>
      </c>
      <c r="T598" s="4" t="s">
        <v>516</v>
      </c>
    </row>
    <row r="599" spans="1:20" ht="15.75" customHeight="1" x14ac:dyDescent="0.3">
      <c r="A599" s="74" t="s">
        <v>517</v>
      </c>
      <c r="B599" s="1">
        <v>400</v>
      </c>
      <c r="C599" s="1">
        <v>400</v>
      </c>
      <c r="D599" s="1">
        <v>400</v>
      </c>
      <c r="E599" s="59">
        <f t="shared" ref="E599:E600" si="237">SUM(B599:D599)</f>
        <v>1200</v>
      </c>
      <c r="F599" s="1">
        <v>400</v>
      </c>
      <c r="G599" s="1">
        <v>400</v>
      </c>
      <c r="H599" s="1">
        <v>400</v>
      </c>
      <c r="I599" s="59">
        <f t="shared" ref="I599:I600" si="238">SUM(F599:H599)</f>
        <v>1200</v>
      </c>
      <c r="J599" s="1">
        <v>1056</v>
      </c>
      <c r="K599" s="1">
        <v>549</v>
      </c>
      <c r="L599" s="1"/>
      <c r="M599" s="59">
        <f t="shared" ref="M599:M600" si="239">SUM(J599:L599)</f>
        <v>1605</v>
      </c>
      <c r="N599" s="1"/>
      <c r="O599" s="1"/>
      <c r="P599" s="1"/>
      <c r="Q599" s="59">
        <f t="shared" si="232"/>
        <v>0</v>
      </c>
      <c r="R599" s="59">
        <f t="shared" si="233"/>
        <v>4005</v>
      </c>
      <c r="T599" s="4" t="s">
        <v>516</v>
      </c>
    </row>
    <row r="600" spans="1:20" ht="15.75" customHeight="1" x14ac:dyDescent="0.3">
      <c r="A600" s="74" t="s">
        <v>518</v>
      </c>
      <c r="B600" s="1"/>
      <c r="C600" s="1"/>
      <c r="D600" s="1"/>
      <c r="E600" s="59">
        <f t="shared" si="237"/>
        <v>0</v>
      </c>
      <c r="F600" s="1"/>
      <c r="G600" s="1"/>
      <c r="H600" s="1"/>
      <c r="I600" s="59">
        <f t="shared" si="238"/>
        <v>0</v>
      </c>
      <c r="J600" s="1"/>
      <c r="K600" s="1"/>
      <c r="L600" s="1"/>
      <c r="M600" s="59">
        <f t="shared" si="239"/>
        <v>0</v>
      </c>
      <c r="N600" s="1"/>
      <c r="O600" s="1"/>
      <c r="P600" s="1"/>
      <c r="Q600" s="59">
        <f t="shared" ref="Q600" si="240">SUM(N600:P600)</f>
        <v>0</v>
      </c>
      <c r="R600" s="59">
        <f t="shared" si="233"/>
        <v>0</v>
      </c>
    </row>
    <row r="601" spans="1:20" ht="15.75" customHeight="1" x14ac:dyDescent="0.3">
      <c r="A601" s="74" t="s">
        <v>983</v>
      </c>
      <c r="B601" s="1">
        <v>647</v>
      </c>
      <c r="C601" s="1">
        <v>753</v>
      </c>
      <c r="D601" s="1">
        <v>700</v>
      </c>
      <c r="E601" s="59">
        <f>SUM(B601:D601)</f>
        <v>2100</v>
      </c>
      <c r="F601" s="1">
        <v>700</v>
      </c>
      <c r="G601" s="1">
        <v>418</v>
      </c>
      <c r="H601" s="1">
        <v>282</v>
      </c>
      <c r="I601" s="59">
        <f>SUM(F601:H601)</f>
        <v>1400</v>
      </c>
      <c r="J601" s="1"/>
      <c r="K601" s="1"/>
      <c r="L601" s="1"/>
      <c r="M601" s="59">
        <f>SUM(J601:L601)</f>
        <v>0</v>
      </c>
      <c r="N601" s="1"/>
      <c r="O601" s="1"/>
      <c r="P601" s="1"/>
      <c r="Q601" s="59">
        <f>SUM(N601:P601)</f>
        <v>0</v>
      </c>
      <c r="R601" s="59">
        <f t="shared" si="233"/>
        <v>3500</v>
      </c>
    </row>
    <row r="602" spans="1:20" ht="15.75" customHeight="1" x14ac:dyDescent="0.3">
      <c r="A602" s="74" t="s">
        <v>519</v>
      </c>
      <c r="B602" s="1"/>
      <c r="C602" s="1"/>
      <c r="D602" s="1"/>
      <c r="E602" s="59">
        <f t="shared" ref="E602:E608" si="241">SUM(B602:D602)</f>
        <v>0</v>
      </c>
      <c r="F602" s="1"/>
      <c r="G602" s="1"/>
      <c r="H602" s="1"/>
      <c r="I602" s="59">
        <f t="shared" ref="I602:I608" si="242">SUM(F602:H602)</f>
        <v>0</v>
      </c>
      <c r="J602" s="1">
        <v>2800</v>
      </c>
      <c r="K602" s="1"/>
      <c r="L602" s="1"/>
      <c r="M602" s="59">
        <f t="shared" ref="M602:M608" si="243">SUM(J602:L602)</f>
        <v>2800</v>
      </c>
      <c r="N602" s="1"/>
      <c r="O602" s="1"/>
      <c r="P602" s="1"/>
      <c r="Q602" s="59">
        <f t="shared" si="232"/>
        <v>0</v>
      </c>
      <c r="R602" s="59">
        <f t="shared" si="233"/>
        <v>2800</v>
      </c>
      <c r="T602" s="4" t="s">
        <v>516</v>
      </c>
    </row>
    <row r="603" spans="1:20" ht="15.75" customHeight="1" x14ac:dyDescent="0.3">
      <c r="A603" s="74" t="s">
        <v>520</v>
      </c>
      <c r="B603" s="1"/>
      <c r="C603" s="1"/>
      <c r="D603" s="1">
        <v>300</v>
      </c>
      <c r="E603" s="59">
        <f t="shared" si="241"/>
        <v>300</v>
      </c>
      <c r="F603" s="1">
        <v>436</v>
      </c>
      <c r="G603" s="1">
        <v>400</v>
      </c>
      <c r="H603" s="1">
        <v>400</v>
      </c>
      <c r="I603" s="59">
        <f t="shared" si="242"/>
        <v>1236</v>
      </c>
      <c r="J603" s="1">
        <v>400</v>
      </c>
      <c r="K603" s="1"/>
      <c r="L603" s="1"/>
      <c r="M603" s="59">
        <f t="shared" si="243"/>
        <v>400</v>
      </c>
      <c r="N603" s="1"/>
      <c r="O603" s="1"/>
      <c r="P603" s="1"/>
      <c r="Q603" s="59">
        <f>SUM(N603:P603)</f>
        <v>0</v>
      </c>
      <c r="R603" s="59">
        <f>+E603+I603+M603+Q603</f>
        <v>1936</v>
      </c>
    </row>
    <row r="604" spans="1:20" ht="15.75" customHeight="1" x14ac:dyDescent="0.3">
      <c r="A604" s="74" t="s">
        <v>984</v>
      </c>
      <c r="B604" s="1"/>
      <c r="C604" s="1"/>
      <c r="D604" s="1"/>
      <c r="E604" s="59">
        <f t="shared" si="241"/>
        <v>0</v>
      </c>
      <c r="F604" s="1"/>
      <c r="G604" s="1"/>
      <c r="H604" s="1"/>
      <c r="I604" s="59">
        <f t="shared" si="242"/>
        <v>0</v>
      </c>
      <c r="J604" s="1"/>
      <c r="K604" s="1"/>
      <c r="L604" s="1">
        <v>54</v>
      </c>
      <c r="M604" s="59">
        <f t="shared" si="243"/>
        <v>54</v>
      </c>
      <c r="N604" s="1"/>
      <c r="O604" s="1"/>
      <c r="P604" s="1"/>
      <c r="Q604" s="59">
        <f>SUM(N604:P604)</f>
        <v>0</v>
      </c>
      <c r="R604" s="59">
        <f>+E604+I604+M604+Q604</f>
        <v>54</v>
      </c>
    </row>
    <row r="605" spans="1:20" ht="15.75" customHeight="1" x14ac:dyDescent="0.3">
      <c r="A605" s="74" t="s">
        <v>521</v>
      </c>
      <c r="B605" s="1"/>
      <c r="C605" s="1"/>
      <c r="D605" s="1"/>
      <c r="E605" s="59">
        <f t="shared" si="241"/>
        <v>0</v>
      </c>
      <c r="F605" s="1"/>
      <c r="G605" s="1"/>
      <c r="H605" s="1"/>
      <c r="I605" s="59">
        <f t="shared" si="242"/>
        <v>0</v>
      </c>
      <c r="J605" s="1"/>
      <c r="K605" s="1"/>
      <c r="L605" s="1"/>
      <c r="M605" s="59">
        <f t="shared" si="243"/>
        <v>0</v>
      </c>
      <c r="N605" s="1">
        <v>346</v>
      </c>
      <c r="O605" s="1"/>
      <c r="P605" s="1"/>
      <c r="Q605" s="59">
        <f t="shared" si="232"/>
        <v>346</v>
      </c>
      <c r="R605" s="59">
        <f t="shared" si="233"/>
        <v>346</v>
      </c>
      <c r="T605" s="4" t="s">
        <v>516</v>
      </c>
    </row>
    <row r="606" spans="1:20" ht="15.75" customHeight="1" x14ac:dyDescent="0.3">
      <c r="A606" s="74" t="s">
        <v>522</v>
      </c>
      <c r="B606" s="1">
        <v>38</v>
      </c>
      <c r="C606" s="1">
        <v>42</v>
      </c>
      <c r="D606" s="1">
        <v>675</v>
      </c>
      <c r="E606" s="59">
        <f t="shared" si="241"/>
        <v>755</v>
      </c>
      <c r="F606" s="1">
        <v>650</v>
      </c>
      <c r="G606" s="1">
        <v>850</v>
      </c>
      <c r="H606" s="1">
        <v>582</v>
      </c>
      <c r="I606" s="59">
        <f t="shared" si="242"/>
        <v>2082</v>
      </c>
      <c r="J606" s="1"/>
      <c r="K606" s="1"/>
      <c r="L606" s="1"/>
      <c r="M606" s="59">
        <f t="shared" si="243"/>
        <v>0</v>
      </c>
      <c r="N606" s="1"/>
      <c r="O606" s="1"/>
      <c r="P606" s="1"/>
      <c r="Q606" s="59">
        <f t="shared" ref="Q606" si="244">SUM(N606:P606)</f>
        <v>0</v>
      </c>
      <c r="R606" s="59">
        <f t="shared" si="233"/>
        <v>2837</v>
      </c>
    </row>
    <row r="607" spans="1:20" ht="15.75" customHeight="1" x14ac:dyDescent="0.3">
      <c r="A607" s="74" t="s">
        <v>523</v>
      </c>
      <c r="B607" s="1"/>
      <c r="C607" s="1"/>
      <c r="D607" s="1"/>
      <c r="E607" s="59">
        <f t="shared" si="241"/>
        <v>0</v>
      </c>
      <c r="F607" s="1">
        <v>962</v>
      </c>
      <c r="G607" s="1">
        <v>118</v>
      </c>
      <c r="H607" s="1">
        <v>420</v>
      </c>
      <c r="I607" s="59">
        <f t="shared" si="242"/>
        <v>1500</v>
      </c>
      <c r="J607" s="1"/>
      <c r="K607" s="1"/>
      <c r="L607" s="1">
        <v>500</v>
      </c>
      <c r="M607" s="59">
        <f t="shared" si="243"/>
        <v>500</v>
      </c>
      <c r="N607" s="1"/>
      <c r="O607" s="1"/>
      <c r="P607" s="1"/>
      <c r="Q607" s="59">
        <f t="shared" ref="Q607" si="245">SUM(N607:P607)</f>
        <v>0</v>
      </c>
      <c r="R607" s="59">
        <f t="shared" si="233"/>
        <v>2000</v>
      </c>
    </row>
    <row r="608" spans="1:20" ht="15.75" customHeight="1" x14ac:dyDescent="0.3">
      <c r="A608" s="74" t="s">
        <v>985</v>
      </c>
      <c r="B608" s="1">
        <v>46</v>
      </c>
      <c r="C608" s="1">
        <v>38</v>
      </c>
      <c r="D608" s="1">
        <v>210</v>
      </c>
      <c r="E608" s="59">
        <f t="shared" si="241"/>
        <v>294</v>
      </c>
      <c r="F608" s="1">
        <v>186</v>
      </c>
      <c r="G608" s="1">
        <v>288</v>
      </c>
      <c r="H608" s="1">
        <v>483</v>
      </c>
      <c r="I608" s="59">
        <f t="shared" si="242"/>
        <v>957</v>
      </c>
      <c r="J608" s="1">
        <v>26</v>
      </c>
      <c r="K608" s="1">
        <v>2</v>
      </c>
      <c r="L608" s="1"/>
      <c r="M608" s="59">
        <f t="shared" si="243"/>
        <v>28</v>
      </c>
      <c r="N608" s="1"/>
      <c r="O608" s="1"/>
      <c r="P608" s="1"/>
      <c r="Q608" s="59">
        <f t="shared" ref="Q608" si="246">SUM(N608:P608)</f>
        <v>0</v>
      </c>
      <c r="R608" s="59">
        <f t="shared" si="233"/>
        <v>1279</v>
      </c>
    </row>
    <row r="609" spans="1:20" ht="15.75" customHeight="1" x14ac:dyDescent="0.3">
      <c r="A609" s="74" t="s">
        <v>524</v>
      </c>
      <c r="B609" s="1">
        <v>1217</v>
      </c>
      <c r="C609" s="1">
        <v>3262</v>
      </c>
      <c r="D609" s="1">
        <v>3495</v>
      </c>
      <c r="E609" s="59">
        <f>SUM(B609:D609)</f>
        <v>7974</v>
      </c>
      <c r="F609" s="1">
        <v>3161</v>
      </c>
      <c r="G609" s="1">
        <v>3459</v>
      </c>
      <c r="H609" s="1">
        <v>3188</v>
      </c>
      <c r="I609" s="59">
        <f>SUM(F609:H609)</f>
        <v>9808</v>
      </c>
      <c r="J609" s="1"/>
      <c r="K609" s="1">
        <v>2918</v>
      </c>
      <c r="L609" s="1"/>
      <c r="M609" s="59">
        <f>SUM(J609:L609)</f>
        <v>2918</v>
      </c>
      <c r="N609" s="1"/>
      <c r="O609" s="1"/>
      <c r="P609" s="1"/>
      <c r="Q609" s="59">
        <f>SUM(N609:P609)</f>
        <v>0</v>
      </c>
      <c r="R609" s="59">
        <f>+E609+I609+M609+Q609</f>
        <v>20700</v>
      </c>
      <c r="T609" s="4" t="s">
        <v>514</v>
      </c>
    </row>
    <row r="610" spans="1:20" ht="15.75" customHeight="1" x14ac:dyDescent="0.3">
      <c r="A610" s="17" t="s">
        <v>47</v>
      </c>
      <c r="B610" s="1"/>
      <c r="C610" s="1"/>
      <c r="D610" s="1"/>
      <c r="E610" s="59" t="s">
        <v>7</v>
      </c>
      <c r="F610" s="1"/>
      <c r="G610" s="1"/>
      <c r="H610" s="1"/>
      <c r="I610" s="59" t="s">
        <v>7</v>
      </c>
      <c r="J610" s="1"/>
      <c r="K610" s="1"/>
      <c r="L610" s="1"/>
      <c r="M610" s="59" t="s">
        <v>7</v>
      </c>
      <c r="N610" s="1"/>
      <c r="O610" s="1"/>
      <c r="P610" s="1"/>
      <c r="Q610" s="59" t="s">
        <v>7</v>
      </c>
      <c r="R610" s="59" t="s">
        <v>7</v>
      </c>
    </row>
    <row r="611" spans="1:20" ht="15.75" customHeight="1" x14ac:dyDescent="0.3">
      <c r="A611" s="74" t="s">
        <v>521</v>
      </c>
      <c r="B611" s="1"/>
      <c r="C611" s="1"/>
      <c r="D611" s="1"/>
      <c r="E611" s="59">
        <f>SUM(B611:D611)</f>
        <v>0</v>
      </c>
      <c r="F611" s="1"/>
      <c r="G611" s="1"/>
      <c r="H611" s="1"/>
      <c r="I611" s="59">
        <f>SUM(F611:H611)</f>
        <v>0</v>
      </c>
      <c r="J611" s="1"/>
      <c r="K611" s="1"/>
      <c r="L611" s="1"/>
      <c r="M611" s="59">
        <f>SUM(J611:L611)</f>
        <v>0</v>
      </c>
      <c r="N611" s="1"/>
      <c r="O611" s="1"/>
      <c r="P611" s="1"/>
      <c r="Q611" s="59">
        <f>SUM(N611:P611)</f>
        <v>0</v>
      </c>
      <c r="R611" s="59">
        <f>+E611+I611+M611+Q611</f>
        <v>0</v>
      </c>
      <c r="T611" s="4" t="s">
        <v>516</v>
      </c>
    </row>
    <row r="612" spans="1:20" ht="15.75" customHeight="1" x14ac:dyDescent="0.3">
      <c r="A612" s="17" t="s">
        <v>49</v>
      </c>
      <c r="B612" s="1"/>
      <c r="C612" s="1"/>
      <c r="D612" s="1"/>
      <c r="E612" s="59" t="s">
        <v>7</v>
      </c>
      <c r="F612" s="1"/>
      <c r="G612" s="1"/>
      <c r="H612" s="1"/>
      <c r="I612" s="59" t="s">
        <v>7</v>
      </c>
      <c r="J612" s="1"/>
      <c r="K612" s="1"/>
      <c r="L612" s="1"/>
      <c r="M612" s="59" t="s">
        <v>7</v>
      </c>
      <c r="N612" s="1"/>
      <c r="O612" s="1"/>
      <c r="P612" s="1"/>
      <c r="Q612" s="59" t="s">
        <v>7</v>
      </c>
      <c r="R612" s="59" t="s">
        <v>7</v>
      </c>
    </row>
    <row r="613" spans="1:20" ht="15.75" customHeight="1" x14ac:dyDescent="0.3">
      <c r="A613" s="74" t="s">
        <v>525</v>
      </c>
      <c r="B613" s="1"/>
      <c r="C613" s="1"/>
      <c r="D613" s="1"/>
      <c r="E613" s="59">
        <f>SUM(B613:D613)</f>
        <v>0</v>
      </c>
      <c r="F613" s="1"/>
      <c r="G613" s="1"/>
      <c r="H613" s="1"/>
      <c r="I613" s="59">
        <f>SUM(F613:H613)</f>
        <v>0</v>
      </c>
      <c r="J613" s="1"/>
      <c r="K613" s="1">
        <v>242</v>
      </c>
      <c r="L613" s="1"/>
      <c r="M613" s="59">
        <f>SUM(J613:L613)</f>
        <v>242</v>
      </c>
      <c r="N613" s="1">
        <v>257</v>
      </c>
      <c r="O613" s="1"/>
      <c r="P613" s="1"/>
      <c r="Q613" s="59">
        <f>SUM(N613:P613)</f>
        <v>257</v>
      </c>
      <c r="R613" s="59">
        <f>+E613+I613+M613+Q613</f>
        <v>499</v>
      </c>
      <c r="S613" s="77" t="s">
        <v>90</v>
      </c>
      <c r="T613" s="4" t="s">
        <v>516</v>
      </c>
    </row>
    <row r="614" spans="1:20" ht="15.75" customHeight="1" thickBot="1" x14ac:dyDescent="0.35">
      <c r="A614" s="17" t="s">
        <v>51</v>
      </c>
      <c r="B614" s="1"/>
      <c r="C614" s="1"/>
      <c r="D614" s="1"/>
      <c r="E614" s="59" t="s">
        <v>7</v>
      </c>
      <c r="F614" s="1"/>
      <c r="G614" s="1"/>
      <c r="H614" s="1"/>
      <c r="I614" s="59" t="s">
        <v>7</v>
      </c>
      <c r="J614" s="1"/>
      <c r="K614" s="1"/>
      <c r="L614" s="1"/>
      <c r="M614" s="59" t="s">
        <v>7</v>
      </c>
      <c r="N614" s="1"/>
      <c r="O614" s="1"/>
      <c r="P614" s="1"/>
      <c r="Q614" s="59" t="s">
        <v>7</v>
      </c>
      <c r="R614" s="59" t="s">
        <v>7</v>
      </c>
    </row>
    <row r="615" spans="1:20" ht="16.5" customHeight="1" thickBot="1" x14ac:dyDescent="0.35">
      <c r="A615" s="126" t="s">
        <v>52</v>
      </c>
      <c r="B615" s="100">
        <f>SUM(B593:B614)</f>
        <v>2348</v>
      </c>
      <c r="C615" s="101">
        <f>SUM(C593:C614)</f>
        <v>4706</v>
      </c>
      <c r="D615" s="101">
        <f>SUM(D593:D614)</f>
        <v>5886</v>
      </c>
      <c r="E615" s="64">
        <f>SUM(B615:D615)</f>
        <v>12940</v>
      </c>
      <c r="F615" s="101">
        <f>SUM(F593:F614)</f>
        <v>7361</v>
      </c>
      <c r="G615" s="101">
        <f>SUM(G593:G614)</f>
        <v>6483</v>
      </c>
      <c r="H615" s="101">
        <f>SUM(H593:H614)</f>
        <v>7129</v>
      </c>
      <c r="I615" s="64">
        <f>SUM(F615:H615)</f>
        <v>20973</v>
      </c>
      <c r="J615" s="101">
        <f>SUM(J593:J614)</f>
        <v>7356</v>
      </c>
      <c r="K615" s="101">
        <f>SUM(K593:K614)</f>
        <v>7660</v>
      </c>
      <c r="L615" s="101">
        <f>SUM(L593:L614)</f>
        <v>1384</v>
      </c>
      <c r="M615" s="64">
        <f>SUM(J615:L615)</f>
        <v>16400</v>
      </c>
      <c r="N615" s="101">
        <f>SUM(N593:N614)</f>
        <v>646</v>
      </c>
      <c r="O615" s="101">
        <f>SUM(O593:O614)</f>
        <v>0</v>
      </c>
      <c r="P615" s="101">
        <f>SUM(P593:P614)</f>
        <v>0</v>
      </c>
      <c r="Q615" s="64">
        <f>SUM(N615:P615)</f>
        <v>646</v>
      </c>
      <c r="R615" s="64">
        <f>+E615+I615+M615+Q615</f>
        <v>50959</v>
      </c>
    </row>
    <row r="616" spans="1:20" ht="15.75" customHeight="1" x14ac:dyDescent="0.3">
      <c r="A616" s="17" t="s">
        <v>53</v>
      </c>
      <c r="B616" s="1"/>
      <c r="C616" s="1"/>
      <c r="D616" s="1"/>
      <c r="E616" s="59" t="s">
        <v>7</v>
      </c>
      <c r="F616" s="1"/>
      <c r="G616" s="1"/>
      <c r="H616" s="1"/>
      <c r="I616" s="59" t="s">
        <v>7</v>
      </c>
      <c r="J616" s="1"/>
      <c r="K616" s="1"/>
      <c r="L616" s="1"/>
      <c r="M616" s="59" t="s">
        <v>7</v>
      </c>
      <c r="N616" s="1"/>
      <c r="O616" s="1"/>
      <c r="P616" s="1"/>
      <c r="Q616" s="59" t="s">
        <v>7</v>
      </c>
      <c r="R616" s="59" t="s">
        <v>7</v>
      </c>
    </row>
    <row r="617" spans="1:20" ht="15.75" customHeight="1" x14ac:dyDescent="0.3">
      <c r="A617" s="17" t="s">
        <v>55</v>
      </c>
      <c r="B617" s="1"/>
      <c r="C617" s="1"/>
      <c r="D617" s="1"/>
      <c r="E617" s="59" t="s">
        <v>7</v>
      </c>
      <c r="F617" s="1"/>
      <c r="G617" s="1"/>
      <c r="H617" s="1"/>
      <c r="I617" s="59" t="s">
        <v>7</v>
      </c>
      <c r="J617" s="1"/>
      <c r="K617" s="1"/>
      <c r="L617" s="1"/>
      <c r="M617" s="59" t="s">
        <v>7</v>
      </c>
      <c r="N617" s="1"/>
      <c r="O617" s="1"/>
      <c r="P617" s="1"/>
      <c r="Q617" s="59" t="s">
        <v>7</v>
      </c>
      <c r="R617" s="59" t="s">
        <v>7</v>
      </c>
    </row>
    <row r="618" spans="1:20" ht="15.75" customHeight="1" x14ac:dyDescent="0.3">
      <c r="A618" s="74" t="s">
        <v>526</v>
      </c>
      <c r="B618" s="1"/>
      <c r="C618" s="1"/>
      <c r="D618" s="1"/>
      <c r="E618" s="59">
        <f>SUM(B618:D618)</f>
        <v>0</v>
      </c>
      <c r="F618" s="1"/>
      <c r="G618" s="1"/>
      <c r="H618" s="1"/>
      <c r="I618" s="59">
        <f>SUM(F618:H618)</f>
        <v>0</v>
      </c>
      <c r="J618" s="1"/>
      <c r="K618" s="1"/>
      <c r="L618" s="1"/>
      <c r="M618" s="59">
        <f>SUM(J618:L618)</f>
        <v>0</v>
      </c>
      <c r="N618" s="1"/>
      <c r="O618" s="1"/>
      <c r="P618" s="1"/>
      <c r="Q618" s="59">
        <f>SUM(N618:P618)</f>
        <v>0</v>
      </c>
      <c r="R618" s="59">
        <f>+E618+I618+M618+Q618</f>
        <v>0</v>
      </c>
    </row>
    <row r="619" spans="1:20" ht="15.75" customHeight="1" x14ac:dyDescent="0.3">
      <c r="A619" s="74" t="s">
        <v>527</v>
      </c>
      <c r="B619" s="1"/>
      <c r="C619" s="1"/>
      <c r="D619" s="1"/>
      <c r="E619" s="59">
        <f>SUM(B619:D619)</f>
        <v>0</v>
      </c>
      <c r="F619" s="1"/>
      <c r="G619" s="1"/>
      <c r="H619" s="1"/>
      <c r="I619" s="59">
        <f>SUM(F619:H619)</f>
        <v>0</v>
      </c>
      <c r="J619" s="1"/>
      <c r="K619" s="1"/>
      <c r="L619" s="1"/>
      <c r="M619" s="59">
        <f>SUM(J619:L619)</f>
        <v>0</v>
      </c>
      <c r="N619" s="1"/>
      <c r="O619" s="1"/>
      <c r="P619" s="1"/>
      <c r="Q619" s="59">
        <f>SUM(N619:P619)</f>
        <v>0</v>
      </c>
      <c r="R619" s="59">
        <f>+E619+I619+M619+Q619</f>
        <v>0</v>
      </c>
    </row>
    <row r="620" spans="1:20" ht="15.75" customHeight="1" thickBot="1" x14ac:dyDescent="0.35">
      <c r="A620" s="17" t="s">
        <v>56</v>
      </c>
      <c r="B620" s="1"/>
      <c r="C620" s="1"/>
      <c r="D620" s="1"/>
      <c r="E620" s="59" t="s">
        <v>7</v>
      </c>
      <c r="F620" s="1"/>
      <c r="G620" s="1"/>
      <c r="H620" s="1"/>
      <c r="I620" s="59" t="s">
        <v>7</v>
      </c>
      <c r="J620" s="1"/>
      <c r="K620" s="1"/>
      <c r="L620" s="1"/>
      <c r="M620" s="59" t="s">
        <v>7</v>
      </c>
      <c r="N620" s="1"/>
      <c r="O620" s="1"/>
      <c r="P620" s="1"/>
      <c r="Q620" s="59" t="s">
        <v>7</v>
      </c>
      <c r="R620" s="59" t="s">
        <v>7</v>
      </c>
    </row>
    <row r="621" spans="1:20" ht="16.5" customHeight="1" thickBot="1" x14ac:dyDescent="0.35">
      <c r="A621" s="62" t="s">
        <v>57</v>
      </c>
      <c r="B621" s="100">
        <f>SUM(B616:B620)</f>
        <v>0</v>
      </c>
      <c r="C621" s="101">
        <f>SUM(C616:C620)</f>
        <v>0</v>
      </c>
      <c r="D621" s="101">
        <f>SUM(D616:D620)</f>
        <v>0</v>
      </c>
      <c r="E621" s="64">
        <f>SUM(B621:D621)</f>
        <v>0</v>
      </c>
      <c r="F621" s="101">
        <f>SUM(F616:F620)</f>
        <v>0</v>
      </c>
      <c r="G621" s="101">
        <f>SUM(G616:G620)</f>
        <v>0</v>
      </c>
      <c r="H621" s="101">
        <f>SUM(H616:H620)</f>
        <v>0</v>
      </c>
      <c r="I621" s="64">
        <f>SUM(F621:H621)</f>
        <v>0</v>
      </c>
      <c r="J621" s="101">
        <f>SUM(J616:J620)</f>
        <v>0</v>
      </c>
      <c r="K621" s="101">
        <f>SUM(K616:K620)</f>
        <v>0</v>
      </c>
      <c r="L621" s="101">
        <f>SUM(L616:L620)</f>
        <v>0</v>
      </c>
      <c r="M621" s="64">
        <f>SUM(J621:L621)</f>
        <v>0</v>
      </c>
      <c r="N621" s="101">
        <f>SUM(N616:N620)</f>
        <v>0</v>
      </c>
      <c r="O621" s="101">
        <f>SUM(O616:O620)</f>
        <v>0</v>
      </c>
      <c r="P621" s="101">
        <f>SUM(P616:P620)</f>
        <v>0</v>
      </c>
      <c r="Q621" s="64">
        <f>SUM(N621:P621)</f>
        <v>0</v>
      </c>
      <c r="R621" s="64">
        <f>+E621+I621+M621+Q621</f>
        <v>0</v>
      </c>
    </row>
    <row r="622" spans="1:20" ht="15.75" customHeight="1" x14ac:dyDescent="0.3">
      <c r="A622" s="17" t="s">
        <v>58</v>
      </c>
      <c r="B622" s="1"/>
      <c r="C622" s="1"/>
      <c r="D622" s="1"/>
      <c r="E622" s="59" t="s">
        <v>7</v>
      </c>
      <c r="F622" s="1"/>
      <c r="G622" s="1"/>
      <c r="H622" s="1"/>
      <c r="I622" s="59" t="s">
        <v>7</v>
      </c>
      <c r="J622" s="1"/>
      <c r="K622" s="1"/>
      <c r="L622" s="1"/>
      <c r="M622" s="59" t="s">
        <v>7</v>
      </c>
      <c r="N622" s="1"/>
      <c r="O622" s="1"/>
      <c r="P622" s="1"/>
      <c r="Q622" s="59" t="s">
        <v>7</v>
      </c>
      <c r="R622" s="59" t="s">
        <v>7</v>
      </c>
    </row>
    <row r="623" spans="1:20" ht="15.75" customHeight="1" x14ac:dyDescent="0.3">
      <c r="A623" s="17" t="s">
        <v>59</v>
      </c>
      <c r="B623" s="1"/>
      <c r="C623" s="1"/>
      <c r="D623" s="1"/>
      <c r="E623" s="59" t="s">
        <v>7</v>
      </c>
      <c r="F623" s="1"/>
      <c r="G623" s="1"/>
      <c r="H623" s="1"/>
      <c r="I623" s="59" t="s">
        <v>7</v>
      </c>
      <c r="J623" s="1"/>
      <c r="K623" s="1"/>
      <c r="L623" s="1"/>
      <c r="M623" s="59" t="s">
        <v>7</v>
      </c>
      <c r="N623" s="1"/>
      <c r="O623" s="1"/>
      <c r="P623" s="1"/>
      <c r="Q623" s="59" t="s">
        <v>7</v>
      </c>
      <c r="R623" s="59" t="s">
        <v>7</v>
      </c>
    </row>
    <row r="624" spans="1:20" ht="15.75" customHeight="1" x14ac:dyDescent="0.3">
      <c r="A624" s="17" t="s">
        <v>60</v>
      </c>
      <c r="B624" s="1"/>
      <c r="C624" s="1"/>
      <c r="D624" s="1"/>
      <c r="E624" s="59" t="s">
        <v>7</v>
      </c>
      <c r="F624" s="1"/>
      <c r="G624" s="1"/>
      <c r="H624" s="1"/>
      <c r="I624" s="59" t="s">
        <v>7</v>
      </c>
      <c r="J624" s="1"/>
      <c r="K624" s="1"/>
      <c r="L624" s="1"/>
      <c r="M624" s="59" t="s">
        <v>7</v>
      </c>
      <c r="N624" s="1"/>
      <c r="O624" s="1"/>
      <c r="P624" s="1"/>
      <c r="Q624" s="59" t="s">
        <v>7</v>
      </c>
      <c r="R624" s="59" t="s">
        <v>7</v>
      </c>
    </row>
    <row r="625" spans="1:20" ht="15.75" customHeight="1" x14ac:dyDescent="0.3">
      <c r="A625" s="74" t="s">
        <v>528</v>
      </c>
      <c r="B625" s="1"/>
      <c r="C625" s="1"/>
      <c r="D625" s="1"/>
      <c r="E625" s="59">
        <f t="shared" ref="E625:E626" si="247">SUM(B625:D625)</f>
        <v>0</v>
      </c>
      <c r="F625" s="1"/>
      <c r="G625" s="1"/>
      <c r="H625" s="1"/>
      <c r="I625" s="59">
        <f t="shared" ref="I625:I626" si="248">SUM(F625:H625)</f>
        <v>0</v>
      </c>
      <c r="J625" s="1"/>
      <c r="K625" s="1"/>
      <c r="L625" s="1"/>
      <c r="M625" s="59">
        <f t="shared" ref="M625:M626" si="249">SUM(J625:L625)</f>
        <v>0</v>
      </c>
      <c r="N625" s="1"/>
      <c r="O625" s="1"/>
      <c r="P625" s="1"/>
      <c r="Q625" s="59">
        <f>SUM(N625:P625)</f>
        <v>0</v>
      </c>
      <c r="R625" s="59">
        <f>+E625+I625+M625+Q625</f>
        <v>0</v>
      </c>
      <c r="T625" s="4" t="s">
        <v>516</v>
      </c>
    </row>
    <row r="626" spans="1:20" ht="15.75" customHeight="1" x14ac:dyDescent="0.3">
      <c r="A626" s="74" t="s">
        <v>529</v>
      </c>
      <c r="B626" s="1"/>
      <c r="C626" s="1"/>
      <c r="D626" s="1"/>
      <c r="E626" s="59">
        <f t="shared" si="247"/>
        <v>0</v>
      </c>
      <c r="F626" s="1"/>
      <c r="G626" s="1"/>
      <c r="H626" s="1"/>
      <c r="I626" s="59">
        <f t="shared" si="248"/>
        <v>0</v>
      </c>
      <c r="J626" s="1"/>
      <c r="K626" s="1"/>
      <c r="L626" s="1"/>
      <c r="M626" s="59">
        <f t="shared" si="249"/>
        <v>0</v>
      </c>
      <c r="N626" s="1"/>
      <c r="O626" s="1"/>
      <c r="P626" s="1"/>
      <c r="Q626" s="59">
        <f t="shared" ref="Q626" si="250">SUM(N626:P626)</f>
        <v>0</v>
      </c>
      <c r="R626" s="59">
        <f t="shared" ref="R626:R628" si="251">+E626+I626+M626+Q626</f>
        <v>0</v>
      </c>
    </row>
    <row r="627" spans="1:20" ht="15.75" customHeight="1" x14ac:dyDescent="0.3">
      <c r="A627" s="74" t="s">
        <v>531</v>
      </c>
      <c r="B627" s="1"/>
      <c r="C627" s="1"/>
      <c r="D627" s="1"/>
      <c r="E627" s="59">
        <f>SUM(B627:D627)</f>
        <v>0</v>
      </c>
      <c r="F627" s="1"/>
      <c r="G627" s="1"/>
      <c r="H627" s="1"/>
      <c r="I627" s="59">
        <f>SUM(F627:H627)</f>
        <v>0</v>
      </c>
      <c r="J627" s="1"/>
      <c r="K627" s="1"/>
      <c r="L627" s="1"/>
      <c r="M627" s="59">
        <f>SUM(J627:L627)</f>
        <v>0</v>
      </c>
      <c r="N627" s="1"/>
      <c r="O627" s="1"/>
      <c r="P627" s="1"/>
      <c r="Q627" s="59">
        <f>SUM(N627:P627)</f>
        <v>0</v>
      </c>
      <c r="R627" s="59">
        <f t="shared" si="251"/>
        <v>0</v>
      </c>
    </row>
    <row r="628" spans="1:20" ht="15.75" customHeight="1" x14ac:dyDescent="0.3">
      <c r="A628" s="74" t="s">
        <v>533</v>
      </c>
      <c r="B628" s="1"/>
      <c r="C628" s="1"/>
      <c r="D628" s="1"/>
      <c r="E628" s="59">
        <f>SUM(B628:D628)</f>
        <v>0</v>
      </c>
      <c r="F628" s="1"/>
      <c r="G628" s="1"/>
      <c r="H628" s="1"/>
      <c r="I628" s="59">
        <f>SUM(F628:H628)</f>
        <v>0</v>
      </c>
      <c r="J628" s="1"/>
      <c r="K628" s="1"/>
      <c r="L628" s="1"/>
      <c r="M628" s="59">
        <f>SUM(J628:L628)</f>
        <v>0</v>
      </c>
      <c r="N628" s="1"/>
      <c r="O628" s="1"/>
      <c r="P628" s="1"/>
      <c r="Q628" s="59">
        <f>SUM(N628:P628)</f>
        <v>0</v>
      </c>
      <c r="R628" s="59">
        <f t="shared" si="251"/>
        <v>0</v>
      </c>
    </row>
    <row r="629" spans="1:20" ht="15.75" customHeight="1" thickBot="1" x14ac:dyDescent="0.35">
      <c r="A629" s="74" t="s">
        <v>534</v>
      </c>
      <c r="B629" s="1"/>
      <c r="C629" s="1"/>
      <c r="D629" s="1"/>
      <c r="E629" s="59">
        <f>SUM(B629:D629)</f>
        <v>0</v>
      </c>
      <c r="F629" s="1"/>
      <c r="G629" s="1"/>
      <c r="H629" s="1"/>
      <c r="I629" s="59">
        <f>SUM(F629:H629)</f>
        <v>0</v>
      </c>
      <c r="J629" s="1"/>
      <c r="K629" s="1"/>
      <c r="L629" s="1"/>
      <c r="M629" s="59">
        <f>SUM(J629:L629)</f>
        <v>0</v>
      </c>
      <c r="N629" s="1"/>
      <c r="O629" s="1"/>
      <c r="P629" s="1"/>
      <c r="Q629" s="59">
        <f>SUM(N629:P629)</f>
        <v>0</v>
      </c>
      <c r="R629" s="59">
        <f>+E629+I629+M629+Q629</f>
        <v>0</v>
      </c>
      <c r="T629" s="4" t="s">
        <v>516</v>
      </c>
    </row>
    <row r="630" spans="1:20" ht="16.5" customHeight="1" thickBot="1" x14ac:dyDescent="0.35">
      <c r="A630" s="137" t="s">
        <v>61</v>
      </c>
      <c r="B630" s="100">
        <f>SUM(B622:B629)</f>
        <v>0</v>
      </c>
      <c r="C630" s="101">
        <f>SUM(C622:C629)</f>
        <v>0</v>
      </c>
      <c r="D630" s="101">
        <f>SUM(D622:D629)</f>
        <v>0</v>
      </c>
      <c r="E630" s="64">
        <f>SUM(B630:D630)</f>
        <v>0</v>
      </c>
      <c r="F630" s="101">
        <f>SUM(F622:F629)</f>
        <v>0</v>
      </c>
      <c r="G630" s="101">
        <f>SUM(G622:G629)</f>
        <v>0</v>
      </c>
      <c r="H630" s="101">
        <f>SUM(H622:H629)</f>
        <v>0</v>
      </c>
      <c r="I630" s="64">
        <f>SUM(F630:H630)</f>
        <v>0</v>
      </c>
      <c r="J630" s="101">
        <f>SUM(J622:J629)</f>
        <v>0</v>
      </c>
      <c r="K630" s="101">
        <f>SUM(K622:K629)</f>
        <v>0</v>
      </c>
      <c r="L630" s="101">
        <f>SUM(L622:L629)</f>
        <v>0</v>
      </c>
      <c r="M630" s="64">
        <f>SUM(J630:L630)</f>
        <v>0</v>
      </c>
      <c r="N630" s="101">
        <f>SUM(N622:N629)</f>
        <v>0</v>
      </c>
      <c r="O630" s="101">
        <f>SUM(O622:O629)</f>
        <v>0</v>
      </c>
      <c r="P630" s="101">
        <f>SUM(P622:P629)</f>
        <v>0</v>
      </c>
      <c r="Q630" s="64">
        <f>SUM(N630:P630)</f>
        <v>0</v>
      </c>
      <c r="R630" s="64">
        <f>+E630+I630+M630+Q630</f>
        <v>0</v>
      </c>
    </row>
    <row r="631" spans="1:20" ht="15.75" customHeight="1" x14ac:dyDescent="0.3">
      <c r="A631" s="17" t="s">
        <v>62</v>
      </c>
      <c r="B631" s="1"/>
      <c r="C631" s="1"/>
      <c r="D631" s="1"/>
      <c r="E631" s="59" t="s">
        <v>7</v>
      </c>
      <c r="F631" s="1"/>
      <c r="G631" s="1"/>
      <c r="H631" s="1"/>
      <c r="I631" s="59" t="s">
        <v>7</v>
      </c>
      <c r="J631" s="1"/>
      <c r="K631" s="1"/>
      <c r="L631" s="1"/>
      <c r="M631" s="59" t="s">
        <v>7</v>
      </c>
      <c r="N631" s="1"/>
      <c r="O631" s="1"/>
      <c r="P631" s="1"/>
      <c r="Q631" s="59" t="s">
        <v>7</v>
      </c>
      <c r="R631" s="59" t="s">
        <v>7</v>
      </c>
    </row>
    <row r="632" spans="1:20" ht="15.75" customHeight="1" x14ac:dyDescent="0.3">
      <c r="A632" s="17" t="s">
        <v>63</v>
      </c>
      <c r="B632" s="1"/>
      <c r="C632" s="1"/>
      <c r="D632" s="1"/>
      <c r="E632" s="59" t="s">
        <v>7</v>
      </c>
      <c r="F632" s="1"/>
      <c r="G632" s="1"/>
      <c r="H632" s="1"/>
      <c r="I632" s="59" t="s">
        <v>7</v>
      </c>
      <c r="J632" s="1"/>
      <c r="K632" s="1"/>
      <c r="L632" s="1"/>
      <c r="M632" s="59" t="s">
        <v>7</v>
      </c>
      <c r="N632" s="1"/>
      <c r="O632" s="1"/>
      <c r="P632" s="1"/>
      <c r="Q632" s="59" t="s">
        <v>7</v>
      </c>
      <c r="R632" s="59" t="s">
        <v>7</v>
      </c>
    </row>
    <row r="633" spans="1:20" ht="15.75" customHeight="1" x14ac:dyDescent="0.3">
      <c r="A633" s="74" t="s">
        <v>535</v>
      </c>
      <c r="B633" s="1"/>
      <c r="C633" s="1"/>
      <c r="D633" s="1"/>
      <c r="E633" s="59">
        <f>SUM(B633:D633)</f>
        <v>0</v>
      </c>
      <c r="F633" s="1"/>
      <c r="G633" s="1"/>
      <c r="H633" s="1"/>
      <c r="I633" s="59">
        <f>SUM(F633:H633)</f>
        <v>0</v>
      </c>
      <c r="J633" s="1"/>
      <c r="K633" s="1"/>
      <c r="L633" s="1"/>
      <c r="M633" s="59">
        <f>SUM(J633:L633)</f>
        <v>0</v>
      </c>
      <c r="N633" s="1"/>
      <c r="O633" s="1"/>
      <c r="P633" s="1">
        <v>2700</v>
      </c>
      <c r="Q633" s="59">
        <f>SUM(N633:P633)</f>
        <v>2700</v>
      </c>
      <c r="R633" s="59">
        <f>+E633+I633+M633+Q633</f>
        <v>2700</v>
      </c>
      <c r="T633" s="4" t="s">
        <v>516</v>
      </c>
    </row>
    <row r="634" spans="1:20" ht="15.75" customHeight="1" x14ac:dyDescent="0.3">
      <c r="A634" s="74" t="s">
        <v>536</v>
      </c>
      <c r="B634" s="1"/>
      <c r="C634" s="1"/>
      <c r="D634" s="1"/>
      <c r="E634" s="59">
        <f>SUM(B634:D634)</f>
        <v>0</v>
      </c>
      <c r="F634" s="1"/>
      <c r="G634" s="1"/>
      <c r="H634" s="1"/>
      <c r="I634" s="59">
        <f>SUM(F634:H634)</f>
        <v>0</v>
      </c>
      <c r="J634" s="1"/>
      <c r="K634" s="1"/>
      <c r="L634" s="1"/>
      <c r="M634" s="59">
        <f>SUM(J634:L634)</f>
        <v>0</v>
      </c>
      <c r="N634" s="1"/>
      <c r="O634" s="1"/>
      <c r="P634" s="1"/>
      <c r="Q634" s="59">
        <f>SUM(N634:P634)</f>
        <v>0</v>
      </c>
      <c r="R634" s="59">
        <f>+E634+I634+M634+Q634</f>
        <v>0</v>
      </c>
      <c r="T634" s="4" t="s">
        <v>516</v>
      </c>
    </row>
    <row r="635" spans="1:20" ht="15.75" customHeight="1" x14ac:dyDescent="0.3">
      <c r="A635" s="17" t="s">
        <v>64</v>
      </c>
      <c r="B635" s="1"/>
      <c r="C635" s="1"/>
      <c r="D635" s="1"/>
      <c r="E635" s="59" t="s">
        <v>7</v>
      </c>
      <c r="F635" s="1"/>
      <c r="G635" s="1"/>
      <c r="H635" s="1"/>
      <c r="I635" s="59" t="s">
        <v>7</v>
      </c>
      <c r="J635" s="1"/>
      <c r="K635" s="1"/>
      <c r="L635" s="1"/>
      <c r="M635" s="59" t="s">
        <v>7</v>
      </c>
      <c r="N635" s="1"/>
      <c r="O635" s="1"/>
      <c r="P635" s="1"/>
      <c r="Q635" s="59" t="s">
        <v>7</v>
      </c>
      <c r="R635" s="59" t="s">
        <v>7</v>
      </c>
    </row>
    <row r="636" spans="1:20" ht="15.75" customHeight="1" x14ac:dyDescent="0.3">
      <c r="A636" s="74" t="s">
        <v>537</v>
      </c>
      <c r="B636" s="1"/>
      <c r="C636" s="1"/>
      <c r="D636" s="1"/>
      <c r="E636" s="59">
        <f>SUM(B636:D636)</f>
        <v>0</v>
      </c>
      <c r="F636" s="1"/>
      <c r="G636" s="1"/>
      <c r="H636" s="1"/>
      <c r="I636" s="59">
        <f>SUM(F636:H636)</f>
        <v>0</v>
      </c>
      <c r="J636" s="1"/>
      <c r="K636" s="1"/>
      <c r="L636" s="1"/>
      <c r="M636" s="59">
        <f>SUM(J636:L636)</f>
        <v>0</v>
      </c>
      <c r="N636" s="1"/>
      <c r="O636" s="1"/>
      <c r="P636" s="1"/>
      <c r="Q636" s="59">
        <f>SUM(N636:P636)</f>
        <v>0</v>
      </c>
      <c r="R636" s="59">
        <f>+E636+I636+M636+Q636</f>
        <v>0</v>
      </c>
    </row>
    <row r="637" spans="1:20" ht="15.75" customHeight="1" x14ac:dyDescent="0.3">
      <c r="A637" s="74" t="s">
        <v>538</v>
      </c>
      <c r="B637" s="1"/>
      <c r="C637" s="1"/>
      <c r="D637" s="1"/>
      <c r="E637" s="59">
        <f>SUM(B637:D637)</f>
        <v>0</v>
      </c>
      <c r="F637" s="1"/>
      <c r="G637" s="1"/>
      <c r="H637" s="1"/>
      <c r="I637" s="59">
        <f>SUM(F637:H637)</f>
        <v>0</v>
      </c>
      <c r="J637" s="1"/>
      <c r="K637" s="1"/>
      <c r="L637" s="1"/>
      <c r="M637" s="59">
        <f>SUM(J637:L637)</f>
        <v>0</v>
      </c>
      <c r="N637" s="1"/>
      <c r="O637" s="1"/>
      <c r="P637" s="1"/>
      <c r="Q637" s="59">
        <f>SUM(N637:P637)</f>
        <v>0</v>
      </c>
      <c r="R637" s="59">
        <f>+E637+I637+M637+Q637</f>
        <v>0</v>
      </c>
    </row>
    <row r="638" spans="1:20" ht="15.75" customHeight="1" x14ac:dyDescent="0.3">
      <c r="A638" s="74" t="s">
        <v>539</v>
      </c>
      <c r="B638" s="1"/>
      <c r="C638" s="1"/>
      <c r="D638" s="1"/>
      <c r="E638" s="59">
        <f>SUM(B638:D638)</f>
        <v>0</v>
      </c>
      <c r="F638" s="1"/>
      <c r="G638" s="1"/>
      <c r="H638" s="1"/>
      <c r="I638" s="59">
        <f>SUM(F638:H638)</f>
        <v>0</v>
      </c>
      <c r="J638" s="1"/>
      <c r="K638" s="1"/>
      <c r="L638" s="1"/>
      <c r="M638" s="59">
        <f>SUM(J638:L638)</f>
        <v>0</v>
      </c>
      <c r="N638" s="1"/>
      <c r="O638" s="1"/>
      <c r="P638" s="1"/>
      <c r="Q638" s="59">
        <f>SUM(N638:P638)</f>
        <v>0</v>
      </c>
      <c r="R638" s="59">
        <f>+E638+I638+M638+Q638</f>
        <v>0</v>
      </c>
      <c r="T638" s="4" t="s">
        <v>516</v>
      </c>
    </row>
    <row r="639" spans="1:20" ht="15.75" customHeight="1" x14ac:dyDescent="0.3">
      <c r="A639" s="74" t="s">
        <v>540</v>
      </c>
      <c r="B639" s="1"/>
      <c r="C639" s="1"/>
      <c r="D639" s="1"/>
      <c r="E639" s="59">
        <f>SUM(B639:D639)</f>
        <v>0</v>
      </c>
      <c r="F639" s="1"/>
      <c r="G639" s="1"/>
      <c r="H639" s="1"/>
      <c r="I639" s="59">
        <f>SUM(F639:H639)</f>
        <v>0</v>
      </c>
      <c r="J639" s="1"/>
      <c r="K639" s="1"/>
      <c r="L639" s="1"/>
      <c r="M639" s="59">
        <f>SUM(J639:L639)</f>
        <v>0</v>
      </c>
      <c r="N639" s="1"/>
      <c r="O639" s="1"/>
      <c r="P639" s="1"/>
      <c r="Q639" s="59">
        <f>SUM(N639:P639)</f>
        <v>0</v>
      </c>
      <c r="R639" s="59">
        <f>+E639+I639+M639+Q639</f>
        <v>0</v>
      </c>
      <c r="T639" s="4" t="s">
        <v>516</v>
      </c>
    </row>
    <row r="640" spans="1:20" ht="15.75" customHeight="1" x14ac:dyDescent="0.3">
      <c r="A640" s="17" t="s">
        <v>66</v>
      </c>
      <c r="B640" s="1"/>
      <c r="C640" s="1"/>
      <c r="D640" s="1"/>
      <c r="E640" s="59" t="s">
        <v>7</v>
      </c>
      <c r="F640" s="1"/>
      <c r="G640" s="1"/>
      <c r="H640" s="1"/>
      <c r="I640" s="59" t="s">
        <v>7</v>
      </c>
      <c r="J640" s="1"/>
      <c r="K640" s="1"/>
      <c r="L640" s="1"/>
      <c r="M640" s="59" t="s">
        <v>7</v>
      </c>
      <c r="N640" s="1"/>
      <c r="O640" s="1"/>
      <c r="P640" s="1"/>
      <c r="Q640" s="59" t="s">
        <v>7</v>
      </c>
      <c r="R640" s="59" t="s">
        <v>7</v>
      </c>
    </row>
    <row r="641" spans="1:18" ht="15.75" customHeight="1" x14ac:dyDescent="0.3">
      <c r="A641" s="74" t="s">
        <v>541</v>
      </c>
      <c r="B641" s="1"/>
      <c r="C641" s="1"/>
      <c r="D641" s="1"/>
      <c r="E641" s="59">
        <f>SUM(B641:D641)</f>
        <v>0</v>
      </c>
      <c r="F641" s="1"/>
      <c r="G641" s="1"/>
      <c r="H641" s="1"/>
      <c r="I641" s="59">
        <f>SUM(F641:H641)</f>
        <v>0</v>
      </c>
      <c r="J641" s="1"/>
      <c r="K641" s="1"/>
      <c r="L641" s="1"/>
      <c r="M641" s="59">
        <f>SUM(J641:L641)</f>
        <v>0</v>
      </c>
      <c r="N641" s="1"/>
      <c r="O641" s="1"/>
      <c r="P641" s="1"/>
      <c r="Q641" s="59">
        <f>SUM(N641:P641)</f>
        <v>0</v>
      </c>
      <c r="R641" s="59">
        <f>+E641+I641+M641+Q641</f>
        <v>0</v>
      </c>
    </row>
    <row r="642" spans="1:18" ht="15.75" customHeight="1" x14ac:dyDescent="0.3">
      <c r="A642" s="74" t="s">
        <v>542</v>
      </c>
      <c r="B642" s="1"/>
      <c r="C642" s="1"/>
      <c r="D642" s="1"/>
      <c r="E642" s="59">
        <f>SUM(B642:D642)</f>
        <v>0</v>
      </c>
      <c r="F642" s="1"/>
      <c r="G642" s="1"/>
      <c r="H642" s="1"/>
      <c r="I642" s="59">
        <f>SUM(F642:H642)</f>
        <v>0</v>
      </c>
      <c r="J642" s="1"/>
      <c r="K642" s="1"/>
      <c r="L642" s="1"/>
      <c r="M642" s="59">
        <f>SUM(J642:L642)</f>
        <v>0</v>
      </c>
      <c r="N642" s="1"/>
      <c r="O642" s="1"/>
      <c r="P642" s="1"/>
      <c r="Q642" s="59">
        <f>SUM(N642:P642)</f>
        <v>0</v>
      </c>
      <c r="R642" s="59">
        <f>+E642+I642+M642+Q642</f>
        <v>0</v>
      </c>
    </row>
    <row r="643" spans="1:18" ht="15.75" customHeight="1" x14ac:dyDescent="0.3">
      <c r="A643" s="17" t="s">
        <v>67</v>
      </c>
      <c r="B643" s="1"/>
      <c r="C643" s="1"/>
      <c r="D643" s="1"/>
      <c r="E643" s="59" t="s">
        <v>7</v>
      </c>
      <c r="F643" s="1"/>
      <c r="G643" s="1"/>
      <c r="H643" s="1"/>
      <c r="I643" s="59" t="s">
        <v>7</v>
      </c>
      <c r="J643" s="1"/>
      <c r="K643" s="1"/>
      <c r="L643" s="1"/>
      <c r="M643" s="59" t="s">
        <v>7</v>
      </c>
      <c r="N643" s="1"/>
      <c r="O643" s="1"/>
      <c r="P643" s="1"/>
      <c r="Q643" s="59" t="s">
        <v>7</v>
      </c>
      <c r="R643" s="59" t="s">
        <v>7</v>
      </c>
    </row>
    <row r="644" spans="1:18" ht="15.75" customHeight="1" x14ac:dyDescent="0.3">
      <c r="A644" s="74" t="s">
        <v>543</v>
      </c>
      <c r="B644" s="1"/>
      <c r="C644" s="1"/>
      <c r="D644" s="1"/>
      <c r="E644" s="59">
        <f t="shared" ref="E644:E646" si="252">SUM(B644:D644)</f>
        <v>0</v>
      </c>
      <c r="F644" s="1"/>
      <c r="G644" s="1"/>
      <c r="H644" s="1"/>
      <c r="I644" s="59">
        <f t="shared" ref="I644:I646" si="253">SUM(F644:H644)</f>
        <v>0</v>
      </c>
      <c r="J644" s="1"/>
      <c r="K644" s="1"/>
      <c r="L644" s="1"/>
      <c r="M644" s="59">
        <f t="shared" ref="M644:M646" si="254">SUM(J644:L644)</f>
        <v>0</v>
      </c>
      <c r="N644" s="1"/>
      <c r="O644" s="1"/>
      <c r="P644" s="1"/>
      <c r="Q644" s="59">
        <f t="shared" ref="Q644:Q650" si="255">SUM(N644:P644)</f>
        <v>0</v>
      </c>
      <c r="R644" s="59">
        <f t="shared" ref="R644:R650" si="256">+E644+I644+M644+Q644</f>
        <v>0</v>
      </c>
    </row>
    <row r="645" spans="1:18" ht="15.75" customHeight="1" x14ac:dyDescent="0.3">
      <c r="A645" s="74" t="s">
        <v>544</v>
      </c>
      <c r="B645" s="1"/>
      <c r="C645" s="1"/>
      <c r="D645" s="1"/>
      <c r="E645" s="59">
        <f t="shared" ref="E645" si="257">SUM(B645:D645)</f>
        <v>0</v>
      </c>
      <c r="F645" s="1"/>
      <c r="G645" s="1"/>
      <c r="H645" s="1"/>
      <c r="I645" s="59">
        <f t="shared" ref="I645" si="258">SUM(F645:H645)</f>
        <v>0</v>
      </c>
      <c r="J645" s="1"/>
      <c r="K645" s="1"/>
      <c r="L645" s="1"/>
      <c r="M645" s="59">
        <f t="shared" ref="M645" si="259">SUM(J645:L645)</f>
        <v>0</v>
      </c>
      <c r="N645" s="1"/>
      <c r="O645" s="1"/>
      <c r="P645" s="1"/>
      <c r="Q645" s="59">
        <f t="shared" ref="Q645" si="260">SUM(N645:P645)</f>
        <v>0</v>
      </c>
      <c r="R645" s="59">
        <f t="shared" si="256"/>
        <v>0</v>
      </c>
    </row>
    <row r="646" spans="1:18" ht="15.75" customHeight="1" thickBot="1" x14ac:dyDescent="0.35">
      <c r="A646" s="74" t="s">
        <v>545</v>
      </c>
      <c r="B646" s="1"/>
      <c r="C646" s="1"/>
      <c r="D646" s="1"/>
      <c r="E646" s="59">
        <f t="shared" si="252"/>
        <v>0</v>
      </c>
      <c r="F646" s="1"/>
      <c r="G646" s="1"/>
      <c r="H646" s="1"/>
      <c r="I646" s="59">
        <f t="shared" si="253"/>
        <v>0</v>
      </c>
      <c r="J646" s="1"/>
      <c r="K646" s="1"/>
      <c r="L646" s="1"/>
      <c r="M646" s="59">
        <f t="shared" si="254"/>
        <v>0</v>
      </c>
      <c r="N646" s="1"/>
      <c r="O646" s="1"/>
      <c r="P646" s="1"/>
      <c r="Q646" s="59">
        <f t="shared" si="255"/>
        <v>0</v>
      </c>
      <c r="R646" s="59">
        <f t="shared" si="256"/>
        <v>0</v>
      </c>
    </row>
    <row r="647" spans="1:18" ht="16.5" customHeight="1" thickBot="1" x14ac:dyDescent="0.35">
      <c r="A647" s="62" t="s">
        <v>68</v>
      </c>
      <c r="B647" s="344">
        <f>SUM(B640:B646)</f>
        <v>0</v>
      </c>
      <c r="C647" s="344">
        <f>SUM(C640:C646)</f>
        <v>0</v>
      </c>
      <c r="D647" s="344">
        <f>SUM(D640:D646)</f>
        <v>0</v>
      </c>
      <c r="E647" s="334">
        <f t="shared" ref="E647:E650" si="261">SUM(B647:D647)</f>
        <v>0</v>
      </c>
      <c r="F647" s="344">
        <f>SUM(F640:F646)</f>
        <v>0</v>
      </c>
      <c r="G647" s="344">
        <f>SUM(G640:G646)</f>
        <v>0</v>
      </c>
      <c r="H647" s="344">
        <f>SUM(H640:H646)</f>
        <v>0</v>
      </c>
      <c r="I647" s="334">
        <f t="shared" ref="I647:I650" si="262">SUM(F647:H647)</f>
        <v>0</v>
      </c>
      <c r="J647" s="344">
        <f>SUM(J640:J646)</f>
        <v>0</v>
      </c>
      <c r="K647" s="344">
        <f>SUM(K640:K646)</f>
        <v>0</v>
      </c>
      <c r="L647" s="344">
        <f>SUM(L640:L646)</f>
        <v>0</v>
      </c>
      <c r="M647" s="334">
        <f t="shared" ref="M647:M650" si="263">SUM(J647:L647)</f>
        <v>0</v>
      </c>
      <c r="N647" s="344">
        <f>SUM(N640:N646)</f>
        <v>0</v>
      </c>
      <c r="O647" s="344">
        <f>SUM(O640:O646)</f>
        <v>0</v>
      </c>
      <c r="P647" s="344">
        <f>SUM(P640:P646)</f>
        <v>0</v>
      </c>
      <c r="Q647" s="334">
        <f t="shared" si="255"/>
        <v>0</v>
      </c>
      <c r="R647" s="64">
        <f t="shared" si="256"/>
        <v>0</v>
      </c>
    </row>
    <row r="648" spans="1:18" ht="16.5" customHeight="1" thickBot="1" x14ac:dyDescent="0.35">
      <c r="A648" s="137" t="s">
        <v>69</v>
      </c>
      <c r="B648" s="100">
        <f>SUM(B631:B646)</f>
        <v>0</v>
      </c>
      <c r="C648" s="101">
        <f>SUM(C631:C646)</f>
        <v>0</v>
      </c>
      <c r="D648" s="138">
        <f>SUM(D631:D646)</f>
        <v>0</v>
      </c>
      <c r="E648" s="334">
        <f t="shared" si="261"/>
        <v>0</v>
      </c>
      <c r="F648" s="100">
        <f>SUM(F631:F646)</f>
        <v>0</v>
      </c>
      <c r="G648" s="101">
        <f>SUM(G631:G646)</f>
        <v>0</v>
      </c>
      <c r="H648" s="138">
        <f>SUM(H631:H646)</f>
        <v>0</v>
      </c>
      <c r="I648" s="334">
        <f t="shared" si="262"/>
        <v>0</v>
      </c>
      <c r="J648" s="100">
        <f>SUM(J631:J646)</f>
        <v>0</v>
      </c>
      <c r="K648" s="101">
        <f>SUM(K631:K646)</f>
        <v>0</v>
      </c>
      <c r="L648" s="138">
        <f>SUM(L631:L646)</f>
        <v>0</v>
      </c>
      <c r="M648" s="334">
        <f t="shared" si="263"/>
        <v>0</v>
      </c>
      <c r="N648" s="100">
        <f>SUM(N631:N646)</f>
        <v>0</v>
      </c>
      <c r="O648" s="101">
        <f>SUM(O631:O646)</f>
        <v>0</v>
      </c>
      <c r="P648" s="138">
        <f>SUM(P631:P646)</f>
        <v>2700</v>
      </c>
      <c r="Q648" s="334">
        <f t="shared" si="255"/>
        <v>2700</v>
      </c>
      <c r="R648" s="64">
        <f t="shared" si="256"/>
        <v>2700</v>
      </c>
    </row>
    <row r="649" spans="1:18" ht="16.5" customHeight="1" thickBot="1" x14ac:dyDescent="0.35">
      <c r="A649" s="62" t="s">
        <v>70</v>
      </c>
      <c r="B649" s="149">
        <f>+B615+B621+B630+B648</f>
        <v>2348</v>
      </c>
      <c r="C649" s="150">
        <f>+C615+C621+C630+C648</f>
        <v>4706</v>
      </c>
      <c r="D649" s="150">
        <f>+D615+D621+D630+D648</f>
        <v>5886</v>
      </c>
      <c r="E649" s="64">
        <f t="shared" si="261"/>
        <v>12940</v>
      </c>
      <c r="F649" s="63">
        <f>+F615+F621+F630+F648</f>
        <v>7361</v>
      </c>
      <c r="G649" s="63">
        <f>+G615+G621+G630+G648</f>
        <v>6483</v>
      </c>
      <c r="H649" s="63">
        <f>+H615+H621+H630+H648</f>
        <v>7129</v>
      </c>
      <c r="I649" s="64">
        <f t="shared" si="262"/>
        <v>20973</v>
      </c>
      <c r="J649" s="63">
        <f>+J615+J621+J630+J648</f>
        <v>7356</v>
      </c>
      <c r="K649" s="63">
        <f>+K615+K621+K630+K648</f>
        <v>7660</v>
      </c>
      <c r="L649" s="63">
        <f>+L615+L621+L630+L648</f>
        <v>1384</v>
      </c>
      <c r="M649" s="64">
        <f t="shared" si="263"/>
        <v>16400</v>
      </c>
      <c r="N649" s="63">
        <f>+N615+N621+N630+N648</f>
        <v>646</v>
      </c>
      <c r="O649" s="63">
        <f>+O615+O621+O630+O648</f>
        <v>0</v>
      </c>
      <c r="P649" s="63">
        <f>+P615+P621+P630+P648</f>
        <v>2700</v>
      </c>
      <c r="Q649" s="64">
        <f t="shared" si="255"/>
        <v>3346</v>
      </c>
      <c r="R649" s="88">
        <f t="shared" si="256"/>
        <v>53659</v>
      </c>
    </row>
    <row r="650" spans="1:18" ht="16.5" customHeight="1" thickBot="1" x14ac:dyDescent="0.35">
      <c r="A650" s="40" t="s">
        <v>37</v>
      </c>
      <c r="B650" s="25">
        <v>17</v>
      </c>
      <c r="C650" s="25">
        <v>47</v>
      </c>
      <c r="D650" s="25">
        <v>84</v>
      </c>
      <c r="E650" s="59">
        <f t="shared" si="261"/>
        <v>148</v>
      </c>
      <c r="F650" s="25">
        <v>116</v>
      </c>
      <c r="G650" s="25">
        <v>132</v>
      </c>
      <c r="H650" s="25">
        <v>138</v>
      </c>
      <c r="I650" s="59">
        <f t="shared" si="262"/>
        <v>386</v>
      </c>
      <c r="J650" s="25">
        <v>126</v>
      </c>
      <c r="K650" s="25">
        <v>95</v>
      </c>
      <c r="L650" s="25">
        <v>99</v>
      </c>
      <c r="M650" s="59">
        <f t="shared" si="263"/>
        <v>320</v>
      </c>
      <c r="N650" s="25">
        <v>91</v>
      </c>
      <c r="O650" s="25">
        <v>67</v>
      </c>
      <c r="P650" s="25">
        <v>38</v>
      </c>
      <c r="Q650" s="59">
        <f t="shared" si="255"/>
        <v>196</v>
      </c>
      <c r="R650" s="59">
        <f t="shared" si="256"/>
        <v>1050</v>
      </c>
    </row>
    <row r="651" spans="1:18" ht="16.5" customHeight="1" thickBot="1" x14ac:dyDescent="0.35">
      <c r="A651" s="42"/>
      <c r="B651" s="37"/>
      <c r="C651" s="37"/>
      <c r="D651" s="37"/>
      <c r="E651" s="43"/>
      <c r="F651" s="37"/>
      <c r="G651" s="37"/>
      <c r="H651" s="37"/>
      <c r="I651" s="43"/>
      <c r="J651" s="37"/>
      <c r="K651" s="37"/>
      <c r="L651" s="37"/>
      <c r="M651" s="43"/>
      <c r="N651" s="37"/>
      <c r="O651" s="37"/>
      <c r="P651" s="37"/>
      <c r="Q651" s="43"/>
      <c r="R651" s="43"/>
    </row>
    <row r="652" spans="1:18" ht="15.75" customHeight="1" x14ac:dyDescent="0.3">
      <c r="A652" s="335" t="s">
        <v>507</v>
      </c>
      <c r="B652" s="336">
        <f>SUM(B649:B650)</f>
        <v>2365</v>
      </c>
      <c r="C652" s="336">
        <f>SUM(C649:C650)</f>
        <v>4753</v>
      </c>
      <c r="D652" s="336">
        <f>SUM(D649:D650)</f>
        <v>5970</v>
      </c>
      <c r="E652" s="334">
        <f>SUM(B652:D652)</f>
        <v>13088</v>
      </c>
      <c r="F652" s="336">
        <f>SUM(F649:F650)</f>
        <v>7477</v>
      </c>
      <c r="G652" s="336">
        <f>SUM(G649:G650)</f>
        <v>6615</v>
      </c>
      <c r="H652" s="336">
        <f>SUM(H649:H650)</f>
        <v>7267</v>
      </c>
      <c r="I652" s="334">
        <f>SUM(F652:H652)</f>
        <v>21359</v>
      </c>
      <c r="J652" s="336">
        <f>SUM(J649:J650)</f>
        <v>7482</v>
      </c>
      <c r="K652" s="336">
        <f>SUM(K649:K650)</f>
        <v>7755</v>
      </c>
      <c r="L652" s="336">
        <f>SUM(L649:L650)</f>
        <v>1483</v>
      </c>
      <c r="M652" s="334">
        <f>SUM(J652:L652)</f>
        <v>16720</v>
      </c>
      <c r="N652" s="336">
        <f>SUM(N649:N650)</f>
        <v>737</v>
      </c>
      <c r="O652" s="336">
        <f>SUM(O649:O650)</f>
        <v>67</v>
      </c>
      <c r="P652" s="336">
        <f>SUM(P649:P650)</f>
        <v>2738</v>
      </c>
      <c r="Q652" s="334">
        <f>SUM(N652:P652)</f>
        <v>3542</v>
      </c>
      <c r="R652" s="334">
        <f>+E652+I652+M652+Q652</f>
        <v>54709</v>
      </c>
    </row>
    <row r="653" spans="1:18" ht="15.75" customHeight="1" x14ac:dyDescent="0.3">
      <c r="A653" s="85" t="s">
        <v>39</v>
      </c>
      <c r="B653" s="1">
        <f>(B652/B10)/1.983</f>
        <v>38.472174775917885</v>
      </c>
      <c r="C653" s="1">
        <f>(C652/C10)/1.983</f>
        <v>85.602622289460413</v>
      </c>
      <c r="D653" s="1">
        <f>(D652/D10)/1.983</f>
        <v>97.115806939632037</v>
      </c>
      <c r="E653" s="59" t="s">
        <v>7</v>
      </c>
      <c r="F653" s="1">
        <f>(F652/F10)/1.983</f>
        <v>125.6849890737939</v>
      </c>
      <c r="G653" s="1">
        <f>(G652/G10)/1.983</f>
        <v>107.60821824215508</v>
      </c>
      <c r="H653" s="1">
        <f>(H652/H10)/1.983</f>
        <v>122.15498403092955</v>
      </c>
      <c r="I653" s="59" t="s">
        <v>7</v>
      </c>
      <c r="J653" s="1">
        <f>(J652/J10)/1.983</f>
        <v>121.71197110926747</v>
      </c>
      <c r="K653" s="1">
        <f>(K652/K10)/1.983</f>
        <v>126.15294519545165</v>
      </c>
      <c r="L653" s="1">
        <f>(L652/L10)/1.983</f>
        <v>24.928559421751551</v>
      </c>
      <c r="M653" s="59" t="s">
        <v>7</v>
      </c>
      <c r="N653" s="1">
        <f>(N652/N10)/1.983</f>
        <v>11.98900330226278</v>
      </c>
      <c r="O653" s="1">
        <f>(O652/O10)/1.983</f>
        <v>1.1262397041519583</v>
      </c>
      <c r="P653" s="1">
        <f>(P652/P10)/1.983</f>
        <v>44.539879296601761</v>
      </c>
      <c r="Q653" s="59" t="s">
        <v>7</v>
      </c>
      <c r="R653" s="59" t="s">
        <v>7</v>
      </c>
    </row>
    <row r="654" spans="1:18" ht="15.75" customHeight="1" x14ac:dyDescent="0.3">
      <c r="A654" s="85" t="s">
        <v>546</v>
      </c>
      <c r="B654" s="1">
        <f>B652+B664</f>
        <v>15154</v>
      </c>
      <c r="C654" s="1">
        <f>C652+C664</f>
        <v>14720</v>
      </c>
      <c r="D654" s="1">
        <f>D652+D664</f>
        <v>20720</v>
      </c>
      <c r="E654" s="59">
        <f>SUM(B654:D654)</f>
        <v>50594</v>
      </c>
      <c r="F654" s="1">
        <f>F652+F664</f>
        <v>28072</v>
      </c>
      <c r="G654" s="1">
        <f>G652+G664</f>
        <v>27162</v>
      </c>
      <c r="H654" s="1">
        <f>H652+H664</f>
        <v>28905</v>
      </c>
      <c r="I654" s="59">
        <f>SUM(F654:H654)</f>
        <v>84139</v>
      </c>
      <c r="J654" s="1">
        <f>J652+J664</f>
        <v>30366</v>
      </c>
      <c r="K654" s="1">
        <f>K652+K664</f>
        <v>29880</v>
      </c>
      <c r="L654" s="1">
        <f>L652+L664</f>
        <v>19059</v>
      </c>
      <c r="M654" s="59">
        <f>SUM(J654:L654)</f>
        <v>79305</v>
      </c>
      <c r="N654" s="1">
        <f>N652+N664</f>
        <v>16455</v>
      </c>
      <c r="O654" s="1">
        <f>O652+O664</f>
        <v>1117</v>
      </c>
      <c r="P654" s="1">
        <f>P652+P664</f>
        <v>6917</v>
      </c>
      <c r="Q654" s="59">
        <f>SUM(N654:P654)</f>
        <v>24489</v>
      </c>
      <c r="R654" s="59">
        <f>+E654+I654+M654+Q654</f>
        <v>238527</v>
      </c>
    </row>
    <row r="655" spans="1:18" ht="16.5" customHeight="1" thickBot="1" x14ac:dyDescent="0.35">
      <c r="A655" s="86" t="s">
        <v>547</v>
      </c>
      <c r="B655" s="87">
        <f>(B654/B10)/1.983</f>
        <v>246.51473004408436</v>
      </c>
      <c r="C655" s="87">
        <f>(C654/C10)/1.983</f>
        <v>265.11058281103664</v>
      </c>
      <c r="D655" s="87">
        <f>(D654/D10)/1.983</f>
        <v>337.05854602833762</v>
      </c>
      <c r="E655" s="88" t="s">
        <v>7</v>
      </c>
      <c r="F655" s="87">
        <f>(F654/F10)/1.983</f>
        <v>471.87762649184737</v>
      </c>
      <c r="G655" s="87">
        <f>(G654/G10)/1.983</f>
        <v>441.85252061880828</v>
      </c>
      <c r="H655" s="87">
        <f>(H654/H10)/1.983</f>
        <v>485.87997982854262</v>
      </c>
      <c r="I655" s="88" t="s">
        <v>7</v>
      </c>
      <c r="J655" s="87">
        <f>(J654/J10)/1.983</f>
        <v>493.97296374017856</v>
      </c>
      <c r="K655" s="87">
        <f>(K654/K10)/1.983</f>
        <v>486.06705382851004</v>
      </c>
      <c r="L655" s="87">
        <f>(L654/L10)/1.983</f>
        <v>320.37317196167419</v>
      </c>
      <c r="M655" s="88" t="s">
        <v>7</v>
      </c>
      <c r="N655" s="87">
        <f>(N654/N10)/1.983</f>
        <v>267.67849299692546</v>
      </c>
      <c r="O655" s="87">
        <f>(O654/O10)/1.983</f>
        <v>18.776264918473693</v>
      </c>
      <c r="P655" s="87">
        <f>(P654/P10)/1.983</f>
        <v>112.52094415434418</v>
      </c>
      <c r="Q655" s="88" t="s">
        <v>7</v>
      </c>
      <c r="R655" s="88" t="s">
        <v>7</v>
      </c>
    </row>
    <row r="656" spans="1:18" ht="15.75" customHeight="1" x14ac:dyDescent="0.3">
      <c r="A656" s="28"/>
      <c r="B656" s="1"/>
      <c r="C656" s="1"/>
      <c r="D656" s="1"/>
      <c r="E656" s="1"/>
      <c r="F656" s="1"/>
      <c r="G656" s="1"/>
      <c r="H656" s="1"/>
      <c r="I656" s="1"/>
      <c r="J656" s="1"/>
      <c r="K656" s="1"/>
      <c r="L656" s="1"/>
      <c r="M656" s="1"/>
      <c r="N656" s="1"/>
      <c r="O656" s="1"/>
      <c r="P656" s="1"/>
      <c r="Q656" s="1"/>
      <c r="R656" s="28"/>
    </row>
    <row r="657" spans="1:18" ht="16.5" customHeight="1" thickBot="1" x14ac:dyDescent="0.35">
      <c r="A657" s="123"/>
      <c r="B657" s="25"/>
      <c r="C657" s="25"/>
      <c r="D657" s="25"/>
      <c r="E657" s="25"/>
      <c r="F657" s="25"/>
      <c r="G657" s="25"/>
      <c r="H657" s="25"/>
      <c r="I657" s="25"/>
      <c r="J657" s="25"/>
      <c r="K657" s="25"/>
      <c r="L657" s="25"/>
      <c r="M657" s="25"/>
      <c r="N657" s="25"/>
      <c r="O657" s="25"/>
      <c r="P657" s="25"/>
      <c r="Q657" s="25"/>
      <c r="R657" s="123"/>
    </row>
    <row r="658" spans="1:18" ht="16.5" customHeight="1" thickBot="1" x14ac:dyDescent="0.35">
      <c r="A658" s="343" t="s">
        <v>548</v>
      </c>
      <c r="B658" s="323" t="s">
        <v>36</v>
      </c>
      <c r="C658" s="324" t="s">
        <v>9</v>
      </c>
      <c r="D658" s="324" t="s">
        <v>10</v>
      </c>
      <c r="E658" s="325" t="s">
        <v>11</v>
      </c>
      <c r="F658" s="324" t="s">
        <v>12</v>
      </c>
      <c r="G658" s="324" t="s">
        <v>13</v>
      </c>
      <c r="H658" s="324" t="s">
        <v>14</v>
      </c>
      <c r="I658" s="34" t="s">
        <v>15</v>
      </c>
      <c r="J658" s="324" t="s">
        <v>16</v>
      </c>
      <c r="K658" s="324" t="s">
        <v>17</v>
      </c>
      <c r="L658" s="324" t="s">
        <v>18</v>
      </c>
      <c r="M658" s="34" t="s">
        <v>19</v>
      </c>
      <c r="N658" s="324" t="s">
        <v>20</v>
      </c>
      <c r="O658" s="324" t="s">
        <v>21</v>
      </c>
      <c r="P658" s="324" t="s">
        <v>22</v>
      </c>
      <c r="Q658" s="325" t="s">
        <v>23</v>
      </c>
      <c r="R658" s="332" t="s">
        <v>24</v>
      </c>
    </row>
    <row r="659" spans="1:18" ht="16.5" customHeight="1" thickBot="1" x14ac:dyDescent="0.35">
      <c r="A659" s="42"/>
      <c r="B659" s="37"/>
      <c r="C659" s="37"/>
      <c r="D659" s="37"/>
      <c r="E659" s="38"/>
      <c r="F659" s="37"/>
      <c r="G659" s="37"/>
      <c r="H659" s="37"/>
      <c r="I659" s="38"/>
      <c r="J659" s="37"/>
      <c r="K659" s="37"/>
      <c r="L659" s="37"/>
      <c r="M659" s="38"/>
      <c r="N659" s="37"/>
      <c r="O659" s="37"/>
      <c r="P659" s="37"/>
      <c r="Q659" s="151"/>
      <c r="R659" s="152"/>
    </row>
    <row r="660" spans="1:18" ht="16.5" customHeight="1" thickBot="1" x14ac:dyDescent="0.35">
      <c r="A660" s="40" t="s">
        <v>37</v>
      </c>
      <c r="B660" s="25">
        <v>20</v>
      </c>
      <c r="C660" s="25">
        <v>22</v>
      </c>
      <c r="D660" s="25">
        <v>28</v>
      </c>
      <c r="E660" s="59">
        <f>SUM(B660:D660)</f>
        <v>70</v>
      </c>
      <c r="F660" s="25">
        <v>37</v>
      </c>
      <c r="G660" s="25">
        <v>42</v>
      </c>
      <c r="H660" s="25">
        <v>44</v>
      </c>
      <c r="I660" s="59">
        <f>SUM(F660:H660)</f>
        <v>123</v>
      </c>
      <c r="J660" s="25">
        <v>39</v>
      </c>
      <c r="K660" s="25">
        <v>36</v>
      </c>
      <c r="L660" s="25">
        <v>34</v>
      </c>
      <c r="M660" s="59">
        <f>SUM(J660:L660)</f>
        <v>109</v>
      </c>
      <c r="N660" s="25">
        <v>29</v>
      </c>
      <c r="O660" s="25">
        <v>23</v>
      </c>
      <c r="P660" s="25">
        <v>19</v>
      </c>
      <c r="Q660" s="59">
        <f>SUM(N660:P660)</f>
        <v>71</v>
      </c>
      <c r="R660" s="59">
        <f>+E660+I660+M660+Q660</f>
        <v>373</v>
      </c>
    </row>
    <row r="661" spans="1:18" ht="16.5" customHeight="1" thickBot="1" x14ac:dyDescent="0.35">
      <c r="A661" s="42"/>
      <c r="B661" s="37"/>
      <c r="C661" s="37"/>
      <c r="D661" s="37"/>
      <c r="E661" s="16"/>
      <c r="F661" s="37"/>
      <c r="G661" s="37"/>
      <c r="H661" s="37"/>
      <c r="I661" s="16"/>
      <c r="J661" s="37"/>
      <c r="K661" s="37"/>
      <c r="L661" s="37"/>
      <c r="M661" s="16"/>
      <c r="N661" s="37"/>
      <c r="O661" s="37"/>
      <c r="P661" s="37"/>
      <c r="Q661" s="16"/>
      <c r="R661" s="43"/>
    </row>
    <row r="662" spans="1:18" ht="15.75" customHeight="1" x14ac:dyDescent="0.3">
      <c r="A662" s="335" t="s">
        <v>507</v>
      </c>
      <c r="B662" s="336">
        <f>B660</f>
        <v>20</v>
      </c>
      <c r="C662" s="336">
        <f>C660</f>
        <v>22</v>
      </c>
      <c r="D662" s="336">
        <f>D660</f>
        <v>28</v>
      </c>
      <c r="E662" s="334">
        <f>SUM(B662:D662)</f>
        <v>70</v>
      </c>
      <c r="F662" s="336">
        <f>F660</f>
        <v>37</v>
      </c>
      <c r="G662" s="336">
        <f>G660</f>
        <v>42</v>
      </c>
      <c r="H662" s="336">
        <f>H660</f>
        <v>44</v>
      </c>
      <c r="I662" s="334">
        <f>SUM(F662:H662)</f>
        <v>123</v>
      </c>
      <c r="J662" s="336">
        <f>J660</f>
        <v>39</v>
      </c>
      <c r="K662" s="336">
        <f>K660</f>
        <v>36</v>
      </c>
      <c r="L662" s="336">
        <f>L660</f>
        <v>34</v>
      </c>
      <c r="M662" s="334">
        <f>SUM(J662:L662)</f>
        <v>109</v>
      </c>
      <c r="N662" s="336">
        <f>N660</f>
        <v>29</v>
      </c>
      <c r="O662" s="336">
        <f>O660</f>
        <v>23</v>
      </c>
      <c r="P662" s="336">
        <f>P660</f>
        <v>19</v>
      </c>
      <c r="Q662" s="334">
        <f>SUM(N662:P662)</f>
        <v>71</v>
      </c>
      <c r="R662" s="334">
        <f>+E662+I662+M662+Q662</f>
        <v>373</v>
      </c>
    </row>
    <row r="663" spans="1:18" ht="15.75" customHeight="1" x14ac:dyDescent="0.3">
      <c r="A663" s="85" t="s">
        <v>39</v>
      </c>
      <c r="B663" s="1">
        <f>(B662/B10)/1.983</f>
        <v>0.32534608689993977</v>
      </c>
      <c r="C663" s="1">
        <f>(C662/C10)/1.983</f>
        <v>0.39622505583171236</v>
      </c>
      <c r="D663" s="1">
        <f>(D662/D10)/1.983</f>
        <v>0.45548452165991571</v>
      </c>
      <c r="E663" s="59" t="s">
        <v>7</v>
      </c>
      <c r="F663" s="1">
        <f>(F662/F10)/1.983</f>
        <v>0.62195326945705165</v>
      </c>
      <c r="G663" s="1">
        <f>(G662/G10)/1.983</f>
        <v>0.68322678248987356</v>
      </c>
      <c r="H663" s="1">
        <f>(H662/H10)/1.983</f>
        <v>0.73962010421919644</v>
      </c>
      <c r="I663" s="59" t="s">
        <v>7</v>
      </c>
      <c r="J663" s="1">
        <f>(J662/J10)/1.983</f>
        <v>0.63442486945488263</v>
      </c>
      <c r="K663" s="1">
        <f>(K662/K10)/1.983</f>
        <v>0.5856229564198917</v>
      </c>
      <c r="L663" s="1">
        <f>(L662/L10)/1.983</f>
        <v>0.57152462598756093</v>
      </c>
      <c r="M663" s="59" t="s">
        <v>7</v>
      </c>
      <c r="N663" s="1">
        <f>(N662/N10)/1.983</f>
        <v>0.47175182600491267</v>
      </c>
      <c r="O663" s="1">
        <f>(O662/O10)/1.983</f>
        <v>0.38661959993276179</v>
      </c>
      <c r="P663" s="1">
        <f>(P662/P10)/1.983</f>
        <v>0.30907878255494281</v>
      </c>
      <c r="Q663" s="59" t="s">
        <v>7</v>
      </c>
      <c r="R663" s="59" t="s">
        <v>7</v>
      </c>
    </row>
    <row r="664" spans="1:18" ht="15.75" customHeight="1" x14ac:dyDescent="0.3">
      <c r="A664" s="85" t="s">
        <v>549</v>
      </c>
      <c r="B664" s="1">
        <f>B662+B700</f>
        <v>12789</v>
      </c>
      <c r="C664" s="1">
        <f>C662+C700</f>
        <v>9967</v>
      </c>
      <c r="D664" s="1">
        <f>D662+D700</f>
        <v>14750</v>
      </c>
      <c r="E664" s="59">
        <f>SUM(B664:D664)</f>
        <v>37506</v>
      </c>
      <c r="F664" s="1">
        <f>F662+F700</f>
        <v>20595</v>
      </c>
      <c r="G664" s="1">
        <f>G662+G700</f>
        <v>20547</v>
      </c>
      <c r="H664" s="1">
        <f>H662+H700</f>
        <v>21638</v>
      </c>
      <c r="I664" s="59">
        <f>SUM(F664:H664)</f>
        <v>62780</v>
      </c>
      <c r="J664" s="1">
        <f>J662+J700</f>
        <v>22884</v>
      </c>
      <c r="K664" s="1">
        <f>K662+K700</f>
        <v>22125</v>
      </c>
      <c r="L664" s="1">
        <f>L662+L700</f>
        <v>17576</v>
      </c>
      <c r="M664" s="59">
        <f>SUM(J664:L664)</f>
        <v>62585</v>
      </c>
      <c r="N664" s="1">
        <f>N662+N700</f>
        <v>15718</v>
      </c>
      <c r="O664" s="1">
        <f>O662+O700</f>
        <v>1050</v>
      </c>
      <c r="P664" s="1">
        <f>P662+P700</f>
        <v>4179</v>
      </c>
      <c r="Q664" s="59">
        <f>SUM(N664:P664)</f>
        <v>20947</v>
      </c>
      <c r="R664" s="59">
        <f>+E664+I664+M664+Q664</f>
        <v>183818</v>
      </c>
    </row>
    <row r="665" spans="1:18" ht="16.5" customHeight="1" thickBot="1" x14ac:dyDescent="0.35">
      <c r="A665" s="86" t="s">
        <v>550</v>
      </c>
      <c r="B665" s="87">
        <f>(B664/B10)/1.983</f>
        <v>208.0425552681665</v>
      </c>
      <c r="C665" s="87">
        <f>(C664/C10)/1.983</f>
        <v>179.50796052157625</v>
      </c>
      <c r="D665" s="87">
        <f>(D664/D10)/1.983</f>
        <v>239.94273908870559</v>
      </c>
      <c r="E665" s="88" t="s">
        <v>7</v>
      </c>
      <c r="F665" s="87">
        <f>(F664/F10)/1.983</f>
        <v>346.19263741805344</v>
      </c>
      <c r="G665" s="87">
        <f>(G664/G10)/1.983</f>
        <v>334.24430237665314</v>
      </c>
      <c r="H665" s="87">
        <f>(H664/H10)/1.983</f>
        <v>363.72499579761302</v>
      </c>
      <c r="I665" s="88" t="s">
        <v>7</v>
      </c>
      <c r="J665" s="87">
        <f>(J664/J10)/1.983</f>
        <v>372.26099263091112</v>
      </c>
      <c r="K665" s="87">
        <f>(K664/K10)/1.983</f>
        <v>359.91410863305839</v>
      </c>
      <c r="L665" s="87">
        <f>(L664/L10)/1.983</f>
        <v>295.44461253992267</v>
      </c>
      <c r="M665" s="88" t="s">
        <v>7</v>
      </c>
      <c r="N665" s="87">
        <f>(N664/N10)/1.983</f>
        <v>255.68948969466271</v>
      </c>
      <c r="O665" s="87">
        <f>(O664/O10)/1.983</f>
        <v>17.650025214321733</v>
      </c>
      <c r="P665" s="87">
        <f>(P664/P10)/1.983</f>
        <v>67.981064857742425</v>
      </c>
      <c r="Q665" s="88" t="s">
        <v>7</v>
      </c>
      <c r="R665" s="88" t="s">
        <v>7</v>
      </c>
    </row>
    <row r="666" spans="1:18" ht="15.75" customHeight="1" x14ac:dyDescent="0.3">
      <c r="A666" s="30"/>
      <c r="B666" s="1"/>
      <c r="C666" s="1"/>
      <c r="D666" s="1"/>
      <c r="E666" s="1"/>
      <c r="F666" s="1"/>
      <c r="G666" s="1"/>
      <c r="H666" s="1"/>
      <c r="I666" s="1"/>
      <c r="J666" s="1"/>
      <c r="K666" s="1"/>
      <c r="L666" s="1"/>
      <c r="M666" s="1"/>
      <c r="N666" s="1"/>
      <c r="O666" s="1"/>
      <c r="P666" s="1"/>
      <c r="Q666" s="1"/>
      <c r="R666" s="28"/>
    </row>
    <row r="667" spans="1:18" ht="15.75" customHeight="1" thickBot="1" x14ac:dyDescent="0.35">
      <c r="A667" s="30"/>
      <c r="B667" s="1"/>
      <c r="C667" s="1"/>
      <c r="D667" s="1"/>
      <c r="E667" s="1"/>
      <c r="F667" s="1"/>
      <c r="G667" s="1"/>
      <c r="H667" s="1"/>
      <c r="I667" s="1"/>
      <c r="J667" s="1"/>
      <c r="K667" s="1"/>
      <c r="L667" s="1"/>
      <c r="M667" s="1"/>
      <c r="N667" s="1"/>
      <c r="O667" s="1"/>
      <c r="P667" s="1"/>
      <c r="Q667" s="1"/>
      <c r="R667" s="28"/>
    </row>
    <row r="668" spans="1:18" ht="16.5" customHeight="1" thickBot="1" x14ac:dyDescent="0.35">
      <c r="A668" s="31" t="s">
        <v>551</v>
      </c>
      <c r="B668" s="323" t="s">
        <v>36</v>
      </c>
      <c r="C668" s="324" t="s">
        <v>9</v>
      </c>
      <c r="D668" s="324" t="s">
        <v>10</v>
      </c>
      <c r="E668" s="325" t="s">
        <v>11</v>
      </c>
      <c r="F668" s="324" t="s">
        <v>12</v>
      </c>
      <c r="G668" s="324" t="s">
        <v>13</v>
      </c>
      <c r="H668" s="324" t="s">
        <v>14</v>
      </c>
      <c r="I668" s="34" t="s">
        <v>15</v>
      </c>
      <c r="J668" s="324" t="s">
        <v>16</v>
      </c>
      <c r="K668" s="324" t="s">
        <v>17</v>
      </c>
      <c r="L668" s="324" t="s">
        <v>18</v>
      </c>
      <c r="M668" s="34" t="s">
        <v>19</v>
      </c>
      <c r="N668" s="324" t="s">
        <v>20</v>
      </c>
      <c r="O668" s="324" t="s">
        <v>21</v>
      </c>
      <c r="P668" s="324" t="s">
        <v>22</v>
      </c>
      <c r="Q668" s="34" t="s">
        <v>23</v>
      </c>
      <c r="R668" s="326" t="s">
        <v>24</v>
      </c>
    </row>
    <row r="669" spans="1:18" ht="16.5" customHeight="1" thickBot="1" x14ac:dyDescent="0.35">
      <c r="A669" s="42"/>
      <c r="B669" s="37"/>
      <c r="C669" s="37"/>
      <c r="D669" s="37"/>
      <c r="E669" s="16"/>
      <c r="F669" s="37"/>
      <c r="G669" s="37"/>
      <c r="H669" s="37"/>
      <c r="I669" s="16"/>
      <c r="J669" s="37"/>
      <c r="K669" s="37"/>
      <c r="L669" s="37"/>
      <c r="M669" s="16"/>
      <c r="N669" s="37"/>
      <c r="O669" s="37"/>
      <c r="P669" s="37"/>
      <c r="Q669" s="16"/>
      <c r="R669" s="39"/>
    </row>
    <row r="670" spans="1:18" ht="15.75" customHeight="1" x14ac:dyDescent="0.3">
      <c r="A670" s="17" t="s">
        <v>45</v>
      </c>
      <c r="B670" s="1" t="s">
        <v>7</v>
      </c>
      <c r="C670" s="1" t="s">
        <v>7</v>
      </c>
      <c r="D670" s="1" t="s">
        <v>7</v>
      </c>
      <c r="E670" s="59" t="s">
        <v>7</v>
      </c>
      <c r="F670" s="1" t="s">
        <v>7</v>
      </c>
      <c r="G670" s="1" t="s">
        <v>7</v>
      </c>
      <c r="H670" s="1" t="s">
        <v>7</v>
      </c>
      <c r="I670" s="59" t="s">
        <v>7</v>
      </c>
      <c r="J670" s="1" t="s">
        <v>7</v>
      </c>
      <c r="K670" s="1" t="s">
        <v>7</v>
      </c>
      <c r="L670" s="1" t="s">
        <v>7</v>
      </c>
      <c r="M670" s="59" t="s">
        <v>7</v>
      </c>
      <c r="N670" s="1" t="s">
        <v>7</v>
      </c>
      <c r="O670" s="1" t="s">
        <v>7</v>
      </c>
      <c r="P670" s="1" t="s">
        <v>7</v>
      </c>
      <c r="Q670" s="59" t="s">
        <v>7</v>
      </c>
      <c r="R670" s="59" t="s">
        <v>7</v>
      </c>
    </row>
    <row r="671" spans="1:18" ht="15.75" customHeight="1" x14ac:dyDescent="0.3">
      <c r="A671" s="17" t="s">
        <v>46</v>
      </c>
      <c r="B671" s="1"/>
      <c r="C671" s="1"/>
      <c r="D671" s="1"/>
      <c r="E671" s="59" t="s">
        <v>7</v>
      </c>
      <c r="F671" s="1"/>
      <c r="G671" s="1"/>
      <c r="H671" s="1"/>
      <c r="I671" s="59" t="s">
        <v>7</v>
      </c>
      <c r="J671" s="1"/>
      <c r="K671" s="1"/>
      <c r="L671" s="1"/>
      <c r="M671" s="59" t="s">
        <v>7</v>
      </c>
      <c r="N671" s="1"/>
      <c r="O671" s="1"/>
      <c r="P671" s="1"/>
      <c r="Q671" s="59" t="s">
        <v>7</v>
      </c>
      <c r="R671" s="59" t="s">
        <v>7</v>
      </c>
    </row>
    <row r="672" spans="1:18" ht="15.75" customHeight="1" x14ac:dyDescent="0.3">
      <c r="A672" s="74" t="s">
        <v>552</v>
      </c>
      <c r="B672" s="1">
        <v>20</v>
      </c>
      <c r="C672" s="1">
        <v>125</v>
      </c>
      <c r="D672" s="1">
        <v>350</v>
      </c>
      <c r="E672" s="59">
        <f>SUM(B672:D672)</f>
        <v>495</v>
      </c>
      <c r="F672" s="1">
        <v>465</v>
      </c>
      <c r="G672" s="1">
        <v>351</v>
      </c>
      <c r="H672" s="1">
        <v>1375</v>
      </c>
      <c r="I672" s="59">
        <f>SUM(F672:H672)</f>
        <v>2191</v>
      </c>
      <c r="J672" s="1">
        <v>897</v>
      </c>
      <c r="K672" s="1">
        <f>965</f>
        <v>965</v>
      </c>
      <c r="L672" s="1">
        <v>454</v>
      </c>
      <c r="M672" s="59">
        <f>SUM(J672:L672)</f>
        <v>2316</v>
      </c>
      <c r="N672" s="1">
        <v>1159</v>
      </c>
      <c r="O672" s="1">
        <v>200</v>
      </c>
      <c r="P672" s="1">
        <v>213</v>
      </c>
      <c r="Q672" s="59">
        <f>SUM(N672:P672)</f>
        <v>1572</v>
      </c>
      <c r="R672" s="59">
        <f>+E672+I672+M672+Q672</f>
        <v>6574</v>
      </c>
    </row>
    <row r="673" spans="1:18" ht="15.75" customHeight="1" x14ac:dyDescent="0.3">
      <c r="A673" s="74" t="s">
        <v>553</v>
      </c>
      <c r="B673" s="1">
        <v>364</v>
      </c>
      <c r="C673" s="1">
        <v>627</v>
      </c>
      <c r="D673" s="1">
        <v>715</v>
      </c>
      <c r="E673" s="59">
        <f>SUM(B673:D673)</f>
        <v>1706</v>
      </c>
      <c r="F673" s="1">
        <v>651</v>
      </c>
      <c r="G673" s="1">
        <v>285</v>
      </c>
      <c r="H673" s="1"/>
      <c r="I673" s="59">
        <f>SUM(F673:H673)</f>
        <v>936</v>
      </c>
      <c r="J673" s="1">
        <v>519</v>
      </c>
      <c r="K673" s="1">
        <v>845</v>
      </c>
      <c r="L673" s="1">
        <v>643</v>
      </c>
      <c r="M673" s="59">
        <f>SUM(J673:L673)</f>
        <v>2007</v>
      </c>
      <c r="N673" s="1"/>
      <c r="O673" s="1"/>
      <c r="P673" s="1"/>
      <c r="Q673" s="59">
        <f>SUM(N673:P673)</f>
        <v>0</v>
      </c>
      <c r="R673" s="59">
        <f>+E673+I673+M673+Q673</f>
        <v>4649</v>
      </c>
    </row>
    <row r="674" spans="1:18" ht="15.75" customHeight="1" x14ac:dyDescent="0.3">
      <c r="A674" s="74" t="s">
        <v>554</v>
      </c>
      <c r="B674" s="1">
        <v>11</v>
      </c>
      <c r="C674" s="1"/>
      <c r="D674" s="1">
        <v>18</v>
      </c>
      <c r="E674" s="59">
        <f>SUM(B674:D674)</f>
        <v>29</v>
      </c>
      <c r="F674" s="1">
        <v>19</v>
      </c>
      <c r="G674" s="1"/>
      <c r="H674" s="1"/>
      <c r="I674" s="59">
        <f>SUM(F674:H674)</f>
        <v>19</v>
      </c>
      <c r="J674" s="1"/>
      <c r="K674" s="1"/>
      <c r="L674" s="1"/>
      <c r="M674" s="59">
        <f>SUM(J674:L674)</f>
        <v>0</v>
      </c>
      <c r="N674" s="1"/>
      <c r="O674" s="1"/>
      <c r="P674" s="1"/>
      <c r="Q674" s="59">
        <f>SUM(N674:P674)</f>
        <v>0</v>
      </c>
      <c r="R674" s="59">
        <f>+E674+I674+M674+Q674</f>
        <v>48</v>
      </c>
    </row>
    <row r="675" spans="1:18" ht="15.75" customHeight="1" x14ac:dyDescent="0.3">
      <c r="A675" s="17" t="s">
        <v>47</v>
      </c>
      <c r="B675" s="1"/>
      <c r="C675" s="1"/>
      <c r="D675" s="1"/>
      <c r="E675" s="59" t="s">
        <v>7</v>
      </c>
      <c r="F675" s="1"/>
      <c r="G675" s="1"/>
      <c r="H675" s="1"/>
      <c r="I675" s="59" t="s">
        <v>7</v>
      </c>
      <c r="J675" s="1"/>
      <c r="K675" s="1"/>
      <c r="L675" s="1"/>
      <c r="M675" s="59" t="s">
        <v>7</v>
      </c>
      <c r="N675" s="1"/>
      <c r="O675" s="1"/>
      <c r="P675" s="1"/>
      <c r="Q675" s="59" t="s">
        <v>7</v>
      </c>
      <c r="R675" s="59" t="s">
        <v>7</v>
      </c>
    </row>
    <row r="676" spans="1:18" ht="15.75" customHeight="1" x14ac:dyDescent="0.3">
      <c r="A676" s="17" t="s">
        <v>49</v>
      </c>
      <c r="B676" s="1"/>
      <c r="C676" s="1"/>
      <c r="D676" s="1"/>
      <c r="E676" s="59" t="s">
        <v>7</v>
      </c>
      <c r="F676" s="1"/>
      <c r="G676" s="1"/>
      <c r="H676" s="1"/>
      <c r="I676" s="59" t="s">
        <v>7</v>
      </c>
      <c r="J676" s="1"/>
      <c r="K676" s="1"/>
      <c r="L676" s="1"/>
      <c r="M676" s="59" t="s">
        <v>7</v>
      </c>
      <c r="N676" s="1"/>
      <c r="O676" s="1"/>
      <c r="P676" s="1"/>
      <c r="Q676" s="59" t="s">
        <v>7</v>
      </c>
      <c r="R676" s="59" t="s">
        <v>7</v>
      </c>
    </row>
    <row r="677" spans="1:18" ht="15.75" customHeight="1" thickBot="1" x14ac:dyDescent="0.35">
      <c r="A677" s="17" t="s">
        <v>51</v>
      </c>
      <c r="B677" s="1"/>
      <c r="C677" s="1"/>
      <c r="D677" s="1"/>
      <c r="E677" s="59" t="s">
        <v>7</v>
      </c>
      <c r="F677" s="1"/>
      <c r="G677" s="1"/>
      <c r="H677" s="1"/>
      <c r="I677" s="59" t="s">
        <v>7</v>
      </c>
      <c r="J677" s="1"/>
      <c r="K677" s="1"/>
      <c r="L677" s="1"/>
      <c r="M677" s="59" t="s">
        <v>7</v>
      </c>
      <c r="N677" s="1"/>
      <c r="O677" s="1"/>
      <c r="P677" s="1"/>
      <c r="Q677" s="59" t="s">
        <v>7</v>
      </c>
      <c r="R677" s="59" t="s">
        <v>7</v>
      </c>
    </row>
    <row r="678" spans="1:18" ht="16.5" customHeight="1" thickBot="1" x14ac:dyDescent="0.35">
      <c r="A678" s="126" t="s">
        <v>52</v>
      </c>
      <c r="B678" s="100">
        <f>SUM(B670:B677)</f>
        <v>395</v>
      </c>
      <c r="C678" s="101">
        <f>SUM(C670:C677)</f>
        <v>752</v>
      </c>
      <c r="D678" s="101">
        <f>SUM(D670:D677)</f>
        <v>1083</v>
      </c>
      <c r="E678" s="64">
        <f>SUM(B678:D678)</f>
        <v>2230</v>
      </c>
      <c r="F678" s="101">
        <f>SUM(F670:F677)</f>
        <v>1135</v>
      </c>
      <c r="G678" s="101">
        <f>SUM(G670:G677)</f>
        <v>636</v>
      </c>
      <c r="H678" s="101">
        <f>SUM(H670:H677)</f>
        <v>1375</v>
      </c>
      <c r="I678" s="64">
        <f>SUM(F678:H678)</f>
        <v>3146</v>
      </c>
      <c r="J678" s="101">
        <f>SUM(J670:J677)</f>
        <v>1416</v>
      </c>
      <c r="K678" s="101">
        <f>SUM(K670:K677)</f>
        <v>1810</v>
      </c>
      <c r="L678" s="101">
        <f>SUM(L670:L677)</f>
        <v>1097</v>
      </c>
      <c r="M678" s="64">
        <f>SUM(J678:L678)</f>
        <v>4323</v>
      </c>
      <c r="N678" s="101">
        <f>SUM(N670:N677)</f>
        <v>1159</v>
      </c>
      <c r="O678" s="101">
        <f>SUM(O670:O677)</f>
        <v>200</v>
      </c>
      <c r="P678" s="101">
        <f>SUM(P670:P677)</f>
        <v>213</v>
      </c>
      <c r="Q678" s="64">
        <f>SUM(N678:P678)</f>
        <v>1572</v>
      </c>
      <c r="R678" s="64">
        <f>+E678+I678+M678+Q678</f>
        <v>11271</v>
      </c>
    </row>
    <row r="679" spans="1:18" ht="15.75" customHeight="1" x14ac:dyDescent="0.3">
      <c r="A679" s="17" t="s">
        <v>53</v>
      </c>
      <c r="B679" s="1"/>
      <c r="C679" s="1"/>
      <c r="D679" s="1"/>
      <c r="E679" s="59" t="s">
        <v>7</v>
      </c>
      <c r="F679" s="1"/>
      <c r="G679" s="1"/>
      <c r="H679" s="1"/>
      <c r="I679" s="59" t="s">
        <v>7</v>
      </c>
      <c r="J679" s="1"/>
      <c r="K679" s="1"/>
      <c r="L679" s="1"/>
      <c r="M679" s="59" t="s">
        <v>7</v>
      </c>
      <c r="N679" s="1"/>
      <c r="O679" s="1"/>
      <c r="P679" s="1"/>
      <c r="Q679" s="59" t="s">
        <v>7</v>
      </c>
      <c r="R679" s="59" t="s">
        <v>7</v>
      </c>
    </row>
    <row r="680" spans="1:18" ht="15.75" customHeight="1" x14ac:dyDescent="0.3">
      <c r="A680" s="17" t="s">
        <v>55</v>
      </c>
      <c r="B680" s="1"/>
      <c r="C680" s="1"/>
      <c r="D680" s="1"/>
      <c r="E680" s="59" t="s">
        <v>7</v>
      </c>
      <c r="F680" s="1"/>
      <c r="G680" s="1"/>
      <c r="H680" s="1"/>
      <c r="I680" s="59" t="s">
        <v>7</v>
      </c>
      <c r="J680" s="1"/>
      <c r="K680" s="1"/>
      <c r="L680" s="1"/>
      <c r="M680" s="59" t="s">
        <v>7</v>
      </c>
      <c r="N680" s="1"/>
      <c r="O680" s="1"/>
      <c r="P680" s="1"/>
      <c r="Q680" s="59" t="s">
        <v>7</v>
      </c>
      <c r="R680" s="59" t="s">
        <v>7</v>
      </c>
    </row>
    <row r="681" spans="1:18" ht="15.75" customHeight="1" thickBot="1" x14ac:dyDescent="0.35">
      <c r="A681" s="17" t="s">
        <v>56</v>
      </c>
      <c r="B681" s="1"/>
      <c r="C681" s="1"/>
      <c r="D681" s="1"/>
      <c r="E681" s="59" t="s">
        <v>7</v>
      </c>
      <c r="F681" s="1"/>
      <c r="G681" s="1"/>
      <c r="H681" s="1"/>
      <c r="I681" s="59" t="s">
        <v>7</v>
      </c>
      <c r="J681" s="1"/>
      <c r="K681" s="1"/>
      <c r="L681" s="1"/>
      <c r="M681" s="59" t="s">
        <v>7</v>
      </c>
      <c r="N681" s="1"/>
      <c r="O681" s="1"/>
      <c r="P681" s="1"/>
      <c r="Q681" s="59" t="s">
        <v>7</v>
      </c>
      <c r="R681" s="59" t="s">
        <v>7</v>
      </c>
    </row>
    <row r="682" spans="1:18" ht="16.5" customHeight="1" thickBot="1" x14ac:dyDescent="0.35">
      <c r="A682" s="62" t="s">
        <v>57</v>
      </c>
      <c r="B682" s="100">
        <f>SUM(B679:B681)</f>
        <v>0</v>
      </c>
      <c r="C682" s="101">
        <f>SUM(C679:C681)</f>
        <v>0</v>
      </c>
      <c r="D682" s="101">
        <f>SUM(D679:D681)</f>
        <v>0</v>
      </c>
      <c r="E682" s="64">
        <f>SUM(B682:D682)</f>
        <v>0</v>
      </c>
      <c r="F682" s="101">
        <f>SUM(F679:F681)</f>
        <v>0</v>
      </c>
      <c r="G682" s="101">
        <f>SUM(G679:G681)</f>
        <v>0</v>
      </c>
      <c r="H682" s="101">
        <f>SUM(H679:H681)</f>
        <v>0</v>
      </c>
      <c r="I682" s="64">
        <f>SUM(F682:H682)</f>
        <v>0</v>
      </c>
      <c r="J682" s="101">
        <f>SUM(J679:J681)</f>
        <v>0</v>
      </c>
      <c r="K682" s="101">
        <f>SUM(K679:K681)</f>
        <v>0</v>
      </c>
      <c r="L682" s="101">
        <f>SUM(L679:L681)</f>
        <v>0</v>
      </c>
      <c r="M682" s="64">
        <f>SUM(J682:L682)</f>
        <v>0</v>
      </c>
      <c r="N682" s="101">
        <f>SUM(N679:N681)</f>
        <v>0</v>
      </c>
      <c r="O682" s="101">
        <f>SUM(O679:O681)</f>
        <v>0</v>
      </c>
      <c r="P682" s="101">
        <f>SUM(P679:P681)</f>
        <v>0</v>
      </c>
      <c r="Q682" s="64">
        <f>SUM(N682:P682)</f>
        <v>0</v>
      </c>
      <c r="R682" s="64">
        <f>+E682+I682+M682+Q682</f>
        <v>0</v>
      </c>
    </row>
    <row r="683" spans="1:18" ht="15.75" customHeight="1" x14ac:dyDescent="0.3">
      <c r="A683" s="17" t="s">
        <v>58</v>
      </c>
      <c r="B683" s="1"/>
      <c r="C683" s="1"/>
      <c r="D683" s="1"/>
      <c r="E683" s="59" t="s">
        <v>7</v>
      </c>
      <c r="F683" s="1"/>
      <c r="G683" s="1"/>
      <c r="H683" s="1"/>
      <c r="I683" s="59" t="s">
        <v>7</v>
      </c>
      <c r="J683" s="1"/>
      <c r="K683" s="1"/>
      <c r="L683" s="1"/>
      <c r="M683" s="59" t="s">
        <v>7</v>
      </c>
      <c r="N683" s="1"/>
      <c r="O683" s="1"/>
      <c r="P683" s="1"/>
      <c r="Q683" s="59" t="s">
        <v>7</v>
      </c>
      <c r="R683" s="59" t="s">
        <v>7</v>
      </c>
    </row>
    <row r="684" spans="1:18" ht="15.75" customHeight="1" x14ac:dyDescent="0.3">
      <c r="A684" s="17" t="s">
        <v>59</v>
      </c>
      <c r="B684" s="1"/>
      <c r="C684" s="1"/>
      <c r="D684" s="1"/>
      <c r="E684" s="59" t="s">
        <v>7</v>
      </c>
      <c r="F684" s="1"/>
      <c r="G684" s="1"/>
      <c r="H684" s="1"/>
      <c r="I684" s="59" t="s">
        <v>7</v>
      </c>
      <c r="J684" s="1"/>
      <c r="K684" s="1"/>
      <c r="L684" s="1"/>
      <c r="M684" s="59" t="s">
        <v>7</v>
      </c>
      <c r="N684" s="1"/>
      <c r="O684" s="1"/>
      <c r="P684" s="1"/>
      <c r="Q684" s="59" t="s">
        <v>7</v>
      </c>
      <c r="R684" s="59" t="s">
        <v>7</v>
      </c>
    </row>
    <row r="685" spans="1:18" ht="15.75" customHeight="1" thickBot="1" x14ac:dyDescent="0.35">
      <c r="A685" s="17" t="s">
        <v>60</v>
      </c>
      <c r="B685" s="1"/>
      <c r="C685" s="1"/>
      <c r="D685" s="1"/>
      <c r="E685" s="59" t="s">
        <v>7</v>
      </c>
      <c r="F685" s="1"/>
      <c r="G685" s="1"/>
      <c r="H685" s="1"/>
      <c r="I685" s="59" t="s">
        <v>7</v>
      </c>
      <c r="J685" s="1"/>
      <c r="K685" s="1"/>
      <c r="L685" s="1"/>
      <c r="M685" s="59" t="s">
        <v>7</v>
      </c>
      <c r="N685" s="1"/>
      <c r="O685" s="1"/>
      <c r="P685" s="1"/>
      <c r="Q685" s="59" t="s">
        <v>7</v>
      </c>
      <c r="R685" s="59" t="s">
        <v>7</v>
      </c>
    </row>
    <row r="686" spans="1:18" ht="16.5" customHeight="1" thickBot="1" x14ac:dyDescent="0.35">
      <c r="A686" s="137" t="s">
        <v>61</v>
      </c>
      <c r="B686" s="100">
        <f>SUM(B683:B685)</f>
        <v>0</v>
      </c>
      <c r="C686" s="101">
        <f>SUM(C683:C685)</f>
        <v>0</v>
      </c>
      <c r="D686" s="101">
        <f>SUM(D683:D685)</f>
        <v>0</v>
      </c>
      <c r="E686" s="64">
        <f>SUM(B686:D686)</f>
        <v>0</v>
      </c>
      <c r="F686" s="101">
        <f>SUM(F683:F685)</f>
        <v>0</v>
      </c>
      <c r="G686" s="101">
        <f>SUM(G683:G685)</f>
        <v>0</v>
      </c>
      <c r="H686" s="101">
        <f>SUM(H683:H685)</f>
        <v>0</v>
      </c>
      <c r="I686" s="64">
        <f>SUM(F686:H686)</f>
        <v>0</v>
      </c>
      <c r="J686" s="101">
        <f>SUM(J683:J685)</f>
        <v>0</v>
      </c>
      <c r="K686" s="101">
        <f>SUM(K683:K685)</f>
        <v>0</v>
      </c>
      <c r="L686" s="101">
        <f>SUM(L683:L685)</f>
        <v>0</v>
      </c>
      <c r="M686" s="64">
        <f>SUM(J686:L686)</f>
        <v>0</v>
      </c>
      <c r="N686" s="101">
        <f>SUM(N683:N685)</f>
        <v>0</v>
      </c>
      <c r="O686" s="101">
        <f>SUM(O683:O685)</f>
        <v>0</v>
      </c>
      <c r="P686" s="101">
        <f>SUM(P683:P685)</f>
        <v>0</v>
      </c>
      <c r="Q686" s="64">
        <f>SUM(N686:P686)</f>
        <v>0</v>
      </c>
      <c r="R686" s="64">
        <f>+E686+I686+M686+Q686</f>
        <v>0</v>
      </c>
    </row>
    <row r="687" spans="1:18" ht="15.75" customHeight="1" x14ac:dyDescent="0.3">
      <c r="A687" s="17" t="s">
        <v>62</v>
      </c>
      <c r="B687" s="1"/>
      <c r="C687" s="1"/>
      <c r="D687" s="1"/>
      <c r="E687" s="59" t="s">
        <v>7</v>
      </c>
      <c r="F687" s="1"/>
      <c r="G687" s="1"/>
      <c r="H687" s="1"/>
      <c r="I687" s="59" t="s">
        <v>7</v>
      </c>
      <c r="J687" s="1"/>
      <c r="K687" s="1"/>
      <c r="L687" s="1"/>
      <c r="M687" s="59" t="s">
        <v>7</v>
      </c>
      <c r="N687" s="1"/>
      <c r="O687" s="1"/>
      <c r="P687" s="1"/>
      <c r="Q687" s="59" t="s">
        <v>7</v>
      </c>
      <c r="R687" s="59" t="s">
        <v>7</v>
      </c>
    </row>
    <row r="688" spans="1:18" ht="15.75" customHeight="1" x14ac:dyDescent="0.3">
      <c r="A688" s="17" t="s">
        <v>63</v>
      </c>
      <c r="B688" s="1"/>
      <c r="C688" s="1"/>
      <c r="D688" s="1"/>
      <c r="E688" s="59" t="s">
        <v>7</v>
      </c>
      <c r="F688" s="1"/>
      <c r="G688" s="1"/>
      <c r="H688" s="1"/>
      <c r="I688" s="59" t="s">
        <v>7</v>
      </c>
      <c r="J688" s="1"/>
      <c r="K688" s="1"/>
      <c r="L688" s="1"/>
      <c r="M688" s="59" t="s">
        <v>7</v>
      </c>
      <c r="N688" s="1"/>
      <c r="O688" s="1"/>
      <c r="P688" s="1"/>
      <c r="Q688" s="59" t="s">
        <v>7</v>
      </c>
      <c r="R688" s="59" t="s">
        <v>7</v>
      </c>
    </row>
    <row r="689" spans="1:18" ht="15.75" customHeight="1" x14ac:dyDescent="0.3">
      <c r="A689" s="17" t="s">
        <v>64</v>
      </c>
      <c r="B689" s="1"/>
      <c r="C689" s="1"/>
      <c r="D689" s="1"/>
      <c r="E689" s="59" t="s">
        <v>7</v>
      </c>
      <c r="F689" s="1"/>
      <c r="G689" s="1"/>
      <c r="H689" s="1"/>
      <c r="I689" s="59" t="s">
        <v>7</v>
      </c>
      <c r="J689" s="1"/>
      <c r="K689" s="1"/>
      <c r="L689" s="1"/>
      <c r="M689" s="59" t="s">
        <v>7</v>
      </c>
      <c r="N689" s="1"/>
      <c r="O689" s="1"/>
      <c r="P689" s="1"/>
      <c r="Q689" s="59" t="s">
        <v>7</v>
      </c>
      <c r="R689" s="59" t="s">
        <v>7</v>
      </c>
    </row>
    <row r="690" spans="1:18" ht="15.75" customHeight="1" x14ac:dyDescent="0.3">
      <c r="A690" s="74" t="s">
        <v>555</v>
      </c>
      <c r="B690" s="1"/>
      <c r="C690" s="1"/>
      <c r="D690" s="1"/>
      <c r="E690" s="59">
        <f>SUM(B690:D690)</f>
        <v>0</v>
      </c>
      <c r="F690" s="1"/>
      <c r="G690" s="1"/>
      <c r="H690" s="1"/>
      <c r="I690" s="59">
        <f>SUM(F690:H690)</f>
        <v>0</v>
      </c>
      <c r="J690" s="1"/>
      <c r="K690" s="1"/>
      <c r="L690" s="1"/>
      <c r="M690" s="59">
        <f>SUM(J690:L690)</f>
        <v>0</v>
      </c>
      <c r="N690" s="1"/>
      <c r="O690" s="1"/>
      <c r="P690" s="1"/>
      <c r="Q690" s="59">
        <f>SUM(N690:P690)</f>
        <v>0</v>
      </c>
      <c r="R690" s="59">
        <f>+E690+I690+M690+Q690</f>
        <v>0</v>
      </c>
    </row>
    <row r="691" spans="1:18" ht="15.75" customHeight="1" x14ac:dyDescent="0.3">
      <c r="A691" s="17" t="s">
        <v>66</v>
      </c>
      <c r="B691" s="1"/>
      <c r="C691" s="1"/>
      <c r="D691" s="1"/>
      <c r="E691" s="59" t="s">
        <v>7</v>
      </c>
      <c r="F691" s="1"/>
      <c r="G691" s="1"/>
      <c r="H691" s="1"/>
      <c r="I691" s="59" t="s">
        <v>7</v>
      </c>
      <c r="J691" s="1"/>
      <c r="K691" s="1"/>
      <c r="L691" s="1"/>
      <c r="M691" s="59" t="s">
        <v>7</v>
      </c>
      <c r="N691" s="1"/>
      <c r="O691" s="1"/>
      <c r="P691" s="1"/>
      <c r="Q691" s="59" t="s">
        <v>7</v>
      </c>
      <c r="R691" s="59" t="s">
        <v>7</v>
      </c>
    </row>
    <row r="692" spans="1:18" ht="15.75" customHeight="1" thickBot="1" x14ac:dyDescent="0.35">
      <c r="A692" s="17" t="s">
        <v>67</v>
      </c>
      <c r="B692" s="1"/>
      <c r="C692" s="1"/>
      <c r="D692" s="1"/>
      <c r="E692" s="59" t="s">
        <v>7</v>
      </c>
      <c r="F692" s="1"/>
      <c r="G692" s="1"/>
      <c r="H692" s="1"/>
      <c r="I692" s="59" t="s">
        <v>7</v>
      </c>
      <c r="J692" s="1"/>
      <c r="K692" s="1"/>
      <c r="L692" s="1"/>
      <c r="M692" s="59" t="s">
        <v>7</v>
      </c>
      <c r="N692" s="1"/>
      <c r="O692" s="1"/>
      <c r="P692" s="1"/>
      <c r="Q692" s="59" t="s">
        <v>7</v>
      </c>
      <c r="R692" s="59" t="s">
        <v>7</v>
      </c>
    </row>
    <row r="693" spans="1:18" ht="16.5" customHeight="1" thickBot="1" x14ac:dyDescent="0.35">
      <c r="A693" s="62" t="s">
        <v>68</v>
      </c>
      <c r="B693" s="63">
        <f>SUM(B691:B692)</f>
        <v>0</v>
      </c>
      <c r="C693" s="63">
        <f>SUM(C691:C692)</f>
        <v>0</v>
      </c>
      <c r="D693" s="63">
        <f>SUM(D691:D692)</f>
        <v>0</v>
      </c>
      <c r="E693" s="334">
        <f>SUM(B693:D693)</f>
        <v>0</v>
      </c>
      <c r="F693" s="63">
        <f>SUM(F691:F692)</f>
        <v>0</v>
      </c>
      <c r="G693" s="63">
        <f>SUM(G691:G692)</f>
        <v>0</v>
      </c>
      <c r="H693" s="63">
        <f>SUM(H691:H692)</f>
        <v>0</v>
      </c>
      <c r="I693" s="334">
        <f>SUM(F693:H693)</f>
        <v>0</v>
      </c>
      <c r="J693" s="63">
        <f>SUM(J691:J692)</f>
        <v>0</v>
      </c>
      <c r="K693" s="63">
        <f>SUM(K691:K692)</f>
        <v>0</v>
      </c>
      <c r="L693" s="63">
        <f>SUM(L691:L692)</f>
        <v>0</v>
      </c>
      <c r="M693" s="334">
        <f>SUM(J693:L693)</f>
        <v>0</v>
      </c>
      <c r="N693" s="63">
        <f>SUM(N691:N692)</f>
        <v>0</v>
      </c>
      <c r="O693" s="63">
        <f>SUM(O691:O692)</f>
        <v>0</v>
      </c>
      <c r="P693" s="63">
        <f>SUM(P691:P692)</f>
        <v>0</v>
      </c>
      <c r="Q693" s="334">
        <f>SUM(N693:P693)</f>
        <v>0</v>
      </c>
      <c r="R693" s="64">
        <f>+E693+I693+M693+Q693</f>
        <v>0</v>
      </c>
    </row>
    <row r="694" spans="1:18" ht="16.5" customHeight="1" thickBot="1" x14ac:dyDescent="0.35">
      <c r="A694" s="137" t="s">
        <v>69</v>
      </c>
      <c r="B694" s="100">
        <f>SUM(B687:B692)</f>
        <v>0</v>
      </c>
      <c r="C694" s="101">
        <f>SUM(C687:C692)</f>
        <v>0</v>
      </c>
      <c r="D694" s="138">
        <f>SUM(D687:D692)</f>
        <v>0</v>
      </c>
      <c r="E694" s="334">
        <f>SUM(B694:D694)</f>
        <v>0</v>
      </c>
      <c r="F694" s="101">
        <f>SUM(F687:F692)</f>
        <v>0</v>
      </c>
      <c r="G694" s="101">
        <f>SUM(G687:G692)</f>
        <v>0</v>
      </c>
      <c r="H694" s="101">
        <f>SUM(H687:H692)</f>
        <v>0</v>
      </c>
      <c r="I694" s="334">
        <f>SUM(F694:H694)</f>
        <v>0</v>
      </c>
      <c r="J694" s="101">
        <f>SUM(J687:J692)</f>
        <v>0</v>
      </c>
      <c r="K694" s="101">
        <f>SUM(K687:K692)</f>
        <v>0</v>
      </c>
      <c r="L694" s="101">
        <f>SUM(L687:L692)</f>
        <v>0</v>
      </c>
      <c r="M694" s="334">
        <f>SUM(J694:L694)</f>
        <v>0</v>
      </c>
      <c r="N694" s="101">
        <f>SUM(N687:N692)</f>
        <v>0</v>
      </c>
      <c r="O694" s="101">
        <f>SUM(O687:O692)</f>
        <v>0</v>
      </c>
      <c r="P694" s="101">
        <f>SUM(P687:P692)</f>
        <v>0</v>
      </c>
      <c r="Q694" s="334">
        <f>SUM(N694:P694)</f>
        <v>0</v>
      </c>
      <c r="R694" s="64">
        <f>+E694+I694+M694+Q694</f>
        <v>0</v>
      </c>
    </row>
    <row r="695" spans="1:18" ht="16.5" customHeight="1" thickBot="1" x14ac:dyDescent="0.35">
      <c r="A695" s="62" t="s">
        <v>70</v>
      </c>
      <c r="B695" s="107">
        <f>+B678+B682+B686+B694</f>
        <v>395</v>
      </c>
      <c r="C695" s="63">
        <f>+C678+C682+C686+C694</f>
        <v>752</v>
      </c>
      <c r="D695" s="63">
        <f>+D678+D682+D686+D694</f>
        <v>1083</v>
      </c>
      <c r="E695" s="64">
        <f>SUM(B695:D695)</f>
        <v>2230</v>
      </c>
      <c r="F695" s="63">
        <f>+F678+F682+F686+F694</f>
        <v>1135</v>
      </c>
      <c r="G695" s="63">
        <f>+G678+G682+G686+G694</f>
        <v>636</v>
      </c>
      <c r="H695" s="63">
        <f>+H678+H682+H686+H694</f>
        <v>1375</v>
      </c>
      <c r="I695" s="64">
        <f>SUM(F695:H695)</f>
        <v>3146</v>
      </c>
      <c r="J695" s="63">
        <f>+J678+J682+J686+J694</f>
        <v>1416</v>
      </c>
      <c r="K695" s="63">
        <f>+K678+K682+K686+K694</f>
        <v>1810</v>
      </c>
      <c r="L695" s="63">
        <f>+L678+L682+L686+L694</f>
        <v>1097</v>
      </c>
      <c r="M695" s="64">
        <f>SUM(J695:L695)</f>
        <v>4323</v>
      </c>
      <c r="N695" s="63">
        <f>+N678+N682+N686+N694</f>
        <v>1159</v>
      </c>
      <c r="O695" s="63">
        <f>+O678+O682+O686+O694</f>
        <v>200</v>
      </c>
      <c r="P695" s="63">
        <f>+P678+P682+P686+P694</f>
        <v>213</v>
      </c>
      <c r="Q695" s="64">
        <f>SUM(N695:P695)</f>
        <v>1572</v>
      </c>
      <c r="R695" s="88">
        <f>+E695+I695+M695+Q695</f>
        <v>11271</v>
      </c>
    </row>
    <row r="696" spans="1:18" ht="16.5" customHeight="1" thickBot="1" x14ac:dyDescent="0.35">
      <c r="A696" s="40" t="s">
        <v>37</v>
      </c>
      <c r="B696" s="25">
        <v>10</v>
      </c>
      <c r="C696" s="25">
        <v>11</v>
      </c>
      <c r="D696" s="25">
        <v>14</v>
      </c>
      <c r="E696" s="59">
        <f>SUM(B696:D696)</f>
        <v>35</v>
      </c>
      <c r="F696" s="25">
        <v>18</v>
      </c>
      <c r="G696" s="25">
        <v>21</v>
      </c>
      <c r="H696" s="25">
        <v>22</v>
      </c>
      <c r="I696" s="59">
        <f>SUM(F696:H696)</f>
        <v>61</v>
      </c>
      <c r="J696" s="25">
        <v>19</v>
      </c>
      <c r="K696" s="25">
        <v>17</v>
      </c>
      <c r="L696" s="25">
        <v>17</v>
      </c>
      <c r="M696" s="59">
        <f>SUM(J696:L696)</f>
        <v>53</v>
      </c>
      <c r="N696" s="25">
        <v>14</v>
      </c>
      <c r="O696" s="25">
        <v>11</v>
      </c>
      <c r="P696" s="25">
        <v>9</v>
      </c>
      <c r="Q696" s="59">
        <f>SUM(N696:P696)</f>
        <v>34</v>
      </c>
      <c r="R696" s="59">
        <f>+E696+I696+M696+Q696</f>
        <v>183</v>
      </c>
    </row>
    <row r="697" spans="1:18" ht="16.5" customHeight="1" thickBot="1" x14ac:dyDescent="0.35">
      <c r="A697" s="42"/>
      <c r="B697" s="37"/>
      <c r="C697" s="37"/>
      <c r="D697" s="37"/>
      <c r="E697" s="16"/>
      <c r="F697" s="37"/>
      <c r="G697" s="37"/>
      <c r="H697" s="37"/>
      <c r="I697" s="16"/>
      <c r="J697" s="37"/>
      <c r="K697" s="37"/>
      <c r="L697" s="37"/>
      <c r="M697" s="345"/>
      <c r="N697" s="37"/>
      <c r="O697" s="37"/>
      <c r="P697" s="37"/>
      <c r="Q697" s="345"/>
      <c r="R697" s="327"/>
    </row>
    <row r="698" spans="1:18" ht="15.75" customHeight="1" x14ac:dyDescent="0.3">
      <c r="A698" s="17" t="s">
        <v>507</v>
      </c>
      <c r="B698" s="1">
        <f>SUM(B695:B696)</f>
        <v>405</v>
      </c>
      <c r="C698" s="1">
        <f>SUM(C695:C696)</f>
        <v>763</v>
      </c>
      <c r="D698" s="1">
        <f>SUM(D695:D696)</f>
        <v>1097</v>
      </c>
      <c r="E698" s="59">
        <f>SUM(B698:D698)</f>
        <v>2265</v>
      </c>
      <c r="F698" s="1">
        <f>SUM(F695:F696)</f>
        <v>1153</v>
      </c>
      <c r="G698" s="1">
        <f>SUM(G695:G696)</f>
        <v>657</v>
      </c>
      <c r="H698" s="1">
        <f>SUM(H695:H696)</f>
        <v>1397</v>
      </c>
      <c r="I698" s="334">
        <f>SUM(F698:H698)</f>
        <v>3207</v>
      </c>
      <c r="J698" s="1">
        <f>SUM(J695:J696)</f>
        <v>1435</v>
      </c>
      <c r="K698" s="1">
        <f>SUM(K695:K696)</f>
        <v>1827</v>
      </c>
      <c r="L698" s="1">
        <f>SUM(L695:L696)</f>
        <v>1114</v>
      </c>
      <c r="M698" s="334">
        <f>SUM(J698:L698)</f>
        <v>4376</v>
      </c>
      <c r="N698" s="1">
        <f>SUM(N695:N696)</f>
        <v>1173</v>
      </c>
      <c r="O698" s="1">
        <f>SUM(O695:O696)</f>
        <v>211</v>
      </c>
      <c r="P698" s="1">
        <f>SUM(P695:P696)</f>
        <v>222</v>
      </c>
      <c r="Q698" s="334">
        <f>SUM(N698:P698)</f>
        <v>1606</v>
      </c>
      <c r="R698" s="334">
        <f>+E698+I698+M698+Q698</f>
        <v>11454</v>
      </c>
    </row>
    <row r="699" spans="1:18" ht="15.75" customHeight="1" x14ac:dyDescent="0.3">
      <c r="A699" s="17" t="s">
        <v>39</v>
      </c>
      <c r="B699" s="1">
        <f>(B698/B10)/1.983</f>
        <v>6.5882582597237809</v>
      </c>
      <c r="C699" s="1">
        <f>(C698/C10)/1.983</f>
        <v>13.741805345436207</v>
      </c>
      <c r="D699" s="1">
        <f>(D698/D10)/1.983</f>
        <v>17.8452328664617</v>
      </c>
      <c r="E699" s="59" t="s">
        <v>7</v>
      </c>
      <c r="F699" s="1">
        <f>(F698/F10)/1.983</f>
        <v>19.38140864010758</v>
      </c>
      <c r="G699" s="1">
        <f>(G698/G10)/1.983</f>
        <v>10.687618954663023</v>
      </c>
      <c r="H699" s="1">
        <f>(H698/H10)/1.983</f>
        <v>23.48293830895949</v>
      </c>
      <c r="I699" s="59" t="s">
        <v>7</v>
      </c>
      <c r="J699" s="1">
        <f>(J698/J10)/1.983</f>
        <v>23.343581735070678</v>
      </c>
      <c r="K699" s="1">
        <f>(K698/K10)/1.983</f>
        <v>29.720365038309502</v>
      </c>
      <c r="L699" s="1">
        <f>(L698/L10)/1.983</f>
        <v>18.725836275004202</v>
      </c>
      <c r="M699" s="59" t="s">
        <v>7</v>
      </c>
      <c r="N699" s="1">
        <f>(N698/N10)/1.983</f>
        <v>19.081547996681469</v>
      </c>
      <c r="O699" s="1">
        <f>(O698/O10)/1.983</f>
        <v>3.5468145906875104</v>
      </c>
      <c r="P699" s="1">
        <f>(P698/P10)/1.983</f>
        <v>3.6113415645893316</v>
      </c>
      <c r="Q699" s="59" t="s">
        <v>7</v>
      </c>
      <c r="R699" s="59" t="s">
        <v>7</v>
      </c>
    </row>
    <row r="700" spans="1:18" ht="15.75" customHeight="1" x14ac:dyDescent="0.3">
      <c r="A700" s="17" t="s">
        <v>556</v>
      </c>
      <c r="B700" s="1">
        <f>B698+B753</f>
        <v>12769</v>
      </c>
      <c r="C700" s="1">
        <f>C698+C753</f>
        <v>9945</v>
      </c>
      <c r="D700" s="1">
        <f>D698+D753</f>
        <v>14722</v>
      </c>
      <c r="E700" s="59">
        <f>SUM(B700:D700)</f>
        <v>37436</v>
      </c>
      <c r="F700" s="1">
        <f>F698+F753</f>
        <v>20558</v>
      </c>
      <c r="G700" s="1">
        <f>G698+G753</f>
        <v>20505</v>
      </c>
      <c r="H700" s="1">
        <f>H698+H753</f>
        <v>21594</v>
      </c>
      <c r="I700" s="59">
        <f>SUM(F700:H700)</f>
        <v>62657</v>
      </c>
      <c r="J700" s="1">
        <f>J698+J753</f>
        <v>22845</v>
      </c>
      <c r="K700" s="1">
        <f>K698+K753</f>
        <v>22089</v>
      </c>
      <c r="L700" s="1">
        <f>L698+L753</f>
        <v>17542</v>
      </c>
      <c r="M700" s="59">
        <f>SUM(J700:L700)</f>
        <v>62476</v>
      </c>
      <c r="N700" s="1">
        <f>N698+N753</f>
        <v>15689</v>
      </c>
      <c r="O700" s="1">
        <f>O698+O753</f>
        <v>1027</v>
      </c>
      <c r="P700" s="1">
        <f>P698+P753</f>
        <v>4160</v>
      </c>
      <c r="Q700" s="59">
        <f>SUM(N700:P700)</f>
        <v>20876</v>
      </c>
      <c r="R700" s="59">
        <f>+E700+I700+M700+Q700</f>
        <v>183445</v>
      </c>
    </row>
    <row r="701" spans="1:18" ht="16.5" customHeight="1" thickBot="1" x14ac:dyDescent="0.35">
      <c r="A701" s="24" t="s">
        <v>557</v>
      </c>
      <c r="B701" s="25">
        <f>(B700/B10)/1.983</f>
        <v>207.71720918126655</v>
      </c>
      <c r="C701" s="25">
        <f>(C700/C10)/1.983</f>
        <v>179.11173546574454</v>
      </c>
      <c r="D701" s="25">
        <f>(D700/D10)/1.983</f>
        <v>239.48725456704568</v>
      </c>
      <c r="E701" s="88" t="s">
        <v>7</v>
      </c>
      <c r="F701" s="25">
        <f>(F700/F10)/1.983</f>
        <v>345.5706841485964</v>
      </c>
      <c r="G701" s="25">
        <f>(G700/G10)/1.983</f>
        <v>333.5610755941633</v>
      </c>
      <c r="H701" s="25">
        <f>(H700/H10)/1.983</f>
        <v>362.98537569339379</v>
      </c>
      <c r="I701" s="88" t="s">
        <v>7</v>
      </c>
      <c r="J701" s="25">
        <f>(J700/J10)/1.983</f>
        <v>371.62656776145622</v>
      </c>
      <c r="K701" s="25">
        <f>(K700/K10)/1.983</f>
        <v>359.32848567663848</v>
      </c>
      <c r="L701" s="25">
        <f>(L700/L10)/1.983</f>
        <v>294.87308791393508</v>
      </c>
      <c r="M701" s="88" t="s">
        <v>7</v>
      </c>
      <c r="N701" s="25">
        <f>(N700/N10)/1.983</f>
        <v>255.21773786865779</v>
      </c>
      <c r="O701" s="25">
        <f>(O700/O10)/1.983</f>
        <v>17.263405614388972</v>
      </c>
      <c r="P701" s="25">
        <f>(P700/P10)/1.983</f>
        <v>67.671986075187476</v>
      </c>
      <c r="Q701" s="88" t="s">
        <v>7</v>
      </c>
      <c r="R701" s="88" t="s">
        <v>7</v>
      </c>
    </row>
    <row r="702" spans="1:18" ht="15.75" customHeight="1" x14ac:dyDescent="0.3">
      <c r="A702" s="28"/>
      <c r="B702" s="1"/>
      <c r="C702" s="1"/>
      <c r="D702" s="1"/>
      <c r="E702" s="1"/>
      <c r="F702" s="1"/>
      <c r="G702" s="1"/>
      <c r="H702" s="1"/>
      <c r="I702" s="1"/>
      <c r="J702" s="1"/>
      <c r="K702" s="1"/>
      <c r="L702" s="1"/>
      <c r="M702" s="1"/>
      <c r="N702" s="1"/>
      <c r="O702" s="1"/>
      <c r="P702" s="1"/>
      <c r="Q702" s="1"/>
      <c r="R702" s="28"/>
    </row>
    <row r="703" spans="1:18" ht="16.5" customHeight="1" thickBot="1" x14ac:dyDescent="0.35">
      <c r="A703" s="123"/>
      <c r="B703" s="25"/>
      <c r="C703" s="25"/>
      <c r="D703" s="25"/>
      <c r="E703" s="25"/>
      <c r="F703" s="25"/>
      <c r="G703" s="25"/>
      <c r="H703" s="25"/>
      <c r="I703" s="25"/>
      <c r="J703" s="25"/>
      <c r="K703" s="25"/>
      <c r="L703" s="25"/>
      <c r="M703" s="25"/>
      <c r="N703" s="25"/>
      <c r="O703" s="25"/>
      <c r="P703" s="25"/>
      <c r="Q703" s="25"/>
      <c r="R703" s="123"/>
    </row>
    <row r="704" spans="1:18" ht="15.75" customHeight="1" thickBot="1" x14ac:dyDescent="0.35">
      <c r="A704" s="342" t="s">
        <v>558</v>
      </c>
      <c r="B704" s="330" t="s">
        <v>36</v>
      </c>
      <c r="C704" s="331" t="s">
        <v>9</v>
      </c>
      <c r="D704" s="331" t="s">
        <v>10</v>
      </c>
      <c r="E704" s="325" t="s">
        <v>11</v>
      </c>
      <c r="F704" s="331" t="s">
        <v>12</v>
      </c>
      <c r="G704" s="331" t="s">
        <v>13</v>
      </c>
      <c r="H704" s="331" t="s">
        <v>14</v>
      </c>
      <c r="I704" s="325" t="s">
        <v>15</v>
      </c>
      <c r="J704" s="331" t="s">
        <v>16</v>
      </c>
      <c r="K704" s="331" t="s">
        <v>17</v>
      </c>
      <c r="L704" s="331" t="s">
        <v>18</v>
      </c>
      <c r="M704" s="325" t="s">
        <v>19</v>
      </c>
      <c r="N704" s="331" t="s">
        <v>20</v>
      </c>
      <c r="O704" s="331" t="s">
        <v>21</v>
      </c>
      <c r="P704" s="331" t="s">
        <v>22</v>
      </c>
      <c r="Q704" s="325" t="s">
        <v>23</v>
      </c>
      <c r="R704" s="332" t="s">
        <v>24</v>
      </c>
    </row>
    <row r="705" spans="1:18" ht="16.5" customHeight="1" thickBot="1" x14ac:dyDescent="0.35">
      <c r="A705" s="154"/>
      <c r="B705" s="56"/>
      <c r="C705" s="56"/>
      <c r="D705" s="56"/>
      <c r="E705" s="16"/>
      <c r="F705" s="56"/>
      <c r="G705" s="56"/>
      <c r="H705" s="56"/>
      <c r="I705" s="16"/>
      <c r="J705" s="56"/>
      <c r="K705" s="56"/>
      <c r="L705" s="56"/>
      <c r="M705" s="16"/>
      <c r="N705" s="56"/>
      <c r="O705" s="56"/>
      <c r="P705" s="56"/>
      <c r="Q705" s="16"/>
      <c r="R705" s="57"/>
    </row>
    <row r="706" spans="1:18" ht="15.75" customHeight="1" x14ac:dyDescent="0.3">
      <c r="A706" s="17" t="s">
        <v>45</v>
      </c>
      <c r="B706" s="1" t="s">
        <v>7</v>
      </c>
      <c r="C706" s="1" t="s">
        <v>7</v>
      </c>
      <c r="D706" s="1" t="s">
        <v>7</v>
      </c>
      <c r="E706" s="59" t="s">
        <v>7</v>
      </c>
      <c r="F706" s="1" t="s">
        <v>7</v>
      </c>
      <c r="G706" s="1" t="s">
        <v>7</v>
      </c>
      <c r="H706" s="1" t="s">
        <v>7</v>
      </c>
      <c r="I706" s="59" t="s">
        <v>7</v>
      </c>
      <c r="J706" s="1" t="s">
        <v>7</v>
      </c>
      <c r="K706" s="1" t="s">
        <v>7</v>
      </c>
      <c r="L706" s="1" t="s">
        <v>7</v>
      </c>
      <c r="M706" s="59" t="s">
        <v>7</v>
      </c>
      <c r="N706" s="1" t="s">
        <v>7</v>
      </c>
      <c r="O706" s="1" t="s">
        <v>7</v>
      </c>
      <c r="P706" s="1" t="s">
        <v>7</v>
      </c>
      <c r="Q706" s="59" t="s">
        <v>7</v>
      </c>
      <c r="R706" s="59" t="s">
        <v>7</v>
      </c>
    </row>
    <row r="707" spans="1:18" ht="15.75" customHeight="1" x14ac:dyDescent="0.3">
      <c r="A707" s="17" t="s">
        <v>46</v>
      </c>
      <c r="B707" s="1"/>
      <c r="C707" s="1"/>
      <c r="D707" s="1"/>
      <c r="E707" s="59" t="s">
        <v>7</v>
      </c>
      <c r="F707" s="1"/>
      <c r="G707" s="1"/>
      <c r="H707" s="1"/>
      <c r="I707" s="59" t="s">
        <v>7</v>
      </c>
      <c r="J707" s="1"/>
      <c r="K707" s="1"/>
      <c r="L707" s="1"/>
      <c r="M707" s="59" t="s">
        <v>7</v>
      </c>
      <c r="N707" s="1"/>
      <c r="O707" s="1"/>
      <c r="P707" s="1"/>
      <c r="Q707" s="59" t="s">
        <v>7</v>
      </c>
      <c r="R707" s="59" t="s">
        <v>7</v>
      </c>
    </row>
    <row r="708" spans="1:18" ht="15.75" customHeight="1" x14ac:dyDescent="0.3">
      <c r="A708" s="74" t="s">
        <v>559</v>
      </c>
      <c r="B708" s="1">
        <v>4325</v>
      </c>
      <c r="C708" s="1"/>
      <c r="D708" s="1">
        <v>3185</v>
      </c>
      <c r="E708" s="59">
        <f t="shared" ref="E708:E709" si="264">SUM(B708:D708)</f>
        <v>7510</v>
      </c>
      <c r="F708" s="1">
        <v>6375</v>
      </c>
      <c r="G708" s="1">
        <v>7232</v>
      </c>
      <c r="H708" s="1">
        <v>7511</v>
      </c>
      <c r="I708" s="59">
        <f t="shared" ref="I708:I709" si="265">SUM(F708:H708)</f>
        <v>21118</v>
      </c>
      <c r="J708" s="1">
        <v>7625</v>
      </c>
      <c r="K708" s="1">
        <v>7604</v>
      </c>
      <c r="L708" s="1">
        <v>5011</v>
      </c>
      <c r="M708" s="59">
        <f t="shared" ref="M708:M709" si="266">SUM(J708:L708)</f>
        <v>20240</v>
      </c>
      <c r="N708" s="1">
        <v>3220</v>
      </c>
      <c r="O708" s="1"/>
      <c r="P708" s="1">
        <v>1197</v>
      </c>
      <c r="Q708" s="59">
        <f t="shared" ref="Q708:Q714" si="267">SUM(N708:P708)</f>
        <v>4417</v>
      </c>
      <c r="R708" s="59">
        <f>+E708+I708+M708+Q708</f>
        <v>53285</v>
      </c>
    </row>
    <row r="709" spans="1:18" ht="15.75" customHeight="1" x14ac:dyDescent="0.3">
      <c r="A709" s="74" t="s">
        <v>560</v>
      </c>
      <c r="B709" s="1">
        <v>2432</v>
      </c>
      <c r="C709" s="1">
        <v>2289</v>
      </c>
      <c r="D709" s="1">
        <v>2989</v>
      </c>
      <c r="E709" s="59">
        <f t="shared" si="264"/>
        <v>7710</v>
      </c>
      <c r="F709" s="1">
        <v>3585</v>
      </c>
      <c r="G709" s="1">
        <v>3903</v>
      </c>
      <c r="H709" s="1">
        <v>6874</v>
      </c>
      <c r="I709" s="59">
        <f t="shared" si="265"/>
        <v>14362</v>
      </c>
      <c r="J709" s="1">
        <v>7791</v>
      </c>
      <c r="K709" s="1">
        <v>2581</v>
      </c>
      <c r="L709" s="1">
        <v>113</v>
      </c>
      <c r="M709" s="59">
        <f t="shared" si="266"/>
        <v>10485</v>
      </c>
      <c r="N709" s="1"/>
      <c r="O709" s="1"/>
      <c r="P709" s="1"/>
      <c r="Q709" s="59">
        <f t="shared" si="267"/>
        <v>0</v>
      </c>
      <c r="R709" s="59">
        <f t="shared" ref="R709:R714" si="268">+E709+I709+M709+Q709</f>
        <v>32557</v>
      </c>
    </row>
    <row r="710" spans="1:18" ht="15.75" customHeight="1" x14ac:dyDescent="0.3">
      <c r="A710" s="74" t="s">
        <v>561</v>
      </c>
      <c r="B710" s="1">
        <v>50</v>
      </c>
      <c r="C710" s="1">
        <v>50</v>
      </c>
      <c r="D710" s="1">
        <v>50</v>
      </c>
      <c r="E710" s="59">
        <f t="shared" ref="E710:E714" si="269">SUM(B710:D710)</f>
        <v>150</v>
      </c>
      <c r="F710" s="1">
        <v>50</v>
      </c>
      <c r="G710" s="1">
        <v>50</v>
      </c>
      <c r="H710" s="1">
        <v>50</v>
      </c>
      <c r="I710" s="59">
        <f t="shared" ref="I710:I714" si="270">SUM(F710:H710)</f>
        <v>150</v>
      </c>
      <c r="J710" s="1">
        <v>50</v>
      </c>
      <c r="K710" s="1">
        <v>50</v>
      </c>
      <c r="L710" s="1">
        <v>50</v>
      </c>
      <c r="M710" s="59">
        <f t="shared" ref="M710:M714" si="271">SUM(J710:L710)</f>
        <v>150</v>
      </c>
      <c r="N710" s="1">
        <v>7</v>
      </c>
      <c r="O710" s="1"/>
      <c r="P710" s="1"/>
      <c r="Q710" s="59">
        <f t="shared" si="267"/>
        <v>7</v>
      </c>
      <c r="R710" s="59">
        <f t="shared" si="268"/>
        <v>457</v>
      </c>
    </row>
    <row r="711" spans="1:18" ht="15.75" customHeight="1" x14ac:dyDescent="0.3">
      <c r="A711" s="74" t="s">
        <v>562</v>
      </c>
      <c r="B711" s="1"/>
      <c r="C711" s="1"/>
      <c r="D711" s="1"/>
      <c r="E711" s="59">
        <f t="shared" si="269"/>
        <v>0</v>
      </c>
      <c r="F711" s="1"/>
      <c r="G711" s="1"/>
      <c r="H711" s="1"/>
      <c r="I711" s="59">
        <f t="shared" si="270"/>
        <v>0</v>
      </c>
      <c r="J711" s="1"/>
      <c r="K711" s="1"/>
      <c r="L711" s="1"/>
      <c r="M711" s="59">
        <f t="shared" si="271"/>
        <v>0</v>
      </c>
      <c r="N711" s="1"/>
      <c r="O711" s="1"/>
      <c r="P711" s="1"/>
      <c r="Q711" s="59">
        <f t="shared" ref="Q711" si="272">SUM(N711:P711)</f>
        <v>0</v>
      </c>
      <c r="R711" s="59">
        <f t="shared" si="268"/>
        <v>0</v>
      </c>
    </row>
    <row r="712" spans="1:18" ht="15.75" customHeight="1" x14ac:dyDescent="0.3">
      <c r="A712" s="74" t="s">
        <v>986</v>
      </c>
      <c r="B712" s="1">
        <v>164</v>
      </c>
      <c r="C712" s="1">
        <v>3000</v>
      </c>
      <c r="D712" s="1">
        <v>3000</v>
      </c>
      <c r="E712" s="59">
        <f t="shared" si="269"/>
        <v>6164</v>
      </c>
      <c r="F712" s="1">
        <v>3000</v>
      </c>
      <c r="G712" s="1">
        <v>3000</v>
      </c>
      <c r="H712" s="1"/>
      <c r="I712" s="59">
        <f t="shared" si="270"/>
        <v>6000</v>
      </c>
      <c r="J712" s="1"/>
      <c r="K712" s="1">
        <v>954</v>
      </c>
      <c r="L712" s="1"/>
      <c r="M712" s="59">
        <f t="shared" si="271"/>
        <v>954</v>
      </c>
      <c r="N712" s="1"/>
      <c r="O712" s="1"/>
      <c r="P712" s="1"/>
      <c r="Q712" s="59">
        <f t="shared" si="267"/>
        <v>0</v>
      </c>
      <c r="R712" s="59">
        <f t="shared" si="268"/>
        <v>13118</v>
      </c>
    </row>
    <row r="713" spans="1:18" ht="15.75" customHeight="1" x14ac:dyDescent="0.3">
      <c r="A713" s="74" t="s">
        <v>563</v>
      </c>
      <c r="B713" s="1">
        <v>250</v>
      </c>
      <c r="C713" s="1"/>
      <c r="D713" s="1">
        <v>250</v>
      </c>
      <c r="E713" s="59">
        <f t="shared" si="269"/>
        <v>500</v>
      </c>
      <c r="F713" s="1">
        <v>250</v>
      </c>
      <c r="G713" s="1">
        <v>250</v>
      </c>
      <c r="H713" s="1">
        <v>250</v>
      </c>
      <c r="I713" s="59">
        <f t="shared" si="270"/>
        <v>750</v>
      </c>
      <c r="J713" s="1">
        <v>250</v>
      </c>
      <c r="K713" s="1">
        <v>250</v>
      </c>
      <c r="L713" s="1">
        <v>250</v>
      </c>
      <c r="M713" s="59">
        <f t="shared" si="271"/>
        <v>750</v>
      </c>
      <c r="N713" s="1">
        <v>300</v>
      </c>
      <c r="O713" s="1"/>
      <c r="P713" s="1"/>
      <c r="Q713" s="59">
        <f t="shared" si="267"/>
        <v>300</v>
      </c>
      <c r="R713" s="59">
        <f t="shared" si="268"/>
        <v>2300</v>
      </c>
    </row>
    <row r="714" spans="1:18" ht="15.75" customHeight="1" x14ac:dyDescent="0.3">
      <c r="A714" s="74" t="s">
        <v>564</v>
      </c>
      <c r="B714" s="1">
        <v>120</v>
      </c>
      <c r="C714" s="1">
        <v>120</v>
      </c>
      <c r="D714" s="1">
        <v>120</v>
      </c>
      <c r="E714" s="59">
        <f t="shared" si="269"/>
        <v>360</v>
      </c>
      <c r="F714" s="1">
        <v>120</v>
      </c>
      <c r="G714" s="1">
        <v>130</v>
      </c>
      <c r="H714" s="1">
        <v>130</v>
      </c>
      <c r="I714" s="59">
        <f t="shared" si="270"/>
        <v>380</v>
      </c>
      <c r="J714" s="1">
        <v>130</v>
      </c>
      <c r="K714" s="1">
        <v>130</v>
      </c>
      <c r="L714" s="1">
        <v>130</v>
      </c>
      <c r="M714" s="59">
        <f t="shared" si="271"/>
        <v>390</v>
      </c>
      <c r="N714" s="1">
        <v>130</v>
      </c>
      <c r="O714" s="1"/>
      <c r="P714" s="1">
        <v>60</v>
      </c>
      <c r="Q714" s="59">
        <f t="shared" si="267"/>
        <v>190</v>
      </c>
      <c r="R714" s="59">
        <f t="shared" si="268"/>
        <v>1320</v>
      </c>
    </row>
    <row r="715" spans="1:18" ht="15.75" customHeight="1" x14ac:dyDescent="0.3">
      <c r="A715" s="17" t="s">
        <v>47</v>
      </c>
      <c r="B715" s="1"/>
      <c r="C715" s="1"/>
      <c r="D715" s="1"/>
      <c r="E715" s="59" t="s">
        <v>7</v>
      </c>
      <c r="F715" s="1"/>
      <c r="G715" s="1"/>
      <c r="H715" s="1"/>
      <c r="I715" s="59" t="s">
        <v>7</v>
      </c>
      <c r="J715" s="1"/>
      <c r="K715" s="1"/>
      <c r="L715" s="1"/>
      <c r="M715" s="59" t="s">
        <v>7</v>
      </c>
      <c r="N715" s="1"/>
      <c r="O715" s="1"/>
      <c r="P715" s="1"/>
      <c r="Q715" s="59" t="s">
        <v>7</v>
      </c>
      <c r="R715" s="59" t="s">
        <v>7</v>
      </c>
    </row>
    <row r="716" spans="1:18" ht="15.75" customHeight="1" x14ac:dyDescent="0.3">
      <c r="A716" s="17" t="s">
        <v>49</v>
      </c>
      <c r="B716" s="1"/>
      <c r="C716" s="1"/>
      <c r="D716" s="1"/>
      <c r="E716" s="59" t="s">
        <v>7</v>
      </c>
      <c r="F716" s="1"/>
      <c r="G716" s="1"/>
      <c r="H716" s="1"/>
      <c r="I716" s="59" t="s">
        <v>7</v>
      </c>
      <c r="J716" s="1"/>
      <c r="K716" s="1"/>
      <c r="L716" s="1"/>
      <c r="M716" s="59" t="s">
        <v>7</v>
      </c>
      <c r="N716" s="1"/>
      <c r="O716" s="1"/>
      <c r="P716" s="1"/>
      <c r="Q716" s="59" t="s">
        <v>7</v>
      </c>
      <c r="R716" s="59" t="s">
        <v>7</v>
      </c>
    </row>
    <row r="717" spans="1:18" ht="15.75" customHeight="1" thickBot="1" x14ac:dyDescent="0.35">
      <c r="A717" s="17" t="s">
        <v>51</v>
      </c>
      <c r="B717" s="1"/>
      <c r="C717" s="1"/>
      <c r="D717" s="1"/>
      <c r="E717" s="59" t="s">
        <v>7</v>
      </c>
      <c r="F717" s="1"/>
      <c r="G717" s="1"/>
      <c r="H717" s="1"/>
      <c r="I717" s="59" t="s">
        <v>7</v>
      </c>
      <c r="J717" s="1"/>
      <c r="K717" s="1"/>
      <c r="L717" s="1"/>
      <c r="M717" s="59" t="s">
        <v>7</v>
      </c>
      <c r="N717" s="1"/>
      <c r="O717" s="1"/>
      <c r="P717" s="1"/>
      <c r="Q717" s="59" t="s">
        <v>7</v>
      </c>
      <c r="R717" s="59" t="s">
        <v>7</v>
      </c>
    </row>
    <row r="718" spans="1:18" ht="16.5" customHeight="1" thickBot="1" x14ac:dyDescent="0.35">
      <c r="A718" s="126" t="s">
        <v>52</v>
      </c>
      <c r="B718" s="100">
        <f>SUM(B706:B717)</f>
        <v>7341</v>
      </c>
      <c r="C718" s="101">
        <f>SUM(C706:C717)</f>
        <v>5459</v>
      </c>
      <c r="D718" s="101">
        <f>SUM(D706:D717)</f>
        <v>9594</v>
      </c>
      <c r="E718" s="64">
        <f>SUM(B718:D718)</f>
        <v>22394</v>
      </c>
      <c r="F718" s="101">
        <f>SUM(F706:F717)</f>
        <v>13380</v>
      </c>
      <c r="G718" s="101">
        <f>SUM(G706:G717)</f>
        <v>14565</v>
      </c>
      <c r="H718" s="101">
        <f>SUM(H706:H717)</f>
        <v>14815</v>
      </c>
      <c r="I718" s="64">
        <f>SUM(F718:H718)</f>
        <v>42760</v>
      </c>
      <c r="J718" s="101">
        <f>SUM(J706:J717)</f>
        <v>15846</v>
      </c>
      <c r="K718" s="101">
        <f>SUM(K706:K717)</f>
        <v>11569</v>
      </c>
      <c r="L718" s="101">
        <f>SUM(L706:L717)</f>
        <v>5554</v>
      </c>
      <c r="M718" s="64">
        <f>SUM(J718:L718)</f>
        <v>32969</v>
      </c>
      <c r="N718" s="101">
        <f>SUM(N706:N717)</f>
        <v>3657</v>
      </c>
      <c r="O718" s="101">
        <f>SUM(O706:O717)</f>
        <v>0</v>
      </c>
      <c r="P718" s="101">
        <f>SUM(P706:P717)</f>
        <v>1257</v>
      </c>
      <c r="Q718" s="64">
        <f>SUM(N718:P718)</f>
        <v>4914</v>
      </c>
      <c r="R718" s="64">
        <f>+E718+I718+M718+Q718</f>
        <v>103037</v>
      </c>
    </row>
    <row r="719" spans="1:18" ht="15.75" customHeight="1" x14ac:dyDescent="0.3">
      <c r="A719" s="17" t="s">
        <v>53</v>
      </c>
      <c r="B719" s="1"/>
      <c r="C719" s="1"/>
      <c r="D719" s="1"/>
      <c r="E719" s="59" t="s">
        <v>7</v>
      </c>
      <c r="F719" s="1"/>
      <c r="G719" s="1"/>
      <c r="H719" s="1"/>
      <c r="I719" s="59" t="s">
        <v>7</v>
      </c>
      <c r="J719" s="1"/>
      <c r="K719" s="1"/>
      <c r="L719" s="1"/>
      <c r="M719" s="59" t="s">
        <v>7</v>
      </c>
      <c r="N719" s="1"/>
      <c r="O719" s="1"/>
      <c r="P719" s="1"/>
      <c r="Q719" s="59" t="s">
        <v>7</v>
      </c>
      <c r="R719" s="59" t="s">
        <v>7</v>
      </c>
    </row>
    <row r="720" spans="1:18" ht="15.75" customHeight="1" x14ac:dyDescent="0.3">
      <c r="A720" s="17" t="s">
        <v>55</v>
      </c>
      <c r="B720" s="1"/>
      <c r="C720" s="1"/>
      <c r="D720" s="1"/>
      <c r="E720" s="59" t="s">
        <v>7</v>
      </c>
      <c r="F720" s="1"/>
      <c r="G720" s="1"/>
      <c r="H720" s="1"/>
      <c r="I720" s="59" t="s">
        <v>7</v>
      </c>
      <c r="J720" s="1"/>
      <c r="K720" s="1"/>
      <c r="L720" s="1"/>
      <c r="M720" s="59" t="s">
        <v>7</v>
      </c>
      <c r="N720" s="1"/>
      <c r="O720" s="1"/>
      <c r="P720" s="1"/>
      <c r="Q720" s="59" t="s">
        <v>7</v>
      </c>
      <c r="R720" s="59" t="s">
        <v>7</v>
      </c>
    </row>
    <row r="721" spans="1:20" ht="15.75" customHeight="1" thickBot="1" x14ac:dyDescent="0.35">
      <c r="A721" s="17" t="s">
        <v>56</v>
      </c>
      <c r="B721" s="1"/>
      <c r="C721" s="1"/>
      <c r="D721" s="1"/>
      <c r="E721" s="59" t="s">
        <v>7</v>
      </c>
      <c r="F721" s="1"/>
      <c r="G721" s="1"/>
      <c r="H721" s="1"/>
      <c r="I721" s="59" t="s">
        <v>7</v>
      </c>
      <c r="J721" s="1"/>
      <c r="K721" s="1"/>
      <c r="L721" s="1"/>
      <c r="M721" s="59" t="s">
        <v>7</v>
      </c>
      <c r="N721" s="1"/>
      <c r="O721" s="1"/>
      <c r="P721" s="1"/>
      <c r="Q721" s="59" t="s">
        <v>7</v>
      </c>
      <c r="R721" s="59" t="s">
        <v>7</v>
      </c>
    </row>
    <row r="722" spans="1:20" ht="16.5" customHeight="1" thickBot="1" x14ac:dyDescent="0.35">
      <c r="A722" s="62" t="s">
        <v>57</v>
      </c>
      <c r="B722" s="100">
        <f>SUM(B719:B721)</f>
        <v>0</v>
      </c>
      <c r="C722" s="101">
        <f>SUM(C719:C721)</f>
        <v>0</v>
      </c>
      <c r="D722" s="101">
        <f>SUM(D719:D721)</f>
        <v>0</v>
      </c>
      <c r="E722" s="64">
        <f>SUM(B722:D722)</f>
        <v>0</v>
      </c>
      <c r="F722" s="101">
        <f>SUM(F719:F721)</f>
        <v>0</v>
      </c>
      <c r="G722" s="101">
        <f>SUM(G719:G721)</f>
        <v>0</v>
      </c>
      <c r="H722" s="101">
        <f>SUM(H719:H721)</f>
        <v>0</v>
      </c>
      <c r="I722" s="64">
        <f>SUM(F722:H722)</f>
        <v>0</v>
      </c>
      <c r="J722" s="101">
        <f>SUM(J719:J721)</f>
        <v>0</v>
      </c>
      <c r="K722" s="101">
        <f>SUM(K719:K721)</f>
        <v>0</v>
      </c>
      <c r="L722" s="101">
        <f>SUM(L719:L721)</f>
        <v>0</v>
      </c>
      <c r="M722" s="64">
        <f>SUM(J722:L722)</f>
        <v>0</v>
      </c>
      <c r="N722" s="101">
        <f>SUM(N719:N721)</f>
        <v>0</v>
      </c>
      <c r="O722" s="101">
        <f>SUM(O719:O721)</f>
        <v>0</v>
      </c>
      <c r="P722" s="101">
        <f>SUM(P719:P721)</f>
        <v>0</v>
      </c>
      <c r="Q722" s="64">
        <f>SUM(N722:P722)</f>
        <v>0</v>
      </c>
      <c r="R722" s="64">
        <f>+E722+I722+M722+Q722</f>
        <v>0</v>
      </c>
    </row>
    <row r="723" spans="1:20" ht="15.75" customHeight="1" x14ac:dyDescent="0.3">
      <c r="A723" s="17" t="s">
        <v>58</v>
      </c>
      <c r="B723" s="1"/>
      <c r="C723" s="1"/>
      <c r="D723" s="1"/>
      <c r="E723" s="59" t="s">
        <v>7</v>
      </c>
      <c r="F723" s="1"/>
      <c r="G723" s="1"/>
      <c r="H723" s="1"/>
      <c r="I723" s="59" t="s">
        <v>7</v>
      </c>
      <c r="J723" s="1"/>
      <c r="K723" s="1"/>
      <c r="L723" s="1"/>
      <c r="M723" s="59" t="s">
        <v>7</v>
      </c>
      <c r="N723" s="1"/>
      <c r="O723" s="1"/>
      <c r="P723" s="1"/>
      <c r="Q723" s="59" t="s">
        <v>7</v>
      </c>
      <c r="R723" s="59" t="s">
        <v>7</v>
      </c>
    </row>
    <row r="724" spans="1:20" ht="15.75" customHeight="1" x14ac:dyDescent="0.3">
      <c r="A724" s="17" t="s">
        <v>59</v>
      </c>
      <c r="B724" s="1"/>
      <c r="C724" s="1"/>
      <c r="D724" s="1"/>
      <c r="E724" s="59" t="s">
        <v>7</v>
      </c>
      <c r="F724" s="1"/>
      <c r="G724" s="1"/>
      <c r="H724" s="1"/>
      <c r="I724" s="59" t="s">
        <v>7</v>
      </c>
      <c r="J724" s="1"/>
      <c r="K724" s="1"/>
      <c r="L724" s="1"/>
      <c r="M724" s="59" t="s">
        <v>7</v>
      </c>
      <c r="N724" s="1"/>
      <c r="O724" s="1"/>
      <c r="P724" s="1"/>
      <c r="Q724" s="59" t="s">
        <v>7</v>
      </c>
      <c r="R724" s="59" t="s">
        <v>7</v>
      </c>
    </row>
    <row r="725" spans="1:20" ht="15.75" customHeight="1" x14ac:dyDescent="0.3">
      <c r="A725" s="74" t="s">
        <v>565</v>
      </c>
      <c r="B725" s="1">
        <v>250</v>
      </c>
      <c r="C725" s="1">
        <v>185</v>
      </c>
      <c r="D725" s="1">
        <v>609</v>
      </c>
      <c r="E725" s="59">
        <f>SUM(B725:D725)</f>
        <v>1044</v>
      </c>
      <c r="F725" s="1">
        <v>2216</v>
      </c>
      <c r="G725" s="1">
        <v>1030</v>
      </c>
      <c r="H725" s="1">
        <v>820</v>
      </c>
      <c r="I725" s="59">
        <f>SUM(F725:H725)</f>
        <v>4066</v>
      </c>
      <c r="J725" s="1">
        <v>902</v>
      </c>
      <c r="K725" s="1">
        <v>1242</v>
      </c>
      <c r="L725" s="1">
        <v>660</v>
      </c>
      <c r="M725" s="59">
        <f>SUM(J725:L725)</f>
        <v>2804</v>
      </c>
      <c r="N725" s="1">
        <v>486</v>
      </c>
      <c r="O725" s="1"/>
      <c r="P725" s="1"/>
      <c r="Q725" s="59">
        <f>SUM(N725:P725)</f>
        <v>486</v>
      </c>
      <c r="R725" s="59">
        <f>+E725+I725+M725+Q725</f>
        <v>8400</v>
      </c>
      <c r="T725" s="4" t="s">
        <v>566</v>
      </c>
    </row>
    <row r="726" spans="1:20" ht="15.75" customHeight="1" x14ac:dyDescent="0.3">
      <c r="A726" s="17" t="s">
        <v>60</v>
      </c>
      <c r="B726" s="1"/>
      <c r="C726" s="1"/>
      <c r="D726" s="1"/>
      <c r="E726" s="59" t="s">
        <v>7</v>
      </c>
      <c r="F726" s="1"/>
      <c r="G726" s="1"/>
      <c r="H726" s="1"/>
      <c r="I726" s="59" t="s">
        <v>7</v>
      </c>
      <c r="J726" s="1"/>
      <c r="K726" s="1"/>
      <c r="L726" s="1"/>
      <c r="M726" s="59" t="s">
        <v>7</v>
      </c>
      <c r="N726" s="1"/>
      <c r="O726" s="1"/>
      <c r="P726" s="1"/>
      <c r="Q726" s="59" t="s">
        <v>7</v>
      </c>
      <c r="R726" s="59" t="s">
        <v>7</v>
      </c>
    </row>
    <row r="727" spans="1:20" ht="15.75" customHeight="1" x14ac:dyDescent="0.3">
      <c r="A727" s="74" t="s">
        <v>567</v>
      </c>
      <c r="B727" s="1"/>
      <c r="C727" s="1"/>
      <c r="D727" s="1"/>
      <c r="E727" s="59">
        <f t="shared" ref="E727:E736" si="273">SUM(B727:D727)</f>
        <v>0</v>
      </c>
      <c r="F727" s="1"/>
      <c r="G727" s="1"/>
      <c r="H727" s="1"/>
      <c r="I727" s="59">
        <f t="shared" ref="I727:I736" si="274">SUM(F727:H727)</f>
        <v>0</v>
      </c>
      <c r="J727" s="1"/>
      <c r="K727" s="1"/>
      <c r="L727" s="1"/>
      <c r="M727" s="59">
        <f t="shared" ref="M727:M736" si="275">SUM(J727:L727)</f>
        <v>0</v>
      </c>
      <c r="N727" s="1"/>
      <c r="O727" s="1"/>
      <c r="P727" s="1"/>
      <c r="Q727" s="59">
        <f t="shared" ref="Q727:Q736" si="276">SUM(N727:P727)</f>
        <v>0</v>
      </c>
      <c r="R727" s="59">
        <f t="shared" ref="R727:R736" si="277">+E727+I727+M727+Q727</f>
        <v>0</v>
      </c>
      <c r="T727" s="4" t="s">
        <v>568</v>
      </c>
    </row>
    <row r="728" spans="1:20" ht="15.75" customHeight="1" x14ac:dyDescent="0.3">
      <c r="A728" s="74" t="s">
        <v>569</v>
      </c>
      <c r="B728" s="1"/>
      <c r="C728" s="1"/>
      <c r="D728" s="1"/>
      <c r="E728" s="59">
        <f t="shared" si="273"/>
        <v>0</v>
      </c>
      <c r="F728" s="1"/>
      <c r="G728" s="1"/>
      <c r="H728" s="1"/>
      <c r="I728" s="59">
        <f t="shared" si="274"/>
        <v>0</v>
      </c>
      <c r="J728" s="1"/>
      <c r="K728" s="1"/>
      <c r="L728" s="1"/>
      <c r="M728" s="59">
        <f t="shared" si="275"/>
        <v>0</v>
      </c>
      <c r="N728" s="1"/>
      <c r="O728" s="1"/>
      <c r="P728" s="1"/>
      <c r="Q728" s="59">
        <f t="shared" si="276"/>
        <v>0</v>
      </c>
      <c r="R728" s="59">
        <f t="shared" si="277"/>
        <v>0</v>
      </c>
      <c r="T728" s="4" t="s">
        <v>568</v>
      </c>
    </row>
    <row r="729" spans="1:20" ht="15.75" customHeight="1" x14ac:dyDescent="0.3">
      <c r="A729" s="74" t="s">
        <v>570</v>
      </c>
      <c r="B729" s="1">
        <v>125</v>
      </c>
      <c r="C729" s="1">
        <v>125</v>
      </c>
      <c r="D729" s="1">
        <v>125</v>
      </c>
      <c r="E729" s="59">
        <f t="shared" si="273"/>
        <v>375</v>
      </c>
      <c r="F729" s="1">
        <v>125</v>
      </c>
      <c r="G729" s="1">
        <v>125</v>
      </c>
      <c r="H729" s="1">
        <v>125</v>
      </c>
      <c r="I729" s="59">
        <f t="shared" si="274"/>
        <v>375</v>
      </c>
      <c r="J729" s="1">
        <v>125</v>
      </c>
      <c r="K729" s="1">
        <v>125</v>
      </c>
      <c r="L729" s="1">
        <v>125</v>
      </c>
      <c r="M729" s="59">
        <f t="shared" si="275"/>
        <v>375</v>
      </c>
      <c r="N729" s="1">
        <v>250</v>
      </c>
      <c r="O729" s="1"/>
      <c r="P729" s="1">
        <v>244</v>
      </c>
      <c r="Q729" s="59">
        <f t="shared" si="276"/>
        <v>494</v>
      </c>
      <c r="R729" s="59">
        <f>+E729+I729+M729+Q729</f>
        <v>1619</v>
      </c>
      <c r="T729" s="4" t="s">
        <v>568</v>
      </c>
    </row>
    <row r="730" spans="1:20" ht="15.75" customHeight="1" x14ac:dyDescent="0.3">
      <c r="A730" s="74" t="s">
        <v>571</v>
      </c>
      <c r="B730" s="1">
        <v>1136</v>
      </c>
      <c r="C730" s="1"/>
      <c r="D730" s="1"/>
      <c r="E730" s="59">
        <f t="shared" si="273"/>
        <v>1136</v>
      </c>
      <c r="F730" s="1"/>
      <c r="G730" s="1"/>
      <c r="H730" s="1"/>
      <c r="I730" s="59">
        <f t="shared" si="274"/>
        <v>0</v>
      </c>
      <c r="J730" s="1"/>
      <c r="K730" s="1"/>
      <c r="L730" s="1"/>
      <c r="M730" s="59">
        <f t="shared" si="275"/>
        <v>0</v>
      </c>
      <c r="N730" s="1"/>
      <c r="O730" s="1"/>
      <c r="P730" s="1"/>
      <c r="Q730" s="59">
        <f t="shared" ref="Q730" si="278">SUM(N730:P730)</f>
        <v>0</v>
      </c>
      <c r="R730" s="59">
        <f t="shared" ref="R730" si="279">+E730+I730+M730+Q730</f>
        <v>1136</v>
      </c>
    </row>
    <row r="731" spans="1:20" ht="15.75" customHeight="1" x14ac:dyDescent="0.3">
      <c r="A731" s="74" t="s">
        <v>572</v>
      </c>
      <c r="B731" s="1"/>
      <c r="C731" s="1"/>
      <c r="D731" s="1"/>
      <c r="E731" s="59">
        <f t="shared" si="273"/>
        <v>0</v>
      </c>
      <c r="F731" s="1"/>
      <c r="G731" s="1"/>
      <c r="H731" s="1"/>
      <c r="I731" s="59">
        <f t="shared" si="274"/>
        <v>0</v>
      </c>
      <c r="J731" s="1"/>
      <c r="K731" s="1">
        <v>1841</v>
      </c>
      <c r="L731" s="1"/>
      <c r="M731" s="59">
        <f t="shared" si="275"/>
        <v>1841</v>
      </c>
      <c r="N731" s="1"/>
      <c r="O731" s="1"/>
      <c r="P731" s="1"/>
      <c r="Q731" s="59">
        <f t="shared" si="276"/>
        <v>0</v>
      </c>
      <c r="R731" s="59">
        <f t="shared" si="277"/>
        <v>1841</v>
      </c>
    </row>
    <row r="732" spans="1:20" ht="15.75" customHeight="1" x14ac:dyDescent="0.3">
      <c r="A732" s="74" t="s">
        <v>573</v>
      </c>
      <c r="B732" s="1"/>
      <c r="C732" s="1"/>
      <c r="D732" s="1"/>
      <c r="E732" s="59">
        <f t="shared" si="273"/>
        <v>0</v>
      </c>
      <c r="F732" s="1"/>
      <c r="G732" s="1"/>
      <c r="H732" s="1"/>
      <c r="I732" s="59">
        <f t="shared" si="274"/>
        <v>0</v>
      </c>
      <c r="J732" s="1"/>
      <c r="K732" s="1"/>
      <c r="L732" s="1">
        <v>858</v>
      </c>
      <c r="M732" s="59">
        <f t="shared" si="275"/>
        <v>858</v>
      </c>
      <c r="N732" s="1">
        <v>6300</v>
      </c>
      <c r="O732" s="1"/>
      <c r="P732" s="1">
        <v>2400</v>
      </c>
      <c r="Q732" s="59">
        <f t="shared" si="276"/>
        <v>8700</v>
      </c>
      <c r="R732" s="59">
        <f t="shared" si="277"/>
        <v>9558</v>
      </c>
    </row>
    <row r="733" spans="1:20" ht="15.75" customHeight="1" x14ac:dyDescent="0.3">
      <c r="A733" s="74" t="s">
        <v>574</v>
      </c>
      <c r="B733" s="1"/>
      <c r="C733" s="1"/>
      <c r="D733" s="1"/>
      <c r="E733" s="59">
        <f t="shared" si="273"/>
        <v>0</v>
      </c>
      <c r="F733" s="1"/>
      <c r="G733" s="1"/>
      <c r="H733" s="1"/>
      <c r="I733" s="59">
        <f t="shared" si="274"/>
        <v>0</v>
      </c>
      <c r="J733" s="1"/>
      <c r="K733" s="1"/>
      <c r="L733" s="1">
        <v>4300</v>
      </c>
      <c r="M733" s="59">
        <f t="shared" si="275"/>
        <v>4300</v>
      </c>
      <c r="N733" s="1"/>
      <c r="O733" s="1"/>
      <c r="P733" s="1"/>
      <c r="Q733" s="59">
        <f t="shared" si="276"/>
        <v>0</v>
      </c>
      <c r="R733" s="59">
        <f t="shared" si="277"/>
        <v>4300</v>
      </c>
    </row>
    <row r="734" spans="1:20" ht="15.75" customHeight="1" x14ac:dyDescent="0.3">
      <c r="A734" s="74" t="s">
        <v>575</v>
      </c>
      <c r="B734" s="1"/>
      <c r="C734" s="1"/>
      <c r="D734" s="1"/>
      <c r="E734" s="59">
        <f t="shared" si="273"/>
        <v>0</v>
      </c>
      <c r="F734" s="1"/>
      <c r="G734" s="1"/>
      <c r="H734" s="1"/>
      <c r="I734" s="59">
        <f t="shared" si="274"/>
        <v>0</v>
      </c>
      <c r="J734" s="1"/>
      <c r="K734" s="1">
        <v>1205</v>
      </c>
      <c r="L734" s="1">
        <v>842</v>
      </c>
      <c r="M734" s="59">
        <f t="shared" si="275"/>
        <v>2047</v>
      </c>
      <c r="N734" s="1"/>
      <c r="O734" s="1"/>
      <c r="P734" s="1"/>
      <c r="Q734" s="59">
        <f t="shared" ref="Q734" si="280">SUM(N734:P734)</f>
        <v>0</v>
      </c>
      <c r="R734" s="59">
        <f t="shared" si="277"/>
        <v>2047</v>
      </c>
    </row>
    <row r="735" spans="1:20" ht="15.75" customHeight="1" thickBot="1" x14ac:dyDescent="0.35">
      <c r="A735" s="74" t="s">
        <v>576</v>
      </c>
      <c r="B735" s="1"/>
      <c r="C735" s="1"/>
      <c r="D735" s="1"/>
      <c r="E735" s="59">
        <f t="shared" si="273"/>
        <v>0</v>
      </c>
      <c r="F735" s="1"/>
      <c r="G735" s="1"/>
      <c r="H735" s="1"/>
      <c r="I735" s="59">
        <f t="shared" si="274"/>
        <v>0</v>
      </c>
      <c r="J735" s="1"/>
      <c r="K735" s="1"/>
      <c r="L735" s="1"/>
      <c r="M735" s="59">
        <f t="shared" si="275"/>
        <v>0</v>
      </c>
      <c r="N735" s="1"/>
      <c r="O735" s="1"/>
      <c r="P735" s="1"/>
      <c r="Q735" s="59">
        <f t="shared" si="276"/>
        <v>0</v>
      </c>
      <c r="R735" s="59">
        <f t="shared" si="277"/>
        <v>0</v>
      </c>
      <c r="T735" s="4" t="s">
        <v>568</v>
      </c>
    </row>
    <row r="736" spans="1:20" ht="16.5" customHeight="1" thickBot="1" x14ac:dyDescent="0.35">
      <c r="A736" s="62" t="s">
        <v>61</v>
      </c>
      <c r="B736" s="100">
        <f>SUM(B723:B735)</f>
        <v>1511</v>
      </c>
      <c r="C736" s="101">
        <f>SUM(C723:C735)</f>
        <v>310</v>
      </c>
      <c r="D736" s="101">
        <f>SUM(D723:D735)</f>
        <v>734</v>
      </c>
      <c r="E736" s="64">
        <f t="shared" si="273"/>
        <v>2555</v>
      </c>
      <c r="F736" s="101">
        <f>SUM(F723:F735)</f>
        <v>2341</v>
      </c>
      <c r="G736" s="101">
        <f>SUM(G723:G735)</f>
        <v>1155</v>
      </c>
      <c r="H736" s="101">
        <f>SUM(H723:H735)</f>
        <v>945</v>
      </c>
      <c r="I736" s="64">
        <f t="shared" si="274"/>
        <v>4441</v>
      </c>
      <c r="J736" s="101">
        <f>SUM(J723:J735)</f>
        <v>1027</v>
      </c>
      <c r="K736" s="101">
        <f>SUM(K723:K735)</f>
        <v>4413</v>
      </c>
      <c r="L736" s="101">
        <f>SUM(L723:L735)</f>
        <v>6785</v>
      </c>
      <c r="M736" s="64">
        <f t="shared" si="275"/>
        <v>12225</v>
      </c>
      <c r="N736" s="101">
        <f>SUM(N723:N735)</f>
        <v>7036</v>
      </c>
      <c r="O736" s="101">
        <f>SUM(O723:O735)</f>
        <v>0</v>
      </c>
      <c r="P736" s="101">
        <f>SUM(P723:P735)</f>
        <v>2644</v>
      </c>
      <c r="Q736" s="64">
        <f t="shared" si="276"/>
        <v>9680</v>
      </c>
      <c r="R736" s="138">
        <f t="shared" si="277"/>
        <v>28901</v>
      </c>
    </row>
    <row r="737" spans="1:18" ht="15.75" customHeight="1" x14ac:dyDescent="0.3">
      <c r="A737" s="17" t="s">
        <v>62</v>
      </c>
      <c r="B737" s="1"/>
      <c r="C737" s="1"/>
      <c r="D737" s="1"/>
      <c r="E737" s="59" t="s">
        <v>7</v>
      </c>
      <c r="F737" s="1"/>
      <c r="G737" s="1"/>
      <c r="H737" s="1"/>
      <c r="I737" s="59" t="s">
        <v>7</v>
      </c>
      <c r="J737" s="1"/>
      <c r="K737" s="1"/>
      <c r="L737" s="1"/>
      <c r="M737" s="59" t="s">
        <v>7</v>
      </c>
      <c r="N737" s="1"/>
      <c r="O737" s="1"/>
      <c r="P737" s="1"/>
      <c r="Q737" s="59" t="s">
        <v>7</v>
      </c>
      <c r="R737" s="59" t="s">
        <v>7</v>
      </c>
    </row>
    <row r="738" spans="1:18" ht="15.75" customHeight="1" x14ac:dyDescent="0.3">
      <c r="A738" s="17" t="s">
        <v>63</v>
      </c>
      <c r="B738" s="1"/>
      <c r="C738" s="1"/>
      <c r="D738" s="1"/>
      <c r="E738" s="59" t="s">
        <v>7</v>
      </c>
      <c r="F738" s="1"/>
      <c r="G738" s="1"/>
      <c r="H738" s="1"/>
      <c r="I738" s="59" t="s">
        <v>7</v>
      </c>
      <c r="J738" s="1"/>
      <c r="K738" s="1"/>
      <c r="L738" s="1"/>
      <c r="M738" s="59" t="s">
        <v>7</v>
      </c>
      <c r="N738" s="1"/>
      <c r="O738" s="1"/>
      <c r="P738" s="1"/>
      <c r="Q738" s="59" t="s">
        <v>7</v>
      </c>
      <c r="R738" s="59" t="s">
        <v>7</v>
      </c>
    </row>
    <row r="739" spans="1:18" ht="15.75" customHeight="1" x14ac:dyDescent="0.3">
      <c r="A739" s="17" t="s">
        <v>64</v>
      </c>
      <c r="B739" s="1"/>
      <c r="C739" s="1"/>
      <c r="D739" s="1"/>
      <c r="E739" s="59" t="s">
        <v>7</v>
      </c>
      <c r="F739" s="1"/>
      <c r="G739" s="1"/>
      <c r="H739" s="1"/>
      <c r="I739" s="59" t="s">
        <v>7</v>
      </c>
      <c r="J739" s="1"/>
      <c r="K739" s="1"/>
      <c r="L739" s="1"/>
      <c r="M739" s="59" t="s">
        <v>7</v>
      </c>
      <c r="N739" s="1"/>
      <c r="O739" s="1"/>
      <c r="P739" s="1"/>
      <c r="Q739" s="59" t="s">
        <v>7</v>
      </c>
      <c r="R739" s="59" t="s">
        <v>7</v>
      </c>
    </row>
    <row r="740" spans="1:18" ht="15.75" customHeight="1" x14ac:dyDescent="0.3">
      <c r="A740" s="74" t="s">
        <v>577</v>
      </c>
      <c r="B740" s="1"/>
      <c r="C740" s="1"/>
      <c r="D740" s="1"/>
      <c r="E740" s="59">
        <f>SUM(B740:D740)</f>
        <v>0</v>
      </c>
      <c r="F740" s="1"/>
      <c r="G740" s="1"/>
      <c r="H740" s="1"/>
      <c r="I740" s="59">
        <f>SUM(F740:H740)</f>
        <v>0</v>
      </c>
      <c r="J740" s="1"/>
      <c r="K740" s="1"/>
      <c r="L740" s="1"/>
      <c r="M740" s="59">
        <f>SUM(J740:L740)</f>
        <v>0</v>
      </c>
      <c r="N740" s="1"/>
      <c r="O740" s="1"/>
      <c r="P740" s="1"/>
      <c r="Q740" s="59">
        <f>SUM(N740:P740)</f>
        <v>0</v>
      </c>
      <c r="R740" s="59">
        <f>+E740+I740+M740+Q740</f>
        <v>0</v>
      </c>
    </row>
    <row r="741" spans="1:18" ht="15.75" customHeight="1" x14ac:dyDescent="0.3">
      <c r="A741" s="74" t="s">
        <v>578</v>
      </c>
      <c r="B741" s="1"/>
      <c r="C741" s="1"/>
      <c r="D741" s="1"/>
      <c r="E741" s="59">
        <f>SUM(B741:D741)</f>
        <v>0</v>
      </c>
      <c r="F741" s="1"/>
      <c r="G741" s="1"/>
      <c r="H741" s="1"/>
      <c r="I741" s="59">
        <f>SUM(F741:H741)</f>
        <v>0</v>
      </c>
      <c r="J741" s="1"/>
      <c r="K741" s="1"/>
      <c r="L741" s="1"/>
      <c r="M741" s="59">
        <f>SUM(J741:L741)</f>
        <v>0</v>
      </c>
      <c r="N741" s="1"/>
      <c r="O741" s="1"/>
      <c r="P741" s="1"/>
      <c r="Q741" s="59">
        <f>SUM(N741:P741)</f>
        <v>0</v>
      </c>
      <c r="R741" s="59">
        <f>+E741+I741+M741+Q741</f>
        <v>0</v>
      </c>
    </row>
    <row r="742" spans="1:18" ht="15.75" customHeight="1" x14ac:dyDescent="0.3">
      <c r="A742" s="74" t="s">
        <v>579</v>
      </c>
      <c r="B742" s="1"/>
      <c r="C742" s="1"/>
      <c r="D742" s="1"/>
      <c r="E742" s="59">
        <f>SUM(B742:D742)</f>
        <v>0</v>
      </c>
      <c r="F742" s="1"/>
      <c r="G742" s="1"/>
      <c r="H742" s="1"/>
      <c r="I742" s="59">
        <f>SUM(F742:H742)</f>
        <v>0</v>
      </c>
      <c r="J742" s="1"/>
      <c r="K742" s="1"/>
      <c r="L742" s="1"/>
      <c r="M742" s="59">
        <f>SUM(J742:L742)</f>
        <v>0</v>
      </c>
      <c r="N742" s="1"/>
      <c r="O742" s="1"/>
      <c r="P742" s="1"/>
      <c r="Q742" s="59">
        <f>SUM(N742:P742)</f>
        <v>0</v>
      </c>
      <c r="R742" s="59">
        <f>+E742+I742+M742+Q742</f>
        <v>0</v>
      </c>
    </row>
    <row r="743" spans="1:18" ht="15.75" customHeight="1" x14ac:dyDescent="0.3">
      <c r="A743" s="74" t="s">
        <v>580</v>
      </c>
      <c r="B743" s="1"/>
      <c r="C743" s="1"/>
      <c r="D743" s="1"/>
      <c r="E743" s="59">
        <f>SUM(B743:D743)</f>
        <v>0</v>
      </c>
      <c r="F743" s="1"/>
      <c r="G743" s="1"/>
      <c r="H743" s="1"/>
      <c r="I743" s="59">
        <f>SUM(F743:H743)</f>
        <v>0</v>
      </c>
      <c r="J743" s="1"/>
      <c r="K743" s="1"/>
      <c r="L743" s="1"/>
      <c r="M743" s="59">
        <f>SUM(J743:L743)</f>
        <v>0</v>
      </c>
      <c r="N743" s="1"/>
      <c r="O743" s="1"/>
      <c r="P743" s="1"/>
      <c r="Q743" s="59">
        <f>SUM(N743:P743)</f>
        <v>0</v>
      </c>
      <c r="R743" s="59">
        <f>+E743+I743+M743+Q743</f>
        <v>0</v>
      </c>
    </row>
    <row r="744" spans="1:18" ht="15.75" customHeight="1" x14ac:dyDescent="0.3">
      <c r="A744" s="17" t="s">
        <v>66</v>
      </c>
      <c r="B744" s="1"/>
      <c r="C744" s="1"/>
      <c r="D744" s="1"/>
      <c r="E744" s="59" t="s">
        <v>7</v>
      </c>
      <c r="F744" s="1"/>
      <c r="G744" s="1"/>
      <c r="H744" s="1"/>
      <c r="I744" s="59" t="s">
        <v>7</v>
      </c>
      <c r="J744" s="1"/>
      <c r="K744" s="1"/>
      <c r="L744" s="1"/>
      <c r="M744" s="59" t="s">
        <v>7</v>
      </c>
      <c r="N744" s="1"/>
      <c r="O744" s="1"/>
      <c r="P744" s="1"/>
      <c r="Q744" s="59" t="s">
        <v>7</v>
      </c>
      <c r="R744" s="59" t="s">
        <v>7</v>
      </c>
    </row>
    <row r="745" spans="1:18" ht="15.75" customHeight="1" thickBot="1" x14ac:dyDescent="0.35">
      <c r="A745" s="17" t="s">
        <v>67</v>
      </c>
      <c r="B745" s="1"/>
      <c r="C745" s="1"/>
      <c r="D745" s="1"/>
      <c r="E745" s="59" t="s">
        <v>7</v>
      </c>
      <c r="F745" s="1"/>
      <c r="G745" s="1"/>
      <c r="H745" s="1"/>
      <c r="I745" s="59" t="s">
        <v>7</v>
      </c>
      <c r="J745" s="1"/>
      <c r="K745" s="1"/>
      <c r="L745" s="1"/>
      <c r="M745" s="59" t="s">
        <v>7</v>
      </c>
      <c r="N745" s="1"/>
      <c r="O745" s="1"/>
      <c r="P745" s="1"/>
      <c r="Q745" s="59" t="s">
        <v>7</v>
      </c>
      <c r="R745" s="59" t="s">
        <v>7</v>
      </c>
    </row>
    <row r="746" spans="1:18" ht="16.5" customHeight="1" thickBot="1" x14ac:dyDescent="0.35">
      <c r="A746" s="62" t="s">
        <v>68</v>
      </c>
      <c r="B746" s="63">
        <f>SUM(B744:B745)</f>
        <v>0</v>
      </c>
      <c r="C746" s="63">
        <f>SUM(C744:C745)</f>
        <v>0</v>
      </c>
      <c r="D746" s="63">
        <f>SUM(D744:D745)</f>
        <v>0</v>
      </c>
      <c r="E746" s="334">
        <f>SUM(B746:D746)</f>
        <v>0</v>
      </c>
      <c r="F746" s="63">
        <f>SUM(F744:F745)</f>
        <v>0</v>
      </c>
      <c r="G746" s="63">
        <f>SUM(G744:G745)</f>
        <v>0</v>
      </c>
      <c r="H746" s="63">
        <f>SUM(H744:H745)</f>
        <v>0</v>
      </c>
      <c r="I746" s="334">
        <f>SUM(F746:H746)</f>
        <v>0</v>
      </c>
      <c r="J746" s="63">
        <f>SUM(J744:J745)</f>
        <v>0</v>
      </c>
      <c r="K746" s="63">
        <f>SUM(K744:K745)</f>
        <v>0</v>
      </c>
      <c r="L746" s="63">
        <f>SUM(L744:L745)</f>
        <v>0</v>
      </c>
      <c r="M746" s="334">
        <f>SUM(J746:L746)</f>
        <v>0</v>
      </c>
      <c r="N746" s="63">
        <f>SUM(N744:N745)</f>
        <v>0</v>
      </c>
      <c r="O746" s="63">
        <f>SUM(O744:O745)</f>
        <v>0</v>
      </c>
      <c r="P746" s="63">
        <f>SUM(P744:P745)</f>
        <v>0</v>
      </c>
      <c r="Q746" s="334">
        <f>SUM(N746:P746)</f>
        <v>0</v>
      </c>
      <c r="R746" s="64">
        <f>+E746+I746+M746+Q746</f>
        <v>0</v>
      </c>
    </row>
    <row r="747" spans="1:18" ht="16.5" customHeight="1" thickBot="1" x14ac:dyDescent="0.35">
      <c r="A747" s="137" t="s">
        <v>69</v>
      </c>
      <c r="B747" s="100">
        <f>SUM(B737:B745)</f>
        <v>0</v>
      </c>
      <c r="C747" s="101">
        <f>SUM(C737:C745)</f>
        <v>0</v>
      </c>
      <c r="D747" s="138">
        <f>SUM(D737:D745)</f>
        <v>0</v>
      </c>
      <c r="E747" s="334">
        <f>SUM(B747:D747)</f>
        <v>0</v>
      </c>
      <c r="F747" s="101">
        <f>SUM(F737:F745)</f>
        <v>0</v>
      </c>
      <c r="G747" s="101">
        <f>SUM(G737:G745)</f>
        <v>0</v>
      </c>
      <c r="H747" s="101">
        <f>SUM(H737:H745)</f>
        <v>0</v>
      </c>
      <c r="I747" s="334">
        <f>SUM(F747:H747)</f>
        <v>0</v>
      </c>
      <c r="J747" s="101">
        <f>SUM(J737:J745)</f>
        <v>0</v>
      </c>
      <c r="K747" s="101">
        <f>SUM(K737:K745)</f>
        <v>0</v>
      </c>
      <c r="L747" s="101">
        <f>SUM(L737:L745)</f>
        <v>0</v>
      </c>
      <c r="M747" s="334">
        <f>SUM(J747:L747)</f>
        <v>0</v>
      </c>
      <c r="N747" s="101">
        <f>SUM(N737:N745)</f>
        <v>0</v>
      </c>
      <c r="O747" s="101">
        <f>SUM(O737:O745)</f>
        <v>0</v>
      </c>
      <c r="P747" s="101">
        <f>SUM(P737:P745)</f>
        <v>0</v>
      </c>
      <c r="Q747" s="334">
        <f>SUM(N747:P747)</f>
        <v>0</v>
      </c>
      <c r="R747" s="64">
        <f>+E747+I747+M747+Q747</f>
        <v>0</v>
      </c>
    </row>
    <row r="748" spans="1:18" ht="16.5" customHeight="1" thickBot="1" x14ac:dyDescent="0.35">
      <c r="A748" s="62" t="s">
        <v>70</v>
      </c>
      <c r="B748" s="107">
        <f>+B718+B722+B736+B747</f>
        <v>8852</v>
      </c>
      <c r="C748" s="63">
        <f>+C718+C722+C736+C747</f>
        <v>5769</v>
      </c>
      <c r="D748" s="63">
        <f>+D718+D722+D736+D747</f>
        <v>10328</v>
      </c>
      <c r="E748" s="64">
        <f>SUM(B748:D748)</f>
        <v>24949</v>
      </c>
      <c r="F748" s="63">
        <f>+F718+F722+F736+F747</f>
        <v>15721</v>
      </c>
      <c r="G748" s="63">
        <f>+G718+G722+G736+G747</f>
        <v>15720</v>
      </c>
      <c r="H748" s="63">
        <f>+H718+H722+H736+H747</f>
        <v>15760</v>
      </c>
      <c r="I748" s="64">
        <f>SUM(F748:H748)</f>
        <v>47201</v>
      </c>
      <c r="J748" s="63">
        <f>+J718+J722+J736+J747</f>
        <v>16873</v>
      </c>
      <c r="K748" s="63">
        <f>+K718+K722+K736+K747</f>
        <v>15982</v>
      </c>
      <c r="L748" s="63">
        <f>+L718+L722+L736+L747</f>
        <v>12339</v>
      </c>
      <c r="M748" s="64">
        <f>SUM(J748:L748)</f>
        <v>45194</v>
      </c>
      <c r="N748" s="63">
        <f>+N718+N722+N736+N747</f>
        <v>10693</v>
      </c>
      <c r="O748" s="63">
        <f>+O718+O722+O736+O747</f>
        <v>0</v>
      </c>
      <c r="P748" s="63">
        <f>+P718+P722+P736+P747</f>
        <v>3901</v>
      </c>
      <c r="Q748" s="64">
        <f>SUM(N748:P748)</f>
        <v>14594</v>
      </c>
      <c r="R748" s="88">
        <f>+E748+I748+M748+Q748</f>
        <v>131938</v>
      </c>
    </row>
    <row r="749" spans="1:18" ht="16.5" customHeight="1" thickBot="1" x14ac:dyDescent="0.35">
      <c r="A749" s="66" t="s">
        <v>37</v>
      </c>
      <c r="B749" s="25">
        <v>22</v>
      </c>
      <c r="C749" s="25">
        <v>24</v>
      </c>
      <c r="D749" s="25">
        <v>31</v>
      </c>
      <c r="E749" s="64">
        <f>SUM(B749:D749)</f>
        <v>77</v>
      </c>
      <c r="F749" s="25">
        <v>40</v>
      </c>
      <c r="G749" s="25">
        <v>45</v>
      </c>
      <c r="H749" s="25">
        <v>48</v>
      </c>
      <c r="I749" s="64">
        <f>SUM(F749:H749)</f>
        <v>133</v>
      </c>
      <c r="J749" s="25">
        <v>42</v>
      </c>
      <c r="K749" s="25">
        <v>39</v>
      </c>
      <c r="L749" s="25">
        <v>38</v>
      </c>
      <c r="M749" s="64">
        <f>SUM(J749:L749)</f>
        <v>119</v>
      </c>
      <c r="N749" s="25">
        <v>32</v>
      </c>
      <c r="O749" s="25">
        <v>25</v>
      </c>
      <c r="P749" s="25">
        <v>21</v>
      </c>
      <c r="Q749" s="64">
        <f>SUM(N749:P749)</f>
        <v>78</v>
      </c>
      <c r="R749" s="334">
        <f>+E749+I749+M749+Q749</f>
        <v>407</v>
      </c>
    </row>
    <row r="750" spans="1:18" ht="16.5" customHeight="1" thickBot="1" x14ac:dyDescent="0.35">
      <c r="A750" s="42"/>
      <c r="B750" s="37"/>
      <c r="C750" s="37"/>
      <c r="D750" s="37"/>
      <c r="E750" s="16"/>
      <c r="F750" s="37"/>
      <c r="G750" s="37"/>
      <c r="H750" s="37"/>
      <c r="I750" s="16"/>
      <c r="J750" s="37"/>
      <c r="K750" s="37"/>
      <c r="L750" s="37"/>
      <c r="M750" s="16"/>
      <c r="N750" s="37"/>
      <c r="O750" s="37"/>
      <c r="P750" s="37"/>
      <c r="Q750" s="16"/>
      <c r="R750" s="43"/>
    </row>
    <row r="751" spans="1:18" ht="15.75" customHeight="1" x14ac:dyDescent="0.3">
      <c r="A751" s="17" t="s">
        <v>507</v>
      </c>
      <c r="B751" s="1">
        <f>+SUM(B748:B749)</f>
        <v>8874</v>
      </c>
      <c r="C751" s="1">
        <f>+SUM(C748:C749)</f>
        <v>5793</v>
      </c>
      <c r="D751" s="1">
        <f>+SUM(D748:D749)</f>
        <v>10359</v>
      </c>
      <c r="E751" s="334">
        <f>SUM(B751:D751)</f>
        <v>25026</v>
      </c>
      <c r="F751" s="1">
        <f>+SUM(F748:F749)</f>
        <v>15761</v>
      </c>
      <c r="G751" s="1">
        <f>+SUM(G748:G749)</f>
        <v>15765</v>
      </c>
      <c r="H751" s="1">
        <f>+SUM(H748:H749)</f>
        <v>15808</v>
      </c>
      <c r="I751" s="334">
        <f>SUM(F751:H751)</f>
        <v>47334</v>
      </c>
      <c r="J751" s="1">
        <f>+SUM(J748:J749)</f>
        <v>16915</v>
      </c>
      <c r="K751" s="1">
        <f>+SUM(K748:K749)</f>
        <v>16021</v>
      </c>
      <c r="L751" s="1">
        <f>+SUM(L748:L749)</f>
        <v>12377</v>
      </c>
      <c r="M751" s="334">
        <f>SUM(J751:L751)</f>
        <v>45313</v>
      </c>
      <c r="N751" s="1">
        <f>+SUM(N748:N749)</f>
        <v>10725</v>
      </c>
      <c r="O751" s="1">
        <f>+SUM(O748:O749)</f>
        <v>25</v>
      </c>
      <c r="P751" s="1">
        <f>+SUM(P748:P749)</f>
        <v>3922</v>
      </c>
      <c r="Q751" s="334">
        <f>SUM(N751:P751)</f>
        <v>14672</v>
      </c>
      <c r="R751" s="334">
        <f>+E751+I751+M751+Q751</f>
        <v>132345</v>
      </c>
    </row>
    <row r="752" spans="1:18" ht="15.75" customHeight="1" x14ac:dyDescent="0.3">
      <c r="A752" s="17" t="s">
        <v>39</v>
      </c>
      <c r="B752" s="1">
        <f>(B751/B10)/1.983</f>
        <v>144.35605875750329</v>
      </c>
      <c r="C752" s="1">
        <f>(C751/C10)/1.983</f>
        <v>104.33326129241408</v>
      </c>
      <c r="D752" s="1">
        <f>(D751/D10)/1.983</f>
        <v>168.51300570982383</v>
      </c>
      <c r="E752" s="59" t="s">
        <v>7</v>
      </c>
      <c r="F752" s="1">
        <f>(F751/F10)/1.983</f>
        <v>264.93528324088084</v>
      </c>
      <c r="G752" s="1">
        <f>(G751/G10)/1.983</f>
        <v>256.45405299887756</v>
      </c>
      <c r="H752" s="1">
        <f>(H751/H10)/1.983</f>
        <v>265.72533198856945</v>
      </c>
      <c r="I752" s="59" t="s">
        <v>7</v>
      </c>
      <c r="J752" s="1">
        <f>(J751/J10)/1.983</f>
        <v>275.16145299562407</v>
      </c>
      <c r="K752" s="1">
        <f>(K751/K10)/1.983</f>
        <v>260.61848291119674</v>
      </c>
      <c r="L752" s="1">
        <f>(L751/L10)/1.983</f>
        <v>208.05177340729534</v>
      </c>
      <c r="M752" s="59" t="s">
        <v>7</v>
      </c>
      <c r="N752" s="1">
        <f>(N751/N10)/1.983</f>
        <v>174.4668391000927</v>
      </c>
      <c r="O752" s="1">
        <f>(O751/O10)/1.983</f>
        <v>0.42023869557908894</v>
      </c>
      <c r="P752" s="1">
        <f>(P751/P10)/1.983</f>
        <v>63.800367641078196</v>
      </c>
      <c r="Q752" s="59" t="s">
        <v>7</v>
      </c>
      <c r="R752" s="59" t="s">
        <v>7</v>
      </c>
    </row>
    <row r="753" spans="1:18" ht="15.75" customHeight="1" x14ac:dyDescent="0.3">
      <c r="A753" s="17" t="s">
        <v>581</v>
      </c>
      <c r="B753" s="1">
        <f>B751+B763</f>
        <v>12364</v>
      </c>
      <c r="C753" s="1">
        <f>C751+C763</f>
        <v>9182</v>
      </c>
      <c r="D753" s="1">
        <f>D751+D763</f>
        <v>13625</v>
      </c>
      <c r="E753" s="59">
        <f>SUM(B753:D753)</f>
        <v>35171</v>
      </c>
      <c r="F753" s="1">
        <f>F751+F763</f>
        <v>19405</v>
      </c>
      <c r="G753" s="1">
        <f>G751+G763</f>
        <v>19848</v>
      </c>
      <c r="H753" s="1">
        <f>H751+H763</f>
        <v>20197</v>
      </c>
      <c r="I753" s="59">
        <f>SUM(F753:H753)</f>
        <v>59450</v>
      </c>
      <c r="J753" s="1">
        <f>J751+J763</f>
        <v>21410</v>
      </c>
      <c r="K753" s="1">
        <f>K751+K763</f>
        <v>20262</v>
      </c>
      <c r="L753" s="1">
        <f>L751+L763</f>
        <v>16428</v>
      </c>
      <c r="M753" s="59">
        <f>SUM(J753:L753)</f>
        <v>58100</v>
      </c>
      <c r="N753" s="1">
        <f>N751+N763</f>
        <v>14516</v>
      </c>
      <c r="O753" s="1">
        <f>O751+O763</f>
        <v>816</v>
      </c>
      <c r="P753" s="1">
        <f>P751+P763</f>
        <v>3938</v>
      </c>
      <c r="Q753" s="59">
        <f>SUM(N753:P753)</f>
        <v>19270</v>
      </c>
      <c r="R753" s="59">
        <f>+E753+I753+M753+Q753</f>
        <v>171991</v>
      </c>
    </row>
    <row r="754" spans="1:18" ht="16.5" customHeight="1" thickBot="1" x14ac:dyDescent="0.35">
      <c r="A754" s="24" t="s">
        <v>582</v>
      </c>
      <c r="B754" s="25">
        <f>(B753/B10)/1.983</f>
        <v>201.12895092154278</v>
      </c>
      <c r="C754" s="25">
        <f>(C753/C10)/1.983</f>
        <v>165.36993012030834</v>
      </c>
      <c r="D754" s="25">
        <f>(D753/D10)/1.983</f>
        <v>221.64202170058397</v>
      </c>
      <c r="E754" s="88" t="s">
        <v>7</v>
      </c>
      <c r="F754" s="25">
        <f>(F753/F10)/1.983</f>
        <v>326.18927550848883</v>
      </c>
      <c r="G754" s="25">
        <f>(G753/G10)/1.983</f>
        <v>322.87345663950026</v>
      </c>
      <c r="H754" s="25">
        <f>(H753/H10)/1.983</f>
        <v>339.50243738443436</v>
      </c>
      <c r="I754" s="88" t="s">
        <v>7</v>
      </c>
      <c r="J754" s="25">
        <f>(J753/J10)/1.983</f>
        <v>348.28298602638552</v>
      </c>
      <c r="K754" s="25">
        <f>(K753/K10)/1.983</f>
        <v>329.60812063832901</v>
      </c>
      <c r="L754" s="25">
        <f>(L753/L10)/1.983</f>
        <v>276.14725163893092</v>
      </c>
      <c r="M754" s="88" t="s">
        <v>7</v>
      </c>
      <c r="N754" s="25">
        <f>(N753/N10)/1.983</f>
        <v>236.13618987197631</v>
      </c>
      <c r="O754" s="25">
        <f>(O753/O10)/1.983</f>
        <v>13.716591023701461</v>
      </c>
      <c r="P754" s="25">
        <f>(P753/P10)/1.983</f>
        <v>64.060644510598152</v>
      </c>
      <c r="Q754" s="88" t="s">
        <v>7</v>
      </c>
      <c r="R754" s="88" t="s">
        <v>7</v>
      </c>
    </row>
    <row r="755" spans="1:18" ht="15.75" customHeight="1" x14ac:dyDescent="0.3">
      <c r="A755" s="28"/>
      <c r="B755" s="1"/>
      <c r="C755" s="1"/>
      <c r="D755" s="1"/>
      <c r="E755" s="1"/>
      <c r="F755" s="1"/>
      <c r="G755" s="1"/>
      <c r="H755" s="1"/>
      <c r="I755" s="1"/>
      <c r="J755" s="1"/>
      <c r="K755" s="1"/>
      <c r="L755" s="1"/>
      <c r="M755" s="1"/>
      <c r="N755" s="1"/>
      <c r="O755" s="1"/>
      <c r="P755" s="1"/>
      <c r="Q755" s="1"/>
      <c r="R755" s="28"/>
    </row>
    <row r="756" spans="1:18" ht="15.75" customHeight="1" thickBot="1" x14ac:dyDescent="0.35">
      <c r="A756" s="28"/>
      <c r="B756" s="1"/>
      <c r="C756" s="1"/>
      <c r="D756" s="1"/>
      <c r="E756" s="1"/>
      <c r="F756" s="1"/>
      <c r="G756" s="1"/>
      <c r="H756" s="1"/>
      <c r="I756" s="1"/>
      <c r="J756" s="1"/>
      <c r="K756" s="1"/>
      <c r="L756" s="1"/>
      <c r="M756" s="1"/>
      <c r="N756" s="1"/>
      <c r="O756" s="1"/>
      <c r="P756" s="1"/>
      <c r="Q756" s="1"/>
      <c r="R756" s="28"/>
    </row>
    <row r="757" spans="1:18" ht="16.5" customHeight="1" thickBot="1" x14ac:dyDescent="0.35">
      <c r="A757" s="343" t="s">
        <v>583</v>
      </c>
      <c r="B757" s="323" t="s">
        <v>36</v>
      </c>
      <c r="C757" s="324" t="s">
        <v>9</v>
      </c>
      <c r="D757" s="324" t="s">
        <v>10</v>
      </c>
      <c r="E757" s="325" t="s">
        <v>11</v>
      </c>
      <c r="F757" s="324" t="s">
        <v>12</v>
      </c>
      <c r="G757" s="324" t="s">
        <v>13</v>
      </c>
      <c r="H757" s="324" t="s">
        <v>14</v>
      </c>
      <c r="I757" s="34" t="s">
        <v>15</v>
      </c>
      <c r="J757" s="324" t="s">
        <v>16</v>
      </c>
      <c r="K757" s="324" t="s">
        <v>17</v>
      </c>
      <c r="L757" s="324" t="s">
        <v>18</v>
      </c>
      <c r="M757" s="34" t="s">
        <v>19</v>
      </c>
      <c r="N757" s="324" t="s">
        <v>20</v>
      </c>
      <c r="O757" s="324" t="s">
        <v>21</v>
      </c>
      <c r="P757" s="324" t="s">
        <v>22</v>
      </c>
      <c r="Q757" s="34" t="s">
        <v>23</v>
      </c>
      <c r="R757" s="326" t="s">
        <v>24</v>
      </c>
    </row>
    <row r="758" spans="1:18" ht="16.5" customHeight="1" thickBot="1" x14ac:dyDescent="0.35">
      <c r="A758" s="42"/>
      <c r="B758" s="37"/>
      <c r="C758" s="37"/>
      <c r="D758" s="37"/>
      <c r="E758" s="38"/>
      <c r="F758" s="37"/>
      <c r="G758" s="37"/>
      <c r="H758" s="37"/>
      <c r="I758" s="38"/>
      <c r="J758" s="37"/>
      <c r="K758" s="37"/>
      <c r="L758" s="37"/>
      <c r="M758" s="38"/>
      <c r="N758" s="37"/>
      <c r="O758" s="37"/>
      <c r="P758" s="37"/>
      <c r="Q758" s="38"/>
      <c r="R758" s="42"/>
    </row>
    <row r="759" spans="1:18" ht="16.5" customHeight="1" thickBot="1" x14ac:dyDescent="0.35">
      <c r="A759" s="40" t="s">
        <v>37</v>
      </c>
      <c r="B759" s="25">
        <v>2</v>
      </c>
      <c r="C759" s="25">
        <v>3</v>
      </c>
      <c r="D759" s="25">
        <v>5</v>
      </c>
      <c r="E759" s="59">
        <f>SUM(B759:D759)</f>
        <v>10</v>
      </c>
      <c r="F759" s="25">
        <v>7</v>
      </c>
      <c r="G759" s="25">
        <v>8</v>
      </c>
      <c r="H759" s="25">
        <v>9</v>
      </c>
      <c r="I759" s="59">
        <f>SUM(F759:H759)</f>
        <v>24</v>
      </c>
      <c r="J759" s="25">
        <v>7</v>
      </c>
      <c r="K759" s="25">
        <v>6</v>
      </c>
      <c r="L759" s="25">
        <v>6</v>
      </c>
      <c r="M759" s="59">
        <f>SUM(J759:L759)</f>
        <v>19</v>
      </c>
      <c r="N759" s="25">
        <v>5</v>
      </c>
      <c r="O759" s="25">
        <v>3</v>
      </c>
      <c r="P759" s="25">
        <v>2</v>
      </c>
      <c r="Q759" s="59">
        <f>SUM(N759:P759)</f>
        <v>10</v>
      </c>
      <c r="R759" s="334">
        <f>+E759+I759+M759+Q759</f>
        <v>63</v>
      </c>
    </row>
    <row r="760" spans="1:18" ht="16.5" customHeight="1" thickBot="1" x14ac:dyDescent="0.35">
      <c r="A760" s="42"/>
      <c r="B760" s="37"/>
      <c r="C760" s="37"/>
      <c r="D760" s="37"/>
      <c r="E760" s="16"/>
      <c r="F760" s="37"/>
      <c r="G760" s="37"/>
      <c r="H760" s="37"/>
      <c r="I760" s="16"/>
      <c r="J760" s="37"/>
      <c r="K760" s="37"/>
      <c r="L760" s="37"/>
      <c r="M760" s="16"/>
      <c r="N760" s="37"/>
      <c r="O760" s="37"/>
      <c r="P760" s="37"/>
      <c r="Q760" s="16"/>
      <c r="R760" s="43"/>
    </row>
    <row r="761" spans="1:18" ht="15.75" customHeight="1" x14ac:dyDescent="0.3">
      <c r="A761" s="17" t="s">
        <v>507</v>
      </c>
      <c r="B761" s="1">
        <f>B759</f>
        <v>2</v>
      </c>
      <c r="C761" s="1">
        <f>C759</f>
        <v>3</v>
      </c>
      <c r="D761" s="1">
        <f>D759</f>
        <v>5</v>
      </c>
      <c r="E761" s="334">
        <f>SUM(B761:D761)</f>
        <v>10</v>
      </c>
      <c r="F761" s="1">
        <f>F759</f>
        <v>7</v>
      </c>
      <c r="G761" s="1">
        <f>G759</f>
        <v>8</v>
      </c>
      <c r="H761" s="1">
        <f>H759</f>
        <v>9</v>
      </c>
      <c r="I761" s="334">
        <f>SUM(F761:H761)</f>
        <v>24</v>
      </c>
      <c r="J761" s="1">
        <f>J759</f>
        <v>7</v>
      </c>
      <c r="K761" s="1">
        <f>K759</f>
        <v>6</v>
      </c>
      <c r="L761" s="1">
        <f>L759</f>
        <v>6</v>
      </c>
      <c r="M761" s="334">
        <f>SUM(J761:L761)</f>
        <v>19</v>
      </c>
      <c r="N761" s="1">
        <f>N759</f>
        <v>5</v>
      </c>
      <c r="O761" s="1">
        <f>O759</f>
        <v>3</v>
      </c>
      <c r="P761" s="1">
        <f>P759</f>
        <v>2</v>
      </c>
      <c r="Q761" s="334">
        <f>SUM(N761:P761)</f>
        <v>10</v>
      </c>
      <c r="R761" s="334">
        <f>+E761+I761+M761+Q761</f>
        <v>63</v>
      </c>
    </row>
    <row r="762" spans="1:18" ht="15.75" customHeight="1" x14ac:dyDescent="0.3">
      <c r="A762" s="17" t="s">
        <v>39</v>
      </c>
      <c r="B762" s="1">
        <f>(B761/B10)/1.983</f>
        <v>3.2534608689993978E-2</v>
      </c>
      <c r="C762" s="1">
        <f>(C761/C10)/1.983</f>
        <v>5.403068943159714E-2</v>
      </c>
      <c r="D762" s="1">
        <f>(D761/D10)/1.983</f>
        <v>8.1336521724984942E-2</v>
      </c>
      <c r="E762" s="59" t="s">
        <v>7</v>
      </c>
      <c r="F762" s="1">
        <f>(F761/F10)/1.983</f>
        <v>0.1176668347621449</v>
      </c>
      <c r="G762" s="1">
        <f>(G761/G10)/1.983</f>
        <v>0.13013843475997591</v>
      </c>
      <c r="H762" s="1">
        <f>(H761/H10)/1.983</f>
        <v>0.15128593040847199</v>
      </c>
      <c r="I762" s="59" t="s">
        <v>7</v>
      </c>
      <c r="J762" s="1">
        <f>(J761/J10)/1.983</f>
        <v>0.11387113041497893</v>
      </c>
      <c r="K762" s="1">
        <f>(K761/K10)/1.983</f>
        <v>9.7603826069981942E-2</v>
      </c>
      <c r="L762" s="1">
        <f>(L761/L10)/1.983</f>
        <v>0.10085728693898134</v>
      </c>
      <c r="M762" s="59" t="s">
        <v>7</v>
      </c>
      <c r="N762" s="1">
        <f>(N761/N10)/1.983</f>
        <v>8.1336521724984942E-2</v>
      </c>
      <c r="O762" s="1">
        <f>(O761/O10)/1.983</f>
        <v>5.0428643469490671E-2</v>
      </c>
      <c r="P762" s="1">
        <f>(P761/P10)/1.983</f>
        <v>3.2534608689993978E-2</v>
      </c>
      <c r="Q762" s="59" t="s">
        <v>7</v>
      </c>
      <c r="R762" s="59" t="s">
        <v>7</v>
      </c>
    </row>
    <row r="763" spans="1:18" ht="15.75" customHeight="1" x14ac:dyDescent="0.3">
      <c r="A763" s="17" t="s">
        <v>584</v>
      </c>
      <c r="B763" s="1">
        <f>B761+B797+B846-B792</f>
        <v>3490</v>
      </c>
      <c r="C763" s="1">
        <f>C761+C797+C846-C792</f>
        <v>3389</v>
      </c>
      <c r="D763" s="1">
        <f>D761+D797+D846-D792</f>
        <v>3266</v>
      </c>
      <c r="E763" s="59">
        <f>SUM(B763:D763)</f>
        <v>10145</v>
      </c>
      <c r="F763" s="1">
        <f>F761+F797+F846-F792</f>
        <v>3644</v>
      </c>
      <c r="G763" s="1">
        <f>G761+G797+G846-G792</f>
        <v>4083</v>
      </c>
      <c r="H763" s="1">
        <f>H761+H797+H846-H792</f>
        <v>4389</v>
      </c>
      <c r="I763" s="59">
        <f>SUM(F763:H763)</f>
        <v>12116</v>
      </c>
      <c r="J763" s="1">
        <f>J761+J797+J846-J792</f>
        <v>4495</v>
      </c>
      <c r="K763" s="1">
        <f>K761+K797+K846-K792</f>
        <v>4241</v>
      </c>
      <c r="L763" s="1">
        <f>L761+L797+L846-L792</f>
        <v>4051</v>
      </c>
      <c r="M763" s="59">
        <f>SUM(J763:L763)</f>
        <v>12787</v>
      </c>
      <c r="N763" s="1">
        <f>N761+N797+N846-N792</f>
        <v>3791</v>
      </c>
      <c r="O763" s="1">
        <f>O761+O797+O846-O792</f>
        <v>791</v>
      </c>
      <c r="P763" s="1">
        <f>P761+P797+P846-P792</f>
        <v>16</v>
      </c>
      <c r="Q763" s="59">
        <f>SUM(N763:P763)</f>
        <v>4598</v>
      </c>
      <c r="R763" s="59">
        <f>+E763+I763+M763+Q763</f>
        <v>39646</v>
      </c>
    </row>
    <row r="764" spans="1:18" ht="16.5" customHeight="1" thickBot="1" x14ac:dyDescent="0.35">
      <c r="A764" s="24" t="s">
        <v>585</v>
      </c>
      <c r="B764" s="25">
        <f>(B763/B10)/1.983</f>
        <v>56.77289216403949</v>
      </c>
      <c r="C764" s="25">
        <f>(C763/C10)/1.983</f>
        <v>61.036668827894246</v>
      </c>
      <c r="D764" s="25">
        <f>(D763/D10)/1.983</f>
        <v>53.129015990760173</v>
      </c>
      <c r="E764" s="88" t="s">
        <v>7</v>
      </c>
      <c r="F764" s="25">
        <f>(F763/F10)/1.983</f>
        <v>61.253992267607998</v>
      </c>
      <c r="G764" s="25">
        <f>(G763/G10)/1.983</f>
        <v>66.419403640622718</v>
      </c>
      <c r="H764" s="25">
        <f>(H763/H10)/1.983</f>
        <v>73.777105395864851</v>
      </c>
      <c r="I764" s="88" t="s">
        <v>7</v>
      </c>
      <c r="J764" s="25">
        <f>(J763/J10)/1.983</f>
        <v>73.121533030761469</v>
      </c>
      <c r="K764" s="25">
        <f>(K763/K10)/1.983</f>
        <v>68.989637727132234</v>
      </c>
      <c r="L764" s="25">
        <f>(L763/L10)/1.983</f>
        <v>68.095478231635568</v>
      </c>
      <c r="M764" s="88" t="s">
        <v>7</v>
      </c>
      <c r="N764" s="25">
        <f>(N763/N10)/1.983</f>
        <v>61.669350771883593</v>
      </c>
      <c r="O764" s="25">
        <f>(O763/O10)/1.983</f>
        <v>13.296352328122373</v>
      </c>
      <c r="P764" s="25">
        <f>(P763/P10)/1.983</f>
        <v>0.26027686951995183</v>
      </c>
      <c r="Q764" s="88" t="s">
        <v>7</v>
      </c>
      <c r="R764" s="88" t="s">
        <v>7</v>
      </c>
    </row>
    <row r="765" spans="1:18" ht="15.75" customHeight="1" x14ac:dyDescent="0.3">
      <c r="A765" s="28"/>
      <c r="B765" s="1"/>
      <c r="C765" s="1"/>
      <c r="D765" s="1"/>
      <c r="E765" s="1"/>
      <c r="F765" s="1"/>
      <c r="G765" s="1"/>
      <c r="H765" s="1"/>
      <c r="I765" s="1"/>
      <c r="J765" s="1"/>
      <c r="K765" s="1"/>
      <c r="L765" s="1"/>
      <c r="M765" s="1"/>
      <c r="N765" s="1"/>
      <c r="O765" s="1"/>
      <c r="P765" s="1"/>
      <c r="Q765" s="1"/>
      <c r="R765" s="28"/>
    </row>
    <row r="766" spans="1:18" ht="15.75" customHeight="1" thickBot="1" x14ac:dyDescent="0.35">
      <c r="A766" s="28"/>
      <c r="B766" s="1"/>
      <c r="C766" s="1"/>
      <c r="D766" s="1"/>
      <c r="E766" s="1"/>
      <c r="F766" s="1"/>
      <c r="G766" s="1"/>
      <c r="H766" s="1"/>
      <c r="I766" s="1"/>
      <c r="J766" s="1"/>
      <c r="K766" s="1"/>
      <c r="L766" s="1"/>
      <c r="M766" s="1"/>
      <c r="N766" s="1"/>
      <c r="O766" s="1"/>
      <c r="P766" s="1"/>
      <c r="Q766" s="1"/>
      <c r="R766" s="28"/>
    </row>
    <row r="767" spans="1:18" ht="16.5" customHeight="1" thickBot="1" x14ac:dyDescent="0.35">
      <c r="A767" s="343" t="s">
        <v>586</v>
      </c>
      <c r="B767" s="323" t="s">
        <v>36</v>
      </c>
      <c r="C767" s="324" t="s">
        <v>9</v>
      </c>
      <c r="D767" s="324" t="s">
        <v>10</v>
      </c>
      <c r="E767" s="34" t="s">
        <v>11</v>
      </c>
      <c r="F767" s="324" t="s">
        <v>12</v>
      </c>
      <c r="G767" s="324" t="s">
        <v>13</v>
      </c>
      <c r="H767" s="324" t="s">
        <v>14</v>
      </c>
      <c r="I767" s="34" t="s">
        <v>15</v>
      </c>
      <c r="J767" s="324" t="s">
        <v>16</v>
      </c>
      <c r="K767" s="324" t="s">
        <v>17</v>
      </c>
      <c r="L767" s="324" t="s">
        <v>18</v>
      </c>
      <c r="M767" s="34" t="s">
        <v>19</v>
      </c>
      <c r="N767" s="324" t="s">
        <v>20</v>
      </c>
      <c r="O767" s="324" t="s">
        <v>21</v>
      </c>
      <c r="P767" s="324" t="s">
        <v>22</v>
      </c>
      <c r="Q767" s="34" t="s">
        <v>23</v>
      </c>
      <c r="R767" s="346" t="s">
        <v>24</v>
      </c>
    </row>
    <row r="768" spans="1:18" ht="16.5" customHeight="1" thickBot="1" x14ac:dyDescent="0.35">
      <c r="A768" s="42"/>
      <c r="B768" s="37"/>
      <c r="C768" s="37"/>
      <c r="D768" s="37"/>
      <c r="E768" s="156"/>
      <c r="F768" s="37"/>
      <c r="G768" s="37"/>
      <c r="H768" s="37"/>
      <c r="I768" s="156"/>
      <c r="J768" s="37"/>
      <c r="K768" s="37"/>
      <c r="L768" s="37"/>
      <c r="M768" s="156"/>
      <c r="N768" s="37"/>
      <c r="O768" s="37"/>
      <c r="P768" s="37"/>
      <c r="Q768" s="156"/>
      <c r="R768" s="39"/>
    </row>
    <row r="769" spans="1:18" ht="15.75" customHeight="1" x14ac:dyDescent="0.3">
      <c r="A769" s="17" t="s">
        <v>45</v>
      </c>
      <c r="B769" s="1" t="s">
        <v>7</v>
      </c>
      <c r="C769" s="1" t="s">
        <v>7</v>
      </c>
      <c r="D769" s="1" t="s">
        <v>7</v>
      </c>
      <c r="E769" s="59" t="s">
        <v>7</v>
      </c>
      <c r="F769" s="1" t="s">
        <v>7</v>
      </c>
      <c r="G769" s="1" t="s">
        <v>7</v>
      </c>
      <c r="H769" s="1" t="s">
        <v>7</v>
      </c>
      <c r="I769" s="59" t="s">
        <v>7</v>
      </c>
      <c r="J769" s="1" t="s">
        <v>7</v>
      </c>
      <c r="K769" s="1" t="s">
        <v>7</v>
      </c>
      <c r="L769" s="1" t="s">
        <v>7</v>
      </c>
      <c r="M769" s="59" t="s">
        <v>7</v>
      </c>
      <c r="N769" s="1" t="s">
        <v>7</v>
      </c>
      <c r="O769" s="1" t="s">
        <v>7</v>
      </c>
      <c r="P769" s="1" t="s">
        <v>7</v>
      </c>
      <c r="Q769" s="59" t="s">
        <v>7</v>
      </c>
      <c r="R769" s="59" t="s">
        <v>7</v>
      </c>
    </row>
    <row r="770" spans="1:18" ht="15.75" customHeight="1" x14ac:dyDescent="0.3">
      <c r="A770" s="17" t="s">
        <v>46</v>
      </c>
      <c r="B770" s="1"/>
      <c r="C770" s="1"/>
      <c r="D770" s="1"/>
      <c r="E770" s="59" t="s">
        <v>7</v>
      </c>
      <c r="F770" s="1"/>
      <c r="G770" s="1"/>
      <c r="H770" s="1"/>
      <c r="I770" s="59" t="s">
        <v>7</v>
      </c>
      <c r="J770" s="1"/>
      <c r="K770" s="1"/>
      <c r="L770" s="1"/>
      <c r="M770" s="59" t="s">
        <v>7</v>
      </c>
      <c r="N770" s="1"/>
      <c r="O770" s="1"/>
      <c r="P770" s="1"/>
      <c r="Q770" s="59" t="s">
        <v>7</v>
      </c>
      <c r="R770" s="59" t="s">
        <v>7</v>
      </c>
    </row>
    <row r="771" spans="1:18" ht="15.75" customHeight="1" x14ac:dyDescent="0.3">
      <c r="A771" s="74" t="s">
        <v>587</v>
      </c>
      <c r="B771" s="1"/>
      <c r="C771" s="1"/>
      <c r="D771" s="1"/>
      <c r="E771" s="59">
        <f>SUM(B771:D771)</f>
        <v>0</v>
      </c>
      <c r="F771" s="1"/>
      <c r="G771" s="1">
        <v>46</v>
      </c>
      <c r="H771" s="1"/>
      <c r="I771" s="59">
        <f>SUM(F771:H771)</f>
        <v>46</v>
      </c>
      <c r="J771" s="1"/>
      <c r="K771" s="1"/>
      <c r="L771" s="1"/>
      <c r="M771" s="59">
        <f>SUM(J771:L771)</f>
        <v>0</v>
      </c>
      <c r="N771" s="1"/>
      <c r="O771" s="1"/>
      <c r="P771" s="1"/>
      <c r="Q771" s="59">
        <f>SUM(N771:P771)</f>
        <v>0</v>
      </c>
      <c r="R771" s="59">
        <f>+E771+I771+M771+Q771</f>
        <v>46</v>
      </c>
    </row>
    <row r="772" spans="1:18" ht="15.75" customHeight="1" x14ac:dyDescent="0.3">
      <c r="A772" s="17" t="s">
        <v>47</v>
      </c>
      <c r="B772" s="1"/>
      <c r="C772" s="1"/>
      <c r="D772" s="1"/>
      <c r="E772" s="59" t="s">
        <v>7</v>
      </c>
      <c r="F772" s="1"/>
      <c r="G772" s="1"/>
      <c r="H772" s="1"/>
      <c r="I772" s="59" t="s">
        <v>7</v>
      </c>
      <c r="J772" s="1"/>
      <c r="K772" s="1"/>
      <c r="L772" s="1"/>
      <c r="M772" s="59" t="s">
        <v>7</v>
      </c>
      <c r="N772" s="1"/>
      <c r="O772" s="1"/>
      <c r="P772" s="1"/>
      <c r="Q772" s="59" t="s">
        <v>7</v>
      </c>
      <c r="R772" s="59" t="s">
        <v>7</v>
      </c>
    </row>
    <row r="773" spans="1:18" ht="15.75" customHeight="1" x14ac:dyDescent="0.3">
      <c r="A773" s="17" t="s">
        <v>49</v>
      </c>
      <c r="B773" s="1"/>
      <c r="C773" s="1"/>
      <c r="D773" s="1"/>
      <c r="E773" s="59" t="s">
        <v>7</v>
      </c>
      <c r="F773" s="1"/>
      <c r="G773" s="1"/>
      <c r="H773" s="1"/>
      <c r="I773" s="59" t="s">
        <v>7</v>
      </c>
      <c r="J773" s="1"/>
      <c r="K773" s="1"/>
      <c r="L773" s="1"/>
      <c r="M773" s="59" t="s">
        <v>7</v>
      </c>
      <c r="N773" s="1"/>
      <c r="O773" s="1"/>
      <c r="P773" s="1"/>
      <c r="Q773" s="59" t="s">
        <v>7</v>
      </c>
      <c r="R773" s="59" t="s">
        <v>7</v>
      </c>
    </row>
    <row r="774" spans="1:18" ht="15.75" customHeight="1" thickBot="1" x14ac:dyDescent="0.35">
      <c r="A774" s="17" t="s">
        <v>51</v>
      </c>
      <c r="B774" s="1"/>
      <c r="C774" s="1"/>
      <c r="D774" s="1"/>
      <c r="E774" s="59" t="s">
        <v>7</v>
      </c>
      <c r="F774" s="1"/>
      <c r="G774" s="1"/>
      <c r="H774" s="1"/>
      <c r="I774" s="59" t="s">
        <v>7</v>
      </c>
      <c r="J774" s="1"/>
      <c r="K774" s="1"/>
      <c r="L774" s="1"/>
      <c r="M774" s="59" t="s">
        <v>7</v>
      </c>
      <c r="N774" s="1"/>
      <c r="O774" s="1"/>
      <c r="P774" s="1"/>
      <c r="Q774" s="59" t="s">
        <v>7</v>
      </c>
      <c r="R774" s="59" t="s">
        <v>7</v>
      </c>
    </row>
    <row r="775" spans="1:18" ht="16.5" customHeight="1" thickBot="1" x14ac:dyDescent="0.35">
      <c r="A775" s="62" t="s">
        <v>52</v>
      </c>
      <c r="B775" s="100">
        <f>SUM(B769:B774)</f>
        <v>0</v>
      </c>
      <c r="C775" s="101">
        <f>SUM(C769:C774)</f>
        <v>0</v>
      </c>
      <c r="D775" s="101">
        <f>SUM(D769:D774)</f>
        <v>0</v>
      </c>
      <c r="E775" s="64">
        <f>SUM(B775:D775)</f>
        <v>0</v>
      </c>
      <c r="F775" s="101">
        <f>SUM(F769:F774)</f>
        <v>0</v>
      </c>
      <c r="G775" s="101">
        <f>SUM(G769:G774)</f>
        <v>46</v>
      </c>
      <c r="H775" s="101">
        <f>SUM(H769:H774)</f>
        <v>0</v>
      </c>
      <c r="I775" s="64">
        <f>SUM(F775:H775)</f>
        <v>46</v>
      </c>
      <c r="J775" s="101">
        <f>SUM(J769:J774)</f>
        <v>0</v>
      </c>
      <c r="K775" s="101">
        <f>SUM(K769:K774)</f>
        <v>0</v>
      </c>
      <c r="L775" s="101">
        <f>SUM(L769:L774)</f>
        <v>0</v>
      </c>
      <c r="M775" s="64">
        <f>SUM(J775:L775)</f>
        <v>0</v>
      </c>
      <c r="N775" s="101">
        <f>SUM(N769:N774)</f>
        <v>0</v>
      </c>
      <c r="O775" s="101">
        <f>SUM(O769:O774)</f>
        <v>0</v>
      </c>
      <c r="P775" s="101">
        <f>SUM(P769:P774)</f>
        <v>0</v>
      </c>
      <c r="Q775" s="64">
        <f>SUM(N775:P775)</f>
        <v>0</v>
      </c>
      <c r="R775" s="64">
        <f>+E775+I775+M775+Q775</f>
        <v>46</v>
      </c>
    </row>
    <row r="776" spans="1:18" ht="15.75" customHeight="1" x14ac:dyDescent="0.3">
      <c r="A776" s="17" t="s">
        <v>53</v>
      </c>
      <c r="B776" s="1"/>
      <c r="C776" s="1"/>
      <c r="D776" s="1"/>
      <c r="E776" s="59" t="s">
        <v>7</v>
      </c>
      <c r="F776" s="1"/>
      <c r="G776" s="1"/>
      <c r="H776" s="1"/>
      <c r="I776" s="59" t="s">
        <v>7</v>
      </c>
      <c r="J776" s="1"/>
      <c r="K776" s="1"/>
      <c r="L776" s="1"/>
      <c r="M776" s="59" t="s">
        <v>7</v>
      </c>
      <c r="N776" s="1"/>
      <c r="O776" s="1"/>
      <c r="P776" s="1"/>
      <c r="Q776" s="59" t="s">
        <v>7</v>
      </c>
      <c r="R776" s="59" t="s">
        <v>7</v>
      </c>
    </row>
    <row r="777" spans="1:18" ht="15.75" customHeight="1" x14ac:dyDescent="0.3">
      <c r="A777" s="17" t="s">
        <v>55</v>
      </c>
      <c r="B777" s="1"/>
      <c r="C777" s="1"/>
      <c r="D777" s="1"/>
      <c r="E777" s="59" t="s">
        <v>7</v>
      </c>
      <c r="F777" s="1"/>
      <c r="G777" s="1"/>
      <c r="H777" s="1"/>
      <c r="I777" s="59" t="s">
        <v>7</v>
      </c>
      <c r="J777" s="1"/>
      <c r="K777" s="1"/>
      <c r="L777" s="1"/>
      <c r="M777" s="59" t="s">
        <v>7</v>
      </c>
      <c r="N777" s="1"/>
      <c r="O777" s="1"/>
      <c r="P777" s="1"/>
      <c r="Q777" s="59" t="s">
        <v>7</v>
      </c>
      <c r="R777" s="59" t="s">
        <v>7</v>
      </c>
    </row>
    <row r="778" spans="1:18" ht="15.75" customHeight="1" thickBot="1" x14ac:dyDescent="0.35">
      <c r="A778" s="17" t="s">
        <v>56</v>
      </c>
      <c r="B778" s="1"/>
      <c r="C778" s="1"/>
      <c r="D778" s="1"/>
      <c r="E778" s="59" t="s">
        <v>7</v>
      </c>
      <c r="F778" s="1"/>
      <c r="G778" s="1"/>
      <c r="H778" s="1"/>
      <c r="I778" s="59" t="s">
        <v>7</v>
      </c>
      <c r="J778" s="1"/>
      <c r="K778" s="1"/>
      <c r="L778" s="1"/>
      <c r="M778" s="59" t="s">
        <v>7</v>
      </c>
      <c r="N778" s="1"/>
      <c r="O778" s="1"/>
      <c r="P778" s="1"/>
      <c r="Q778" s="59" t="s">
        <v>7</v>
      </c>
      <c r="R778" s="59" t="s">
        <v>7</v>
      </c>
    </row>
    <row r="779" spans="1:18" ht="16.5" customHeight="1" thickBot="1" x14ac:dyDescent="0.35">
      <c r="A779" s="62" t="s">
        <v>57</v>
      </c>
      <c r="B779" s="100">
        <f>SUM(B776:B778)</f>
        <v>0</v>
      </c>
      <c r="C779" s="101">
        <f>SUM(C776:C778)</f>
        <v>0</v>
      </c>
      <c r="D779" s="101">
        <f>SUM(D776:D778)</f>
        <v>0</v>
      </c>
      <c r="E779" s="64">
        <f>SUM(B779:D779)</f>
        <v>0</v>
      </c>
      <c r="F779" s="101">
        <f>SUM(F776:F778)</f>
        <v>0</v>
      </c>
      <c r="G779" s="101">
        <f>SUM(G776:G778)</f>
        <v>0</v>
      </c>
      <c r="H779" s="101">
        <f>SUM(H776:H778)</f>
        <v>0</v>
      </c>
      <c r="I779" s="64">
        <f>SUM(F779:H779)</f>
        <v>0</v>
      </c>
      <c r="J779" s="101">
        <f>SUM(J776:J778)</f>
        <v>0</v>
      </c>
      <c r="K779" s="101">
        <f>SUM(K776:K778)</f>
        <v>0</v>
      </c>
      <c r="L779" s="101">
        <f>SUM(L776:L778)</f>
        <v>0</v>
      </c>
      <c r="M779" s="64">
        <f>SUM(J779:L779)</f>
        <v>0</v>
      </c>
      <c r="N779" s="101">
        <f>SUM(N776:N778)</f>
        <v>0</v>
      </c>
      <c r="O779" s="101">
        <f>SUM(O776:O778)</f>
        <v>0</v>
      </c>
      <c r="P779" s="101">
        <f>SUM(P776:P778)</f>
        <v>0</v>
      </c>
      <c r="Q779" s="64">
        <f>SUM(N779:P779)</f>
        <v>0</v>
      </c>
      <c r="R779" s="64">
        <f>+E779+I779+M779+Q779</f>
        <v>0</v>
      </c>
    </row>
    <row r="780" spans="1:18" ht="15.75" customHeight="1" x14ac:dyDescent="0.3">
      <c r="A780" s="17" t="s">
        <v>58</v>
      </c>
      <c r="B780" s="1"/>
      <c r="C780" s="1"/>
      <c r="D780" s="1"/>
      <c r="E780" s="59" t="s">
        <v>7</v>
      </c>
      <c r="F780" s="1"/>
      <c r="G780" s="1"/>
      <c r="H780" s="1"/>
      <c r="I780" s="59" t="s">
        <v>7</v>
      </c>
      <c r="J780" s="1"/>
      <c r="K780" s="1"/>
      <c r="L780" s="1"/>
      <c r="M780" s="59" t="s">
        <v>7</v>
      </c>
      <c r="N780" s="1"/>
      <c r="O780" s="1"/>
      <c r="P780" s="1"/>
      <c r="Q780" s="59" t="s">
        <v>7</v>
      </c>
      <c r="R780" s="59" t="s">
        <v>7</v>
      </c>
    </row>
    <row r="781" spans="1:18" ht="15.75" customHeight="1" x14ac:dyDescent="0.3">
      <c r="A781" s="17" t="s">
        <v>59</v>
      </c>
      <c r="B781" s="1"/>
      <c r="C781" s="1"/>
      <c r="D781" s="1"/>
      <c r="E781" s="59" t="s">
        <v>7</v>
      </c>
      <c r="F781" s="1"/>
      <c r="G781" s="1"/>
      <c r="H781" s="1"/>
      <c r="I781" s="59" t="s">
        <v>7</v>
      </c>
      <c r="J781" s="1"/>
      <c r="K781" s="1"/>
      <c r="L781" s="1"/>
      <c r="M781" s="59" t="s">
        <v>7</v>
      </c>
      <c r="N781" s="1"/>
      <c r="O781" s="1"/>
      <c r="P781" s="1"/>
      <c r="Q781" s="59" t="s">
        <v>7</v>
      </c>
      <c r="R781" s="59" t="s">
        <v>7</v>
      </c>
    </row>
    <row r="782" spans="1:18" ht="15.75" customHeight="1" thickBot="1" x14ac:dyDescent="0.35">
      <c r="A782" s="17" t="s">
        <v>60</v>
      </c>
      <c r="B782" s="1"/>
      <c r="C782" s="1"/>
      <c r="D782" s="1"/>
      <c r="E782" s="59" t="s">
        <v>7</v>
      </c>
      <c r="F782" s="1"/>
      <c r="G782" s="1"/>
      <c r="H782" s="1"/>
      <c r="I782" s="59" t="s">
        <v>7</v>
      </c>
      <c r="J782" s="1"/>
      <c r="K782" s="1"/>
      <c r="L782" s="1"/>
      <c r="M782" s="59" t="s">
        <v>7</v>
      </c>
      <c r="N782" s="1"/>
      <c r="O782" s="1"/>
      <c r="P782" s="1"/>
      <c r="Q782" s="59" t="s">
        <v>7</v>
      </c>
      <c r="R782" s="59" t="s">
        <v>7</v>
      </c>
    </row>
    <row r="783" spans="1:18" ht="16.5" customHeight="1" thickBot="1" x14ac:dyDescent="0.35">
      <c r="A783" s="62" t="s">
        <v>61</v>
      </c>
      <c r="B783" s="100">
        <f>SUM(B780:B782)</f>
        <v>0</v>
      </c>
      <c r="C783" s="101">
        <f>SUM(C780:C782)</f>
        <v>0</v>
      </c>
      <c r="D783" s="101">
        <f>SUM(D780:D782)</f>
        <v>0</v>
      </c>
      <c r="E783" s="64">
        <f>SUM(B783:D783)</f>
        <v>0</v>
      </c>
      <c r="F783" s="101">
        <f>SUM(F780:F782)</f>
        <v>0</v>
      </c>
      <c r="G783" s="101">
        <f>SUM(G780:G782)</f>
        <v>0</v>
      </c>
      <c r="H783" s="101">
        <f>SUM(H780:H782)</f>
        <v>0</v>
      </c>
      <c r="I783" s="64">
        <f>SUM(F783:H783)</f>
        <v>0</v>
      </c>
      <c r="J783" s="101">
        <f>SUM(J780:J782)</f>
        <v>0</v>
      </c>
      <c r="K783" s="101">
        <f>SUM(K780:K782)</f>
        <v>0</v>
      </c>
      <c r="L783" s="101">
        <f>SUM(L780:L782)</f>
        <v>0</v>
      </c>
      <c r="M783" s="64">
        <f>SUM(J783:L783)</f>
        <v>0</v>
      </c>
      <c r="N783" s="101">
        <f>SUM(N780:N782)</f>
        <v>0</v>
      </c>
      <c r="O783" s="101">
        <f>SUM(O780:O782)</f>
        <v>0</v>
      </c>
      <c r="P783" s="101">
        <f>SUM(P780:P782)</f>
        <v>0</v>
      </c>
      <c r="Q783" s="64">
        <f>SUM(N783:P783)</f>
        <v>0</v>
      </c>
      <c r="R783" s="64">
        <f>+E783+I783+M783+Q783</f>
        <v>0</v>
      </c>
    </row>
    <row r="784" spans="1:18" ht="15.75" customHeight="1" x14ac:dyDescent="0.3">
      <c r="A784" s="17" t="s">
        <v>62</v>
      </c>
      <c r="B784" s="1"/>
      <c r="C784" s="1"/>
      <c r="D784" s="1"/>
      <c r="E784" s="59" t="s">
        <v>7</v>
      </c>
      <c r="F784" s="1"/>
      <c r="G784" s="1"/>
      <c r="H784" s="1"/>
      <c r="I784" s="59" t="s">
        <v>7</v>
      </c>
      <c r="J784" s="1"/>
      <c r="K784" s="1"/>
      <c r="L784" s="1"/>
      <c r="M784" s="59" t="s">
        <v>7</v>
      </c>
      <c r="N784" s="1"/>
      <c r="O784" s="1"/>
      <c r="P784" s="1"/>
      <c r="Q784" s="59" t="s">
        <v>7</v>
      </c>
      <c r="R784" s="59" t="s">
        <v>7</v>
      </c>
    </row>
    <row r="785" spans="1:18" ht="15.75" customHeight="1" x14ac:dyDescent="0.3">
      <c r="A785" s="17" t="s">
        <v>63</v>
      </c>
      <c r="B785" s="1"/>
      <c r="C785" s="1"/>
      <c r="D785" s="1"/>
      <c r="E785" s="59" t="s">
        <v>7</v>
      </c>
      <c r="F785" s="1"/>
      <c r="G785" s="1"/>
      <c r="H785" s="1"/>
      <c r="I785" s="59" t="s">
        <v>7</v>
      </c>
      <c r="J785" s="1"/>
      <c r="K785" s="1"/>
      <c r="L785" s="1"/>
      <c r="M785" s="59" t="s">
        <v>7</v>
      </c>
      <c r="N785" s="1"/>
      <c r="O785" s="1"/>
      <c r="P785" s="1"/>
      <c r="Q785" s="59" t="s">
        <v>7</v>
      </c>
      <c r="R785" s="59" t="s">
        <v>7</v>
      </c>
    </row>
    <row r="786" spans="1:18" ht="15.75" customHeight="1" x14ac:dyDescent="0.3">
      <c r="A786" s="17" t="s">
        <v>64</v>
      </c>
      <c r="B786" s="1"/>
      <c r="C786" s="1"/>
      <c r="D786" s="1"/>
      <c r="E786" s="59" t="s">
        <v>7</v>
      </c>
      <c r="F786" s="1"/>
      <c r="G786" s="1"/>
      <c r="H786" s="1"/>
      <c r="I786" s="59" t="s">
        <v>7</v>
      </c>
      <c r="J786" s="1"/>
      <c r="K786" s="1"/>
      <c r="L786" s="1"/>
      <c r="M786" s="59" t="s">
        <v>7</v>
      </c>
      <c r="N786" s="1"/>
      <c r="O786" s="1"/>
      <c r="P786" s="1"/>
      <c r="Q786" s="59" t="s">
        <v>7</v>
      </c>
      <c r="R786" s="59" t="s">
        <v>7</v>
      </c>
    </row>
    <row r="787" spans="1:18" ht="15.75" customHeight="1" x14ac:dyDescent="0.3">
      <c r="A787" s="17" t="s">
        <v>66</v>
      </c>
      <c r="B787" s="1"/>
      <c r="C787" s="1"/>
      <c r="D787" s="1"/>
      <c r="E787" s="59" t="s">
        <v>7</v>
      </c>
      <c r="F787" s="1"/>
      <c r="G787" s="1"/>
      <c r="H787" s="1"/>
      <c r="I787" s="59" t="s">
        <v>7</v>
      </c>
      <c r="J787" s="1"/>
      <c r="K787" s="1"/>
      <c r="L787" s="1"/>
      <c r="M787" s="59" t="s">
        <v>7</v>
      </c>
      <c r="N787" s="1"/>
      <c r="O787" s="1"/>
      <c r="P787" s="1"/>
      <c r="Q787" s="59" t="s">
        <v>7</v>
      </c>
      <c r="R787" s="59" t="s">
        <v>7</v>
      </c>
    </row>
    <row r="788" spans="1:18" ht="15.75" customHeight="1" thickBot="1" x14ac:dyDescent="0.35">
      <c r="A788" s="17" t="s">
        <v>67</v>
      </c>
      <c r="B788" s="1"/>
      <c r="C788" s="1"/>
      <c r="D788" s="1"/>
      <c r="E788" s="59" t="s">
        <v>7</v>
      </c>
      <c r="F788" s="1"/>
      <c r="G788" s="1"/>
      <c r="H788" s="1"/>
      <c r="I788" s="59" t="s">
        <v>7</v>
      </c>
      <c r="J788" s="1"/>
      <c r="K788" s="1"/>
      <c r="L788" s="1"/>
      <c r="M788" s="59" t="s">
        <v>7</v>
      </c>
      <c r="N788" s="1"/>
      <c r="O788" s="1"/>
      <c r="P788" s="1"/>
      <c r="Q788" s="59" t="s">
        <v>7</v>
      </c>
      <c r="R788" s="59" t="s">
        <v>7</v>
      </c>
    </row>
    <row r="789" spans="1:18" ht="16.5" customHeight="1" thickBot="1" x14ac:dyDescent="0.35">
      <c r="A789" s="62" t="s">
        <v>68</v>
      </c>
      <c r="B789" s="63">
        <f>SUM(B787:B788)</f>
        <v>0</v>
      </c>
      <c r="C789" s="63">
        <f>SUM(C787:C788)</f>
        <v>0</v>
      </c>
      <c r="D789" s="63">
        <f>SUM(D787:D788)</f>
        <v>0</v>
      </c>
      <c r="E789" s="334">
        <f>SUM(B789:D789)</f>
        <v>0</v>
      </c>
      <c r="F789" s="63">
        <f>SUM(F787:F788)</f>
        <v>0</v>
      </c>
      <c r="G789" s="63">
        <f>SUM(G787:G788)</f>
        <v>0</v>
      </c>
      <c r="H789" s="63">
        <f>SUM(H787:H788)</f>
        <v>0</v>
      </c>
      <c r="I789" s="334">
        <f>SUM(F789:H789)</f>
        <v>0</v>
      </c>
      <c r="J789" s="63">
        <f>SUM(J787:J788)</f>
        <v>0</v>
      </c>
      <c r="K789" s="63">
        <f>SUM(K787:K788)</f>
        <v>0</v>
      </c>
      <c r="L789" s="63">
        <f>SUM(L787:L788)</f>
        <v>0</v>
      </c>
      <c r="M789" s="334">
        <f>SUM(J789:L789)</f>
        <v>0</v>
      </c>
      <c r="N789" s="63">
        <f>SUM(N787:N788)</f>
        <v>0</v>
      </c>
      <c r="O789" s="63">
        <f>SUM(O787:O788)</f>
        <v>0</v>
      </c>
      <c r="P789" s="63">
        <f>SUM(P787:P788)</f>
        <v>0</v>
      </c>
      <c r="Q789" s="334">
        <f>SUM(N789:P789)</f>
        <v>0</v>
      </c>
      <c r="R789" s="64">
        <f>+E789+I789+M789+Q789</f>
        <v>0</v>
      </c>
    </row>
    <row r="790" spans="1:18" ht="16.5" customHeight="1" thickBot="1" x14ac:dyDescent="0.35">
      <c r="A790" s="62" t="s">
        <v>69</v>
      </c>
      <c r="B790" s="100">
        <f>SUM(B784:B788)</f>
        <v>0</v>
      </c>
      <c r="C790" s="101">
        <f>SUM(C784:C788)</f>
        <v>0</v>
      </c>
      <c r="D790" s="138">
        <f>SUM(D784:D788)</f>
        <v>0</v>
      </c>
      <c r="E790" s="334">
        <f>SUM(B790:D790)</f>
        <v>0</v>
      </c>
      <c r="F790" s="101">
        <f>SUM(F784:F788)</f>
        <v>0</v>
      </c>
      <c r="G790" s="101">
        <f>SUM(G784:G788)</f>
        <v>0</v>
      </c>
      <c r="H790" s="101">
        <f>SUM(H784:H788)</f>
        <v>0</v>
      </c>
      <c r="I790" s="334">
        <f>SUM(F790:H790)</f>
        <v>0</v>
      </c>
      <c r="J790" s="101">
        <f>SUM(J784:J788)</f>
        <v>0</v>
      </c>
      <c r="K790" s="101">
        <f>SUM(K784:K788)</f>
        <v>0</v>
      </c>
      <c r="L790" s="101">
        <f>SUM(L784:L788)</f>
        <v>0</v>
      </c>
      <c r="M790" s="334">
        <f>SUM(J790:L790)</f>
        <v>0</v>
      </c>
      <c r="N790" s="101">
        <f>SUM(N784:N788)</f>
        <v>0</v>
      </c>
      <c r="O790" s="101">
        <f>SUM(O784:O788)</f>
        <v>0</v>
      </c>
      <c r="P790" s="101">
        <f>SUM(P784:P788)</f>
        <v>0</v>
      </c>
      <c r="Q790" s="334">
        <f>SUM(N790:P790)</f>
        <v>0</v>
      </c>
      <c r="R790" s="64">
        <f>+E790+I790+M790+Q790</f>
        <v>0</v>
      </c>
    </row>
    <row r="791" spans="1:18" ht="16.5" customHeight="1" thickBot="1" x14ac:dyDescent="0.35">
      <c r="A791" s="62" t="s">
        <v>70</v>
      </c>
      <c r="B791" s="107">
        <f>+B775+B779+B783+B790</f>
        <v>0</v>
      </c>
      <c r="C791" s="63">
        <f>+C775+C779+C783+C790</f>
        <v>0</v>
      </c>
      <c r="D791" s="63">
        <f>+D775+D779+D783+D790</f>
        <v>0</v>
      </c>
      <c r="E791" s="64">
        <f>SUM(B791:D791)</f>
        <v>0</v>
      </c>
      <c r="F791" s="63">
        <f>+F775+F779+F783+F790</f>
        <v>0</v>
      </c>
      <c r="G791" s="63">
        <f>+G775+G779+G783+G790</f>
        <v>46</v>
      </c>
      <c r="H791" s="63">
        <f>+H775+H779+H783+H790</f>
        <v>0</v>
      </c>
      <c r="I791" s="64">
        <f>SUM(F791:H791)</f>
        <v>46</v>
      </c>
      <c r="J791" s="63">
        <f>+J775+J779+J783+J790</f>
        <v>0</v>
      </c>
      <c r="K791" s="63">
        <f>+K775+K779+K783+K790</f>
        <v>0</v>
      </c>
      <c r="L791" s="63">
        <f>+L775+L779+L783+L790</f>
        <v>0</v>
      </c>
      <c r="M791" s="64">
        <f>SUM(J791:L791)</f>
        <v>0</v>
      </c>
      <c r="N791" s="63">
        <f>+N775+N779+N783+N790</f>
        <v>0</v>
      </c>
      <c r="O791" s="63">
        <f>+O775+O779+O783+O790</f>
        <v>0</v>
      </c>
      <c r="P791" s="63">
        <f>+P775+P779+P783+P790</f>
        <v>0</v>
      </c>
      <c r="Q791" s="64">
        <f>SUM(N791:P791)</f>
        <v>0</v>
      </c>
      <c r="R791" s="88">
        <f>+E791+I791+M791+Q791</f>
        <v>46</v>
      </c>
    </row>
    <row r="792" spans="1:18" ht="15.75" customHeight="1" x14ac:dyDescent="0.3">
      <c r="A792" s="74" t="s">
        <v>588</v>
      </c>
      <c r="B792" s="1">
        <v>3805</v>
      </c>
      <c r="C792" s="1">
        <v>3805</v>
      </c>
      <c r="D792" s="1">
        <v>4757</v>
      </c>
      <c r="E792" s="59">
        <f>SUM(B792:D792)</f>
        <v>12367</v>
      </c>
      <c r="F792" s="1">
        <v>5708</v>
      </c>
      <c r="G792" s="1">
        <v>6659</v>
      </c>
      <c r="H792" s="1">
        <v>6850</v>
      </c>
      <c r="I792" s="59">
        <f>SUM(F792:H792)</f>
        <v>19217</v>
      </c>
      <c r="J792" s="1">
        <v>6184</v>
      </c>
      <c r="K792" s="1">
        <v>5708</v>
      </c>
      <c r="L792" s="1">
        <v>5232</v>
      </c>
      <c r="M792" s="59">
        <f>SUM(J792:L792)</f>
        <v>17124</v>
      </c>
      <c r="N792" s="1">
        <v>4757</v>
      </c>
      <c r="O792" s="1">
        <v>4281</v>
      </c>
      <c r="P792" s="1">
        <v>3805</v>
      </c>
      <c r="Q792" s="59">
        <f>SUM(N792:P792)</f>
        <v>12843</v>
      </c>
      <c r="R792" s="59">
        <f>+E792+I792+M792+Q792</f>
        <v>61551</v>
      </c>
    </row>
    <row r="793" spans="1:18" ht="15.75" customHeight="1" thickBot="1" x14ac:dyDescent="0.35">
      <c r="A793" s="74" t="s">
        <v>37</v>
      </c>
      <c r="B793" s="1">
        <v>0</v>
      </c>
      <c r="C793" s="1">
        <v>0</v>
      </c>
      <c r="D793" s="1">
        <v>0</v>
      </c>
      <c r="E793" s="59">
        <f>SUM(B793:D793)</f>
        <v>0</v>
      </c>
      <c r="F793" s="1">
        <v>0</v>
      </c>
      <c r="G793" s="1">
        <v>0</v>
      </c>
      <c r="H793" s="1">
        <v>0</v>
      </c>
      <c r="I793" s="59">
        <f>SUM(F793:H793)</f>
        <v>0</v>
      </c>
      <c r="J793" s="1">
        <v>0</v>
      </c>
      <c r="K793" s="1">
        <v>0</v>
      </c>
      <c r="L793" s="1">
        <v>0</v>
      </c>
      <c r="M793" s="59">
        <f>SUM(J793:L793)</f>
        <v>0</v>
      </c>
      <c r="N793" s="1">
        <v>0</v>
      </c>
      <c r="O793" s="1">
        <v>0</v>
      </c>
      <c r="P793" s="1">
        <v>0</v>
      </c>
      <c r="Q793" s="59">
        <f>SUM(N793:P793)</f>
        <v>0</v>
      </c>
      <c r="R793" s="59">
        <f>+E793+I793+M793+Q793</f>
        <v>0</v>
      </c>
    </row>
    <row r="794" spans="1:18" ht="16.5" customHeight="1" thickBot="1" x14ac:dyDescent="0.35">
      <c r="A794" s="154"/>
      <c r="B794" s="56"/>
      <c r="C794" s="56"/>
      <c r="D794" s="56"/>
      <c r="E794" s="64" t="s">
        <v>7</v>
      </c>
      <c r="F794" s="56"/>
      <c r="G794" s="56"/>
      <c r="H794" s="56"/>
      <c r="I794" s="64" t="s">
        <v>7</v>
      </c>
      <c r="J794" s="56"/>
      <c r="K794" s="56"/>
      <c r="L794" s="56"/>
      <c r="M794" s="64" t="s">
        <v>7</v>
      </c>
      <c r="N794" s="56"/>
      <c r="O794" s="56"/>
      <c r="P794" s="56"/>
      <c r="Q794" s="64"/>
      <c r="R794" s="64"/>
    </row>
    <row r="795" spans="1:18" ht="15.75" customHeight="1" x14ac:dyDescent="0.3">
      <c r="A795" s="17" t="s">
        <v>38</v>
      </c>
      <c r="B795" s="1">
        <f>SUM(B791:B793)</f>
        <v>3805</v>
      </c>
      <c r="C795" s="1">
        <f>SUM(C791:C793)</f>
        <v>3805</v>
      </c>
      <c r="D795" s="1">
        <f>SUM(D791:D793)</f>
        <v>4757</v>
      </c>
      <c r="E795" s="334">
        <f>SUM(B795:D795)</f>
        <v>12367</v>
      </c>
      <c r="F795" s="1">
        <f>SUM(F791:F793)</f>
        <v>5708</v>
      </c>
      <c r="G795" s="1">
        <f>SUM(G791:G793)</f>
        <v>6705</v>
      </c>
      <c r="H795" s="1">
        <f>SUM(H791:H793)</f>
        <v>6850</v>
      </c>
      <c r="I795" s="334">
        <f>SUM(F795:H795)</f>
        <v>19263</v>
      </c>
      <c r="J795" s="1">
        <f>SUM(J791:J793)</f>
        <v>6184</v>
      </c>
      <c r="K795" s="1">
        <f>SUM(K791:K793)</f>
        <v>5708</v>
      </c>
      <c r="L795" s="1">
        <f>SUM(L791:L793)</f>
        <v>5232</v>
      </c>
      <c r="M795" s="334">
        <f>SUM(J795:L795)</f>
        <v>17124</v>
      </c>
      <c r="N795" s="1">
        <f>SUM(N791:N793)</f>
        <v>4757</v>
      </c>
      <c r="O795" s="1">
        <f>SUM(O791:O793)</f>
        <v>4281</v>
      </c>
      <c r="P795" s="1">
        <f>SUM(P791:P793)</f>
        <v>3805</v>
      </c>
      <c r="Q795" s="334">
        <f>SUM(N795:P795)</f>
        <v>12843</v>
      </c>
      <c r="R795" s="334">
        <f>+E795+I795+M795+Q795</f>
        <v>61597</v>
      </c>
    </row>
    <row r="796" spans="1:18" ht="15.75" customHeight="1" x14ac:dyDescent="0.3">
      <c r="A796" s="17" t="s">
        <v>39</v>
      </c>
      <c r="B796" s="1">
        <f>(B795/B10)/1.983</f>
        <v>61.897093032713542</v>
      </c>
      <c r="C796" s="1">
        <f>(C795/C10)/1.983</f>
        <v>68.528924429075715</v>
      </c>
      <c r="D796" s="1">
        <f>(D795/D10)/1.983</f>
        <v>77.383566769150676</v>
      </c>
      <c r="E796" s="59" t="s">
        <v>7</v>
      </c>
      <c r="F796" s="1">
        <f>(F795/F10)/1.983</f>
        <v>95.948898974617592</v>
      </c>
      <c r="G796" s="1">
        <f>(G795/G10)/1.983</f>
        <v>109.07227563320481</v>
      </c>
      <c r="H796" s="1">
        <f>(H795/H10)/1.983</f>
        <v>115.14540258867036</v>
      </c>
      <c r="I796" s="59" t="s">
        <v>7</v>
      </c>
      <c r="J796" s="1">
        <f>(J795/J10)/1.983</f>
        <v>100.59701006946138</v>
      </c>
      <c r="K796" s="1">
        <f>(K795/K10)/1.983</f>
        <v>92.853773201242817</v>
      </c>
      <c r="L796" s="1">
        <f>(L795/L10)/1.983</f>
        <v>87.947554210791722</v>
      </c>
      <c r="M796" s="59" t="s">
        <v>7</v>
      </c>
      <c r="N796" s="1">
        <f>(N795/N10)/1.983</f>
        <v>77.383566769150676</v>
      </c>
      <c r="O796" s="1">
        <f>(O795/O10)/1.983</f>
        <v>71.961674230963183</v>
      </c>
      <c r="P796" s="1">
        <f>(P795/P10)/1.983</f>
        <v>61.897093032713542</v>
      </c>
      <c r="Q796" s="59" t="s">
        <v>7</v>
      </c>
      <c r="R796" s="59" t="s">
        <v>7</v>
      </c>
    </row>
    <row r="797" spans="1:18" ht="15.75" customHeight="1" x14ac:dyDescent="0.3">
      <c r="A797" s="17" t="s">
        <v>589</v>
      </c>
      <c r="B797" s="1">
        <f>B795</f>
        <v>3805</v>
      </c>
      <c r="C797" s="1">
        <f>C795</f>
        <v>3805</v>
      </c>
      <c r="D797" s="1">
        <f>D795</f>
        <v>4757</v>
      </c>
      <c r="E797" s="59">
        <f>SUM(B797:D797)</f>
        <v>12367</v>
      </c>
      <c r="F797" s="1">
        <f>F795</f>
        <v>5708</v>
      </c>
      <c r="G797" s="1">
        <f>G795</f>
        <v>6705</v>
      </c>
      <c r="H797" s="1">
        <f>H795</f>
        <v>6850</v>
      </c>
      <c r="I797" s="59">
        <f>SUM(F797:H797)</f>
        <v>19263</v>
      </c>
      <c r="J797" s="1">
        <f>J795</f>
        <v>6184</v>
      </c>
      <c r="K797" s="1">
        <f>K795</f>
        <v>5708</v>
      </c>
      <c r="L797" s="1">
        <f>L795</f>
        <v>5232</v>
      </c>
      <c r="M797" s="59">
        <f>SUM(J797:L797)</f>
        <v>17124</v>
      </c>
      <c r="N797" s="1">
        <f>N795</f>
        <v>4757</v>
      </c>
      <c r="O797" s="1">
        <f>O795</f>
        <v>4281</v>
      </c>
      <c r="P797" s="1">
        <f>P795</f>
        <v>3805</v>
      </c>
      <c r="Q797" s="59">
        <f>SUM(N797:P797)</f>
        <v>12843</v>
      </c>
      <c r="R797" s="59">
        <f>+E797+I797+M797+Q797</f>
        <v>61597</v>
      </c>
    </row>
    <row r="798" spans="1:18" ht="16.5" customHeight="1" thickBot="1" x14ac:dyDescent="0.35">
      <c r="A798" s="24" t="s">
        <v>590</v>
      </c>
      <c r="B798" s="25">
        <f>(B797/B10)/1.983</f>
        <v>61.897093032713542</v>
      </c>
      <c r="C798" s="25">
        <f>(C797/C10)/1.983</f>
        <v>68.528924429075715</v>
      </c>
      <c r="D798" s="25">
        <f>(D797/D10)/1.983</f>
        <v>77.383566769150676</v>
      </c>
      <c r="E798" s="88" t="s">
        <v>7</v>
      </c>
      <c r="F798" s="25">
        <f>(F797/F10)/1.983</f>
        <v>95.948898974617592</v>
      </c>
      <c r="G798" s="25">
        <f>(G797/G10)/1.983</f>
        <v>109.07227563320481</v>
      </c>
      <c r="H798" s="25">
        <f>(H797/H10)/1.983</f>
        <v>115.14540258867036</v>
      </c>
      <c r="I798" s="88" t="s">
        <v>7</v>
      </c>
      <c r="J798" s="25">
        <f>(J797/J10)/1.983</f>
        <v>100.59701006946138</v>
      </c>
      <c r="K798" s="25">
        <f>(K797/K10)/1.983</f>
        <v>92.853773201242817</v>
      </c>
      <c r="L798" s="25">
        <f>(L797/L10)/1.983</f>
        <v>87.947554210791722</v>
      </c>
      <c r="M798" s="88" t="s">
        <v>7</v>
      </c>
      <c r="N798" s="25">
        <f>(N797/N10)/1.983</f>
        <v>77.383566769150676</v>
      </c>
      <c r="O798" s="25">
        <f>(O797/O10)/1.983</f>
        <v>71.961674230963183</v>
      </c>
      <c r="P798" s="25">
        <f>(P797/P10)/1.983</f>
        <v>61.897093032713542</v>
      </c>
      <c r="Q798" s="88" t="s">
        <v>7</v>
      </c>
      <c r="R798" s="88" t="s">
        <v>7</v>
      </c>
    </row>
    <row r="799" spans="1:18" ht="15.75" customHeight="1" x14ac:dyDescent="0.3">
      <c r="A799" s="28"/>
      <c r="B799" s="1"/>
      <c r="C799" s="1"/>
      <c r="D799" s="1"/>
      <c r="E799" s="1"/>
      <c r="F799" s="1"/>
      <c r="G799" s="1"/>
      <c r="H799" s="1"/>
      <c r="I799" s="1"/>
      <c r="J799" s="1"/>
      <c r="K799" s="1"/>
      <c r="L799" s="1"/>
      <c r="M799" s="1"/>
      <c r="N799" s="1"/>
      <c r="O799" s="1"/>
      <c r="P799" s="1"/>
      <c r="Q799" s="1"/>
      <c r="R799" s="28"/>
    </row>
    <row r="800" spans="1:18" ht="15.75" customHeight="1" thickBot="1" x14ac:dyDescent="0.35">
      <c r="A800" s="28"/>
      <c r="B800" s="1"/>
      <c r="C800" s="1"/>
      <c r="D800" s="1"/>
      <c r="E800" s="1"/>
      <c r="F800" s="1"/>
      <c r="G800" s="1"/>
      <c r="H800" s="1"/>
      <c r="I800" s="1"/>
      <c r="J800" s="1"/>
      <c r="K800" s="1"/>
      <c r="L800" s="1"/>
      <c r="M800" s="1"/>
      <c r="N800" s="1"/>
      <c r="O800" s="1"/>
      <c r="P800" s="1"/>
      <c r="Q800" s="1"/>
      <c r="R800" s="28"/>
    </row>
    <row r="801" spans="1:20" ht="16.5" customHeight="1" thickBot="1" x14ac:dyDescent="0.35">
      <c r="A801" s="343" t="s">
        <v>591</v>
      </c>
      <c r="B801" s="323" t="s">
        <v>36</v>
      </c>
      <c r="C801" s="324" t="s">
        <v>9</v>
      </c>
      <c r="D801" s="324" t="s">
        <v>10</v>
      </c>
      <c r="E801" s="325" t="s">
        <v>11</v>
      </c>
      <c r="F801" s="324" t="s">
        <v>12</v>
      </c>
      <c r="G801" s="324" t="s">
        <v>13</v>
      </c>
      <c r="H801" s="324" t="s">
        <v>14</v>
      </c>
      <c r="I801" s="34" t="s">
        <v>15</v>
      </c>
      <c r="J801" s="324" t="s">
        <v>16</v>
      </c>
      <c r="K801" s="324" t="s">
        <v>17</v>
      </c>
      <c r="L801" s="324" t="s">
        <v>18</v>
      </c>
      <c r="M801" s="34" t="s">
        <v>19</v>
      </c>
      <c r="N801" s="324" t="s">
        <v>20</v>
      </c>
      <c r="O801" s="324" t="s">
        <v>21</v>
      </c>
      <c r="P801" s="324" t="s">
        <v>22</v>
      </c>
      <c r="Q801" s="34" t="s">
        <v>23</v>
      </c>
      <c r="R801" s="157" t="s">
        <v>24</v>
      </c>
    </row>
    <row r="802" spans="1:20" ht="16.5" customHeight="1" thickBot="1" x14ac:dyDescent="0.35">
      <c r="A802" s="42"/>
      <c r="B802" s="37"/>
      <c r="C802" s="37"/>
      <c r="D802" s="37"/>
      <c r="E802" s="16"/>
      <c r="F802" s="37"/>
      <c r="G802" s="37"/>
      <c r="H802" s="37"/>
      <c r="I802" s="156"/>
      <c r="J802" s="37"/>
      <c r="K802" s="37"/>
      <c r="L802" s="37"/>
      <c r="M802" s="156"/>
      <c r="N802" s="37"/>
      <c r="O802" s="37"/>
      <c r="P802" s="37"/>
      <c r="Q802" s="158"/>
      <c r="R802" s="159"/>
    </row>
    <row r="803" spans="1:20" ht="15.75" customHeight="1" x14ac:dyDescent="0.3">
      <c r="A803" s="17" t="s">
        <v>45</v>
      </c>
      <c r="B803" s="1" t="s">
        <v>7</v>
      </c>
      <c r="C803" s="1" t="s">
        <v>7</v>
      </c>
      <c r="D803" s="1" t="s">
        <v>7</v>
      </c>
      <c r="E803" s="160"/>
      <c r="F803" s="1" t="s">
        <v>7</v>
      </c>
      <c r="G803" s="1" t="s">
        <v>7</v>
      </c>
      <c r="H803" s="1" t="s">
        <v>7</v>
      </c>
      <c r="I803" s="160"/>
      <c r="J803" s="1" t="s">
        <v>7</v>
      </c>
      <c r="K803" s="1" t="s">
        <v>7</v>
      </c>
      <c r="L803" s="1" t="s">
        <v>7</v>
      </c>
      <c r="M803" s="160"/>
      <c r="N803" s="1" t="s">
        <v>7</v>
      </c>
      <c r="O803" s="1" t="s">
        <v>7</v>
      </c>
      <c r="P803" s="1" t="s">
        <v>7</v>
      </c>
      <c r="Q803" s="161"/>
      <c r="R803" s="162" t="s">
        <v>7</v>
      </c>
    </row>
    <row r="804" spans="1:20" ht="15.75" customHeight="1" x14ac:dyDescent="0.3">
      <c r="A804" s="17" t="s">
        <v>46</v>
      </c>
      <c r="B804" s="1"/>
      <c r="C804" s="1"/>
      <c r="D804" s="1"/>
      <c r="E804" s="59" t="s">
        <v>7</v>
      </c>
      <c r="F804" s="1"/>
      <c r="G804" s="1"/>
      <c r="H804" s="1"/>
      <c r="I804" s="59" t="s">
        <v>7</v>
      </c>
      <c r="J804" s="1"/>
      <c r="K804" s="1"/>
      <c r="L804" s="1"/>
      <c r="M804" s="59" t="s">
        <v>7</v>
      </c>
      <c r="N804" s="1"/>
      <c r="O804" s="1"/>
      <c r="P804" s="1"/>
      <c r="Q804" s="59" t="s">
        <v>7</v>
      </c>
      <c r="R804" s="59" t="s">
        <v>7</v>
      </c>
    </row>
    <row r="805" spans="1:20" ht="15.75" customHeight="1" x14ac:dyDescent="0.3">
      <c r="A805" s="74" t="s">
        <v>592</v>
      </c>
      <c r="B805" s="1"/>
      <c r="C805" s="1"/>
      <c r="D805" s="1"/>
      <c r="E805" s="59">
        <f>SUM(B805:D805)</f>
        <v>0</v>
      </c>
      <c r="F805" s="1"/>
      <c r="G805" s="1"/>
      <c r="H805" s="1"/>
      <c r="I805" s="59">
        <f>SUM(F805:H805)</f>
        <v>0</v>
      </c>
      <c r="J805" s="1"/>
      <c r="K805" s="1"/>
      <c r="L805" s="1"/>
      <c r="M805" s="59">
        <f>SUM(J805:L805)</f>
        <v>0</v>
      </c>
      <c r="N805" s="1"/>
      <c r="O805" s="1"/>
      <c r="P805" s="1"/>
      <c r="Q805" s="59">
        <f>SUM(N805:P805)</f>
        <v>0</v>
      </c>
      <c r="R805" s="59">
        <f>+E805+I805+M805+Q805</f>
        <v>0</v>
      </c>
      <c r="T805" s="4" t="s">
        <v>593</v>
      </c>
    </row>
    <row r="806" spans="1:20" ht="15.75" customHeight="1" x14ac:dyDescent="0.3">
      <c r="A806" s="74" t="s">
        <v>594</v>
      </c>
      <c r="B806" s="1"/>
      <c r="C806" s="1"/>
      <c r="D806" s="1"/>
      <c r="E806" s="59">
        <f>SUM(B806:D806)</f>
        <v>0</v>
      </c>
      <c r="F806" s="1"/>
      <c r="G806" s="1"/>
      <c r="H806" s="1"/>
      <c r="I806" s="59">
        <f>SUM(F806:H806)</f>
        <v>0</v>
      </c>
      <c r="J806" s="1"/>
      <c r="K806" s="1"/>
      <c r="L806" s="1"/>
      <c r="M806" s="59">
        <f>SUM(J806:L806)</f>
        <v>0</v>
      </c>
      <c r="N806" s="1"/>
      <c r="O806" s="1"/>
      <c r="P806" s="1"/>
      <c r="Q806" s="59">
        <f>SUM(N806:P806)</f>
        <v>0</v>
      </c>
      <c r="R806" s="59">
        <f>+E806+I806+M806+Q806</f>
        <v>0</v>
      </c>
    </row>
    <row r="807" spans="1:20" ht="15.75" customHeight="1" x14ac:dyDescent="0.3">
      <c r="A807" s="74" t="s">
        <v>595</v>
      </c>
      <c r="B807" s="1"/>
      <c r="C807" s="1"/>
      <c r="D807" s="1"/>
      <c r="E807" s="59">
        <f>SUM(B807:D807)</f>
        <v>0</v>
      </c>
      <c r="F807" s="1"/>
      <c r="G807" s="1"/>
      <c r="H807" s="1"/>
      <c r="I807" s="59">
        <f>SUM(F807:H807)</f>
        <v>0</v>
      </c>
      <c r="J807" s="1"/>
      <c r="K807" s="1"/>
      <c r="L807" s="1"/>
      <c r="M807" s="59">
        <f>SUM(J807:L807)</f>
        <v>0</v>
      </c>
      <c r="N807" s="1"/>
      <c r="O807" s="1"/>
      <c r="P807" s="1"/>
      <c r="Q807" s="59">
        <f>SUM(N807:P807)</f>
        <v>0</v>
      </c>
      <c r="R807" s="59">
        <f>+E807+I807+M807+Q807</f>
        <v>0</v>
      </c>
    </row>
    <row r="808" spans="1:20" ht="15.75" customHeight="1" x14ac:dyDescent="0.3">
      <c r="A808" s="74" t="s">
        <v>596</v>
      </c>
      <c r="B808" s="1">
        <v>200</v>
      </c>
      <c r="C808" s="1"/>
      <c r="D808" s="1"/>
      <c r="E808" s="59">
        <f>SUM(B808:D808)</f>
        <v>200</v>
      </c>
      <c r="F808" s="1"/>
      <c r="G808" s="1"/>
      <c r="H808" s="1"/>
      <c r="I808" s="59">
        <f>SUM(F808:H808)</f>
        <v>0</v>
      </c>
      <c r="J808" s="1"/>
      <c r="K808" s="1"/>
      <c r="L808" s="1"/>
      <c r="M808" s="59">
        <f>SUM(J808:L808)</f>
        <v>0</v>
      </c>
      <c r="N808" s="1"/>
      <c r="O808" s="1"/>
      <c r="P808" s="1"/>
      <c r="Q808" s="59">
        <f>SUM(N808:P808)</f>
        <v>0</v>
      </c>
      <c r="R808" s="59">
        <f>+E808+I808+M808+Q808</f>
        <v>200</v>
      </c>
    </row>
    <row r="809" spans="1:20" ht="15.75" customHeight="1" x14ac:dyDescent="0.3">
      <c r="A809" s="74" t="s">
        <v>598</v>
      </c>
      <c r="B809" s="1">
        <v>2352</v>
      </c>
      <c r="C809" s="1">
        <v>2554</v>
      </c>
      <c r="D809" s="1">
        <v>2016</v>
      </c>
      <c r="E809" s="59">
        <f>SUM(B809:D809)</f>
        <v>6922</v>
      </c>
      <c r="F809" s="1">
        <v>2099</v>
      </c>
      <c r="G809" s="1">
        <v>2204</v>
      </c>
      <c r="H809" s="1">
        <v>2298</v>
      </c>
      <c r="I809" s="59">
        <f>SUM(F809:H809)</f>
        <v>6601</v>
      </c>
      <c r="J809" s="1">
        <v>2516</v>
      </c>
      <c r="K809" s="1">
        <v>2469</v>
      </c>
      <c r="L809" s="1">
        <v>2312</v>
      </c>
      <c r="M809" s="59">
        <f>SUM(J809:L809)</f>
        <v>7297</v>
      </c>
      <c r="N809" s="1">
        <v>1480</v>
      </c>
      <c r="O809" s="1"/>
      <c r="P809" s="1"/>
      <c r="Q809" s="59">
        <f>SUM(N809:P809)</f>
        <v>1480</v>
      </c>
      <c r="R809" s="59">
        <f>+E809+I809+M809+Q809</f>
        <v>22300</v>
      </c>
    </row>
    <row r="810" spans="1:20" ht="15.75" customHeight="1" x14ac:dyDescent="0.3">
      <c r="A810" s="17" t="s">
        <v>47</v>
      </c>
      <c r="B810" s="1"/>
      <c r="C810" s="1"/>
      <c r="D810" s="1"/>
      <c r="E810" s="59" t="s">
        <v>7</v>
      </c>
      <c r="F810" s="1"/>
      <c r="G810" s="1"/>
      <c r="H810" s="1"/>
      <c r="I810" s="59" t="s">
        <v>7</v>
      </c>
      <c r="J810" s="1"/>
      <c r="K810" s="1"/>
      <c r="L810" s="1"/>
      <c r="M810" s="59" t="s">
        <v>7</v>
      </c>
      <c r="N810" s="1"/>
      <c r="O810" s="1"/>
      <c r="P810" s="1"/>
      <c r="Q810" s="59" t="s">
        <v>7</v>
      </c>
      <c r="R810" s="59" t="s">
        <v>7</v>
      </c>
    </row>
    <row r="811" spans="1:20" ht="15.75" customHeight="1" x14ac:dyDescent="0.3">
      <c r="A811" s="17" t="s">
        <v>49</v>
      </c>
      <c r="B811" s="1"/>
      <c r="C811" s="1"/>
      <c r="D811" s="1"/>
      <c r="E811" s="59" t="s">
        <v>7</v>
      </c>
      <c r="F811" s="1"/>
      <c r="G811" s="1"/>
      <c r="H811" s="1"/>
      <c r="I811" s="59" t="s">
        <v>7</v>
      </c>
      <c r="J811" s="1"/>
      <c r="K811" s="1"/>
      <c r="L811" s="1"/>
      <c r="M811" s="59" t="s">
        <v>7</v>
      </c>
      <c r="N811" s="1"/>
      <c r="O811" s="1"/>
      <c r="P811" s="1"/>
      <c r="Q811" s="59" t="s">
        <v>7</v>
      </c>
      <c r="R811" s="59" t="s">
        <v>7</v>
      </c>
    </row>
    <row r="812" spans="1:20" ht="15.75" customHeight="1" x14ac:dyDescent="0.3">
      <c r="A812" s="74" t="s">
        <v>599</v>
      </c>
      <c r="B812" s="1"/>
      <c r="C812" s="1"/>
      <c r="D812" s="1"/>
      <c r="E812" s="59">
        <f>SUM(B812:D812)</f>
        <v>0</v>
      </c>
      <c r="F812" s="1"/>
      <c r="G812" s="1"/>
      <c r="H812" s="1"/>
      <c r="I812" s="59">
        <f>SUM(F812:H812)</f>
        <v>0</v>
      </c>
      <c r="J812" s="1"/>
      <c r="K812" s="1"/>
      <c r="L812" s="1"/>
      <c r="M812" s="59">
        <f>SUM(J812:L812)</f>
        <v>0</v>
      </c>
      <c r="N812" s="1">
        <v>1</v>
      </c>
      <c r="O812" s="1"/>
      <c r="P812" s="1"/>
      <c r="Q812" s="59">
        <f>SUM(N812:P812)</f>
        <v>1</v>
      </c>
      <c r="R812" s="59">
        <f>+E812+I812+M812+Q812</f>
        <v>1</v>
      </c>
      <c r="S812" s="77" t="s">
        <v>90</v>
      </c>
    </row>
    <row r="813" spans="1:20" ht="15.75" customHeight="1" thickBot="1" x14ac:dyDescent="0.35">
      <c r="A813" s="17" t="s">
        <v>51</v>
      </c>
      <c r="B813" s="1"/>
      <c r="C813" s="1"/>
      <c r="D813" s="1"/>
      <c r="E813" s="59" t="s">
        <v>7</v>
      </c>
      <c r="F813" s="1"/>
      <c r="G813" s="1"/>
      <c r="H813" s="1"/>
      <c r="I813" s="59" t="s">
        <v>7</v>
      </c>
      <c r="J813" s="1"/>
      <c r="K813" s="1"/>
      <c r="L813" s="1"/>
      <c r="M813" s="59" t="s">
        <v>7</v>
      </c>
      <c r="N813" s="1"/>
      <c r="O813" s="1"/>
      <c r="P813" s="1"/>
      <c r="Q813" s="59" t="s">
        <v>7</v>
      </c>
      <c r="R813" s="59" t="s">
        <v>7</v>
      </c>
    </row>
    <row r="814" spans="1:20" ht="16.5" customHeight="1" thickBot="1" x14ac:dyDescent="0.35">
      <c r="A814" s="62" t="s">
        <v>52</v>
      </c>
      <c r="B814" s="100">
        <f>SUM(B803:B813)</f>
        <v>2552</v>
      </c>
      <c r="C814" s="101">
        <f>SUM(C803:C813)</f>
        <v>2554</v>
      </c>
      <c r="D814" s="101">
        <f>SUM(D803:D813)</f>
        <v>2016</v>
      </c>
      <c r="E814" s="64">
        <f>SUM(B814:D814)</f>
        <v>7122</v>
      </c>
      <c r="F814" s="101">
        <f>SUM(F803:F813)</f>
        <v>2099</v>
      </c>
      <c r="G814" s="101">
        <f>SUM(G803:G813)</f>
        <v>2204</v>
      </c>
      <c r="H814" s="101">
        <f>SUM(H803:H813)</f>
        <v>2298</v>
      </c>
      <c r="I814" s="64">
        <f>SUM(F814:H814)</f>
        <v>6601</v>
      </c>
      <c r="J814" s="101">
        <f>SUM(J803:J813)</f>
        <v>2516</v>
      </c>
      <c r="K814" s="101">
        <f>SUM(K803:K813)</f>
        <v>2469</v>
      </c>
      <c r="L814" s="101">
        <f>SUM(L803:L813)</f>
        <v>2312</v>
      </c>
      <c r="M814" s="64">
        <f>SUM(J814:L814)</f>
        <v>7297</v>
      </c>
      <c r="N814" s="101">
        <f>SUM(N803:N813)</f>
        <v>1481</v>
      </c>
      <c r="O814" s="101">
        <f>SUM(O803:O813)</f>
        <v>0</v>
      </c>
      <c r="P814" s="101">
        <f>SUM(P803:P813)</f>
        <v>0</v>
      </c>
      <c r="Q814" s="64">
        <f>SUM(N814:P814)</f>
        <v>1481</v>
      </c>
      <c r="R814" s="64">
        <f>+E814+I814+M814+Q814</f>
        <v>22501</v>
      </c>
    </row>
    <row r="815" spans="1:20" ht="15.75" customHeight="1" x14ac:dyDescent="0.3">
      <c r="A815" s="17" t="s">
        <v>53</v>
      </c>
      <c r="B815" s="1"/>
      <c r="C815" s="1"/>
      <c r="D815" s="1"/>
      <c r="E815" s="59" t="s">
        <v>7</v>
      </c>
      <c r="F815" s="1"/>
      <c r="G815" s="1"/>
      <c r="H815" s="1"/>
      <c r="I815" s="59" t="s">
        <v>7</v>
      </c>
      <c r="J815" s="1"/>
      <c r="K815" s="1"/>
      <c r="L815" s="1"/>
      <c r="M815" s="59" t="s">
        <v>7</v>
      </c>
      <c r="N815" s="1"/>
      <c r="O815" s="1"/>
      <c r="P815" s="1"/>
      <c r="Q815" s="59" t="s">
        <v>7</v>
      </c>
      <c r="R815" s="59" t="s">
        <v>7</v>
      </c>
    </row>
    <row r="816" spans="1:20" ht="15.75" customHeight="1" x14ac:dyDescent="0.3">
      <c r="A816" s="17" t="s">
        <v>55</v>
      </c>
      <c r="B816" s="1"/>
      <c r="C816" s="1"/>
      <c r="D816" s="1"/>
      <c r="E816" s="59" t="s">
        <v>7</v>
      </c>
      <c r="F816" s="1"/>
      <c r="G816" s="1"/>
      <c r="H816" s="1"/>
      <c r="I816" s="59" t="s">
        <v>7</v>
      </c>
      <c r="J816" s="1"/>
      <c r="K816" s="1"/>
      <c r="L816" s="1"/>
      <c r="M816" s="59" t="s">
        <v>7</v>
      </c>
      <c r="N816" s="1"/>
      <c r="O816" s="1"/>
      <c r="P816" s="1"/>
      <c r="Q816" s="59" t="s">
        <v>7</v>
      </c>
      <c r="R816" s="59" t="s">
        <v>7</v>
      </c>
    </row>
    <row r="817" spans="1:20" ht="15.75" customHeight="1" x14ac:dyDescent="0.3">
      <c r="A817" s="74" t="s">
        <v>600</v>
      </c>
      <c r="B817" s="1"/>
      <c r="C817" s="1"/>
      <c r="D817" s="1"/>
      <c r="E817" s="59">
        <f>SUM(B817:D817)</f>
        <v>0</v>
      </c>
      <c r="F817" s="1"/>
      <c r="G817" s="1"/>
      <c r="H817" s="1"/>
      <c r="I817" s="59">
        <f>SUM(F817:H817)</f>
        <v>0</v>
      </c>
      <c r="J817" s="1"/>
      <c r="K817" s="1"/>
      <c r="L817" s="1"/>
      <c r="M817" s="59">
        <f>SUM(J817:L817)</f>
        <v>0</v>
      </c>
      <c r="N817" s="1"/>
      <c r="O817" s="1"/>
      <c r="P817" s="1"/>
      <c r="Q817" s="59">
        <f>SUM(N817:P817)</f>
        <v>0</v>
      </c>
      <c r="R817" s="59">
        <f>+E817+I817+M817+Q817</f>
        <v>0</v>
      </c>
    </row>
    <row r="818" spans="1:20" ht="15.75" customHeight="1" thickBot="1" x14ac:dyDescent="0.35">
      <c r="A818" s="17" t="s">
        <v>56</v>
      </c>
      <c r="B818" s="1"/>
      <c r="C818" s="1"/>
      <c r="D818" s="1"/>
      <c r="E818" s="59" t="s">
        <v>7</v>
      </c>
      <c r="F818" s="1"/>
      <c r="G818" s="1"/>
      <c r="H818" s="1"/>
      <c r="I818" s="59" t="s">
        <v>7</v>
      </c>
      <c r="J818" s="1"/>
      <c r="K818" s="1"/>
      <c r="L818" s="1"/>
      <c r="M818" s="59" t="s">
        <v>7</v>
      </c>
      <c r="N818" s="1"/>
      <c r="O818" s="1"/>
      <c r="P818" s="1"/>
      <c r="Q818" s="59" t="s">
        <v>7</v>
      </c>
      <c r="R818" s="59" t="s">
        <v>7</v>
      </c>
    </row>
    <row r="819" spans="1:20" ht="16.5" customHeight="1" thickBot="1" x14ac:dyDescent="0.35">
      <c r="A819" s="62" t="s">
        <v>57</v>
      </c>
      <c r="B819" s="100">
        <f>SUM(B815:B818)</f>
        <v>0</v>
      </c>
      <c r="C819" s="101">
        <f>SUM(C815:C818)</f>
        <v>0</v>
      </c>
      <c r="D819" s="101">
        <f>SUM(D815:D818)</f>
        <v>0</v>
      </c>
      <c r="E819" s="64">
        <f>SUM(B819:D819)</f>
        <v>0</v>
      </c>
      <c r="F819" s="101">
        <f>SUM(F815:F818)</f>
        <v>0</v>
      </c>
      <c r="G819" s="101">
        <f>SUM(G815:G818)</f>
        <v>0</v>
      </c>
      <c r="H819" s="101">
        <f>SUM(H815:H818)</f>
        <v>0</v>
      </c>
      <c r="I819" s="64">
        <f>SUM(F819:H819)</f>
        <v>0</v>
      </c>
      <c r="J819" s="101">
        <f>SUM(J815:J818)</f>
        <v>0</v>
      </c>
      <c r="K819" s="101">
        <f>SUM(K815:K818)</f>
        <v>0</v>
      </c>
      <c r="L819" s="101">
        <f>SUM(L815:L818)</f>
        <v>0</v>
      </c>
      <c r="M819" s="64">
        <f>SUM(J819:L819)</f>
        <v>0</v>
      </c>
      <c r="N819" s="101">
        <f>SUM(N815:N818)</f>
        <v>0</v>
      </c>
      <c r="O819" s="101">
        <f>SUM(O815:O818)</f>
        <v>0</v>
      </c>
      <c r="P819" s="101">
        <f>SUM(P815:P818)</f>
        <v>0</v>
      </c>
      <c r="Q819" s="64">
        <f>SUM(N819:P819)</f>
        <v>0</v>
      </c>
      <c r="R819" s="64">
        <f>+E819+I819+M819+Q819</f>
        <v>0</v>
      </c>
    </row>
    <row r="820" spans="1:20" ht="15.75" customHeight="1" x14ac:dyDescent="0.3">
      <c r="A820" s="17" t="s">
        <v>58</v>
      </c>
      <c r="B820" s="1"/>
      <c r="C820" s="1"/>
      <c r="D820" s="1"/>
      <c r="E820" s="59" t="s">
        <v>7</v>
      </c>
      <c r="F820" s="1"/>
      <c r="G820" s="1"/>
      <c r="H820" s="1"/>
      <c r="I820" s="59" t="s">
        <v>7</v>
      </c>
      <c r="J820" s="1" t="s">
        <v>7</v>
      </c>
      <c r="K820" s="1"/>
      <c r="L820" s="1"/>
      <c r="M820" s="59" t="s">
        <v>7</v>
      </c>
      <c r="N820" s="1"/>
      <c r="O820" s="1"/>
      <c r="P820" s="1"/>
      <c r="Q820" s="59" t="s">
        <v>7</v>
      </c>
      <c r="R820" s="59" t="s">
        <v>7</v>
      </c>
    </row>
    <row r="821" spans="1:20" ht="18" customHeight="1" x14ac:dyDescent="0.3">
      <c r="A821" s="17" t="s">
        <v>59</v>
      </c>
      <c r="B821" s="1"/>
      <c r="C821" s="1"/>
      <c r="D821" s="1"/>
      <c r="E821" s="59" t="s">
        <v>7</v>
      </c>
      <c r="F821" s="1"/>
      <c r="G821" s="1"/>
      <c r="H821" s="1"/>
      <c r="I821" s="59" t="s">
        <v>7</v>
      </c>
      <c r="J821" s="1"/>
      <c r="K821" s="1"/>
      <c r="L821" s="1"/>
      <c r="M821" s="59" t="s">
        <v>7</v>
      </c>
      <c r="N821" s="1"/>
      <c r="O821" s="1"/>
      <c r="P821" s="1"/>
      <c r="Q821" s="59" t="s">
        <v>7</v>
      </c>
      <c r="R821" s="59" t="s">
        <v>7</v>
      </c>
    </row>
    <row r="822" spans="1:20" ht="15.75" customHeight="1" x14ac:dyDescent="0.3">
      <c r="A822" s="74" t="s">
        <v>601</v>
      </c>
      <c r="B822" s="1">
        <v>398</v>
      </c>
      <c r="C822" s="1">
        <v>126</v>
      </c>
      <c r="D822" s="1">
        <v>559</v>
      </c>
      <c r="E822" s="59">
        <f>SUM(B822:D822)</f>
        <v>1083</v>
      </c>
      <c r="F822" s="1">
        <v>820</v>
      </c>
      <c r="G822" s="1">
        <v>1009</v>
      </c>
      <c r="H822" s="1">
        <v>1326</v>
      </c>
      <c r="I822" s="59">
        <f>SUM(F822:H822)</f>
        <v>3155</v>
      </c>
      <c r="J822" s="1">
        <v>1228</v>
      </c>
      <c r="K822" s="1">
        <v>995</v>
      </c>
      <c r="L822" s="1">
        <v>1058</v>
      </c>
      <c r="M822" s="59">
        <f>SUM(J822:L822)</f>
        <v>3281</v>
      </c>
      <c r="N822" s="1">
        <v>1356</v>
      </c>
      <c r="O822" s="1"/>
      <c r="P822" s="1"/>
      <c r="Q822" s="59">
        <f>SUM(N822:P822)</f>
        <v>1356</v>
      </c>
      <c r="R822" s="59">
        <f>+E822+I822+M822+Q822</f>
        <v>8875</v>
      </c>
      <c r="T822" s="4" t="s">
        <v>602</v>
      </c>
    </row>
    <row r="823" spans="1:20" ht="15.75" customHeight="1" x14ac:dyDescent="0.3">
      <c r="A823" s="74" t="s">
        <v>603</v>
      </c>
      <c r="B823" s="1">
        <v>11</v>
      </c>
      <c r="C823" s="1">
        <v>11</v>
      </c>
      <c r="D823" s="1">
        <v>47</v>
      </c>
      <c r="E823" s="59">
        <f>SUM(B823:D823)</f>
        <v>69</v>
      </c>
      <c r="F823" s="1">
        <v>71</v>
      </c>
      <c r="G823" s="1">
        <v>69</v>
      </c>
      <c r="H823" s="1">
        <v>111</v>
      </c>
      <c r="I823" s="59">
        <f t="shared" ref="I823" si="281">SUM(F823:H823)</f>
        <v>251</v>
      </c>
      <c r="J823" s="1">
        <v>104</v>
      </c>
      <c r="K823" s="1">
        <v>68</v>
      </c>
      <c r="L823" s="1">
        <v>8</v>
      </c>
      <c r="M823" s="59">
        <f>SUM(J823:L823)</f>
        <v>180</v>
      </c>
      <c r="N823" s="1"/>
      <c r="O823" s="1"/>
      <c r="P823" s="1"/>
      <c r="Q823" s="59">
        <f>SUM(N823:P823)</f>
        <v>0</v>
      </c>
      <c r="R823" s="59">
        <f>+E823+I823+M823+Q823</f>
        <v>500</v>
      </c>
      <c r="T823" s="4" t="s">
        <v>604</v>
      </c>
    </row>
    <row r="824" spans="1:20" ht="15.75" customHeight="1" x14ac:dyDescent="0.3">
      <c r="A824" s="17" t="s">
        <v>60</v>
      </c>
      <c r="B824" s="1"/>
      <c r="C824" s="1"/>
      <c r="D824" s="1"/>
      <c r="E824" s="59" t="s">
        <v>7</v>
      </c>
      <c r="F824" s="1"/>
      <c r="G824" s="1"/>
      <c r="H824" s="1"/>
      <c r="I824" s="59" t="s">
        <v>7</v>
      </c>
      <c r="J824" s="1"/>
      <c r="K824" s="1"/>
      <c r="L824" s="1"/>
      <c r="M824" s="59" t="s">
        <v>7</v>
      </c>
      <c r="N824" s="1"/>
      <c r="O824" s="1"/>
      <c r="P824" s="1"/>
      <c r="Q824" s="59" t="s">
        <v>7</v>
      </c>
      <c r="R824" s="59" t="s">
        <v>7</v>
      </c>
    </row>
    <row r="825" spans="1:20" ht="15.75" customHeight="1" x14ac:dyDescent="0.3">
      <c r="A825" s="74" t="s">
        <v>606</v>
      </c>
      <c r="B825" s="1"/>
      <c r="C825" s="1"/>
      <c r="D825" s="1"/>
      <c r="E825" s="59">
        <f>SUM(B825:D825)</f>
        <v>0</v>
      </c>
      <c r="F825" s="1"/>
      <c r="G825" s="1"/>
      <c r="H825" s="1"/>
      <c r="I825" s="59">
        <f>SUM(F825:H825)</f>
        <v>0</v>
      </c>
      <c r="J825" s="1"/>
      <c r="K825" s="1"/>
      <c r="L825" s="1"/>
      <c r="M825" s="59">
        <f>SUM(J825:L825)</f>
        <v>0</v>
      </c>
      <c r="N825" s="1"/>
      <c r="O825" s="1"/>
      <c r="P825" s="1"/>
      <c r="Q825" s="59">
        <f>SUM(N825:P825)</f>
        <v>0</v>
      </c>
      <c r="R825" s="59">
        <f>+E825+I825+M825+Q825</f>
        <v>0</v>
      </c>
      <c r="T825" s="4" t="s">
        <v>604</v>
      </c>
    </row>
    <row r="826" spans="1:20" ht="15.75" customHeight="1" x14ac:dyDescent="0.3">
      <c r="A826" s="74" t="s">
        <v>607</v>
      </c>
      <c r="B826" s="1"/>
      <c r="C826" s="1"/>
      <c r="D826" s="1"/>
      <c r="E826" s="59">
        <f>SUM(B826:D826)</f>
        <v>0</v>
      </c>
      <c r="F826" s="1"/>
      <c r="G826" s="1"/>
      <c r="H826" s="1"/>
      <c r="I826" s="59">
        <f>SUM(F826:H826)</f>
        <v>0</v>
      </c>
      <c r="J826" s="1"/>
      <c r="K826" s="1"/>
      <c r="L826" s="1">
        <v>45</v>
      </c>
      <c r="M826" s="59">
        <f>SUM(J826:L826)</f>
        <v>45</v>
      </c>
      <c r="N826" s="1">
        <v>83</v>
      </c>
      <c r="O826" s="1"/>
      <c r="P826" s="1">
        <v>3</v>
      </c>
      <c r="Q826" s="59">
        <f>SUM(N826:P826)</f>
        <v>86</v>
      </c>
      <c r="R826" s="59">
        <f>+E826+I826+M826+Q826</f>
        <v>131</v>
      </c>
    </row>
    <row r="827" spans="1:20" ht="15.75" customHeight="1" x14ac:dyDescent="0.3">
      <c r="A827" s="74" t="s">
        <v>609</v>
      </c>
      <c r="B827" s="1"/>
      <c r="C827" s="1"/>
      <c r="D827" s="1"/>
      <c r="E827" s="59">
        <f>SUM(B827:D827)</f>
        <v>0</v>
      </c>
      <c r="F827" s="1"/>
      <c r="G827" s="1"/>
      <c r="H827" s="1"/>
      <c r="I827" s="59">
        <f>SUM(F827:H827)</f>
        <v>0</v>
      </c>
      <c r="J827" s="1"/>
      <c r="K827" s="1"/>
      <c r="L827" s="1"/>
      <c r="M827" s="59">
        <f>SUM(J827:L827)</f>
        <v>0</v>
      </c>
      <c r="N827" s="1"/>
      <c r="O827" s="1"/>
      <c r="P827" s="1"/>
      <c r="Q827" s="59">
        <f>SUM(N827:P827)</f>
        <v>0</v>
      </c>
      <c r="R827" s="59">
        <f>+E827+I827+M827+Q827</f>
        <v>0</v>
      </c>
      <c r="T827" s="4" t="s">
        <v>593</v>
      </c>
    </row>
    <row r="828" spans="1:20" ht="15.75" customHeight="1" thickBot="1" x14ac:dyDescent="0.35">
      <c r="A828" s="74" t="s">
        <v>610</v>
      </c>
      <c r="B828" s="1">
        <v>516</v>
      </c>
      <c r="C828" s="1">
        <f>614+68</f>
        <v>682</v>
      </c>
      <c r="D828" s="1">
        <f>600+22</f>
        <v>622</v>
      </c>
      <c r="E828" s="59">
        <f>SUM(B828:D828)</f>
        <v>1820</v>
      </c>
      <c r="F828" s="1">
        <f>1+625</f>
        <v>626</v>
      </c>
      <c r="G828" s="1">
        <f>724</f>
        <v>724</v>
      </c>
      <c r="H828" s="1">
        <f>41+579</f>
        <v>620</v>
      </c>
      <c r="I828" s="59">
        <f>SUM(F828:H828)</f>
        <v>1970</v>
      </c>
      <c r="J828" s="1">
        <f>27+588</f>
        <v>615</v>
      </c>
      <c r="K828" s="1">
        <f>57+625</f>
        <v>682</v>
      </c>
      <c r="L828" s="1">
        <f>46+557</f>
        <v>603</v>
      </c>
      <c r="M828" s="59">
        <f>SUM(J828:L828)</f>
        <v>1900</v>
      </c>
      <c r="N828" s="1">
        <v>849</v>
      </c>
      <c r="O828" s="1">
        <v>775</v>
      </c>
      <c r="P828" s="1"/>
      <c r="Q828" s="59">
        <f>SUM(N828:P828)</f>
        <v>1624</v>
      </c>
      <c r="R828" s="59">
        <f>+E828+I828+M828+Q828</f>
        <v>7314</v>
      </c>
      <c r="T828" s="4" t="s">
        <v>611</v>
      </c>
    </row>
    <row r="829" spans="1:20" ht="16.5" customHeight="1" thickBot="1" x14ac:dyDescent="0.35">
      <c r="A829" s="62" t="s">
        <v>61</v>
      </c>
      <c r="B829" s="100">
        <f>SUM(B820:B828)</f>
        <v>925</v>
      </c>
      <c r="C829" s="101">
        <f>SUM(C820:C828)</f>
        <v>819</v>
      </c>
      <c r="D829" s="101">
        <f>SUM(D820:D828)</f>
        <v>1228</v>
      </c>
      <c r="E829" s="64">
        <f>SUM(B829:D829)</f>
        <v>2972</v>
      </c>
      <c r="F829" s="101">
        <f>SUM(F820:F828)</f>
        <v>1517</v>
      </c>
      <c r="G829" s="101">
        <f>SUM(G820:G828)</f>
        <v>1802</v>
      </c>
      <c r="H829" s="101">
        <f>SUM(H820:H828)</f>
        <v>2057</v>
      </c>
      <c r="I829" s="64">
        <f>SUM(F829:H829)</f>
        <v>5376</v>
      </c>
      <c r="J829" s="101">
        <f>SUM(J820:J828)</f>
        <v>1947</v>
      </c>
      <c r="K829" s="101">
        <f>SUM(K820:K828)</f>
        <v>1745</v>
      </c>
      <c r="L829" s="101">
        <f>SUM(L820:L828)</f>
        <v>1714</v>
      </c>
      <c r="M829" s="64">
        <f>SUM(J829:L829)</f>
        <v>5406</v>
      </c>
      <c r="N829" s="101">
        <f>SUM(N820:N828)</f>
        <v>2288</v>
      </c>
      <c r="O829" s="101">
        <f>SUM(O820:O828)</f>
        <v>775</v>
      </c>
      <c r="P829" s="101">
        <f>SUM(P820:P828)</f>
        <v>3</v>
      </c>
      <c r="Q829" s="64">
        <f>SUM(N829:P829)</f>
        <v>3066</v>
      </c>
      <c r="R829" s="64">
        <f>+E829+I829+M829+Q829</f>
        <v>16820</v>
      </c>
    </row>
    <row r="830" spans="1:20" ht="15.75" customHeight="1" x14ac:dyDescent="0.3">
      <c r="A830" s="17" t="s">
        <v>62</v>
      </c>
      <c r="B830" s="1"/>
      <c r="C830" s="1"/>
      <c r="D830" s="1"/>
      <c r="E830" s="59" t="s">
        <v>7</v>
      </c>
      <c r="F830" s="1"/>
      <c r="G830" s="1"/>
      <c r="H830" s="1"/>
      <c r="I830" s="59" t="s">
        <v>7</v>
      </c>
      <c r="J830" s="1"/>
      <c r="K830" s="1"/>
      <c r="L830" s="1"/>
      <c r="M830" s="59" t="s">
        <v>7</v>
      </c>
      <c r="N830" s="1"/>
      <c r="O830" s="1"/>
      <c r="P830" s="1"/>
      <c r="Q830" s="59" t="s">
        <v>7</v>
      </c>
      <c r="R830" s="59" t="s">
        <v>7</v>
      </c>
    </row>
    <row r="831" spans="1:20" ht="15.75" customHeight="1" x14ac:dyDescent="0.3">
      <c r="A831" s="17" t="s">
        <v>63</v>
      </c>
      <c r="B831" s="1"/>
      <c r="C831" s="1"/>
      <c r="D831" s="1"/>
      <c r="E831" s="59" t="s">
        <v>7</v>
      </c>
      <c r="F831" s="1"/>
      <c r="G831" s="1"/>
      <c r="H831" s="1"/>
      <c r="I831" s="59" t="s">
        <v>7</v>
      </c>
      <c r="J831" s="1"/>
      <c r="K831" s="1"/>
      <c r="L831" s="1"/>
      <c r="M831" s="59" t="s">
        <v>7</v>
      </c>
      <c r="N831" s="1"/>
      <c r="O831" s="1"/>
      <c r="P831" s="1"/>
      <c r="Q831" s="59" t="s">
        <v>7</v>
      </c>
      <c r="R831" s="59" t="s">
        <v>7</v>
      </c>
    </row>
    <row r="832" spans="1:20" ht="15.75" customHeight="1" x14ac:dyDescent="0.3">
      <c r="A832" s="74" t="s">
        <v>612</v>
      </c>
      <c r="B832" s="1"/>
      <c r="C832" s="1"/>
      <c r="D832" s="1"/>
      <c r="E832" s="59">
        <f>SUM(B832:D832)</f>
        <v>0</v>
      </c>
      <c r="F832" s="1"/>
      <c r="G832" s="1"/>
      <c r="H832" s="1"/>
      <c r="I832" s="59">
        <f>SUM(F832:H832)</f>
        <v>0</v>
      </c>
      <c r="J832" s="1"/>
      <c r="K832" s="1"/>
      <c r="L832" s="1"/>
      <c r="M832" s="59">
        <f>SUM(J832:L832)</f>
        <v>0</v>
      </c>
      <c r="N832" s="1"/>
      <c r="O832" s="1"/>
      <c r="P832" s="1"/>
      <c r="Q832" s="59">
        <f>SUM(N832:P832)</f>
        <v>0</v>
      </c>
      <c r="R832" s="59">
        <f>+E832+I832+M832+Q832</f>
        <v>0</v>
      </c>
    </row>
    <row r="833" spans="1:18" ht="15.75" customHeight="1" x14ac:dyDescent="0.3">
      <c r="A833" s="74" t="s">
        <v>613</v>
      </c>
      <c r="B833" s="1"/>
      <c r="C833" s="1"/>
      <c r="D833" s="1"/>
      <c r="E833" s="59">
        <f>SUM(B833:D833)</f>
        <v>0</v>
      </c>
      <c r="F833" s="1"/>
      <c r="G833" s="1"/>
      <c r="H833" s="1"/>
      <c r="I833" s="59">
        <f>SUM(F833:H833)</f>
        <v>0</v>
      </c>
      <c r="J833" s="1"/>
      <c r="K833" s="1"/>
      <c r="L833" s="1"/>
      <c r="M833" s="59">
        <f>SUM(J833:L833)</f>
        <v>0</v>
      </c>
      <c r="N833" s="1"/>
      <c r="O833" s="1"/>
      <c r="P833" s="1"/>
      <c r="Q833" s="59">
        <f>SUM(N833:P833)</f>
        <v>0</v>
      </c>
      <c r="R833" s="59">
        <f>+E833+I833+M833+Q833</f>
        <v>0</v>
      </c>
    </row>
    <row r="834" spans="1:18" ht="15.75" customHeight="1" x14ac:dyDescent="0.3">
      <c r="A834" s="17" t="s">
        <v>64</v>
      </c>
      <c r="B834" s="1"/>
      <c r="C834" s="1"/>
      <c r="D834" s="1"/>
      <c r="E834" s="59" t="s">
        <v>7</v>
      </c>
      <c r="F834" s="1"/>
      <c r="G834" s="1"/>
      <c r="H834" s="1"/>
      <c r="I834" s="59" t="s">
        <v>7</v>
      </c>
      <c r="J834" s="1"/>
      <c r="K834" s="1"/>
      <c r="L834" s="1"/>
      <c r="M834" s="59" t="s">
        <v>7</v>
      </c>
      <c r="N834" s="1"/>
      <c r="O834" s="1"/>
      <c r="P834" s="1"/>
      <c r="Q834" s="59" t="s">
        <v>7</v>
      </c>
      <c r="R834" s="59" t="s">
        <v>7</v>
      </c>
    </row>
    <row r="835" spans="1:18" ht="15.75" customHeight="1" x14ac:dyDescent="0.3">
      <c r="A835" s="74" t="s">
        <v>614</v>
      </c>
      <c r="B835" s="1"/>
      <c r="C835" s="1"/>
      <c r="D835" s="1"/>
      <c r="E835" s="59">
        <f>SUM(B835:D835)</f>
        <v>0</v>
      </c>
      <c r="F835" s="1"/>
      <c r="G835" s="1"/>
      <c r="H835" s="1"/>
      <c r="I835" s="59">
        <f>SUM(F835:H835)</f>
        <v>0</v>
      </c>
      <c r="J835" s="1"/>
      <c r="K835" s="1"/>
      <c r="L835" s="1"/>
      <c r="M835" s="59">
        <f>SUM(J835:L835)</f>
        <v>0</v>
      </c>
      <c r="N835" s="1"/>
      <c r="O835" s="1"/>
      <c r="P835" s="1"/>
      <c r="Q835" s="59">
        <f>SUM(N835:P835)</f>
        <v>0</v>
      </c>
      <c r="R835" s="59">
        <f>+E835+I835+M835+Q835</f>
        <v>0</v>
      </c>
    </row>
    <row r="836" spans="1:18" ht="15.75" customHeight="1" x14ac:dyDescent="0.3">
      <c r="A836" s="74" t="s">
        <v>615</v>
      </c>
      <c r="B836" s="1"/>
      <c r="C836" s="1"/>
      <c r="D836" s="1"/>
      <c r="E836" s="59">
        <f>SUM(B836:D836)</f>
        <v>0</v>
      </c>
      <c r="F836" s="1"/>
      <c r="G836" s="1"/>
      <c r="H836" s="1"/>
      <c r="I836" s="59">
        <f>SUM(F836:H836)</f>
        <v>0</v>
      </c>
      <c r="J836" s="1"/>
      <c r="K836" s="1"/>
      <c r="L836" s="1"/>
      <c r="M836" s="59">
        <f>SUM(J836:L836)</f>
        <v>0</v>
      </c>
      <c r="N836" s="1"/>
      <c r="O836" s="1"/>
      <c r="P836" s="1"/>
      <c r="Q836" s="59">
        <f>SUM(N836:P836)</f>
        <v>0</v>
      </c>
      <c r="R836" s="59">
        <f>+E836+I836+M836+Q836</f>
        <v>0</v>
      </c>
    </row>
    <row r="837" spans="1:18" ht="15.75" customHeight="1" x14ac:dyDescent="0.3">
      <c r="A837" s="17" t="s">
        <v>66</v>
      </c>
      <c r="B837" s="1"/>
      <c r="C837" s="1"/>
      <c r="D837" s="1"/>
      <c r="E837" s="59" t="s">
        <v>7</v>
      </c>
      <c r="F837" s="1"/>
      <c r="G837" s="1"/>
      <c r="H837" s="1"/>
      <c r="I837" s="59" t="s">
        <v>7</v>
      </c>
      <c r="J837" s="1"/>
      <c r="K837" s="1"/>
      <c r="L837" s="1"/>
      <c r="M837" s="59" t="s">
        <v>7</v>
      </c>
      <c r="N837" s="1"/>
      <c r="O837" s="1"/>
      <c r="P837" s="1"/>
      <c r="Q837" s="59" t="s">
        <v>7</v>
      </c>
      <c r="R837" s="59" t="s">
        <v>7</v>
      </c>
    </row>
    <row r="838" spans="1:18" ht="15.75" customHeight="1" thickBot="1" x14ac:dyDescent="0.35">
      <c r="A838" s="17" t="s">
        <v>67</v>
      </c>
      <c r="B838" s="1"/>
      <c r="C838" s="1"/>
      <c r="D838" s="1"/>
      <c r="E838" s="59" t="s">
        <v>7</v>
      </c>
      <c r="F838" s="1"/>
      <c r="G838" s="1"/>
      <c r="H838" s="1"/>
      <c r="I838" s="59" t="s">
        <v>7</v>
      </c>
      <c r="J838" s="1"/>
      <c r="K838" s="1"/>
      <c r="L838" s="1"/>
      <c r="M838" s="59" t="s">
        <v>7</v>
      </c>
      <c r="N838" s="1"/>
      <c r="O838" s="1"/>
      <c r="P838" s="1"/>
      <c r="Q838" s="59" t="s">
        <v>7</v>
      </c>
      <c r="R838" s="59" t="s">
        <v>7</v>
      </c>
    </row>
    <row r="839" spans="1:18" ht="16.5" customHeight="1" thickBot="1" x14ac:dyDescent="0.35">
      <c r="A839" s="62" t="s">
        <v>68</v>
      </c>
      <c r="B839" s="63">
        <f>SUM(B837:B838)</f>
        <v>0</v>
      </c>
      <c r="C839" s="63">
        <f>SUM(C837:C838)</f>
        <v>0</v>
      </c>
      <c r="D839" s="63">
        <f>SUM(D837:D838)</f>
        <v>0</v>
      </c>
      <c r="E839" s="334">
        <f>SUM(B839:D839)</f>
        <v>0</v>
      </c>
      <c r="F839" s="63">
        <f>SUM(F837:F838)</f>
        <v>0</v>
      </c>
      <c r="G839" s="63">
        <f>SUM(G837:G838)</f>
        <v>0</v>
      </c>
      <c r="H839" s="63">
        <f>SUM(H837:H838)</f>
        <v>0</v>
      </c>
      <c r="I839" s="334">
        <f>SUM(F839:H839)</f>
        <v>0</v>
      </c>
      <c r="J839" s="63">
        <f>SUM(J837:J838)</f>
        <v>0</v>
      </c>
      <c r="K839" s="63">
        <f>SUM(K837:K838)</f>
        <v>0</v>
      </c>
      <c r="L839" s="63">
        <f>SUM(L837:L838)</f>
        <v>0</v>
      </c>
      <c r="M839" s="334">
        <f>SUM(J839:L839)</f>
        <v>0</v>
      </c>
      <c r="N839" s="63">
        <f>SUM(N837:N838)</f>
        <v>0</v>
      </c>
      <c r="O839" s="63">
        <f>SUM(O837:O838)</f>
        <v>0</v>
      </c>
      <c r="P839" s="63">
        <f>SUM(P837:P838)</f>
        <v>0</v>
      </c>
      <c r="Q839" s="334">
        <f>SUM(N839:P839)</f>
        <v>0</v>
      </c>
      <c r="R839" s="64">
        <f>+E839+I839+M839+Q839</f>
        <v>0</v>
      </c>
    </row>
    <row r="840" spans="1:18" ht="16.5" customHeight="1" thickBot="1" x14ac:dyDescent="0.35">
      <c r="A840" s="62" t="s">
        <v>69</v>
      </c>
      <c r="B840" s="100">
        <f>SUM(B830:B838)</f>
        <v>0</v>
      </c>
      <c r="C840" s="101">
        <f>SUM(C830:C838)</f>
        <v>0</v>
      </c>
      <c r="D840" s="138">
        <f>SUM(D830:D838)</f>
        <v>0</v>
      </c>
      <c r="E840" s="334">
        <f>SUM(B840:D840)</f>
        <v>0</v>
      </c>
      <c r="F840" s="101">
        <f>SUM(F830:F838)</f>
        <v>0</v>
      </c>
      <c r="G840" s="101">
        <f>SUM(G830:G838)</f>
        <v>0</v>
      </c>
      <c r="H840" s="101">
        <f>SUM(H830:H838)</f>
        <v>0</v>
      </c>
      <c r="I840" s="334">
        <f>SUM(F840:H840)</f>
        <v>0</v>
      </c>
      <c r="J840" s="101">
        <f>SUM(J830:J838)</f>
        <v>0</v>
      </c>
      <c r="K840" s="101">
        <f>SUM(K830:K838)</f>
        <v>0</v>
      </c>
      <c r="L840" s="101">
        <f>SUM(L830:L838)</f>
        <v>0</v>
      </c>
      <c r="M840" s="334">
        <f>SUM(J840:L840)</f>
        <v>0</v>
      </c>
      <c r="N840" s="101">
        <f>SUM(N830:N838)</f>
        <v>0</v>
      </c>
      <c r="O840" s="101">
        <f>SUM(O830:O838)</f>
        <v>0</v>
      </c>
      <c r="P840" s="101">
        <f>SUM(P830:P838)</f>
        <v>0</v>
      </c>
      <c r="Q840" s="334">
        <f>SUM(N840:P840)</f>
        <v>0</v>
      </c>
      <c r="R840" s="64">
        <f>+E840+I840+M840+Q840</f>
        <v>0</v>
      </c>
    </row>
    <row r="841" spans="1:18" ht="16.5" customHeight="1" thickBot="1" x14ac:dyDescent="0.35">
      <c r="A841" s="62" t="s">
        <v>70</v>
      </c>
      <c r="B841" s="107">
        <f>+B814+B819+B829+B840</f>
        <v>3477</v>
      </c>
      <c r="C841" s="63">
        <f>+C814+C819+C829+C840</f>
        <v>3373</v>
      </c>
      <c r="D841" s="63">
        <f>+D814+D819+D829+D840</f>
        <v>3244</v>
      </c>
      <c r="E841" s="64">
        <f>SUM(B841:D841)</f>
        <v>10094</v>
      </c>
      <c r="F841" s="63">
        <f>+F814+F819+F829+F840</f>
        <v>3616</v>
      </c>
      <c r="G841" s="63">
        <f>+G814+G819+G829+G840</f>
        <v>4006</v>
      </c>
      <c r="H841" s="63">
        <f>+H814+H819+H829+H840</f>
        <v>4355</v>
      </c>
      <c r="I841" s="64">
        <f>SUM(F841:H841)</f>
        <v>11977</v>
      </c>
      <c r="J841" s="63">
        <f>+J814+J819+J829+J840</f>
        <v>4463</v>
      </c>
      <c r="K841" s="63">
        <f>+K814+K819+K829+K840</f>
        <v>4214</v>
      </c>
      <c r="L841" s="63">
        <f>+L814+L819+L829+L840</f>
        <v>4026</v>
      </c>
      <c r="M841" s="64">
        <f>SUM(J841:L841)</f>
        <v>12703</v>
      </c>
      <c r="N841" s="63">
        <f>+N814+N819+N829+N840</f>
        <v>3769</v>
      </c>
      <c r="O841" s="63">
        <f>+O814+O819+O829+O840</f>
        <v>775</v>
      </c>
      <c r="P841" s="63">
        <f>+P814+P819+P829+P840</f>
        <v>3</v>
      </c>
      <c r="Q841" s="64">
        <f>SUM(N841:P841)</f>
        <v>4547</v>
      </c>
      <c r="R841" s="88">
        <f>+E841+I841+M841+Q841</f>
        <v>39321</v>
      </c>
    </row>
    <row r="842" spans="1:18" ht="16.5" customHeight="1" thickBot="1" x14ac:dyDescent="0.35">
      <c r="A842" s="40" t="s">
        <v>37</v>
      </c>
      <c r="B842" s="25">
        <v>11</v>
      </c>
      <c r="C842" s="25">
        <v>13</v>
      </c>
      <c r="D842" s="25">
        <v>17</v>
      </c>
      <c r="E842" s="59">
        <f>SUM(B842:D842)</f>
        <v>41</v>
      </c>
      <c r="F842" s="25">
        <v>21</v>
      </c>
      <c r="G842" s="25">
        <v>23</v>
      </c>
      <c r="H842" s="25">
        <v>25</v>
      </c>
      <c r="I842" s="59">
        <f>SUM(F842:H842)</f>
        <v>69</v>
      </c>
      <c r="J842" s="25">
        <v>25</v>
      </c>
      <c r="K842" s="25">
        <v>21</v>
      </c>
      <c r="L842" s="25">
        <v>19</v>
      </c>
      <c r="M842" s="59">
        <f>SUM(J842:L842)</f>
        <v>65</v>
      </c>
      <c r="N842" s="25">
        <v>17</v>
      </c>
      <c r="O842" s="25">
        <v>13</v>
      </c>
      <c r="P842" s="25">
        <v>11</v>
      </c>
      <c r="Q842" s="59">
        <f>SUM(N842:P842)</f>
        <v>41</v>
      </c>
      <c r="R842" s="59">
        <f>+E842+I842+M842+Q842</f>
        <v>216</v>
      </c>
    </row>
    <row r="843" spans="1:18" ht="16.5" customHeight="1" thickBot="1" x14ac:dyDescent="0.35">
      <c r="A843" s="42"/>
      <c r="B843" s="37"/>
      <c r="C843" s="37"/>
      <c r="D843" s="37"/>
      <c r="E843" s="64" t="s">
        <v>7</v>
      </c>
      <c r="F843" s="37"/>
      <c r="G843" s="37"/>
      <c r="H843" s="37"/>
      <c r="I843" s="64" t="s">
        <v>7</v>
      </c>
      <c r="J843" s="37"/>
      <c r="K843" s="37"/>
      <c r="L843" s="37"/>
      <c r="M843" s="64" t="s">
        <v>7</v>
      </c>
      <c r="N843" s="37"/>
      <c r="O843" s="37"/>
      <c r="P843" s="37"/>
      <c r="Q843" s="64" t="s">
        <v>7</v>
      </c>
      <c r="R843" s="64" t="s">
        <v>7</v>
      </c>
    </row>
    <row r="844" spans="1:18" ht="15.75" customHeight="1" x14ac:dyDescent="0.3">
      <c r="A844" s="17" t="s">
        <v>38</v>
      </c>
      <c r="B844" s="1">
        <f>SUM(B841:B842)</f>
        <v>3488</v>
      </c>
      <c r="C844" s="1">
        <f>SUM(C841:C842)</f>
        <v>3386</v>
      </c>
      <c r="D844" s="1">
        <f>SUM(D841:D842)</f>
        <v>3261</v>
      </c>
      <c r="E844" s="334">
        <f>SUM(B844:D844)</f>
        <v>10135</v>
      </c>
      <c r="F844" s="1">
        <f>SUM(F841:F842)</f>
        <v>3637</v>
      </c>
      <c r="G844" s="1">
        <f>SUM(G841:G842)</f>
        <v>4029</v>
      </c>
      <c r="H844" s="1">
        <f>SUM(H841:H842)</f>
        <v>4380</v>
      </c>
      <c r="I844" s="334">
        <f>SUM(F844:H844)</f>
        <v>12046</v>
      </c>
      <c r="J844" s="1">
        <f>SUM(J841:J842)</f>
        <v>4488</v>
      </c>
      <c r="K844" s="1">
        <f>SUM(K841:K842)</f>
        <v>4235</v>
      </c>
      <c r="L844" s="1">
        <f>SUM(L841:L842)</f>
        <v>4045</v>
      </c>
      <c r="M844" s="334">
        <f>SUM(J844:L844)</f>
        <v>12768</v>
      </c>
      <c r="N844" s="1">
        <f>SUM(N841:N842)</f>
        <v>3786</v>
      </c>
      <c r="O844" s="1">
        <f>SUM(O841:O842)</f>
        <v>788</v>
      </c>
      <c r="P844" s="1">
        <f>SUM(P841:P842)</f>
        <v>14</v>
      </c>
      <c r="Q844" s="334">
        <f>SUM(N844:P844)</f>
        <v>4588</v>
      </c>
      <c r="R844" s="334">
        <f>+E844+I844+M844+Q844</f>
        <v>39537</v>
      </c>
    </row>
    <row r="845" spans="1:18" ht="15.75" customHeight="1" x14ac:dyDescent="0.3">
      <c r="A845" s="17" t="s">
        <v>39</v>
      </c>
      <c r="B845" s="1">
        <f>(B844/B10)/1.983</f>
        <v>56.740357555349497</v>
      </c>
      <c r="C845" s="1">
        <f>(C844/C10)/1.983</f>
        <v>60.982638138462647</v>
      </c>
      <c r="D845" s="1">
        <f>(D844/D10)/1.983</f>
        <v>53.047679469035181</v>
      </c>
      <c r="E845" s="59" t="s">
        <v>7</v>
      </c>
      <c r="F845" s="1">
        <f>(F844/F10)/1.983</f>
        <v>61.136325432845851</v>
      </c>
      <c r="G845" s="1">
        <f>(G844/G10)/1.983</f>
        <v>65.540969205992866</v>
      </c>
      <c r="H845" s="1">
        <f>(H844/H10)/1.983</f>
        <v>73.625819465456374</v>
      </c>
      <c r="I845" s="59" t="s">
        <v>7</v>
      </c>
      <c r="J845" s="1">
        <f>(J844/J10)/1.983</f>
        <v>73.007661900346491</v>
      </c>
      <c r="K845" s="1">
        <f>(K844/K10)/1.983</f>
        <v>68.892033901062263</v>
      </c>
      <c r="L845" s="1">
        <f>(L844/L10)/1.983</f>
        <v>67.994620944696592</v>
      </c>
      <c r="M845" s="59" t="s">
        <v>7</v>
      </c>
      <c r="N845" s="1">
        <f>(N844/N10)/1.983</f>
        <v>61.588014250158601</v>
      </c>
      <c r="O845" s="1">
        <f>(O844/O10)/1.983</f>
        <v>13.245923684652881</v>
      </c>
      <c r="P845" s="1">
        <f>(P844/P10)/1.983</f>
        <v>0.22774226082995785</v>
      </c>
      <c r="Q845" s="59" t="s">
        <v>7</v>
      </c>
      <c r="R845" s="59" t="s">
        <v>7</v>
      </c>
    </row>
    <row r="846" spans="1:18" ht="15.75" customHeight="1" x14ac:dyDescent="0.3">
      <c r="A846" s="17" t="s">
        <v>616</v>
      </c>
      <c r="B846" s="1">
        <f>B844</f>
        <v>3488</v>
      </c>
      <c r="C846" s="1">
        <f>C844</f>
        <v>3386</v>
      </c>
      <c r="D846" s="1">
        <f>D844</f>
        <v>3261</v>
      </c>
      <c r="E846" s="59">
        <f>SUM(B846:D846)</f>
        <v>10135</v>
      </c>
      <c r="F846" s="1">
        <f>F844</f>
        <v>3637</v>
      </c>
      <c r="G846" s="1">
        <f>G844</f>
        <v>4029</v>
      </c>
      <c r="H846" s="1">
        <f>H844</f>
        <v>4380</v>
      </c>
      <c r="I846" s="59">
        <f>SUM(F846:H846)</f>
        <v>12046</v>
      </c>
      <c r="J846" s="1">
        <f>J844</f>
        <v>4488</v>
      </c>
      <c r="K846" s="1">
        <f>K844</f>
        <v>4235</v>
      </c>
      <c r="L846" s="1">
        <f>L844</f>
        <v>4045</v>
      </c>
      <c r="M846" s="59">
        <f>SUM(J846:L846)</f>
        <v>12768</v>
      </c>
      <c r="N846" s="1">
        <f>N844</f>
        <v>3786</v>
      </c>
      <c r="O846" s="1">
        <f>O844</f>
        <v>788</v>
      </c>
      <c r="P846" s="1">
        <f>P844</f>
        <v>14</v>
      </c>
      <c r="Q846" s="59">
        <f>SUM(N846:P846)</f>
        <v>4588</v>
      </c>
      <c r="R846" s="59">
        <f>+E846+I846+M846+Q846</f>
        <v>39537</v>
      </c>
    </row>
    <row r="847" spans="1:18" ht="16.5" customHeight="1" thickBot="1" x14ac:dyDescent="0.35">
      <c r="A847" s="24" t="s">
        <v>617</v>
      </c>
      <c r="B847" s="25">
        <f>(B846/B10)/1.983</f>
        <v>56.740357555349497</v>
      </c>
      <c r="C847" s="25">
        <f>(C846/C10)/1.983</f>
        <v>60.982638138462647</v>
      </c>
      <c r="D847" s="25">
        <f>(D846/D10)/1.983</f>
        <v>53.047679469035181</v>
      </c>
      <c r="E847" s="88" t="s">
        <v>7</v>
      </c>
      <c r="F847" s="25">
        <f>(F846/F10)/1.983</f>
        <v>61.136325432845851</v>
      </c>
      <c r="G847" s="25">
        <f>(G846/G10)/1.983</f>
        <v>65.540969205992866</v>
      </c>
      <c r="H847" s="25">
        <f>(H846/H10)/1.983</f>
        <v>73.625819465456374</v>
      </c>
      <c r="I847" s="88" t="s">
        <v>7</v>
      </c>
      <c r="J847" s="25">
        <f>(J846/J10)/1.983</f>
        <v>73.007661900346491</v>
      </c>
      <c r="K847" s="25">
        <f>(K846/K10)/1.983</f>
        <v>68.892033901062263</v>
      </c>
      <c r="L847" s="25">
        <f>(L846/L10)/1.983</f>
        <v>67.994620944696592</v>
      </c>
      <c r="M847" s="88" t="s">
        <v>7</v>
      </c>
      <c r="N847" s="25">
        <f>(N846/N10)/1.983</f>
        <v>61.588014250158601</v>
      </c>
      <c r="O847" s="25">
        <f>(O846/O10)/1.983</f>
        <v>13.245923684652881</v>
      </c>
      <c r="P847" s="25">
        <f>(P846/P10)/1.983</f>
        <v>0.22774226082995785</v>
      </c>
      <c r="Q847" s="88" t="s">
        <v>7</v>
      </c>
      <c r="R847" s="88" t="s">
        <v>7</v>
      </c>
    </row>
    <row r="848" spans="1:18" ht="15.75" customHeight="1" x14ac:dyDescent="0.3">
      <c r="A848" s="30"/>
      <c r="B848" s="1"/>
      <c r="C848" s="1"/>
      <c r="D848" s="1"/>
      <c r="E848" s="28"/>
      <c r="F848" s="1"/>
      <c r="G848" s="1"/>
      <c r="H848" s="1"/>
      <c r="I848" s="28"/>
      <c r="J848" s="1"/>
      <c r="K848" s="1"/>
      <c r="L848" s="1"/>
      <c r="M848" s="28"/>
      <c r="N848" s="1"/>
      <c r="O848" s="1"/>
      <c r="P848" s="1"/>
      <c r="Q848" s="28"/>
      <c r="R848" s="28"/>
    </row>
    <row r="849" spans="1:18" ht="15.75" customHeight="1" x14ac:dyDescent="0.3">
      <c r="A849" s="30"/>
      <c r="B849" s="1"/>
      <c r="C849" s="1"/>
      <c r="D849" s="1"/>
      <c r="E849" s="1"/>
      <c r="F849" s="1"/>
      <c r="G849" s="1"/>
      <c r="H849" s="1"/>
      <c r="I849" s="1"/>
      <c r="J849" s="1"/>
      <c r="K849" s="1"/>
      <c r="L849" s="1"/>
      <c r="M849" s="1"/>
      <c r="N849" s="1"/>
      <c r="O849" s="1"/>
      <c r="P849" s="1"/>
      <c r="Q849" s="2" t="str">
        <f>+Q1</f>
        <v xml:space="preserve">PRINTED:  </v>
      </c>
      <c r="R849" s="163">
        <f ca="1">+R1</f>
        <v>44894.658168402777</v>
      </c>
    </row>
    <row r="850" spans="1:18" ht="15.75" customHeight="1" x14ac:dyDescent="0.3">
      <c r="A850" s="383" t="s">
        <v>1</v>
      </c>
      <c r="B850" s="383"/>
      <c r="C850" s="383"/>
      <c r="D850" s="383"/>
      <c r="E850" s="383"/>
      <c r="F850" s="383"/>
      <c r="G850" s="383"/>
      <c r="H850" s="383"/>
      <c r="I850" s="383"/>
      <c r="J850" s="383"/>
      <c r="K850" s="383"/>
      <c r="L850" s="383"/>
      <c r="M850" s="383"/>
      <c r="N850" s="383"/>
      <c r="O850" s="383"/>
      <c r="P850" s="383"/>
      <c r="Q850" s="383"/>
      <c r="R850" s="383"/>
    </row>
    <row r="851" spans="1:18" ht="15.75" customHeight="1" x14ac:dyDescent="0.3">
      <c r="A851" s="383" t="s">
        <v>2</v>
      </c>
      <c r="B851" s="383"/>
      <c r="C851" s="383"/>
      <c r="D851" s="383"/>
      <c r="E851" s="383"/>
      <c r="F851" s="383"/>
      <c r="G851" s="383"/>
      <c r="H851" s="383"/>
      <c r="I851" s="383"/>
      <c r="J851" s="383"/>
      <c r="K851" s="383"/>
      <c r="L851" s="383"/>
      <c r="M851" s="383"/>
      <c r="N851" s="383"/>
      <c r="O851" s="383"/>
      <c r="P851" s="383"/>
      <c r="Q851" s="383"/>
      <c r="R851" s="383"/>
    </row>
    <row r="852" spans="1:18" ht="15.75" customHeight="1" x14ac:dyDescent="0.3">
      <c r="A852" s="383" t="s">
        <v>3</v>
      </c>
      <c r="B852" s="383"/>
      <c r="C852" s="383"/>
      <c r="D852" s="383"/>
      <c r="E852" s="383"/>
      <c r="F852" s="383"/>
      <c r="G852" s="383"/>
      <c r="H852" s="383"/>
      <c r="I852" s="383"/>
      <c r="J852" s="383"/>
      <c r="K852" s="383"/>
      <c r="L852" s="383"/>
      <c r="M852" s="383"/>
      <c r="N852" s="383"/>
      <c r="O852" s="383"/>
      <c r="P852" s="383"/>
      <c r="Q852" s="383"/>
      <c r="R852" s="383"/>
    </row>
    <row r="853" spans="1:18" ht="15.75" customHeight="1" x14ac:dyDescent="0.3">
      <c r="A853" s="391">
        <f>+A5</f>
        <v>2019</v>
      </c>
      <c r="B853" s="391"/>
      <c r="C853" s="391"/>
      <c r="D853" s="391"/>
      <c r="E853" s="391"/>
      <c r="F853" s="391"/>
      <c r="G853" s="391"/>
      <c r="H853" s="391"/>
      <c r="I853" s="391"/>
      <c r="J853" s="391"/>
      <c r="K853" s="391"/>
      <c r="L853" s="391"/>
      <c r="M853" s="391"/>
      <c r="N853" s="391"/>
      <c r="O853" s="391"/>
      <c r="P853" s="391"/>
      <c r="Q853" s="391"/>
      <c r="R853" s="391"/>
    </row>
    <row r="854" spans="1:18" ht="15.75" customHeight="1" x14ac:dyDescent="0.3">
      <c r="A854" s="1"/>
      <c r="B854" s="1"/>
      <c r="C854" s="1"/>
      <c r="D854" s="7"/>
      <c r="E854" s="7"/>
      <c r="F854" s="7"/>
      <c r="G854" s="8"/>
      <c r="H854" s="7"/>
      <c r="I854" s="7"/>
      <c r="J854" s="8"/>
      <c r="K854" s="8"/>
      <c r="L854" s="8"/>
      <c r="M854" s="8"/>
      <c r="N854" s="1"/>
      <c r="O854" s="8"/>
      <c r="P854" s="8"/>
      <c r="Q854" s="8"/>
      <c r="R854" s="8"/>
    </row>
    <row r="855" spans="1:18" ht="15.75" customHeight="1" x14ac:dyDescent="0.3">
      <c r="A855" s="383" t="str">
        <f>+A8</f>
        <v>Revised:  11/4/2019</v>
      </c>
      <c r="B855" s="383"/>
      <c r="C855" s="383"/>
      <c r="D855" s="383"/>
      <c r="E855" s="383"/>
      <c r="F855" s="383"/>
      <c r="G855" s="383"/>
      <c r="H855" s="383"/>
      <c r="I855" s="383"/>
      <c r="J855" s="383"/>
      <c r="K855" s="383"/>
      <c r="L855" s="383"/>
      <c r="M855" s="383"/>
      <c r="N855" s="383"/>
      <c r="O855" s="383"/>
      <c r="P855" s="383"/>
      <c r="Q855" s="383"/>
      <c r="R855" s="383"/>
    </row>
    <row r="856" spans="1:18" ht="15.75" customHeight="1" x14ac:dyDescent="0.3">
      <c r="A856" s="6"/>
      <c r="B856" s="6"/>
      <c r="C856" s="6"/>
      <c r="D856" s="6"/>
      <c r="E856" s="6"/>
      <c r="F856" s="6"/>
      <c r="G856" s="6"/>
      <c r="H856" s="6"/>
      <c r="I856" s="6"/>
      <c r="J856" s="6"/>
      <c r="K856" s="6"/>
      <c r="L856" s="6"/>
      <c r="M856" s="6"/>
      <c r="N856" s="6"/>
      <c r="O856" s="6"/>
      <c r="P856" s="6"/>
      <c r="Q856" s="6"/>
      <c r="R856" s="6"/>
    </row>
    <row r="857" spans="1:18" ht="15.75" customHeight="1" x14ac:dyDescent="0.3">
      <c r="A857" s="6"/>
      <c r="B857" s="6"/>
      <c r="C857" s="6"/>
      <c r="D857" s="6"/>
      <c r="E857" s="6"/>
      <c r="F857" s="6"/>
      <c r="G857" s="6"/>
      <c r="H857" s="6"/>
      <c r="I857" s="6"/>
      <c r="J857" s="6"/>
      <c r="K857" s="6"/>
      <c r="L857" s="6"/>
      <c r="M857" s="6"/>
      <c r="N857" s="6"/>
      <c r="O857" s="6"/>
      <c r="P857" s="6"/>
      <c r="Q857" s="6"/>
      <c r="R857" s="6"/>
    </row>
    <row r="858" spans="1:18" ht="15.75" customHeight="1" thickBot="1" x14ac:dyDescent="0.35">
      <c r="A858" s="30"/>
      <c r="B858" s="1"/>
      <c r="C858" s="1"/>
      <c r="D858" s="1"/>
      <c r="E858" s="1"/>
      <c r="F858" s="1"/>
      <c r="G858" s="1"/>
      <c r="H858" s="1"/>
      <c r="I858" s="1"/>
      <c r="J858" s="1"/>
      <c r="K858" s="1"/>
      <c r="L858" s="1"/>
      <c r="M858" s="1"/>
      <c r="N858" s="1"/>
      <c r="O858" s="1"/>
      <c r="P858" s="1"/>
      <c r="Q858" s="1"/>
      <c r="R858" s="28"/>
    </row>
    <row r="859" spans="1:18" ht="16.5" customHeight="1" thickBot="1" x14ac:dyDescent="0.35">
      <c r="A859" s="343" t="s">
        <v>618</v>
      </c>
      <c r="B859" s="323" t="s">
        <v>36</v>
      </c>
      <c r="C859" s="324" t="s">
        <v>9</v>
      </c>
      <c r="D859" s="324" t="s">
        <v>10</v>
      </c>
      <c r="E859" s="325" t="s">
        <v>11</v>
      </c>
      <c r="F859" s="324" t="s">
        <v>12</v>
      </c>
      <c r="G859" s="324" t="s">
        <v>13</v>
      </c>
      <c r="H859" s="324" t="s">
        <v>14</v>
      </c>
      <c r="I859" s="34" t="s">
        <v>15</v>
      </c>
      <c r="J859" s="324" t="s">
        <v>16</v>
      </c>
      <c r="K859" s="324" t="s">
        <v>17</v>
      </c>
      <c r="L859" s="324" t="s">
        <v>18</v>
      </c>
      <c r="M859" s="34" t="s">
        <v>19</v>
      </c>
      <c r="N859" s="324" t="s">
        <v>20</v>
      </c>
      <c r="O859" s="324" t="s">
        <v>21</v>
      </c>
      <c r="P859" s="324" t="s">
        <v>22</v>
      </c>
      <c r="Q859" s="34" t="s">
        <v>23</v>
      </c>
      <c r="R859" s="157" t="s">
        <v>24</v>
      </c>
    </row>
    <row r="860" spans="1:18" ht="16.5" customHeight="1" thickBot="1" x14ac:dyDescent="0.35">
      <c r="A860" s="42"/>
      <c r="B860" s="37"/>
      <c r="C860" s="37"/>
      <c r="D860" s="37"/>
      <c r="E860" s="16"/>
      <c r="F860" s="37"/>
      <c r="G860" s="37"/>
      <c r="H860" s="37"/>
      <c r="I860" s="156"/>
      <c r="J860" s="37"/>
      <c r="K860" s="37"/>
      <c r="L860" s="37"/>
      <c r="M860" s="156"/>
      <c r="N860" s="37"/>
      <c r="O860" s="37"/>
      <c r="P860" s="37"/>
      <c r="Q860" s="158"/>
      <c r="R860" s="159"/>
    </row>
    <row r="861" spans="1:18" ht="15.75" customHeight="1" x14ac:dyDescent="0.3">
      <c r="A861" s="17" t="s">
        <v>45</v>
      </c>
      <c r="B861" s="1" t="s">
        <v>7</v>
      </c>
      <c r="C861" s="1" t="s">
        <v>7</v>
      </c>
      <c r="D861" s="1" t="s">
        <v>7</v>
      </c>
      <c r="E861" s="160"/>
      <c r="F861" s="1" t="s">
        <v>7</v>
      </c>
      <c r="G861" s="1" t="s">
        <v>7</v>
      </c>
      <c r="H861" s="1" t="s">
        <v>7</v>
      </c>
      <c r="I861" s="160"/>
      <c r="J861" s="1" t="s">
        <v>7</v>
      </c>
      <c r="K861" s="1" t="s">
        <v>7</v>
      </c>
      <c r="L861" s="1" t="s">
        <v>7</v>
      </c>
      <c r="M861" s="160"/>
      <c r="N861" s="1" t="s">
        <v>7</v>
      </c>
      <c r="O861" s="1" t="s">
        <v>7</v>
      </c>
      <c r="P861" s="1" t="s">
        <v>7</v>
      </c>
      <c r="Q861" s="161"/>
      <c r="R861" s="162" t="s">
        <v>7</v>
      </c>
    </row>
    <row r="862" spans="1:18" ht="15.75" customHeight="1" x14ac:dyDescent="0.3">
      <c r="A862" s="164" t="s">
        <v>46</v>
      </c>
      <c r="B862" s="1">
        <f>+SUM(B71:B82)+SUM(B140:B195)+SUM(B334:B367)+SUM(B505:B510)+SUM(B549:B554)+SUM(B594:B609)+SUM(B671:B674)+SUM(B707:B714)+SUM(B770:B771)+SUM(B804:B809)</f>
        <v>28630</v>
      </c>
      <c r="C862" s="1">
        <f>+SUM(C71:C82)+SUM(C140:C195)+SUM(C334:C367)+SUM(C505:C510)+SUM(C549:C554)+SUM(C594:C609)+SUM(C671:C674)+SUM(C707:C714)+SUM(C770:C771)+SUM(C804:C809)</f>
        <v>24884</v>
      </c>
      <c r="D862" s="1">
        <f>+SUM(D71:D82)+SUM(D140:D195)+SUM(D334:D367)+SUM(D505:D510)+SUM(D549:D554)+SUM(D594:D609)+SUM(D671:D674)+SUM(D707:D714)+SUM(D770:D771)+SUM(D804:D809)</f>
        <v>36182</v>
      </c>
      <c r="E862" s="59">
        <f t="shared" ref="E862:E868" si="282">SUM(B862:D862)</f>
        <v>89696</v>
      </c>
      <c r="F862" s="1">
        <f>+SUM(F71:F82)+SUM(F140:F195)+SUM(F334:F367)+SUM(F505:F510)+SUM(F549:F554)+SUM(F594:F609)+SUM(F671:F674)+SUM(F707:F714)+SUM(F770:F771)+SUM(F804:F809)</f>
        <v>52829</v>
      </c>
      <c r="G862" s="1">
        <f>+SUM(G71:G82)+SUM(G140:G195)+SUM(G334:G367)+SUM(G505:G510)+SUM(G549:G554)+SUM(G594:G609)+SUM(G671:G674)+SUM(G707:G714)+SUM(G770:G771)+SUM(G804:G809)</f>
        <v>67354</v>
      </c>
      <c r="H862" s="1">
        <f>+SUM(H71:H82)+SUM(H140:H195)+SUM(H334:H367)+SUM(H505:H510)+SUM(H549:H554)+SUM(H594:H609)+SUM(H671:H674)+SUM(H707:H714)+SUM(H770:H771)+SUM(H804:H809)</f>
        <v>83733</v>
      </c>
      <c r="I862" s="59">
        <f t="shared" ref="I862:I868" si="283">SUM(F862:H862)</f>
        <v>203916</v>
      </c>
      <c r="J862" s="1">
        <f>+SUM(J71:J82)+SUM(J140:J195)+SUM(J334:J367)+SUM(J505:J510)+SUM(J549:J554)+SUM(J594:J609)+SUM(J671:J674)+SUM(J707:J714)+SUM(J770:J771)+SUM(J804:J809)</f>
        <v>85537</v>
      </c>
      <c r="K862" s="1">
        <f>+SUM(K71:K82)+SUM(K140:K195)+SUM(K334:K367)+SUM(K505:K510)+SUM(K549:K554)+SUM(K594:K609)+SUM(K671:K674)+SUM(K707:K714)+SUM(K770:K771)+SUM(K804:K809)</f>
        <v>76605</v>
      </c>
      <c r="L862" s="1">
        <f>+SUM(L71:L82)+SUM(L140:L195)+SUM(L334:L367)+SUM(L505:L510)+SUM(L549:L554)+SUM(L594:L609)+SUM(L671:L674)+SUM(L707:L714)+SUM(L770:L771)+SUM(L804:L809)</f>
        <v>58607</v>
      </c>
      <c r="M862" s="59">
        <f t="shared" ref="M862:M868" si="284">SUM(J862:L862)</f>
        <v>220749</v>
      </c>
      <c r="N862" s="1">
        <f>+SUM(N71:N82)+SUM(N140:N195)+SUM(N334:N367)+SUM(N505:N510)+SUM(N549:N554)+SUM(N594:N609)+SUM(N671:N674)+SUM(N707:N714)+SUM(N770:N771)+SUM(N804:N809)</f>
        <v>41519</v>
      </c>
      <c r="O862" s="1">
        <f>+SUM(O71:O82)+SUM(O140:O195)+SUM(O334:O367)+SUM(O505:O510)+SUM(O549:O554)+SUM(O594:O609)+SUM(O671:O674)+SUM(O707:O714)+SUM(O770:O771)+SUM(O804:O809)</f>
        <v>5100</v>
      </c>
      <c r="P862" s="1">
        <f>+SUM(P71:P82)+SUM(P140:P195)+SUM(P334:P367)+SUM(P505:P510)+SUM(P549:P554)+SUM(P594:P609)+SUM(P671:P674)+SUM(P707:P714)+SUM(P770:P771)+SUM(P804:P809)</f>
        <v>13765</v>
      </c>
      <c r="Q862" s="59">
        <f t="shared" ref="Q862:Q868" si="285">SUM(N862:P862)</f>
        <v>60384</v>
      </c>
      <c r="R862" s="59">
        <f t="shared" ref="R862:R868" si="286">+E862+I862+M862+Q862</f>
        <v>574745</v>
      </c>
    </row>
    <row r="863" spans="1:18" ht="15.75" customHeight="1" x14ac:dyDescent="0.3">
      <c r="A863" s="17" t="s">
        <v>619</v>
      </c>
      <c r="B863" s="1">
        <f>+B38+SUM(B83:B84)+SUM(B197:B206)+SUM(B369:B379)+SUM(B512:B513)+B555+SUM(B610:B611)+B675+B715+B772+SUM(B810:B810)</f>
        <v>0</v>
      </c>
      <c r="C863" s="1">
        <f>+C38+SUM(C83:C84)+SUM(C197:C206)+SUM(C369:C379)+SUM(C512:C513)+C555+SUM(C610:C611)+C675+C715+C772+SUM(C810:C810)</f>
        <v>0</v>
      </c>
      <c r="D863" s="1">
        <f>+D38+SUM(D83:D84)+SUM(D197:D206)+SUM(D369:D379)+SUM(D512:D513)+D555+SUM(D610:D611)+D675+D715+D772+SUM(D810:D810)</f>
        <v>0</v>
      </c>
      <c r="E863" s="59">
        <f t="shared" si="282"/>
        <v>0</v>
      </c>
      <c r="F863" s="1">
        <f>+F38+SUM(F83:F84)+SUM(F197:F206)+SUM(F369:F379)+SUM(F512:F513)+F555+SUM(F610:F611)+F675+F715+F772+SUM(F810:F810)</f>
        <v>0</v>
      </c>
      <c r="G863" s="1">
        <f>+G38+SUM(G83:G84)+SUM(G197:G206)+SUM(G369:G379)+SUM(G512:G513)+G555+SUM(G610:G611)+G675+G715+G772+SUM(G810:G810)</f>
        <v>0</v>
      </c>
      <c r="H863" s="1">
        <f>+H38+SUM(H83:H84)+SUM(H197:H206)+SUM(H369:H379)+SUM(H512:H513)+H555+SUM(H610:H611)+H675+H715+H772+SUM(H810:H810)</f>
        <v>0</v>
      </c>
      <c r="I863" s="59">
        <f t="shared" si="283"/>
        <v>0</v>
      </c>
      <c r="J863" s="1">
        <f>+J38+SUM(J83:J84)+SUM(J197:J206)+SUM(J369:J379)+SUM(J512:J513)+J555+SUM(J610:J611)+J675+J715+J772+SUM(J810:J810)</f>
        <v>0</v>
      </c>
      <c r="K863" s="1">
        <f>+K38+SUM(K83:K84)+SUM(K197:K206)+SUM(K369:K379)+SUM(K512:K513)+K555+SUM(K610:K611)+K675+K715+K772+SUM(K810:K810)</f>
        <v>0</v>
      </c>
      <c r="L863" s="1">
        <f>+L38+SUM(L83:L84)+SUM(L197:L206)+SUM(L369:L379)+SUM(L512:L513)+L555+SUM(L610:L611)+L675+L715+L772+SUM(L810:L810)</f>
        <v>0</v>
      </c>
      <c r="M863" s="59">
        <f t="shared" si="284"/>
        <v>0</v>
      </c>
      <c r="N863" s="1">
        <f>+N38+SUM(N83:N84)+SUM(N197:N206)+SUM(N369:N379)+SUM(N512:N513)+N555+SUM(N610:N611)+N675+N715+N772+SUM(N810:N810)</f>
        <v>0</v>
      </c>
      <c r="O863" s="1">
        <f>+O38+SUM(O83:O84)+SUM(O197:O206)+SUM(O369:O379)+SUM(O512:O513)+O555+SUM(O610:O611)+O675+O715+O772+SUM(O810:O810)</f>
        <v>0</v>
      </c>
      <c r="P863" s="1">
        <f>+P38+SUM(P83:P84)+SUM(P197:P206)+SUM(P369:P379)+SUM(P512:P513)+P555+SUM(P610:P611)+P675+P715+P772+SUM(P810:P810)</f>
        <v>0</v>
      </c>
      <c r="Q863" s="59">
        <f t="shared" si="285"/>
        <v>0</v>
      </c>
      <c r="R863" s="59">
        <f t="shared" si="286"/>
        <v>0</v>
      </c>
    </row>
    <row r="864" spans="1:18" ht="15.75" customHeight="1" x14ac:dyDescent="0.3">
      <c r="A864" s="164" t="s">
        <v>620</v>
      </c>
      <c r="B864" s="1">
        <f>+SUM(B85:B87)+SUM(B207:B210)+SUM(B380:B384)+B514+B556+SUM(B612:B613)+B676+B716+B773+SUM(B811:B812)</f>
        <v>10</v>
      </c>
      <c r="C864" s="1">
        <f>+SUM(C85:C87)+SUM(C207:C210)+SUM(C380:C384)+C514+C556+SUM(C612:C613)+C676+C716+C773+SUM(C811:C812)</f>
        <v>3</v>
      </c>
      <c r="D864" s="1">
        <f>+SUM(D85:D87)+SUM(D207:D210)+SUM(D380:D384)+D514+D556+SUM(D612:D613)+D676+D716+D773+SUM(D811:D812)</f>
        <v>18</v>
      </c>
      <c r="E864" s="59">
        <f t="shared" si="282"/>
        <v>31</v>
      </c>
      <c r="F864" s="1">
        <f>+SUM(F85:F87)+SUM(F207:F210)+SUM(F380:F384)+F514+F556+SUM(F612:F613)+F676+F716+F773+SUM(F811:F812)</f>
        <v>113</v>
      </c>
      <c r="G864" s="1">
        <f>+SUM(G85:G87)+SUM(G207:G210)+SUM(G380:G384)+G514+G556+SUM(G612:G613)+G676+G716+G773+SUM(G811:G812)</f>
        <v>3620</v>
      </c>
      <c r="H864" s="1">
        <f>+SUM(H85:H87)+SUM(H207:H210)+SUM(H380:H384)+H514+H556+SUM(H612:H613)+H676+H716+H773+SUM(H811:H812)</f>
        <v>4331</v>
      </c>
      <c r="I864" s="59">
        <f t="shared" si="283"/>
        <v>8064</v>
      </c>
      <c r="J864" s="1">
        <f>+SUM(J85:J87)+SUM(J207:J210)+SUM(J380:J384)+J514+J556+SUM(J612:J613)+J676+J716+J773+SUM(J811:J812)</f>
        <v>2182</v>
      </c>
      <c r="K864" s="1">
        <f>+SUM(K85:K87)+SUM(K207:K210)+SUM(K380:K384)+K514+K556+SUM(K612:K613)+K676+K716+K773+SUM(K811:K812)</f>
        <v>1178</v>
      </c>
      <c r="L864" s="1">
        <f>+SUM(L85:L87)+SUM(L207:L210)+SUM(L380:L384)+L514+L556+SUM(L612:L613)+L676+L716+L773+SUM(L811:L812)</f>
        <v>1448</v>
      </c>
      <c r="M864" s="59">
        <f t="shared" si="284"/>
        <v>4808</v>
      </c>
      <c r="N864" s="1">
        <f>+SUM(N85:N87)+SUM(N207:N210)+SUM(N380:N384)+N514+N556+SUM(N612:N613)+N676+N716+N773+SUM(N811:N812)</f>
        <v>2044</v>
      </c>
      <c r="O864" s="1">
        <f>+SUM(O85:O87)+SUM(O207:O210)+SUM(O380:O384)+O514+O556+SUM(O612:O613)+O676+O716+O773+SUM(O811:O812)</f>
        <v>44</v>
      </c>
      <c r="P864" s="1">
        <f>+SUM(P85:P87)+SUM(P207:P210)+SUM(P380:P384)+P514+P556+SUM(P612:P613)+P676+P716+P773+SUM(P811:P812)</f>
        <v>240</v>
      </c>
      <c r="Q864" s="59">
        <f t="shared" si="285"/>
        <v>2328</v>
      </c>
      <c r="R864" s="59">
        <f>+E864+I864+M864+Q864</f>
        <v>15231</v>
      </c>
    </row>
    <row r="865" spans="1:20" ht="15.75" customHeight="1" x14ac:dyDescent="0.3">
      <c r="A865" s="17" t="s">
        <v>621</v>
      </c>
      <c r="B865" s="1">
        <f>+B311+B486+B487</f>
        <v>0</v>
      </c>
      <c r="C865" s="1">
        <f>+C311+C486+C487</f>
        <v>0</v>
      </c>
      <c r="D865" s="1">
        <f>+D311+D486+D487</f>
        <v>0</v>
      </c>
      <c r="E865" s="59">
        <f t="shared" si="282"/>
        <v>0</v>
      </c>
      <c r="F865" s="1">
        <f>+F311+F486+F487</f>
        <v>0</v>
      </c>
      <c r="G865" s="1">
        <f>+G311+G486+G487</f>
        <v>0</v>
      </c>
      <c r="H865" s="1">
        <f>+H311+H486+H487</f>
        <v>0</v>
      </c>
      <c r="I865" s="59">
        <f t="shared" si="283"/>
        <v>0</v>
      </c>
      <c r="J865" s="1">
        <f>+J311+J486+J487</f>
        <v>0</v>
      </c>
      <c r="K865" s="1">
        <f>+K311+K486+K487</f>
        <v>0</v>
      </c>
      <c r="L865" s="1">
        <f>+L311+L486+L487</f>
        <v>0</v>
      </c>
      <c r="M865" s="59">
        <f t="shared" si="284"/>
        <v>0</v>
      </c>
      <c r="N865" s="1">
        <f>+N311+N486+N487</f>
        <v>0</v>
      </c>
      <c r="O865" s="1">
        <f>+O311+O486+O487</f>
        <v>0</v>
      </c>
      <c r="P865" s="1">
        <f>+P311+P486+P487</f>
        <v>0</v>
      </c>
      <c r="Q865" s="59">
        <f t="shared" si="285"/>
        <v>0</v>
      </c>
      <c r="R865" s="59">
        <f t="shared" si="286"/>
        <v>0</v>
      </c>
    </row>
    <row r="866" spans="1:20" ht="15.75" customHeight="1" x14ac:dyDescent="0.3">
      <c r="A866" s="164" t="s">
        <v>622</v>
      </c>
      <c r="B866" s="1">
        <f>+B312</f>
        <v>29</v>
      </c>
      <c r="C866" s="1">
        <f>+C312</f>
        <v>21</v>
      </c>
      <c r="D866" s="1">
        <f>+D312</f>
        <v>26</v>
      </c>
      <c r="E866" s="59">
        <f>SUM(B866:D866)</f>
        <v>76</v>
      </c>
      <c r="F866" s="1">
        <f>+F312</f>
        <v>23</v>
      </c>
      <c r="G866" s="1">
        <f>+G312</f>
        <v>91</v>
      </c>
      <c r="H866" s="1">
        <f>+H312</f>
        <v>31</v>
      </c>
      <c r="I866" s="59">
        <f>SUM(F866:H866)</f>
        <v>145</v>
      </c>
      <c r="J866" s="1">
        <f>+J312</f>
        <v>29</v>
      </c>
      <c r="K866" s="1">
        <f>+K312</f>
        <v>203</v>
      </c>
      <c r="L866" s="1">
        <f>+L312</f>
        <v>59</v>
      </c>
      <c r="M866" s="59">
        <f>SUM(J866:L866)</f>
        <v>291</v>
      </c>
      <c r="N866" s="1">
        <f>+N312</f>
        <v>58</v>
      </c>
      <c r="O866" s="1">
        <f>+O312</f>
        <v>43</v>
      </c>
      <c r="P866" s="1">
        <f>+P312</f>
        <v>12</v>
      </c>
      <c r="Q866" s="59">
        <f t="shared" si="285"/>
        <v>113</v>
      </c>
      <c r="R866" s="59">
        <f>+E866+I866+M866+Q866</f>
        <v>625</v>
      </c>
    </row>
    <row r="867" spans="1:20" ht="15.75" customHeight="1" thickBot="1" x14ac:dyDescent="0.35">
      <c r="A867" s="17" t="s">
        <v>51</v>
      </c>
      <c r="B867" s="1">
        <f>+B88+B515+B557+B614+B677+B717+B774+B813</f>
        <v>0</v>
      </c>
      <c r="C867" s="1">
        <f>+C88+C515+C557+C614+C677+C717+C774+C813</f>
        <v>0</v>
      </c>
      <c r="D867" s="1">
        <f>+D88+D515+D557+D614+D677+D717+D774+D813</f>
        <v>0</v>
      </c>
      <c r="E867" s="59">
        <f t="shared" si="282"/>
        <v>0</v>
      </c>
      <c r="F867" s="1">
        <f>+F88+F515+F557+F614+F677+F717+F774+F813</f>
        <v>0</v>
      </c>
      <c r="G867" s="1">
        <f>+G88+G515+G557+G614+G677+G717+G774+G813</f>
        <v>0</v>
      </c>
      <c r="H867" s="1">
        <f>+H88+H515+H557+H614+H677+H717+H774+H813</f>
        <v>0</v>
      </c>
      <c r="I867" s="59">
        <f t="shared" si="283"/>
        <v>0</v>
      </c>
      <c r="J867" s="1">
        <f>+J88+J515+J557+J614+J677+J717+J774+J813</f>
        <v>0</v>
      </c>
      <c r="K867" s="1">
        <f>+K88+K515+K557+K614+K677+K717+K774+K813</f>
        <v>0</v>
      </c>
      <c r="L867" s="1">
        <f>+L88+L515+L557+L614+L677+L717+L774+L813</f>
        <v>0</v>
      </c>
      <c r="M867" s="59">
        <f t="shared" si="284"/>
        <v>0</v>
      </c>
      <c r="N867" s="1">
        <f>+N88+N515+N557+N614+N677+N717+N774+N813</f>
        <v>0</v>
      </c>
      <c r="O867" s="1">
        <f>+O88+O515+O557+O614+O677+O717+O774+O813</f>
        <v>0</v>
      </c>
      <c r="P867" s="1">
        <f>+P88+P515+P557+P614+P677+P717+P774+P813</f>
        <v>0</v>
      </c>
      <c r="Q867" s="59">
        <f t="shared" si="285"/>
        <v>0</v>
      </c>
      <c r="R867" s="59">
        <f t="shared" si="286"/>
        <v>0</v>
      </c>
    </row>
    <row r="868" spans="1:20" ht="16.5" customHeight="1" thickBot="1" x14ac:dyDescent="0.35">
      <c r="A868" s="62" t="s">
        <v>52</v>
      </c>
      <c r="B868" s="100">
        <f>SUM(B861:B867)</f>
        <v>28669</v>
      </c>
      <c r="C868" s="101">
        <f>SUM(C861:C867)</f>
        <v>24908</v>
      </c>
      <c r="D868" s="101">
        <f>SUM(D861:D867)</f>
        <v>36226</v>
      </c>
      <c r="E868" s="64">
        <f t="shared" si="282"/>
        <v>89803</v>
      </c>
      <c r="F868" s="101">
        <f>SUM(F861:F867)</f>
        <v>52965</v>
      </c>
      <c r="G868" s="101">
        <f>SUM(G861:G867)</f>
        <v>71065</v>
      </c>
      <c r="H868" s="101">
        <f>SUM(H861:H867)</f>
        <v>88095</v>
      </c>
      <c r="I868" s="64">
        <f t="shared" si="283"/>
        <v>212125</v>
      </c>
      <c r="J868" s="101">
        <f>SUM(J861:J867)</f>
        <v>87748</v>
      </c>
      <c r="K868" s="101">
        <f>SUM(K861:K867)</f>
        <v>77986</v>
      </c>
      <c r="L868" s="101">
        <f>SUM(L861:L867)</f>
        <v>60114</v>
      </c>
      <c r="M868" s="64">
        <f t="shared" si="284"/>
        <v>225848</v>
      </c>
      <c r="N868" s="101">
        <f>SUM(N861:N867)</f>
        <v>43621</v>
      </c>
      <c r="O868" s="101">
        <f>SUM(O861:O867)</f>
        <v>5187</v>
      </c>
      <c r="P868" s="101">
        <f>SUM(P861:P867)</f>
        <v>14017</v>
      </c>
      <c r="Q868" s="64">
        <f t="shared" si="285"/>
        <v>62825</v>
      </c>
      <c r="R868" s="64">
        <f t="shared" si="286"/>
        <v>590601</v>
      </c>
      <c r="T868" s="4">
        <f>+R868-R865-R864</f>
        <v>575370</v>
      </c>
    </row>
    <row r="869" spans="1:20" ht="15.75" customHeight="1" x14ac:dyDescent="0.3">
      <c r="A869" s="17" t="s">
        <v>53</v>
      </c>
      <c r="B869" s="1"/>
      <c r="C869" s="1"/>
      <c r="D869" s="1"/>
      <c r="E869" s="59" t="s">
        <v>7</v>
      </c>
      <c r="F869" s="1"/>
      <c r="G869" s="1"/>
      <c r="H869" s="1"/>
      <c r="I869" s="59" t="s">
        <v>7</v>
      </c>
      <c r="J869" s="1"/>
      <c r="K869" s="1"/>
      <c r="L869" s="1"/>
      <c r="M869" s="59" t="s">
        <v>7</v>
      </c>
      <c r="N869" s="1"/>
      <c r="O869" s="1"/>
      <c r="P869" s="1"/>
      <c r="Q869" s="59" t="s">
        <v>7</v>
      </c>
      <c r="R869" s="59" t="s">
        <v>7</v>
      </c>
    </row>
    <row r="870" spans="1:20" ht="15.75" customHeight="1" x14ac:dyDescent="0.3">
      <c r="A870" s="17" t="s">
        <v>54</v>
      </c>
      <c r="B870" s="1">
        <f>SUM(B43:B43)+SUM(B214:B214)+SUM(B91:B91)+SUM(B388:B388)</f>
        <v>0</v>
      </c>
      <c r="C870" s="1">
        <f>SUM(C43:C43)+SUM(C214:C214)+SUM(C91:C91)+SUM(C388:C388)</f>
        <v>0</v>
      </c>
      <c r="D870" s="1">
        <f>SUM(D43:D43)+SUM(D214:D214)+SUM(D91:D91)+SUM(D388:D388)</f>
        <v>0</v>
      </c>
      <c r="E870" s="59">
        <f>SUM(B870:D870)</f>
        <v>0</v>
      </c>
      <c r="F870" s="1">
        <f>SUM(F43:F43)+SUM(F214:F214)+SUM(F91:F91)+SUM(F388:F388)</f>
        <v>0</v>
      </c>
      <c r="G870" s="1">
        <f>SUM(G43:G43)+SUM(G214:G214)+SUM(G91:G91)+SUM(G388:G388)</f>
        <v>0</v>
      </c>
      <c r="H870" s="1">
        <f>SUM(H43:H43)+SUM(H214:H214)+SUM(H91:H91)+SUM(H388:H388)</f>
        <v>0</v>
      </c>
      <c r="I870" s="59">
        <f>SUM(F870:H870)</f>
        <v>0</v>
      </c>
      <c r="J870" s="1">
        <f>SUM(J43:J43)+SUM(J214:J214)+SUM(J91:J91)+SUM(J388:J388)</f>
        <v>0</v>
      </c>
      <c r="K870" s="1">
        <f>SUM(K43:K43)+SUM(K214:K214)+SUM(K91:K91)+SUM(K388:K388)</f>
        <v>0</v>
      </c>
      <c r="L870" s="1">
        <f>SUM(L43:L43)+SUM(L214:L214)+SUM(L91:L91)+SUM(L388:L388)</f>
        <v>0</v>
      </c>
      <c r="M870" s="59">
        <f>SUM(J870:L870)</f>
        <v>0</v>
      </c>
      <c r="N870" s="1">
        <f>SUM(N43:N43)+SUM(N214:N214)+SUM(N91:N91)+SUM(N388:N388)</f>
        <v>0</v>
      </c>
      <c r="O870" s="1">
        <f>SUM(O43:O43)+SUM(O214:O214)+SUM(O91:O91)+SUM(O388:O388)</f>
        <v>0</v>
      </c>
      <c r="P870" s="1">
        <f>SUM(P43:P43)+SUM(P214:P214)+SUM(P91:P91)+SUM(P388:P388)</f>
        <v>0</v>
      </c>
      <c r="Q870" s="59">
        <f>SUM(N870:P870)</f>
        <v>0</v>
      </c>
      <c r="R870" s="59">
        <f>+E870+I870+M870+Q870</f>
        <v>0</v>
      </c>
    </row>
    <row r="871" spans="1:20" ht="15.75" customHeight="1" x14ac:dyDescent="0.3">
      <c r="A871" s="164" t="s">
        <v>55</v>
      </c>
      <c r="B871" s="1">
        <f>+SUM(B93:B94)+SUM(B215:B217)+SUM(B389:B398)+B519+SUM(B560:B562)+SUM(B617:B619)+SUM(B680:B680)+B720+B777+SUM(B816:B817)</f>
        <v>1422</v>
      </c>
      <c r="C871" s="1">
        <f>+SUM(C93:C94)+SUM(C215:C217)+SUM(C389:C398)+C519+SUM(C560:C562)+SUM(C617:C619)+SUM(C680:C680)+C720+C777+SUM(C816:C817)</f>
        <v>1751</v>
      </c>
      <c r="D871" s="1">
        <f>+SUM(D93:D94)+SUM(D215:D217)+SUM(D389:D398)+D519+SUM(D560:D562)+SUM(D617:D619)+SUM(D680:D680)+D720+D777+SUM(D816:D817)</f>
        <v>7992</v>
      </c>
      <c r="E871" s="59">
        <f>SUM(B871:D871)</f>
        <v>11165</v>
      </c>
      <c r="F871" s="1">
        <f>+SUM(F93:F94)+SUM(F215:F217)+SUM(F389:F398)+F519+SUM(F560:F562)+SUM(F617:F619)+SUM(F680:F680)+F720+F777+SUM(F816:F817)</f>
        <v>39956</v>
      </c>
      <c r="G871" s="1">
        <f>+SUM(G93:G94)+SUM(G215:G217)+SUM(G389:G398)+G519+SUM(G560:G562)+SUM(G617:G619)+SUM(G680:G680)+G720+G777+SUM(G816:G817)</f>
        <v>24190</v>
      </c>
      <c r="H871" s="1">
        <f>+SUM(H93:H94)+SUM(H215:H217)+SUM(H389:H398)+H519+SUM(H560:H562)+SUM(H617:H619)+SUM(H680:H680)+H720+H777+SUM(H816:H817)</f>
        <v>48816</v>
      </c>
      <c r="I871" s="59">
        <f>SUM(F871:H871)</f>
        <v>112962</v>
      </c>
      <c r="J871" s="1">
        <f>+SUM(J93:J94)+SUM(J215:J217)+SUM(J389:J398)+J519+SUM(J560:J562)+SUM(J617:J619)+SUM(J680:J680)+J720+J777+SUM(J816:J817)</f>
        <v>55202</v>
      </c>
      <c r="K871" s="1">
        <f>+SUM(K93:K94)+SUM(K215:K217)+SUM(K389:K398)+K519+SUM(K560:K562)+SUM(K617:K619)+SUM(K680:K680)+K720+K777+SUM(K816:K817)</f>
        <v>42327</v>
      </c>
      <c r="L871" s="1">
        <f>+SUM(L93:L94)+SUM(L215:L217)+SUM(L389:L398)+L519+SUM(L560:L562)+SUM(L617:L619)+SUM(L680:L680)+L720+L777+SUM(L816:L817)</f>
        <v>17893</v>
      </c>
      <c r="M871" s="59">
        <f>SUM(J871:L871)</f>
        <v>115422</v>
      </c>
      <c r="N871" s="1">
        <f>+SUM(N93:N94)+SUM(N215:N217)+SUM(N389:N398)+N519+SUM(N560:N562)+SUM(N617:N619)+SUM(N680:N680)+N720+N777+SUM(N816:N817)</f>
        <v>12841</v>
      </c>
      <c r="O871" s="1">
        <f>+SUM(O93:O94)+SUM(O215:O217)+SUM(O389:O398)+O519+SUM(O560:O562)+SUM(O617:O619)+SUM(O680:O680)+O720+O777+SUM(O816:O817)</f>
        <v>1791</v>
      </c>
      <c r="P871" s="1">
        <f>+SUM(P93:P94)+SUM(P215:P217)+SUM(P389:P398)+P519+SUM(P560:P562)+SUM(P617:P619)+SUM(P680:P680)+P720+P777+SUM(P816:P817)</f>
        <v>8514</v>
      </c>
      <c r="Q871" s="59">
        <f>SUM(N871:P871)</f>
        <v>23146</v>
      </c>
      <c r="R871" s="59">
        <f>+E871+I871+M871+Q871</f>
        <v>262695</v>
      </c>
    </row>
    <row r="872" spans="1:20" ht="15.75" customHeight="1" thickBot="1" x14ac:dyDescent="0.35">
      <c r="A872" s="17" t="s">
        <v>56</v>
      </c>
      <c r="B872" s="1">
        <f>+B95+B520+B563+B620+B681+B721+B778+B818+B399+B218+B45</f>
        <v>0</v>
      </c>
      <c r="C872" s="1">
        <f>+C95+C520+C563+C620+C681+C721+C778+C818+C399+C218+C45</f>
        <v>0</v>
      </c>
      <c r="D872" s="1">
        <f>+D95+D520+D563+D620+D681+D721+D778+D818+D399+D218+D45</f>
        <v>0</v>
      </c>
      <c r="E872" s="59">
        <f>SUM(B872:D872)</f>
        <v>0</v>
      </c>
      <c r="F872" s="1">
        <f>+F95+F520+F563+F620+F681+F721+F778+F818+F399+F218+F45</f>
        <v>0</v>
      </c>
      <c r="G872" s="1">
        <f>+G95+G520+G563+G620+G681+G721+G778+G818+G399+G218+G45</f>
        <v>0</v>
      </c>
      <c r="H872" s="1">
        <f>+H95+H520+H563+H620+H681+H721+H778+H818+H399+H218+H45</f>
        <v>0</v>
      </c>
      <c r="I872" s="59">
        <f>SUM(F872:H872)</f>
        <v>0</v>
      </c>
      <c r="J872" s="1">
        <f>+J95+J520+J563+J620+J681+J721+J778+J818+J399+J218+J45</f>
        <v>0</v>
      </c>
      <c r="K872" s="1">
        <f>+K95+K520+K563+K620+K681+K721+K778+K818+K399+K218+K45</f>
        <v>0</v>
      </c>
      <c r="L872" s="1">
        <f>+L95+L520+L563+L620+L681+L721+L778+L818+L399+L218+L45</f>
        <v>0</v>
      </c>
      <c r="M872" s="59">
        <f>SUM(J872:L872)</f>
        <v>0</v>
      </c>
      <c r="N872" s="1">
        <f>+N95+N520+N563+N620+N681+N721+N778+N818+N399+N218+N45</f>
        <v>0</v>
      </c>
      <c r="O872" s="1">
        <f>+O95+O520+O563+O620+O681+O721+O778+O818+O399+O218+O45</f>
        <v>0</v>
      </c>
      <c r="P872" s="1">
        <f>+P95+P520+P563+P620+P681+P721+P778+P818+P399+P218+P45</f>
        <v>0</v>
      </c>
      <c r="Q872" s="59">
        <f>SUM(N872:P872)</f>
        <v>0</v>
      </c>
      <c r="R872" s="59">
        <f>+E872+I872+M872+Q872</f>
        <v>0</v>
      </c>
    </row>
    <row r="873" spans="1:20" ht="16.5" customHeight="1" thickBot="1" x14ac:dyDescent="0.35">
      <c r="A873" s="62" t="s">
        <v>57</v>
      </c>
      <c r="B873" s="100">
        <f>SUM(B869:B872)</f>
        <v>1422</v>
      </c>
      <c r="C873" s="101">
        <f>SUM(C869:C872)</f>
        <v>1751</v>
      </c>
      <c r="D873" s="101">
        <f>SUM(D869:D872)</f>
        <v>7992</v>
      </c>
      <c r="E873" s="64">
        <f>SUM(B873:D873)</f>
        <v>11165</v>
      </c>
      <c r="F873" s="101">
        <f>SUM(F869:F872)</f>
        <v>39956</v>
      </c>
      <c r="G873" s="101">
        <f>SUM(G869:G872)</f>
        <v>24190</v>
      </c>
      <c r="H873" s="101">
        <f>SUM(H869:H872)</f>
        <v>48816</v>
      </c>
      <c r="I873" s="64">
        <f>SUM(F873:H873)</f>
        <v>112962</v>
      </c>
      <c r="J873" s="101">
        <f>SUM(J869:J872)</f>
        <v>55202</v>
      </c>
      <c r="K873" s="101">
        <f>SUM(K869:K872)</f>
        <v>42327</v>
      </c>
      <c r="L873" s="101">
        <f>SUM(L869:L872)</f>
        <v>17893</v>
      </c>
      <c r="M873" s="64">
        <f>SUM(J873:L873)</f>
        <v>115422</v>
      </c>
      <c r="N873" s="101">
        <f>SUM(N869:N872)</f>
        <v>12841</v>
      </c>
      <c r="O873" s="101">
        <f>SUM(O869:O872)</f>
        <v>1791</v>
      </c>
      <c r="P873" s="101">
        <f>SUM(P869:P872)</f>
        <v>8514</v>
      </c>
      <c r="Q873" s="64">
        <f>SUM(N873:P873)</f>
        <v>23146</v>
      </c>
      <c r="R873" s="64">
        <f>+E873+I873+M873+Q873</f>
        <v>262695</v>
      </c>
    </row>
    <row r="874" spans="1:20" ht="15.75" customHeight="1" x14ac:dyDescent="0.3">
      <c r="A874" s="17" t="s">
        <v>58</v>
      </c>
      <c r="B874" s="1"/>
      <c r="C874" s="1"/>
      <c r="D874" s="1"/>
      <c r="E874" s="59" t="s">
        <v>7</v>
      </c>
      <c r="F874" s="1"/>
      <c r="G874" s="1"/>
      <c r="H874" s="1"/>
      <c r="I874" s="59" t="s">
        <v>7</v>
      </c>
      <c r="J874" s="1"/>
      <c r="K874" s="1"/>
      <c r="L874" s="1"/>
      <c r="M874" s="59" t="s">
        <v>7</v>
      </c>
      <c r="N874" s="1"/>
      <c r="O874" s="1"/>
      <c r="P874" s="1"/>
      <c r="Q874" s="59" t="s">
        <v>7</v>
      </c>
      <c r="R874" s="59" t="s">
        <v>7</v>
      </c>
    </row>
    <row r="875" spans="1:20" ht="15.75" customHeight="1" x14ac:dyDescent="0.3">
      <c r="A875" s="164" t="s">
        <v>59</v>
      </c>
      <c r="B875" s="1">
        <f>+B48+B98+B221+SUM(B402:B404)+B523+B566+B623+B684+SUM(B724:B725)+B781+SUM(B821:B823)</f>
        <v>1258</v>
      </c>
      <c r="C875" s="1">
        <f>+C48+C98+C221+SUM(C402:C404)+C523+C566+C623+C684+SUM(C724:C725)+C781+SUM(C821:C823)</f>
        <v>3853</v>
      </c>
      <c r="D875" s="1">
        <f>+D48+D98+D221+SUM(D402:D404)+D523+D566+D623+D684+SUM(D724:D725)+D781+SUM(D821:D823)</f>
        <v>7924</v>
      </c>
      <c r="E875" s="59">
        <f>SUM(B875:D875)</f>
        <v>13035</v>
      </c>
      <c r="F875" s="1">
        <f>+F48+F98+F221+SUM(F402:F404)+F523+F566+F623+F684+SUM(F724:F725)+F781+SUM(F821:F823)</f>
        <v>15078</v>
      </c>
      <c r="G875" s="1">
        <f>+G48+G98+G221+SUM(G402:G404)+G523+G566+G623+G684+SUM(G724:G725)+G781+SUM(G821:G823)</f>
        <v>16345</v>
      </c>
      <c r="H875" s="1">
        <f>+H48+H98+H221+SUM(H402:H404)+H523+H566+H623+H684+SUM(H724:H725)+H781+SUM(H821:H823)</f>
        <v>16277</v>
      </c>
      <c r="I875" s="59">
        <f>SUM(F875:H875)</f>
        <v>47700</v>
      </c>
      <c r="J875" s="1">
        <f>+J48+J98+J221+SUM(J402:J404)+J523+J566+J623+J684+SUM(J724:J725)+J781+SUM(J821:J823)</f>
        <v>16667</v>
      </c>
      <c r="K875" s="1">
        <f>+K48+K98+K221+SUM(K402:K404)+K523+K566+K623+K684+SUM(K724:K725)+K781+SUM(K821:K823)</f>
        <v>15065</v>
      </c>
      <c r="L875" s="1">
        <f>+L48+L98+L221+SUM(L402:L404)+L523+L566+L623+L684+SUM(L724:L725)+L781+SUM(L821:L823)</f>
        <v>9606</v>
      </c>
      <c r="M875" s="59">
        <f>SUM(J875:L875)</f>
        <v>41338</v>
      </c>
      <c r="N875" s="1">
        <f>+N48+N98+N221+SUM(N402:N404)+N523+N566+N623+N684+SUM(N724:N725)+N781+SUM(N821:N823)</f>
        <v>11312</v>
      </c>
      <c r="O875" s="1">
        <f>+O48+O98+O221+SUM(O402:O404)+O523+O566+O623+O684+SUM(O724:O725)+O781+SUM(O821:O823)</f>
        <v>2221</v>
      </c>
      <c r="P875" s="1">
        <f>+P48+P98+P221+SUM(P402:P404)+P523+P566+P623+P684+SUM(P724:P725)+P781+SUM(P821:P823)</f>
        <v>5121</v>
      </c>
      <c r="Q875" s="59">
        <f>SUM(N875:P875)</f>
        <v>18654</v>
      </c>
      <c r="R875" s="59">
        <f>+E875+I875+M875+Q875</f>
        <v>120727</v>
      </c>
    </row>
    <row r="876" spans="1:20" ht="15.75" customHeight="1" thickBot="1" x14ac:dyDescent="0.35">
      <c r="A876" s="164" t="s">
        <v>60</v>
      </c>
      <c r="B876" s="1">
        <f>+B49+SUM(B99:B106)+SUM(B222:B286)+SUM(B405:B457)+SUM(B524:B526)+SUM(B567:B568)+SUM(B624:B629)+B685+SUM(B726:B735)+B782+SUM(B824:B828)</f>
        <v>10729</v>
      </c>
      <c r="C876" s="1">
        <f>+C49+SUM(C99:C106)+SUM(C222:C286)+SUM(C405:C457)+SUM(C524:C526)+SUM(C567:C568)+SUM(C624:C629)+C685+SUM(C726:C735)+C782+SUM(C824:C828)</f>
        <v>19801</v>
      </c>
      <c r="D876" s="1">
        <f>+D49+SUM(D99:D106)+SUM(D222:D286)+SUM(D405:D457)+SUM(D524:D526)+SUM(D567:D568)+SUM(D624:D629)+D685+SUM(D726:D735)+D782+SUM(D824:D828)</f>
        <v>30032</v>
      </c>
      <c r="E876" s="59">
        <f>SUM(B876:D876)</f>
        <v>60562</v>
      </c>
      <c r="F876" s="1">
        <f>+F49+SUM(F99:F106)+SUM(F222:F286)+SUM(F405:F457)+SUM(F524:F526)+SUM(F567:F568)+SUM(F624:F629)+F685+SUM(F726:F735)+F782+SUM(F824:F828)</f>
        <v>35256</v>
      </c>
      <c r="G876" s="1">
        <f>+G49+SUM(G99:G106)+SUM(G222:G286)+SUM(G405:G457)+SUM(G524:G526)+SUM(G567:G568)+SUM(G624:G629)+G685+SUM(G726:G735)+G782+SUM(G824:G828)</f>
        <v>28685</v>
      </c>
      <c r="H876" s="1">
        <f>+H49+SUM(H99:H106)+SUM(H222:H286)+SUM(H405:H457)+SUM(H524:H526)+SUM(H567:H568)+SUM(H624:H629)+H685+SUM(H726:H735)+H782+SUM(H824:H828)</f>
        <v>30255</v>
      </c>
      <c r="I876" s="59">
        <f>SUM(F876:H876)</f>
        <v>94196</v>
      </c>
      <c r="J876" s="1">
        <f>+J49+SUM(J99:J106)+SUM(J222:J286)+SUM(J405:J457)+SUM(J524:J526)+SUM(J567:J568)+SUM(J624:J629)+J685+SUM(J726:J735)+J782+SUM(J824:J828)</f>
        <v>29107</v>
      </c>
      <c r="K876" s="1">
        <f>+K49+SUM(K99:K106)+SUM(K222:K286)+SUM(K405:K457)+SUM(K524:K526)+SUM(K567:K568)+SUM(K624:K629)+K685+SUM(K726:K735)+K782+SUM(K824:K828)</f>
        <v>46398</v>
      </c>
      <c r="L876" s="1">
        <f>+L49+SUM(L99:L106)+SUM(L222:L286)+SUM(L405:L457)+SUM(L524:L526)+SUM(L567:L568)+SUM(L624:L629)+L685+SUM(L726:L735)+L782+SUM(L824:L828)</f>
        <v>37038</v>
      </c>
      <c r="M876" s="59">
        <f>SUM(J876:L876)</f>
        <v>112543</v>
      </c>
      <c r="N876" s="1">
        <f>+N49+SUM(N99:N106)+SUM(N222:N286)+SUM(N405:N457)+SUM(N524:N526)+SUM(N567:N568)+SUM(N624:N629)+N685+SUM(N726:N735)+N782+SUM(N824:N828)</f>
        <v>35319</v>
      </c>
      <c r="O876" s="1">
        <f>+O49+SUM(O99:O106)+SUM(O222:O286)+SUM(O405:O457)+SUM(O524:O526)+SUM(O567:O568)+SUM(O624:O629)+O685+SUM(O726:O735)+O782+SUM(O824:O828)</f>
        <v>12418</v>
      </c>
      <c r="P876" s="1">
        <f>+P49+SUM(P99:P106)+SUM(P222:P286)+SUM(P405:P457)+SUM(P524:P526)+SUM(P567:P568)+SUM(P624:P629)+P685+SUM(P726:P735)+P782+SUM(P824:P828)</f>
        <v>16430</v>
      </c>
      <c r="Q876" s="59">
        <f>SUM(N876:P876)</f>
        <v>64167</v>
      </c>
      <c r="R876" s="59">
        <f>+E876+I876+M876+Q876</f>
        <v>331468</v>
      </c>
    </row>
    <row r="877" spans="1:20" ht="16.5" customHeight="1" thickBot="1" x14ac:dyDescent="0.35">
      <c r="A877" s="62" t="s">
        <v>61</v>
      </c>
      <c r="B877" s="100">
        <f>SUM(B874:B876)</f>
        <v>11987</v>
      </c>
      <c r="C877" s="101">
        <f>SUM(C874:C876)</f>
        <v>23654</v>
      </c>
      <c r="D877" s="138">
        <f>SUM(D874:D876)</f>
        <v>37956</v>
      </c>
      <c r="E877" s="64">
        <f>SUM(B877:D877)</f>
        <v>73597</v>
      </c>
      <c r="F877" s="101">
        <f>SUM(F874:F876)</f>
        <v>50334</v>
      </c>
      <c r="G877" s="101">
        <f>SUM(G874:G876)</f>
        <v>45030</v>
      </c>
      <c r="H877" s="101">
        <f>SUM(H874:H876)</f>
        <v>46532</v>
      </c>
      <c r="I877" s="64">
        <f>SUM(F877:H877)</f>
        <v>141896</v>
      </c>
      <c r="J877" s="101">
        <f>SUM(J874:J876)</f>
        <v>45774</v>
      </c>
      <c r="K877" s="101">
        <f>SUM(K874:K876)</f>
        <v>61463</v>
      </c>
      <c r="L877" s="101">
        <f>SUM(L874:L876)</f>
        <v>46644</v>
      </c>
      <c r="M877" s="64">
        <f>SUM(J877:L877)</f>
        <v>153881</v>
      </c>
      <c r="N877" s="101">
        <f>SUM(N874:N876)</f>
        <v>46631</v>
      </c>
      <c r="O877" s="101">
        <f>SUM(O874:O876)</f>
        <v>14639</v>
      </c>
      <c r="P877" s="101">
        <f>SUM(P874:P876)</f>
        <v>21551</v>
      </c>
      <c r="Q877" s="64">
        <f>SUM(N877:P877)</f>
        <v>82821</v>
      </c>
      <c r="R877" s="64">
        <f>+E877+I877+M877+Q877</f>
        <v>452195</v>
      </c>
      <c r="T877" s="4">
        <v>1600000</v>
      </c>
    </row>
    <row r="878" spans="1:20" ht="20.25" customHeight="1" x14ac:dyDescent="0.3">
      <c r="A878" s="17" t="s">
        <v>623</v>
      </c>
      <c r="B878" s="1"/>
      <c r="C878" s="1"/>
      <c r="D878" s="1"/>
      <c r="E878" s="59" t="s">
        <v>7</v>
      </c>
      <c r="F878" s="1"/>
      <c r="G878" s="1"/>
      <c r="H878" s="1"/>
      <c r="I878" s="59" t="s">
        <v>7</v>
      </c>
      <c r="J878" s="1"/>
      <c r="K878" s="1"/>
      <c r="L878" s="1"/>
      <c r="M878" s="59" t="s">
        <v>7</v>
      </c>
      <c r="N878" s="1"/>
      <c r="O878" s="1"/>
      <c r="P878" s="1"/>
      <c r="Q878" s="59" t="s">
        <v>7</v>
      </c>
      <c r="R878" s="59" t="s">
        <v>7</v>
      </c>
      <c r="T878" s="4">
        <f>+T877-28000-R862-R863-400000-R875-R876+12000</f>
        <v>157060</v>
      </c>
    </row>
    <row r="879" spans="1:20" ht="15.75" customHeight="1" x14ac:dyDescent="0.3">
      <c r="A879" s="17" t="s">
        <v>624</v>
      </c>
      <c r="B879" s="1">
        <f>SUM(B52:B52)+SUM(B109:B117)+SUM(B289:B292)+SUM(B460:B461)+SUM(B529:B529)+B571+SUM(B632:B634)+B688+B738+B785+SUM(B831:B833)</f>
        <v>0</v>
      </c>
      <c r="C879" s="1">
        <f>SUM(C52:C52)+SUM(C109:C117)+SUM(C289:C292)+SUM(C460:C461)+SUM(C529:C529)+C571+SUM(C632:C634)+C688+C738+C785+SUM(C831:C833)</f>
        <v>0</v>
      </c>
      <c r="D879" s="1">
        <f>SUM(D52:D52)+SUM(D109:D117)+SUM(D289:D292)+SUM(D460:D461)+SUM(D529:D529)+D571+SUM(D632:D634)+D688+D738+D785+SUM(D831:D833)</f>
        <v>0</v>
      </c>
      <c r="E879" s="59">
        <f t="shared" ref="E879:E887" si="287">SUM(B879:D879)</f>
        <v>0</v>
      </c>
      <c r="F879" s="1">
        <f>SUM(F52:F52)+SUM(F109:F117)+SUM(F289:F292)+SUM(F460:F461)+SUM(F529:F529)+F571+SUM(F632:F634)+F688+F738+F785+SUM(F831:F833)</f>
        <v>0</v>
      </c>
      <c r="G879" s="1">
        <f>SUM(G52:G52)+SUM(G109:G117)+SUM(G289:G292)+SUM(G460:G461)+SUM(G529:G529)+G571+SUM(G632:G634)+G688+G738+G785+SUM(G831:G833)</f>
        <v>0</v>
      </c>
      <c r="H879" s="1">
        <f>SUM(H52:H52)+SUM(H109:H117)+SUM(H289:H292)+SUM(H460:H461)+SUM(H529:H529)+H571+SUM(H632:H634)+H688+H738+H785+SUM(H831:H833)</f>
        <v>0</v>
      </c>
      <c r="I879" s="59">
        <f t="shared" ref="I879:I887" si="288">SUM(F879:H879)</f>
        <v>0</v>
      </c>
      <c r="J879" s="1">
        <f>SUM(J52:J52)+SUM(J109:J117)+SUM(J289:J292)+SUM(J460:J461)+SUM(J529:J529)+J571+SUM(J632:J634)+J688+J738+J785+SUM(J831:J833)</f>
        <v>0</v>
      </c>
      <c r="K879" s="1">
        <f>SUM(K52:K52)+SUM(K109:K117)+SUM(K289:K292)+SUM(K460:K461)+SUM(K529:K529)+K571+SUM(K632:K634)+K688+K738+K785+SUM(K831:K833)</f>
        <v>0</v>
      </c>
      <c r="L879" s="1">
        <f>SUM(L52:L52)+SUM(L109:L117)+SUM(L289:L292)+SUM(L460:L461)+SUM(L529:L529)+L571+SUM(L632:L634)+L688+L738+L785+SUM(L831:L833)</f>
        <v>0</v>
      </c>
      <c r="M879" s="59">
        <f t="shared" ref="M879:M887" si="289">SUM(J879:L879)</f>
        <v>0</v>
      </c>
      <c r="N879" s="1">
        <f>SUM(N52:N52)+SUM(N109:N117)+SUM(N289:N292)+SUM(N460:N461)+SUM(N529:N529)+N571+SUM(N632:N634)+N688+N738+N785+SUM(N831:N833)</f>
        <v>0</v>
      </c>
      <c r="O879" s="1">
        <f>SUM(O52:O52)+SUM(O109:O117)+SUM(O289:O292)+SUM(O460:O461)+SUM(O529:O529)+O571+SUM(O632:O634)+O688+O738+O785+SUM(O831:O833)</f>
        <v>2000</v>
      </c>
      <c r="P879" s="1">
        <f>SUM(P52:P52)+SUM(P109:P117)+SUM(P289:P292)+SUM(P460:P461)+SUM(P529:P529)+P571+SUM(P632:P634)+P688+P738+P785+SUM(P831:P833)</f>
        <v>4000</v>
      </c>
      <c r="Q879" s="59">
        <f t="shared" ref="Q879:Q887" si="290">SUM(N879:P879)</f>
        <v>6000</v>
      </c>
      <c r="R879" s="59">
        <f>+E879+I879+M879+Q879</f>
        <v>6000</v>
      </c>
    </row>
    <row r="880" spans="1:20" ht="15.75" customHeight="1" x14ac:dyDescent="0.3">
      <c r="A880" s="17" t="s">
        <v>64</v>
      </c>
      <c r="B880" s="1">
        <f>SUM(B53:B54)+SUM(B118:B119)+SUM(B293:B294)+B296+B298+B300+B301+SUM(B462:B464)+B530+B572+SUM(B635:B636)+B638+SUM(B689:B690)+B740+B742+B786+SUM(B834:B835)</f>
        <v>0</v>
      </c>
      <c r="C880" s="1">
        <f>SUM(C53:C54)+SUM(C118:C119)+SUM(C293:C294)+C296+C298+C300+C301+SUM(C462:C464)+C530+C572+SUM(C635:C636)+C638+SUM(C689:C690)+C740+C742+C786+SUM(C834:C835)</f>
        <v>0</v>
      </c>
      <c r="D880" s="1">
        <f>SUM(D53:D54)+SUM(D118:D119)+SUM(D293:D294)+D296+D298+D300+D301+SUM(D462:D464)+D530+D572+SUM(D635:D636)+D638+SUM(D689:D690)+D740+D742+D786+SUM(D834:D835)</f>
        <v>0</v>
      </c>
      <c r="E880" s="59">
        <f t="shared" si="287"/>
        <v>0</v>
      </c>
      <c r="F880" s="1">
        <f>SUM(F53:F54)+SUM(F118:F119)+SUM(F293:F294)+F296+F298+F300+F301+SUM(F462:F464)+F530+F572+SUM(F635:F636)+F638+SUM(F689:F690)+F740+F742+F786+SUM(F834:F835)</f>
        <v>0</v>
      </c>
      <c r="G880" s="1">
        <f>SUM(G53:G54)+SUM(G118:G119)+SUM(G293:G294)+G296+G298+G300+G301+SUM(G462:G464)+G530+G572+SUM(G635:G636)+G638+SUM(G689:G690)+G740+G742+G786+SUM(G834:G835)</f>
        <v>0</v>
      </c>
      <c r="H880" s="1">
        <f>SUM(H53:H54)+SUM(H118:H119)+SUM(H293:H294)+H296+H298+H300+H301+SUM(H462:H464)+H530+H572+SUM(H635:H636)+H638+SUM(H689:H690)+H740+H742+H786+SUM(H834:H835)</f>
        <v>0</v>
      </c>
      <c r="I880" s="59">
        <f t="shared" si="288"/>
        <v>0</v>
      </c>
      <c r="J880" s="1">
        <f>SUM(J53:J54)+SUM(J118:J119)+SUM(J293:J294)+J296+J298+J300+J301+SUM(J462:J464)+J530+J572+SUM(J635:J636)+J638+SUM(J689:J690)+J740+J742+J786+SUM(J834:J835)</f>
        <v>0</v>
      </c>
      <c r="K880" s="1">
        <f>SUM(K53:K54)+SUM(K118:K119)+SUM(K293:K294)+K296+K298+K300+K301+SUM(K462:K464)+K530+K572+SUM(K635:K636)+K638+SUM(K689:K690)+K740+K742+K786+SUM(K834:K835)</f>
        <v>0</v>
      </c>
      <c r="L880" s="1">
        <f>SUM(L53:L54)+SUM(L118:L119)+SUM(L293:L294)+L296+L298+L300+L301+SUM(L462:L464)+L530+L572+SUM(L635:L636)+L638+SUM(L689:L690)+L740+L742+L786+SUM(L834:L835)</f>
        <v>0</v>
      </c>
      <c r="M880" s="59">
        <f t="shared" si="289"/>
        <v>0</v>
      </c>
      <c r="N880" s="1">
        <f>SUM(N53:N54)+SUM(N118:N119)+SUM(N293:N294)+N296+N298+N300+N301+SUM(N462:N464)+N530+N572+SUM(N635:N636)+N638+SUM(N689:N690)+N740+N742+N786+SUM(N834:N835)</f>
        <v>0</v>
      </c>
      <c r="O880" s="1">
        <f>SUM(O53:O54)+SUM(O118:O119)+SUM(O293:O294)+O296+O298+O300+O301+SUM(O462:O464)+O530+O572+SUM(O635:O636)+O638+SUM(O689:O690)+O740+O742+O786+SUM(O834:O835)</f>
        <v>0</v>
      </c>
      <c r="P880" s="1">
        <f>SUM(P53:P54)+SUM(P118:P119)+SUM(P293:P294)+P296+P298+P300+P301+SUM(P462:P464)+P530+P572+SUM(P635:P636)+P638+SUM(P689:P690)+P740+P742+P786+SUM(P834:P835)</f>
        <v>0</v>
      </c>
      <c r="Q880" s="59">
        <f t="shared" si="290"/>
        <v>0</v>
      </c>
      <c r="R880" s="59">
        <f t="shared" ref="R880:R887" si="291">+E880+I880+M880+Q880</f>
        <v>0</v>
      </c>
    </row>
    <row r="881" spans="1:18" ht="18" customHeight="1" x14ac:dyDescent="0.3">
      <c r="A881" s="74" t="s">
        <v>625</v>
      </c>
      <c r="B881" s="1">
        <f>B120+B295+B297+B299+B637+B639+B741+B743+B836</f>
        <v>0</v>
      </c>
      <c r="C881" s="1">
        <f>C120+C295+C297+C299+C637+C639+C741+C743+C836</f>
        <v>0</v>
      </c>
      <c r="D881" s="1">
        <f>D120+D295+D297+D299+D637+D639+D741+D743+D836</f>
        <v>0</v>
      </c>
      <c r="E881" s="59">
        <f t="shared" si="287"/>
        <v>0</v>
      </c>
      <c r="F881" s="1">
        <f>F120+F295+F297+F299+F637+F639+F741+F743+F836</f>
        <v>0</v>
      </c>
      <c r="G881" s="1">
        <f>G120+G295+G297+G299+G637+G639+G741+G743+G836</f>
        <v>0</v>
      </c>
      <c r="H881" s="1">
        <f>H120+H295+H297+H299+H637+H639+H741+H743+H836</f>
        <v>0</v>
      </c>
      <c r="I881" s="59">
        <f t="shared" si="288"/>
        <v>0</v>
      </c>
      <c r="J881" s="1">
        <f>J120+J295+J297+J299+J637+J639+J741+J743+J836</f>
        <v>0</v>
      </c>
      <c r="K881" s="1">
        <f>K120+K295+K297+K299+K637+K639+K741+K743+K836</f>
        <v>0</v>
      </c>
      <c r="L881" s="1">
        <f>L120+L295+L297+L299+L637+L639+L741+L743+L836</f>
        <v>0</v>
      </c>
      <c r="M881" s="59">
        <f t="shared" si="289"/>
        <v>0</v>
      </c>
      <c r="N881" s="1">
        <f>N120+N295+N297+N299+N637+N639+N741+N743+N836</f>
        <v>0</v>
      </c>
      <c r="O881" s="1">
        <f>O120+O295+O297+O299+O637+O639+O741+O743+O836</f>
        <v>0</v>
      </c>
      <c r="P881" s="1">
        <f>P120+P295+P297+P299+P637+P639+P741+P743+P836</f>
        <v>0</v>
      </c>
      <c r="Q881" s="59">
        <f t="shared" si="290"/>
        <v>0</v>
      </c>
      <c r="R881" s="59">
        <f t="shared" si="291"/>
        <v>0</v>
      </c>
    </row>
    <row r="882" spans="1:18" ht="15.75" customHeight="1" x14ac:dyDescent="0.3">
      <c r="A882" s="17" t="s">
        <v>626</v>
      </c>
      <c r="B882" s="1">
        <f>+B55+SUM(B121:B122)+SUM(B302:B303)+SUM(B465:B471)+SUM(B531:B531)+SUM(B573:B574)+SUM(B640:B642)+B691+B744+B837+B837+B787</f>
        <v>0</v>
      </c>
      <c r="C882" s="1">
        <f>+C55+SUM(C121:C122)+SUM(C302:C303)+SUM(C465:C471)+SUM(C531:C531)+SUM(C573:C574)+SUM(C640:C642)+C691+C744+C837+C837+C787</f>
        <v>0</v>
      </c>
      <c r="D882" s="1">
        <f>+D55+SUM(D121:D122)+SUM(D302:D303)+SUM(D465:D471)+SUM(D531:D531)+SUM(D573:D574)+SUM(D640:D642)+D691+D744+D837+D837+D787</f>
        <v>0</v>
      </c>
      <c r="E882" s="59">
        <f t="shared" si="287"/>
        <v>0</v>
      </c>
      <c r="F882" s="1">
        <f>+F55+SUM(F121:F122)+SUM(F302:F303)+SUM(F465:F471)+SUM(F531:F531)+SUM(F573:F574)+SUM(F640:F642)+F691+F744+F837+F837+F787</f>
        <v>0</v>
      </c>
      <c r="G882" s="1">
        <f>+G55+SUM(G121:G122)+SUM(G302:G303)+SUM(G465:G471)+SUM(G531:G531)+SUM(G573:G574)+SUM(G640:G642)+G691+G744+G837+G837+G787</f>
        <v>0</v>
      </c>
      <c r="H882" s="1">
        <f>+H55+SUM(H121:H122)+SUM(H302:H303)+SUM(H465:H471)+SUM(H531:H531)+SUM(H573:H574)+SUM(H640:H642)+H691+H744+H837+H837+H787</f>
        <v>0</v>
      </c>
      <c r="I882" s="59">
        <f t="shared" si="288"/>
        <v>0</v>
      </c>
      <c r="J882" s="1">
        <f>+J55+SUM(J121:J122)+SUM(J302:J303)+SUM(J465:J471)+SUM(J531:J531)+SUM(J573:J574)+SUM(J640:J642)+J691+J744+J837+J837+J787</f>
        <v>0</v>
      </c>
      <c r="K882" s="1">
        <f>+K55+SUM(K121:K122)+SUM(K302:K303)+SUM(K465:K471)+SUM(K531:K531)+SUM(K573:K574)+SUM(K640:K642)+K691+K744+K837+K837+K787</f>
        <v>0</v>
      </c>
      <c r="L882" s="1">
        <f>+L55+SUM(L121:L122)+SUM(L302:L303)+SUM(L465:L471)+SUM(L531:L531)+SUM(L573:L574)+SUM(L640:L642)+L691+L744+L837+L837+L787</f>
        <v>0</v>
      </c>
      <c r="M882" s="59">
        <f t="shared" si="289"/>
        <v>0</v>
      </c>
      <c r="N882" s="1">
        <f>+N55+SUM(N121:N122)+SUM(N302:N303)+SUM(N465:N471)+SUM(N531:N531)+SUM(N573:N574)+SUM(N640:N642)+N691+N744+N837+N837+N787</f>
        <v>0</v>
      </c>
      <c r="O882" s="1">
        <f>+O55+SUM(O121:O122)+SUM(O302:O303)+SUM(O465:O471)+SUM(O531:O531)+SUM(O573:O574)+SUM(O640:O642)+O691+O744+O837+O837+O787</f>
        <v>0</v>
      </c>
      <c r="P882" s="1">
        <f>+P55+SUM(P121:P122)+SUM(P302:P303)+SUM(P465:P471)+SUM(P531:P531)+SUM(P573:P574)+SUM(P640:P642)+P691+P744+P837+P837+P787</f>
        <v>0</v>
      </c>
      <c r="Q882" s="59">
        <f t="shared" si="290"/>
        <v>0</v>
      </c>
      <c r="R882" s="59">
        <f>+E882+I882+M882+Q882</f>
        <v>0</v>
      </c>
    </row>
    <row r="883" spans="1:18" ht="22.5" customHeight="1" x14ac:dyDescent="0.3">
      <c r="A883" s="17" t="s">
        <v>67</v>
      </c>
      <c r="B883" s="1">
        <f>SUM(B125:B125)+SUM(B304:B305)+B473+B476+B477+B479+B482+SUM(B532:B533)+B576+B579+B643+B644+B646+B692+B745+B788+B838</f>
        <v>0</v>
      </c>
      <c r="C883" s="1">
        <f>SUM(C125:C125)+SUM(C304:C305)+C473+C476+C477+C479+C482+SUM(C532:C533)+C576+C579+C643+C644+C646+C692+C745+C788+C838</f>
        <v>0</v>
      </c>
      <c r="D883" s="1">
        <f>SUM(D125:D125)+SUM(D304:D305)+D473+D476+D477+D479+D482+SUM(D532:D533)+D576+D579+D643+D644+D646+D692+D745+D788+D838</f>
        <v>0</v>
      </c>
      <c r="E883" s="59">
        <f t="shared" si="287"/>
        <v>0</v>
      </c>
      <c r="F883" s="1">
        <f>SUM(F125:F125)+SUM(F304:F305)+F473+F476+F477+F479+F482+SUM(F532:F533)+F576+F579+F643+F644+F646+F692+F745+F788+F838</f>
        <v>0</v>
      </c>
      <c r="G883" s="1">
        <f>SUM(G125:G125)+SUM(G304:G305)+G473+G476+G477+G479+G482+SUM(G532:G533)+G576+G579+G643+G644+G646+G692+G745+G788+G838</f>
        <v>0</v>
      </c>
      <c r="H883" s="1">
        <f>SUM(H125:H125)+SUM(H304:H305)+H473+H476+H477+H479+H482+SUM(H532:H533)+H576+H579+H643+H644+H646+H692+H745+H788+H838</f>
        <v>0</v>
      </c>
      <c r="I883" s="59">
        <f t="shared" si="288"/>
        <v>0</v>
      </c>
      <c r="J883" s="1">
        <f>SUM(J125:J125)+SUM(J304:J305)+J473+J476+J477+J479+J482+SUM(J532:J533)+J576+J579+J643+J644+J646+J692+J745+J788+J838</f>
        <v>0</v>
      </c>
      <c r="K883" s="1">
        <f>SUM(K125:K125)+SUM(K304:K305)+K473+K476+K477+K479+K482+SUM(K532:K533)+K576+K579+K643+K644+K646+K692+K745+K788+K838</f>
        <v>0</v>
      </c>
      <c r="L883" s="1">
        <f>SUM(L125:L125)+SUM(L304:L305)+L473+L476+L477+L479+L482+SUM(L532:L533)+L576+L579+L643+L644+L646+L692+L745+L788+L838</f>
        <v>0</v>
      </c>
      <c r="M883" s="59">
        <f t="shared" si="289"/>
        <v>0</v>
      </c>
      <c r="N883" s="1">
        <f>SUM(N125:N125)+SUM(N304:N305)+N473+N476+N477+N479+N482+SUM(N532:N533)+N576+N579+N643+N644+N646+N692+N745+N788+N838</f>
        <v>0</v>
      </c>
      <c r="O883" s="1">
        <f>SUM(O125:O125)+SUM(O304:O305)+O473+O476+O477+O479+O482+SUM(O532:O533)+O576+O579+O643+O644+O646+O692+O745+O788+O838</f>
        <v>0</v>
      </c>
      <c r="P883" s="1">
        <f>SUM(P125:P125)+SUM(P304:P305)+P473+P476+P477+P479+P482+SUM(P532:P533)+P576+P579+P643+P644+P646+P692+P745+P788+P838</f>
        <v>0</v>
      </c>
      <c r="Q883" s="59">
        <f t="shared" si="290"/>
        <v>0</v>
      </c>
      <c r="R883" s="59">
        <f>+E883+I883+M883+Q883</f>
        <v>0</v>
      </c>
    </row>
    <row r="884" spans="1:18" ht="18.75" customHeight="1" thickBot="1" x14ac:dyDescent="0.35">
      <c r="A884" s="74" t="s">
        <v>627</v>
      </c>
      <c r="B884" s="1">
        <f>+B474+B478+B480+B534+B124+B475+B481+B577+B578+B645</f>
        <v>0</v>
      </c>
      <c r="C884" s="1">
        <f>+C474+C478+C480+C534+C124+C475+C481+C577+C578+C645</f>
        <v>0</v>
      </c>
      <c r="D884" s="1">
        <f>+D474+D478+D480+D534+D124+D475+D481+D577+D578+D645</f>
        <v>0</v>
      </c>
      <c r="E884" s="59">
        <f>SUM(B884:D884)</f>
        <v>0</v>
      </c>
      <c r="F884" s="1">
        <f>+F474+F478+F480+F534+F124+F475+F481+F577+F578+F645</f>
        <v>0</v>
      </c>
      <c r="G884" s="1">
        <f>+G474+G478+G480+G534+G124+G475+G481+G577+G578+G645</f>
        <v>0</v>
      </c>
      <c r="H884" s="1">
        <f>+H474+H478+H480+H534+H124+H475+H481+H577+H578+H645</f>
        <v>0</v>
      </c>
      <c r="I884" s="59">
        <f>SUM(F884:H884)</f>
        <v>0</v>
      </c>
      <c r="J884" s="1">
        <f>+J474+J478+J480+J534+J124+J475+J481+J577+J578+J645</f>
        <v>0</v>
      </c>
      <c r="K884" s="1">
        <f>+K474+K478+K480+K534+K124+K475+K481+K577+K578+K645</f>
        <v>0</v>
      </c>
      <c r="L884" s="1">
        <f>+L474+L478+L480+L534+L124+L475+L481+L577+L578+L645</f>
        <v>0</v>
      </c>
      <c r="M884" s="59">
        <f>SUM(J884:L884)</f>
        <v>0</v>
      </c>
      <c r="N884" s="1">
        <f>+N474+N478+N480+N534+N124+N475+N481+N577+N578+N645</f>
        <v>0</v>
      </c>
      <c r="O884" s="1">
        <f>+O474+O478+O480+O534+O124+O475+O481+O577+O578+O645</f>
        <v>0</v>
      </c>
      <c r="P884" s="1">
        <f>+P474+P478+P480+P534+P124+P475+P481+P577+P578+P645</f>
        <v>0</v>
      </c>
      <c r="Q884" s="59">
        <f>SUM(N884:P884)</f>
        <v>0</v>
      </c>
      <c r="R884" s="59">
        <f>+E884+I884+M884+Q884</f>
        <v>0</v>
      </c>
    </row>
    <row r="885" spans="1:18" ht="16.5" customHeight="1" thickBot="1" x14ac:dyDescent="0.35">
      <c r="A885" s="62" t="s">
        <v>68</v>
      </c>
      <c r="B885" s="344">
        <f>SUM(B882:B884)</f>
        <v>0</v>
      </c>
      <c r="C885" s="344">
        <f>SUM(C882:C884)</f>
        <v>0</v>
      </c>
      <c r="D885" s="344">
        <f>SUM(D882:D884)</f>
        <v>0</v>
      </c>
      <c r="E885" s="334">
        <f t="shared" si="287"/>
        <v>0</v>
      </c>
      <c r="F885" s="344">
        <f>SUM(F882:F884)</f>
        <v>0</v>
      </c>
      <c r="G885" s="344">
        <f>SUM(G882:G884)</f>
        <v>0</v>
      </c>
      <c r="H885" s="344">
        <f>SUM(H882:H884)</f>
        <v>0</v>
      </c>
      <c r="I885" s="334">
        <f t="shared" si="288"/>
        <v>0</v>
      </c>
      <c r="J885" s="344">
        <f>SUM(J882:J884)</f>
        <v>0</v>
      </c>
      <c r="K885" s="344">
        <f>SUM(K882:K884)</f>
        <v>0</v>
      </c>
      <c r="L885" s="344">
        <f>SUM(L882:L884)</f>
        <v>0</v>
      </c>
      <c r="M885" s="334">
        <f t="shared" si="289"/>
        <v>0</v>
      </c>
      <c r="N885" s="344">
        <f>SUM(N882:N884)</f>
        <v>0</v>
      </c>
      <c r="O885" s="344">
        <f>SUM(O882:O884)</f>
        <v>0</v>
      </c>
      <c r="P885" s="344">
        <f>SUM(P882:P884)</f>
        <v>0</v>
      </c>
      <c r="Q885" s="334">
        <f t="shared" si="290"/>
        <v>0</v>
      </c>
      <c r="R885" s="64">
        <f t="shared" si="291"/>
        <v>0</v>
      </c>
    </row>
    <row r="886" spans="1:18" ht="16.5" customHeight="1" thickBot="1" x14ac:dyDescent="0.35">
      <c r="A886" s="137" t="s">
        <v>69</v>
      </c>
      <c r="B886" s="100">
        <f>SUM(B878:B884)</f>
        <v>0</v>
      </c>
      <c r="C886" s="101">
        <f>SUM(C878:C884)</f>
        <v>0</v>
      </c>
      <c r="D886" s="138">
        <f>SUM(D878:D884)</f>
        <v>0</v>
      </c>
      <c r="E886" s="347">
        <f t="shared" si="287"/>
        <v>0</v>
      </c>
      <c r="F886" s="100">
        <f>SUM(F878:F884)</f>
        <v>0</v>
      </c>
      <c r="G886" s="101">
        <f>SUM(G878:G884)</f>
        <v>0</v>
      </c>
      <c r="H886" s="138">
        <f>SUM(H878:H884)</f>
        <v>0</v>
      </c>
      <c r="I886" s="334">
        <f t="shared" si="288"/>
        <v>0</v>
      </c>
      <c r="J886" s="100">
        <f>SUM(J878:J884)</f>
        <v>0</v>
      </c>
      <c r="K886" s="101">
        <f>SUM(K878:K884)</f>
        <v>0</v>
      </c>
      <c r="L886" s="138">
        <f>SUM(L878:L884)</f>
        <v>0</v>
      </c>
      <c r="M886" s="334">
        <f t="shared" si="289"/>
        <v>0</v>
      </c>
      <c r="N886" s="100">
        <f>SUM(N878:N884)</f>
        <v>0</v>
      </c>
      <c r="O886" s="101">
        <f>SUM(O878:O884)</f>
        <v>2000</v>
      </c>
      <c r="P886" s="138">
        <f>SUM(P878:P884)</f>
        <v>4000</v>
      </c>
      <c r="Q886" s="334">
        <f t="shared" si="290"/>
        <v>6000</v>
      </c>
      <c r="R886" s="64">
        <f t="shared" si="291"/>
        <v>6000</v>
      </c>
    </row>
    <row r="887" spans="1:18" ht="16.5" customHeight="1" thickBot="1" x14ac:dyDescent="0.35">
      <c r="A887" s="62" t="s">
        <v>70</v>
      </c>
      <c r="B887" s="149">
        <f>+B868+B873+B877+B886</f>
        <v>42078</v>
      </c>
      <c r="C887" s="150">
        <f>+C868+C873+C877+C886</f>
        <v>50313</v>
      </c>
      <c r="D887" s="150">
        <f>+D868+D873+D877+D886</f>
        <v>82174</v>
      </c>
      <c r="E887" s="64">
        <f t="shared" si="287"/>
        <v>174565</v>
      </c>
      <c r="F887" s="63">
        <f>+F868+F873+F877+F886</f>
        <v>143255</v>
      </c>
      <c r="G887" s="63">
        <f>+G868+G873+G877+G886</f>
        <v>140285</v>
      </c>
      <c r="H887" s="63">
        <f>+H868+H873+H877+H886</f>
        <v>183443</v>
      </c>
      <c r="I887" s="64">
        <f t="shared" si="288"/>
        <v>466983</v>
      </c>
      <c r="J887" s="63">
        <f>+J868+J873+J877+J886</f>
        <v>188724</v>
      </c>
      <c r="K887" s="63">
        <f>+K868+K873+K877+K886</f>
        <v>181776</v>
      </c>
      <c r="L887" s="63">
        <f>+L868+L873+L877+L886</f>
        <v>124651</v>
      </c>
      <c r="M887" s="64">
        <f t="shared" si="289"/>
        <v>495151</v>
      </c>
      <c r="N887" s="63">
        <f>+N868+N873+N877+N886</f>
        <v>103093</v>
      </c>
      <c r="O887" s="63">
        <f>+O868+O873+O877+O886</f>
        <v>23617</v>
      </c>
      <c r="P887" s="63">
        <f>+P868+P873+P877+P886</f>
        <v>48082</v>
      </c>
      <c r="Q887" s="64">
        <f t="shared" si="290"/>
        <v>174792</v>
      </c>
      <c r="R887" s="88">
        <f t="shared" si="291"/>
        <v>1311491</v>
      </c>
    </row>
    <row r="888" spans="1:18" ht="15.75" customHeight="1" x14ac:dyDescent="0.3">
      <c r="A888" s="1" t="s">
        <v>628</v>
      </c>
      <c r="B888" s="1"/>
      <c r="C888" s="1"/>
      <c r="D888" s="1"/>
      <c r="E888" s="1"/>
      <c r="F888" s="1"/>
      <c r="G888" s="1"/>
      <c r="H888" s="1"/>
      <c r="I888" s="1"/>
      <c r="J888" s="1"/>
      <c r="K888" s="1"/>
      <c r="L888" s="1"/>
      <c r="M888" s="1"/>
      <c r="N888" s="1"/>
      <c r="O888" s="166"/>
      <c r="P888" s="1"/>
      <c r="Q888" s="1"/>
      <c r="R888" s="28"/>
    </row>
    <row r="889" spans="1:18" ht="15.75" customHeight="1" x14ac:dyDescent="0.3">
      <c r="A889" s="1" t="s">
        <v>629</v>
      </c>
      <c r="B889" s="1"/>
      <c r="C889" s="1"/>
      <c r="D889" s="1"/>
      <c r="E889" s="1"/>
      <c r="F889" s="1"/>
      <c r="G889" s="1"/>
      <c r="H889" s="1"/>
      <c r="I889" s="1"/>
      <c r="J889" s="1"/>
      <c r="K889" s="1"/>
      <c r="L889" s="1"/>
      <c r="M889" s="1"/>
      <c r="N889" s="1"/>
      <c r="O889" s="166"/>
      <c r="P889" s="1"/>
      <c r="Q889" s="1"/>
      <c r="R889" s="28"/>
    </row>
    <row r="890" spans="1:18" ht="15.75" customHeight="1" x14ac:dyDescent="0.3">
      <c r="A890" s="1"/>
      <c r="B890" s="1"/>
      <c r="C890" s="1"/>
      <c r="D890" s="1"/>
      <c r="E890" s="1"/>
      <c r="F890" s="1"/>
      <c r="G890" s="1"/>
      <c r="H890" s="1"/>
      <c r="I890" s="1"/>
      <c r="J890" s="1"/>
      <c r="K890" s="1"/>
      <c r="L890" s="1"/>
      <c r="M890" s="1"/>
      <c r="N890" s="1"/>
      <c r="O890" s="166"/>
      <c r="P890" s="1"/>
      <c r="Q890" s="2" t="str">
        <f>+Q1</f>
        <v xml:space="preserve">PRINTED:  </v>
      </c>
      <c r="R890" s="163">
        <f ca="1">+R1</f>
        <v>44894.658168402777</v>
      </c>
    </row>
    <row r="891" spans="1:18" ht="15.75" customHeight="1" x14ac:dyDescent="0.3">
      <c r="A891" s="383" t="s">
        <v>1</v>
      </c>
      <c r="B891" s="383"/>
      <c r="C891" s="383"/>
      <c r="D891" s="383"/>
      <c r="E891" s="383"/>
      <c r="F891" s="383"/>
      <c r="G891" s="383"/>
      <c r="H891" s="383"/>
      <c r="I891" s="383"/>
      <c r="J891" s="383"/>
      <c r="K891" s="383"/>
      <c r="L891" s="383"/>
      <c r="M891" s="383"/>
      <c r="N891" s="383"/>
      <c r="O891" s="383"/>
      <c r="P891" s="383"/>
      <c r="Q891" s="383"/>
      <c r="R891" s="383"/>
    </row>
    <row r="892" spans="1:18" ht="15.75" customHeight="1" x14ac:dyDescent="0.3">
      <c r="A892" s="383" t="s">
        <v>2</v>
      </c>
      <c r="B892" s="383"/>
      <c r="C892" s="383"/>
      <c r="D892" s="383"/>
      <c r="E892" s="383"/>
      <c r="F892" s="383"/>
      <c r="G892" s="383"/>
      <c r="H892" s="383"/>
      <c r="I892" s="383"/>
      <c r="J892" s="383"/>
      <c r="K892" s="383"/>
      <c r="L892" s="383"/>
      <c r="M892" s="383"/>
      <c r="N892" s="383"/>
      <c r="O892" s="383"/>
      <c r="P892" s="383"/>
      <c r="Q892" s="383"/>
      <c r="R892" s="383"/>
    </row>
    <row r="893" spans="1:18" ht="15.75" customHeight="1" x14ac:dyDescent="0.3">
      <c r="A893" s="383" t="s">
        <v>3</v>
      </c>
      <c r="B893" s="383"/>
      <c r="C893" s="383"/>
      <c r="D893" s="383"/>
      <c r="E893" s="383"/>
      <c r="F893" s="383"/>
      <c r="G893" s="383"/>
      <c r="H893" s="383"/>
      <c r="I893" s="383"/>
      <c r="J893" s="383"/>
      <c r="K893" s="383"/>
      <c r="L893" s="383"/>
      <c r="M893" s="383"/>
      <c r="N893" s="383"/>
      <c r="O893" s="383"/>
      <c r="P893" s="383"/>
      <c r="Q893" s="383"/>
      <c r="R893" s="383"/>
    </row>
    <row r="894" spans="1:18" ht="15.75" customHeight="1" x14ac:dyDescent="0.3">
      <c r="A894" s="392">
        <f>+A5</f>
        <v>2019</v>
      </c>
      <c r="B894" s="392"/>
      <c r="C894" s="392"/>
      <c r="D894" s="392"/>
      <c r="E894" s="392"/>
      <c r="F894" s="392"/>
      <c r="G894" s="392"/>
      <c r="H894" s="392"/>
      <c r="I894" s="392"/>
      <c r="J894" s="392"/>
      <c r="K894" s="392"/>
      <c r="L894" s="392"/>
      <c r="M894" s="392"/>
      <c r="N894" s="392"/>
      <c r="O894" s="392"/>
      <c r="P894" s="392"/>
      <c r="Q894" s="392"/>
      <c r="R894" s="392"/>
    </row>
    <row r="895" spans="1:18" ht="15.75" customHeight="1" x14ac:dyDescent="0.3">
      <c r="A895" s="1"/>
      <c r="B895" s="1"/>
      <c r="C895" s="1"/>
      <c r="D895" s="7"/>
      <c r="E895" s="7"/>
      <c r="F895" s="7"/>
      <c r="G895" s="8"/>
      <c r="H895" s="7"/>
      <c r="I895" s="7"/>
      <c r="J895" s="8"/>
      <c r="K895" s="8"/>
      <c r="L895" s="8"/>
      <c r="M895" s="8"/>
      <c r="N895" s="1"/>
      <c r="O895" s="8"/>
      <c r="P895" s="8"/>
      <c r="Q895" s="8"/>
      <c r="R895" s="8"/>
    </row>
    <row r="896" spans="1:18" ht="15.75" customHeight="1" x14ac:dyDescent="0.3">
      <c r="A896" s="383" t="str">
        <f>+A8</f>
        <v>Revised:  11/4/2019</v>
      </c>
      <c r="B896" s="383"/>
      <c r="C896" s="383"/>
      <c r="D896" s="383"/>
      <c r="E896" s="383"/>
      <c r="F896" s="383"/>
      <c r="G896" s="383"/>
      <c r="H896" s="383"/>
      <c r="I896" s="383"/>
      <c r="J896" s="383"/>
      <c r="K896" s="383"/>
      <c r="L896" s="383"/>
      <c r="M896" s="383"/>
      <c r="N896" s="383"/>
      <c r="O896" s="383"/>
      <c r="P896" s="383"/>
      <c r="Q896" s="383"/>
      <c r="R896" s="383"/>
    </row>
    <row r="897" spans="1:46" ht="15.75" customHeight="1" x14ac:dyDescent="0.3">
      <c r="A897" s="6"/>
      <c r="B897" s="6"/>
      <c r="C897" s="6"/>
      <c r="D897" s="6"/>
      <c r="E897" s="6"/>
      <c r="F897" s="6"/>
      <c r="G897" s="6"/>
      <c r="H897" s="6"/>
      <c r="I897" s="6"/>
      <c r="J897" s="6"/>
      <c r="K897" s="6"/>
      <c r="L897" s="6"/>
      <c r="M897" s="6"/>
      <c r="N897" s="6"/>
      <c r="O897" s="6"/>
      <c r="P897" s="6"/>
      <c r="Q897" s="6"/>
      <c r="R897" s="6"/>
    </row>
    <row r="898" spans="1:46" ht="15.75" customHeight="1" x14ac:dyDescent="0.3">
      <c r="A898" s="30"/>
      <c r="B898" s="1"/>
      <c r="C898" s="1"/>
      <c r="D898" s="1"/>
      <c r="E898" s="1"/>
      <c r="F898" s="1"/>
      <c r="G898" s="1"/>
      <c r="H898" s="1"/>
      <c r="I898" s="1"/>
      <c r="J898" s="1"/>
      <c r="K898" s="1"/>
      <c r="L898" s="1"/>
      <c r="M898" s="1"/>
      <c r="N898" s="1"/>
      <c r="O898" s="1"/>
      <c r="P898" s="1"/>
      <c r="Q898" s="1"/>
      <c r="R898" s="28"/>
    </row>
    <row r="899" spans="1:46" ht="15.75" customHeight="1" thickBot="1" x14ac:dyDescent="0.35">
      <c r="A899" s="1"/>
      <c r="B899" s="1"/>
      <c r="C899" s="1"/>
      <c r="D899" s="1"/>
      <c r="E899" s="1"/>
      <c r="F899" s="1"/>
      <c r="G899" s="1"/>
      <c r="H899" s="1"/>
      <c r="I899" s="1"/>
      <c r="J899" s="1"/>
      <c r="K899" s="1"/>
      <c r="L899" s="1"/>
      <c r="M899" s="1"/>
      <c r="N899" s="1"/>
      <c r="O899" s="166"/>
      <c r="P899" s="1"/>
      <c r="Q899" s="1"/>
      <c r="R899" s="28"/>
    </row>
    <row r="900" spans="1:46" ht="15.75" customHeight="1" thickBot="1" x14ac:dyDescent="0.35">
      <c r="A900" s="342" t="s">
        <v>630</v>
      </c>
      <c r="B900" s="330" t="s">
        <v>36</v>
      </c>
      <c r="C900" s="331" t="s">
        <v>9</v>
      </c>
      <c r="D900" s="331" t="s">
        <v>10</v>
      </c>
      <c r="E900" s="325" t="s">
        <v>11</v>
      </c>
      <c r="F900" s="331" t="s">
        <v>12</v>
      </c>
      <c r="G900" s="331" t="s">
        <v>13</v>
      </c>
      <c r="H900" s="331" t="s">
        <v>14</v>
      </c>
      <c r="I900" s="325" t="s">
        <v>15</v>
      </c>
      <c r="J900" s="331" t="s">
        <v>16</v>
      </c>
      <c r="K900" s="331" t="s">
        <v>17</v>
      </c>
      <c r="L900" s="331" t="s">
        <v>18</v>
      </c>
      <c r="M900" s="325" t="s">
        <v>19</v>
      </c>
      <c r="N900" s="331" t="s">
        <v>20</v>
      </c>
      <c r="O900" s="331" t="s">
        <v>21</v>
      </c>
      <c r="P900" s="331" t="s">
        <v>22</v>
      </c>
      <c r="Q900" s="325" t="s">
        <v>23</v>
      </c>
      <c r="R900" s="348" t="s">
        <v>24</v>
      </c>
    </row>
    <row r="901" spans="1:46" ht="16.5" customHeight="1" thickBot="1" x14ac:dyDescent="0.35">
      <c r="A901" s="168"/>
      <c r="B901" s="169"/>
      <c r="C901" s="169"/>
      <c r="D901" s="169"/>
      <c r="E901" s="16"/>
      <c r="F901" s="169"/>
      <c r="G901" s="169"/>
      <c r="H901" s="169"/>
      <c r="I901" s="38"/>
      <c r="J901" s="169"/>
      <c r="K901" s="169"/>
      <c r="L901" s="169"/>
      <c r="M901" s="38"/>
      <c r="N901" s="169"/>
      <c r="O901" s="169"/>
      <c r="P901" s="169"/>
      <c r="Q901" s="151"/>
      <c r="R901" s="349"/>
    </row>
    <row r="902" spans="1:46" ht="16.5" customHeight="1" thickBot="1" x14ac:dyDescent="0.35">
      <c r="A902" s="171" t="s">
        <v>26</v>
      </c>
      <c r="B902" s="172">
        <f>+B868</f>
        <v>28669</v>
      </c>
      <c r="C902" s="172">
        <f>+C868</f>
        <v>24908</v>
      </c>
      <c r="D902" s="172">
        <f>+D868</f>
        <v>36226</v>
      </c>
      <c r="E902" s="100">
        <f>+SUM(B902:D902)</f>
        <v>89803</v>
      </c>
      <c r="F902" s="172">
        <f>+F868</f>
        <v>52965</v>
      </c>
      <c r="G902" s="172">
        <f>+G868</f>
        <v>71065</v>
      </c>
      <c r="H902" s="172">
        <f>+H868</f>
        <v>88095</v>
      </c>
      <c r="I902" s="100">
        <f>+SUM(F902:H902)</f>
        <v>212125</v>
      </c>
      <c r="J902" s="172">
        <f>+J868</f>
        <v>87748</v>
      </c>
      <c r="K902" s="172">
        <f>+K868</f>
        <v>77986</v>
      </c>
      <c r="L902" s="172">
        <f>+L868</f>
        <v>60114</v>
      </c>
      <c r="M902" s="100">
        <f>+SUM(J902:L902)</f>
        <v>225848</v>
      </c>
      <c r="N902" s="172">
        <f>+N868</f>
        <v>43621</v>
      </c>
      <c r="O902" s="172">
        <f>+O868</f>
        <v>5187</v>
      </c>
      <c r="P902" s="172">
        <f>+P868</f>
        <v>14017</v>
      </c>
      <c r="Q902" s="100">
        <f>+SUM(N902:P902)</f>
        <v>62825</v>
      </c>
      <c r="R902" s="64">
        <f>+E902+I902+M902+Q902</f>
        <v>590601</v>
      </c>
    </row>
    <row r="903" spans="1:46" ht="16.5" customHeight="1" thickBot="1" x14ac:dyDescent="0.35">
      <c r="A903" s="34"/>
      <c r="B903" s="100"/>
      <c r="C903" s="100"/>
      <c r="D903" s="100"/>
      <c r="E903" s="100"/>
      <c r="F903" s="100"/>
      <c r="G903" s="100"/>
      <c r="H903" s="100"/>
      <c r="I903" s="100"/>
      <c r="J903" s="100"/>
      <c r="K903" s="100"/>
      <c r="L903" s="100"/>
      <c r="M903" s="100"/>
      <c r="N903" s="100"/>
      <c r="O903" s="100"/>
      <c r="P903" s="100"/>
      <c r="Q903" s="100"/>
      <c r="R903" s="64"/>
    </row>
    <row r="904" spans="1:46" ht="16.5" customHeight="1" thickBot="1" x14ac:dyDescent="0.35">
      <c r="A904" s="171" t="s">
        <v>631</v>
      </c>
      <c r="B904" s="172">
        <f>+B873</f>
        <v>1422</v>
      </c>
      <c r="C904" s="172">
        <f>+C873</f>
        <v>1751</v>
      </c>
      <c r="D904" s="172">
        <f>+D873</f>
        <v>7992</v>
      </c>
      <c r="E904" s="100">
        <f>+SUM(B904:D904)</f>
        <v>11165</v>
      </c>
      <c r="F904" s="172">
        <f>+F873</f>
        <v>39956</v>
      </c>
      <c r="G904" s="172">
        <f>+G873</f>
        <v>24190</v>
      </c>
      <c r="H904" s="172">
        <f>+H873</f>
        <v>48816</v>
      </c>
      <c r="I904" s="100">
        <f>+SUM(F904:H904)</f>
        <v>112962</v>
      </c>
      <c r="J904" s="172">
        <f>+J873</f>
        <v>55202</v>
      </c>
      <c r="K904" s="172">
        <f>+K873</f>
        <v>42327</v>
      </c>
      <c r="L904" s="172">
        <f>+L873</f>
        <v>17893</v>
      </c>
      <c r="M904" s="100">
        <f>+SUM(J904:L904)</f>
        <v>115422</v>
      </c>
      <c r="N904" s="172">
        <f>+N873</f>
        <v>12841</v>
      </c>
      <c r="O904" s="172">
        <f>+O873</f>
        <v>1791</v>
      </c>
      <c r="P904" s="172">
        <f>+P873</f>
        <v>8514</v>
      </c>
      <c r="Q904" s="100">
        <f>+SUM(N904:P904)</f>
        <v>23146</v>
      </c>
      <c r="R904" s="64">
        <f>+E904+I904+M904+Q904</f>
        <v>262695</v>
      </c>
    </row>
    <row r="905" spans="1:46" ht="16.5" customHeight="1" thickBot="1" x14ac:dyDescent="0.35">
      <c r="A905" s="34"/>
      <c r="B905" s="100"/>
      <c r="C905" s="100"/>
      <c r="D905" s="100"/>
      <c r="E905" s="100"/>
      <c r="F905" s="100"/>
      <c r="G905" s="100"/>
      <c r="H905" s="100"/>
      <c r="I905" s="100"/>
      <c r="J905" s="100"/>
      <c r="K905" s="100"/>
      <c r="L905" s="100"/>
      <c r="M905" s="100"/>
      <c r="N905" s="100"/>
      <c r="O905" s="100"/>
      <c r="P905" s="100"/>
      <c r="Q905" s="100"/>
      <c r="R905" s="64"/>
      <c r="AC905" s="350"/>
      <c r="AD905" s="351"/>
      <c r="AE905" s="352" t="s">
        <v>632</v>
      </c>
      <c r="AF905" s="351"/>
      <c r="AG905" s="351"/>
      <c r="AH905" s="351"/>
      <c r="AI905" s="351"/>
      <c r="AJ905" s="351"/>
      <c r="AK905" s="351" t="s">
        <v>633</v>
      </c>
      <c r="AL905" s="351"/>
      <c r="AM905" s="351" t="s">
        <v>7</v>
      </c>
      <c r="AN905" s="353" t="str">
        <f>+A8</f>
        <v>Revised:  11/4/2019</v>
      </c>
      <c r="AO905" s="351"/>
      <c r="AP905" s="351"/>
      <c r="AQ905" s="351"/>
      <c r="AR905" s="351"/>
      <c r="AS905" s="354" t="str">
        <f>+Q1</f>
        <v xml:space="preserve">PRINTED:  </v>
      </c>
      <c r="AT905" s="355">
        <f ca="1">+R1</f>
        <v>44894.658168402777</v>
      </c>
    </row>
    <row r="906" spans="1:46" ht="16.5" customHeight="1" thickBot="1" x14ac:dyDescent="0.35">
      <c r="A906" s="171" t="s">
        <v>28</v>
      </c>
      <c r="B906" s="172">
        <f>+B877</f>
        <v>11987</v>
      </c>
      <c r="C906" s="172">
        <f>+C877</f>
        <v>23654</v>
      </c>
      <c r="D906" s="172">
        <f>+D877</f>
        <v>37956</v>
      </c>
      <c r="E906" s="100">
        <f>+SUM(B906:D906)</f>
        <v>73597</v>
      </c>
      <c r="F906" s="172">
        <f>+F877</f>
        <v>50334</v>
      </c>
      <c r="G906" s="172">
        <f>+G877</f>
        <v>45030</v>
      </c>
      <c r="H906" s="172">
        <f>+H877</f>
        <v>46532</v>
      </c>
      <c r="I906" s="100">
        <f>+SUM(F906:H906)</f>
        <v>141896</v>
      </c>
      <c r="J906" s="172">
        <f>+J877</f>
        <v>45774</v>
      </c>
      <c r="K906" s="172">
        <f>+K877</f>
        <v>61463</v>
      </c>
      <c r="L906" s="172">
        <f>+L877</f>
        <v>46644</v>
      </c>
      <c r="M906" s="100">
        <f>+SUM(J906:L906)</f>
        <v>153881</v>
      </c>
      <c r="N906" s="172">
        <f>+N877</f>
        <v>46631</v>
      </c>
      <c r="O906" s="172">
        <f>+O877</f>
        <v>14639</v>
      </c>
      <c r="P906" s="172">
        <f>+P877</f>
        <v>21551</v>
      </c>
      <c r="Q906" s="100">
        <f>+SUM(N906:P906)</f>
        <v>82821</v>
      </c>
      <c r="R906" s="64">
        <f>+E906+I906+M906+Q906</f>
        <v>452195</v>
      </c>
      <c r="AC906" s="179"/>
      <c r="AD906" s="180"/>
      <c r="AE906" s="180"/>
      <c r="AF906" s="180">
        <f>++A5</f>
        <v>2019</v>
      </c>
      <c r="AG906" s="180"/>
      <c r="AH906" s="180"/>
      <c r="AI906" s="180"/>
      <c r="AJ906" s="180"/>
      <c r="AK906" s="180"/>
      <c r="AL906" s="180"/>
      <c r="AM906" s="180"/>
      <c r="AN906" s="180"/>
      <c r="AO906" s="180"/>
      <c r="AP906" s="180"/>
      <c r="AQ906" s="180"/>
      <c r="AR906" s="180"/>
      <c r="AS906" s="180"/>
      <c r="AT906" s="306"/>
    </row>
    <row r="907" spans="1:46" ht="16.5" customHeight="1" thickBot="1" x14ac:dyDescent="0.35">
      <c r="A907" s="34"/>
      <c r="B907" s="100"/>
      <c r="C907" s="100"/>
      <c r="D907" s="100"/>
      <c r="E907" s="100"/>
      <c r="F907" s="100"/>
      <c r="G907" s="100"/>
      <c r="H907" s="100"/>
      <c r="I907" s="100"/>
      <c r="J907" s="100"/>
      <c r="K907" s="100"/>
      <c r="L907" s="100"/>
      <c r="M907" s="100"/>
      <c r="N907" s="100"/>
      <c r="O907" s="100"/>
      <c r="P907" s="100"/>
      <c r="Q907" s="100"/>
      <c r="R907" s="64"/>
      <c r="AC907" s="179"/>
      <c r="AD907" s="180"/>
      <c r="AE907" s="180"/>
      <c r="AF907" s="180"/>
      <c r="AG907" s="180"/>
      <c r="AH907" s="180"/>
      <c r="AI907" s="180"/>
      <c r="AJ907" s="180"/>
      <c r="AK907" s="180"/>
      <c r="AL907" s="180"/>
      <c r="AM907" s="180"/>
      <c r="AN907" s="180"/>
      <c r="AO907" s="180"/>
      <c r="AP907" s="180"/>
      <c r="AQ907" s="180"/>
      <c r="AR907" s="180"/>
      <c r="AS907" s="180"/>
      <c r="AT907" s="306"/>
    </row>
    <row r="908" spans="1:46" ht="16.5" customHeight="1" thickBot="1" x14ac:dyDescent="0.35">
      <c r="A908" s="171" t="s">
        <v>634</v>
      </c>
      <c r="B908" s="172">
        <f>+B886</f>
        <v>0</v>
      </c>
      <c r="C908" s="172">
        <f>+C886</f>
        <v>0</v>
      </c>
      <c r="D908" s="172">
        <f>+D886</f>
        <v>0</v>
      </c>
      <c r="E908" s="100">
        <f>+SUM(B908:D908)</f>
        <v>0</v>
      </c>
      <c r="F908" s="172">
        <f>+F886</f>
        <v>0</v>
      </c>
      <c r="G908" s="172">
        <f>+G886</f>
        <v>0</v>
      </c>
      <c r="H908" s="172">
        <f>+H886</f>
        <v>0</v>
      </c>
      <c r="I908" s="100">
        <f>+SUM(F908:H908)</f>
        <v>0</v>
      </c>
      <c r="J908" s="172">
        <f>+J886</f>
        <v>0</v>
      </c>
      <c r="K908" s="172">
        <f>+K886</f>
        <v>0</v>
      </c>
      <c r="L908" s="172">
        <f>+L886</f>
        <v>0</v>
      </c>
      <c r="M908" s="100">
        <f>+SUM(J908:L908)</f>
        <v>0</v>
      </c>
      <c r="N908" s="172">
        <f>+N886</f>
        <v>0</v>
      </c>
      <c r="O908" s="172">
        <f>+O886</f>
        <v>2000</v>
      </c>
      <c r="P908" s="172">
        <f>+P886</f>
        <v>4000</v>
      </c>
      <c r="Q908" s="100">
        <f>+SUM(N908:P908)</f>
        <v>6000</v>
      </c>
      <c r="R908" s="64">
        <f>+E908+I908+M908+Q908</f>
        <v>6000</v>
      </c>
      <c r="AC908" s="179"/>
      <c r="AD908" s="180"/>
      <c r="AE908" s="180"/>
      <c r="AF908" s="180"/>
      <c r="AG908" s="180"/>
      <c r="AH908" s="180"/>
      <c r="AI908" s="182" t="s">
        <v>635</v>
      </c>
      <c r="AJ908" s="180"/>
      <c r="AK908" s="180"/>
      <c r="AL908" s="180"/>
      <c r="AM908" s="180"/>
      <c r="AN908" s="180"/>
      <c r="AO908" s="180"/>
      <c r="AP908" s="180"/>
      <c r="AQ908" s="180"/>
      <c r="AR908" s="180"/>
      <c r="AS908" s="180"/>
      <c r="AT908" s="306"/>
    </row>
    <row r="909" spans="1:46" ht="16.5" customHeight="1" thickBot="1" x14ac:dyDescent="0.35">
      <c r="A909" s="34"/>
      <c r="B909" s="100"/>
      <c r="C909" s="100"/>
      <c r="D909" s="100"/>
      <c r="E909" s="100"/>
      <c r="F909" s="100"/>
      <c r="G909" s="100"/>
      <c r="H909" s="100"/>
      <c r="I909" s="100"/>
      <c r="J909" s="100"/>
      <c r="K909" s="100"/>
      <c r="L909" s="100"/>
      <c r="M909" s="100"/>
      <c r="N909" s="100"/>
      <c r="O909" s="100"/>
      <c r="P909" s="100"/>
      <c r="Q909" s="100"/>
      <c r="R909" s="64"/>
      <c r="AC909" s="179"/>
      <c r="AD909" s="180" t="s">
        <v>633</v>
      </c>
      <c r="AE909" s="180"/>
      <c r="AF909" s="182" t="s">
        <v>636</v>
      </c>
      <c r="AG909" s="182" t="s">
        <v>636</v>
      </c>
      <c r="AH909" s="182" t="s">
        <v>637</v>
      </c>
      <c r="AI909" s="182" t="s">
        <v>638</v>
      </c>
      <c r="AJ909" s="182" t="s">
        <v>639</v>
      </c>
      <c r="AK909" s="182" t="s">
        <v>640</v>
      </c>
      <c r="AL909" s="182" t="s">
        <v>641</v>
      </c>
      <c r="AM909" s="180" t="s">
        <v>633</v>
      </c>
      <c r="AN909" s="182" t="s">
        <v>642</v>
      </c>
      <c r="AO909" s="182" t="s">
        <v>642</v>
      </c>
      <c r="AP909" s="182" t="s">
        <v>642</v>
      </c>
      <c r="AQ909" s="180"/>
      <c r="AR909" s="180"/>
      <c r="AS909" s="180"/>
      <c r="AT909" s="306"/>
    </row>
    <row r="910" spans="1:46" ht="16.5" customHeight="1" thickBot="1" x14ac:dyDescent="0.4">
      <c r="A910" s="34" t="s">
        <v>643</v>
      </c>
      <c r="B910" s="107">
        <f t="shared" ref="B910:Q910" si="292">+SUM(B902:B908)</f>
        <v>42078</v>
      </c>
      <c r="C910" s="107">
        <f t="shared" si="292"/>
        <v>50313</v>
      </c>
      <c r="D910" s="107">
        <f t="shared" si="292"/>
        <v>82174</v>
      </c>
      <c r="E910" s="107">
        <f t="shared" si="292"/>
        <v>174565</v>
      </c>
      <c r="F910" s="107">
        <f t="shared" si="292"/>
        <v>143255</v>
      </c>
      <c r="G910" s="107">
        <f t="shared" si="292"/>
        <v>140285</v>
      </c>
      <c r="H910" s="107">
        <f t="shared" si="292"/>
        <v>183443</v>
      </c>
      <c r="I910" s="107">
        <f t="shared" si="292"/>
        <v>466983</v>
      </c>
      <c r="J910" s="107">
        <f t="shared" si="292"/>
        <v>188724</v>
      </c>
      <c r="K910" s="107">
        <f t="shared" si="292"/>
        <v>181776</v>
      </c>
      <c r="L910" s="107">
        <f t="shared" si="292"/>
        <v>124651</v>
      </c>
      <c r="M910" s="107">
        <f t="shared" si="292"/>
        <v>495151</v>
      </c>
      <c r="N910" s="107">
        <f t="shared" si="292"/>
        <v>103093</v>
      </c>
      <c r="O910" s="107">
        <f t="shared" si="292"/>
        <v>23617</v>
      </c>
      <c r="P910" s="107">
        <f t="shared" si="292"/>
        <v>48082</v>
      </c>
      <c r="Q910" s="107">
        <f t="shared" si="292"/>
        <v>174792</v>
      </c>
      <c r="R910" s="183">
        <f>+SUM(R902:R908)</f>
        <v>1311491</v>
      </c>
      <c r="AC910" s="179"/>
      <c r="AD910" s="182" t="s">
        <v>644</v>
      </c>
      <c r="AE910" s="182" t="s">
        <v>645</v>
      </c>
      <c r="AF910" s="182" t="s">
        <v>646</v>
      </c>
      <c r="AG910" s="182" t="s">
        <v>646</v>
      </c>
      <c r="AH910" s="182" t="s">
        <v>647</v>
      </c>
      <c r="AI910" s="184" t="s">
        <v>648</v>
      </c>
      <c r="AJ910" s="182" t="s">
        <v>649</v>
      </c>
      <c r="AK910" s="182" t="s">
        <v>650</v>
      </c>
      <c r="AL910" s="182" t="s">
        <v>651</v>
      </c>
      <c r="AM910" s="180" t="s">
        <v>633</v>
      </c>
      <c r="AN910" s="182" t="s">
        <v>652</v>
      </c>
      <c r="AO910" s="182" t="s">
        <v>648</v>
      </c>
      <c r="AP910" s="182" t="s">
        <v>653</v>
      </c>
      <c r="AQ910" s="180"/>
      <c r="AR910" s="180"/>
      <c r="AS910" s="180"/>
      <c r="AT910" s="306"/>
    </row>
    <row r="911" spans="1:46" ht="15.75" customHeight="1" x14ac:dyDescent="0.35">
      <c r="A911" s="185"/>
      <c r="B911" s="186"/>
      <c r="C911" s="186"/>
      <c r="D911" s="186"/>
      <c r="E911" s="186"/>
      <c r="F911" s="186"/>
      <c r="G911" s="186"/>
      <c r="H911" s="187" t="s">
        <v>654</v>
      </c>
      <c r="I911" s="186"/>
      <c r="J911" s="186"/>
      <c r="K911" s="186"/>
      <c r="L911" s="186"/>
      <c r="M911" s="186"/>
      <c r="N911" s="186"/>
      <c r="O911" s="186"/>
      <c r="P911" s="186"/>
      <c r="Q911" s="186"/>
      <c r="R911" s="186"/>
      <c r="AC911" s="179"/>
      <c r="AD911" s="182" t="s">
        <v>127</v>
      </c>
      <c r="AE911" s="182" t="s">
        <v>655</v>
      </c>
      <c r="AF911" s="182" t="s">
        <v>656</v>
      </c>
      <c r="AG911" s="182" t="s">
        <v>657</v>
      </c>
      <c r="AH911" s="182" t="s">
        <v>658</v>
      </c>
      <c r="AI911" s="182" t="s">
        <v>658</v>
      </c>
      <c r="AJ911" s="182" t="s">
        <v>658</v>
      </c>
      <c r="AK911" s="182" t="s">
        <v>658</v>
      </c>
      <c r="AL911" s="182" t="s">
        <v>659</v>
      </c>
      <c r="AM911" s="180" t="s">
        <v>633</v>
      </c>
      <c r="AN911" s="182" t="s">
        <v>660</v>
      </c>
      <c r="AO911" s="182" t="s">
        <v>661</v>
      </c>
      <c r="AP911" s="182" t="s">
        <v>661</v>
      </c>
      <c r="AQ911" s="180"/>
      <c r="AR911" s="180"/>
      <c r="AS911" s="180"/>
      <c r="AT911" s="306"/>
    </row>
    <row r="912" spans="1:46" ht="15.75" customHeight="1" x14ac:dyDescent="0.35">
      <c r="A912" s="185"/>
      <c r="B912" s="186"/>
      <c r="C912" s="186"/>
      <c r="D912" s="186"/>
      <c r="E912" s="186"/>
      <c r="F912" s="186"/>
      <c r="G912" s="186"/>
      <c r="H912" s="186"/>
      <c r="I912" s="186"/>
      <c r="J912" s="186"/>
      <c r="K912" s="186"/>
      <c r="L912" s="186"/>
      <c r="M912" s="186"/>
      <c r="N912" s="186"/>
      <c r="O912" s="186"/>
      <c r="P912" s="186"/>
      <c r="Q912" s="186"/>
      <c r="R912" s="186"/>
      <c r="AC912" s="179"/>
      <c r="AD912" s="182" t="s">
        <v>662</v>
      </c>
      <c r="AE912" s="182" t="s">
        <v>663</v>
      </c>
      <c r="AF912" s="182" t="s">
        <v>664</v>
      </c>
      <c r="AG912" s="182" t="s">
        <v>664</v>
      </c>
      <c r="AH912" s="182" t="s">
        <v>664</v>
      </c>
      <c r="AI912" s="182" t="s">
        <v>664</v>
      </c>
      <c r="AJ912" s="182" t="s">
        <v>664</v>
      </c>
      <c r="AK912" s="182" t="s">
        <v>664</v>
      </c>
      <c r="AL912" s="182" t="s">
        <v>664</v>
      </c>
      <c r="AM912" s="180" t="s">
        <v>633</v>
      </c>
      <c r="AN912" s="182" t="s">
        <v>665</v>
      </c>
      <c r="AO912" s="182" t="s">
        <v>665</v>
      </c>
      <c r="AP912" s="182" t="s">
        <v>665</v>
      </c>
      <c r="AQ912" s="180"/>
      <c r="AR912" s="180"/>
      <c r="AS912" s="180"/>
      <c r="AT912" s="306"/>
    </row>
    <row r="913" spans="1:46" ht="15.75" customHeight="1" thickBot="1" x14ac:dyDescent="0.4">
      <c r="A913" s="185"/>
      <c r="B913" s="186"/>
      <c r="C913" s="186"/>
      <c r="D913" s="186"/>
      <c r="E913" s="186"/>
      <c r="F913" s="186"/>
      <c r="G913" s="186"/>
      <c r="H913" s="187"/>
      <c r="I913" s="186"/>
      <c r="J913" s="186"/>
      <c r="K913" s="186"/>
      <c r="L913" s="186"/>
      <c r="M913" s="186"/>
      <c r="N913" s="186"/>
      <c r="O913" s="186"/>
      <c r="P913" s="186"/>
      <c r="Q913" s="186"/>
      <c r="R913" s="186"/>
      <c r="AC913" s="179"/>
      <c r="AD913" s="180" t="s">
        <v>666</v>
      </c>
      <c r="AE913" s="180" t="s">
        <v>666</v>
      </c>
      <c r="AF913" s="180" t="s">
        <v>666</v>
      </c>
      <c r="AG913" s="180" t="s">
        <v>666</v>
      </c>
      <c r="AH913" s="180" t="s">
        <v>666</v>
      </c>
      <c r="AI913" s="180" t="s">
        <v>666</v>
      </c>
      <c r="AJ913" s="180" t="s">
        <v>666</v>
      </c>
      <c r="AK913" s="180" t="s">
        <v>666</v>
      </c>
      <c r="AL913" s="180" t="s">
        <v>666</v>
      </c>
      <c r="AM913" s="180" t="s">
        <v>633</v>
      </c>
      <c r="AN913" s="180" t="s">
        <v>666</v>
      </c>
      <c r="AO913" s="180" t="s">
        <v>666</v>
      </c>
      <c r="AP913" s="180" t="s">
        <v>666</v>
      </c>
      <c r="AQ913" s="180"/>
      <c r="AR913" s="180"/>
      <c r="AS913" s="180"/>
      <c r="AT913" s="306"/>
    </row>
    <row r="914" spans="1:46" ht="15.75" customHeight="1" x14ac:dyDescent="0.3">
      <c r="A914" s="356"/>
      <c r="B914" s="423" t="s">
        <v>667</v>
      </c>
      <c r="C914" s="423"/>
      <c r="D914" s="423"/>
      <c r="E914" s="423"/>
      <c r="F914" s="423"/>
      <c r="G914" s="423"/>
      <c r="H914" s="423"/>
      <c r="I914" s="423"/>
      <c r="J914" s="423"/>
      <c r="K914" s="423"/>
      <c r="L914" s="423"/>
      <c r="M914" s="423"/>
      <c r="N914" s="423"/>
      <c r="O914" s="423"/>
      <c r="P914" s="423"/>
      <c r="Q914" s="354" t="str">
        <f>+Q1</f>
        <v xml:space="preserve">PRINTED:  </v>
      </c>
      <c r="R914" s="355">
        <f ca="1">+R1</f>
        <v>44894.658168402777</v>
      </c>
      <c r="AC914" s="189" t="s">
        <v>668</v>
      </c>
      <c r="AD914" s="180">
        <f t="shared" ref="AD914:AD925" si="293">(F923)</f>
        <v>62928</v>
      </c>
      <c r="AE914" s="180">
        <f t="shared" ref="AE914:AE925" si="294">SUM($B$978:$E$978)+(T923-1526.8)/0.7702</f>
        <v>1627.220250544731</v>
      </c>
      <c r="AF914" s="180">
        <f>(AD914*AE914/1000)</f>
        <v>102397.71592627883</v>
      </c>
      <c r="AG914" s="180">
        <f t="shared" ref="AG914:AG925" si="295">(((B923-F923)*B$978)+((C923-F923)*C$978)+((D923-F923)*D$978)+((E923-F923)*E$978))/1000</f>
        <v>34588.06</v>
      </c>
      <c r="AH914" s="180">
        <f>(AF914+AG914)</f>
        <v>136985.77592627885</v>
      </c>
      <c r="AI914" s="180">
        <f t="shared" ref="AI914:AI925" si="296">SUM(H980:Q980)</f>
        <v>21924</v>
      </c>
      <c r="AJ914" s="180">
        <f>+AH914+AI914</f>
        <v>158909.77592627885</v>
      </c>
      <c r="AK914" s="180">
        <f t="shared" ref="AK914:AK921" si="297">(G1008)</f>
        <v>2506.933714525439</v>
      </c>
      <c r="AL914" s="180">
        <f t="shared" ref="AL914:AL925" si="298">(AJ914-AK914)</f>
        <v>156402.84221175342</v>
      </c>
      <c r="AM914" s="180" t="s">
        <v>633</v>
      </c>
      <c r="AN914" s="180">
        <f>+B923/31/1.98</f>
        <v>1422.9553600521342</v>
      </c>
      <c r="AO914" s="180">
        <f>(AD914*43560/31/24/3600)</f>
        <v>1023.4258064516127</v>
      </c>
      <c r="AP914" s="180">
        <f>+B328</f>
        <v>-299.38346916532458</v>
      </c>
      <c r="AQ914" s="180"/>
      <c r="AR914" s="180"/>
      <c r="AS914" s="180"/>
      <c r="AT914" s="306"/>
    </row>
    <row r="915" spans="1:46" ht="15.75" customHeight="1" x14ac:dyDescent="0.3">
      <c r="A915" s="189"/>
      <c r="B915" s="394" t="str">
        <f>+A8</f>
        <v>Revised:  11/4/2019</v>
      </c>
      <c r="C915" s="394"/>
      <c r="D915" s="394"/>
      <c r="E915" s="394"/>
      <c r="F915" s="394"/>
      <c r="G915" s="394"/>
      <c r="H915" s="394"/>
      <c r="I915" s="394"/>
      <c r="J915" s="394"/>
      <c r="K915" s="394"/>
      <c r="L915" s="394"/>
      <c r="M915" s="394"/>
      <c r="N915" s="394"/>
      <c r="O915" s="394"/>
      <c r="P915" s="394"/>
      <c r="Q915" s="180"/>
      <c r="R915" s="306"/>
      <c r="AC915" s="189" t="s">
        <v>669</v>
      </c>
      <c r="AD915" s="180">
        <f t="shared" si="293"/>
        <v>99729</v>
      </c>
      <c r="AE915" s="180">
        <f t="shared" si="294"/>
        <v>1633.7512334458581</v>
      </c>
      <c r="AF915" s="180">
        <f>(AD915*AE915/1000)</f>
        <v>162932.37676032196</v>
      </c>
      <c r="AG915" s="180">
        <f t="shared" si="295"/>
        <v>73429.259999999995</v>
      </c>
      <c r="AH915" s="180">
        <f t="shared" ref="AH915:AH925" si="299">(AF915+AG915)</f>
        <v>236361.63676032197</v>
      </c>
      <c r="AI915" s="180">
        <f t="shared" si="296"/>
        <v>20825</v>
      </c>
      <c r="AJ915" s="180">
        <f t="shared" ref="AJ915:AJ925" si="300">+AH915+AI915</f>
        <v>257186.63676032197</v>
      </c>
      <c r="AK915" s="180">
        <f t="shared" si="297"/>
        <v>0</v>
      </c>
      <c r="AL915" s="180">
        <f t="shared" si="298"/>
        <v>257186.63676032197</v>
      </c>
      <c r="AM915" s="180" t="s">
        <v>633</v>
      </c>
      <c r="AN915" s="180">
        <f>+B924/28/1.98</f>
        <v>2730.5194805194806</v>
      </c>
      <c r="AO915" s="180">
        <f>(AD915*43560/29/24/3600)</f>
        <v>1733.794396551724</v>
      </c>
      <c r="AP915" s="180">
        <f>+C328</f>
        <v>0</v>
      </c>
      <c r="AQ915" s="180"/>
      <c r="AR915" s="180"/>
      <c r="AS915" s="180"/>
      <c r="AT915" s="306"/>
    </row>
    <row r="916" spans="1:46" ht="15.75" customHeight="1" x14ac:dyDescent="0.3">
      <c r="A916" s="189"/>
      <c r="B916" s="394" t="s">
        <v>670</v>
      </c>
      <c r="C916" s="394"/>
      <c r="D916" s="394"/>
      <c r="E916" s="394"/>
      <c r="F916" s="394"/>
      <c r="G916" s="394"/>
      <c r="H916" s="394"/>
      <c r="I916" s="394"/>
      <c r="J916" s="394"/>
      <c r="K916" s="394"/>
      <c r="L916" s="394"/>
      <c r="M916" s="394"/>
      <c r="N916" s="394"/>
      <c r="O916" s="394"/>
      <c r="P916" s="394"/>
      <c r="Q916" s="180"/>
      <c r="R916" s="306"/>
      <c r="AC916" s="189" t="s">
        <v>671</v>
      </c>
      <c r="AD916" s="180">
        <f t="shared" si="293"/>
        <v>62</v>
      </c>
      <c r="AE916" s="180">
        <f t="shared" si="294"/>
        <v>1640.1262009867571</v>
      </c>
      <c r="AF916" s="180">
        <f t="shared" ref="AF916:AF925" si="301">(AD916*AE916/1000)</f>
        <v>101.68782446117895</v>
      </c>
      <c r="AG916" s="180">
        <f t="shared" si="295"/>
        <v>117233.219</v>
      </c>
      <c r="AH916" s="180">
        <f t="shared" si="299"/>
        <v>117334.90682446117</v>
      </c>
      <c r="AI916" s="180">
        <f t="shared" si="296"/>
        <v>30336</v>
      </c>
      <c r="AJ916" s="180">
        <f t="shared" si="300"/>
        <v>147670.90682446118</v>
      </c>
      <c r="AK916" s="180">
        <f t="shared" si="297"/>
        <v>19.202170308967627</v>
      </c>
      <c r="AL916" s="180">
        <f t="shared" si="298"/>
        <v>147651.70465415221</v>
      </c>
      <c r="AM916" s="180" t="s">
        <v>633</v>
      </c>
      <c r="AN916" s="180">
        <f>+B925/31/1.98</f>
        <v>1348.0286738351253</v>
      </c>
      <c r="AO916" s="180">
        <f>(AD916*43560/31/24/3600)</f>
        <v>1.0083333333333333</v>
      </c>
      <c r="AP916" s="180">
        <f>+D328</f>
        <v>-2.0659476518146178</v>
      </c>
      <c r="AQ916" s="180"/>
      <c r="AR916" s="180"/>
      <c r="AS916" s="180"/>
      <c r="AT916" s="306"/>
    </row>
    <row r="917" spans="1:46" ht="15.75" customHeight="1" x14ac:dyDescent="0.3">
      <c r="A917" s="189"/>
      <c r="B917" s="394"/>
      <c r="C917" s="394"/>
      <c r="D917" s="394"/>
      <c r="E917" s="394"/>
      <c r="F917" s="394"/>
      <c r="G917" s="394"/>
      <c r="H917" s="394"/>
      <c r="I917" s="394"/>
      <c r="J917" s="394"/>
      <c r="K917" s="394"/>
      <c r="L917" s="394"/>
      <c r="M917" s="394"/>
      <c r="N917" s="394"/>
      <c r="O917" s="394"/>
      <c r="P917" s="394"/>
      <c r="Q917" s="180"/>
      <c r="R917" s="306"/>
      <c r="AC917" s="189" t="s">
        <v>672</v>
      </c>
      <c r="AD917" s="180">
        <f t="shared" si="293"/>
        <v>11000</v>
      </c>
      <c r="AE917" s="180">
        <f t="shared" si="294"/>
        <v>1641.4889348714019</v>
      </c>
      <c r="AF917" s="180">
        <f t="shared" si="301"/>
        <v>18056.378283585422</v>
      </c>
      <c r="AG917" s="180">
        <f t="shared" si="295"/>
        <v>193523.74400000001</v>
      </c>
      <c r="AH917" s="180">
        <f t="shared" si="299"/>
        <v>211580.12228358543</v>
      </c>
      <c r="AI917" s="180">
        <f t="shared" si="296"/>
        <v>46223</v>
      </c>
      <c r="AJ917" s="180">
        <f t="shared" si="300"/>
        <v>257803.12228358543</v>
      </c>
      <c r="AK917" s="180">
        <f t="shared" si="297"/>
        <v>2061.6142888418181</v>
      </c>
      <c r="AL917" s="180">
        <f t="shared" si="298"/>
        <v>255741.50799474362</v>
      </c>
      <c r="AM917" s="180" t="s">
        <v>633</v>
      </c>
      <c r="AN917" s="180">
        <f>+B926/30/1.98</f>
        <v>2485.909090909091</v>
      </c>
      <c r="AO917" s="180">
        <f>(AD917*43560/30/24/3600)</f>
        <v>184.86111111111111</v>
      </c>
      <c r="AP917" s="180">
        <f>+F328</f>
        <v>-226.82803832576903</v>
      </c>
      <c r="AQ917" s="180"/>
      <c r="AR917" s="180"/>
      <c r="AS917" s="180"/>
      <c r="AT917" s="306"/>
    </row>
    <row r="918" spans="1:46" ht="15.75" customHeight="1" x14ac:dyDescent="0.3">
      <c r="A918" s="189"/>
      <c r="B918" s="395">
        <f>+A5</f>
        <v>2019</v>
      </c>
      <c r="C918" s="395"/>
      <c r="D918" s="395"/>
      <c r="E918" s="395"/>
      <c r="F918" s="395"/>
      <c r="G918" s="395"/>
      <c r="H918" s="395"/>
      <c r="I918" s="395"/>
      <c r="J918" s="395"/>
      <c r="K918" s="395"/>
      <c r="L918" s="395"/>
      <c r="M918" s="395"/>
      <c r="N918" s="395"/>
      <c r="O918" s="395"/>
      <c r="P918" s="395"/>
      <c r="Q918" s="180"/>
      <c r="R918" s="306"/>
      <c r="AC918" s="189" t="s">
        <v>673</v>
      </c>
      <c r="AD918" s="180">
        <f t="shared" si="293"/>
        <v>18293</v>
      </c>
      <c r="AE918" s="180">
        <f t="shared" si="294"/>
        <v>1642.4760806463491</v>
      </c>
      <c r="AF918" s="180">
        <f t="shared" si="301"/>
        <v>30045.814943263664</v>
      </c>
      <c r="AG918" s="180">
        <f t="shared" si="295"/>
        <v>190364.087</v>
      </c>
      <c r="AH918" s="180">
        <f t="shared" si="299"/>
        <v>220409.90194326366</v>
      </c>
      <c r="AI918" s="180">
        <f t="shared" si="296"/>
        <v>43900</v>
      </c>
      <c r="AJ918" s="180">
        <f t="shared" si="300"/>
        <v>264309.90194326366</v>
      </c>
      <c r="AK918" s="180">
        <f t="shared" si="297"/>
        <v>2387.0838543823515</v>
      </c>
      <c r="AL918" s="180">
        <f t="shared" si="298"/>
        <v>261922.81808888129</v>
      </c>
      <c r="AM918" s="180" t="s">
        <v>633</v>
      </c>
      <c r="AN918" s="180">
        <f>+B927/31/1.98</f>
        <v>2489.4916911045943</v>
      </c>
      <c r="AO918" s="180">
        <f>(AD918*43560/31/24/3600)</f>
        <v>297.50712365591403</v>
      </c>
      <c r="AP918" s="180">
        <f>+G328</f>
        <v>-252.27335578221332</v>
      </c>
      <c r="AQ918" s="180"/>
      <c r="AR918" s="180"/>
      <c r="AS918" s="180"/>
      <c r="AT918" s="306"/>
    </row>
    <row r="919" spans="1:46" ht="15.75" customHeight="1" x14ac:dyDescent="0.3">
      <c r="A919" s="189"/>
      <c r="B919" s="394" t="s">
        <v>674</v>
      </c>
      <c r="C919" s="394"/>
      <c r="D919" s="394"/>
      <c r="E919" s="394"/>
      <c r="F919" s="394"/>
      <c r="G919" s="394"/>
      <c r="H919" s="394"/>
      <c r="I919" s="394"/>
      <c r="J919" s="394"/>
      <c r="K919" s="394"/>
      <c r="L919" s="394"/>
      <c r="M919" s="394"/>
      <c r="N919" s="394"/>
      <c r="O919" s="394"/>
      <c r="P919" s="394"/>
      <c r="Q919" s="180"/>
      <c r="R919" s="306"/>
      <c r="AC919" s="189" t="s">
        <v>675</v>
      </c>
      <c r="AD919" s="180">
        <f t="shared" si="293"/>
        <v>1475</v>
      </c>
      <c r="AE919" s="180">
        <f t="shared" si="294"/>
        <v>1632.3490002596729</v>
      </c>
      <c r="AF919" s="180">
        <f t="shared" si="301"/>
        <v>2407.7147753830177</v>
      </c>
      <c r="AG919" s="180">
        <f t="shared" si="295"/>
        <v>148428.81</v>
      </c>
      <c r="AH919" s="180">
        <f t="shared" si="299"/>
        <v>150836.524775383</v>
      </c>
      <c r="AI919" s="180">
        <f t="shared" si="296"/>
        <v>50568</v>
      </c>
      <c r="AJ919" s="180">
        <f t="shared" si="300"/>
        <v>201404.524775383</v>
      </c>
      <c r="AK919" s="180">
        <f t="shared" si="297"/>
        <v>11965.053202712879</v>
      </c>
      <c r="AL919" s="180">
        <f t="shared" si="298"/>
        <v>189439.47157267013</v>
      </c>
      <c r="AM919" s="180" t="s">
        <v>633</v>
      </c>
      <c r="AN919" s="180">
        <f>+B928/30/1.98</f>
        <v>1798.3670033670035</v>
      </c>
      <c r="AO919" s="180">
        <f t="shared" ref="AO919:AO924" si="302">(AD919*43560/30/24/3600)</f>
        <v>24.788194444444443</v>
      </c>
      <c r="AP919" s="180">
        <f>+H328</f>
        <v>-1414.691544797445</v>
      </c>
      <c r="AQ919" s="180"/>
      <c r="AR919" s="180"/>
      <c r="AS919" s="180"/>
      <c r="AT919" s="306"/>
    </row>
    <row r="920" spans="1:46" ht="15.75" customHeight="1" x14ac:dyDescent="0.3">
      <c r="A920" s="189"/>
      <c r="B920" s="180"/>
      <c r="C920" s="180"/>
      <c r="D920" s="180"/>
      <c r="E920" s="180"/>
      <c r="F920" s="180"/>
      <c r="G920" s="180"/>
      <c r="H920" s="180"/>
      <c r="I920" s="180"/>
      <c r="J920" s="180"/>
      <c r="K920" s="180"/>
      <c r="L920" s="180"/>
      <c r="M920" s="180"/>
      <c r="N920" s="180"/>
      <c r="O920" s="180"/>
      <c r="P920" s="180"/>
      <c r="Q920" s="180"/>
      <c r="R920" s="306"/>
      <c r="AC920" s="189" t="s">
        <v>676</v>
      </c>
      <c r="AD920" s="180">
        <f t="shared" si="293"/>
        <v>0</v>
      </c>
      <c r="AE920" s="180">
        <f t="shared" si="294"/>
        <v>1617.3921834441965</v>
      </c>
      <c r="AF920" s="180">
        <f t="shared" si="301"/>
        <v>0</v>
      </c>
      <c r="AG920" s="180">
        <f t="shared" si="295"/>
        <v>137401.326</v>
      </c>
      <c r="AH920" s="180">
        <f t="shared" si="299"/>
        <v>137401.326</v>
      </c>
      <c r="AI920" s="180">
        <f t="shared" si="296"/>
        <v>53470</v>
      </c>
      <c r="AJ920" s="180">
        <f t="shared" si="300"/>
        <v>190871.326</v>
      </c>
      <c r="AK920" s="180">
        <f t="shared" si="297"/>
        <v>11656.589320102019</v>
      </c>
      <c r="AL920" s="180">
        <f t="shared" si="298"/>
        <v>179214.73667989799</v>
      </c>
      <c r="AM920" s="180" t="s">
        <v>633</v>
      </c>
      <c r="AN920" s="180">
        <f>+B929/31/1.98</f>
        <v>1593.4180514825675</v>
      </c>
      <c r="AO920" s="180">
        <f t="shared" si="302"/>
        <v>0</v>
      </c>
      <c r="AP920" s="180">
        <f>+J328</f>
        <v>-1519.301156605339</v>
      </c>
      <c r="AQ920" s="180"/>
      <c r="AR920" s="180"/>
      <c r="AS920" s="180"/>
      <c r="AT920" s="306"/>
    </row>
    <row r="921" spans="1:46" ht="15.75" customHeight="1" thickBot="1" x14ac:dyDescent="0.35">
      <c r="A921" s="189" t="s">
        <v>647</v>
      </c>
      <c r="B921" s="191" t="s">
        <v>677</v>
      </c>
      <c r="C921" s="191" t="s">
        <v>678</v>
      </c>
      <c r="D921" s="191" t="s">
        <v>679</v>
      </c>
      <c r="E921" s="191" t="s">
        <v>680</v>
      </c>
      <c r="F921" s="191" t="s">
        <v>644</v>
      </c>
      <c r="G921" s="191" t="s">
        <v>644</v>
      </c>
      <c r="H921" s="191" t="s">
        <v>681</v>
      </c>
      <c r="I921" s="191" t="s">
        <v>682</v>
      </c>
      <c r="J921" s="191" t="s">
        <v>683</v>
      </c>
      <c r="K921" s="191" t="s">
        <v>684</v>
      </c>
      <c r="L921" s="191" t="s">
        <v>685</v>
      </c>
      <c r="M921" s="191" t="s">
        <v>686</v>
      </c>
      <c r="N921" s="191" t="s">
        <v>687</v>
      </c>
      <c r="O921" s="191" t="s">
        <v>688</v>
      </c>
      <c r="P921" s="191" t="s">
        <v>689</v>
      </c>
      <c r="Q921" s="191" t="s">
        <v>638</v>
      </c>
      <c r="R921" s="306"/>
      <c r="T921" s="52" t="s">
        <v>690</v>
      </c>
      <c r="AC921" s="189" t="s">
        <v>691</v>
      </c>
      <c r="AD921" s="180">
        <f t="shared" si="293"/>
        <v>29</v>
      </c>
      <c r="AE921" s="180">
        <f t="shared" si="294"/>
        <v>1597.1152406726437</v>
      </c>
      <c r="AF921" s="180">
        <f t="shared" si="301"/>
        <v>46.316341979506667</v>
      </c>
      <c r="AG921" s="180">
        <f t="shared" si="295"/>
        <v>146134.258</v>
      </c>
      <c r="AH921" s="180">
        <f t="shared" si="299"/>
        <v>146180.57434197952</v>
      </c>
      <c r="AI921" s="180">
        <f t="shared" si="296"/>
        <v>52302</v>
      </c>
      <c r="AJ921" s="180">
        <f t="shared" si="300"/>
        <v>198482.57434197952</v>
      </c>
      <c r="AK921" s="180">
        <f t="shared" si="297"/>
        <v>7624.2487770127427</v>
      </c>
      <c r="AL921" s="180">
        <f t="shared" si="298"/>
        <v>190858.32556496677</v>
      </c>
      <c r="AM921" s="180" t="s">
        <v>633</v>
      </c>
      <c r="AN921" s="180">
        <f>+B930/31/1.98</f>
        <v>1693.6135549038775</v>
      </c>
      <c r="AO921" s="180">
        <f t="shared" si="302"/>
        <v>0.48736111111111113</v>
      </c>
      <c r="AP921" s="180">
        <f>+K328</f>
        <v>-1224.7002749174433</v>
      </c>
      <c r="AQ921" s="180"/>
      <c r="AR921" s="180"/>
      <c r="AS921" s="180"/>
      <c r="AT921" s="306"/>
    </row>
    <row r="922" spans="1:46" ht="15.75" customHeight="1" x14ac:dyDescent="0.3">
      <c r="A922" s="189"/>
      <c r="B922" s="180"/>
      <c r="C922" s="180"/>
      <c r="D922" s="180"/>
      <c r="E922" s="180"/>
      <c r="F922" s="182" t="s">
        <v>127</v>
      </c>
      <c r="G922" s="182" t="s">
        <v>653</v>
      </c>
      <c r="H922" s="180"/>
      <c r="I922" s="180"/>
      <c r="J922" s="180"/>
      <c r="K922" s="180"/>
      <c r="L922" s="180"/>
      <c r="M922" s="180"/>
      <c r="N922" s="180"/>
      <c r="O922" s="180"/>
      <c r="P922" s="180"/>
      <c r="Q922" s="180"/>
      <c r="R922" s="306"/>
      <c r="AC922" s="189" t="s">
        <v>692</v>
      </c>
      <c r="AD922" s="180">
        <f t="shared" si="293"/>
        <v>31893</v>
      </c>
      <c r="AE922" s="180">
        <f t="shared" si="294"/>
        <v>1591.3855304604444</v>
      </c>
      <c r="AF922" s="180">
        <f t="shared" si="301"/>
        <v>50754.058722974958</v>
      </c>
      <c r="AG922" s="180">
        <f t="shared" si="295"/>
        <v>181123.29699999999</v>
      </c>
      <c r="AH922" s="180">
        <f t="shared" si="299"/>
        <v>231877.35572297496</v>
      </c>
      <c r="AI922" s="180">
        <f t="shared" si="296"/>
        <v>35495</v>
      </c>
      <c r="AJ922" s="180">
        <f t="shared" si="300"/>
        <v>267372.35572297499</v>
      </c>
      <c r="AK922" s="180">
        <v>0</v>
      </c>
      <c r="AL922" s="180">
        <f t="shared" si="298"/>
        <v>267372.35572297499</v>
      </c>
      <c r="AM922" s="180" t="s">
        <v>633</v>
      </c>
      <c r="AN922" s="180">
        <f>+B931/30/1.98</f>
        <v>2691.7845117845118</v>
      </c>
      <c r="AO922" s="180">
        <f t="shared" si="302"/>
        <v>535.97958333333338</v>
      </c>
      <c r="AP922" s="180">
        <f>+L328</f>
        <v>0</v>
      </c>
      <c r="AQ922" s="180"/>
      <c r="AR922" s="180"/>
      <c r="AS922" s="180"/>
      <c r="AT922" s="306"/>
    </row>
    <row r="923" spans="1:46" ht="15.75" customHeight="1" x14ac:dyDescent="0.3">
      <c r="A923" s="192" t="s">
        <v>8</v>
      </c>
      <c r="B923" s="180">
        <f>+B29</f>
        <v>87341</v>
      </c>
      <c r="C923" s="180">
        <f>+B64</f>
        <v>87244</v>
      </c>
      <c r="D923" s="180">
        <f>+B133</f>
        <v>87148</v>
      </c>
      <c r="E923" s="180">
        <f>+B318</f>
        <v>86481</v>
      </c>
      <c r="F923" s="180">
        <f>+B313</f>
        <v>62928</v>
      </c>
      <c r="G923" s="180">
        <f>+B325</f>
        <v>-18404</v>
      </c>
      <c r="H923" s="180">
        <f>+B492</f>
        <v>24277</v>
      </c>
      <c r="I923" s="180">
        <f>+B542</f>
        <v>15193</v>
      </c>
      <c r="J923" s="180">
        <f>+B587</f>
        <v>15177</v>
      </c>
      <c r="K923" s="180">
        <f>+B654</f>
        <v>15154</v>
      </c>
      <c r="L923" s="180">
        <f>+B664</f>
        <v>12789</v>
      </c>
      <c r="M923" s="180">
        <f>+B700</f>
        <v>12769</v>
      </c>
      <c r="N923" s="180">
        <f>+B753</f>
        <v>12364</v>
      </c>
      <c r="O923" s="180">
        <f>+B763</f>
        <v>3490</v>
      </c>
      <c r="P923" s="180">
        <f>+B797</f>
        <v>3805</v>
      </c>
      <c r="Q923" s="180">
        <f>+B846</f>
        <v>3488</v>
      </c>
      <c r="R923" s="306"/>
      <c r="T923" s="193">
        <f>'[2]Lake Pleasant Forecast'!B83</f>
        <v>1681.7798369695518</v>
      </c>
      <c r="AC923" s="189" t="s">
        <v>693</v>
      </c>
      <c r="AD923" s="180">
        <f t="shared" si="293"/>
        <v>39398</v>
      </c>
      <c r="AE923" s="180">
        <f t="shared" si="294"/>
        <v>1592.5560074993109</v>
      </c>
      <c r="AF923" s="180">
        <f t="shared" si="301"/>
        <v>62743.521583457848</v>
      </c>
      <c r="AG923" s="180">
        <f t="shared" si="295"/>
        <v>155874.38099999999</v>
      </c>
      <c r="AH923" s="180">
        <f t="shared" si="299"/>
        <v>218617.90258345785</v>
      </c>
      <c r="AI923" s="180">
        <f t="shared" si="296"/>
        <v>30331</v>
      </c>
      <c r="AJ923" s="180">
        <f t="shared" si="300"/>
        <v>248948.90258345785</v>
      </c>
      <c r="AK923" s="180">
        <v>0</v>
      </c>
      <c r="AL923" s="180">
        <f t="shared" si="298"/>
        <v>248948.90258345785</v>
      </c>
      <c r="AM923" s="180" t="s">
        <v>633</v>
      </c>
      <c r="AN923" s="180">
        <f>+B932/31/1.98</f>
        <v>2438.6608015640277</v>
      </c>
      <c r="AO923" s="180">
        <f t="shared" si="302"/>
        <v>662.10527777777781</v>
      </c>
      <c r="AP923" s="180">
        <f>+N328</f>
        <v>0</v>
      </c>
      <c r="AQ923" s="180"/>
      <c r="AR923" s="180"/>
      <c r="AS923" s="180"/>
      <c r="AT923" s="306"/>
    </row>
    <row r="924" spans="1:46" ht="15.75" customHeight="1" x14ac:dyDescent="0.3">
      <c r="A924" s="192" t="s">
        <v>9</v>
      </c>
      <c r="B924" s="180">
        <f>+C29</f>
        <v>151380</v>
      </c>
      <c r="C924" s="180">
        <f>+C64</f>
        <v>151232</v>
      </c>
      <c r="D924" s="180">
        <f>+C133</f>
        <v>151087</v>
      </c>
      <c r="E924" s="180">
        <f>+C318</f>
        <v>150606</v>
      </c>
      <c r="F924" s="180">
        <f>+C313</f>
        <v>99729</v>
      </c>
      <c r="G924" s="180">
        <f>+C325</f>
        <v>0</v>
      </c>
      <c r="H924" s="180">
        <f>+C492</f>
        <v>31058</v>
      </c>
      <c r="I924" s="180">
        <f>+C542</f>
        <v>14779</v>
      </c>
      <c r="J924" s="180">
        <f>+C587</f>
        <v>14763</v>
      </c>
      <c r="K924" s="180">
        <f>+C654</f>
        <v>14720</v>
      </c>
      <c r="L924" s="180">
        <f>+C664</f>
        <v>9967</v>
      </c>
      <c r="M924" s="180">
        <f>+C700</f>
        <v>9945</v>
      </c>
      <c r="N924" s="180">
        <f>+C753</f>
        <v>9182</v>
      </c>
      <c r="O924" s="180">
        <f>+C763</f>
        <v>3389</v>
      </c>
      <c r="P924" s="180">
        <f>+C797</f>
        <v>3805</v>
      </c>
      <c r="Q924" s="180">
        <f>+C846</f>
        <v>3386</v>
      </c>
      <c r="R924" s="306"/>
      <c r="T924" s="193">
        <f>'[2]Lake Pleasant Forecast'!B85</f>
        <v>1686.81</v>
      </c>
      <c r="AC924" s="189" t="s">
        <v>694</v>
      </c>
      <c r="AD924" s="180">
        <f t="shared" si="293"/>
        <v>102175</v>
      </c>
      <c r="AE924" s="180">
        <f t="shared" si="294"/>
        <v>1598.6903785936133</v>
      </c>
      <c r="AF924" s="180">
        <f t="shared" si="301"/>
        <v>163346.18943280244</v>
      </c>
      <c r="AG924" s="180">
        <f t="shared" si="295"/>
        <v>28188.037</v>
      </c>
      <c r="AH924" s="180">
        <f t="shared" si="299"/>
        <v>191534.22643280245</v>
      </c>
      <c r="AI924" s="180">
        <f t="shared" si="296"/>
        <v>3796</v>
      </c>
      <c r="AJ924" s="180">
        <f t="shared" si="300"/>
        <v>195330.22643280245</v>
      </c>
      <c r="AK924" s="180">
        <f>(G1018)</f>
        <v>183.82536407530367</v>
      </c>
      <c r="AL924" s="180">
        <f t="shared" si="298"/>
        <v>195146.40106872714</v>
      </c>
      <c r="AM924" s="180" t="s">
        <v>633</v>
      </c>
      <c r="AN924" s="180">
        <f>+B933/30/1.98</f>
        <v>2059.8316498316499</v>
      </c>
      <c r="AO924" s="180">
        <f t="shared" si="302"/>
        <v>1717.1076388888889</v>
      </c>
      <c r="AP924" s="180">
        <f>+O328</f>
        <v>-29.971423768700618</v>
      </c>
      <c r="AQ924" s="180"/>
      <c r="AR924" s="180"/>
      <c r="AS924" s="180"/>
      <c r="AT924" s="306"/>
    </row>
    <row r="925" spans="1:46" ht="15.75" customHeight="1" x14ac:dyDescent="0.3">
      <c r="A925" s="192" t="s">
        <v>10</v>
      </c>
      <c r="B925" s="180">
        <f>+D29</f>
        <v>82742</v>
      </c>
      <c r="C925" s="180">
        <f>+D64</f>
        <v>82468</v>
      </c>
      <c r="D925" s="180">
        <f>+D133</f>
        <v>82207</v>
      </c>
      <c r="E925" s="180">
        <f>+D318</f>
        <v>80155</v>
      </c>
      <c r="F925" s="180">
        <f>+D313</f>
        <v>62</v>
      </c>
      <c r="G925" s="180">
        <f>+D325</f>
        <v>-127</v>
      </c>
      <c r="H925" s="180">
        <f>+D492</f>
        <v>56016</v>
      </c>
      <c r="I925" s="180">
        <f>+D542</f>
        <v>24020</v>
      </c>
      <c r="J925" s="180">
        <f>+D587</f>
        <v>21394</v>
      </c>
      <c r="K925" s="180">
        <f>+D654</f>
        <v>20720</v>
      </c>
      <c r="L925" s="180">
        <f>+D664</f>
        <v>14750</v>
      </c>
      <c r="M925" s="180">
        <f>+D700</f>
        <v>14722</v>
      </c>
      <c r="N925" s="180">
        <f>+D753</f>
        <v>13625</v>
      </c>
      <c r="O925" s="180">
        <f>+D763</f>
        <v>3266</v>
      </c>
      <c r="P925" s="180">
        <f>+D797</f>
        <v>4757</v>
      </c>
      <c r="Q925" s="180">
        <f>+D846</f>
        <v>3261</v>
      </c>
      <c r="R925" s="306"/>
      <c r="T925" s="193">
        <f>'[2]Lake Pleasant Forecast'!B87</f>
        <v>1691.7200000000003</v>
      </c>
      <c r="AC925" s="189" t="s">
        <v>695</v>
      </c>
      <c r="AD925" s="180">
        <f t="shared" si="293"/>
        <v>25914</v>
      </c>
      <c r="AE925" s="180">
        <f t="shared" si="294"/>
        <v>1602.487018236221</v>
      </c>
      <c r="AF925" s="180">
        <f t="shared" si="301"/>
        <v>41526.848590573427</v>
      </c>
      <c r="AG925" s="180">
        <f t="shared" si="295"/>
        <v>67601.351999999999</v>
      </c>
      <c r="AH925" s="180">
        <f t="shared" si="299"/>
        <v>109128.20059057343</v>
      </c>
      <c r="AI925" s="180">
        <f t="shared" si="296"/>
        <v>11146</v>
      </c>
      <c r="AJ925" s="180">
        <f t="shared" si="300"/>
        <v>120274.20059057343</v>
      </c>
      <c r="AK925" s="180">
        <f>(G1019)</f>
        <v>0</v>
      </c>
      <c r="AL925" s="180">
        <f t="shared" si="298"/>
        <v>120274.20059057343</v>
      </c>
      <c r="AM925" s="180" t="s">
        <v>633</v>
      </c>
      <c r="AN925" s="180">
        <f>+B934/31/1.98</f>
        <v>1204.1707396546108</v>
      </c>
      <c r="AO925" s="180">
        <f>(AD925*43560/31/24/3600)</f>
        <v>421.45080645161295</v>
      </c>
      <c r="AP925" s="180">
        <f>+P328</f>
        <v>0</v>
      </c>
      <c r="AQ925" s="180"/>
      <c r="AR925" s="180"/>
      <c r="AS925" s="180"/>
      <c r="AT925" s="306"/>
    </row>
    <row r="926" spans="1:46" ht="15.75" customHeight="1" x14ac:dyDescent="0.3">
      <c r="A926" s="192" t="s">
        <v>12</v>
      </c>
      <c r="B926" s="180">
        <f>+F29</f>
        <v>147663</v>
      </c>
      <c r="C926" s="180">
        <f>+F64</f>
        <v>147296</v>
      </c>
      <c r="D926" s="180">
        <f>+F133</f>
        <v>146946</v>
      </c>
      <c r="E926" s="180">
        <f>+F318</f>
        <v>142087</v>
      </c>
      <c r="F926" s="180">
        <f>+F313</f>
        <v>11000</v>
      </c>
      <c r="G926" s="180">
        <f>+F325</f>
        <v>-13494</v>
      </c>
      <c r="H926" s="180">
        <f>+F492</f>
        <v>109062</v>
      </c>
      <c r="I926" s="180">
        <f>+F542</f>
        <v>42399</v>
      </c>
      <c r="J926" s="180">
        <f>+F587</f>
        <v>31815</v>
      </c>
      <c r="K926" s="180">
        <f>+F654</f>
        <v>28072</v>
      </c>
      <c r="L926" s="180">
        <f>+F664</f>
        <v>20595</v>
      </c>
      <c r="M926" s="180">
        <f>+F700</f>
        <v>20558</v>
      </c>
      <c r="N926" s="180">
        <f>+F753</f>
        <v>19405</v>
      </c>
      <c r="O926" s="180">
        <f>+F763</f>
        <v>3644</v>
      </c>
      <c r="P926" s="180">
        <f>+F797</f>
        <v>5708</v>
      </c>
      <c r="Q926" s="180">
        <f>+F846</f>
        <v>3637</v>
      </c>
      <c r="R926" s="306"/>
      <c r="T926" s="193">
        <f>'[2]Lake Pleasant Forecast'!B89</f>
        <v>1692.7695776379537</v>
      </c>
      <c r="AC926" s="179"/>
      <c r="AD926" s="180"/>
      <c r="AE926" s="180"/>
      <c r="AF926" s="180"/>
      <c r="AG926" s="180"/>
      <c r="AH926" s="180"/>
      <c r="AI926" s="180"/>
      <c r="AJ926" s="180"/>
      <c r="AK926" s="180"/>
      <c r="AL926" s="180"/>
      <c r="AM926" s="180" t="s">
        <v>633</v>
      </c>
      <c r="AN926" s="180"/>
      <c r="AO926" s="180"/>
      <c r="AP926" s="180"/>
      <c r="AQ926" s="180"/>
      <c r="AR926" s="180"/>
      <c r="AS926" s="180"/>
      <c r="AT926" s="306"/>
    </row>
    <row r="927" spans="1:46" ht="15.75" customHeight="1" x14ac:dyDescent="0.3">
      <c r="A927" s="192" t="s">
        <v>13</v>
      </c>
      <c r="B927" s="180">
        <f>+G29</f>
        <v>152805</v>
      </c>
      <c r="C927" s="180">
        <f>+G64</f>
        <v>152380</v>
      </c>
      <c r="D927" s="180">
        <f>+G133</f>
        <v>151978</v>
      </c>
      <c r="E927" s="180">
        <f>+G318</f>
        <v>146904</v>
      </c>
      <c r="F927" s="180">
        <f>+G313</f>
        <v>18293</v>
      </c>
      <c r="G927" s="180">
        <f>+G325</f>
        <v>-15508</v>
      </c>
      <c r="H927" s="180">
        <f>+G492</f>
        <v>96451</v>
      </c>
      <c r="I927" s="180">
        <f>+G542</f>
        <v>35144</v>
      </c>
      <c r="J927" s="180">
        <f>+G587</f>
        <v>30213</v>
      </c>
      <c r="K927" s="180">
        <f>+G654</f>
        <v>27162</v>
      </c>
      <c r="L927" s="180">
        <f>+G664</f>
        <v>20547</v>
      </c>
      <c r="M927" s="180">
        <f>+G700</f>
        <v>20505</v>
      </c>
      <c r="N927" s="180">
        <f>+G753</f>
        <v>19848</v>
      </c>
      <c r="O927" s="180">
        <f>+G763</f>
        <v>4083</v>
      </c>
      <c r="P927" s="180">
        <f>+G797</f>
        <v>6705</v>
      </c>
      <c r="Q927" s="180">
        <f>+G846</f>
        <v>4029</v>
      </c>
      <c r="R927" s="306"/>
      <c r="T927" s="193">
        <f>'[2]Lake Pleasant Forecast'!B91</f>
        <v>1693.5298773138181</v>
      </c>
      <c r="AC927" s="179" t="s">
        <v>641</v>
      </c>
      <c r="AD927" s="180">
        <f>SUM(AD914:AD925)</f>
        <v>392896</v>
      </c>
      <c r="AE927" s="180"/>
      <c r="AF927" s="180">
        <f t="shared" ref="AF927:AL927" si="303">SUM(AF914:AF925)</f>
        <v>634358.62318508222</v>
      </c>
      <c r="AG927" s="180">
        <f t="shared" si="303"/>
        <v>1473889.831</v>
      </c>
      <c r="AH927" s="180">
        <f t="shared" si="303"/>
        <v>2108248.4541850821</v>
      </c>
      <c r="AI927" s="180">
        <f t="shared" si="303"/>
        <v>400316</v>
      </c>
      <c r="AJ927" s="180">
        <f t="shared" si="303"/>
        <v>2508564.4541850821</v>
      </c>
      <c r="AK927" s="180">
        <f t="shared" si="303"/>
        <v>38404.550691961522</v>
      </c>
      <c r="AL927" s="180">
        <f t="shared" si="303"/>
        <v>2470159.9034931203</v>
      </c>
      <c r="AM927" s="180"/>
      <c r="AN927" s="180"/>
      <c r="AO927" s="180"/>
      <c r="AP927" s="180"/>
      <c r="AQ927" s="180"/>
      <c r="AR927" s="180"/>
      <c r="AS927" s="180"/>
      <c r="AT927" s="306"/>
    </row>
    <row r="928" spans="1:46" ht="15.75" customHeight="1" x14ac:dyDescent="0.3">
      <c r="A928" s="192" t="s">
        <v>14</v>
      </c>
      <c r="B928" s="180">
        <f>+H29</f>
        <v>106823</v>
      </c>
      <c r="C928" s="180">
        <f>+H64</f>
        <v>106406</v>
      </c>
      <c r="D928" s="180">
        <f>+H133</f>
        <v>106010</v>
      </c>
      <c r="E928" s="180">
        <f>+H318</f>
        <v>99323</v>
      </c>
      <c r="F928" s="180">
        <f>+H313</f>
        <v>1475</v>
      </c>
      <c r="G928" s="180">
        <f>+H325</f>
        <v>-84160</v>
      </c>
      <c r="H928" s="180">
        <f>+H492</f>
        <v>127265</v>
      </c>
      <c r="I928" s="180">
        <f>+H542</f>
        <v>45734</v>
      </c>
      <c r="J928" s="180">
        <f>+H587</f>
        <v>33985</v>
      </c>
      <c r="K928" s="180">
        <f>+H654</f>
        <v>28905</v>
      </c>
      <c r="L928" s="180">
        <f>+H664</f>
        <v>21638</v>
      </c>
      <c r="M928" s="180">
        <f>+H700</f>
        <v>21594</v>
      </c>
      <c r="N928" s="180">
        <f>+H753</f>
        <v>20197</v>
      </c>
      <c r="O928" s="180">
        <f>+H763</f>
        <v>4389</v>
      </c>
      <c r="P928" s="180">
        <f>+H797</f>
        <v>6850</v>
      </c>
      <c r="Q928" s="180">
        <f>+H846</f>
        <v>4380</v>
      </c>
      <c r="R928" s="306"/>
      <c r="T928" s="193">
        <f>'[2]Lake Pleasant Forecast'!B93</f>
        <v>1685.73</v>
      </c>
      <c r="AC928" s="179"/>
      <c r="AD928" s="180"/>
      <c r="AE928" s="180"/>
      <c r="AF928" s="180"/>
      <c r="AG928" s="180"/>
      <c r="AH928" s="180"/>
      <c r="AI928" s="180"/>
      <c r="AJ928" s="180"/>
      <c r="AK928" s="180"/>
      <c r="AL928" s="180"/>
      <c r="AM928" s="180"/>
      <c r="AN928" s="180"/>
      <c r="AO928" s="180"/>
      <c r="AP928" s="180"/>
      <c r="AQ928" s="180"/>
      <c r="AR928" s="180"/>
      <c r="AS928" s="180"/>
      <c r="AT928" s="306"/>
    </row>
    <row r="929" spans="1:50" ht="15.75" customHeight="1" x14ac:dyDescent="0.3">
      <c r="A929" s="192" t="s">
        <v>16</v>
      </c>
      <c r="B929" s="180">
        <f>+J29</f>
        <v>97804</v>
      </c>
      <c r="C929" s="180">
        <f>+J64</f>
        <v>97388</v>
      </c>
      <c r="D929" s="180">
        <f>+J133</f>
        <v>96994</v>
      </c>
      <c r="E929" s="180">
        <f>+J318</f>
        <v>89070</v>
      </c>
      <c r="F929" s="180">
        <f>+J313</f>
        <v>0</v>
      </c>
      <c r="G929" s="180">
        <f>+J325</f>
        <v>-93396</v>
      </c>
      <c r="H929" s="180">
        <f>+J492</f>
        <v>131500</v>
      </c>
      <c r="I929" s="180">
        <f>+J542</f>
        <v>52040</v>
      </c>
      <c r="J929" s="180">
        <f>+J587</f>
        <v>36716</v>
      </c>
      <c r="K929" s="180">
        <f>+J654</f>
        <v>30366</v>
      </c>
      <c r="L929" s="180">
        <f>+J664</f>
        <v>22884</v>
      </c>
      <c r="M929" s="180">
        <f>+J700</f>
        <v>22845</v>
      </c>
      <c r="N929" s="180">
        <f>+J753</f>
        <v>21410</v>
      </c>
      <c r="O929" s="180">
        <f>+J763</f>
        <v>4495</v>
      </c>
      <c r="P929" s="180">
        <f>+J797</f>
        <v>6184</v>
      </c>
      <c r="Q929" s="180">
        <f>+J846</f>
        <v>4488</v>
      </c>
      <c r="R929" s="306"/>
      <c r="T929" s="193">
        <f>'[2]Lake Pleasant Forecast'!B95</f>
        <v>1674.21025968872</v>
      </c>
      <c r="AC929" s="179" t="s">
        <v>696</v>
      </c>
      <c r="AD929" s="180"/>
      <c r="AE929" s="180"/>
      <c r="AF929" s="180"/>
      <c r="AG929" s="180"/>
      <c r="AH929" s="180"/>
      <c r="AI929" s="180"/>
      <c r="AJ929" s="180"/>
      <c r="AK929" s="180"/>
      <c r="AL929" s="180"/>
      <c r="AM929" s="180"/>
      <c r="AN929" s="180"/>
      <c r="AO929" s="180"/>
      <c r="AP929" s="180"/>
      <c r="AQ929" s="180"/>
      <c r="AR929" s="180"/>
      <c r="AS929" s="180"/>
      <c r="AT929" s="306"/>
    </row>
    <row r="930" spans="1:50" ht="15.75" customHeight="1" x14ac:dyDescent="0.3">
      <c r="A930" s="192" t="s">
        <v>17</v>
      </c>
      <c r="B930" s="180">
        <f>+K29</f>
        <v>103954</v>
      </c>
      <c r="C930" s="180">
        <f>+K64</f>
        <v>103620</v>
      </c>
      <c r="D930" s="180">
        <f>+K133</f>
        <v>103302</v>
      </c>
      <c r="E930" s="180">
        <f>+K318</f>
        <v>95102</v>
      </c>
      <c r="F930" s="180">
        <f>+K313</f>
        <v>29</v>
      </c>
      <c r="G930" s="180">
        <f>+K325</f>
        <v>-75286</v>
      </c>
      <c r="H930" s="180">
        <f>+K492</f>
        <v>124832</v>
      </c>
      <c r="I930" s="180">
        <f>+K542</f>
        <v>53436</v>
      </c>
      <c r="J930" s="180">
        <f>+K587</f>
        <v>37339</v>
      </c>
      <c r="K930" s="180">
        <f>+K654</f>
        <v>29880</v>
      </c>
      <c r="L930" s="180">
        <f>+K664</f>
        <v>22125</v>
      </c>
      <c r="M930" s="180">
        <f>+K700</f>
        <v>22089</v>
      </c>
      <c r="N930" s="180">
        <f>+K753</f>
        <v>20262</v>
      </c>
      <c r="O930" s="180">
        <f>+K763</f>
        <v>4241</v>
      </c>
      <c r="P930" s="180">
        <f>+K797</f>
        <v>5708</v>
      </c>
      <c r="Q930" s="180">
        <f>+K846</f>
        <v>4235</v>
      </c>
      <c r="R930" s="306"/>
      <c r="T930" s="193">
        <f>'[2]Lake Pleasant Forecast'!B97</f>
        <v>1658.5929583660702</v>
      </c>
      <c r="AC930" s="179" t="s">
        <v>697</v>
      </c>
      <c r="AD930" s="180"/>
      <c r="AE930" s="180"/>
      <c r="AF930" s="180"/>
      <c r="AG930" s="180"/>
      <c r="AH930" s="180"/>
      <c r="AI930" s="180"/>
      <c r="AJ930" s="180"/>
      <c r="AK930" s="180"/>
      <c r="AL930" s="180"/>
      <c r="AM930" s="180"/>
      <c r="AN930" s="180"/>
      <c r="AO930" s="180"/>
      <c r="AP930" s="180"/>
      <c r="AQ930" s="180"/>
      <c r="AR930" s="180"/>
      <c r="AS930" s="180"/>
      <c r="AT930" s="306"/>
    </row>
    <row r="931" spans="1:50" ht="15.75" customHeight="1" x14ac:dyDescent="0.3">
      <c r="A931" s="192" t="s">
        <v>18</v>
      </c>
      <c r="B931" s="180">
        <f>+L29</f>
        <v>159892</v>
      </c>
      <c r="C931" s="180">
        <f>+L64</f>
        <v>159576</v>
      </c>
      <c r="D931" s="180">
        <f>+L133</f>
        <v>159275</v>
      </c>
      <c r="E931" s="180">
        <f>+L318</f>
        <v>154021</v>
      </c>
      <c r="F931" s="180">
        <f>+L313</f>
        <v>31893</v>
      </c>
      <c r="G931" s="180">
        <f>+L325</f>
        <v>0</v>
      </c>
      <c r="H931" s="180">
        <f>+L492</f>
        <v>80100</v>
      </c>
      <c r="I931" s="180">
        <f>+L542</f>
        <v>29829</v>
      </c>
      <c r="J931" s="180">
        <f>+L587</f>
        <v>22771</v>
      </c>
      <c r="K931" s="180">
        <f>+L654</f>
        <v>19059</v>
      </c>
      <c r="L931" s="180">
        <f>+L664</f>
        <v>17576</v>
      </c>
      <c r="M931" s="180">
        <f>+L700</f>
        <v>17542</v>
      </c>
      <c r="N931" s="180">
        <f>+L753</f>
        <v>16428</v>
      </c>
      <c r="O931" s="180">
        <f>+L763</f>
        <v>4051</v>
      </c>
      <c r="P931" s="180">
        <f>+L797</f>
        <v>5232</v>
      </c>
      <c r="Q931" s="180">
        <f>+L846</f>
        <v>4045</v>
      </c>
      <c r="R931" s="306"/>
      <c r="T931" s="193">
        <f>'[2]Lake Pleasant Forecast'!B99</f>
        <v>1654.1799355606342</v>
      </c>
      <c r="AC931" s="179"/>
      <c r="AD931" s="180"/>
      <c r="AE931" s="180"/>
      <c r="AF931" s="180"/>
      <c r="AG931" s="180"/>
      <c r="AH931" s="180"/>
      <c r="AI931" s="180"/>
      <c r="AJ931" s="180"/>
      <c r="AK931" s="180"/>
      <c r="AL931" s="180"/>
      <c r="AM931" s="180"/>
      <c r="AN931" s="180"/>
      <c r="AO931" s="180"/>
      <c r="AP931" s="180"/>
      <c r="AQ931" s="180"/>
      <c r="AR931" s="180"/>
      <c r="AS931" s="180"/>
      <c r="AT931" s="306"/>
    </row>
    <row r="932" spans="1:50" ht="15.75" customHeight="1" x14ac:dyDescent="0.3">
      <c r="A932" s="192" t="s">
        <v>20</v>
      </c>
      <c r="B932" s="180">
        <f>+N29</f>
        <v>149685</v>
      </c>
      <c r="C932" s="180">
        <f>+N64</f>
        <v>149400</v>
      </c>
      <c r="D932" s="180">
        <f>+N133</f>
        <v>149128</v>
      </c>
      <c r="E932" s="180">
        <f>+N318</f>
        <v>143800</v>
      </c>
      <c r="F932" s="180">
        <f>+N313</f>
        <v>39398</v>
      </c>
      <c r="G932" s="180">
        <f>+N325</f>
        <v>0</v>
      </c>
      <c r="H932" s="180">
        <f>+N492</f>
        <v>72203</v>
      </c>
      <c r="I932" s="180">
        <f>+N542</f>
        <v>21829</v>
      </c>
      <c r="J932" s="180">
        <f>+N587</f>
        <v>17853</v>
      </c>
      <c r="K932" s="180">
        <f>+N654</f>
        <v>16455</v>
      </c>
      <c r="L932" s="180">
        <f>+N664</f>
        <v>15718</v>
      </c>
      <c r="M932" s="180">
        <f>+N700</f>
        <v>15689</v>
      </c>
      <c r="N932" s="180">
        <f>+N753</f>
        <v>14516</v>
      </c>
      <c r="O932" s="180">
        <f>+N763</f>
        <v>3791</v>
      </c>
      <c r="P932" s="180">
        <f>+N797</f>
        <v>4757</v>
      </c>
      <c r="Q932" s="180">
        <f>+N846</f>
        <v>3786</v>
      </c>
      <c r="R932" s="306"/>
      <c r="T932" s="193">
        <f>'[2]Lake Pleasant Forecast'!B101</f>
        <v>1655.0814369759692</v>
      </c>
      <c r="AC932" s="179" t="s">
        <v>698</v>
      </c>
      <c r="AD932" s="180"/>
      <c r="AE932" s="180"/>
      <c r="AF932" s="180"/>
      <c r="AG932" s="180"/>
      <c r="AH932" s="180"/>
      <c r="AI932" s="180"/>
      <c r="AJ932" s="180"/>
      <c r="AK932" s="180"/>
      <c r="AL932" s="180"/>
      <c r="AM932" s="180"/>
      <c r="AN932" s="180"/>
      <c r="AO932" s="180"/>
      <c r="AP932" s="180"/>
      <c r="AQ932" s="180"/>
      <c r="AR932" s="180"/>
      <c r="AS932" s="180"/>
      <c r="AT932" s="306"/>
    </row>
    <row r="933" spans="1:50" ht="15.75" customHeight="1" x14ac:dyDescent="0.3">
      <c r="A933" s="192" t="s">
        <v>21</v>
      </c>
      <c r="B933" s="180">
        <f>+O29</f>
        <v>122354</v>
      </c>
      <c r="C933" s="180">
        <f>+O64</f>
        <v>122119</v>
      </c>
      <c r="D933" s="180">
        <f>+O133</f>
        <v>121893</v>
      </c>
      <c r="E933" s="180">
        <f>+O318</f>
        <v>120073</v>
      </c>
      <c r="F933" s="180">
        <f>+O313</f>
        <v>102175</v>
      </c>
      <c r="G933" s="180">
        <f>+O325</f>
        <v>-1783</v>
      </c>
      <c r="H933" s="180">
        <f>+O492</f>
        <v>6457</v>
      </c>
      <c r="I933" s="180">
        <f>+O542</f>
        <v>1205</v>
      </c>
      <c r="J933" s="180">
        <f>+O587</f>
        <v>1183</v>
      </c>
      <c r="K933" s="180">
        <f>+O654</f>
        <v>1117</v>
      </c>
      <c r="L933" s="180">
        <f>+O664</f>
        <v>1050</v>
      </c>
      <c r="M933" s="180">
        <f>+O700</f>
        <v>1027</v>
      </c>
      <c r="N933" s="180">
        <f>+O753</f>
        <v>816</v>
      </c>
      <c r="O933" s="180">
        <f>+O763</f>
        <v>791</v>
      </c>
      <c r="P933" s="180">
        <f>+O797</f>
        <v>4281</v>
      </c>
      <c r="Q933" s="180">
        <f>+O846</f>
        <v>788</v>
      </c>
      <c r="R933" s="306"/>
      <c r="T933" s="193">
        <f>'[2]Lake Pleasant Forecast'!B103</f>
        <v>1659.806129592801</v>
      </c>
      <c r="AC933" s="179"/>
      <c r="AD933" s="180"/>
      <c r="AE933" s="180"/>
      <c r="AF933" s="180"/>
      <c r="AG933" s="180"/>
      <c r="AH933" s="180"/>
      <c r="AI933" s="180"/>
      <c r="AJ933" s="180"/>
      <c r="AK933" s="180"/>
      <c r="AL933" s="180"/>
      <c r="AM933" s="180"/>
      <c r="AN933" s="180"/>
      <c r="AO933" s="180"/>
      <c r="AP933" s="180"/>
      <c r="AQ933" s="180"/>
      <c r="AR933" s="180"/>
      <c r="AS933" s="180"/>
      <c r="AT933" s="306"/>
    </row>
    <row r="934" spans="1:50" ht="15.75" customHeight="1" thickBot="1" x14ac:dyDescent="0.35">
      <c r="A934" s="192" t="s">
        <v>22</v>
      </c>
      <c r="B934" s="180">
        <f>+P29</f>
        <v>73912</v>
      </c>
      <c r="C934" s="180">
        <f>+P64</f>
        <v>73726</v>
      </c>
      <c r="D934" s="180">
        <f>+P133</f>
        <v>73547</v>
      </c>
      <c r="E934" s="180">
        <f>+P318</f>
        <v>70376</v>
      </c>
      <c r="F934" s="180">
        <f>+P313</f>
        <v>25914</v>
      </c>
      <c r="G934" s="180">
        <f>+P325</f>
        <v>0</v>
      </c>
      <c r="H934" s="180">
        <f>+P492</f>
        <v>33349</v>
      </c>
      <c r="I934" s="180">
        <f>+P542</f>
        <v>7285</v>
      </c>
      <c r="J934" s="180">
        <f>+P587</f>
        <v>6999</v>
      </c>
      <c r="K934" s="180">
        <f>+P654</f>
        <v>6917</v>
      </c>
      <c r="L934" s="180">
        <f>+P664</f>
        <v>4179</v>
      </c>
      <c r="M934" s="180">
        <f>+P700</f>
        <v>4160</v>
      </c>
      <c r="N934" s="180">
        <f>+P753</f>
        <v>3938</v>
      </c>
      <c r="O934" s="180">
        <f>+P763</f>
        <v>16</v>
      </c>
      <c r="P934" s="180">
        <f>+P797</f>
        <v>3805</v>
      </c>
      <c r="Q934" s="180">
        <f>+P846</f>
        <v>14</v>
      </c>
      <c r="R934" s="306"/>
      <c r="T934" s="193">
        <f>'[2]Lake Pleasant Forecast'!B105</f>
        <v>1662.7303014455374</v>
      </c>
      <c r="AC934" s="194" t="s">
        <v>699</v>
      </c>
      <c r="AD934" s="195"/>
      <c r="AE934" s="195"/>
      <c r="AF934" s="195"/>
      <c r="AG934" s="195"/>
      <c r="AH934" s="195"/>
      <c r="AI934" s="195"/>
      <c r="AJ934" s="195"/>
      <c r="AK934" s="195"/>
      <c r="AL934" s="195"/>
      <c r="AM934" s="195"/>
      <c r="AN934" s="195"/>
      <c r="AO934" s="195"/>
      <c r="AP934" s="195"/>
      <c r="AQ934" s="195"/>
      <c r="AR934" s="195"/>
      <c r="AS934" s="195"/>
      <c r="AT934" s="196"/>
    </row>
    <row r="935" spans="1:50" ht="15.75" customHeight="1" x14ac:dyDescent="0.3">
      <c r="A935" s="189"/>
      <c r="B935" s="180"/>
      <c r="C935" s="180"/>
      <c r="D935" s="180"/>
      <c r="E935" s="180"/>
      <c r="F935" s="180"/>
      <c r="G935" s="180"/>
      <c r="H935" s="180"/>
      <c r="I935" s="180"/>
      <c r="J935" s="180"/>
      <c r="K935" s="180"/>
      <c r="L935" s="180"/>
      <c r="M935" s="180"/>
      <c r="N935" s="180"/>
      <c r="O935" s="180"/>
      <c r="P935" s="180"/>
      <c r="Q935" s="180"/>
      <c r="R935" s="306"/>
    </row>
    <row r="936" spans="1:50" ht="15.75" customHeight="1" thickBot="1" x14ac:dyDescent="0.35">
      <c r="A936" s="189" t="s">
        <v>641</v>
      </c>
      <c r="B936" s="180">
        <f t="shared" ref="B936:Q936" si="304">SUM(B923:B934)</f>
        <v>1436355</v>
      </c>
      <c r="C936" s="180">
        <f t="shared" si="304"/>
        <v>1432855</v>
      </c>
      <c r="D936" s="180">
        <f t="shared" si="304"/>
        <v>1429515</v>
      </c>
      <c r="E936" s="180">
        <f t="shared" si="304"/>
        <v>1377998</v>
      </c>
      <c r="F936" s="180">
        <f t="shared" si="304"/>
        <v>392896</v>
      </c>
      <c r="G936" s="180">
        <f t="shared" si="304"/>
        <v>-302158</v>
      </c>
      <c r="H936" s="180">
        <f t="shared" si="304"/>
        <v>892570</v>
      </c>
      <c r="I936" s="180">
        <f t="shared" si="304"/>
        <v>342893</v>
      </c>
      <c r="J936" s="180">
        <f t="shared" si="304"/>
        <v>270208</v>
      </c>
      <c r="K936" s="180">
        <f t="shared" si="304"/>
        <v>238527</v>
      </c>
      <c r="L936" s="180">
        <f t="shared" si="304"/>
        <v>183818</v>
      </c>
      <c r="M936" s="180">
        <f t="shared" si="304"/>
        <v>183445</v>
      </c>
      <c r="N936" s="180">
        <f t="shared" si="304"/>
        <v>171991</v>
      </c>
      <c r="O936" s="180">
        <f t="shared" si="304"/>
        <v>39646</v>
      </c>
      <c r="P936" s="180">
        <f t="shared" si="304"/>
        <v>61597</v>
      </c>
      <c r="Q936" s="180">
        <f t="shared" si="304"/>
        <v>39537</v>
      </c>
      <c r="R936" s="306"/>
    </row>
    <row r="937" spans="1:50" ht="15.75" customHeight="1" thickBot="1" x14ac:dyDescent="0.35">
      <c r="A937" s="135"/>
      <c r="B937" s="135"/>
      <c r="C937" s="135"/>
      <c r="D937" s="135"/>
      <c r="E937" s="135"/>
      <c r="F937" s="135"/>
      <c r="G937" s="135"/>
      <c r="H937" s="135"/>
      <c r="I937" s="135"/>
      <c r="J937" s="135"/>
      <c r="K937" s="135"/>
      <c r="L937" s="135"/>
      <c r="M937" s="135"/>
      <c r="N937" s="135"/>
      <c r="O937" s="135"/>
      <c r="P937" s="135"/>
      <c r="Q937" s="135"/>
      <c r="R937" s="196"/>
      <c r="AC937" s="350"/>
      <c r="AD937" s="351"/>
      <c r="AE937" s="351"/>
      <c r="AF937" s="351"/>
      <c r="AG937" s="351"/>
      <c r="AH937" s="351"/>
      <c r="AI937" s="351"/>
      <c r="AJ937" s="351"/>
      <c r="AK937" s="351"/>
      <c r="AL937" s="351"/>
      <c r="AM937" s="351"/>
      <c r="AN937" s="351"/>
      <c r="AO937" s="351"/>
      <c r="AP937" s="351"/>
      <c r="AQ937" s="351"/>
      <c r="AR937" s="351"/>
      <c r="AS937" s="354" t="str">
        <f>+Q1</f>
        <v xml:space="preserve">PRINTED:  </v>
      </c>
      <c r="AT937" s="357">
        <f ca="1">+R1</f>
        <v>44894.658168402777</v>
      </c>
      <c r="AU937" s="358"/>
      <c r="AW937" s="199" t="s">
        <v>700</v>
      </c>
      <c r="AX937" s="180"/>
    </row>
    <row r="938" spans="1:50" ht="15.75" customHeight="1" x14ac:dyDescent="0.35">
      <c r="A938" s="359"/>
      <c r="B938" s="359"/>
      <c r="C938" s="359"/>
      <c r="D938" s="359"/>
      <c r="E938" s="359"/>
      <c r="F938" s="359"/>
      <c r="G938" s="359"/>
      <c r="H938" s="359"/>
      <c r="I938" s="359"/>
      <c r="J938" s="359"/>
      <c r="K938" s="359"/>
      <c r="L938" s="359"/>
      <c r="M938" s="359"/>
      <c r="N938" s="359"/>
      <c r="O938" s="359"/>
      <c r="P938" s="359"/>
      <c r="Q938" s="359"/>
      <c r="R938" s="351"/>
      <c r="AC938" s="179"/>
      <c r="AD938" s="180"/>
      <c r="AE938" s="199" t="s">
        <v>701</v>
      </c>
      <c r="AF938" s="180"/>
      <c r="AG938" s="180"/>
      <c r="AH938" s="180"/>
      <c r="AI938" s="180"/>
      <c r="AJ938" s="180"/>
      <c r="AK938" s="180"/>
      <c r="AL938" s="180"/>
      <c r="AM938" s="180"/>
      <c r="AN938" s="201"/>
      <c r="AO938" s="199" t="s">
        <v>702</v>
      </c>
      <c r="AP938" s="180"/>
      <c r="AQ938" s="180"/>
      <c r="AR938" s="180"/>
      <c r="AS938" s="180"/>
      <c r="AT938" s="180"/>
      <c r="AU938" s="304"/>
      <c r="AW938" s="180" t="s">
        <v>703</v>
      </c>
      <c r="AX938" s="180"/>
    </row>
    <row r="939" spans="1:50" ht="16.5" customHeight="1" x14ac:dyDescent="0.3">
      <c r="A939" s="189" t="s">
        <v>7</v>
      </c>
      <c r="B939" s="180"/>
      <c r="C939" s="180"/>
      <c r="D939" s="180"/>
      <c r="E939" s="180"/>
      <c r="F939" s="180"/>
      <c r="G939" s="180"/>
      <c r="H939" s="180"/>
      <c r="I939" s="180"/>
      <c r="J939" s="180"/>
      <c r="K939" s="180"/>
      <c r="L939" s="180"/>
      <c r="M939" s="180"/>
      <c r="N939" s="180"/>
      <c r="O939" s="180"/>
      <c r="P939" s="180"/>
      <c r="Q939" s="180"/>
      <c r="R939" s="180"/>
      <c r="AC939" s="179"/>
      <c r="AD939" s="180"/>
      <c r="AE939" s="180"/>
      <c r="AF939" s="180"/>
      <c r="AG939" s="180" t="s">
        <v>7</v>
      </c>
      <c r="AH939" s="202" t="str">
        <f>+A8</f>
        <v>Revised:  11/4/2019</v>
      </c>
      <c r="AI939" s="180"/>
      <c r="AJ939" s="180"/>
      <c r="AK939" s="180"/>
      <c r="AL939" s="180"/>
      <c r="AM939" s="180"/>
      <c r="AN939" s="180"/>
      <c r="AO939" s="180"/>
      <c r="AP939" s="180"/>
      <c r="AQ939" s="180"/>
      <c r="AR939" s="180" t="s">
        <v>7</v>
      </c>
      <c r="AS939" s="202" t="str">
        <f>+A8</f>
        <v>Revised:  11/4/2019</v>
      </c>
      <c r="AT939" s="180"/>
      <c r="AU939" s="304"/>
      <c r="AW939" s="180"/>
      <c r="AX939" s="180"/>
    </row>
    <row r="940" spans="1:50" ht="15.75" customHeight="1" x14ac:dyDescent="0.3">
      <c r="A940" s="182"/>
      <c r="B940" s="180"/>
      <c r="C940" s="180"/>
      <c r="D940" s="180"/>
      <c r="E940" s="180"/>
      <c r="F940" s="180"/>
      <c r="G940" s="180"/>
      <c r="H940" s="180"/>
      <c r="I940" s="180"/>
      <c r="J940" s="180"/>
      <c r="K940" s="180"/>
      <c r="L940" s="180"/>
      <c r="M940" s="180"/>
      <c r="N940" s="180"/>
      <c r="O940" s="180"/>
      <c r="P940" s="180"/>
      <c r="Q940" s="180"/>
      <c r="R940" s="180"/>
      <c r="AC940" s="179"/>
      <c r="AD940" s="180"/>
      <c r="AE940" s="180"/>
      <c r="AF940" s="180" t="s">
        <v>704</v>
      </c>
      <c r="AG940" s="180"/>
      <c r="AH940" s="180"/>
      <c r="AI940" s="180"/>
      <c r="AJ940" s="180"/>
      <c r="AK940" s="180"/>
      <c r="AL940" s="180"/>
      <c r="AM940" s="180"/>
      <c r="AN940" s="180"/>
      <c r="AO940" s="180"/>
      <c r="AP940" s="180" t="s">
        <v>704</v>
      </c>
      <c r="AQ940" s="180"/>
      <c r="AR940" s="180"/>
      <c r="AS940" s="180"/>
      <c r="AT940" s="180"/>
      <c r="AU940" s="304"/>
      <c r="AW940" s="180" t="s">
        <v>633</v>
      </c>
      <c r="AX940" s="182" t="s">
        <v>658</v>
      </c>
    </row>
    <row r="941" spans="1:50" ht="15.75" customHeight="1" x14ac:dyDescent="0.3">
      <c r="A941" s="192"/>
      <c r="AC941" s="179"/>
      <c r="AD941" s="180"/>
      <c r="AE941" s="180"/>
      <c r="AF941" s="180"/>
      <c r="AG941" s="180"/>
      <c r="AH941" s="180"/>
      <c r="AI941" s="180"/>
      <c r="AJ941" s="180"/>
      <c r="AK941" s="180"/>
      <c r="AL941" s="180"/>
      <c r="AM941" s="180"/>
      <c r="AN941" s="180"/>
      <c r="AO941" s="180"/>
      <c r="AP941" s="180"/>
      <c r="AQ941" s="180"/>
      <c r="AR941" s="180"/>
      <c r="AS941" s="180"/>
      <c r="AT941" s="180"/>
      <c r="AU941" s="304"/>
      <c r="AW941" s="182" t="s">
        <v>658</v>
      </c>
      <c r="AX941" s="182" t="s">
        <v>655</v>
      </c>
    </row>
    <row r="942" spans="1:50" ht="15.75" customHeight="1" thickBot="1" x14ac:dyDescent="0.35">
      <c r="A942" s="192"/>
      <c r="AC942" s="179"/>
      <c r="AD942" s="180"/>
      <c r="AE942" s="180"/>
      <c r="AF942" s="180"/>
      <c r="AG942" s="180">
        <f>+A5</f>
        <v>2019</v>
      </c>
      <c r="AH942" s="180"/>
      <c r="AI942" s="180"/>
      <c r="AJ942" s="180"/>
      <c r="AK942" s="180"/>
      <c r="AL942" s="180"/>
      <c r="AM942" s="180"/>
      <c r="AN942" s="180"/>
      <c r="AO942" s="180"/>
      <c r="AP942" s="180"/>
      <c r="AQ942" s="180"/>
      <c r="AR942" s="180">
        <f>+A5</f>
        <v>2019</v>
      </c>
      <c r="AS942" s="180"/>
      <c r="AT942" s="180"/>
      <c r="AU942" s="304"/>
      <c r="AW942" s="182" t="s">
        <v>705</v>
      </c>
      <c r="AX942" s="182" t="s">
        <v>706</v>
      </c>
    </row>
    <row r="943" spans="1:50" ht="15.75" customHeight="1" x14ac:dyDescent="0.3">
      <c r="A943" s="356"/>
      <c r="B943" s="423" t="s">
        <v>707</v>
      </c>
      <c r="C943" s="423"/>
      <c r="D943" s="423"/>
      <c r="E943" s="423"/>
      <c r="F943" s="423"/>
      <c r="G943" s="423"/>
      <c r="H943" s="423"/>
      <c r="I943" s="423"/>
      <c r="J943" s="423"/>
      <c r="K943" s="423"/>
      <c r="L943" s="423"/>
      <c r="M943" s="423"/>
      <c r="N943" s="423"/>
      <c r="O943" s="423"/>
      <c r="P943" s="423"/>
      <c r="Q943" s="354" t="str">
        <f>+Q1</f>
        <v xml:space="preserve">PRINTED:  </v>
      </c>
      <c r="R943" s="355">
        <f ca="1">+R1</f>
        <v>44894.658168402777</v>
      </c>
      <c r="AC943" s="179"/>
      <c r="AD943" s="180"/>
      <c r="AE943" s="180"/>
      <c r="AF943" s="180"/>
      <c r="AG943" s="180" t="s">
        <v>708</v>
      </c>
      <c r="AH943" s="180"/>
      <c r="AI943" s="180"/>
      <c r="AJ943" s="180"/>
      <c r="AK943" s="180"/>
      <c r="AL943" s="180"/>
      <c r="AM943" s="180"/>
      <c r="AN943" s="180"/>
      <c r="AO943" s="180"/>
      <c r="AP943" s="180"/>
      <c r="AQ943" s="180"/>
      <c r="AR943" s="180" t="s">
        <v>708</v>
      </c>
      <c r="AS943" s="180"/>
      <c r="AT943" s="180"/>
      <c r="AU943" s="304"/>
      <c r="AW943" s="182" t="s">
        <v>666</v>
      </c>
      <c r="AX943" s="182" t="s">
        <v>666</v>
      </c>
    </row>
    <row r="944" spans="1:50" ht="15.75" customHeight="1" x14ac:dyDescent="0.3">
      <c r="A944" s="189"/>
      <c r="B944" s="394" t="str">
        <f>+A8</f>
        <v>Revised:  11/4/2019</v>
      </c>
      <c r="C944" s="394"/>
      <c r="D944" s="394"/>
      <c r="E944" s="394"/>
      <c r="F944" s="394"/>
      <c r="G944" s="394"/>
      <c r="H944" s="394"/>
      <c r="I944" s="394"/>
      <c r="J944" s="394"/>
      <c r="K944" s="394"/>
      <c r="L944" s="394"/>
      <c r="M944" s="394"/>
      <c r="N944" s="394"/>
      <c r="O944" s="394"/>
      <c r="P944" s="394"/>
      <c r="Q944" s="180"/>
      <c r="R944" s="306"/>
      <c r="AC944" s="179"/>
      <c r="AD944" s="180"/>
      <c r="AE944" s="180"/>
      <c r="AF944" s="180"/>
      <c r="AG944" s="180"/>
      <c r="AH944" s="180"/>
      <c r="AI944" s="180"/>
      <c r="AJ944" s="180"/>
      <c r="AK944" s="180"/>
      <c r="AL944" s="180"/>
      <c r="AM944" s="180"/>
      <c r="AN944" s="180"/>
      <c r="AO944" s="180"/>
      <c r="AP944" s="180"/>
      <c r="AQ944" s="180"/>
      <c r="AR944" s="180"/>
      <c r="AS944" s="180"/>
      <c r="AT944" s="180"/>
      <c r="AU944" s="304"/>
      <c r="AW944" s="180">
        <f t="shared" ref="AW944:AW955" si="305">SUM(L980:Q980)</f>
        <v>9404</v>
      </c>
      <c r="AX944" s="203">
        <v>2.4700000000000002</v>
      </c>
    </row>
    <row r="945" spans="1:50" ht="15.75" customHeight="1" x14ac:dyDescent="0.3">
      <c r="A945" s="189"/>
      <c r="B945" s="394" t="s">
        <v>670</v>
      </c>
      <c r="C945" s="394"/>
      <c r="D945" s="394"/>
      <c r="E945" s="394"/>
      <c r="F945" s="394"/>
      <c r="G945" s="394"/>
      <c r="H945" s="394"/>
      <c r="I945" s="394"/>
      <c r="J945" s="394"/>
      <c r="K945" s="394"/>
      <c r="L945" s="394"/>
      <c r="M945" s="394"/>
      <c r="N945" s="394"/>
      <c r="O945" s="394"/>
      <c r="P945" s="394"/>
      <c r="Q945" s="180"/>
      <c r="R945" s="306"/>
      <c r="AC945" s="179" t="s">
        <v>709</v>
      </c>
      <c r="AD945" s="182" t="s">
        <v>677</v>
      </c>
      <c r="AE945" s="182" t="s">
        <v>678</v>
      </c>
      <c r="AF945" s="182" t="s">
        <v>679</v>
      </c>
      <c r="AG945" s="182" t="s">
        <v>680</v>
      </c>
      <c r="AH945" s="182" t="s">
        <v>644</v>
      </c>
      <c r="AI945" s="180"/>
      <c r="AJ945" s="182" t="s">
        <v>641</v>
      </c>
      <c r="AK945" s="180"/>
      <c r="AL945" s="180"/>
      <c r="AM945" s="180"/>
      <c r="AN945" s="180" t="s">
        <v>709</v>
      </c>
      <c r="AO945" s="182" t="s">
        <v>677</v>
      </c>
      <c r="AP945" s="182" t="s">
        <v>678</v>
      </c>
      <c r="AQ945" s="182" t="s">
        <v>679</v>
      </c>
      <c r="AR945" s="182" t="s">
        <v>680</v>
      </c>
      <c r="AS945" s="182" t="s">
        <v>644</v>
      </c>
      <c r="AT945" s="182" t="s">
        <v>641</v>
      </c>
      <c r="AU945" s="304"/>
      <c r="AW945" s="180">
        <f t="shared" si="305"/>
        <v>7929</v>
      </c>
      <c r="AX945" s="203">
        <v>2.4700000000000002</v>
      </c>
    </row>
    <row r="946" spans="1:50" ht="15.75" customHeight="1" x14ac:dyDescent="0.3">
      <c r="A946" s="189"/>
      <c r="B946" s="394"/>
      <c r="C946" s="394"/>
      <c r="D946" s="394"/>
      <c r="E946" s="394"/>
      <c r="F946" s="394"/>
      <c r="G946" s="394"/>
      <c r="H946" s="394"/>
      <c r="I946" s="394"/>
      <c r="J946" s="394"/>
      <c r="K946" s="394"/>
      <c r="L946" s="394"/>
      <c r="M946" s="394"/>
      <c r="N946" s="394"/>
      <c r="O946" s="394"/>
      <c r="P946" s="394"/>
      <c r="Q946" s="180"/>
      <c r="R946" s="306"/>
      <c r="AC946" s="179" t="s">
        <v>710</v>
      </c>
      <c r="AD946" s="180"/>
      <c r="AE946" s="180"/>
      <c r="AF946" s="180"/>
      <c r="AG946" s="180"/>
      <c r="AH946" s="182" t="s">
        <v>127</v>
      </c>
      <c r="AI946" s="180"/>
      <c r="AJ946" s="182" t="s">
        <v>711</v>
      </c>
      <c r="AK946" s="180"/>
      <c r="AL946" s="180"/>
      <c r="AM946" s="180"/>
      <c r="AN946" s="180" t="s">
        <v>710</v>
      </c>
      <c r="AO946" s="180"/>
      <c r="AP946" s="180"/>
      <c r="AQ946" s="180"/>
      <c r="AR946" s="180"/>
      <c r="AS946" s="182" t="s">
        <v>127</v>
      </c>
      <c r="AT946" s="182" t="s">
        <v>711</v>
      </c>
      <c r="AU946" s="304"/>
      <c r="AW946" s="180">
        <f t="shared" si="305"/>
        <v>10323</v>
      </c>
      <c r="AX946" s="203">
        <v>2.4700000000000002</v>
      </c>
    </row>
    <row r="947" spans="1:50" ht="15.75" customHeight="1" x14ac:dyDescent="0.3">
      <c r="A947" s="189"/>
      <c r="B947" s="395">
        <f>+A5</f>
        <v>2019</v>
      </c>
      <c r="C947" s="395"/>
      <c r="D947" s="395"/>
      <c r="E947" s="395"/>
      <c r="F947" s="395"/>
      <c r="G947" s="395"/>
      <c r="H947" s="395"/>
      <c r="I947" s="395"/>
      <c r="J947" s="395"/>
      <c r="K947" s="395"/>
      <c r="L947" s="395"/>
      <c r="M947" s="395"/>
      <c r="N947" s="395"/>
      <c r="O947" s="395"/>
      <c r="P947" s="395"/>
      <c r="Q947" s="180"/>
      <c r="R947" s="306"/>
      <c r="AC947" s="179" t="s">
        <v>712</v>
      </c>
      <c r="AD947" s="180">
        <f>+$B$978</f>
        <v>957</v>
      </c>
      <c r="AE947" s="180">
        <f>+C$978</f>
        <v>122</v>
      </c>
      <c r="AF947" s="180">
        <f>+D$978</f>
        <v>128</v>
      </c>
      <c r="AG947" s="180">
        <f>+E$978</f>
        <v>219</v>
      </c>
      <c r="AH947" s="180"/>
      <c r="AI947" s="180"/>
      <c r="AJ947" s="182" t="s">
        <v>658</v>
      </c>
      <c r="AK947" s="180"/>
      <c r="AL947" s="180"/>
      <c r="AM947" s="180"/>
      <c r="AN947" s="180" t="s">
        <v>712</v>
      </c>
      <c r="AO947" s="180">
        <f>+$B$978</f>
        <v>957</v>
      </c>
      <c r="AP947" s="180">
        <f>+C$978</f>
        <v>122</v>
      </c>
      <c r="AQ947" s="180">
        <f>+D$978</f>
        <v>128</v>
      </c>
      <c r="AR947" s="180">
        <f>+E$978</f>
        <v>219</v>
      </c>
      <c r="AS947" s="180"/>
      <c r="AT947" s="182" t="s">
        <v>658</v>
      </c>
      <c r="AU947" s="304"/>
      <c r="AW947" s="180">
        <f t="shared" si="305"/>
        <v>13607</v>
      </c>
      <c r="AX947" s="203">
        <v>2.4700000000000002</v>
      </c>
    </row>
    <row r="948" spans="1:50" ht="15.75" customHeight="1" x14ac:dyDescent="0.3">
      <c r="A948" s="189"/>
      <c r="B948" s="394" t="s">
        <v>713</v>
      </c>
      <c r="C948" s="394"/>
      <c r="D948" s="394"/>
      <c r="E948" s="394"/>
      <c r="F948" s="394"/>
      <c r="G948" s="394"/>
      <c r="H948" s="394"/>
      <c r="I948" s="394"/>
      <c r="J948" s="394"/>
      <c r="K948" s="394"/>
      <c r="L948" s="394"/>
      <c r="M948" s="394"/>
      <c r="N948" s="394"/>
      <c r="O948" s="394"/>
      <c r="P948" s="394"/>
      <c r="Q948" s="180"/>
      <c r="R948" s="306"/>
      <c r="AC948" s="179"/>
      <c r="AD948" s="180" t="s">
        <v>666</v>
      </c>
      <c r="AE948" s="180" t="s">
        <v>666</v>
      </c>
      <c r="AF948" s="180" t="s">
        <v>666</v>
      </c>
      <c r="AG948" s="180" t="s">
        <v>666</v>
      </c>
      <c r="AH948" s="180" t="s">
        <v>666</v>
      </c>
      <c r="AI948" s="180"/>
      <c r="AJ948" s="180" t="s">
        <v>714</v>
      </c>
      <c r="AK948" s="180"/>
      <c r="AL948" s="180"/>
      <c r="AM948" s="180"/>
      <c r="AN948" s="180"/>
      <c r="AO948" s="180" t="s">
        <v>666</v>
      </c>
      <c r="AP948" s="180" t="s">
        <v>666</v>
      </c>
      <c r="AQ948" s="180" t="s">
        <v>666</v>
      </c>
      <c r="AR948" s="180" t="s">
        <v>666</v>
      </c>
      <c r="AS948" s="180" t="s">
        <v>666</v>
      </c>
      <c r="AT948" s="180" t="s">
        <v>714</v>
      </c>
      <c r="AU948" s="304"/>
      <c r="AW948" s="180">
        <f t="shared" si="305"/>
        <v>14306</v>
      </c>
      <c r="AX948" s="203">
        <v>2.4700000000000002</v>
      </c>
    </row>
    <row r="949" spans="1:50" ht="15.75" customHeight="1" x14ac:dyDescent="0.3">
      <c r="A949" s="189"/>
      <c r="B949" s="180"/>
      <c r="C949" s="180"/>
      <c r="D949" s="180"/>
      <c r="E949" s="180"/>
      <c r="F949" s="180"/>
      <c r="G949" s="180"/>
      <c r="H949" s="180"/>
      <c r="I949" s="180"/>
      <c r="J949" s="180"/>
      <c r="K949" s="180"/>
      <c r="L949" s="180"/>
      <c r="M949" s="180"/>
      <c r="N949" s="180"/>
      <c r="O949" s="180"/>
      <c r="P949" s="180"/>
      <c r="Q949" s="180"/>
      <c r="R949" s="306"/>
      <c r="AC949" s="189" t="s">
        <v>668</v>
      </c>
      <c r="AD949" s="180">
        <f t="shared" ref="AD949:AD960" si="306">ROUND($F923*$AD$947/1000,0)</f>
        <v>60222</v>
      </c>
      <c r="AE949" s="180">
        <f t="shared" ref="AE949:AE960" si="307">ROUND($F923*$AE$947/1000,0)</f>
        <v>7677</v>
      </c>
      <c r="AF949" s="180">
        <f t="shared" ref="AF949:AF960" si="308">ROUND($F923*$AF$947/1000,0)</f>
        <v>8055</v>
      </c>
      <c r="AG949" s="180">
        <f t="shared" ref="AG949:AG960" si="309">ROUND($F923*$AG$947/1000,0)</f>
        <v>13781</v>
      </c>
      <c r="AH949" s="180">
        <f t="shared" ref="AH949:AH960" si="310">(F923*((T923-1526.8)/0.7702))/1000</f>
        <v>12662.387926278832</v>
      </c>
      <c r="AI949" s="180"/>
      <c r="AJ949" s="180">
        <f t="shared" ref="AJ949:AJ960" si="311">SUM(AD949:AH949)</f>
        <v>102397.38792627884</v>
      </c>
      <c r="AK949" s="180"/>
      <c r="AL949" s="180"/>
      <c r="AM949" s="180"/>
      <c r="AN949" s="182" t="s">
        <v>668</v>
      </c>
      <c r="AO949" s="180">
        <f t="shared" ref="AO949:AO960" si="312">ROUND((B923-$F923)*$AO$947/1000,0)</f>
        <v>23363</v>
      </c>
      <c r="AP949" s="180">
        <f t="shared" ref="AP949:AP960" si="313">ROUND((C923-$F923)*$AP$947/1000,0)</f>
        <v>2967</v>
      </c>
      <c r="AQ949" s="180">
        <f t="shared" ref="AQ949:AQ960" si="314">ROUND((D923-$F923)*$AQ$947/1000,0)</f>
        <v>3100</v>
      </c>
      <c r="AR949" s="180">
        <f t="shared" ref="AR949:AR960" si="315">ROUND((E923-$F923)*$AR$947/1000,0)</f>
        <v>5158</v>
      </c>
      <c r="AS949" s="180">
        <f>((F923-$F923)*(('[2]Lake Pleasant Forecast'!B35-1526.8)/0.7702))/1000</f>
        <v>0</v>
      </c>
      <c r="AT949" s="180">
        <f t="shared" ref="AT949:AT960" si="316">SUM(AN949:AR949)</f>
        <v>34588</v>
      </c>
      <c r="AU949" s="304"/>
      <c r="AW949" s="180">
        <f t="shared" si="305"/>
        <v>14895</v>
      </c>
      <c r="AX949" s="203">
        <v>2.4700000000000002</v>
      </c>
    </row>
    <row r="950" spans="1:50" ht="15.75" customHeight="1" thickBot="1" x14ac:dyDescent="0.35">
      <c r="A950" s="189" t="s">
        <v>647</v>
      </c>
      <c r="B950" s="191" t="s">
        <v>677</v>
      </c>
      <c r="C950" s="191" t="s">
        <v>678</v>
      </c>
      <c r="D950" s="191" t="s">
        <v>679</v>
      </c>
      <c r="E950" s="191" t="s">
        <v>680</v>
      </c>
      <c r="F950" s="191" t="s">
        <v>644</v>
      </c>
      <c r="G950" s="191" t="s">
        <v>644</v>
      </c>
      <c r="H950" s="191" t="s">
        <v>681</v>
      </c>
      <c r="I950" s="191" t="s">
        <v>682</v>
      </c>
      <c r="J950" s="191" t="s">
        <v>683</v>
      </c>
      <c r="K950" s="191" t="s">
        <v>684</v>
      </c>
      <c r="L950" s="191" t="s">
        <v>685</v>
      </c>
      <c r="M950" s="191" t="s">
        <v>686</v>
      </c>
      <c r="N950" s="191" t="s">
        <v>687</v>
      </c>
      <c r="O950" s="191" t="s">
        <v>688</v>
      </c>
      <c r="P950" s="191" t="s">
        <v>689</v>
      </c>
      <c r="Q950" s="191" t="s">
        <v>638</v>
      </c>
      <c r="R950" s="306"/>
      <c r="AC950" s="189" t="s">
        <v>669</v>
      </c>
      <c r="AD950" s="180">
        <f t="shared" si="306"/>
        <v>95441</v>
      </c>
      <c r="AE950" s="180">
        <f t="shared" si="307"/>
        <v>12167</v>
      </c>
      <c r="AF950" s="180">
        <f t="shared" si="308"/>
        <v>12765</v>
      </c>
      <c r="AG950" s="180">
        <f t="shared" si="309"/>
        <v>21841</v>
      </c>
      <c r="AH950" s="180">
        <f t="shared" si="310"/>
        <v>20718.822760321993</v>
      </c>
      <c r="AI950" s="180"/>
      <c r="AJ950" s="180">
        <f t="shared" si="311"/>
        <v>162932.82276032199</v>
      </c>
      <c r="AK950" s="180"/>
      <c r="AL950" s="180"/>
      <c r="AM950" s="180"/>
      <c r="AN950" s="182" t="s">
        <v>669</v>
      </c>
      <c r="AO950" s="180">
        <f t="shared" si="312"/>
        <v>49430</v>
      </c>
      <c r="AP950" s="180">
        <f t="shared" si="313"/>
        <v>6283</v>
      </c>
      <c r="AQ950" s="180">
        <f t="shared" si="314"/>
        <v>6574</v>
      </c>
      <c r="AR950" s="180">
        <f t="shared" si="315"/>
        <v>11142</v>
      </c>
      <c r="AS950" s="180">
        <f>((F924-$F924)*(('[2]Lake Pleasant Forecast'!B37-1526.8)/0.7702))/1000</f>
        <v>0</v>
      </c>
      <c r="AT950" s="180">
        <f t="shared" si="316"/>
        <v>73429</v>
      </c>
      <c r="AU950" s="304"/>
      <c r="AW950" s="180">
        <f t="shared" si="305"/>
        <v>15314</v>
      </c>
      <c r="AX950" s="203">
        <v>2.4700000000000002</v>
      </c>
    </row>
    <row r="951" spans="1:50" ht="15.75" customHeight="1" x14ac:dyDescent="0.3">
      <c r="A951" s="189"/>
      <c r="B951" s="180"/>
      <c r="C951" s="180"/>
      <c r="D951" s="180"/>
      <c r="E951" s="180"/>
      <c r="F951" s="182" t="s">
        <v>127</v>
      </c>
      <c r="G951" s="182" t="s">
        <v>653</v>
      </c>
      <c r="H951" s="180"/>
      <c r="I951" s="180"/>
      <c r="J951" s="180"/>
      <c r="K951" s="180"/>
      <c r="L951" s="180"/>
      <c r="M951" s="180"/>
      <c r="N951" s="180"/>
      <c r="O951" s="180"/>
      <c r="P951" s="180"/>
      <c r="Q951" s="180"/>
      <c r="R951" s="306"/>
      <c r="AC951" s="189" t="s">
        <v>671</v>
      </c>
      <c r="AD951" s="180">
        <f t="shared" si="306"/>
        <v>59</v>
      </c>
      <c r="AE951" s="180">
        <f t="shared" si="307"/>
        <v>8</v>
      </c>
      <c r="AF951" s="180">
        <f t="shared" si="308"/>
        <v>8</v>
      </c>
      <c r="AG951" s="180">
        <f t="shared" si="309"/>
        <v>14</v>
      </c>
      <c r="AH951" s="180">
        <f t="shared" si="310"/>
        <v>13.27582446117894</v>
      </c>
      <c r="AI951" s="180"/>
      <c r="AJ951" s="180">
        <f t="shared" si="311"/>
        <v>102.27582446117894</v>
      </c>
      <c r="AK951" s="180"/>
      <c r="AL951" s="180"/>
      <c r="AM951" s="180"/>
      <c r="AN951" s="182" t="s">
        <v>671</v>
      </c>
      <c r="AO951" s="180">
        <f t="shared" si="312"/>
        <v>79125</v>
      </c>
      <c r="AP951" s="180">
        <f t="shared" si="313"/>
        <v>10054</v>
      </c>
      <c r="AQ951" s="180">
        <f t="shared" si="314"/>
        <v>10515</v>
      </c>
      <c r="AR951" s="180">
        <f t="shared" si="315"/>
        <v>17540</v>
      </c>
      <c r="AS951" s="180">
        <f>((F925-$F925)*(('[2]Lake Pleasant Forecast'!B39-1526.8)/0.7702))/1000</f>
        <v>0</v>
      </c>
      <c r="AT951" s="180">
        <f t="shared" si="316"/>
        <v>117234</v>
      </c>
      <c r="AU951" s="304"/>
      <c r="AW951" s="180">
        <f t="shared" si="305"/>
        <v>14539</v>
      </c>
      <c r="AX951" s="203">
        <v>2.4700000000000002</v>
      </c>
    </row>
    <row r="952" spans="1:50" ht="15.75" customHeight="1" x14ac:dyDescent="0.3">
      <c r="A952" s="192" t="s">
        <v>8</v>
      </c>
      <c r="B952" s="180">
        <f t="shared" ref="B952:Q952" si="317">(B923/$B$10/1.983)</f>
        <v>1420.8026287963821</v>
      </c>
      <c r="C952" s="180">
        <f t="shared" si="317"/>
        <v>1419.2247002749175</v>
      </c>
      <c r="D952" s="180">
        <f t="shared" si="317"/>
        <v>1417.6630390577975</v>
      </c>
      <c r="E952" s="180">
        <f t="shared" si="317"/>
        <v>1406.8127470596846</v>
      </c>
      <c r="F952" s="180">
        <f t="shared" si="317"/>
        <v>1023.6689278219706</v>
      </c>
      <c r="G952" s="180">
        <f t="shared" si="317"/>
        <v>-299.38346916532458</v>
      </c>
      <c r="H952" s="180">
        <f t="shared" si="317"/>
        <v>394.92134758349192</v>
      </c>
      <c r="I952" s="180">
        <f t="shared" si="317"/>
        <v>247.14915491353929</v>
      </c>
      <c r="J952" s="180">
        <f t="shared" si="317"/>
        <v>246.88887804401929</v>
      </c>
      <c r="K952" s="180">
        <f t="shared" si="317"/>
        <v>246.51473004408436</v>
      </c>
      <c r="L952" s="180">
        <f t="shared" si="317"/>
        <v>208.0425552681665</v>
      </c>
      <c r="M952" s="180">
        <f t="shared" si="317"/>
        <v>207.71720918126655</v>
      </c>
      <c r="N952" s="180">
        <f t="shared" si="317"/>
        <v>201.12895092154278</v>
      </c>
      <c r="O952" s="180">
        <f t="shared" si="317"/>
        <v>56.77289216403949</v>
      </c>
      <c r="P952" s="180">
        <f t="shared" si="317"/>
        <v>61.897093032713542</v>
      </c>
      <c r="Q952" s="180">
        <f t="shared" si="317"/>
        <v>56.740357555349497</v>
      </c>
      <c r="R952" s="306"/>
      <c r="AC952" s="189" t="s">
        <v>672</v>
      </c>
      <c r="AD952" s="180">
        <f t="shared" si="306"/>
        <v>10527</v>
      </c>
      <c r="AE952" s="180">
        <f t="shared" si="307"/>
        <v>1342</v>
      </c>
      <c r="AF952" s="180">
        <f t="shared" si="308"/>
        <v>1408</v>
      </c>
      <c r="AG952" s="180">
        <f t="shared" si="309"/>
        <v>2409</v>
      </c>
      <c r="AH952" s="180">
        <f t="shared" si="310"/>
        <v>2370.3782835854213</v>
      </c>
      <c r="AI952" s="180"/>
      <c r="AJ952" s="180">
        <f t="shared" si="311"/>
        <v>18056.378283585422</v>
      </c>
      <c r="AK952" s="180"/>
      <c r="AL952" s="180"/>
      <c r="AM952" s="180"/>
      <c r="AN952" s="182" t="s">
        <v>672</v>
      </c>
      <c r="AO952" s="180">
        <f t="shared" si="312"/>
        <v>130786</v>
      </c>
      <c r="AP952" s="180">
        <f t="shared" si="313"/>
        <v>16628</v>
      </c>
      <c r="AQ952" s="180">
        <f t="shared" si="314"/>
        <v>17401</v>
      </c>
      <c r="AR952" s="180">
        <f t="shared" si="315"/>
        <v>28708</v>
      </c>
      <c r="AS952" s="180">
        <f>((F926-$F926)*(('[2]Lake Pleasant Forecast'!B41-1526.8)/0.7702))/1000</f>
        <v>0</v>
      </c>
      <c r="AT952" s="180">
        <f t="shared" si="316"/>
        <v>193523</v>
      </c>
      <c r="AU952" s="304"/>
      <c r="AW952" s="180">
        <f t="shared" si="305"/>
        <v>12304</v>
      </c>
      <c r="AX952" s="203">
        <v>2.4700000000000002</v>
      </c>
    </row>
    <row r="953" spans="1:50" ht="15.75" customHeight="1" x14ac:dyDescent="0.3">
      <c r="A953" s="192" t="s">
        <v>9</v>
      </c>
      <c r="B953" s="180">
        <f t="shared" ref="B953:Q953" si="318">(B924/$C$10/1.983)</f>
        <v>2726.3885887183919</v>
      </c>
      <c r="C953" s="180">
        <f t="shared" si="318"/>
        <v>2723.7230747064332</v>
      </c>
      <c r="D953" s="180">
        <f t="shared" si="318"/>
        <v>2721.1115913839058</v>
      </c>
      <c r="E953" s="180">
        <f t="shared" si="318"/>
        <v>2712.4486708450399</v>
      </c>
      <c r="F953" s="180">
        <f t="shared" si="318"/>
        <v>1796.1422087745839</v>
      </c>
      <c r="G953" s="180">
        <f t="shared" si="318"/>
        <v>0</v>
      </c>
      <c r="H953" s="180">
        <f t="shared" si="318"/>
        <v>559.36171745551474</v>
      </c>
      <c r="I953" s="180">
        <f t="shared" si="318"/>
        <v>266.17318636985806</v>
      </c>
      <c r="J953" s="180">
        <f t="shared" si="318"/>
        <v>265.88502269288955</v>
      </c>
      <c r="K953" s="180">
        <f t="shared" si="318"/>
        <v>265.11058281103664</v>
      </c>
      <c r="L953" s="180">
        <f t="shared" si="318"/>
        <v>179.50796052157625</v>
      </c>
      <c r="M953" s="180">
        <f t="shared" si="318"/>
        <v>179.11173546574454</v>
      </c>
      <c r="N953" s="180">
        <f t="shared" si="318"/>
        <v>165.36993012030834</v>
      </c>
      <c r="O953" s="180">
        <f t="shared" si="318"/>
        <v>61.036668827894246</v>
      </c>
      <c r="P953" s="180">
        <f t="shared" si="318"/>
        <v>68.528924429075715</v>
      </c>
      <c r="Q953" s="180">
        <f t="shared" si="318"/>
        <v>60.982638138462647</v>
      </c>
      <c r="R953" s="306"/>
      <c r="AC953" s="189" t="s">
        <v>673</v>
      </c>
      <c r="AD953" s="180">
        <f t="shared" si="306"/>
        <v>17506</v>
      </c>
      <c r="AE953" s="180">
        <f t="shared" si="307"/>
        <v>2232</v>
      </c>
      <c r="AF953" s="180">
        <f t="shared" si="308"/>
        <v>2342</v>
      </c>
      <c r="AG953" s="180">
        <f t="shared" si="309"/>
        <v>4006</v>
      </c>
      <c r="AH953" s="180">
        <f t="shared" si="310"/>
        <v>3959.9969432636667</v>
      </c>
      <c r="AI953" s="180"/>
      <c r="AJ953" s="180">
        <f t="shared" si="311"/>
        <v>30045.996943263668</v>
      </c>
      <c r="AK953" s="180"/>
      <c r="AL953" s="180"/>
      <c r="AM953" s="180"/>
      <c r="AN953" s="182" t="s">
        <v>673</v>
      </c>
      <c r="AO953" s="180">
        <f t="shared" si="312"/>
        <v>128728</v>
      </c>
      <c r="AP953" s="180">
        <f t="shared" si="313"/>
        <v>16359</v>
      </c>
      <c r="AQ953" s="180">
        <f t="shared" si="314"/>
        <v>17112</v>
      </c>
      <c r="AR953" s="180">
        <f t="shared" si="315"/>
        <v>28166</v>
      </c>
      <c r="AS953" s="180">
        <f>((F927-$F927)*(('[2]Lake Pleasant Forecast'!B43-1526.8)/0.7702))/1000</f>
        <v>0</v>
      </c>
      <c r="AT953" s="180">
        <f t="shared" si="316"/>
        <v>190365</v>
      </c>
      <c r="AU953" s="304"/>
      <c r="AW953" s="180">
        <f t="shared" si="305"/>
        <v>11093</v>
      </c>
      <c r="AX953" s="203">
        <v>2.4700000000000002</v>
      </c>
    </row>
    <row r="954" spans="1:50" ht="15.75" customHeight="1" x14ac:dyDescent="0.3">
      <c r="A954" s="192" t="s">
        <v>10</v>
      </c>
      <c r="B954" s="180">
        <f t="shared" ref="B954:Q954" si="319">(B925/$D$10/1.983)</f>
        <v>1345.9892961137409</v>
      </c>
      <c r="C954" s="180">
        <f t="shared" si="319"/>
        <v>1341.5320547232118</v>
      </c>
      <c r="D954" s="180">
        <f t="shared" si="319"/>
        <v>1337.2862882891677</v>
      </c>
      <c r="E954" s="180">
        <f t="shared" si="319"/>
        <v>1303.9057797732337</v>
      </c>
      <c r="F954" s="180">
        <f t="shared" si="319"/>
        <v>1.0085728693898133</v>
      </c>
      <c r="G954" s="180">
        <f t="shared" si="319"/>
        <v>-2.0659476518146178</v>
      </c>
      <c r="H954" s="180">
        <f t="shared" si="319"/>
        <v>911.22932018935137</v>
      </c>
      <c r="I954" s="180">
        <f t="shared" si="319"/>
        <v>390.74065036682771</v>
      </c>
      <c r="J954" s="180">
        <f t="shared" si="319"/>
        <v>348.02270915686557</v>
      </c>
      <c r="K954" s="180">
        <f t="shared" si="319"/>
        <v>337.05854602833762</v>
      </c>
      <c r="L954" s="180">
        <f t="shared" si="319"/>
        <v>239.94273908870559</v>
      </c>
      <c r="M954" s="180">
        <f t="shared" si="319"/>
        <v>239.48725456704568</v>
      </c>
      <c r="N954" s="180">
        <f t="shared" si="319"/>
        <v>221.64202170058397</v>
      </c>
      <c r="O954" s="180">
        <f t="shared" si="319"/>
        <v>53.129015990760173</v>
      </c>
      <c r="P954" s="180">
        <f t="shared" si="319"/>
        <v>77.383566769150676</v>
      </c>
      <c r="Q954" s="180">
        <f t="shared" si="319"/>
        <v>53.047679469035181</v>
      </c>
      <c r="R954" s="306"/>
      <c r="AC954" s="189" t="s">
        <v>675</v>
      </c>
      <c r="AD954" s="180">
        <f t="shared" si="306"/>
        <v>1412</v>
      </c>
      <c r="AE954" s="180">
        <f t="shared" si="307"/>
        <v>180</v>
      </c>
      <c r="AF954" s="180">
        <f t="shared" si="308"/>
        <v>189</v>
      </c>
      <c r="AG954" s="180">
        <f t="shared" si="309"/>
        <v>323</v>
      </c>
      <c r="AH954" s="180">
        <f t="shared" si="310"/>
        <v>304.3647753830175</v>
      </c>
      <c r="AI954" s="180"/>
      <c r="AJ954" s="180">
        <f t="shared" si="311"/>
        <v>2408.3647753830173</v>
      </c>
      <c r="AK954" s="180"/>
      <c r="AL954" s="180"/>
      <c r="AM954" s="180"/>
      <c r="AN954" s="182" t="s">
        <v>675</v>
      </c>
      <c r="AO954" s="180">
        <f t="shared" si="312"/>
        <v>100818</v>
      </c>
      <c r="AP954" s="180">
        <f t="shared" si="313"/>
        <v>12802</v>
      </c>
      <c r="AQ954" s="180">
        <f t="shared" si="314"/>
        <v>13380</v>
      </c>
      <c r="AR954" s="180">
        <f t="shared" si="315"/>
        <v>21429</v>
      </c>
      <c r="AS954" s="180">
        <f>((F928-$F928)*(('[2]Lake Pleasant Forecast'!B45-1526.8)/0.7702))/1000</f>
        <v>0</v>
      </c>
      <c r="AT954" s="180">
        <f t="shared" si="316"/>
        <v>148429</v>
      </c>
      <c r="AU954" s="304"/>
      <c r="AW954" s="180">
        <f t="shared" si="305"/>
        <v>2391</v>
      </c>
      <c r="AX954" s="203">
        <v>2.4700000000000002</v>
      </c>
    </row>
    <row r="955" spans="1:50" ht="15.75" customHeight="1" x14ac:dyDescent="0.3">
      <c r="A955" s="192" t="s">
        <v>12</v>
      </c>
      <c r="B955" s="180">
        <f t="shared" ref="B955:Q955" si="320">(B926/$F$10/1.983)</f>
        <v>2482.1482602118003</v>
      </c>
      <c r="C955" s="180">
        <f t="shared" si="320"/>
        <v>2475.9791561606994</v>
      </c>
      <c r="D955" s="180">
        <f t="shared" si="320"/>
        <v>2470.095814422592</v>
      </c>
      <c r="E955" s="180">
        <f t="shared" si="320"/>
        <v>2388.4182215498404</v>
      </c>
      <c r="F955" s="180">
        <f t="shared" si="320"/>
        <v>184.90502605479912</v>
      </c>
      <c r="G955" s="180">
        <f t="shared" si="320"/>
        <v>-226.82803832576903</v>
      </c>
      <c r="H955" s="180">
        <f t="shared" si="320"/>
        <v>1833.2829046898637</v>
      </c>
      <c r="I955" s="180">
        <f t="shared" si="320"/>
        <v>712.70801815431162</v>
      </c>
      <c r="J955" s="180">
        <f t="shared" si="320"/>
        <v>534.79576399394853</v>
      </c>
      <c r="K955" s="180">
        <f t="shared" si="320"/>
        <v>471.87762649184737</v>
      </c>
      <c r="L955" s="180">
        <f t="shared" si="320"/>
        <v>346.19263741805344</v>
      </c>
      <c r="M955" s="180">
        <f t="shared" si="320"/>
        <v>345.5706841485964</v>
      </c>
      <c r="N955" s="180">
        <f t="shared" si="320"/>
        <v>326.18927550848883</v>
      </c>
      <c r="O955" s="180">
        <f t="shared" si="320"/>
        <v>61.253992267607998</v>
      </c>
      <c r="P955" s="180">
        <f t="shared" si="320"/>
        <v>95.948898974617592</v>
      </c>
      <c r="Q955" s="180">
        <f t="shared" si="320"/>
        <v>61.136325432845851</v>
      </c>
      <c r="R955" s="306"/>
      <c r="AC955" s="189" t="s">
        <v>676</v>
      </c>
      <c r="AD955" s="180">
        <f t="shared" si="306"/>
        <v>0</v>
      </c>
      <c r="AE955" s="180">
        <f t="shared" si="307"/>
        <v>0</v>
      </c>
      <c r="AF955" s="180">
        <f t="shared" si="308"/>
        <v>0</v>
      </c>
      <c r="AG955" s="180">
        <f t="shared" si="309"/>
        <v>0</v>
      </c>
      <c r="AH955" s="180">
        <f t="shared" si="310"/>
        <v>0</v>
      </c>
      <c r="AI955" s="180"/>
      <c r="AJ955" s="180">
        <f t="shared" si="311"/>
        <v>0</v>
      </c>
      <c r="AK955" s="180"/>
      <c r="AL955" s="180"/>
      <c r="AM955" s="180"/>
      <c r="AN955" s="182" t="s">
        <v>676</v>
      </c>
      <c r="AO955" s="180">
        <f t="shared" si="312"/>
        <v>93598</v>
      </c>
      <c r="AP955" s="180">
        <f t="shared" si="313"/>
        <v>11881</v>
      </c>
      <c r="AQ955" s="180">
        <f t="shared" si="314"/>
        <v>12415</v>
      </c>
      <c r="AR955" s="180">
        <f t="shared" si="315"/>
        <v>19506</v>
      </c>
      <c r="AS955" s="180">
        <f>((F929-$F929)*(('[2]Lake Pleasant Forecast'!B47-1526.8)/0.7702))/1000</f>
        <v>0</v>
      </c>
      <c r="AT955" s="180">
        <f t="shared" si="316"/>
        <v>137400</v>
      </c>
      <c r="AU955" s="304"/>
      <c r="AW955" s="180">
        <f t="shared" si="305"/>
        <v>3197</v>
      </c>
      <c r="AX955" s="203">
        <v>2.4700000000000002</v>
      </c>
    </row>
    <row r="956" spans="1:50" ht="15.75" customHeight="1" x14ac:dyDescent="0.3">
      <c r="A956" s="192" t="s">
        <v>13</v>
      </c>
      <c r="B956" s="180">
        <f t="shared" ref="B956:Q956" si="321">(B927/$G$10/1.983)</f>
        <v>2485.7254404372648</v>
      </c>
      <c r="C956" s="180">
        <f t="shared" si="321"/>
        <v>2478.811836090641</v>
      </c>
      <c r="D956" s="180">
        <f t="shared" si="321"/>
        <v>2472.2723797439526</v>
      </c>
      <c r="E956" s="180">
        <f t="shared" si="321"/>
        <v>2389.7320774974378</v>
      </c>
      <c r="F956" s="180">
        <f t="shared" si="321"/>
        <v>297.57779838302997</v>
      </c>
      <c r="G956" s="180">
        <f>(G927/$G$10/1.983)</f>
        <v>-252.27335578221332</v>
      </c>
      <c r="H956" s="180">
        <f t="shared" si="321"/>
        <v>1568.9977713793048</v>
      </c>
      <c r="I956" s="180">
        <f t="shared" si="321"/>
        <v>571.69814390057422</v>
      </c>
      <c r="J956" s="180">
        <f t="shared" si="321"/>
        <v>491.48406617539405</v>
      </c>
      <c r="K956" s="180">
        <f t="shared" si="321"/>
        <v>441.85252061880828</v>
      </c>
      <c r="L956" s="180">
        <f t="shared" si="321"/>
        <v>334.24430237665314</v>
      </c>
      <c r="M956" s="180">
        <f t="shared" si="321"/>
        <v>333.5610755941633</v>
      </c>
      <c r="N956" s="180">
        <f t="shared" si="321"/>
        <v>322.87345663950026</v>
      </c>
      <c r="O956" s="180">
        <f t="shared" si="321"/>
        <v>66.419403640622718</v>
      </c>
      <c r="P956" s="180">
        <f t="shared" si="321"/>
        <v>109.07227563320481</v>
      </c>
      <c r="Q956" s="180">
        <f t="shared" si="321"/>
        <v>65.540969205992866</v>
      </c>
      <c r="R956" s="306"/>
      <c r="AC956" s="189" t="s">
        <v>691</v>
      </c>
      <c r="AD956" s="180">
        <f t="shared" si="306"/>
        <v>28</v>
      </c>
      <c r="AE956" s="180">
        <f t="shared" si="307"/>
        <v>4</v>
      </c>
      <c r="AF956" s="180">
        <f t="shared" si="308"/>
        <v>4</v>
      </c>
      <c r="AG956" s="180">
        <f t="shared" si="309"/>
        <v>6</v>
      </c>
      <c r="AH956" s="180">
        <f t="shared" si="310"/>
        <v>4.9623419795066699</v>
      </c>
      <c r="AI956" s="180"/>
      <c r="AJ956" s="180">
        <f t="shared" si="311"/>
        <v>46.962341979506668</v>
      </c>
      <c r="AK956" s="180"/>
      <c r="AL956" s="180"/>
      <c r="AM956" s="180"/>
      <c r="AN956" s="182" t="s">
        <v>691</v>
      </c>
      <c r="AO956" s="180">
        <f t="shared" si="312"/>
        <v>99456</v>
      </c>
      <c r="AP956" s="180">
        <f t="shared" si="313"/>
        <v>12638</v>
      </c>
      <c r="AQ956" s="180">
        <f t="shared" si="314"/>
        <v>13219</v>
      </c>
      <c r="AR956" s="180">
        <f t="shared" si="315"/>
        <v>20821</v>
      </c>
      <c r="AS956" s="180">
        <f>((F930-$F930)*(('[2]Lake Pleasant Forecast'!B49-1526.8)/0.7702))/1000</f>
        <v>0</v>
      </c>
      <c r="AT956" s="180">
        <f t="shared" si="316"/>
        <v>146134</v>
      </c>
      <c r="AU956" s="304"/>
      <c r="AW956" s="180"/>
      <c r="AX956" s="203"/>
    </row>
    <row r="957" spans="1:50" ht="15.75" customHeight="1" x14ac:dyDescent="0.3">
      <c r="A957" s="192" t="s">
        <v>14</v>
      </c>
      <c r="B957" s="180">
        <f t="shared" ref="B957:Q957" si="322">(B928/$H$10/1.983)</f>
        <v>1795.6463271138007</v>
      </c>
      <c r="C957" s="180">
        <f t="shared" si="322"/>
        <v>1788.6367456715413</v>
      </c>
      <c r="D957" s="180">
        <f t="shared" si="322"/>
        <v>1781.9801647335685</v>
      </c>
      <c r="E957" s="180">
        <f t="shared" si="322"/>
        <v>1669.5747184400741</v>
      </c>
      <c r="F957" s="180">
        <f t="shared" si="322"/>
        <v>24.794083039166242</v>
      </c>
      <c r="G957" s="180">
        <f t="shared" si="322"/>
        <v>-1414.691544797445</v>
      </c>
      <c r="H957" s="180">
        <f t="shared" si="322"/>
        <v>2139.2671037149103</v>
      </c>
      <c r="I957" s="180">
        <f t="shared" si="322"/>
        <v>768.76786014456206</v>
      </c>
      <c r="J957" s="180">
        <f t="shared" si="322"/>
        <v>571.2724827702134</v>
      </c>
      <c r="K957" s="180">
        <f t="shared" si="322"/>
        <v>485.87997982854262</v>
      </c>
      <c r="L957" s="180">
        <f t="shared" si="322"/>
        <v>363.72499579761302</v>
      </c>
      <c r="M957" s="180">
        <f t="shared" si="322"/>
        <v>362.98537569339379</v>
      </c>
      <c r="N957" s="180">
        <f t="shared" si="322"/>
        <v>339.50243738443436</v>
      </c>
      <c r="O957" s="180">
        <f t="shared" si="322"/>
        <v>73.777105395864851</v>
      </c>
      <c r="P957" s="180">
        <f t="shared" si="322"/>
        <v>115.14540258867036</v>
      </c>
      <c r="Q957" s="180">
        <f t="shared" si="322"/>
        <v>73.625819465456374</v>
      </c>
      <c r="R957" s="306"/>
      <c r="AC957" s="189" t="s">
        <v>692</v>
      </c>
      <c r="AD957" s="180">
        <f t="shared" si="306"/>
        <v>30522</v>
      </c>
      <c r="AE957" s="180">
        <f t="shared" si="307"/>
        <v>3891</v>
      </c>
      <c r="AF957" s="180">
        <f t="shared" si="308"/>
        <v>4082</v>
      </c>
      <c r="AG957" s="180">
        <f t="shared" si="309"/>
        <v>6985</v>
      </c>
      <c r="AH957" s="180">
        <f t="shared" si="310"/>
        <v>5274.640722974953</v>
      </c>
      <c r="AI957" s="180"/>
      <c r="AJ957" s="180">
        <f t="shared" si="311"/>
        <v>50754.640722974953</v>
      </c>
      <c r="AK957" s="180"/>
      <c r="AL957" s="180"/>
      <c r="AM957" s="180"/>
      <c r="AN957" s="182" t="s">
        <v>692</v>
      </c>
      <c r="AO957" s="180">
        <f t="shared" si="312"/>
        <v>122495</v>
      </c>
      <c r="AP957" s="180">
        <f t="shared" si="313"/>
        <v>15577</v>
      </c>
      <c r="AQ957" s="180">
        <f t="shared" si="314"/>
        <v>16305</v>
      </c>
      <c r="AR957" s="180">
        <f t="shared" si="315"/>
        <v>26746</v>
      </c>
      <c r="AS957" s="180">
        <f>((F931-$F931)*(('[2]Lake Pleasant Forecast'!B51-1526.8)/0.7702))/1000</f>
        <v>0</v>
      </c>
      <c r="AT957" s="180">
        <f t="shared" si="316"/>
        <v>181123</v>
      </c>
      <c r="AU957" s="304"/>
      <c r="AW957" s="180">
        <f>(SUM(AW944:AW955))</f>
        <v>129302</v>
      </c>
      <c r="AX957" s="203"/>
    </row>
    <row r="958" spans="1:50" ht="15.75" customHeight="1" x14ac:dyDescent="0.3">
      <c r="A958" s="192" t="s">
        <v>16</v>
      </c>
      <c r="B958" s="180">
        <f t="shared" ref="B958:Q958" si="323">(B929/$J$10/1.983)</f>
        <v>1591.0074341580855</v>
      </c>
      <c r="C958" s="180">
        <f t="shared" si="323"/>
        <v>1584.2402355505669</v>
      </c>
      <c r="D958" s="180">
        <f t="shared" si="323"/>
        <v>1577.8309176386381</v>
      </c>
      <c r="E958" s="180">
        <f t="shared" si="323"/>
        <v>1448.9287980088818</v>
      </c>
      <c r="F958" s="180">
        <f t="shared" si="323"/>
        <v>0</v>
      </c>
      <c r="G958" s="180">
        <f t="shared" si="323"/>
        <v>-1519.301156605339</v>
      </c>
      <c r="H958" s="180">
        <f t="shared" si="323"/>
        <v>2139.1505213671044</v>
      </c>
      <c r="I958" s="180">
        <f t="shared" si="323"/>
        <v>846.55051811364342</v>
      </c>
      <c r="J958" s="180">
        <f t="shared" si="323"/>
        <v>597.27034633090955</v>
      </c>
      <c r="K958" s="180">
        <f t="shared" si="323"/>
        <v>493.97296374017856</v>
      </c>
      <c r="L958" s="180">
        <f t="shared" si="323"/>
        <v>372.26099263091112</v>
      </c>
      <c r="M958" s="180">
        <f t="shared" si="323"/>
        <v>371.62656776145622</v>
      </c>
      <c r="N958" s="180">
        <f t="shared" si="323"/>
        <v>348.28298602638552</v>
      </c>
      <c r="O958" s="180">
        <f t="shared" si="323"/>
        <v>73.121533030761469</v>
      </c>
      <c r="P958" s="180">
        <f t="shared" si="323"/>
        <v>100.59701006946138</v>
      </c>
      <c r="Q958" s="180">
        <f t="shared" si="323"/>
        <v>73.007661900346491</v>
      </c>
      <c r="R958" s="306"/>
      <c r="AC958" s="189" t="s">
        <v>693</v>
      </c>
      <c r="AD958" s="180">
        <f t="shared" si="306"/>
        <v>37704</v>
      </c>
      <c r="AE958" s="180">
        <f t="shared" si="307"/>
        <v>4807</v>
      </c>
      <c r="AF958" s="180">
        <f t="shared" si="308"/>
        <v>5043</v>
      </c>
      <c r="AG958" s="180">
        <f t="shared" si="309"/>
        <v>8628</v>
      </c>
      <c r="AH958" s="180">
        <f t="shared" si="310"/>
        <v>6561.9735834578478</v>
      </c>
      <c r="AI958" s="180"/>
      <c r="AJ958" s="180">
        <f t="shared" si="311"/>
        <v>62743.973583457846</v>
      </c>
      <c r="AK958" s="180"/>
      <c r="AL958" s="180"/>
      <c r="AM958" s="180"/>
      <c r="AN958" s="182" t="s">
        <v>693</v>
      </c>
      <c r="AO958" s="180">
        <f t="shared" si="312"/>
        <v>105545</v>
      </c>
      <c r="AP958" s="180">
        <f t="shared" si="313"/>
        <v>13420</v>
      </c>
      <c r="AQ958" s="180">
        <f t="shared" si="314"/>
        <v>14045</v>
      </c>
      <c r="AR958" s="180">
        <f t="shared" si="315"/>
        <v>22864</v>
      </c>
      <c r="AS958" s="180">
        <f>((F932-$F932)*(('[2]Lake Pleasant Forecast'!B53-1526.8)/0.7702))/1000</f>
        <v>0</v>
      </c>
      <c r="AT958" s="180">
        <f t="shared" si="316"/>
        <v>155874</v>
      </c>
      <c r="AU958" s="304"/>
    </row>
    <row r="959" spans="1:50" ht="15.75" customHeight="1" x14ac:dyDescent="0.3">
      <c r="A959" s="192" t="s">
        <v>17</v>
      </c>
      <c r="B959" s="180">
        <f t="shared" ref="B959:Q959" si="324">(B930/$K$10/1.983)</f>
        <v>1691.051355879817</v>
      </c>
      <c r="C959" s="180">
        <f t="shared" si="324"/>
        <v>1685.6180762285881</v>
      </c>
      <c r="D959" s="180">
        <f t="shared" si="324"/>
        <v>1680.4450734468792</v>
      </c>
      <c r="E959" s="180">
        <f t="shared" si="324"/>
        <v>1547.0531778179038</v>
      </c>
      <c r="F959" s="180">
        <f t="shared" si="324"/>
        <v>0.47175182600491267</v>
      </c>
      <c r="G959" s="180">
        <f t="shared" si="324"/>
        <v>-1224.7002749174433</v>
      </c>
      <c r="H959" s="180">
        <f t="shared" si="324"/>
        <v>2030.6801359946644</v>
      </c>
      <c r="I959" s="180">
        <f t="shared" si="324"/>
        <v>869.2596749792591</v>
      </c>
      <c r="J959" s="180">
        <f t="shared" si="324"/>
        <v>607.40487693784257</v>
      </c>
      <c r="K959" s="180">
        <f t="shared" si="324"/>
        <v>486.06705382851004</v>
      </c>
      <c r="L959" s="180">
        <f t="shared" si="324"/>
        <v>359.91410863305839</v>
      </c>
      <c r="M959" s="180">
        <f t="shared" si="324"/>
        <v>359.32848567663848</v>
      </c>
      <c r="N959" s="180">
        <f t="shared" si="324"/>
        <v>329.60812063832901</v>
      </c>
      <c r="O959" s="180">
        <f t="shared" si="324"/>
        <v>68.989637727132234</v>
      </c>
      <c r="P959" s="180">
        <f t="shared" si="324"/>
        <v>92.853773201242817</v>
      </c>
      <c r="Q959" s="180">
        <f t="shared" si="324"/>
        <v>68.892033901062263</v>
      </c>
      <c r="R959" s="306"/>
      <c r="AC959" s="189" t="s">
        <v>694</v>
      </c>
      <c r="AD959" s="180">
        <f t="shared" si="306"/>
        <v>97781</v>
      </c>
      <c r="AE959" s="180">
        <f t="shared" si="307"/>
        <v>12465</v>
      </c>
      <c r="AF959" s="180">
        <f t="shared" si="308"/>
        <v>13078</v>
      </c>
      <c r="AG959" s="180">
        <f t="shared" si="309"/>
        <v>22376</v>
      </c>
      <c r="AH959" s="180">
        <f t="shared" si="310"/>
        <v>17644.639432802447</v>
      </c>
      <c r="AI959" s="180"/>
      <c r="AJ959" s="180">
        <f t="shared" si="311"/>
        <v>163344.63943280245</v>
      </c>
      <c r="AK959" s="180"/>
      <c r="AL959" s="180"/>
      <c r="AM959" s="180"/>
      <c r="AN959" s="182" t="s">
        <v>694</v>
      </c>
      <c r="AO959" s="180">
        <f t="shared" si="312"/>
        <v>19311</v>
      </c>
      <c r="AP959" s="180">
        <f t="shared" si="313"/>
        <v>2433</v>
      </c>
      <c r="AQ959" s="180">
        <f t="shared" si="314"/>
        <v>2524</v>
      </c>
      <c r="AR959" s="180">
        <f t="shared" si="315"/>
        <v>3920</v>
      </c>
      <c r="AS959" s="180">
        <f>((F933-$F933)*(('[2]Lake Pleasant Forecast'!B55-1526.8)/0.7702))/1000</f>
        <v>0</v>
      </c>
      <c r="AT959" s="180">
        <f t="shared" si="316"/>
        <v>28188</v>
      </c>
      <c r="AU959" s="304"/>
    </row>
    <row r="960" spans="1:50" ht="15.75" customHeight="1" x14ac:dyDescent="0.3">
      <c r="A960" s="192" t="s">
        <v>18</v>
      </c>
      <c r="B960" s="180">
        <f t="shared" ref="B960:Q960" si="325">(B931/$L$10/1.983)</f>
        <v>2687.7122205412675</v>
      </c>
      <c r="C960" s="180">
        <f t="shared" si="325"/>
        <v>2682.4004034291474</v>
      </c>
      <c r="D960" s="180">
        <f t="shared" si="325"/>
        <v>2677.3407295343754</v>
      </c>
      <c r="E960" s="180">
        <f t="shared" si="325"/>
        <v>2589.0233652714742</v>
      </c>
      <c r="F960" s="180">
        <f t="shared" si="325"/>
        <v>536.10690872415523</v>
      </c>
      <c r="G960" s="180">
        <f t="shared" si="325"/>
        <v>0</v>
      </c>
      <c r="H960" s="180">
        <f t="shared" si="325"/>
        <v>1346.4447806354008</v>
      </c>
      <c r="I960" s="180">
        <f t="shared" si="325"/>
        <v>501.41200201714571</v>
      </c>
      <c r="J960" s="180">
        <f t="shared" si="325"/>
        <v>382.77021348125731</v>
      </c>
      <c r="K960" s="180">
        <f t="shared" si="325"/>
        <v>320.37317196167419</v>
      </c>
      <c r="L960" s="180">
        <f t="shared" si="325"/>
        <v>295.44461253992267</v>
      </c>
      <c r="M960" s="180">
        <f t="shared" si="325"/>
        <v>294.87308791393508</v>
      </c>
      <c r="N960" s="180">
        <f t="shared" si="325"/>
        <v>276.14725163893092</v>
      </c>
      <c r="O960" s="180">
        <f t="shared" si="325"/>
        <v>68.095478231635568</v>
      </c>
      <c r="P960" s="180">
        <f t="shared" si="325"/>
        <v>87.947554210791722</v>
      </c>
      <c r="Q960" s="180">
        <f t="shared" si="325"/>
        <v>67.994620944696592</v>
      </c>
      <c r="R960" s="306"/>
      <c r="AC960" s="189" t="s">
        <v>695</v>
      </c>
      <c r="AD960" s="180">
        <f t="shared" si="306"/>
        <v>24800</v>
      </c>
      <c r="AE960" s="180">
        <f t="shared" si="307"/>
        <v>3162</v>
      </c>
      <c r="AF960" s="180">
        <f t="shared" si="308"/>
        <v>3317</v>
      </c>
      <c r="AG960" s="180">
        <f t="shared" si="309"/>
        <v>5675</v>
      </c>
      <c r="AH960" s="180">
        <f t="shared" si="310"/>
        <v>4573.4845905734319</v>
      </c>
      <c r="AI960" s="180"/>
      <c r="AJ960" s="180">
        <f t="shared" si="311"/>
        <v>41527.484590573433</v>
      </c>
      <c r="AK960" s="180"/>
      <c r="AL960" s="180"/>
      <c r="AM960" s="180"/>
      <c r="AN960" s="182" t="s">
        <v>695</v>
      </c>
      <c r="AO960" s="180">
        <f t="shared" si="312"/>
        <v>45934</v>
      </c>
      <c r="AP960" s="180">
        <f t="shared" si="313"/>
        <v>5833</v>
      </c>
      <c r="AQ960" s="180">
        <f t="shared" si="314"/>
        <v>6097</v>
      </c>
      <c r="AR960" s="180">
        <f t="shared" si="315"/>
        <v>9737</v>
      </c>
      <c r="AS960" s="180">
        <f>((F934-$F934)*(('[2]Lake Pleasant Forecast'!B57-1526.8)/0.7702))/1000</f>
        <v>0</v>
      </c>
      <c r="AT960" s="180">
        <f t="shared" si="316"/>
        <v>67601</v>
      </c>
      <c r="AU960" s="304"/>
    </row>
    <row r="961" spans="1:47" ht="15.75" customHeight="1" x14ac:dyDescent="0.3">
      <c r="A961" s="192" t="s">
        <v>20</v>
      </c>
      <c r="B961" s="180">
        <f t="shared" ref="B961:Q961" si="326">(B932/$N$10/1.983)</f>
        <v>2434.9714508808747</v>
      </c>
      <c r="C961" s="180">
        <f t="shared" si="326"/>
        <v>2430.3352691425503</v>
      </c>
      <c r="D961" s="180">
        <f t="shared" si="326"/>
        <v>2425.9105623607111</v>
      </c>
      <c r="E961" s="180">
        <f t="shared" si="326"/>
        <v>2339.2383648105674</v>
      </c>
      <c r="F961" s="180">
        <f t="shared" si="326"/>
        <v>640.89925658419145</v>
      </c>
      <c r="G961" s="180">
        <f t="shared" si="326"/>
        <v>0</v>
      </c>
      <c r="H961" s="180">
        <f t="shared" si="326"/>
        <v>1174.5481756218176</v>
      </c>
      <c r="I961" s="180">
        <f t="shared" si="326"/>
        <v>355.09898654693927</v>
      </c>
      <c r="J961" s="180">
        <f t="shared" si="326"/>
        <v>290.42018447123127</v>
      </c>
      <c r="K961" s="180">
        <f t="shared" si="326"/>
        <v>267.67849299692546</v>
      </c>
      <c r="L961" s="180">
        <f t="shared" si="326"/>
        <v>255.68948969466271</v>
      </c>
      <c r="M961" s="180">
        <f t="shared" si="326"/>
        <v>255.21773786865779</v>
      </c>
      <c r="N961" s="180">
        <f t="shared" si="326"/>
        <v>236.13618987197631</v>
      </c>
      <c r="O961" s="180">
        <f t="shared" si="326"/>
        <v>61.669350771883593</v>
      </c>
      <c r="P961" s="180">
        <f t="shared" si="326"/>
        <v>77.383566769150676</v>
      </c>
      <c r="Q961" s="180">
        <f t="shared" si="326"/>
        <v>61.588014250158601</v>
      </c>
      <c r="R961" s="306"/>
      <c r="AC961" s="179"/>
      <c r="AD961" s="180"/>
      <c r="AE961" s="180"/>
      <c r="AF961" s="180"/>
      <c r="AG961" s="180"/>
      <c r="AH961" s="180"/>
      <c r="AI961" s="180"/>
      <c r="AJ961" s="180"/>
      <c r="AK961" s="180"/>
      <c r="AL961" s="180"/>
      <c r="AM961" s="180"/>
      <c r="AN961" s="180"/>
      <c r="AO961" s="180"/>
      <c r="AP961" s="180"/>
      <c r="AQ961" s="180"/>
      <c r="AR961" s="180"/>
      <c r="AS961" s="180"/>
      <c r="AT961" s="180"/>
      <c r="AU961" s="304"/>
    </row>
    <row r="962" spans="1:47" ht="15.75" customHeight="1" thickBot="1" x14ac:dyDescent="0.35">
      <c r="A962" s="192" t="s">
        <v>21</v>
      </c>
      <c r="B962" s="180">
        <f t="shared" ref="B962:Q962" si="327">(B933/$O$10/1.983)</f>
        <v>2056.7154143553539</v>
      </c>
      <c r="C962" s="180">
        <f t="shared" si="327"/>
        <v>2052.7651706169104</v>
      </c>
      <c r="D962" s="180">
        <f t="shared" si="327"/>
        <v>2048.9662128088753</v>
      </c>
      <c r="E962" s="180">
        <f t="shared" si="327"/>
        <v>2018.3728357707178</v>
      </c>
      <c r="F962" s="180">
        <f t="shared" si="327"/>
        <v>1717.5155488317364</v>
      </c>
      <c r="G962" s="180">
        <f t="shared" si="327"/>
        <v>-29.971423768700618</v>
      </c>
      <c r="H962" s="180">
        <f t="shared" si="327"/>
        <v>108.53925029416708</v>
      </c>
      <c r="I962" s="180">
        <f t="shared" si="327"/>
        <v>20.255505126912084</v>
      </c>
      <c r="J962" s="180">
        <f t="shared" si="327"/>
        <v>19.885695074802484</v>
      </c>
      <c r="K962" s="180">
        <f t="shared" si="327"/>
        <v>18.776264918473693</v>
      </c>
      <c r="L962" s="180">
        <f t="shared" si="327"/>
        <v>17.650025214321733</v>
      </c>
      <c r="M962" s="180">
        <f t="shared" si="327"/>
        <v>17.263405614388972</v>
      </c>
      <c r="N962" s="180">
        <f t="shared" si="327"/>
        <v>13.716591023701461</v>
      </c>
      <c r="O962" s="180">
        <f t="shared" si="327"/>
        <v>13.296352328122373</v>
      </c>
      <c r="P962" s="180">
        <f t="shared" si="327"/>
        <v>71.961674230963183</v>
      </c>
      <c r="Q962" s="180">
        <f t="shared" si="327"/>
        <v>13.245923684652881</v>
      </c>
      <c r="R962" s="306"/>
      <c r="AC962" s="204" t="s">
        <v>641</v>
      </c>
      <c r="AD962" s="195">
        <f>SUM(AD949:AD960)</f>
        <v>376002</v>
      </c>
      <c r="AE962" s="195">
        <f>SUM(AE949:AE960)</f>
        <v>47935</v>
      </c>
      <c r="AF962" s="195">
        <f>SUM(AF949:AF960)</f>
        <v>50291</v>
      </c>
      <c r="AG962" s="195">
        <f>SUM(AG949:AG960)</f>
        <v>86044</v>
      </c>
      <c r="AH962" s="195">
        <f>SUM(AH949:AH960)</f>
        <v>74088.927185082284</v>
      </c>
      <c r="AI962" s="195"/>
      <c r="AJ962" s="195">
        <f>SUM(AJ949:AJ960)</f>
        <v>634360.92718508234</v>
      </c>
      <c r="AK962" s="195"/>
      <c r="AL962" s="195"/>
      <c r="AM962" s="195"/>
      <c r="AN962" s="205" t="s">
        <v>641</v>
      </c>
      <c r="AO962" s="195">
        <f t="shared" ref="AO962:AT962" si="328">SUM(AO949:AO960)</f>
        <v>998589</v>
      </c>
      <c r="AP962" s="195">
        <f t="shared" si="328"/>
        <v>126875</v>
      </c>
      <c r="AQ962" s="195">
        <f t="shared" si="328"/>
        <v>132687</v>
      </c>
      <c r="AR962" s="195">
        <f t="shared" si="328"/>
        <v>215737</v>
      </c>
      <c r="AS962" s="195">
        <f t="shared" si="328"/>
        <v>0</v>
      </c>
      <c r="AT962" s="195">
        <f t="shared" si="328"/>
        <v>1473888</v>
      </c>
      <c r="AU962" s="136"/>
    </row>
    <row r="963" spans="1:47" ht="15.75" customHeight="1" thickBot="1" x14ac:dyDescent="0.35">
      <c r="A963" s="206" t="s">
        <v>22</v>
      </c>
      <c r="B963" s="195">
        <f t="shared" ref="B963:Q963" si="329">(B934/$P$10/1.983)</f>
        <v>1202.3489987474177</v>
      </c>
      <c r="C963" s="195">
        <f t="shared" si="329"/>
        <v>1199.3232801392483</v>
      </c>
      <c r="D963" s="195">
        <f t="shared" si="329"/>
        <v>1196.4114326614936</v>
      </c>
      <c r="E963" s="195">
        <f t="shared" si="329"/>
        <v>1144.8278105835082</v>
      </c>
      <c r="F963" s="195">
        <f t="shared" si="329"/>
        <v>421.55092479625199</v>
      </c>
      <c r="G963" s="195">
        <f t="shared" si="329"/>
        <v>0</v>
      </c>
      <c r="H963" s="195">
        <f t="shared" si="329"/>
        <v>542.49833260130458</v>
      </c>
      <c r="I963" s="195">
        <f t="shared" si="329"/>
        <v>118.50731215330308</v>
      </c>
      <c r="J963" s="195">
        <f t="shared" si="329"/>
        <v>113.85486311063393</v>
      </c>
      <c r="K963" s="195">
        <f t="shared" si="329"/>
        <v>112.52094415434418</v>
      </c>
      <c r="L963" s="195">
        <f t="shared" si="329"/>
        <v>67.981064857742425</v>
      </c>
      <c r="M963" s="195">
        <f t="shared" si="329"/>
        <v>67.671986075187476</v>
      </c>
      <c r="N963" s="195">
        <f t="shared" si="329"/>
        <v>64.060644510598152</v>
      </c>
      <c r="O963" s="195">
        <f t="shared" si="329"/>
        <v>0.26027686951995183</v>
      </c>
      <c r="P963" s="195">
        <f t="shared" si="329"/>
        <v>61.897093032713542</v>
      </c>
      <c r="Q963" s="195">
        <f t="shared" si="329"/>
        <v>0.22774226082995785</v>
      </c>
      <c r="R963" s="196"/>
    </row>
    <row r="964" spans="1:47" ht="15.75" customHeight="1" x14ac:dyDescent="0.3">
      <c r="R964" s="351"/>
      <c r="AC964" s="360"/>
      <c r="AD964" s="423" t="s">
        <v>715</v>
      </c>
      <c r="AE964" s="427"/>
      <c r="AF964" s="427"/>
      <c r="AG964" s="427"/>
      <c r="AH964" s="427"/>
      <c r="AI964" s="427"/>
      <c r="AJ964" s="427"/>
      <c r="AK964" s="427"/>
      <c r="AL964" s="427"/>
      <c r="AM964" s="427"/>
      <c r="AN964" s="427"/>
      <c r="AO964" s="427"/>
      <c r="AP964" s="427"/>
      <c r="AQ964" s="427"/>
      <c r="AR964" s="354" t="str">
        <f>$Q$1</f>
        <v xml:space="preserve">PRINTED:  </v>
      </c>
      <c r="AS964" s="361">
        <f ca="1">$R$1</f>
        <v>44894.658168402777</v>
      </c>
    </row>
    <row r="965" spans="1:47" ht="15.75" customHeight="1" x14ac:dyDescent="0.3">
      <c r="R965" s="180"/>
      <c r="AC965" s="95"/>
      <c r="AD965" s="394" t="str">
        <f>+$A$8</f>
        <v>Revised:  11/4/2019</v>
      </c>
      <c r="AE965" s="396"/>
      <c r="AF965" s="396"/>
      <c r="AG965" s="396"/>
      <c r="AH965" s="396"/>
      <c r="AI965" s="396"/>
      <c r="AJ965" s="396"/>
      <c r="AK965" s="396"/>
      <c r="AL965" s="396"/>
      <c r="AM965" s="396"/>
      <c r="AN965" s="396"/>
      <c r="AO965" s="396"/>
      <c r="AP965" s="396"/>
      <c r="AQ965" s="396"/>
      <c r="AR965" s="192"/>
      <c r="AS965" s="304"/>
    </row>
    <row r="966" spans="1:47" ht="15.75" customHeight="1" x14ac:dyDescent="0.3">
      <c r="A966" s="192"/>
      <c r="AC966" s="95"/>
      <c r="AD966" s="394" t="s">
        <v>670</v>
      </c>
      <c r="AE966" s="397"/>
      <c r="AF966" s="397"/>
      <c r="AG966" s="397"/>
      <c r="AH966" s="397"/>
      <c r="AI966" s="397"/>
      <c r="AJ966" s="397"/>
      <c r="AK966" s="397"/>
      <c r="AL966" s="397"/>
      <c r="AM966" s="397"/>
      <c r="AN966" s="397"/>
      <c r="AO966" s="397"/>
      <c r="AP966" s="397"/>
      <c r="AQ966" s="397"/>
      <c r="AS966" s="304"/>
    </row>
    <row r="967" spans="1:47" ht="15.75" customHeight="1" x14ac:dyDescent="0.3">
      <c r="A967" s="192"/>
      <c r="AC967" s="95"/>
      <c r="AS967" s="304"/>
    </row>
    <row r="968" spans="1:47" ht="15.75" customHeight="1" thickBot="1" x14ac:dyDescent="0.35">
      <c r="A968" s="192"/>
      <c r="AC968" s="95"/>
      <c r="AD968" s="395">
        <f>$A$5</f>
        <v>2019</v>
      </c>
      <c r="AE968" s="397"/>
      <c r="AF968" s="397"/>
      <c r="AG968" s="397"/>
      <c r="AH968" s="397"/>
      <c r="AI968" s="397"/>
      <c r="AJ968" s="397"/>
      <c r="AK968" s="397"/>
      <c r="AL968" s="397"/>
      <c r="AM968" s="397"/>
      <c r="AN968" s="397"/>
      <c r="AO968" s="397"/>
      <c r="AP968" s="397"/>
      <c r="AQ968" s="397"/>
      <c r="AS968" s="304"/>
    </row>
    <row r="969" spans="1:47" ht="15.75" customHeight="1" x14ac:dyDescent="0.3">
      <c r="A969" s="356"/>
      <c r="B969" s="423" t="s">
        <v>716</v>
      </c>
      <c r="C969" s="423"/>
      <c r="D969" s="423"/>
      <c r="E969" s="423"/>
      <c r="F969" s="423"/>
      <c r="G969" s="423"/>
      <c r="H969" s="423"/>
      <c r="I969" s="423"/>
      <c r="J969" s="423"/>
      <c r="K969" s="423"/>
      <c r="L969" s="423"/>
      <c r="M969" s="423"/>
      <c r="N969" s="423"/>
      <c r="O969" s="423"/>
      <c r="P969" s="423"/>
      <c r="Q969" s="354" t="str">
        <f>+Q1</f>
        <v xml:space="preserve">PRINTED:  </v>
      </c>
      <c r="R969" s="355">
        <f ca="1">+R1</f>
        <v>44894.658168402777</v>
      </c>
      <c r="AC969" s="95"/>
      <c r="AD969" s="394" t="s">
        <v>717</v>
      </c>
      <c r="AE969" s="396"/>
      <c r="AF969" s="396"/>
      <c r="AG969" s="396"/>
      <c r="AH969" s="396"/>
      <c r="AI969" s="396"/>
      <c r="AJ969" s="396"/>
      <c r="AK969" s="396"/>
      <c r="AL969" s="396"/>
      <c r="AM969" s="396"/>
      <c r="AN969" s="396"/>
      <c r="AO969" s="396"/>
      <c r="AP969" s="396"/>
      <c r="AQ969" s="396"/>
      <c r="AR969" s="182"/>
      <c r="AS969" s="304"/>
    </row>
    <row r="970" spans="1:47" ht="16.5" customHeight="1" x14ac:dyDescent="0.3">
      <c r="A970" s="189"/>
      <c r="B970" s="394" t="str">
        <f>+A8</f>
        <v>Revised:  11/4/2019</v>
      </c>
      <c r="C970" s="394"/>
      <c r="D970" s="394"/>
      <c r="E970" s="394"/>
      <c r="F970" s="394"/>
      <c r="G970" s="394"/>
      <c r="H970" s="394"/>
      <c r="I970" s="394"/>
      <c r="J970" s="394"/>
      <c r="K970" s="394"/>
      <c r="L970" s="394"/>
      <c r="M970" s="394"/>
      <c r="N970" s="394"/>
      <c r="O970" s="394"/>
      <c r="P970" s="394"/>
      <c r="Q970" s="180"/>
      <c r="R970" s="306"/>
      <c r="AC970" s="95"/>
      <c r="AK970" s="190"/>
      <c r="AS970" s="304"/>
    </row>
    <row r="971" spans="1:47" ht="15.75" customHeight="1" thickBot="1" x14ac:dyDescent="0.35">
      <c r="A971" s="189"/>
      <c r="B971" s="394" t="s">
        <v>670</v>
      </c>
      <c r="C971" s="394"/>
      <c r="D971" s="394"/>
      <c r="E971" s="394"/>
      <c r="F971" s="394"/>
      <c r="G971" s="394"/>
      <c r="H971" s="394"/>
      <c r="I971" s="394"/>
      <c r="J971" s="394"/>
      <c r="K971" s="394"/>
      <c r="L971" s="394"/>
      <c r="M971" s="394"/>
      <c r="N971" s="394"/>
      <c r="O971" s="394"/>
      <c r="P971" s="394"/>
      <c r="Q971" s="180"/>
      <c r="R971" s="306"/>
      <c r="AC971" s="95"/>
      <c r="AD971" s="191" t="s">
        <v>677</v>
      </c>
      <c r="AE971" s="191" t="s">
        <v>678</v>
      </c>
      <c r="AF971" s="191" t="s">
        <v>679</v>
      </c>
      <c r="AG971" s="191" t="s">
        <v>680</v>
      </c>
      <c r="AH971" s="191" t="s">
        <v>644</v>
      </c>
      <c r="AI971" s="191" t="s">
        <v>681</v>
      </c>
      <c r="AJ971" s="191" t="s">
        <v>682</v>
      </c>
      <c r="AK971" s="191" t="s">
        <v>683</v>
      </c>
      <c r="AL971" s="191" t="s">
        <v>684</v>
      </c>
      <c r="AM971" s="191" t="s">
        <v>685</v>
      </c>
      <c r="AN971" s="191" t="s">
        <v>686</v>
      </c>
      <c r="AO971" s="191" t="s">
        <v>687</v>
      </c>
      <c r="AP971" s="191" t="s">
        <v>688</v>
      </c>
      <c r="AQ971" s="191" t="s">
        <v>689</v>
      </c>
      <c r="AR971" s="191" t="s">
        <v>638</v>
      </c>
      <c r="AS971" s="209" t="s">
        <v>641</v>
      </c>
    </row>
    <row r="972" spans="1:47" ht="15.75" customHeight="1" x14ac:dyDescent="0.3">
      <c r="A972" s="189"/>
      <c r="B972" s="180"/>
      <c r="C972" s="180"/>
      <c r="D972" s="180"/>
      <c r="E972" s="180"/>
      <c r="F972" s="180"/>
      <c r="G972" s="180"/>
      <c r="H972" s="180"/>
      <c r="I972" s="180"/>
      <c r="J972" s="180"/>
      <c r="K972" s="180"/>
      <c r="L972" s="180"/>
      <c r="M972" s="180"/>
      <c r="N972" s="180"/>
      <c r="O972" s="180"/>
      <c r="P972" s="180"/>
      <c r="Q972" s="180"/>
      <c r="R972" s="306"/>
      <c r="AC972" s="95"/>
      <c r="AD972" s="180"/>
      <c r="AE972" s="180"/>
      <c r="AF972" s="180"/>
      <c r="AG972" s="180"/>
      <c r="AH972" s="182" t="s">
        <v>718</v>
      </c>
      <c r="AI972" s="180"/>
      <c r="AJ972" s="180"/>
      <c r="AK972" s="180"/>
      <c r="AL972" s="180"/>
      <c r="AM972" s="180"/>
      <c r="AN972" s="180"/>
      <c r="AO972" s="180"/>
      <c r="AP972" s="180"/>
      <c r="AQ972" s="180"/>
      <c r="AR972" s="180"/>
      <c r="AS972" s="210"/>
    </row>
    <row r="973" spans="1:47" ht="15.75" customHeight="1" x14ac:dyDescent="0.3">
      <c r="A973" s="189"/>
      <c r="B973" s="395">
        <f>A5</f>
        <v>2019</v>
      </c>
      <c r="C973" s="395"/>
      <c r="D973" s="395"/>
      <c r="E973" s="395"/>
      <c r="F973" s="395"/>
      <c r="G973" s="395"/>
      <c r="H973" s="395"/>
      <c r="I973" s="395"/>
      <c r="J973" s="395"/>
      <c r="K973" s="395"/>
      <c r="L973" s="395"/>
      <c r="M973" s="395"/>
      <c r="N973" s="395"/>
      <c r="O973" s="395"/>
      <c r="P973" s="395"/>
      <c r="Q973" s="180"/>
      <c r="R973" s="306"/>
      <c r="S973" s="180"/>
      <c r="AC973" s="211" t="s">
        <v>719</v>
      </c>
      <c r="AD973" s="212">
        <v>1.7000000000000001E-2</v>
      </c>
      <c r="AE973" s="212">
        <v>1.7000000000000001E-2</v>
      </c>
      <c r="AF973" s="212">
        <v>1.7000000000000001E-2</v>
      </c>
      <c r="AG973" s="212">
        <v>1.7000000000000001E-2</v>
      </c>
      <c r="AH973" s="212"/>
      <c r="AI973" s="212"/>
      <c r="AJ973" s="212"/>
      <c r="AK973" s="212"/>
      <c r="AL973" s="212"/>
      <c r="AM973" s="212"/>
      <c r="AN973" s="212"/>
      <c r="AO973" s="212"/>
      <c r="AP973" s="212"/>
      <c r="AQ973" s="212"/>
      <c r="AR973" s="212"/>
      <c r="AS973" s="213"/>
    </row>
    <row r="974" spans="1:47" ht="15.75" customHeight="1" x14ac:dyDescent="0.3">
      <c r="A974" s="189"/>
      <c r="B974" s="394" t="s">
        <v>717</v>
      </c>
      <c r="C974" s="394"/>
      <c r="D974" s="394"/>
      <c r="E974" s="394"/>
      <c r="F974" s="394"/>
      <c r="G974" s="394"/>
      <c r="H974" s="394"/>
      <c r="I974" s="394"/>
      <c r="J974" s="394"/>
      <c r="K974" s="394"/>
      <c r="L974" s="394"/>
      <c r="M974" s="394"/>
      <c r="N974" s="394"/>
      <c r="O974" s="394"/>
      <c r="P974" s="394"/>
      <c r="Q974" s="180"/>
      <c r="R974" s="306"/>
      <c r="S974" s="180"/>
      <c r="AC974" s="211" t="s">
        <v>720</v>
      </c>
      <c r="AD974" s="212"/>
      <c r="AE974" s="212">
        <v>0.03</v>
      </c>
      <c r="AF974" s="212"/>
      <c r="AG974" s="212"/>
      <c r="AH974" s="212"/>
      <c r="AI974" s="212"/>
      <c r="AJ974" s="212"/>
      <c r="AK974" s="212"/>
      <c r="AL974" s="212"/>
      <c r="AM974" s="212">
        <v>0.03</v>
      </c>
      <c r="AN974" s="212">
        <v>0.03</v>
      </c>
      <c r="AO974" s="212">
        <v>0.03</v>
      </c>
      <c r="AP974" s="212">
        <v>0.03</v>
      </c>
      <c r="AQ974" s="212">
        <v>0.03</v>
      </c>
      <c r="AR974" s="212">
        <v>0.03</v>
      </c>
      <c r="AS974" s="213"/>
    </row>
    <row r="975" spans="1:47" ht="15.75" customHeight="1" x14ac:dyDescent="0.3">
      <c r="A975" s="189"/>
      <c r="B975" s="180"/>
      <c r="C975" s="180"/>
      <c r="D975" s="180"/>
      <c r="E975" s="180"/>
      <c r="F975" s="180"/>
      <c r="G975" s="180"/>
      <c r="H975" s="180"/>
      <c r="I975" s="180"/>
      <c r="J975" s="180"/>
      <c r="K975" s="180"/>
      <c r="L975" s="180"/>
      <c r="M975" s="180"/>
      <c r="N975" s="180"/>
      <c r="O975" s="180"/>
      <c r="P975" s="180"/>
      <c r="Q975" s="180"/>
      <c r="R975" s="306"/>
      <c r="S975" s="180"/>
      <c r="AC975" s="211" t="s">
        <v>721</v>
      </c>
      <c r="AD975" s="212"/>
      <c r="AE975" s="212"/>
      <c r="AF975" s="212">
        <v>0.03</v>
      </c>
      <c r="AG975" s="212">
        <v>0.03</v>
      </c>
      <c r="AH975" s="212"/>
      <c r="AI975" s="212"/>
      <c r="AJ975" s="212"/>
      <c r="AK975" s="212"/>
      <c r="AL975" s="212"/>
      <c r="AM975" s="212"/>
      <c r="AN975" s="212"/>
      <c r="AO975" s="212"/>
      <c r="AP975" s="212"/>
      <c r="AQ975" s="212"/>
      <c r="AR975" s="212"/>
      <c r="AS975" s="213"/>
    </row>
    <row r="976" spans="1:47" ht="15.75" customHeight="1" thickBot="1" x14ac:dyDescent="0.35">
      <c r="A976" s="189" t="s">
        <v>647</v>
      </c>
      <c r="B976" s="191" t="s">
        <v>677</v>
      </c>
      <c r="C976" s="191" t="s">
        <v>678</v>
      </c>
      <c r="D976" s="191" t="s">
        <v>679</v>
      </c>
      <c r="E976" s="191" t="s">
        <v>680</v>
      </c>
      <c r="F976" s="191" t="s">
        <v>644</v>
      </c>
      <c r="G976" s="191" t="s">
        <v>644</v>
      </c>
      <c r="H976" s="191" t="s">
        <v>681</v>
      </c>
      <c r="I976" s="191" t="s">
        <v>682</v>
      </c>
      <c r="J976" s="191" t="s">
        <v>683</v>
      </c>
      <c r="K976" s="191" t="s">
        <v>684</v>
      </c>
      <c r="L976" s="191" t="s">
        <v>685</v>
      </c>
      <c r="M976" s="191" t="s">
        <v>686</v>
      </c>
      <c r="N976" s="191" t="s">
        <v>687</v>
      </c>
      <c r="O976" s="191" t="s">
        <v>688</v>
      </c>
      <c r="P976" s="191" t="s">
        <v>689</v>
      </c>
      <c r="Q976" s="191" t="s">
        <v>638</v>
      </c>
      <c r="R976" s="209" t="s">
        <v>641</v>
      </c>
      <c r="S976" s="182"/>
      <c r="AC976" s="211" t="s">
        <v>137</v>
      </c>
      <c r="AD976" s="212"/>
      <c r="AE976" s="212"/>
      <c r="AF976" s="212"/>
      <c r="AG976" s="212"/>
      <c r="AH976" s="212"/>
      <c r="AI976" s="212">
        <v>0.03</v>
      </c>
      <c r="AJ976" s="212"/>
      <c r="AK976" s="212"/>
      <c r="AL976" s="212"/>
      <c r="AM976" s="212"/>
      <c r="AN976" s="212"/>
      <c r="AO976" s="212"/>
      <c r="AP976" s="212"/>
      <c r="AQ976" s="212"/>
      <c r="AR976" s="212"/>
      <c r="AS976" s="213"/>
    </row>
    <row r="977" spans="1:48" ht="15.75" customHeight="1" x14ac:dyDescent="0.3">
      <c r="A977" s="189"/>
      <c r="B977" s="180"/>
      <c r="C977" s="180"/>
      <c r="D977" s="180"/>
      <c r="E977" s="180"/>
      <c r="F977" s="182" t="s">
        <v>127</v>
      </c>
      <c r="G977" s="182" t="s">
        <v>653</v>
      </c>
      <c r="H977" s="180"/>
      <c r="I977" s="180"/>
      <c r="J977" s="180"/>
      <c r="K977" s="180"/>
      <c r="L977" s="180"/>
      <c r="M977" s="180"/>
      <c r="N977" s="180"/>
      <c r="O977" s="180"/>
      <c r="P977" s="180"/>
      <c r="Q977" s="180"/>
      <c r="R977" s="213" t="s">
        <v>722</v>
      </c>
      <c r="S977" s="182"/>
      <c r="AC977" s="211" t="s">
        <v>723</v>
      </c>
      <c r="AD977" s="212">
        <v>0.03</v>
      </c>
      <c r="AE977" s="212"/>
      <c r="AF977" s="212"/>
      <c r="AG977" s="212"/>
      <c r="AH977" s="212"/>
      <c r="AI977" s="212"/>
      <c r="AJ977" s="212">
        <v>0.03</v>
      </c>
      <c r="AK977" s="212">
        <v>0.03</v>
      </c>
      <c r="AL977" s="212">
        <v>0.03</v>
      </c>
      <c r="AM977" s="212"/>
      <c r="AN977" s="212"/>
      <c r="AO977" s="212"/>
      <c r="AP977" s="212"/>
      <c r="AQ977" s="212"/>
      <c r="AR977" s="212"/>
      <c r="AS977" s="213"/>
    </row>
    <row r="978" spans="1:48" ht="15.75" customHeight="1" x14ac:dyDescent="0.3">
      <c r="A978" s="189" t="s">
        <v>724</v>
      </c>
      <c r="B978" s="214">
        <v>957</v>
      </c>
      <c r="C978" s="214">
        <v>122</v>
      </c>
      <c r="D978" s="214">
        <v>128</v>
      </c>
      <c r="E978" s="214">
        <v>219</v>
      </c>
      <c r="F978" s="214"/>
      <c r="G978" s="214"/>
      <c r="H978" s="214">
        <v>97</v>
      </c>
      <c r="I978" s="214">
        <v>160</v>
      </c>
      <c r="J978" s="214">
        <v>250</v>
      </c>
      <c r="K978" s="214">
        <v>260</v>
      </c>
      <c r="L978" s="214">
        <v>100</v>
      </c>
      <c r="M978" s="214">
        <v>118</v>
      </c>
      <c r="N978" s="214">
        <v>250</v>
      </c>
      <c r="O978" s="214">
        <v>190</v>
      </c>
      <c r="P978" s="214">
        <v>340</v>
      </c>
      <c r="Q978" s="214">
        <v>450</v>
      </c>
      <c r="R978" s="213" t="s">
        <v>658</v>
      </c>
      <c r="S978" s="182"/>
      <c r="AC978" s="211" t="s">
        <v>641</v>
      </c>
      <c r="AD978" s="215">
        <f>SUM(AD973:AD977)</f>
        <v>4.7E-2</v>
      </c>
      <c r="AE978" s="215">
        <f t="shared" ref="AE978:AR978" si="330">SUM(AE973:AE977)</f>
        <v>4.7E-2</v>
      </c>
      <c r="AF978" s="215">
        <f t="shared" si="330"/>
        <v>4.7E-2</v>
      </c>
      <c r="AG978" s="215">
        <f t="shared" si="330"/>
        <v>4.7E-2</v>
      </c>
      <c r="AH978" s="215">
        <f t="shared" si="330"/>
        <v>0</v>
      </c>
      <c r="AI978" s="215">
        <f t="shared" si="330"/>
        <v>0.03</v>
      </c>
      <c r="AJ978" s="215">
        <f t="shared" si="330"/>
        <v>0.03</v>
      </c>
      <c r="AK978" s="215">
        <f t="shared" si="330"/>
        <v>0.03</v>
      </c>
      <c r="AL978" s="215">
        <f t="shared" si="330"/>
        <v>0.03</v>
      </c>
      <c r="AM978" s="215">
        <f t="shared" si="330"/>
        <v>0.03</v>
      </c>
      <c r="AN978" s="215">
        <f t="shared" si="330"/>
        <v>0.03</v>
      </c>
      <c r="AO978" s="215">
        <f t="shared" si="330"/>
        <v>0.03</v>
      </c>
      <c r="AP978" s="215">
        <f t="shared" si="330"/>
        <v>0.03</v>
      </c>
      <c r="AQ978" s="215">
        <f t="shared" si="330"/>
        <v>0.03</v>
      </c>
      <c r="AR978" s="215">
        <f t="shared" si="330"/>
        <v>0.03</v>
      </c>
      <c r="AS978" s="213"/>
      <c r="AU978" s="192" t="s">
        <v>725</v>
      </c>
      <c r="AV978" s="4" t="s">
        <v>726</v>
      </c>
    </row>
    <row r="979" spans="1:48" ht="15.75" customHeight="1" x14ac:dyDescent="0.3">
      <c r="A979" s="189"/>
      <c r="B979" s="182" t="s">
        <v>666</v>
      </c>
      <c r="C979" s="182" t="s">
        <v>666</v>
      </c>
      <c r="D979" s="182" t="s">
        <v>666</v>
      </c>
      <c r="E979" s="182" t="s">
        <v>666</v>
      </c>
      <c r="F979" s="182" t="s">
        <v>666</v>
      </c>
      <c r="G979" s="182" t="s">
        <v>666</v>
      </c>
      <c r="H979" s="182" t="s">
        <v>666</v>
      </c>
      <c r="I979" s="182" t="s">
        <v>666</v>
      </c>
      <c r="J979" s="182" t="s">
        <v>666</v>
      </c>
      <c r="K979" s="182" t="s">
        <v>666</v>
      </c>
      <c r="L979" s="182" t="s">
        <v>666</v>
      </c>
      <c r="M979" s="182" t="s">
        <v>666</v>
      </c>
      <c r="N979" s="182" t="s">
        <v>666</v>
      </c>
      <c r="O979" s="182" t="s">
        <v>666</v>
      </c>
      <c r="P979" s="182" t="s">
        <v>666</v>
      </c>
      <c r="Q979" s="182" t="s">
        <v>666</v>
      </c>
      <c r="R979" s="213" t="s">
        <v>714</v>
      </c>
      <c r="S979" s="182"/>
      <c r="T979" s="182"/>
      <c r="AC979" s="189" t="s">
        <v>666</v>
      </c>
      <c r="AD979" s="182" t="s">
        <v>666</v>
      </c>
      <c r="AE979" s="182" t="s">
        <v>666</v>
      </c>
      <c r="AF979" s="182" t="s">
        <v>666</v>
      </c>
      <c r="AG979" s="182" t="s">
        <v>666</v>
      </c>
      <c r="AH979" s="182" t="s">
        <v>666</v>
      </c>
      <c r="AI979" s="182" t="s">
        <v>666</v>
      </c>
      <c r="AJ979" s="182" t="s">
        <v>666</v>
      </c>
      <c r="AK979" s="182" t="s">
        <v>666</v>
      </c>
      <c r="AL979" s="182" t="s">
        <v>666</v>
      </c>
      <c r="AM979" s="182" t="s">
        <v>666</v>
      </c>
      <c r="AN979" s="182" t="s">
        <v>666</v>
      </c>
      <c r="AO979" s="182" t="s">
        <v>666</v>
      </c>
      <c r="AP979" s="182" t="s">
        <v>666</v>
      </c>
      <c r="AQ979" s="182" t="s">
        <v>666</v>
      </c>
      <c r="AR979" s="182" t="s">
        <v>666</v>
      </c>
      <c r="AS979" s="213" t="s">
        <v>666</v>
      </c>
    </row>
    <row r="980" spans="1:48" ht="15.75" customHeight="1" x14ac:dyDescent="0.3">
      <c r="A980" s="192" t="s">
        <v>8</v>
      </c>
      <c r="B980" s="180">
        <f>ROUND((B923*$B$978)/1000,0)</f>
        <v>83585</v>
      </c>
      <c r="C980" s="180">
        <f t="shared" ref="C980:C991" si="331">ROUND((C923*$C$978)/1000,0)</f>
        <v>10644</v>
      </c>
      <c r="D980" s="180">
        <f t="shared" ref="D980:D991" si="332">ROUND((D923*$D$978)/1000,0)</f>
        <v>11155</v>
      </c>
      <c r="E980" s="180">
        <f t="shared" ref="E980:E991" si="333">ROUND((E923*$E$978)/1000,0)</f>
        <v>18939</v>
      </c>
      <c r="F980" s="180">
        <f>(F923*((T923-1526.8)/0.7702))/1000</f>
        <v>12662.387926278832</v>
      </c>
      <c r="G980" s="180">
        <f t="shared" ref="G980:G991" si="334">(G923*((T923-1591.4)/0.6635))/1000</f>
        <v>-2506.933714525439</v>
      </c>
      <c r="H980" s="180">
        <f t="shared" ref="H980:H991" si="335">ROUND((H923*$H$978)/1000,0)</f>
        <v>2355</v>
      </c>
      <c r="I980" s="180">
        <f t="shared" ref="I980:I991" si="336">ROUND((I923*$I$978)/1000,0)</f>
        <v>2431</v>
      </c>
      <c r="J980" s="180">
        <f t="shared" ref="J980:J991" si="337">ROUND((J923*$J$978)/1000,0)</f>
        <v>3794</v>
      </c>
      <c r="K980" s="180">
        <f t="shared" ref="K980:K991" si="338">ROUND((K923*$K$978)/1000,0)</f>
        <v>3940</v>
      </c>
      <c r="L980" s="180">
        <f t="shared" ref="L980:L991" si="339">ROUND((L923*$L$978)/1000,0)</f>
        <v>1279</v>
      </c>
      <c r="M980" s="180">
        <f t="shared" ref="M980:M991" si="340">ROUND((M923*$M$978)/1000,0)</f>
        <v>1507</v>
      </c>
      <c r="N980" s="180">
        <f t="shared" ref="N980:N991" si="341">ROUND((N923*$N$978)/1000,0)</f>
        <v>3091</v>
      </c>
      <c r="O980" s="180">
        <f t="shared" ref="O980:O991" si="342">ROUND((O923*$O$978)/1000,0)</f>
        <v>663</v>
      </c>
      <c r="P980" s="180">
        <f t="shared" ref="P980:P991" si="343">ROUND((P923*$P$978)/1000,0)</f>
        <v>1294</v>
      </c>
      <c r="Q980" s="180">
        <f t="shared" ref="Q980:Q991" si="344">ROUND((Q923*$Q$978)/1000,0)</f>
        <v>1570</v>
      </c>
      <c r="R980" s="216">
        <f>(SUM(B980:Q980))</f>
        <v>156402.45421175341</v>
      </c>
      <c r="S980" s="217"/>
      <c r="AC980" s="211" t="s">
        <v>8</v>
      </c>
      <c r="AD980" s="180">
        <f>ROUND(B980*$AD$978, 0)</f>
        <v>3928</v>
      </c>
      <c r="AE980" s="180">
        <f>ROUND(C980*$AE$978,0)</f>
        <v>500</v>
      </c>
      <c r="AF980" s="180">
        <f>ROUND(D980*$AF$978,0)</f>
        <v>524</v>
      </c>
      <c r="AG980" s="180">
        <f>ROUND(E980*$AG$978,0)</f>
        <v>890</v>
      </c>
      <c r="AH980" s="180">
        <f>ROUND(F980*$AH$978,0)</f>
        <v>0</v>
      </c>
      <c r="AI980" s="180">
        <f>ROUND(H980*$AI$978,0)</f>
        <v>71</v>
      </c>
      <c r="AJ980" s="180">
        <f>ROUND(I980*$AJ$978,0)</f>
        <v>73</v>
      </c>
      <c r="AK980" s="180">
        <f>ROUND(J980*$AK$978,0)</f>
        <v>114</v>
      </c>
      <c r="AL980" s="180">
        <f>ROUND(K980*$AL$978,0)</f>
        <v>118</v>
      </c>
      <c r="AM980" s="180">
        <f>ROUND(L980*$AM$978,0)</f>
        <v>38</v>
      </c>
      <c r="AN980" s="180">
        <f>ROUND(M980*$AN$978,0)</f>
        <v>45</v>
      </c>
      <c r="AO980" s="180">
        <f>ROUND(N980*$AO$978,0)</f>
        <v>93</v>
      </c>
      <c r="AP980" s="180">
        <f>ROUND(O980*$AP$978,0)</f>
        <v>20</v>
      </c>
      <c r="AQ980" s="180">
        <f>ROUND(P980*$AQ$978,0)</f>
        <v>39</v>
      </c>
      <c r="AR980" s="180">
        <f>ROUND(Q980*$AR$978,0)</f>
        <v>47</v>
      </c>
      <c r="AS980" s="210">
        <f>SUM(AD980:AR980)</f>
        <v>6500</v>
      </c>
      <c r="AU980" s="218">
        <f>AS980/R980</f>
        <v>4.1559450155428154E-2</v>
      </c>
    </row>
    <row r="981" spans="1:48" ht="15.75" customHeight="1" x14ac:dyDescent="0.3">
      <c r="A981" s="192" t="s">
        <v>9</v>
      </c>
      <c r="B981" s="180">
        <f t="shared" ref="B981:B991" si="345">ROUND((B924*$B$978)/1000,0)</f>
        <v>144871</v>
      </c>
      <c r="C981" s="180">
        <f t="shared" si="331"/>
        <v>18450</v>
      </c>
      <c r="D981" s="180">
        <f t="shared" si="332"/>
        <v>19339</v>
      </c>
      <c r="E981" s="180">
        <f t="shared" si="333"/>
        <v>32983</v>
      </c>
      <c r="F981" s="180">
        <f t="shared" ref="F981:F991" si="346">(F924*((T924-1526.8)/0.7702))/1000</f>
        <v>20718.822760321993</v>
      </c>
      <c r="G981" s="180">
        <f>(G924*((T924-1591.4)/0.6635))/1000</f>
        <v>0</v>
      </c>
      <c r="H981" s="180">
        <f t="shared" si="335"/>
        <v>3013</v>
      </c>
      <c r="I981" s="180">
        <f t="shared" si="336"/>
        <v>2365</v>
      </c>
      <c r="J981" s="180">
        <f t="shared" si="337"/>
        <v>3691</v>
      </c>
      <c r="K981" s="180">
        <f t="shared" si="338"/>
        <v>3827</v>
      </c>
      <c r="L981" s="180">
        <f t="shared" si="339"/>
        <v>997</v>
      </c>
      <c r="M981" s="180">
        <f t="shared" si="340"/>
        <v>1174</v>
      </c>
      <c r="N981" s="180">
        <f t="shared" si="341"/>
        <v>2296</v>
      </c>
      <c r="O981" s="180">
        <f t="shared" si="342"/>
        <v>644</v>
      </c>
      <c r="P981" s="180">
        <f t="shared" si="343"/>
        <v>1294</v>
      </c>
      <c r="Q981" s="180">
        <f t="shared" si="344"/>
        <v>1524</v>
      </c>
      <c r="R981" s="216">
        <f>(SUM(B981:Q981))</f>
        <v>257186.82276032199</v>
      </c>
      <c r="S981" s="217"/>
      <c r="AC981" s="211" t="s">
        <v>9</v>
      </c>
      <c r="AD981" s="180">
        <f t="shared" ref="AD981:AD991" si="347">ROUND(B981*$AD$978, 0)</f>
        <v>6809</v>
      </c>
      <c r="AE981" s="180">
        <f t="shared" ref="AE981:AE991" si="348">ROUND(C981*$AE$978,0)</f>
        <v>867</v>
      </c>
      <c r="AF981" s="180">
        <f t="shared" ref="AF981:AF991" si="349">ROUND(D981*$AF$978,0)</f>
        <v>909</v>
      </c>
      <c r="AG981" s="180">
        <f t="shared" ref="AG981:AG991" si="350">ROUND(E981*$AG$978,0)</f>
        <v>1550</v>
      </c>
      <c r="AH981" s="180">
        <f t="shared" ref="AH981:AH991" si="351">ROUND(F981*$AH$978,0)</f>
        <v>0</v>
      </c>
      <c r="AI981" s="180">
        <f t="shared" ref="AI981:AI991" si="352">ROUND(H981*$AI$978,0)</f>
        <v>90</v>
      </c>
      <c r="AJ981" s="180">
        <f t="shared" ref="AJ981:AJ991" si="353">ROUND(I981*$AJ$978,0)</f>
        <v>71</v>
      </c>
      <c r="AK981" s="180">
        <f t="shared" ref="AK981:AK991" si="354">ROUND(J981*$AK$978,0)</f>
        <v>111</v>
      </c>
      <c r="AL981" s="180">
        <f t="shared" ref="AL981:AL991" si="355">ROUND(K981*$AL$978,0)</f>
        <v>115</v>
      </c>
      <c r="AM981" s="180">
        <f t="shared" ref="AM981:AM991" si="356">ROUND(L981*$AM$978,0)</f>
        <v>30</v>
      </c>
      <c r="AN981" s="180">
        <f t="shared" ref="AN981:AN991" si="357">ROUND(M981*$AN$978,0)</f>
        <v>35</v>
      </c>
      <c r="AO981" s="180">
        <f t="shared" ref="AO981:AO991" si="358">ROUND(N981*$AO$978,0)</f>
        <v>69</v>
      </c>
      <c r="AP981" s="180">
        <f t="shared" ref="AP981:AP991" si="359">ROUND(O981*$AP$978,0)</f>
        <v>19</v>
      </c>
      <c r="AQ981" s="180">
        <f t="shared" ref="AQ981:AQ991" si="360">ROUND(P981*$AQ$978,0)</f>
        <v>39</v>
      </c>
      <c r="AR981" s="180">
        <f t="shared" ref="AR981:AR991" si="361">ROUND(Q981*$AR$978,0)</f>
        <v>46</v>
      </c>
      <c r="AS981" s="210">
        <f t="shared" ref="AS981:AS991" si="362">SUM(AD981:AR981)</f>
        <v>10760</v>
      </c>
      <c r="AU981" s="218">
        <f t="shared" ref="AU981:AU993" si="363">AS981/R981</f>
        <v>4.1837291213117397E-2</v>
      </c>
    </row>
    <row r="982" spans="1:48" ht="15.75" customHeight="1" x14ac:dyDescent="0.3">
      <c r="A982" s="192" t="s">
        <v>10</v>
      </c>
      <c r="B982" s="180">
        <f t="shared" si="345"/>
        <v>79184</v>
      </c>
      <c r="C982" s="180">
        <f t="shared" si="331"/>
        <v>10061</v>
      </c>
      <c r="D982" s="180">
        <f t="shared" si="332"/>
        <v>10522</v>
      </c>
      <c r="E982" s="180">
        <f t="shared" si="333"/>
        <v>17554</v>
      </c>
      <c r="F982" s="180">
        <f t="shared" si="346"/>
        <v>13.27582446117894</v>
      </c>
      <c r="G982" s="180">
        <f t="shared" si="334"/>
        <v>-19.202170308967627</v>
      </c>
      <c r="H982" s="180">
        <f t="shared" si="335"/>
        <v>5434</v>
      </c>
      <c r="I982" s="180">
        <f t="shared" si="336"/>
        <v>3843</v>
      </c>
      <c r="J982" s="180">
        <f t="shared" si="337"/>
        <v>5349</v>
      </c>
      <c r="K982" s="180">
        <f t="shared" si="338"/>
        <v>5387</v>
      </c>
      <c r="L982" s="180">
        <f t="shared" si="339"/>
        <v>1475</v>
      </c>
      <c r="M982" s="180">
        <f t="shared" si="340"/>
        <v>1737</v>
      </c>
      <c r="N982" s="180">
        <f t="shared" si="341"/>
        <v>3406</v>
      </c>
      <c r="O982" s="180">
        <f t="shared" si="342"/>
        <v>621</v>
      </c>
      <c r="P982" s="180">
        <f t="shared" si="343"/>
        <v>1617</v>
      </c>
      <c r="Q982" s="180">
        <f t="shared" si="344"/>
        <v>1467</v>
      </c>
      <c r="R982" s="216">
        <f t="shared" ref="R982:R991" si="364">(SUM(B982:Q982))</f>
        <v>147651.07365415222</v>
      </c>
      <c r="S982" s="217"/>
      <c r="AC982" s="211" t="s">
        <v>10</v>
      </c>
      <c r="AD982" s="180">
        <f t="shared" si="347"/>
        <v>3722</v>
      </c>
      <c r="AE982" s="180">
        <f t="shared" si="348"/>
        <v>473</v>
      </c>
      <c r="AF982" s="180">
        <f t="shared" si="349"/>
        <v>495</v>
      </c>
      <c r="AG982" s="180">
        <f t="shared" si="350"/>
        <v>825</v>
      </c>
      <c r="AH982" s="180">
        <f t="shared" si="351"/>
        <v>0</v>
      </c>
      <c r="AI982" s="180">
        <f t="shared" si="352"/>
        <v>163</v>
      </c>
      <c r="AJ982" s="180">
        <f t="shared" si="353"/>
        <v>115</v>
      </c>
      <c r="AK982" s="180">
        <f t="shared" si="354"/>
        <v>160</v>
      </c>
      <c r="AL982" s="180">
        <f t="shared" si="355"/>
        <v>162</v>
      </c>
      <c r="AM982" s="180">
        <f t="shared" si="356"/>
        <v>44</v>
      </c>
      <c r="AN982" s="180">
        <f t="shared" si="357"/>
        <v>52</v>
      </c>
      <c r="AO982" s="180">
        <f t="shared" si="358"/>
        <v>102</v>
      </c>
      <c r="AP982" s="180">
        <f t="shared" si="359"/>
        <v>19</v>
      </c>
      <c r="AQ982" s="180">
        <f t="shared" si="360"/>
        <v>49</v>
      </c>
      <c r="AR982" s="180">
        <f t="shared" si="361"/>
        <v>44</v>
      </c>
      <c r="AS982" s="210">
        <f t="shared" si="362"/>
        <v>6425</v>
      </c>
      <c r="AU982" s="218">
        <f t="shared" si="363"/>
        <v>4.3514752998339047E-2</v>
      </c>
    </row>
    <row r="983" spans="1:48" ht="15.75" customHeight="1" x14ac:dyDescent="0.3">
      <c r="A983" s="192" t="s">
        <v>12</v>
      </c>
      <c r="B983" s="180">
        <f t="shared" si="345"/>
        <v>141313</v>
      </c>
      <c r="C983" s="180">
        <f t="shared" si="331"/>
        <v>17970</v>
      </c>
      <c r="D983" s="180">
        <f t="shared" si="332"/>
        <v>18809</v>
      </c>
      <c r="E983" s="180">
        <f t="shared" si="333"/>
        <v>31117</v>
      </c>
      <c r="F983" s="180">
        <f t="shared" si="346"/>
        <v>2370.3782835854213</v>
      </c>
      <c r="G983" s="180">
        <f t="shared" si="334"/>
        <v>-2061.6142888418181</v>
      </c>
      <c r="H983" s="180">
        <f t="shared" si="335"/>
        <v>10579</v>
      </c>
      <c r="I983" s="180">
        <f t="shared" si="336"/>
        <v>6784</v>
      </c>
      <c r="J983" s="180">
        <f t="shared" si="337"/>
        <v>7954</v>
      </c>
      <c r="K983" s="180">
        <f t="shared" si="338"/>
        <v>7299</v>
      </c>
      <c r="L983" s="180">
        <f t="shared" si="339"/>
        <v>2060</v>
      </c>
      <c r="M983" s="180">
        <f t="shared" si="340"/>
        <v>2426</v>
      </c>
      <c r="N983" s="180">
        <f t="shared" si="341"/>
        <v>4851</v>
      </c>
      <c r="O983" s="180">
        <f t="shared" si="342"/>
        <v>692</v>
      </c>
      <c r="P983" s="180">
        <f t="shared" si="343"/>
        <v>1941</v>
      </c>
      <c r="Q983" s="180">
        <f t="shared" si="344"/>
        <v>1637</v>
      </c>
      <c r="R983" s="216">
        <f t="shared" si="364"/>
        <v>255740.76399474361</v>
      </c>
      <c r="S983" s="217"/>
      <c r="AC983" s="211" t="s">
        <v>12</v>
      </c>
      <c r="AD983" s="180">
        <f t="shared" si="347"/>
        <v>6642</v>
      </c>
      <c r="AE983" s="180">
        <f t="shared" si="348"/>
        <v>845</v>
      </c>
      <c r="AF983" s="180">
        <f t="shared" si="349"/>
        <v>884</v>
      </c>
      <c r="AG983" s="180">
        <f t="shared" si="350"/>
        <v>1462</v>
      </c>
      <c r="AH983" s="180">
        <f t="shared" si="351"/>
        <v>0</v>
      </c>
      <c r="AI983" s="180">
        <f t="shared" si="352"/>
        <v>317</v>
      </c>
      <c r="AJ983" s="180">
        <f t="shared" si="353"/>
        <v>204</v>
      </c>
      <c r="AK983" s="180">
        <f t="shared" si="354"/>
        <v>239</v>
      </c>
      <c r="AL983" s="180">
        <f t="shared" si="355"/>
        <v>219</v>
      </c>
      <c r="AM983" s="180">
        <f t="shared" si="356"/>
        <v>62</v>
      </c>
      <c r="AN983" s="180">
        <f t="shared" si="357"/>
        <v>73</v>
      </c>
      <c r="AO983" s="180">
        <f t="shared" si="358"/>
        <v>146</v>
      </c>
      <c r="AP983" s="180">
        <f t="shared" si="359"/>
        <v>21</v>
      </c>
      <c r="AQ983" s="180">
        <f t="shared" si="360"/>
        <v>58</v>
      </c>
      <c r="AR983" s="180">
        <f t="shared" si="361"/>
        <v>49</v>
      </c>
      <c r="AS983" s="210">
        <f t="shared" si="362"/>
        <v>11221</v>
      </c>
      <c r="AU983" s="218">
        <f t="shared" si="363"/>
        <v>4.3876462339146806E-2</v>
      </c>
    </row>
    <row r="984" spans="1:48" ht="15.75" customHeight="1" x14ac:dyDescent="0.3">
      <c r="A984" s="192" t="s">
        <v>13</v>
      </c>
      <c r="B984" s="180">
        <f t="shared" si="345"/>
        <v>146234</v>
      </c>
      <c r="C984" s="180">
        <f t="shared" si="331"/>
        <v>18590</v>
      </c>
      <c r="D984" s="180">
        <f t="shared" si="332"/>
        <v>19453</v>
      </c>
      <c r="E984" s="180">
        <f t="shared" si="333"/>
        <v>32172</v>
      </c>
      <c r="F984" s="180">
        <f t="shared" si="346"/>
        <v>3959.9969432636667</v>
      </c>
      <c r="G984" s="180">
        <f t="shared" si="334"/>
        <v>-2387.0838543823515</v>
      </c>
      <c r="H984" s="180">
        <f t="shared" si="335"/>
        <v>9356</v>
      </c>
      <c r="I984" s="180">
        <f t="shared" si="336"/>
        <v>5623</v>
      </c>
      <c r="J984" s="180">
        <f t="shared" si="337"/>
        <v>7553</v>
      </c>
      <c r="K984" s="180">
        <f t="shared" si="338"/>
        <v>7062</v>
      </c>
      <c r="L984" s="180">
        <f t="shared" si="339"/>
        <v>2055</v>
      </c>
      <c r="M984" s="180">
        <f t="shared" si="340"/>
        <v>2420</v>
      </c>
      <c r="N984" s="180">
        <f t="shared" si="341"/>
        <v>4962</v>
      </c>
      <c r="O984" s="180">
        <f t="shared" si="342"/>
        <v>776</v>
      </c>
      <c r="P984" s="180">
        <f t="shared" si="343"/>
        <v>2280</v>
      </c>
      <c r="Q984" s="180">
        <f t="shared" si="344"/>
        <v>1813</v>
      </c>
      <c r="R984" s="216">
        <f t="shared" si="364"/>
        <v>261921.91308888129</v>
      </c>
      <c r="S984" s="217"/>
      <c r="AC984" s="211" t="s">
        <v>13</v>
      </c>
      <c r="AD984" s="180">
        <f t="shared" si="347"/>
        <v>6873</v>
      </c>
      <c r="AE984" s="180">
        <f t="shared" si="348"/>
        <v>874</v>
      </c>
      <c r="AF984" s="180">
        <f t="shared" si="349"/>
        <v>914</v>
      </c>
      <c r="AG984" s="180">
        <f t="shared" si="350"/>
        <v>1512</v>
      </c>
      <c r="AH984" s="180">
        <f t="shared" si="351"/>
        <v>0</v>
      </c>
      <c r="AI984" s="180">
        <f t="shared" si="352"/>
        <v>281</v>
      </c>
      <c r="AJ984" s="180">
        <f t="shared" si="353"/>
        <v>169</v>
      </c>
      <c r="AK984" s="180">
        <f t="shared" si="354"/>
        <v>227</v>
      </c>
      <c r="AL984" s="180">
        <f t="shared" si="355"/>
        <v>212</v>
      </c>
      <c r="AM984" s="180">
        <f t="shared" si="356"/>
        <v>62</v>
      </c>
      <c r="AN984" s="180">
        <f t="shared" si="357"/>
        <v>73</v>
      </c>
      <c r="AO984" s="180">
        <f t="shared" si="358"/>
        <v>149</v>
      </c>
      <c r="AP984" s="180">
        <f t="shared" si="359"/>
        <v>23</v>
      </c>
      <c r="AQ984" s="180">
        <f t="shared" si="360"/>
        <v>68</v>
      </c>
      <c r="AR984" s="180">
        <f t="shared" si="361"/>
        <v>54</v>
      </c>
      <c r="AS984" s="210">
        <f t="shared" si="362"/>
        <v>11491</v>
      </c>
      <c r="AU984" s="218">
        <f t="shared" si="363"/>
        <v>4.3871854265590267E-2</v>
      </c>
    </row>
    <row r="985" spans="1:48" ht="15.75" customHeight="1" x14ac:dyDescent="0.3">
      <c r="A985" s="192" t="s">
        <v>14</v>
      </c>
      <c r="B985" s="180">
        <f t="shared" si="345"/>
        <v>102230</v>
      </c>
      <c r="C985" s="180">
        <f t="shared" si="331"/>
        <v>12982</v>
      </c>
      <c r="D985" s="180">
        <f t="shared" si="332"/>
        <v>13569</v>
      </c>
      <c r="E985" s="180">
        <f t="shared" si="333"/>
        <v>21752</v>
      </c>
      <c r="F985" s="180">
        <f t="shared" si="346"/>
        <v>304.3647753830175</v>
      </c>
      <c r="G985" s="180">
        <f t="shared" si="334"/>
        <v>-11965.053202712879</v>
      </c>
      <c r="H985" s="180">
        <f t="shared" si="335"/>
        <v>12345</v>
      </c>
      <c r="I985" s="180">
        <f t="shared" si="336"/>
        <v>7317</v>
      </c>
      <c r="J985" s="180">
        <f t="shared" si="337"/>
        <v>8496</v>
      </c>
      <c r="K985" s="180">
        <f t="shared" si="338"/>
        <v>7515</v>
      </c>
      <c r="L985" s="180">
        <f t="shared" si="339"/>
        <v>2164</v>
      </c>
      <c r="M985" s="180">
        <f t="shared" si="340"/>
        <v>2548</v>
      </c>
      <c r="N985" s="180">
        <f t="shared" si="341"/>
        <v>5049</v>
      </c>
      <c r="O985" s="180">
        <f t="shared" si="342"/>
        <v>834</v>
      </c>
      <c r="P985" s="180">
        <f t="shared" si="343"/>
        <v>2329</v>
      </c>
      <c r="Q985" s="180">
        <f t="shared" si="344"/>
        <v>1971</v>
      </c>
      <c r="R985" s="216">
        <f>(SUM(B985:Q985))</f>
        <v>189440.31157267015</v>
      </c>
      <c r="S985" s="217"/>
      <c r="AC985" s="211" t="s">
        <v>14</v>
      </c>
      <c r="AD985" s="180">
        <f t="shared" si="347"/>
        <v>4805</v>
      </c>
      <c r="AE985" s="180">
        <f t="shared" si="348"/>
        <v>610</v>
      </c>
      <c r="AF985" s="180">
        <f t="shared" si="349"/>
        <v>638</v>
      </c>
      <c r="AG985" s="180">
        <f t="shared" si="350"/>
        <v>1022</v>
      </c>
      <c r="AH985" s="180">
        <f t="shared" si="351"/>
        <v>0</v>
      </c>
      <c r="AI985" s="180">
        <f t="shared" si="352"/>
        <v>370</v>
      </c>
      <c r="AJ985" s="180">
        <f t="shared" si="353"/>
        <v>220</v>
      </c>
      <c r="AK985" s="180">
        <f t="shared" si="354"/>
        <v>255</v>
      </c>
      <c r="AL985" s="180">
        <f t="shared" si="355"/>
        <v>225</v>
      </c>
      <c r="AM985" s="180">
        <f t="shared" si="356"/>
        <v>65</v>
      </c>
      <c r="AN985" s="180">
        <f t="shared" si="357"/>
        <v>76</v>
      </c>
      <c r="AO985" s="180">
        <f t="shared" si="358"/>
        <v>151</v>
      </c>
      <c r="AP985" s="180">
        <f t="shared" si="359"/>
        <v>25</v>
      </c>
      <c r="AQ985" s="180">
        <f t="shared" si="360"/>
        <v>70</v>
      </c>
      <c r="AR985" s="180">
        <f t="shared" si="361"/>
        <v>59</v>
      </c>
      <c r="AS985" s="210">
        <f t="shared" si="362"/>
        <v>8591</v>
      </c>
      <c r="AU985" s="218">
        <f t="shared" si="363"/>
        <v>4.5349376427226015E-2</v>
      </c>
    </row>
    <row r="986" spans="1:48" ht="15.75" customHeight="1" x14ac:dyDescent="0.3">
      <c r="A986" s="192" t="s">
        <v>16</v>
      </c>
      <c r="B986" s="180">
        <f t="shared" si="345"/>
        <v>93598</v>
      </c>
      <c r="C986" s="180">
        <f t="shared" si="331"/>
        <v>11881</v>
      </c>
      <c r="D986" s="180">
        <f t="shared" si="332"/>
        <v>12415</v>
      </c>
      <c r="E986" s="180">
        <f t="shared" si="333"/>
        <v>19506</v>
      </c>
      <c r="F986" s="180">
        <f t="shared" si="346"/>
        <v>0</v>
      </c>
      <c r="G986" s="180">
        <f t="shared" si="334"/>
        <v>-11656.589320102019</v>
      </c>
      <c r="H986" s="180">
        <f t="shared" si="335"/>
        <v>12756</v>
      </c>
      <c r="I986" s="180">
        <f t="shared" si="336"/>
        <v>8326</v>
      </c>
      <c r="J986" s="180">
        <f t="shared" si="337"/>
        <v>9179</v>
      </c>
      <c r="K986" s="180">
        <f t="shared" si="338"/>
        <v>7895</v>
      </c>
      <c r="L986" s="180">
        <f t="shared" si="339"/>
        <v>2288</v>
      </c>
      <c r="M986" s="180">
        <f t="shared" si="340"/>
        <v>2696</v>
      </c>
      <c r="N986" s="180">
        <f t="shared" si="341"/>
        <v>5353</v>
      </c>
      <c r="O986" s="180">
        <f t="shared" si="342"/>
        <v>854</v>
      </c>
      <c r="P986" s="180">
        <f t="shared" si="343"/>
        <v>2103</v>
      </c>
      <c r="Q986" s="180">
        <f t="shared" si="344"/>
        <v>2020</v>
      </c>
      <c r="R986" s="216">
        <f t="shared" si="364"/>
        <v>179213.41067989799</v>
      </c>
      <c r="S986" s="217"/>
      <c r="AC986" s="211" t="s">
        <v>16</v>
      </c>
      <c r="AD986" s="180">
        <f t="shared" si="347"/>
        <v>4399</v>
      </c>
      <c r="AE986" s="180">
        <f t="shared" si="348"/>
        <v>558</v>
      </c>
      <c r="AF986" s="180">
        <f t="shared" si="349"/>
        <v>584</v>
      </c>
      <c r="AG986" s="180">
        <f t="shared" si="350"/>
        <v>917</v>
      </c>
      <c r="AH986" s="180">
        <f t="shared" si="351"/>
        <v>0</v>
      </c>
      <c r="AI986" s="180">
        <f t="shared" si="352"/>
        <v>383</v>
      </c>
      <c r="AJ986" s="180">
        <f t="shared" si="353"/>
        <v>250</v>
      </c>
      <c r="AK986" s="180">
        <f t="shared" si="354"/>
        <v>275</v>
      </c>
      <c r="AL986" s="180">
        <f t="shared" si="355"/>
        <v>237</v>
      </c>
      <c r="AM986" s="180">
        <f t="shared" si="356"/>
        <v>69</v>
      </c>
      <c r="AN986" s="180">
        <f t="shared" si="357"/>
        <v>81</v>
      </c>
      <c r="AO986" s="180">
        <f t="shared" si="358"/>
        <v>161</v>
      </c>
      <c r="AP986" s="180">
        <f t="shared" si="359"/>
        <v>26</v>
      </c>
      <c r="AQ986" s="180">
        <f t="shared" si="360"/>
        <v>63</v>
      </c>
      <c r="AR986" s="180">
        <f t="shared" si="361"/>
        <v>61</v>
      </c>
      <c r="AS986" s="210">
        <f t="shared" si="362"/>
        <v>8064</v>
      </c>
      <c r="AU986" s="218">
        <f t="shared" si="363"/>
        <v>4.4996632614751765E-2</v>
      </c>
    </row>
    <row r="987" spans="1:48" ht="15.75" customHeight="1" x14ac:dyDescent="0.3">
      <c r="A987" s="192" t="s">
        <v>17</v>
      </c>
      <c r="B987" s="180">
        <f t="shared" si="345"/>
        <v>99484</v>
      </c>
      <c r="C987" s="180">
        <f t="shared" si="331"/>
        <v>12642</v>
      </c>
      <c r="D987" s="180">
        <f t="shared" si="332"/>
        <v>13223</v>
      </c>
      <c r="E987" s="180">
        <f t="shared" si="333"/>
        <v>20827</v>
      </c>
      <c r="F987" s="180">
        <f t="shared" si="346"/>
        <v>4.9623419795066699</v>
      </c>
      <c r="G987" s="180">
        <f t="shared" si="334"/>
        <v>-7624.2487770127427</v>
      </c>
      <c r="H987" s="180">
        <f t="shared" si="335"/>
        <v>12109</v>
      </c>
      <c r="I987" s="180">
        <f t="shared" si="336"/>
        <v>8550</v>
      </c>
      <c r="J987" s="180">
        <f t="shared" si="337"/>
        <v>9335</v>
      </c>
      <c r="K987" s="180">
        <f t="shared" si="338"/>
        <v>7769</v>
      </c>
      <c r="L987" s="180">
        <f t="shared" si="339"/>
        <v>2213</v>
      </c>
      <c r="M987" s="180">
        <f t="shared" si="340"/>
        <v>2607</v>
      </c>
      <c r="N987" s="180">
        <f t="shared" si="341"/>
        <v>5066</v>
      </c>
      <c r="O987" s="180">
        <f t="shared" si="342"/>
        <v>806</v>
      </c>
      <c r="P987" s="180">
        <f t="shared" si="343"/>
        <v>1941</v>
      </c>
      <c r="Q987" s="180">
        <f t="shared" si="344"/>
        <v>1906</v>
      </c>
      <c r="R987" s="216">
        <f t="shared" si="364"/>
        <v>190858.71356496675</v>
      </c>
      <c r="S987" s="217"/>
      <c r="AC987" s="211" t="s">
        <v>17</v>
      </c>
      <c r="AD987" s="180">
        <f t="shared" si="347"/>
        <v>4676</v>
      </c>
      <c r="AE987" s="180">
        <f t="shared" si="348"/>
        <v>594</v>
      </c>
      <c r="AF987" s="180">
        <f t="shared" si="349"/>
        <v>621</v>
      </c>
      <c r="AG987" s="180">
        <f t="shared" si="350"/>
        <v>979</v>
      </c>
      <c r="AH987" s="180">
        <f t="shared" si="351"/>
        <v>0</v>
      </c>
      <c r="AI987" s="180">
        <f t="shared" si="352"/>
        <v>363</v>
      </c>
      <c r="AJ987" s="180">
        <f t="shared" si="353"/>
        <v>257</v>
      </c>
      <c r="AK987" s="180">
        <f t="shared" si="354"/>
        <v>280</v>
      </c>
      <c r="AL987" s="180">
        <f t="shared" si="355"/>
        <v>233</v>
      </c>
      <c r="AM987" s="180">
        <f t="shared" si="356"/>
        <v>66</v>
      </c>
      <c r="AN987" s="180">
        <f t="shared" si="357"/>
        <v>78</v>
      </c>
      <c r="AO987" s="180">
        <f t="shared" si="358"/>
        <v>152</v>
      </c>
      <c r="AP987" s="180">
        <f t="shared" si="359"/>
        <v>24</v>
      </c>
      <c r="AQ987" s="180">
        <f t="shared" si="360"/>
        <v>58</v>
      </c>
      <c r="AR987" s="180">
        <f t="shared" si="361"/>
        <v>57</v>
      </c>
      <c r="AS987" s="210">
        <f t="shared" si="362"/>
        <v>8438</v>
      </c>
      <c r="AU987" s="218">
        <f t="shared" si="363"/>
        <v>4.4210714000897704E-2</v>
      </c>
    </row>
    <row r="988" spans="1:48" ht="15.75" customHeight="1" x14ac:dyDescent="0.3">
      <c r="A988" s="192" t="s">
        <v>18</v>
      </c>
      <c r="B988" s="180">
        <f t="shared" si="345"/>
        <v>153017</v>
      </c>
      <c r="C988" s="180">
        <f t="shared" si="331"/>
        <v>19468</v>
      </c>
      <c r="D988" s="180">
        <f t="shared" si="332"/>
        <v>20387</v>
      </c>
      <c r="E988" s="180">
        <f t="shared" si="333"/>
        <v>33731</v>
      </c>
      <c r="F988" s="180">
        <f t="shared" si="346"/>
        <v>5274.640722974953</v>
      </c>
      <c r="G988" s="180">
        <f t="shared" si="334"/>
        <v>0</v>
      </c>
      <c r="H988" s="180">
        <f t="shared" si="335"/>
        <v>7770</v>
      </c>
      <c r="I988" s="180">
        <f t="shared" si="336"/>
        <v>4773</v>
      </c>
      <c r="J988" s="180">
        <f t="shared" si="337"/>
        <v>5693</v>
      </c>
      <c r="K988" s="180">
        <f t="shared" si="338"/>
        <v>4955</v>
      </c>
      <c r="L988" s="180">
        <f t="shared" si="339"/>
        <v>1758</v>
      </c>
      <c r="M988" s="180">
        <f t="shared" si="340"/>
        <v>2070</v>
      </c>
      <c r="N988" s="180">
        <f t="shared" si="341"/>
        <v>4107</v>
      </c>
      <c r="O988" s="180">
        <f t="shared" si="342"/>
        <v>770</v>
      </c>
      <c r="P988" s="180">
        <f t="shared" si="343"/>
        <v>1779</v>
      </c>
      <c r="Q988" s="180">
        <f t="shared" si="344"/>
        <v>1820</v>
      </c>
      <c r="R988" s="216">
        <f t="shared" si="364"/>
        <v>267372.64072297496</v>
      </c>
      <c r="S988" s="217"/>
      <c r="AC988" s="211" t="s">
        <v>18</v>
      </c>
      <c r="AD988" s="180">
        <f t="shared" si="347"/>
        <v>7192</v>
      </c>
      <c r="AE988" s="180">
        <f t="shared" si="348"/>
        <v>915</v>
      </c>
      <c r="AF988" s="180">
        <f t="shared" si="349"/>
        <v>958</v>
      </c>
      <c r="AG988" s="180">
        <f t="shared" si="350"/>
        <v>1585</v>
      </c>
      <c r="AH988" s="180">
        <f t="shared" si="351"/>
        <v>0</v>
      </c>
      <c r="AI988" s="180">
        <f t="shared" si="352"/>
        <v>233</v>
      </c>
      <c r="AJ988" s="180">
        <f t="shared" si="353"/>
        <v>143</v>
      </c>
      <c r="AK988" s="180">
        <f t="shared" si="354"/>
        <v>171</v>
      </c>
      <c r="AL988" s="180">
        <f t="shared" si="355"/>
        <v>149</v>
      </c>
      <c r="AM988" s="180">
        <f t="shared" si="356"/>
        <v>53</v>
      </c>
      <c r="AN988" s="180">
        <f t="shared" si="357"/>
        <v>62</v>
      </c>
      <c r="AO988" s="180">
        <f t="shared" si="358"/>
        <v>123</v>
      </c>
      <c r="AP988" s="180">
        <f t="shared" si="359"/>
        <v>23</v>
      </c>
      <c r="AQ988" s="180">
        <f t="shared" si="360"/>
        <v>53</v>
      </c>
      <c r="AR988" s="180">
        <f t="shared" si="361"/>
        <v>55</v>
      </c>
      <c r="AS988" s="210">
        <f t="shared" si="362"/>
        <v>11715</v>
      </c>
      <c r="AU988" s="218">
        <f t="shared" si="363"/>
        <v>4.3815253379413346E-2</v>
      </c>
    </row>
    <row r="989" spans="1:48" ht="15.75" customHeight="1" x14ac:dyDescent="0.3">
      <c r="A989" s="192" t="s">
        <v>20</v>
      </c>
      <c r="B989" s="180">
        <f t="shared" si="345"/>
        <v>143249</v>
      </c>
      <c r="C989" s="180">
        <f t="shared" si="331"/>
        <v>18227</v>
      </c>
      <c r="D989" s="180">
        <f t="shared" si="332"/>
        <v>19088</v>
      </c>
      <c r="E989" s="180">
        <f t="shared" si="333"/>
        <v>31492</v>
      </c>
      <c r="F989" s="180">
        <f t="shared" si="346"/>
        <v>6561.9735834578478</v>
      </c>
      <c r="G989" s="180">
        <f t="shared" si="334"/>
        <v>0</v>
      </c>
      <c r="H989" s="180">
        <f t="shared" si="335"/>
        <v>7004</v>
      </c>
      <c r="I989" s="180">
        <f t="shared" si="336"/>
        <v>3493</v>
      </c>
      <c r="J989" s="180">
        <f t="shared" si="337"/>
        <v>4463</v>
      </c>
      <c r="K989" s="180">
        <f t="shared" si="338"/>
        <v>4278</v>
      </c>
      <c r="L989" s="180">
        <f t="shared" si="339"/>
        <v>1572</v>
      </c>
      <c r="M989" s="180">
        <f t="shared" si="340"/>
        <v>1851</v>
      </c>
      <c r="N989" s="180">
        <f t="shared" si="341"/>
        <v>3629</v>
      </c>
      <c r="O989" s="180">
        <f t="shared" si="342"/>
        <v>720</v>
      </c>
      <c r="P989" s="180">
        <f t="shared" si="343"/>
        <v>1617</v>
      </c>
      <c r="Q989" s="180">
        <f t="shared" si="344"/>
        <v>1704</v>
      </c>
      <c r="R989" s="216">
        <f t="shared" si="364"/>
        <v>248948.97358345785</v>
      </c>
      <c r="S989" s="217"/>
      <c r="AC989" s="211" t="s">
        <v>20</v>
      </c>
      <c r="AD989" s="180">
        <f t="shared" si="347"/>
        <v>6733</v>
      </c>
      <c r="AE989" s="180">
        <f t="shared" si="348"/>
        <v>857</v>
      </c>
      <c r="AF989" s="180">
        <f t="shared" si="349"/>
        <v>897</v>
      </c>
      <c r="AG989" s="180">
        <f t="shared" si="350"/>
        <v>1480</v>
      </c>
      <c r="AH989" s="180">
        <f t="shared" si="351"/>
        <v>0</v>
      </c>
      <c r="AI989" s="180">
        <f t="shared" si="352"/>
        <v>210</v>
      </c>
      <c r="AJ989" s="180">
        <f t="shared" si="353"/>
        <v>105</v>
      </c>
      <c r="AK989" s="180">
        <f t="shared" si="354"/>
        <v>134</v>
      </c>
      <c r="AL989" s="180">
        <f t="shared" si="355"/>
        <v>128</v>
      </c>
      <c r="AM989" s="180">
        <f t="shared" si="356"/>
        <v>47</v>
      </c>
      <c r="AN989" s="180">
        <f t="shared" si="357"/>
        <v>56</v>
      </c>
      <c r="AO989" s="180">
        <f t="shared" si="358"/>
        <v>109</v>
      </c>
      <c r="AP989" s="180">
        <f t="shared" si="359"/>
        <v>22</v>
      </c>
      <c r="AQ989" s="180">
        <f t="shared" si="360"/>
        <v>49</v>
      </c>
      <c r="AR989" s="180">
        <f t="shared" si="361"/>
        <v>51</v>
      </c>
      <c r="AS989" s="210">
        <f t="shared" si="362"/>
        <v>10878</v>
      </c>
      <c r="AU989" s="218">
        <f t="shared" si="363"/>
        <v>4.3695701345614311E-2</v>
      </c>
    </row>
    <row r="990" spans="1:48" ht="15.75" customHeight="1" x14ac:dyDescent="0.3">
      <c r="A990" s="192" t="s">
        <v>21</v>
      </c>
      <c r="B990" s="180">
        <f t="shared" si="345"/>
        <v>117093</v>
      </c>
      <c r="C990" s="180">
        <f t="shared" si="331"/>
        <v>14899</v>
      </c>
      <c r="D990" s="180">
        <f t="shared" si="332"/>
        <v>15602</v>
      </c>
      <c r="E990" s="180">
        <f t="shared" si="333"/>
        <v>26296</v>
      </c>
      <c r="F990" s="180">
        <f t="shared" si="346"/>
        <v>17644.639432802447</v>
      </c>
      <c r="G990" s="180">
        <f t="shared" si="334"/>
        <v>-183.82536407530367</v>
      </c>
      <c r="H990" s="180">
        <f t="shared" si="335"/>
        <v>626</v>
      </c>
      <c r="I990" s="180">
        <f t="shared" si="336"/>
        <v>193</v>
      </c>
      <c r="J990" s="180">
        <f t="shared" si="337"/>
        <v>296</v>
      </c>
      <c r="K990" s="180">
        <f t="shared" si="338"/>
        <v>290</v>
      </c>
      <c r="L990" s="180">
        <f t="shared" si="339"/>
        <v>105</v>
      </c>
      <c r="M990" s="180">
        <f t="shared" si="340"/>
        <v>121</v>
      </c>
      <c r="N990" s="180">
        <f t="shared" si="341"/>
        <v>204</v>
      </c>
      <c r="O990" s="180">
        <f t="shared" si="342"/>
        <v>150</v>
      </c>
      <c r="P990" s="180">
        <f t="shared" si="343"/>
        <v>1456</v>
      </c>
      <c r="Q990" s="180">
        <f t="shared" si="344"/>
        <v>355</v>
      </c>
      <c r="R990" s="216">
        <f t="shared" si="364"/>
        <v>195146.81406872714</v>
      </c>
      <c r="S990" s="217"/>
      <c r="AC990" s="211" t="s">
        <v>21</v>
      </c>
      <c r="AD990" s="180">
        <f t="shared" si="347"/>
        <v>5503</v>
      </c>
      <c r="AE990" s="180">
        <f t="shared" si="348"/>
        <v>700</v>
      </c>
      <c r="AF990" s="180">
        <f t="shared" si="349"/>
        <v>733</v>
      </c>
      <c r="AG990" s="180">
        <f t="shared" si="350"/>
        <v>1236</v>
      </c>
      <c r="AH990" s="180">
        <f t="shared" si="351"/>
        <v>0</v>
      </c>
      <c r="AI990" s="180">
        <f t="shared" si="352"/>
        <v>19</v>
      </c>
      <c r="AJ990" s="180">
        <f t="shared" si="353"/>
        <v>6</v>
      </c>
      <c r="AK990" s="180">
        <f t="shared" si="354"/>
        <v>9</v>
      </c>
      <c r="AL990" s="180">
        <f t="shared" si="355"/>
        <v>9</v>
      </c>
      <c r="AM990" s="180">
        <f t="shared" si="356"/>
        <v>3</v>
      </c>
      <c r="AN990" s="180">
        <f t="shared" si="357"/>
        <v>4</v>
      </c>
      <c r="AO990" s="180">
        <f t="shared" si="358"/>
        <v>6</v>
      </c>
      <c r="AP990" s="180">
        <f t="shared" si="359"/>
        <v>5</v>
      </c>
      <c r="AQ990" s="180">
        <f t="shared" si="360"/>
        <v>44</v>
      </c>
      <c r="AR990" s="180">
        <f t="shared" si="361"/>
        <v>11</v>
      </c>
      <c r="AS990" s="210">
        <f t="shared" si="362"/>
        <v>8288</v>
      </c>
      <c r="AU990" s="218">
        <f t="shared" si="363"/>
        <v>4.2470588308354949E-2</v>
      </c>
    </row>
    <row r="991" spans="1:48" ht="15.75" customHeight="1" x14ac:dyDescent="0.3">
      <c r="A991" s="192" t="s">
        <v>22</v>
      </c>
      <c r="B991" s="180">
        <f t="shared" si="345"/>
        <v>70734</v>
      </c>
      <c r="C991" s="180">
        <f t="shared" si="331"/>
        <v>8995</v>
      </c>
      <c r="D991" s="180">
        <f t="shared" si="332"/>
        <v>9414</v>
      </c>
      <c r="E991" s="180">
        <f t="shared" si="333"/>
        <v>15412</v>
      </c>
      <c r="F991" s="180">
        <f t="shared" si="346"/>
        <v>4573.4845905734319</v>
      </c>
      <c r="G991" s="180">
        <f t="shared" si="334"/>
        <v>0</v>
      </c>
      <c r="H991" s="180">
        <f t="shared" si="335"/>
        <v>3235</v>
      </c>
      <c r="I991" s="180">
        <f t="shared" si="336"/>
        <v>1166</v>
      </c>
      <c r="J991" s="180">
        <f t="shared" si="337"/>
        <v>1750</v>
      </c>
      <c r="K991" s="180">
        <f t="shared" si="338"/>
        <v>1798</v>
      </c>
      <c r="L991" s="180">
        <f t="shared" si="339"/>
        <v>418</v>
      </c>
      <c r="M991" s="180">
        <f t="shared" si="340"/>
        <v>491</v>
      </c>
      <c r="N991" s="180">
        <f t="shared" si="341"/>
        <v>985</v>
      </c>
      <c r="O991" s="180">
        <f t="shared" si="342"/>
        <v>3</v>
      </c>
      <c r="P991" s="180">
        <f t="shared" si="343"/>
        <v>1294</v>
      </c>
      <c r="Q991" s="180">
        <f t="shared" si="344"/>
        <v>6</v>
      </c>
      <c r="R991" s="216">
        <f t="shared" si="364"/>
        <v>120274.48459057343</v>
      </c>
      <c r="S991" s="217"/>
      <c r="AC991" s="211" t="s">
        <v>22</v>
      </c>
      <c r="AD991" s="180">
        <f t="shared" si="347"/>
        <v>3324</v>
      </c>
      <c r="AE991" s="180">
        <f t="shared" si="348"/>
        <v>423</v>
      </c>
      <c r="AF991" s="180">
        <f t="shared" si="349"/>
        <v>442</v>
      </c>
      <c r="AG991" s="180">
        <f t="shared" si="350"/>
        <v>724</v>
      </c>
      <c r="AH991" s="180">
        <f t="shared" si="351"/>
        <v>0</v>
      </c>
      <c r="AI991" s="180">
        <f t="shared" si="352"/>
        <v>97</v>
      </c>
      <c r="AJ991" s="180">
        <f t="shared" si="353"/>
        <v>35</v>
      </c>
      <c r="AK991" s="180">
        <f t="shared" si="354"/>
        <v>53</v>
      </c>
      <c r="AL991" s="180">
        <f t="shared" si="355"/>
        <v>54</v>
      </c>
      <c r="AM991" s="180">
        <f t="shared" si="356"/>
        <v>13</v>
      </c>
      <c r="AN991" s="180">
        <f t="shared" si="357"/>
        <v>15</v>
      </c>
      <c r="AO991" s="180">
        <f t="shared" si="358"/>
        <v>30</v>
      </c>
      <c r="AP991" s="180">
        <f t="shared" si="359"/>
        <v>0</v>
      </c>
      <c r="AQ991" s="180">
        <f t="shared" si="360"/>
        <v>39</v>
      </c>
      <c r="AR991" s="180">
        <f t="shared" si="361"/>
        <v>0</v>
      </c>
      <c r="AS991" s="210">
        <f t="shared" si="362"/>
        <v>5249</v>
      </c>
      <c r="AU991" s="218">
        <f t="shared" si="363"/>
        <v>4.3641841558233481E-2</v>
      </c>
    </row>
    <row r="992" spans="1:48" ht="15.75" customHeight="1" x14ac:dyDescent="0.3">
      <c r="A992" s="189"/>
      <c r="B992" s="180"/>
      <c r="C992" s="180"/>
      <c r="D992" s="180"/>
      <c r="E992" s="180"/>
      <c r="F992" s="180"/>
      <c r="G992" s="180"/>
      <c r="H992" s="180"/>
      <c r="I992" s="180"/>
      <c r="J992" s="180"/>
      <c r="K992" s="180"/>
      <c r="L992" s="180"/>
      <c r="M992" s="180"/>
      <c r="N992" s="180"/>
      <c r="O992" s="180"/>
      <c r="P992" s="180"/>
      <c r="Q992" s="180"/>
      <c r="R992" s="210"/>
      <c r="S992" s="217"/>
      <c r="AC992" s="95"/>
      <c r="AD992" s="180"/>
      <c r="AE992" s="180"/>
      <c r="AF992" s="180"/>
      <c r="AG992" s="180"/>
      <c r="AH992" s="180"/>
      <c r="AI992" s="180"/>
      <c r="AJ992" s="180"/>
      <c r="AK992" s="180"/>
      <c r="AL992" s="180"/>
      <c r="AM992" s="180"/>
      <c r="AN992" s="180"/>
      <c r="AO992" s="180"/>
      <c r="AP992" s="180"/>
      <c r="AQ992" s="180"/>
      <c r="AR992" s="180"/>
      <c r="AS992" s="210"/>
    </row>
    <row r="993" spans="1:47" ht="15.75" customHeight="1" thickBot="1" x14ac:dyDescent="0.35">
      <c r="A993" s="189" t="s">
        <v>641</v>
      </c>
      <c r="B993" s="180">
        <f>SUM(B980:B991)</f>
        <v>1374592</v>
      </c>
      <c r="C993" s="180">
        <f t="shared" ref="C993:Q993" si="365">SUM(C980:C991)</f>
        <v>174809</v>
      </c>
      <c r="D993" s="180">
        <f t="shared" si="365"/>
        <v>182976</v>
      </c>
      <c r="E993" s="180">
        <f t="shared" si="365"/>
        <v>301781</v>
      </c>
      <c r="F993" s="180">
        <f t="shared" si="365"/>
        <v>74088.927185082284</v>
      </c>
      <c r="G993" s="180">
        <f t="shared" si="365"/>
        <v>-38404.550691961522</v>
      </c>
      <c r="H993" s="180">
        <f t="shared" si="365"/>
        <v>86582</v>
      </c>
      <c r="I993" s="180">
        <f t="shared" si="365"/>
        <v>54864</v>
      </c>
      <c r="J993" s="180">
        <f t="shared" si="365"/>
        <v>67553</v>
      </c>
      <c r="K993" s="180">
        <f t="shared" si="365"/>
        <v>62015</v>
      </c>
      <c r="L993" s="180">
        <f t="shared" si="365"/>
        <v>18384</v>
      </c>
      <c r="M993" s="180">
        <f t="shared" si="365"/>
        <v>21648</v>
      </c>
      <c r="N993" s="180">
        <f t="shared" si="365"/>
        <v>42999</v>
      </c>
      <c r="O993" s="180">
        <f t="shared" si="365"/>
        <v>7533</v>
      </c>
      <c r="P993" s="180">
        <f t="shared" si="365"/>
        <v>20945</v>
      </c>
      <c r="Q993" s="180">
        <f t="shared" si="365"/>
        <v>17793</v>
      </c>
      <c r="R993" s="219">
        <f>SUM(R980:R991)</f>
        <v>2470158.3764931206</v>
      </c>
      <c r="S993" s="217"/>
      <c r="AC993" s="220" t="s">
        <v>641</v>
      </c>
      <c r="AD993" s="195">
        <f>SUM(AD980:AD991)</f>
        <v>64606</v>
      </c>
      <c r="AE993" s="195">
        <f t="shared" ref="AE993:AS993" si="366">SUM(AE980:AE991)</f>
        <v>8216</v>
      </c>
      <c r="AF993" s="195">
        <f t="shared" si="366"/>
        <v>8599</v>
      </c>
      <c r="AG993" s="195">
        <f t="shared" si="366"/>
        <v>14182</v>
      </c>
      <c r="AH993" s="195">
        <f t="shared" si="366"/>
        <v>0</v>
      </c>
      <c r="AI993" s="195">
        <f t="shared" si="366"/>
        <v>2597</v>
      </c>
      <c r="AJ993" s="195">
        <f t="shared" si="366"/>
        <v>1648</v>
      </c>
      <c r="AK993" s="195">
        <f t="shared" si="366"/>
        <v>2028</v>
      </c>
      <c r="AL993" s="195">
        <f t="shared" si="366"/>
        <v>1861</v>
      </c>
      <c r="AM993" s="195">
        <f t="shared" si="366"/>
        <v>552</v>
      </c>
      <c r="AN993" s="195">
        <f t="shared" si="366"/>
        <v>650</v>
      </c>
      <c r="AO993" s="195">
        <f t="shared" si="366"/>
        <v>1291</v>
      </c>
      <c r="AP993" s="195">
        <f t="shared" si="366"/>
        <v>227</v>
      </c>
      <c r="AQ993" s="195">
        <f t="shared" si="366"/>
        <v>629</v>
      </c>
      <c r="AR993" s="195">
        <f t="shared" si="366"/>
        <v>534</v>
      </c>
      <c r="AS993" s="221">
        <f t="shared" si="366"/>
        <v>107620</v>
      </c>
      <c r="AU993" s="218">
        <f t="shared" si="363"/>
        <v>4.3568056616996323E-2</v>
      </c>
    </row>
    <row r="994" spans="1:47" ht="16.5" customHeight="1" thickBot="1" x14ac:dyDescent="0.35">
      <c r="A994" s="204" t="s">
        <v>7</v>
      </c>
      <c r="B994" s="195"/>
      <c r="C994" s="195"/>
      <c r="D994" s="195"/>
      <c r="E994" s="195"/>
      <c r="F994" s="195"/>
      <c r="G994" s="195"/>
      <c r="H994" s="195"/>
      <c r="I994" s="195"/>
      <c r="J994" s="195"/>
      <c r="K994" s="195"/>
      <c r="L994" s="195"/>
      <c r="M994" s="195"/>
      <c r="N994" s="195"/>
      <c r="O994" s="195"/>
      <c r="P994" s="195"/>
      <c r="Q994" s="195"/>
      <c r="R994" s="221"/>
      <c r="S994" s="180"/>
    </row>
    <row r="995" spans="1:47" ht="15.75" customHeight="1" x14ac:dyDescent="0.3">
      <c r="A995" s="180"/>
      <c r="B995" s="180"/>
      <c r="C995" s="180"/>
      <c r="D995" s="180"/>
      <c r="E995" s="180"/>
      <c r="F995" s="180"/>
      <c r="G995" s="180"/>
      <c r="H995" s="180"/>
      <c r="I995" s="180"/>
      <c r="J995" s="180"/>
      <c r="K995" s="180"/>
      <c r="L995" s="180"/>
      <c r="M995" s="180"/>
      <c r="N995" s="180"/>
      <c r="O995" s="180"/>
      <c r="P995" s="180"/>
      <c r="Q995" s="180"/>
      <c r="R995" s="180"/>
    </row>
    <row r="996" spans="1:47" ht="15.75" customHeight="1" x14ac:dyDescent="0.3"/>
    <row r="997" spans="1:47" ht="15.75" customHeight="1" thickBot="1" x14ac:dyDescent="0.35"/>
    <row r="998" spans="1:47" ht="15.75" customHeight="1" thickBot="1" x14ac:dyDescent="0.35">
      <c r="B998" s="428" t="s">
        <v>727</v>
      </c>
      <c r="C998" s="423"/>
      <c r="D998" s="423"/>
      <c r="E998" s="423"/>
      <c r="F998" s="423"/>
      <c r="G998" s="423"/>
      <c r="H998" s="423"/>
      <c r="I998" s="423"/>
      <c r="J998" s="423"/>
      <c r="K998" s="423"/>
      <c r="L998" s="423"/>
      <c r="M998" s="423"/>
      <c r="N998" s="423"/>
      <c r="O998" s="423"/>
      <c r="P998" s="423"/>
      <c r="Q998" s="354" t="str">
        <f>+Q1</f>
        <v xml:space="preserve">PRINTED:  </v>
      </c>
      <c r="R998" s="357">
        <f ca="1">+R1</f>
        <v>44894.658168402777</v>
      </c>
      <c r="S998" s="351"/>
      <c r="T998" s="359"/>
      <c r="U998" s="359"/>
      <c r="V998" s="358"/>
    </row>
    <row r="999" spans="1:47" ht="15.75" customHeight="1" x14ac:dyDescent="0.3">
      <c r="B999" s="399">
        <f>+A5</f>
        <v>2019</v>
      </c>
      <c r="C999" s="395"/>
      <c r="D999" s="395"/>
      <c r="E999" s="395"/>
      <c r="F999" s="395"/>
      <c r="G999" s="395"/>
      <c r="H999" s="395"/>
      <c r="I999" s="395"/>
      <c r="J999" s="395"/>
      <c r="K999" s="395"/>
      <c r="L999" s="395"/>
      <c r="M999" s="395"/>
      <c r="N999" s="395"/>
      <c r="O999" s="395"/>
      <c r="P999" s="395"/>
      <c r="Q999" s="180"/>
      <c r="R999" s="180"/>
      <c r="S999" s="180"/>
      <c r="V999" s="304"/>
      <c r="AC999" s="360"/>
      <c r="AD999" s="423" t="s">
        <v>728</v>
      </c>
      <c r="AE999" s="427"/>
      <c r="AF999" s="427"/>
      <c r="AG999" s="427"/>
      <c r="AH999" s="427"/>
      <c r="AI999" s="427"/>
      <c r="AJ999" s="427"/>
      <c r="AK999" s="427"/>
      <c r="AL999" s="427"/>
      <c r="AM999" s="427"/>
      <c r="AN999" s="427"/>
      <c r="AO999" s="427"/>
      <c r="AP999" s="427"/>
      <c r="AQ999" s="427"/>
      <c r="AR999" s="354" t="str">
        <f>$Q$1</f>
        <v xml:space="preserve">PRINTED:  </v>
      </c>
      <c r="AS999" s="361">
        <f ca="1">$R$1</f>
        <v>44894.658168402777</v>
      </c>
    </row>
    <row r="1000" spans="1:47" ht="15.75" customHeight="1" x14ac:dyDescent="0.3">
      <c r="B1000" s="400" t="str">
        <f>+A8</f>
        <v>Revised:  11/4/2019</v>
      </c>
      <c r="C1000" s="394"/>
      <c r="D1000" s="394"/>
      <c r="E1000" s="394"/>
      <c r="F1000" s="394"/>
      <c r="G1000" s="394"/>
      <c r="H1000" s="394"/>
      <c r="I1000" s="394"/>
      <c r="J1000" s="394"/>
      <c r="K1000" s="394"/>
      <c r="L1000" s="394"/>
      <c r="M1000" s="394"/>
      <c r="N1000" s="394"/>
      <c r="O1000" s="394"/>
      <c r="P1000" s="394"/>
      <c r="Q1000" s="180"/>
      <c r="R1000" s="180"/>
      <c r="S1000" s="180"/>
      <c r="V1000" s="304"/>
      <c r="AC1000" s="95"/>
      <c r="AD1000" s="394" t="str">
        <f>+$A$8</f>
        <v>Revised:  11/4/2019</v>
      </c>
      <c r="AE1000" s="396"/>
      <c r="AF1000" s="396"/>
      <c r="AG1000" s="396"/>
      <c r="AH1000" s="396"/>
      <c r="AI1000" s="396"/>
      <c r="AJ1000" s="396"/>
      <c r="AK1000" s="396"/>
      <c r="AL1000" s="396"/>
      <c r="AM1000" s="396"/>
      <c r="AN1000" s="396"/>
      <c r="AO1000" s="396"/>
      <c r="AP1000" s="396"/>
      <c r="AQ1000" s="396"/>
      <c r="AR1000" s="192"/>
      <c r="AS1000" s="304"/>
    </row>
    <row r="1001" spans="1:47" ht="15.75" customHeight="1" thickBot="1" x14ac:dyDescent="0.35">
      <c r="B1001" s="401" t="s">
        <v>729</v>
      </c>
      <c r="C1001" s="402"/>
      <c r="D1001" s="402"/>
      <c r="E1001" s="402"/>
      <c r="F1001" s="402"/>
      <c r="G1001" s="402"/>
      <c r="H1001" s="402"/>
      <c r="I1001" s="402"/>
      <c r="J1001" s="402"/>
      <c r="K1001" s="402"/>
      <c r="L1001" s="402"/>
      <c r="M1001" s="402"/>
      <c r="N1001" s="402"/>
      <c r="O1001" s="402"/>
      <c r="P1001" s="402"/>
      <c r="Q1001" s="180"/>
      <c r="R1001" s="180"/>
      <c r="S1001" s="195"/>
      <c r="V1001" s="304"/>
      <c r="AC1001" s="95"/>
      <c r="AD1001" s="394" t="s">
        <v>670</v>
      </c>
      <c r="AE1001" s="397"/>
      <c r="AF1001" s="397"/>
      <c r="AG1001" s="397"/>
      <c r="AH1001" s="397"/>
      <c r="AI1001" s="397"/>
      <c r="AJ1001" s="397"/>
      <c r="AK1001" s="397"/>
      <c r="AL1001" s="397"/>
      <c r="AM1001" s="397"/>
      <c r="AN1001" s="397"/>
      <c r="AO1001" s="397"/>
      <c r="AP1001" s="397"/>
      <c r="AQ1001" s="397"/>
      <c r="AS1001" s="304"/>
    </row>
    <row r="1002" spans="1:47" ht="15.75" customHeight="1" thickBot="1" x14ac:dyDescent="0.35">
      <c r="A1002" s="222"/>
      <c r="B1002" s="403" t="s">
        <v>730</v>
      </c>
      <c r="C1002" s="404"/>
      <c r="D1002" s="404"/>
      <c r="E1002" s="404"/>
      <c r="F1002" s="405"/>
      <c r="G1002" s="403" t="s">
        <v>731</v>
      </c>
      <c r="H1002" s="404"/>
      <c r="I1002" s="404"/>
      <c r="J1002" s="404"/>
      <c r="K1002" s="404"/>
      <c r="L1002" s="404"/>
      <c r="M1002" s="406" t="s">
        <v>732</v>
      </c>
      <c r="N1002" s="429"/>
      <c r="O1002" s="429"/>
      <c r="P1002" s="429"/>
      <c r="Q1002" s="429"/>
      <c r="R1002" s="430"/>
      <c r="S1002" s="403" t="s">
        <v>733</v>
      </c>
      <c r="T1002" s="431"/>
      <c r="U1002" s="432"/>
      <c r="V1002" s="304"/>
      <c r="AC1002" s="95"/>
      <c r="AS1002" s="304"/>
    </row>
    <row r="1003" spans="1:47" ht="15.75" customHeight="1" x14ac:dyDescent="0.3">
      <c r="A1003" s="222"/>
      <c r="B1003" s="189" t="s">
        <v>639</v>
      </c>
      <c r="C1003" s="182"/>
      <c r="D1003" s="182" t="s">
        <v>734</v>
      </c>
      <c r="E1003" s="182" t="s">
        <v>735</v>
      </c>
      <c r="F1003" s="307" t="s">
        <v>736</v>
      </c>
      <c r="G1003" s="189" t="s">
        <v>737</v>
      </c>
      <c r="H1003" s="182"/>
      <c r="I1003" s="182"/>
      <c r="J1003" s="182" t="s">
        <v>738</v>
      </c>
      <c r="K1003" s="182" t="s">
        <v>739</v>
      </c>
      <c r="L1003" s="182" t="s">
        <v>740</v>
      </c>
      <c r="M1003" s="433" t="s">
        <v>741</v>
      </c>
      <c r="N1003" s="442"/>
      <c r="O1003" s="443"/>
      <c r="P1003" s="226"/>
      <c r="Q1003" s="227"/>
      <c r="R1003" s="362"/>
      <c r="S1003" s="182" t="s">
        <v>742</v>
      </c>
      <c r="T1003" s="228" t="s">
        <v>743</v>
      </c>
      <c r="U1003" s="308" t="s">
        <v>744</v>
      </c>
      <c r="V1003" s="304"/>
      <c r="AC1003" s="95"/>
      <c r="AD1003" s="395">
        <f>$A$5</f>
        <v>2019</v>
      </c>
      <c r="AE1003" s="397"/>
      <c r="AF1003" s="397"/>
      <c r="AG1003" s="397"/>
      <c r="AH1003" s="397"/>
      <c r="AI1003" s="397"/>
      <c r="AJ1003" s="397"/>
      <c r="AK1003" s="397"/>
      <c r="AL1003" s="397"/>
      <c r="AM1003" s="397"/>
      <c r="AN1003" s="397"/>
      <c r="AO1003" s="397"/>
      <c r="AP1003" s="397"/>
      <c r="AQ1003" s="397"/>
      <c r="AS1003" s="304"/>
    </row>
    <row r="1004" spans="1:47" ht="15.75" customHeight="1" x14ac:dyDescent="0.3">
      <c r="A1004" s="222"/>
      <c r="B1004" s="230" t="s">
        <v>745</v>
      </c>
      <c r="C1004" s="231" t="s">
        <v>746</v>
      </c>
      <c r="D1004" s="231" t="s">
        <v>747</v>
      </c>
      <c r="E1004" s="182" t="s">
        <v>658</v>
      </c>
      <c r="F1004" s="309" t="s">
        <v>748</v>
      </c>
      <c r="G1004" s="189" t="s">
        <v>640</v>
      </c>
      <c r="H1004" s="182" t="s">
        <v>749</v>
      </c>
      <c r="I1004" s="182" t="s">
        <v>750</v>
      </c>
      <c r="J1004" s="231" t="s">
        <v>751</v>
      </c>
      <c r="K1004" s="182" t="s">
        <v>723</v>
      </c>
      <c r="L1004" s="231" t="s">
        <v>752</v>
      </c>
      <c r="M1004" s="233" t="s">
        <v>753</v>
      </c>
      <c r="N1004" s="226" t="s">
        <v>754</v>
      </c>
      <c r="O1004" s="310" t="s">
        <v>641</v>
      </c>
      <c r="P1004" s="226" t="s">
        <v>755</v>
      </c>
      <c r="Q1004" s="226" t="s">
        <v>755</v>
      </c>
      <c r="R1004" s="310" t="s">
        <v>756</v>
      </c>
      <c r="S1004" s="182" t="s">
        <v>757</v>
      </c>
      <c r="T1004" s="182" t="s">
        <v>758</v>
      </c>
      <c r="U1004" s="307" t="s">
        <v>759</v>
      </c>
      <c r="V1004" s="304"/>
      <c r="AC1004" s="95"/>
      <c r="AD1004" s="394" t="s">
        <v>717</v>
      </c>
      <c r="AE1004" s="396"/>
      <c r="AF1004" s="396"/>
      <c r="AG1004" s="396"/>
      <c r="AH1004" s="396"/>
      <c r="AI1004" s="396"/>
      <c r="AJ1004" s="396"/>
      <c r="AK1004" s="396"/>
      <c r="AL1004" s="396"/>
      <c r="AM1004" s="396"/>
      <c r="AN1004" s="396"/>
      <c r="AO1004" s="396"/>
      <c r="AP1004" s="396"/>
      <c r="AQ1004" s="396"/>
      <c r="AR1004" s="182"/>
      <c r="AS1004" s="304"/>
    </row>
    <row r="1005" spans="1:47" ht="15.75" customHeight="1" x14ac:dyDescent="0.3">
      <c r="A1005" s="222"/>
      <c r="B1005" s="235" t="s">
        <v>760</v>
      </c>
      <c r="C1005" s="215">
        <v>0</v>
      </c>
      <c r="D1005" s="215"/>
      <c r="E1005" s="182" t="s">
        <v>761</v>
      </c>
      <c r="F1005" s="311" t="s">
        <v>762</v>
      </c>
      <c r="G1005" s="189" t="s">
        <v>763</v>
      </c>
      <c r="H1005" s="182" t="s">
        <v>658</v>
      </c>
      <c r="I1005" s="182" t="s">
        <v>658</v>
      </c>
      <c r="J1005" s="182" t="s">
        <v>658</v>
      </c>
      <c r="K1005" s="182" t="s">
        <v>743</v>
      </c>
      <c r="L1005" s="182" t="s">
        <v>764</v>
      </c>
      <c r="M1005" s="237" t="s">
        <v>648</v>
      </c>
      <c r="N1005" s="227" t="s">
        <v>765</v>
      </c>
      <c r="O1005" s="310" t="s">
        <v>766</v>
      </c>
      <c r="P1005" s="227" t="s">
        <v>767</v>
      </c>
      <c r="Q1005" s="226" t="s">
        <v>767</v>
      </c>
      <c r="R1005" s="310" t="s">
        <v>766</v>
      </c>
      <c r="S1005" s="182" t="s">
        <v>658</v>
      </c>
      <c r="T1005" s="182" t="s">
        <v>658</v>
      </c>
      <c r="U1005" s="307" t="s">
        <v>658</v>
      </c>
      <c r="V1005" s="304"/>
      <c r="AC1005" s="95"/>
      <c r="AK1005" s="190"/>
      <c r="AS1005" s="304"/>
    </row>
    <row r="1006" spans="1:47" ht="15.75" customHeight="1" thickBot="1" x14ac:dyDescent="0.35">
      <c r="A1006" s="213" t="s">
        <v>768</v>
      </c>
      <c r="B1006" s="189" t="s">
        <v>705</v>
      </c>
      <c r="C1006" s="182" t="s">
        <v>705</v>
      </c>
      <c r="D1006" s="182" t="s">
        <v>705</v>
      </c>
      <c r="E1006" s="182" t="s">
        <v>705</v>
      </c>
      <c r="F1006" s="307" t="s">
        <v>705</v>
      </c>
      <c r="G1006" s="189" t="s">
        <v>705</v>
      </c>
      <c r="H1006" s="182" t="s">
        <v>705</v>
      </c>
      <c r="I1006" s="182" t="s">
        <v>705</v>
      </c>
      <c r="J1006" s="182" t="s">
        <v>705</v>
      </c>
      <c r="K1006" s="182" t="s">
        <v>705</v>
      </c>
      <c r="L1006" s="182" t="s">
        <v>705</v>
      </c>
      <c r="M1006" s="237" t="s">
        <v>705</v>
      </c>
      <c r="N1006" s="227" t="s">
        <v>705</v>
      </c>
      <c r="O1006" s="310" t="s">
        <v>705</v>
      </c>
      <c r="P1006" s="227" t="s">
        <v>365</v>
      </c>
      <c r="Q1006" s="226" t="s">
        <v>705</v>
      </c>
      <c r="R1006" s="310" t="s">
        <v>705</v>
      </c>
      <c r="S1006" s="182" t="s">
        <v>705</v>
      </c>
      <c r="T1006" s="182" t="s">
        <v>705</v>
      </c>
      <c r="U1006" s="307" t="s">
        <v>705</v>
      </c>
      <c r="V1006" s="304"/>
      <c r="AC1006" s="95"/>
      <c r="AD1006" s="191" t="s">
        <v>677</v>
      </c>
      <c r="AE1006" s="191" t="s">
        <v>678</v>
      </c>
      <c r="AF1006" s="191" t="s">
        <v>679</v>
      </c>
      <c r="AG1006" s="191" t="s">
        <v>680</v>
      </c>
      <c r="AH1006" s="191" t="s">
        <v>644</v>
      </c>
      <c r="AI1006" s="191" t="s">
        <v>681</v>
      </c>
      <c r="AJ1006" s="191" t="s">
        <v>682</v>
      </c>
      <c r="AK1006" s="191" t="s">
        <v>683</v>
      </c>
      <c r="AL1006" s="191" t="s">
        <v>684</v>
      </c>
      <c r="AM1006" s="191" t="s">
        <v>685</v>
      </c>
      <c r="AN1006" s="191" t="s">
        <v>686</v>
      </c>
      <c r="AO1006" s="191" t="s">
        <v>687</v>
      </c>
      <c r="AP1006" s="191" t="s">
        <v>688</v>
      </c>
      <c r="AQ1006" s="191" t="s">
        <v>689</v>
      </c>
      <c r="AR1006" s="191" t="s">
        <v>638</v>
      </c>
      <c r="AS1006" s="209" t="s">
        <v>641</v>
      </c>
    </row>
    <row r="1007" spans="1:47" ht="15.75" customHeight="1" x14ac:dyDescent="0.3">
      <c r="A1007" s="213" t="s">
        <v>666</v>
      </c>
      <c r="B1007" s="189" t="s">
        <v>666</v>
      </c>
      <c r="C1007" s="182" t="s">
        <v>666</v>
      </c>
      <c r="D1007" s="182" t="s">
        <v>666</v>
      </c>
      <c r="E1007" s="182" t="s">
        <v>769</v>
      </c>
      <c r="F1007" s="307" t="s">
        <v>666</v>
      </c>
      <c r="G1007" s="189" t="s">
        <v>666</v>
      </c>
      <c r="H1007" s="182" t="s">
        <v>770</v>
      </c>
      <c r="I1007" s="182" t="s">
        <v>770</v>
      </c>
      <c r="J1007" s="182" t="s">
        <v>666</v>
      </c>
      <c r="K1007" s="182" t="s">
        <v>666</v>
      </c>
      <c r="L1007" s="182" t="s">
        <v>666</v>
      </c>
      <c r="M1007" s="237" t="s">
        <v>666</v>
      </c>
      <c r="N1007" s="227" t="s">
        <v>666</v>
      </c>
      <c r="O1007" s="310" t="s">
        <v>666</v>
      </c>
      <c r="P1007" s="237" t="s">
        <v>666</v>
      </c>
      <c r="Q1007" s="227" t="s">
        <v>666</v>
      </c>
      <c r="R1007" s="310" t="s">
        <v>666</v>
      </c>
      <c r="S1007" s="182" t="s">
        <v>666</v>
      </c>
      <c r="T1007" s="182" t="s">
        <v>666</v>
      </c>
      <c r="U1007" s="307" t="s">
        <v>666</v>
      </c>
      <c r="V1007" s="304"/>
      <c r="AC1007" s="95"/>
      <c r="AD1007" s="180"/>
      <c r="AE1007" s="180"/>
      <c r="AF1007" s="180"/>
      <c r="AG1007" s="180"/>
      <c r="AH1007" s="182" t="s">
        <v>718</v>
      </c>
      <c r="AI1007" s="180"/>
      <c r="AJ1007" s="180"/>
      <c r="AK1007" s="180"/>
      <c r="AL1007" s="180"/>
      <c r="AM1007" s="180"/>
      <c r="AN1007" s="180"/>
      <c r="AO1007" s="180"/>
      <c r="AP1007" s="180"/>
      <c r="AQ1007" s="180"/>
      <c r="AR1007" s="180"/>
      <c r="AS1007" s="210"/>
    </row>
    <row r="1008" spans="1:47" ht="15.75" customHeight="1" x14ac:dyDescent="0.3">
      <c r="A1008" s="192" t="s">
        <v>8</v>
      </c>
      <c r="B1008" s="189">
        <f>ROUND(R980-G980,0)</f>
        <v>158909</v>
      </c>
      <c r="C1008" s="182">
        <f>+ROUND(B1008*$C$1005,0)</f>
        <v>0</v>
      </c>
      <c r="D1008" s="182">
        <f>AS980</f>
        <v>6500</v>
      </c>
      <c r="E1008" s="182">
        <f>+B1008+C1008</f>
        <v>158909</v>
      </c>
      <c r="F1008" s="307">
        <f>(D1008+E1008)</f>
        <v>165409</v>
      </c>
      <c r="G1008" s="189">
        <f>ABS(G980)</f>
        <v>2506.933714525439</v>
      </c>
      <c r="H1008" s="238">
        <v>9026</v>
      </c>
      <c r="I1008" s="238">
        <v>0</v>
      </c>
      <c r="J1008" s="182">
        <f>(H1008+I1008)</f>
        <v>9026</v>
      </c>
      <c r="K1008" s="238">
        <v>0</v>
      </c>
      <c r="L1008" s="238">
        <v>0</v>
      </c>
      <c r="M1008" s="239">
        <f>D1008+E1008-G1008-J1008-K1008-L1008</f>
        <v>153876.06628547458</v>
      </c>
      <c r="N1008" s="240">
        <v>0</v>
      </c>
      <c r="O1008" s="310">
        <f>M1008+N1008</f>
        <v>153876.06628547458</v>
      </c>
      <c r="P1008" s="241">
        <v>0.2</v>
      </c>
      <c r="Q1008" s="227">
        <f>-O1008*P1008</f>
        <v>-30775.213257094918</v>
      </c>
      <c r="R1008" s="310">
        <f>O1008+Q1008</f>
        <v>123100.85302837966</v>
      </c>
      <c r="S1008" s="242">
        <f t="shared" ref="S1008:S1019" si="367">(F1008-G1008-J1008-K1008-L1008-R1008)</f>
        <v>30775.213257094918</v>
      </c>
      <c r="T1008" s="182">
        <f>+IF(S1008&gt;=0,ABS(S1008),"")</f>
        <v>30775.213257094918</v>
      </c>
      <c r="U1008" s="307" t="str">
        <f>+IF(S1008&lt;=0,ABS(S1008),"")</f>
        <v/>
      </c>
      <c r="V1008" s="304"/>
      <c r="AC1008" s="211" t="s">
        <v>771</v>
      </c>
      <c r="AD1008" s="212"/>
      <c r="AE1008" s="212"/>
      <c r="AF1008" s="212"/>
      <c r="AG1008" s="212"/>
      <c r="AH1008" s="212">
        <v>1.6E-2</v>
      </c>
      <c r="AI1008" s="212">
        <v>1.6E-2</v>
      </c>
      <c r="AJ1008" s="212">
        <v>1.6E-2</v>
      </c>
      <c r="AK1008" s="212">
        <v>1.6E-2</v>
      </c>
      <c r="AL1008" s="212">
        <v>1.6E-2</v>
      </c>
      <c r="AM1008" s="212">
        <v>1.6E-2</v>
      </c>
      <c r="AN1008" s="212">
        <v>1.6E-2</v>
      </c>
      <c r="AO1008" s="212">
        <v>1.6E-2</v>
      </c>
      <c r="AP1008" s="212">
        <v>1.6E-2</v>
      </c>
      <c r="AQ1008" s="212">
        <v>1.6E-2</v>
      </c>
      <c r="AR1008" s="212">
        <v>1.6E-2</v>
      </c>
      <c r="AS1008" s="213"/>
    </row>
    <row r="1009" spans="1:45" ht="15.75" customHeight="1" x14ac:dyDescent="0.3">
      <c r="A1009" s="192" t="s">
        <v>9</v>
      </c>
      <c r="B1009" s="189">
        <f>ROUND(R981-G981,0)</f>
        <v>257187</v>
      </c>
      <c r="C1009" s="182">
        <f t="shared" ref="C1009:C1019" si="368">+ROUND(B1009*$C$1005,0)</f>
        <v>0</v>
      </c>
      <c r="D1009" s="182">
        <f t="shared" ref="D1009:D1019" si="369">AS981</f>
        <v>10760</v>
      </c>
      <c r="E1009" s="182">
        <f t="shared" ref="E1009:E1021" si="370">+B1009+C1009</f>
        <v>257187</v>
      </c>
      <c r="F1009" s="307">
        <f t="shared" ref="F1009:F1019" si="371">(D1009+E1009)</f>
        <v>267947</v>
      </c>
      <c r="G1009" s="189">
        <f t="shared" ref="G1009:G1019" si="372">ABS(G981)</f>
        <v>0</v>
      </c>
      <c r="H1009" s="238">
        <v>10267</v>
      </c>
      <c r="I1009" s="238">
        <v>0</v>
      </c>
      <c r="J1009" s="182">
        <f t="shared" ref="J1009:J1018" si="373">(H1009+I1009)</f>
        <v>10267</v>
      </c>
      <c r="K1009" s="238">
        <v>0</v>
      </c>
      <c r="L1009" s="238">
        <v>0</v>
      </c>
      <c r="M1009" s="239">
        <f t="shared" ref="M1009:M1019" si="374">D1009+E1009-G1009-J1009-K1009-L1009</f>
        <v>257680</v>
      </c>
      <c r="N1009" s="240">
        <v>0</v>
      </c>
      <c r="O1009" s="310">
        <f t="shared" ref="O1009:O1019" si="375">M1009+N1009</f>
        <v>257680</v>
      </c>
      <c r="P1009" s="241">
        <v>0.25</v>
      </c>
      <c r="Q1009" s="227">
        <f t="shared" ref="Q1009:Q1019" si="376">-O1009*P1009</f>
        <v>-64420</v>
      </c>
      <c r="R1009" s="310">
        <f t="shared" ref="R1009:R1019" si="377">O1009+Q1009</f>
        <v>193260</v>
      </c>
      <c r="S1009" s="242">
        <f t="shared" si="367"/>
        <v>64420</v>
      </c>
      <c r="T1009" s="182">
        <f t="shared" ref="T1009:T1019" si="378">+IF(S1009&gt;=0,ABS(S1009),"")</f>
        <v>64420</v>
      </c>
      <c r="U1009" s="307" t="str">
        <f t="shared" ref="U1009:U1019" si="379">+IF(S1009&lt;=0,ABS(S1009),"")</f>
        <v/>
      </c>
      <c r="V1009" s="304"/>
      <c r="AC1009" s="211" t="s">
        <v>720</v>
      </c>
      <c r="AD1009" s="212"/>
      <c r="AE1009" s="212"/>
      <c r="AF1009" s="212"/>
      <c r="AG1009" s="212"/>
      <c r="AH1009" s="212"/>
      <c r="AI1009" s="212"/>
      <c r="AJ1009" s="212"/>
      <c r="AK1009" s="212"/>
      <c r="AL1009" s="212"/>
      <c r="AM1009" s="212"/>
      <c r="AN1009" s="212"/>
      <c r="AO1009" s="212"/>
      <c r="AP1009" s="212"/>
      <c r="AQ1009" s="212"/>
      <c r="AR1009" s="212"/>
      <c r="AS1009" s="213"/>
    </row>
    <row r="1010" spans="1:45" ht="15.75" customHeight="1" x14ac:dyDescent="0.3">
      <c r="A1010" s="192" t="s">
        <v>10</v>
      </c>
      <c r="B1010" s="189">
        <f t="shared" ref="B1010:B1019" si="380">ROUND(R982-G982,0)</f>
        <v>147670</v>
      </c>
      <c r="C1010" s="182">
        <f t="shared" si="368"/>
        <v>0</v>
      </c>
      <c r="D1010" s="182">
        <f t="shared" si="369"/>
        <v>6425</v>
      </c>
      <c r="E1010" s="182">
        <f t="shared" si="370"/>
        <v>147670</v>
      </c>
      <c r="F1010" s="307">
        <f t="shared" si="371"/>
        <v>154095</v>
      </c>
      <c r="G1010" s="189">
        <f t="shared" si="372"/>
        <v>19.202170308967627</v>
      </c>
      <c r="H1010" s="238">
        <v>15833</v>
      </c>
      <c r="I1010" s="238">
        <v>0</v>
      </c>
      <c r="J1010" s="182">
        <f t="shared" si="373"/>
        <v>15833</v>
      </c>
      <c r="K1010" s="238">
        <v>0</v>
      </c>
      <c r="L1010" s="238">
        <v>0</v>
      </c>
      <c r="M1010" s="239">
        <f t="shared" si="374"/>
        <v>138242.79782969103</v>
      </c>
      <c r="N1010" s="240">
        <v>0</v>
      </c>
      <c r="O1010" s="310">
        <f t="shared" si="375"/>
        <v>138242.79782969103</v>
      </c>
      <c r="P1010" s="241">
        <v>0.3</v>
      </c>
      <c r="Q1010" s="227">
        <f t="shared" si="376"/>
        <v>-41472.839348907306</v>
      </c>
      <c r="R1010" s="310">
        <f t="shared" si="377"/>
        <v>96769.958480783724</v>
      </c>
      <c r="S1010" s="242">
        <f t="shared" si="367"/>
        <v>41472.839348907306</v>
      </c>
      <c r="T1010" s="182">
        <f t="shared" si="378"/>
        <v>41472.839348907306</v>
      </c>
      <c r="U1010" s="307" t="str">
        <f t="shared" si="379"/>
        <v/>
      </c>
      <c r="V1010" s="304"/>
      <c r="AC1010" s="211" t="s">
        <v>721</v>
      </c>
      <c r="AD1010" s="212"/>
      <c r="AE1010" s="212"/>
      <c r="AF1010" s="212"/>
      <c r="AG1010" s="212"/>
      <c r="AH1010" s="212"/>
      <c r="AI1010" s="212"/>
      <c r="AJ1010" s="212"/>
      <c r="AK1010" s="212"/>
      <c r="AL1010" s="212"/>
      <c r="AM1010" s="212"/>
      <c r="AN1010" s="212"/>
      <c r="AO1010" s="212"/>
      <c r="AP1010" s="212"/>
      <c r="AQ1010" s="212"/>
      <c r="AR1010" s="212"/>
      <c r="AS1010" s="213"/>
    </row>
    <row r="1011" spans="1:45" ht="15.75" customHeight="1" x14ac:dyDescent="0.3">
      <c r="A1011" s="192" t="s">
        <v>12</v>
      </c>
      <c r="B1011" s="189">
        <f t="shared" si="380"/>
        <v>257802</v>
      </c>
      <c r="C1011" s="182">
        <f t="shared" si="368"/>
        <v>0</v>
      </c>
      <c r="D1011" s="182">
        <f t="shared" si="369"/>
        <v>11221</v>
      </c>
      <c r="E1011" s="182">
        <f t="shared" si="370"/>
        <v>257802</v>
      </c>
      <c r="F1011" s="307">
        <f t="shared" si="371"/>
        <v>269023</v>
      </c>
      <c r="G1011" s="189">
        <f t="shared" si="372"/>
        <v>2061.6142888418181</v>
      </c>
      <c r="H1011" s="238">
        <v>15927</v>
      </c>
      <c r="I1011" s="238">
        <v>0</v>
      </c>
      <c r="J1011" s="182">
        <f t="shared" si="373"/>
        <v>15927</v>
      </c>
      <c r="K1011" s="238">
        <v>0</v>
      </c>
      <c r="L1011" s="238">
        <v>0</v>
      </c>
      <c r="M1011" s="239">
        <f t="shared" si="374"/>
        <v>251034.38571115816</v>
      </c>
      <c r="N1011" s="240">
        <v>-22320</v>
      </c>
      <c r="O1011" s="310">
        <f t="shared" si="375"/>
        <v>228714.38571115816</v>
      </c>
      <c r="P1011" s="241">
        <v>0.35</v>
      </c>
      <c r="Q1011" s="227">
        <f t="shared" si="376"/>
        <v>-80050.03499890535</v>
      </c>
      <c r="R1011" s="310">
        <f t="shared" si="377"/>
        <v>148664.35071225281</v>
      </c>
      <c r="S1011" s="242">
        <f t="shared" si="367"/>
        <v>102370.03499890535</v>
      </c>
      <c r="T1011" s="182">
        <f t="shared" si="378"/>
        <v>102370.03499890535</v>
      </c>
      <c r="U1011" s="307" t="str">
        <f t="shared" si="379"/>
        <v/>
      </c>
      <c r="V1011" s="304"/>
      <c r="AC1011" s="211" t="s">
        <v>137</v>
      </c>
      <c r="AD1011" s="212"/>
      <c r="AE1011" s="212"/>
      <c r="AF1011" s="212"/>
      <c r="AG1011" s="212"/>
      <c r="AH1011" s="212"/>
      <c r="AI1011" s="212"/>
      <c r="AJ1011" s="212"/>
      <c r="AK1011" s="212"/>
      <c r="AL1011" s="212"/>
      <c r="AM1011" s="212"/>
      <c r="AN1011" s="212"/>
      <c r="AO1011" s="212"/>
      <c r="AP1011" s="212"/>
      <c r="AQ1011" s="212"/>
      <c r="AR1011" s="212"/>
      <c r="AS1011" s="213"/>
    </row>
    <row r="1012" spans="1:45" ht="15.75" customHeight="1" x14ac:dyDescent="0.3">
      <c r="A1012" s="192" t="s">
        <v>13</v>
      </c>
      <c r="B1012" s="189">
        <f t="shared" si="380"/>
        <v>264309</v>
      </c>
      <c r="C1012" s="182">
        <f t="shared" si="368"/>
        <v>0</v>
      </c>
      <c r="D1012" s="182">
        <f t="shared" si="369"/>
        <v>11491</v>
      </c>
      <c r="E1012" s="182">
        <f t="shared" si="370"/>
        <v>264309</v>
      </c>
      <c r="F1012" s="307">
        <f t="shared" si="371"/>
        <v>275800</v>
      </c>
      <c r="G1012" s="189">
        <f t="shared" si="372"/>
        <v>2387.0838543823515</v>
      </c>
      <c r="H1012" s="238">
        <v>14250</v>
      </c>
      <c r="I1012" s="238">
        <v>0</v>
      </c>
      <c r="J1012" s="182">
        <f t="shared" si="373"/>
        <v>14250</v>
      </c>
      <c r="K1012" s="238">
        <v>0</v>
      </c>
      <c r="L1012" s="238">
        <v>0</v>
      </c>
      <c r="M1012" s="239">
        <f t="shared" si="374"/>
        <v>259162.91614561767</v>
      </c>
      <c r="N1012" s="240">
        <v>0</v>
      </c>
      <c r="O1012" s="310">
        <f t="shared" si="375"/>
        <v>259162.91614561767</v>
      </c>
      <c r="P1012" s="241">
        <v>0.35</v>
      </c>
      <c r="Q1012" s="227">
        <f t="shared" si="376"/>
        <v>-90707.02065096618</v>
      </c>
      <c r="R1012" s="310">
        <f t="shared" si="377"/>
        <v>168455.89549465149</v>
      </c>
      <c r="S1012" s="242">
        <f t="shared" si="367"/>
        <v>90707.02065096618</v>
      </c>
      <c r="T1012" s="182">
        <f t="shared" si="378"/>
        <v>90707.02065096618</v>
      </c>
      <c r="U1012" s="307" t="str">
        <f t="shared" si="379"/>
        <v/>
      </c>
      <c r="V1012" s="304"/>
      <c r="AC1012" s="211" t="s">
        <v>772</v>
      </c>
      <c r="AD1012" s="212"/>
      <c r="AE1012" s="212"/>
      <c r="AF1012" s="212"/>
      <c r="AG1012" s="212"/>
      <c r="AH1012" s="212"/>
      <c r="AI1012" s="212"/>
      <c r="AJ1012" s="212">
        <v>2.5000000000000001E-2</v>
      </c>
      <c r="AK1012" s="212">
        <v>2.5000000000000001E-2</v>
      </c>
      <c r="AL1012" s="212">
        <v>2.5000000000000001E-2</v>
      </c>
      <c r="AM1012" s="212">
        <v>2.5000000000000001E-2</v>
      </c>
      <c r="AN1012" s="212">
        <v>2.5000000000000001E-2</v>
      </c>
      <c r="AO1012" s="212">
        <v>2.5000000000000001E-2</v>
      </c>
      <c r="AP1012" s="212">
        <v>2.5000000000000001E-2</v>
      </c>
      <c r="AQ1012" s="212">
        <v>2.5000000000000001E-2</v>
      </c>
      <c r="AR1012" s="212">
        <v>2.5000000000000001E-2</v>
      </c>
      <c r="AS1012" s="213"/>
    </row>
    <row r="1013" spans="1:45" ht="15.75" customHeight="1" x14ac:dyDescent="0.3">
      <c r="A1013" s="192" t="s">
        <v>14</v>
      </c>
      <c r="B1013" s="189">
        <f>ROUND(R985-G985,0)</f>
        <v>201405</v>
      </c>
      <c r="C1013" s="182">
        <f t="shared" si="368"/>
        <v>0</v>
      </c>
      <c r="D1013" s="182">
        <f t="shared" si="369"/>
        <v>8591</v>
      </c>
      <c r="E1013" s="182">
        <f t="shared" si="370"/>
        <v>201405</v>
      </c>
      <c r="F1013" s="307">
        <f t="shared" si="371"/>
        <v>209996</v>
      </c>
      <c r="G1013" s="189">
        <f t="shared" si="372"/>
        <v>11965.053202712879</v>
      </c>
      <c r="H1013" s="238">
        <v>12696</v>
      </c>
      <c r="I1013" s="238">
        <v>0</v>
      </c>
      <c r="J1013" s="182">
        <f t="shared" si="373"/>
        <v>12696</v>
      </c>
      <c r="K1013" s="238">
        <v>0</v>
      </c>
      <c r="L1013" s="238">
        <v>0</v>
      </c>
      <c r="M1013" s="239">
        <f t="shared" si="374"/>
        <v>185334.94679728712</v>
      </c>
      <c r="N1013" s="240">
        <v>47280</v>
      </c>
      <c r="O1013" s="310">
        <f t="shared" si="375"/>
        <v>232614.94679728712</v>
      </c>
      <c r="P1013" s="241">
        <v>7.4999999999999997E-2</v>
      </c>
      <c r="Q1013" s="227">
        <f t="shared" si="376"/>
        <v>-17446.121009796534</v>
      </c>
      <c r="R1013" s="310">
        <f t="shared" si="377"/>
        <v>215168.82578749058</v>
      </c>
      <c r="S1013" s="242">
        <f t="shared" si="367"/>
        <v>-29833.878990203462</v>
      </c>
      <c r="T1013" s="182" t="str">
        <f t="shared" si="378"/>
        <v/>
      </c>
      <c r="U1013" s="307">
        <f t="shared" si="379"/>
        <v>29833.878990203462</v>
      </c>
      <c r="V1013" s="304"/>
      <c r="AC1013" s="211" t="s">
        <v>641</v>
      </c>
      <c r="AD1013" s="215">
        <f>SUM(AD1008:AD1012)</f>
        <v>0</v>
      </c>
      <c r="AE1013" s="215">
        <f t="shared" ref="AE1013:AR1013" si="381">SUM(AE1008:AE1012)</f>
        <v>0</v>
      </c>
      <c r="AF1013" s="215">
        <f t="shared" si="381"/>
        <v>0</v>
      </c>
      <c r="AG1013" s="215">
        <f t="shared" si="381"/>
        <v>0</v>
      </c>
      <c r="AH1013" s="215">
        <f t="shared" si="381"/>
        <v>1.6E-2</v>
      </c>
      <c r="AI1013" s="215">
        <f t="shared" si="381"/>
        <v>1.6E-2</v>
      </c>
      <c r="AJ1013" s="215">
        <f t="shared" si="381"/>
        <v>4.1000000000000002E-2</v>
      </c>
      <c r="AK1013" s="215">
        <f t="shared" si="381"/>
        <v>4.1000000000000002E-2</v>
      </c>
      <c r="AL1013" s="215">
        <f t="shared" si="381"/>
        <v>4.1000000000000002E-2</v>
      </c>
      <c r="AM1013" s="215">
        <f t="shared" si="381"/>
        <v>4.1000000000000002E-2</v>
      </c>
      <c r="AN1013" s="215">
        <f t="shared" si="381"/>
        <v>4.1000000000000002E-2</v>
      </c>
      <c r="AO1013" s="215">
        <f t="shared" si="381"/>
        <v>4.1000000000000002E-2</v>
      </c>
      <c r="AP1013" s="215">
        <f t="shared" si="381"/>
        <v>4.1000000000000002E-2</v>
      </c>
      <c r="AQ1013" s="215">
        <f t="shared" si="381"/>
        <v>4.1000000000000002E-2</v>
      </c>
      <c r="AR1013" s="215">
        <f t="shared" si="381"/>
        <v>4.1000000000000002E-2</v>
      </c>
      <c r="AS1013" s="213"/>
    </row>
    <row r="1014" spans="1:45" ht="15.75" customHeight="1" x14ac:dyDescent="0.3">
      <c r="A1014" s="192" t="s">
        <v>16</v>
      </c>
      <c r="B1014" s="189">
        <f t="shared" si="380"/>
        <v>190870</v>
      </c>
      <c r="C1014" s="182">
        <f t="shared" si="368"/>
        <v>0</v>
      </c>
      <c r="D1014" s="182">
        <f t="shared" si="369"/>
        <v>8064</v>
      </c>
      <c r="E1014" s="182">
        <f t="shared" si="370"/>
        <v>190870</v>
      </c>
      <c r="F1014" s="307">
        <f t="shared" si="371"/>
        <v>198934</v>
      </c>
      <c r="G1014" s="189">
        <f t="shared" si="372"/>
        <v>11656.589320102019</v>
      </c>
      <c r="H1014" s="238">
        <v>11620</v>
      </c>
      <c r="I1014" s="238">
        <v>0</v>
      </c>
      <c r="J1014" s="182">
        <f t="shared" si="373"/>
        <v>11620</v>
      </c>
      <c r="K1014" s="238">
        <v>0</v>
      </c>
      <c r="L1014" s="238">
        <v>0</v>
      </c>
      <c r="M1014" s="239">
        <f t="shared" si="374"/>
        <v>175657.41067989799</v>
      </c>
      <c r="N1014" s="240">
        <v>47120</v>
      </c>
      <c r="O1014" s="310">
        <f t="shared" si="375"/>
        <v>222777.41067989799</v>
      </c>
      <c r="P1014" s="241">
        <v>0.05</v>
      </c>
      <c r="Q1014" s="227">
        <f t="shared" si="376"/>
        <v>-11138.870533994901</v>
      </c>
      <c r="R1014" s="310">
        <f t="shared" si="377"/>
        <v>211638.5401459031</v>
      </c>
      <c r="S1014" s="242">
        <f t="shared" si="367"/>
        <v>-35981.129466005106</v>
      </c>
      <c r="T1014" s="182" t="str">
        <f t="shared" si="378"/>
        <v/>
      </c>
      <c r="U1014" s="307">
        <f t="shared" si="379"/>
        <v>35981.129466005106</v>
      </c>
      <c r="V1014" s="304"/>
      <c r="AC1014" s="189" t="s">
        <v>666</v>
      </c>
      <c r="AD1014" s="182" t="s">
        <v>666</v>
      </c>
      <c r="AE1014" s="182" t="s">
        <v>666</v>
      </c>
      <c r="AF1014" s="182" t="s">
        <v>666</v>
      </c>
      <c r="AG1014" s="182" t="s">
        <v>666</v>
      </c>
      <c r="AH1014" s="182" t="s">
        <v>666</v>
      </c>
      <c r="AI1014" s="182" t="s">
        <v>666</v>
      </c>
      <c r="AJ1014" s="182" t="s">
        <v>666</v>
      </c>
      <c r="AK1014" s="182" t="s">
        <v>666</v>
      </c>
      <c r="AL1014" s="182" t="s">
        <v>666</v>
      </c>
      <c r="AM1014" s="182" t="s">
        <v>666</v>
      </c>
      <c r="AN1014" s="182" t="s">
        <v>666</v>
      </c>
      <c r="AO1014" s="182" t="s">
        <v>666</v>
      </c>
      <c r="AP1014" s="182" t="s">
        <v>666</v>
      </c>
      <c r="AQ1014" s="182" t="s">
        <v>666</v>
      </c>
      <c r="AR1014" s="182" t="s">
        <v>666</v>
      </c>
      <c r="AS1014" s="213" t="s">
        <v>666</v>
      </c>
    </row>
    <row r="1015" spans="1:45" ht="15.75" customHeight="1" x14ac:dyDescent="0.3">
      <c r="A1015" s="192" t="s">
        <v>17</v>
      </c>
      <c r="B1015" s="189">
        <f t="shared" si="380"/>
        <v>198483</v>
      </c>
      <c r="C1015" s="182">
        <f t="shared" si="368"/>
        <v>0</v>
      </c>
      <c r="D1015" s="182">
        <f t="shared" si="369"/>
        <v>8438</v>
      </c>
      <c r="E1015" s="182">
        <f t="shared" si="370"/>
        <v>198483</v>
      </c>
      <c r="F1015" s="307">
        <f t="shared" si="371"/>
        <v>206921</v>
      </c>
      <c r="G1015" s="189">
        <f t="shared" si="372"/>
        <v>7624.2487770127427</v>
      </c>
      <c r="H1015" s="238">
        <v>10241</v>
      </c>
      <c r="I1015" s="238">
        <v>0</v>
      </c>
      <c r="J1015" s="182">
        <f t="shared" si="373"/>
        <v>10241</v>
      </c>
      <c r="K1015" s="238">
        <v>0</v>
      </c>
      <c r="L1015" s="238">
        <v>0</v>
      </c>
      <c r="M1015" s="239">
        <f t="shared" si="374"/>
        <v>189055.75122298725</v>
      </c>
      <c r="N1015" s="240">
        <v>58776</v>
      </c>
      <c r="O1015" s="310">
        <f t="shared" si="375"/>
        <v>247831.75122298725</v>
      </c>
      <c r="P1015" s="241">
        <v>0</v>
      </c>
      <c r="Q1015" s="227">
        <f t="shared" si="376"/>
        <v>0</v>
      </c>
      <c r="R1015" s="310">
        <f t="shared" si="377"/>
        <v>247831.75122298725</v>
      </c>
      <c r="S1015" s="242">
        <f t="shared" si="367"/>
        <v>-58776</v>
      </c>
      <c r="T1015" s="182" t="str">
        <f t="shared" si="378"/>
        <v/>
      </c>
      <c r="U1015" s="307">
        <f t="shared" si="379"/>
        <v>58776</v>
      </c>
      <c r="V1015" s="304"/>
      <c r="AC1015" s="211" t="s">
        <v>8</v>
      </c>
      <c r="AD1015" s="180">
        <f>ROUND(B980*$AD$1013, 0)</f>
        <v>0</v>
      </c>
      <c r="AE1015" s="180">
        <f>ROUND(C980*$AE$1013,0)</f>
        <v>0</v>
      </c>
      <c r="AF1015" s="180">
        <f>ROUND(D980*$AF$1013,0)</f>
        <v>0</v>
      </c>
      <c r="AG1015" s="180">
        <f>ROUND(E980*$AG$1013,0)</f>
        <v>0</v>
      </c>
      <c r="AH1015" s="180">
        <f>ROUND(F980*$AH$1013,0)</f>
        <v>203</v>
      </c>
      <c r="AI1015" s="180">
        <f>ROUND(H980*$AI$1013,0)</f>
        <v>38</v>
      </c>
      <c r="AJ1015" s="180">
        <f>ROUND(I980*$AJ$1013,0)</f>
        <v>100</v>
      </c>
      <c r="AK1015" s="180">
        <f>ROUND(J980*$AK$1013,0)</f>
        <v>156</v>
      </c>
      <c r="AL1015" s="180">
        <f>ROUND(K980*$AL$1013,0)</f>
        <v>162</v>
      </c>
      <c r="AM1015" s="180">
        <f>ROUND(L980*$AM$1013,0)</f>
        <v>52</v>
      </c>
      <c r="AN1015" s="180">
        <f>ROUND(M980*$AN$1013,0)</f>
        <v>62</v>
      </c>
      <c r="AO1015" s="180">
        <f>ROUND(N980*$AO$1013,0)</f>
        <v>127</v>
      </c>
      <c r="AP1015" s="180">
        <f>ROUND(O980*$AP$1013,0)</f>
        <v>27</v>
      </c>
      <c r="AQ1015" s="180">
        <f>ROUND(P980*$AQ$1013,0)</f>
        <v>53</v>
      </c>
      <c r="AR1015" s="180">
        <f>ROUND(Q980*$AR$1013,0)</f>
        <v>64</v>
      </c>
      <c r="AS1015" s="210">
        <f>SUM(AD1015:AR1015)</f>
        <v>1044</v>
      </c>
    </row>
    <row r="1016" spans="1:45" ht="15.75" customHeight="1" x14ac:dyDescent="0.3">
      <c r="A1016" s="192" t="s">
        <v>18</v>
      </c>
      <c r="B1016" s="189">
        <f t="shared" si="380"/>
        <v>267373</v>
      </c>
      <c r="C1016" s="182">
        <f t="shared" si="368"/>
        <v>0</v>
      </c>
      <c r="D1016" s="182">
        <f t="shared" si="369"/>
        <v>11715</v>
      </c>
      <c r="E1016" s="182">
        <f t="shared" si="370"/>
        <v>267373</v>
      </c>
      <c r="F1016" s="307">
        <f t="shared" si="371"/>
        <v>279088</v>
      </c>
      <c r="G1016" s="189">
        <f t="shared" si="372"/>
        <v>0</v>
      </c>
      <c r="H1016" s="238">
        <v>10229</v>
      </c>
      <c r="I1016" s="238">
        <v>0</v>
      </c>
      <c r="J1016" s="182">
        <f t="shared" si="373"/>
        <v>10229</v>
      </c>
      <c r="K1016" s="238">
        <v>0</v>
      </c>
      <c r="L1016" s="238">
        <v>0</v>
      </c>
      <c r="M1016" s="239">
        <f t="shared" si="374"/>
        <v>268859</v>
      </c>
      <c r="N1016" s="240">
        <v>0</v>
      </c>
      <c r="O1016" s="310">
        <f t="shared" si="375"/>
        <v>268859</v>
      </c>
      <c r="P1016" s="241">
        <v>0.05</v>
      </c>
      <c r="Q1016" s="227">
        <f t="shared" si="376"/>
        <v>-13442.95</v>
      </c>
      <c r="R1016" s="310">
        <f t="shared" si="377"/>
        <v>255416.05</v>
      </c>
      <c r="S1016" s="242">
        <f t="shared" si="367"/>
        <v>13442.950000000012</v>
      </c>
      <c r="T1016" s="182">
        <f t="shared" si="378"/>
        <v>13442.950000000012</v>
      </c>
      <c r="U1016" s="307" t="str">
        <f t="shared" si="379"/>
        <v/>
      </c>
      <c r="V1016" s="304"/>
      <c r="AC1016" s="211" t="s">
        <v>9</v>
      </c>
      <c r="AD1016" s="180">
        <f t="shared" ref="AD1016:AD1026" si="382">ROUND(B981*$AD$1013, 0)</f>
        <v>0</v>
      </c>
      <c r="AE1016" s="180">
        <f t="shared" ref="AE1016:AE1026" si="383">ROUND(C981*$AE$1013,0)</f>
        <v>0</v>
      </c>
      <c r="AF1016" s="180">
        <f t="shared" ref="AF1016:AF1026" si="384">ROUND(D981*$AF$1013,0)</f>
        <v>0</v>
      </c>
      <c r="AG1016" s="180">
        <f t="shared" ref="AG1016:AG1026" si="385">ROUND(E981*$AG$1013,0)</f>
        <v>0</v>
      </c>
      <c r="AH1016" s="180">
        <f t="shared" ref="AH1016:AH1026" si="386">ROUND(F981*$AH$1013,0)</f>
        <v>332</v>
      </c>
      <c r="AI1016" s="180">
        <f t="shared" ref="AI1016:AI1026" si="387">ROUND(H981*$AI$1013,0)</f>
        <v>48</v>
      </c>
      <c r="AJ1016" s="180">
        <f t="shared" ref="AJ1016:AJ1026" si="388">ROUND(I981*$AJ$1013,0)</f>
        <v>97</v>
      </c>
      <c r="AK1016" s="180">
        <f t="shared" ref="AK1016:AK1026" si="389">ROUND(J981*$AK$1013,0)</f>
        <v>151</v>
      </c>
      <c r="AL1016" s="180">
        <f t="shared" ref="AL1016:AL1026" si="390">ROUND(K981*$AL$1013,0)</f>
        <v>157</v>
      </c>
      <c r="AM1016" s="180">
        <f t="shared" ref="AM1016:AM1026" si="391">ROUND(L981*$AM$1013,0)</f>
        <v>41</v>
      </c>
      <c r="AN1016" s="180">
        <f t="shared" ref="AN1016:AN1026" si="392">ROUND(M981*$AN$1013,0)</f>
        <v>48</v>
      </c>
      <c r="AO1016" s="180">
        <f t="shared" ref="AO1016:AO1026" si="393">ROUND(N981*$AO$1013,0)</f>
        <v>94</v>
      </c>
      <c r="AP1016" s="180">
        <f t="shared" ref="AP1016:AP1026" si="394">ROUND(O981*$AP$1013,0)</f>
        <v>26</v>
      </c>
      <c r="AQ1016" s="180">
        <f t="shared" ref="AQ1016:AQ1026" si="395">ROUND(P981*$AQ$1013,0)</f>
        <v>53</v>
      </c>
      <c r="AR1016" s="180">
        <f t="shared" ref="AR1016:AR1026" si="396">ROUND(Q981*$AR$1013,0)</f>
        <v>62</v>
      </c>
      <c r="AS1016" s="210">
        <f t="shared" ref="AS1016:AS1026" si="397">SUM(AD1016:AR1016)</f>
        <v>1109</v>
      </c>
    </row>
    <row r="1017" spans="1:45" ht="15.75" customHeight="1" x14ac:dyDescent="0.3">
      <c r="A1017" s="192" t="s">
        <v>20</v>
      </c>
      <c r="B1017" s="189">
        <f t="shared" si="380"/>
        <v>248949</v>
      </c>
      <c r="C1017" s="182">
        <f t="shared" si="368"/>
        <v>0</v>
      </c>
      <c r="D1017" s="182">
        <f t="shared" si="369"/>
        <v>10878</v>
      </c>
      <c r="E1017" s="182">
        <f t="shared" si="370"/>
        <v>248949</v>
      </c>
      <c r="F1017" s="307">
        <f t="shared" si="371"/>
        <v>259827</v>
      </c>
      <c r="G1017" s="189">
        <f t="shared" si="372"/>
        <v>0</v>
      </c>
      <c r="H1017" s="238">
        <v>10104</v>
      </c>
      <c r="I1017" s="238">
        <v>0</v>
      </c>
      <c r="J1017" s="182">
        <f t="shared" si="373"/>
        <v>10104</v>
      </c>
      <c r="K1017" s="238">
        <v>0</v>
      </c>
      <c r="L1017" s="238">
        <v>0</v>
      </c>
      <c r="M1017" s="239">
        <f t="shared" si="374"/>
        <v>249723</v>
      </c>
      <c r="N1017" s="240">
        <v>0</v>
      </c>
      <c r="O1017" s="310">
        <f t="shared" si="375"/>
        <v>249723</v>
      </c>
      <c r="P1017" s="241">
        <v>0.2</v>
      </c>
      <c r="Q1017" s="227">
        <f t="shared" si="376"/>
        <v>-49944.600000000006</v>
      </c>
      <c r="R1017" s="310">
        <f t="shared" si="377"/>
        <v>199778.4</v>
      </c>
      <c r="S1017" s="242">
        <f t="shared" si="367"/>
        <v>49944.600000000006</v>
      </c>
      <c r="T1017" s="182">
        <f t="shared" si="378"/>
        <v>49944.600000000006</v>
      </c>
      <c r="U1017" s="307" t="str">
        <f t="shared" si="379"/>
        <v/>
      </c>
      <c r="V1017" s="304"/>
      <c r="AC1017" s="211" t="s">
        <v>10</v>
      </c>
      <c r="AD1017" s="180">
        <f t="shared" si="382"/>
        <v>0</v>
      </c>
      <c r="AE1017" s="180">
        <f t="shared" si="383"/>
        <v>0</v>
      </c>
      <c r="AF1017" s="180">
        <f t="shared" si="384"/>
        <v>0</v>
      </c>
      <c r="AG1017" s="180">
        <f t="shared" si="385"/>
        <v>0</v>
      </c>
      <c r="AH1017" s="180">
        <f t="shared" si="386"/>
        <v>0</v>
      </c>
      <c r="AI1017" s="180">
        <f t="shared" si="387"/>
        <v>87</v>
      </c>
      <c r="AJ1017" s="180">
        <f t="shared" si="388"/>
        <v>158</v>
      </c>
      <c r="AK1017" s="180">
        <f t="shared" si="389"/>
        <v>219</v>
      </c>
      <c r="AL1017" s="180">
        <f t="shared" si="390"/>
        <v>221</v>
      </c>
      <c r="AM1017" s="180">
        <f t="shared" si="391"/>
        <v>60</v>
      </c>
      <c r="AN1017" s="180">
        <f t="shared" si="392"/>
        <v>71</v>
      </c>
      <c r="AO1017" s="180">
        <f t="shared" si="393"/>
        <v>140</v>
      </c>
      <c r="AP1017" s="180">
        <f t="shared" si="394"/>
        <v>25</v>
      </c>
      <c r="AQ1017" s="180">
        <f t="shared" si="395"/>
        <v>66</v>
      </c>
      <c r="AR1017" s="180">
        <f t="shared" si="396"/>
        <v>60</v>
      </c>
      <c r="AS1017" s="210">
        <f t="shared" si="397"/>
        <v>1107</v>
      </c>
    </row>
    <row r="1018" spans="1:45" ht="15.75" customHeight="1" x14ac:dyDescent="0.3">
      <c r="A1018" s="192" t="s">
        <v>21</v>
      </c>
      <c r="B1018" s="189">
        <f t="shared" si="380"/>
        <v>195331</v>
      </c>
      <c r="C1018" s="182">
        <f t="shared" si="368"/>
        <v>0</v>
      </c>
      <c r="D1018" s="182">
        <f t="shared" si="369"/>
        <v>8288</v>
      </c>
      <c r="E1018" s="182">
        <f t="shared" si="370"/>
        <v>195331</v>
      </c>
      <c r="F1018" s="307">
        <f t="shared" si="371"/>
        <v>203619</v>
      </c>
      <c r="G1018" s="189">
        <f t="shared" si="372"/>
        <v>183.82536407530367</v>
      </c>
      <c r="H1018" s="238">
        <v>10826</v>
      </c>
      <c r="I1018" s="238">
        <v>0</v>
      </c>
      <c r="J1018" s="182">
        <f t="shared" si="373"/>
        <v>10826</v>
      </c>
      <c r="K1018" s="238">
        <v>0</v>
      </c>
      <c r="L1018" s="238">
        <v>0</v>
      </c>
      <c r="M1018" s="239">
        <f t="shared" si="374"/>
        <v>192609.17463592469</v>
      </c>
      <c r="N1018" s="240">
        <v>0</v>
      </c>
      <c r="O1018" s="310">
        <f t="shared" si="375"/>
        <v>192609.17463592469</v>
      </c>
      <c r="P1018" s="241">
        <v>0.2</v>
      </c>
      <c r="Q1018" s="227">
        <f t="shared" si="376"/>
        <v>-38521.834927184937</v>
      </c>
      <c r="R1018" s="310">
        <f t="shared" si="377"/>
        <v>154087.33970873975</v>
      </c>
      <c r="S1018" s="242">
        <f t="shared" si="367"/>
        <v>38521.834927184944</v>
      </c>
      <c r="T1018" s="182">
        <f t="shared" si="378"/>
        <v>38521.834927184944</v>
      </c>
      <c r="U1018" s="307" t="str">
        <f t="shared" si="379"/>
        <v/>
      </c>
      <c r="V1018" s="304"/>
      <c r="AC1018" s="211" t="s">
        <v>12</v>
      </c>
      <c r="AD1018" s="180">
        <f t="shared" si="382"/>
        <v>0</v>
      </c>
      <c r="AE1018" s="180">
        <f t="shared" si="383"/>
        <v>0</v>
      </c>
      <c r="AF1018" s="180">
        <f t="shared" si="384"/>
        <v>0</v>
      </c>
      <c r="AG1018" s="180">
        <f t="shared" si="385"/>
        <v>0</v>
      </c>
      <c r="AH1018" s="180">
        <f t="shared" si="386"/>
        <v>38</v>
      </c>
      <c r="AI1018" s="180">
        <f t="shared" si="387"/>
        <v>169</v>
      </c>
      <c r="AJ1018" s="180">
        <f t="shared" si="388"/>
        <v>278</v>
      </c>
      <c r="AK1018" s="180">
        <f t="shared" si="389"/>
        <v>326</v>
      </c>
      <c r="AL1018" s="180">
        <f t="shared" si="390"/>
        <v>299</v>
      </c>
      <c r="AM1018" s="180">
        <f t="shared" si="391"/>
        <v>84</v>
      </c>
      <c r="AN1018" s="180">
        <f t="shared" si="392"/>
        <v>99</v>
      </c>
      <c r="AO1018" s="180">
        <f t="shared" si="393"/>
        <v>199</v>
      </c>
      <c r="AP1018" s="180">
        <f t="shared" si="394"/>
        <v>28</v>
      </c>
      <c r="AQ1018" s="180">
        <f t="shared" si="395"/>
        <v>80</v>
      </c>
      <c r="AR1018" s="180">
        <f t="shared" si="396"/>
        <v>67</v>
      </c>
      <c r="AS1018" s="210">
        <f t="shared" si="397"/>
        <v>1667</v>
      </c>
    </row>
    <row r="1019" spans="1:45" ht="15.75" customHeight="1" x14ac:dyDescent="0.3">
      <c r="A1019" s="192" t="s">
        <v>22</v>
      </c>
      <c r="B1019" s="189">
        <f t="shared" si="380"/>
        <v>120274</v>
      </c>
      <c r="C1019" s="182">
        <f t="shared" si="368"/>
        <v>0</v>
      </c>
      <c r="D1019" s="182">
        <f t="shared" si="369"/>
        <v>5249</v>
      </c>
      <c r="E1019" s="182">
        <f t="shared" si="370"/>
        <v>120274</v>
      </c>
      <c r="F1019" s="307">
        <f t="shared" si="371"/>
        <v>125523</v>
      </c>
      <c r="G1019" s="189">
        <f t="shared" si="372"/>
        <v>0</v>
      </c>
      <c r="H1019" s="238">
        <v>6676</v>
      </c>
      <c r="I1019" s="238">
        <v>0</v>
      </c>
      <c r="J1019" s="182">
        <f>(H1019+I1019)</f>
        <v>6676</v>
      </c>
      <c r="K1019" s="238">
        <v>0</v>
      </c>
      <c r="L1019" s="238">
        <v>0</v>
      </c>
      <c r="M1019" s="239">
        <f t="shared" si="374"/>
        <v>118847</v>
      </c>
      <c r="N1019" s="240">
        <v>0</v>
      </c>
      <c r="O1019" s="310">
        <f t="shared" si="375"/>
        <v>118847</v>
      </c>
      <c r="P1019" s="241">
        <v>0.2</v>
      </c>
      <c r="Q1019" s="227">
        <f t="shared" si="376"/>
        <v>-23769.4</v>
      </c>
      <c r="R1019" s="310">
        <f t="shared" si="377"/>
        <v>95077.6</v>
      </c>
      <c r="S1019" s="242">
        <f t="shared" si="367"/>
        <v>23769.399999999994</v>
      </c>
      <c r="T1019" s="182">
        <f t="shared" si="378"/>
        <v>23769.399999999994</v>
      </c>
      <c r="U1019" s="307" t="str">
        <f t="shared" si="379"/>
        <v/>
      </c>
      <c r="V1019" s="304"/>
      <c r="AC1019" s="211" t="s">
        <v>13</v>
      </c>
      <c r="AD1019" s="180">
        <f t="shared" si="382"/>
        <v>0</v>
      </c>
      <c r="AE1019" s="180">
        <f t="shared" si="383"/>
        <v>0</v>
      </c>
      <c r="AF1019" s="180">
        <f t="shared" si="384"/>
        <v>0</v>
      </c>
      <c r="AG1019" s="180">
        <f t="shared" si="385"/>
        <v>0</v>
      </c>
      <c r="AH1019" s="180">
        <f t="shared" si="386"/>
        <v>63</v>
      </c>
      <c r="AI1019" s="180">
        <f t="shared" si="387"/>
        <v>150</v>
      </c>
      <c r="AJ1019" s="180">
        <f t="shared" si="388"/>
        <v>231</v>
      </c>
      <c r="AK1019" s="180">
        <f t="shared" si="389"/>
        <v>310</v>
      </c>
      <c r="AL1019" s="180">
        <f t="shared" si="390"/>
        <v>290</v>
      </c>
      <c r="AM1019" s="180">
        <f t="shared" si="391"/>
        <v>84</v>
      </c>
      <c r="AN1019" s="180">
        <f t="shared" si="392"/>
        <v>99</v>
      </c>
      <c r="AO1019" s="180">
        <f t="shared" si="393"/>
        <v>203</v>
      </c>
      <c r="AP1019" s="180">
        <f t="shared" si="394"/>
        <v>32</v>
      </c>
      <c r="AQ1019" s="180">
        <f t="shared" si="395"/>
        <v>93</v>
      </c>
      <c r="AR1019" s="180">
        <f t="shared" si="396"/>
        <v>74</v>
      </c>
      <c r="AS1019" s="210">
        <f t="shared" si="397"/>
        <v>1629</v>
      </c>
    </row>
    <row r="1020" spans="1:45" ht="15.75" customHeight="1" x14ac:dyDescent="0.3">
      <c r="A1020" s="213" t="s">
        <v>633</v>
      </c>
      <c r="B1020" s="189" t="s">
        <v>633</v>
      </c>
      <c r="C1020" s="182"/>
      <c r="D1020" s="182"/>
      <c r="E1020" s="182" t="s">
        <v>7</v>
      </c>
      <c r="F1020" s="307"/>
      <c r="G1020" s="189"/>
      <c r="H1020" s="182"/>
      <c r="I1020" s="182" t="s">
        <v>7</v>
      </c>
      <c r="J1020" s="182" t="s">
        <v>7</v>
      </c>
      <c r="K1020" s="243"/>
      <c r="L1020" s="182"/>
      <c r="M1020" s="239"/>
      <c r="N1020" s="240"/>
      <c r="O1020" s="310"/>
      <c r="P1020" s="241"/>
      <c r="Q1020" s="240"/>
      <c r="R1020" s="310"/>
      <c r="S1020" s="242"/>
      <c r="T1020" s="182"/>
      <c r="U1020" s="307"/>
      <c r="V1020" s="304"/>
      <c r="AC1020" s="211" t="s">
        <v>14</v>
      </c>
      <c r="AD1020" s="180">
        <f t="shared" si="382"/>
        <v>0</v>
      </c>
      <c r="AE1020" s="180">
        <f t="shared" si="383"/>
        <v>0</v>
      </c>
      <c r="AF1020" s="180">
        <f t="shared" si="384"/>
        <v>0</v>
      </c>
      <c r="AG1020" s="180">
        <f t="shared" si="385"/>
        <v>0</v>
      </c>
      <c r="AH1020" s="180">
        <f t="shared" si="386"/>
        <v>5</v>
      </c>
      <c r="AI1020" s="180">
        <f t="shared" si="387"/>
        <v>198</v>
      </c>
      <c r="AJ1020" s="180">
        <f t="shared" si="388"/>
        <v>300</v>
      </c>
      <c r="AK1020" s="180">
        <f t="shared" si="389"/>
        <v>348</v>
      </c>
      <c r="AL1020" s="180">
        <f t="shared" si="390"/>
        <v>308</v>
      </c>
      <c r="AM1020" s="180">
        <f t="shared" si="391"/>
        <v>89</v>
      </c>
      <c r="AN1020" s="180">
        <f t="shared" si="392"/>
        <v>104</v>
      </c>
      <c r="AO1020" s="180">
        <f t="shared" si="393"/>
        <v>207</v>
      </c>
      <c r="AP1020" s="180">
        <f t="shared" si="394"/>
        <v>34</v>
      </c>
      <c r="AQ1020" s="180">
        <f t="shared" si="395"/>
        <v>95</v>
      </c>
      <c r="AR1020" s="180">
        <f t="shared" si="396"/>
        <v>81</v>
      </c>
      <c r="AS1020" s="210">
        <f t="shared" si="397"/>
        <v>1769</v>
      </c>
    </row>
    <row r="1021" spans="1:45" ht="16.5" customHeight="1" thickBot="1" x14ac:dyDescent="0.35">
      <c r="A1021" s="244" t="s">
        <v>641</v>
      </c>
      <c r="B1021" s="204">
        <f>SUM(B1008:B1019)</f>
        <v>2508562</v>
      </c>
      <c r="C1021" s="205">
        <f>+SUM(C1008:C1019)</f>
        <v>0</v>
      </c>
      <c r="D1021" s="205">
        <f>SUM(D1008:D1019)</f>
        <v>107620</v>
      </c>
      <c r="E1021" s="205">
        <f t="shared" si="370"/>
        <v>2508562</v>
      </c>
      <c r="F1021" s="245">
        <f>SUM(F1008:F1019)</f>
        <v>2616182</v>
      </c>
      <c r="G1021" s="204">
        <f>SUM(G1008:G1019)</f>
        <v>38404.550691961522</v>
      </c>
      <c r="H1021" s="205">
        <f>SUM(H1008:H1019)</f>
        <v>137695</v>
      </c>
      <c r="I1021" s="205">
        <f>SUM(I1008:I1019)</f>
        <v>0</v>
      </c>
      <c r="J1021" s="205">
        <f>(H1021+I1021)</f>
        <v>137695</v>
      </c>
      <c r="K1021" s="205">
        <f>SUM(K1008:K1019)</f>
        <v>0</v>
      </c>
      <c r="L1021" s="205">
        <f>SUM(L1008:L1019)</f>
        <v>0</v>
      </c>
      <c r="M1021" s="246">
        <f>SUM(M1008:M1019)</f>
        <v>2440082.4493080382</v>
      </c>
      <c r="N1021" s="247">
        <f>SUM(N1008:N1019)</f>
        <v>130856</v>
      </c>
      <c r="O1021" s="248">
        <f>+M1021+N1021</f>
        <v>2570938.4493080382</v>
      </c>
      <c r="P1021" s="249">
        <f>Q1021/O1021</f>
        <v>-0.17957990587099143</v>
      </c>
      <c r="Q1021" s="250">
        <f>SUM(Q1008:Q1019)</f>
        <v>-461688.88472685014</v>
      </c>
      <c r="R1021" s="248">
        <f>SUM(R1008:R1019)</f>
        <v>2109249.5645811884</v>
      </c>
      <c r="S1021" s="251">
        <f>(F1021-G1021-J1021-K1021-L1021-R1021)</f>
        <v>330832.88472685032</v>
      </c>
      <c r="T1021" s="205">
        <f>+SUM(T1008:T1019)</f>
        <v>455423.89318305883</v>
      </c>
      <c r="U1021" s="245">
        <f>+SUM(U1008:U1019)</f>
        <v>124591.00845620857</v>
      </c>
      <c r="V1021" s="304"/>
      <c r="AC1021" s="211" t="s">
        <v>16</v>
      </c>
      <c r="AD1021" s="180">
        <f t="shared" si="382"/>
        <v>0</v>
      </c>
      <c r="AE1021" s="180">
        <f t="shared" si="383"/>
        <v>0</v>
      </c>
      <c r="AF1021" s="180">
        <f t="shared" si="384"/>
        <v>0</v>
      </c>
      <c r="AG1021" s="180">
        <f t="shared" si="385"/>
        <v>0</v>
      </c>
      <c r="AH1021" s="180">
        <f t="shared" si="386"/>
        <v>0</v>
      </c>
      <c r="AI1021" s="180">
        <f t="shared" si="387"/>
        <v>204</v>
      </c>
      <c r="AJ1021" s="180">
        <f t="shared" si="388"/>
        <v>341</v>
      </c>
      <c r="AK1021" s="180">
        <f t="shared" si="389"/>
        <v>376</v>
      </c>
      <c r="AL1021" s="180">
        <f t="shared" si="390"/>
        <v>324</v>
      </c>
      <c r="AM1021" s="180">
        <f t="shared" si="391"/>
        <v>94</v>
      </c>
      <c r="AN1021" s="180">
        <f t="shared" si="392"/>
        <v>111</v>
      </c>
      <c r="AO1021" s="180">
        <f t="shared" si="393"/>
        <v>219</v>
      </c>
      <c r="AP1021" s="180">
        <f t="shared" si="394"/>
        <v>35</v>
      </c>
      <c r="AQ1021" s="180">
        <f t="shared" si="395"/>
        <v>86</v>
      </c>
      <c r="AR1021" s="180">
        <f t="shared" si="396"/>
        <v>83</v>
      </c>
      <c r="AS1021" s="210">
        <f t="shared" si="397"/>
        <v>1873</v>
      </c>
    </row>
    <row r="1022" spans="1:45" ht="15.75" customHeight="1" x14ac:dyDescent="0.3">
      <c r="A1022" s="95"/>
      <c r="B1022" s="180"/>
      <c r="C1022" s="180"/>
      <c r="D1022" s="180"/>
      <c r="E1022" s="180"/>
      <c r="F1022" s="180" t="s">
        <v>633</v>
      </c>
      <c r="G1022" s="180"/>
      <c r="H1022" s="180"/>
      <c r="I1022" s="180"/>
      <c r="K1022" s="180"/>
      <c r="L1022" s="180"/>
      <c r="M1022" s="252"/>
      <c r="O1022" s="359"/>
      <c r="P1022" s="351"/>
      <c r="V1022" s="304"/>
      <c r="AC1022" s="211" t="s">
        <v>17</v>
      </c>
      <c r="AD1022" s="180">
        <f t="shared" si="382"/>
        <v>0</v>
      </c>
      <c r="AE1022" s="180">
        <f t="shared" si="383"/>
        <v>0</v>
      </c>
      <c r="AF1022" s="180">
        <f t="shared" si="384"/>
        <v>0</v>
      </c>
      <c r="AG1022" s="180">
        <f t="shared" si="385"/>
        <v>0</v>
      </c>
      <c r="AH1022" s="180">
        <f t="shared" si="386"/>
        <v>0</v>
      </c>
      <c r="AI1022" s="180">
        <f t="shared" si="387"/>
        <v>194</v>
      </c>
      <c r="AJ1022" s="180">
        <f t="shared" si="388"/>
        <v>351</v>
      </c>
      <c r="AK1022" s="180">
        <f t="shared" si="389"/>
        <v>383</v>
      </c>
      <c r="AL1022" s="180">
        <f t="shared" si="390"/>
        <v>319</v>
      </c>
      <c r="AM1022" s="180">
        <f t="shared" si="391"/>
        <v>91</v>
      </c>
      <c r="AN1022" s="180">
        <f t="shared" si="392"/>
        <v>107</v>
      </c>
      <c r="AO1022" s="180">
        <f t="shared" si="393"/>
        <v>208</v>
      </c>
      <c r="AP1022" s="180">
        <f t="shared" si="394"/>
        <v>33</v>
      </c>
      <c r="AQ1022" s="180">
        <f t="shared" si="395"/>
        <v>80</v>
      </c>
      <c r="AR1022" s="180">
        <f t="shared" si="396"/>
        <v>78</v>
      </c>
      <c r="AS1022" s="210">
        <f t="shared" si="397"/>
        <v>1844</v>
      </c>
    </row>
    <row r="1023" spans="1:45" ht="15.75" customHeight="1" x14ac:dyDescent="0.3">
      <c r="A1023" s="179" t="s">
        <v>773</v>
      </c>
      <c r="P1023" s="180"/>
      <c r="Q1023" s="180"/>
      <c r="R1023" s="180"/>
      <c r="V1023" s="304"/>
      <c r="AC1023" s="211" t="s">
        <v>18</v>
      </c>
      <c r="AD1023" s="180">
        <f t="shared" si="382"/>
        <v>0</v>
      </c>
      <c r="AE1023" s="180">
        <f t="shared" si="383"/>
        <v>0</v>
      </c>
      <c r="AF1023" s="180">
        <f t="shared" si="384"/>
        <v>0</v>
      </c>
      <c r="AG1023" s="180">
        <f t="shared" si="385"/>
        <v>0</v>
      </c>
      <c r="AH1023" s="180">
        <f t="shared" si="386"/>
        <v>84</v>
      </c>
      <c r="AI1023" s="180">
        <f t="shared" si="387"/>
        <v>124</v>
      </c>
      <c r="AJ1023" s="180">
        <f t="shared" si="388"/>
        <v>196</v>
      </c>
      <c r="AK1023" s="180">
        <f t="shared" si="389"/>
        <v>233</v>
      </c>
      <c r="AL1023" s="180">
        <f t="shared" si="390"/>
        <v>203</v>
      </c>
      <c r="AM1023" s="180">
        <f t="shared" si="391"/>
        <v>72</v>
      </c>
      <c r="AN1023" s="180">
        <f t="shared" si="392"/>
        <v>85</v>
      </c>
      <c r="AO1023" s="180">
        <f t="shared" si="393"/>
        <v>168</v>
      </c>
      <c r="AP1023" s="180">
        <f t="shared" si="394"/>
        <v>32</v>
      </c>
      <c r="AQ1023" s="180">
        <f t="shared" si="395"/>
        <v>73</v>
      </c>
      <c r="AR1023" s="180">
        <f t="shared" si="396"/>
        <v>75</v>
      </c>
      <c r="AS1023" s="210">
        <f t="shared" si="397"/>
        <v>1345</v>
      </c>
    </row>
    <row r="1024" spans="1:45" ht="15.75" customHeight="1" x14ac:dyDescent="0.3">
      <c r="A1024" s="179" t="s">
        <v>774</v>
      </c>
      <c r="D1024" s="180"/>
      <c r="E1024" s="180"/>
      <c r="F1024" s="180"/>
      <c r="G1024" s="180"/>
      <c r="H1024" s="180"/>
      <c r="I1024" s="180"/>
      <c r="J1024" s="180"/>
      <c r="K1024" s="180"/>
      <c r="L1024" s="180"/>
      <c r="M1024" s="180"/>
      <c r="N1024" s="180"/>
      <c r="O1024" s="180"/>
      <c r="P1024" s="180"/>
      <c r="Q1024" s="180"/>
      <c r="R1024" s="180"/>
      <c r="V1024" s="304"/>
      <c r="AC1024" s="211" t="s">
        <v>20</v>
      </c>
      <c r="AD1024" s="180">
        <f t="shared" si="382"/>
        <v>0</v>
      </c>
      <c r="AE1024" s="180">
        <f t="shared" si="383"/>
        <v>0</v>
      </c>
      <c r="AF1024" s="180">
        <f t="shared" si="384"/>
        <v>0</v>
      </c>
      <c r="AG1024" s="180">
        <f t="shared" si="385"/>
        <v>0</v>
      </c>
      <c r="AH1024" s="180">
        <f t="shared" si="386"/>
        <v>105</v>
      </c>
      <c r="AI1024" s="180">
        <f t="shared" si="387"/>
        <v>112</v>
      </c>
      <c r="AJ1024" s="180">
        <f t="shared" si="388"/>
        <v>143</v>
      </c>
      <c r="AK1024" s="180">
        <f t="shared" si="389"/>
        <v>183</v>
      </c>
      <c r="AL1024" s="180">
        <f t="shared" si="390"/>
        <v>175</v>
      </c>
      <c r="AM1024" s="180">
        <f t="shared" si="391"/>
        <v>64</v>
      </c>
      <c r="AN1024" s="180">
        <f t="shared" si="392"/>
        <v>76</v>
      </c>
      <c r="AO1024" s="180">
        <f t="shared" si="393"/>
        <v>149</v>
      </c>
      <c r="AP1024" s="180">
        <f t="shared" si="394"/>
        <v>30</v>
      </c>
      <c r="AQ1024" s="180">
        <f t="shared" si="395"/>
        <v>66</v>
      </c>
      <c r="AR1024" s="180">
        <f t="shared" si="396"/>
        <v>70</v>
      </c>
      <c r="AS1024" s="210">
        <f t="shared" si="397"/>
        <v>1173</v>
      </c>
    </row>
    <row r="1025" spans="1:45" ht="15.75" customHeight="1" x14ac:dyDescent="0.3">
      <c r="A1025" s="179" t="s">
        <v>775</v>
      </c>
      <c r="D1025" s="180"/>
      <c r="E1025" s="180"/>
      <c r="F1025" s="180"/>
      <c r="G1025" s="180"/>
      <c r="H1025" s="180"/>
      <c r="I1025" s="180"/>
      <c r="J1025" s="180"/>
      <c r="K1025" s="180"/>
      <c r="L1025" s="180"/>
      <c r="M1025" s="180"/>
      <c r="N1025" s="180"/>
      <c r="O1025" s="180"/>
      <c r="P1025" s="180"/>
      <c r="Q1025" s="180"/>
      <c r="R1025" s="180"/>
      <c r="V1025" s="304"/>
      <c r="AC1025" s="211" t="s">
        <v>21</v>
      </c>
      <c r="AD1025" s="180">
        <f t="shared" si="382"/>
        <v>0</v>
      </c>
      <c r="AE1025" s="180">
        <f t="shared" si="383"/>
        <v>0</v>
      </c>
      <c r="AF1025" s="180">
        <f t="shared" si="384"/>
        <v>0</v>
      </c>
      <c r="AG1025" s="180">
        <f t="shared" si="385"/>
        <v>0</v>
      </c>
      <c r="AH1025" s="180">
        <f t="shared" si="386"/>
        <v>282</v>
      </c>
      <c r="AI1025" s="180">
        <f t="shared" si="387"/>
        <v>10</v>
      </c>
      <c r="AJ1025" s="180">
        <f t="shared" si="388"/>
        <v>8</v>
      </c>
      <c r="AK1025" s="180">
        <f t="shared" si="389"/>
        <v>12</v>
      </c>
      <c r="AL1025" s="180">
        <f t="shared" si="390"/>
        <v>12</v>
      </c>
      <c r="AM1025" s="180">
        <f t="shared" si="391"/>
        <v>4</v>
      </c>
      <c r="AN1025" s="180">
        <f t="shared" si="392"/>
        <v>5</v>
      </c>
      <c r="AO1025" s="180">
        <f t="shared" si="393"/>
        <v>8</v>
      </c>
      <c r="AP1025" s="180">
        <f t="shared" si="394"/>
        <v>6</v>
      </c>
      <c r="AQ1025" s="180">
        <f t="shared" si="395"/>
        <v>60</v>
      </c>
      <c r="AR1025" s="180">
        <f t="shared" si="396"/>
        <v>15</v>
      </c>
      <c r="AS1025" s="210">
        <f t="shared" si="397"/>
        <v>422</v>
      </c>
    </row>
    <row r="1026" spans="1:45" ht="15.75" customHeight="1" thickBot="1" x14ac:dyDescent="0.35">
      <c r="A1026" s="194" t="s">
        <v>776</v>
      </c>
      <c r="B1026" s="135"/>
      <c r="C1026" s="135"/>
      <c r="D1026" s="195"/>
      <c r="E1026" s="195"/>
      <c r="F1026" s="195"/>
      <c r="G1026" s="195"/>
      <c r="H1026" s="195"/>
      <c r="I1026" s="195"/>
      <c r="J1026" s="195"/>
      <c r="K1026" s="195"/>
      <c r="L1026" s="195"/>
      <c r="M1026" s="195"/>
      <c r="N1026" s="195"/>
      <c r="O1026" s="195"/>
      <c r="P1026" s="195"/>
      <c r="Q1026" s="195"/>
      <c r="R1026" s="195"/>
      <c r="S1026" s="135"/>
      <c r="T1026" s="135"/>
      <c r="U1026" s="135"/>
      <c r="V1026" s="136"/>
      <c r="AC1026" s="211" t="s">
        <v>22</v>
      </c>
      <c r="AD1026" s="180">
        <f t="shared" si="382"/>
        <v>0</v>
      </c>
      <c r="AE1026" s="180">
        <f t="shared" si="383"/>
        <v>0</v>
      </c>
      <c r="AF1026" s="180">
        <f t="shared" si="384"/>
        <v>0</v>
      </c>
      <c r="AG1026" s="180">
        <f t="shared" si="385"/>
        <v>0</v>
      </c>
      <c r="AH1026" s="180">
        <f t="shared" si="386"/>
        <v>73</v>
      </c>
      <c r="AI1026" s="180">
        <f t="shared" si="387"/>
        <v>52</v>
      </c>
      <c r="AJ1026" s="180">
        <f t="shared" si="388"/>
        <v>48</v>
      </c>
      <c r="AK1026" s="180">
        <f t="shared" si="389"/>
        <v>72</v>
      </c>
      <c r="AL1026" s="180">
        <f t="shared" si="390"/>
        <v>74</v>
      </c>
      <c r="AM1026" s="180">
        <f t="shared" si="391"/>
        <v>17</v>
      </c>
      <c r="AN1026" s="180">
        <f t="shared" si="392"/>
        <v>20</v>
      </c>
      <c r="AO1026" s="180">
        <f t="shared" si="393"/>
        <v>40</v>
      </c>
      <c r="AP1026" s="180">
        <f t="shared" si="394"/>
        <v>0</v>
      </c>
      <c r="AQ1026" s="180">
        <f t="shared" si="395"/>
        <v>53</v>
      </c>
      <c r="AR1026" s="180">
        <f t="shared" si="396"/>
        <v>0</v>
      </c>
      <c r="AS1026" s="210">
        <f t="shared" si="397"/>
        <v>449</v>
      </c>
    </row>
    <row r="1027" spans="1:45" ht="15.75" customHeight="1" thickBot="1" x14ac:dyDescent="0.35">
      <c r="A1027" s="179"/>
      <c r="D1027" s="180"/>
      <c r="E1027" s="180"/>
      <c r="F1027" s="180"/>
      <c r="G1027" s="180"/>
      <c r="H1027" s="180"/>
      <c r="I1027" s="180"/>
      <c r="J1027" s="180"/>
      <c r="K1027" s="180"/>
      <c r="L1027" s="180"/>
      <c r="M1027" s="180"/>
      <c r="N1027" s="180"/>
      <c r="O1027" s="180"/>
      <c r="P1027" s="180"/>
      <c r="Q1027" s="180"/>
      <c r="R1027" s="180"/>
      <c r="S1027" s="359"/>
      <c r="V1027" s="223"/>
      <c r="AC1027" s="95"/>
      <c r="AD1027" s="180"/>
      <c r="AE1027" s="180"/>
      <c r="AF1027" s="180"/>
      <c r="AG1027" s="180"/>
      <c r="AH1027" s="180"/>
      <c r="AI1027" s="180"/>
      <c r="AJ1027" s="180"/>
      <c r="AK1027" s="180"/>
      <c r="AL1027" s="180"/>
      <c r="AM1027" s="180"/>
      <c r="AN1027" s="180"/>
      <c r="AO1027" s="180"/>
      <c r="AP1027" s="180"/>
      <c r="AQ1027" s="180"/>
      <c r="AR1027" s="180"/>
      <c r="AS1027" s="210"/>
    </row>
    <row r="1028" spans="1:45" ht="15.75" customHeight="1" thickBot="1" x14ac:dyDescent="0.35">
      <c r="A1028" s="192"/>
      <c r="B1028" s="412" t="s">
        <v>777</v>
      </c>
      <c r="C1028" s="413"/>
      <c r="D1028" s="413"/>
      <c r="E1028" s="413"/>
      <c r="F1028" s="413"/>
      <c r="G1028" s="413"/>
      <c r="H1028" s="413"/>
      <c r="I1028" s="413"/>
      <c r="J1028" s="413"/>
      <c r="K1028" s="413"/>
      <c r="L1028" s="413"/>
      <c r="M1028" s="413"/>
      <c r="N1028" s="413"/>
      <c r="O1028" s="413"/>
      <c r="P1028" s="413"/>
      <c r="Q1028" s="351"/>
      <c r="R1028" s="351"/>
      <c r="S1028" s="223"/>
      <c r="T1028" s="359"/>
      <c r="U1028" s="359"/>
      <c r="V1028" s="358"/>
      <c r="AC1028" s="220" t="s">
        <v>641</v>
      </c>
      <c r="AD1028" s="195">
        <f>SUM(AD1015:AD1026)</f>
        <v>0</v>
      </c>
      <c r="AE1028" s="195">
        <f t="shared" ref="AE1028:AS1028" si="398">SUM(AE1015:AE1026)</f>
        <v>0</v>
      </c>
      <c r="AF1028" s="195">
        <f t="shared" si="398"/>
        <v>0</v>
      </c>
      <c r="AG1028" s="195">
        <f t="shared" si="398"/>
        <v>0</v>
      </c>
      <c r="AH1028" s="195">
        <f t="shared" si="398"/>
        <v>1185</v>
      </c>
      <c r="AI1028" s="195">
        <f t="shared" si="398"/>
        <v>1386</v>
      </c>
      <c r="AJ1028" s="195">
        <f t="shared" si="398"/>
        <v>2251</v>
      </c>
      <c r="AK1028" s="195">
        <f t="shared" si="398"/>
        <v>2769</v>
      </c>
      <c r="AL1028" s="195">
        <f t="shared" si="398"/>
        <v>2544</v>
      </c>
      <c r="AM1028" s="195">
        <f t="shared" si="398"/>
        <v>752</v>
      </c>
      <c r="AN1028" s="195">
        <f t="shared" si="398"/>
        <v>887</v>
      </c>
      <c r="AO1028" s="195">
        <f t="shared" si="398"/>
        <v>1762</v>
      </c>
      <c r="AP1028" s="195">
        <f t="shared" si="398"/>
        <v>308</v>
      </c>
      <c r="AQ1028" s="195">
        <f t="shared" si="398"/>
        <v>858</v>
      </c>
      <c r="AR1028" s="195">
        <f t="shared" si="398"/>
        <v>729</v>
      </c>
      <c r="AS1028" s="221">
        <f t="shared" si="398"/>
        <v>15431</v>
      </c>
    </row>
    <row r="1029" spans="1:45" ht="15.75" customHeight="1" thickBot="1" x14ac:dyDescent="0.35">
      <c r="A1029" s="192"/>
      <c r="B1029" s="403" t="s">
        <v>730</v>
      </c>
      <c r="C1029" s="404"/>
      <c r="D1029" s="404"/>
      <c r="E1029" s="404"/>
      <c r="F1029" s="405"/>
      <c r="G1029" s="403" t="s">
        <v>731</v>
      </c>
      <c r="H1029" s="404"/>
      <c r="I1029" s="404"/>
      <c r="J1029" s="404"/>
      <c r="K1029" s="404"/>
      <c r="L1029" s="404"/>
      <c r="M1029" s="406" t="s">
        <v>732</v>
      </c>
      <c r="N1029" s="407"/>
      <c r="O1029" s="407"/>
      <c r="P1029" s="429"/>
      <c r="Q1029" s="429"/>
      <c r="R1029" s="430"/>
      <c r="S1029" s="403" t="s">
        <v>733</v>
      </c>
      <c r="T1029" s="431"/>
      <c r="U1029" s="432"/>
      <c r="V1029" s="304"/>
    </row>
    <row r="1030" spans="1:45" ht="15.75" customHeight="1" x14ac:dyDescent="0.3">
      <c r="A1030" s="213"/>
      <c r="B1030" s="189" t="s">
        <v>639</v>
      </c>
      <c r="C1030" s="182"/>
      <c r="D1030" s="182" t="s">
        <v>734</v>
      </c>
      <c r="E1030" s="182" t="s">
        <v>735</v>
      </c>
      <c r="F1030" s="307" t="s">
        <v>736</v>
      </c>
      <c r="G1030" s="189" t="s">
        <v>737</v>
      </c>
      <c r="H1030" s="182"/>
      <c r="I1030" s="182"/>
      <c r="J1030" s="182" t="s">
        <v>738</v>
      </c>
      <c r="K1030" s="182" t="s">
        <v>739</v>
      </c>
      <c r="L1030" s="182" t="s">
        <v>740</v>
      </c>
      <c r="M1030" s="409" t="str">
        <f>+M1003</f>
        <v>(NE)* per WAPA</v>
      </c>
      <c r="N1030" s="410"/>
      <c r="O1030" s="410"/>
      <c r="P1030" s="363"/>
      <c r="Q1030" s="227"/>
      <c r="R1030" s="310"/>
      <c r="S1030" s="189" t="s">
        <v>742</v>
      </c>
      <c r="T1030" s="228" t="s">
        <v>743</v>
      </c>
      <c r="U1030" s="308" t="s">
        <v>744</v>
      </c>
      <c r="V1030" s="304"/>
    </row>
    <row r="1031" spans="1:45" ht="15.75" customHeight="1" x14ac:dyDescent="0.3">
      <c r="A1031" s="213"/>
      <c r="B1031" s="230" t="s">
        <v>745</v>
      </c>
      <c r="C1031" s="231" t="s">
        <v>746</v>
      </c>
      <c r="D1031" s="231" t="s">
        <v>747</v>
      </c>
      <c r="E1031" s="182" t="s">
        <v>658</v>
      </c>
      <c r="F1031" s="309" t="s">
        <v>748</v>
      </c>
      <c r="G1031" s="189" t="s">
        <v>640</v>
      </c>
      <c r="H1031" s="182" t="s">
        <v>749</v>
      </c>
      <c r="I1031" s="182" t="s">
        <v>750</v>
      </c>
      <c r="J1031" s="231" t="s">
        <v>751</v>
      </c>
      <c r="K1031" s="182" t="s">
        <v>723</v>
      </c>
      <c r="L1031" s="231" t="s">
        <v>752</v>
      </c>
      <c r="M1031" s="233" t="s">
        <v>753</v>
      </c>
      <c r="N1031" s="226" t="s">
        <v>754</v>
      </c>
      <c r="O1031" s="227" t="s">
        <v>641</v>
      </c>
      <c r="P1031" s="233" t="s">
        <v>755</v>
      </c>
      <c r="Q1031" s="226" t="s">
        <v>755</v>
      </c>
      <c r="R1031" s="310" t="s">
        <v>756</v>
      </c>
      <c r="S1031" s="189" t="s">
        <v>757</v>
      </c>
      <c r="T1031" s="182" t="s">
        <v>758</v>
      </c>
      <c r="U1031" s="307" t="s">
        <v>759</v>
      </c>
      <c r="V1031" s="304"/>
    </row>
    <row r="1032" spans="1:45" ht="15.75" customHeight="1" x14ac:dyDescent="0.3">
      <c r="A1032" s="213"/>
      <c r="B1032" s="235" t="s">
        <v>760</v>
      </c>
      <c r="C1032" s="215">
        <v>5.0000000000000001E-3</v>
      </c>
      <c r="D1032" s="215">
        <v>4.2999999999999997E-2</v>
      </c>
      <c r="E1032" s="182" t="s">
        <v>761</v>
      </c>
      <c r="F1032" s="311" t="s">
        <v>762</v>
      </c>
      <c r="G1032" s="189" t="s">
        <v>763</v>
      </c>
      <c r="H1032" s="182" t="s">
        <v>658</v>
      </c>
      <c r="I1032" s="182" t="s">
        <v>658</v>
      </c>
      <c r="J1032" s="182" t="s">
        <v>658</v>
      </c>
      <c r="K1032" s="182" t="s">
        <v>743</v>
      </c>
      <c r="L1032" s="182" t="s">
        <v>764</v>
      </c>
      <c r="M1032" s="237" t="s">
        <v>648</v>
      </c>
      <c r="N1032" s="227" t="s">
        <v>765</v>
      </c>
      <c r="O1032" s="227" t="s">
        <v>766</v>
      </c>
      <c r="P1032" s="237" t="s">
        <v>767</v>
      </c>
      <c r="Q1032" s="226" t="s">
        <v>767</v>
      </c>
      <c r="R1032" s="310" t="s">
        <v>766</v>
      </c>
      <c r="S1032" s="189" t="s">
        <v>658</v>
      </c>
      <c r="T1032" s="182" t="s">
        <v>658</v>
      </c>
      <c r="U1032" s="307" t="s">
        <v>658</v>
      </c>
      <c r="V1032" s="304"/>
    </row>
    <row r="1033" spans="1:45" ht="15.75" customHeight="1" x14ac:dyDescent="0.3">
      <c r="A1033" s="213" t="s">
        <v>768</v>
      </c>
      <c r="B1033" s="189" t="s">
        <v>778</v>
      </c>
      <c r="C1033" s="182" t="s">
        <v>778</v>
      </c>
      <c r="D1033" s="182" t="s">
        <v>778</v>
      </c>
      <c r="E1033" s="182" t="s">
        <v>778</v>
      </c>
      <c r="F1033" s="182" t="s">
        <v>778</v>
      </c>
      <c r="G1033" s="189" t="s">
        <v>778</v>
      </c>
      <c r="H1033" s="182" t="s">
        <v>778</v>
      </c>
      <c r="I1033" s="182" t="s">
        <v>778</v>
      </c>
      <c r="J1033" s="182" t="s">
        <v>778</v>
      </c>
      <c r="K1033" s="182" t="s">
        <v>778</v>
      </c>
      <c r="L1033" s="182" t="s">
        <v>778</v>
      </c>
      <c r="M1033" s="237" t="s">
        <v>778</v>
      </c>
      <c r="N1033" s="227" t="s">
        <v>779</v>
      </c>
      <c r="O1033" s="227" t="s">
        <v>778</v>
      </c>
      <c r="P1033" s="237" t="s">
        <v>365</v>
      </c>
      <c r="Q1033" s="226" t="s">
        <v>705</v>
      </c>
      <c r="R1033" s="310" t="s">
        <v>705</v>
      </c>
      <c r="S1033" s="189" t="s">
        <v>778</v>
      </c>
      <c r="T1033" s="182" t="s">
        <v>778</v>
      </c>
      <c r="U1033" s="307" t="s">
        <v>778</v>
      </c>
      <c r="V1033" s="304"/>
    </row>
    <row r="1034" spans="1:45" ht="15.75" customHeight="1" x14ac:dyDescent="0.3">
      <c r="A1034" s="213" t="s">
        <v>666</v>
      </c>
      <c r="B1034" s="189" t="s">
        <v>666</v>
      </c>
      <c r="C1034" s="182" t="s">
        <v>666</v>
      </c>
      <c r="D1034" s="182" t="s">
        <v>666</v>
      </c>
      <c r="E1034" s="182" t="s">
        <v>769</v>
      </c>
      <c r="F1034" s="307" t="s">
        <v>666</v>
      </c>
      <c r="G1034" s="189" t="s">
        <v>666</v>
      </c>
      <c r="H1034" s="182" t="s">
        <v>770</v>
      </c>
      <c r="I1034" s="182" t="s">
        <v>770</v>
      </c>
      <c r="J1034" s="182" t="s">
        <v>666</v>
      </c>
      <c r="K1034" s="182" t="s">
        <v>666</v>
      </c>
      <c r="L1034" s="182" t="s">
        <v>666</v>
      </c>
      <c r="M1034" s="237" t="s">
        <v>666</v>
      </c>
      <c r="N1034" s="227" t="s">
        <v>666</v>
      </c>
      <c r="O1034" s="227" t="s">
        <v>666</v>
      </c>
      <c r="P1034" s="237" t="s">
        <v>666</v>
      </c>
      <c r="Q1034" s="227" t="s">
        <v>666</v>
      </c>
      <c r="R1034" s="310" t="s">
        <v>666</v>
      </c>
      <c r="S1034" s="189" t="s">
        <v>666</v>
      </c>
      <c r="T1034" s="182" t="s">
        <v>666</v>
      </c>
      <c r="U1034" s="307" t="s">
        <v>666</v>
      </c>
      <c r="V1034" s="304"/>
    </row>
    <row r="1035" spans="1:45" ht="15.75" customHeight="1" x14ac:dyDescent="0.3">
      <c r="A1035" s="192" t="s">
        <v>8</v>
      </c>
      <c r="B1035" s="189">
        <f>+B1008/($B$10*24)</f>
        <v>213.58736559139786</v>
      </c>
      <c r="C1035" s="182">
        <f t="shared" ref="C1035:L1035" si="399">+C1008/($B$10*24)</f>
        <v>0</v>
      </c>
      <c r="D1035" s="182">
        <f t="shared" si="399"/>
        <v>8.736559139784946</v>
      </c>
      <c r="E1035" s="182">
        <f t="shared" si="399"/>
        <v>213.58736559139786</v>
      </c>
      <c r="F1035" s="307">
        <f t="shared" si="399"/>
        <v>222.32392473118279</v>
      </c>
      <c r="G1035" s="182">
        <f t="shared" si="399"/>
        <v>3.3695345625341924</v>
      </c>
      <c r="H1035" s="182">
        <f t="shared" si="399"/>
        <v>12.131720430107526</v>
      </c>
      <c r="I1035" s="182">
        <f t="shared" si="399"/>
        <v>0</v>
      </c>
      <c r="J1035" s="182">
        <f t="shared" si="399"/>
        <v>12.131720430107526</v>
      </c>
      <c r="K1035" s="182">
        <f t="shared" si="399"/>
        <v>0</v>
      </c>
      <c r="L1035" s="182">
        <f t="shared" si="399"/>
        <v>0</v>
      </c>
      <c r="M1035" s="237">
        <f>+M1008/($B$10*24)</f>
        <v>206.82266973854109</v>
      </c>
      <c r="N1035" s="227">
        <f t="shared" ref="N1035" si="400">+N1008/($B$10*24)</f>
        <v>0</v>
      </c>
      <c r="O1035" s="227">
        <f>+O1008/($B$10*24)</f>
        <v>206.82266973854109</v>
      </c>
      <c r="P1035" s="254">
        <f>P1008</f>
        <v>0.2</v>
      </c>
      <c r="Q1035" s="227">
        <f>-O1035*P1035</f>
        <v>-41.364533947708225</v>
      </c>
      <c r="R1035" s="310">
        <f>O1035+Q1035</f>
        <v>165.45813579083287</v>
      </c>
      <c r="S1035" s="255">
        <f>+S1008/($B$10*24)</f>
        <v>41.364533947708225</v>
      </c>
      <c r="T1035" s="182">
        <f>+IF(S1035&gt;=0,ABS(S1035),"")</f>
        <v>41.364533947708225</v>
      </c>
      <c r="U1035" s="307" t="str">
        <f>+IF(S1035&lt;=0,ABS(S1035),"")</f>
        <v/>
      </c>
      <c r="V1035" s="304"/>
    </row>
    <row r="1036" spans="1:45" ht="15.75" customHeight="1" x14ac:dyDescent="0.3">
      <c r="A1036" s="192" t="s">
        <v>9</v>
      </c>
      <c r="B1036" s="189">
        <f>+B1009/($C$10*24)</f>
        <v>382.71875</v>
      </c>
      <c r="C1036" s="182">
        <f t="shared" ref="C1036:N1036" si="401">+C1009/($C$10*24)</f>
        <v>0</v>
      </c>
      <c r="D1036" s="182">
        <f t="shared" si="401"/>
        <v>16.011904761904763</v>
      </c>
      <c r="E1036" s="182">
        <f t="shared" si="401"/>
        <v>382.71875</v>
      </c>
      <c r="F1036" s="307">
        <f t="shared" si="401"/>
        <v>398.73065476190476</v>
      </c>
      <c r="G1036" s="182">
        <f t="shared" si="401"/>
        <v>0</v>
      </c>
      <c r="H1036" s="182">
        <f t="shared" si="401"/>
        <v>15.27827380952381</v>
      </c>
      <c r="I1036" s="182">
        <f t="shared" si="401"/>
        <v>0</v>
      </c>
      <c r="J1036" s="182">
        <f t="shared" si="401"/>
        <v>15.27827380952381</v>
      </c>
      <c r="K1036" s="182">
        <f t="shared" si="401"/>
        <v>0</v>
      </c>
      <c r="L1036" s="182">
        <f t="shared" si="401"/>
        <v>0</v>
      </c>
      <c r="M1036" s="237">
        <f t="shared" si="401"/>
        <v>383.45238095238096</v>
      </c>
      <c r="N1036" s="227">
        <f t="shared" si="401"/>
        <v>0</v>
      </c>
      <c r="O1036" s="227">
        <f t="shared" ref="O1036:O1046" si="402">+O1009/($B$10*24)</f>
        <v>346.3440860215054</v>
      </c>
      <c r="P1036" s="254">
        <f t="shared" ref="P1036:P1046" si="403">P1009</f>
        <v>0.25</v>
      </c>
      <c r="Q1036" s="227">
        <f t="shared" ref="Q1036:Q1046" si="404">-O1036*P1036</f>
        <v>-86.586021505376351</v>
      </c>
      <c r="R1036" s="310">
        <f t="shared" ref="R1036:R1046" si="405">O1036+Q1036</f>
        <v>259.75806451612902</v>
      </c>
      <c r="S1036" s="255">
        <f>+S1009/($C$10*24)</f>
        <v>95.863095238095241</v>
      </c>
      <c r="T1036" s="182">
        <f t="shared" ref="T1036:T1046" si="406">+IF(S1036&gt;=0,ABS(S1036),"")</f>
        <v>95.863095238095241</v>
      </c>
      <c r="U1036" s="307" t="str">
        <f t="shared" ref="U1036:U1046" si="407">+IF(S1036&lt;=0,ABS(S1036),"")</f>
        <v/>
      </c>
      <c r="V1036" s="304"/>
    </row>
    <row r="1037" spans="1:45" ht="15.75" customHeight="1" x14ac:dyDescent="0.3">
      <c r="A1037" s="192" t="s">
        <v>10</v>
      </c>
      <c r="B1037" s="189">
        <f>+B1010/($D$10*24)</f>
        <v>198.48118279569891</v>
      </c>
      <c r="C1037" s="182">
        <f t="shared" ref="C1037:N1037" si="408">+C1010/($D$10*24)</f>
        <v>0</v>
      </c>
      <c r="D1037" s="182">
        <f t="shared" si="408"/>
        <v>8.6357526881720439</v>
      </c>
      <c r="E1037" s="182">
        <f t="shared" si="408"/>
        <v>198.48118279569891</v>
      </c>
      <c r="F1037" s="307">
        <f t="shared" si="408"/>
        <v>207.11693548387098</v>
      </c>
      <c r="G1037" s="182">
        <f t="shared" si="408"/>
        <v>2.5809368694848962E-2</v>
      </c>
      <c r="H1037" s="182">
        <f>+H1010/($D$10*24)</f>
        <v>21.280913978494624</v>
      </c>
      <c r="I1037" s="182">
        <f t="shared" si="408"/>
        <v>0</v>
      </c>
      <c r="J1037" s="182">
        <f t="shared" si="408"/>
        <v>21.280913978494624</v>
      </c>
      <c r="K1037" s="182">
        <f t="shared" si="408"/>
        <v>0</v>
      </c>
      <c r="L1037" s="182">
        <f t="shared" si="408"/>
        <v>0</v>
      </c>
      <c r="M1037" s="237">
        <f t="shared" si="408"/>
        <v>185.81021213668149</v>
      </c>
      <c r="N1037" s="227">
        <f t="shared" si="408"/>
        <v>0</v>
      </c>
      <c r="O1037" s="227">
        <f t="shared" si="402"/>
        <v>185.81021213668149</v>
      </c>
      <c r="P1037" s="254">
        <f t="shared" si="403"/>
        <v>0.3</v>
      </c>
      <c r="Q1037" s="227">
        <f t="shared" si="404"/>
        <v>-55.743063641004447</v>
      </c>
      <c r="R1037" s="310">
        <f t="shared" si="405"/>
        <v>130.06714849567703</v>
      </c>
      <c r="S1037" s="255">
        <f>+S1010/($D$10*24)</f>
        <v>55.74306364100444</v>
      </c>
      <c r="T1037" s="182">
        <f t="shared" si="406"/>
        <v>55.74306364100444</v>
      </c>
      <c r="U1037" s="307" t="str">
        <f t="shared" si="407"/>
        <v/>
      </c>
      <c r="V1037" s="304"/>
    </row>
    <row r="1038" spans="1:45" ht="15.75" customHeight="1" x14ac:dyDescent="0.3">
      <c r="A1038" s="192" t="s">
        <v>12</v>
      </c>
      <c r="B1038" s="189">
        <f>+B1011/($F$10*24)</f>
        <v>358.05833333333334</v>
      </c>
      <c r="C1038" s="182">
        <f t="shared" ref="C1038:N1038" si="409">+C1011/($F$10*24)</f>
        <v>0</v>
      </c>
      <c r="D1038" s="182">
        <f t="shared" si="409"/>
        <v>15.584722222222222</v>
      </c>
      <c r="E1038" s="182">
        <f t="shared" si="409"/>
        <v>358.05833333333334</v>
      </c>
      <c r="F1038" s="307">
        <f t="shared" si="409"/>
        <v>373.64305555555558</v>
      </c>
      <c r="G1038" s="182">
        <f t="shared" si="409"/>
        <v>2.8633531789469697</v>
      </c>
      <c r="H1038" s="182">
        <f t="shared" si="409"/>
        <v>22.120833333333334</v>
      </c>
      <c r="I1038" s="182">
        <f t="shared" si="409"/>
        <v>0</v>
      </c>
      <c r="J1038" s="182">
        <f t="shared" si="409"/>
        <v>22.120833333333334</v>
      </c>
      <c r="K1038" s="182">
        <f t="shared" si="409"/>
        <v>0</v>
      </c>
      <c r="L1038" s="182">
        <f t="shared" si="409"/>
        <v>0</v>
      </c>
      <c r="M1038" s="237">
        <f t="shared" si="409"/>
        <v>348.65886904327522</v>
      </c>
      <c r="N1038" s="227">
        <f t="shared" si="409"/>
        <v>-31</v>
      </c>
      <c r="O1038" s="227">
        <f t="shared" si="402"/>
        <v>307.41180875155669</v>
      </c>
      <c r="P1038" s="254">
        <f t="shared" si="403"/>
        <v>0.35</v>
      </c>
      <c r="Q1038" s="227">
        <f t="shared" si="404"/>
        <v>-107.59413306304484</v>
      </c>
      <c r="R1038" s="310">
        <f t="shared" si="405"/>
        <v>199.81767568851186</v>
      </c>
      <c r="S1038" s="255">
        <f>+S1011/($F$10*24)</f>
        <v>142.18060416514632</v>
      </c>
      <c r="T1038" s="182">
        <f t="shared" si="406"/>
        <v>142.18060416514632</v>
      </c>
      <c r="U1038" s="307" t="str">
        <f t="shared" si="407"/>
        <v/>
      </c>
      <c r="V1038" s="304"/>
    </row>
    <row r="1039" spans="1:45" ht="15.75" customHeight="1" x14ac:dyDescent="0.3">
      <c r="A1039" s="192" t="s">
        <v>13</v>
      </c>
      <c r="B1039" s="189">
        <f>+B1012/($G$10*24)</f>
        <v>355.25403225806451</v>
      </c>
      <c r="C1039" s="182">
        <f t="shared" ref="C1039:N1039" si="410">+C1012/($G$10*24)</f>
        <v>0</v>
      </c>
      <c r="D1039" s="182">
        <f t="shared" si="410"/>
        <v>15.44489247311828</v>
      </c>
      <c r="E1039" s="182">
        <f t="shared" si="410"/>
        <v>355.25403225806451</v>
      </c>
      <c r="F1039" s="307">
        <f t="shared" si="410"/>
        <v>370.69892473118279</v>
      </c>
      <c r="G1039" s="182">
        <f t="shared" si="410"/>
        <v>3.2084460408364941</v>
      </c>
      <c r="H1039" s="182">
        <f t="shared" si="410"/>
        <v>19.153225806451612</v>
      </c>
      <c r="I1039" s="182">
        <f t="shared" si="410"/>
        <v>0</v>
      </c>
      <c r="J1039" s="182">
        <f t="shared" si="410"/>
        <v>19.153225806451612</v>
      </c>
      <c r="K1039" s="182">
        <f t="shared" si="410"/>
        <v>0</v>
      </c>
      <c r="L1039" s="182">
        <f t="shared" si="410"/>
        <v>0</v>
      </c>
      <c r="M1039" s="237">
        <f t="shared" si="410"/>
        <v>348.33725288389473</v>
      </c>
      <c r="N1039" s="227">
        <f t="shared" si="410"/>
        <v>0</v>
      </c>
      <c r="O1039" s="227">
        <f t="shared" si="402"/>
        <v>348.33725288389473</v>
      </c>
      <c r="P1039" s="254">
        <f t="shared" si="403"/>
        <v>0.35</v>
      </c>
      <c r="Q1039" s="227">
        <f t="shared" si="404"/>
        <v>-121.91803850936314</v>
      </c>
      <c r="R1039" s="310">
        <f t="shared" si="405"/>
        <v>226.41921437453158</v>
      </c>
      <c r="S1039" s="255">
        <f>+S1012/($G$10*24)</f>
        <v>121.91803850936314</v>
      </c>
      <c r="T1039" s="182">
        <f t="shared" si="406"/>
        <v>121.91803850936314</v>
      </c>
      <c r="U1039" s="307" t="str">
        <f t="shared" si="407"/>
        <v/>
      </c>
      <c r="V1039" s="304"/>
    </row>
    <row r="1040" spans="1:45" ht="15.75" customHeight="1" x14ac:dyDescent="0.3">
      <c r="A1040" s="192" t="s">
        <v>14</v>
      </c>
      <c r="B1040" s="189">
        <f>+B1013/($H$10*24)</f>
        <v>279.72916666666669</v>
      </c>
      <c r="C1040" s="182">
        <f t="shared" ref="C1040:N1040" si="411">+C1013/($H$10*24)</f>
        <v>0</v>
      </c>
      <c r="D1040" s="182">
        <f t="shared" si="411"/>
        <v>11.931944444444444</v>
      </c>
      <c r="E1040" s="182">
        <f t="shared" si="411"/>
        <v>279.72916666666669</v>
      </c>
      <c r="F1040" s="307">
        <f t="shared" si="411"/>
        <v>291.6611111111111</v>
      </c>
      <c r="G1040" s="182">
        <f t="shared" si="411"/>
        <v>16.618129448212333</v>
      </c>
      <c r="H1040" s="182">
        <f t="shared" si="411"/>
        <v>17.633333333333333</v>
      </c>
      <c r="I1040" s="182">
        <f t="shared" si="411"/>
        <v>0</v>
      </c>
      <c r="J1040" s="182">
        <f t="shared" si="411"/>
        <v>17.633333333333333</v>
      </c>
      <c r="K1040" s="182">
        <f t="shared" si="411"/>
        <v>0</v>
      </c>
      <c r="L1040" s="182">
        <f t="shared" si="411"/>
        <v>0</v>
      </c>
      <c r="M1040" s="237">
        <f t="shared" si="411"/>
        <v>257.40964832956547</v>
      </c>
      <c r="N1040" s="227">
        <f t="shared" si="411"/>
        <v>65.666666666666671</v>
      </c>
      <c r="O1040" s="227">
        <f t="shared" si="402"/>
        <v>312.65449838345046</v>
      </c>
      <c r="P1040" s="254">
        <f t="shared" si="403"/>
        <v>7.4999999999999997E-2</v>
      </c>
      <c r="Q1040" s="227">
        <f t="shared" si="404"/>
        <v>-23.449087378758783</v>
      </c>
      <c r="R1040" s="310">
        <f t="shared" si="405"/>
        <v>289.20541100469165</v>
      </c>
      <c r="S1040" s="255">
        <f>+S1013/($H$10*24)</f>
        <v>-41.435943041949251</v>
      </c>
      <c r="T1040" s="182" t="str">
        <f t="shared" si="406"/>
        <v/>
      </c>
      <c r="U1040" s="307">
        <f t="shared" si="407"/>
        <v>41.435943041949251</v>
      </c>
      <c r="V1040" s="304"/>
    </row>
    <row r="1041" spans="1:33" ht="15.75" customHeight="1" x14ac:dyDescent="0.3">
      <c r="A1041" s="192" t="s">
        <v>16</v>
      </c>
      <c r="B1041" s="189">
        <f>+B1014/($J$10*24)</f>
        <v>256.5456989247312</v>
      </c>
      <c r="C1041" s="182">
        <f t="shared" ref="C1041:N1041" si="412">+C1014/($J$10*24)</f>
        <v>0</v>
      </c>
      <c r="D1041" s="182">
        <f t="shared" si="412"/>
        <v>10.838709677419354</v>
      </c>
      <c r="E1041" s="182">
        <f t="shared" si="412"/>
        <v>256.5456989247312</v>
      </c>
      <c r="F1041" s="307">
        <f t="shared" si="412"/>
        <v>267.38440860215053</v>
      </c>
      <c r="G1041" s="182">
        <f t="shared" si="412"/>
        <v>15.667458763577983</v>
      </c>
      <c r="H1041" s="182">
        <f t="shared" si="412"/>
        <v>15.618279569892474</v>
      </c>
      <c r="I1041" s="182">
        <f t="shared" si="412"/>
        <v>0</v>
      </c>
      <c r="J1041" s="182">
        <f t="shared" si="412"/>
        <v>15.618279569892474</v>
      </c>
      <c r="K1041" s="182">
        <f t="shared" si="412"/>
        <v>0</v>
      </c>
      <c r="L1041" s="182">
        <f t="shared" si="412"/>
        <v>0</v>
      </c>
      <c r="M1041" s="237">
        <f t="shared" si="412"/>
        <v>236.09867026868011</v>
      </c>
      <c r="N1041" s="227">
        <f t="shared" si="412"/>
        <v>63.333333333333336</v>
      </c>
      <c r="O1041" s="227">
        <f t="shared" si="402"/>
        <v>299.43200360201342</v>
      </c>
      <c r="P1041" s="254">
        <f t="shared" si="403"/>
        <v>0.05</v>
      </c>
      <c r="Q1041" s="227">
        <f t="shared" si="404"/>
        <v>-14.971600180100673</v>
      </c>
      <c r="R1041" s="310">
        <f t="shared" si="405"/>
        <v>284.46040342191276</v>
      </c>
      <c r="S1041" s="255">
        <f>+S1014/($J$10*24)</f>
        <v>-48.36173315323267</v>
      </c>
      <c r="T1041" s="182" t="str">
        <f t="shared" si="406"/>
        <v/>
      </c>
      <c r="U1041" s="307">
        <f t="shared" si="407"/>
        <v>48.36173315323267</v>
      </c>
      <c r="V1041" s="304"/>
    </row>
    <row r="1042" spans="1:33" ht="15.75" customHeight="1" x14ac:dyDescent="0.3">
      <c r="A1042" s="192" t="s">
        <v>17</v>
      </c>
      <c r="B1042" s="189">
        <f>+B1015/($K$10*24)</f>
        <v>266.77822580645159</v>
      </c>
      <c r="C1042" s="182">
        <f t="shared" ref="C1042:N1042" si="413">+C1015/($K$10*24)</f>
        <v>0</v>
      </c>
      <c r="D1042" s="182">
        <f t="shared" si="413"/>
        <v>11.341397849462366</v>
      </c>
      <c r="E1042" s="182">
        <f t="shared" si="413"/>
        <v>266.77822580645159</v>
      </c>
      <c r="F1042" s="307">
        <f t="shared" si="413"/>
        <v>278.11962365591398</v>
      </c>
      <c r="G1042" s="182">
        <f t="shared" si="413"/>
        <v>10.247646205662289</v>
      </c>
      <c r="H1042" s="182">
        <f t="shared" si="413"/>
        <v>13.76478494623656</v>
      </c>
      <c r="I1042" s="182">
        <f t="shared" si="413"/>
        <v>0</v>
      </c>
      <c r="J1042" s="182">
        <f t="shared" si="413"/>
        <v>13.76478494623656</v>
      </c>
      <c r="K1042" s="182">
        <f t="shared" si="413"/>
        <v>0</v>
      </c>
      <c r="L1042" s="182">
        <f t="shared" si="413"/>
        <v>0</v>
      </c>
      <c r="M1042" s="237">
        <f t="shared" si="413"/>
        <v>254.10719250401513</v>
      </c>
      <c r="N1042" s="227">
        <f t="shared" si="413"/>
        <v>79</v>
      </c>
      <c r="O1042" s="227">
        <f t="shared" si="402"/>
        <v>333.10719250401513</v>
      </c>
      <c r="P1042" s="254">
        <f t="shared" si="403"/>
        <v>0</v>
      </c>
      <c r="Q1042" s="227">
        <f t="shared" si="404"/>
        <v>0</v>
      </c>
      <c r="R1042" s="310">
        <f t="shared" si="405"/>
        <v>333.10719250401513</v>
      </c>
      <c r="S1042" s="255">
        <f>+S1015/($K$10*24)</f>
        <v>-79</v>
      </c>
      <c r="T1042" s="182" t="str">
        <f t="shared" si="406"/>
        <v/>
      </c>
      <c r="U1042" s="307">
        <f t="shared" si="407"/>
        <v>79</v>
      </c>
      <c r="V1042" s="304"/>
    </row>
    <row r="1043" spans="1:33" ht="15.75" customHeight="1" x14ac:dyDescent="0.3">
      <c r="A1043" s="192" t="s">
        <v>18</v>
      </c>
      <c r="B1043" s="189">
        <f>+B1016/($L$10*24)</f>
        <v>371.35138888888889</v>
      </c>
      <c r="C1043" s="182">
        <f t="shared" ref="C1043:N1043" si="414">+C1016/($L$10*24)</f>
        <v>0</v>
      </c>
      <c r="D1043" s="182">
        <f t="shared" si="414"/>
        <v>16.270833333333332</v>
      </c>
      <c r="E1043" s="182">
        <f t="shared" si="414"/>
        <v>371.35138888888889</v>
      </c>
      <c r="F1043" s="307">
        <f t="shared" si="414"/>
        <v>387.62222222222221</v>
      </c>
      <c r="G1043" s="182">
        <f t="shared" si="414"/>
        <v>0</v>
      </c>
      <c r="H1043" s="182">
        <f t="shared" si="414"/>
        <v>14.206944444444444</v>
      </c>
      <c r="I1043" s="182">
        <f t="shared" si="414"/>
        <v>0</v>
      </c>
      <c r="J1043" s="182">
        <f t="shared" si="414"/>
        <v>14.206944444444444</v>
      </c>
      <c r="K1043" s="182">
        <f t="shared" si="414"/>
        <v>0</v>
      </c>
      <c r="L1043" s="182">
        <f t="shared" si="414"/>
        <v>0</v>
      </c>
      <c r="M1043" s="237">
        <f t="shared" si="414"/>
        <v>373.41527777777776</v>
      </c>
      <c r="N1043" s="227">
        <f t="shared" si="414"/>
        <v>0</v>
      </c>
      <c r="O1043" s="227">
        <f t="shared" si="402"/>
        <v>361.36962365591398</v>
      </c>
      <c r="P1043" s="254">
        <f t="shared" si="403"/>
        <v>0.05</v>
      </c>
      <c r="Q1043" s="227">
        <f t="shared" si="404"/>
        <v>-18.068481182795701</v>
      </c>
      <c r="R1043" s="310">
        <f t="shared" si="405"/>
        <v>343.30114247311826</v>
      </c>
      <c r="S1043" s="255">
        <f>+S1016/($L$10*24)</f>
        <v>18.670763888888906</v>
      </c>
      <c r="T1043" s="182">
        <f t="shared" si="406"/>
        <v>18.670763888888906</v>
      </c>
      <c r="U1043" s="307" t="str">
        <f t="shared" si="407"/>
        <v/>
      </c>
      <c r="V1043" s="304"/>
    </row>
    <row r="1044" spans="1:33" ht="15.75" customHeight="1" x14ac:dyDescent="0.3">
      <c r="A1044" s="192" t="s">
        <v>20</v>
      </c>
      <c r="B1044" s="189">
        <f>+B1017/($N$10*24)</f>
        <v>334.60887096774195</v>
      </c>
      <c r="C1044" s="182">
        <f t="shared" ref="C1044:N1044" si="415">+C1017/($N$10*24)</f>
        <v>0</v>
      </c>
      <c r="D1044" s="182">
        <f t="shared" si="415"/>
        <v>14.620967741935484</v>
      </c>
      <c r="E1044" s="182">
        <f t="shared" si="415"/>
        <v>334.60887096774195</v>
      </c>
      <c r="F1044" s="307">
        <f t="shared" si="415"/>
        <v>349.22983870967744</v>
      </c>
      <c r="G1044" s="182">
        <f t="shared" si="415"/>
        <v>0</v>
      </c>
      <c r="H1044" s="182">
        <f t="shared" si="415"/>
        <v>13.580645161290322</v>
      </c>
      <c r="I1044" s="182">
        <f t="shared" si="415"/>
        <v>0</v>
      </c>
      <c r="J1044" s="182">
        <f t="shared" si="415"/>
        <v>13.580645161290322</v>
      </c>
      <c r="K1044" s="182">
        <f t="shared" si="415"/>
        <v>0</v>
      </c>
      <c r="L1044" s="182">
        <f t="shared" si="415"/>
        <v>0</v>
      </c>
      <c r="M1044" s="237">
        <f t="shared" si="415"/>
        <v>335.64919354838707</v>
      </c>
      <c r="N1044" s="227">
        <f t="shared" si="415"/>
        <v>0</v>
      </c>
      <c r="O1044" s="227">
        <f t="shared" si="402"/>
        <v>335.64919354838707</v>
      </c>
      <c r="P1044" s="254">
        <f t="shared" si="403"/>
        <v>0.2</v>
      </c>
      <c r="Q1044" s="227">
        <f t="shared" si="404"/>
        <v>-67.129838709677415</v>
      </c>
      <c r="R1044" s="310">
        <f t="shared" si="405"/>
        <v>268.51935483870966</v>
      </c>
      <c r="S1044" s="255">
        <f>+S1017/($N$10*24)</f>
        <v>67.129838709677429</v>
      </c>
      <c r="T1044" s="182">
        <f t="shared" si="406"/>
        <v>67.129838709677429</v>
      </c>
      <c r="U1044" s="307" t="str">
        <f t="shared" si="407"/>
        <v/>
      </c>
      <c r="V1044" s="304"/>
    </row>
    <row r="1045" spans="1:33" ht="15.75" customHeight="1" x14ac:dyDescent="0.3">
      <c r="A1045" s="192" t="s">
        <v>21</v>
      </c>
      <c r="B1045" s="189">
        <f>+B1018/($O$10*24)</f>
        <v>271.29305555555555</v>
      </c>
      <c r="C1045" s="182">
        <f t="shared" ref="C1045:N1045" si="416">+C1018/($O$10*24)</f>
        <v>0</v>
      </c>
      <c r="D1045" s="182">
        <f t="shared" si="416"/>
        <v>11.511111111111111</v>
      </c>
      <c r="E1045" s="182">
        <f t="shared" si="416"/>
        <v>271.29305555555555</v>
      </c>
      <c r="F1045" s="307">
        <f t="shared" si="416"/>
        <v>282.80416666666667</v>
      </c>
      <c r="G1045" s="182">
        <f t="shared" si="416"/>
        <v>0.25531300566014398</v>
      </c>
      <c r="H1045" s="182">
        <f t="shared" si="416"/>
        <v>15.036111111111111</v>
      </c>
      <c r="I1045" s="182">
        <f t="shared" si="416"/>
        <v>0</v>
      </c>
      <c r="J1045" s="182">
        <f t="shared" si="416"/>
        <v>15.036111111111111</v>
      </c>
      <c r="K1045" s="182">
        <f t="shared" si="416"/>
        <v>0</v>
      </c>
      <c r="L1045" s="182">
        <f t="shared" si="416"/>
        <v>0</v>
      </c>
      <c r="M1045" s="237">
        <f t="shared" si="416"/>
        <v>267.51274254989539</v>
      </c>
      <c r="N1045" s="227">
        <f t="shared" si="416"/>
        <v>0</v>
      </c>
      <c r="O1045" s="227">
        <f t="shared" si="402"/>
        <v>258.88329924183427</v>
      </c>
      <c r="P1045" s="254">
        <f t="shared" si="403"/>
        <v>0.2</v>
      </c>
      <c r="Q1045" s="227">
        <f t="shared" si="404"/>
        <v>-51.776659848366855</v>
      </c>
      <c r="R1045" s="310">
        <f t="shared" si="405"/>
        <v>207.10663939346742</v>
      </c>
      <c r="S1045" s="255">
        <f>+S1018/($O$10*24)</f>
        <v>53.502548509979086</v>
      </c>
      <c r="T1045" s="182">
        <f t="shared" si="406"/>
        <v>53.502548509979086</v>
      </c>
      <c r="U1045" s="307" t="str">
        <f t="shared" si="407"/>
        <v/>
      </c>
      <c r="V1045" s="304"/>
    </row>
    <row r="1046" spans="1:33" ht="15.75" customHeight="1" thickBot="1" x14ac:dyDescent="0.35">
      <c r="A1046" s="192" t="s">
        <v>22</v>
      </c>
      <c r="B1046" s="204">
        <f>+B1019/($P$10*24)</f>
        <v>161.65860215053763</v>
      </c>
      <c r="C1046" s="205">
        <f t="shared" ref="C1046:N1046" si="417">+C1019/($P$10*24)</f>
        <v>0</v>
      </c>
      <c r="D1046" s="205">
        <f t="shared" si="417"/>
        <v>7.05510752688172</v>
      </c>
      <c r="E1046" s="205">
        <f t="shared" si="417"/>
        <v>161.65860215053763</v>
      </c>
      <c r="F1046" s="245">
        <f t="shared" si="417"/>
        <v>168.71370967741936</v>
      </c>
      <c r="G1046" s="205">
        <f t="shared" si="417"/>
        <v>0</v>
      </c>
      <c r="H1046" s="205">
        <f t="shared" si="417"/>
        <v>8.9731182795698921</v>
      </c>
      <c r="I1046" s="205">
        <f t="shared" si="417"/>
        <v>0</v>
      </c>
      <c r="J1046" s="205">
        <f t="shared" si="417"/>
        <v>8.9731182795698921</v>
      </c>
      <c r="K1046" s="205">
        <f t="shared" si="417"/>
        <v>0</v>
      </c>
      <c r="L1046" s="205">
        <f t="shared" si="417"/>
        <v>0</v>
      </c>
      <c r="M1046" s="246">
        <f t="shared" si="417"/>
        <v>159.74059139784947</v>
      </c>
      <c r="N1046" s="247">
        <f t="shared" si="417"/>
        <v>0</v>
      </c>
      <c r="O1046" s="248">
        <f t="shared" si="402"/>
        <v>159.74059139784947</v>
      </c>
      <c r="P1046" s="249">
        <f t="shared" si="403"/>
        <v>0.2</v>
      </c>
      <c r="Q1046" s="247">
        <f t="shared" si="404"/>
        <v>-31.948118279569897</v>
      </c>
      <c r="R1046" s="248">
        <f t="shared" si="405"/>
        <v>127.79247311827957</v>
      </c>
      <c r="S1046" s="256">
        <f>+S1019/($P$10*24)</f>
        <v>31.948118279569886</v>
      </c>
      <c r="T1046" s="205">
        <f t="shared" si="406"/>
        <v>31.948118279569886</v>
      </c>
      <c r="U1046" s="245" t="str">
        <f t="shared" si="407"/>
        <v/>
      </c>
      <c r="V1046" s="304"/>
    </row>
    <row r="1047" spans="1:33" ht="15.75" customHeight="1" x14ac:dyDescent="0.3">
      <c r="A1047" s="257"/>
      <c r="V1047" s="304"/>
    </row>
    <row r="1048" spans="1:33" ht="16.5" customHeight="1" thickBot="1" x14ac:dyDescent="0.35">
      <c r="A1048" s="258"/>
      <c r="B1048" s="135"/>
      <c r="C1048" s="135"/>
      <c r="D1048" s="135"/>
      <c r="E1048" s="135"/>
      <c r="F1048" s="135"/>
      <c r="G1048" s="135"/>
      <c r="H1048" s="135"/>
      <c r="I1048" s="135"/>
      <c r="J1048" s="135"/>
      <c r="K1048" s="135"/>
      <c r="L1048" s="135"/>
      <c r="M1048" s="135"/>
      <c r="N1048" s="135"/>
      <c r="O1048" s="135"/>
      <c r="P1048" s="135"/>
      <c r="Q1048" s="135"/>
      <c r="R1048" s="135"/>
      <c r="S1048" s="135"/>
      <c r="T1048" s="135"/>
      <c r="U1048" s="135"/>
      <c r="V1048" s="136"/>
    </row>
    <row r="1049" spans="1:33" ht="15.75" customHeight="1" x14ac:dyDescent="0.3">
      <c r="A1049" s="259"/>
      <c r="B1049" s="180"/>
      <c r="C1049" s="180"/>
      <c r="D1049" s="180"/>
      <c r="E1049" s="180"/>
      <c r="F1049" s="180"/>
      <c r="G1049" s="180"/>
      <c r="H1049" s="180"/>
      <c r="I1049" s="180"/>
      <c r="J1049" s="180"/>
      <c r="K1049" s="180"/>
      <c r="L1049" s="180"/>
      <c r="M1049" s="180"/>
      <c r="N1049" s="180"/>
      <c r="O1049" s="180"/>
      <c r="P1049" s="180"/>
      <c r="Q1049" s="180"/>
      <c r="R1049" s="180"/>
    </row>
    <row r="1050" spans="1:33" ht="15.75" customHeight="1" x14ac:dyDescent="0.3">
      <c r="A1050" s="260"/>
    </row>
    <row r="1051" spans="1:33" ht="15.75" customHeight="1" thickBot="1" x14ac:dyDescent="0.35">
      <c r="A1051" s="260"/>
    </row>
    <row r="1052" spans="1:33" ht="15.75" customHeight="1" x14ac:dyDescent="0.3">
      <c r="A1052" s="364"/>
      <c r="B1052" s="423" t="s">
        <v>780</v>
      </c>
      <c r="C1052" s="423"/>
      <c r="D1052" s="423"/>
      <c r="E1052" s="423"/>
      <c r="F1052" s="423"/>
      <c r="G1052" s="423"/>
      <c r="H1052" s="423"/>
      <c r="I1052" s="423"/>
      <c r="J1052" s="423"/>
      <c r="K1052" s="423"/>
      <c r="L1052" s="423"/>
      <c r="M1052" s="423"/>
      <c r="N1052" s="423"/>
      <c r="O1052" s="423"/>
      <c r="P1052" s="423"/>
      <c r="Q1052" s="354" t="str">
        <f>+Q1</f>
        <v xml:space="preserve">PRINTED:  </v>
      </c>
      <c r="R1052" s="357">
        <f ca="1">+R1</f>
        <v>44894.658168402777</v>
      </c>
      <c r="S1052" s="358"/>
    </row>
    <row r="1053" spans="1:33" ht="15.75" customHeight="1" x14ac:dyDescent="0.3">
      <c r="A1053" s="262"/>
      <c r="B1053" s="394" t="str">
        <f>+A8</f>
        <v>Revised:  11/4/2019</v>
      </c>
      <c r="C1053" s="394"/>
      <c r="D1053" s="394"/>
      <c r="E1053" s="394"/>
      <c r="F1053" s="394"/>
      <c r="G1053" s="394"/>
      <c r="H1053" s="394"/>
      <c r="I1053" s="394"/>
      <c r="J1053" s="394"/>
      <c r="K1053" s="394"/>
      <c r="L1053" s="394"/>
      <c r="M1053" s="394"/>
      <c r="N1053" s="394"/>
      <c r="O1053" s="394"/>
      <c r="P1053" s="394"/>
      <c r="Q1053" s="180"/>
      <c r="R1053" s="180"/>
      <c r="S1053" s="304"/>
    </row>
    <row r="1054" spans="1:33" ht="16.5" customHeight="1" x14ac:dyDescent="0.3">
      <c r="A1054" s="262"/>
      <c r="B1054" s="394" t="s">
        <v>670</v>
      </c>
      <c r="C1054" s="394"/>
      <c r="D1054" s="394"/>
      <c r="E1054" s="394"/>
      <c r="F1054" s="394"/>
      <c r="G1054" s="394"/>
      <c r="H1054" s="394"/>
      <c r="I1054" s="394"/>
      <c r="J1054" s="394"/>
      <c r="K1054" s="394"/>
      <c r="L1054" s="394"/>
      <c r="M1054" s="394"/>
      <c r="N1054" s="394"/>
      <c r="O1054" s="394"/>
      <c r="P1054" s="394"/>
      <c r="Q1054" s="180"/>
      <c r="R1054" s="180"/>
      <c r="S1054" s="304"/>
    </row>
    <row r="1055" spans="1:33" ht="15.75" customHeight="1" x14ac:dyDescent="0.3">
      <c r="A1055" s="262"/>
      <c r="B1055" s="180"/>
      <c r="C1055" s="180"/>
      <c r="D1055" s="180"/>
      <c r="E1055" s="180"/>
      <c r="F1055" s="180"/>
      <c r="G1055" s="180"/>
      <c r="H1055" s="180"/>
      <c r="I1055" s="180"/>
      <c r="J1055" s="180"/>
      <c r="K1055" s="180"/>
      <c r="L1055" s="180"/>
      <c r="M1055" s="180"/>
      <c r="N1055" s="180"/>
      <c r="O1055" s="180"/>
      <c r="P1055" s="180"/>
      <c r="Q1055" s="180"/>
      <c r="R1055" s="180"/>
      <c r="S1055" s="304"/>
      <c r="AG1055" s="192"/>
    </row>
    <row r="1056" spans="1:33" ht="15.75" customHeight="1" x14ac:dyDescent="0.3">
      <c r="A1056" s="262"/>
      <c r="B1056" s="415">
        <f>+A5</f>
        <v>2019</v>
      </c>
      <c r="C1056" s="395"/>
      <c r="D1056" s="395"/>
      <c r="E1056" s="395"/>
      <c r="F1056" s="395"/>
      <c r="G1056" s="395"/>
      <c r="H1056" s="395"/>
      <c r="I1056" s="395"/>
      <c r="J1056" s="395"/>
      <c r="K1056" s="395"/>
      <c r="L1056" s="395"/>
      <c r="M1056" s="395"/>
      <c r="N1056" s="395"/>
      <c r="O1056" s="395"/>
      <c r="P1056" s="395"/>
      <c r="Q1056" s="180"/>
      <c r="R1056" s="180"/>
      <c r="S1056" s="304"/>
      <c r="AE1056" s="4" t="s">
        <v>781</v>
      </c>
      <c r="AF1056" s="4" t="s">
        <v>782</v>
      </c>
    </row>
    <row r="1057" spans="1:50" ht="15.75" customHeight="1" thickBot="1" x14ac:dyDescent="0.35">
      <c r="A1057" s="262"/>
      <c r="B1057" s="394" t="s">
        <v>708</v>
      </c>
      <c r="C1057" s="394"/>
      <c r="D1057" s="394"/>
      <c r="E1057" s="394"/>
      <c r="F1057" s="394"/>
      <c r="G1057" s="394"/>
      <c r="H1057" s="394"/>
      <c r="I1057" s="394"/>
      <c r="J1057" s="394"/>
      <c r="K1057" s="394"/>
      <c r="L1057" s="394"/>
      <c r="M1057" s="394"/>
      <c r="N1057" s="394"/>
      <c r="O1057" s="394"/>
      <c r="P1057" s="394"/>
      <c r="Q1057" s="180"/>
      <c r="R1057" s="180"/>
      <c r="S1057" s="304"/>
      <c r="V1057" s="4" t="s">
        <v>783</v>
      </c>
      <c r="AC1057" s="4" t="s">
        <v>784</v>
      </c>
      <c r="AD1057" s="263" t="s">
        <v>785</v>
      </c>
      <c r="AE1057" s="4">
        <f>DAY(DATE($A$5,MONTH(CONCATENATE(1,"-",AD1057,"-",$A$5))+1,1)-1)</f>
        <v>28</v>
      </c>
      <c r="AI1057" s="264"/>
      <c r="AJ1057" s="264"/>
    </row>
    <row r="1058" spans="1:50" ht="15.75" customHeight="1" x14ac:dyDescent="0.3">
      <c r="A1058" s="262"/>
      <c r="B1058" s="439" t="s">
        <v>786</v>
      </c>
      <c r="C1058" s="440"/>
      <c r="D1058" s="441"/>
      <c r="E1058" s="182"/>
      <c r="F1058" s="182"/>
      <c r="G1058" s="182"/>
      <c r="H1058" s="182"/>
      <c r="I1058" s="182"/>
      <c r="J1058" s="182"/>
      <c r="K1058" s="182"/>
      <c r="L1058" s="182"/>
      <c r="M1058" s="182"/>
      <c r="N1058" s="182"/>
      <c r="O1058" s="182"/>
      <c r="P1058" s="182"/>
      <c r="Q1058" s="180"/>
      <c r="R1058" s="180"/>
      <c r="S1058" s="265"/>
      <c r="T1058" s="444" t="s">
        <v>787</v>
      </c>
      <c r="U1058" s="445"/>
      <c r="V1058" s="445" t="s">
        <v>788</v>
      </c>
      <c r="W1058" s="445"/>
      <c r="X1058" s="266" t="s">
        <v>640</v>
      </c>
      <c r="Y1058" s="266" t="s">
        <v>789</v>
      </c>
      <c r="Z1058" s="266" t="s">
        <v>790</v>
      </c>
    </row>
    <row r="1059" spans="1:50" ht="15.75" customHeight="1" thickBot="1" x14ac:dyDescent="0.35">
      <c r="A1059" s="191" t="s">
        <v>768</v>
      </c>
      <c r="B1059" s="267" t="s">
        <v>791</v>
      </c>
      <c r="C1059" s="268" t="s">
        <v>792</v>
      </c>
      <c r="D1059" s="269" t="s">
        <v>793</v>
      </c>
      <c r="E1059" s="268" t="s">
        <v>678</v>
      </c>
      <c r="F1059" s="268" t="s">
        <v>679</v>
      </c>
      <c r="G1059" s="268" t="s">
        <v>680</v>
      </c>
      <c r="H1059" s="268" t="s">
        <v>794</v>
      </c>
      <c r="I1059" s="268" t="s">
        <v>795</v>
      </c>
      <c r="J1059" s="268" t="s">
        <v>681</v>
      </c>
      <c r="K1059" s="268" t="s">
        <v>682</v>
      </c>
      <c r="L1059" s="268" t="s">
        <v>683</v>
      </c>
      <c r="M1059" s="268" t="s">
        <v>684</v>
      </c>
      <c r="N1059" s="268" t="s">
        <v>685</v>
      </c>
      <c r="O1059" s="268" t="s">
        <v>686</v>
      </c>
      <c r="P1059" s="268" t="s">
        <v>687</v>
      </c>
      <c r="Q1059" s="268" t="s">
        <v>688</v>
      </c>
      <c r="R1059" s="268" t="s">
        <v>689</v>
      </c>
      <c r="S1059" s="269" t="s">
        <v>638</v>
      </c>
      <c r="T1059" s="268" t="s">
        <v>796</v>
      </c>
      <c r="U1059" s="268" t="s">
        <v>792</v>
      </c>
      <c r="V1059" s="268" t="s">
        <v>797</v>
      </c>
      <c r="W1059" s="268" t="s">
        <v>792</v>
      </c>
      <c r="X1059" s="268" t="s">
        <v>127</v>
      </c>
      <c r="Y1059" s="268" t="s">
        <v>798</v>
      </c>
      <c r="Z1059" s="268" t="s">
        <v>799</v>
      </c>
      <c r="AD1059" s="191" t="s">
        <v>677</v>
      </c>
      <c r="AE1059" s="191" t="s">
        <v>678</v>
      </c>
      <c r="AF1059" s="191" t="s">
        <v>679</v>
      </c>
      <c r="AG1059" s="191" t="s">
        <v>680</v>
      </c>
      <c r="AH1059" s="191" t="s">
        <v>644</v>
      </c>
      <c r="AI1059" s="191" t="s">
        <v>681</v>
      </c>
      <c r="AJ1059" s="191" t="s">
        <v>682</v>
      </c>
      <c r="AK1059" s="191" t="s">
        <v>683</v>
      </c>
      <c r="AL1059" s="191" t="s">
        <v>684</v>
      </c>
      <c r="AM1059" s="191" t="s">
        <v>685</v>
      </c>
      <c r="AN1059" s="191" t="s">
        <v>686</v>
      </c>
      <c r="AO1059" s="191" t="s">
        <v>687</v>
      </c>
      <c r="AP1059" s="191" t="s">
        <v>688</v>
      </c>
      <c r="AQ1059" s="191" t="s">
        <v>689</v>
      </c>
      <c r="AR1059" s="191" t="s">
        <v>638</v>
      </c>
      <c r="AS1059" s="191" t="s">
        <v>641</v>
      </c>
      <c r="AT1059" s="191" t="s">
        <v>800</v>
      </c>
      <c r="AU1059" s="191" t="s">
        <v>641</v>
      </c>
      <c r="AW1059" s="270" t="s">
        <v>801</v>
      </c>
      <c r="AX1059" s="270" t="s">
        <v>802</v>
      </c>
    </row>
    <row r="1060" spans="1:50" ht="15.75" customHeight="1" x14ac:dyDescent="0.3">
      <c r="A1060" s="211" t="s">
        <v>8</v>
      </c>
      <c r="B1060" s="211">
        <f>+F1087</f>
        <v>196</v>
      </c>
      <c r="C1060" s="192">
        <f t="shared" ref="B1060:C1071" si="418">+G1087</f>
        <v>0</v>
      </c>
      <c r="D1060" s="312" t="s">
        <v>803</v>
      </c>
      <c r="E1060" s="192">
        <f>+C980/$B$10/24</f>
        <v>14.306451612903226</v>
      </c>
      <c r="F1060" s="192">
        <f t="shared" ref="F1060:S1060" si="419">+D980/$B$10/24</f>
        <v>14.993279569892472</v>
      </c>
      <c r="G1060" s="192">
        <f t="shared" si="419"/>
        <v>25.45564516129032</v>
      </c>
      <c r="H1060" s="192">
        <f t="shared" si="419"/>
        <v>17.019338610589831</v>
      </c>
      <c r="I1060" s="192">
        <f t="shared" si="419"/>
        <v>-3.3695345625341919</v>
      </c>
      <c r="J1060" s="192">
        <f t="shared" si="419"/>
        <v>3.1653225806451615</v>
      </c>
      <c r="K1060" s="192">
        <f t="shared" si="419"/>
        <v>3.26747311827957</v>
      </c>
      <c r="L1060" s="192">
        <f t="shared" si="419"/>
        <v>5.099462365591398</v>
      </c>
      <c r="M1060" s="192">
        <f t="shared" si="419"/>
        <v>5.295698924731183</v>
      </c>
      <c r="N1060" s="192">
        <f t="shared" si="419"/>
        <v>1.7190860215053763</v>
      </c>
      <c r="O1060" s="192">
        <f t="shared" si="419"/>
        <v>2.025537634408602</v>
      </c>
      <c r="P1060" s="192">
        <f t="shared" si="419"/>
        <v>4.154569892473118</v>
      </c>
      <c r="Q1060" s="192">
        <f t="shared" si="419"/>
        <v>0.8911290322580645</v>
      </c>
      <c r="R1060" s="192">
        <f t="shared" si="419"/>
        <v>1.739247311827957</v>
      </c>
      <c r="S1060" s="312">
        <f t="shared" si="419"/>
        <v>2.110215053763441</v>
      </c>
      <c r="T1060" s="192">
        <f>+B1060+SUM(E1060:S1060)</f>
        <v>293.87292232762553</v>
      </c>
      <c r="U1060" s="192">
        <f t="shared" ref="U1060:U1071" si="420">+C1060+SUM(E1060:S1060)</f>
        <v>97.872922327625517</v>
      </c>
      <c r="V1060" s="192">
        <f>+B1060+SUM(E1060:G1060)</f>
        <v>250.75537634408602</v>
      </c>
      <c r="W1060" s="192">
        <f>+C1060+SUM(E1060:G1060)</f>
        <v>54.755376344086017</v>
      </c>
      <c r="X1060" s="192">
        <f>+H1060</f>
        <v>17.019338610589831</v>
      </c>
      <c r="Y1060" s="192">
        <f>+I1060</f>
        <v>-3.3695345625341919</v>
      </c>
      <c r="Z1060" s="192">
        <f>+SUM(J1060:S1060)</f>
        <v>29.467741935483868</v>
      </c>
      <c r="AC1060" s="4">
        <v>1</v>
      </c>
      <c r="AD1060" s="192">
        <f>IF($AF$1057=1,VLOOKUP($AD$1057,$A$1087:$P$1098,12,FALSE),VLOOKUP($AD$1057,$A$1060:$S$1071,2,FALSE))</f>
        <v>98</v>
      </c>
      <c r="AE1060" s="192">
        <f>VLOOKUP($AD$1057,$A$1060:$S$1071,5,FALSE)</f>
        <v>27.455357142857142</v>
      </c>
      <c r="AF1060" s="192">
        <f>VLOOKUP($AD$1057,$A$1060:$S$1071,6,FALSE)</f>
        <v>28.77827380952381</v>
      </c>
      <c r="AG1060" s="192">
        <f>VLOOKUP($AD$1057,$A$1060:$S$1071,7,FALSE)</f>
        <v>49.081845238095241</v>
      </c>
      <c r="AH1060" s="192">
        <f>VLOOKUP($AD$1057,$A$1060:$S$1071,8,FALSE)</f>
        <v>30.831581488574397</v>
      </c>
      <c r="AI1060" s="192">
        <f>VLOOKUP($AD$1057,$A$1060:$S$1071,10,FALSE)</f>
        <v>4.4836309523809526</v>
      </c>
      <c r="AJ1060" s="192">
        <f>VLOOKUP($AD$1057,$A$1060:$S$1071,11,FALSE)</f>
        <v>3.5193452380952377</v>
      </c>
      <c r="AK1060" s="192">
        <f>VLOOKUP($AD$1057,$A$1060:$S$1071,12,FALSE)</f>
        <v>5.4925595238095246</v>
      </c>
      <c r="AL1060" s="192">
        <f>VLOOKUP($AD$1057,$A$1060:$S$1071,13,FALSE)</f>
        <v>5.6949404761904754</v>
      </c>
      <c r="AM1060" s="192">
        <f>VLOOKUP($AD$1057,$A$1060:$S$1071,14,FALSE)</f>
        <v>1.4836309523809523</v>
      </c>
      <c r="AN1060" s="192">
        <f>VLOOKUP($AD$1057,$A$1060:$S$1071,15,FALSE)</f>
        <v>1.7470238095238095</v>
      </c>
      <c r="AO1060" s="192">
        <f>VLOOKUP($AD$1057,$A$1060:$S$1071,16,FALSE)</f>
        <v>3.4166666666666665</v>
      </c>
      <c r="AP1060" s="192">
        <f>VLOOKUP($AD$1057,$A$1060:$S$1071,17,FALSE)</f>
        <v>0.95833333333333337</v>
      </c>
      <c r="AQ1060" s="192">
        <f>VLOOKUP($AD$1057,$A$1060:$S$1071,18,FALSE)</f>
        <v>1.9255952380952381</v>
      </c>
      <c r="AR1060" s="192">
        <f>VLOOKUP($AD$1057,$A$1060:$S$1071,19,FALSE)</f>
        <v>2.2678571428571428</v>
      </c>
      <c r="AS1060" s="192">
        <f>SUM(AD1060:AR1060)</f>
        <v>265.13664101238396</v>
      </c>
      <c r="AT1060" s="192">
        <f>VLOOKUP($AD$1057,$AC$980:$AS$991,17,FALSE)/$AE$1057*(AS1060/$AS$1084)</f>
        <v>21.247609431977143</v>
      </c>
      <c r="AU1060" s="192">
        <f>AS1060+AT1060</f>
        <v>286.3842504443611</v>
      </c>
      <c r="AW1060" s="192">
        <f>VLOOKUP($AD$1057,$A$1008:$O$1021,15,FALSE)/$AE$1057/24</f>
        <v>383.45238095238096</v>
      </c>
      <c r="AX1060" s="192">
        <f>AU1060-AW1060</f>
        <v>-97.068130508019863</v>
      </c>
    </row>
    <row r="1061" spans="1:50" ht="15.75" customHeight="1" x14ac:dyDescent="0.3">
      <c r="A1061" s="211" t="s">
        <v>9</v>
      </c>
      <c r="B1061" s="211">
        <f t="shared" si="418"/>
        <v>98</v>
      </c>
      <c r="C1061" s="192">
        <f t="shared" si="418"/>
        <v>0</v>
      </c>
      <c r="D1061" s="312" t="s">
        <v>803</v>
      </c>
      <c r="E1061" s="192">
        <f t="shared" ref="E1061:S1061" si="421">+C981/$C$10/24</f>
        <v>27.455357142857142</v>
      </c>
      <c r="F1061" s="192">
        <f t="shared" si="421"/>
        <v>28.77827380952381</v>
      </c>
      <c r="G1061" s="192">
        <f t="shared" si="421"/>
        <v>49.081845238095241</v>
      </c>
      <c r="H1061" s="192">
        <f t="shared" si="421"/>
        <v>30.831581488574397</v>
      </c>
      <c r="I1061" s="192">
        <f t="shared" si="421"/>
        <v>0</v>
      </c>
      <c r="J1061" s="192">
        <f t="shared" si="421"/>
        <v>4.4836309523809526</v>
      </c>
      <c r="K1061" s="192">
        <f t="shared" si="421"/>
        <v>3.5193452380952377</v>
      </c>
      <c r="L1061" s="192">
        <f t="shared" si="421"/>
        <v>5.4925595238095246</v>
      </c>
      <c r="M1061" s="192">
        <f t="shared" si="421"/>
        <v>5.6949404761904754</v>
      </c>
      <c r="N1061" s="192">
        <f t="shared" si="421"/>
        <v>1.4836309523809523</v>
      </c>
      <c r="O1061" s="192">
        <f t="shared" si="421"/>
        <v>1.7470238095238095</v>
      </c>
      <c r="P1061" s="192">
        <f t="shared" si="421"/>
        <v>3.4166666666666665</v>
      </c>
      <c r="Q1061" s="192">
        <f t="shared" si="421"/>
        <v>0.95833333333333337</v>
      </c>
      <c r="R1061" s="192">
        <f t="shared" si="421"/>
        <v>1.9255952380952381</v>
      </c>
      <c r="S1061" s="312">
        <f t="shared" si="421"/>
        <v>2.2678571428571428</v>
      </c>
      <c r="T1061" s="192">
        <f t="shared" ref="T1061:T1071" si="422">+B1061+SUM(E1061:S1061)</f>
        <v>265.13664101238396</v>
      </c>
      <c r="U1061" s="192">
        <f t="shared" si="420"/>
        <v>167.13664101238393</v>
      </c>
      <c r="V1061" s="192">
        <f t="shared" ref="V1061:V1071" si="423">+B1061+SUM(E1061:G1061)</f>
        <v>203.3154761904762</v>
      </c>
      <c r="W1061" s="192">
        <f t="shared" ref="W1061:W1071" si="424">+C1061+SUM(E1061:G1061)</f>
        <v>105.31547619047619</v>
      </c>
      <c r="X1061" s="192">
        <f t="shared" ref="X1061:Y1071" si="425">+H1061</f>
        <v>30.831581488574397</v>
      </c>
      <c r="Y1061" s="192">
        <f t="shared" si="425"/>
        <v>0</v>
      </c>
      <c r="Z1061" s="192">
        <f t="shared" ref="Z1061:Z1071" si="426">+SUM(J1061:S1061)</f>
        <v>30.989583333333332</v>
      </c>
      <c r="AC1061" s="4">
        <v>2</v>
      </c>
      <c r="AD1061" s="192">
        <f t="shared" ref="AD1061:AD1065" si="427">IF($AF$1057=1,VLOOKUP($AD$1057,$A$1087:$P$1098,12,FALSE),VLOOKUP($AD$1057,$A$1060:$S$1071,2,FALSE))</f>
        <v>98</v>
      </c>
      <c r="AE1061" s="192">
        <f t="shared" ref="AE1061:AE1083" si="428">VLOOKUP($AD$1057,$A$1060:$S$1071,5,FALSE)</f>
        <v>27.455357142857142</v>
      </c>
      <c r="AF1061" s="192">
        <f t="shared" ref="AF1061:AF1083" si="429">VLOOKUP($AD$1057,$A$1060:$S$1071,6,FALSE)</f>
        <v>28.77827380952381</v>
      </c>
      <c r="AG1061" s="192">
        <f t="shared" ref="AG1061:AG1083" si="430">VLOOKUP($AD$1057,$A$1060:$S$1071,7,FALSE)</f>
        <v>49.081845238095241</v>
      </c>
      <c r="AH1061" s="192">
        <f t="shared" ref="AH1061:AH1083" si="431">VLOOKUP($AD$1057,$A$1060:$S$1071,8,FALSE)</f>
        <v>30.831581488574397</v>
      </c>
      <c r="AI1061" s="192">
        <f t="shared" ref="AI1061:AI1083" si="432">VLOOKUP($AD$1057,$A$1060:$S$1071,10,FALSE)</f>
        <v>4.4836309523809526</v>
      </c>
      <c r="AJ1061" s="192">
        <f t="shared" ref="AJ1061:AJ1083" si="433">VLOOKUP($AD$1057,$A$1060:$S$1071,11,FALSE)</f>
        <v>3.5193452380952377</v>
      </c>
      <c r="AK1061" s="192">
        <f t="shared" ref="AK1061:AK1083" si="434">VLOOKUP($AD$1057,$A$1060:$S$1071,12,FALSE)</f>
        <v>5.4925595238095246</v>
      </c>
      <c r="AL1061" s="192">
        <f t="shared" ref="AL1061:AL1083" si="435">VLOOKUP($AD$1057,$A$1060:$S$1071,13,FALSE)</f>
        <v>5.6949404761904754</v>
      </c>
      <c r="AM1061" s="192">
        <f t="shared" ref="AM1061:AM1083" si="436">VLOOKUP($AD$1057,$A$1060:$S$1071,14,FALSE)</f>
        <v>1.4836309523809523</v>
      </c>
      <c r="AN1061" s="192">
        <f t="shared" ref="AN1061:AN1083" si="437">VLOOKUP($AD$1057,$A$1060:$S$1071,15,FALSE)</f>
        <v>1.7470238095238095</v>
      </c>
      <c r="AO1061" s="192">
        <f t="shared" ref="AO1061:AO1083" si="438">VLOOKUP($AD$1057,$A$1060:$S$1071,16,FALSE)</f>
        <v>3.4166666666666665</v>
      </c>
      <c r="AP1061" s="192">
        <f t="shared" ref="AP1061:AP1083" si="439">VLOOKUP($AD$1057,$A$1060:$S$1071,17,FALSE)</f>
        <v>0.95833333333333337</v>
      </c>
      <c r="AQ1061" s="192">
        <f t="shared" ref="AQ1061:AQ1083" si="440">VLOOKUP($AD$1057,$A$1060:$S$1071,18,FALSE)</f>
        <v>1.9255952380952381</v>
      </c>
      <c r="AR1061" s="192">
        <f t="shared" ref="AR1061:AR1083" si="441">VLOOKUP($AD$1057,$A$1060:$S$1071,19,FALSE)</f>
        <v>2.2678571428571428</v>
      </c>
      <c r="AS1061" s="192">
        <f t="shared" ref="AS1061:AS1083" si="442">SUM(AD1061:AR1061)</f>
        <v>265.13664101238396</v>
      </c>
      <c r="AT1061" s="192">
        <f t="shared" ref="AT1061:AT1083" si="443">VLOOKUP($AD$1057,$AC$980:$AS$991,17,FALSE)/$AE$1057*(AS1061/$AS$1084)</f>
        <v>21.247609431977143</v>
      </c>
      <c r="AU1061" s="192">
        <f t="shared" ref="AU1061:AU1083" si="444">AS1061+AT1061</f>
        <v>286.3842504443611</v>
      </c>
      <c r="AW1061" s="192">
        <f t="shared" ref="AW1061:AW1083" si="445">VLOOKUP($AD$1057,$A$1008:$O$1021,15,FALSE)/$AE$1057/24</f>
        <v>383.45238095238096</v>
      </c>
      <c r="AX1061" s="192">
        <f t="shared" ref="AX1061:AX1083" si="446">AU1061-AW1061</f>
        <v>-97.068130508019863</v>
      </c>
    </row>
    <row r="1062" spans="1:50" ht="15.75" customHeight="1" x14ac:dyDescent="0.3">
      <c r="A1062" s="211" t="s">
        <v>10</v>
      </c>
      <c r="B1062" s="211">
        <f t="shared" si="418"/>
        <v>294</v>
      </c>
      <c r="C1062" s="192">
        <f t="shared" si="418"/>
        <v>0</v>
      </c>
      <c r="D1062" s="312" t="s">
        <v>803</v>
      </c>
      <c r="E1062" s="192">
        <f t="shared" ref="E1062:S1062" si="447">+C982/$D$10/24</f>
        <v>13.522849462365592</v>
      </c>
      <c r="F1062" s="192">
        <f t="shared" si="447"/>
        <v>14.14247311827957</v>
      </c>
      <c r="G1062" s="192">
        <f t="shared" si="447"/>
        <v>23.594086021505376</v>
      </c>
      <c r="H1062" s="192">
        <f t="shared" si="447"/>
        <v>1.7843850082229759E-2</v>
      </c>
      <c r="I1062" s="192">
        <f t="shared" si="447"/>
        <v>-2.5809368694848959E-2</v>
      </c>
      <c r="J1062" s="192">
        <f t="shared" si="447"/>
        <v>7.303763440860215</v>
      </c>
      <c r="K1062" s="192">
        <f t="shared" si="447"/>
        <v>5.165322580645161</v>
      </c>
      <c r="L1062" s="192">
        <f t="shared" si="447"/>
        <v>7.1895161290322589</v>
      </c>
      <c r="M1062" s="192">
        <f t="shared" si="447"/>
        <v>7.2405913978494629</v>
      </c>
      <c r="N1062" s="192">
        <f t="shared" si="447"/>
        <v>1.98252688172043</v>
      </c>
      <c r="O1062" s="192">
        <f t="shared" si="447"/>
        <v>2.3346774193548385</v>
      </c>
      <c r="P1062" s="192">
        <f t="shared" si="447"/>
        <v>4.577956989247312</v>
      </c>
      <c r="Q1062" s="192">
        <f t="shared" si="447"/>
        <v>0.83467741935483863</v>
      </c>
      <c r="R1062" s="192">
        <f t="shared" si="447"/>
        <v>2.1733870967741935</v>
      </c>
      <c r="S1062" s="312">
        <f t="shared" si="447"/>
        <v>1.971774193548387</v>
      </c>
      <c r="T1062" s="192">
        <f t="shared" si="422"/>
        <v>386.02563663192501</v>
      </c>
      <c r="U1062" s="192">
        <f t="shared" si="420"/>
        <v>92.025636631924996</v>
      </c>
      <c r="V1062" s="192">
        <f t="shared" si="423"/>
        <v>345.25940860215053</v>
      </c>
      <c r="W1062" s="192">
        <f t="shared" si="424"/>
        <v>51.259408602150536</v>
      </c>
      <c r="X1062" s="192">
        <f t="shared" si="425"/>
        <v>1.7843850082229759E-2</v>
      </c>
      <c r="Y1062" s="192">
        <f t="shared" si="425"/>
        <v>-2.5809368694848959E-2</v>
      </c>
      <c r="Z1062" s="192">
        <f t="shared" si="426"/>
        <v>40.774193548387096</v>
      </c>
      <c r="AC1062" s="4">
        <v>3</v>
      </c>
      <c r="AD1062" s="192">
        <f t="shared" si="427"/>
        <v>98</v>
      </c>
      <c r="AE1062" s="192">
        <f t="shared" si="428"/>
        <v>27.455357142857142</v>
      </c>
      <c r="AF1062" s="192">
        <f t="shared" si="429"/>
        <v>28.77827380952381</v>
      </c>
      <c r="AG1062" s="192">
        <f t="shared" si="430"/>
        <v>49.081845238095241</v>
      </c>
      <c r="AH1062" s="192">
        <f t="shared" si="431"/>
        <v>30.831581488574397</v>
      </c>
      <c r="AI1062" s="192">
        <f t="shared" si="432"/>
        <v>4.4836309523809526</v>
      </c>
      <c r="AJ1062" s="192">
        <f t="shared" si="433"/>
        <v>3.5193452380952377</v>
      </c>
      <c r="AK1062" s="192">
        <f t="shared" si="434"/>
        <v>5.4925595238095246</v>
      </c>
      <c r="AL1062" s="192">
        <f t="shared" si="435"/>
        <v>5.6949404761904754</v>
      </c>
      <c r="AM1062" s="192">
        <f t="shared" si="436"/>
        <v>1.4836309523809523</v>
      </c>
      <c r="AN1062" s="192">
        <f t="shared" si="437"/>
        <v>1.7470238095238095</v>
      </c>
      <c r="AO1062" s="192">
        <f t="shared" si="438"/>
        <v>3.4166666666666665</v>
      </c>
      <c r="AP1062" s="192">
        <f t="shared" si="439"/>
        <v>0.95833333333333337</v>
      </c>
      <c r="AQ1062" s="192">
        <f t="shared" si="440"/>
        <v>1.9255952380952381</v>
      </c>
      <c r="AR1062" s="192">
        <f t="shared" si="441"/>
        <v>2.2678571428571428</v>
      </c>
      <c r="AS1062" s="192">
        <f t="shared" si="442"/>
        <v>265.13664101238396</v>
      </c>
      <c r="AT1062" s="192">
        <f t="shared" si="443"/>
        <v>21.247609431977143</v>
      </c>
      <c r="AU1062" s="192">
        <f t="shared" si="444"/>
        <v>286.3842504443611</v>
      </c>
      <c r="AW1062" s="192">
        <f t="shared" si="445"/>
        <v>383.45238095238096</v>
      </c>
      <c r="AX1062" s="192">
        <f t="shared" si="446"/>
        <v>-97.068130508019863</v>
      </c>
    </row>
    <row r="1063" spans="1:50" ht="15.75" customHeight="1" x14ac:dyDescent="0.3">
      <c r="A1063" s="211" t="s">
        <v>12</v>
      </c>
      <c r="B1063" s="211">
        <f t="shared" si="418"/>
        <v>294</v>
      </c>
      <c r="C1063" s="192">
        <f t="shared" si="418"/>
        <v>0</v>
      </c>
      <c r="D1063" s="312" t="s">
        <v>803</v>
      </c>
      <c r="E1063" s="192">
        <f t="shared" ref="E1063:S1063" si="448">+C983/$F$10/24</f>
        <v>24.958333333333332</v>
      </c>
      <c r="F1063" s="192">
        <f t="shared" si="448"/>
        <v>26.123611111111114</v>
      </c>
      <c r="G1063" s="192">
        <f t="shared" si="448"/>
        <v>43.218055555555559</v>
      </c>
      <c r="H1063" s="192">
        <f t="shared" si="448"/>
        <v>3.292192060535307</v>
      </c>
      <c r="I1063" s="192">
        <f t="shared" si="448"/>
        <v>-2.8633531789469693</v>
      </c>
      <c r="J1063" s="192">
        <f t="shared" si="448"/>
        <v>14.693055555555555</v>
      </c>
      <c r="K1063" s="192">
        <f t="shared" si="448"/>
        <v>9.4222222222222225</v>
      </c>
      <c r="L1063" s="192">
        <f t="shared" si="448"/>
        <v>11.047222222222222</v>
      </c>
      <c r="M1063" s="192">
        <f t="shared" si="448"/>
        <v>10.137500000000001</v>
      </c>
      <c r="N1063" s="192">
        <f t="shared" si="448"/>
        <v>2.8611111111111112</v>
      </c>
      <c r="O1063" s="192">
        <f t="shared" si="448"/>
        <v>3.369444444444444</v>
      </c>
      <c r="P1063" s="192">
        <f t="shared" si="448"/>
        <v>6.7374999999999998</v>
      </c>
      <c r="Q1063" s="192">
        <f t="shared" si="448"/>
        <v>0.96111111111111114</v>
      </c>
      <c r="R1063" s="192">
        <f t="shared" si="448"/>
        <v>2.6958333333333333</v>
      </c>
      <c r="S1063" s="312">
        <f t="shared" si="448"/>
        <v>2.2736111111111112</v>
      </c>
      <c r="T1063" s="192">
        <f t="shared" si="422"/>
        <v>452.92744999269945</v>
      </c>
      <c r="U1063" s="192">
        <f t="shared" si="420"/>
        <v>158.92744999269945</v>
      </c>
      <c r="V1063" s="192">
        <f t="shared" si="423"/>
        <v>388.3</v>
      </c>
      <c r="W1063" s="192">
        <f t="shared" si="424"/>
        <v>94.300000000000011</v>
      </c>
      <c r="X1063" s="192">
        <f t="shared" si="425"/>
        <v>3.292192060535307</v>
      </c>
      <c r="Y1063" s="192">
        <f t="shared" si="425"/>
        <v>-2.8633531789469693</v>
      </c>
      <c r="Z1063" s="192">
        <f t="shared" si="426"/>
        <v>64.19861111111112</v>
      </c>
      <c r="AC1063" s="4">
        <v>4</v>
      </c>
      <c r="AD1063" s="192">
        <f t="shared" si="427"/>
        <v>98</v>
      </c>
      <c r="AE1063" s="192">
        <f t="shared" si="428"/>
        <v>27.455357142857142</v>
      </c>
      <c r="AF1063" s="192">
        <f t="shared" si="429"/>
        <v>28.77827380952381</v>
      </c>
      <c r="AG1063" s="192">
        <f t="shared" si="430"/>
        <v>49.081845238095241</v>
      </c>
      <c r="AH1063" s="192">
        <f t="shared" si="431"/>
        <v>30.831581488574397</v>
      </c>
      <c r="AI1063" s="192">
        <f t="shared" si="432"/>
        <v>4.4836309523809526</v>
      </c>
      <c r="AJ1063" s="192">
        <f t="shared" si="433"/>
        <v>3.5193452380952377</v>
      </c>
      <c r="AK1063" s="192">
        <f t="shared" si="434"/>
        <v>5.4925595238095246</v>
      </c>
      <c r="AL1063" s="192">
        <f t="shared" si="435"/>
        <v>5.6949404761904754</v>
      </c>
      <c r="AM1063" s="192">
        <f t="shared" si="436"/>
        <v>1.4836309523809523</v>
      </c>
      <c r="AN1063" s="192">
        <f t="shared" si="437"/>
        <v>1.7470238095238095</v>
      </c>
      <c r="AO1063" s="192">
        <f t="shared" si="438"/>
        <v>3.4166666666666665</v>
      </c>
      <c r="AP1063" s="192">
        <f t="shared" si="439"/>
        <v>0.95833333333333337</v>
      </c>
      <c r="AQ1063" s="192">
        <f t="shared" si="440"/>
        <v>1.9255952380952381</v>
      </c>
      <c r="AR1063" s="192">
        <f t="shared" si="441"/>
        <v>2.2678571428571428</v>
      </c>
      <c r="AS1063" s="192">
        <f t="shared" si="442"/>
        <v>265.13664101238396</v>
      </c>
      <c r="AT1063" s="192">
        <f t="shared" si="443"/>
        <v>21.247609431977143</v>
      </c>
      <c r="AU1063" s="192">
        <f t="shared" si="444"/>
        <v>286.3842504443611</v>
      </c>
      <c r="AW1063" s="192">
        <f t="shared" si="445"/>
        <v>383.45238095238096</v>
      </c>
      <c r="AX1063" s="192">
        <f t="shared" si="446"/>
        <v>-97.068130508019863</v>
      </c>
    </row>
    <row r="1064" spans="1:50" ht="15.75" customHeight="1" x14ac:dyDescent="0.3">
      <c r="A1064" s="211" t="s">
        <v>13</v>
      </c>
      <c r="B1064" s="211">
        <f t="shared" si="418"/>
        <v>294</v>
      </c>
      <c r="C1064" s="192">
        <f t="shared" si="418"/>
        <v>0</v>
      </c>
      <c r="D1064" s="312" t="s">
        <v>803</v>
      </c>
      <c r="E1064" s="192">
        <f t="shared" ref="E1064:S1064" si="449">+C984/$G$10/24</f>
        <v>24.986559139784944</v>
      </c>
      <c r="F1064" s="192">
        <f t="shared" si="449"/>
        <v>26.146505376344084</v>
      </c>
      <c r="G1064" s="192">
        <f t="shared" si="449"/>
        <v>43.241935483870968</v>
      </c>
      <c r="H1064" s="192">
        <f t="shared" si="449"/>
        <v>5.3225765366447133</v>
      </c>
      <c r="I1064" s="192">
        <f t="shared" si="449"/>
        <v>-3.2084460408364941</v>
      </c>
      <c r="J1064" s="192">
        <f t="shared" si="449"/>
        <v>12.575268817204302</v>
      </c>
      <c r="K1064" s="192">
        <f t="shared" si="449"/>
        <v>7.557795698924731</v>
      </c>
      <c r="L1064" s="192">
        <f t="shared" si="449"/>
        <v>10.151881720430108</v>
      </c>
      <c r="M1064" s="192">
        <f t="shared" si="449"/>
        <v>9.491935483870968</v>
      </c>
      <c r="N1064" s="192">
        <f t="shared" si="449"/>
        <v>2.7620967741935485</v>
      </c>
      <c r="O1064" s="192">
        <f t="shared" si="449"/>
        <v>3.2526881720430105</v>
      </c>
      <c r="P1064" s="192">
        <f t="shared" si="449"/>
        <v>6.669354838709677</v>
      </c>
      <c r="Q1064" s="192">
        <f t="shared" si="449"/>
        <v>1.043010752688172</v>
      </c>
      <c r="R1064" s="192">
        <f t="shared" si="449"/>
        <v>3.064516129032258</v>
      </c>
      <c r="S1064" s="312">
        <f t="shared" si="449"/>
        <v>2.4368279569892475</v>
      </c>
      <c r="T1064" s="192">
        <f t="shared" si="422"/>
        <v>449.49450683989426</v>
      </c>
      <c r="U1064" s="192">
        <f t="shared" si="420"/>
        <v>155.49450683989423</v>
      </c>
      <c r="V1064" s="192">
        <f t="shared" si="423"/>
        <v>388.375</v>
      </c>
      <c r="W1064" s="192">
        <f t="shared" si="424"/>
        <v>94.375</v>
      </c>
      <c r="X1064" s="192">
        <f t="shared" si="425"/>
        <v>5.3225765366447133</v>
      </c>
      <c r="Y1064" s="192">
        <f t="shared" si="425"/>
        <v>-3.2084460408364941</v>
      </c>
      <c r="Z1064" s="192">
        <f t="shared" si="426"/>
        <v>59.005376344086031</v>
      </c>
      <c r="AC1064" s="4">
        <v>5</v>
      </c>
      <c r="AD1064" s="192">
        <f t="shared" si="427"/>
        <v>98</v>
      </c>
      <c r="AE1064" s="192">
        <f t="shared" si="428"/>
        <v>27.455357142857142</v>
      </c>
      <c r="AF1064" s="192">
        <f t="shared" si="429"/>
        <v>28.77827380952381</v>
      </c>
      <c r="AG1064" s="192">
        <f t="shared" si="430"/>
        <v>49.081845238095241</v>
      </c>
      <c r="AH1064" s="192">
        <f t="shared" si="431"/>
        <v>30.831581488574397</v>
      </c>
      <c r="AI1064" s="192">
        <f t="shared" si="432"/>
        <v>4.4836309523809526</v>
      </c>
      <c r="AJ1064" s="192">
        <f t="shared" si="433"/>
        <v>3.5193452380952377</v>
      </c>
      <c r="AK1064" s="192">
        <f t="shared" si="434"/>
        <v>5.4925595238095246</v>
      </c>
      <c r="AL1064" s="192">
        <f t="shared" si="435"/>
        <v>5.6949404761904754</v>
      </c>
      <c r="AM1064" s="192">
        <f t="shared" si="436"/>
        <v>1.4836309523809523</v>
      </c>
      <c r="AN1064" s="192">
        <f t="shared" si="437"/>
        <v>1.7470238095238095</v>
      </c>
      <c r="AO1064" s="192">
        <f t="shared" si="438"/>
        <v>3.4166666666666665</v>
      </c>
      <c r="AP1064" s="192">
        <f t="shared" si="439"/>
        <v>0.95833333333333337</v>
      </c>
      <c r="AQ1064" s="192">
        <f t="shared" si="440"/>
        <v>1.9255952380952381</v>
      </c>
      <c r="AR1064" s="192">
        <f t="shared" si="441"/>
        <v>2.2678571428571428</v>
      </c>
      <c r="AS1064" s="192">
        <f t="shared" si="442"/>
        <v>265.13664101238396</v>
      </c>
      <c r="AT1064" s="192">
        <f t="shared" si="443"/>
        <v>21.247609431977143</v>
      </c>
      <c r="AU1064" s="192">
        <f t="shared" si="444"/>
        <v>286.3842504443611</v>
      </c>
      <c r="AW1064" s="192">
        <f t="shared" si="445"/>
        <v>383.45238095238096</v>
      </c>
      <c r="AX1064" s="192">
        <f t="shared" si="446"/>
        <v>-97.068130508019863</v>
      </c>
    </row>
    <row r="1065" spans="1:50" ht="15.75" customHeight="1" x14ac:dyDescent="0.3">
      <c r="A1065" s="211" t="s">
        <v>14</v>
      </c>
      <c r="B1065" s="211">
        <f t="shared" si="418"/>
        <v>147</v>
      </c>
      <c r="C1065" s="192">
        <f t="shared" si="418"/>
        <v>0</v>
      </c>
      <c r="D1065" s="312" t="str">
        <f>H1092</f>
        <v>n/a</v>
      </c>
      <c r="E1065" s="192">
        <f t="shared" ref="E1065:S1065" si="450">+C985/$H$10/24</f>
        <v>18.030555555555555</v>
      </c>
      <c r="F1065" s="192">
        <f t="shared" si="450"/>
        <v>18.845833333333335</v>
      </c>
      <c r="G1065" s="192">
        <f t="shared" si="450"/>
        <v>30.211111111111112</v>
      </c>
      <c r="H1065" s="192">
        <f t="shared" si="450"/>
        <v>0.42272885469863541</v>
      </c>
      <c r="I1065" s="192">
        <f t="shared" si="450"/>
        <v>-16.618129448212333</v>
      </c>
      <c r="J1065" s="192">
        <f t="shared" si="450"/>
        <v>17.145833333333332</v>
      </c>
      <c r="K1065" s="192">
        <f t="shared" si="450"/>
        <v>10.1625</v>
      </c>
      <c r="L1065" s="192">
        <f t="shared" si="450"/>
        <v>11.799999999999999</v>
      </c>
      <c r="M1065" s="192">
        <f t="shared" si="450"/>
        <v>10.4375</v>
      </c>
      <c r="N1065" s="192">
        <f t="shared" si="450"/>
        <v>3.005555555555556</v>
      </c>
      <c r="O1065" s="192">
        <f t="shared" si="450"/>
        <v>3.5388888888888892</v>
      </c>
      <c r="P1065" s="192">
        <f t="shared" si="450"/>
        <v>7.0125000000000002</v>
      </c>
      <c r="Q1065" s="192">
        <f t="shared" si="450"/>
        <v>1.1583333333333334</v>
      </c>
      <c r="R1065" s="192">
        <f t="shared" si="450"/>
        <v>3.2347222222222225</v>
      </c>
      <c r="S1065" s="312">
        <f t="shared" si="450"/>
        <v>2.7375000000000003</v>
      </c>
      <c r="T1065" s="192">
        <f t="shared" si="422"/>
        <v>268.12543273981964</v>
      </c>
      <c r="U1065" s="192">
        <f t="shared" si="420"/>
        <v>121.12543273981963</v>
      </c>
      <c r="V1065" s="192">
        <f t="shared" si="423"/>
        <v>214.08750000000001</v>
      </c>
      <c r="W1065" s="192">
        <f t="shared" si="424"/>
        <v>67.087500000000006</v>
      </c>
      <c r="X1065" s="192">
        <f t="shared" si="425"/>
        <v>0.42272885469863541</v>
      </c>
      <c r="Y1065" s="192">
        <f t="shared" si="425"/>
        <v>-16.618129448212333</v>
      </c>
      <c r="Z1065" s="192">
        <f t="shared" si="426"/>
        <v>70.23333333333332</v>
      </c>
      <c r="AC1065" s="4">
        <v>6</v>
      </c>
      <c r="AD1065" s="192">
        <f t="shared" si="427"/>
        <v>98</v>
      </c>
      <c r="AE1065" s="192">
        <f t="shared" si="428"/>
        <v>27.455357142857142</v>
      </c>
      <c r="AF1065" s="192">
        <f t="shared" si="429"/>
        <v>28.77827380952381</v>
      </c>
      <c r="AG1065" s="192">
        <f t="shared" si="430"/>
        <v>49.081845238095241</v>
      </c>
      <c r="AH1065" s="192">
        <f t="shared" si="431"/>
        <v>30.831581488574397</v>
      </c>
      <c r="AI1065" s="192">
        <f t="shared" si="432"/>
        <v>4.4836309523809526</v>
      </c>
      <c r="AJ1065" s="192">
        <f t="shared" si="433"/>
        <v>3.5193452380952377</v>
      </c>
      <c r="AK1065" s="192">
        <f t="shared" si="434"/>
        <v>5.4925595238095246</v>
      </c>
      <c r="AL1065" s="192">
        <f t="shared" si="435"/>
        <v>5.6949404761904754</v>
      </c>
      <c r="AM1065" s="192">
        <f t="shared" si="436"/>
        <v>1.4836309523809523</v>
      </c>
      <c r="AN1065" s="192">
        <f t="shared" si="437"/>
        <v>1.7470238095238095</v>
      </c>
      <c r="AO1065" s="192">
        <f t="shared" si="438"/>
        <v>3.4166666666666665</v>
      </c>
      <c r="AP1065" s="192">
        <f t="shared" si="439"/>
        <v>0.95833333333333337</v>
      </c>
      <c r="AQ1065" s="192">
        <f t="shared" si="440"/>
        <v>1.9255952380952381</v>
      </c>
      <c r="AR1065" s="192">
        <f t="shared" si="441"/>
        <v>2.2678571428571428</v>
      </c>
      <c r="AS1065" s="192">
        <f t="shared" si="442"/>
        <v>265.13664101238396</v>
      </c>
      <c r="AT1065" s="192">
        <f t="shared" si="443"/>
        <v>21.247609431977143</v>
      </c>
      <c r="AU1065" s="192">
        <f t="shared" si="444"/>
        <v>286.3842504443611</v>
      </c>
      <c r="AW1065" s="192">
        <f t="shared" si="445"/>
        <v>383.45238095238096</v>
      </c>
      <c r="AX1065" s="192">
        <f t="shared" si="446"/>
        <v>-97.068130508019863</v>
      </c>
    </row>
    <row r="1066" spans="1:50" ht="15.75" customHeight="1" x14ac:dyDescent="0.3">
      <c r="A1066" s="211" t="s">
        <v>16</v>
      </c>
      <c r="B1066" s="211">
        <f t="shared" si="418"/>
        <v>147</v>
      </c>
      <c r="C1066" s="192">
        <f t="shared" si="418"/>
        <v>0</v>
      </c>
      <c r="D1066" s="312" t="str">
        <f>H1093</f>
        <v>n/a</v>
      </c>
      <c r="E1066" s="192">
        <f t="shared" ref="E1066:S1066" si="451">+C986/$J$10/24</f>
        <v>15.969086021505376</v>
      </c>
      <c r="F1066" s="192">
        <f t="shared" si="451"/>
        <v>16.686827956989248</v>
      </c>
      <c r="G1066" s="192">
        <f t="shared" si="451"/>
        <v>26.217741935483872</v>
      </c>
      <c r="H1066" s="192">
        <f t="shared" si="451"/>
        <v>0</v>
      </c>
      <c r="I1066" s="192">
        <f t="shared" si="451"/>
        <v>-15.667458763577983</v>
      </c>
      <c r="J1066" s="192">
        <f t="shared" si="451"/>
        <v>17.14516129032258</v>
      </c>
      <c r="K1066" s="192">
        <f t="shared" si="451"/>
        <v>11.190860215053762</v>
      </c>
      <c r="L1066" s="192">
        <f t="shared" si="451"/>
        <v>12.33736559139785</v>
      </c>
      <c r="M1066" s="192">
        <f t="shared" si="451"/>
        <v>10.611559139784946</v>
      </c>
      <c r="N1066" s="192">
        <f t="shared" si="451"/>
        <v>3.0752688172043015</v>
      </c>
      <c r="O1066" s="192">
        <f t="shared" si="451"/>
        <v>3.6236559139784945</v>
      </c>
      <c r="P1066" s="192">
        <f t="shared" si="451"/>
        <v>7.19489247311828</v>
      </c>
      <c r="Q1066" s="192">
        <f t="shared" si="451"/>
        <v>1.1478494623655913</v>
      </c>
      <c r="R1066" s="192">
        <f t="shared" si="451"/>
        <v>2.8266129032258065</v>
      </c>
      <c r="S1066" s="312">
        <f t="shared" si="451"/>
        <v>2.71505376344086</v>
      </c>
      <c r="T1066" s="192">
        <f t="shared" si="422"/>
        <v>262.07447672029298</v>
      </c>
      <c r="U1066" s="192">
        <f t="shared" si="420"/>
        <v>115.07447672029298</v>
      </c>
      <c r="V1066" s="192">
        <f t="shared" si="423"/>
        <v>205.8736559139785</v>
      </c>
      <c r="W1066" s="192">
        <f t="shared" si="424"/>
        <v>58.873655913978496</v>
      </c>
      <c r="X1066" s="192">
        <f t="shared" si="425"/>
        <v>0</v>
      </c>
      <c r="Y1066" s="192">
        <f t="shared" si="425"/>
        <v>-15.667458763577983</v>
      </c>
      <c r="Z1066" s="192">
        <f t="shared" si="426"/>
        <v>71.868279569892479</v>
      </c>
      <c r="AC1066" s="4">
        <v>7</v>
      </c>
      <c r="AD1066" s="192">
        <f>IF($AF$1057=1,VLOOKUP($AD$1057,$A$1087:$P$1098,12,FALSE),IF(OR($AD$1057="JAN",$AD$1057="FEB",$AD$1057="NOV",$AD$1057="DEC"),VLOOKUP($AD$1057,$A$1060:$S$1071,2,FALSE),VLOOKUP($AD$1057,$A$1060:$S$1071,3,FALSE)))</f>
        <v>98</v>
      </c>
      <c r="AE1066" s="192">
        <f t="shared" si="428"/>
        <v>27.455357142857142</v>
      </c>
      <c r="AF1066" s="192">
        <f t="shared" si="429"/>
        <v>28.77827380952381</v>
      </c>
      <c r="AG1066" s="192">
        <f t="shared" si="430"/>
        <v>49.081845238095241</v>
      </c>
      <c r="AH1066" s="192">
        <f t="shared" si="431"/>
        <v>30.831581488574397</v>
      </c>
      <c r="AI1066" s="192">
        <f t="shared" si="432"/>
        <v>4.4836309523809526</v>
      </c>
      <c r="AJ1066" s="192">
        <f t="shared" si="433"/>
        <v>3.5193452380952377</v>
      </c>
      <c r="AK1066" s="192">
        <f t="shared" si="434"/>
        <v>5.4925595238095246</v>
      </c>
      <c r="AL1066" s="192">
        <f t="shared" si="435"/>
        <v>5.6949404761904754</v>
      </c>
      <c r="AM1066" s="192">
        <f t="shared" si="436"/>
        <v>1.4836309523809523</v>
      </c>
      <c r="AN1066" s="192">
        <f t="shared" si="437"/>
        <v>1.7470238095238095</v>
      </c>
      <c r="AO1066" s="192">
        <f t="shared" si="438"/>
        <v>3.4166666666666665</v>
      </c>
      <c r="AP1066" s="192">
        <f t="shared" si="439"/>
        <v>0.95833333333333337</v>
      </c>
      <c r="AQ1066" s="192">
        <f t="shared" si="440"/>
        <v>1.9255952380952381</v>
      </c>
      <c r="AR1066" s="192">
        <f t="shared" si="441"/>
        <v>2.2678571428571428</v>
      </c>
      <c r="AS1066" s="192">
        <f t="shared" si="442"/>
        <v>265.13664101238396</v>
      </c>
      <c r="AT1066" s="192">
        <f t="shared" si="443"/>
        <v>21.247609431977143</v>
      </c>
      <c r="AU1066" s="192">
        <f t="shared" si="444"/>
        <v>286.3842504443611</v>
      </c>
      <c r="AW1066" s="192">
        <f t="shared" si="445"/>
        <v>383.45238095238096</v>
      </c>
      <c r="AX1066" s="192">
        <f t="shared" si="446"/>
        <v>-97.068130508019863</v>
      </c>
    </row>
    <row r="1067" spans="1:50" ht="15.75" customHeight="1" x14ac:dyDescent="0.3">
      <c r="A1067" s="211" t="s">
        <v>17</v>
      </c>
      <c r="B1067" s="211">
        <f t="shared" si="418"/>
        <v>147</v>
      </c>
      <c r="C1067" s="192">
        <f t="shared" si="418"/>
        <v>0</v>
      </c>
      <c r="D1067" s="312" t="str">
        <f>H1094</f>
        <v>n/a</v>
      </c>
      <c r="E1067" s="192">
        <f t="shared" ref="E1067:S1067" si="452">+C987/$K$10/24</f>
        <v>16.991935483870968</v>
      </c>
      <c r="F1067" s="192">
        <f t="shared" si="452"/>
        <v>17.772849462365592</v>
      </c>
      <c r="G1067" s="192">
        <f t="shared" si="452"/>
        <v>27.993279569892476</v>
      </c>
      <c r="H1067" s="192">
        <f t="shared" si="452"/>
        <v>6.6698144885842343E-3</v>
      </c>
      <c r="I1067" s="192">
        <f t="shared" si="452"/>
        <v>-10.247646205662289</v>
      </c>
      <c r="J1067" s="192">
        <f t="shared" si="452"/>
        <v>16.275537634408604</v>
      </c>
      <c r="K1067" s="192">
        <f t="shared" si="452"/>
        <v>11.491935483870968</v>
      </c>
      <c r="L1067" s="192">
        <f t="shared" si="452"/>
        <v>12.547043010752688</v>
      </c>
      <c r="M1067" s="192">
        <f t="shared" si="452"/>
        <v>10.44220430107527</v>
      </c>
      <c r="N1067" s="192">
        <f t="shared" si="452"/>
        <v>2.974462365591398</v>
      </c>
      <c r="O1067" s="192">
        <f t="shared" si="452"/>
        <v>3.504032258064516</v>
      </c>
      <c r="P1067" s="192">
        <f t="shared" si="452"/>
        <v>6.8091397849462361</v>
      </c>
      <c r="Q1067" s="192">
        <f t="shared" si="452"/>
        <v>1.0833333333333333</v>
      </c>
      <c r="R1067" s="192">
        <f t="shared" si="452"/>
        <v>2.6088709677419355</v>
      </c>
      <c r="S1067" s="312">
        <f t="shared" si="452"/>
        <v>2.5618279569892475</v>
      </c>
      <c r="T1067" s="192">
        <f t="shared" si="422"/>
        <v>269.81547522172951</v>
      </c>
      <c r="U1067" s="192">
        <f t="shared" si="420"/>
        <v>122.81547522172953</v>
      </c>
      <c r="V1067" s="192">
        <f t="shared" si="423"/>
        <v>209.75806451612902</v>
      </c>
      <c r="W1067" s="192">
        <f t="shared" si="424"/>
        <v>62.758064516129039</v>
      </c>
      <c r="X1067" s="192">
        <f t="shared" si="425"/>
        <v>6.6698144885842343E-3</v>
      </c>
      <c r="Y1067" s="192">
        <f t="shared" si="425"/>
        <v>-10.247646205662289</v>
      </c>
      <c r="Z1067" s="192">
        <f t="shared" si="426"/>
        <v>70.298387096774192</v>
      </c>
      <c r="AC1067" s="4">
        <v>8</v>
      </c>
      <c r="AD1067" s="192">
        <f>IF($AF$1057=1,VLOOKUP($AD$1057,$A$1087:$P$1098,12,FALSE),VLOOKUP($AD$1057,$A$1060:$S$1071,3,FALSE))</f>
        <v>0</v>
      </c>
      <c r="AE1067" s="192">
        <f t="shared" si="428"/>
        <v>27.455357142857142</v>
      </c>
      <c r="AF1067" s="192">
        <f t="shared" si="429"/>
        <v>28.77827380952381</v>
      </c>
      <c r="AG1067" s="192">
        <f t="shared" si="430"/>
        <v>49.081845238095241</v>
      </c>
      <c r="AH1067" s="192">
        <f t="shared" si="431"/>
        <v>30.831581488574397</v>
      </c>
      <c r="AI1067" s="192">
        <f t="shared" si="432"/>
        <v>4.4836309523809526</v>
      </c>
      <c r="AJ1067" s="192">
        <f t="shared" si="433"/>
        <v>3.5193452380952377</v>
      </c>
      <c r="AK1067" s="192">
        <f t="shared" si="434"/>
        <v>5.4925595238095246</v>
      </c>
      <c r="AL1067" s="192">
        <f t="shared" si="435"/>
        <v>5.6949404761904754</v>
      </c>
      <c r="AM1067" s="192">
        <f t="shared" si="436"/>
        <v>1.4836309523809523</v>
      </c>
      <c r="AN1067" s="192">
        <f t="shared" si="437"/>
        <v>1.7470238095238095</v>
      </c>
      <c r="AO1067" s="192">
        <f t="shared" si="438"/>
        <v>3.4166666666666665</v>
      </c>
      <c r="AP1067" s="192">
        <f t="shared" si="439"/>
        <v>0.95833333333333337</v>
      </c>
      <c r="AQ1067" s="192">
        <f t="shared" si="440"/>
        <v>1.9255952380952381</v>
      </c>
      <c r="AR1067" s="192">
        <f t="shared" si="441"/>
        <v>2.2678571428571428</v>
      </c>
      <c r="AS1067" s="192">
        <f t="shared" si="442"/>
        <v>167.13664101238393</v>
      </c>
      <c r="AT1067" s="192">
        <f t="shared" si="443"/>
        <v>13.394052426868587</v>
      </c>
      <c r="AU1067" s="192">
        <f t="shared" si="444"/>
        <v>180.53069343925253</v>
      </c>
      <c r="AW1067" s="192">
        <f t="shared" si="445"/>
        <v>383.45238095238096</v>
      </c>
      <c r="AX1067" s="192">
        <f t="shared" si="446"/>
        <v>-202.92168751312843</v>
      </c>
    </row>
    <row r="1068" spans="1:50" ht="15.75" customHeight="1" x14ac:dyDescent="0.3">
      <c r="A1068" s="211" t="s">
        <v>18</v>
      </c>
      <c r="B1068" s="211">
        <f t="shared" si="418"/>
        <v>245</v>
      </c>
      <c r="C1068" s="192">
        <f t="shared" si="418"/>
        <v>0</v>
      </c>
      <c r="D1068" s="312" t="s">
        <v>803</v>
      </c>
      <c r="E1068" s="192">
        <f t="shared" ref="E1068:S1068" si="453">+C988/$L$10/24</f>
        <v>27.038888888888888</v>
      </c>
      <c r="F1068" s="192">
        <f t="shared" si="453"/>
        <v>28.31527777777778</v>
      </c>
      <c r="G1068" s="192">
        <f t="shared" si="453"/>
        <v>46.848611111111104</v>
      </c>
      <c r="H1068" s="192">
        <f t="shared" si="453"/>
        <v>7.3258898930207685</v>
      </c>
      <c r="I1068" s="192">
        <f t="shared" si="453"/>
        <v>0</v>
      </c>
      <c r="J1068" s="192">
        <f t="shared" si="453"/>
        <v>10.791666666666666</v>
      </c>
      <c r="K1068" s="192">
        <f t="shared" si="453"/>
        <v>6.6291666666666664</v>
      </c>
      <c r="L1068" s="192">
        <f t="shared" si="453"/>
        <v>7.906944444444445</v>
      </c>
      <c r="M1068" s="192">
        <f t="shared" si="453"/>
        <v>6.8819444444444438</v>
      </c>
      <c r="N1068" s="192">
        <f t="shared" si="453"/>
        <v>2.4416666666666669</v>
      </c>
      <c r="O1068" s="192">
        <f t="shared" si="453"/>
        <v>2.875</v>
      </c>
      <c r="P1068" s="192">
        <f t="shared" si="453"/>
        <v>5.7041666666666666</v>
      </c>
      <c r="Q1068" s="192">
        <f t="shared" si="453"/>
        <v>1.0694444444444444</v>
      </c>
      <c r="R1068" s="192">
        <f t="shared" si="453"/>
        <v>2.4708333333333332</v>
      </c>
      <c r="S1068" s="312">
        <f t="shared" si="453"/>
        <v>2.5277777777777777</v>
      </c>
      <c r="T1068" s="192">
        <f t="shared" si="422"/>
        <v>403.82727878190968</v>
      </c>
      <c r="U1068" s="192">
        <f t="shared" si="420"/>
        <v>158.82727878190968</v>
      </c>
      <c r="V1068" s="192">
        <f t="shared" si="423"/>
        <v>347.20277777777778</v>
      </c>
      <c r="W1068" s="192">
        <f t="shared" si="424"/>
        <v>102.20277777777778</v>
      </c>
      <c r="X1068" s="192">
        <f t="shared" si="425"/>
        <v>7.3258898930207685</v>
      </c>
      <c r="Y1068" s="192">
        <f t="shared" si="425"/>
        <v>0</v>
      </c>
      <c r="Z1068" s="192">
        <f t="shared" si="426"/>
        <v>49.298611111111114</v>
      </c>
      <c r="AC1068" s="4">
        <v>9</v>
      </c>
      <c r="AD1068" s="192">
        <f>IF($AF$1057=1,VLOOKUP($AD$1057,$A$1087:$P$1098,12,FALSE),VLOOKUP($AD$1057,$A$1060:$S$1071,3,FALSE))</f>
        <v>0</v>
      </c>
      <c r="AE1068" s="192">
        <f t="shared" si="428"/>
        <v>27.455357142857142</v>
      </c>
      <c r="AF1068" s="192">
        <f t="shared" si="429"/>
        <v>28.77827380952381</v>
      </c>
      <c r="AG1068" s="192">
        <f t="shared" si="430"/>
        <v>49.081845238095241</v>
      </c>
      <c r="AH1068" s="192">
        <f t="shared" si="431"/>
        <v>30.831581488574397</v>
      </c>
      <c r="AI1068" s="192">
        <f t="shared" si="432"/>
        <v>4.4836309523809526</v>
      </c>
      <c r="AJ1068" s="192">
        <f t="shared" si="433"/>
        <v>3.5193452380952377</v>
      </c>
      <c r="AK1068" s="192">
        <f t="shared" si="434"/>
        <v>5.4925595238095246</v>
      </c>
      <c r="AL1068" s="192">
        <f t="shared" si="435"/>
        <v>5.6949404761904754</v>
      </c>
      <c r="AM1068" s="192">
        <f t="shared" si="436"/>
        <v>1.4836309523809523</v>
      </c>
      <c r="AN1068" s="192">
        <f t="shared" si="437"/>
        <v>1.7470238095238095</v>
      </c>
      <c r="AO1068" s="192">
        <f t="shared" si="438"/>
        <v>3.4166666666666665</v>
      </c>
      <c r="AP1068" s="192">
        <f t="shared" si="439"/>
        <v>0.95833333333333337</v>
      </c>
      <c r="AQ1068" s="192">
        <f t="shared" si="440"/>
        <v>1.9255952380952381</v>
      </c>
      <c r="AR1068" s="192">
        <f t="shared" si="441"/>
        <v>2.2678571428571428</v>
      </c>
      <c r="AS1068" s="192">
        <f t="shared" si="442"/>
        <v>167.13664101238393</v>
      </c>
      <c r="AT1068" s="192">
        <f t="shared" si="443"/>
        <v>13.394052426868587</v>
      </c>
      <c r="AU1068" s="192">
        <f t="shared" si="444"/>
        <v>180.53069343925253</v>
      </c>
      <c r="AW1068" s="192">
        <f t="shared" si="445"/>
        <v>383.45238095238096</v>
      </c>
      <c r="AX1068" s="192">
        <f t="shared" si="446"/>
        <v>-202.92168751312843</v>
      </c>
    </row>
    <row r="1069" spans="1:50" ht="15.75" customHeight="1" x14ac:dyDescent="0.3">
      <c r="A1069" s="211" t="s">
        <v>20</v>
      </c>
      <c r="B1069" s="211">
        <f t="shared" si="418"/>
        <v>245</v>
      </c>
      <c r="C1069" s="192">
        <f t="shared" si="418"/>
        <v>0</v>
      </c>
      <c r="D1069" s="312" t="s">
        <v>803</v>
      </c>
      <c r="E1069" s="192">
        <f t="shared" ref="E1069:S1069" si="454">+C989/$N$10/24</f>
        <v>24.498655913978496</v>
      </c>
      <c r="F1069" s="192">
        <f t="shared" si="454"/>
        <v>25.655913978494624</v>
      </c>
      <c r="G1069" s="192">
        <f t="shared" si="454"/>
        <v>42.327956989247312</v>
      </c>
      <c r="H1069" s="192">
        <f t="shared" si="454"/>
        <v>8.8198569670132354</v>
      </c>
      <c r="I1069" s="192">
        <f t="shared" si="454"/>
        <v>0</v>
      </c>
      <c r="J1069" s="192">
        <f t="shared" si="454"/>
        <v>9.413978494623656</v>
      </c>
      <c r="K1069" s="192">
        <f t="shared" si="454"/>
        <v>4.6948924731182791</v>
      </c>
      <c r="L1069" s="192">
        <f t="shared" si="454"/>
        <v>5.998655913978495</v>
      </c>
      <c r="M1069" s="192">
        <f t="shared" si="454"/>
        <v>5.75</v>
      </c>
      <c r="N1069" s="192">
        <f t="shared" si="454"/>
        <v>2.1129032258064515</v>
      </c>
      <c r="O1069" s="192">
        <f t="shared" si="454"/>
        <v>2.4879032258064515</v>
      </c>
      <c r="P1069" s="192">
        <f t="shared" si="454"/>
        <v>4.877688172043011</v>
      </c>
      <c r="Q1069" s="192">
        <f t="shared" si="454"/>
        <v>0.967741935483871</v>
      </c>
      <c r="R1069" s="192">
        <f t="shared" si="454"/>
        <v>2.1733870967741935</v>
      </c>
      <c r="S1069" s="312">
        <f t="shared" si="454"/>
        <v>2.2903225806451615</v>
      </c>
      <c r="T1069" s="192">
        <f t="shared" si="422"/>
        <v>387.06985696701327</v>
      </c>
      <c r="U1069" s="192">
        <f t="shared" si="420"/>
        <v>142.06985696701327</v>
      </c>
      <c r="V1069" s="192">
        <f t="shared" si="423"/>
        <v>337.48252688172045</v>
      </c>
      <c r="W1069" s="192">
        <f t="shared" si="424"/>
        <v>92.482526881720432</v>
      </c>
      <c r="X1069" s="192">
        <f t="shared" si="425"/>
        <v>8.8198569670132354</v>
      </c>
      <c r="Y1069" s="192">
        <f t="shared" si="425"/>
        <v>0</v>
      </c>
      <c r="Z1069" s="192">
        <f t="shared" si="426"/>
        <v>40.767473118279568</v>
      </c>
      <c r="AC1069" s="4">
        <v>10</v>
      </c>
      <c r="AD1069" s="192">
        <f>IF($AF$1057=1,VLOOKUP($AD$1057,$A$1087:$P$1098,12,FALSE),VLOOKUP($AD$1057,$A$1060:$S$1071,3,FALSE))</f>
        <v>0</v>
      </c>
      <c r="AE1069" s="192">
        <f t="shared" si="428"/>
        <v>27.455357142857142</v>
      </c>
      <c r="AF1069" s="192">
        <f t="shared" si="429"/>
        <v>28.77827380952381</v>
      </c>
      <c r="AG1069" s="192">
        <f t="shared" si="430"/>
        <v>49.081845238095241</v>
      </c>
      <c r="AH1069" s="192">
        <f t="shared" si="431"/>
        <v>30.831581488574397</v>
      </c>
      <c r="AI1069" s="192">
        <f t="shared" si="432"/>
        <v>4.4836309523809526</v>
      </c>
      <c r="AJ1069" s="192">
        <f t="shared" si="433"/>
        <v>3.5193452380952377</v>
      </c>
      <c r="AK1069" s="192">
        <f t="shared" si="434"/>
        <v>5.4925595238095246</v>
      </c>
      <c r="AL1069" s="192">
        <f t="shared" si="435"/>
        <v>5.6949404761904754</v>
      </c>
      <c r="AM1069" s="192">
        <f t="shared" si="436"/>
        <v>1.4836309523809523</v>
      </c>
      <c r="AN1069" s="192">
        <f t="shared" si="437"/>
        <v>1.7470238095238095</v>
      </c>
      <c r="AO1069" s="192">
        <f t="shared" si="438"/>
        <v>3.4166666666666665</v>
      </c>
      <c r="AP1069" s="192">
        <f t="shared" si="439"/>
        <v>0.95833333333333337</v>
      </c>
      <c r="AQ1069" s="192">
        <f t="shared" si="440"/>
        <v>1.9255952380952381</v>
      </c>
      <c r="AR1069" s="192">
        <f t="shared" si="441"/>
        <v>2.2678571428571428</v>
      </c>
      <c r="AS1069" s="192">
        <f t="shared" si="442"/>
        <v>167.13664101238393</v>
      </c>
      <c r="AT1069" s="192">
        <f t="shared" si="443"/>
        <v>13.394052426868587</v>
      </c>
      <c r="AU1069" s="192">
        <f t="shared" si="444"/>
        <v>180.53069343925253</v>
      </c>
      <c r="AW1069" s="192">
        <f t="shared" si="445"/>
        <v>383.45238095238096</v>
      </c>
      <c r="AX1069" s="192">
        <f t="shared" si="446"/>
        <v>-202.92168751312843</v>
      </c>
    </row>
    <row r="1070" spans="1:50" ht="15.75" customHeight="1" x14ac:dyDescent="0.3">
      <c r="A1070" s="211" t="s">
        <v>21</v>
      </c>
      <c r="B1070" s="211">
        <f t="shared" si="418"/>
        <v>245</v>
      </c>
      <c r="C1070" s="192">
        <f t="shared" si="418"/>
        <v>0</v>
      </c>
      <c r="D1070" s="312" t="s">
        <v>803</v>
      </c>
      <c r="E1070" s="192">
        <f t="shared" ref="E1070:S1070" si="455">+C990/$O$10/24</f>
        <v>20.693055555555556</v>
      </c>
      <c r="F1070" s="192">
        <f t="shared" si="455"/>
        <v>21.669444444444448</v>
      </c>
      <c r="G1070" s="192">
        <f t="shared" si="455"/>
        <v>36.522222222222219</v>
      </c>
      <c r="H1070" s="192">
        <f t="shared" si="455"/>
        <v>24.506443656670069</v>
      </c>
      <c r="I1070" s="192">
        <f t="shared" si="455"/>
        <v>-0.25531300566014398</v>
      </c>
      <c r="J1070" s="192">
        <f t="shared" si="455"/>
        <v>0.86944444444444446</v>
      </c>
      <c r="K1070" s="192">
        <f t="shared" si="455"/>
        <v>0.26805555555555555</v>
      </c>
      <c r="L1070" s="192">
        <f t="shared" si="455"/>
        <v>0.41111111111111115</v>
      </c>
      <c r="M1070" s="192">
        <f t="shared" si="455"/>
        <v>0.40277777777777773</v>
      </c>
      <c r="N1070" s="192">
        <f t="shared" si="455"/>
        <v>0.14583333333333334</v>
      </c>
      <c r="O1070" s="192">
        <f t="shared" si="455"/>
        <v>0.16805555555555554</v>
      </c>
      <c r="P1070" s="192">
        <f t="shared" si="455"/>
        <v>0.28333333333333333</v>
      </c>
      <c r="Q1070" s="192">
        <f t="shared" si="455"/>
        <v>0.20833333333333334</v>
      </c>
      <c r="R1070" s="192">
        <f t="shared" si="455"/>
        <v>2.0222222222222221</v>
      </c>
      <c r="S1070" s="312">
        <f t="shared" si="455"/>
        <v>0.49305555555555558</v>
      </c>
      <c r="T1070" s="192">
        <f t="shared" si="422"/>
        <v>353.40807509545436</v>
      </c>
      <c r="U1070" s="192">
        <f t="shared" si="420"/>
        <v>108.40807509545435</v>
      </c>
      <c r="V1070" s="192">
        <f t="shared" si="423"/>
        <v>323.88472222222219</v>
      </c>
      <c r="W1070" s="192">
        <f t="shared" si="424"/>
        <v>78.884722222222223</v>
      </c>
      <c r="X1070" s="192">
        <f t="shared" si="425"/>
        <v>24.506443656670069</v>
      </c>
      <c r="Y1070" s="192">
        <f t="shared" si="425"/>
        <v>-0.25531300566014398</v>
      </c>
      <c r="Z1070" s="192">
        <f t="shared" si="426"/>
        <v>5.2722222222222221</v>
      </c>
      <c r="AC1070" s="4">
        <v>11</v>
      </c>
      <c r="AD1070" s="192">
        <f>IF($AF$1057=1,VLOOKUP($AD$1057,$A$1087:$P$1098,12,FALSE),VLOOKUP($AD$1057,$A$1060:$S$1071,3,FALSE))</f>
        <v>0</v>
      </c>
      <c r="AE1070" s="192">
        <f t="shared" si="428"/>
        <v>27.455357142857142</v>
      </c>
      <c r="AF1070" s="192">
        <f t="shared" si="429"/>
        <v>28.77827380952381</v>
      </c>
      <c r="AG1070" s="192">
        <f t="shared" si="430"/>
        <v>49.081845238095241</v>
      </c>
      <c r="AH1070" s="192">
        <f t="shared" si="431"/>
        <v>30.831581488574397</v>
      </c>
      <c r="AI1070" s="192">
        <f t="shared" si="432"/>
        <v>4.4836309523809526</v>
      </c>
      <c r="AJ1070" s="192">
        <f t="shared" si="433"/>
        <v>3.5193452380952377</v>
      </c>
      <c r="AK1070" s="192">
        <f t="shared" si="434"/>
        <v>5.4925595238095246</v>
      </c>
      <c r="AL1070" s="192">
        <f t="shared" si="435"/>
        <v>5.6949404761904754</v>
      </c>
      <c r="AM1070" s="192">
        <f t="shared" si="436"/>
        <v>1.4836309523809523</v>
      </c>
      <c r="AN1070" s="192">
        <f t="shared" si="437"/>
        <v>1.7470238095238095</v>
      </c>
      <c r="AO1070" s="192">
        <f t="shared" si="438"/>
        <v>3.4166666666666665</v>
      </c>
      <c r="AP1070" s="192">
        <f t="shared" si="439"/>
        <v>0.95833333333333337</v>
      </c>
      <c r="AQ1070" s="192">
        <f t="shared" si="440"/>
        <v>1.9255952380952381</v>
      </c>
      <c r="AR1070" s="192">
        <f t="shared" si="441"/>
        <v>2.2678571428571428</v>
      </c>
      <c r="AS1070" s="192">
        <f t="shared" si="442"/>
        <v>167.13664101238393</v>
      </c>
      <c r="AT1070" s="192">
        <f t="shared" si="443"/>
        <v>13.394052426868587</v>
      </c>
      <c r="AU1070" s="192">
        <f t="shared" si="444"/>
        <v>180.53069343925253</v>
      </c>
      <c r="AW1070" s="192">
        <f t="shared" si="445"/>
        <v>383.45238095238096</v>
      </c>
      <c r="AX1070" s="192">
        <f t="shared" si="446"/>
        <v>-202.92168751312843</v>
      </c>
    </row>
    <row r="1071" spans="1:50" ht="15.75" customHeight="1" thickBot="1" x14ac:dyDescent="0.35">
      <c r="A1071" s="220" t="s">
        <v>22</v>
      </c>
      <c r="B1071" s="220">
        <f t="shared" si="418"/>
        <v>245</v>
      </c>
      <c r="C1071" s="206">
        <f t="shared" si="418"/>
        <v>0</v>
      </c>
      <c r="D1071" s="272" t="s">
        <v>803</v>
      </c>
      <c r="E1071" s="206">
        <f t="shared" ref="E1071:S1071" si="456">+C991/$P$10/24</f>
        <v>12.090053763440862</v>
      </c>
      <c r="F1071" s="206">
        <f t="shared" si="456"/>
        <v>12.653225806451614</v>
      </c>
      <c r="G1071" s="206">
        <f t="shared" si="456"/>
        <v>20.71505376344086</v>
      </c>
      <c r="H1071" s="206">
        <f t="shared" si="456"/>
        <v>6.1471567077599891</v>
      </c>
      <c r="I1071" s="206">
        <f t="shared" si="456"/>
        <v>0</v>
      </c>
      <c r="J1071" s="206">
        <f t="shared" si="456"/>
        <v>4.3481182795698929</v>
      </c>
      <c r="K1071" s="206">
        <f t="shared" si="456"/>
        <v>1.5672043010752688</v>
      </c>
      <c r="L1071" s="206">
        <f t="shared" si="456"/>
        <v>2.3521505376344085</v>
      </c>
      <c r="M1071" s="206">
        <f t="shared" si="456"/>
        <v>2.4166666666666665</v>
      </c>
      <c r="N1071" s="206">
        <f t="shared" si="456"/>
        <v>0.56182795698924737</v>
      </c>
      <c r="O1071" s="206">
        <f t="shared" si="456"/>
        <v>0.65994623655913975</v>
      </c>
      <c r="P1071" s="206">
        <f t="shared" si="456"/>
        <v>1.3239247311827957</v>
      </c>
      <c r="Q1071" s="206">
        <f t="shared" si="456"/>
        <v>4.0322580645161289E-3</v>
      </c>
      <c r="R1071" s="206">
        <f t="shared" si="456"/>
        <v>1.739247311827957</v>
      </c>
      <c r="S1071" s="272">
        <f t="shared" si="456"/>
        <v>8.0645161290322578E-3</v>
      </c>
      <c r="T1071" s="192">
        <f t="shared" si="422"/>
        <v>311.58667283679222</v>
      </c>
      <c r="U1071" s="192">
        <f t="shared" si="420"/>
        <v>66.586672836792246</v>
      </c>
      <c r="V1071" s="192">
        <f t="shared" si="423"/>
        <v>290.45833333333331</v>
      </c>
      <c r="W1071" s="192">
        <f t="shared" si="424"/>
        <v>45.458333333333336</v>
      </c>
      <c r="X1071" s="192">
        <f t="shared" si="425"/>
        <v>6.1471567077599891</v>
      </c>
      <c r="Y1071" s="192">
        <f t="shared" si="425"/>
        <v>0</v>
      </c>
      <c r="Z1071" s="192">
        <f t="shared" si="426"/>
        <v>14.981182795698924</v>
      </c>
      <c r="AC1071" s="4">
        <v>12</v>
      </c>
      <c r="AD1071" s="192">
        <f>IF($AF$1057=1,VLOOKUP($AD$1057,$A$1087:$P$1098,12,FALSE),VLOOKUP($AD$1057,$A$1060:$S$1071,3,FALSE))</f>
        <v>0</v>
      </c>
      <c r="AE1071" s="192">
        <f t="shared" si="428"/>
        <v>27.455357142857142</v>
      </c>
      <c r="AF1071" s="192">
        <f t="shared" si="429"/>
        <v>28.77827380952381</v>
      </c>
      <c r="AG1071" s="192">
        <f t="shared" si="430"/>
        <v>49.081845238095241</v>
      </c>
      <c r="AH1071" s="192">
        <f t="shared" si="431"/>
        <v>30.831581488574397</v>
      </c>
      <c r="AI1071" s="192">
        <f t="shared" si="432"/>
        <v>4.4836309523809526</v>
      </c>
      <c r="AJ1071" s="192">
        <f t="shared" si="433"/>
        <v>3.5193452380952377</v>
      </c>
      <c r="AK1071" s="192">
        <f t="shared" si="434"/>
        <v>5.4925595238095246</v>
      </c>
      <c r="AL1071" s="192">
        <f t="shared" si="435"/>
        <v>5.6949404761904754</v>
      </c>
      <c r="AM1071" s="192">
        <f t="shared" si="436"/>
        <v>1.4836309523809523</v>
      </c>
      <c r="AN1071" s="192">
        <f t="shared" si="437"/>
        <v>1.7470238095238095</v>
      </c>
      <c r="AO1071" s="192">
        <f t="shared" si="438"/>
        <v>3.4166666666666665</v>
      </c>
      <c r="AP1071" s="192">
        <f t="shared" si="439"/>
        <v>0.95833333333333337</v>
      </c>
      <c r="AQ1071" s="192">
        <f t="shared" si="440"/>
        <v>1.9255952380952381</v>
      </c>
      <c r="AR1071" s="192">
        <f t="shared" si="441"/>
        <v>2.2678571428571428</v>
      </c>
      <c r="AS1071" s="192">
        <f t="shared" si="442"/>
        <v>167.13664101238393</v>
      </c>
      <c r="AT1071" s="192">
        <f t="shared" si="443"/>
        <v>13.394052426868587</v>
      </c>
      <c r="AU1071" s="192">
        <f t="shared" si="444"/>
        <v>180.53069343925253</v>
      </c>
      <c r="AW1071" s="192">
        <f t="shared" si="445"/>
        <v>383.45238095238096</v>
      </c>
      <c r="AX1071" s="192">
        <f t="shared" si="446"/>
        <v>-202.92168751312843</v>
      </c>
    </row>
    <row r="1072" spans="1:50" ht="15.75" customHeight="1" x14ac:dyDescent="0.3">
      <c r="A1072" s="260"/>
      <c r="AC1072" s="4">
        <v>13</v>
      </c>
      <c r="AD1072" s="192">
        <f>IF($AF$1057=1,VLOOKUP($AD$1057,$A$1087:$P$1098,12,FALSE),IF(OR($AD$1057="JUN",$AD$1057="JUL",$AD$1057="AUG"),VLOOKUP($AD$1057,$A$1060:$S$1071,4,FALSE),VLOOKUP($AD$1057,$A$1060:$S$1071,3,FALSE)))</f>
        <v>0</v>
      </c>
      <c r="AE1072" s="192">
        <f t="shared" si="428"/>
        <v>27.455357142857142</v>
      </c>
      <c r="AF1072" s="192">
        <f t="shared" si="429"/>
        <v>28.77827380952381</v>
      </c>
      <c r="AG1072" s="192">
        <f t="shared" si="430"/>
        <v>49.081845238095241</v>
      </c>
      <c r="AH1072" s="192">
        <f t="shared" si="431"/>
        <v>30.831581488574397</v>
      </c>
      <c r="AI1072" s="192">
        <f t="shared" si="432"/>
        <v>4.4836309523809526</v>
      </c>
      <c r="AJ1072" s="192">
        <f t="shared" si="433"/>
        <v>3.5193452380952377</v>
      </c>
      <c r="AK1072" s="192">
        <f t="shared" si="434"/>
        <v>5.4925595238095246</v>
      </c>
      <c r="AL1072" s="192">
        <f t="shared" si="435"/>
        <v>5.6949404761904754</v>
      </c>
      <c r="AM1072" s="192">
        <f t="shared" si="436"/>
        <v>1.4836309523809523</v>
      </c>
      <c r="AN1072" s="192">
        <f t="shared" si="437"/>
        <v>1.7470238095238095</v>
      </c>
      <c r="AO1072" s="192">
        <f t="shared" si="438"/>
        <v>3.4166666666666665</v>
      </c>
      <c r="AP1072" s="192">
        <f t="shared" si="439"/>
        <v>0.95833333333333337</v>
      </c>
      <c r="AQ1072" s="192">
        <f t="shared" si="440"/>
        <v>1.9255952380952381</v>
      </c>
      <c r="AR1072" s="192">
        <f t="shared" si="441"/>
        <v>2.2678571428571428</v>
      </c>
      <c r="AS1072" s="192">
        <f t="shared" si="442"/>
        <v>167.13664101238393</v>
      </c>
      <c r="AT1072" s="192">
        <f t="shared" si="443"/>
        <v>13.394052426868587</v>
      </c>
      <c r="AU1072" s="192">
        <f t="shared" si="444"/>
        <v>180.53069343925253</v>
      </c>
      <c r="AW1072" s="192">
        <f t="shared" si="445"/>
        <v>383.45238095238096</v>
      </c>
      <c r="AX1072" s="192">
        <f t="shared" si="446"/>
        <v>-202.92168751312843</v>
      </c>
    </row>
    <row r="1073" spans="1:50" ht="27.75" customHeight="1" x14ac:dyDescent="0.3">
      <c r="A1073" s="260" t="s">
        <v>804</v>
      </c>
      <c r="AC1073" s="4">
        <v>14</v>
      </c>
      <c r="AD1073" s="192">
        <f t="shared" ref="AD1073:AD1079" si="457">IF($AF$1057=1,VLOOKUP($AD$1057,$A$1087:$P$1098,12,FALSE),IF(OR($AD$1057="JUN",$AD$1057="JUL",$AD$1057="AUG"),VLOOKUP($AD$1057,$A$1060:$S$1071,4,FALSE),VLOOKUP($AD$1057,$A$1060:$S$1071,3,FALSE)))</f>
        <v>0</v>
      </c>
      <c r="AE1073" s="192">
        <f t="shared" si="428"/>
        <v>27.455357142857142</v>
      </c>
      <c r="AF1073" s="192">
        <f t="shared" si="429"/>
        <v>28.77827380952381</v>
      </c>
      <c r="AG1073" s="192">
        <f t="shared" si="430"/>
        <v>49.081845238095241</v>
      </c>
      <c r="AH1073" s="192">
        <f t="shared" si="431"/>
        <v>30.831581488574397</v>
      </c>
      <c r="AI1073" s="192">
        <f t="shared" si="432"/>
        <v>4.4836309523809526</v>
      </c>
      <c r="AJ1073" s="192">
        <f t="shared" si="433"/>
        <v>3.5193452380952377</v>
      </c>
      <c r="AK1073" s="192">
        <f t="shared" si="434"/>
        <v>5.4925595238095246</v>
      </c>
      <c r="AL1073" s="192">
        <f t="shared" si="435"/>
        <v>5.6949404761904754</v>
      </c>
      <c r="AM1073" s="192">
        <f t="shared" si="436"/>
        <v>1.4836309523809523</v>
      </c>
      <c r="AN1073" s="192">
        <f t="shared" si="437"/>
        <v>1.7470238095238095</v>
      </c>
      <c r="AO1073" s="192">
        <f t="shared" si="438"/>
        <v>3.4166666666666665</v>
      </c>
      <c r="AP1073" s="192">
        <f t="shared" si="439"/>
        <v>0.95833333333333337</v>
      </c>
      <c r="AQ1073" s="192">
        <f t="shared" si="440"/>
        <v>1.9255952380952381</v>
      </c>
      <c r="AR1073" s="192">
        <f t="shared" si="441"/>
        <v>2.2678571428571428</v>
      </c>
      <c r="AS1073" s="192">
        <f t="shared" si="442"/>
        <v>167.13664101238393</v>
      </c>
      <c r="AT1073" s="192">
        <f t="shared" si="443"/>
        <v>13.394052426868587</v>
      </c>
      <c r="AU1073" s="192">
        <f t="shared" si="444"/>
        <v>180.53069343925253</v>
      </c>
      <c r="AW1073" s="192">
        <f t="shared" si="445"/>
        <v>383.45238095238096</v>
      </c>
      <c r="AX1073" s="192">
        <f t="shared" si="446"/>
        <v>-202.92168751312843</v>
      </c>
    </row>
    <row r="1074" spans="1:50" ht="15.75" customHeight="1" x14ac:dyDescent="0.3">
      <c r="A1074" s="260"/>
      <c r="AC1074" s="4">
        <v>15</v>
      </c>
      <c r="AD1074" s="192">
        <f t="shared" si="457"/>
        <v>0</v>
      </c>
      <c r="AE1074" s="192">
        <f t="shared" si="428"/>
        <v>27.455357142857142</v>
      </c>
      <c r="AF1074" s="192">
        <f t="shared" si="429"/>
        <v>28.77827380952381</v>
      </c>
      <c r="AG1074" s="192">
        <f t="shared" si="430"/>
        <v>49.081845238095241</v>
      </c>
      <c r="AH1074" s="192">
        <f t="shared" si="431"/>
        <v>30.831581488574397</v>
      </c>
      <c r="AI1074" s="192">
        <f t="shared" si="432"/>
        <v>4.4836309523809526</v>
      </c>
      <c r="AJ1074" s="192">
        <f t="shared" si="433"/>
        <v>3.5193452380952377</v>
      </c>
      <c r="AK1074" s="192">
        <f t="shared" si="434"/>
        <v>5.4925595238095246</v>
      </c>
      <c r="AL1074" s="192">
        <f t="shared" si="435"/>
        <v>5.6949404761904754</v>
      </c>
      <c r="AM1074" s="192">
        <f t="shared" si="436"/>
        <v>1.4836309523809523</v>
      </c>
      <c r="AN1074" s="192">
        <f t="shared" si="437"/>
        <v>1.7470238095238095</v>
      </c>
      <c r="AO1074" s="192">
        <f t="shared" si="438"/>
        <v>3.4166666666666665</v>
      </c>
      <c r="AP1074" s="192">
        <f t="shared" si="439"/>
        <v>0.95833333333333337</v>
      </c>
      <c r="AQ1074" s="192">
        <f t="shared" si="440"/>
        <v>1.9255952380952381</v>
      </c>
      <c r="AR1074" s="192">
        <f t="shared" si="441"/>
        <v>2.2678571428571428</v>
      </c>
      <c r="AS1074" s="192">
        <f t="shared" si="442"/>
        <v>167.13664101238393</v>
      </c>
      <c r="AT1074" s="192">
        <f t="shared" si="443"/>
        <v>13.394052426868587</v>
      </c>
      <c r="AU1074" s="192">
        <f t="shared" si="444"/>
        <v>180.53069343925253</v>
      </c>
      <c r="AW1074" s="192">
        <f t="shared" si="445"/>
        <v>383.45238095238096</v>
      </c>
      <c r="AX1074" s="192">
        <f t="shared" si="446"/>
        <v>-202.92168751312843</v>
      </c>
    </row>
    <row r="1075" spans="1:50" ht="15.75" customHeight="1" x14ac:dyDescent="0.3">
      <c r="A1075" s="260"/>
      <c r="AC1075" s="4">
        <v>16</v>
      </c>
      <c r="AD1075" s="192">
        <f t="shared" si="457"/>
        <v>0</v>
      </c>
      <c r="AE1075" s="192">
        <f t="shared" si="428"/>
        <v>27.455357142857142</v>
      </c>
      <c r="AF1075" s="192">
        <f t="shared" si="429"/>
        <v>28.77827380952381</v>
      </c>
      <c r="AG1075" s="192">
        <f t="shared" si="430"/>
        <v>49.081845238095241</v>
      </c>
      <c r="AH1075" s="192">
        <f t="shared" si="431"/>
        <v>30.831581488574397</v>
      </c>
      <c r="AI1075" s="192">
        <f t="shared" si="432"/>
        <v>4.4836309523809526</v>
      </c>
      <c r="AJ1075" s="192">
        <f t="shared" si="433"/>
        <v>3.5193452380952377</v>
      </c>
      <c r="AK1075" s="192">
        <f t="shared" si="434"/>
        <v>5.4925595238095246</v>
      </c>
      <c r="AL1075" s="192">
        <f t="shared" si="435"/>
        <v>5.6949404761904754</v>
      </c>
      <c r="AM1075" s="192">
        <f t="shared" si="436"/>
        <v>1.4836309523809523</v>
      </c>
      <c r="AN1075" s="192">
        <f t="shared" si="437"/>
        <v>1.7470238095238095</v>
      </c>
      <c r="AO1075" s="192">
        <f t="shared" si="438"/>
        <v>3.4166666666666665</v>
      </c>
      <c r="AP1075" s="192">
        <f t="shared" si="439"/>
        <v>0.95833333333333337</v>
      </c>
      <c r="AQ1075" s="192">
        <f t="shared" si="440"/>
        <v>1.9255952380952381</v>
      </c>
      <c r="AR1075" s="192">
        <f t="shared" si="441"/>
        <v>2.2678571428571428</v>
      </c>
      <c r="AS1075" s="192">
        <f t="shared" si="442"/>
        <v>167.13664101238393</v>
      </c>
      <c r="AT1075" s="192">
        <f t="shared" si="443"/>
        <v>13.394052426868587</v>
      </c>
      <c r="AU1075" s="192">
        <f t="shared" si="444"/>
        <v>180.53069343925253</v>
      </c>
      <c r="AW1075" s="192">
        <f t="shared" si="445"/>
        <v>383.45238095238096</v>
      </c>
      <c r="AX1075" s="192">
        <f t="shared" si="446"/>
        <v>-202.92168751312843</v>
      </c>
    </row>
    <row r="1076" spans="1:50" ht="15.75" customHeight="1" thickBot="1" x14ac:dyDescent="0.35">
      <c r="A1076" s="260"/>
      <c r="AC1076" s="4">
        <v>17</v>
      </c>
      <c r="AD1076" s="192">
        <f t="shared" si="457"/>
        <v>0</v>
      </c>
      <c r="AE1076" s="192">
        <f t="shared" si="428"/>
        <v>27.455357142857142</v>
      </c>
      <c r="AF1076" s="192">
        <f t="shared" si="429"/>
        <v>28.77827380952381</v>
      </c>
      <c r="AG1076" s="192">
        <f t="shared" si="430"/>
        <v>49.081845238095241</v>
      </c>
      <c r="AH1076" s="192">
        <f t="shared" si="431"/>
        <v>30.831581488574397</v>
      </c>
      <c r="AI1076" s="192">
        <f t="shared" si="432"/>
        <v>4.4836309523809526</v>
      </c>
      <c r="AJ1076" s="192">
        <f t="shared" si="433"/>
        <v>3.5193452380952377</v>
      </c>
      <c r="AK1076" s="192">
        <f t="shared" si="434"/>
        <v>5.4925595238095246</v>
      </c>
      <c r="AL1076" s="192">
        <f t="shared" si="435"/>
        <v>5.6949404761904754</v>
      </c>
      <c r="AM1076" s="192">
        <f t="shared" si="436"/>
        <v>1.4836309523809523</v>
      </c>
      <c r="AN1076" s="192">
        <f t="shared" si="437"/>
        <v>1.7470238095238095</v>
      </c>
      <c r="AO1076" s="192">
        <f t="shared" si="438"/>
        <v>3.4166666666666665</v>
      </c>
      <c r="AP1076" s="192">
        <f t="shared" si="439"/>
        <v>0.95833333333333337</v>
      </c>
      <c r="AQ1076" s="192">
        <f t="shared" si="440"/>
        <v>1.9255952380952381</v>
      </c>
      <c r="AR1076" s="192">
        <f t="shared" si="441"/>
        <v>2.2678571428571428</v>
      </c>
      <c r="AS1076" s="192">
        <f t="shared" si="442"/>
        <v>167.13664101238393</v>
      </c>
      <c r="AT1076" s="192">
        <f t="shared" si="443"/>
        <v>13.394052426868587</v>
      </c>
      <c r="AU1076" s="192">
        <f t="shared" si="444"/>
        <v>180.53069343925253</v>
      </c>
      <c r="AW1076" s="192">
        <f t="shared" si="445"/>
        <v>383.45238095238096</v>
      </c>
      <c r="AX1076" s="192">
        <f t="shared" si="446"/>
        <v>-202.92168751312843</v>
      </c>
    </row>
    <row r="1077" spans="1:50" ht="15.75" customHeight="1" x14ac:dyDescent="0.3">
      <c r="A1077" s="365"/>
      <c r="B1077" s="423" t="s">
        <v>805</v>
      </c>
      <c r="C1077" s="423"/>
      <c r="D1077" s="423"/>
      <c r="E1077" s="423"/>
      <c r="F1077" s="423"/>
      <c r="G1077" s="423"/>
      <c r="H1077" s="423"/>
      <c r="I1077" s="423"/>
      <c r="J1077" s="423"/>
      <c r="K1077" s="423"/>
      <c r="L1077" s="423"/>
      <c r="M1077" s="423"/>
      <c r="N1077" s="423"/>
      <c r="O1077" s="423"/>
      <c r="P1077" s="423"/>
      <c r="Q1077" s="354" t="str">
        <f>+Q1</f>
        <v xml:space="preserve">PRINTED:  </v>
      </c>
      <c r="R1077" s="355">
        <f ca="1">+R1</f>
        <v>44894.658168402777</v>
      </c>
      <c r="AC1077" s="4">
        <v>18</v>
      </c>
      <c r="AD1077" s="192">
        <f t="shared" si="457"/>
        <v>0</v>
      </c>
      <c r="AE1077" s="192">
        <f t="shared" si="428"/>
        <v>27.455357142857142</v>
      </c>
      <c r="AF1077" s="192">
        <f t="shared" si="429"/>
        <v>28.77827380952381</v>
      </c>
      <c r="AG1077" s="192">
        <f t="shared" si="430"/>
        <v>49.081845238095241</v>
      </c>
      <c r="AH1077" s="192">
        <f t="shared" si="431"/>
        <v>30.831581488574397</v>
      </c>
      <c r="AI1077" s="192">
        <f t="shared" si="432"/>
        <v>4.4836309523809526</v>
      </c>
      <c r="AJ1077" s="192">
        <f t="shared" si="433"/>
        <v>3.5193452380952377</v>
      </c>
      <c r="AK1077" s="192">
        <f t="shared" si="434"/>
        <v>5.4925595238095246</v>
      </c>
      <c r="AL1077" s="192">
        <f t="shared" si="435"/>
        <v>5.6949404761904754</v>
      </c>
      <c r="AM1077" s="192">
        <f t="shared" si="436"/>
        <v>1.4836309523809523</v>
      </c>
      <c r="AN1077" s="192">
        <f t="shared" si="437"/>
        <v>1.7470238095238095</v>
      </c>
      <c r="AO1077" s="192">
        <f t="shared" si="438"/>
        <v>3.4166666666666665</v>
      </c>
      <c r="AP1077" s="192">
        <f t="shared" si="439"/>
        <v>0.95833333333333337</v>
      </c>
      <c r="AQ1077" s="192">
        <f t="shared" si="440"/>
        <v>1.9255952380952381</v>
      </c>
      <c r="AR1077" s="192">
        <f t="shared" si="441"/>
        <v>2.2678571428571428</v>
      </c>
      <c r="AS1077" s="192">
        <f t="shared" si="442"/>
        <v>167.13664101238393</v>
      </c>
      <c r="AT1077" s="192">
        <f t="shared" si="443"/>
        <v>13.394052426868587</v>
      </c>
      <c r="AU1077" s="192">
        <f t="shared" si="444"/>
        <v>180.53069343925253</v>
      </c>
      <c r="AW1077" s="192">
        <f t="shared" si="445"/>
        <v>383.45238095238096</v>
      </c>
      <c r="AX1077" s="192">
        <f t="shared" si="446"/>
        <v>-202.92168751312843</v>
      </c>
    </row>
    <row r="1078" spans="1:50" ht="16.5" customHeight="1" x14ac:dyDescent="0.3">
      <c r="A1078" s="257"/>
      <c r="B1078" s="394" t="str">
        <f>+A8</f>
        <v>Revised:  11/4/2019</v>
      </c>
      <c r="C1078" s="394"/>
      <c r="D1078" s="394"/>
      <c r="E1078" s="394"/>
      <c r="F1078" s="394"/>
      <c r="G1078" s="394"/>
      <c r="H1078" s="394"/>
      <c r="I1078" s="394"/>
      <c r="J1078" s="394"/>
      <c r="K1078" s="394"/>
      <c r="L1078" s="394"/>
      <c r="M1078" s="394"/>
      <c r="N1078" s="394"/>
      <c r="O1078" s="394"/>
      <c r="P1078" s="394"/>
      <c r="R1078" s="304"/>
      <c r="AC1078" s="4">
        <v>19</v>
      </c>
      <c r="AD1078" s="192">
        <f t="shared" si="457"/>
        <v>0</v>
      </c>
      <c r="AE1078" s="192">
        <f t="shared" si="428"/>
        <v>27.455357142857142</v>
      </c>
      <c r="AF1078" s="192">
        <f t="shared" si="429"/>
        <v>28.77827380952381</v>
      </c>
      <c r="AG1078" s="192">
        <f t="shared" si="430"/>
        <v>49.081845238095241</v>
      </c>
      <c r="AH1078" s="192">
        <f t="shared" si="431"/>
        <v>30.831581488574397</v>
      </c>
      <c r="AI1078" s="192">
        <f t="shared" si="432"/>
        <v>4.4836309523809526</v>
      </c>
      <c r="AJ1078" s="192">
        <f t="shared" si="433"/>
        <v>3.5193452380952377</v>
      </c>
      <c r="AK1078" s="192">
        <f t="shared" si="434"/>
        <v>5.4925595238095246</v>
      </c>
      <c r="AL1078" s="192">
        <f t="shared" si="435"/>
        <v>5.6949404761904754</v>
      </c>
      <c r="AM1078" s="192">
        <f t="shared" si="436"/>
        <v>1.4836309523809523</v>
      </c>
      <c r="AN1078" s="192">
        <f t="shared" si="437"/>
        <v>1.7470238095238095</v>
      </c>
      <c r="AO1078" s="192">
        <f t="shared" si="438"/>
        <v>3.4166666666666665</v>
      </c>
      <c r="AP1078" s="192">
        <f t="shared" si="439"/>
        <v>0.95833333333333337</v>
      </c>
      <c r="AQ1078" s="192">
        <f t="shared" si="440"/>
        <v>1.9255952380952381</v>
      </c>
      <c r="AR1078" s="192">
        <f t="shared" si="441"/>
        <v>2.2678571428571428</v>
      </c>
      <c r="AS1078" s="192">
        <f t="shared" si="442"/>
        <v>167.13664101238393</v>
      </c>
      <c r="AT1078" s="192">
        <f t="shared" si="443"/>
        <v>13.394052426868587</v>
      </c>
      <c r="AU1078" s="192">
        <f t="shared" si="444"/>
        <v>180.53069343925253</v>
      </c>
      <c r="AW1078" s="192">
        <f t="shared" si="445"/>
        <v>383.45238095238096</v>
      </c>
      <c r="AX1078" s="192">
        <f t="shared" si="446"/>
        <v>-202.92168751312843</v>
      </c>
    </row>
    <row r="1079" spans="1:50" ht="16.5" customHeight="1" x14ac:dyDescent="0.3">
      <c r="A1079" s="257"/>
      <c r="B1079" s="394" t="s">
        <v>670</v>
      </c>
      <c r="C1079" s="394"/>
      <c r="D1079" s="394"/>
      <c r="E1079" s="394"/>
      <c r="F1079" s="394"/>
      <c r="G1079" s="394"/>
      <c r="H1079" s="394"/>
      <c r="I1079" s="394"/>
      <c r="J1079" s="394"/>
      <c r="K1079" s="394"/>
      <c r="L1079" s="394"/>
      <c r="M1079" s="394"/>
      <c r="N1079" s="394"/>
      <c r="O1079" s="394"/>
      <c r="P1079" s="394"/>
      <c r="R1079" s="304"/>
      <c r="AC1079" s="4">
        <v>20</v>
      </c>
      <c r="AD1079" s="192">
        <f t="shared" si="457"/>
        <v>0</v>
      </c>
      <c r="AE1079" s="192">
        <f t="shared" si="428"/>
        <v>27.455357142857142</v>
      </c>
      <c r="AF1079" s="192">
        <f t="shared" si="429"/>
        <v>28.77827380952381</v>
      </c>
      <c r="AG1079" s="192">
        <f t="shared" si="430"/>
        <v>49.081845238095241</v>
      </c>
      <c r="AH1079" s="192">
        <f t="shared" si="431"/>
        <v>30.831581488574397</v>
      </c>
      <c r="AI1079" s="192">
        <f t="shared" si="432"/>
        <v>4.4836309523809526</v>
      </c>
      <c r="AJ1079" s="192">
        <f t="shared" si="433"/>
        <v>3.5193452380952377</v>
      </c>
      <c r="AK1079" s="192">
        <f t="shared" si="434"/>
        <v>5.4925595238095246</v>
      </c>
      <c r="AL1079" s="192">
        <f t="shared" si="435"/>
        <v>5.6949404761904754</v>
      </c>
      <c r="AM1079" s="192">
        <f t="shared" si="436"/>
        <v>1.4836309523809523</v>
      </c>
      <c r="AN1079" s="192">
        <f t="shared" si="437"/>
        <v>1.7470238095238095</v>
      </c>
      <c r="AO1079" s="192">
        <f t="shared" si="438"/>
        <v>3.4166666666666665</v>
      </c>
      <c r="AP1079" s="192">
        <f t="shared" si="439"/>
        <v>0.95833333333333337</v>
      </c>
      <c r="AQ1079" s="192">
        <f t="shared" si="440"/>
        <v>1.9255952380952381</v>
      </c>
      <c r="AR1079" s="192">
        <f t="shared" si="441"/>
        <v>2.2678571428571428</v>
      </c>
      <c r="AS1079" s="192">
        <f t="shared" si="442"/>
        <v>167.13664101238393</v>
      </c>
      <c r="AT1079" s="192">
        <f t="shared" si="443"/>
        <v>13.394052426868587</v>
      </c>
      <c r="AU1079" s="192">
        <f t="shared" si="444"/>
        <v>180.53069343925253</v>
      </c>
      <c r="AW1079" s="192">
        <f t="shared" si="445"/>
        <v>383.45238095238096</v>
      </c>
      <c r="AX1079" s="192">
        <f t="shared" si="446"/>
        <v>-202.92168751312843</v>
      </c>
    </row>
    <row r="1080" spans="1:50" ht="16.5" customHeight="1" x14ac:dyDescent="0.3">
      <c r="A1080" s="257"/>
      <c r="B1080" s="180"/>
      <c r="C1080" s="180"/>
      <c r="D1080" s="180"/>
      <c r="E1080" s="180"/>
      <c r="F1080" s="180"/>
      <c r="G1080" s="180"/>
      <c r="H1080" s="180"/>
      <c r="I1080" s="180"/>
      <c r="J1080" s="180"/>
      <c r="K1080" s="180"/>
      <c r="L1080" s="180"/>
      <c r="M1080" s="180"/>
      <c r="N1080" s="180"/>
      <c r="O1080" s="180"/>
      <c r="P1080" s="180"/>
      <c r="R1080" s="304"/>
      <c r="AC1080" s="4">
        <v>21</v>
      </c>
      <c r="AD1080" s="192">
        <f>IF($AF$1057=1,VLOOKUP($AD$1057,$A$1087:$P$1098,12,FALSE),VLOOKUP($AD$1057,$A$1060:$S$1071,3,FALSE))</f>
        <v>0</v>
      </c>
      <c r="AE1080" s="192">
        <f t="shared" si="428"/>
        <v>27.455357142857142</v>
      </c>
      <c r="AF1080" s="192">
        <f t="shared" si="429"/>
        <v>28.77827380952381</v>
      </c>
      <c r="AG1080" s="192">
        <f t="shared" si="430"/>
        <v>49.081845238095241</v>
      </c>
      <c r="AH1080" s="192">
        <f t="shared" si="431"/>
        <v>30.831581488574397</v>
      </c>
      <c r="AI1080" s="192">
        <f t="shared" si="432"/>
        <v>4.4836309523809526</v>
      </c>
      <c r="AJ1080" s="192">
        <f t="shared" si="433"/>
        <v>3.5193452380952377</v>
      </c>
      <c r="AK1080" s="192">
        <f t="shared" si="434"/>
        <v>5.4925595238095246</v>
      </c>
      <c r="AL1080" s="192">
        <f t="shared" si="435"/>
        <v>5.6949404761904754</v>
      </c>
      <c r="AM1080" s="192">
        <f t="shared" si="436"/>
        <v>1.4836309523809523</v>
      </c>
      <c r="AN1080" s="192">
        <f t="shared" si="437"/>
        <v>1.7470238095238095</v>
      </c>
      <c r="AO1080" s="192">
        <f t="shared" si="438"/>
        <v>3.4166666666666665</v>
      </c>
      <c r="AP1080" s="192">
        <f t="shared" si="439"/>
        <v>0.95833333333333337</v>
      </c>
      <c r="AQ1080" s="192">
        <f t="shared" si="440"/>
        <v>1.9255952380952381</v>
      </c>
      <c r="AR1080" s="192">
        <f t="shared" si="441"/>
        <v>2.2678571428571428</v>
      </c>
      <c r="AS1080" s="192">
        <f t="shared" si="442"/>
        <v>167.13664101238393</v>
      </c>
      <c r="AT1080" s="192">
        <f t="shared" si="443"/>
        <v>13.394052426868587</v>
      </c>
      <c r="AU1080" s="192">
        <f t="shared" si="444"/>
        <v>180.53069343925253</v>
      </c>
      <c r="AW1080" s="192">
        <f t="shared" si="445"/>
        <v>383.45238095238096</v>
      </c>
      <c r="AX1080" s="192">
        <f t="shared" si="446"/>
        <v>-202.92168751312843</v>
      </c>
    </row>
    <row r="1081" spans="1:50" ht="16.5" customHeight="1" x14ac:dyDescent="0.3">
      <c r="A1081" s="257"/>
      <c r="B1081" s="415">
        <f>+A5</f>
        <v>2019</v>
      </c>
      <c r="C1081" s="395"/>
      <c r="D1081" s="395"/>
      <c r="E1081" s="395"/>
      <c r="F1081" s="395"/>
      <c r="G1081" s="395"/>
      <c r="H1081" s="395"/>
      <c r="I1081" s="395"/>
      <c r="J1081" s="395"/>
      <c r="K1081" s="395"/>
      <c r="L1081" s="395"/>
      <c r="M1081" s="395"/>
      <c r="N1081" s="395"/>
      <c r="O1081" s="395"/>
      <c r="P1081" s="395"/>
      <c r="R1081" s="304"/>
      <c r="AC1081" s="4">
        <v>22</v>
      </c>
      <c r="AD1081" s="192">
        <f>IF($AF$1057=1,VLOOKUP($AD$1057,$A$1087:$P$1098,12,FALSE),VLOOKUP($AD$1057,$A$1060:$S$1071,3,FALSE))</f>
        <v>0</v>
      </c>
      <c r="AE1081" s="192">
        <f t="shared" si="428"/>
        <v>27.455357142857142</v>
      </c>
      <c r="AF1081" s="192">
        <f t="shared" si="429"/>
        <v>28.77827380952381</v>
      </c>
      <c r="AG1081" s="192">
        <f t="shared" si="430"/>
        <v>49.081845238095241</v>
      </c>
      <c r="AH1081" s="192">
        <f t="shared" si="431"/>
        <v>30.831581488574397</v>
      </c>
      <c r="AI1081" s="192">
        <f t="shared" si="432"/>
        <v>4.4836309523809526</v>
      </c>
      <c r="AJ1081" s="192">
        <f t="shared" si="433"/>
        <v>3.5193452380952377</v>
      </c>
      <c r="AK1081" s="192">
        <f t="shared" si="434"/>
        <v>5.4925595238095246</v>
      </c>
      <c r="AL1081" s="192">
        <f t="shared" si="435"/>
        <v>5.6949404761904754</v>
      </c>
      <c r="AM1081" s="192">
        <f t="shared" si="436"/>
        <v>1.4836309523809523</v>
      </c>
      <c r="AN1081" s="192">
        <f t="shared" si="437"/>
        <v>1.7470238095238095</v>
      </c>
      <c r="AO1081" s="192">
        <f t="shared" si="438"/>
        <v>3.4166666666666665</v>
      </c>
      <c r="AP1081" s="192">
        <f t="shared" si="439"/>
        <v>0.95833333333333337</v>
      </c>
      <c r="AQ1081" s="192">
        <f t="shared" si="440"/>
        <v>1.9255952380952381</v>
      </c>
      <c r="AR1081" s="192">
        <f t="shared" si="441"/>
        <v>2.2678571428571428</v>
      </c>
      <c r="AS1081" s="192">
        <f t="shared" si="442"/>
        <v>167.13664101238393</v>
      </c>
      <c r="AT1081" s="192">
        <f t="shared" si="443"/>
        <v>13.394052426868587</v>
      </c>
      <c r="AU1081" s="192">
        <f t="shared" si="444"/>
        <v>180.53069343925253</v>
      </c>
      <c r="AW1081" s="192">
        <f t="shared" si="445"/>
        <v>383.45238095238096</v>
      </c>
      <c r="AX1081" s="192">
        <f t="shared" si="446"/>
        <v>-202.92168751312843</v>
      </c>
    </row>
    <row r="1082" spans="1:50" ht="15.75" customHeight="1" x14ac:dyDescent="0.3">
      <c r="A1082" s="257"/>
      <c r="B1082" s="394" t="s">
        <v>708</v>
      </c>
      <c r="C1082" s="394"/>
      <c r="D1082" s="394"/>
      <c r="E1082" s="394"/>
      <c r="F1082" s="394"/>
      <c r="G1082" s="394"/>
      <c r="H1082" s="394"/>
      <c r="I1082" s="394"/>
      <c r="J1082" s="394"/>
      <c r="K1082" s="394"/>
      <c r="L1082" s="394"/>
      <c r="M1082" s="394"/>
      <c r="N1082" s="394"/>
      <c r="O1082" s="394"/>
      <c r="P1082" s="394"/>
      <c r="R1082" s="304"/>
      <c r="AC1082" s="4">
        <v>23</v>
      </c>
      <c r="AD1082" s="192">
        <f>IF($AF$1057=1,VLOOKUP($AD$1057,$A$1087:$P$1098,12,FALSE),IF(OR($AD$1057="JAN",$AD$1057="FEB",$AD$1057="NOV",$AD$1057="DEC"),VLOOKUP($AD$1057,$A$1060:$S$1071,3,FALSE),VLOOKUP($AD$1057,$A$1060:$S$1071,2,FALSE)))</f>
        <v>0</v>
      </c>
      <c r="AE1082" s="192">
        <f t="shared" si="428"/>
        <v>27.455357142857142</v>
      </c>
      <c r="AF1082" s="192">
        <f t="shared" si="429"/>
        <v>28.77827380952381</v>
      </c>
      <c r="AG1082" s="192">
        <f t="shared" si="430"/>
        <v>49.081845238095241</v>
      </c>
      <c r="AH1082" s="192">
        <f t="shared" si="431"/>
        <v>30.831581488574397</v>
      </c>
      <c r="AI1082" s="192">
        <f t="shared" si="432"/>
        <v>4.4836309523809526</v>
      </c>
      <c r="AJ1082" s="192">
        <f t="shared" si="433"/>
        <v>3.5193452380952377</v>
      </c>
      <c r="AK1082" s="192">
        <f t="shared" si="434"/>
        <v>5.4925595238095246</v>
      </c>
      <c r="AL1082" s="192">
        <f t="shared" si="435"/>
        <v>5.6949404761904754</v>
      </c>
      <c r="AM1082" s="192">
        <f t="shared" si="436"/>
        <v>1.4836309523809523</v>
      </c>
      <c r="AN1082" s="192">
        <f t="shared" si="437"/>
        <v>1.7470238095238095</v>
      </c>
      <c r="AO1082" s="192">
        <f t="shared" si="438"/>
        <v>3.4166666666666665</v>
      </c>
      <c r="AP1082" s="192">
        <f t="shared" si="439"/>
        <v>0.95833333333333337</v>
      </c>
      <c r="AQ1082" s="192">
        <f t="shared" si="440"/>
        <v>1.9255952380952381</v>
      </c>
      <c r="AR1082" s="192">
        <f t="shared" si="441"/>
        <v>2.2678571428571428</v>
      </c>
      <c r="AS1082" s="192">
        <f t="shared" si="442"/>
        <v>167.13664101238393</v>
      </c>
      <c r="AT1082" s="192">
        <f t="shared" si="443"/>
        <v>13.394052426868587</v>
      </c>
      <c r="AU1082" s="192">
        <f t="shared" si="444"/>
        <v>180.53069343925253</v>
      </c>
      <c r="AW1082" s="192">
        <f t="shared" si="445"/>
        <v>383.45238095238096</v>
      </c>
      <c r="AX1082" s="192">
        <f t="shared" si="446"/>
        <v>-202.92168751312843</v>
      </c>
    </row>
    <row r="1083" spans="1:50" ht="15.75" customHeight="1" thickBot="1" x14ac:dyDescent="0.35">
      <c r="A1083" s="257"/>
      <c r="R1083" s="304"/>
      <c r="AC1083" s="4">
        <v>24</v>
      </c>
      <c r="AD1083" s="192">
        <f>IF($AF$1057=1,VLOOKUP($AD$1057,$A$1087:$P$1098,12,FALSE),VLOOKUP($AD$1057,$A$1060:$S$1071,2,FALSE))</f>
        <v>98</v>
      </c>
      <c r="AE1083" s="192">
        <f t="shared" si="428"/>
        <v>27.455357142857142</v>
      </c>
      <c r="AF1083" s="192">
        <f t="shared" si="429"/>
        <v>28.77827380952381</v>
      </c>
      <c r="AG1083" s="192">
        <f t="shared" si="430"/>
        <v>49.081845238095241</v>
      </c>
      <c r="AH1083" s="192">
        <f t="shared" si="431"/>
        <v>30.831581488574397</v>
      </c>
      <c r="AI1083" s="192">
        <f t="shared" si="432"/>
        <v>4.4836309523809526</v>
      </c>
      <c r="AJ1083" s="192">
        <f t="shared" si="433"/>
        <v>3.5193452380952377</v>
      </c>
      <c r="AK1083" s="192">
        <f t="shared" si="434"/>
        <v>5.4925595238095246</v>
      </c>
      <c r="AL1083" s="192">
        <f t="shared" si="435"/>
        <v>5.6949404761904754</v>
      </c>
      <c r="AM1083" s="192">
        <f t="shared" si="436"/>
        <v>1.4836309523809523</v>
      </c>
      <c r="AN1083" s="192">
        <f t="shared" si="437"/>
        <v>1.7470238095238095</v>
      </c>
      <c r="AO1083" s="192">
        <f t="shared" si="438"/>
        <v>3.4166666666666665</v>
      </c>
      <c r="AP1083" s="192">
        <f t="shared" si="439"/>
        <v>0.95833333333333337</v>
      </c>
      <c r="AQ1083" s="192">
        <f t="shared" si="440"/>
        <v>1.9255952380952381</v>
      </c>
      <c r="AR1083" s="192">
        <f t="shared" si="441"/>
        <v>2.2678571428571428</v>
      </c>
      <c r="AS1083" s="192">
        <f t="shared" si="442"/>
        <v>265.13664101238396</v>
      </c>
      <c r="AT1083" s="192">
        <f t="shared" si="443"/>
        <v>21.247609431977143</v>
      </c>
      <c r="AU1083" s="192">
        <f t="shared" si="444"/>
        <v>286.3842504443611</v>
      </c>
      <c r="AW1083" s="192">
        <f t="shared" si="445"/>
        <v>383.45238095238096</v>
      </c>
      <c r="AX1083" s="192">
        <f t="shared" si="446"/>
        <v>-97.068130508019863</v>
      </c>
    </row>
    <row r="1084" spans="1:50" ht="15.75" customHeight="1" x14ac:dyDescent="0.3">
      <c r="A1084" s="257"/>
      <c r="B1084" s="435" t="s">
        <v>806</v>
      </c>
      <c r="C1084" s="436"/>
      <c r="D1084" s="436"/>
      <c r="E1084" s="436"/>
      <c r="F1084" s="436"/>
      <c r="G1084" s="436"/>
      <c r="H1084" s="436"/>
      <c r="I1084" s="436"/>
      <c r="J1084" s="436"/>
      <c r="K1084" s="436"/>
      <c r="L1084" s="437"/>
      <c r="M1084" s="438" t="s">
        <v>807</v>
      </c>
      <c r="N1084" s="436"/>
      <c r="O1084" s="436"/>
      <c r="P1084" s="436"/>
      <c r="Q1084" s="192" t="s">
        <v>808</v>
      </c>
      <c r="R1084" s="312" t="s">
        <v>809</v>
      </c>
      <c r="S1084" s="192" t="s">
        <v>810</v>
      </c>
      <c r="T1084" s="192" t="s">
        <v>782</v>
      </c>
      <c r="AC1084" s="4" t="s">
        <v>641</v>
      </c>
      <c r="AD1084" s="192">
        <f>SUM(AD1060:AD1083)</f>
        <v>784</v>
      </c>
      <c r="AE1084" s="192">
        <f>SUM(AE1060:AE1083)</f>
        <v>658.92857142857144</v>
      </c>
      <c r="AF1084" s="192">
        <f t="shared" ref="AF1084:AW1084" si="458">SUM(AF1060:AF1083)</f>
        <v>690.67857142857156</v>
      </c>
      <c r="AG1084" s="192">
        <f t="shared" si="458"/>
        <v>1177.9642857142851</v>
      </c>
      <c r="AH1084" s="192">
        <f t="shared" si="458"/>
        <v>739.95795572578572</v>
      </c>
      <c r="AI1084" s="192">
        <f t="shared" si="458"/>
        <v>107.6071428571428</v>
      </c>
      <c r="AJ1084" s="192">
        <f t="shared" si="458"/>
        <v>84.464285714285751</v>
      </c>
      <c r="AK1084" s="192">
        <f t="shared" si="458"/>
        <v>131.82142857142853</v>
      </c>
      <c r="AL1084" s="192">
        <f t="shared" si="458"/>
        <v>136.67857142857147</v>
      </c>
      <c r="AM1084" s="192">
        <f t="shared" si="458"/>
        <v>35.607142857142847</v>
      </c>
      <c r="AN1084" s="192">
        <f t="shared" si="458"/>
        <v>41.928571428571438</v>
      </c>
      <c r="AO1084" s="192">
        <f t="shared" si="458"/>
        <v>82.000000000000014</v>
      </c>
      <c r="AP1084" s="192">
        <f t="shared" si="458"/>
        <v>22.999999999999996</v>
      </c>
      <c r="AQ1084" s="192">
        <f t="shared" si="458"/>
        <v>46.214285714285722</v>
      </c>
      <c r="AR1084" s="192">
        <f t="shared" si="458"/>
        <v>54.428571428571452</v>
      </c>
      <c r="AS1084" s="192">
        <f t="shared" si="458"/>
        <v>4795.2793842972114</v>
      </c>
      <c r="AT1084" s="192">
        <f t="shared" si="458"/>
        <v>384.28571428571468</v>
      </c>
      <c r="AU1084" s="192">
        <f t="shared" si="458"/>
        <v>5179.5650985829297</v>
      </c>
      <c r="AW1084" s="192">
        <f t="shared" si="458"/>
        <v>9202.8571428571413</v>
      </c>
      <c r="AX1084" s="192">
        <f>SUMIF(AX1060:AX1083,"&gt;0")</f>
        <v>0</v>
      </c>
    </row>
    <row r="1085" spans="1:50" ht="15.75" customHeight="1" thickBot="1" x14ac:dyDescent="0.35">
      <c r="A1085" s="257" t="s">
        <v>768</v>
      </c>
      <c r="B1085" s="274" t="s">
        <v>811</v>
      </c>
      <c r="C1085" s="275" t="s">
        <v>791</v>
      </c>
      <c r="D1085" s="275" t="s">
        <v>792</v>
      </c>
      <c r="E1085" s="275" t="s">
        <v>812</v>
      </c>
      <c r="F1085" s="275" t="s">
        <v>791</v>
      </c>
      <c r="G1085" s="275" t="s">
        <v>792</v>
      </c>
      <c r="H1085" s="275" t="s">
        <v>793</v>
      </c>
      <c r="I1085" s="275" t="s">
        <v>791</v>
      </c>
      <c r="J1085" s="275" t="s">
        <v>792</v>
      </c>
      <c r="K1085" s="275" t="s">
        <v>793</v>
      </c>
      <c r="L1085" s="276" t="s">
        <v>813</v>
      </c>
      <c r="M1085" s="274" t="s">
        <v>814</v>
      </c>
      <c r="N1085" s="275" t="s">
        <v>791</v>
      </c>
      <c r="O1085" s="275" t="s">
        <v>791</v>
      </c>
      <c r="P1085" s="276" t="s">
        <v>813</v>
      </c>
      <c r="Q1085" s="277" t="s">
        <v>641</v>
      </c>
      <c r="R1085" s="313" t="s">
        <v>815</v>
      </c>
      <c r="S1085" s="275" t="s">
        <v>816</v>
      </c>
      <c r="T1085" s="275" t="s">
        <v>816</v>
      </c>
      <c r="AU1085" s="192"/>
      <c r="AW1085" s="192"/>
      <c r="AX1085" s="192"/>
    </row>
    <row r="1086" spans="1:50" ht="15.75" customHeight="1" thickTop="1" thickBot="1" x14ac:dyDescent="0.35">
      <c r="A1086" s="257"/>
      <c r="B1086" s="279"/>
      <c r="C1086" s="280" t="s">
        <v>817</v>
      </c>
      <c r="D1086" s="280" t="s">
        <v>817</v>
      </c>
      <c r="E1086" s="280" t="s">
        <v>817</v>
      </c>
      <c r="F1086" s="281" t="s">
        <v>779</v>
      </c>
      <c r="G1086" s="281" t="s">
        <v>779</v>
      </c>
      <c r="H1086" s="281" t="s">
        <v>779</v>
      </c>
      <c r="I1086" s="281" t="s">
        <v>818</v>
      </c>
      <c r="J1086" s="281" t="s">
        <v>818</v>
      </c>
      <c r="K1086" s="281" t="s">
        <v>818</v>
      </c>
      <c r="L1086" s="314" t="s">
        <v>819</v>
      </c>
      <c r="M1086" s="283"/>
      <c r="N1086" s="280" t="s">
        <v>817</v>
      </c>
      <c r="O1086" s="281" t="s">
        <v>779</v>
      </c>
      <c r="P1086" s="314" t="s">
        <v>818</v>
      </c>
      <c r="Q1086" s="277" t="s">
        <v>818</v>
      </c>
      <c r="R1086" s="313" t="s">
        <v>818</v>
      </c>
      <c r="S1086" s="281" t="s">
        <v>820</v>
      </c>
      <c r="T1086" s="281" t="s">
        <v>820</v>
      </c>
    </row>
    <row r="1087" spans="1:50" ht="15.75" customHeight="1" x14ac:dyDescent="0.3">
      <c r="A1087" s="257" t="s">
        <v>8</v>
      </c>
      <c r="B1087" s="211" t="e">
        <f ca="1">+$B$10-M1087</f>
        <v>#NAME?</v>
      </c>
      <c r="C1087" s="284">
        <v>4</v>
      </c>
      <c r="D1087" s="284">
        <v>0</v>
      </c>
      <c r="E1087" s="284" t="s">
        <v>803</v>
      </c>
      <c r="F1087" s="192">
        <f>+I1087/(24-S1087)</f>
        <v>196</v>
      </c>
      <c r="G1087" s="192">
        <f>+J1087/S1087</f>
        <v>0</v>
      </c>
      <c r="H1087" s="192" t="s">
        <v>803</v>
      </c>
      <c r="I1087" s="192">
        <f>+C1087*49*(24-S1087)</f>
        <v>3724</v>
      </c>
      <c r="J1087" s="192">
        <f>+D1087*49*S1087</f>
        <v>0</v>
      </c>
      <c r="K1087" s="192" t="s">
        <v>803</v>
      </c>
      <c r="L1087" s="312">
        <f>+J1087+I1087</f>
        <v>3724</v>
      </c>
      <c r="M1087" s="211" t="e">
        <f ca="1">SUMPRODUCT(--(WEEKDAY(ROW(INDIRECT(DATE($B$1081,MonthFromText(A1087),1)&amp;":"&amp;DATE($B$1081,MonthFromText(A1087),$B$10))),1)=1))</f>
        <v>#NAME?</v>
      </c>
      <c r="N1087" s="284">
        <v>4</v>
      </c>
      <c r="O1087" s="4">
        <f>+P1087/(24-T1087)</f>
        <v>196</v>
      </c>
      <c r="P1087" s="312">
        <f>+N1087*49*(24-T1087)</f>
        <v>3724</v>
      </c>
      <c r="Q1087" s="192" t="e">
        <f ca="1">+(L1087*B1087)+(M1087*P1087)</f>
        <v>#NAME?</v>
      </c>
      <c r="R1087" s="312" t="e">
        <f ca="1">+Q1087-B980</f>
        <v>#NAME?</v>
      </c>
      <c r="S1087" s="285">
        <v>5</v>
      </c>
      <c r="T1087" s="285">
        <v>5</v>
      </c>
      <c r="AD1087" s="360"/>
      <c r="AE1087" s="359"/>
      <c r="AF1087" s="366" t="s">
        <v>821</v>
      </c>
      <c r="AG1087" s="367" t="s">
        <v>822</v>
      </c>
      <c r="AH1087" s="367" t="s">
        <v>823</v>
      </c>
      <c r="AI1087" s="367" t="s">
        <v>824</v>
      </c>
      <c r="AJ1087" s="358"/>
    </row>
    <row r="1088" spans="1:50" ht="15.75" customHeight="1" x14ac:dyDescent="0.3">
      <c r="A1088" s="257" t="s">
        <v>9</v>
      </c>
      <c r="B1088" s="211" t="e">
        <f ca="1">+$C$10-M1088</f>
        <v>#NAME?</v>
      </c>
      <c r="C1088" s="284">
        <v>2</v>
      </c>
      <c r="D1088" s="284">
        <v>0</v>
      </c>
      <c r="E1088" s="284" t="s">
        <v>803</v>
      </c>
      <c r="F1088" s="192">
        <f t="shared" ref="F1088:F1098" si="459">+I1088/(24-S1088)</f>
        <v>98</v>
      </c>
      <c r="G1088" s="192">
        <f t="shared" ref="G1088:G1098" si="460">+J1088/S1088</f>
        <v>0</v>
      </c>
      <c r="H1088" s="192" t="s">
        <v>803</v>
      </c>
      <c r="I1088" s="192">
        <f t="shared" ref="I1088:I1098" si="461">+C1088*49*(24-S1088)</f>
        <v>1862</v>
      </c>
      <c r="J1088" s="192">
        <f t="shared" ref="J1088:J1098" si="462">+D1088*49*S1088</f>
        <v>0</v>
      </c>
      <c r="K1088" s="192" t="s">
        <v>803</v>
      </c>
      <c r="L1088" s="312">
        <f t="shared" ref="L1088:L1098" si="463">+J1088+I1088</f>
        <v>1862</v>
      </c>
      <c r="M1088" s="211" t="e">
        <f ca="1">SUMPRODUCT(--(WEEKDAY(ROW(INDIRECT(DATE($B$1081,MonthFromText(A1088),1)&amp;":"&amp;DATE($B$1081,MonthFromText(A1088),$C$10))),1)=1))</f>
        <v>#NAME?</v>
      </c>
      <c r="N1088" s="284">
        <f t="shared" ref="N1088:N1096" si="464">+C1088</f>
        <v>2</v>
      </c>
      <c r="O1088" s="4">
        <f t="shared" ref="O1088:O1098" si="465">+P1088/24</f>
        <v>98</v>
      </c>
      <c r="P1088" s="312">
        <f t="shared" ref="P1088:P1098" si="466">+N1088*49*24</f>
        <v>2352</v>
      </c>
      <c r="Q1088" s="192" t="e">
        <f ca="1">+(L1088*B1088)+(M1088*P1088)</f>
        <v>#NAME?</v>
      </c>
      <c r="R1088" s="312" t="e">
        <f t="shared" ref="R1088:R1098" ca="1" si="467">+Q1088-B981</f>
        <v>#NAME?</v>
      </c>
      <c r="S1088" s="285">
        <v>5</v>
      </c>
      <c r="T1088" s="285">
        <v>5</v>
      </c>
      <c r="AD1088" s="288" t="s">
        <v>668</v>
      </c>
      <c r="AE1088" s="289" t="s">
        <v>825</v>
      </c>
      <c r="AF1088" s="4">
        <f>V1060</f>
        <v>250.75537634408602</v>
      </c>
      <c r="AG1088" s="4">
        <f>X1060</f>
        <v>17.019338610589831</v>
      </c>
      <c r="AH1088" s="4">
        <f>Y1060</f>
        <v>-3.3695345625341919</v>
      </c>
      <c r="AI1088" s="4">
        <f>Z1060</f>
        <v>29.467741935483868</v>
      </c>
      <c r="AJ1088" s="304"/>
    </row>
    <row r="1089" spans="1:36" ht="16.5" customHeight="1" x14ac:dyDescent="0.3">
      <c r="A1089" s="257" t="s">
        <v>10</v>
      </c>
      <c r="B1089" s="211" t="e">
        <f ca="1">+$D$10-M1089</f>
        <v>#NAME?</v>
      </c>
      <c r="C1089" s="284">
        <v>6</v>
      </c>
      <c r="D1089" s="284">
        <v>0</v>
      </c>
      <c r="E1089" s="284" t="s">
        <v>803</v>
      </c>
      <c r="F1089" s="192">
        <f t="shared" si="459"/>
        <v>294</v>
      </c>
      <c r="G1089" s="192">
        <f t="shared" si="460"/>
        <v>0</v>
      </c>
      <c r="H1089" s="192" t="s">
        <v>803</v>
      </c>
      <c r="I1089" s="192">
        <f t="shared" si="461"/>
        <v>5586</v>
      </c>
      <c r="J1089" s="192">
        <f t="shared" si="462"/>
        <v>0</v>
      </c>
      <c r="K1089" s="192" t="s">
        <v>803</v>
      </c>
      <c r="L1089" s="312">
        <f t="shared" si="463"/>
        <v>5586</v>
      </c>
      <c r="M1089" s="211" t="e">
        <f ca="1">SUMPRODUCT(--(WEEKDAY(ROW(INDIRECT(DATE($B$1081,MonthFromText(A1089),1)&amp;":"&amp;DATE($B$1081,MonthFromText(A1089),$D$10))),1)=1))</f>
        <v>#NAME?</v>
      </c>
      <c r="N1089" s="284">
        <v>3</v>
      </c>
      <c r="O1089" s="4">
        <f t="shared" si="465"/>
        <v>147</v>
      </c>
      <c r="P1089" s="312">
        <f t="shared" si="466"/>
        <v>3528</v>
      </c>
      <c r="Q1089" s="192" t="e">
        <f t="shared" ref="Q1089:Q1098" ca="1" si="468">+(L1089*B1089)+(M1089*P1089)</f>
        <v>#NAME?</v>
      </c>
      <c r="R1089" s="312" t="e">
        <f t="shared" ca="1" si="467"/>
        <v>#NAME?</v>
      </c>
      <c r="S1089" s="285">
        <v>5</v>
      </c>
      <c r="T1089" s="285">
        <v>5</v>
      </c>
      <c r="AD1089" s="288"/>
      <c r="AE1089" s="289" t="s">
        <v>816</v>
      </c>
      <c r="AF1089" s="4">
        <f>W1060</f>
        <v>54.755376344086017</v>
      </c>
      <c r="AG1089" s="4">
        <f>X1060</f>
        <v>17.019338610589831</v>
      </c>
      <c r="AH1089" s="4">
        <f>Y1060</f>
        <v>-3.3695345625341919</v>
      </c>
      <c r="AI1089" s="4">
        <f>Z1060</f>
        <v>29.467741935483868</v>
      </c>
      <c r="AJ1089" s="304"/>
    </row>
    <row r="1090" spans="1:36" ht="16.5" customHeight="1" x14ac:dyDescent="0.3">
      <c r="A1090" s="257" t="s">
        <v>12</v>
      </c>
      <c r="B1090" s="211" t="e">
        <f ca="1">+$F$10-M1090</f>
        <v>#NAME?</v>
      </c>
      <c r="C1090" s="284">
        <v>6</v>
      </c>
      <c r="D1090" s="284">
        <v>0</v>
      </c>
      <c r="E1090" s="284" t="s">
        <v>803</v>
      </c>
      <c r="F1090" s="192">
        <f t="shared" si="459"/>
        <v>294</v>
      </c>
      <c r="G1090" s="192">
        <f t="shared" si="460"/>
        <v>0</v>
      </c>
      <c r="H1090" s="192" t="s">
        <v>803</v>
      </c>
      <c r="I1090" s="192">
        <f t="shared" si="461"/>
        <v>5586</v>
      </c>
      <c r="J1090" s="192">
        <f t="shared" si="462"/>
        <v>0</v>
      </c>
      <c r="K1090" s="192" t="s">
        <v>803</v>
      </c>
      <c r="L1090" s="312">
        <f t="shared" si="463"/>
        <v>5586</v>
      </c>
      <c r="M1090" s="211" t="e">
        <f ca="1">SUMPRODUCT(--(WEEKDAY(ROW(INDIRECT(DATE($B$1081,MonthFromText(A1090),1)&amp;":"&amp;DATE($B$1081,MonthFromText(A1090),$F$10))),1)=1))</f>
        <v>#NAME?</v>
      </c>
      <c r="N1090" s="284">
        <v>5</v>
      </c>
      <c r="O1090" s="4">
        <f t="shared" si="465"/>
        <v>245</v>
      </c>
      <c r="P1090" s="312">
        <f t="shared" si="466"/>
        <v>5880</v>
      </c>
      <c r="Q1090" s="192" t="e">
        <f t="shared" ca="1" si="468"/>
        <v>#NAME?</v>
      </c>
      <c r="R1090" s="312" t="e">
        <f t="shared" ca="1" si="467"/>
        <v>#NAME?</v>
      </c>
      <c r="S1090" s="285">
        <v>5</v>
      </c>
      <c r="T1090" s="285">
        <v>5</v>
      </c>
      <c r="AD1090" s="288" t="s">
        <v>826</v>
      </c>
      <c r="AE1090" s="289" t="s">
        <v>7</v>
      </c>
      <c r="AJ1090" s="304"/>
    </row>
    <row r="1091" spans="1:36" ht="15.75" customHeight="1" x14ac:dyDescent="0.3">
      <c r="A1091" s="257" t="s">
        <v>13</v>
      </c>
      <c r="B1091" s="211" t="e">
        <f ca="1">+$G$10-M1091</f>
        <v>#NAME?</v>
      </c>
      <c r="C1091" s="284">
        <v>6</v>
      </c>
      <c r="D1091" s="284">
        <v>0</v>
      </c>
      <c r="E1091" s="284" t="s">
        <v>803</v>
      </c>
      <c r="F1091" s="192">
        <f t="shared" si="459"/>
        <v>294</v>
      </c>
      <c r="G1091" s="192">
        <f t="shared" si="460"/>
        <v>0</v>
      </c>
      <c r="H1091" s="192" t="s">
        <v>803</v>
      </c>
      <c r="I1091" s="192">
        <f t="shared" si="461"/>
        <v>5586</v>
      </c>
      <c r="J1091" s="192">
        <f t="shared" si="462"/>
        <v>0</v>
      </c>
      <c r="K1091" s="192" t="s">
        <v>803</v>
      </c>
      <c r="L1091" s="312">
        <f t="shared" si="463"/>
        <v>5586</v>
      </c>
      <c r="M1091" s="211" t="e">
        <f ca="1">SUMPRODUCT(--(WEEKDAY(ROW(INDIRECT(DATE($B$1081,MonthFromText(A1091),1)&amp;":"&amp;DATE($B$1081,MonthFromText(A1091),$G$10))),1)=1))</f>
        <v>#NAME?</v>
      </c>
      <c r="N1091" s="284">
        <f t="shared" si="464"/>
        <v>6</v>
      </c>
      <c r="O1091" s="4">
        <f t="shared" si="465"/>
        <v>294</v>
      </c>
      <c r="P1091" s="312">
        <f t="shared" si="466"/>
        <v>7056</v>
      </c>
      <c r="Q1091" s="192" t="e">
        <f t="shared" ca="1" si="468"/>
        <v>#NAME?</v>
      </c>
      <c r="R1091" s="312" t="e">
        <f t="shared" ca="1" si="467"/>
        <v>#NAME?</v>
      </c>
      <c r="S1091" s="285">
        <v>5</v>
      </c>
      <c r="T1091" s="285">
        <v>5</v>
      </c>
      <c r="AD1091" s="288" t="s">
        <v>669</v>
      </c>
      <c r="AE1091" s="289" t="s">
        <v>825</v>
      </c>
      <c r="AF1091" s="4">
        <f>V1061</f>
        <v>203.3154761904762</v>
      </c>
      <c r="AG1091" s="4">
        <f>X1061</f>
        <v>30.831581488574397</v>
      </c>
      <c r="AH1091" s="4">
        <f>Y1061</f>
        <v>0</v>
      </c>
      <c r="AI1091" s="4">
        <f>Z1061</f>
        <v>30.989583333333332</v>
      </c>
      <c r="AJ1091" s="304"/>
    </row>
    <row r="1092" spans="1:36" ht="15.75" customHeight="1" x14ac:dyDescent="0.3">
      <c r="A1092" s="257" t="s">
        <v>14</v>
      </c>
      <c r="B1092" s="211" t="e">
        <f ca="1">+$H$10-M1092</f>
        <v>#NAME?</v>
      </c>
      <c r="C1092" s="284">
        <v>3</v>
      </c>
      <c r="D1092" s="284">
        <v>0</v>
      </c>
      <c r="E1092" s="284">
        <v>0</v>
      </c>
      <c r="F1092" s="192">
        <f t="shared" si="459"/>
        <v>147</v>
      </c>
      <c r="G1092" s="192">
        <f t="shared" si="460"/>
        <v>0</v>
      </c>
      <c r="H1092" s="192" t="s">
        <v>803</v>
      </c>
      <c r="I1092" s="192">
        <f t="shared" si="461"/>
        <v>2205</v>
      </c>
      <c r="J1092" s="192">
        <f t="shared" si="462"/>
        <v>0</v>
      </c>
      <c r="K1092" s="192" t="s">
        <v>803</v>
      </c>
      <c r="L1092" s="312">
        <f t="shared" si="463"/>
        <v>2205</v>
      </c>
      <c r="M1092" s="211" t="e">
        <f ca="1">SUMPRODUCT(--(WEEKDAY(ROW(INDIRECT(DATE($B$1081,MonthFromText(A1092),1)&amp;":"&amp;DATE($B$1081,MonthFromText(A1092),$H$10))),1)=1))</f>
        <v>#NAME?</v>
      </c>
      <c r="N1092" s="284">
        <f t="shared" si="464"/>
        <v>3</v>
      </c>
      <c r="O1092" s="4">
        <f t="shared" si="465"/>
        <v>147</v>
      </c>
      <c r="P1092" s="312">
        <f t="shared" si="466"/>
        <v>3528</v>
      </c>
      <c r="Q1092" s="192" t="e">
        <f ca="1">+(L1092*B1092)+(M1092*P1092)</f>
        <v>#NAME?</v>
      </c>
      <c r="R1092" s="312" t="e">
        <f t="shared" ca="1" si="467"/>
        <v>#NAME?</v>
      </c>
      <c r="S1092" s="285">
        <v>9</v>
      </c>
      <c r="T1092" s="285">
        <v>9</v>
      </c>
      <c r="AD1092" s="288"/>
      <c r="AE1092" s="289" t="s">
        <v>816</v>
      </c>
      <c r="AF1092" s="4">
        <f>W1061</f>
        <v>105.31547619047619</v>
      </c>
      <c r="AG1092" s="4">
        <f>X1061</f>
        <v>30.831581488574397</v>
      </c>
      <c r="AH1092" s="4">
        <f>Y1061</f>
        <v>0</v>
      </c>
      <c r="AI1092" s="4">
        <f>Z1061</f>
        <v>30.989583333333332</v>
      </c>
      <c r="AJ1092" s="304"/>
    </row>
    <row r="1093" spans="1:36" ht="15.75" customHeight="1" x14ac:dyDescent="0.3">
      <c r="A1093" s="257" t="s">
        <v>16</v>
      </c>
      <c r="B1093" s="211" t="e">
        <f ca="1">+$J$10-M1093</f>
        <v>#NAME?</v>
      </c>
      <c r="C1093" s="284">
        <v>3</v>
      </c>
      <c r="D1093" s="284">
        <v>0</v>
      </c>
      <c r="E1093" s="284">
        <v>0</v>
      </c>
      <c r="F1093" s="192">
        <f t="shared" si="459"/>
        <v>147</v>
      </c>
      <c r="G1093" s="192">
        <f t="shared" si="460"/>
        <v>0</v>
      </c>
      <c r="H1093" s="192" t="s">
        <v>803</v>
      </c>
      <c r="I1093" s="192">
        <f t="shared" si="461"/>
        <v>2205</v>
      </c>
      <c r="J1093" s="192">
        <f t="shared" si="462"/>
        <v>0</v>
      </c>
      <c r="K1093" s="192" t="s">
        <v>803</v>
      </c>
      <c r="L1093" s="312">
        <f t="shared" si="463"/>
        <v>2205</v>
      </c>
      <c r="M1093" s="211" t="e">
        <f ca="1">SUMPRODUCT(--(WEEKDAY(ROW(INDIRECT(DATE($B$1081,MonthFromText(A1093),1)&amp;":"&amp;DATE($B$1081,MonthFromText(A1093),$J$10))),1)=1))</f>
        <v>#NAME?</v>
      </c>
      <c r="N1093" s="284">
        <f t="shared" si="464"/>
        <v>3</v>
      </c>
      <c r="O1093" s="4">
        <f t="shared" si="465"/>
        <v>147</v>
      </c>
      <c r="P1093" s="312">
        <f t="shared" si="466"/>
        <v>3528</v>
      </c>
      <c r="Q1093" s="192" t="e">
        <f t="shared" ca="1" si="468"/>
        <v>#NAME?</v>
      </c>
      <c r="R1093" s="312" t="e">
        <f t="shared" ca="1" si="467"/>
        <v>#NAME?</v>
      </c>
      <c r="S1093" s="285">
        <v>9</v>
      </c>
      <c r="T1093" s="285">
        <v>9</v>
      </c>
      <c r="AD1093" s="288" t="s">
        <v>826</v>
      </c>
      <c r="AE1093" s="289" t="s">
        <v>7</v>
      </c>
      <c r="AJ1093" s="304"/>
    </row>
    <row r="1094" spans="1:36" ht="15.75" customHeight="1" x14ac:dyDescent="0.3">
      <c r="A1094" s="257" t="s">
        <v>17</v>
      </c>
      <c r="B1094" s="211" t="e">
        <f ca="1">+$K$10-M1094</f>
        <v>#NAME?</v>
      </c>
      <c r="C1094" s="284">
        <v>3</v>
      </c>
      <c r="D1094" s="284">
        <v>0</v>
      </c>
      <c r="E1094" s="284">
        <v>0</v>
      </c>
      <c r="F1094" s="192">
        <f t="shared" si="459"/>
        <v>147</v>
      </c>
      <c r="G1094" s="192">
        <f t="shared" si="460"/>
        <v>0</v>
      </c>
      <c r="H1094" s="192" t="s">
        <v>803</v>
      </c>
      <c r="I1094" s="192">
        <f t="shared" si="461"/>
        <v>2205</v>
      </c>
      <c r="J1094" s="192">
        <f t="shared" si="462"/>
        <v>0</v>
      </c>
      <c r="K1094" s="192" t="s">
        <v>803</v>
      </c>
      <c r="L1094" s="312">
        <f t="shared" si="463"/>
        <v>2205</v>
      </c>
      <c r="M1094" s="211" t="e">
        <f ca="1">SUMPRODUCT(--(WEEKDAY(ROW(INDIRECT(DATE($B$1081,MonthFromText(A1094),1)&amp;":"&amp;DATE($B$1081,MonthFromText(A1094),$K$10))),1)=1))</f>
        <v>#NAME?</v>
      </c>
      <c r="N1094" s="284">
        <f t="shared" si="464"/>
        <v>3</v>
      </c>
      <c r="O1094" s="4">
        <f t="shared" si="465"/>
        <v>147</v>
      </c>
      <c r="P1094" s="312">
        <f t="shared" si="466"/>
        <v>3528</v>
      </c>
      <c r="Q1094" s="192" t="e">
        <f t="shared" ca="1" si="468"/>
        <v>#NAME?</v>
      </c>
      <c r="R1094" s="312" t="e">
        <f t="shared" ca="1" si="467"/>
        <v>#NAME?</v>
      </c>
      <c r="S1094" s="285">
        <v>9</v>
      </c>
      <c r="T1094" s="285">
        <v>9</v>
      </c>
      <c r="AD1094" s="288" t="s">
        <v>671</v>
      </c>
      <c r="AE1094" s="289" t="s">
        <v>825</v>
      </c>
      <c r="AF1094" s="4">
        <f>V1062</f>
        <v>345.25940860215053</v>
      </c>
      <c r="AG1094" s="4">
        <f>X1062</f>
        <v>1.7843850082229759E-2</v>
      </c>
      <c r="AH1094" s="4">
        <f>Y1062</f>
        <v>-2.5809368694848959E-2</v>
      </c>
      <c r="AI1094" s="4">
        <f>Z1062</f>
        <v>40.774193548387096</v>
      </c>
      <c r="AJ1094" s="304"/>
    </row>
    <row r="1095" spans="1:36" ht="15.75" customHeight="1" x14ac:dyDescent="0.3">
      <c r="A1095" s="257" t="s">
        <v>18</v>
      </c>
      <c r="B1095" s="211" t="e">
        <f ca="1">+$L$10-M1095</f>
        <v>#NAME?</v>
      </c>
      <c r="C1095" s="284">
        <v>5</v>
      </c>
      <c r="D1095" s="284">
        <v>0</v>
      </c>
      <c r="E1095" s="284" t="s">
        <v>803</v>
      </c>
      <c r="F1095" s="192">
        <f t="shared" si="459"/>
        <v>245</v>
      </c>
      <c r="G1095" s="192">
        <f t="shared" si="460"/>
        <v>0</v>
      </c>
      <c r="H1095" s="192" t="s">
        <v>803</v>
      </c>
      <c r="I1095" s="192">
        <f t="shared" si="461"/>
        <v>4410</v>
      </c>
      <c r="J1095" s="192">
        <f t="shared" si="462"/>
        <v>0</v>
      </c>
      <c r="K1095" s="192" t="s">
        <v>803</v>
      </c>
      <c r="L1095" s="312">
        <f t="shared" si="463"/>
        <v>4410</v>
      </c>
      <c r="M1095" s="211" t="e">
        <f ca="1">SUMPRODUCT(--(WEEKDAY(ROW(INDIRECT(DATE($B$1081,MonthFromText(A1095),1)&amp;":"&amp;DATE($B$1081,MonthFromText(A1095),$L$10))),1)=1))</f>
        <v>#NAME?</v>
      </c>
      <c r="N1095" s="284">
        <f t="shared" si="464"/>
        <v>5</v>
      </c>
      <c r="O1095" s="4">
        <f t="shared" si="465"/>
        <v>245</v>
      </c>
      <c r="P1095" s="312">
        <f t="shared" si="466"/>
        <v>5880</v>
      </c>
      <c r="Q1095" s="192" t="e">
        <f t="shared" ca="1" si="468"/>
        <v>#NAME?</v>
      </c>
      <c r="R1095" s="312" t="e">
        <f t="shared" ca="1" si="467"/>
        <v>#NAME?</v>
      </c>
      <c r="S1095" s="285">
        <v>6</v>
      </c>
      <c r="T1095" s="285">
        <v>4</v>
      </c>
      <c r="AD1095" s="288"/>
      <c r="AE1095" s="289" t="s">
        <v>816</v>
      </c>
      <c r="AF1095" s="4">
        <f>W1062</f>
        <v>51.259408602150536</v>
      </c>
      <c r="AG1095" s="4">
        <f>X1062</f>
        <v>1.7843850082229759E-2</v>
      </c>
      <c r="AH1095" s="4">
        <f>Y1062</f>
        <v>-2.5809368694848959E-2</v>
      </c>
      <c r="AI1095" s="4">
        <f>Z1062</f>
        <v>40.774193548387096</v>
      </c>
      <c r="AJ1095" s="304"/>
    </row>
    <row r="1096" spans="1:36" ht="15.75" customHeight="1" x14ac:dyDescent="0.3">
      <c r="A1096" s="257" t="s">
        <v>20</v>
      </c>
      <c r="B1096" s="211" t="e">
        <f ca="1">+$N$10-M1096</f>
        <v>#NAME?</v>
      </c>
      <c r="C1096" s="284">
        <v>5</v>
      </c>
      <c r="D1096" s="284">
        <v>0</v>
      </c>
      <c r="E1096" s="284" t="s">
        <v>803</v>
      </c>
      <c r="F1096" s="192">
        <f t="shared" si="459"/>
        <v>245</v>
      </c>
      <c r="G1096" s="192">
        <f t="shared" si="460"/>
        <v>0</v>
      </c>
      <c r="H1096" s="192" t="s">
        <v>803</v>
      </c>
      <c r="I1096" s="192">
        <f t="shared" si="461"/>
        <v>4410</v>
      </c>
      <c r="J1096" s="192">
        <f t="shared" si="462"/>
        <v>0</v>
      </c>
      <c r="K1096" s="192" t="s">
        <v>803</v>
      </c>
      <c r="L1096" s="312">
        <f t="shared" si="463"/>
        <v>4410</v>
      </c>
      <c r="M1096" s="211" t="e">
        <f ca="1">SUMPRODUCT(--(WEEKDAY(ROW(INDIRECT(DATE($B$1081,MonthFromText(A1096),1)&amp;":"&amp;DATE($B$1081,MonthFromText(A1096),$N$10))),1)=1))</f>
        <v>#NAME?</v>
      </c>
      <c r="N1096" s="284">
        <f t="shared" si="464"/>
        <v>5</v>
      </c>
      <c r="O1096" s="4">
        <f t="shared" si="465"/>
        <v>245</v>
      </c>
      <c r="P1096" s="312">
        <f t="shared" si="466"/>
        <v>5880</v>
      </c>
      <c r="Q1096" s="192" t="e">
        <f t="shared" ca="1" si="468"/>
        <v>#NAME?</v>
      </c>
      <c r="R1096" s="312" t="e">
        <f t="shared" ca="1" si="467"/>
        <v>#NAME?</v>
      </c>
      <c r="S1096" s="285">
        <v>6</v>
      </c>
      <c r="T1096" s="285">
        <v>4</v>
      </c>
      <c r="AD1096" s="288" t="s">
        <v>826</v>
      </c>
      <c r="AE1096" s="289" t="s">
        <v>7</v>
      </c>
      <c r="AJ1096" s="304"/>
    </row>
    <row r="1097" spans="1:36" ht="15.75" customHeight="1" x14ac:dyDescent="0.3">
      <c r="A1097" s="257" t="s">
        <v>21</v>
      </c>
      <c r="B1097" s="211" t="e">
        <f ca="1">+$O$10-M1097</f>
        <v>#NAME?</v>
      </c>
      <c r="C1097" s="284">
        <v>5</v>
      </c>
      <c r="D1097" s="284">
        <v>0</v>
      </c>
      <c r="E1097" s="284" t="s">
        <v>803</v>
      </c>
      <c r="F1097" s="192">
        <f t="shared" si="459"/>
        <v>245</v>
      </c>
      <c r="G1097" s="192">
        <f t="shared" si="460"/>
        <v>0</v>
      </c>
      <c r="H1097" s="192" t="s">
        <v>803</v>
      </c>
      <c r="I1097" s="192">
        <f t="shared" si="461"/>
        <v>4410</v>
      </c>
      <c r="J1097" s="192">
        <f t="shared" si="462"/>
        <v>0</v>
      </c>
      <c r="K1097" s="192" t="s">
        <v>803</v>
      </c>
      <c r="L1097" s="312">
        <f t="shared" si="463"/>
        <v>4410</v>
      </c>
      <c r="M1097" s="211" t="e">
        <f ca="1">SUMPRODUCT(--(WEEKDAY(ROW(INDIRECT(DATE($B$1081,MonthFromText(A1097),1)&amp;":"&amp;DATE($B$1081,MonthFromText(A1097),$O$10))),1)=1))</f>
        <v>#NAME?</v>
      </c>
      <c r="N1097" s="284">
        <v>3</v>
      </c>
      <c r="O1097" s="4">
        <f t="shared" si="465"/>
        <v>147</v>
      </c>
      <c r="P1097" s="312">
        <f t="shared" si="466"/>
        <v>3528</v>
      </c>
      <c r="Q1097" s="192" t="e">
        <f t="shared" ca="1" si="468"/>
        <v>#NAME?</v>
      </c>
      <c r="R1097" s="312" t="e">
        <f t="shared" ca="1" si="467"/>
        <v>#NAME?</v>
      </c>
      <c r="S1097" s="285">
        <v>6</v>
      </c>
      <c r="T1097" s="285">
        <v>4</v>
      </c>
      <c r="AD1097" s="288" t="s">
        <v>672</v>
      </c>
      <c r="AE1097" s="289" t="s">
        <v>825</v>
      </c>
      <c r="AF1097" s="4">
        <f>V1063</f>
        <v>388.3</v>
      </c>
      <c r="AG1097" s="4">
        <f>X1063</f>
        <v>3.292192060535307</v>
      </c>
      <c r="AH1097" s="4">
        <f>Y1063</f>
        <v>-2.8633531789469693</v>
      </c>
      <c r="AI1097" s="4">
        <f>Z1063</f>
        <v>64.19861111111112</v>
      </c>
      <c r="AJ1097" s="304"/>
    </row>
    <row r="1098" spans="1:36" ht="15.75" customHeight="1" thickBot="1" x14ac:dyDescent="0.35">
      <c r="A1098" s="257" t="s">
        <v>22</v>
      </c>
      <c r="B1098" s="220" t="e">
        <f ca="1">+$P$10-M1098</f>
        <v>#NAME?</v>
      </c>
      <c r="C1098" s="290">
        <v>5</v>
      </c>
      <c r="D1098" s="290">
        <v>0</v>
      </c>
      <c r="E1098" s="284" t="s">
        <v>803</v>
      </c>
      <c r="F1098" s="192">
        <f t="shared" si="459"/>
        <v>245</v>
      </c>
      <c r="G1098" s="192">
        <f t="shared" si="460"/>
        <v>0</v>
      </c>
      <c r="H1098" s="192" t="s">
        <v>803</v>
      </c>
      <c r="I1098" s="192">
        <f t="shared" si="461"/>
        <v>4410</v>
      </c>
      <c r="J1098" s="192">
        <f t="shared" si="462"/>
        <v>0</v>
      </c>
      <c r="K1098" s="192" t="s">
        <v>803</v>
      </c>
      <c r="L1098" s="312">
        <f t="shared" si="463"/>
        <v>4410</v>
      </c>
      <c r="M1098" s="220" t="e">
        <f ca="1">SUMPRODUCT(--(WEEKDAY(ROW(INDIRECT(DATE($B$1081,MonthFromText(A1098),1)&amp;":"&amp;DATE($B$1081,MonthFromText(A1098),$P$10))),1)=1))</f>
        <v>#NAME?</v>
      </c>
      <c r="N1098" s="284">
        <v>3</v>
      </c>
      <c r="O1098" s="135">
        <f t="shared" si="465"/>
        <v>147</v>
      </c>
      <c r="P1098" s="272">
        <f t="shared" si="466"/>
        <v>3528</v>
      </c>
      <c r="Q1098" s="291" t="e">
        <f t="shared" ca="1" si="468"/>
        <v>#NAME?</v>
      </c>
      <c r="R1098" s="292" t="e">
        <f t="shared" ca="1" si="467"/>
        <v>#NAME?</v>
      </c>
      <c r="S1098" s="285">
        <v>6</v>
      </c>
      <c r="T1098" s="285">
        <v>4</v>
      </c>
      <c r="AD1098" s="288"/>
      <c r="AE1098" s="289" t="s">
        <v>816</v>
      </c>
      <c r="AF1098" s="4">
        <f>W1063</f>
        <v>94.300000000000011</v>
      </c>
      <c r="AG1098" s="4">
        <f>X1063</f>
        <v>3.292192060535307</v>
      </c>
      <c r="AH1098" s="4">
        <f>Y1063</f>
        <v>-2.8633531789469693</v>
      </c>
      <c r="AI1098" s="4">
        <f>Z1063</f>
        <v>64.19861111111112</v>
      </c>
      <c r="AJ1098" s="304"/>
    </row>
    <row r="1099" spans="1:36" ht="15.75" customHeight="1" thickBot="1" x14ac:dyDescent="0.35">
      <c r="A1099" s="134"/>
      <c r="B1099" s="135"/>
      <c r="C1099" s="135"/>
      <c r="D1099" s="135"/>
      <c r="E1099" s="223"/>
      <c r="F1099" s="223"/>
      <c r="G1099" s="223"/>
      <c r="H1099" s="223"/>
      <c r="I1099" s="223"/>
      <c r="J1099" s="223"/>
      <c r="K1099" s="223"/>
      <c r="L1099" s="223"/>
      <c r="M1099" s="135"/>
      <c r="N1099" s="135"/>
      <c r="O1099" s="135"/>
      <c r="P1099" s="135"/>
      <c r="Q1099" s="206" t="e">
        <f ca="1">+SUM(Q1087:Q1098)</f>
        <v>#NAME?</v>
      </c>
      <c r="R1099" s="272" t="e">
        <f ca="1">+Q1099-B993</f>
        <v>#NAME?</v>
      </c>
      <c r="AD1099" s="288" t="s">
        <v>826</v>
      </c>
      <c r="AE1099" s="289" t="s">
        <v>7</v>
      </c>
      <c r="AJ1099" s="304"/>
    </row>
    <row r="1100" spans="1:36" ht="15.75" customHeight="1" x14ac:dyDescent="0.3">
      <c r="A1100" s="260" t="s">
        <v>827</v>
      </c>
      <c r="J1100" s="192"/>
      <c r="AD1100" s="288" t="s">
        <v>673</v>
      </c>
      <c r="AE1100" s="289" t="s">
        <v>825</v>
      </c>
      <c r="AF1100" s="4">
        <f>V1064</f>
        <v>388.375</v>
      </c>
      <c r="AG1100" s="4">
        <f>X1064</f>
        <v>5.3225765366447133</v>
      </c>
      <c r="AH1100" s="4">
        <f>Y1064</f>
        <v>-3.2084460408364941</v>
      </c>
      <c r="AI1100" s="4">
        <f>Z1064</f>
        <v>59.005376344086031</v>
      </c>
      <c r="AJ1100" s="304"/>
    </row>
    <row r="1101" spans="1:36" ht="15.75" customHeight="1" x14ac:dyDescent="0.3">
      <c r="A1101" s="260" t="s">
        <v>828</v>
      </c>
      <c r="AD1101" s="288"/>
      <c r="AE1101" s="289" t="s">
        <v>816</v>
      </c>
      <c r="AF1101" s="4">
        <f>W1064</f>
        <v>94.375</v>
      </c>
      <c r="AG1101" s="4">
        <f>X1064</f>
        <v>5.3225765366447133</v>
      </c>
      <c r="AH1101" s="4">
        <f>Y1064</f>
        <v>-3.2084460408364941</v>
      </c>
      <c r="AI1101" s="4">
        <f>Z1064</f>
        <v>59.005376344086031</v>
      </c>
      <c r="AJ1101" s="304"/>
    </row>
    <row r="1102" spans="1:36" ht="15.75" customHeight="1" x14ac:dyDescent="0.3">
      <c r="A1102" s="260" t="s">
        <v>829</v>
      </c>
      <c r="AD1102" s="288" t="s">
        <v>826</v>
      </c>
      <c r="AE1102" s="289" t="s">
        <v>7</v>
      </c>
      <c r="AJ1102" s="304"/>
    </row>
    <row r="1103" spans="1:36" ht="15.75" customHeight="1" x14ac:dyDescent="0.3">
      <c r="AD1103" s="288" t="s">
        <v>675</v>
      </c>
      <c r="AE1103" s="289" t="s">
        <v>825</v>
      </c>
      <c r="AF1103" s="4">
        <f>V1065</f>
        <v>214.08750000000001</v>
      </c>
      <c r="AG1103" s="4">
        <f>X1065</f>
        <v>0.42272885469863541</v>
      </c>
      <c r="AH1103" s="4">
        <f>Y1065</f>
        <v>-16.618129448212333</v>
      </c>
      <c r="AI1103" s="4">
        <f>Z1065</f>
        <v>70.23333333333332</v>
      </c>
      <c r="AJ1103" s="304"/>
    </row>
    <row r="1104" spans="1:36" ht="15.75" customHeight="1" x14ac:dyDescent="0.3">
      <c r="A1104" s="4" t="s">
        <v>830</v>
      </c>
      <c r="AD1104" s="288"/>
      <c r="AE1104" s="289" t="s">
        <v>816</v>
      </c>
      <c r="AF1104" s="4">
        <f>W1065</f>
        <v>67.087500000000006</v>
      </c>
      <c r="AG1104" s="4">
        <f>X1065</f>
        <v>0.42272885469863541</v>
      </c>
      <c r="AH1104" s="4">
        <f>Y1065</f>
        <v>-16.618129448212333</v>
      </c>
      <c r="AI1104" s="4">
        <f>Z1065</f>
        <v>70.23333333333332</v>
      </c>
      <c r="AJ1104" s="304"/>
    </row>
    <row r="1105" spans="9:36" ht="15.75" customHeight="1" x14ac:dyDescent="0.3">
      <c r="AD1105" s="288" t="s">
        <v>826</v>
      </c>
      <c r="AE1105" s="289" t="s">
        <v>7</v>
      </c>
      <c r="AJ1105" s="304"/>
    </row>
    <row r="1106" spans="9:36" ht="15.75" customHeight="1" x14ac:dyDescent="0.3">
      <c r="AD1106" s="288" t="s">
        <v>676</v>
      </c>
      <c r="AE1106" s="289" t="s">
        <v>825</v>
      </c>
      <c r="AF1106" s="4">
        <f>V1066</f>
        <v>205.8736559139785</v>
      </c>
      <c r="AG1106" s="4">
        <f>X1066</f>
        <v>0</v>
      </c>
      <c r="AH1106" s="4">
        <f>Y1066</f>
        <v>-15.667458763577983</v>
      </c>
      <c r="AI1106" s="4">
        <f>Z1066</f>
        <v>71.868279569892479</v>
      </c>
      <c r="AJ1106" s="304"/>
    </row>
    <row r="1107" spans="9:36" ht="16.5" customHeight="1" x14ac:dyDescent="0.3">
      <c r="AD1107" s="288"/>
      <c r="AE1107" s="289" t="s">
        <v>816</v>
      </c>
      <c r="AF1107" s="4">
        <f>W1066</f>
        <v>58.873655913978496</v>
      </c>
      <c r="AG1107" s="4">
        <f>X1066</f>
        <v>0</v>
      </c>
      <c r="AH1107" s="4">
        <f>Y1066</f>
        <v>-15.667458763577983</v>
      </c>
      <c r="AI1107" s="4">
        <f>Z1066</f>
        <v>71.868279569892479</v>
      </c>
      <c r="AJ1107" s="304"/>
    </row>
    <row r="1108" spans="9:36" ht="15.75" customHeight="1" x14ac:dyDescent="0.3">
      <c r="AD1108" s="288" t="s">
        <v>826</v>
      </c>
      <c r="AE1108" s="289" t="s">
        <v>7</v>
      </c>
      <c r="AJ1108" s="304"/>
    </row>
    <row r="1109" spans="9:36" ht="16.5" customHeight="1" x14ac:dyDescent="0.3">
      <c r="AD1109" s="288" t="s">
        <v>691</v>
      </c>
      <c r="AE1109" s="289" t="s">
        <v>825</v>
      </c>
      <c r="AF1109" s="4">
        <f>V1067</f>
        <v>209.75806451612902</v>
      </c>
      <c r="AG1109" s="4">
        <f>X1067</f>
        <v>6.6698144885842343E-3</v>
      </c>
      <c r="AH1109" s="4">
        <f>Y1067</f>
        <v>-10.247646205662289</v>
      </c>
      <c r="AI1109" s="4">
        <f>Z1067</f>
        <v>70.298387096774192</v>
      </c>
      <c r="AJ1109" s="304"/>
    </row>
    <row r="1110" spans="9:36" ht="15.75" customHeight="1" x14ac:dyDescent="0.3">
      <c r="AD1110" s="288"/>
      <c r="AE1110" s="289" t="s">
        <v>816</v>
      </c>
      <c r="AF1110" s="4">
        <f>W1067</f>
        <v>62.758064516129039</v>
      </c>
      <c r="AG1110" s="4">
        <f>X1067</f>
        <v>6.6698144885842343E-3</v>
      </c>
      <c r="AH1110" s="4">
        <f>Y1067</f>
        <v>-10.247646205662289</v>
      </c>
      <c r="AI1110" s="4">
        <f>Z1067</f>
        <v>70.298387096774192</v>
      </c>
      <c r="AJ1110" s="304"/>
    </row>
    <row r="1111" spans="9:36" ht="15.75" customHeight="1" x14ac:dyDescent="0.3">
      <c r="AD1111" s="288" t="s">
        <v>826</v>
      </c>
      <c r="AE1111" s="289" t="s">
        <v>7</v>
      </c>
      <c r="AJ1111" s="304"/>
    </row>
    <row r="1112" spans="9:36" ht="15.75" customHeight="1" x14ac:dyDescent="0.3">
      <c r="AD1112" s="288" t="s">
        <v>831</v>
      </c>
      <c r="AE1112" s="289" t="s">
        <v>825</v>
      </c>
      <c r="AF1112" s="4">
        <f>V1068</f>
        <v>347.20277777777778</v>
      </c>
      <c r="AG1112" s="4">
        <f>X1068</f>
        <v>7.3258898930207685</v>
      </c>
      <c r="AH1112" s="4">
        <f>Y1068</f>
        <v>0</v>
      </c>
      <c r="AI1112" s="4">
        <f>Z1068</f>
        <v>49.298611111111114</v>
      </c>
      <c r="AJ1112" s="304"/>
    </row>
    <row r="1113" spans="9:36" ht="15.75" customHeight="1" x14ac:dyDescent="0.3">
      <c r="AD1113" s="288"/>
      <c r="AE1113" s="289" t="s">
        <v>816</v>
      </c>
      <c r="AF1113" s="4">
        <f>W1068</f>
        <v>102.20277777777778</v>
      </c>
      <c r="AG1113" s="4">
        <f>X1068</f>
        <v>7.3258898930207685</v>
      </c>
      <c r="AH1113" s="4">
        <f>Y1068</f>
        <v>0</v>
      </c>
      <c r="AI1113" s="4">
        <f>Z1068</f>
        <v>49.298611111111114</v>
      </c>
      <c r="AJ1113" s="304"/>
    </row>
    <row r="1114" spans="9:36" ht="15.75" customHeight="1" x14ac:dyDescent="0.3">
      <c r="I1114" s="192"/>
      <c r="J1114" s="192"/>
      <c r="AD1114" s="288" t="s">
        <v>826</v>
      </c>
      <c r="AE1114" s="289" t="s">
        <v>7</v>
      </c>
      <c r="AJ1114" s="304"/>
    </row>
    <row r="1115" spans="9:36" ht="15.75" customHeight="1" x14ac:dyDescent="0.3">
      <c r="AD1115" s="288" t="s">
        <v>693</v>
      </c>
      <c r="AE1115" s="289" t="s">
        <v>825</v>
      </c>
      <c r="AF1115" s="4">
        <f>V1069</f>
        <v>337.48252688172045</v>
      </c>
      <c r="AG1115" s="4">
        <f>X1069</f>
        <v>8.8198569670132354</v>
      </c>
      <c r="AH1115" s="4">
        <f>Y1069</f>
        <v>0</v>
      </c>
      <c r="AI1115" s="4">
        <f>Z1069</f>
        <v>40.767473118279568</v>
      </c>
      <c r="AJ1115" s="304"/>
    </row>
    <row r="1116" spans="9:36" ht="15.75" customHeight="1" x14ac:dyDescent="0.3">
      <c r="AD1116" s="288"/>
      <c r="AE1116" s="289" t="s">
        <v>816</v>
      </c>
      <c r="AF1116" s="4">
        <f>W1069</f>
        <v>92.482526881720432</v>
      </c>
      <c r="AG1116" s="4">
        <f>X1069</f>
        <v>8.8198569670132354</v>
      </c>
      <c r="AH1116" s="4">
        <f>Y1069</f>
        <v>0</v>
      </c>
      <c r="AI1116" s="4">
        <f>Z1069</f>
        <v>40.767473118279568</v>
      </c>
      <c r="AJ1116" s="304"/>
    </row>
    <row r="1117" spans="9:36" ht="15.75" customHeight="1" x14ac:dyDescent="0.3">
      <c r="AD1117" s="288" t="s">
        <v>826</v>
      </c>
      <c r="AE1117" s="289" t="s">
        <v>7</v>
      </c>
      <c r="AJ1117" s="304"/>
    </row>
    <row r="1118" spans="9:36" ht="15.75" customHeight="1" x14ac:dyDescent="0.3">
      <c r="AD1118" s="288" t="s">
        <v>694</v>
      </c>
      <c r="AE1118" s="289" t="s">
        <v>825</v>
      </c>
      <c r="AF1118" s="4">
        <f>V1070</f>
        <v>323.88472222222219</v>
      </c>
      <c r="AG1118" s="4">
        <f>X1070</f>
        <v>24.506443656670069</v>
      </c>
      <c r="AH1118" s="4">
        <f>Y1070</f>
        <v>-0.25531300566014398</v>
      </c>
      <c r="AI1118" s="4">
        <f>Z1070</f>
        <v>5.2722222222222221</v>
      </c>
      <c r="AJ1118" s="304"/>
    </row>
    <row r="1119" spans="9:36" ht="15.75" customHeight="1" x14ac:dyDescent="0.3">
      <c r="AD1119" s="288"/>
      <c r="AE1119" s="289" t="s">
        <v>816</v>
      </c>
      <c r="AF1119" s="4">
        <f>W1070</f>
        <v>78.884722222222223</v>
      </c>
      <c r="AG1119" s="4">
        <f>X1070</f>
        <v>24.506443656670069</v>
      </c>
      <c r="AH1119" s="4">
        <f>Y1070</f>
        <v>-0.25531300566014398</v>
      </c>
      <c r="AI1119" s="4">
        <f>Z1070</f>
        <v>5.2722222222222221</v>
      </c>
      <c r="AJ1119" s="304"/>
    </row>
    <row r="1120" spans="9:36" ht="15.75" customHeight="1" x14ac:dyDescent="0.3">
      <c r="AD1120" s="288" t="s">
        <v>826</v>
      </c>
      <c r="AE1120" s="289" t="s">
        <v>7</v>
      </c>
      <c r="AJ1120" s="304"/>
    </row>
    <row r="1121" spans="1:36" ht="15.75" customHeight="1" thickBot="1" x14ac:dyDescent="0.35">
      <c r="AD1121" s="288" t="s">
        <v>695</v>
      </c>
      <c r="AE1121" s="289" t="s">
        <v>825</v>
      </c>
      <c r="AF1121" s="4">
        <f>V1071</f>
        <v>290.45833333333331</v>
      </c>
      <c r="AG1121" s="4">
        <f>X1071</f>
        <v>6.1471567077599891</v>
      </c>
      <c r="AH1121" s="4">
        <f>Y1071</f>
        <v>0</v>
      </c>
      <c r="AI1121" s="4">
        <f>Z1071</f>
        <v>14.981182795698924</v>
      </c>
      <c r="AJ1121" s="304"/>
    </row>
    <row r="1122" spans="1:36" ht="15.75" customHeight="1" x14ac:dyDescent="0.35">
      <c r="A1122" s="350"/>
      <c r="B1122" s="351"/>
      <c r="C1122" s="369"/>
      <c r="D1122" s="369"/>
      <c r="E1122" s="369"/>
      <c r="F1122" s="369"/>
      <c r="G1122" s="369"/>
      <c r="H1122" s="352" t="s">
        <v>832</v>
      </c>
      <c r="I1122" s="351"/>
      <c r="J1122" s="351"/>
      <c r="K1122" s="351"/>
      <c r="L1122" s="351"/>
      <c r="M1122" s="351"/>
      <c r="N1122" s="351"/>
      <c r="O1122" s="351"/>
      <c r="P1122" s="351"/>
      <c r="Q1122" s="354" t="str">
        <f>+Q1</f>
        <v xml:space="preserve">PRINTED:  </v>
      </c>
      <c r="R1122" s="357">
        <f ca="1">+R1</f>
        <v>44894.658168402777</v>
      </c>
      <c r="S1122" s="358"/>
      <c r="AD1122" s="288"/>
      <c r="AE1122" s="289" t="s">
        <v>816</v>
      </c>
      <c r="AF1122" s="4">
        <f>W1071</f>
        <v>45.458333333333336</v>
      </c>
      <c r="AG1122" s="4">
        <f>X1071</f>
        <v>6.1471567077599891</v>
      </c>
      <c r="AH1122" s="4">
        <f>Y1071</f>
        <v>0</v>
      </c>
      <c r="AI1122" s="4">
        <f>Z1071</f>
        <v>14.981182795698924</v>
      </c>
      <c r="AJ1122" s="304"/>
    </row>
    <row r="1123" spans="1:36" ht="15.75" customHeight="1" thickBot="1" x14ac:dyDescent="0.4">
      <c r="A1123" s="179"/>
      <c r="B1123" s="180"/>
      <c r="C1123" s="201"/>
      <c r="D1123" s="201"/>
      <c r="E1123" s="201"/>
      <c r="F1123" s="201"/>
      <c r="G1123" s="201"/>
      <c r="H1123" s="180" t="s">
        <v>633</v>
      </c>
      <c r="I1123" s="180" t="s">
        <v>7</v>
      </c>
      <c r="J1123" s="202" t="str">
        <f>+A8</f>
        <v>Revised:  11/4/2019</v>
      </c>
      <c r="K1123" s="180"/>
      <c r="L1123" s="180"/>
      <c r="M1123" s="180"/>
      <c r="N1123" s="180"/>
      <c r="O1123" s="180"/>
      <c r="P1123" s="180"/>
      <c r="Q1123" s="180"/>
      <c r="R1123" s="180"/>
      <c r="S1123" s="304"/>
      <c r="AD1123" s="295" t="s">
        <v>826</v>
      </c>
      <c r="AE1123" s="296" t="s">
        <v>7</v>
      </c>
      <c r="AF1123" s="135"/>
      <c r="AG1123" s="135"/>
      <c r="AH1123" s="135"/>
      <c r="AI1123" s="135"/>
      <c r="AJ1123" s="136"/>
    </row>
    <row r="1124" spans="1:36" ht="15.75" customHeight="1" x14ac:dyDescent="0.35">
      <c r="A1124" s="179"/>
      <c r="B1124" s="180"/>
      <c r="C1124" s="201"/>
      <c r="D1124" s="201"/>
      <c r="E1124" s="201"/>
      <c r="F1124" s="201"/>
      <c r="G1124" s="201"/>
      <c r="H1124" s="180" t="s">
        <v>833</v>
      </c>
      <c r="I1124" s="180"/>
      <c r="J1124" s="180"/>
      <c r="K1124" s="180"/>
      <c r="L1124" s="180"/>
      <c r="M1124" s="180"/>
      <c r="N1124" s="180"/>
      <c r="O1124" s="180"/>
      <c r="P1124" s="180"/>
      <c r="Q1124" s="180"/>
      <c r="R1124" s="180"/>
      <c r="S1124" s="304"/>
    </row>
    <row r="1125" spans="1:36" ht="15.75" customHeight="1" x14ac:dyDescent="0.35">
      <c r="A1125" s="179"/>
      <c r="B1125" s="180"/>
      <c r="C1125" s="201"/>
      <c r="D1125" s="201"/>
      <c r="E1125" s="201"/>
      <c r="F1125" s="201"/>
      <c r="G1125" s="201"/>
      <c r="H1125" s="180"/>
      <c r="I1125" s="180"/>
      <c r="J1125" s="180"/>
      <c r="K1125" s="180"/>
      <c r="L1125" s="180"/>
      <c r="M1125" s="180"/>
      <c r="N1125" s="180"/>
      <c r="O1125" s="180"/>
      <c r="P1125" s="180"/>
      <c r="Q1125" s="180"/>
      <c r="R1125" s="180"/>
      <c r="S1125" s="304"/>
    </row>
    <row r="1126" spans="1:36" ht="15.75" customHeight="1" x14ac:dyDescent="0.35">
      <c r="A1126" s="179"/>
      <c r="B1126" s="180"/>
      <c r="C1126" s="201"/>
      <c r="D1126" s="201"/>
      <c r="E1126" s="201"/>
      <c r="F1126" s="201"/>
      <c r="G1126" s="201"/>
      <c r="H1126" s="180" t="s">
        <v>633</v>
      </c>
      <c r="I1126" s="297">
        <f>+A5</f>
        <v>2019</v>
      </c>
      <c r="J1126" s="180"/>
      <c r="K1126" s="180"/>
      <c r="L1126" s="180"/>
      <c r="M1126" s="180"/>
      <c r="N1126" s="180"/>
      <c r="O1126" s="180"/>
      <c r="P1126" s="180"/>
      <c r="Q1126" s="180"/>
      <c r="R1126" s="180"/>
      <c r="S1126" s="304"/>
    </row>
    <row r="1127" spans="1:36" ht="15.75" customHeight="1" x14ac:dyDescent="0.3">
      <c r="A1127" s="179"/>
      <c r="B1127" s="180"/>
      <c r="C1127" s="180"/>
      <c r="D1127" s="180"/>
      <c r="E1127" s="180"/>
      <c r="F1127" s="180"/>
      <c r="G1127" s="180"/>
      <c r="H1127" s="180"/>
      <c r="I1127" s="180"/>
      <c r="J1127" s="180"/>
      <c r="K1127" s="180"/>
      <c r="L1127" s="180"/>
      <c r="M1127" s="180"/>
      <c r="N1127" s="180"/>
      <c r="O1127" s="180"/>
      <c r="P1127" s="180"/>
      <c r="Q1127" s="180"/>
      <c r="R1127" s="180"/>
      <c r="S1127" s="304"/>
    </row>
    <row r="1128" spans="1:36" ht="15.75" customHeight="1" x14ac:dyDescent="0.3">
      <c r="A1128" s="179"/>
      <c r="B1128" s="180"/>
      <c r="C1128" s="199" t="s">
        <v>834</v>
      </c>
      <c r="D1128" s="180"/>
      <c r="E1128" s="180"/>
      <c r="F1128" s="180"/>
      <c r="G1128" s="199" t="s">
        <v>835</v>
      </c>
      <c r="H1128" s="180"/>
      <c r="I1128" s="180"/>
      <c r="J1128" s="180"/>
      <c r="K1128" s="298" t="s">
        <v>836</v>
      </c>
      <c r="L1128" s="180"/>
      <c r="M1128" s="180"/>
      <c r="N1128" s="180"/>
      <c r="O1128" s="298" t="s">
        <v>837</v>
      </c>
      <c r="P1128" s="180"/>
      <c r="Q1128" s="180"/>
      <c r="R1128" s="180"/>
      <c r="S1128" s="304"/>
    </row>
    <row r="1129" spans="1:36" ht="15.75" customHeight="1" x14ac:dyDescent="0.3">
      <c r="A1129" s="179"/>
      <c r="B1129" s="180"/>
      <c r="C1129" s="180">
        <f>+A5</f>
        <v>2019</v>
      </c>
      <c r="D1129" s="180"/>
      <c r="E1129" s="180"/>
      <c r="F1129" s="180" t="s">
        <v>838</v>
      </c>
      <c r="G1129" s="180"/>
      <c r="H1129" s="180"/>
      <c r="I1129" s="180"/>
      <c r="J1129" s="180"/>
      <c r="K1129" s="180">
        <f>+A5</f>
        <v>2019</v>
      </c>
      <c r="L1129" s="180"/>
      <c r="M1129" s="180"/>
      <c r="N1129" s="180"/>
      <c r="O1129" s="180">
        <f>+A5</f>
        <v>2019</v>
      </c>
      <c r="P1129" s="180"/>
      <c r="Q1129" s="180"/>
      <c r="R1129" s="180"/>
      <c r="S1129" s="304"/>
    </row>
    <row r="1130" spans="1:36" ht="15.75" customHeight="1" x14ac:dyDescent="0.3">
      <c r="A1130" s="179"/>
      <c r="B1130" s="180"/>
      <c r="C1130" s="180"/>
      <c r="D1130" s="180"/>
      <c r="E1130" s="180"/>
      <c r="F1130" s="180"/>
      <c r="G1130" s="180">
        <f>+A5</f>
        <v>2019</v>
      </c>
      <c r="H1130" s="180"/>
      <c r="I1130" s="180"/>
      <c r="J1130" s="180"/>
      <c r="K1130" s="180"/>
      <c r="L1130" s="180"/>
      <c r="M1130" s="180"/>
      <c r="N1130" s="180"/>
      <c r="O1130" s="180"/>
      <c r="P1130" s="180"/>
      <c r="Q1130" s="180"/>
      <c r="R1130" s="180"/>
      <c r="S1130" s="304"/>
    </row>
    <row r="1131" spans="1:36" ht="15.75" customHeight="1" x14ac:dyDescent="0.3">
      <c r="A1131" s="179"/>
      <c r="B1131" s="180"/>
      <c r="C1131" s="182" t="s">
        <v>839</v>
      </c>
      <c r="D1131" s="182" t="s">
        <v>840</v>
      </c>
      <c r="E1131" s="182" t="s">
        <v>841</v>
      </c>
      <c r="F1131" s="180"/>
      <c r="G1131" s="182" t="s">
        <v>842</v>
      </c>
      <c r="H1131" s="182" t="s">
        <v>840</v>
      </c>
      <c r="I1131" s="182" t="s">
        <v>843</v>
      </c>
      <c r="J1131" s="180"/>
      <c r="K1131" s="182" t="s">
        <v>738</v>
      </c>
      <c r="L1131" s="182" t="s">
        <v>840</v>
      </c>
      <c r="M1131" s="182" t="s">
        <v>844</v>
      </c>
      <c r="N1131" s="180"/>
      <c r="O1131" s="182" t="s">
        <v>738</v>
      </c>
      <c r="P1131" s="182" t="s">
        <v>840</v>
      </c>
      <c r="Q1131" s="182" t="s">
        <v>844</v>
      </c>
      <c r="R1131" s="180"/>
      <c r="S1131" s="304"/>
    </row>
    <row r="1132" spans="1:36" ht="15.75" customHeight="1" x14ac:dyDescent="0.3">
      <c r="A1132" s="179"/>
      <c r="B1132" s="180"/>
      <c r="C1132" s="182" t="s">
        <v>845</v>
      </c>
      <c r="D1132" s="182" t="s">
        <v>658</v>
      </c>
      <c r="E1132" s="182" t="s">
        <v>846</v>
      </c>
      <c r="F1132" s="180"/>
      <c r="G1132" s="182" t="s">
        <v>847</v>
      </c>
      <c r="H1132" s="182" t="s">
        <v>658</v>
      </c>
      <c r="I1132" s="182" t="s">
        <v>846</v>
      </c>
      <c r="J1132" s="180"/>
      <c r="K1132" s="182" t="s">
        <v>848</v>
      </c>
      <c r="L1132" s="182" t="s">
        <v>658</v>
      </c>
      <c r="M1132" s="182" t="s">
        <v>846</v>
      </c>
      <c r="N1132" s="180"/>
      <c r="O1132" s="182" t="s">
        <v>848</v>
      </c>
      <c r="P1132" s="182" t="s">
        <v>658</v>
      </c>
      <c r="Q1132" s="182" t="s">
        <v>846</v>
      </c>
      <c r="R1132" s="180"/>
      <c r="S1132" s="304"/>
    </row>
    <row r="1133" spans="1:36" ht="15.75" customHeight="1" x14ac:dyDescent="0.3">
      <c r="A1133" s="179"/>
      <c r="B1133" s="180"/>
      <c r="C1133" s="182" t="s">
        <v>658</v>
      </c>
      <c r="D1133" s="182" t="s">
        <v>655</v>
      </c>
      <c r="E1133" s="182" t="s">
        <v>849</v>
      </c>
      <c r="F1133" s="180"/>
      <c r="G1133" s="182" t="s">
        <v>743</v>
      </c>
      <c r="H1133" s="182" t="s">
        <v>655</v>
      </c>
      <c r="I1133" s="182" t="s">
        <v>849</v>
      </c>
      <c r="J1133" s="180"/>
      <c r="K1133" s="182" t="s">
        <v>658</v>
      </c>
      <c r="L1133" s="182" t="s">
        <v>655</v>
      </c>
      <c r="M1133" s="182" t="s">
        <v>849</v>
      </c>
      <c r="N1133" s="180"/>
      <c r="O1133" s="182" t="s">
        <v>658</v>
      </c>
      <c r="P1133" s="182" t="s">
        <v>655</v>
      </c>
      <c r="Q1133" s="182" t="s">
        <v>849</v>
      </c>
      <c r="R1133" s="180"/>
      <c r="S1133" s="304"/>
    </row>
    <row r="1134" spans="1:36" ht="15.75" customHeight="1" x14ac:dyDescent="0.3">
      <c r="A1134" s="179"/>
      <c r="B1134" s="180"/>
      <c r="C1134" s="182" t="s">
        <v>664</v>
      </c>
      <c r="D1134" s="182" t="s">
        <v>850</v>
      </c>
      <c r="E1134" s="182" t="s">
        <v>851</v>
      </c>
      <c r="F1134" s="180"/>
      <c r="G1134" s="182" t="s">
        <v>664</v>
      </c>
      <c r="H1134" s="182" t="s">
        <v>850</v>
      </c>
      <c r="I1134" s="182" t="s">
        <v>851</v>
      </c>
      <c r="J1134" s="180"/>
      <c r="K1134" s="182" t="s">
        <v>664</v>
      </c>
      <c r="L1134" s="182" t="s">
        <v>850</v>
      </c>
      <c r="M1134" s="182" t="s">
        <v>851</v>
      </c>
      <c r="N1134" s="180"/>
      <c r="O1134" s="182" t="s">
        <v>664</v>
      </c>
      <c r="P1134" s="182" t="s">
        <v>850</v>
      </c>
      <c r="Q1134" s="182" t="s">
        <v>851</v>
      </c>
      <c r="R1134" s="180"/>
      <c r="S1134" s="304"/>
    </row>
    <row r="1135" spans="1:36" ht="15.75" customHeight="1" x14ac:dyDescent="0.3">
      <c r="A1135" s="179"/>
      <c r="B1135" s="180"/>
      <c r="C1135" s="180" t="s">
        <v>666</v>
      </c>
      <c r="D1135" s="180" t="s">
        <v>666</v>
      </c>
      <c r="E1135" s="180" t="s">
        <v>666</v>
      </c>
      <c r="F1135" s="180"/>
      <c r="G1135" s="182" t="s">
        <v>666</v>
      </c>
      <c r="H1135" s="182" t="s">
        <v>666</v>
      </c>
      <c r="I1135" s="182" t="s">
        <v>666</v>
      </c>
      <c r="J1135" s="180"/>
      <c r="K1135" s="180" t="s">
        <v>666</v>
      </c>
      <c r="L1135" s="180" t="s">
        <v>666</v>
      </c>
      <c r="M1135" s="180" t="s">
        <v>666</v>
      </c>
      <c r="N1135" s="180"/>
      <c r="O1135" s="180" t="s">
        <v>666</v>
      </c>
      <c r="P1135" s="180" t="s">
        <v>666</v>
      </c>
      <c r="Q1135" s="180" t="s">
        <v>666</v>
      </c>
      <c r="R1135" s="180"/>
      <c r="S1135" s="304"/>
    </row>
    <row r="1136" spans="1:36" ht="15.75" customHeight="1" x14ac:dyDescent="0.3">
      <c r="A1136" s="189" t="s">
        <v>668</v>
      </c>
      <c r="B1136" s="180"/>
      <c r="C1136" s="180">
        <f t="shared" ref="C1136:C1147" si="469">(P1008)</f>
        <v>0.2</v>
      </c>
      <c r="D1136" s="203">
        <v>0</v>
      </c>
      <c r="E1136" s="217">
        <f t="shared" ref="E1136:E1147" si="470">(P1008*D1136/1000)</f>
        <v>0</v>
      </c>
      <c r="F1136" s="180"/>
      <c r="G1136" s="180">
        <v>0</v>
      </c>
      <c r="H1136" s="203">
        <v>0</v>
      </c>
      <c r="I1136" s="217">
        <f t="shared" ref="I1136:I1147" si="471">(G1136*H1136/1000)</f>
        <v>0</v>
      </c>
      <c r="J1136" s="180"/>
      <c r="K1136" s="299">
        <v>11848</v>
      </c>
      <c r="L1136" s="300">
        <v>0</v>
      </c>
      <c r="M1136" s="217">
        <f t="shared" ref="M1136:M1147" si="472">(K1136*L1136/1000)</f>
        <v>0</v>
      </c>
      <c r="N1136" s="180"/>
      <c r="O1136" s="299">
        <v>0</v>
      </c>
      <c r="P1136" s="203">
        <v>0</v>
      </c>
      <c r="Q1136" s="217">
        <f t="shared" ref="Q1136:Q1147" si="473">(O1136*P1136/1000)</f>
        <v>0</v>
      </c>
      <c r="R1136" s="180"/>
      <c r="S1136" s="304"/>
    </row>
    <row r="1137" spans="1:19" ht="15.75" customHeight="1" x14ac:dyDescent="0.3">
      <c r="A1137" s="189" t="s">
        <v>669</v>
      </c>
      <c r="B1137" s="180"/>
      <c r="C1137" s="180">
        <f t="shared" si="469"/>
        <v>0.25</v>
      </c>
      <c r="D1137" s="203">
        <v>0</v>
      </c>
      <c r="E1137" s="217">
        <f t="shared" si="470"/>
        <v>0</v>
      </c>
      <c r="F1137" s="180"/>
      <c r="G1137" s="180" t="e">
        <f>#REF!</f>
        <v>#REF!</v>
      </c>
      <c r="H1137" s="203">
        <v>0</v>
      </c>
      <c r="I1137" s="217" t="e">
        <f t="shared" si="471"/>
        <v>#REF!</v>
      </c>
      <c r="J1137" s="180"/>
      <c r="K1137" s="299">
        <v>11489</v>
      </c>
      <c r="L1137" s="300">
        <v>0</v>
      </c>
      <c r="M1137" s="217">
        <f t="shared" si="472"/>
        <v>0</v>
      </c>
      <c r="N1137" s="180"/>
      <c r="O1137" s="299">
        <v>0</v>
      </c>
      <c r="P1137" s="203">
        <v>0</v>
      </c>
      <c r="Q1137" s="217">
        <f t="shared" si="473"/>
        <v>0</v>
      </c>
      <c r="R1137" s="180"/>
      <c r="S1137" s="304"/>
    </row>
    <row r="1138" spans="1:19" ht="15.75" customHeight="1" x14ac:dyDescent="0.3">
      <c r="A1138" s="189" t="s">
        <v>671</v>
      </c>
      <c r="B1138" s="180"/>
      <c r="C1138" s="180">
        <f t="shared" si="469"/>
        <v>0.3</v>
      </c>
      <c r="D1138" s="203">
        <v>0</v>
      </c>
      <c r="E1138" s="217">
        <f t="shared" si="470"/>
        <v>0</v>
      </c>
      <c r="F1138" s="180">
        <f>SUM(E1136:E1138)</f>
        <v>0</v>
      </c>
      <c r="G1138" s="180" t="e">
        <f>#REF!</f>
        <v>#REF!</v>
      </c>
      <c r="H1138" s="203">
        <v>0</v>
      </c>
      <c r="I1138" s="217" t="e">
        <f t="shared" si="471"/>
        <v>#REF!</v>
      </c>
      <c r="J1138" s="180" t="e">
        <f>SUM(I1136:I1138)</f>
        <v>#REF!</v>
      </c>
      <c r="K1138" s="299">
        <v>16247</v>
      </c>
      <c r="L1138" s="300">
        <v>0</v>
      </c>
      <c r="M1138" s="217">
        <f t="shared" si="472"/>
        <v>0</v>
      </c>
      <c r="N1138" s="180">
        <f>SUM(M1136:M1138)</f>
        <v>0</v>
      </c>
      <c r="O1138" s="299">
        <v>0</v>
      </c>
      <c r="P1138" s="203">
        <v>0</v>
      </c>
      <c r="Q1138" s="217">
        <f t="shared" si="473"/>
        <v>0</v>
      </c>
      <c r="R1138" s="180">
        <f>SUM(Q1136:Q1138)</f>
        <v>0</v>
      </c>
      <c r="S1138" s="304"/>
    </row>
    <row r="1139" spans="1:19" ht="15.75" customHeight="1" x14ac:dyDescent="0.3">
      <c r="A1139" s="189" t="s">
        <v>672</v>
      </c>
      <c r="B1139" s="180"/>
      <c r="C1139" s="180">
        <f t="shared" si="469"/>
        <v>0.35</v>
      </c>
      <c r="D1139" s="203">
        <v>0</v>
      </c>
      <c r="E1139" s="217">
        <f t="shared" si="470"/>
        <v>0</v>
      </c>
      <c r="F1139" s="180"/>
      <c r="G1139" s="180" t="e">
        <f>#REF!</f>
        <v>#REF!</v>
      </c>
      <c r="H1139" s="203">
        <v>0</v>
      </c>
      <c r="I1139" s="217" t="e">
        <f t="shared" si="471"/>
        <v>#REF!</v>
      </c>
      <c r="J1139" s="180"/>
      <c r="K1139" s="299">
        <v>17740</v>
      </c>
      <c r="L1139" s="300">
        <v>0</v>
      </c>
      <c r="M1139" s="217">
        <f t="shared" si="472"/>
        <v>0</v>
      </c>
      <c r="N1139" s="180"/>
      <c r="O1139" s="299">
        <v>0</v>
      </c>
      <c r="P1139" s="203">
        <v>0</v>
      </c>
      <c r="Q1139" s="217">
        <f t="shared" si="473"/>
        <v>0</v>
      </c>
      <c r="R1139" s="180"/>
      <c r="S1139" s="304"/>
    </row>
    <row r="1140" spans="1:19" ht="15.75" customHeight="1" x14ac:dyDescent="0.3">
      <c r="A1140" s="189" t="s">
        <v>673</v>
      </c>
      <c r="B1140" s="180"/>
      <c r="C1140" s="180">
        <f t="shared" si="469"/>
        <v>0.35</v>
      </c>
      <c r="D1140" s="203">
        <v>0</v>
      </c>
      <c r="E1140" s="217">
        <f t="shared" si="470"/>
        <v>0</v>
      </c>
      <c r="F1140" s="180"/>
      <c r="G1140" s="180" t="e">
        <f>#REF!</f>
        <v>#REF!</v>
      </c>
      <c r="H1140" s="203">
        <v>0</v>
      </c>
      <c r="I1140" s="217" t="e">
        <f t="shared" si="471"/>
        <v>#REF!</v>
      </c>
      <c r="J1140" s="180"/>
      <c r="K1140" s="299">
        <v>15434</v>
      </c>
      <c r="L1140" s="300">
        <v>0</v>
      </c>
      <c r="M1140" s="217">
        <f t="shared" si="472"/>
        <v>0</v>
      </c>
      <c r="N1140" s="180"/>
      <c r="O1140" s="299">
        <v>0</v>
      </c>
      <c r="P1140" s="203">
        <v>0</v>
      </c>
      <c r="Q1140" s="217">
        <f t="shared" si="473"/>
        <v>0</v>
      </c>
      <c r="R1140" s="180"/>
      <c r="S1140" s="304"/>
    </row>
    <row r="1141" spans="1:19" ht="15.75" customHeight="1" x14ac:dyDescent="0.3">
      <c r="A1141" s="189" t="s">
        <v>675</v>
      </c>
      <c r="B1141" s="180"/>
      <c r="C1141" s="180">
        <f t="shared" si="469"/>
        <v>7.4999999999999997E-2</v>
      </c>
      <c r="D1141" s="203">
        <v>0</v>
      </c>
      <c r="E1141" s="217">
        <f t="shared" si="470"/>
        <v>0</v>
      </c>
      <c r="F1141" s="180">
        <f>SUM(E1139:E1141)</f>
        <v>0</v>
      </c>
      <c r="G1141" s="180" t="e">
        <f>#REF!</f>
        <v>#REF!</v>
      </c>
      <c r="H1141" s="203">
        <v>0</v>
      </c>
      <c r="I1141" s="217" t="e">
        <f t="shared" si="471"/>
        <v>#REF!</v>
      </c>
      <c r="J1141" s="180" t="e">
        <f>SUM(I1139:I1141)</f>
        <v>#REF!</v>
      </c>
      <c r="K1141" s="299">
        <v>14355</v>
      </c>
      <c r="L1141" s="300">
        <v>0</v>
      </c>
      <c r="M1141" s="217">
        <f t="shared" si="472"/>
        <v>0</v>
      </c>
      <c r="N1141" s="180">
        <f>SUM(M1139:M1141)</f>
        <v>0</v>
      </c>
      <c r="O1141" s="299">
        <v>0</v>
      </c>
      <c r="P1141" s="203">
        <v>0</v>
      </c>
      <c r="Q1141" s="217">
        <f t="shared" si="473"/>
        <v>0</v>
      </c>
      <c r="R1141" s="180">
        <f>SUM(Q1139:Q1141)</f>
        <v>0</v>
      </c>
      <c r="S1141" s="304"/>
    </row>
    <row r="1142" spans="1:19" ht="15.75" customHeight="1" x14ac:dyDescent="0.3">
      <c r="A1142" s="189" t="s">
        <v>676</v>
      </c>
      <c r="B1142" s="180"/>
      <c r="C1142" s="180">
        <f t="shared" si="469"/>
        <v>0.05</v>
      </c>
      <c r="D1142" s="203">
        <v>0</v>
      </c>
      <c r="E1142" s="217">
        <f t="shared" si="470"/>
        <v>0</v>
      </c>
      <c r="F1142" s="180"/>
      <c r="G1142" s="180" t="e">
        <f>#REF!</f>
        <v>#REF!</v>
      </c>
      <c r="H1142" s="203">
        <v>0</v>
      </c>
      <c r="I1142" s="217" t="e">
        <f t="shared" si="471"/>
        <v>#REF!</v>
      </c>
      <c r="J1142" s="180"/>
      <c r="K1142" s="299">
        <v>13129</v>
      </c>
      <c r="L1142" s="300">
        <v>0</v>
      </c>
      <c r="M1142" s="217">
        <f t="shared" si="472"/>
        <v>0</v>
      </c>
      <c r="N1142" s="180"/>
      <c r="O1142" s="299">
        <v>0</v>
      </c>
      <c r="P1142" s="203">
        <v>0</v>
      </c>
      <c r="Q1142" s="217">
        <f t="shared" si="473"/>
        <v>0</v>
      </c>
      <c r="R1142" s="180"/>
      <c r="S1142" s="304"/>
    </row>
    <row r="1143" spans="1:19" ht="15.75" customHeight="1" x14ac:dyDescent="0.3">
      <c r="A1143" s="189" t="s">
        <v>691</v>
      </c>
      <c r="B1143" s="180"/>
      <c r="C1143" s="180">
        <f t="shared" si="469"/>
        <v>0</v>
      </c>
      <c r="D1143" s="203">
        <v>0</v>
      </c>
      <c r="E1143" s="217">
        <f t="shared" si="470"/>
        <v>0</v>
      </c>
      <c r="F1143" s="180"/>
      <c r="G1143" s="180" t="e">
        <f>#REF!</f>
        <v>#REF!</v>
      </c>
      <c r="H1143" s="203">
        <v>0</v>
      </c>
      <c r="I1143" s="217" t="e">
        <f t="shared" si="471"/>
        <v>#REF!</v>
      </c>
      <c r="J1143" s="180"/>
      <c r="K1143" s="299">
        <v>12545</v>
      </c>
      <c r="L1143" s="300">
        <v>0</v>
      </c>
      <c r="M1143" s="217">
        <f t="shared" si="472"/>
        <v>0</v>
      </c>
      <c r="N1143" s="180"/>
      <c r="O1143" s="299">
        <v>0</v>
      </c>
      <c r="P1143" s="203">
        <v>0</v>
      </c>
      <c r="Q1143" s="217">
        <f t="shared" si="473"/>
        <v>0</v>
      </c>
      <c r="R1143" s="180"/>
      <c r="S1143" s="304"/>
    </row>
    <row r="1144" spans="1:19" ht="15.75" customHeight="1" x14ac:dyDescent="0.3">
      <c r="A1144" s="189" t="s">
        <v>692</v>
      </c>
      <c r="B1144" s="180"/>
      <c r="C1144" s="180">
        <f t="shared" si="469"/>
        <v>0.05</v>
      </c>
      <c r="D1144" s="203">
        <v>0</v>
      </c>
      <c r="E1144" s="217">
        <f t="shared" si="470"/>
        <v>0</v>
      </c>
      <c r="F1144" s="180">
        <f>SUM(E1142:E1144)</f>
        <v>0</v>
      </c>
      <c r="G1144" s="180" t="e">
        <f>#REF!</f>
        <v>#REF!</v>
      </c>
      <c r="H1144" s="203">
        <v>0</v>
      </c>
      <c r="I1144" s="217" t="e">
        <f t="shared" si="471"/>
        <v>#REF!</v>
      </c>
      <c r="J1144" s="180" t="e">
        <f>SUM(I1142:I1144)</f>
        <v>#REF!</v>
      </c>
      <c r="K1144" s="299">
        <v>9350</v>
      </c>
      <c r="L1144" s="300">
        <v>0</v>
      </c>
      <c r="M1144" s="217">
        <f t="shared" si="472"/>
        <v>0</v>
      </c>
      <c r="N1144" s="180">
        <f>SUM(M1142:M1144)</f>
        <v>0</v>
      </c>
      <c r="O1144" s="299">
        <v>0</v>
      </c>
      <c r="P1144" s="203">
        <v>0</v>
      </c>
      <c r="Q1144" s="217">
        <f t="shared" si="473"/>
        <v>0</v>
      </c>
      <c r="R1144" s="180">
        <f>SUM(Q1142:Q1144)</f>
        <v>0</v>
      </c>
      <c r="S1144" s="304"/>
    </row>
    <row r="1145" spans="1:19" ht="15.75" customHeight="1" x14ac:dyDescent="0.3">
      <c r="A1145" s="189" t="s">
        <v>693</v>
      </c>
      <c r="B1145" s="180"/>
      <c r="C1145" s="180">
        <f t="shared" si="469"/>
        <v>0.2</v>
      </c>
      <c r="D1145" s="203">
        <v>0</v>
      </c>
      <c r="E1145" s="217">
        <f t="shared" si="470"/>
        <v>0</v>
      </c>
      <c r="F1145" s="180"/>
      <c r="G1145" s="180" t="e">
        <f>#REF!</f>
        <v>#REF!</v>
      </c>
      <c r="H1145" s="203">
        <v>0</v>
      </c>
      <c r="I1145" s="217" t="e">
        <f t="shared" si="471"/>
        <v>#REF!</v>
      </c>
      <c r="J1145" s="180"/>
      <c r="K1145" s="299">
        <v>11649</v>
      </c>
      <c r="L1145" s="300">
        <v>0</v>
      </c>
      <c r="M1145" s="217">
        <f t="shared" si="472"/>
        <v>0</v>
      </c>
      <c r="N1145" s="180"/>
      <c r="O1145" s="299">
        <v>0</v>
      </c>
      <c r="P1145" s="203">
        <v>0</v>
      </c>
      <c r="Q1145" s="217">
        <f t="shared" si="473"/>
        <v>0</v>
      </c>
      <c r="R1145" s="180"/>
      <c r="S1145" s="304"/>
    </row>
    <row r="1146" spans="1:19" ht="15.75" customHeight="1" x14ac:dyDescent="0.3">
      <c r="A1146" s="189" t="s">
        <v>694</v>
      </c>
      <c r="B1146" s="180"/>
      <c r="C1146" s="180">
        <f t="shared" si="469"/>
        <v>0.2</v>
      </c>
      <c r="D1146" s="203">
        <v>0</v>
      </c>
      <c r="E1146" s="217">
        <f t="shared" si="470"/>
        <v>0</v>
      </c>
      <c r="F1146" s="180"/>
      <c r="G1146" s="180" t="e">
        <f>#REF!</f>
        <v>#REF!</v>
      </c>
      <c r="H1146" s="203">
        <v>0</v>
      </c>
      <c r="I1146" s="217" t="e">
        <f t="shared" si="471"/>
        <v>#REF!</v>
      </c>
      <c r="J1146" s="180"/>
      <c r="K1146" s="299">
        <v>8035</v>
      </c>
      <c r="L1146" s="300">
        <v>0</v>
      </c>
      <c r="M1146" s="217">
        <f t="shared" si="472"/>
        <v>0</v>
      </c>
      <c r="N1146" s="180"/>
      <c r="O1146" s="299">
        <v>0</v>
      </c>
      <c r="P1146" s="203">
        <v>0</v>
      </c>
      <c r="Q1146" s="217">
        <f t="shared" si="473"/>
        <v>0</v>
      </c>
      <c r="R1146" s="180"/>
      <c r="S1146" s="304"/>
    </row>
    <row r="1147" spans="1:19" ht="15.75" customHeight="1" x14ac:dyDescent="0.3">
      <c r="A1147" s="189" t="s">
        <v>695</v>
      </c>
      <c r="B1147" s="180"/>
      <c r="C1147" s="180">
        <f t="shared" si="469"/>
        <v>0.2</v>
      </c>
      <c r="D1147" s="203">
        <v>0</v>
      </c>
      <c r="E1147" s="217">
        <f t="shared" si="470"/>
        <v>0</v>
      </c>
      <c r="F1147" s="180">
        <f>SUM(E1145:E1147)</f>
        <v>0</v>
      </c>
      <c r="G1147" s="180" t="e">
        <f>#REF!</f>
        <v>#REF!</v>
      </c>
      <c r="H1147" s="203">
        <v>0</v>
      </c>
      <c r="I1147" s="217" t="e">
        <f t="shared" si="471"/>
        <v>#REF!</v>
      </c>
      <c r="J1147" s="180" t="e">
        <f>SUM(I1145:I1147)</f>
        <v>#REF!</v>
      </c>
      <c r="K1147" s="299">
        <v>8092</v>
      </c>
      <c r="L1147" s="300">
        <v>0</v>
      </c>
      <c r="M1147" s="217">
        <f t="shared" si="472"/>
        <v>0</v>
      </c>
      <c r="N1147" s="180">
        <f>SUM(M1145:M1147)</f>
        <v>0</v>
      </c>
      <c r="O1147" s="299">
        <v>0</v>
      </c>
      <c r="P1147" s="203">
        <v>0</v>
      </c>
      <c r="Q1147" s="217">
        <f t="shared" si="473"/>
        <v>0</v>
      </c>
      <c r="R1147" s="180">
        <f>SUM(Q1145:Q1147)</f>
        <v>0</v>
      </c>
      <c r="S1147" s="304"/>
    </row>
    <row r="1148" spans="1:19" ht="15.75" customHeight="1" x14ac:dyDescent="0.3">
      <c r="A1148" s="179"/>
      <c r="B1148" s="180"/>
      <c r="C1148" s="180"/>
      <c r="D1148" s="180"/>
      <c r="E1148" s="180"/>
      <c r="F1148" s="180"/>
      <c r="G1148" s="180"/>
      <c r="H1148" s="180"/>
      <c r="I1148" s="180"/>
      <c r="J1148" s="180"/>
      <c r="K1148" s="180"/>
      <c r="L1148" s="180"/>
      <c r="M1148" s="180"/>
      <c r="N1148" s="180"/>
      <c r="O1148" s="180"/>
      <c r="P1148" s="180"/>
      <c r="Q1148" s="180"/>
      <c r="R1148" s="180"/>
      <c r="S1148" s="304"/>
    </row>
    <row r="1149" spans="1:19" ht="15.75" customHeight="1" x14ac:dyDescent="0.3">
      <c r="A1149" s="179"/>
      <c r="B1149" s="180"/>
      <c r="C1149" s="180"/>
      <c r="D1149" s="180"/>
      <c r="E1149" s="180"/>
      <c r="F1149" s="180"/>
      <c r="G1149" s="180"/>
      <c r="H1149" s="180"/>
      <c r="I1149" s="180"/>
      <c r="J1149" s="180"/>
      <c r="K1149" s="180"/>
      <c r="L1149" s="180"/>
      <c r="M1149" s="180"/>
      <c r="N1149" s="180"/>
      <c r="O1149" s="180"/>
      <c r="P1149" s="180"/>
      <c r="Q1149" s="180"/>
      <c r="R1149" s="180"/>
      <c r="S1149" s="304"/>
    </row>
    <row r="1150" spans="1:19" ht="16.5" customHeight="1" thickBot="1" x14ac:dyDescent="0.35">
      <c r="A1150" s="194" t="s">
        <v>641</v>
      </c>
      <c r="B1150" s="195"/>
      <c r="C1150" s="195">
        <f>SUM(C1136:C1147)</f>
        <v>2.2250000000000005</v>
      </c>
      <c r="D1150" s="195"/>
      <c r="E1150" s="301">
        <f>SUM(E1136:E1147)</f>
        <v>0</v>
      </c>
      <c r="F1150" s="195"/>
      <c r="G1150" s="195" t="e">
        <f>SUM(G1136:G1147)</f>
        <v>#REF!</v>
      </c>
      <c r="H1150" s="195" t="s">
        <v>633</v>
      </c>
      <c r="I1150" s="301" t="e">
        <f>SUM(I1136:I1147)</f>
        <v>#REF!</v>
      </c>
      <c r="J1150" s="195"/>
      <c r="K1150" s="195">
        <f>SUM(K1136:K1147)</f>
        <v>149913</v>
      </c>
      <c r="L1150" s="195" t="s">
        <v>633</v>
      </c>
      <c r="M1150" s="301">
        <f>SUM(M1136:M1147)</f>
        <v>0</v>
      </c>
      <c r="N1150" s="195"/>
      <c r="O1150" s="195">
        <f>(SUM(O1136:O1147))</f>
        <v>0</v>
      </c>
      <c r="P1150" s="195" t="s">
        <v>633</v>
      </c>
      <c r="Q1150" s="301">
        <f>SUM(Q1136:Q1147)</f>
        <v>0</v>
      </c>
      <c r="R1150" s="195"/>
      <c r="S1150" s="136"/>
    </row>
  </sheetData>
  <scenarios current="0">
    <scenario name="Jan" count="1" user="Windows User" comment="Created by Windows User on 4/11/2013">
      <inputCells r="B313" val="57771.3688407242" numFmtId="37"/>
    </scenario>
  </scenarios>
  <autoFilter ref="A31:R911" xr:uid="{00000000-0009-0000-0000-000002000000}"/>
  <mergeCells count="73">
    <mergeCell ref="B1081:P1081"/>
    <mergeCell ref="B1082:P1082"/>
    <mergeCell ref="B1084:L1084"/>
    <mergeCell ref="M1084:P1084"/>
    <mergeCell ref="B1058:D1058"/>
    <mergeCell ref="T1058:U1058"/>
    <mergeCell ref="V1058:W1058"/>
    <mergeCell ref="B1077:P1077"/>
    <mergeCell ref="B1078:P1078"/>
    <mergeCell ref="B1079:P1079"/>
    <mergeCell ref="B1057:P1057"/>
    <mergeCell ref="M1003:O1003"/>
    <mergeCell ref="AD1003:AQ1003"/>
    <mergeCell ref="AD1004:AQ1004"/>
    <mergeCell ref="B1028:P1028"/>
    <mergeCell ref="B1029:F1029"/>
    <mergeCell ref="G1029:L1029"/>
    <mergeCell ref="M1029:R1029"/>
    <mergeCell ref="S1029:U1029"/>
    <mergeCell ref="M1030:O1030"/>
    <mergeCell ref="B1052:P1052"/>
    <mergeCell ref="B1053:P1053"/>
    <mergeCell ref="B1054:P1054"/>
    <mergeCell ref="B1056:P1056"/>
    <mergeCell ref="B1001:P1001"/>
    <mergeCell ref="AD1001:AQ1001"/>
    <mergeCell ref="B1002:F1002"/>
    <mergeCell ref="G1002:L1002"/>
    <mergeCell ref="M1002:R1002"/>
    <mergeCell ref="S1002:U1002"/>
    <mergeCell ref="B1000:P1000"/>
    <mergeCell ref="AD1000:AQ1000"/>
    <mergeCell ref="AD966:AQ966"/>
    <mergeCell ref="AD968:AQ968"/>
    <mergeCell ref="B969:P969"/>
    <mergeCell ref="AD969:AQ969"/>
    <mergeCell ref="B970:P970"/>
    <mergeCell ref="B971:P971"/>
    <mergeCell ref="B973:P973"/>
    <mergeCell ref="B974:P974"/>
    <mergeCell ref="B998:P998"/>
    <mergeCell ref="B999:P999"/>
    <mergeCell ref="AD999:AQ999"/>
    <mergeCell ref="AD965:AQ965"/>
    <mergeCell ref="B916:P916"/>
    <mergeCell ref="B917:P917"/>
    <mergeCell ref="B918:P918"/>
    <mergeCell ref="B919:P919"/>
    <mergeCell ref="B943:P943"/>
    <mergeCell ref="B944:P944"/>
    <mergeCell ref="B945:P945"/>
    <mergeCell ref="B946:P946"/>
    <mergeCell ref="B947:P947"/>
    <mergeCell ref="B948:P948"/>
    <mergeCell ref="AD964:AQ964"/>
    <mergeCell ref="B915:P915"/>
    <mergeCell ref="A850:R850"/>
    <mergeCell ref="A851:R851"/>
    <mergeCell ref="A852:R852"/>
    <mergeCell ref="A853:R853"/>
    <mergeCell ref="A855:R855"/>
    <mergeCell ref="A891:R891"/>
    <mergeCell ref="A892:R892"/>
    <mergeCell ref="A893:R893"/>
    <mergeCell ref="A894:R894"/>
    <mergeCell ref="A896:R896"/>
    <mergeCell ref="B914:P914"/>
    <mergeCell ref="A8:R8"/>
    <mergeCell ref="A2:R2"/>
    <mergeCell ref="A3:R3"/>
    <mergeCell ref="A4:R4"/>
    <mergeCell ref="A5:R5"/>
    <mergeCell ref="A6:R6"/>
  </mergeCells>
  <conditionalFormatting sqref="S1008:S1019 S1021">
    <cfRule type="cellIs" dxfId="19" priority="3" operator="lessThan">
      <formula>0</formula>
    </cfRule>
    <cfRule type="cellIs" dxfId="18" priority="4" operator="greaterThan">
      <formula>0</formula>
    </cfRule>
  </conditionalFormatting>
  <conditionalFormatting sqref="S1035:S1046">
    <cfRule type="cellIs" dxfId="17" priority="1" operator="lessThan">
      <formula>0</formula>
    </cfRule>
    <cfRule type="cellIs" dxfId="16" priority="2" operator="greaterThan">
      <formula>0</formula>
    </cfRule>
  </conditionalFormatting>
  <printOptions horizontalCentered="1"/>
  <pageMargins left="0.25" right="0.25" top="0.25" bottom="0.25" header="0" footer="0"/>
  <pageSetup paperSize="17" scale="10" orientation="landscape" r:id="rId1"/>
  <headerFooter alignWithMargins="0"/>
  <rowBreaks count="5" manualBreakCount="5">
    <brk id="847" max="17" man="1"/>
    <brk id="887" max="17" man="1"/>
    <brk id="940" max="18" man="1"/>
    <brk id="968" max="18" man="1"/>
    <brk id="936" min="28" max="46"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62A14-A401-4B8D-AB32-BF8C532DD54F}">
  <sheetPr codeName="Sheet31">
    <pageSetUpPr fitToPage="1"/>
  </sheetPr>
  <dimension ref="A1:AX1136"/>
  <sheetViews>
    <sheetView zoomScale="90" zoomScaleNormal="90" workbookViewId="0">
      <selection activeCell="B10" sqref="B10:P10"/>
    </sheetView>
  </sheetViews>
  <sheetFormatPr defaultColWidth="8.77734375" defaultRowHeight="15.6" x14ac:dyDescent="0.3"/>
  <cols>
    <col min="1" max="1" width="48.21875" style="4" customWidth="1"/>
    <col min="2" max="3" width="11.21875" style="4" customWidth="1"/>
    <col min="4" max="4" width="12.44140625" style="4" customWidth="1"/>
    <col min="5" max="5" width="13.88671875" style="4" customWidth="1"/>
    <col min="6" max="7" width="11.21875" style="4" customWidth="1"/>
    <col min="8" max="8" width="11.77734375" style="4" bestFit="1" customWidth="1"/>
    <col min="9" max="9" width="13.109375" style="4" customWidth="1"/>
    <col min="10" max="10" width="11.77734375" style="4" bestFit="1" customWidth="1"/>
    <col min="11" max="12" width="11.21875" style="4" bestFit="1" customWidth="1"/>
    <col min="13" max="13" width="15" style="4" customWidth="1"/>
    <col min="14" max="14" width="11.21875" style="4" bestFit="1" customWidth="1"/>
    <col min="15" max="15" width="11.77734375" style="4" bestFit="1" customWidth="1"/>
    <col min="16" max="16" width="11.21875" style="4" bestFit="1" customWidth="1"/>
    <col min="17" max="17" width="13" style="4" customWidth="1"/>
    <col min="18" max="18" width="14.21875" style="4" customWidth="1"/>
    <col min="19" max="19" width="15.109375" style="4" customWidth="1"/>
    <col min="20" max="20" width="11.21875" style="4" bestFit="1" customWidth="1"/>
    <col min="21" max="21" width="8.77734375" style="4"/>
    <col min="22" max="22" width="11.6640625" style="4" customWidth="1"/>
    <col min="23" max="23" width="13.6640625" style="4" customWidth="1"/>
    <col min="24" max="24" width="12.44140625" style="4" customWidth="1"/>
    <col min="25" max="25" width="13.21875" style="4" customWidth="1"/>
    <col min="26" max="26" width="12.33203125" style="4" bestFit="1" customWidth="1"/>
    <col min="27" max="28" width="8.77734375" style="4"/>
    <col min="29" max="29" width="13.6640625" style="4" customWidth="1"/>
    <col min="30" max="34" width="8.77734375" style="4"/>
    <col min="35" max="35" width="11.6640625" style="4" customWidth="1"/>
    <col min="36" max="48" width="8.77734375" style="4"/>
    <col min="49" max="49" width="21.5546875" style="4" customWidth="1"/>
    <col min="50" max="50" width="20.88671875" style="4" bestFit="1" customWidth="1"/>
    <col min="51" max="16384" width="8.77734375" style="4"/>
  </cols>
  <sheetData>
    <row r="1" spans="1:36" x14ac:dyDescent="0.3">
      <c r="A1" s="1"/>
      <c r="B1" s="1"/>
      <c r="C1" s="1"/>
      <c r="D1" s="1"/>
      <c r="E1" s="1"/>
      <c r="F1" s="1"/>
      <c r="G1" s="1"/>
      <c r="H1" s="1"/>
      <c r="I1" s="1"/>
      <c r="J1" s="1"/>
      <c r="K1" s="1"/>
      <c r="L1" s="1"/>
      <c r="M1" s="1"/>
      <c r="N1" s="1"/>
      <c r="O1" s="1"/>
      <c r="P1" s="1"/>
      <c r="Q1" s="2" t="s">
        <v>0</v>
      </c>
      <c r="R1" s="3">
        <f ca="1">NOW()</f>
        <v>44894.658168518516</v>
      </c>
    </row>
    <row r="2" spans="1:36" ht="19.5" customHeight="1" x14ac:dyDescent="0.35">
      <c r="A2" s="384" t="s">
        <v>1</v>
      </c>
      <c r="B2" s="384"/>
      <c r="C2" s="384"/>
      <c r="D2" s="384"/>
      <c r="E2" s="384"/>
      <c r="F2" s="384"/>
      <c r="G2" s="384"/>
      <c r="H2" s="384"/>
      <c r="I2" s="384"/>
      <c r="J2" s="384"/>
      <c r="K2" s="384"/>
      <c r="L2" s="384"/>
      <c r="M2" s="384"/>
      <c r="N2" s="384"/>
      <c r="O2" s="384"/>
      <c r="P2" s="384"/>
      <c r="Q2" s="384"/>
      <c r="R2" s="384"/>
    </row>
    <row r="3" spans="1:36" ht="19.5" customHeight="1" x14ac:dyDescent="0.35">
      <c r="A3" s="384" t="s">
        <v>2</v>
      </c>
      <c r="B3" s="384"/>
      <c r="C3" s="384"/>
      <c r="D3" s="384"/>
      <c r="E3" s="384"/>
      <c r="F3" s="384"/>
      <c r="G3" s="384"/>
      <c r="H3" s="384"/>
      <c r="I3" s="384"/>
      <c r="J3" s="384"/>
      <c r="K3" s="384"/>
      <c r="L3" s="384"/>
      <c r="M3" s="384"/>
      <c r="N3" s="384"/>
      <c r="O3" s="384"/>
      <c r="P3" s="384"/>
      <c r="Q3" s="384"/>
      <c r="R3" s="384"/>
    </row>
    <row r="4" spans="1:36" ht="19.5" customHeight="1" x14ac:dyDescent="0.35">
      <c r="A4" s="385" t="s">
        <v>3</v>
      </c>
      <c r="B4" s="385"/>
      <c r="C4" s="385"/>
      <c r="D4" s="385"/>
      <c r="E4" s="385"/>
      <c r="F4" s="385"/>
      <c r="G4" s="385"/>
      <c r="H4" s="385"/>
      <c r="I4" s="385"/>
      <c r="J4" s="385"/>
      <c r="K4" s="385"/>
      <c r="L4" s="385"/>
      <c r="M4" s="385"/>
      <c r="N4" s="385"/>
      <c r="O4" s="385"/>
      <c r="P4" s="385"/>
      <c r="Q4" s="385"/>
      <c r="R4" s="385"/>
    </row>
    <row r="5" spans="1:36" ht="19.5" customHeight="1" x14ac:dyDescent="0.35">
      <c r="A5" s="386">
        <v>2019</v>
      </c>
      <c r="B5" s="386"/>
      <c r="C5" s="386"/>
      <c r="D5" s="386"/>
      <c r="E5" s="386"/>
      <c r="F5" s="386"/>
      <c r="G5" s="386"/>
      <c r="H5" s="386"/>
      <c r="I5" s="386"/>
      <c r="J5" s="386"/>
      <c r="K5" s="386"/>
      <c r="L5" s="386"/>
      <c r="M5" s="386"/>
      <c r="N5" s="386"/>
      <c r="O5" s="386"/>
      <c r="P5" s="386"/>
      <c r="Q5" s="386"/>
      <c r="R5" s="386"/>
    </row>
    <row r="6" spans="1:36" ht="19.5" customHeight="1" x14ac:dyDescent="0.35">
      <c r="A6" s="385" t="s">
        <v>4</v>
      </c>
      <c r="B6" s="385"/>
      <c r="C6" s="385"/>
      <c r="D6" s="385"/>
      <c r="E6" s="385"/>
      <c r="F6" s="385"/>
      <c r="G6" s="385"/>
      <c r="H6" s="385"/>
      <c r="I6" s="385"/>
      <c r="J6" s="385"/>
      <c r="K6" s="385"/>
      <c r="L6" s="385"/>
      <c r="M6" s="385"/>
      <c r="N6" s="385"/>
      <c r="O6" s="385"/>
      <c r="P6" s="385"/>
      <c r="Q6" s="385"/>
      <c r="R6" s="385"/>
    </row>
    <row r="7" spans="1:36" ht="19.5" customHeight="1" x14ac:dyDescent="0.35">
      <c r="A7" s="5"/>
      <c r="B7" s="5"/>
      <c r="C7" s="5"/>
      <c r="D7" s="5"/>
      <c r="E7" s="5"/>
      <c r="F7" s="5"/>
      <c r="G7" s="5"/>
      <c r="H7" s="5"/>
      <c r="I7" s="5"/>
      <c r="J7" s="5"/>
      <c r="K7" s="5"/>
      <c r="L7" s="5"/>
      <c r="M7" s="5"/>
      <c r="N7" s="5"/>
      <c r="O7" s="5"/>
      <c r="P7" s="5"/>
      <c r="Q7" s="5"/>
      <c r="R7" s="5"/>
    </row>
    <row r="8" spans="1:36" ht="15.75" customHeight="1" x14ac:dyDescent="0.3">
      <c r="A8" s="383" t="s">
        <v>857</v>
      </c>
      <c r="B8" s="383"/>
      <c r="C8" s="383"/>
      <c r="D8" s="383"/>
      <c r="E8" s="383"/>
      <c r="F8" s="383"/>
      <c r="G8" s="383"/>
      <c r="H8" s="383"/>
      <c r="I8" s="383"/>
      <c r="J8" s="383"/>
      <c r="K8" s="383"/>
      <c r="L8" s="383"/>
      <c r="M8" s="383"/>
      <c r="N8" s="383"/>
      <c r="O8" s="383"/>
      <c r="P8" s="383"/>
      <c r="Q8" s="383"/>
      <c r="R8" s="383"/>
    </row>
    <row r="9" spans="1:36" ht="15.75" customHeight="1" x14ac:dyDescent="0.3">
      <c r="A9" s="7"/>
      <c r="B9" s="8"/>
      <c r="C9" s="8"/>
      <c r="D9" s="8"/>
      <c r="E9" s="8"/>
      <c r="F9" s="8"/>
      <c r="G9" s="8"/>
      <c r="H9" s="8"/>
      <c r="I9" s="8"/>
      <c r="J9" s="8"/>
      <c r="K9" s="8"/>
      <c r="L9" s="8"/>
      <c r="M9" s="8"/>
      <c r="N9" s="8"/>
      <c r="O9" s="8"/>
      <c r="P9" s="8"/>
      <c r="Q9" s="8"/>
      <c r="R9" s="8"/>
    </row>
    <row r="10" spans="1:36" ht="16.2" thickBot="1" x14ac:dyDescent="0.35">
      <c r="A10" s="1" t="s">
        <v>6</v>
      </c>
      <c r="B10" s="1">
        <v>31</v>
      </c>
      <c r="C10" s="1">
        <v>28</v>
      </c>
      <c r="D10" s="1">
        <v>31</v>
      </c>
      <c r="E10" s="1"/>
      <c r="F10" s="1">
        <v>30</v>
      </c>
      <c r="G10" s="1">
        <v>31</v>
      </c>
      <c r="H10" s="1">
        <v>30</v>
      </c>
      <c r="I10" s="1"/>
      <c r="J10" s="1">
        <v>31</v>
      </c>
      <c r="K10" s="1">
        <v>31</v>
      </c>
      <c r="L10" s="1">
        <v>30</v>
      </c>
      <c r="M10" s="1"/>
      <c r="N10" s="1">
        <v>31</v>
      </c>
      <c r="O10" s="1">
        <v>30</v>
      </c>
      <c r="P10" s="1">
        <v>31</v>
      </c>
      <c r="Q10" s="1"/>
      <c r="R10" s="1"/>
    </row>
    <row r="11" spans="1:36" ht="15.75" customHeight="1" thickBot="1" x14ac:dyDescent="0.35">
      <c r="A11" s="9" t="s">
        <v>7</v>
      </c>
      <c r="B11" s="10" t="s">
        <v>8</v>
      </c>
      <c r="C11" s="11" t="s">
        <v>9</v>
      </c>
      <c r="D11" s="11" t="s">
        <v>10</v>
      </c>
      <c r="E11" s="12" t="s">
        <v>11</v>
      </c>
      <c r="F11" s="11" t="s">
        <v>12</v>
      </c>
      <c r="G11" s="11" t="s">
        <v>13</v>
      </c>
      <c r="H11" s="11" t="s">
        <v>14</v>
      </c>
      <c r="I11" s="12" t="s">
        <v>15</v>
      </c>
      <c r="J11" s="11" t="s">
        <v>16</v>
      </c>
      <c r="K11" s="11" t="s">
        <v>17</v>
      </c>
      <c r="L11" s="11" t="s">
        <v>18</v>
      </c>
      <c r="M11" s="12" t="s">
        <v>19</v>
      </c>
      <c r="N11" s="11" t="s">
        <v>20</v>
      </c>
      <c r="O11" s="11" t="s">
        <v>21</v>
      </c>
      <c r="P11" s="11" t="s">
        <v>22</v>
      </c>
      <c r="Q11" s="12" t="s">
        <v>23</v>
      </c>
      <c r="R11" s="13" t="s">
        <v>24</v>
      </c>
    </row>
    <row r="12" spans="1:36" ht="16.5" customHeight="1" thickBot="1" x14ac:dyDescent="0.35">
      <c r="A12" s="14"/>
      <c r="B12" s="56"/>
      <c r="C12" s="56"/>
      <c r="D12" s="56"/>
      <c r="E12" s="16"/>
      <c r="F12" s="56"/>
      <c r="G12" s="56"/>
      <c r="H12" s="56"/>
      <c r="I12" s="16"/>
      <c r="J12" s="56"/>
      <c r="K12" s="56"/>
      <c r="L12" s="56"/>
      <c r="M12" s="16"/>
      <c r="N12" s="56"/>
      <c r="O12" s="56"/>
      <c r="P12" s="56"/>
      <c r="Q12" s="16"/>
      <c r="R12" s="16"/>
    </row>
    <row r="13" spans="1:36" ht="15.75" customHeight="1" x14ac:dyDescent="0.3">
      <c r="A13" s="17" t="s">
        <v>25</v>
      </c>
      <c r="B13" s="1">
        <f>+B896</f>
        <v>66549</v>
      </c>
      <c r="C13" s="1">
        <f>+C896</f>
        <v>82541</v>
      </c>
      <c r="D13" s="1">
        <f>+D896</f>
        <v>122274</v>
      </c>
      <c r="E13" s="18">
        <f>SUM(B13:D13)</f>
        <v>271364</v>
      </c>
      <c r="F13" s="1">
        <f>+F896</f>
        <v>161298</v>
      </c>
      <c r="G13" s="1">
        <f>+G896</f>
        <v>180958</v>
      </c>
      <c r="H13" s="1">
        <f>+H896</f>
        <v>195407</v>
      </c>
      <c r="I13" s="18">
        <f t="shared" ref="I13:I19" si="0">SUM(F13:H13)</f>
        <v>537663</v>
      </c>
      <c r="J13" s="1">
        <f>+J896</f>
        <v>186109</v>
      </c>
      <c r="K13" s="1">
        <f>+K896</f>
        <v>168077</v>
      </c>
      <c r="L13" s="1">
        <f>+L896</f>
        <v>131864</v>
      </c>
      <c r="M13" s="18">
        <f t="shared" ref="M13:M20" si="1">SUM(J13:L13)</f>
        <v>486050</v>
      </c>
      <c r="N13" s="1">
        <f>+N896</f>
        <v>96756</v>
      </c>
      <c r="O13" s="1">
        <f>+O896</f>
        <v>31769</v>
      </c>
      <c r="P13" s="1">
        <f>+P896</f>
        <v>46241</v>
      </c>
      <c r="Q13" s="19">
        <f t="shared" ref="Q13:Q19" si="2">SUM(N13:P13)</f>
        <v>174766</v>
      </c>
      <c r="R13" s="18">
        <f t="shared" ref="R13:R20" si="3">+E13+I13+M13+Q13</f>
        <v>1469843</v>
      </c>
      <c r="S13" s="4">
        <f>R13-13500</f>
        <v>1456343</v>
      </c>
      <c r="T13" s="4">
        <f>+R13-S13</f>
        <v>13500</v>
      </c>
      <c r="V13" s="21"/>
      <c r="W13" s="21"/>
      <c r="X13" s="21"/>
      <c r="Z13" s="21"/>
      <c r="AA13" s="21"/>
      <c r="AB13" s="21"/>
      <c r="AD13" s="21"/>
      <c r="AE13" s="21"/>
      <c r="AF13" s="21"/>
      <c r="AH13" s="21"/>
      <c r="AI13" s="21"/>
      <c r="AJ13" s="21"/>
    </row>
    <row r="14" spans="1:36" ht="15.75" customHeight="1" x14ac:dyDescent="0.3">
      <c r="A14" s="17" t="s">
        <v>27</v>
      </c>
      <c r="B14" s="1">
        <f>B25+B60+B129+B308+B478+B528+B573+B637+B647+B683+B735+B745+B779+B828</f>
        <v>739</v>
      </c>
      <c r="C14" s="1">
        <f>C25+C60+C129+C308+C478+C528+C573+C637+C647+C683+C735+C745+C779+C828</f>
        <v>1283</v>
      </c>
      <c r="D14" s="1">
        <f>D25+D60+D129+D308+D478+D528+D573+D637+D647+D683+D735+D745+D779+D828</f>
        <v>2185</v>
      </c>
      <c r="E14" s="18">
        <f t="shared" ref="E14:E19" si="4">SUM(B14:D14)</f>
        <v>4207</v>
      </c>
      <c r="F14" s="1">
        <f>F25+F60+F129+F308+F478+F528+F573+F637+F647+F683+F735+F745+F779+F828</f>
        <v>2959</v>
      </c>
      <c r="G14" s="1">
        <f>G25+G60+G129+G308+G478+G528+G573+G637+G647+G683+G735+G745+G779+G828</f>
        <v>3425</v>
      </c>
      <c r="H14" s="1">
        <f>H25+H60+H129+H308+H478+H528+H573+H637+H647+H683+H735+H745+H779+H828</f>
        <v>3464</v>
      </c>
      <c r="I14" s="18">
        <f t="shared" si="0"/>
        <v>9848</v>
      </c>
      <c r="J14" s="1">
        <f>J25+J60+J129+J308+J478+J528+J573+J637+J647+J683+J735+J745+J779+J828</f>
        <v>3382</v>
      </c>
      <c r="K14" s="1">
        <f>K25+K60+K129+K308+K478+K528+K573+K637+K647+K683+K735+K745+K779+K828</f>
        <v>2663</v>
      </c>
      <c r="L14" s="1">
        <f>L25+L60+L129+L308+L478+L528+L573+L637+L647+L683+L735+L745+L779+L828</f>
        <v>2559</v>
      </c>
      <c r="M14" s="18">
        <f t="shared" si="1"/>
        <v>8604</v>
      </c>
      <c r="N14" s="1">
        <f>N25+N60+N129+N308+N478+N528+N573+N637+N647+N683+N735+N745+N779+N828</f>
        <v>2343</v>
      </c>
      <c r="O14" s="1">
        <f>O25+O60+O129+O308+O478+O528+O573+O637+O647+O683+O735+O745+O779+O828</f>
        <v>1892</v>
      </c>
      <c r="P14" s="1">
        <f>P25+P60+P129+P308+P478+P528+P573+P637+P647+P683+P735+P745+P779+P828</f>
        <v>1423</v>
      </c>
      <c r="Q14" s="19">
        <f t="shared" si="2"/>
        <v>5658</v>
      </c>
      <c r="R14" s="18">
        <f t="shared" si="3"/>
        <v>28317</v>
      </c>
    </row>
    <row r="15" spans="1:36" ht="15.75" customHeight="1" x14ac:dyDescent="0.3">
      <c r="A15" s="17" t="s">
        <v>29</v>
      </c>
      <c r="B15" s="1">
        <f>B303</f>
        <v>0</v>
      </c>
      <c r="C15" s="1">
        <f>C303</f>
        <v>352</v>
      </c>
      <c r="D15" s="1">
        <f>D303</f>
        <v>1567</v>
      </c>
      <c r="E15" s="18">
        <f t="shared" si="4"/>
        <v>1919</v>
      </c>
      <c r="F15" s="1">
        <f>F303</f>
        <v>2588</v>
      </c>
      <c r="G15" s="1">
        <f>G303</f>
        <v>3027</v>
      </c>
      <c r="H15" s="1">
        <f>H303</f>
        <v>2355</v>
      </c>
      <c r="I15" s="18">
        <f t="shared" si="0"/>
        <v>7970</v>
      </c>
      <c r="J15" s="1">
        <f>J303</f>
        <v>2002</v>
      </c>
      <c r="K15" s="1">
        <f>K303</f>
        <v>823</v>
      </c>
      <c r="L15" s="1">
        <f>L303</f>
        <v>1176</v>
      </c>
      <c r="M15" s="18">
        <f t="shared" si="1"/>
        <v>4001</v>
      </c>
      <c r="N15" s="1">
        <f>N303</f>
        <v>2117</v>
      </c>
      <c r="O15" s="1">
        <f>O303</f>
        <v>3231</v>
      </c>
      <c r="P15" s="1">
        <f>P303</f>
        <v>941</v>
      </c>
      <c r="Q15" s="19">
        <f t="shared" si="2"/>
        <v>6289</v>
      </c>
      <c r="R15" s="18">
        <f t="shared" si="3"/>
        <v>20179</v>
      </c>
    </row>
    <row r="16" spans="1:36" ht="15.75" customHeight="1" x14ac:dyDescent="0.3">
      <c r="A16" s="22" t="s">
        <v>30</v>
      </c>
      <c r="B16" s="1">
        <f>+B304</f>
        <v>0</v>
      </c>
      <c r="C16" s="1">
        <f>+C304</f>
        <v>0</v>
      </c>
      <c r="D16" s="1">
        <f>+D304</f>
        <v>0</v>
      </c>
      <c r="E16" s="18">
        <f t="shared" si="4"/>
        <v>0</v>
      </c>
      <c r="F16" s="1">
        <f>+F304</f>
        <v>0</v>
      </c>
      <c r="G16" s="1">
        <f>+G304</f>
        <v>0</v>
      </c>
      <c r="H16" s="1">
        <f>+H304</f>
        <v>-21000</v>
      </c>
      <c r="I16" s="18">
        <f t="shared" si="0"/>
        <v>-21000</v>
      </c>
      <c r="J16" s="1">
        <f>+J304</f>
        <v>-9000</v>
      </c>
      <c r="K16" s="1">
        <f>+K304</f>
        <v>0</v>
      </c>
      <c r="L16" s="1">
        <f>+L304</f>
        <v>0</v>
      </c>
      <c r="M16" s="18">
        <f t="shared" si="1"/>
        <v>-9000</v>
      </c>
      <c r="N16" s="1">
        <f>+N304</f>
        <v>0</v>
      </c>
      <c r="O16" s="1">
        <f>+O304</f>
        <v>0</v>
      </c>
      <c r="P16" s="1">
        <f>+P304</f>
        <v>0</v>
      </c>
      <c r="Q16" s="19">
        <f t="shared" si="2"/>
        <v>0</v>
      </c>
      <c r="R16" s="18">
        <f t="shared" si="3"/>
        <v>-30000</v>
      </c>
    </row>
    <row r="17" spans="1:20" ht="15.75" customHeight="1" x14ac:dyDescent="0.3">
      <c r="A17" s="23" t="s">
        <v>31</v>
      </c>
      <c r="B17" s="1">
        <f>B307</f>
        <v>54000</v>
      </c>
      <c r="C17" s="1">
        <f>C307</f>
        <v>79000</v>
      </c>
      <c r="D17" s="1">
        <f>D307</f>
        <v>54000</v>
      </c>
      <c r="E17" s="18">
        <f t="shared" si="4"/>
        <v>187000</v>
      </c>
      <c r="F17" s="1">
        <f>F307</f>
        <v>8000</v>
      </c>
      <c r="G17" s="1">
        <f>G307</f>
        <v>0</v>
      </c>
      <c r="H17" s="1">
        <f>H307</f>
        <v>0</v>
      </c>
      <c r="I17" s="18">
        <f t="shared" si="0"/>
        <v>8000</v>
      </c>
      <c r="J17" s="1">
        <f>J307</f>
        <v>0</v>
      </c>
      <c r="K17" s="1">
        <f>K307</f>
        <v>0</v>
      </c>
      <c r="L17" s="1">
        <f>L307</f>
        <v>13000</v>
      </c>
      <c r="M17" s="18">
        <f t="shared" si="1"/>
        <v>13000</v>
      </c>
      <c r="N17" s="1">
        <f>N307</f>
        <v>42000</v>
      </c>
      <c r="O17" s="1">
        <f>O307</f>
        <v>82000</v>
      </c>
      <c r="P17" s="1">
        <f>P307</f>
        <v>74000</v>
      </c>
      <c r="Q17" s="19">
        <f t="shared" si="2"/>
        <v>198000</v>
      </c>
      <c r="R17" s="18">
        <f t="shared" si="3"/>
        <v>406000</v>
      </c>
    </row>
    <row r="18" spans="1:20" ht="15.75" customHeight="1" x14ac:dyDescent="0.3">
      <c r="A18" s="23" t="s">
        <v>32</v>
      </c>
      <c r="B18" s="1">
        <f>B319</f>
        <v>-33000</v>
      </c>
      <c r="C18" s="1">
        <f>C319</f>
        <v>0</v>
      </c>
      <c r="D18" s="1">
        <f>D319</f>
        <v>0</v>
      </c>
      <c r="E18" s="18">
        <f t="shared" si="4"/>
        <v>-33000</v>
      </c>
      <c r="F18" s="1">
        <f>F319</f>
        <v>0</v>
      </c>
      <c r="G18" s="1">
        <f>G319</f>
        <v>-6000</v>
      </c>
      <c r="H18" s="1">
        <f>H319</f>
        <v>-107000</v>
      </c>
      <c r="I18" s="18">
        <f t="shared" si="0"/>
        <v>-113000</v>
      </c>
      <c r="J18" s="1">
        <f>J319</f>
        <v>-107000</v>
      </c>
      <c r="K18" s="1">
        <f>K319</f>
        <v>-97000</v>
      </c>
      <c r="L18" s="1">
        <f>L319</f>
        <v>0</v>
      </c>
      <c r="M18" s="18">
        <f t="shared" si="1"/>
        <v>-204000</v>
      </c>
      <c r="N18" s="1">
        <f>N319</f>
        <v>0</v>
      </c>
      <c r="O18" s="1">
        <f>O319</f>
        <v>0</v>
      </c>
      <c r="P18" s="1">
        <f>P319</f>
        <v>0</v>
      </c>
      <c r="Q18" s="19">
        <f t="shared" si="2"/>
        <v>0</v>
      </c>
      <c r="R18" s="18">
        <f t="shared" si="3"/>
        <v>-350000</v>
      </c>
    </row>
    <row r="19" spans="1:20" ht="16.5" customHeight="1" thickBot="1" x14ac:dyDescent="0.35">
      <c r="A19" s="24" t="s">
        <v>33</v>
      </c>
      <c r="B19" s="25">
        <f>(B29)</f>
        <v>88288</v>
      </c>
      <c r="C19" s="25">
        <f>(C29)</f>
        <v>163176</v>
      </c>
      <c r="D19" s="25">
        <f>(D29)</f>
        <v>180026</v>
      </c>
      <c r="E19" s="26">
        <f t="shared" si="4"/>
        <v>431490</v>
      </c>
      <c r="F19" s="25">
        <f>(F29)</f>
        <v>174845</v>
      </c>
      <c r="G19" s="25">
        <f>(G29)</f>
        <v>181410</v>
      </c>
      <c r="H19" s="25">
        <f>(H29)</f>
        <v>73226</v>
      </c>
      <c r="I19" s="26">
        <f t="shared" si="0"/>
        <v>429481</v>
      </c>
      <c r="J19" s="25">
        <f>(J29)</f>
        <v>75493</v>
      </c>
      <c r="K19" s="25">
        <f>(K29)</f>
        <v>74563</v>
      </c>
      <c r="L19" s="25">
        <f>(L29)</f>
        <v>148599</v>
      </c>
      <c r="M19" s="26">
        <f t="shared" si="1"/>
        <v>298655</v>
      </c>
      <c r="N19" s="25">
        <f>(N29)</f>
        <v>143216</v>
      </c>
      <c r="O19" s="25">
        <f>(O29)</f>
        <v>118892</v>
      </c>
      <c r="P19" s="25">
        <f>(P29)</f>
        <v>122605</v>
      </c>
      <c r="Q19" s="27">
        <f t="shared" si="2"/>
        <v>384713</v>
      </c>
      <c r="R19" s="26">
        <f t="shared" si="3"/>
        <v>1544339</v>
      </c>
    </row>
    <row r="20" spans="1:20" ht="16.5" customHeight="1" thickBot="1" x14ac:dyDescent="0.35">
      <c r="A20" s="24" t="s">
        <v>34</v>
      </c>
      <c r="B20" s="25">
        <f>+B19</f>
        <v>88288</v>
      </c>
      <c r="C20" s="25">
        <f>+C19</f>
        <v>163176</v>
      </c>
      <c r="D20" s="25">
        <f>+D19</f>
        <v>180026</v>
      </c>
      <c r="E20" s="26">
        <f>SUM(B20:D20)</f>
        <v>431490</v>
      </c>
      <c r="F20" s="25">
        <f>+F19</f>
        <v>174845</v>
      </c>
      <c r="G20" s="25">
        <f>+G19</f>
        <v>181410</v>
      </c>
      <c r="H20" s="25">
        <f>+H19</f>
        <v>73226</v>
      </c>
      <c r="I20" s="26">
        <f>SUM(F20:H20)</f>
        <v>429481</v>
      </c>
      <c r="J20" s="25">
        <f>+J19</f>
        <v>75493</v>
      </c>
      <c r="K20" s="25">
        <f>+K19</f>
        <v>74563</v>
      </c>
      <c r="L20" s="25">
        <f>+L19</f>
        <v>148599</v>
      </c>
      <c r="M20" s="26">
        <f t="shared" si="1"/>
        <v>298655</v>
      </c>
      <c r="N20" s="25">
        <f>+N19</f>
        <v>143216</v>
      </c>
      <c r="O20" s="25">
        <f>+O19</f>
        <v>118892</v>
      </c>
      <c r="P20" s="25">
        <f>+P19</f>
        <v>122605</v>
      </c>
      <c r="Q20" s="27">
        <f>SUM(N20:P20)</f>
        <v>384713</v>
      </c>
      <c r="R20" s="26">
        <f t="shared" si="3"/>
        <v>1544339</v>
      </c>
    </row>
    <row r="21" spans="1:20" ht="15.75" customHeight="1" x14ac:dyDescent="0.3">
      <c r="A21" s="1"/>
      <c r="B21" s="1"/>
      <c r="C21" s="1"/>
      <c r="D21" s="1"/>
      <c r="E21" s="1"/>
      <c r="F21" s="1"/>
      <c r="G21" s="1"/>
      <c r="H21" s="1"/>
      <c r="I21" s="1"/>
      <c r="J21" s="1"/>
      <c r="K21" s="1"/>
      <c r="L21" s="1"/>
      <c r="M21" s="1"/>
      <c r="N21" s="1"/>
      <c r="O21" s="1"/>
      <c r="P21" s="1"/>
      <c r="Q21" s="1"/>
      <c r="R21" s="28"/>
    </row>
    <row r="22" spans="1:20" ht="15.75" customHeight="1" thickBot="1" x14ac:dyDescent="0.35">
      <c r="A22" s="1"/>
      <c r="B22" s="1"/>
      <c r="C22" s="1"/>
      <c r="D22" s="1"/>
      <c r="E22" s="1"/>
      <c r="F22" s="29" t="s">
        <v>7</v>
      </c>
      <c r="G22" s="29" t="s">
        <v>7</v>
      </c>
      <c r="H22" s="1"/>
      <c r="I22" s="1"/>
      <c r="J22" s="1"/>
      <c r="K22" s="1"/>
      <c r="L22" s="1"/>
      <c r="M22" s="1"/>
      <c r="N22" s="29" t="s">
        <v>7</v>
      </c>
      <c r="O22" s="29" t="s">
        <v>7</v>
      </c>
      <c r="P22" s="29" t="s">
        <v>7</v>
      </c>
      <c r="Q22" s="29"/>
      <c r="R22" s="30" t="s">
        <v>7</v>
      </c>
    </row>
    <row r="23" spans="1:20" ht="16.5" customHeight="1" thickBot="1" x14ac:dyDescent="0.35">
      <c r="A23" s="31" t="s">
        <v>35</v>
      </c>
      <c r="B23" s="32" t="s">
        <v>36</v>
      </c>
      <c r="C23" s="33" t="s">
        <v>9</v>
      </c>
      <c r="D23" s="33" t="s">
        <v>10</v>
      </c>
      <c r="E23" s="12" t="s">
        <v>11</v>
      </c>
      <c r="F23" s="33" t="s">
        <v>12</v>
      </c>
      <c r="G23" s="33" t="s">
        <v>13</v>
      </c>
      <c r="H23" s="33" t="s">
        <v>14</v>
      </c>
      <c r="I23" s="34" t="s">
        <v>15</v>
      </c>
      <c r="J23" s="33" t="s">
        <v>16</v>
      </c>
      <c r="K23" s="33" t="s">
        <v>17</v>
      </c>
      <c r="L23" s="33" t="s">
        <v>18</v>
      </c>
      <c r="M23" s="34" t="s">
        <v>19</v>
      </c>
      <c r="N23" s="33" t="s">
        <v>20</v>
      </c>
      <c r="O23" s="33" t="s">
        <v>21</v>
      </c>
      <c r="P23" s="33" t="s">
        <v>22</v>
      </c>
      <c r="Q23" s="34" t="s">
        <v>23</v>
      </c>
      <c r="R23" s="35" t="s">
        <v>24</v>
      </c>
    </row>
    <row r="24" spans="1:20" ht="16.5" customHeight="1" thickBot="1" x14ac:dyDescent="0.35">
      <c r="A24" s="36"/>
      <c r="B24" s="37"/>
      <c r="C24" s="37"/>
      <c r="D24" s="37"/>
      <c r="E24" s="38"/>
      <c r="F24" s="37"/>
      <c r="G24" s="37"/>
      <c r="H24" s="37"/>
      <c r="I24" s="38"/>
      <c r="J24" s="37"/>
      <c r="K24" s="37"/>
      <c r="L24" s="37"/>
      <c r="M24" s="38"/>
      <c r="N24" s="37"/>
      <c r="O24" s="37"/>
      <c r="P24" s="37"/>
      <c r="Q24" s="38"/>
      <c r="R24" s="39"/>
    </row>
    <row r="25" spans="1:20" ht="16.5" customHeight="1" thickBot="1" x14ac:dyDescent="0.35">
      <c r="A25" s="40" t="s">
        <v>37</v>
      </c>
      <c r="B25" s="25">
        <v>97</v>
      </c>
      <c r="C25" s="25">
        <v>148</v>
      </c>
      <c r="D25" s="25">
        <v>274</v>
      </c>
      <c r="E25" s="41">
        <f>SUM(B25:D25)</f>
        <v>519</v>
      </c>
      <c r="F25" s="25">
        <v>367</v>
      </c>
      <c r="G25" s="25">
        <v>425</v>
      </c>
      <c r="H25" s="25">
        <v>417</v>
      </c>
      <c r="I25" s="41">
        <f>SUM(F25:H25)</f>
        <v>1209</v>
      </c>
      <c r="J25" s="25">
        <v>416</v>
      </c>
      <c r="K25" s="25">
        <v>334</v>
      </c>
      <c r="L25" s="25">
        <v>316</v>
      </c>
      <c r="M25" s="41">
        <f>SUM(J25:L25)</f>
        <v>1066</v>
      </c>
      <c r="N25" s="25">
        <v>285</v>
      </c>
      <c r="O25" s="25">
        <v>235</v>
      </c>
      <c r="P25" s="25">
        <v>186</v>
      </c>
      <c r="Q25" s="41">
        <f>SUM(N25:P25)</f>
        <v>706</v>
      </c>
      <c r="R25" s="26">
        <f>+E25+I25+M25+Q25</f>
        <v>3500</v>
      </c>
    </row>
    <row r="26" spans="1:20" ht="17.25" customHeight="1" thickBot="1" x14ac:dyDescent="0.35">
      <c r="A26" s="42"/>
      <c r="B26" s="37"/>
      <c r="C26" s="37"/>
      <c r="D26" s="37"/>
      <c r="E26" s="43"/>
      <c r="F26" s="37"/>
      <c r="G26" s="37"/>
      <c r="H26" s="37"/>
      <c r="I26" s="43"/>
      <c r="J26" s="37"/>
      <c r="K26" s="37"/>
      <c r="L26" s="37"/>
      <c r="M26" s="43"/>
      <c r="N26" s="37"/>
      <c r="O26" s="37"/>
      <c r="P26" s="37"/>
      <c r="Q26" s="43"/>
      <c r="R26" s="44"/>
    </row>
    <row r="27" spans="1:20" ht="15.75" customHeight="1" x14ac:dyDescent="0.3">
      <c r="A27" s="17" t="s">
        <v>38</v>
      </c>
      <c r="B27" s="1">
        <f>B25</f>
        <v>97</v>
      </c>
      <c r="C27" s="1">
        <f>C25</f>
        <v>148</v>
      </c>
      <c r="D27" s="1">
        <f>D25</f>
        <v>274</v>
      </c>
      <c r="E27" s="41">
        <f>SUM(B27:D27)</f>
        <v>519</v>
      </c>
      <c r="F27" s="1">
        <f>F25</f>
        <v>367</v>
      </c>
      <c r="G27" s="1">
        <f>G25</f>
        <v>425</v>
      </c>
      <c r="H27" s="1">
        <f>H25</f>
        <v>417</v>
      </c>
      <c r="I27" s="41">
        <f>SUM(F27:H27)</f>
        <v>1209</v>
      </c>
      <c r="J27" s="1">
        <f>J25</f>
        <v>416</v>
      </c>
      <c r="K27" s="1">
        <f>K25</f>
        <v>334</v>
      </c>
      <c r="L27" s="1">
        <f>L25</f>
        <v>316</v>
      </c>
      <c r="M27" s="41">
        <f>SUM(J27:L27)</f>
        <v>1066</v>
      </c>
      <c r="N27" s="1">
        <f>N25</f>
        <v>285</v>
      </c>
      <c r="O27" s="1">
        <f>O25</f>
        <v>235</v>
      </c>
      <c r="P27" s="1">
        <f>P25</f>
        <v>186</v>
      </c>
      <c r="Q27" s="45">
        <f>SUM(N27:P27)</f>
        <v>706</v>
      </c>
      <c r="R27" s="41">
        <f>+E27+I27+M27+Q27</f>
        <v>3500</v>
      </c>
    </row>
    <row r="28" spans="1:20" ht="15.75" customHeight="1" x14ac:dyDescent="0.3">
      <c r="A28" s="17" t="s">
        <v>39</v>
      </c>
      <c r="B28" s="1">
        <f>(B27/B10)/1.983</f>
        <v>1.5779285214647079</v>
      </c>
      <c r="C28" s="1">
        <f>(C27/C10)/1.983</f>
        <v>2.6655140119587926</v>
      </c>
      <c r="D28" s="1">
        <f>(D27/D10)/1.983</f>
        <v>4.457241390529175</v>
      </c>
      <c r="E28" s="18"/>
      <c r="F28" s="1">
        <f>(F27/F10)/1.983</f>
        <v>6.1691040511010247</v>
      </c>
      <c r="G28" s="1">
        <f>(G27/G10)/1.983</f>
        <v>6.9136043466237203</v>
      </c>
      <c r="H28" s="1">
        <f>(H27/H10)/1.983</f>
        <v>7.0095814422592033</v>
      </c>
      <c r="I28" s="18"/>
      <c r="J28" s="1">
        <f>(J27/J10)/1.983</f>
        <v>6.7671986075187478</v>
      </c>
      <c r="K28" s="1">
        <f>(K27/K10)/1.983</f>
        <v>5.433279651228994</v>
      </c>
      <c r="L28" s="1">
        <f>(L27/L10)/1.983</f>
        <v>5.3118171121196838</v>
      </c>
      <c r="M28" s="18"/>
      <c r="N28" s="1">
        <f>(N27/N10)/1.983</f>
        <v>4.6361817383241419</v>
      </c>
      <c r="O28" s="1">
        <f>(O27/O10)/1.983</f>
        <v>3.9502437384434357</v>
      </c>
      <c r="P28" s="1">
        <f>(P27/P10)/1.983</f>
        <v>3.02571860816944</v>
      </c>
      <c r="Q28" s="19"/>
      <c r="R28" s="18"/>
    </row>
    <row r="29" spans="1:20" ht="15.75" customHeight="1" x14ac:dyDescent="0.3">
      <c r="A29" s="17" t="s">
        <v>40</v>
      </c>
      <c r="B29" s="1">
        <f>B27+B64</f>
        <v>88288</v>
      </c>
      <c r="C29" s="1">
        <f>C27+C64</f>
        <v>163176</v>
      </c>
      <c r="D29" s="1">
        <f>D27+D64</f>
        <v>180026</v>
      </c>
      <c r="E29" s="18">
        <f>SUM(B29:D29)</f>
        <v>431490</v>
      </c>
      <c r="F29" s="1">
        <f>F27+F64</f>
        <v>174845</v>
      </c>
      <c r="G29" s="1">
        <f>G27+G64</f>
        <v>181410</v>
      </c>
      <c r="H29" s="1">
        <f>H27+H64</f>
        <v>73226</v>
      </c>
      <c r="I29" s="18">
        <f>SUM(F29:H29)</f>
        <v>429481</v>
      </c>
      <c r="J29" s="1">
        <f>J27+J64</f>
        <v>75493</v>
      </c>
      <c r="K29" s="1">
        <f>K27+K64</f>
        <v>74563</v>
      </c>
      <c r="L29" s="1">
        <f>L27+L64</f>
        <v>148599</v>
      </c>
      <c r="M29" s="18">
        <f>SUM(J29:L29)</f>
        <v>298655</v>
      </c>
      <c r="N29" s="1">
        <f>N27+N64</f>
        <v>143216</v>
      </c>
      <c r="O29" s="1">
        <f>O27+O64</f>
        <v>118892</v>
      </c>
      <c r="P29" s="1">
        <f>P27+P64</f>
        <v>122605</v>
      </c>
      <c r="Q29" s="19">
        <f>SUM(N29:P29)</f>
        <v>384713</v>
      </c>
      <c r="R29" s="18">
        <f>+E29+I29+M29+Q29</f>
        <v>1544339</v>
      </c>
    </row>
    <row r="30" spans="1:20" s="50" customFormat="1" ht="16.5" customHeight="1" thickBot="1" x14ac:dyDescent="0.35">
      <c r="A30" s="46" t="s">
        <v>41</v>
      </c>
      <c r="B30" s="47">
        <f>(B29/B10)/1.983</f>
        <v>1436.2077660110942</v>
      </c>
      <c r="C30" s="47">
        <f>(C29/C10)/1.983</f>
        <v>2938.8372595634319</v>
      </c>
      <c r="D30" s="47">
        <f>(D29/D10)/1.983</f>
        <v>2928.537732012428</v>
      </c>
      <c r="E30" s="48"/>
      <c r="F30" s="47">
        <f>(F29/F10)/1.983</f>
        <v>2939.065389141032</v>
      </c>
      <c r="G30" s="47">
        <f>(G29/G10)/1.983</f>
        <v>2951.0516812259038</v>
      </c>
      <c r="H30" s="47">
        <f>(H29/H10)/1.983</f>
        <v>1230.8959488989747</v>
      </c>
      <c r="I30" s="48"/>
      <c r="J30" s="47">
        <f>(J29/J10)/1.983</f>
        <v>1228.0676069168578</v>
      </c>
      <c r="K30" s="47">
        <f>(K29/K10)/1.983</f>
        <v>1212.9390138760107</v>
      </c>
      <c r="L30" s="47">
        <f>(L29/L10)/1.983</f>
        <v>2497.8819969742813</v>
      </c>
      <c r="M30" s="48"/>
      <c r="N30" s="47">
        <f>(N29/N10)/1.983</f>
        <v>2329.738259073089</v>
      </c>
      <c r="O30" s="47">
        <f>(O29/O10)/1.983</f>
        <v>1998.5207597915614</v>
      </c>
      <c r="P30" s="47">
        <f>(P29/P10)/1.983</f>
        <v>1994.4528492183558</v>
      </c>
      <c r="Q30" s="49"/>
      <c r="R30" s="48"/>
      <c r="T30" s="51" t="s">
        <v>42</v>
      </c>
    </row>
    <row r="31" spans="1:20" ht="15.75" customHeight="1" x14ac:dyDescent="0.3">
      <c r="A31" s="28"/>
      <c r="B31" s="1"/>
      <c r="C31" s="1"/>
      <c r="D31" s="1"/>
      <c r="E31" s="1"/>
      <c r="F31" s="1"/>
      <c r="G31" s="1"/>
      <c r="H31" s="1"/>
      <c r="I31" s="1"/>
      <c r="J31" s="1"/>
      <c r="K31" s="1"/>
      <c r="L31" s="1"/>
      <c r="M31" s="1"/>
      <c r="N31" s="1"/>
      <c r="O31" s="1"/>
      <c r="P31" s="1"/>
      <c r="Q31" s="1"/>
      <c r="R31" s="28"/>
      <c r="T31" s="52" t="s">
        <v>43</v>
      </c>
    </row>
    <row r="32" spans="1:20" ht="15.75" customHeight="1" thickBot="1" x14ac:dyDescent="0.35">
      <c r="A32" s="28"/>
      <c r="B32" s="1"/>
      <c r="C32" s="1"/>
      <c r="D32" s="1"/>
      <c r="E32" s="1"/>
      <c r="F32" s="1"/>
      <c r="G32" s="1"/>
      <c r="H32" s="1"/>
      <c r="I32" s="1"/>
      <c r="J32" s="1"/>
      <c r="K32" s="1"/>
      <c r="L32" s="1"/>
      <c r="M32" s="1"/>
      <c r="N32" s="1"/>
      <c r="O32" s="1"/>
      <c r="P32" s="1"/>
      <c r="Q32" s="1"/>
      <c r="R32" s="28"/>
    </row>
    <row r="33" spans="1:18" ht="15.75" customHeight="1" thickBot="1" x14ac:dyDescent="0.35">
      <c r="A33" s="53" t="s">
        <v>44</v>
      </c>
      <c r="B33" s="54" t="s">
        <v>36</v>
      </c>
      <c r="C33" s="11" t="s">
        <v>9</v>
      </c>
      <c r="D33" s="11" t="s">
        <v>10</v>
      </c>
      <c r="E33" s="12" t="s">
        <v>11</v>
      </c>
      <c r="F33" s="11" t="s">
        <v>12</v>
      </c>
      <c r="G33" s="11" t="s">
        <v>13</v>
      </c>
      <c r="H33" s="11" t="s">
        <v>14</v>
      </c>
      <c r="I33" s="12" t="s">
        <v>15</v>
      </c>
      <c r="J33" s="11" t="s">
        <v>16</v>
      </c>
      <c r="K33" s="11" t="s">
        <v>17</v>
      </c>
      <c r="L33" s="11" t="s">
        <v>18</v>
      </c>
      <c r="M33" s="12" t="s">
        <v>19</v>
      </c>
      <c r="N33" s="11" t="s">
        <v>20</v>
      </c>
      <c r="O33" s="11" t="s">
        <v>21</v>
      </c>
      <c r="P33" s="11" t="s">
        <v>22</v>
      </c>
      <c r="Q33" s="12" t="s">
        <v>23</v>
      </c>
      <c r="R33" s="13" t="s">
        <v>24</v>
      </c>
    </row>
    <row r="34" spans="1:18" ht="16.5" customHeight="1" thickBot="1" x14ac:dyDescent="0.35">
      <c r="A34" s="43"/>
      <c r="B34" s="55"/>
      <c r="C34" s="56"/>
      <c r="D34" s="56"/>
      <c r="E34" s="16"/>
      <c r="F34" s="56"/>
      <c r="G34" s="56"/>
      <c r="H34" s="56"/>
      <c r="I34" s="16"/>
      <c r="J34" s="56"/>
      <c r="K34" s="56"/>
      <c r="L34" s="56"/>
      <c r="M34" s="16"/>
      <c r="N34" s="56"/>
      <c r="O34" s="56"/>
      <c r="P34" s="56"/>
      <c r="Q34" s="16"/>
      <c r="R34" s="57"/>
    </row>
    <row r="35" spans="1:18" ht="15.75" customHeight="1" x14ac:dyDescent="0.3">
      <c r="A35" s="58" t="s">
        <v>45</v>
      </c>
      <c r="B35" s="30"/>
      <c r="C35" s="30"/>
      <c r="D35" s="30"/>
      <c r="E35" s="59" t="s">
        <v>7</v>
      </c>
      <c r="F35" s="30"/>
      <c r="G35" s="30"/>
      <c r="H35" s="30"/>
      <c r="I35" s="59" t="s">
        <v>7</v>
      </c>
      <c r="J35" s="30"/>
      <c r="K35" s="30"/>
      <c r="L35" s="30"/>
      <c r="M35" s="59" t="s">
        <v>7</v>
      </c>
      <c r="N35" s="30"/>
      <c r="O35" s="30"/>
      <c r="P35" s="30"/>
      <c r="Q35" s="59" t="s">
        <v>7</v>
      </c>
      <c r="R35" s="59" t="s">
        <v>7</v>
      </c>
    </row>
    <row r="36" spans="1:18" ht="15.75" customHeight="1" x14ac:dyDescent="0.3">
      <c r="A36" s="22" t="s">
        <v>46</v>
      </c>
      <c r="B36" s="30" t="s">
        <v>7</v>
      </c>
      <c r="C36" s="60"/>
      <c r="D36" s="60"/>
      <c r="E36" s="59" t="s">
        <v>7</v>
      </c>
      <c r="F36" s="60"/>
      <c r="G36" s="60"/>
      <c r="H36" s="60"/>
      <c r="I36" s="59" t="s">
        <v>7</v>
      </c>
      <c r="J36" s="60"/>
      <c r="K36" s="60"/>
      <c r="L36" s="60"/>
      <c r="M36" s="59" t="s">
        <v>7</v>
      </c>
      <c r="N36" s="60"/>
      <c r="O36" s="60"/>
      <c r="P36" s="60"/>
      <c r="Q36" s="59" t="s">
        <v>7</v>
      </c>
      <c r="R36" s="59" t="s">
        <v>7</v>
      </c>
    </row>
    <row r="37" spans="1:18" ht="15.75" customHeight="1" x14ac:dyDescent="0.3">
      <c r="A37" s="22" t="s">
        <v>47</v>
      </c>
      <c r="B37" s="30"/>
      <c r="C37" s="30"/>
      <c r="D37" s="30"/>
      <c r="E37" s="59" t="s">
        <v>7</v>
      </c>
      <c r="F37" s="30"/>
      <c r="G37" s="30"/>
      <c r="H37" s="30"/>
      <c r="I37" s="59" t="s">
        <v>7</v>
      </c>
      <c r="J37" s="30"/>
      <c r="K37" s="30"/>
      <c r="L37" s="30"/>
      <c r="M37" s="59" t="s">
        <v>7</v>
      </c>
      <c r="N37" s="30"/>
      <c r="O37" s="30"/>
      <c r="P37" s="30"/>
      <c r="Q37" s="59" t="s">
        <v>7</v>
      </c>
      <c r="R37" s="59" t="s">
        <v>7</v>
      </c>
    </row>
    <row r="38" spans="1:18" ht="15.75" customHeight="1" x14ac:dyDescent="0.3">
      <c r="A38" s="61" t="s">
        <v>48</v>
      </c>
      <c r="B38" s="1"/>
      <c r="C38" s="1"/>
      <c r="D38" s="1"/>
      <c r="E38" s="59">
        <f>SUM(B38:D38)</f>
        <v>0</v>
      </c>
      <c r="F38" s="1"/>
      <c r="G38" s="1"/>
      <c r="H38" s="1"/>
      <c r="I38" s="59">
        <f>SUM(F38:H38)</f>
        <v>0</v>
      </c>
      <c r="J38" s="1"/>
      <c r="K38" s="1"/>
      <c r="L38" s="1"/>
      <c r="M38" s="59">
        <f>SUM(J38:L38)</f>
        <v>0</v>
      </c>
      <c r="N38" s="1"/>
      <c r="O38" s="1"/>
      <c r="P38" s="1"/>
      <c r="Q38" s="59">
        <f>SUM(N38:P38)</f>
        <v>0</v>
      </c>
      <c r="R38" s="59">
        <f>+E38+I38+M38+Q38</f>
        <v>0</v>
      </c>
    </row>
    <row r="39" spans="1:18" ht="15.75" customHeight="1" x14ac:dyDescent="0.3">
      <c r="A39" s="22" t="s">
        <v>49</v>
      </c>
      <c r="B39" s="30"/>
      <c r="C39" s="30"/>
      <c r="D39" s="30"/>
      <c r="E39" s="59" t="s">
        <v>50</v>
      </c>
      <c r="F39" s="30"/>
      <c r="G39" s="30"/>
      <c r="H39" s="30"/>
      <c r="I39" s="59" t="s">
        <v>50</v>
      </c>
      <c r="J39" s="30"/>
      <c r="K39" s="30"/>
      <c r="L39" s="30"/>
      <c r="M39" s="59" t="s">
        <v>50</v>
      </c>
      <c r="N39" s="30"/>
      <c r="O39" s="30"/>
      <c r="P39" s="30"/>
      <c r="Q39" s="59" t="s">
        <v>50</v>
      </c>
      <c r="R39" s="59" t="s">
        <v>50</v>
      </c>
    </row>
    <row r="40" spans="1:18" ht="15.75" customHeight="1" thickBot="1" x14ac:dyDescent="0.35">
      <c r="A40" s="22" t="s">
        <v>51</v>
      </c>
      <c r="B40" s="60"/>
      <c r="C40" s="60"/>
      <c r="D40" s="60"/>
      <c r="E40" s="59" t="s">
        <v>7</v>
      </c>
      <c r="F40" s="60"/>
      <c r="G40" s="60"/>
      <c r="H40" s="60"/>
      <c r="I40" s="59" t="s">
        <v>7</v>
      </c>
      <c r="J40" s="60"/>
      <c r="K40" s="60"/>
      <c r="L40" s="60"/>
      <c r="M40" s="59" t="s">
        <v>7</v>
      </c>
      <c r="N40" s="60"/>
      <c r="O40" s="60"/>
      <c r="P40" s="60"/>
      <c r="Q40" s="59" t="s">
        <v>7</v>
      </c>
      <c r="R40" s="59" t="s">
        <v>7</v>
      </c>
    </row>
    <row r="41" spans="1:18" ht="16.5" customHeight="1" thickBot="1" x14ac:dyDescent="0.35">
      <c r="A41" s="62" t="s">
        <v>52</v>
      </c>
      <c r="B41" s="63">
        <f>SUM(B35:B40)</f>
        <v>0</v>
      </c>
      <c r="C41" s="63">
        <f>SUM(C35:C40)</f>
        <v>0</v>
      </c>
      <c r="D41" s="63">
        <f>SUM(D35:D40)</f>
        <v>0</v>
      </c>
      <c r="E41" s="64">
        <f>SUM(B41:D41)</f>
        <v>0</v>
      </c>
      <c r="F41" s="63">
        <f>SUM(F35:F40)</f>
        <v>0</v>
      </c>
      <c r="G41" s="63">
        <f>SUM(G35:G40)</f>
        <v>0</v>
      </c>
      <c r="H41" s="63">
        <f>SUM(H35:H40)</f>
        <v>0</v>
      </c>
      <c r="I41" s="64">
        <f>SUM(F41:H41)</f>
        <v>0</v>
      </c>
      <c r="J41" s="63">
        <f>SUM(J35:J40)</f>
        <v>0</v>
      </c>
      <c r="K41" s="63">
        <f>SUM(K35:K40)</f>
        <v>0</v>
      </c>
      <c r="L41" s="63">
        <f>SUM(L35:L40)</f>
        <v>0</v>
      </c>
      <c r="M41" s="64">
        <f>SUM(J41:L41)</f>
        <v>0</v>
      </c>
      <c r="N41" s="63">
        <f>SUM(N35:N40)</f>
        <v>0</v>
      </c>
      <c r="O41" s="63">
        <f>SUM(O35:O40)</f>
        <v>0</v>
      </c>
      <c r="P41" s="63">
        <f>SUM(P35:P40)</f>
        <v>0</v>
      </c>
      <c r="Q41" s="64">
        <f>SUM(N41:P41)</f>
        <v>0</v>
      </c>
      <c r="R41" s="64">
        <f>+E41+I41+M41+Q41</f>
        <v>0</v>
      </c>
    </row>
    <row r="42" spans="1:18" ht="15.75" customHeight="1" x14ac:dyDescent="0.3">
      <c r="A42" s="22" t="s">
        <v>53</v>
      </c>
      <c r="B42" s="60"/>
      <c r="C42" s="60"/>
      <c r="D42" s="60"/>
      <c r="E42" s="59" t="s">
        <v>7</v>
      </c>
      <c r="F42" s="60"/>
      <c r="G42" s="60"/>
      <c r="H42" s="60"/>
      <c r="I42" s="59" t="s">
        <v>7</v>
      </c>
      <c r="J42" s="60"/>
      <c r="K42" s="60"/>
      <c r="L42" s="60"/>
      <c r="M42" s="59" t="s">
        <v>7</v>
      </c>
      <c r="N42" s="60"/>
      <c r="O42" s="60"/>
      <c r="P42" s="60"/>
      <c r="Q42" s="59" t="s">
        <v>7</v>
      </c>
      <c r="R42" s="65" t="s">
        <v>7</v>
      </c>
    </row>
    <row r="43" spans="1:18" ht="15.75" customHeight="1" x14ac:dyDescent="0.3">
      <c r="A43" s="22" t="s">
        <v>54</v>
      </c>
      <c r="B43" s="60"/>
      <c r="C43" s="60"/>
      <c r="D43" s="60"/>
      <c r="E43" s="59"/>
      <c r="F43" s="60"/>
      <c r="G43" s="60"/>
      <c r="H43" s="60"/>
      <c r="I43" s="59"/>
      <c r="J43" s="60"/>
      <c r="K43" s="60"/>
      <c r="L43" s="60"/>
      <c r="M43" s="59"/>
      <c r="N43" s="60"/>
      <c r="O43" s="60"/>
      <c r="P43" s="60"/>
      <c r="Q43" s="59"/>
      <c r="R43" s="59"/>
    </row>
    <row r="44" spans="1:18" ht="15.75" customHeight="1" x14ac:dyDescent="0.3">
      <c r="A44" s="22" t="s">
        <v>55</v>
      </c>
      <c r="B44" s="60"/>
      <c r="C44" s="60"/>
      <c r="D44" s="60"/>
      <c r="E44" s="59" t="s">
        <v>7</v>
      </c>
      <c r="F44" s="60"/>
      <c r="G44" s="60"/>
      <c r="H44" s="60"/>
      <c r="I44" s="59" t="s">
        <v>7</v>
      </c>
      <c r="J44" s="60"/>
      <c r="K44" s="60"/>
      <c r="L44" s="60"/>
      <c r="M44" s="59" t="s">
        <v>7</v>
      </c>
      <c r="N44" s="60"/>
      <c r="O44" s="60"/>
      <c r="P44" s="60"/>
      <c r="Q44" s="59" t="s">
        <v>7</v>
      </c>
      <c r="R44" s="59" t="s">
        <v>7</v>
      </c>
    </row>
    <row r="45" spans="1:18" ht="15.75" customHeight="1" thickBot="1" x14ac:dyDescent="0.35">
      <c r="A45" s="22" t="s">
        <v>56</v>
      </c>
      <c r="B45" s="60"/>
      <c r="C45" s="60"/>
      <c r="D45" s="60"/>
      <c r="E45" s="59" t="s">
        <v>7</v>
      </c>
      <c r="F45" s="60"/>
      <c r="G45" s="60"/>
      <c r="H45" s="60"/>
      <c r="I45" s="59" t="s">
        <v>7</v>
      </c>
      <c r="J45" s="60"/>
      <c r="K45" s="60"/>
      <c r="L45" s="60"/>
      <c r="M45" s="59" t="s">
        <v>7</v>
      </c>
      <c r="N45" s="60"/>
      <c r="O45" s="60"/>
      <c r="P45" s="60"/>
      <c r="Q45" s="59" t="s">
        <v>7</v>
      </c>
      <c r="R45" s="59" t="s">
        <v>7</v>
      </c>
    </row>
    <row r="46" spans="1:18" ht="16.5" customHeight="1" thickBot="1" x14ac:dyDescent="0.35">
      <c r="A46" s="62" t="s">
        <v>57</v>
      </c>
      <c r="B46" s="63">
        <f>SUM(B42:B45)</f>
        <v>0</v>
      </c>
      <c r="C46" s="63">
        <f>SUM(C42:C45)</f>
        <v>0</v>
      </c>
      <c r="D46" s="63">
        <f>SUM(D42:D45)</f>
        <v>0</v>
      </c>
      <c r="E46" s="64">
        <f>SUM(B46:D46)</f>
        <v>0</v>
      </c>
      <c r="F46" s="63">
        <f>SUM(F42:F45)</f>
        <v>0</v>
      </c>
      <c r="G46" s="63">
        <f>SUM(G42:G45)</f>
        <v>0</v>
      </c>
      <c r="H46" s="63">
        <f>SUM(H42:H45)</f>
        <v>0</v>
      </c>
      <c r="I46" s="64">
        <f>SUM(F46:H46)</f>
        <v>0</v>
      </c>
      <c r="J46" s="63">
        <f>SUM(J42:J45)</f>
        <v>0</v>
      </c>
      <c r="K46" s="63">
        <f>SUM(K42:K45)</f>
        <v>0</v>
      </c>
      <c r="L46" s="63">
        <f>SUM(L42:L45)</f>
        <v>0</v>
      </c>
      <c r="M46" s="64">
        <f>SUM(J46:L46)</f>
        <v>0</v>
      </c>
      <c r="N46" s="63">
        <f>SUM(N42:N45)</f>
        <v>0</v>
      </c>
      <c r="O46" s="63">
        <f>SUM(O42:O45)</f>
        <v>0</v>
      </c>
      <c r="P46" s="63">
        <f>SUM(P42:P45)</f>
        <v>0</v>
      </c>
      <c r="Q46" s="64">
        <f>SUM(N46:P46)</f>
        <v>0</v>
      </c>
      <c r="R46" s="64">
        <f>+E46+I46+M46+Q46</f>
        <v>0</v>
      </c>
    </row>
    <row r="47" spans="1:18" ht="15.75" customHeight="1" x14ac:dyDescent="0.3">
      <c r="A47" s="22" t="s">
        <v>58</v>
      </c>
      <c r="B47" s="60"/>
      <c r="C47" s="60"/>
      <c r="D47" s="60"/>
      <c r="E47" s="59" t="s">
        <v>7</v>
      </c>
      <c r="F47" s="60"/>
      <c r="G47" s="60"/>
      <c r="H47" s="60"/>
      <c r="I47" s="59" t="s">
        <v>7</v>
      </c>
      <c r="J47" s="60"/>
      <c r="K47" s="60"/>
      <c r="L47" s="60"/>
      <c r="M47" s="59" t="s">
        <v>7</v>
      </c>
      <c r="N47" s="60"/>
      <c r="O47" s="60"/>
      <c r="P47" s="60"/>
      <c r="Q47" s="59" t="s">
        <v>7</v>
      </c>
      <c r="R47" s="59" t="s">
        <v>7</v>
      </c>
    </row>
    <row r="48" spans="1:18" ht="15.75" customHeight="1" x14ac:dyDescent="0.3">
      <c r="A48" s="22" t="s">
        <v>59</v>
      </c>
      <c r="B48" s="60"/>
      <c r="C48" s="60"/>
      <c r="D48" s="60"/>
      <c r="E48" s="59" t="s">
        <v>7</v>
      </c>
      <c r="F48" s="60"/>
      <c r="G48" s="60"/>
      <c r="H48" s="60"/>
      <c r="I48" s="59" t="s">
        <v>7</v>
      </c>
      <c r="J48" s="60"/>
      <c r="K48" s="60"/>
      <c r="L48" s="60"/>
      <c r="M48" s="59" t="s">
        <v>7</v>
      </c>
      <c r="N48" s="60"/>
      <c r="O48" s="60"/>
      <c r="P48" s="60"/>
      <c r="Q48" s="59" t="s">
        <v>7</v>
      </c>
      <c r="R48" s="59" t="s">
        <v>7</v>
      </c>
    </row>
    <row r="49" spans="1:18" ht="15.75" customHeight="1" thickBot="1" x14ac:dyDescent="0.35">
      <c r="A49" s="22" t="s">
        <v>60</v>
      </c>
      <c r="B49" s="60"/>
      <c r="C49" s="60"/>
      <c r="D49" s="60"/>
      <c r="E49" s="59"/>
      <c r="F49" s="60"/>
      <c r="G49" s="60"/>
      <c r="H49" s="60"/>
      <c r="I49" s="59"/>
      <c r="J49" s="60"/>
      <c r="K49" s="60"/>
      <c r="L49" s="60"/>
      <c r="M49" s="59"/>
      <c r="N49" s="60"/>
      <c r="O49" s="60"/>
      <c r="P49" s="60"/>
      <c r="Q49" s="59"/>
      <c r="R49" s="59"/>
    </row>
    <row r="50" spans="1:18" ht="16.5" customHeight="1" thickBot="1" x14ac:dyDescent="0.35">
      <c r="A50" s="62" t="s">
        <v>61</v>
      </c>
      <c r="B50" s="63">
        <f>SUM(B47:B49)</f>
        <v>0</v>
      </c>
      <c r="C50" s="63">
        <f>SUM(C47:C49)</f>
        <v>0</v>
      </c>
      <c r="D50" s="63">
        <f>SUM(D47:D49)</f>
        <v>0</v>
      </c>
      <c r="E50" s="64">
        <f>SUM(B50:D50)</f>
        <v>0</v>
      </c>
      <c r="F50" s="63">
        <f>SUM(F47:F49)</f>
        <v>0</v>
      </c>
      <c r="G50" s="63">
        <f>SUM(G47:G49)</f>
        <v>0</v>
      </c>
      <c r="H50" s="63">
        <f>SUM(H47:H49)</f>
        <v>0</v>
      </c>
      <c r="I50" s="64">
        <f>SUM(F50:H50)</f>
        <v>0</v>
      </c>
      <c r="J50" s="63">
        <f>SUM(J47:J49)</f>
        <v>0</v>
      </c>
      <c r="K50" s="63">
        <f>SUM(K47:K49)</f>
        <v>0</v>
      </c>
      <c r="L50" s="63">
        <f>SUM(L47:L49)</f>
        <v>0</v>
      </c>
      <c r="M50" s="64">
        <f>SUM(J50:L50)</f>
        <v>0</v>
      </c>
      <c r="N50" s="63">
        <f>SUM(N47:N49)</f>
        <v>0</v>
      </c>
      <c r="O50" s="63">
        <f>SUM(O47:O49)</f>
        <v>0</v>
      </c>
      <c r="P50" s="63">
        <f>SUM(P47:P49)</f>
        <v>0</v>
      </c>
      <c r="Q50" s="64">
        <f>SUM(N50:P50)</f>
        <v>0</v>
      </c>
      <c r="R50" s="64">
        <f>+E50+I50+M50+Q50</f>
        <v>0</v>
      </c>
    </row>
    <row r="51" spans="1:18" ht="15.75" customHeight="1" x14ac:dyDescent="0.3">
      <c r="A51" s="22" t="s">
        <v>62</v>
      </c>
      <c r="B51" s="60"/>
      <c r="C51" s="60"/>
      <c r="D51" s="60"/>
      <c r="E51" s="59" t="s">
        <v>7</v>
      </c>
      <c r="F51" s="60"/>
      <c r="G51" s="60"/>
      <c r="H51" s="60"/>
      <c r="I51" s="59" t="s">
        <v>7</v>
      </c>
      <c r="J51" s="60"/>
      <c r="K51" s="60"/>
      <c r="L51" s="60"/>
      <c r="M51" s="59" t="s">
        <v>7</v>
      </c>
      <c r="N51" s="60"/>
      <c r="O51" s="60"/>
      <c r="P51" s="60"/>
      <c r="Q51" s="59" t="s">
        <v>7</v>
      </c>
      <c r="R51" s="59" t="s">
        <v>7</v>
      </c>
    </row>
    <row r="52" spans="1:18" ht="15.75" customHeight="1" x14ac:dyDescent="0.3">
      <c r="A52" s="22" t="s">
        <v>63</v>
      </c>
      <c r="B52" s="60"/>
      <c r="C52" s="60"/>
      <c r="D52" s="60"/>
      <c r="E52" s="59" t="s">
        <v>7</v>
      </c>
      <c r="F52" s="60"/>
      <c r="G52" s="60"/>
      <c r="H52" s="60"/>
      <c r="I52" s="59" t="s">
        <v>7</v>
      </c>
      <c r="J52" s="60"/>
      <c r="K52" s="60"/>
      <c r="L52" s="60"/>
      <c r="M52" s="59" t="s">
        <v>7</v>
      </c>
      <c r="N52" s="60"/>
      <c r="O52" s="60"/>
      <c r="P52" s="60"/>
      <c r="Q52" s="59" t="s">
        <v>7</v>
      </c>
      <c r="R52" s="59" t="s">
        <v>7</v>
      </c>
    </row>
    <row r="53" spans="1:18" ht="15.75" customHeight="1" x14ac:dyDescent="0.3">
      <c r="A53" s="22" t="s">
        <v>64</v>
      </c>
      <c r="B53" s="60"/>
      <c r="C53" s="60"/>
      <c r="D53" s="60"/>
      <c r="E53" s="59" t="s">
        <v>7</v>
      </c>
      <c r="F53" s="60"/>
      <c r="G53" s="60"/>
      <c r="H53" s="60"/>
      <c r="I53" s="59" t="s">
        <v>7</v>
      </c>
      <c r="J53" s="60"/>
      <c r="K53" s="60"/>
      <c r="L53" s="60"/>
      <c r="M53" s="59" t="s">
        <v>7</v>
      </c>
      <c r="N53" s="60"/>
      <c r="O53" s="60"/>
      <c r="P53" s="60"/>
      <c r="Q53" s="59" t="s">
        <v>7</v>
      </c>
      <c r="R53" s="59" t="s">
        <v>7</v>
      </c>
    </row>
    <row r="54" spans="1:18" ht="15.75" customHeight="1" x14ac:dyDescent="0.3">
      <c r="A54" s="61" t="s">
        <v>65</v>
      </c>
      <c r="B54" s="1"/>
      <c r="C54" s="1"/>
      <c r="D54" s="1"/>
      <c r="E54" s="59">
        <f>SUM(B54:D54)</f>
        <v>0</v>
      </c>
      <c r="F54" s="1"/>
      <c r="G54" s="1"/>
      <c r="H54" s="1"/>
      <c r="I54" s="59">
        <f>SUM(F54:H54)</f>
        <v>0</v>
      </c>
      <c r="J54" s="1"/>
      <c r="K54" s="1"/>
      <c r="L54" s="1"/>
      <c r="M54" s="59">
        <f>SUM(J54:L54)</f>
        <v>0</v>
      </c>
      <c r="N54" s="1"/>
      <c r="O54" s="1"/>
      <c r="P54" s="1"/>
      <c r="Q54" s="59">
        <f>SUM(N54:P54)</f>
        <v>0</v>
      </c>
      <c r="R54" s="59">
        <f>+E54+I54+M54+Q54</f>
        <v>0</v>
      </c>
    </row>
    <row r="55" spans="1:18" ht="15.75" customHeight="1" x14ac:dyDescent="0.3">
      <c r="A55" s="22" t="s">
        <v>66</v>
      </c>
      <c r="B55" s="60"/>
      <c r="C55" s="60"/>
      <c r="D55" s="60"/>
      <c r="E55" s="59" t="s">
        <v>7</v>
      </c>
      <c r="F55" s="60"/>
      <c r="G55" s="60"/>
      <c r="H55" s="60"/>
      <c r="I55" s="59" t="s">
        <v>7</v>
      </c>
      <c r="J55" s="60"/>
      <c r="K55" s="60"/>
      <c r="L55" s="60"/>
      <c r="M55" s="59" t="s">
        <v>7</v>
      </c>
      <c r="N55" s="60"/>
      <c r="O55" s="60"/>
      <c r="P55" s="60"/>
      <c r="Q55" s="59" t="s">
        <v>7</v>
      </c>
      <c r="R55" s="59" t="s">
        <v>7</v>
      </c>
    </row>
    <row r="56" spans="1:18" ht="15.75" customHeight="1" thickBot="1" x14ac:dyDescent="0.35">
      <c r="A56" s="22" t="s">
        <v>67</v>
      </c>
      <c r="B56" s="60"/>
      <c r="C56" s="60"/>
      <c r="D56" s="60"/>
      <c r="E56" s="59" t="s">
        <v>7</v>
      </c>
      <c r="F56" s="60"/>
      <c r="G56" s="60"/>
      <c r="H56" s="60"/>
      <c r="I56" s="59" t="s">
        <v>7</v>
      </c>
      <c r="J56" s="60"/>
      <c r="K56" s="60"/>
      <c r="L56" s="60"/>
      <c r="M56" s="59" t="s">
        <v>7</v>
      </c>
      <c r="N56" s="60"/>
      <c r="O56" s="60"/>
      <c r="P56" s="60"/>
      <c r="Q56" s="59" t="s">
        <v>7</v>
      </c>
      <c r="R56" s="59" t="s">
        <v>7</v>
      </c>
    </row>
    <row r="57" spans="1:18" ht="16.5" customHeight="1" thickBot="1" x14ac:dyDescent="0.35">
      <c r="A57" s="62" t="s">
        <v>68</v>
      </c>
      <c r="B57" s="63">
        <f>SUM(B55:B56)</f>
        <v>0</v>
      </c>
      <c r="C57" s="63">
        <f>SUM(C55:C56)</f>
        <v>0</v>
      </c>
      <c r="D57" s="63">
        <f>SUM(D55:D56)</f>
        <v>0</v>
      </c>
      <c r="E57" s="65">
        <f>SUM(B57:D57)</f>
        <v>0</v>
      </c>
      <c r="F57" s="63">
        <f>SUM(F55:F56)</f>
        <v>0</v>
      </c>
      <c r="G57" s="63">
        <f>SUM(G55:G56)</f>
        <v>0</v>
      </c>
      <c r="H57" s="63">
        <f>SUM(H55:H56)</f>
        <v>0</v>
      </c>
      <c r="I57" s="65">
        <f>SUM(F57:H57)</f>
        <v>0</v>
      </c>
      <c r="J57" s="63">
        <f>SUM(J55:J56)</f>
        <v>0</v>
      </c>
      <c r="K57" s="63">
        <f>SUM(K55:K56)</f>
        <v>0</v>
      </c>
      <c r="L57" s="63">
        <f>SUM(L55:L56)</f>
        <v>0</v>
      </c>
      <c r="M57" s="65">
        <f>SUM(J57:L57)</f>
        <v>0</v>
      </c>
      <c r="N57" s="63">
        <f>SUM(N55:N56)</f>
        <v>0</v>
      </c>
      <c r="O57" s="63">
        <f>SUM(O55:O56)</f>
        <v>0</v>
      </c>
      <c r="P57" s="63">
        <f>SUM(P55:P56)</f>
        <v>0</v>
      </c>
      <c r="Q57" s="65">
        <f>SUM(N57:P57)</f>
        <v>0</v>
      </c>
      <c r="R57" s="64">
        <f>+E57+I57+M57+Q57</f>
        <v>0</v>
      </c>
    </row>
    <row r="58" spans="1:18" ht="16.5" customHeight="1" thickBot="1" x14ac:dyDescent="0.35">
      <c r="A58" s="62" t="s">
        <v>69</v>
      </c>
      <c r="B58" s="63">
        <f>SUM(B51:B56)</f>
        <v>0</v>
      </c>
      <c r="C58" s="63">
        <f>SUM(C51:C56)</f>
        <v>0</v>
      </c>
      <c r="D58" s="63">
        <f>SUM(D51:D56)</f>
        <v>0</v>
      </c>
      <c r="E58" s="65">
        <f>SUM(B58:D58)</f>
        <v>0</v>
      </c>
      <c r="F58" s="63">
        <f>SUM(F51:F56)</f>
        <v>0</v>
      </c>
      <c r="G58" s="63">
        <f>SUM(G51:G56)</f>
        <v>0</v>
      </c>
      <c r="H58" s="63">
        <f>SUM(H51:H56)</f>
        <v>0</v>
      </c>
      <c r="I58" s="65">
        <f>SUM(F58:H58)</f>
        <v>0</v>
      </c>
      <c r="J58" s="63">
        <f>SUM(J51:J56)</f>
        <v>0</v>
      </c>
      <c r="K58" s="63">
        <f>SUM(K51:K56)</f>
        <v>0</v>
      </c>
      <c r="L58" s="63">
        <f>SUM(L51:L56)</f>
        <v>0</v>
      </c>
      <c r="M58" s="65">
        <f>SUM(J58:L58)</f>
        <v>0</v>
      </c>
      <c r="N58" s="63">
        <f>SUM(N51:N56)</f>
        <v>0</v>
      </c>
      <c r="O58" s="63">
        <f>SUM(O51:O56)</f>
        <v>0</v>
      </c>
      <c r="P58" s="63">
        <f>SUM(P51:P56)</f>
        <v>0</v>
      </c>
      <c r="Q58" s="65">
        <f>SUM(N58:P58)</f>
        <v>0</v>
      </c>
      <c r="R58" s="64">
        <f>+E58+I58+M58+Q58</f>
        <v>0</v>
      </c>
    </row>
    <row r="59" spans="1:18" ht="16.5" customHeight="1" thickBot="1" x14ac:dyDescent="0.35">
      <c r="A59" s="62" t="s">
        <v>70</v>
      </c>
      <c r="B59" s="63">
        <f>+B41+B46+B50+B58</f>
        <v>0</v>
      </c>
      <c r="C59" s="63">
        <f>+C41+C46+C50+C58</f>
        <v>0</v>
      </c>
      <c r="D59" s="63">
        <f>+D41+D46+D50+D58</f>
        <v>0</v>
      </c>
      <c r="E59" s="64">
        <f>SUM(B59:D59)</f>
        <v>0</v>
      </c>
      <c r="F59" s="63">
        <f>+F41+F46+F50+F58</f>
        <v>0</v>
      </c>
      <c r="G59" s="63">
        <f>+G41+G46+G50+G58</f>
        <v>0</v>
      </c>
      <c r="H59" s="63">
        <f>+H41+H46+H50+H58</f>
        <v>0</v>
      </c>
      <c r="I59" s="64">
        <f>SUM(F59:H59)</f>
        <v>0</v>
      </c>
      <c r="J59" s="63">
        <f>+J41+J46+J50+J58</f>
        <v>0</v>
      </c>
      <c r="K59" s="63">
        <f>+K41+K46+K50+K58</f>
        <v>0</v>
      </c>
      <c r="L59" s="63">
        <f>+L41+L46+L50+L58</f>
        <v>0</v>
      </c>
      <c r="M59" s="64">
        <f>SUM(J59:L59)</f>
        <v>0</v>
      </c>
      <c r="N59" s="63">
        <f>+N41+N46+N50+N58</f>
        <v>0</v>
      </c>
      <c r="O59" s="63">
        <f>+O41+O46+O50+O58</f>
        <v>0</v>
      </c>
      <c r="P59" s="63">
        <f>+P41+P46+P50+P58</f>
        <v>0</v>
      </c>
      <c r="Q59" s="64">
        <f>SUM(N59:P59)</f>
        <v>0</v>
      </c>
      <c r="R59" s="64">
        <f>+E59+I59+M59+Q59</f>
        <v>0</v>
      </c>
    </row>
    <row r="60" spans="1:18" ht="16.5" customHeight="1" thickBot="1" x14ac:dyDescent="0.35">
      <c r="A60" s="66" t="s">
        <v>37</v>
      </c>
      <c r="B60" s="67">
        <v>96</v>
      </c>
      <c r="C60" s="67">
        <v>145</v>
      </c>
      <c r="D60" s="67">
        <v>261</v>
      </c>
      <c r="E60" s="43">
        <f>SUM(B60:D60)</f>
        <v>502</v>
      </c>
      <c r="F60" s="67">
        <v>350</v>
      </c>
      <c r="G60" s="67">
        <v>402</v>
      </c>
      <c r="H60" s="67">
        <v>396</v>
      </c>
      <c r="I60" s="43">
        <f>SUM(F60:H60)</f>
        <v>1148</v>
      </c>
      <c r="J60" s="67">
        <v>394</v>
      </c>
      <c r="K60" s="67">
        <v>318</v>
      </c>
      <c r="L60" s="67">
        <v>301</v>
      </c>
      <c r="M60" s="43">
        <f>SUM(J60:L60)</f>
        <v>1013</v>
      </c>
      <c r="N60" s="67">
        <v>272</v>
      </c>
      <c r="O60" s="67">
        <v>226</v>
      </c>
      <c r="P60" s="67">
        <v>179</v>
      </c>
      <c r="Q60" s="43">
        <f>SUM(N60:P60)</f>
        <v>677</v>
      </c>
      <c r="R60" s="43">
        <f>+E60+I60+M60+Q60</f>
        <v>3340</v>
      </c>
    </row>
    <row r="61" spans="1:18" ht="16.5" customHeight="1" thickBot="1" x14ac:dyDescent="0.35">
      <c r="A61" s="42"/>
      <c r="B61" s="37"/>
      <c r="C61" s="37"/>
      <c r="D61" s="37"/>
      <c r="E61" s="26"/>
      <c r="F61" s="37"/>
      <c r="G61" s="37"/>
      <c r="H61" s="37"/>
      <c r="I61" s="26"/>
      <c r="J61" s="37"/>
      <c r="K61" s="37"/>
      <c r="L61" s="37"/>
      <c r="M61" s="26"/>
      <c r="N61" s="37"/>
      <c r="O61" s="37"/>
      <c r="P61" s="37"/>
      <c r="Q61" s="26"/>
      <c r="R61" s="42"/>
    </row>
    <row r="62" spans="1:18" ht="15.75" customHeight="1" x14ac:dyDescent="0.3">
      <c r="A62" s="17" t="s">
        <v>38</v>
      </c>
      <c r="B62" s="1">
        <f>+B59+B60</f>
        <v>96</v>
      </c>
      <c r="C62" s="1">
        <f>+C59+C60</f>
        <v>145</v>
      </c>
      <c r="D62" s="1">
        <f>+D59+D60</f>
        <v>261</v>
      </c>
      <c r="E62" s="41">
        <f>SUM(B62:D62)</f>
        <v>502</v>
      </c>
      <c r="F62" s="1">
        <f>+F59+F60</f>
        <v>350</v>
      </c>
      <c r="G62" s="1">
        <f>+G59+G60</f>
        <v>402</v>
      </c>
      <c r="H62" s="1">
        <f>+H59+H60</f>
        <v>396</v>
      </c>
      <c r="I62" s="41">
        <f>SUM(F62:H62)</f>
        <v>1148</v>
      </c>
      <c r="J62" s="1">
        <f>+J59+J60</f>
        <v>394</v>
      </c>
      <c r="K62" s="1">
        <f>+K59+K60</f>
        <v>318</v>
      </c>
      <c r="L62" s="1">
        <f>+L59+L60</f>
        <v>301</v>
      </c>
      <c r="M62" s="41">
        <f>SUM(J62:L62)</f>
        <v>1013</v>
      </c>
      <c r="N62" s="1">
        <f>+N59+N60</f>
        <v>272</v>
      </c>
      <c r="O62" s="1">
        <f>+O59+O60</f>
        <v>226</v>
      </c>
      <c r="P62" s="1">
        <f>+P59+P60</f>
        <v>179</v>
      </c>
      <c r="Q62" s="45">
        <f>SUM(N62:P62)</f>
        <v>677</v>
      </c>
      <c r="R62" s="18">
        <f>+E62+I62+M62+Q62</f>
        <v>3340</v>
      </c>
    </row>
    <row r="63" spans="1:18" ht="15.75" customHeight="1" x14ac:dyDescent="0.3">
      <c r="A63" s="17" t="s">
        <v>39</v>
      </c>
      <c r="B63" s="1">
        <f>(B62/B10)/1.983</f>
        <v>1.5616612171197111</v>
      </c>
      <c r="C63" s="1">
        <f>(C62/C10)/1.983</f>
        <v>2.6114833225271954</v>
      </c>
      <c r="D63" s="1">
        <f>(D62/D10)/1.983</f>
        <v>4.2457664340442145</v>
      </c>
      <c r="E63" s="18"/>
      <c r="F63" s="1">
        <f>(F62/F10)/1.983</f>
        <v>5.8833417381072444</v>
      </c>
      <c r="G63" s="1">
        <f>(G62/G10)/1.983</f>
        <v>6.5394563466887892</v>
      </c>
      <c r="H63" s="1">
        <f>(H62/H10)/1.983</f>
        <v>6.6565809379727678</v>
      </c>
      <c r="I63" s="18"/>
      <c r="J63" s="1">
        <f>(J62/J10)/1.983</f>
        <v>6.4093179119288139</v>
      </c>
      <c r="K63" s="1">
        <f>(K62/K10)/1.983</f>
        <v>5.1730027817090427</v>
      </c>
      <c r="L63" s="1">
        <f>(L62/L10)/1.983</f>
        <v>5.0596738947722306</v>
      </c>
      <c r="M63" s="18"/>
      <c r="N63" s="1">
        <f>(N62/N10)/1.983</f>
        <v>4.4247067818391805</v>
      </c>
      <c r="O63" s="1">
        <f>(O62/O10)/1.983</f>
        <v>3.7989578080349635</v>
      </c>
      <c r="P63" s="1">
        <f>(P62/P10)/1.983</f>
        <v>2.9118474777544612</v>
      </c>
      <c r="Q63" s="19"/>
      <c r="R63" s="68"/>
    </row>
    <row r="64" spans="1:18" ht="15.75" customHeight="1" x14ac:dyDescent="0.3">
      <c r="A64" s="17" t="s">
        <v>71</v>
      </c>
      <c r="B64" s="1">
        <f>B62+B133</f>
        <v>88191</v>
      </c>
      <c r="C64" s="1">
        <f>C62+C133</f>
        <v>163028</v>
      </c>
      <c r="D64" s="1">
        <f>D62+D133</f>
        <v>179752</v>
      </c>
      <c r="E64" s="18">
        <f>SUM(B64:D64)</f>
        <v>430971</v>
      </c>
      <c r="F64" s="1">
        <f>F62+F133</f>
        <v>174478</v>
      </c>
      <c r="G64" s="1">
        <f>G62+G133</f>
        <v>180985</v>
      </c>
      <c r="H64" s="1">
        <f>H62+H133</f>
        <v>72809</v>
      </c>
      <c r="I64" s="18">
        <f>SUM(F64:H64)</f>
        <v>428272</v>
      </c>
      <c r="J64" s="1">
        <f>J62+J133</f>
        <v>75077</v>
      </c>
      <c r="K64" s="1">
        <f>K62+K133</f>
        <v>74229</v>
      </c>
      <c r="L64" s="1">
        <f>L62+L133</f>
        <v>148283</v>
      </c>
      <c r="M64" s="18">
        <f>SUM(J64:L64)</f>
        <v>297589</v>
      </c>
      <c r="N64" s="1">
        <f>N62+N133</f>
        <v>142931</v>
      </c>
      <c r="O64" s="1">
        <f>O62+O133</f>
        <v>118657</v>
      </c>
      <c r="P64" s="1">
        <f>P62+P133</f>
        <v>122419</v>
      </c>
      <c r="Q64" s="19">
        <f>SUM(N64:P64)</f>
        <v>384007</v>
      </c>
      <c r="R64" s="18">
        <f>+E64+I64+M64+Q64</f>
        <v>1540839</v>
      </c>
    </row>
    <row r="65" spans="1:20" ht="16.5" customHeight="1" thickBot="1" x14ac:dyDescent="0.35">
      <c r="A65" s="24" t="s">
        <v>72</v>
      </c>
      <c r="B65" s="25">
        <f>(B64/B10)/1.983</f>
        <v>1434.6298374896296</v>
      </c>
      <c r="C65" s="25">
        <f>(C64/C10)/1.983</f>
        <v>2936.1717455514731</v>
      </c>
      <c r="D65" s="25">
        <f>(D64/D10)/1.983</f>
        <v>2924.0804906218987</v>
      </c>
      <c r="E65" s="26"/>
      <c r="F65" s="25">
        <f>(F64/F10)/1.983</f>
        <v>2932.8962850899311</v>
      </c>
      <c r="G65" s="25">
        <f>(G64/G10)/1.983</f>
        <v>2944.1380768792801</v>
      </c>
      <c r="H65" s="25">
        <f>(H64/H10)/1.983</f>
        <v>1223.8863674567153</v>
      </c>
      <c r="I65" s="26"/>
      <c r="J65" s="25">
        <f>(J64/J10)/1.983</f>
        <v>1221.300408309339</v>
      </c>
      <c r="K65" s="25">
        <f>(K64/K10)/1.983</f>
        <v>1207.5057342247815</v>
      </c>
      <c r="L65" s="25">
        <f>(L64/L10)/1.983</f>
        <v>2492.5701798621612</v>
      </c>
      <c r="M65" s="26"/>
      <c r="N65" s="25">
        <f>(N64/N10)/1.983</f>
        <v>2325.102077334765</v>
      </c>
      <c r="O65" s="25">
        <f>(O64/O10)/1.983</f>
        <v>1994.5705160531179</v>
      </c>
      <c r="P65" s="25">
        <f>(P64/P10)/1.983</f>
        <v>1991.4271306101864</v>
      </c>
      <c r="Q65" s="27"/>
      <c r="R65" s="69" t="s">
        <v>7</v>
      </c>
    </row>
    <row r="66" spans="1:20" ht="15.75" customHeight="1" x14ac:dyDescent="0.3">
      <c r="A66" s="28"/>
      <c r="B66" s="1"/>
      <c r="C66" s="1"/>
      <c r="D66" s="1"/>
      <c r="E66" s="1"/>
      <c r="F66" s="1"/>
      <c r="G66" s="1"/>
      <c r="H66" s="1"/>
      <c r="I66" s="1"/>
      <c r="J66" s="1"/>
      <c r="K66" s="1"/>
      <c r="L66" s="1"/>
      <c r="M66" s="1"/>
      <c r="N66" s="1"/>
      <c r="O66" s="1"/>
      <c r="P66" s="1"/>
      <c r="Q66" s="1"/>
      <c r="R66" s="28"/>
    </row>
    <row r="67" spans="1:20" ht="15.75" customHeight="1" thickBot="1" x14ac:dyDescent="0.35">
      <c r="A67" s="28"/>
      <c r="B67" s="1"/>
      <c r="C67" s="1"/>
      <c r="D67" s="1"/>
      <c r="E67" s="1"/>
      <c r="F67" s="1"/>
      <c r="G67" s="1"/>
      <c r="H67" s="1"/>
      <c r="I67" s="1"/>
      <c r="J67" s="1"/>
      <c r="K67" s="1"/>
      <c r="L67" s="1"/>
      <c r="M67" s="1"/>
      <c r="N67" s="1"/>
      <c r="O67" s="1"/>
      <c r="P67" s="1"/>
      <c r="Q67" s="1"/>
      <c r="R67" s="28"/>
    </row>
    <row r="68" spans="1:20" ht="16.5" customHeight="1" thickBot="1" x14ac:dyDescent="0.35">
      <c r="A68" s="31" t="s">
        <v>73</v>
      </c>
      <c r="B68" s="32" t="s">
        <v>36</v>
      </c>
      <c r="C68" s="33" t="s">
        <v>9</v>
      </c>
      <c r="D68" s="33" t="s">
        <v>10</v>
      </c>
      <c r="E68" s="12" t="s">
        <v>11</v>
      </c>
      <c r="F68" s="33" t="s">
        <v>12</v>
      </c>
      <c r="G68" s="33" t="s">
        <v>13</v>
      </c>
      <c r="H68" s="33" t="s">
        <v>14</v>
      </c>
      <c r="I68" s="34" t="s">
        <v>15</v>
      </c>
      <c r="J68" s="33" t="s">
        <v>16</v>
      </c>
      <c r="K68" s="33" t="s">
        <v>17</v>
      </c>
      <c r="L68" s="33" t="s">
        <v>18</v>
      </c>
      <c r="M68" s="34" t="s">
        <v>19</v>
      </c>
      <c r="N68" s="33" t="s">
        <v>20</v>
      </c>
      <c r="O68" s="33" t="s">
        <v>21</v>
      </c>
      <c r="P68" s="33" t="s">
        <v>22</v>
      </c>
      <c r="Q68" s="34" t="s">
        <v>23</v>
      </c>
      <c r="R68" s="35" t="s">
        <v>24</v>
      </c>
    </row>
    <row r="69" spans="1:20" ht="16.5" customHeight="1" thickBot="1" x14ac:dyDescent="0.35">
      <c r="A69" s="70"/>
      <c r="B69" s="14"/>
      <c r="C69" s="71"/>
      <c r="D69" s="71"/>
      <c r="E69" s="72"/>
      <c r="F69" s="71"/>
      <c r="G69" s="71"/>
      <c r="H69" s="71"/>
      <c r="I69" s="72"/>
      <c r="J69" s="71"/>
      <c r="K69" s="71"/>
      <c r="L69" s="71"/>
      <c r="M69" s="72"/>
      <c r="N69" s="71"/>
      <c r="O69" s="71"/>
      <c r="P69" s="73"/>
      <c r="Q69" s="72"/>
      <c r="R69" s="64"/>
    </row>
    <row r="70" spans="1:20" ht="15.75" customHeight="1" x14ac:dyDescent="0.3">
      <c r="A70" s="58" t="s">
        <v>45</v>
      </c>
      <c r="B70" s="30"/>
      <c r="C70" s="30"/>
      <c r="D70" s="30"/>
      <c r="E70" s="59" t="s">
        <v>7</v>
      </c>
      <c r="F70" s="30"/>
      <c r="G70" s="30"/>
      <c r="H70" s="30"/>
      <c r="I70" s="59" t="s">
        <v>7</v>
      </c>
      <c r="J70" s="30"/>
      <c r="K70" s="30"/>
      <c r="L70" s="30"/>
      <c r="M70" s="59" t="s">
        <v>7</v>
      </c>
      <c r="N70" s="30"/>
      <c r="O70" s="30"/>
      <c r="P70" s="30"/>
      <c r="Q70" s="59" t="s">
        <v>7</v>
      </c>
      <c r="R70" s="59" t="s">
        <v>7</v>
      </c>
    </row>
    <row r="71" spans="1:20" ht="15.75" customHeight="1" x14ac:dyDescent="0.3">
      <c r="A71" s="22" t="s">
        <v>46</v>
      </c>
      <c r="B71" s="30"/>
      <c r="C71" s="60"/>
      <c r="D71" s="60"/>
      <c r="E71" s="59" t="s">
        <v>7</v>
      </c>
      <c r="F71" s="60"/>
      <c r="G71" s="60"/>
      <c r="H71" s="60"/>
      <c r="I71" s="59" t="s">
        <v>7</v>
      </c>
      <c r="J71" s="60"/>
      <c r="K71" s="60"/>
      <c r="L71" s="60"/>
      <c r="M71" s="59" t="s">
        <v>7</v>
      </c>
      <c r="N71" s="60"/>
      <c r="O71" s="60"/>
      <c r="P71" s="60"/>
      <c r="Q71" s="59" t="s">
        <v>7</v>
      </c>
      <c r="R71" s="59" t="s">
        <v>7</v>
      </c>
    </row>
    <row r="72" spans="1:20" ht="15.75" customHeight="1" x14ac:dyDescent="0.3">
      <c r="A72" s="74" t="s">
        <v>74</v>
      </c>
      <c r="B72" s="1"/>
      <c r="C72" s="1"/>
      <c r="D72" s="1"/>
      <c r="E72" s="59">
        <f t="shared" ref="E72:E82" si="5">SUM(B72:D72)</f>
        <v>0</v>
      </c>
      <c r="F72" s="1"/>
      <c r="G72" s="1"/>
      <c r="H72" s="1"/>
      <c r="I72" s="59">
        <f t="shared" ref="I72:I82" si="6">SUM(F72:H72)</f>
        <v>0</v>
      </c>
      <c r="J72" s="1"/>
      <c r="K72" s="1"/>
      <c r="L72" s="1"/>
      <c r="M72" s="59">
        <f t="shared" ref="M72:M82" si="7">SUM(J72:L72)</f>
        <v>0</v>
      </c>
      <c r="N72" s="1"/>
      <c r="O72" s="1"/>
      <c r="P72" s="1"/>
      <c r="Q72" s="59">
        <f t="shared" ref="Q72:Q82" si="8">SUM(N72:P72)</f>
        <v>0</v>
      </c>
      <c r="R72" s="59">
        <f t="shared" ref="R72:R82" si="9">+E72+I72+M72+Q72</f>
        <v>0</v>
      </c>
    </row>
    <row r="73" spans="1:20" ht="15.75" customHeight="1" x14ac:dyDescent="0.3">
      <c r="A73" s="74" t="s">
        <v>75</v>
      </c>
      <c r="B73" s="1"/>
      <c r="C73" s="1"/>
      <c r="D73" s="1"/>
      <c r="E73" s="59">
        <f>SUM(B73:D73)</f>
        <v>0</v>
      </c>
      <c r="F73" s="1"/>
      <c r="G73" s="1"/>
      <c r="H73" s="1"/>
      <c r="I73" s="59">
        <f>SUM(F73:H73)</f>
        <v>0</v>
      </c>
      <c r="J73" s="1"/>
      <c r="K73" s="1"/>
      <c r="L73" s="1"/>
      <c r="M73" s="59">
        <f>SUM(J73:L73)</f>
        <v>0</v>
      </c>
      <c r="N73" s="1"/>
      <c r="O73" s="1"/>
      <c r="P73" s="1"/>
      <c r="Q73" s="59">
        <f>SUM(N73:P73)</f>
        <v>0</v>
      </c>
      <c r="R73" s="59">
        <f>+E73+I73+M73+Q73</f>
        <v>0</v>
      </c>
    </row>
    <row r="74" spans="1:20" ht="15.75" customHeight="1" x14ac:dyDescent="0.3">
      <c r="A74" s="74" t="s">
        <v>76</v>
      </c>
      <c r="B74" s="1"/>
      <c r="C74" s="1"/>
      <c r="D74" s="1"/>
      <c r="E74" s="59">
        <f t="shared" si="5"/>
        <v>0</v>
      </c>
      <c r="F74" s="1"/>
      <c r="G74" s="1"/>
      <c r="H74" s="1"/>
      <c r="I74" s="59">
        <f t="shared" si="6"/>
        <v>0</v>
      </c>
      <c r="J74" s="1"/>
      <c r="K74" s="1"/>
      <c r="L74" s="1"/>
      <c r="M74" s="59">
        <f t="shared" si="7"/>
        <v>0</v>
      </c>
      <c r="N74" s="1"/>
      <c r="O74" s="1"/>
      <c r="P74" s="1"/>
      <c r="Q74" s="59">
        <f t="shared" si="8"/>
        <v>0</v>
      </c>
      <c r="R74" s="59">
        <f t="shared" si="9"/>
        <v>0</v>
      </c>
    </row>
    <row r="75" spans="1:20" ht="15.75" customHeight="1" x14ac:dyDescent="0.3">
      <c r="A75" s="74" t="s">
        <v>77</v>
      </c>
      <c r="B75" s="1"/>
      <c r="C75" s="1"/>
      <c r="D75" s="1"/>
      <c r="E75" s="59">
        <f t="shared" si="5"/>
        <v>0</v>
      </c>
      <c r="F75" s="1"/>
      <c r="G75" s="1"/>
      <c r="H75" s="1"/>
      <c r="I75" s="59">
        <f t="shared" si="6"/>
        <v>0</v>
      </c>
      <c r="K75" s="1"/>
      <c r="L75" s="1"/>
      <c r="M75" s="59">
        <f t="shared" si="7"/>
        <v>0</v>
      </c>
      <c r="N75" s="1"/>
      <c r="O75" s="1"/>
      <c r="P75" s="1"/>
      <c r="Q75" s="59">
        <f t="shared" si="8"/>
        <v>0</v>
      </c>
      <c r="R75" s="59">
        <f t="shared" si="9"/>
        <v>0</v>
      </c>
      <c r="T75" s="4" t="s">
        <v>78</v>
      </c>
    </row>
    <row r="76" spans="1:20" ht="15.75" customHeight="1" x14ac:dyDescent="0.3">
      <c r="A76" s="74" t="s">
        <v>79</v>
      </c>
      <c r="B76" s="1">
        <v>300</v>
      </c>
      <c r="C76" s="1">
        <v>400</v>
      </c>
      <c r="D76" s="1">
        <v>1100</v>
      </c>
      <c r="E76" s="59">
        <f t="shared" si="5"/>
        <v>1800</v>
      </c>
      <c r="F76" s="1">
        <v>1800</v>
      </c>
      <c r="G76" s="1">
        <v>1700</v>
      </c>
      <c r="H76" s="1">
        <v>1700</v>
      </c>
      <c r="I76" s="59">
        <f t="shared" si="6"/>
        <v>5200</v>
      </c>
      <c r="J76" s="1">
        <v>294</v>
      </c>
      <c r="K76" s="1"/>
      <c r="L76" s="1"/>
      <c r="M76" s="59">
        <f t="shared" si="7"/>
        <v>294</v>
      </c>
      <c r="N76" s="1"/>
      <c r="O76" s="1"/>
      <c r="P76" s="1"/>
      <c r="Q76" s="59">
        <f t="shared" si="8"/>
        <v>0</v>
      </c>
      <c r="R76" s="59">
        <f t="shared" si="9"/>
        <v>7294</v>
      </c>
      <c r="S76" s="75" t="s">
        <v>80</v>
      </c>
      <c r="T76" s="4" t="s">
        <v>78</v>
      </c>
    </row>
    <row r="77" spans="1:20" ht="15.75" customHeight="1" x14ac:dyDescent="0.3">
      <c r="A77" s="74" t="s">
        <v>81</v>
      </c>
      <c r="B77" s="1"/>
      <c r="C77" s="1"/>
      <c r="D77" s="1"/>
      <c r="E77" s="59">
        <f t="shared" si="5"/>
        <v>0</v>
      </c>
      <c r="F77" s="1"/>
      <c r="G77" s="1"/>
      <c r="H77" s="1"/>
      <c r="I77" s="59">
        <f t="shared" si="6"/>
        <v>0</v>
      </c>
      <c r="J77" s="1"/>
      <c r="K77" s="1"/>
      <c r="L77" s="1"/>
      <c r="M77" s="59">
        <f t="shared" si="7"/>
        <v>0</v>
      </c>
      <c r="N77" s="1"/>
      <c r="O77" s="1"/>
      <c r="P77" s="1"/>
      <c r="Q77" s="59">
        <f t="shared" si="8"/>
        <v>0</v>
      </c>
      <c r="R77" s="59">
        <f t="shared" si="9"/>
        <v>0</v>
      </c>
    </row>
    <row r="78" spans="1:20" ht="15.75" customHeight="1" x14ac:dyDescent="0.3">
      <c r="A78" s="74" t="s">
        <v>82</v>
      </c>
      <c r="B78" s="1"/>
      <c r="C78" s="1"/>
      <c r="D78" s="1"/>
      <c r="E78" s="59">
        <f t="shared" si="5"/>
        <v>0</v>
      </c>
      <c r="F78" s="1"/>
      <c r="G78" s="1"/>
      <c r="H78" s="1"/>
      <c r="I78" s="59">
        <f t="shared" si="6"/>
        <v>0</v>
      </c>
      <c r="J78" s="1"/>
      <c r="K78" s="1"/>
      <c r="L78" s="1"/>
      <c r="M78" s="59">
        <f t="shared" si="7"/>
        <v>0</v>
      </c>
      <c r="N78" s="1"/>
      <c r="O78" s="1"/>
      <c r="P78" s="1"/>
      <c r="Q78" s="59">
        <f t="shared" si="8"/>
        <v>0</v>
      </c>
      <c r="R78" s="59">
        <f t="shared" si="9"/>
        <v>0</v>
      </c>
      <c r="T78" s="4" t="s">
        <v>83</v>
      </c>
    </row>
    <row r="79" spans="1:20" ht="15.75" customHeight="1" x14ac:dyDescent="0.3">
      <c r="A79" s="76" t="s">
        <v>84</v>
      </c>
      <c r="B79" s="1"/>
      <c r="C79" s="1"/>
      <c r="D79" s="1"/>
      <c r="E79" s="59">
        <f t="shared" si="5"/>
        <v>0</v>
      </c>
      <c r="F79" s="1"/>
      <c r="G79" s="1">
        <v>512</v>
      </c>
      <c r="H79" s="1">
        <v>512</v>
      </c>
      <c r="I79" s="59">
        <f t="shared" si="6"/>
        <v>1024</v>
      </c>
      <c r="J79" s="1">
        <v>512</v>
      </c>
      <c r="K79" s="1">
        <v>512</v>
      </c>
      <c r="L79" s="1"/>
      <c r="M79" s="59">
        <f t="shared" si="7"/>
        <v>1024</v>
      </c>
      <c r="N79" s="1"/>
      <c r="O79" s="1"/>
      <c r="P79" s="1"/>
      <c r="Q79" s="59">
        <f t="shared" si="8"/>
        <v>0</v>
      </c>
      <c r="R79" s="59">
        <f t="shared" si="9"/>
        <v>2048</v>
      </c>
    </row>
    <row r="80" spans="1:20" ht="15.75" customHeight="1" x14ac:dyDescent="0.3">
      <c r="A80" s="76" t="s">
        <v>85</v>
      </c>
      <c r="B80" s="1"/>
      <c r="C80" s="1"/>
      <c r="D80" s="1"/>
      <c r="E80" s="59">
        <f t="shared" si="5"/>
        <v>0</v>
      </c>
      <c r="F80" s="1"/>
      <c r="G80" s="1"/>
      <c r="H80" s="1"/>
      <c r="I80" s="59">
        <f t="shared" si="6"/>
        <v>0</v>
      </c>
      <c r="J80" s="1"/>
      <c r="K80" s="1"/>
      <c r="L80" s="1"/>
      <c r="M80" s="59">
        <f t="shared" si="7"/>
        <v>0</v>
      </c>
      <c r="N80" s="1"/>
      <c r="O80" s="1"/>
      <c r="P80" s="1"/>
      <c r="Q80" s="59">
        <f t="shared" si="8"/>
        <v>0</v>
      </c>
      <c r="R80" s="59">
        <f t="shared" si="9"/>
        <v>0</v>
      </c>
    </row>
    <row r="81" spans="1:20" ht="15.75" customHeight="1" x14ac:dyDescent="0.3">
      <c r="A81" s="76" t="s">
        <v>86</v>
      </c>
      <c r="B81" s="1"/>
      <c r="C81" s="1"/>
      <c r="D81" s="1"/>
      <c r="E81" s="59">
        <f>SUM(B81:D81)</f>
        <v>0</v>
      </c>
      <c r="F81" s="1"/>
      <c r="G81" s="1"/>
      <c r="H81" s="1"/>
      <c r="I81" s="59">
        <f>SUM(F81:H81)</f>
        <v>0</v>
      </c>
      <c r="J81" s="1"/>
      <c r="K81" s="1"/>
      <c r="L81" s="1"/>
      <c r="M81" s="59">
        <f>SUM(J81:L81)</f>
        <v>0</v>
      </c>
      <c r="N81" s="1"/>
      <c r="O81" s="1"/>
      <c r="P81" s="1"/>
      <c r="Q81" s="59">
        <f>SUM(N81:P81)</f>
        <v>0</v>
      </c>
      <c r="R81" s="59">
        <f t="shared" si="9"/>
        <v>0</v>
      </c>
    </row>
    <row r="82" spans="1:20" ht="15.75" customHeight="1" x14ac:dyDescent="0.3">
      <c r="A82" s="76" t="s">
        <v>87</v>
      </c>
      <c r="B82" s="1"/>
      <c r="C82" s="1"/>
      <c r="D82" s="1"/>
      <c r="E82" s="59">
        <f t="shared" si="5"/>
        <v>0</v>
      </c>
      <c r="F82" s="1"/>
      <c r="G82" s="1"/>
      <c r="H82" s="1"/>
      <c r="I82" s="59">
        <f t="shared" si="6"/>
        <v>0</v>
      </c>
      <c r="J82" s="1"/>
      <c r="K82" s="1"/>
      <c r="L82" s="1"/>
      <c r="M82" s="59">
        <f t="shared" si="7"/>
        <v>0</v>
      </c>
      <c r="N82" s="1"/>
      <c r="O82" s="1"/>
      <c r="P82" s="1"/>
      <c r="Q82" s="59">
        <f t="shared" si="8"/>
        <v>0</v>
      </c>
      <c r="R82" s="59">
        <f t="shared" si="9"/>
        <v>0</v>
      </c>
      <c r="S82" s="4">
        <f>SUM(R72:R82)</f>
        <v>9342</v>
      </c>
    </row>
    <row r="83" spans="1:20" ht="15.75" customHeight="1" x14ac:dyDescent="0.3">
      <c r="A83" s="22" t="s">
        <v>47</v>
      </c>
      <c r="B83" s="30"/>
      <c r="C83" s="30"/>
      <c r="D83" s="30"/>
      <c r="E83" s="59" t="s">
        <v>7</v>
      </c>
      <c r="F83" s="30"/>
      <c r="G83" s="30"/>
      <c r="H83" s="30"/>
      <c r="I83" s="59" t="s">
        <v>7</v>
      </c>
      <c r="J83" s="30"/>
      <c r="K83" s="30"/>
      <c r="L83" s="30"/>
      <c r="M83" s="59" t="s">
        <v>7</v>
      </c>
      <c r="N83" s="30"/>
      <c r="O83" s="30"/>
      <c r="P83" s="30"/>
      <c r="Q83" s="59" t="s">
        <v>7</v>
      </c>
      <c r="R83" s="59" t="s">
        <v>7</v>
      </c>
    </row>
    <row r="84" spans="1:20" ht="15.75" customHeight="1" x14ac:dyDescent="0.3">
      <c r="A84" s="76" t="s">
        <v>88</v>
      </c>
      <c r="B84" s="1"/>
      <c r="C84" s="1"/>
      <c r="D84" s="1"/>
      <c r="E84" s="59">
        <f>SUM(B84:D84)</f>
        <v>0</v>
      </c>
      <c r="F84" s="1"/>
      <c r="G84" s="1"/>
      <c r="H84" s="1"/>
      <c r="I84" s="59">
        <f>SUM(F84:H84)</f>
        <v>0</v>
      </c>
      <c r="J84" s="1"/>
      <c r="K84" s="1"/>
      <c r="L84" s="1"/>
      <c r="M84" s="59">
        <f>SUM(J84:L84)</f>
        <v>0</v>
      </c>
      <c r="N84" s="1"/>
      <c r="O84" s="1"/>
      <c r="P84" s="1"/>
      <c r="Q84" s="59">
        <f>SUM(N84:P84)</f>
        <v>0</v>
      </c>
      <c r="R84" s="59">
        <f>+E84+I84+M84+Q84</f>
        <v>0</v>
      </c>
    </row>
    <row r="85" spans="1:20" ht="15.75" customHeight="1" x14ac:dyDescent="0.3">
      <c r="A85" s="22" t="s">
        <v>49</v>
      </c>
      <c r="B85" s="30"/>
      <c r="C85" s="30"/>
      <c r="D85" s="30"/>
      <c r="E85" s="59" t="s">
        <v>50</v>
      </c>
      <c r="F85" s="30"/>
      <c r="G85" s="30"/>
      <c r="H85" s="30"/>
      <c r="I85" s="59" t="s">
        <v>50</v>
      </c>
      <c r="J85" s="30"/>
      <c r="K85" s="30"/>
      <c r="L85" s="30"/>
      <c r="M85" s="59" t="s">
        <v>50</v>
      </c>
      <c r="N85" s="30"/>
      <c r="O85" s="30"/>
      <c r="P85" s="30"/>
      <c r="Q85" s="59" t="s">
        <v>50</v>
      </c>
      <c r="R85" s="59" t="s">
        <v>50</v>
      </c>
    </row>
    <row r="86" spans="1:20" ht="15.75" customHeight="1" x14ac:dyDescent="0.3">
      <c r="A86" s="61" t="s">
        <v>89</v>
      </c>
      <c r="B86" s="1"/>
      <c r="C86" s="1"/>
      <c r="D86" s="1"/>
      <c r="E86" s="59">
        <f>SUM(B86:D86)</f>
        <v>0</v>
      </c>
      <c r="F86" s="1"/>
      <c r="G86" s="1"/>
      <c r="H86" s="1"/>
      <c r="I86" s="59">
        <f>SUM(F86:H86)</f>
        <v>0</v>
      </c>
      <c r="J86" s="1"/>
      <c r="K86" s="1"/>
      <c r="L86" s="1"/>
      <c r="M86" s="59">
        <f>SUM(J86:L86)</f>
        <v>0</v>
      </c>
      <c r="N86" s="1"/>
      <c r="O86" s="1"/>
      <c r="P86" s="1"/>
      <c r="Q86" s="59">
        <f>SUM(N86:P86)</f>
        <v>0</v>
      </c>
      <c r="R86" s="59">
        <f>+E86+I86+M86+Q86</f>
        <v>0</v>
      </c>
      <c r="S86" s="77" t="s">
        <v>90</v>
      </c>
    </row>
    <row r="87" spans="1:20" ht="15.75" customHeight="1" x14ac:dyDescent="0.3">
      <c r="A87" s="61" t="s">
        <v>91</v>
      </c>
      <c r="B87" s="1"/>
      <c r="C87" s="1"/>
      <c r="D87" s="1"/>
      <c r="E87" s="59">
        <f>SUM(B87:D87)</f>
        <v>0</v>
      </c>
      <c r="F87" s="1"/>
      <c r="G87" s="1"/>
      <c r="H87" s="1"/>
      <c r="I87" s="59">
        <f>SUM(F87:H87)</f>
        <v>0</v>
      </c>
      <c r="J87" s="1">
        <v>1071</v>
      </c>
      <c r="K87" s="1">
        <v>1247</v>
      </c>
      <c r="L87" s="1">
        <v>888</v>
      </c>
      <c r="M87" s="59">
        <f>SUM(J87:L87)</f>
        <v>3206</v>
      </c>
      <c r="N87" s="1">
        <v>500</v>
      </c>
      <c r="O87" s="1"/>
      <c r="P87" s="1"/>
      <c r="Q87" s="59">
        <f>SUM(N87:P87)</f>
        <v>500</v>
      </c>
      <c r="R87" s="59">
        <f>+E87+I87+M87+Q87</f>
        <v>3706</v>
      </c>
      <c r="S87" s="77" t="s">
        <v>90</v>
      </c>
      <c r="T87" s="4" t="s">
        <v>78</v>
      </c>
    </row>
    <row r="88" spans="1:20" ht="15.75" customHeight="1" thickBot="1" x14ac:dyDescent="0.35">
      <c r="A88" s="22" t="s">
        <v>51</v>
      </c>
      <c r="B88" s="60"/>
      <c r="C88" s="60"/>
      <c r="D88" s="60"/>
      <c r="E88" s="59" t="s">
        <v>7</v>
      </c>
      <c r="F88" s="60"/>
      <c r="G88" s="60"/>
      <c r="H88" s="60"/>
      <c r="I88" s="59" t="s">
        <v>7</v>
      </c>
      <c r="J88" s="60"/>
      <c r="K88" s="60"/>
      <c r="L88" s="60"/>
      <c r="M88" s="59" t="s">
        <v>7</v>
      </c>
      <c r="N88" s="60"/>
      <c r="O88" s="60"/>
      <c r="P88" s="60"/>
      <c r="Q88" s="59" t="s">
        <v>7</v>
      </c>
      <c r="R88" s="59" t="s">
        <v>7</v>
      </c>
    </row>
    <row r="89" spans="1:20" ht="16.5" customHeight="1" thickBot="1" x14ac:dyDescent="0.35">
      <c r="A89" s="62" t="s">
        <v>52</v>
      </c>
      <c r="B89" s="63">
        <f>SUM(B70:B88)</f>
        <v>300</v>
      </c>
      <c r="C89" s="63">
        <f>SUM(C70:C88)</f>
        <v>400</v>
      </c>
      <c r="D89" s="63">
        <f>SUM(D70:D88)</f>
        <v>1100</v>
      </c>
      <c r="E89" s="64">
        <f>SUM(B89:D89)</f>
        <v>1800</v>
      </c>
      <c r="F89" s="63">
        <f>SUM(F70:F88)</f>
        <v>1800</v>
      </c>
      <c r="G89" s="63">
        <f>SUM(G70:G88)</f>
        <v>2212</v>
      </c>
      <c r="H89" s="63">
        <f>SUM(H70:H88)</f>
        <v>2212</v>
      </c>
      <c r="I89" s="64">
        <f>SUM(F89:H89)</f>
        <v>6224</v>
      </c>
      <c r="J89" s="63">
        <f>SUM(J70:J88)</f>
        <v>1877</v>
      </c>
      <c r="K89" s="63">
        <f>SUM(K70:K88)</f>
        <v>1759</v>
      </c>
      <c r="L89" s="63">
        <f>SUM(L70:L88)</f>
        <v>888</v>
      </c>
      <c r="M89" s="64">
        <f>SUM(J89:L89)</f>
        <v>4524</v>
      </c>
      <c r="N89" s="63">
        <f>SUM(N70:N88)</f>
        <v>500</v>
      </c>
      <c r="O89" s="63">
        <f>SUM(O70:O88)</f>
        <v>0</v>
      </c>
      <c r="P89" s="63">
        <f>SUM(P70:P88)</f>
        <v>0</v>
      </c>
      <c r="Q89" s="64">
        <f>SUM(N89:P89)</f>
        <v>500</v>
      </c>
      <c r="R89" s="64">
        <f>+E89+I89+M89+Q89</f>
        <v>13048</v>
      </c>
    </row>
    <row r="90" spans="1:20" ht="15.75" customHeight="1" x14ac:dyDescent="0.3">
      <c r="A90" s="22" t="s">
        <v>53</v>
      </c>
      <c r="B90" s="60"/>
      <c r="C90" s="60"/>
      <c r="D90" s="60"/>
      <c r="E90" s="59" t="s">
        <v>7</v>
      </c>
      <c r="F90" s="60"/>
      <c r="G90" s="60"/>
      <c r="H90" s="60"/>
      <c r="I90" s="59" t="s">
        <v>7</v>
      </c>
      <c r="J90" s="60"/>
      <c r="K90" s="60"/>
      <c r="L90" s="60"/>
      <c r="M90" s="59" t="s">
        <v>7</v>
      </c>
      <c r="N90" s="60"/>
      <c r="O90" s="60"/>
      <c r="P90" s="60"/>
      <c r="Q90" s="59" t="s">
        <v>7</v>
      </c>
      <c r="R90" s="65" t="s">
        <v>7</v>
      </c>
    </row>
    <row r="91" spans="1:20" ht="15.75" customHeight="1" x14ac:dyDescent="0.3">
      <c r="A91" s="22" t="s">
        <v>54</v>
      </c>
      <c r="B91" s="60"/>
      <c r="C91" s="60"/>
      <c r="D91" s="60"/>
      <c r="E91" s="59" t="s">
        <v>7</v>
      </c>
      <c r="F91" s="60"/>
      <c r="G91" s="60"/>
      <c r="H91" s="60"/>
      <c r="I91" s="59" t="s">
        <v>7</v>
      </c>
      <c r="J91" s="60"/>
      <c r="K91" s="60"/>
      <c r="L91" s="60"/>
      <c r="M91" s="59" t="s">
        <v>7</v>
      </c>
      <c r="N91" s="60"/>
      <c r="O91" s="60"/>
      <c r="P91" s="60"/>
      <c r="Q91" s="59" t="s">
        <v>7</v>
      </c>
      <c r="R91" s="59" t="s">
        <v>7</v>
      </c>
    </row>
    <row r="92" spans="1:20" ht="15.75" customHeight="1" x14ac:dyDescent="0.3">
      <c r="A92" s="22" t="s">
        <v>55</v>
      </c>
      <c r="B92" s="60"/>
      <c r="C92" s="60"/>
      <c r="D92" s="60"/>
      <c r="E92" s="59" t="s">
        <v>7</v>
      </c>
      <c r="F92" s="60"/>
      <c r="G92" s="60"/>
      <c r="H92" s="60"/>
      <c r="I92" s="59" t="s">
        <v>7</v>
      </c>
      <c r="J92" s="60"/>
      <c r="K92" s="60"/>
      <c r="L92" s="60"/>
      <c r="M92" s="59" t="s">
        <v>7</v>
      </c>
      <c r="N92" s="60"/>
      <c r="O92" s="60"/>
      <c r="P92" s="60"/>
      <c r="Q92" s="59" t="s">
        <v>7</v>
      </c>
      <c r="R92" s="59" t="s">
        <v>7</v>
      </c>
    </row>
    <row r="93" spans="1:20" ht="15.75" customHeight="1" x14ac:dyDescent="0.3">
      <c r="A93" s="76" t="s">
        <v>92</v>
      </c>
      <c r="B93" s="1">
        <v>500</v>
      </c>
      <c r="C93" s="1">
        <v>500</v>
      </c>
      <c r="D93" s="1">
        <v>3500</v>
      </c>
      <c r="E93" s="59">
        <f>SUM(B93:D93)</f>
        <v>4500</v>
      </c>
      <c r="F93" s="1">
        <v>4000</v>
      </c>
      <c r="G93" s="1">
        <v>4000</v>
      </c>
      <c r="H93" s="1">
        <v>4000</v>
      </c>
      <c r="I93" s="59">
        <f>SUM(F93:H93)</f>
        <v>12000</v>
      </c>
      <c r="J93" s="1">
        <v>4000</v>
      </c>
      <c r="K93" s="1">
        <v>2784</v>
      </c>
      <c r="L93" s="1">
        <v>1500</v>
      </c>
      <c r="M93" s="59">
        <f>SUM(J93:L93)</f>
        <v>8284</v>
      </c>
      <c r="N93" s="1">
        <v>400</v>
      </c>
      <c r="O93" s="1">
        <v>400</v>
      </c>
      <c r="P93" s="1">
        <v>603</v>
      </c>
      <c r="Q93" s="59">
        <f>SUM(N93:P93)</f>
        <v>1403</v>
      </c>
      <c r="R93" s="59">
        <f>+E93+I93+M93+Q93</f>
        <v>26187</v>
      </c>
      <c r="T93" s="4" t="s">
        <v>93</v>
      </c>
    </row>
    <row r="94" spans="1:20" ht="15.75" customHeight="1" x14ac:dyDescent="0.3">
      <c r="A94" s="76" t="s">
        <v>94</v>
      </c>
      <c r="B94" s="1"/>
      <c r="C94" s="1">
        <v>200</v>
      </c>
      <c r="D94" s="1">
        <v>400</v>
      </c>
      <c r="E94" s="59">
        <f>SUM(B94:D94)</f>
        <v>600</v>
      </c>
      <c r="F94" s="1">
        <v>100</v>
      </c>
      <c r="G94" s="1">
        <v>188</v>
      </c>
      <c r="H94" s="1">
        <v>188</v>
      </c>
      <c r="I94" s="59">
        <f>SUM(F94:H94)</f>
        <v>476</v>
      </c>
      <c r="J94" s="1">
        <v>444</v>
      </c>
      <c r="K94" s="1">
        <f>380+200</f>
        <v>580</v>
      </c>
      <c r="L94" s="1">
        <f>202+200</f>
        <v>402</v>
      </c>
      <c r="M94" s="59">
        <f>SUM(J94:L94)</f>
        <v>1426</v>
      </c>
      <c r="N94" s="1">
        <f>128+122</f>
        <v>250</v>
      </c>
      <c r="O94" s="1">
        <v>200</v>
      </c>
      <c r="P94" s="1">
        <v>100</v>
      </c>
      <c r="Q94" s="59">
        <f>SUM(N94:P94)</f>
        <v>550</v>
      </c>
      <c r="R94" s="59">
        <f>+E94+I94+M94+Q94</f>
        <v>3052</v>
      </c>
      <c r="T94" s="4" t="s">
        <v>78</v>
      </c>
    </row>
    <row r="95" spans="1:20" ht="15.75" customHeight="1" thickBot="1" x14ac:dyDescent="0.35">
      <c r="A95" s="22" t="s">
        <v>56</v>
      </c>
      <c r="B95" s="60"/>
      <c r="C95" s="60"/>
      <c r="D95" s="60"/>
      <c r="E95" s="59" t="s">
        <v>7</v>
      </c>
      <c r="F95" s="60"/>
      <c r="G95" s="60"/>
      <c r="H95" s="60"/>
      <c r="I95" s="59" t="s">
        <v>7</v>
      </c>
      <c r="J95" s="60"/>
      <c r="K95" s="60"/>
      <c r="L95" s="60"/>
      <c r="M95" s="59" t="s">
        <v>7</v>
      </c>
      <c r="N95" s="60"/>
      <c r="O95" s="60"/>
      <c r="P95" s="60"/>
      <c r="Q95" s="59" t="s">
        <v>7</v>
      </c>
      <c r="R95" s="59" t="s">
        <v>7</v>
      </c>
    </row>
    <row r="96" spans="1:20" ht="16.5" customHeight="1" thickBot="1" x14ac:dyDescent="0.35">
      <c r="A96" s="62" t="s">
        <v>57</v>
      </c>
      <c r="B96" s="63">
        <f>SUM(B90:B95)</f>
        <v>500</v>
      </c>
      <c r="C96" s="63">
        <f>SUM(C90:C95)</f>
        <v>700</v>
      </c>
      <c r="D96" s="63">
        <f>SUM(D90:D95)</f>
        <v>3900</v>
      </c>
      <c r="E96" s="64">
        <f>SUM(B96:D96)</f>
        <v>5100</v>
      </c>
      <c r="F96" s="63">
        <f>SUM(F90:F95)</f>
        <v>4100</v>
      </c>
      <c r="G96" s="63">
        <f>SUM(G90:G95)</f>
        <v>4188</v>
      </c>
      <c r="H96" s="63">
        <f>SUM(H90:H95)</f>
        <v>4188</v>
      </c>
      <c r="I96" s="64">
        <f>SUM(F96:H96)</f>
        <v>12476</v>
      </c>
      <c r="J96" s="63">
        <f>SUM(J90:J95)</f>
        <v>4444</v>
      </c>
      <c r="K96" s="63">
        <f>SUM(K90:K95)</f>
        <v>3364</v>
      </c>
      <c r="L96" s="63">
        <f>SUM(L90:L95)</f>
        <v>1902</v>
      </c>
      <c r="M96" s="64">
        <f>SUM(J96:L96)</f>
        <v>9710</v>
      </c>
      <c r="N96" s="63">
        <f>SUM(N90:N95)</f>
        <v>650</v>
      </c>
      <c r="O96" s="63">
        <f>SUM(O90:O95)</f>
        <v>600</v>
      </c>
      <c r="P96" s="63">
        <f>SUM(P90:P95)</f>
        <v>703</v>
      </c>
      <c r="Q96" s="64">
        <f>SUM(N96:P96)</f>
        <v>1953</v>
      </c>
      <c r="R96" s="64">
        <f>+E96+I96+M96+Q96</f>
        <v>29239</v>
      </c>
    </row>
    <row r="97" spans="1:20" ht="15.75" customHeight="1" x14ac:dyDescent="0.3">
      <c r="A97" s="22" t="s">
        <v>58</v>
      </c>
      <c r="B97" s="60"/>
      <c r="C97" s="60"/>
      <c r="D97" s="60"/>
      <c r="E97" s="59" t="s">
        <v>7</v>
      </c>
      <c r="F97" s="60"/>
      <c r="G97" s="60"/>
      <c r="H97" s="60"/>
      <c r="I97" s="59" t="s">
        <v>7</v>
      </c>
      <c r="J97" s="60"/>
      <c r="K97" s="60"/>
      <c r="L97" s="60"/>
      <c r="M97" s="59" t="s">
        <v>7</v>
      </c>
      <c r="N97" s="60"/>
      <c r="O97" s="60"/>
      <c r="P97" s="60"/>
      <c r="Q97" s="59" t="s">
        <v>7</v>
      </c>
      <c r="R97" s="59" t="s">
        <v>7</v>
      </c>
    </row>
    <row r="98" spans="1:20" ht="15.75" customHeight="1" x14ac:dyDescent="0.3">
      <c r="A98" s="22" t="s">
        <v>59</v>
      </c>
      <c r="B98" s="60"/>
      <c r="C98" s="60"/>
      <c r="D98" s="60"/>
      <c r="E98" s="59" t="s">
        <v>7</v>
      </c>
      <c r="F98" s="60"/>
      <c r="G98" s="60"/>
      <c r="H98" s="60"/>
      <c r="I98" s="59" t="s">
        <v>7</v>
      </c>
      <c r="J98" s="60"/>
      <c r="K98" s="60"/>
      <c r="L98" s="60"/>
      <c r="M98" s="59" t="s">
        <v>7</v>
      </c>
      <c r="N98" s="60"/>
      <c r="O98" s="60"/>
      <c r="P98" s="60"/>
      <c r="Q98" s="59" t="s">
        <v>7</v>
      </c>
      <c r="R98" s="59" t="s">
        <v>7</v>
      </c>
    </row>
    <row r="99" spans="1:20" ht="15.75" customHeight="1" x14ac:dyDescent="0.3">
      <c r="A99" s="22" t="s">
        <v>60</v>
      </c>
      <c r="B99" s="60"/>
      <c r="C99" s="60"/>
      <c r="D99" s="60"/>
      <c r="E99" s="59"/>
      <c r="F99" s="60"/>
      <c r="G99" s="60"/>
      <c r="H99" s="60"/>
      <c r="I99" s="59"/>
      <c r="J99" s="60"/>
      <c r="K99" s="60"/>
      <c r="L99" s="60"/>
      <c r="M99" s="59"/>
      <c r="N99" s="60"/>
      <c r="O99" s="60"/>
      <c r="P99" s="60"/>
      <c r="Q99" s="59"/>
      <c r="R99" s="59"/>
    </row>
    <row r="100" spans="1:20" ht="15.75" customHeight="1" x14ac:dyDescent="0.3">
      <c r="A100" s="76" t="s">
        <v>95</v>
      </c>
      <c r="B100" s="1"/>
      <c r="C100" s="1"/>
      <c r="D100" s="1"/>
      <c r="E100" s="59">
        <f t="shared" ref="E100:E107" si="10">SUM(B100:D100)</f>
        <v>0</v>
      </c>
      <c r="F100" s="1"/>
      <c r="G100" s="1"/>
      <c r="H100" s="1"/>
      <c r="I100" s="59">
        <f t="shared" ref="I100:I107" si="11">SUM(F100:H100)</f>
        <v>0</v>
      </c>
      <c r="J100" s="1"/>
      <c r="K100" s="1"/>
      <c r="L100" s="1"/>
      <c r="M100" s="59">
        <f t="shared" ref="M100:M107" si="12">SUM(J100:L100)</f>
        <v>0</v>
      </c>
      <c r="N100" s="1"/>
      <c r="O100" s="1"/>
      <c r="P100" s="1"/>
      <c r="Q100" s="59">
        <f t="shared" ref="Q100:Q107" si="13">SUM(N100:P100)</f>
        <v>0</v>
      </c>
      <c r="R100" s="59">
        <f t="shared" ref="R100:R107" si="14">+E100+I100+M100+Q100</f>
        <v>0</v>
      </c>
    </row>
    <row r="101" spans="1:20" ht="15.75" customHeight="1" x14ac:dyDescent="0.3">
      <c r="A101" s="76" t="s">
        <v>96</v>
      </c>
      <c r="B101" s="1"/>
      <c r="C101" s="1"/>
      <c r="D101" s="1"/>
      <c r="E101" s="59">
        <f t="shared" si="10"/>
        <v>0</v>
      </c>
      <c r="F101" s="1"/>
      <c r="G101" s="1"/>
      <c r="H101" s="1"/>
      <c r="I101" s="59">
        <f t="shared" si="11"/>
        <v>0</v>
      </c>
      <c r="J101" s="1"/>
      <c r="K101" s="1"/>
      <c r="L101" s="1"/>
      <c r="M101" s="59">
        <f t="shared" si="12"/>
        <v>0</v>
      </c>
      <c r="N101" s="1"/>
      <c r="O101" s="1"/>
      <c r="P101" s="1"/>
      <c r="Q101" s="59">
        <f t="shared" si="13"/>
        <v>0</v>
      </c>
      <c r="R101" s="59">
        <f t="shared" si="14"/>
        <v>0</v>
      </c>
    </row>
    <row r="102" spans="1:20" ht="15.75" customHeight="1" x14ac:dyDescent="0.3">
      <c r="A102" s="76" t="s">
        <v>97</v>
      </c>
      <c r="B102" s="1"/>
      <c r="C102" s="1"/>
      <c r="D102" s="1"/>
      <c r="E102" s="59">
        <f>SUM(B102:D102)</f>
        <v>0</v>
      </c>
      <c r="F102" s="1"/>
      <c r="G102" s="1"/>
      <c r="H102" s="1"/>
      <c r="I102" s="59">
        <f>SUM(F102:H102)</f>
        <v>0</v>
      </c>
      <c r="J102" s="1"/>
      <c r="K102" s="1"/>
      <c r="L102" s="1"/>
      <c r="M102" s="59">
        <f>SUM(J102:L102)</f>
        <v>0</v>
      </c>
      <c r="N102" s="1"/>
      <c r="O102" s="1"/>
      <c r="P102" s="1"/>
      <c r="Q102" s="59">
        <f>SUM(N102:P102)</f>
        <v>0</v>
      </c>
      <c r="R102" s="59">
        <f>+E102+I102+M102+Q102</f>
        <v>0</v>
      </c>
    </row>
    <row r="103" spans="1:20" ht="15.75" customHeight="1" x14ac:dyDescent="0.3">
      <c r="A103" s="76" t="s">
        <v>98</v>
      </c>
      <c r="B103" s="1"/>
      <c r="C103" s="1"/>
      <c r="D103" s="1"/>
      <c r="E103" s="59">
        <f>SUM(B103:D103)</f>
        <v>0</v>
      </c>
      <c r="F103" s="1"/>
      <c r="G103" s="1"/>
      <c r="H103" s="1"/>
      <c r="I103" s="59">
        <f>SUM(F103:H103)</f>
        <v>0</v>
      </c>
      <c r="J103" s="1"/>
      <c r="K103" s="1"/>
      <c r="L103" s="1"/>
      <c r="M103" s="59">
        <f>SUM(J103:L103)</f>
        <v>0</v>
      </c>
      <c r="N103" s="1"/>
      <c r="O103" s="1"/>
      <c r="P103" s="1"/>
      <c r="Q103" s="59">
        <f>SUM(N103:P103)</f>
        <v>0</v>
      </c>
      <c r="R103" s="59">
        <f>+E103+I103+M103+Q103</f>
        <v>0</v>
      </c>
      <c r="T103" s="4" t="s">
        <v>83</v>
      </c>
    </row>
    <row r="104" spans="1:20" ht="15.75" customHeight="1" x14ac:dyDescent="0.3">
      <c r="A104" s="76" t="s">
        <v>99</v>
      </c>
      <c r="B104" s="1"/>
      <c r="C104" s="1"/>
      <c r="D104" s="1"/>
      <c r="E104" s="59">
        <f>SUM(B104:D104)</f>
        <v>0</v>
      </c>
      <c r="F104" s="1"/>
      <c r="G104" s="1"/>
      <c r="H104" s="1"/>
      <c r="I104" s="59">
        <f>SUM(F104:H104)</f>
        <v>0</v>
      </c>
      <c r="J104" s="1"/>
      <c r="K104" s="1"/>
      <c r="L104" s="1"/>
      <c r="M104" s="59">
        <f>SUM(J104:L104)</f>
        <v>0</v>
      </c>
      <c r="N104" s="1"/>
      <c r="O104" s="1"/>
      <c r="P104" s="1"/>
      <c r="Q104" s="59">
        <f>SUM(N104:P104)</f>
        <v>0</v>
      </c>
      <c r="R104" s="59">
        <f>+E104+I104+M104+Q104</f>
        <v>0</v>
      </c>
    </row>
    <row r="105" spans="1:20" ht="15.75" customHeight="1" x14ac:dyDescent="0.3">
      <c r="A105" s="76" t="s">
        <v>100</v>
      </c>
      <c r="B105" s="1"/>
      <c r="C105" s="1"/>
      <c r="D105" s="1"/>
      <c r="E105" s="59">
        <f t="shared" si="10"/>
        <v>0</v>
      </c>
      <c r="F105" s="1"/>
      <c r="G105" s="1"/>
      <c r="H105" s="1"/>
      <c r="I105" s="59">
        <f t="shared" si="11"/>
        <v>0</v>
      </c>
      <c r="J105" s="1"/>
      <c r="K105" s="1"/>
      <c r="L105" s="1"/>
      <c r="M105" s="59">
        <f t="shared" si="12"/>
        <v>0</v>
      </c>
      <c r="N105" s="1"/>
      <c r="O105" s="1"/>
      <c r="P105" s="1"/>
      <c r="Q105" s="59">
        <f t="shared" si="13"/>
        <v>0</v>
      </c>
      <c r="R105" s="59">
        <f t="shared" si="14"/>
        <v>0</v>
      </c>
    </row>
    <row r="106" spans="1:20" ht="15.75" customHeight="1" thickBot="1" x14ac:dyDescent="0.35">
      <c r="A106" s="76" t="s">
        <v>101</v>
      </c>
      <c r="B106" s="1"/>
      <c r="C106" s="1"/>
      <c r="D106" s="1"/>
      <c r="E106" s="59">
        <f t="shared" si="10"/>
        <v>0</v>
      </c>
      <c r="F106" s="1"/>
      <c r="G106" s="1"/>
      <c r="H106" s="1"/>
      <c r="I106" s="59">
        <f t="shared" si="11"/>
        <v>0</v>
      </c>
      <c r="J106" s="1"/>
      <c r="K106" s="1"/>
      <c r="L106" s="1"/>
      <c r="M106" s="59">
        <f t="shared" si="12"/>
        <v>0</v>
      </c>
      <c r="N106" s="1"/>
      <c r="O106" s="1"/>
      <c r="P106" s="1"/>
      <c r="Q106" s="59">
        <f t="shared" si="13"/>
        <v>0</v>
      </c>
      <c r="R106" s="59">
        <f t="shared" si="14"/>
        <v>0</v>
      </c>
    </row>
    <row r="107" spans="1:20" ht="16.5" customHeight="1" thickBot="1" x14ac:dyDescent="0.35">
      <c r="A107" s="62" t="s">
        <v>61</v>
      </c>
      <c r="B107" s="63">
        <f>SUM(B97:B106)</f>
        <v>0</v>
      </c>
      <c r="C107" s="63">
        <f>SUM(C97:C106)</f>
        <v>0</v>
      </c>
      <c r="D107" s="63">
        <f>SUM(D97:D106)</f>
        <v>0</v>
      </c>
      <c r="E107" s="64">
        <f t="shared" si="10"/>
        <v>0</v>
      </c>
      <c r="F107" s="63">
        <f>SUM(F97:F106)</f>
        <v>0</v>
      </c>
      <c r="G107" s="63">
        <f>SUM(G97:G106)</f>
        <v>0</v>
      </c>
      <c r="H107" s="63">
        <f>SUM(H97:H106)</f>
        <v>0</v>
      </c>
      <c r="I107" s="64">
        <f t="shared" si="11"/>
        <v>0</v>
      </c>
      <c r="J107" s="63">
        <f>SUM(J97:J106)</f>
        <v>0</v>
      </c>
      <c r="K107" s="63">
        <f>SUM(K97:K106)</f>
        <v>0</v>
      </c>
      <c r="L107" s="63">
        <f>SUM(L97:L106)</f>
        <v>0</v>
      </c>
      <c r="M107" s="64">
        <f t="shared" si="12"/>
        <v>0</v>
      </c>
      <c r="N107" s="63">
        <f>SUM(N97:N106)</f>
        <v>0</v>
      </c>
      <c r="O107" s="63">
        <f>SUM(O97:O106)</f>
        <v>0</v>
      </c>
      <c r="P107" s="63">
        <f>SUM(P97:P106)</f>
        <v>0</v>
      </c>
      <c r="Q107" s="64">
        <f t="shared" si="13"/>
        <v>0</v>
      </c>
      <c r="R107" s="64">
        <f t="shared" si="14"/>
        <v>0</v>
      </c>
    </row>
    <row r="108" spans="1:20" ht="15.75" customHeight="1" x14ac:dyDescent="0.3">
      <c r="A108" s="22" t="s">
        <v>62</v>
      </c>
      <c r="B108" s="60"/>
      <c r="C108" s="60"/>
      <c r="D108" s="60"/>
      <c r="E108" s="59" t="s">
        <v>7</v>
      </c>
      <c r="F108" s="60"/>
      <c r="G108" s="60"/>
      <c r="H108" s="60"/>
      <c r="I108" s="59" t="s">
        <v>7</v>
      </c>
      <c r="J108" s="60"/>
      <c r="K108" s="60"/>
      <c r="L108" s="60"/>
      <c r="M108" s="59" t="s">
        <v>7</v>
      </c>
      <c r="N108" s="60"/>
      <c r="O108" s="60"/>
      <c r="P108" s="60"/>
      <c r="Q108" s="59" t="s">
        <v>7</v>
      </c>
      <c r="R108" s="59" t="s">
        <v>7</v>
      </c>
    </row>
    <row r="109" spans="1:20" ht="15.75" customHeight="1" x14ac:dyDescent="0.3">
      <c r="A109" s="22" t="s">
        <v>63</v>
      </c>
      <c r="B109" s="60"/>
      <c r="C109" s="60"/>
      <c r="D109" s="60"/>
      <c r="E109" s="59" t="s">
        <v>7</v>
      </c>
      <c r="F109" s="60"/>
      <c r="G109" s="60"/>
      <c r="H109" s="60"/>
      <c r="I109" s="59" t="s">
        <v>7</v>
      </c>
      <c r="J109" s="60"/>
      <c r="K109" s="60"/>
      <c r="L109" s="60"/>
      <c r="M109" s="59" t="s">
        <v>7</v>
      </c>
      <c r="N109" s="60"/>
      <c r="O109" s="60"/>
      <c r="P109" s="60"/>
      <c r="Q109" s="59" t="s">
        <v>7</v>
      </c>
      <c r="R109" s="59" t="s">
        <v>7</v>
      </c>
    </row>
    <row r="110" spans="1:20" ht="15.75" customHeight="1" x14ac:dyDescent="0.3">
      <c r="A110" s="61" t="s">
        <v>103</v>
      </c>
      <c r="B110" s="1"/>
      <c r="C110" s="1"/>
      <c r="D110" s="1"/>
      <c r="E110" s="59">
        <f t="shared" ref="E110:E115" si="15">SUM(B110:D110)</f>
        <v>0</v>
      </c>
      <c r="F110" s="1"/>
      <c r="G110" s="1"/>
      <c r="H110" s="1"/>
      <c r="I110" s="59">
        <f t="shared" ref="I110:I115" si="16">SUM(F110:H110)</f>
        <v>0</v>
      </c>
      <c r="J110" s="1"/>
      <c r="K110" s="1"/>
      <c r="L110" s="1"/>
      <c r="M110" s="59">
        <f t="shared" ref="M110:M115" si="17">SUM(J110:L110)</f>
        <v>0</v>
      </c>
      <c r="N110" s="1"/>
      <c r="O110" s="1"/>
      <c r="P110" s="1"/>
      <c r="Q110" s="59">
        <f t="shared" ref="Q110:Q115" si="18">SUM(N110:P110)</f>
        <v>0</v>
      </c>
      <c r="R110" s="59">
        <f t="shared" ref="R110:R115" si="19">+E110+I110+M110+Q110</f>
        <v>0</v>
      </c>
    </row>
    <row r="111" spans="1:20" ht="15.75" customHeight="1" x14ac:dyDescent="0.3">
      <c r="A111" s="61" t="s">
        <v>104</v>
      </c>
      <c r="B111" s="1"/>
      <c r="C111" s="1"/>
      <c r="D111" s="1"/>
      <c r="E111" s="59">
        <f t="shared" si="15"/>
        <v>0</v>
      </c>
      <c r="F111" s="1"/>
      <c r="G111" s="1"/>
      <c r="H111" s="1"/>
      <c r="I111" s="59">
        <f t="shared" si="16"/>
        <v>0</v>
      </c>
      <c r="J111" s="1"/>
      <c r="K111" s="1"/>
      <c r="L111" s="1"/>
      <c r="M111" s="59">
        <f t="shared" si="17"/>
        <v>0</v>
      </c>
      <c r="N111" s="1"/>
      <c r="O111" s="1"/>
      <c r="P111" s="1"/>
      <c r="Q111" s="59">
        <f t="shared" si="18"/>
        <v>0</v>
      </c>
      <c r="R111" s="59">
        <f t="shared" si="19"/>
        <v>0</v>
      </c>
    </row>
    <row r="112" spans="1:20" ht="15.75" customHeight="1" x14ac:dyDescent="0.3">
      <c r="A112" s="61" t="s">
        <v>105</v>
      </c>
      <c r="B112" s="1"/>
      <c r="C112" s="1"/>
      <c r="D112" s="1"/>
      <c r="E112" s="59">
        <f t="shared" si="15"/>
        <v>0</v>
      </c>
      <c r="F112" s="1"/>
      <c r="G112" s="1"/>
      <c r="H112" s="1"/>
      <c r="I112" s="59">
        <f t="shared" si="16"/>
        <v>0</v>
      </c>
      <c r="J112" s="1"/>
      <c r="K112" s="1"/>
      <c r="L112" s="1"/>
      <c r="M112" s="59">
        <f t="shared" si="17"/>
        <v>0</v>
      </c>
      <c r="N112" s="1"/>
      <c r="O112" s="1"/>
      <c r="P112" s="1"/>
      <c r="Q112" s="59">
        <f t="shared" si="18"/>
        <v>0</v>
      </c>
      <c r="R112" s="59">
        <f t="shared" si="19"/>
        <v>0</v>
      </c>
    </row>
    <row r="113" spans="1:20" ht="15.75" customHeight="1" x14ac:dyDescent="0.3">
      <c r="A113" s="61" t="s">
        <v>106</v>
      </c>
      <c r="B113" s="1"/>
      <c r="C113" s="1"/>
      <c r="D113" s="1"/>
      <c r="E113" s="59">
        <f t="shared" si="15"/>
        <v>0</v>
      </c>
      <c r="F113" s="1"/>
      <c r="G113" s="1"/>
      <c r="H113" s="1"/>
      <c r="I113" s="59">
        <f t="shared" si="16"/>
        <v>0</v>
      </c>
      <c r="J113" s="1"/>
      <c r="K113" s="1"/>
      <c r="L113" s="1"/>
      <c r="M113" s="59">
        <f t="shared" si="17"/>
        <v>0</v>
      </c>
      <c r="N113" s="1"/>
      <c r="O113" s="1"/>
      <c r="P113" s="1"/>
      <c r="Q113" s="59">
        <f t="shared" si="18"/>
        <v>0</v>
      </c>
      <c r="R113" s="59">
        <f t="shared" si="19"/>
        <v>0</v>
      </c>
    </row>
    <row r="114" spans="1:20" ht="15.75" customHeight="1" x14ac:dyDescent="0.3">
      <c r="A114" s="61" t="s">
        <v>107</v>
      </c>
      <c r="B114" s="1"/>
      <c r="C114" s="1"/>
      <c r="D114" s="1"/>
      <c r="E114" s="59">
        <f t="shared" si="15"/>
        <v>0</v>
      </c>
      <c r="F114" s="1"/>
      <c r="G114" s="1"/>
      <c r="H114" s="1"/>
      <c r="I114" s="59">
        <f t="shared" si="16"/>
        <v>0</v>
      </c>
      <c r="J114" s="1"/>
      <c r="K114" s="1"/>
      <c r="L114" s="1"/>
      <c r="M114" s="59">
        <f t="shared" si="17"/>
        <v>0</v>
      </c>
      <c r="N114" s="1"/>
      <c r="O114" s="1"/>
      <c r="P114" s="1"/>
      <c r="Q114" s="59">
        <f t="shared" si="18"/>
        <v>0</v>
      </c>
      <c r="R114" s="59">
        <f t="shared" si="19"/>
        <v>0</v>
      </c>
    </row>
    <row r="115" spans="1:20" ht="15.75" customHeight="1" x14ac:dyDescent="0.3">
      <c r="A115" s="61" t="s">
        <v>108</v>
      </c>
      <c r="B115" s="1"/>
      <c r="C115" s="1"/>
      <c r="D115" s="1"/>
      <c r="E115" s="59">
        <f t="shared" si="15"/>
        <v>0</v>
      </c>
      <c r="F115" s="1"/>
      <c r="G115" s="1"/>
      <c r="H115" s="1"/>
      <c r="I115" s="59">
        <f t="shared" si="16"/>
        <v>0</v>
      </c>
      <c r="J115" s="1"/>
      <c r="K115" s="1"/>
      <c r="L115" s="1"/>
      <c r="M115" s="59">
        <f t="shared" si="17"/>
        <v>0</v>
      </c>
      <c r="N115" s="1"/>
      <c r="O115" s="1"/>
      <c r="P115" s="1"/>
      <c r="Q115" s="59">
        <f t="shared" si="18"/>
        <v>0</v>
      </c>
      <c r="R115" s="59">
        <f t="shared" si="19"/>
        <v>0</v>
      </c>
    </row>
    <row r="116" spans="1:20" ht="15.75" customHeight="1" x14ac:dyDescent="0.3">
      <c r="A116" s="61" t="s">
        <v>109</v>
      </c>
      <c r="B116" s="1"/>
      <c r="C116" s="1"/>
      <c r="D116" s="1"/>
      <c r="E116" s="59">
        <f>SUM(B116:D116)</f>
        <v>0</v>
      </c>
      <c r="F116" s="1"/>
      <c r="G116" s="1"/>
      <c r="H116" s="1"/>
      <c r="I116" s="59">
        <f>SUM(F116:H116)</f>
        <v>0</v>
      </c>
      <c r="J116" s="1"/>
      <c r="K116" s="1"/>
      <c r="L116" s="1"/>
      <c r="M116" s="59">
        <f>SUM(J116:L116)</f>
        <v>0</v>
      </c>
      <c r="N116" s="1"/>
      <c r="O116" s="1"/>
      <c r="P116" s="1"/>
      <c r="Q116" s="59">
        <f>SUM(N116:P116)</f>
        <v>0</v>
      </c>
      <c r="R116" s="59">
        <f>+E116+I116+M116+Q116</f>
        <v>0</v>
      </c>
    </row>
    <row r="117" spans="1:20" ht="15.75" customHeight="1" x14ac:dyDescent="0.3">
      <c r="A117" s="78" t="s">
        <v>110</v>
      </c>
      <c r="B117" s="1"/>
      <c r="C117" s="1"/>
      <c r="D117" s="1"/>
      <c r="E117" s="59">
        <f>SUM(B117:D117)</f>
        <v>0</v>
      </c>
      <c r="F117" s="1"/>
      <c r="G117" s="1"/>
      <c r="H117" s="1"/>
      <c r="I117" s="59">
        <f>SUM(F117:H117)</f>
        <v>0</v>
      </c>
      <c r="J117" s="1"/>
      <c r="K117" s="1"/>
      <c r="L117" s="1"/>
      <c r="M117" s="59">
        <f>SUM(J117:L117)</f>
        <v>0</v>
      </c>
      <c r="N117" s="1"/>
      <c r="O117" s="1"/>
      <c r="P117" s="1"/>
      <c r="Q117" s="59">
        <f>SUM(N117:P117)</f>
        <v>0</v>
      </c>
      <c r="R117" s="59">
        <f>+E117+I117+M117+Q117</f>
        <v>0</v>
      </c>
      <c r="T117" s="4" t="s">
        <v>111</v>
      </c>
    </row>
    <row r="118" spans="1:20" ht="15.75" customHeight="1" x14ac:dyDescent="0.3">
      <c r="A118" s="22" t="s">
        <v>64</v>
      </c>
      <c r="B118" s="60"/>
      <c r="C118" s="60"/>
      <c r="D118" s="60"/>
      <c r="E118" s="59" t="s">
        <v>7</v>
      </c>
      <c r="F118" s="60"/>
      <c r="G118" s="60"/>
      <c r="H118" s="60"/>
      <c r="I118" s="59" t="s">
        <v>7</v>
      </c>
      <c r="J118" s="60"/>
      <c r="K118" s="60"/>
      <c r="L118" s="60"/>
      <c r="M118" s="59" t="s">
        <v>7</v>
      </c>
      <c r="N118" s="60"/>
      <c r="O118" s="60"/>
      <c r="P118" s="60"/>
      <c r="Q118" s="59" t="s">
        <v>7</v>
      </c>
      <c r="R118" s="59" t="s">
        <v>7</v>
      </c>
    </row>
    <row r="119" spans="1:20" ht="15.75" customHeight="1" x14ac:dyDescent="0.3">
      <c r="A119" s="61" t="s">
        <v>112</v>
      </c>
      <c r="B119" s="1"/>
      <c r="C119" s="1"/>
      <c r="D119" s="1"/>
      <c r="E119" s="59">
        <f>SUM(B119:D119)</f>
        <v>0</v>
      </c>
      <c r="F119" s="1"/>
      <c r="G119" s="1"/>
      <c r="H119" s="1"/>
      <c r="I119" s="59">
        <f>SUM(F119:H119)</f>
        <v>0</v>
      </c>
      <c r="J119" s="1"/>
      <c r="K119" s="1"/>
      <c r="L119" s="1"/>
      <c r="M119" s="59">
        <f>SUM(J119:L119)</f>
        <v>0</v>
      </c>
      <c r="N119" s="1"/>
      <c r="O119" s="1"/>
      <c r="P119" s="1"/>
      <c r="Q119" s="59">
        <f>SUM(N119:P119)</f>
        <v>0</v>
      </c>
      <c r="R119" s="59">
        <f>+E119+I119+M119+Q119</f>
        <v>0</v>
      </c>
    </row>
    <row r="120" spans="1:20" ht="15.75" customHeight="1" x14ac:dyDescent="0.3">
      <c r="A120" s="61" t="s">
        <v>113</v>
      </c>
      <c r="B120" s="1"/>
      <c r="C120" s="1"/>
      <c r="D120" s="1"/>
      <c r="E120" s="59">
        <f>SUM(B120:D120)</f>
        <v>0</v>
      </c>
      <c r="F120" s="1"/>
      <c r="G120" s="1"/>
      <c r="H120" s="1"/>
      <c r="I120" s="59">
        <f>SUM(F120:H120)</f>
        <v>0</v>
      </c>
      <c r="J120" s="1"/>
      <c r="K120" s="1"/>
      <c r="L120" s="1"/>
      <c r="M120" s="59">
        <f>SUM(J120:L120)</f>
        <v>0</v>
      </c>
      <c r="N120" s="1"/>
      <c r="O120" s="1"/>
      <c r="P120" s="1"/>
      <c r="Q120" s="59">
        <f>SUM(N120:P120)</f>
        <v>0</v>
      </c>
      <c r="R120" s="59">
        <f>+E120+I120+M120+Q120</f>
        <v>0</v>
      </c>
    </row>
    <row r="121" spans="1:20" ht="15.75" customHeight="1" x14ac:dyDescent="0.3">
      <c r="A121" s="22" t="s">
        <v>66</v>
      </c>
      <c r="B121" s="60"/>
      <c r="C121" s="60"/>
      <c r="D121" s="60"/>
      <c r="E121" s="59" t="s">
        <v>7</v>
      </c>
      <c r="F121" s="60"/>
      <c r="G121" s="60"/>
      <c r="H121" s="60"/>
      <c r="I121" s="59" t="s">
        <v>7</v>
      </c>
      <c r="J121" s="60"/>
      <c r="K121" s="60"/>
      <c r="L121" s="60"/>
      <c r="M121" s="59" t="s">
        <v>7</v>
      </c>
      <c r="N121" s="60"/>
      <c r="O121" s="60"/>
      <c r="P121" s="60"/>
      <c r="Q121" s="59" t="s">
        <v>7</v>
      </c>
      <c r="R121" s="59" t="s">
        <v>7</v>
      </c>
    </row>
    <row r="122" spans="1:20" ht="15.75" customHeight="1" x14ac:dyDescent="0.3">
      <c r="A122" s="61" t="s">
        <v>114</v>
      </c>
      <c r="B122" s="1"/>
      <c r="C122" s="1"/>
      <c r="D122" s="1"/>
      <c r="E122" s="59">
        <f>SUM(B122:D122)</f>
        <v>0</v>
      </c>
      <c r="F122" s="1"/>
      <c r="G122" s="1"/>
      <c r="H122" s="1"/>
      <c r="I122" s="59">
        <f>SUM(F122:H122)</f>
        <v>0</v>
      </c>
      <c r="J122" s="1"/>
      <c r="K122" s="1"/>
      <c r="L122" s="1"/>
      <c r="M122" s="59">
        <f>SUM(J122:L122)</f>
        <v>0</v>
      </c>
      <c r="N122" s="1"/>
      <c r="O122" s="1"/>
      <c r="P122" s="1"/>
      <c r="Q122" s="59">
        <f>SUM(N122:P122)</f>
        <v>0</v>
      </c>
      <c r="R122" s="59">
        <f>+E122+I122+M122+Q122</f>
        <v>0</v>
      </c>
      <c r="T122" s="4" t="s">
        <v>78</v>
      </c>
    </row>
    <row r="123" spans="1:20" ht="15.75" customHeight="1" x14ac:dyDescent="0.3">
      <c r="A123" s="22" t="s">
        <v>67</v>
      </c>
      <c r="B123" s="60"/>
      <c r="C123" s="60"/>
      <c r="D123" s="60"/>
      <c r="E123" s="59" t="s">
        <v>7</v>
      </c>
      <c r="F123" s="60"/>
      <c r="G123" s="60"/>
      <c r="H123" s="60"/>
      <c r="I123" s="59" t="s">
        <v>7</v>
      </c>
      <c r="J123" s="60"/>
      <c r="K123" s="60"/>
      <c r="L123" s="60"/>
      <c r="M123" s="59" t="s">
        <v>7</v>
      </c>
      <c r="N123" s="60"/>
      <c r="O123" s="60"/>
      <c r="P123" s="60"/>
      <c r="Q123" s="59" t="s">
        <v>7</v>
      </c>
      <c r="R123" s="59" t="s">
        <v>7</v>
      </c>
    </row>
    <row r="124" spans="1:20" ht="15.75" customHeight="1" x14ac:dyDescent="0.3">
      <c r="A124" s="61" t="s">
        <v>115</v>
      </c>
      <c r="B124" s="1"/>
      <c r="C124" s="1"/>
      <c r="D124" s="1"/>
      <c r="E124" s="59">
        <f t="shared" ref="E124:E129" si="20">SUM(B124:D124)</f>
        <v>0</v>
      </c>
      <c r="F124" s="1"/>
      <c r="G124" s="1"/>
      <c r="H124" s="1"/>
      <c r="I124" s="59">
        <f t="shared" ref="I124:I129" si="21">SUM(F124:H124)</f>
        <v>0</v>
      </c>
      <c r="J124" s="1"/>
      <c r="K124" s="1"/>
      <c r="L124" s="1"/>
      <c r="M124" s="59">
        <f t="shared" ref="M124:M129" si="22">SUM(J124:L124)</f>
        <v>0</v>
      </c>
      <c r="N124" s="1"/>
      <c r="O124" s="1"/>
      <c r="P124" s="1"/>
      <c r="Q124" s="59">
        <f t="shared" ref="Q124:Q129" si="23">SUM(N124:P124)</f>
        <v>0</v>
      </c>
      <c r="R124" s="59">
        <f t="shared" ref="R124:R129" si="24">+E124+I124+M124+Q124</f>
        <v>0</v>
      </c>
    </row>
    <row r="125" spans="1:20" ht="15.75" customHeight="1" thickBot="1" x14ac:dyDescent="0.35">
      <c r="A125" s="61" t="s">
        <v>116</v>
      </c>
      <c r="B125" s="1"/>
      <c r="C125" s="1"/>
      <c r="D125" s="1"/>
      <c r="E125" s="59">
        <f t="shared" si="20"/>
        <v>0</v>
      </c>
      <c r="F125" s="1"/>
      <c r="G125" s="1"/>
      <c r="H125" s="1"/>
      <c r="I125" s="59">
        <f t="shared" si="21"/>
        <v>0</v>
      </c>
      <c r="J125" s="1"/>
      <c r="K125" s="1"/>
      <c r="L125" s="1"/>
      <c r="M125" s="59">
        <f t="shared" si="22"/>
        <v>0</v>
      </c>
      <c r="N125" s="1"/>
      <c r="O125" s="1"/>
      <c r="P125" s="1"/>
      <c r="Q125" s="59">
        <f t="shared" si="23"/>
        <v>0</v>
      </c>
      <c r="R125" s="59">
        <f t="shared" si="24"/>
        <v>0</v>
      </c>
    </row>
    <row r="126" spans="1:20" ht="16.5" customHeight="1" thickBot="1" x14ac:dyDescent="0.35">
      <c r="A126" s="62" t="s">
        <v>68</v>
      </c>
      <c r="B126" s="63">
        <f>SUM(B121:B125)</f>
        <v>0</v>
      </c>
      <c r="C126" s="63">
        <f>SUM(C121:C125)</f>
        <v>0</v>
      </c>
      <c r="D126" s="63">
        <f>SUM(D121:D125)</f>
        <v>0</v>
      </c>
      <c r="E126" s="65">
        <f t="shared" si="20"/>
        <v>0</v>
      </c>
      <c r="F126" s="63">
        <f>SUM(F121:F125)</f>
        <v>0</v>
      </c>
      <c r="G126" s="63">
        <f>SUM(G121:G125)</f>
        <v>0</v>
      </c>
      <c r="H126" s="63">
        <f>SUM(H121:H125)</f>
        <v>0</v>
      </c>
      <c r="I126" s="65">
        <f t="shared" si="21"/>
        <v>0</v>
      </c>
      <c r="J126" s="63">
        <f>SUM(J121:J125)</f>
        <v>0</v>
      </c>
      <c r="K126" s="63">
        <f>SUM(K121:K125)</f>
        <v>0</v>
      </c>
      <c r="L126" s="63">
        <f>SUM(L121:L125)</f>
        <v>0</v>
      </c>
      <c r="M126" s="65">
        <f t="shared" si="22"/>
        <v>0</v>
      </c>
      <c r="N126" s="63">
        <f>SUM(N121:N125)</f>
        <v>0</v>
      </c>
      <c r="O126" s="63">
        <f>SUM(O121:O125)</f>
        <v>0</v>
      </c>
      <c r="P126" s="63">
        <f>SUM(P121:P125)</f>
        <v>0</v>
      </c>
      <c r="Q126" s="65">
        <f t="shared" si="23"/>
        <v>0</v>
      </c>
      <c r="R126" s="64">
        <f t="shared" si="24"/>
        <v>0</v>
      </c>
    </row>
    <row r="127" spans="1:20" ht="16.5" customHeight="1" thickBot="1" x14ac:dyDescent="0.35">
      <c r="A127" s="62" t="s">
        <v>69</v>
      </c>
      <c r="B127" s="63">
        <f>SUM(B108:B125)</f>
        <v>0</v>
      </c>
      <c r="C127" s="63">
        <f>SUM(C108:C125)</f>
        <v>0</v>
      </c>
      <c r="D127" s="63">
        <f>SUM(D108:D125)</f>
        <v>0</v>
      </c>
      <c r="E127" s="65">
        <f t="shared" si="20"/>
        <v>0</v>
      </c>
      <c r="F127" s="63">
        <f>SUM(F108:F125)</f>
        <v>0</v>
      </c>
      <c r="G127" s="63">
        <f>SUM(G108:G125)</f>
        <v>0</v>
      </c>
      <c r="H127" s="63">
        <f>SUM(H108:H125)</f>
        <v>0</v>
      </c>
      <c r="I127" s="65">
        <f t="shared" si="21"/>
        <v>0</v>
      </c>
      <c r="J127" s="63">
        <f>SUM(J108:J125)</f>
        <v>0</v>
      </c>
      <c r="K127" s="63">
        <f>SUM(K108:K125)</f>
        <v>0</v>
      </c>
      <c r="L127" s="63">
        <f>SUM(L108:L125)</f>
        <v>0</v>
      </c>
      <c r="M127" s="65">
        <f t="shared" si="22"/>
        <v>0</v>
      </c>
      <c r="N127" s="63">
        <f>SUM(N108:N125)</f>
        <v>0</v>
      </c>
      <c r="O127" s="63">
        <f>SUM(O108:O125)</f>
        <v>0</v>
      </c>
      <c r="P127" s="63">
        <f>SUM(P108:P125)</f>
        <v>0</v>
      </c>
      <c r="Q127" s="65">
        <f t="shared" si="23"/>
        <v>0</v>
      </c>
      <c r="R127" s="64">
        <f t="shared" si="24"/>
        <v>0</v>
      </c>
    </row>
    <row r="128" spans="1:20" ht="16.5" customHeight="1" thickBot="1" x14ac:dyDescent="0.35">
      <c r="A128" s="62" t="s">
        <v>70</v>
      </c>
      <c r="B128" s="63">
        <f>+B89+B96+B107+B127</f>
        <v>800</v>
      </c>
      <c r="C128" s="63">
        <f>+C89+C96+C107+C127</f>
        <v>1100</v>
      </c>
      <c r="D128" s="63">
        <f>+D89+D96+D107+D127</f>
        <v>5000</v>
      </c>
      <c r="E128" s="64">
        <f t="shared" si="20"/>
        <v>6900</v>
      </c>
      <c r="F128" s="63">
        <f>+F89+F96+F107+F127</f>
        <v>5900</v>
      </c>
      <c r="G128" s="63">
        <f>+G89+G96+G107+G127</f>
        <v>6400</v>
      </c>
      <c r="H128" s="63">
        <f>+H89+H96+H107+H127</f>
        <v>6400</v>
      </c>
      <c r="I128" s="64">
        <f t="shared" si="21"/>
        <v>18700</v>
      </c>
      <c r="J128" s="63">
        <f>+J89+J96+J107+J127</f>
        <v>6321</v>
      </c>
      <c r="K128" s="63">
        <f>+K89+K96+K107+K127</f>
        <v>5123</v>
      </c>
      <c r="L128" s="63">
        <f>+L89+L96+L107+L127</f>
        <v>2790</v>
      </c>
      <c r="M128" s="64">
        <f t="shared" si="22"/>
        <v>14234</v>
      </c>
      <c r="N128" s="63">
        <f>+N89+N96+N107+N127</f>
        <v>1150</v>
      </c>
      <c r="O128" s="63">
        <f>+O89+O96+O107+O127</f>
        <v>600</v>
      </c>
      <c r="P128" s="63">
        <f>+P89+P96+P107+P127</f>
        <v>703</v>
      </c>
      <c r="Q128" s="64">
        <f t="shared" si="23"/>
        <v>2453</v>
      </c>
      <c r="R128" s="64">
        <f t="shared" si="24"/>
        <v>42287</v>
      </c>
    </row>
    <row r="129" spans="1:20" ht="16.5" customHeight="1" thickBot="1" x14ac:dyDescent="0.35">
      <c r="A129" s="79" t="s">
        <v>37</v>
      </c>
      <c r="B129" s="25">
        <v>173</v>
      </c>
      <c r="C129" s="25">
        <v>260</v>
      </c>
      <c r="D129" s="25">
        <v>471</v>
      </c>
      <c r="E129" s="59">
        <f t="shared" si="20"/>
        <v>904</v>
      </c>
      <c r="F129" s="25">
        <v>629</v>
      </c>
      <c r="G129" s="25">
        <v>725</v>
      </c>
      <c r="H129" s="25">
        <v>712</v>
      </c>
      <c r="I129" s="59">
        <f t="shared" si="21"/>
        <v>2066</v>
      </c>
      <c r="J129" s="25">
        <v>711</v>
      </c>
      <c r="K129" s="25">
        <v>573</v>
      </c>
      <c r="L129" s="25">
        <v>542</v>
      </c>
      <c r="M129" s="59">
        <f t="shared" si="22"/>
        <v>1826</v>
      </c>
      <c r="N129" s="25">
        <v>490</v>
      </c>
      <c r="O129" s="25">
        <v>407</v>
      </c>
      <c r="P129" s="25">
        <v>323</v>
      </c>
      <c r="Q129" s="59">
        <f t="shared" si="23"/>
        <v>1220</v>
      </c>
      <c r="R129" s="59">
        <f t="shared" si="24"/>
        <v>6016</v>
      </c>
    </row>
    <row r="130" spans="1:20" ht="16.5" customHeight="1" thickBot="1" x14ac:dyDescent="0.35">
      <c r="A130" s="80"/>
      <c r="B130" s="81"/>
      <c r="C130" s="81"/>
      <c r="D130" s="81"/>
      <c r="E130" s="64" t="s">
        <v>7</v>
      </c>
      <c r="F130" s="81"/>
      <c r="G130" s="81"/>
      <c r="H130" s="81"/>
      <c r="I130" s="64" t="s">
        <v>7</v>
      </c>
      <c r="J130" s="81"/>
      <c r="K130" s="81"/>
      <c r="L130" s="81"/>
      <c r="M130" s="64" t="s">
        <v>7</v>
      </c>
      <c r="N130" s="81"/>
      <c r="O130" s="81"/>
      <c r="P130" s="81"/>
      <c r="Q130" s="64" t="s">
        <v>7</v>
      </c>
      <c r="R130" s="64" t="s">
        <v>7</v>
      </c>
    </row>
    <row r="131" spans="1:20" ht="15.75" customHeight="1" x14ac:dyDescent="0.3">
      <c r="A131" s="82" t="s">
        <v>38</v>
      </c>
      <c r="B131" s="83">
        <f>+B128+B129</f>
        <v>973</v>
      </c>
      <c r="C131" s="83">
        <f>+C128+C129</f>
        <v>1360</v>
      </c>
      <c r="D131" s="83">
        <f>+D128+D129</f>
        <v>5471</v>
      </c>
      <c r="E131" s="59">
        <f>SUM(B131:D131)</f>
        <v>7804</v>
      </c>
      <c r="F131" s="83">
        <f>+F128+F129</f>
        <v>6529</v>
      </c>
      <c r="G131" s="83">
        <f>+G128+G129</f>
        <v>7125</v>
      </c>
      <c r="H131" s="83">
        <f>+H128+H129</f>
        <v>7112</v>
      </c>
      <c r="I131" s="59">
        <f>SUM(F131:H131)</f>
        <v>20766</v>
      </c>
      <c r="J131" s="83">
        <f>+J128+J129</f>
        <v>7032</v>
      </c>
      <c r="K131" s="83">
        <f>+K128+K129</f>
        <v>5696</v>
      </c>
      <c r="L131" s="83">
        <f>+L128+L129</f>
        <v>3332</v>
      </c>
      <c r="M131" s="59">
        <f>SUM(J131:L131)</f>
        <v>16060</v>
      </c>
      <c r="N131" s="83">
        <f>+N128+N129</f>
        <v>1640</v>
      </c>
      <c r="O131" s="83">
        <f>+O128+O129</f>
        <v>1007</v>
      </c>
      <c r="P131" s="83">
        <f>+P128+P129</f>
        <v>1026</v>
      </c>
      <c r="Q131" s="59">
        <f>SUM(N131:P131)</f>
        <v>3673</v>
      </c>
      <c r="R131" s="59">
        <f>+E131+I131+M131+Q131</f>
        <v>48303</v>
      </c>
    </row>
    <row r="132" spans="1:20" ht="15.75" customHeight="1" x14ac:dyDescent="0.3">
      <c r="A132" s="84" t="s">
        <v>39</v>
      </c>
      <c r="B132" s="1">
        <f>(B131/B10)/1.983</f>
        <v>15.828087127682071</v>
      </c>
      <c r="C132" s="1">
        <f>(C131/C10)/1.983</f>
        <v>24.493912542324036</v>
      </c>
      <c r="D132" s="1">
        <f>(D131/D10)/1.983</f>
        <v>88.998422071478529</v>
      </c>
      <c r="E132" s="59" t="s">
        <v>7</v>
      </c>
      <c r="F132" s="1">
        <f>(F131/F10)/1.983</f>
        <v>109.74953773743485</v>
      </c>
      <c r="G132" s="1">
        <f>(G131/G10)/1.983</f>
        <v>115.90454345810356</v>
      </c>
      <c r="H132" s="1">
        <f>(H131/H10)/1.983</f>
        <v>119.54950411833921</v>
      </c>
      <c r="I132" s="59" t="s">
        <v>7</v>
      </c>
      <c r="J132" s="1">
        <f>(J131/J10)/1.983</f>
        <v>114.39168415401883</v>
      </c>
      <c r="K132" s="1">
        <f>(K131/K10)/1.983</f>
        <v>92.65856554910286</v>
      </c>
      <c r="L132" s="1">
        <f>(L131/L10)/1.983</f>
        <v>56.009413346780967</v>
      </c>
      <c r="M132" s="59" t="s">
        <v>7</v>
      </c>
      <c r="N132" s="1">
        <f>(N131/N10)/1.983</f>
        <v>26.678379125795065</v>
      </c>
      <c r="O132" s="1">
        <f>(O131/O10)/1.983</f>
        <v>16.927214657925703</v>
      </c>
      <c r="P132" s="1">
        <f>(P131/P10)/1.983</f>
        <v>16.69025425796691</v>
      </c>
      <c r="Q132" s="59" t="s">
        <v>7</v>
      </c>
      <c r="R132" s="59" t="s">
        <v>7</v>
      </c>
    </row>
    <row r="133" spans="1:20" ht="15.75" customHeight="1" x14ac:dyDescent="0.3">
      <c r="A133" s="85" t="s">
        <v>117</v>
      </c>
      <c r="B133" s="1">
        <f>B131+B312</f>
        <v>88095</v>
      </c>
      <c r="C133" s="1">
        <f>C131+C312</f>
        <v>162883</v>
      </c>
      <c r="D133" s="1">
        <f>D131+D312</f>
        <v>179491</v>
      </c>
      <c r="E133" s="59">
        <f>SUM(B133:D133)</f>
        <v>430469</v>
      </c>
      <c r="F133" s="1">
        <f>F131+F312</f>
        <v>174128</v>
      </c>
      <c r="G133" s="1">
        <f>G131+G312</f>
        <v>180583</v>
      </c>
      <c r="H133" s="1">
        <f>H131+H312</f>
        <v>72413</v>
      </c>
      <c r="I133" s="59">
        <f>SUM(F133:H133)</f>
        <v>427124</v>
      </c>
      <c r="J133" s="1">
        <f>J131+J312</f>
        <v>74683</v>
      </c>
      <c r="K133" s="1">
        <f>K131+K312</f>
        <v>73911</v>
      </c>
      <c r="L133" s="1">
        <f>L131+L312</f>
        <v>147982</v>
      </c>
      <c r="M133" s="59">
        <f>SUM(J133:L133)</f>
        <v>296576</v>
      </c>
      <c r="N133" s="1">
        <f>N131+N312</f>
        <v>142659</v>
      </c>
      <c r="O133" s="1">
        <f>O131+O312</f>
        <v>118431</v>
      </c>
      <c r="P133" s="1">
        <f>P131+P312</f>
        <v>122240</v>
      </c>
      <c r="Q133" s="59">
        <f>SUM(N133:P133)</f>
        <v>383330</v>
      </c>
      <c r="R133" s="59">
        <f>+E133+I133+M133+Q133</f>
        <v>1537499</v>
      </c>
    </row>
    <row r="134" spans="1:20" ht="16.5" customHeight="1" thickBot="1" x14ac:dyDescent="0.35">
      <c r="A134" s="86" t="s">
        <v>118</v>
      </c>
      <c r="B134" s="87">
        <f>(B133/B10)/1.983</f>
        <v>1433.0681762725098</v>
      </c>
      <c r="C134" s="87">
        <f>(C133/C10)/1.983</f>
        <v>2933.5602622289457</v>
      </c>
      <c r="D134" s="87">
        <f>(D133/D10)/1.983</f>
        <v>2919.8347241878546</v>
      </c>
      <c r="E134" s="88" t="s">
        <v>7</v>
      </c>
      <c r="F134" s="87">
        <f>(F133/F10)/1.983</f>
        <v>2927.0129433518237</v>
      </c>
      <c r="G134" s="87">
        <f>(G133/G10)/1.983</f>
        <v>2937.5986205325912</v>
      </c>
      <c r="H134" s="87">
        <f>(H133/H10)/1.983</f>
        <v>1217.2297865187427</v>
      </c>
      <c r="I134" s="88" t="s">
        <v>7</v>
      </c>
      <c r="J134" s="87">
        <f>(J133/J10)/1.983</f>
        <v>1214.8910903974102</v>
      </c>
      <c r="K134" s="87">
        <f>(K133/K10)/1.983</f>
        <v>1202.3327314430724</v>
      </c>
      <c r="L134" s="87">
        <f>(L133/L10)/1.983</f>
        <v>2487.5105059673897</v>
      </c>
      <c r="M134" s="88" t="s">
        <v>7</v>
      </c>
      <c r="N134" s="87">
        <f>(N133/N10)/1.983</f>
        <v>2320.6773705529258</v>
      </c>
      <c r="O134" s="87">
        <f>(O133/O10)/1.983</f>
        <v>1990.771558245083</v>
      </c>
      <c r="P134" s="87">
        <f>(P133/P10)/1.983</f>
        <v>1988.5152831324319</v>
      </c>
      <c r="Q134" s="88" t="s">
        <v>7</v>
      </c>
      <c r="R134" s="88" t="s">
        <v>7</v>
      </c>
    </row>
    <row r="135" spans="1:20" ht="15.75" customHeight="1" x14ac:dyDescent="0.3">
      <c r="A135" s="30"/>
      <c r="B135" s="1"/>
      <c r="C135" s="1"/>
      <c r="D135" s="1"/>
      <c r="E135" s="1"/>
      <c r="F135" s="1"/>
      <c r="G135" s="1"/>
      <c r="H135" s="1"/>
      <c r="I135" s="1"/>
      <c r="J135" s="1"/>
      <c r="K135" s="1"/>
      <c r="L135" s="1"/>
      <c r="M135" s="1"/>
      <c r="N135" s="1"/>
      <c r="O135" s="1"/>
      <c r="P135" s="1"/>
      <c r="Q135" s="1"/>
      <c r="R135" s="28"/>
    </row>
    <row r="136" spans="1:20" ht="15.75" customHeight="1" thickBot="1" x14ac:dyDescent="0.35">
      <c r="A136" s="30" t="s">
        <v>7</v>
      </c>
      <c r="B136" s="1"/>
      <c r="C136" s="1"/>
      <c r="D136" s="1"/>
      <c r="E136" s="1"/>
      <c r="F136" s="1"/>
      <c r="G136" s="1"/>
      <c r="H136" s="1"/>
      <c r="I136" s="1"/>
      <c r="J136" s="1"/>
      <c r="K136" s="1"/>
      <c r="L136" s="1"/>
      <c r="M136" s="1"/>
      <c r="N136" s="1"/>
      <c r="O136" s="1"/>
      <c r="P136" s="1"/>
      <c r="Q136" s="1"/>
      <c r="R136" s="28"/>
    </row>
    <row r="137" spans="1:20" ht="16.5" customHeight="1" thickBot="1" x14ac:dyDescent="0.35">
      <c r="A137" s="31" t="s">
        <v>119</v>
      </c>
      <c r="B137" s="32" t="s">
        <v>36</v>
      </c>
      <c r="C137" s="33" t="s">
        <v>9</v>
      </c>
      <c r="D137" s="33" t="s">
        <v>10</v>
      </c>
      <c r="E137" s="12" t="s">
        <v>11</v>
      </c>
      <c r="F137" s="33" t="s">
        <v>12</v>
      </c>
      <c r="G137" s="33" t="s">
        <v>13</v>
      </c>
      <c r="H137" s="33" t="s">
        <v>14</v>
      </c>
      <c r="I137" s="34" t="s">
        <v>15</v>
      </c>
      <c r="J137" s="33" t="s">
        <v>16</v>
      </c>
      <c r="K137" s="33" t="s">
        <v>17</v>
      </c>
      <c r="L137" s="33" t="s">
        <v>18</v>
      </c>
      <c r="M137" s="34" t="s">
        <v>19</v>
      </c>
      <c r="N137" s="33" t="s">
        <v>20</v>
      </c>
      <c r="O137" s="33" t="s">
        <v>21</v>
      </c>
      <c r="P137" s="33" t="s">
        <v>22</v>
      </c>
      <c r="Q137" s="34" t="s">
        <v>23</v>
      </c>
      <c r="R137" s="35" t="s">
        <v>24</v>
      </c>
    </row>
    <row r="138" spans="1:20" ht="16.5" customHeight="1" thickBot="1" x14ac:dyDescent="0.35">
      <c r="A138" s="80"/>
      <c r="B138" s="81"/>
      <c r="C138" s="81"/>
      <c r="D138" s="81"/>
      <c r="E138" s="89"/>
      <c r="F138" s="81"/>
      <c r="G138" s="81"/>
      <c r="H138" s="81"/>
      <c r="I138" s="89"/>
      <c r="J138" s="81"/>
      <c r="K138" s="81"/>
      <c r="L138" s="81"/>
      <c r="M138" s="89"/>
      <c r="N138" s="81"/>
      <c r="O138" s="81"/>
      <c r="P138" s="81"/>
      <c r="Q138" s="89"/>
      <c r="R138" s="80"/>
    </row>
    <row r="139" spans="1:20" ht="15.75" customHeight="1" x14ac:dyDescent="0.3">
      <c r="A139" s="17" t="s">
        <v>45</v>
      </c>
      <c r="B139" s="1" t="s">
        <v>7</v>
      </c>
      <c r="C139" s="1" t="s">
        <v>7</v>
      </c>
      <c r="D139" s="1" t="s">
        <v>7</v>
      </c>
      <c r="E139" s="59" t="s">
        <v>7</v>
      </c>
      <c r="F139" s="1" t="s">
        <v>7</v>
      </c>
      <c r="G139" s="1" t="s">
        <v>7</v>
      </c>
      <c r="H139" s="1" t="s">
        <v>7</v>
      </c>
      <c r="I139" s="59" t="s">
        <v>7</v>
      </c>
      <c r="J139" s="1" t="s">
        <v>7</v>
      </c>
      <c r="K139" s="1" t="s">
        <v>7</v>
      </c>
      <c r="L139" s="1" t="s">
        <v>7</v>
      </c>
      <c r="M139" s="59" t="s">
        <v>7</v>
      </c>
      <c r="N139" s="1" t="s">
        <v>7</v>
      </c>
      <c r="O139" s="1" t="s">
        <v>7</v>
      </c>
      <c r="P139" s="1" t="s">
        <v>7</v>
      </c>
      <c r="Q139" s="59" t="s">
        <v>7</v>
      </c>
      <c r="R139" s="90" t="s">
        <v>7</v>
      </c>
    </row>
    <row r="140" spans="1:20" ht="15.75" customHeight="1" x14ac:dyDescent="0.3">
      <c r="A140" s="17" t="s">
        <v>46</v>
      </c>
      <c r="B140" s="1"/>
      <c r="C140" s="1"/>
      <c r="D140" s="1"/>
      <c r="E140" s="59" t="s">
        <v>7</v>
      </c>
      <c r="F140" s="1"/>
      <c r="G140" s="1"/>
      <c r="H140" s="1"/>
      <c r="I140" s="59" t="s">
        <v>7</v>
      </c>
      <c r="J140" s="1"/>
      <c r="K140" s="1"/>
      <c r="L140" s="1"/>
      <c r="M140" s="59" t="s">
        <v>7</v>
      </c>
      <c r="N140" s="1"/>
      <c r="O140" s="1"/>
      <c r="P140" s="1"/>
      <c r="Q140" s="59" t="s">
        <v>7</v>
      </c>
      <c r="R140" s="90"/>
    </row>
    <row r="141" spans="1:20" ht="15.75" customHeight="1" x14ac:dyDescent="0.3">
      <c r="A141" s="91" t="s">
        <v>120</v>
      </c>
      <c r="B141" s="1"/>
      <c r="C141" s="1"/>
      <c r="D141" s="1">
        <v>657</v>
      </c>
      <c r="E141" s="59">
        <f t="shared" ref="E141:E144" si="25">SUM(B141:D141)</f>
        <v>657</v>
      </c>
      <c r="F141" s="1">
        <v>657</v>
      </c>
      <c r="G141" s="1">
        <v>763</v>
      </c>
      <c r="H141" s="1">
        <v>572</v>
      </c>
      <c r="I141" s="59">
        <f t="shared" ref="I141:I144" si="26">SUM(F141:H141)</f>
        <v>1992</v>
      </c>
      <c r="J141" s="1">
        <v>498</v>
      </c>
      <c r="K141" s="1">
        <v>498</v>
      </c>
      <c r="L141" s="1">
        <v>544</v>
      </c>
      <c r="M141" s="59">
        <f t="shared" ref="M141:M144" si="27">SUM(J141:L141)</f>
        <v>1540</v>
      </c>
      <c r="N141" s="1"/>
      <c r="O141" s="1"/>
      <c r="P141" s="1"/>
      <c r="Q141" s="59">
        <f t="shared" ref="Q141:Q147" si="28">SUM(N141:P141)</f>
        <v>0</v>
      </c>
      <c r="R141" s="59">
        <f>+E141+I141+M141+Q141</f>
        <v>4189</v>
      </c>
      <c r="T141" s="4" t="s">
        <v>121</v>
      </c>
    </row>
    <row r="142" spans="1:20" ht="15.75" customHeight="1" x14ac:dyDescent="0.3">
      <c r="A142" s="91" t="s">
        <v>122</v>
      </c>
      <c r="B142" s="1"/>
      <c r="C142" s="1">
        <v>150</v>
      </c>
      <c r="D142" s="1">
        <v>600</v>
      </c>
      <c r="E142" s="59">
        <f t="shared" si="25"/>
        <v>750</v>
      </c>
      <c r="F142" s="1">
        <v>1400</v>
      </c>
      <c r="G142" s="1">
        <v>1600</v>
      </c>
      <c r="H142" s="1">
        <v>1650</v>
      </c>
      <c r="I142" s="59">
        <f t="shared" si="26"/>
        <v>4650</v>
      </c>
      <c r="J142" s="1">
        <v>1600</v>
      </c>
      <c r="K142" s="1">
        <v>1500</v>
      </c>
      <c r="L142" s="1">
        <v>1400</v>
      </c>
      <c r="M142" s="59">
        <f>SUM(J142:L142)</f>
        <v>4500</v>
      </c>
      <c r="N142" s="1">
        <v>1193</v>
      </c>
      <c r="O142" s="1"/>
      <c r="P142" s="1"/>
      <c r="Q142" s="59">
        <f t="shared" si="28"/>
        <v>1193</v>
      </c>
      <c r="R142" s="59">
        <f t="shared" ref="R142:R188" si="29">+E142+I142+M142+Q142</f>
        <v>11093</v>
      </c>
      <c r="T142" s="4" t="s">
        <v>121</v>
      </c>
    </row>
    <row r="143" spans="1:20" ht="15.75" customHeight="1" x14ac:dyDescent="0.3">
      <c r="A143" s="91" t="s">
        <v>123</v>
      </c>
      <c r="B143" s="1"/>
      <c r="C143" s="1"/>
      <c r="D143" s="1">
        <v>372</v>
      </c>
      <c r="E143" s="59">
        <f t="shared" si="25"/>
        <v>372</v>
      </c>
      <c r="F143" s="1">
        <v>372</v>
      </c>
      <c r="G143" s="1">
        <v>432</v>
      </c>
      <c r="H143" s="1">
        <v>324</v>
      </c>
      <c r="I143" s="59">
        <f t="shared" si="26"/>
        <v>1128</v>
      </c>
      <c r="J143" s="1">
        <v>282</v>
      </c>
      <c r="K143" s="1">
        <v>282</v>
      </c>
      <c r="L143" s="1">
        <v>308</v>
      </c>
      <c r="M143" s="59">
        <f t="shared" si="27"/>
        <v>872</v>
      </c>
      <c r="N143" s="1"/>
      <c r="O143" s="1"/>
      <c r="P143" s="1"/>
      <c r="Q143" s="59">
        <f t="shared" si="28"/>
        <v>0</v>
      </c>
      <c r="R143" s="59">
        <f t="shared" si="29"/>
        <v>2372</v>
      </c>
      <c r="T143" s="4" t="s">
        <v>121</v>
      </c>
    </row>
    <row r="144" spans="1:20" ht="15.75" customHeight="1" x14ac:dyDescent="0.3">
      <c r="A144" s="91" t="s">
        <v>124</v>
      </c>
      <c r="B144" s="1"/>
      <c r="C144" s="1"/>
      <c r="D144" s="1">
        <v>371</v>
      </c>
      <c r="E144" s="59">
        <f t="shared" si="25"/>
        <v>371</v>
      </c>
      <c r="F144" s="1">
        <v>371</v>
      </c>
      <c r="G144" s="1">
        <v>430</v>
      </c>
      <c r="H144" s="1">
        <v>322</v>
      </c>
      <c r="I144" s="59">
        <f t="shared" si="26"/>
        <v>1123</v>
      </c>
      <c r="J144" s="1">
        <v>281</v>
      </c>
      <c r="K144" s="1">
        <v>280</v>
      </c>
      <c r="L144" s="1">
        <v>307</v>
      </c>
      <c r="M144" s="59">
        <f t="shared" si="27"/>
        <v>868</v>
      </c>
      <c r="N144" s="1">
        <v>869</v>
      </c>
      <c r="O144" s="1"/>
      <c r="P144" s="1"/>
      <c r="Q144" s="59">
        <f t="shared" si="28"/>
        <v>869</v>
      </c>
      <c r="R144" s="59">
        <f t="shared" si="29"/>
        <v>3231</v>
      </c>
      <c r="T144" s="4" t="s">
        <v>121</v>
      </c>
    </row>
    <row r="145" spans="1:20" ht="15.75" customHeight="1" x14ac:dyDescent="0.3">
      <c r="A145" s="74" t="s">
        <v>126</v>
      </c>
      <c r="B145" s="1">
        <v>25</v>
      </c>
      <c r="C145" s="1">
        <v>25</v>
      </c>
      <c r="D145" s="1">
        <v>25</v>
      </c>
      <c r="E145" s="59">
        <f t="shared" ref="E145:E146" si="30">SUM(B145:D145)</f>
        <v>75</v>
      </c>
      <c r="F145" s="1">
        <v>25</v>
      </c>
      <c r="G145" s="1">
        <v>25</v>
      </c>
      <c r="H145" s="1">
        <v>25</v>
      </c>
      <c r="I145" s="59">
        <f t="shared" ref="I145:I185" si="31">SUM(F145:H145)</f>
        <v>75</v>
      </c>
      <c r="J145" s="1">
        <v>25</v>
      </c>
      <c r="K145" s="1">
        <v>25</v>
      </c>
      <c r="L145" s="1">
        <v>25</v>
      </c>
      <c r="M145" s="59">
        <f t="shared" ref="M145:M185" si="32">SUM(J145:L145)</f>
        <v>75</v>
      </c>
      <c r="N145" s="1">
        <v>25</v>
      </c>
      <c r="O145" s="1">
        <v>25</v>
      </c>
      <c r="P145" s="1">
        <v>25</v>
      </c>
      <c r="Q145" s="59">
        <f t="shared" si="28"/>
        <v>75</v>
      </c>
      <c r="R145" s="59">
        <f t="shared" si="29"/>
        <v>300</v>
      </c>
      <c r="T145" s="4" t="s">
        <v>127</v>
      </c>
    </row>
    <row r="146" spans="1:20" ht="15.75" customHeight="1" x14ac:dyDescent="0.3">
      <c r="A146" s="74" t="s">
        <v>128</v>
      </c>
      <c r="B146" s="1">
        <v>1000</v>
      </c>
      <c r="C146" s="1"/>
      <c r="D146" s="1"/>
      <c r="E146" s="59">
        <f t="shared" si="30"/>
        <v>1000</v>
      </c>
      <c r="F146" s="1"/>
      <c r="G146" s="1"/>
      <c r="H146" s="1"/>
      <c r="I146" s="59">
        <f t="shared" si="31"/>
        <v>0</v>
      </c>
      <c r="J146" s="1"/>
      <c r="K146" s="1"/>
      <c r="L146" s="1"/>
      <c r="M146" s="59">
        <f t="shared" si="32"/>
        <v>0</v>
      </c>
      <c r="N146" s="1"/>
      <c r="O146" s="1"/>
      <c r="P146" s="1"/>
      <c r="Q146" s="59">
        <f t="shared" ref="Q146" si="33">SUM(N146:P146)</f>
        <v>0</v>
      </c>
      <c r="R146" s="59">
        <f t="shared" si="29"/>
        <v>1000</v>
      </c>
    </row>
    <row r="147" spans="1:20" ht="15.75" customHeight="1" x14ac:dyDescent="0.3">
      <c r="A147" s="91" t="s">
        <v>129</v>
      </c>
      <c r="C147" s="1"/>
      <c r="D147" s="1"/>
      <c r="E147" s="59">
        <f>SUM(C147:D147)</f>
        <v>0</v>
      </c>
      <c r="F147" s="1"/>
      <c r="G147" s="1"/>
      <c r="H147" s="1">
        <v>750</v>
      </c>
      <c r="I147" s="59">
        <f t="shared" si="31"/>
        <v>750</v>
      </c>
      <c r="J147" s="1"/>
      <c r="K147" s="1"/>
      <c r="L147" s="1"/>
      <c r="M147" s="59">
        <f t="shared" si="32"/>
        <v>0</v>
      </c>
      <c r="N147" s="1"/>
      <c r="O147" s="1"/>
      <c r="P147" s="1"/>
      <c r="Q147" s="59">
        <f t="shared" si="28"/>
        <v>0</v>
      </c>
      <c r="R147" s="59">
        <f t="shared" si="29"/>
        <v>750</v>
      </c>
      <c r="T147" s="4" t="s">
        <v>121</v>
      </c>
    </row>
    <row r="148" spans="1:20" ht="15.75" customHeight="1" x14ac:dyDescent="0.3">
      <c r="A148" s="74" t="s">
        <v>130</v>
      </c>
      <c r="C148" s="1"/>
      <c r="D148" s="1"/>
      <c r="E148" s="59">
        <f>SUM(C148:D148)</f>
        <v>0</v>
      </c>
      <c r="F148" s="1">
        <v>4200</v>
      </c>
      <c r="G148" s="1">
        <v>4200</v>
      </c>
      <c r="H148" s="1">
        <v>4200</v>
      </c>
      <c r="I148" s="59">
        <f t="shared" si="31"/>
        <v>12600</v>
      </c>
      <c r="J148" s="1">
        <v>4200</v>
      </c>
      <c r="K148" s="1">
        <v>4200</v>
      </c>
      <c r="L148" s="1"/>
      <c r="M148" s="59">
        <f t="shared" si="32"/>
        <v>8400</v>
      </c>
      <c r="N148" s="1"/>
      <c r="O148" s="1"/>
      <c r="P148" s="1"/>
      <c r="Q148" s="59">
        <f t="shared" ref="Q148:Q191" si="34">SUM(N148:P148)</f>
        <v>0</v>
      </c>
      <c r="R148" s="59">
        <f t="shared" si="29"/>
        <v>21000</v>
      </c>
    </row>
    <row r="149" spans="1:20" ht="15.75" customHeight="1" x14ac:dyDescent="0.3">
      <c r="A149" s="91" t="s">
        <v>131</v>
      </c>
      <c r="B149" s="1"/>
      <c r="C149" s="1"/>
      <c r="D149" s="1"/>
      <c r="E149" s="59">
        <f t="shared" ref="E149:E164" si="35">SUM(B149:D149)</f>
        <v>0</v>
      </c>
      <c r="F149" s="1"/>
      <c r="G149" s="1"/>
      <c r="H149" s="1"/>
      <c r="I149" s="59">
        <f t="shared" si="31"/>
        <v>0</v>
      </c>
      <c r="J149" s="1"/>
      <c r="K149" s="1"/>
      <c r="L149" s="1"/>
      <c r="M149" s="59">
        <f t="shared" si="32"/>
        <v>0</v>
      </c>
      <c r="N149" s="1"/>
      <c r="O149" s="1"/>
      <c r="P149" s="1"/>
      <c r="Q149" s="59">
        <f t="shared" si="34"/>
        <v>0</v>
      </c>
      <c r="R149" s="59">
        <f t="shared" si="29"/>
        <v>0</v>
      </c>
      <c r="T149" s="4" t="s">
        <v>132</v>
      </c>
    </row>
    <row r="150" spans="1:20" ht="15.75" customHeight="1" x14ac:dyDescent="0.3">
      <c r="A150" s="91" t="s">
        <v>133</v>
      </c>
      <c r="B150" s="1"/>
      <c r="C150" s="1"/>
      <c r="D150" s="1"/>
      <c r="E150" s="59">
        <f t="shared" si="35"/>
        <v>0</v>
      </c>
      <c r="F150" s="1"/>
      <c r="G150" s="1"/>
      <c r="H150" s="1"/>
      <c r="I150" s="59">
        <f t="shared" si="31"/>
        <v>0</v>
      </c>
      <c r="J150" s="1"/>
      <c r="K150" s="1"/>
      <c r="L150" s="1"/>
      <c r="M150" s="59">
        <f t="shared" si="32"/>
        <v>0</v>
      </c>
      <c r="N150" s="1"/>
      <c r="O150" s="1"/>
      <c r="P150" s="1"/>
      <c r="Q150" s="59">
        <f t="shared" si="34"/>
        <v>0</v>
      </c>
      <c r="R150" s="59">
        <f t="shared" si="29"/>
        <v>0</v>
      </c>
      <c r="T150" s="4" t="s">
        <v>134</v>
      </c>
    </row>
    <row r="151" spans="1:20" ht="15.75" customHeight="1" x14ac:dyDescent="0.3">
      <c r="A151" s="74" t="s">
        <v>135</v>
      </c>
      <c r="B151" s="1"/>
      <c r="C151" s="1"/>
      <c r="D151" s="1"/>
      <c r="E151" s="59">
        <f t="shared" si="35"/>
        <v>0</v>
      </c>
      <c r="F151" s="1">
        <v>5416</v>
      </c>
      <c r="G151" s="1"/>
      <c r="H151" s="1"/>
      <c r="I151" s="59">
        <f t="shared" si="31"/>
        <v>5416</v>
      </c>
      <c r="J151" s="1"/>
      <c r="K151" s="1"/>
      <c r="L151" s="1"/>
      <c r="M151" s="59">
        <f t="shared" si="32"/>
        <v>0</v>
      </c>
      <c r="N151" s="1"/>
      <c r="O151" s="1"/>
      <c r="P151" s="1"/>
      <c r="Q151" s="59">
        <f t="shared" si="34"/>
        <v>0</v>
      </c>
      <c r="R151" s="59">
        <f t="shared" si="29"/>
        <v>5416</v>
      </c>
      <c r="S151" s="4" t="s">
        <v>136</v>
      </c>
      <c r="T151" s="4" t="s">
        <v>137</v>
      </c>
    </row>
    <row r="152" spans="1:20" ht="15.75" customHeight="1" x14ac:dyDescent="0.3">
      <c r="A152" s="76" t="s">
        <v>138</v>
      </c>
      <c r="B152" s="1">
        <v>12</v>
      </c>
      <c r="C152" s="1">
        <f>10+5</f>
        <v>15</v>
      </c>
      <c r="D152" s="1">
        <f>10+31</f>
        <v>41</v>
      </c>
      <c r="E152" s="59">
        <f>SUM(B152:D152)</f>
        <v>68</v>
      </c>
      <c r="F152" s="1">
        <f>10+51</f>
        <v>61</v>
      </c>
      <c r="G152" s="1">
        <f>8+104</f>
        <v>112</v>
      </c>
      <c r="H152" s="1">
        <v>39</v>
      </c>
      <c r="I152" s="59">
        <f>SUM(F152:H152)</f>
        <v>212</v>
      </c>
      <c r="K152" s="1"/>
      <c r="L152" s="1"/>
      <c r="M152" s="59">
        <f>SUM(J152:L152)</f>
        <v>0</v>
      </c>
      <c r="N152" s="1"/>
      <c r="O152" s="1"/>
      <c r="P152" s="1"/>
      <c r="Q152" s="59">
        <f>SUM(N152:P152)</f>
        <v>0</v>
      </c>
      <c r="R152" s="59">
        <f>+E152+I152+M152+Q152</f>
        <v>280</v>
      </c>
      <c r="S152" s="94"/>
    </row>
    <row r="153" spans="1:20" ht="15.75" customHeight="1" x14ac:dyDescent="0.3">
      <c r="A153" s="91" t="s">
        <v>139</v>
      </c>
      <c r="B153" s="1"/>
      <c r="C153" s="1"/>
      <c r="D153" s="1"/>
      <c r="E153" s="59">
        <f t="shared" si="35"/>
        <v>0</v>
      </c>
      <c r="F153" s="1"/>
      <c r="G153" s="1"/>
      <c r="H153" s="1"/>
      <c r="I153" s="59">
        <f t="shared" si="31"/>
        <v>0</v>
      </c>
      <c r="J153" s="1"/>
      <c r="K153" s="1"/>
      <c r="L153" s="1"/>
      <c r="M153" s="59">
        <f t="shared" si="32"/>
        <v>0</v>
      </c>
      <c r="N153" s="1">
        <v>545</v>
      </c>
      <c r="O153" s="1"/>
      <c r="P153" s="1"/>
      <c r="Q153" s="59">
        <f t="shared" si="34"/>
        <v>545</v>
      </c>
      <c r="R153" s="59">
        <f t="shared" si="29"/>
        <v>545</v>
      </c>
      <c r="S153" s="75" t="s">
        <v>80</v>
      </c>
      <c r="T153" s="4" t="s">
        <v>132</v>
      </c>
    </row>
    <row r="154" spans="1:20" ht="15.75" customHeight="1" x14ac:dyDescent="0.3">
      <c r="A154" s="91" t="s">
        <v>140</v>
      </c>
      <c r="B154" s="1"/>
      <c r="C154" s="1"/>
      <c r="E154" s="59">
        <f t="shared" si="35"/>
        <v>0</v>
      </c>
      <c r="F154" s="1"/>
      <c r="G154" s="1"/>
      <c r="H154" s="1"/>
      <c r="I154" s="59">
        <f t="shared" si="31"/>
        <v>0</v>
      </c>
      <c r="J154" s="1"/>
      <c r="K154" s="1"/>
      <c r="L154" s="1"/>
      <c r="M154" s="59">
        <f t="shared" si="32"/>
        <v>0</v>
      </c>
      <c r="N154" s="1">
        <v>157</v>
      </c>
      <c r="O154" s="1"/>
      <c r="P154" s="1"/>
      <c r="Q154" s="59">
        <f t="shared" si="34"/>
        <v>157</v>
      </c>
      <c r="R154" s="59">
        <f t="shared" si="29"/>
        <v>157</v>
      </c>
      <c r="S154" s="75" t="s">
        <v>80</v>
      </c>
      <c r="T154" s="4" t="s">
        <v>134</v>
      </c>
    </row>
    <row r="155" spans="1:20" ht="15.75" customHeight="1" x14ac:dyDescent="0.3">
      <c r="A155" s="91" t="s">
        <v>141</v>
      </c>
      <c r="B155" s="1"/>
      <c r="C155" s="1"/>
      <c r="D155" s="1"/>
      <c r="E155" s="59">
        <f t="shared" si="35"/>
        <v>0</v>
      </c>
      <c r="F155" s="1"/>
      <c r="G155" s="1"/>
      <c r="H155" s="1"/>
      <c r="I155" s="59">
        <f t="shared" si="31"/>
        <v>0</v>
      </c>
      <c r="J155" s="1"/>
      <c r="K155" s="1"/>
      <c r="L155" s="1"/>
      <c r="M155" s="59">
        <f t="shared" si="32"/>
        <v>0</v>
      </c>
      <c r="N155" s="1"/>
      <c r="O155" s="1"/>
      <c r="P155" s="1"/>
      <c r="Q155" s="59">
        <f t="shared" si="34"/>
        <v>0</v>
      </c>
      <c r="R155" s="59">
        <f t="shared" si="29"/>
        <v>0</v>
      </c>
      <c r="S155" s="75" t="s">
        <v>80</v>
      </c>
      <c r="T155" s="4" t="s">
        <v>121</v>
      </c>
    </row>
    <row r="156" spans="1:20" ht="15.75" customHeight="1" x14ac:dyDescent="0.3">
      <c r="A156" s="74" t="s">
        <v>142</v>
      </c>
      <c r="B156" s="1">
        <f>12+33</f>
        <v>45</v>
      </c>
      <c r="C156" s="1">
        <f>12+33</f>
        <v>45</v>
      </c>
      <c r="D156" s="1">
        <f>12+43</f>
        <v>55</v>
      </c>
      <c r="E156" s="59">
        <f t="shared" si="35"/>
        <v>145</v>
      </c>
      <c r="F156" s="1">
        <f>12+43</f>
        <v>55</v>
      </c>
      <c r="G156" s="1">
        <f>12+43</f>
        <v>55</v>
      </c>
      <c r="H156" s="1">
        <f>12+51</f>
        <v>63</v>
      </c>
      <c r="I156" s="59">
        <f t="shared" si="31"/>
        <v>173</v>
      </c>
      <c r="J156" s="1">
        <f>12+52</f>
        <v>64</v>
      </c>
      <c r="K156" s="1">
        <f>12+51</f>
        <v>63</v>
      </c>
      <c r="L156" s="1">
        <f>12+43</f>
        <v>55</v>
      </c>
      <c r="M156" s="59">
        <f t="shared" si="32"/>
        <v>182</v>
      </c>
      <c r="N156" s="1">
        <f>12+43</f>
        <v>55</v>
      </c>
      <c r="O156" s="1">
        <f>12+43</f>
        <v>55</v>
      </c>
      <c r="P156" s="1">
        <f>12+33</f>
        <v>45</v>
      </c>
      <c r="Q156" s="59">
        <f t="shared" si="34"/>
        <v>155</v>
      </c>
      <c r="R156" s="59">
        <f t="shared" si="29"/>
        <v>655</v>
      </c>
      <c r="T156" s="4" t="s">
        <v>143</v>
      </c>
    </row>
    <row r="157" spans="1:20" ht="15.75" customHeight="1" x14ac:dyDescent="0.3">
      <c r="A157" s="74" t="s">
        <v>144</v>
      </c>
      <c r="B157" s="1">
        <v>130</v>
      </c>
      <c r="C157" s="1">
        <v>150</v>
      </c>
      <c r="D157" s="1">
        <v>160</v>
      </c>
      <c r="E157" s="59">
        <f t="shared" si="35"/>
        <v>440</v>
      </c>
      <c r="F157" s="1">
        <v>165</v>
      </c>
      <c r="G157" s="1">
        <v>200</v>
      </c>
      <c r="H157" s="1">
        <v>230</v>
      </c>
      <c r="I157" s="59">
        <f t="shared" si="31"/>
        <v>595</v>
      </c>
      <c r="J157" s="1">
        <v>230</v>
      </c>
      <c r="K157" s="1">
        <v>200</v>
      </c>
      <c r="L157" s="1">
        <v>220</v>
      </c>
      <c r="M157" s="59">
        <f t="shared" si="32"/>
        <v>650</v>
      </c>
      <c r="N157" s="1">
        <v>180</v>
      </c>
      <c r="O157" s="1">
        <v>180</v>
      </c>
      <c r="P157" s="1">
        <v>160</v>
      </c>
      <c r="Q157" s="59">
        <f t="shared" si="34"/>
        <v>520</v>
      </c>
      <c r="R157" s="59">
        <f t="shared" si="29"/>
        <v>2205</v>
      </c>
      <c r="T157" s="4" t="s">
        <v>145</v>
      </c>
    </row>
    <row r="158" spans="1:20" ht="15.75" customHeight="1" x14ac:dyDescent="0.3">
      <c r="A158" s="74" t="s">
        <v>147</v>
      </c>
      <c r="B158" s="1"/>
      <c r="C158" s="1"/>
      <c r="D158" s="1"/>
      <c r="E158" s="59">
        <f t="shared" si="35"/>
        <v>0</v>
      </c>
      <c r="F158" s="1"/>
      <c r="G158" s="1">
        <f>500+1324</f>
        <v>1824</v>
      </c>
      <c r="H158" s="1"/>
      <c r="I158" s="59">
        <f t="shared" si="31"/>
        <v>1824</v>
      </c>
      <c r="J158" s="1"/>
      <c r="K158" s="1">
        <v>800</v>
      </c>
      <c r="L158" s="1">
        <f>400+600</f>
        <v>1000</v>
      </c>
      <c r="M158" s="59">
        <f t="shared" si="32"/>
        <v>1800</v>
      </c>
      <c r="N158" s="1">
        <v>400</v>
      </c>
      <c r="O158" s="1"/>
      <c r="P158" s="1"/>
      <c r="Q158" s="59">
        <f t="shared" si="34"/>
        <v>400</v>
      </c>
      <c r="R158" s="59">
        <f t="shared" si="29"/>
        <v>4024</v>
      </c>
      <c r="S158" s="4" t="s">
        <v>136</v>
      </c>
    </row>
    <row r="159" spans="1:20" ht="15.75" customHeight="1" x14ac:dyDescent="0.3">
      <c r="A159" s="91" t="s">
        <v>148</v>
      </c>
      <c r="B159" s="1"/>
      <c r="C159" s="1">
        <v>400</v>
      </c>
      <c r="D159" s="1">
        <v>300</v>
      </c>
      <c r="E159" s="59">
        <f>SUM(B159:D159)</f>
        <v>700</v>
      </c>
      <c r="F159" s="1">
        <v>300</v>
      </c>
      <c r="G159" s="1">
        <v>375</v>
      </c>
      <c r="H159" s="1">
        <v>450</v>
      </c>
      <c r="I159" s="59">
        <f t="shared" si="31"/>
        <v>1125</v>
      </c>
      <c r="J159" s="1">
        <v>450</v>
      </c>
      <c r="K159" s="1">
        <v>450</v>
      </c>
      <c r="L159" s="1">
        <v>375</v>
      </c>
      <c r="M159" s="59">
        <f t="shared" si="32"/>
        <v>1275</v>
      </c>
      <c r="N159" s="1">
        <v>300</v>
      </c>
      <c r="O159" s="1">
        <v>200</v>
      </c>
      <c r="P159" s="1"/>
      <c r="Q159" s="59">
        <f t="shared" si="34"/>
        <v>500</v>
      </c>
      <c r="R159" s="59">
        <f t="shared" si="29"/>
        <v>3600</v>
      </c>
      <c r="T159" s="4" t="s">
        <v>121</v>
      </c>
    </row>
    <row r="160" spans="1:20" ht="15.75" customHeight="1" x14ac:dyDescent="0.3">
      <c r="A160" s="74" t="s">
        <v>149</v>
      </c>
      <c r="B160" s="1">
        <v>498</v>
      </c>
      <c r="C160" s="1">
        <v>427</v>
      </c>
      <c r="D160" s="1">
        <v>512</v>
      </c>
      <c r="E160" s="59">
        <f t="shared" si="35"/>
        <v>1437</v>
      </c>
      <c r="F160" s="1">
        <v>517</v>
      </c>
      <c r="G160" s="1">
        <v>573</v>
      </c>
      <c r="H160" s="1">
        <v>545</v>
      </c>
      <c r="I160" s="59">
        <f t="shared" si="31"/>
        <v>1635</v>
      </c>
      <c r="J160" s="1">
        <v>494</v>
      </c>
      <c r="K160" s="1">
        <v>494</v>
      </c>
      <c r="L160" s="1">
        <v>598</v>
      </c>
      <c r="M160" s="59">
        <f t="shared" si="32"/>
        <v>1586</v>
      </c>
      <c r="N160" s="1">
        <v>377</v>
      </c>
      <c r="O160" s="1">
        <v>90</v>
      </c>
      <c r="P160" s="1">
        <v>178</v>
      </c>
      <c r="Q160" s="59">
        <f t="shared" si="34"/>
        <v>645</v>
      </c>
      <c r="R160" s="59">
        <f t="shared" si="29"/>
        <v>5303</v>
      </c>
      <c r="T160" s="4" t="s">
        <v>150</v>
      </c>
    </row>
    <row r="161" spans="1:20" ht="15.75" customHeight="1" x14ac:dyDescent="0.3">
      <c r="A161" s="91" t="s">
        <v>152</v>
      </c>
      <c r="B161" s="1"/>
      <c r="C161" s="1"/>
      <c r="D161" s="1"/>
      <c r="E161" s="59">
        <f t="shared" si="35"/>
        <v>0</v>
      </c>
      <c r="F161" s="1"/>
      <c r="G161" s="1"/>
      <c r="H161" s="1"/>
      <c r="I161" s="59">
        <f t="shared" si="31"/>
        <v>0</v>
      </c>
      <c r="J161" s="1">
        <v>508</v>
      </c>
      <c r="K161" s="1"/>
      <c r="L161" s="1"/>
      <c r="M161" s="59">
        <f t="shared" si="32"/>
        <v>508</v>
      </c>
      <c r="N161" s="1"/>
      <c r="O161" s="1"/>
      <c r="P161" s="1"/>
      <c r="Q161" s="59">
        <f t="shared" si="34"/>
        <v>0</v>
      </c>
      <c r="R161" s="59">
        <f t="shared" si="29"/>
        <v>508</v>
      </c>
      <c r="T161" s="4" t="s">
        <v>134</v>
      </c>
    </row>
    <row r="162" spans="1:20" ht="15.75" customHeight="1" x14ac:dyDescent="0.3">
      <c r="A162" s="76" t="s">
        <v>153</v>
      </c>
      <c r="B162" s="1"/>
      <c r="C162" s="1"/>
      <c r="D162" s="1"/>
      <c r="E162" s="59">
        <f t="shared" ref="E162" si="36">SUM(B162:D162)</f>
        <v>0</v>
      </c>
      <c r="F162" s="1"/>
      <c r="G162" s="1"/>
      <c r="H162" s="1">
        <v>2906</v>
      </c>
      <c r="I162" s="59">
        <f t="shared" ref="I162" si="37">SUM(F162:H162)</f>
        <v>2906</v>
      </c>
      <c r="J162" s="1"/>
      <c r="K162" s="1"/>
      <c r="L162" s="1"/>
      <c r="M162" s="59">
        <f t="shared" ref="M162" si="38">SUM(J162:L162)</f>
        <v>0</v>
      </c>
      <c r="N162" s="1"/>
      <c r="O162" s="1"/>
      <c r="P162" s="1"/>
      <c r="Q162" s="59">
        <f t="shared" ref="Q162" si="39">SUM(N162:P162)</f>
        <v>0</v>
      </c>
      <c r="R162" s="59">
        <f t="shared" si="29"/>
        <v>2906</v>
      </c>
    </row>
    <row r="163" spans="1:20" ht="15.75" customHeight="1" x14ac:dyDescent="0.3">
      <c r="A163" s="76" t="s">
        <v>858</v>
      </c>
      <c r="B163" s="1"/>
      <c r="C163" s="1"/>
      <c r="D163" s="1"/>
      <c r="E163" s="59">
        <f t="shared" si="35"/>
        <v>0</v>
      </c>
      <c r="F163" s="1"/>
      <c r="G163" s="1"/>
      <c r="H163" s="1"/>
      <c r="I163" s="59">
        <f t="shared" si="31"/>
        <v>0</v>
      </c>
      <c r="J163" s="1"/>
      <c r="K163" s="1"/>
      <c r="L163" s="1"/>
      <c r="M163" s="59">
        <f t="shared" si="32"/>
        <v>0</v>
      </c>
      <c r="N163" s="1"/>
      <c r="O163" s="1"/>
      <c r="P163" s="1"/>
      <c r="Q163" s="59">
        <f t="shared" si="34"/>
        <v>0</v>
      </c>
      <c r="R163" s="59">
        <f t="shared" si="29"/>
        <v>0</v>
      </c>
    </row>
    <row r="164" spans="1:20" ht="15.75" customHeight="1" x14ac:dyDescent="0.3">
      <c r="A164" s="74" t="s">
        <v>155</v>
      </c>
      <c r="B164" s="1"/>
      <c r="C164" s="1"/>
      <c r="D164" s="1"/>
      <c r="E164" s="59">
        <f t="shared" si="35"/>
        <v>0</v>
      </c>
      <c r="F164" s="1"/>
      <c r="G164" s="1"/>
      <c r="H164" s="1"/>
      <c r="I164" s="59">
        <f t="shared" si="31"/>
        <v>0</v>
      </c>
      <c r="J164" s="1"/>
      <c r="K164" s="1"/>
      <c r="L164" s="1"/>
      <c r="M164" s="59">
        <f t="shared" si="32"/>
        <v>0</v>
      </c>
      <c r="N164" s="1"/>
      <c r="O164" s="1"/>
      <c r="P164" s="1"/>
      <c r="Q164" s="59">
        <f t="shared" si="34"/>
        <v>0</v>
      </c>
      <c r="R164" s="59">
        <f t="shared" si="29"/>
        <v>0</v>
      </c>
      <c r="S164" s="4" t="s">
        <v>136</v>
      </c>
      <c r="T164" s="4" t="s">
        <v>137</v>
      </c>
    </row>
    <row r="165" spans="1:20" s="98" customFormat="1" ht="15.75" customHeight="1" x14ac:dyDescent="0.3">
      <c r="A165" s="96" t="s">
        <v>156</v>
      </c>
      <c r="B165" s="92"/>
      <c r="C165" s="92"/>
      <c r="D165" s="92"/>
      <c r="E165" s="97">
        <f t="shared" ref="E165:E184" si="40">SUM(B165:D165)</f>
        <v>0</v>
      </c>
      <c r="F165" s="92"/>
      <c r="G165" s="92"/>
      <c r="H165" s="92"/>
      <c r="I165" s="97">
        <f t="shared" si="31"/>
        <v>0</v>
      </c>
      <c r="J165" s="92"/>
      <c r="K165" s="92"/>
      <c r="L165" s="92"/>
      <c r="M165" s="97">
        <f t="shared" si="32"/>
        <v>0</v>
      </c>
      <c r="N165" s="92"/>
      <c r="O165" s="92"/>
      <c r="P165" s="92"/>
      <c r="Q165" s="97">
        <f t="shared" si="34"/>
        <v>0</v>
      </c>
      <c r="R165" s="97">
        <f t="shared" si="29"/>
        <v>0</v>
      </c>
    </row>
    <row r="166" spans="1:20" ht="15.75" customHeight="1" x14ac:dyDescent="0.3">
      <c r="A166" s="74" t="s">
        <v>157</v>
      </c>
      <c r="B166" s="1"/>
      <c r="C166" s="1"/>
      <c r="D166" s="1">
        <v>236</v>
      </c>
      <c r="E166" s="59">
        <f t="shared" si="40"/>
        <v>236</v>
      </c>
      <c r="F166" s="1">
        <v>1750</v>
      </c>
      <c r="G166" s="1">
        <v>1850</v>
      </c>
      <c r="H166" s="1">
        <v>1900</v>
      </c>
      <c r="I166" s="59">
        <f t="shared" si="31"/>
        <v>5500</v>
      </c>
      <c r="J166" s="1">
        <v>1900</v>
      </c>
      <c r="K166" s="1">
        <v>1900</v>
      </c>
      <c r="L166" s="1">
        <v>1900</v>
      </c>
      <c r="M166" s="59">
        <f t="shared" si="32"/>
        <v>5700</v>
      </c>
      <c r="N166" s="1">
        <v>1600</v>
      </c>
      <c r="O166" s="1">
        <v>1600</v>
      </c>
      <c r="P166" s="1">
        <v>1600</v>
      </c>
      <c r="Q166" s="59">
        <f t="shared" si="34"/>
        <v>4800</v>
      </c>
      <c r="R166" s="59">
        <f>+E166+I166+M166+Q166</f>
        <v>16236</v>
      </c>
      <c r="T166" s="4" t="s">
        <v>158</v>
      </c>
    </row>
    <row r="167" spans="1:20" ht="15.75" customHeight="1" x14ac:dyDescent="0.3">
      <c r="A167" s="91" t="s">
        <v>159</v>
      </c>
      <c r="B167" s="1"/>
      <c r="C167" s="1"/>
      <c r="D167" s="1"/>
      <c r="E167" s="59">
        <f t="shared" si="40"/>
        <v>0</v>
      </c>
      <c r="F167" s="1"/>
      <c r="G167" s="1"/>
      <c r="H167" s="1"/>
      <c r="I167" s="59">
        <f t="shared" si="31"/>
        <v>0</v>
      </c>
      <c r="J167" s="1"/>
      <c r="K167" s="1"/>
      <c r="L167" s="1">
        <v>500</v>
      </c>
      <c r="M167" s="59">
        <f t="shared" si="32"/>
        <v>500</v>
      </c>
      <c r="N167" s="1"/>
      <c r="O167" s="1"/>
      <c r="P167" s="1"/>
      <c r="Q167" s="59">
        <f t="shared" si="34"/>
        <v>0</v>
      </c>
      <c r="R167" s="59">
        <f t="shared" ref="R167:R172" si="41">+E167+I167+M167+Q167</f>
        <v>500</v>
      </c>
      <c r="T167" s="4" t="s">
        <v>121</v>
      </c>
    </row>
    <row r="168" spans="1:20" ht="15.75" customHeight="1" x14ac:dyDescent="0.3">
      <c r="A168" s="91" t="s">
        <v>160</v>
      </c>
      <c r="B168" s="1"/>
      <c r="C168" s="1"/>
      <c r="D168" s="1"/>
      <c r="E168" s="59">
        <f t="shared" si="40"/>
        <v>0</v>
      </c>
      <c r="F168" s="1"/>
      <c r="G168" s="1"/>
      <c r="H168" s="1"/>
      <c r="I168" s="59">
        <f t="shared" si="31"/>
        <v>0</v>
      </c>
      <c r="J168" s="1"/>
      <c r="K168" s="1"/>
      <c r="L168" s="1"/>
      <c r="M168" s="59">
        <f t="shared" si="32"/>
        <v>0</v>
      </c>
      <c r="N168" s="1"/>
      <c r="O168" s="1"/>
      <c r="P168" s="1"/>
      <c r="Q168" s="59">
        <f t="shared" si="34"/>
        <v>0</v>
      </c>
      <c r="R168" s="59">
        <f t="shared" si="41"/>
        <v>0</v>
      </c>
      <c r="T168" s="4" t="s">
        <v>134</v>
      </c>
    </row>
    <row r="169" spans="1:20" ht="15.75" customHeight="1" x14ac:dyDescent="0.3">
      <c r="A169" s="74" t="s">
        <v>161</v>
      </c>
      <c r="B169" s="1"/>
      <c r="C169" s="1"/>
      <c r="D169" s="1"/>
      <c r="E169" s="59">
        <f t="shared" si="40"/>
        <v>0</v>
      </c>
      <c r="F169" s="1"/>
      <c r="G169" s="1"/>
      <c r="H169" s="1"/>
      <c r="I169" s="59">
        <f t="shared" si="31"/>
        <v>0</v>
      </c>
      <c r="J169" s="1">
        <v>500</v>
      </c>
      <c r="K169" s="1"/>
      <c r="L169" s="1"/>
      <c r="M169" s="59">
        <f t="shared" si="32"/>
        <v>500</v>
      </c>
      <c r="N169" s="1"/>
      <c r="O169" s="1"/>
      <c r="P169" s="1"/>
      <c r="Q169" s="59">
        <f t="shared" si="34"/>
        <v>0</v>
      </c>
      <c r="R169" s="59">
        <f t="shared" si="41"/>
        <v>500</v>
      </c>
      <c r="S169" s="94" t="s">
        <v>136</v>
      </c>
      <c r="T169" s="4" t="s">
        <v>162</v>
      </c>
    </row>
    <row r="170" spans="1:20" ht="15.75" customHeight="1" x14ac:dyDescent="0.3">
      <c r="A170" s="91" t="s">
        <v>164</v>
      </c>
      <c r="B170" s="1"/>
      <c r="C170" s="1"/>
      <c r="D170" s="1"/>
      <c r="E170" s="59">
        <f t="shared" si="40"/>
        <v>0</v>
      </c>
      <c r="F170" s="1"/>
      <c r="G170" s="1"/>
      <c r="H170" s="1"/>
      <c r="I170" s="59">
        <f t="shared" si="31"/>
        <v>0</v>
      </c>
      <c r="J170" s="1"/>
      <c r="K170" s="1"/>
      <c r="L170" s="1"/>
      <c r="M170" s="59">
        <f t="shared" si="32"/>
        <v>0</v>
      </c>
      <c r="N170" s="1"/>
      <c r="O170" s="1"/>
      <c r="P170" s="1"/>
      <c r="Q170" s="59">
        <f t="shared" si="34"/>
        <v>0</v>
      </c>
      <c r="R170" s="59">
        <f t="shared" si="41"/>
        <v>0</v>
      </c>
      <c r="T170" s="4" t="s">
        <v>132</v>
      </c>
    </row>
    <row r="171" spans="1:20" ht="15.75" customHeight="1" x14ac:dyDescent="0.3">
      <c r="A171" s="91" t="s">
        <v>165</v>
      </c>
      <c r="B171" s="1"/>
      <c r="C171" s="1"/>
      <c r="D171" s="1"/>
      <c r="E171" s="59">
        <f t="shared" si="40"/>
        <v>0</v>
      </c>
      <c r="F171" s="1"/>
      <c r="G171" s="1"/>
      <c r="H171" s="1"/>
      <c r="I171" s="59">
        <f t="shared" si="31"/>
        <v>0</v>
      </c>
      <c r="J171" s="1"/>
      <c r="K171" s="1"/>
      <c r="L171" s="1"/>
      <c r="M171" s="59">
        <f t="shared" si="32"/>
        <v>0</v>
      </c>
      <c r="N171" s="1"/>
      <c r="O171" s="1"/>
      <c r="P171" s="1"/>
      <c r="Q171" s="59">
        <f t="shared" si="34"/>
        <v>0</v>
      </c>
      <c r="R171" s="59">
        <f t="shared" si="41"/>
        <v>0</v>
      </c>
      <c r="T171" s="4" t="s">
        <v>134</v>
      </c>
    </row>
    <row r="172" spans="1:20" ht="15.75" customHeight="1" x14ac:dyDescent="0.3">
      <c r="A172" s="74" t="s">
        <v>166</v>
      </c>
      <c r="B172" s="1">
        <v>25</v>
      </c>
      <c r="C172" s="1">
        <v>25</v>
      </c>
      <c r="D172" s="1">
        <v>50</v>
      </c>
      <c r="E172" s="59">
        <f t="shared" si="40"/>
        <v>100</v>
      </c>
      <c r="F172" s="1">
        <v>70</v>
      </c>
      <c r="G172" s="1">
        <v>70</v>
      </c>
      <c r="H172" s="1">
        <v>70</v>
      </c>
      <c r="I172" s="59">
        <f t="shared" si="31"/>
        <v>210</v>
      </c>
      <c r="J172" s="1">
        <v>70</v>
      </c>
      <c r="K172" s="1">
        <v>70</v>
      </c>
      <c r="L172" s="1">
        <v>70</v>
      </c>
      <c r="M172" s="59">
        <f t="shared" si="32"/>
        <v>210</v>
      </c>
      <c r="N172" s="1">
        <v>75</v>
      </c>
      <c r="O172" s="1">
        <v>35</v>
      </c>
      <c r="P172" s="1">
        <v>35</v>
      </c>
      <c r="Q172" s="59">
        <f t="shared" si="34"/>
        <v>145</v>
      </c>
      <c r="R172" s="59">
        <f t="shared" si="41"/>
        <v>665</v>
      </c>
      <c r="T172" s="4" t="s">
        <v>127</v>
      </c>
    </row>
    <row r="173" spans="1:20" ht="15.75" customHeight="1" x14ac:dyDescent="0.3">
      <c r="A173" s="91" t="s">
        <v>167</v>
      </c>
      <c r="B173" s="1">
        <v>170</v>
      </c>
      <c r="C173" s="1">
        <v>242</v>
      </c>
      <c r="D173" s="1">
        <v>1141</v>
      </c>
      <c r="E173" s="59">
        <f t="shared" si="40"/>
        <v>1553</v>
      </c>
      <c r="F173" s="1">
        <v>1051</v>
      </c>
      <c r="G173" s="1">
        <v>1194</v>
      </c>
      <c r="H173" s="1">
        <v>1230</v>
      </c>
      <c r="I173" s="59">
        <f t="shared" si="31"/>
        <v>3475</v>
      </c>
      <c r="J173" s="1">
        <v>41</v>
      </c>
      <c r="K173" s="1">
        <v>921</v>
      </c>
      <c r="L173" s="1">
        <v>828</v>
      </c>
      <c r="M173" s="59">
        <f t="shared" si="32"/>
        <v>1790</v>
      </c>
      <c r="N173" s="1">
        <v>512</v>
      </c>
      <c r="O173" s="1">
        <v>741</v>
      </c>
      <c r="P173" s="1">
        <v>541</v>
      </c>
      <c r="Q173" s="59">
        <f t="shared" si="34"/>
        <v>1794</v>
      </c>
      <c r="R173" s="59">
        <f t="shared" si="29"/>
        <v>8612</v>
      </c>
      <c r="T173" s="4" t="s">
        <v>132</v>
      </c>
    </row>
    <row r="174" spans="1:20" ht="15.75" customHeight="1" x14ac:dyDescent="0.3">
      <c r="A174" s="91" t="s">
        <v>168</v>
      </c>
      <c r="B174" s="1">
        <v>130</v>
      </c>
      <c r="C174" s="1">
        <v>150</v>
      </c>
      <c r="D174" s="1">
        <v>200</v>
      </c>
      <c r="E174" s="59">
        <f t="shared" si="40"/>
        <v>480</v>
      </c>
      <c r="F174" s="1">
        <v>200</v>
      </c>
      <c r="G174" s="1">
        <v>200</v>
      </c>
      <c r="H174" s="1">
        <v>300</v>
      </c>
      <c r="I174" s="59">
        <f t="shared" si="31"/>
        <v>700</v>
      </c>
      <c r="J174" s="1">
        <v>77</v>
      </c>
      <c r="K174" s="1"/>
      <c r="L174" s="1"/>
      <c r="M174" s="59">
        <f t="shared" si="32"/>
        <v>77</v>
      </c>
      <c r="N174" s="1"/>
      <c r="O174" s="1"/>
      <c r="P174" s="1"/>
      <c r="Q174" s="59">
        <f t="shared" si="34"/>
        <v>0</v>
      </c>
      <c r="R174" s="59">
        <f t="shared" si="29"/>
        <v>1257</v>
      </c>
      <c r="T174" s="4" t="s">
        <v>134</v>
      </c>
    </row>
    <row r="175" spans="1:20" ht="15.75" customHeight="1" x14ac:dyDescent="0.3">
      <c r="A175" s="91" t="s">
        <v>169</v>
      </c>
      <c r="B175" s="1">
        <v>26</v>
      </c>
      <c r="C175" s="1">
        <v>33</v>
      </c>
      <c r="D175" s="1">
        <v>48</v>
      </c>
      <c r="E175" s="59">
        <f t="shared" si="40"/>
        <v>107</v>
      </c>
      <c r="F175" s="1">
        <v>19</v>
      </c>
      <c r="G175" s="1">
        <v>88</v>
      </c>
      <c r="H175" s="1">
        <v>86</v>
      </c>
      <c r="I175" s="59">
        <f>SUM(F175:H175)</f>
        <v>193</v>
      </c>
      <c r="J175" s="1">
        <v>87</v>
      </c>
      <c r="K175" s="1">
        <v>56</v>
      </c>
      <c r="L175" s="1">
        <v>53</v>
      </c>
      <c r="M175" s="59">
        <f t="shared" si="32"/>
        <v>196</v>
      </c>
      <c r="N175" s="1">
        <v>87</v>
      </c>
      <c r="O175" s="1">
        <v>31</v>
      </c>
      <c r="P175" s="1">
        <v>14</v>
      </c>
      <c r="Q175" s="59">
        <f t="shared" si="34"/>
        <v>132</v>
      </c>
      <c r="R175" s="59">
        <f t="shared" si="29"/>
        <v>628</v>
      </c>
      <c r="T175" s="4" t="s">
        <v>170</v>
      </c>
    </row>
    <row r="176" spans="1:20" ht="15.75" customHeight="1" x14ac:dyDescent="0.3">
      <c r="A176" s="91" t="s">
        <v>171</v>
      </c>
      <c r="B176" s="1">
        <v>18</v>
      </c>
      <c r="C176" s="1">
        <v>21</v>
      </c>
      <c r="D176" s="1">
        <v>38</v>
      </c>
      <c r="E176" s="59">
        <f t="shared" si="40"/>
        <v>77</v>
      </c>
      <c r="F176" s="1">
        <v>78</v>
      </c>
      <c r="G176" s="1">
        <v>103</v>
      </c>
      <c r="H176" s="1">
        <v>80</v>
      </c>
      <c r="I176" s="59">
        <f t="shared" si="31"/>
        <v>261</v>
      </c>
      <c r="J176" s="1">
        <v>97</v>
      </c>
      <c r="K176" s="1">
        <v>70</v>
      </c>
      <c r="L176" s="1">
        <v>70</v>
      </c>
      <c r="M176" s="59">
        <f t="shared" si="32"/>
        <v>237</v>
      </c>
      <c r="N176" s="1">
        <v>70</v>
      </c>
      <c r="O176" s="1">
        <v>23</v>
      </c>
      <c r="P176" s="1">
        <v>13</v>
      </c>
      <c r="Q176" s="59">
        <f t="shared" si="34"/>
        <v>106</v>
      </c>
      <c r="R176" s="59">
        <f t="shared" si="29"/>
        <v>681</v>
      </c>
      <c r="T176" s="4" t="s">
        <v>127</v>
      </c>
    </row>
    <row r="177" spans="1:20" ht="15.75" customHeight="1" x14ac:dyDescent="0.3">
      <c r="A177" s="91" t="s">
        <v>172</v>
      </c>
      <c r="B177" s="1"/>
      <c r="C177" s="1"/>
      <c r="D177" s="1"/>
      <c r="E177" s="59">
        <f t="shared" si="40"/>
        <v>0</v>
      </c>
      <c r="F177" s="1">
        <v>10</v>
      </c>
      <c r="G177" s="1">
        <v>30</v>
      </c>
      <c r="H177" s="1">
        <v>20</v>
      </c>
      <c r="I177" s="59">
        <f t="shared" si="31"/>
        <v>60</v>
      </c>
      <c r="J177" s="1">
        <v>15</v>
      </c>
      <c r="K177" s="1">
        <v>15</v>
      </c>
      <c r="L177" s="1">
        <v>10</v>
      </c>
      <c r="M177" s="59">
        <f t="shared" si="32"/>
        <v>40</v>
      </c>
      <c r="N177" s="1">
        <v>10</v>
      </c>
      <c r="O177" s="1">
        <v>10</v>
      </c>
      <c r="P177" s="1"/>
      <c r="Q177" s="59">
        <f t="shared" si="34"/>
        <v>20</v>
      </c>
      <c r="R177" s="59">
        <f t="shared" si="29"/>
        <v>120</v>
      </c>
      <c r="T177" s="4" t="s">
        <v>121</v>
      </c>
    </row>
    <row r="178" spans="1:20" ht="15.75" customHeight="1" x14ac:dyDescent="0.3">
      <c r="A178" s="74" t="s">
        <v>173</v>
      </c>
      <c r="B178" s="1"/>
      <c r="C178" s="1"/>
      <c r="D178" s="1"/>
      <c r="E178" s="59">
        <f t="shared" si="40"/>
        <v>0</v>
      </c>
      <c r="F178" s="1"/>
      <c r="G178" s="1"/>
      <c r="H178" s="1">
        <v>1006</v>
      </c>
      <c r="I178" s="59">
        <f t="shared" si="31"/>
        <v>1006</v>
      </c>
      <c r="J178" s="1">
        <v>1040</v>
      </c>
      <c r="K178" s="1">
        <v>1040</v>
      </c>
      <c r="L178" s="1">
        <v>1040</v>
      </c>
      <c r="M178" s="59">
        <f t="shared" si="32"/>
        <v>3120</v>
      </c>
      <c r="N178" s="1">
        <v>1009</v>
      </c>
      <c r="O178" s="1">
        <v>1000</v>
      </c>
      <c r="P178" s="1">
        <v>803</v>
      </c>
      <c r="Q178" s="59">
        <f t="shared" si="34"/>
        <v>2812</v>
      </c>
      <c r="R178" s="59">
        <f t="shared" si="29"/>
        <v>6938</v>
      </c>
      <c r="T178" s="4" t="s">
        <v>158</v>
      </c>
    </row>
    <row r="179" spans="1:20" ht="15.75" customHeight="1" x14ac:dyDescent="0.3">
      <c r="A179" s="74" t="s">
        <v>174</v>
      </c>
      <c r="B179" s="1"/>
      <c r="C179" s="1"/>
      <c r="D179" s="1"/>
      <c r="E179" s="59">
        <f t="shared" si="40"/>
        <v>0</v>
      </c>
      <c r="F179" s="1"/>
      <c r="G179" s="1"/>
      <c r="H179" s="1"/>
      <c r="I179" s="59">
        <f t="shared" si="31"/>
        <v>0</v>
      </c>
      <c r="J179" s="1">
        <v>7000</v>
      </c>
      <c r="K179" s="1"/>
      <c r="L179" s="1"/>
      <c r="M179" s="59">
        <f t="shared" si="32"/>
        <v>7000</v>
      </c>
      <c r="N179" s="1"/>
      <c r="O179" s="1"/>
      <c r="P179" s="1"/>
      <c r="Q179" s="59">
        <f t="shared" si="34"/>
        <v>0</v>
      </c>
      <c r="R179" s="59">
        <f t="shared" si="29"/>
        <v>7000</v>
      </c>
      <c r="S179" s="94" t="s">
        <v>136</v>
      </c>
      <c r="T179" s="4" t="s">
        <v>137</v>
      </c>
    </row>
    <row r="180" spans="1:20" ht="15.75" customHeight="1" x14ac:dyDescent="0.3">
      <c r="A180" s="74" t="s">
        <v>175</v>
      </c>
      <c r="B180" s="1"/>
      <c r="C180" s="1"/>
      <c r="D180" s="1"/>
      <c r="E180" s="59">
        <f t="shared" si="40"/>
        <v>0</v>
      </c>
      <c r="F180" s="1"/>
      <c r="G180" s="1"/>
      <c r="H180" s="1"/>
      <c r="I180" s="59">
        <f t="shared" si="31"/>
        <v>0</v>
      </c>
      <c r="J180" s="1"/>
      <c r="K180" s="1"/>
      <c r="L180" s="1"/>
      <c r="M180" s="59">
        <f t="shared" si="32"/>
        <v>0</v>
      </c>
      <c r="N180" s="1"/>
      <c r="O180" s="1"/>
      <c r="P180" s="1"/>
      <c r="Q180" s="59">
        <f t="shared" si="34"/>
        <v>0</v>
      </c>
      <c r="R180" s="59">
        <f t="shared" si="29"/>
        <v>0</v>
      </c>
      <c r="T180" s="4" t="s">
        <v>137</v>
      </c>
    </row>
    <row r="181" spans="1:20" ht="15.75" customHeight="1" x14ac:dyDescent="0.3">
      <c r="A181" s="74" t="s">
        <v>176</v>
      </c>
      <c r="B181" s="1">
        <f>7261+2378+1+2+26</f>
        <v>9668</v>
      </c>
      <c r="C181" s="1">
        <f>6525+2148+1+2+28</f>
        <v>8704</v>
      </c>
      <c r="D181" s="1">
        <f>7258+2378+1+2+45</f>
        <v>9684</v>
      </c>
      <c r="E181" s="59">
        <f t="shared" si="40"/>
        <v>28056</v>
      </c>
      <c r="F181" s="1">
        <f>8393+2302+1+2+83</f>
        <v>10781</v>
      </c>
      <c r="G181" s="1">
        <f>10112+2378+1+2+105</f>
        <v>12598</v>
      </c>
      <c r="H181" s="1">
        <f>10235+2302+1+2+117</f>
        <v>12657</v>
      </c>
      <c r="I181" s="59">
        <f t="shared" si="31"/>
        <v>36036</v>
      </c>
      <c r="J181" s="1">
        <f>10588+2378+1+3+94</f>
        <v>13064</v>
      </c>
      <c r="K181" s="1">
        <f>10588+2378+1+2+85</f>
        <v>13054</v>
      </c>
      <c r="L181" s="1">
        <f>9774+2302+1+2+59</f>
        <v>12138</v>
      </c>
      <c r="M181" s="59">
        <f t="shared" si="32"/>
        <v>38256</v>
      </c>
      <c r="N181" s="1">
        <f>7258+2378+1+2+73</f>
        <v>9712</v>
      </c>
      <c r="O181" s="1">
        <f>3303+2302+1+2+41</f>
        <v>5649</v>
      </c>
      <c r="P181" s="1">
        <f>0+2378+1+2+16</f>
        <v>2397</v>
      </c>
      <c r="Q181" s="59">
        <f t="shared" si="34"/>
        <v>17758</v>
      </c>
      <c r="R181" s="59">
        <f t="shared" si="29"/>
        <v>120106</v>
      </c>
      <c r="S181" s="4" t="s">
        <v>136</v>
      </c>
    </row>
    <row r="182" spans="1:20" ht="15.75" customHeight="1" x14ac:dyDescent="0.3">
      <c r="A182" s="74" t="s">
        <v>177</v>
      </c>
      <c r="B182" s="1">
        <v>864</v>
      </c>
      <c r="C182" s="1">
        <f>864+465+1513</f>
        <v>2842</v>
      </c>
      <c r="D182" s="1">
        <f>1210+555+1513</f>
        <v>3278</v>
      </c>
      <c r="E182" s="59">
        <f t="shared" si="40"/>
        <v>6984</v>
      </c>
      <c r="F182" s="1">
        <f>1210+592+1513</f>
        <v>3315</v>
      </c>
      <c r="G182" s="1">
        <f>1210+507</f>
        <v>1717</v>
      </c>
      <c r="H182" s="1">
        <f>1210+395</f>
        <v>1605</v>
      </c>
      <c r="I182" s="59">
        <f t="shared" si="31"/>
        <v>6637</v>
      </c>
      <c r="J182" s="1">
        <f>1210+395</f>
        <v>1605</v>
      </c>
      <c r="K182" s="1">
        <v>2254</v>
      </c>
      <c r="L182" s="1"/>
      <c r="M182" s="59">
        <f t="shared" si="32"/>
        <v>3859</v>
      </c>
      <c r="N182" s="1"/>
      <c r="O182" s="1"/>
      <c r="P182" s="1"/>
      <c r="Q182" s="59">
        <f t="shared" si="34"/>
        <v>0</v>
      </c>
      <c r="R182" s="59">
        <f>+E182+I182+M182+Q182</f>
        <v>17480</v>
      </c>
      <c r="S182" s="94"/>
      <c r="T182" s="4" t="s">
        <v>137</v>
      </c>
    </row>
    <row r="183" spans="1:20" ht="15.75" customHeight="1" x14ac:dyDescent="0.3">
      <c r="A183" s="74" t="s">
        <v>859</v>
      </c>
      <c r="B183" s="1">
        <v>40</v>
      </c>
      <c r="C183" s="1">
        <v>45</v>
      </c>
      <c r="D183" s="1">
        <v>45</v>
      </c>
      <c r="E183" s="59">
        <f t="shared" si="40"/>
        <v>130</v>
      </c>
      <c r="F183" s="1">
        <v>45</v>
      </c>
      <c r="G183" s="1">
        <v>45</v>
      </c>
      <c r="H183" s="1">
        <v>50</v>
      </c>
      <c r="I183" s="59">
        <f t="shared" si="31"/>
        <v>140</v>
      </c>
      <c r="J183" s="1">
        <v>55</v>
      </c>
      <c r="K183" s="1">
        <v>55</v>
      </c>
      <c r="L183" s="1">
        <v>45</v>
      </c>
      <c r="M183" s="59">
        <f t="shared" si="32"/>
        <v>155</v>
      </c>
      <c r="N183" s="1">
        <v>45</v>
      </c>
      <c r="O183" s="1">
        <v>45</v>
      </c>
      <c r="P183" s="1">
        <v>45</v>
      </c>
      <c r="Q183" s="59">
        <f t="shared" si="34"/>
        <v>135</v>
      </c>
      <c r="R183" s="59">
        <f t="shared" si="29"/>
        <v>560</v>
      </c>
      <c r="S183" s="4" t="s">
        <v>136</v>
      </c>
      <c r="T183" s="4" t="s">
        <v>137</v>
      </c>
    </row>
    <row r="184" spans="1:20" ht="15.75" customHeight="1" x14ac:dyDescent="0.3">
      <c r="A184" s="74" t="s">
        <v>180</v>
      </c>
      <c r="B184" s="1">
        <v>3283</v>
      </c>
      <c r="C184" s="1"/>
      <c r="D184" s="1"/>
      <c r="E184" s="59">
        <f t="shared" si="40"/>
        <v>3283</v>
      </c>
      <c r="F184" s="1"/>
      <c r="G184" s="1"/>
      <c r="H184" s="1">
        <f>2464+737+119+57</f>
        <v>3377</v>
      </c>
      <c r="I184" s="59">
        <f t="shared" si="31"/>
        <v>3377</v>
      </c>
      <c r="J184" s="1">
        <f>5765+666+115+50</f>
        <v>6596</v>
      </c>
      <c r="K184" s="1">
        <f>5803+571+109+40</f>
        <v>6523</v>
      </c>
      <c r="L184" s="1">
        <f>5790+368+93+30</f>
        <v>6281</v>
      </c>
      <c r="M184" s="59">
        <f t="shared" si="32"/>
        <v>19400</v>
      </c>
      <c r="N184" s="1">
        <f>6021+190+114+58</f>
        <v>6383</v>
      </c>
      <c r="O184" s="1">
        <f>5209+85+28</f>
        <v>5322</v>
      </c>
      <c r="P184" s="1">
        <f>4119+79+18</f>
        <v>4216</v>
      </c>
      <c r="Q184" s="59">
        <f t="shared" si="34"/>
        <v>15921</v>
      </c>
      <c r="R184" s="59">
        <f>+E184+I184+M184+Q184</f>
        <v>41981</v>
      </c>
    </row>
    <row r="185" spans="1:20" ht="15.75" customHeight="1" x14ac:dyDescent="0.3">
      <c r="A185" s="74" t="s">
        <v>181</v>
      </c>
      <c r="B185" s="1"/>
      <c r="C185" s="1"/>
      <c r="D185" s="1"/>
      <c r="E185" s="59">
        <f t="shared" ref="E185" si="42">SUM(B185:D185)</f>
        <v>0</v>
      </c>
      <c r="F185" s="1"/>
      <c r="G185" s="1"/>
      <c r="H185" s="1">
        <f>164+500</f>
        <v>664</v>
      </c>
      <c r="I185" s="59">
        <f t="shared" si="31"/>
        <v>664</v>
      </c>
      <c r="J185" s="1">
        <f>7500+164+500</f>
        <v>8164</v>
      </c>
      <c r="K185" s="1">
        <f>164+500</f>
        <v>664</v>
      </c>
      <c r="L185" s="1">
        <f>164+200</f>
        <v>364</v>
      </c>
      <c r="M185" s="59">
        <f t="shared" si="32"/>
        <v>9192</v>
      </c>
      <c r="N185" s="1">
        <f>164</f>
        <v>164</v>
      </c>
      <c r="O185" s="1">
        <v>164</v>
      </c>
      <c r="P185" s="1">
        <v>164</v>
      </c>
      <c r="Q185" s="59">
        <f t="shared" si="34"/>
        <v>492</v>
      </c>
      <c r="R185" s="59">
        <f t="shared" si="29"/>
        <v>10348</v>
      </c>
      <c r="S185" s="4" t="s">
        <v>136</v>
      </c>
    </row>
    <row r="186" spans="1:20" ht="15.75" customHeight="1" x14ac:dyDescent="0.3">
      <c r="A186" s="91" t="s">
        <v>182</v>
      </c>
      <c r="B186" s="1"/>
      <c r="C186" s="1"/>
      <c r="D186" s="1"/>
      <c r="E186" s="59">
        <f t="shared" ref="E186:E191" si="43">SUM(B186:D186)</f>
        <v>0</v>
      </c>
      <c r="F186" s="1"/>
      <c r="G186" s="1"/>
      <c r="H186" s="1"/>
      <c r="I186" s="59">
        <f t="shared" ref="I186:I191" si="44">SUM(F186:H186)</f>
        <v>0</v>
      </c>
      <c r="J186" s="1"/>
      <c r="K186" s="1"/>
      <c r="L186" s="1"/>
      <c r="M186" s="59">
        <f t="shared" ref="M186:M191" si="45">SUM(J186:L186)</f>
        <v>0</v>
      </c>
      <c r="N186" s="1"/>
      <c r="O186" s="1"/>
      <c r="P186" s="1"/>
      <c r="Q186" s="59">
        <f t="shared" si="34"/>
        <v>0</v>
      </c>
      <c r="R186" s="59">
        <f t="shared" si="29"/>
        <v>0</v>
      </c>
      <c r="T186" s="4" t="s">
        <v>132</v>
      </c>
    </row>
    <row r="187" spans="1:20" ht="15.75" customHeight="1" x14ac:dyDescent="0.3">
      <c r="A187" s="91" t="s">
        <v>183</v>
      </c>
      <c r="B187" s="1"/>
      <c r="C187" s="1"/>
      <c r="D187" s="1"/>
      <c r="E187" s="59">
        <f t="shared" si="43"/>
        <v>0</v>
      </c>
      <c r="F187" s="1"/>
      <c r="G187" s="1"/>
      <c r="H187" s="1"/>
      <c r="I187" s="59">
        <f t="shared" si="44"/>
        <v>0</v>
      </c>
      <c r="J187" s="1"/>
      <c r="K187" s="1"/>
      <c r="L187" s="1"/>
      <c r="M187" s="59">
        <f t="shared" si="45"/>
        <v>0</v>
      </c>
      <c r="N187" s="1"/>
      <c r="O187" s="1"/>
      <c r="P187" s="1"/>
      <c r="Q187" s="59">
        <f t="shared" si="34"/>
        <v>0</v>
      </c>
      <c r="R187" s="59">
        <f>+E187+I187+M187+Q187</f>
        <v>0</v>
      </c>
    </row>
    <row r="188" spans="1:20" ht="15.75" customHeight="1" x14ac:dyDescent="0.3">
      <c r="A188" s="91" t="s">
        <v>184</v>
      </c>
      <c r="B188" s="1"/>
      <c r="C188" s="1"/>
      <c r="D188" s="1"/>
      <c r="E188" s="59">
        <f t="shared" si="43"/>
        <v>0</v>
      </c>
      <c r="F188" s="1">
        <v>1000</v>
      </c>
      <c r="G188" s="1">
        <v>1000</v>
      </c>
      <c r="H188" s="1">
        <v>1502</v>
      </c>
      <c r="I188" s="59">
        <f t="shared" si="44"/>
        <v>3502</v>
      </c>
      <c r="J188" s="1">
        <v>1000</v>
      </c>
      <c r="K188" s="1">
        <v>799</v>
      </c>
      <c r="L188" s="1">
        <v>900</v>
      </c>
      <c r="M188" s="59">
        <f t="shared" si="45"/>
        <v>2699</v>
      </c>
      <c r="N188" s="1">
        <v>900</v>
      </c>
      <c r="O188" s="1">
        <v>900</v>
      </c>
      <c r="P188" s="1"/>
      <c r="Q188" s="59">
        <f t="shared" si="34"/>
        <v>1800</v>
      </c>
      <c r="R188" s="59">
        <f t="shared" si="29"/>
        <v>8001</v>
      </c>
    </row>
    <row r="189" spans="1:20" ht="15.75" customHeight="1" x14ac:dyDescent="0.3">
      <c r="A189" s="74" t="s">
        <v>185</v>
      </c>
      <c r="B189" s="1">
        <v>122</v>
      </c>
      <c r="C189" s="1">
        <v>300</v>
      </c>
      <c r="D189" s="1">
        <v>350</v>
      </c>
      <c r="E189" s="59">
        <f t="shared" si="43"/>
        <v>772</v>
      </c>
      <c r="F189" s="1">
        <v>350</v>
      </c>
      <c r="G189" s="1">
        <v>400</v>
      </c>
      <c r="H189" s="1">
        <v>450</v>
      </c>
      <c r="I189" s="59">
        <f t="shared" si="44"/>
        <v>1200</v>
      </c>
      <c r="J189" s="1">
        <v>493</v>
      </c>
      <c r="K189" s="1">
        <v>500</v>
      </c>
      <c r="L189" s="1">
        <v>400</v>
      </c>
      <c r="M189" s="59">
        <f t="shared" si="45"/>
        <v>1393</v>
      </c>
      <c r="N189" s="1">
        <v>400</v>
      </c>
      <c r="O189" s="1">
        <v>300</v>
      </c>
      <c r="P189" s="1">
        <v>250</v>
      </c>
      <c r="Q189" s="59">
        <f t="shared" si="34"/>
        <v>950</v>
      </c>
      <c r="R189" s="59">
        <f>+E189+I189+M189+Q189</f>
        <v>4315</v>
      </c>
      <c r="S189" s="4" t="s">
        <v>136</v>
      </c>
      <c r="T189" s="4" t="s">
        <v>137</v>
      </c>
    </row>
    <row r="190" spans="1:20" ht="15.75" customHeight="1" x14ac:dyDescent="0.3">
      <c r="A190" s="74" t="s">
        <v>186</v>
      </c>
      <c r="B190" s="1">
        <v>6</v>
      </c>
      <c r="C190" s="1">
        <v>6</v>
      </c>
      <c r="D190" s="1">
        <v>6</v>
      </c>
      <c r="E190" s="59">
        <f t="shared" si="43"/>
        <v>18</v>
      </c>
      <c r="F190" s="1">
        <v>6</v>
      </c>
      <c r="G190" s="1">
        <v>6</v>
      </c>
      <c r="H190" s="1">
        <v>6</v>
      </c>
      <c r="I190" s="59">
        <f t="shared" si="44"/>
        <v>18</v>
      </c>
      <c r="J190" s="1">
        <v>6</v>
      </c>
      <c r="K190" s="1">
        <v>6</v>
      </c>
      <c r="L190" s="1">
        <v>6</v>
      </c>
      <c r="M190" s="59">
        <f t="shared" si="45"/>
        <v>18</v>
      </c>
      <c r="N190" s="1">
        <v>6</v>
      </c>
      <c r="O190" s="1">
        <v>6</v>
      </c>
      <c r="P190" s="1"/>
      <c r="Q190" s="59">
        <f t="shared" si="34"/>
        <v>12</v>
      </c>
      <c r="R190" s="59">
        <f>+E190+I190+M190+Q190</f>
        <v>66</v>
      </c>
      <c r="S190" s="4">
        <f>SUM(R141:R190)</f>
        <v>315528</v>
      </c>
    </row>
    <row r="191" spans="1:20" ht="15.75" customHeight="1" x14ac:dyDescent="0.3">
      <c r="A191" s="74" t="s">
        <v>187</v>
      </c>
      <c r="B191" s="1"/>
      <c r="C191" s="1"/>
      <c r="D191" s="1"/>
      <c r="E191" s="59">
        <f t="shared" si="43"/>
        <v>0</v>
      </c>
      <c r="F191" s="1"/>
      <c r="G191" s="1"/>
      <c r="H191" s="1"/>
      <c r="I191" s="59">
        <f t="shared" si="44"/>
        <v>0</v>
      </c>
      <c r="J191" s="1"/>
      <c r="K191" s="1"/>
      <c r="L191" s="1"/>
      <c r="M191" s="59">
        <f t="shared" si="45"/>
        <v>0</v>
      </c>
      <c r="N191" s="1"/>
      <c r="O191" s="1"/>
      <c r="P191" s="1"/>
      <c r="Q191" s="59">
        <f t="shared" si="34"/>
        <v>0</v>
      </c>
      <c r="R191" s="59">
        <f>+E191+I191+M191+Q191</f>
        <v>0</v>
      </c>
      <c r="S191" s="94" t="s">
        <v>136</v>
      </c>
      <c r="T191" s="4" t="s">
        <v>137</v>
      </c>
    </row>
    <row r="192" spans="1:20" ht="15.75" customHeight="1" x14ac:dyDescent="0.3">
      <c r="A192" s="17" t="s">
        <v>47</v>
      </c>
      <c r="B192" s="1"/>
      <c r="C192" s="1"/>
      <c r="D192" s="1"/>
      <c r="E192" s="59" t="s">
        <v>7</v>
      </c>
      <c r="F192" s="1"/>
      <c r="G192" s="1"/>
      <c r="H192" s="1"/>
      <c r="I192" s="59" t="s">
        <v>7</v>
      </c>
      <c r="J192" s="1"/>
      <c r="K192" s="1"/>
      <c r="L192" s="1"/>
      <c r="M192" s="59" t="s">
        <v>7</v>
      </c>
      <c r="N192" s="1"/>
      <c r="O192" s="1"/>
      <c r="P192" s="1"/>
      <c r="Q192" s="59" t="s">
        <v>7</v>
      </c>
      <c r="R192" s="59" t="s">
        <v>7</v>
      </c>
    </row>
    <row r="193" spans="1:20" ht="15.75" customHeight="1" x14ac:dyDescent="0.3">
      <c r="A193" s="74" t="s">
        <v>188</v>
      </c>
      <c r="B193" s="1"/>
      <c r="C193" s="1"/>
      <c r="D193" s="1"/>
      <c r="E193" s="59">
        <f t="shared" ref="E193:E202" si="46">SUM(B193:D193)</f>
        <v>0</v>
      </c>
      <c r="F193" s="1"/>
      <c r="G193" s="1"/>
      <c r="H193" s="1"/>
      <c r="I193" s="59">
        <f t="shared" ref="I193:I202" si="47">SUM(F193:H193)</f>
        <v>0</v>
      </c>
      <c r="J193" s="1"/>
      <c r="K193" s="1"/>
      <c r="L193" s="1"/>
      <c r="M193" s="59">
        <f t="shared" ref="M193:M202" si="48">SUM(J193:L193)</f>
        <v>0</v>
      </c>
      <c r="N193" s="1"/>
      <c r="O193" s="1"/>
      <c r="P193" s="1"/>
      <c r="Q193" s="59">
        <f t="shared" ref="Q193:Q202" si="49">SUM(N193:P193)</f>
        <v>0</v>
      </c>
      <c r="R193" s="59">
        <f t="shared" ref="R193:R202" si="50">+E193+I193+M193+Q193</f>
        <v>0</v>
      </c>
    </row>
    <row r="194" spans="1:20" ht="15.75" customHeight="1" x14ac:dyDescent="0.3">
      <c r="A194" s="74" t="s">
        <v>189</v>
      </c>
      <c r="B194" s="1"/>
      <c r="C194" s="1"/>
      <c r="D194" s="1"/>
      <c r="E194" s="59">
        <f>SUM(B194:D194)</f>
        <v>0</v>
      </c>
      <c r="F194" s="1"/>
      <c r="G194" s="1"/>
      <c r="H194" s="1"/>
      <c r="I194" s="59">
        <f>SUM(F194:H194)</f>
        <v>0</v>
      </c>
      <c r="J194" s="1"/>
      <c r="K194" s="1"/>
      <c r="L194" s="1"/>
      <c r="M194" s="59">
        <f>SUM(J194:L194)</f>
        <v>0</v>
      </c>
      <c r="N194" s="1"/>
      <c r="O194" s="1"/>
      <c r="P194" s="1"/>
      <c r="Q194" s="59">
        <f>SUM(N194:P194)</f>
        <v>0</v>
      </c>
      <c r="R194" s="59">
        <f>+E194+I194+M194+Q194</f>
        <v>0</v>
      </c>
      <c r="T194" s="4" t="s">
        <v>127</v>
      </c>
    </row>
    <row r="195" spans="1:20" ht="15.75" customHeight="1" x14ac:dyDescent="0.3">
      <c r="A195" s="74" t="s">
        <v>190</v>
      </c>
      <c r="B195" s="1"/>
      <c r="C195" s="1"/>
      <c r="D195" s="1"/>
      <c r="E195" s="59">
        <f t="shared" si="46"/>
        <v>0</v>
      </c>
      <c r="F195" s="1"/>
      <c r="G195" s="1"/>
      <c r="H195" s="1"/>
      <c r="I195" s="59">
        <f t="shared" si="47"/>
        <v>0</v>
      </c>
      <c r="J195" s="1"/>
      <c r="K195" s="1"/>
      <c r="L195" s="1"/>
      <c r="M195" s="59">
        <f t="shared" si="48"/>
        <v>0</v>
      </c>
      <c r="N195" s="1"/>
      <c r="O195" s="1"/>
      <c r="P195" s="1"/>
      <c r="Q195" s="59">
        <f t="shared" si="49"/>
        <v>0</v>
      </c>
      <c r="R195" s="59">
        <f t="shared" si="50"/>
        <v>0</v>
      </c>
    </row>
    <row r="196" spans="1:20" ht="15.75" customHeight="1" x14ac:dyDescent="0.3">
      <c r="A196" s="74" t="s">
        <v>191</v>
      </c>
      <c r="B196" s="1"/>
      <c r="C196" s="1"/>
      <c r="D196" s="1"/>
      <c r="E196" s="59">
        <f t="shared" si="46"/>
        <v>0</v>
      </c>
      <c r="F196" s="1"/>
      <c r="G196" s="1"/>
      <c r="H196" s="1"/>
      <c r="I196" s="59">
        <f t="shared" si="47"/>
        <v>0</v>
      </c>
      <c r="J196" s="1"/>
      <c r="K196" s="1"/>
      <c r="L196" s="1"/>
      <c r="M196" s="59">
        <f t="shared" si="48"/>
        <v>0</v>
      </c>
      <c r="N196" s="1"/>
      <c r="O196" s="1"/>
      <c r="P196" s="1"/>
      <c r="Q196" s="59">
        <f t="shared" si="49"/>
        <v>0</v>
      </c>
      <c r="R196" s="59">
        <f t="shared" si="50"/>
        <v>0</v>
      </c>
      <c r="T196" s="4" t="s">
        <v>137</v>
      </c>
    </row>
    <row r="197" spans="1:20" ht="15.75" customHeight="1" x14ac:dyDescent="0.3">
      <c r="A197" s="74" t="s">
        <v>192</v>
      </c>
      <c r="B197" s="1"/>
      <c r="C197" s="1"/>
      <c r="D197" s="1"/>
      <c r="E197" s="59">
        <f t="shared" si="46"/>
        <v>0</v>
      </c>
      <c r="F197" s="1"/>
      <c r="G197" s="1"/>
      <c r="H197" s="1"/>
      <c r="I197" s="59">
        <f t="shared" si="47"/>
        <v>0</v>
      </c>
      <c r="J197" s="1"/>
      <c r="K197" s="1"/>
      <c r="L197" s="1"/>
      <c r="M197" s="59">
        <f t="shared" si="48"/>
        <v>0</v>
      </c>
      <c r="N197" s="1"/>
      <c r="O197" s="1"/>
      <c r="P197" s="1"/>
      <c r="Q197" s="59">
        <f t="shared" si="49"/>
        <v>0</v>
      </c>
      <c r="R197" s="59">
        <f t="shared" si="50"/>
        <v>0</v>
      </c>
    </row>
    <row r="198" spans="1:20" ht="15.75" customHeight="1" x14ac:dyDescent="0.3">
      <c r="A198" s="74" t="s">
        <v>193</v>
      </c>
      <c r="B198" s="1"/>
      <c r="C198" s="1"/>
      <c r="D198" s="1"/>
      <c r="E198" s="59">
        <f t="shared" si="46"/>
        <v>0</v>
      </c>
      <c r="F198" s="1"/>
      <c r="G198" s="1"/>
      <c r="H198" s="1"/>
      <c r="I198" s="59">
        <f t="shared" si="47"/>
        <v>0</v>
      </c>
      <c r="J198" s="1"/>
      <c r="K198" s="1"/>
      <c r="L198" s="1"/>
      <c r="M198" s="59">
        <f t="shared" si="48"/>
        <v>0</v>
      </c>
      <c r="N198" s="1"/>
      <c r="O198" s="1"/>
      <c r="P198" s="1"/>
      <c r="Q198" s="59">
        <f t="shared" si="49"/>
        <v>0</v>
      </c>
      <c r="R198" s="59">
        <f t="shared" si="50"/>
        <v>0</v>
      </c>
    </row>
    <row r="199" spans="1:20" ht="15.75" customHeight="1" x14ac:dyDescent="0.3">
      <c r="A199" s="91" t="s">
        <v>194</v>
      </c>
      <c r="B199" s="1"/>
      <c r="C199" s="1"/>
      <c r="D199" s="1"/>
      <c r="E199" s="59">
        <f t="shared" si="46"/>
        <v>0</v>
      </c>
      <c r="F199" s="1"/>
      <c r="G199" s="1"/>
      <c r="H199" s="1"/>
      <c r="I199" s="59">
        <f t="shared" si="47"/>
        <v>0</v>
      </c>
      <c r="J199" s="1"/>
      <c r="K199" s="1"/>
      <c r="L199" s="1"/>
      <c r="M199" s="59">
        <f t="shared" si="48"/>
        <v>0</v>
      </c>
      <c r="N199" s="1"/>
      <c r="O199" s="1"/>
      <c r="P199" s="1"/>
      <c r="Q199" s="59">
        <f t="shared" si="49"/>
        <v>0</v>
      </c>
      <c r="R199" s="59">
        <f t="shared" si="50"/>
        <v>0</v>
      </c>
      <c r="T199" s="4" t="s">
        <v>121</v>
      </c>
    </row>
    <row r="200" spans="1:20" ht="15.75" customHeight="1" x14ac:dyDescent="0.3">
      <c r="A200" s="74" t="s">
        <v>195</v>
      </c>
      <c r="B200" s="1"/>
      <c r="C200" s="1"/>
      <c r="D200" s="1"/>
      <c r="E200" s="59">
        <f t="shared" si="46"/>
        <v>0</v>
      </c>
      <c r="F200" s="1"/>
      <c r="G200" s="1"/>
      <c r="H200" s="1"/>
      <c r="I200" s="59">
        <f t="shared" si="47"/>
        <v>0</v>
      </c>
      <c r="J200" s="1"/>
      <c r="K200" s="1"/>
      <c r="L200" s="1"/>
      <c r="M200" s="59">
        <f t="shared" si="48"/>
        <v>0</v>
      </c>
      <c r="N200" s="1"/>
      <c r="O200" s="1"/>
      <c r="P200" s="1"/>
      <c r="Q200" s="59">
        <f t="shared" si="49"/>
        <v>0</v>
      </c>
      <c r="R200" s="59">
        <f t="shared" si="50"/>
        <v>0</v>
      </c>
      <c r="T200" s="4" t="s">
        <v>137</v>
      </c>
    </row>
    <row r="201" spans="1:20" ht="15.75" customHeight="1" x14ac:dyDescent="0.3">
      <c r="A201" s="74" t="s">
        <v>196</v>
      </c>
      <c r="B201" s="1"/>
      <c r="C201" s="1"/>
      <c r="D201" s="1"/>
      <c r="E201" s="59">
        <f t="shared" si="46"/>
        <v>0</v>
      </c>
      <c r="F201" s="1"/>
      <c r="G201" s="1"/>
      <c r="H201" s="1"/>
      <c r="I201" s="59">
        <f t="shared" si="47"/>
        <v>0</v>
      </c>
      <c r="J201" s="1"/>
      <c r="K201" s="1"/>
      <c r="L201" s="1"/>
      <c r="M201" s="59">
        <f t="shared" si="48"/>
        <v>0</v>
      </c>
      <c r="N201" s="1"/>
      <c r="O201" s="1"/>
      <c r="P201" s="1"/>
      <c r="Q201" s="59">
        <f t="shared" si="49"/>
        <v>0</v>
      </c>
      <c r="R201" s="59">
        <f t="shared" si="50"/>
        <v>0</v>
      </c>
      <c r="T201" s="4" t="s">
        <v>197</v>
      </c>
    </row>
    <row r="202" spans="1:20" ht="15.75" customHeight="1" x14ac:dyDescent="0.3">
      <c r="A202" s="91" t="s">
        <v>198</v>
      </c>
      <c r="B202" s="1"/>
      <c r="C202" s="1"/>
      <c r="D202" s="1"/>
      <c r="E202" s="59">
        <f t="shared" si="46"/>
        <v>0</v>
      </c>
      <c r="F202" s="1"/>
      <c r="G202" s="1"/>
      <c r="H202" s="1"/>
      <c r="I202" s="59">
        <f t="shared" si="47"/>
        <v>0</v>
      </c>
      <c r="J202" s="1"/>
      <c r="K202" s="1"/>
      <c r="L202" s="1"/>
      <c r="M202" s="59">
        <f t="shared" si="48"/>
        <v>0</v>
      </c>
      <c r="N202" s="1"/>
      <c r="O202" s="1"/>
      <c r="P202" s="1"/>
      <c r="Q202" s="59">
        <f t="shared" si="49"/>
        <v>0</v>
      </c>
      <c r="R202" s="59">
        <f t="shared" si="50"/>
        <v>0</v>
      </c>
    </row>
    <row r="203" spans="1:20" ht="15.75" customHeight="1" x14ac:dyDescent="0.3">
      <c r="A203" s="17" t="s">
        <v>49</v>
      </c>
      <c r="B203" s="1"/>
      <c r="C203" s="1"/>
      <c r="D203" s="1"/>
      <c r="E203" s="59" t="s">
        <v>7</v>
      </c>
      <c r="F203" s="1"/>
      <c r="G203" s="1"/>
      <c r="H203" s="1"/>
      <c r="I203" s="59" t="s">
        <v>7</v>
      </c>
      <c r="J203" s="1"/>
      <c r="K203" s="1"/>
      <c r="L203" s="1"/>
      <c r="M203" s="59" t="s">
        <v>7</v>
      </c>
      <c r="N203" s="1"/>
      <c r="O203" s="1"/>
      <c r="P203" s="1"/>
      <c r="Q203" s="59" t="s">
        <v>7</v>
      </c>
      <c r="R203" s="59" t="s">
        <v>7</v>
      </c>
    </row>
    <row r="204" spans="1:20" ht="15.75" customHeight="1" x14ac:dyDescent="0.3">
      <c r="A204" s="99" t="s">
        <v>199</v>
      </c>
      <c r="B204" s="1"/>
      <c r="C204" s="1"/>
      <c r="D204" s="1"/>
      <c r="E204" s="59">
        <f>SUM(B204:D204)</f>
        <v>0</v>
      </c>
      <c r="F204" s="1"/>
      <c r="G204" s="1"/>
      <c r="H204" s="1"/>
      <c r="I204" s="59">
        <f>SUM(F204:H204)</f>
        <v>0</v>
      </c>
      <c r="J204" s="1"/>
      <c r="K204" s="1"/>
      <c r="L204" s="1"/>
      <c r="M204" s="59">
        <f>SUM(J204:L204)</f>
        <v>0</v>
      </c>
      <c r="N204" s="1"/>
      <c r="O204" s="1"/>
      <c r="P204" s="1"/>
      <c r="Q204" s="59">
        <f>SUM(N204:P204)</f>
        <v>0</v>
      </c>
      <c r="R204" s="59">
        <f>+E204+I204+M204+Q204</f>
        <v>0</v>
      </c>
      <c r="S204" s="77" t="s">
        <v>90</v>
      </c>
      <c r="T204" s="4" t="s">
        <v>132</v>
      </c>
    </row>
    <row r="205" spans="1:20" ht="15.75" customHeight="1" x14ac:dyDescent="0.3">
      <c r="A205" s="99" t="s">
        <v>200</v>
      </c>
      <c r="B205" s="1"/>
      <c r="C205" s="1"/>
      <c r="D205" s="1"/>
      <c r="E205" s="59">
        <f>SUM(B205:D205)</f>
        <v>0</v>
      </c>
      <c r="F205" s="1"/>
      <c r="G205" s="1"/>
      <c r="H205" s="1"/>
      <c r="I205" s="59">
        <f>SUM(F205:H205)</f>
        <v>0</v>
      </c>
      <c r="J205" s="1"/>
      <c r="K205" s="1"/>
      <c r="L205" s="1"/>
      <c r="M205" s="59">
        <f>SUM(J205:L205)</f>
        <v>0</v>
      </c>
      <c r="N205" s="1"/>
      <c r="O205" s="1"/>
      <c r="P205" s="1"/>
      <c r="Q205" s="59">
        <f>SUM(N205:P205)</f>
        <v>0</v>
      </c>
      <c r="R205" s="59">
        <f>+E205+I205+M205+Q205</f>
        <v>0</v>
      </c>
      <c r="S205" s="77" t="s">
        <v>90</v>
      </c>
      <c r="T205" s="4" t="s">
        <v>134</v>
      </c>
    </row>
    <row r="206" spans="1:20" ht="15.75" customHeight="1" x14ac:dyDescent="0.3">
      <c r="A206" s="61" t="s">
        <v>201</v>
      </c>
      <c r="B206" s="1">
        <v>24</v>
      </c>
      <c r="C206" s="1">
        <v>21</v>
      </c>
      <c r="D206" s="1">
        <v>78</v>
      </c>
      <c r="E206" s="59">
        <f>SUM(B206:D206)</f>
        <v>123</v>
      </c>
      <c r="F206" s="1">
        <v>110</v>
      </c>
      <c r="G206" s="1">
        <v>144</v>
      </c>
      <c r="H206" s="1">
        <v>206</v>
      </c>
      <c r="I206" s="59">
        <f>SUM(F206:H206)</f>
        <v>460</v>
      </c>
      <c r="J206" s="1">
        <v>200</v>
      </c>
      <c r="K206" s="1">
        <v>152</v>
      </c>
      <c r="L206" s="1">
        <v>140</v>
      </c>
      <c r="M206" s="59">
        <f>SUM(J206:L206)</f>
        <v>492</v>
      </c>
      <c r="N206" s="1">
        <v>118</v>
      </c>
      <c r="O206" s="1">
        <v>44</v>
      </c>
      <c r="P206" s="1">
        <v>23</v>
      </c>
      <c r="Q206" s="59">
        <f>SUM(N206:P206)</f>
        <v>185</v>
      </c>
      <c r="R206" s="59">
        <f>+E206+I206+M206+Q206</f>
        <v>1260</v>
      </c>
      <c r="S206" s="77" t="s">
        <v>90</v>
      </c>
      <c r="T206" s="4" t="s">
        <v>202</v>
      </c>
    </row>
    <row r="207" spans="1:20" ht="15.75" customHeight="1" thickBot="1" x14ac:dyDescent="0.35">
      <c r="A207" s="17" t="s">
        <v>51</v>
      </c>
      <c r="B207" s="1"/>
      <c r="C207" s="1"/>
      <c r="D207" s="1"/>
      <c r="E207" s="59" t="s">
        <v>7</v>
      </c>
      <c r="F207" s="1"/>
      <c r="G207" s="1"/>
      <c r="H207" s="1"/>
      <c r="I207" s="59" t="s">
        <v>7</v>
      </c>
      <c r="J207" s="1"/>
      <c r="K207" s="1"/>
      <c r="L207" s="1"/>
      <c r="M207" s="59" t="s">
        <v>7</v>
      </c>
      <c r="N207" s="1"/>
      <c r="O207" s="1"/>
      <c r="P207" s="1"/>
      <c r="Q207" s="59" t="s">
        <v>7</v>
      </c>
      <c r="R207" s="59" t="s">
        <v>7</v>
      </c>
    </row>
    <row r="208" spans="1:20" ht="16.5" customHeight="1" thickBot="1" x14ac:dyDescent="0.35">
      <c r="A208" s="62" t="s">
        <v>52</v>
      </c>
      <c r="B208" s="100">
        <f>SUM(B139:B207)</f>
        <v>16086</v>
      </c>
      <c r="C208" s="101">
        <f>SUM(C139:C207)</f>
        <v>13601</v>
      </c>
      <c r="D208" s="101">
        <f>SUM(D139:D207)</f>
        <v>18247</v>
      </c>
      <c r="E208" s="64">
        <f>SUM(B208:D208)</f>
        <v>47934</v>
      </c>
      <c r="F208" s="101">
        <f>SUM(F139:F207)</f>
        <v>32324</v>
      </c>
      <c r="G208" s="101">
        <f t="shared" ref="G208:H208" si="51">SUM(G139:G207)</f>
        <v>30034</v>
      </c>
      <c r="H208" s="101">
        <f t="shared" si="51"/>
        <v>37285</v>
      </c>
      <c r="I208" s="64">
        <f>SUM(F208:H208)</f>
        <v>99643</v>
      </c>
      <c r="J208" s="101">
        <f>SUM(J139:J207)</f>
        <v>50642</v>
      </c>
      <c r="K208" s="101">
        <f>SUM(K139:K207)</f>
        <v>36871</v>
      </c>
      <c r="L208" s="101">
        <f>SUM(L139:L207)</f>
        <v>29577</v>
      </c>
      <c r="M208" s="64">
        <f>SUM(J208:L208)</f>
        <v>117090</v>
      </c>
      <c r="N208" s="101">
        <f>SUM(N139:N207)</f>
        <v>25192</v>
      </c>
      <c r="O208" s="101">
        <f>SUM(O139:O207)</f>
        <v>16420</v>
      </c>
      <c r="P208" s="101">
        <f>SUM(P139:P207)</f>
        <v>10509</v>
      </c>
      <c r="Q208" s="64">
        <f>SUM(N208:P208)</f>
        <v>52121</v>
      </c>
      <c r="R208" s="64">
        <f>+E208+I208+M208+Q208</f>
        <v>316788</v>
      </c>
    </row>
    <row r="209" spans="1:20" ht="15.75" customHeight="1" x14ac:dyDescent="0.3">
      <c r="A209" s="17" t="s">
        <v>53</v>
      </c>
      <c r="B209" s="1"/>
      <c r="C209" s="1"/>
      <c r="D209" s="1"/>
      <c r="E209" s="59" t="s">
        <v>7</v>
      </c>
      <c r="F209" s="1"/>
      <c r="G209" s="1"/>
      <c r="H209" s="1"/>
      <c r="I209" s="59" t="s">
        <v>7</v>
      </c>
      <c r="J209" s="1"/>
      <c r="K209" s="1"/>
      <c r="L209" s="1"/>
      <c r="M209" s="59" t="s">
        <v>7</v>
      </c>
      <c r="N209" s="1"/>
      <c r="O209" s="1"/>
      <c r="P209" s="1"/>
      <c r="Q209" s="59" t="s">
        <v>7</v>
      </c>
      <c r="R209" s="59" t="s">
        <v>7</v>
      </c>
    </row>
    <row r="210" spans="1:20" ht="15.75" customHeight="1" x14ac:dyDescent="0.3">
      <c r="A210" s="17" t="s">
        <v>54</v>
      </c>
      <c r="B210" s="1"/>
      <c r="C210" s="1"/>
      <c r="D210" s="1"/>
      <c r="E210" s="59" t="s">
        <v>7</v>
      </c>
      <c r="F210" s="1"/>
      <c r="G210" s="1"/>
      <c r="H210" s="1"/>
      <c r="I210" s="59" t="s">
        <v>7</v>
      </c>
      <c r="J210" s="1"/>
      <c r="K210" s="1"/>
      <c r="L210" s="1"/>
      <c r="M210" s="59" t="s">
        <v>7</v>
      </c>
      <c r="N210" s="1"/>
      <c r="O210" s="1"/>
      <c r="P210" s="1"/>
      <c r="Q210" s="59" t="s">
        <v>7</v>
      </c>
      <c r="R210" s="59" t="s">
        <v>7</v>
      </c>
    </row>
    <row r="211" spans="1:20" ht="15.75" customHeight="1" x14ac:dyDescent="0.3">
      <c r="A211" s="17" t="s">
        <v>55</v>
      </c>
      <c r="B211" s="1"/>
      <c r="C211" s="1"/>
      <c r="D211" s="1"/>
      <c r="E211" s="59" t="s">
        <v>7</v>
      </c>
      <c r="F211" s="1"/>
      <c r="G211" s="1"/>
      <c r="H211" s="1"/>
      <c r="I211" s="59" t="s">
        <v>7</v>
      </c>
      <c r="J211" s="1"/>
      <c r="K211" s="1"/>
      <c r="L211" s="1"/>
      <c r="M211" s="59" t="s">
        <v>7</v>
      </c>
      <c r="N211" s="1"/>
      <c r="O211" s="1"/>
      <c r="P211" s="1"/>
      <c r="Q211" s="59" t="s">
        <v>7</v>
      </c>
      <c r="R211" s="59" t="s">
        <v>7</v>
      </c>
    </row>
    <row r="212" spans="1:20" ht="15.75" customHeight="1" x14ac:dyDescent="0.3">
      <c r="A212" s="99" t="s">
        <v>203</v>
      </c>
      <c r="B212" s="1"/>
      <c r="C212" s="1"/>
      <c r="D212" s="1"/>
      <c r="E212" s="59">
        <f>SUM(B212:D212)</f>
        <v>0</v>
      </c>
      <c r="F212" s="1"/>
      <c r="G212" s="1"/>
      <c r="H212" s="1"/>
      <c r="I212" s="59">
        <f>SUM(F212:H212)</f>
        <v>0</v>
      </c>
      <c r="J212" s="1"/>
      <c r="K212" s="1"/>
      <c r="L212" s="1"/>
      <c r="M212" s="59">
        <f>SUM(J212:L212)</f>
        <v>0</v>
      </c>
      <c r="N212" s="1"/>
      <c r="O212" s="1"/>
      <c r="P212" s="1"/>
      <c r="Q212" s="59">
        <f>SUM(N212:P212)</f>
        <v>0</v>
      </c>
      <c r="R212" s="59">
        <f>+E212+I212+M212+Q212</f>
        <v>0</v>
      </c>
      <c r="T212" s="4" t="s">
        <v>121</v>
      </c>
    </row>
    <row r="213" spans="1:20" ht="15.75" customHeight="1" x14ac:dyDescent="0.3">
      <c r="A213" s="76" t="s">
        <v>204</v>
      </c>
      <c r="B213" s="1"/>
      <c r="C213" s="1"/>
      <c r="D213" s="1"/>
      <c r="E213" s="59">
        <f>SUM(B213:D213)</f>
        <v>0</v>
      </c>
      <c r="F213" s="1"/>
      <c r="G213" s="1"/>
      <c r="H213" s="1"/>
      <c r="I213" s="59">
        <f>SUM(F213:H213)</f>
        <v>0</v>
      </c>
      <c r="J213" s="1"/>
      <c r="K213" s="1"/>
      <c r="L213" s="1"/>
      <c r="M213" s="59">
        <f>SUM(J213:L213)</f>
        <v>0</v>
      </c>
      <c r="N213" s="1"/>
      <c r="O213" s="1"/>
      <c r="P213" s="1"/>
      <c r="Q213" s="59">
        <f>SUM(N213:P213)</f>
        <v>0</v>
      </c>
      <c r="R213" s="59">
        <f>+E213+I213+M213+Q213</f>
        <v>0</v>
      </c>
      <c r="S213" s="4" t="s">
        <v>136</v>
      </c>
      <c r="T213" s="4" t="s">
        <v>137</v>
      </c>
    </row>
    <row r="214" spans="1:20" ht="15.75" customHeight="1" thickBot="1" x14ac:dyDescent="0.35">
      <c r="A214" s="17" t="s">
        <v>56</v>
      </c>
      <c r="B214" s="1"/>
      <c r="C214" s="1"/>
      <c r="D214" s="1"/>
      <c r="E214" s="59" t="s">
        <v>7</v>
      </c>
      <c r="F214" s="1"/>
      <c r="G214" s="1"/>
      <c r="H214" s="1"/>
      <c r="I214" s="59" t="s">
        <v>7</v>
      </c>
      <c r="J214" s="1"/>
      <c r="K214" s="1"/>
      <c r="L214" s="1"/>
      <c r="M214" s="59" t="s">
        <v>7</v>
      </c>
      <c r="N214" s="1"/>
      <c r="O214" s="1"/>
      <c r="P214" s="1"/>
      <c r="Q214" s="59" t="s">
        <v>7</v>
      </c>
      <c r="R214" s="59" t="s">
        <v>7</v>
      </c>
    </row>
    <row r="215" spans="1:20" ht="16.5" customHeight="1" thickBot="1" x14ac:dyDescent="0.35">
      <c r="A215" s="62" t="s">
        <v>57</v>
      </c>
      <c r="B215" s="100">
        <f>SUM(B209:B214)</f>
        <v>0</v>
      </c>
      <c r="C215" s="101">
        <f>SUM(C209:C214)</f>
        <v>0</v>
      </c>
      <c r="D215" s="101">
        <f>SUM(D209:D214)</f>
        <v>0</v>
      </c>
      <c r="E215" s="64">
        <f>SUM(B215:D215)</f>
        <v>0</v>
      </c>
      <c r="F215" s="101"/>
      <c r="G215" s="101"/>
      <c r="H215" s="101"/>
      <c r="I215" s="64">
        <f>SUM(F215:H215)</f>
        <v>0</v>
      </c>
      <c r="J215" s="101">
        <f>SUM(J209:J214)</f>
        <v>0</v>
      </c>
      <c r="K215" s="101">
        <f>SUM(K209:K214)</f>
        <v>0</v>
      </c>
      <c r="L215" s="101">
        <f>SUM(L209:L214)</f>
        <v>0</v>
      </c>
      <c r="M215" s="64">
        <f>SUM(J215:L215)</f>
        <v>0</v>
      </c>
      <c r="N215" s="101">
        <f>SUM(N209:N214)</f>
        <v>0</v>
      </c>
      <c r="O215" s="101">
        <f>SUM(O209:O214)</f>
        <v>0</v>
      </c>
      <c r="P215" s="101">
        <f>SUM(P209:P214)</f>
        <v>0</v>
      </c>
      <c r="Q215" s="64">
        <f>SUM(N215:P215)</f>
        <v>0</v>
      </c>
      <c r="R215" s="64">
        <f>+E215+I215+M215+Q215</f>
        <v>0</v>
      </c>
    </row>
    <row r="216" spans="1:20" ht="15.75" customHeight="1" x14ac:dyDescent="0.3">
      <c r="A216" s="17" t="s">
        <v>58</v>
      </c>
      <c r="B216" s="1"/>
      <c r="C216" s="1"/>
      <c r="D216" s="1"/>
      <c r="E216" s="59" t="s">
        <v>7</v>
      </c>
      <c r="F216" s="1"/>
      <c r="G216" s="1"/>
      <c r="H216" s="1"/>
      <c r="I216" s="59" t="s">
        <v>7</v>
      </c>
      <c r="J216" s="1"/>
      <c r="K216" s="1"/>
      <c r="L216" s="1"/>
      <c r="M216" s="59" t="s">
        <v>7</v>
      </c>
      <c r="N216" s="1"/>
      <c r="O216" s="1"/>
      <c r="P216" s="1"/>
      <c r="Q216" s="59" t="s">
        <v>7</v>
      </c>
      <c r="R216" s="59" t="s">
        <v>7</v>
      </c>
    </row>
    <row r="217" spans="1:20" ht="15.75" customHeight="1" x14ac:dyDescent="0.3">
      <c r="A217" s="17" t="s">
        <v>59</v>
      </c>
      <c r="B217" s="1"/>
      <c r="C217" s="1"/>
      <c r="D217" s="1"/>
      <c r="E217" s="59" t="s">
        <v>7</v>
      </c>
      <c r="F217" s="1"/>
      <c r="G217" s="1"/>
      <c r="H217" s="1"/>
      <c r="I217" s="59" t="s">
        <v>7</v>
      </c>
      <c r="J217" s="1"/>
      <c r="K217" s="1"/>
      <c r="L217" s="1"/>
      <c r="M217" s="59" t="s">
        <v>7</v>
      </c>
      <c r="N217" s="1"/>
      <c r="O217" s="1"/>
      <c r="P217" s="1"/>
      <c r="Q217" s="59" t="s">
        <v>7</v>
      </c>
      <c r="R217" s="59" t="s">
        <v>7</v>
      </c>
    </row>
    <row r="218" spans="1:20" ht="15.75" customHeight="1" x14ac:dyDescent="0.3">
      <c r="A218" s="17" t="s">
        <v>60</v>
      </c>
      <c r="B218" s="1"/>
      <c r="C218" s="1"/>
      <c r="D218" s="1"/>
      <c r="E218" s="59" t="s">
        <v>7</v>
      </c>
      <c r="F218" s="1"/>
      <c r="G218" s="1"/>
      <c r="H218" s="1"/>
      <c r="I218" s="59" t="s">
        <v>7</v>
      </c>
      <c r="J218" s="1"/>
      <c r="K218" s="1"/>
      <c r="L218" s="1"/>
      <c r="M218" s="59" t="s">
        <v>7</v>
      </c>
      <c r="N218" s="1"/>
      <c r="O218" s="1"/>
      <c r="P218" s="1"/>
      <c r="Q218" s="59" t="s">
        <v>7</v>
      </c>
      <c r="R218" s="59" t="s">
        <v>7</v>
      </c>
    </row>
    <row r="219" spans="1:20" ht="15.75" customHeight="1" x14ac:dyDescent="0.3">
      <c r="A219" s="102" t="s">
        <v>205</v>
      </c>
      <c r="B219" s="1">
        <v>326</v>
      </c>
      <c r="C219" s="1">
        <v>295</v>
      </c>
      <c r="D219" s="1">
        <v>354</v>
      </c>
      <c r="E219" s="59">
        <f t="shared" ref="E219:E226" si="52">SUM(B219:D219)</f>
        <v>975</v>
      </c>
      <c r="F219" s="1">
        <v>420</v>
      </c>
      <c r="G219" s="1">
        <v>557</v>
      </c>
      <c r="H219" s="1">
        <v>625</v>
      </c>
      <c r="I219" s="59">
        <f t="shared" ref="I219:I226" si="53">SUM(F219:H219)</f>
        <v>1602</v>
      </c>
      <c r="J219" s="1">
        <v>607</v>
      </c>
      <c r="K219" s="1">
        <v>562</v>
      </c>
      <c r="L219" s="1">
        <v>481</v>
      </c>
      <c r="M219" s="59">
        <f t="shared" ref="M219:M226" si="54">SUM(J219:L219)</f>
        <v>1650</v>
      </c>
      <c r="N219" s="1">
        <v>506</v>
      </c>
      <c r="O219" s="1">
        <v>381</v>
      </c>
      <c r="P219" s="1">
        <v>296</v>
      </c>
      <c r="Q219" s="59">
        <f t="shared" ref="Q219:Q225" si="55">SUM(N219:P219)</f>
        <v>1183</v>
      </c>
      <c r="R219" s="59">
        <f t="shared" ref="R219:R281" si="56">+E219+I219+M219+Q219</f>
        <v>5410</v>
      </c>
      <c r="T219" s="4" t="s">
        <v>206</v>
      </c>
    </row>
    <row r="220" spans="1:20" ht="15.75" customHeight="1" x14ac:dyDescent="0.3">
      <c r="A220" s="102" t="s">
        <v>207</v>
      </c>
      <c r="B220" s="1"/>
      <c r="C220" s="1"/>
      <c r="D220" s="1">
        <v>357</v>
      </c>
      <c r="E220" s="59">
        <f t="shared" si="52"/>
        <v>357</v>
      </c>
      <c r="F220" s="1"/>
      <c r="G220" s="1"/>
      <c r="H220" s="1"/>
      <c r="I220" s="59">
        <f t="shared" si="53"/>
        <v>0</v>
      </c>
      <c r="J220" s="1"/>
      <c r="K220" s="1"/>
      <c r="L220" s="1"/>
      <c r="M220" s="59">
        <f t="shared" si="54"/>
        <v>0</v>
      </c>
      <c r="N220" s="1"/>
      <c r="O220" s="1"/>
      <c r="P220" s="1"/>
      <c r="Q220" s="59">
        <f t="shared" si="55"/>
        <v>0</v>
      </c>
      <c r="R220" s="59">
        <f t="shared" si="56"/>
        <v>357</v>
      </c>
      <c r="T220" s="4" t="s">
        <v>121</v>
      </c>
    </row>
    <row r="221" spans="1:20" ht="15.75" customHeight="1" x14ac:dyDescent="0.3">
      <c r="A221" s="76" t="s">
        <v>208</v>
      </c>
      <c r="B221" s="1">
        <v>7</v>
      </c>
      <c r="C221" s="1">
        <v>7</v>
      </c>
      <c r="D221" s="1">
        <v>7</v>
      </c>
      <c r="E221" s="59">
        <f t="shared" si="52"/>
        <v>21</v>
      </c>
      <c r="F221" s="1">
        <v>8</v>
      </c>
      <c r="G221" s="1">
        <v>10</v>
      </c>
      <c r="H221" s="1">
        <v>10</v>
      </c>
      <c r="I221" s="59">
        <f t="shared" si="53"/>
        <v>28</v>
      </c>
      <c r="J221" s="1">
        <v>10</v>
      </c>
      <c r="K221" s="1">
        <v>10</v>
      </c>
      <c r="L221" s="1">
        <v>9</v>
      </c>
      <c r="M221" s="59">
        <f t="shared" si="54"/>
        <v>29</v>
      </c>
      <c r="N221" s="1">
        <v>9</v>
      </c>
      <c r="O221" s="1">
        <v>8</v>
      </c>
      <c r="P221" s="1">
        <v>5</v>
      </c>
      <c r="Q221" s="59">
        <f t="shared" si="55"/>
        <v>22</v>
      </c>
      <c r="R221" s="59">
        <f t="shared" si="56"/>
        <v>100</v>
      </c>
    </row>
    <row r="222" spans="1:20" ht="15.75" customHeight="1" x14ac:dyDescent="0.3">
      <c r="A222" s="102" t="s">
        <v>209</v>
      </c>
      <c r="B222" s="1"/>
      <c r="C222" s="1"/>
      <c r="D222" s="1"/>
      <c r="E222" s="59">
        <f t="shared" si="52"/>
        <v>0</v>
      </c>
      <c r="F222" s="1"/>
      <c r="G222" s="1"/>
      <c r="H222" s="1">
        <v>99</v>
      </c>
      <c r="I222" s="59">
        <f t="shared" si="53"/>
        <v>99</v>
      </c>
      <c r="J222" s="1">
        <v>132</v>
      </c>
      <c r="K222" s="1">
        <v>128</v>
      </c>
      <c r="L222" s="1">
        <v>82</v>
      </c>
      <c r="M222" s="59">
        <f t="shared" si="54"/>
        <v>342</v>
      </c>
      <c r="N222" s="1">
        <v>116</v>
      </c>
      <c r="O222" s="1">
        <v>42</v>
      </c>
      <c r="P222" s="1">
        <v>21</v>
      </c>
      <c r="Q222" s="59">
        <f t="shared" si="55"/>
        <v>179</v>
      </c>
      <c r="R222" s="59">
        <f t="shared" si="56"/>
        <v>620</v>
      </c>
      <c r="T222" s="4" t="s">
        <v>127</v>
      </c>
    </row>
    <row r="223" spans="1:20" ht="15.75" customHeight="1" x14ac:dyDescent="0.3">
      <c r="A223" s="102" t="s">
        <v>210</v>
      </c>
      <c r="B223" s="1"/>
      <c r="C223" s="1"/>
      <c r="D223" s="1"/>
      <c r="E223" s="59">
        <f t="shared" si="52"/>
        <v>0</v>
      </c>
      <c r="F223" s="1"/>
      <c r="G223" s="1"/>
      <c r="H223" s="1"/>
      <c r="I223" s="59">
        <f t="shared" si="53"/>
        <v>0</v>
      </c>
      <c r="J223" s="1"/>
      <c r="K223" s="1"/>
      <c r="L223" s="1"/>
      <c r="M223" s="59">
        <f t="shared" si="54"/>
        <v>0</v>
      </c>
      <c r="N223" s="1"/>
      <c r="O223" s="1"/>
      <c r="P223" s="1"/>
      <c r="Q223" s="59">
        <f t="shared" si="55"/>
        <v>0</v>
      </c>
      <c r="R223" s="59">
        <f>+E223+I223+M223+Q223</f>
        <v>0</v>
      </c>
      <c r="T223" s="4" t="s">
        <v>134</v>
      </c>
    </row>
    <row r="224" spans="1:20" ht="15.75" customHeight="1" x14ac:dyDescent="0.3">
      <c r="A224" s="102" t="s">
        <v>211</v>
      </c>
      <c r="B224" s="1"/>
      <c r="C224" s="1"/>
      <c r="D224" s="1"/>
      <c r="E224" s="59">
        <f t="shared" si="52"/>
        <v>0</v>
      </c>
      <c r="F224" s="1"/>
      <c r="G224" s="1"/>
      <c r="H224" s="1"/>
      <c r="I224" s="59">
        <f t="shared" si="53"/>
        <v>0</v>
      </c>
      <c r="J224" s="1"/>
      <c r="K224" s="1"/>
      <c r="L224" s="1"/>
      <c r="M224" s="59">
        <f t="shared" si="54"/>
        <v>0</v>
      </c>
      <c r="N224" s="1"/>
      <c r="O224" s="1"/>
      <c r="P224" s="1"/>
      <c r="Q224" s="59">
        <f t="shared" si="55"/>
        <v>0</v>
      </c>
      <c r="R224" s="59">
        <f>+E224+I224+M224+Q224</f>
        <v>0</v>
      </c>
      <c r="T224" s="4" t="s">
        <v>134</v>
      </c>
    </row>
    <row r="225" spans="1:20" ht="15.75" customHeight="1" x14ac:dyDescent="0.3">
      <c r="A225" s="76" t="s">
        <v>212</v>
      </c>
      <c r="B225" s="1"/>
      <c r="C225" s="1"/>
      <c r="D225" s="1"/>
      <c r="E225" s="59">
        <f t="shared" si="52"/>
        <v>0</v>
      </c>
      <c r="F225" s="1"/>
      <c r="G225" s="1"/>
      <c r="H225" s="1"/>
      <c r="I225" s="59">
        <f t="shared" si="53"/>
        <v>0</v>
      </c>
      <c r="J225" s="1"/>
      <c r="K225" s="1"/>
      <c r="L225" s="1"/>
      <c r="M225" s="59">
        <f t="shared" si="54"/>
        <v>0</v>
      </c>
      <c r="N225" s="1"/>
      <c r="O225" s="1"/>
      <c r="P225" s="1"/>
      <c r="Q225" s="59">
        <f t="shared" si="55"/>
        <v>0</v>
      </c>
      <c r="R225" s="59">
        <f>+E225+I225+M225+Q225</f>
        <v>0</v>
      </c>
      <c r="S225" s="94"/>
      <c r="T225" s="4" t="s">
        <v>137</v>
      </c>
    </row>
    <row r="226" spans="1:20" ht="15.75" customHeight="1" x14ac:dyDescent="0.3">
      <c r="A226" s="76" t="s">
        <v>214</v>
      </c>
      <c r="B226" s="1"/>
      <c r="C226" s="1"/>
      <c r="D226" s="1"/>
      <c r="E226" s="59">
        <f t="shared" si="52"/>
        <v>0</v>
      </c>
      <c r="F226" s="1">
        <v>200</v>
      </c>
      <c r="G226" s="1"/>
      <c r="H226" s="1"/>
      <c r="I226" s="59">
        <f t="shared" si="53"/>
        <v>200</v>
      </c>
      <c r="J226" s="1"/>
      <c r="K226" s="1"/>
      <c r="L226" s="1"/>
      <c r="M226" s="59">
        <f t="shared" si="54"/>
        <v>0</v>
      </c>
      <c r="N226" s="1"/>
      <c r="O226" s="1"/>
      <c r="P226" s="1"/>
      <c r="Q226" s="59">
        <f t="shared" ref="Q226" si="57">SUM(N226:P226)</f>
        <v>0</v>
      </c>
      <c r="R226" s="59">
        <f>+E226+I226+M226+Q226</f>
        <v>200</v>
      </c>
      <c r="S226" s="94"/>
    </row>
    <row r="227" spans="1:20" ht="15.75" customHeight="1" x14ac:dyDescent="0.3">
      <c r="A227" s="76" t="s">
        <v>215</v>
      </c>
      <c r="B227" s="1"/>
      <c r="C227" s="1">
        <v>200</v>
      </c>
      <c r="D227" s="1">
        <v>300</v>
      </c>
      <c r="E227" s="59">
        <f>SUM(B227:D227)</f>
        <v>500</v>
      </c>
      <c r="F227" s="1">
        <v>400</v>
      </c>
      <c r="G227" s="1"/>
      <c r="H227" s="1"/>
      <c r="I227" s="59">
        <f t="shared" ref="I227:I279" si="58">SUM(F227:H227)</f>
        <v>400</v>
      </c>
      <c r="J227" s="1"/>
      <c r="K227" s="1"/>
      <c r="L227" s="1"/>
      <c r="M227" s="59">
        <f t="shared" ref="M227:M279" si="59">SUM(J227:L227)</f>
        <v>0</v>
      </c>
      <c r="N227" s="1"/>
      <c r="O227" s="1"/>
      <c r="P227" s="1"/>
      <c r="Q227" s="59">
        <f t="shared" ref="Q227:Q279" si="60">SUM(N227:P227)</f>
        <v>0</v>
      </c>
      <c r="R227" s="59">
        <f t="shared" si="56"/>
        <v>900</v>
      </c>
      <c r="S227" s="4" t="s">
        <v>136</v>
      </c>
    </row>
    <row r="228" spans="1:20" ht="15.75" customHeight="1" x14ac:dyDescent="0.3">
      <c r="A228" s="103" t="s">
        <v>216</v>
      </c>
      <c r="B228" s="1">
        <v>750</v>
      </c>
      <c r="C228" s="1"/>
      <c r="D228" s="1"/>
      <c r="E228" s="59">
        <f t="shared" ref="E228" si="61">SUM(B228:D228)</f>
        <v>750</v>
      </c>
      <c r="F228" s="1"/>
      <c r="G228" s="1"/>
      <c r="H228" s="1"/>
      <c r="I228" s="59">
        <f t="shared" si="58"/>
        <v>0</v>
      </c>
      <c r="J228" s="1"/>
      <c r="K228" s="1"/>
      <c r="L228" s="1"/>
      <c r="M228" s="59">
        <f t="shared" si="59"/>
        <v>0</v>
      </c>
      <c r="N228" s="1"/>
      <c r="O228" s="1"/>
      <c r="P228" s="1"/>
      <c r="Q228" s="59">
        <f t="shared" si="60"/>
        <v>0</v>
      </c>
      <c r="R228" s="59">
        <f>+E228+I228+M228+Q228</f>
        <v>750</v>
      </c>
      <c r="T228" s="4" t="s">
        <v>217</v>
      </c>
    </row>
    <row r="229" spans="1:20" ht="15.75" customHeight="1" x14ac:dyDescent="0.3">
      <c r="A229" s="76" t="s">
        <v>218</v>
      </c>
      <c r="B229" s="1">
        <v>682</v>
      </c>
      <c r="C229" s="1"/>
      <c r="D229" s="1"/>
      <c r="E229" s="59">
        <f>SUM(B229:D229)</f>
        <v>682</v>
      </c>
      <c r="F229" s="1"/>
      <c r="G229" s="1"/>
      <c r="H229" s="1"/>
      <c r="I229" s="59">
        <f>SUM(F229:H229)</f>
        <v>0</v>
      </c>
      <c r="J229" s="1"/>
      <c r="K229" s="1"/>
      <c r="L229" s="1"/>
      <c r="M229" s="59">
        <f>SUM(J229:L229)</f>
        <v>0</v>
      </c>
      <c r="N229" s="1"/>
      <c r="O229" s="1"/>
      <c r="P229" s="1"/>
      <c r="Q229" s="59">
        <f>SUM(N229:P229)</f>
        <v>0</v>
      </c>
      <c r="R229" s="59">
        <f t="shared" si="56"/>
        <v>682</v>
      </c>
      <c r="T229" s="4" t="s">
        <v>158</v>
      </c>
    </row>
    <row r="230" spans="1:20" ht="15.75" customHeight="1" x14ac:dyDescent="0.3">
      <c r="A230" s="102" t="s">
        <v>219</v>
      </c>
      <c r="B230" s="1"/>
      <c r="C230" s="1"/>
      <c r="D230" s="1"/>
      <c r="E230" s="59">
        <f>SUM(B230:D230)</f>
        <v>0</v>
      </c>
      <c r="F230" s="1"/>
      <c r="G230" s="1"/>
      <c r="H230" s="1"/>
      <c r="I230" s="59">
        <f>SUM(F230:H230)</f>
        <v>0</v>
      </c>
      <c r="J230" s="1"/>
      <c r="K230" s="1"/>
      <c r="L230" s="1"/>
      <c r="M230" s="59">
        <f>SUM(J230:L230)</f>
        <v>0</v>
      </c>
      <c r="N230" s="1"/>
      <c r="O230" s="1"/>
      <c r="P230" s="1"/>
      <c r="Q230" s="59">
        <f>SUM(N230:P230)</f>
        <v>0</v>
      </c>
      <c r="R230" s="59">
        <f t="shared" si="56"/>
        <v>0</v>
      </c>
    </row>
    <row r="231" spans="1:20" ht="15.75" customHeight="1" x14ac:dyDescent="0.3">
      <c r="A231" s="76" t="s">
        <v>220</v>
      </c>
      <c r="B231" s="1"/>
      <c r="C231" s="1"/>
      <c r="D231" s="1"/>
      <c r="E231" s="59">
        <f t="shared" ref="E231:E271" si="62">SUM(B231:D231)</f>
        <v>0</v>
      </c>
      <c r="F231" s="1"/>
      <c r="G231" s="1"/>
      <c r="H231" s="1"/>
      <c r="I231" s="59">
        <f t="shared" si="58"/>
        <v>0</v>
      </c>
      <c r="J231" s="1"/>
      <c r="K231" s="1"/>
      <c r="L231" s="1"/>
      <c r="M231" s="59">
        <f t="shared" si="59"/>
        <v>0</v>
      </c>
      <c r="N231" s="1"/>
      <c r="O231" s="1"/>
      <c r="P231" s="1"/>
      <c r="Q231" s="59">
        <f t="shared" si="60"/>
        <v>0</v>
      </c>
      <c r="R231" s="59">
        <f t="shared" si="56"/>
        <v>0</v>
      </c>
    </row>
    <row r="232" spans="1:20" ht="15.75" customHeight="1" x14ac:dyDescent="0.3">
      <c r="A232" s="76" t="s">
        <v>221</v>
      </c>
      <c r="B232" s="1">
        <v>23</v>
      </c>
      <c r="C232" s="1"/>
      <c r="D232" s="1"/>
      <c r="E232" s="59">
        <f t="shared" si="62"/>
        <v>23</v>
      </c>
      <c r="F232" s="1"/>
      <c r="G232" s="1"/>
      <c r="H232" s="1"/>
      <c r="I232" s="59">
        <f t="shared" si="58"/>
        <v>0</v>
      </c>
      <c r="J232" s="1"/>
      <c r="K232" s="1"/>
      <c r="L232" s="1"/>
      <c r="M232" s="59">
        <f t="shared" si="59"/>
        <v>0</v>
      </c>
      <c r="N232" s="1"/>
      <c r="O232" s="1"/>
      <c r="P232" s="1"/>
      <c r="Q232" s="59">
        <f t="shared" si="60"/>
        <v>0</v>
      </c>
      <c r="R232" s="59">
        <f t="shared" si="56"/>
        <v>23</v>
      </c>
    </row>
    <row r="233" spans="1:20" ht="15.75" customHeight="1" x14ac:dyDescent="0.3">
      <c r="A233" s="76" t="s">
        <v>222</v>
      </c>
      <c r="B233" s="1">
        <v>23</v>
      </c>
      <c r="C233" s="1"/>
      <c r="D233" s="1"/>
      <c r="E233" s="59">
        <f t="shared" si="62"/>
        <v>23</v>
      </c>
      <c r="F233" s="1"/>
      <c r="G233" s="1"/>
      <c r="H233" s="1"/>
      <c r="I233" s="59">
        <f t="shared" si="58"/>
        <v>0</v>
      </c>
      <c r="J233" s="1"/>
      <c r="K233" s="1"/>
      <c r="L233" s="1"/>
      <c r="M233" s="59">
        <f t="shared" si="59"/>
        <v>0</v>
      </c>
      <c r="N233" s="1"/>
      <c r="O233" s="1"/>
      <c r="P233" s="1"/>
      <c r="Q233" s="59">
        <f t="shared" si="60"/>
        <v>0</v>
      </c>
      <c r="R233" s="59">
        <f t="shared" si="56"/>
        <v>23</v>
      </c>
      <c r="S233" s="4" t="s">
        <v>136</v>
      </c>
      <c r="T233" s="4" t="s">
        <v>137</v>
      </c>
    </row>
    <row r="234" spans="1:20" ht="15.75" customHeight="1" x14ac:dyDescent="0.3">
      <c r="A234" s="76" t="s">
        <v>223</v>
      </c>
      <c r="B234" s="1"/>
      <c r="C234" s="1"/>
      <c r="D234" s="1"/>
      <c r="E234" s="59">
        <f t="shared" si="62"/>
        <v>0</v>
      </c>
      <c r="F234" s="1"/>
      <c r="G234" s="1"/>
      <c r="H234" s="1"/>
      <c r="I234" s="59">
        <f t="shared" si="58"/>
        <v>0</v>
      </c>
      <c r="J234" s="1"/>
      <c r="K234" s="1"/>
      <c r="L234" s="1"/>
      <c r="M234" s="59">
        <f t="shared" si="59"/>
        <v>0</v>
      </c>
      <c r="N234" s="1"/>
      <c r="O234" s="1"/>
      <c r="P234" s="1"/>
      <c r="Q234" s="59">
        <f t="shared" si="60"/>
        <v>0</v>
      </c>
      <c r="R234" s="59">
        <f t="shared" si="56"/>
        <v>0</v>
      </c>
      <c r="S234" s="4" t="s">
        <v>136</v>
      </c>
      <c r="T234" s="4" t="s">
        <v>137</v>
      </c>
    </row>
    <row r="235" spans="1:20" ht="15.75" customHeight="1" x14ac:dyDescent="0.3">
      <c r="A235" s="76" t="s">
        <v>224</v>
      </c>
      <c r="B235" s="1"/>
      <c r="C235" s="1"/>
      <c r="D235" s="1"/>
      <c r="E235" s="59">
        <f t="shared" si="62"/>
        <v>0</v>
      </c>
      <c r="G235" s="1"/>
      <c r="H235" s="1"/>
      <c r="I235" s="59">
        <f t="shared" si="58"/>
        <v>0</v>
      </c>
      <c r="J235" s="1"/>
      <c r="K235" s="1">
        <v>4285</v>
      </c>
      <c r="L235" s="1">
        <v>15</v>
      </c>
      <c r="M235" s="59">
        <f t="shared" si="59"/>
        <v>4300</v>
      </c>
      <c r="N235" s="1"/>
      <c r="O235" s="1"/>
      <c r="P235" s="1"/>
      <c r="Q235" s="59">
        <f t="shared" si="60"/>
        <v>0</v>
      </c>
      <c r="R235" s="59">
        <f t="shared" si="56"/>
        <v>4300</v>
      </c>
    </row>
    <row r="236" spans="1:20" ht="15.75" customHeight="1" x14ac:dyDescent="0.3">
      <c r="A236" s="76" t="s">
        <v>225</v>
      </c>
      <c r="B236" s="1"/>
      <c r="C236" s="1"/>
      <c r="D236" s="1"/>
      <c r="E236" s="59">
        <f t="shared" si="62"/>
        <v>0</v>
      </c>
      <c r="H236" s="1"/>
      <c r="I236" s="59">
        <f t="shared" si="58"/>
        <v>0</v>
      </c>
      <c r="J236" s="1"/>
      <c r="K236" s="1"/>
      <c r="L236" s="1"/>
      <c r="M236" s="59">
        <f t="shared" si="59"/>
        <v>0</v>
      </c>
      <c r="N236" s="1"/>
      <c r="O236" s="1"/>
      <c r="P236" s="1"/>
      <c r="Q236" s="59">
        <f t="shared" si="60"/>
        <v>0</v>
      </c>
      <c r="R236" s="59">
        <f t="shared" si="56"/>
        <v>0</v>
      </c>
    </row>
    <row r="237" spans="1:20" ht="15.75" customHeight="1" x14ac:dyDescent="0.3">
      <c r="A237" s="102" t="s">
        <v>226</v>
      </c>
      <c r="B237" s="1"/>
      <c r="C237" s="1"/>
      <c r="D237" s="1"/>
      <c r="E237" s="59">
        <f t="shared" si="62"/>
        <v>0</v>
      </c>
      <c r="F237" s="1"/>
      <c r="G237" s="1"/>
      <c r="H237" s="1"/>
      <c r="I237" s="59">
        <f t="shared" si="58"/>
        <v>0</v>
      </c>
      <c r="J237" s="1"/>
      <c r="K237" s="1"/>
      <c r="L237" s="1"/>
      <c r="M237" s="59">
        <f t="shared" si="59"/>
        <v>0</v>
      </c>
      <c r="N237" s="1"/>
      <c r="O237" s="1"/>
      <c r="P237" s="1"/>
      <c r="Q237" s="59">
        <f t="shared" si="60"/>
        <v>0</v>
      </c>
      <c r="R237" s="59">
        <f t="shared" si="56"/>
        <v>0</v>
      </c>
      <c r="T237" s="4" t="s">
        <v>121</v>
      </c>
    </row>
    <row r="238" spans="1:20" ht="15.75" customHeight="1" x14ac:dyDescent="0.3">
      <c r="A238" s="76" t="s">
        <v>227</v>
      </c>
      <c r="B238" s="1"/>
      <c r="C238" s="1"/>
      <c r="D238" s="1"/>
      <c r="E238" s="59">
        <f t="shared" si="62"/>
        <v>0</v>
      </c>
      <c r="F238" s="1"/>
      <c r="G238" s="1"/>
      <c r="H238" s="1"/>
      <c r="I238" s="59">
        <f t="shared" si="58"/>
        <v>0</v>
      </c>
      <c r="J238" s="1"/>
      <c r="K238" s="1"/>
      <c r="L238" s="1"/>
      <c r="M238" s="59">
        <f t="shared" si="59"/>
        <v>0</v>
      </c>
      <c r="N238" s="1"/>
      <c r="O238" s="1"/>
      <c r="P238" s="1"/>
      <c r="Q238" s="59">
        <f>SUM(N238:P238)</f>
        <v>0</v>
      </c>
      <c r="R238" s="59">
        <f>+E238+I238+M238+Q238</f>
        <v>0</v>
      </c>
      <c r="S238" s="94"/>
      <c r="T238" s="4" t="s">
        <v>137</v>
      </c>
    </row>
    <row r="239" spans="1:20" ht="15.75" customHeight="1" x14ac:dyDescent="0.3">
      <c r="A239" s="102" t="s">
        <v>228</v>
      </c>
      <c r="B239" s="1"/>
      <c r="C239" s="1"/>
      <c r="D239" s="1"/>
      <c r="E239" s="59">
        <f>SUM(B239:D239)</f>
        <v>0</v>
      </c>
      <c r="F239" s="1"/>
      <c r="G239" s="1"/>
      <c r="H239" s="1"/>
      <c r="I239" s="59">
        <f t="shared" si="58"/>
        <v>0</v>
      </c>
      <c r="J239" s="1"/>
      <c r="K239" s="1"/>
      <c r="L239" s="1"/>
      <c r="M239" s="59">
        <f t="shared" si="59"/>
        <v>0</v>
      </c>
      <c r="N239" s="1"/>
      <c r="O239" s="1"/>
      <c r="P239" s="1"/>
      <c r="Q239" s="59">
        <f t="shared" si="60"/>
        <v>0</v>
      </c>
      <c r="R239" s="59">
        <f t="shared" si="56"/>
        <v>0</v>
      </c>
    </row>
    <row r="240" spans="1:20" ht="15.75" customHeight="1" x14ac:dyDescent="0.3">
      <c r="A240" s="102" t="s">
        <v>229</v>
      </c>
      <c r="B240" s="1"/>
      <c r="C240" s="1"/>
      <c r="D240" s="1"/>
      <c r="E240" s="59">
        <f t="shared" si="62"/>
        <v>0</v>
      </c>
      <c r="F240" s="1"/>
      <c r="G240" s="1"/>
      <c r="H240" s="1"/>
      <c r="I240" s="59">
        <f t="shared" si="58"/>
        <v>0</v>
      </c>
      <c r="J240" s="1"/>
      <c r="K240" s="1"/>
      <c r="L240" s="1"/>
      <c r="M240" s="59">
        <f t="shared" si="59"/>
        <v>0</v>
      </c>
      <c r="N240" s="1"/>
      <c r="O240" s="1"/>
      <c r="P240" s="1"/>
      <c r="Q240" s="59">
        <f t="shared" si="60"/>
        <v>0</v>
      </c>
      <c r="R240" s="59">
        <f t="shared" si="56"/>
        <v>0</v>
      </c>
    </row>
    <row r="241" spans="1:21" ht="15.75" customHeight="1" x14ac:dyDescent="0.3">
      <c r="A241" s="102" t="s">
        <v>231</v>
      </c>
      <c r="B241" s="1">
        <v>1700</v>
      </c>
      <c r="C241" s="1">
        <v>1000</v>
      </c>
      <c r="D241" s="1">
        <v>36</v>
      </c>
      <c r="E241" s="59">
        <f t="shared" ref="E241:E242" si="63">SUM(B241:D241)</f>
        <v>2736</v>
      </c>
      <c r="F241" s="1"/>
      <c r="G241" s="1"/>
      <c r="H241" s="1"/>
      <c r="I241" s="59">
        <f t="shared" si="58"/>
        <v>0</v>
      </c>
      <c r="J241" s="1"/>
      <c r="K241" s="1"/>
      <c r="L241" s="1"/>
      <c r="M241" s="59">
        <f t="shared" si="59"/>
        <v>0</v>
      </c>
      <c r="N241" s="1"/>
      <c r="O241" s="1"/>
      <c r="P241" s="1"/>
      <c r="Q241" s="59">
        <f t="shared" si="60"/>
        <v>0</v>
      </c>
      <c r="R241" s="59">
        <f t="shared" si="56"/>
        <v>2736</v>
      </c>
    </row>
    <row r="242" spans="1:21" ht="15.75" customHeight="1" x14ac:dyDescent="0.3">
      <c r="A242" s="102" t="s">
        <v>232</v>
      </c>
      <c r="B242" s="1"/>
      <c r="C242" s="1"/>
      <c r="D242" s="1"/>
      <c r="E242" s="59">
        <f t="shared" si="63"/>
        <v>0</v>
      </c>
      <c r="F242" s="1"/>
      <c r="G242" s="1"/>
      <c r="H242" s="1"/>
      <c r="I242" s="59">
        <f t="shared" si="58"/>
        <v>0</v>
      </c>
      <c r="J242" s="1"/>
      <c r="K242" s="1"/>
      <c r="L242" s="1"/>
      <c r="M242" s="59">
        <f t="shared" si="59"/>
        <v>0</v>
      </c>
      <c r="N242" s="1"/>
      <c r="O242" s="1"/>
      <c r="P242" s="1"/>
      <c r="Q242" s="59">
        <f t="shared" si="60"/>
        <v>0</v>
      </c>
      <c r="R242" s="59">
        <f t="shared" si="56"/>
        <v>0</v>
      </c>
    </row>
    <row r="243" spans="1:21" ht="15.75" customHeight="1" x14ac:dyDescent="0.3">
      <c r="A243" s="76" t="s">
        <v>233</v>
      </c>
      <c r="B243" s="1">
        <v>781</v>
      </c>
      <c r="C243" s="1">
        <v>735</v>
      </c>
      <c r="D243" s="1">
        <v>797</v>
      </c>
      <c r="E243" s="59">
        <f>SUM(B243:D243)</f>
        <v>2313</v>
      </c>
      <c r="F243" s="1">
        <v>879</v>
      </c>
      <c r="G243" s="1">
        <v>1041</v>
      </c>
      <c r="H243" s="1">
        <v>31</v>
      </c>
      <c r="I243" s="59">
        <f t="shared" ref="I243" si="64">SUM(F243:H243)</f>
        <v>1951</v>
      </c>
      <c r="J243" s="1"/>
      <c r="K243" s="1"/>
      <c r="L243" s="1"/>
      <c r="M243" s="59">
        <f t="shared" si="59"/>
        <v>0</v>
      </c>
      <c r="N243" s="1"/>
      <c r="O243" s="1"/>
      <c r="P243" s="1"/>
      <c r="Q243" s="59">
        <f t="shared" si="60"/>
        <v>0</v>
      </c>
      <c r="R243" s="59">
        <f t="shared" si="56"/>
        <v>4264</v>
      </c>
    </row>
    <row r="244" spans="1:21" ht="15.75" customHeight="1" x14ac:dyDescent="0.3">
      <c r="A244" s="91" t="s">
        <v>234</v>
      </c>
      <c r="B244" s="1"/>
      <c r="C244" s="1"/>
      <c r="D244" s="1"/>
      <c r="E244" s="59">
        <f>SUM(B244:D244)</f>
        <v>0</v>
      </c>
      <c r="F244" s="1"/>
      <c r="G244" s="1"/>
      <c r="H244" s="1"/>
      <c r="I244" s="59">
        <f t="shared" si="58"/>
        <v>0</v>
      </c>
      <c r="J244" s="1"/>
      <c r="K244" s="1"/>
      <c r="L244" s="1"/>
      <c r="M244" s="59">
        <f t="shared" si="59"/>
        <v>0</v>
      </c>
      <c r="N244" s="1"/>
      <c r="O244" s="1"/>
      <c r="P244" s="1"/>
      <c r="Q244" s="59">
        <f t="shared" si="60"/>
        <v>0</v>
      </c>
      <c r="R244" s="59">
        <f t="shared" si="56"/>
        <v>0</v>
      </c>
    </row>
    <row r="245" spans="1:21" ht="15.75" customHeight="1" x14ac:dyDescent="0.3">
      <c r="A245" s="91" t="s">
        <v>235</v>
      </c>
      <c r="B245" s="1"/>
      <c r="C245" s="1"/>
      <c r="D245" s="1"/>
      <c r="E245" s="59">
        <f>SUM(B245:D245)</f>
        <v>0</v>
      </c>
      <c r="F245" s="1"/>
      <c r="G245" s="1"/>
      <c r="H245" s="1"/>
      <c r="I245" s="59">
        <f t="shared" si="58"/>
        <v>0</v>
      </c>
      <c r="J245" s="1"/>
      <c r="K245" s="1"/>
      <c r="L245" s="1"/>
      <c r="M245" s="59">
        <f t="shared" si="59"/>
        <v>0</v>
      </c>
      <c r="N245" s="1"/>
      <c r="O245" s="1"/>
      <c r="P245" s="1"/>
      <c r="Q245" s="59">
        <f t="shared" si="60"/>
        <v>0</v>
      </c>
      <c r="R245" s="59">
        <f t="shared" si="56"/>
        <v>0</v>
      </c>
    </row>
    <row r="246" spans="1:21" ht="15.75" customHeight="1" x14ac:dyDescent="0.3">
      <c r="A246" s="91" t="s">
        <v>236</v>
      </c>
      <c r="B246" s="1"/>
      <c r="C246" s="1"/>
      <c r="D246" s="1"/>
      <c r="E246" s="59">
        <f>SUM(B246:D246)</f>
        <v>0</v>
      </c>
      <c r="F246" s="1"/>
      <c r="G246" s="1"/>
      <c r="H246" s="1"/>
      <c r="I246" s="59">
        <f t="shared" si="58"/>
        <v>0</v>
      </c>
      <c r="J246" s="1"/>
      <c r="K246" s="1"/>
      <c r="L246" s="1"/>
      <c r="M246" s="59">
        <f t="shared" si="59"/>
        <v>0</v>
      </c>
      <c r="N246" s="1"/>
      <c r="O246" s="1"/>
      <c r="P246" s="1"/>
      <c r="Q246" s="59">
        <f t="shared" si="60"/>
        <v>0</v>
      </c>
      <c r="R246" s="59">
        <f t="shared" si="56"/>
        <v>0</v>
      </c>
      <c r="T246" s="4" t="s">
        <v>121</v>
      </c>
    </row>
    <row r="247" spans="1:21" ht="15.75" customHeight="1" x14ac:dyDescent="0.3">
      <c r="A247" s="76" t="s">
        <v>237</v>
      </c>
      <c r="B247" s="1"/>
      <c r="C247" s="1"/>
      <c r="D247" s="1"/>
      <c r="E247" s="59">
        <f t="shared" ref="E247:E250" si="65">SUM(B247:D247)</f>
        <v>0</v>
      </c>
      <c r="F247" s="1"/>
      <c r="G247" s="1"/>
      <c r="H247" s="1"/>
      <c r="I247" s="59">
        <f>SUM(F247:H247)</f>
        <v>0</v>
      </c>
      <c r="J247" s="1"/>
      <c r="K247" s="1"/>
      <c r="L247" s="1">
        <v>1590</v>
      </c>
      <c r="M247" s="59">
        <f t="shared" ref="M247:M248" si="66">SUM(J247:L247)</f>
        <v>1590</v>
      </c>
      <c r="N247" s="1">
        <f>1209+555</f>
        <v>1764</v>
      </c>
      <c r="O247" s="1">
        <f>1209+486</f>
        <v>1695</v>
      </c>
      <c r="P247" s="1">
        <f>1209+640</f>
        <v>1849</v>
      </c>
      <c r="Q247" s="59">
        <f t="shared" ref="Q247:Q248" si="67">SUM(N247:P247)</f>
        <v>5308</v>
      </c>
      <c r="R247" s="59">
        <f t="shared" si="56"/>
        <v>6898</v>
      </c>
      <c r="S247" s="105" t="s">
        <v>136</v>
      </c>
    </row>
    <row r="248" spans="1:21" ht="15.75" customHeight="1" x14ac:dyDescent="0.3">
      <c r="A248" s="76" t="s">
        <v>238</v>
      </c>
      <c r="B248" s="1"/>
      <c r="C248" s="1"/>
      <c r="D248" s="1"/>
      <c r="E248" s="59">
        <f t="shared" si="65"/>
        <v>0</v>
      </c>
      <c r="F248" s="1"/>
      <c r="G248" s="1"/>
      <c r="H248" s="1"/>
      <c r="I248" s="59">
        <f>SUM(F248:H248)</f>
        <v>0</v>
      </c>
      <c r="J248" s="1"/>
      <c r="K248" s="1"/>
      <c r="L248" s="1"/>
      <c r="M248" s="59">
        <f t="shared" si="66"/>
        <v>0</v>
      </c>
      <c r="N248" s="1"/>
      <c r="O248" s="1"/>
      <c r="P248" s="1"/>
      <c r="Q248" s="59">
        <f t="shared" si="67"/>
        <v>0</v>
      </c>
      <c r="R248" s="59">
        <f t="shared" si="56"/>
        <v>0</v>
      </c>
      <c r="S248" s="4" t="s">
        <v>136</v>
      </c>
    </row>
    <row r="249" spans="1:21" ht="15.75" customHeight="1" x14ac:dyDescent="0.3">
      <c r="A249" s="76" t="s">
        <v>239</v>
      </c>
      <c r="B249" s="1"/>
      <c r="C249" s="1"/>
      <c r="D249" s="1"/>
      <c r="E249" s="59">
        <f t="shared" si="65"/>
        <v>0</v>
      </c>
      <c r="F249" s="1">
        <f>1880+276+102+46</f>
        <v>2304</v>
      </c>
      <c r="G249" s="1">
        <f>5574+476+114+52</f>
        <v>6216</v>
      </c>
      <c r="H249" s="1">
        <v>3152</v>
      </c>
      <c r="I249" s="59">
        <f t="shared" si="58"/>
        <v>11672</v>
      </c>
      <c r="J249" s="1"/>
      <c r="K249" s="1"/>
      <c r="L249" s="1"/>
      <c r="M249" s="59">
        <f t="shared" si="59"/>
        <v>0</v>
      </c>
      <c r="N249" s="1"/>
      <c r="O249" s="1"/>
      <c r="P249" s="1"/>
      <c r="Q249" s="59">
        <f t="shared" si="60"/>
        <v>0</v>
      </c>
      <c r="R249" s="59">
        <f t="shared" si="56"/>
        <v>11672</v>
      </c>
      <c r="S249" s="4" t="s">
        <v>136</v>
      </c>
    </row>
    <row r="250" spans="1:21" ht="15.75" customHeight="1" x14ac:dyDescent="0.3">
      <c r="A250" s="76" t="s">
        <v>240</v>
      </c>
      <c r="B250" s="1"/>
      <c r="C250" s="1"/>
      <c r="D250" s="1"/>
      <c r="E250" s="59">
        <f t="shared" si="65"/>
        <v>0</v>
      </c>
      <c r="F250" s="1">
        <v>164</v>
      </c>
      <c r="G250" s="1">
        <v>164</v>
      </c>
      <c r="H250" s="1"/>
      <c r="I250" s="59">
        <f t="shared" si="58"/>
        <v>328</v>
      </c>
      <c r="J250" s="1"/>
      <c r="K250" s="1"/>
      <c r="L250" s="1"/>
      <c r="M250" s="59">
        <f t="shared" si="59"/>
        <v>0</v>
      </c>
      <c r="N250" s="1"/>
      <c r="O250" s="1"/>
      <c r="P250" s="1"/>
      <c r="Q250" s="59">
        <f>SUM(N250:P250)</f>
        <v>0</v>
      </c>
      <c r="R250" s="59">
        <f t="shared" si="56"/>
        <v>328</v>
      </c>
    </row>
    <row r="251" spans="1:21" ht="15.75" customHeight="1" x14ac:dyDescent="0.3">
      <c r="A251" s="76" t="s">
        <v>241</v>
      </c>
      <c r="B251" s="1"/>
      <c r="C251" s="1"/>
      <c r="D251" s="1"/>
      <c r="E251" s="59">
        <f>SUM(B251:D251)</f>
        <v>0</v>
      </c>
      <c r="F251" s="1"/>
      <c r="G251" s="1">
        <v>2586</v>
      </c>
      <c r="H251" s="1"/>
      <c r="I251" s="59">
        <f t="shared" si="58"/>
        <v>2586</v>
      </c>
      <c r="J251" s="1"/>
      <c r="K251" s="1"/>
      <c r="L251" s="1"/>
      <c r="M251" s="59">
        <f t="shared" si="59"/>
        <v>0</v>
      </c>
      <c r="N251" s="1"/>
      <c r="O251" s="1"/>
      <c r="P251" s="1"/>
      <c r="Q251" s="59">
        <f t="shared" si="60"/>
        <v>0</v>
      </c>
      <c r="R251" s="59">
        <f t="shared" si="56"/>
        <v>2586</v>
      </c>
      <c r="S251" s="4" t="s">
        <v>136</v>
      </c>
      <c r="T251" s="4" t="s">
        <v>137</v>
      </c>
    </row>
    <row r="252" spans="1:21" ht="15.75" customHeight="1" x14ac:dyDescent="0.3">
      <c r="A252" s="76" t="s">
        <v>242</v>
      </c>
      <c r="B252" s="1"/>
      <c r="C252" s="1"/>
      <c r="D252" s="1"/>
      <c r="E252" s="59">
        <f t="shared" ref="E252" si="68">SUM(B252:D252)</f>
        <v>0</v>
      </c>
      <c r="F252" s="1"/>
      <c r="G252" s="1"/>
      <c r="H252" s="1"/>
      <c r="I252" s="59">
        <f t="shared" si="58"/>
        <v>0</v>
      </c>
      <c r="J252" s="1"/>
      <c r="K252" s="1"/>
      <c r="L252" s="1"/>
      <c r="M252" s="59">
        <f t="shared" si="59"/>
        <v>0</v>
      </c>
      <c r="N252" s="1"/>
      <c r="O252" s="1"/>
      <c r="P252" s="1"/>
      <c r="Q252" s="59">
        <f t="shared" si="60"/>
        <v>0</v>
      </c>
      <c r="R252" s="59">
        <f t="shared" si="56"/>
        <v>0</v>
      </c>
      <c r="S252" s="106" t="s">
        <v>136</v>
      </c>
      <c r="T252" s="106" t="s">
        <v>137</v>
      </c>
      <c r="U252" s="106"/>
    </row>
    <row r="253" spans="1:21" ht="15.75" customHeight="1" x14ac:dyDescent="0.3">
      <c r="A253" s="76" t="s">
        <v>243</v>
      </c>
      <c r="B253" s="1"/>
      <c r="C253" s="1"/>
      <c r="D253" s="1">
        <v>1514</v>
      </c>
      <c r="E253" s="59">
        <f>SUM(B253:D253)</f>
        <v>1514</v>
      </c>
      <c r="F253" s="1"/>
      <c r="G253" s="1"/>
      <c r="H253" s="1"/>
      <c r="I253" s="59">
        <f>SUM(F253:H253)</f>
        <v>0</v>
      </c>
      <c r="J253" s="1"/>
      <c r="K253" s="1"/>
      <c r="L253" s="1"/>
      <c r="M253" s="59">
        <f t="shared" si="59"/>
        <v>0</v>
      </c>
      <c r="N253" s="1"/>
      <c r="O253" s="1"/>
      <c r="P253" s="1"/>
      <c r="Q253" s="59">
        <f t="shared" si="60"/>
        <v>0</v>
      </c>
      <c r="R253" s="59">
        <f t="shared" si="56"/>
        <v>1514</v>
      </c>
      <c r="T253" s="4" t="s">
        <v>244</v>
      </c>
    </row>
    <row r="254" spans="1:21" ht="15.75" customHeight="1" x14ac:dyDescent="0.3">
      <c r="A254" s="91" t="s">
        <v>245</v>
      </c>
      <c r="B254" s="1"/>
      <c r="C254" s="1"/>
      <c r="D254" s="1">
        <v>300</v>
      </c>
      <c r="E254" s="59">
        <f>SUM(B254:D254)</f>
        <v>300</v>
      </c>
      <c r="F254" s="1"/>
      <c r="G254" s="1"/>
      <c r="H254" s="1"/>
      <c r="I254" s="59">
        <f>SUM(F254:H254)</f>
        <v>0</v>
      </c>
      <c r="J254" s="1"/>
      <c r="K254" s="1"/>
      <c r="L254" s="1"/>
      <c r="M254" s="59">
        <f t="shared" si="59"/>
        <v>0</v>
      </c>
      <c r="N254" s="1"/>
      <c r="O254" s="1"/>
      <c r="P254" s="1"/>
      <c r="Q254" s="59">
        <f>SUM(N254:P254)</f>
        <v>0</v>
      </c>
      <c r="R254" s="59">
        <f>+E254+I254+M254+Q254</f>
        <v>300</v>
      </c>
      <c r="T254" s="4" t="s">
        <v>134</v>
      </c>
    </row>
    <row r="255" spans="1:21" ht="15.75" customHeight="1" x14ac:dyDescent="0.3">
      <c r="A255" s="76" t="s">
        <v>246</v>
      </c>
      <c r="B255" s="1"/>
      <c r="C255" s="1"/>
      <c r="D255" s="1"/>
      <c r="E255" s="59">
        <f t="shared" si="62"/>
        <v>0</v>
      </c>
      <c r="F255" s="1"/>
      <c r="G255" s="1"/>
      <c r="H255" s="1"/>
      <c r="I255" s="59">
        <f t="shared" si="58"/>
        <v>0</v>
      </c>
      <c r="J255" s="1"/>
      <c r="K255" s="1"/>
      <c r="L255" s="1"/>
      <c r="M255" s="59">
        <f t="shared" si="59"/>
        <v>0</v>
      </c>
      <c r="N255" s="1"/>
      <c r="O255" s="1"/>
      <c r="P255" s="1"/>
      <c r="Q255" s="59">
        <f t="shared" si="60"/>
        <v>0</v>
      </c>
      <c r="R255" s="59">
        <f t="shared" si="56"/>
        <v>0</v>
      </c>
    </row>
    <row r="256" spans="1:21" ht="15.75" customHeight="1" x14ac:dyDescent="0.3">
      <c r="A256" s="76" t="s">
        <v>247</v>
      </c>
      <c r="B256" s="1"/>
      <c r="C256" s="1"/>
      <c r="D256" s="1"/>
      <c r="E256" s="59">
        <f t="shared" si="62"/>
        <v>0</v>
      </c>
      <c r="F256" s="1"/>
      <c r="G256" s="1"/>
      <c r="H256" s="1"/>
      <c r="I256" s="59">
        <f t="shared" si="58"/>
        <v>0</v>
      </c>
      <c r="J256" s="1"/>
      <c r="K256" s="1">
        <v>3023</v>
      </c>
      <c r="L256" s="1"/>
      <c r="M256" s="59">
        <f t="shared" si="59"/>
        <v>3023</v>
      </c>
      <c r="N256" s="1"/>
      <c r="O256" s="1"/>
      <c r="P256" s="1"/>
      <c r="Q256" s="59">
        <f t="shared" si="60"/>
        <v>0</v>
      </c>
      <c r="R256" s="59">
        <f t="shared" si="56"/>
        <v>3023</v>
      </c>
    </row>
    <row r="257" spans="1:20" ht="15.75" customHeight="1" x14ac:dyDescent="0.3">
      <c r="A257" s="76" t="s">
        <v>248</v>
      </c>
      <c r="B257" s="1">
        <v>60</v>
      </c>
      <c r="C257" s="1"/>
      <c r="D257" s="1"/>
      <c r="E257" s="59">
        <f t="shared" si="62"/>
        <v>60</v>
      </c>
      <c r="F257" s="1"/>
      <c r="G257" s="1"/>
      <c r="H257" s="1"/>
      <c r="I257" s="59">
        <f t="shared" si="58"/>
        <v>0</v>
      </c>
      <c r="J257" s="1"/>
      <c r="K257" s="1"/>
      <c r="L257" s="1"/>
      <c r="M257" s="59">
        <f t="shared" si="59"/>
        <v>0</v>
      </c>
      <c r="N257" s="1"/>
      <c r="O257" s="1"/>
      <c r="P257" s="1"/>
      <c r="Q257" s="59">
        <f t="shared" si="60"/>
        <v>0</v>
      </c>
      <c r="R257" s="59">
        <f t="shared" si="56"/>
        <v>60</v>
      </c>
    </row>
    <row r="258" spans="1:20" ht="15.75" customHeight="1" x14ac:dyDescent="0.3">
      <c r="A258" s="76" t="s">
        <v>249</v>
      </c>
      <c r="B258" s="1">
        <v>60</v>
      </c>
      <c r="C258" s="1"/>
      <c r="D258" s="1"/>
      <c r="E258" s="59">
        <f t="shared" si="62"/>
        <v>60</v>
      </c>
      <c r="F258" s="1"/>
      <c r="G258" s="1"/>
      <c r="H258" s="1"/>
      <c r="I258" s="59">
        <f t="shared" si="58"/>
        <v>0</v>
      </c>
      <c r="J258" s="1"/>
      <c r="K258" s="1"/>
      <c r="L258" s="1"/>
      <c r="M258" s="59">
        <f t="shared" si="59"/>
        <v>0</v>
      </c>
      <c r="N258" s="1"/>
      <c r="O258" s="1"/>
      <c r="P258" s="1"/>
      <c r="Q258" s="59">
        <f t="shared" si="60"/>
        <v>0</v>
      </c>
      <c r="R258" s="59">
        <f t="shared" si="56"/>
        <v>60</v>
      </c>
      <c r="S258" s="4" t="s">
        <v>136</v>
      </c>
      <c r="T258" s="4" t="s">
        <v>137</v>
      </c>
    </row>
    <row r="259" spans="1:20" ht="15.75" customHeight="1" x14ac:dyDescent="0.3">
      <c r="A259" s="76" t="s">
        <v>250</v>
      </c>
      <c r="B259" s="1"/>
      <c r="C259" s="1"/>
      <c r="D259" s="1"/>
      <c r="E259" s="59">
        <f t="shared" si="62"/>
        <v>0</v>
      </c>
      <c r="F259" s="1"/>
      <c r="G259" s="1">
        <v>250</v>
      </c>
      <c r="H259" s="1"/>
      <c r="I259" s="59">
        <f t="shared" si="58"/>
        <v>250</v>
      </c>
      <c r="J259" s="1"/>
      <c r="K259" s="1"/>
      <c r="L259" s="1"/>
      <c r="M259" s="59">
        <f t="shared" si="59"/>
        <v>0</v>
      </c>
      <c r="N259" s="1"/>
      <c r="O259" s="1"/>
      <c r="P259" s="1"/>
      <c r="Q259" s="59">
        <f t="shared" si="60"/>
        <v>0</v>
      </c>
      <c r="R259" s="59">
        <f t="shared" si="56"/>
        <v>250</v>
      </c>
      <c r="T259" s="4" t="s">
        <v>137</v>
      </c>
    </row>
    <row r="260" spans="1:20" ht="15.75" customHeight="1" x14ac:dyDescent="0.3">
      <c r="A260" s="76" t="s">
        <v>251</v>
      </c>
      <c r="B260" s="1">
        <v>518</v>
      </c>
      <c r="C260" s="1">
        <v>518</v>
      </c>
      <c r="D260" s="1">
        <v>725</v>
      </c>
      <c r="E260" s="59">
        <f t="shared" ref="E260" si="69">SUM(B260:D260)</f>
        <v>1761</v>
      </c>
      <c r="F260" s="1">
        <v>725</v>
      </c>
      <c r="G260" s="1">
        <v>725</v>
      </c>
      <c r="H260" s="1">
        <v>725</v>
      </c>
      <c r="I260" s="59">
        <f t="shared" ref="I260:I261" si="70">SUM(F260:H260)</f>
        <v>2175</v>
      </c>
      <c r="J260" s="1">
        <v>725</v>
      </c>
      <c r="K260" s="1">
        <v>725</v>
      </c>
      <c r="L260" s="1">
        <v>725</v>
      </c>
      <c r="M260" s="59">
        <f t="shared" ref="M260:M261" si="71">SUM(J260:L260)</f>
        <v>2175</v>
      </c>
      <c r="N260" s="1">
        <v>725</v>
      </c>
      <c r="O260" s="1">
        <v>725</v>
      </c>
      <c r="P260" s="1">
        <v>725</v>
      </c>
      <c r="Q260" s="59">
        <f t="shared" ref="Q260" si="72">SUM(N260:P260)</f>
        <v>2175</v>
      </c>
      <c r="R260" s="59">
        <f t="shared" si="56"/>
        <v>8286</v>
      </c>
      <c r="S260" s="4" t="s">
        <v>136</v>
      </c>
      <c r="T260" s="4" t="s">
        <v>137</v>
      </c>
    </row>
    <row r="261" spans="1:20" ht="15.75" customHeight="1" x14ac:dyDescent="0.3">
      <c r="A261" s="76" t="s">
        <v>252</v>
      </c>
      <c r="B261" s="1"/>
      <c r="C261" s="1"/>
      <c r="D261" s="1"/>
      <c r="E261" s="59">
        <f t="shared" si="62"/>
        <v>0</v>
      </c>
      <c r="F261" s="1">
        <v>1884</v>
      </c>
      <c r="G261" s="1">
        <v>3000</v>
      </c>
      <c r="H261" s="1">
        <v>5394</v>
      </c>
      <c r="I261" s="59">
        <f t="shared" si="70"/>
        <v>10278</v>
      </c>
      <c r="J261" s="1">
        <v>2000</v>
      </c>
      <c r="K261" s="1">
        <v>4250</v>
      </c>
      <c r="L261" s="1">
        <v>15000</v>
      </c>
      <c r="M261" s="59">
        <f t="shared" si="71"/>
        <v>21250</v>
      </c>
      <c r="N261" s="1">
        <v>7500</v>
      </c>
      <c r="O261" s="1"/>
      <c r="P261" s="1"/>
      <c r="Q261" s="59">
        <f t="shared" si="60"/>
        <v>7500</v>
      </c>
      <c r="R261" s="59">
        <f>+E261+I261+M261+Q261</f>
        <v>39028</v>
      </c>
      <c r="S261" s="94" t="s">
        <v>136</v>
      </c>
      <c r="T261" s="4" t="s">
        <v>137</v>
      </c>
    </row>
    <row r="262" spans="1:20" ht="15.75" customHeight="1" x14ac:dyDescent="0.3">
      <c r="A262" s="91" t="s">
        <v>253</v>
      </c>
      <c r="B262" s="1"/>
      <c r="C262" s="1"/>
      <c r="D262" s="1"/>
      <c r="E262" s="59">
        <f t="shared" si="62"/>
        <v>0</v>
      </c>
      <c r="F262" s="1"/>
      <c r="G262" s="1"/>
      <c r="H262" s="1"/>
      <c r="I262" s="59">
        <f t="shared" si="58"/>
        <v>0</v>
      </c>
      <c r="J262" s="1"/>
      <c r="K262" s="1"/>
      <c r="L262" s="1"/>
      <c r="M262" s="59">
        <f t="shared" si="59"/>
        <v>0</v>
      </c>
      <c r="N262" s="1"/>
      <c r="O262" s="1"/>
      <c r="P262" s="1"/>
      <c r="Q262" s="59">
        <f>SUM(N262:P262)</f>
        <v>0</v>
      </c>
      <c r="R262" s="59">
        <f t="shared" si="56"/>
        <v>0</v>
      </c>
      <c r="T262" s="4" t="s">
        <v>132</v>
      </c>
    </row>
    <row r="263" spans="1:20" ht="15.75" customHeight="1" x14ac:dyDescent="0.3">
      <c r="A263" s="91" t="s">
        <v>254</v>
      </c>
      <c r="B263" s="1"/>
      <c r="C263" s="1"/>
      <c r="D263" s="1"/>
      <c r="E263" s="59">
        <f>SUM(B263:D263)</f>
        <v>0</v>
      </c>
      <c r="F263" s="1"/>
      <c r="G263" s="1"/>
      <c r="H263" s="1"/>
      <c r="I263" s="59">
        <f t="shared" ref="I263:I264" si="73">SUM(F263:H263)</f>
        <v>0</v>
      </c>
      <c r="J263" s="1">
        <v>1000</v>
      </c>
      <c r="K263" s="1">
        <v>1000</v>
      </c>
      <c r="L263" s="1">
        <v>1000</v>
      </c>
      <c r="M263" s="59">
        <f t="shared" ref="M263" si="74">SUM(J263:L263)</f>
        <v>3000</v>
      </c>
      <c r="N263" s="1">
        <v>730</v>
      </c>
      <c r="O263" s="1"/>
      <c r="P263" s="1"/>
      <c r="Q263" s="59">
        <f>SUM(N263:P263)</f>
        <v>730</v>
      </c>
      <c r="R263" s="59">
        <f t="shared" si="56"/>
        <v>3730</v>
      </c>
      <c r="T263" s="4" t="s">
        <v>134</v>
      </c>
    </row>
    <row r="264" spans="1:20" ht="15.75" customHeight="1" x14ac:dyDescent="0.3">
      <c r="A264" s="76" t="s">
        <v>255</v>
      </c>
      <c r="B264" s="1"/>
      <c r="C264" s="1"/>
      <c r="D264" s="1"/>
      <c r="E264" s="59">
        <f>SUM(B264:D264)</f>
        <v>0</v>
      </c>
      <c r="F264" s="1"/>
      <c r="G264" s="1">
        <v>1090</v>
      </c>
      <c r="H264" s="1">
        <v>700</v>
      </c>
      <c r="I264" s="59">
        <f t="shared" si="73"/>
        <v>1790</v>
      </c>
      <c r="J264" s="1">
        <v>500</v>
      </c>
      <c r="K264" s="1"/>
      <c r="L264" s="1"/>
      <c r="M264" s="59">
        <f>SUM(J264:L264)</f>
        <v>500</v>
      </c>
      <c r="N264" s="1"/>
      <c r="O264" s="1"/>
      <c r="P264" s="1"/>
      <c r="Q264" s="59">
        <f t="shared" si="60"/>
        <v>0</v>
      </c>
      <c r="R264" s="59">
        <f t="shared" si="56"/>
        <v>2290</v>
      </c>
      <c r="S264" s="4" t="s">
        <v>136</v>
      </c>
      <c r="T264" s="4" t="s">
        <v>137</v>
      </c>
    </row>
    <row r="265" spans="1:20" ht="15.75" customHeight="1" x14ac:dyDescent="0.3">
      <c r="A265" s="76" t="s">
        <v>256</v>
      </c>
      <c r="B265" s="1"/>
      <c r="C265" s="1">
        <v>450</v>
      </c>
      <c r="D265" s="1">
        <v>44</v>
      </c>
      <c r="E265" s="59">
        <f t="shared" ref="E265:E266" si="75">SUM(B265:D265)</f>
        <v>494</v>
      </c>
      <c r="F265" s="1"/>
      <c r="G265" s="1"/>
      <c r="H265" s="1"/>
      <c r="I265" s="59">
        <f t="shared" si="58"/>
        <v>0</v>
      </c>
      <c r="J265" s="1"/>
      <c r="K265" s="1"/>
      <c r="L265" s="1"/>
      <c r="M265" s="59">
        <f t="shared" si="59"/>
        <v>0</v>
      </c>
      <c r="N265" s="1"/>
      <c r="O265" s="1"/>
      <c r="P265" s="1"/>
      <c r="Q265" s="59">
        <f t="shared" si="60"/>
        <v>0</v>
      </c>
      <c r="R265" s="59">
        <f t="shared" si="56"/>
        <v>494</v>
      </c>
      <c r="T265" s="4" t="s">
        <v>137</v>
      </c>
    </row>
    <row r="266" spans="1:20" ht="15.75" customHeight="1" x14ac:dyDescent="0.3">
      <c r="A266" s="91" t="s">
        <v>257</v>
      </c>
      <c r="B266" s="1"/>
      <c r="C266" s="1"/>
      <c r="D266" s="1">
        <v>32</v>
      </c>
      <c r="E266" s="59">
        <f t="shared" si="75"/>
        <v>32</v>
      </c>
      <c r="F266" s="1"/>
      <c r="G266" s="1"/>
      <c r="H266" s="1"/>
      <c r="I266" s="59">
        <f t="shared" si="58"/>
        <v>0</v>
      </c>
      <c r="J266" s="1"/>
      <c r="K266" s="1"/>
      <c r="L266" s="1"/>
      <c r="M266" s="59">
        <f t="shared" si="59"/>
        <v>0</v>
      </c>
      <c r="N266" s="1"/>
      <c r="O266" s="1"/>
      <c r="P266" s="1"/>
      <c r="Q266" s="59">
        <f t="shared" ref="Q266" si="76">SUM(N266:P266)</f>
        <v>0</v>
      </c>
      <c r="R266" s="59">
        <f t="shared" si="56"/>
        <v>32</v>
      </c>
    </row>
    <row r="267" spans="1:20" ht="15.75" customHeight="1" x14ac:dyDescent="0.3">
      <c r="A267" s="76" t="s">
        <v>258</v>
      </c>
      <c r="B267" s="1">
        <v>1068</v>
      </c>
      <c r="C267" s="1">
        <v>1750</v>
      </c>
      <c r="D267" s="1"/>
      <c r="E267" s="59">
        <f t="shared" si="62"/>
        <v>2818</v>
      </c>
      <c r="F267" s="1"/>
      <c r="G267" s="1"/>
      <c r="H267" s="1"/>
      <c r="I267" s="59">
        <f t="shared" si="58"/>
        <v>0</v>
      </c>
      <c r="J267" s="1"/>
      <c r="K267" s="1"/>
      <c r="L267" s="1"/>
      <c r="M267" s="59">
        <f t="shared" si="59"/>
        <v>0</v>
      </c>
      <c r="N267" s="1"/>
      <c r="O267" s="1"/>
      <c r="P267" s="1"/>
      <c r="Q267" s="59">
        <f t="shared" si="60"/>
        <v>0</v>
      </c>
      <c r="R267" s="59">
        <f t="shared" si="56"/>
        <v>2818</v>
      </c>
      <c r="T267" s="4" t="s">
        <v>158</v>
      </c>
    </row>
    <row r="268" spans="1:20" ht="15.75" customHeight="1" x14ac:dyDescent="0.3">
      <c r="A268" s="76" t="s">
        <v>259</v>
      </c>
      <c r="B268" s="1"/>
      <c r="C268" s="1"/>
      <c r="D268" s="1"/>
      <c r="E268" s="59">
        <f t="shared" si="62"/>
        <v>0</v>
      </c>
      <c r="F268" s="1"/>
      <c r="G268" s="1"/>
      <c r="H268" s="1"/>
      <c r="I268" s="59">
        <f>SUM(F268:H268)</f>
        <v>0</v>
      </c>
      <c r="J268" s="1"/>
      <c r="K268" s="1"/>
      <c r="L268" s="1"/>
      <c r="M268" s="59">
        <f t="shared" si="59"/>
        <v>0</v>
      </c>
      <c r="N268" s="1"/>
      <c r="O268" s="1"/>
      <c r="P268" s="1"/>
      <c r="Q268" s="59">
        <f t="shared" si="60"/>
        <v>0</v>
      </c>
      <c r="R268" s="59">
        <f t="shared" si="56"/>
        <v>0</v>
      </c>
      <c r="S268" s="4" t="s">
        <v>136</v>
      </c>
    </row>
    <row r="269" spans="1:20" ht="15.75" customHeight="1" x14ac:dyDescent="0.3">
      <c r="A269" s="76" t="s">
        <v>260</v>
      </c>
      <c r="B269" s="1"/>
      <c r="C269" s="1"/>
      <c r="D269" s="1"/>
      <c r="E269" s="59">
        <f t="shared" si="62"/>
        <v>0</v>
      </c>
      <c r="F269" s="1"/>
      <c r="G269" s="1"/>
      <c r="H269" s="1"/>
      <c r="I269" s="59">
        <f>SUM(F269:H269)</f>
        <v>0</v>
      </c>
      <c r="J269" s="1"/>
      <c r="K269" s="1">
        <v>4750</v>
      </c>
      <c r="L269" s="1"/>
      <c r="M269" s="59">
        <f t="shared" si="59"/>
        <v>4750</v>
      </c>
      <c r="N269" s="1"/>
      <c r="O269" s="1"/>
      <c r="P269" s="1"/>
      <c r="Q269" s="59">
        <f t="shared" ref="Q269" si="77">SUM(N269:P269)</f>
        <v>0</v>
      </c>
      <c r="R269" s="59">
        <f t="shared" si="56"/>
        <v>4750</v>
      </c>
    </row>
    <row r="270" spans="1:20" ht="15.75" customHeight="1" x14ac:dyDescent="0.3">
      <c r="A270" s="76" t="s">
        <v>261</v>
      </c>
      <c r="B270" s="1">
        <v>95</v>
      </c>
      <c r="C270" s="1"/>
      <c r="D270" s="1"/>
      <c r="E270" s="59">
        <f t="shared" si="62"/>
        <v>95</v>
      </c>
      <c r="F270" s="1"/>
      <c r="G270" s="1"/>
      <c r="H270" s="1"/>
      <c r="I270" s="59">
        <f t="shared" si="58"/>
        <v>0</v>
      </c>
      <c r="J270" s="1"/>
      <c r="K270" s="1"/>
      <c r="L270" s="1"/>
      <c r="M270" s="59">
        <f t="shared" si="59"/>
        <v>0</v>
      </c>
      <c r="N270" s="1"/>
      <c r="O270" s="1"/>
      <c r="P270" s="1"/>
      <c r="Q270" s="59">
        <f t="shared" si="60"/>
        <v>0</v>
      </c>
      <c r="R270" s="59">
        <f t="shared" si="56"/>
        <v>95</v>
      </c>
    </row>
    <row r="271" spans="1:20" ht="15.75" customHeight="1" x14ac:dyDescent="0.3">
      <c r="A271" s="76" t="s">
        <v>262</v>
      </c>
      <c r="B271" s="1">
        <v>95</v>
      </c>
      <c r="C271" s="1"/>
      <c r="D271" s="1"/>
      <c r="E271" s="59">
        <f t="shared" si="62"/>
        <v>95</v>
      </c>
      <c r="F271" s="1"/>
      <c r="G271" s="1"/>
      <c r="H271" s="1"/>
      <c r="I271" s="59">
        <f t="shared" si="58"/>
        <v>0</v>
      </c>
      <c r="J271" s="1"/>
      <c r="K271" s="1"/>
      <c r="L271" s="1"/>
      <c r="M271" s="59">
        <f t="shared" si="59"/>
        <v>0</v>
      </c>
      <c r="N271" s="1"/>
      <c r="O271" s="1"/>
      <c r="P271" s="1"/>
      <c r="Q271" s="59">
        <f t="shared" si="60"/>
        <v>0</v>
      </c>
      <c r="R271" s="59">
        <f t="shared" si="56"/>
        <v>95</v>
      </c>
      <c r="S271" s="4" t="s">
        <v>136</v>
      </c>
      <c r="T271" s="4" t="s">
        <v>137</v>
      </c>
    </row>
    <row r="272" spans="1:20" ht="15.75" customHeight="1" x14ac:dyDescent="0.3">
      <c r="A272" s="76" t="s">
        <v>263</v>
      </c>
      <c r="B272" s="1"/>
      <c r="C272" s="1"/>
      <c r="D272" s="1">
        <v>1100</v>
      </c>
      <c r="E272" s="59">
        <f>SUM(B272:D272)</f>
        <v>1100</v>
      </c>
      <c r="F272" s="1">
        <v>1400</v>
      </c>
      <c r="G272" s="1">
        <v>1000</v>
      </c>
      <c r="H272" s="1">
        <f>400+4200</f>
        <v>4600</v>
      </c>
      <c r="I272" s="59">
        <f>SUM(F272:H272)</f>
        <v>7000</v>
      </c>
      <c r="J272" s="1">
        <v>400</v>
      </c>
      <c r="K272" s="1">
        <v>1000</v>
      </c>
      <c r="L272" s="1">
        <v>1100</v>
      </c>
      <c r="M272" s="59">
        <f>SUM(J272:L272)</f>
        <v>2500</v>
      </c>
      <c r="N272" s="1">
        <v>1200</v>
      </c>
      <c r="O272" s="1">
        <v>1100</v>
      </c>
      <c r="P272" s="1">
        <v>1100</v>
      </c>
      <c r="Q272" s="59">
        <f>SUM(N272:P272)</f>
        <v>3400</v>
      </c>
      <c r="R272" s="59">
        <f>+E272+I272+M272+Q272</f>
        <v>14000</v>
      </c>
      <c r="S272" s="4" t="s">
        <v>136</v>
      </c>
      <c r="T272" s="4" t="s">
        <v>137</v>
      </c>
    </row>
    <row r="273" spans="1:20" ht="15.75" customHeight="1" x14ac:dyDescent="0.3">
      <c r="A273" s="76" t="s">
        <v>265</v>
      </c>
      <c r="B273" s="1"/>
      <c r="C273" s="1"/>
      <c r="D273" s="1"/>
      <c r="E273" s="59">
        <f>SUM(B273:D273)</f>
        <v>0</v>
      </c>
      <c r="F273" s="1"/>
      <c r="G273" s="1"/>
      <c r="H273" s="1"/>
      <c r="I273" s="59">
        <f>SUM(F273:H273)</f>
        <v>0</v>
      </c>
      <c r="J273" s="1"/>
      <c r="K273" s="1"/>
      <c r="L273" s="1"/>
      <c r="M273" s="59">
        <f>SUM(J273:L273)</f>
        <v>0</v>
      </c>
      <c r="N273" s="1"/>
      <c r="O273" s="1"/>
      <c r="P273" s="1"/>
      <c r="Q273" s="59">
        <f t="shared" ref="Q273" si="78">SUM(N273:P273)</f>
        <v>0</v>
      </c>
      <c r="R273" s="59">
        <f>+E273+I273+M273+Q273</f>
        <v>0</v>
      </c>
      <c r="T273" s="4" t="s">
        <v>137</v>
      </c>
    </row>
    <row r="274" spans="1:20" ht="15.75" customHeight="1" x14ac:dyDescent="0.3">
      <c r="A274" s="76" t="s">
        <v>266</v>
      </c>
      <c r="B274" s="1"/>
      <c r="C274" s="1"/>
      <c r="D274" s="1"/>
      <c r="E274" s="59">
        <f t="shared" ref="E274" si="79">SUM(B274:D274)</f>
        <v>0</v>
      </c>
      <c r="F274" s="1"/>
      <c r="G274" s="1"/>
      <c r="H274" s="1"/>
      <c r="I274" s="59">
        <f t="shared" ref="I274" si="80">SUM(F274:H274)</f>
        <v>0</v>
      </c>
      <c r="J274" s="1"/>
      <c r="K274" s="1"/>
      <c r="L274" s="1"/>
      <c r="M274" s="59">
        <f t="shared" ref="M274" si="81">SUM(J274:L274)</f>
        <v>0</v>
      </c>
      <c r="N274" s="1"/>
      <c r="O274" s="1"/>
      <c r="P274" s="1"/>
      <c r="Q274" s="59">
        <f t="shared" ref="Q274" si="82">SUM(N274:P274)</f>
        <v>0</v>
      </c>
      <c r="R274" s="59">
        <f>+E274+I274+M274+Q274</f>
        <v>0</v>
      </c>
      <c r="T274" s="4" t="s">
        <v>137</v>
      </c>
    </row>
    <row r="275" spans="1:20" ht="15.75" customHeight="1" x14ac:dyDescent="0.3">
      <c r="A275" s="76" t="s">
        <v>860</v>
      </c>
      <c r="B275" s="1"/>
      <c r="C275" s="1"/>
      <c r="D275" s="1">
        <v>500</v>
      </c>
      <c r="E275" s="59">
        <f t="shared" ref="E275" si="83">SUM(B275:D275)</f>
        <v>500</v>
      </c>
      <c r="F275" s="1">
        <v>550</v>
      </c>
      <c r="G275" s="1">
        <v>750</v>
      </c>
      <c r="H275" s="1">
        <v>1100</v>
      </c>
      <c r="I275" s="59">
        <f t="shared" ref="I275" si="84">SUM(F275:H275)</f>
        <v>2400</v>
      </c>
      <c r="J275" s="1">
        <v>1100</v>
      </c>
      <c r="K275" s="1">
        <v>950</v>
      </c>
      <c r="L275" s="1">
        <v>900</v>
      </c>
      <c r="M275" s="59">
        <f t="shared" ref="M275" si="85">SUM(J275:L275)</f>
        <v>2950</v>
      </c>
      <c r="N275" s="1">
        <f>75+875</f>
        <v>950</v>
      </c>
      <c r="O275" s="1">
        <v>1000</v>
      </c>
      <c r="P275" s="1">
        <v>200</v>
      </c>
      <c r="Q275" s="59">
        <f t="shared" si="60"/>
        <v>2150</v>
      </c>
      <c r="R275" s="59">
        <f t="shared" si="56"/>
        <v>8000</v>
      </c>
      <c r="S275" s="4" t="s">
        <v>136</v>
      </c>
    </row>
    <row r="276" spans="1:20" ht="15.75" customHeight="1" x14ac:dyDescent="0.3">
      <c r="A276" s="76" t="s">
        <v>270</v>
      </c>
      <c r="B276" s="1">
        <f>91+77+13</f>
        <v>181</v>
      </c>
      <c r="C276" s="1">
        <f>3858+76+20</f>
        <v>3954</v>
      </c>
      <c r="D276" s="1">
        <f>4698+190+93+38</f>
        <v>5019</v>
      </c>
      <c r="E276" s="59">
        <f>SUM(B276:D276)</f>
        <v>9154</v>
      </c>
      <c r="F276" s="1">
        <v>3182</v>
      </c>
      <c r="G276" s="1"/>
      <c r="H276" s="1"/>
      <c r="I276" s="59">
        <f>SUM(F276:H276)</f>
        <v>3182</v>
      </c>
      <c r="J276" s="1"/>
      <c r="K276" s="1"/>
      <c r="L276" s="1"/>
      <c r="M276" s="59">
        <f>SUM(J276:L276)</f>
        <v>0</v>
      </c>
      <c r="N276" s="1"/>
      <c r="O276" s="1"/>
      <c r="P276" s="1"/>
      <c r="Q276" s="59">
        <f>SUM(N276:P276)</f>
        <v>0</v>
      </c>
      <c r="R276" s="59">
        <f>+E276+I276+M276+Q276</f>
        <v>12336</v>
      </c>
      <c r="S276" s="4" t="s">
        <v>136</v>
      </c>
    </row>
    <row r="277" spans="1:20" ht="15.75" customHeight="1" x14ac:dyDescent="0.3">
      <c r="A277" s="76" t="s">
        <v>271</v>
      </c>
      <c r="B277" s="1"/>
      <c r="C277" s="1"/>
      <c r="D277" s="1">
        <v>164</v>
      </c>
      <c r="E277" s="59">
        <f>SUM(B277:D277)</f>
        <v>164</v>
      </c>
      <c r="F277" s="1"/>
      <c r="G277" s="1"/>
      <c r="H277" s="1"/>
      <c r="I277" s="59">
        <f>SUM(F277:H277)</f>
        <v>0</v>
      </c>
      <c r="J277" s="1"/>
      <c r="K277" s="1"/>
      <c r="L277" s="1"/>
      <c r="M277" s="59">
        <f>SUM(J277:L277)</f>
        <v>0</v>
      </c>
      <c r="N277" s="1"/>
      <c r="O277" s="1"/>
      <c r="P277" s="1"/>
      <c r="Q277" s="59">
        <f>SUM(N277:P277)</f>
        <v>0</v>
      </c>
      <c r="R277" s="59">
        <f>+E277+I277+M277+Q277</f>
        <v>164</v>
      </c>
    </row>
    <row r="278" spans="1:20" ht="15.75" customHeight="1" x14ac:dyDescent="0.3">
      <c r="A278" s="76" t="s">
        <v>272</v>
      </c>
      <c r="B278" s="1"/>
      <c r="C278" s="1"/>
      <c r="D278" s="1"/>
      <c r="E278" s="59">
        <f t="shared" ref="E278" si="86">SUM(B278:D278)</f>
        <v>0</v>
      </c>
      <c r="F278" s="1"/>
      <c r="G278" s="1"/>
      <c r="H278" s="1"/>
      <c r="I278" s="59">
        <f t="shared" ref="I278" si="87">SUM(F278:H278)</f>
        <v>0</v>
      </c>
      <c r="J278" s="1"/>
      <c r="K278" s="1"/>
      <c r="L278" s="1"/>
      <c r="M278" s="59">
        <f t="shared" ref="M278" si="88">SUM(J278:L278)</f>
        <v>0</v>
      </c>
      <c r="N278" s="1"/>
      <c r="O278" s="1"/>
      <c r="P278" s="1"/>
      <c r="Q278" s="59">
        <f t="shared" ref="Q278" si="89">SUM(N278:P278)</f>
        <v>0</v>
      </c>
      <c r="R278" s="59">
        <f t="shared" ref="R278" si="90">+E278+I278+M278+Q278</f>
        <v>0</v>
      </c>
    </row>
    <row r="279" spans="1:20" ht="15.75" customHeight="1" x14ac:dyDescent="0.3">
      <c r="A279" s="76" t="s">
        <v>273</v>
      </c>
      <c r="B279" s="1">
        <v>500</v>
      </c>
      <c r="C279" s="1"/>
      <c r="D279" s="1"/>
      <c r="E279" s="59">
        <f t="shared" ref="E279" si="91">SUM(B279:D279)</f>
        <v>500</v>
      </c>
      <c r="F279" s="1"/>
      <c r="G279" s="1"/>
      <c r="H279" s="1"/>
      <c r="I279" s="59">
        <f t="shared" si="58"/>
        <v>0</v>
      </c>
      <c r="J279" s="1"/>
      <c r="K279" s="1"/>
      <c r="L279" s="1"/>
      <c r="M279" s="59">
        <f t="shared" si="59"/>
        <v>0</v>
      </c>
      <c r="N279" s="1"/>
      <c r="O279" s="1"/>
      <c r="P279" s="1"/>
      <c r="Q279" s="59">
        <f t="shared" si="60"/>
        <v>0</v>
      </c>
      <c r="R279" s="59">
        <f t="shared" si="56"/>
        <v>500</v>
      </c>
    </row>
    <row r="280" spans="1:20" ht="15.75" customHeight="1" thickBot="1" x14ac:dyDescent="0.35">
      <c r="A280" s="76" t="s">
        <v>275</v>
      </c>
      <c r="B280" s="1"/>
      <c r="C280" s="1"/>
      <c r="D280" s="1"/>
      <c r="E280" s="59">
        <f>SUM(B280:D280)</f>
        <v>0</v>
      </c>
      <c r="F280" s="1"/>
      <c r="G280" s="1"/>
      <c r="H280" s="1"/>
      <c r="I280" s="59">
        <f>SUM(F280:H280)</f>
        <v>0</v>
      </c>
      <c r="J280" s="1"/>
      <c r="K280" s="1"/>
      <c r="L280" s="1"/>
      <c r="M280" s="59">
        <f>SUM(J280:L280)</f>
        <v>0</v>
      </c>
      <c r="N280" s="1"/>
      <c r="O280" s="1"/>
      <c r="P280" s="1">
        <v>128</v>
      </c>
      <c r="Q280" s="59">
        <f>SUM(N280:P280)</f>
        <v>128</v>
      </c>
      <c r="R280" s="59">
        <f t="shared" si="56"/>
        <v>128</v>
      </c>
      <c r="S280" s="94" t="s">
        <v>136</v>
      </c>
    </row>
    <row r="281" spans="1:20" ht="16.5" customHeight="1" thickBot="1" x14ac:dyDescent="0.35">
      <c r="A281" s="62" t="s">
        <v>61</v>
      </c>
      <c r="B281" s="100">
        <f>SUM(B216:B280)</f>
        <v>6869</v>
      </c>
      <c r="C281" s="101">
        <f>SUM(C216:C280)</f>
        <v>8909</v>
      </c>
      <c r="D281" s="101">
        <f>SUM(D216:D280)</f>
        <v>11249</v>
      </c>
      <c r="E281" s="64">
        <f t="shared" ref="E281" si="92">SUM(B281:D281)</f>
        <v>27027</v>
      </c>
      <c r="F281" s="101">
        <f>SUM(F216:F280)</f>
        <v>12116</v>
      </c>
      <c r="G281" s="101">
        <f>SUM(G216:G280)</f>
        <v>17389</v>
      </c>
      <c r="H281" s="101">
        <f>SUM(H216:H280)</f>
        <v>16436</v>
      </c>
      <c r="I281" s="64">
        <f t="shared" ref="I281" si="93">SUM(F281:H281)</f>
        <v>45941</v>
      </c>
      <c r="J281" s="101">
        <f>SUM(J216:J280)</f>
        <v>6474</v>
      </c>
      <c r="K281" s="101">
        <f>SUM(K216:K280)</f>
        <v>20683</v>
      </c>
      <c r="L281" s="101">
        <f>SUM(L216:L280)</f>
        <v>20902</v>
      </c>
      <c r="M281" s="64">
        <f t="shared" ref="M281" si="94">SUM(J281:L281)</f>
        <v>48059</v>
      </c>
      <c r="N281" s="101">
        <f>SUM(N216:N280)</f>
        <v>13500</v>
      </c>
      <c r="O281" s="101">
        <f>SUM(O216:O280)</f>
        <v>4951</v>
      </c>
      <c r="P281" s="101">
        <f>SUM(P216:P280)</f>
        <v>4324</v>
      </c>
      <c r="Q281" s="64">
        <f t="shared" ref="Q281" si="95">SUM(N281:P281)</f>
        <v>22775</v>
      </c>
      <c r="R281" s="64">
        <f t="shared" si="56"/>
        <v>143802</v>
      </c>
    </row>
    <row r="282" spans="1:20" ht="15.75" customHeight="1" x14ac:dyDescent="0.3">
      <c r="A282" s="17" t="s">
        <v>62</v>
      </c>
      <c r="B282" s="1"/>
      <c r="C282" s="1"/>
      <c r="D282" s="1"/>
      <c r="E282" s="59" t="s">
        <v>7</v>
      </c>
      <c r="F282" s="1"/>
      <c r="G282" s="1"/>
      <c r="H282" s="1"/>
      <c r="I282" s="59" t="s">
        <v>7</v>
      </c>
      <c r="J282" s="1"/>
      <c r="K282" s="1"/>
      <c r="L282" s="1"/>
      <c r="M282" s="59" t="s">
        <v>7</v>
      </c>
      <c r="N282" s="1"/>
      <c r="O282" s="1"/>
      <c r="P282" s="1"/>
      <c r="Q282" s="59" t="s">
        <v>7</v>
      </c>
      <c r="R282" s="59" t="s">
        <v>7</v>
      </c>
    </row>
    <row r="283" spans="1:20" ht="15.75" customHeight="1" x14ac:dyDescent="0.3">
      <c r="A283" s="17" t="s">
        <v>63</v>
      </c>
      <c r="B283" s="1"/>
      <c r="C283" s="1"/>
      <c r="D283" s="1"/>
      <c r="E283" s="59" t="s">
        <v>7</v>
      </c>
      <c r="F283" s="1"/>
      <c r="G283" s="1"/>
      <c r="H283" s="1"/>
      <c r="I283" s="59" t="s">
        <v>7</v>
      </c>
      <c r="J283" s="1"/>
      <c r="K283" s="1"/>
      <c r="L283" s="1"/>
      <c r="M283" s="59" t="s">
        <v>7</v>
      </c>
      <c r="N283" s="1"/>
      <c r="O283" s="1"/>
      <c r="P283" s="1"/>
      <c r="Q283" s="59" t="s">
        <v>7</v>
      </c>
      <c r="R283" s="59" t="s">
        <v>7</v>
      </c>
    </row>
    <row r="284" spans="1:20" ht="15.75" customHeight="1" x14ac:dyDescent="0.3">
      <c r="A284" s="78" t="s">
        <v>854</v>
      </c>
      <c r="B284" s="1"/>
      <c r="C284" s="1"/>
      <c r="D284" s="1"/>
      <c r="E284" s="59">
        <f>SUM(B284:D284)</f>
        <v>0</v>
      </c>
      <c r="F284" s="1"/>
      <c r="G284" s="1"/>
      <c r="H284" s="1"/>
      <c r="I284" s="59">
        <f>SUM(F284:H284)</f>
        <v>0</v>
      </c>
      <c r="J284" s="1"/>
      <c r="K284" s="1"/>
      <c r="L284" s="1"/>
      <c r="M284" s="59">
        <f>SUM(J284:L284)</f>
        <v>0</v>
      </c>
      <c r="N284" s="1"/>
      <c r="O284" s="1"/>
      <c r="P284" s="1"/>
      <c r="Q284" s="59">
        <f>SUM(N284:P284)</f>
        <v>0</v>
      </c>
      <c r="R284" s="59">
        <f>+E284+I284+M284+Q284</f>
        <v>0</v>
      </c>
      <c r="T284" s="4" t="s">
        <v>137</v>
      </c>
    </row>
    <row r="285" spans="1:20" ht="15.75" customHeight="1" x14ac:dyDescent="0.3">
      <c r="A285" s="99" t="s">
        <v>276</v>
      </c>
      <c r="B285" s="1"/>
      <c r="C285" s="1"/>
      <c r="D285" s="1"/>
      <c r="E285" s="59">
        <f>SUM(B285:D285)</f>
        <v>0</v>
      </c>
      <c r="F285" s="1"/>
      <c r="G285" s="1"/>
      <c r="H285" s="1"/>
      <c r="I285" s="59">
        <f>SUM(F285:H285)</f>
        <v>0</v>
      </c>
      <c r="J285" s="1"/>
      <c r="K285" s="1"/>
      <c r="L285" s="1"/>
      <c r="M285" s="59">
        <f>SUM(J285:L285)</f>
        <v>0</v>
      </c>
      <c r="N285" s="1"/>
      <c r="O285" s="1"/>
      <c r="P285" s="1"/>
      <c r="Q285" s="59">
        <f>SUM(N285:P285)</f>
        <v>0</v>
      </c>
      <c r="R285" s="59">
        <f>+E285+I285+M285+Q285</f>
        <v>0</v>
      </c>
      <c r="T285" s="4" t="s">
        <v>132</v>
      </c>
    </row>
    <row r="286" spans="1:20" ht="15.75" customHeight="1" x14ac:dyDescent="0.3">
      <c r="A286" s="99" t="s">
        <v>277</v>
      </c>
      <c r="B286" s="1"/>
      <c r="C286" s="1"/>
      <c r="D286" s="1"/>
      <c r="E286" s="59">
        <f>SUM(B286:D286)</f>
        <v>0</v>
      </c>
      <c r="F286" s="1"/>
      <c r="G286" s="1"/>
      <c r="H286" s="1"/>
      <c r="I286" s="59">
        <f>SUM(F286:H286)</f>
        <v>0</v>
      </c>
      <c r="J286" s="1"/>
      <c r="K286" s="1"/>
      <c r="L286" s="1"/>
      <c r="M286" s="59">
        <f>SUM(J286:L286)</f>
        <v>0</v>
      </c>
      <c r="N286" s="1"/>
      <c r="O286" s="1"/>
      <c r="P286" s="1"/>
      <c r="Q286" s="59">
        <f>SUM(N286:P286)</f>
        <v>0</v>
      </c>
      <c r="R286" s="59">
        <f>+E286+I286+M286+Q286</f>
        <v>0</v>
      </c>
      <c r="T286" s="4" t="s">
        <v>134</v>
      </c>
    </row>
    <row r="287" spans="1:20" ht="15.75" customHeight="1" x14ac:dyDescent="0.3">
      <c r="A287" s="17" t="s">
        <v>64</v>
      </c>
      <c r="B287" s="1"/>
      <c r="C287" s="1"/>
      <c r="D287" s="1"/>
      <c r="E287" s="59" t="s">
        <v>7</v>
      </c>
      <c r="F287" s="1"/>
      <c r="G287" s="1"/>
      <c r="H287" s="1"/>
      <c r="I287" s="59" t="s">
        <v>7</v>
      </c>
      <c r="J287" s="1"/>
      <c r="K287" s="1"/>
      <c r="L287" s="1"/>
      <c r="M287" s="59" t="s">
        <v>7</v>
      </c>
      <c r="N287" s="1"/>
      <c r="O287" s="1"/>
      <c r="P287" s="1"/>
      <c r="Q287" s="59" t="s">
        <v>7</v>
      </c>
      <c r="R287" s="59" t="s">
        <v>7</v>
      </c>
    </row>
    <row r="288" spans="1:20" ht="15.75" customHeight="1" x14ac:dyDescent="0.3">
      <c r="A288" s="99" t="s">
        <v>278</v>
      </c>
      <c r="B288" s="1"/>
      <c r="C288" s="1"/>
      <c r="D288" s="1"/>
      <c r="E288" s="59">
        <f>SUM(B288:D288)</f>
        <v>0</v>
      </c>
      <c r="F288" s="1"/>
      <c r="G288" s="1"/>
      <c r="H288" s="1"/>
      <c r="I288" s="59">
        <f>SUM(F288:H288)</f>
        <v>0</v>
      </c>
      <c r="J288" s="1"/>
      <c r="K288" s="1"/>
      <c r="L288" s="1"/>
      <c r="M288" s="59">
        <f>SUM(J288:L288)</f>
        <v>0</v>
      </c>
      <c r="N288" s="1"/>
      <c r="O288" s="1"/>
      <c r="P288" s="1"/>
      <c r="Q288" s="59">
        <f>SUM(N288:P288)</f>
        <v>0</v>
      </c>
      <c r="R288" s="59">
        <f>+E288+I288+M288+Q288</f>
        <v>0</v>
      </c>
    </row>
    <row r="289" spans="1:20" ht="15.75" customHeight="1" x14ac:dyDescent="0.3">
      <c r="A289" s="99" t="s">
        <v>279</v>
      </c>
      <c r="B289" s="1"/>
      <c r="C289" s="1"/>
      <c r="D289" s="1"/>
      <c r="E289" s="59">
        <f>SUM(B289:D289)</f>
        <v>0</v>
      </c>
      <c r="F289" s="1"/>
      <c r="G289" s="1"/>
      <c r="H289" s="1"/>
      <c r="I289" s="59">
        <f>SUM(F289:H289)</f>
        <v>0</v>
      </c>
      <c r="J289" s="1"/>
      <c r="K289" s="1"/>
      <c r="L289" s="1"/>
      <c r="M289" s="59">
        <f>SUM(J289:L289)</f>
        <v>0</v>
      </c>
      <c r="N289" s="1"/>
      <c r="O289" s="1"/>
      <c r="P289" s="1"/>
      <c r="Q289" s="59">
        <f>SUM(N289:P289)</f>
        <v>0</v>
      </c>
      <c r="R289" s="59">
        <f>+E289+I289+M289+Q289</f>
        <v>0</v>
      </c>
      <c r="T289" s="4">
        <f>24000-SUM(R149,R153,R170,R173,R186,R204,R240,R241,R262,R285,R288,R289)</f>
        <v>12107</v>
      </c>
    </row>
    <row r="290" spans="1:20" ht="15.75" customHeight="1" x14ac:dyDescent="0.3">
      <c r="A290" s="74" t="s">
        <v>280</v>
      </c>
      <c r="B290" s="1"/>
      <c r="C290" s="1"/>
      <c r="D290" s="1"/>
      <c r="E290" s="59">
        <f t="shared" ref="E290:E295" si="96">SUM(B290:D290)</f>
        <v>0</v>
      </c>
      <c r="F290" s="1"/>
      <c r="G290" s="1"/>
      <c r="H290" s="1"/>
      <c r="I290" s="59">
        <f t="shared" ref="I290:I295" si="97">SUM(F290:H290)</f>
        <v>0</v>
      </c>
      <c r="J290" s="1"/>
      <c r="K290" s="1"/>
      <c r="L290" s="1"/>
      <c r="M290" s="59">
        <f t="shared" ref="M290:M295" si="98">SUM(J290:L290)</f>
        <v>0</v>
      </c>
      <c r="N290" s="1"/>
      <c r="O290" s="1"/>
      <c r="P290" s="1"/>
      <c r="Q290" s="59">
        <f t="shared" ref="Q290:Q295" si="99">SUM(N290:P290)</f>
        <v>0</v>
      </c>
      <c r="R290" s="59">
        <f t="shared" ref="R290:R295" si="100">+E290+I290+M290+Q290</f>
        <v>0</v>
      </c>
      <c r="S290" s="4" t="s">
        <v>136</v>
      </c>
    </row>
    <row r="291" spans="1:20" ht="15.75" customHeight="1" x14ac:dyDescent="0.3">
      <c r="A291" s="74" t="s">
        <v>281</v>
      </c>
      <c r="B291" s="1"/>
      <c r="C291" s="1"/>
      <c r="D291" s="1"/>
      <c r="E291" s="59">
        <f t="shared" si="96"/>
        <v>0</v>
      </c>
      <c r="F291" s="1"/>
      <c r="G291" s="1"/>
      <c r="H291" s="1"/>
      <c r="I291" s="59">
        <f t="shared" si="97"/>
        <v>0</v>
      </c>
      <c r="J291" s="1"/>
      <c r="K291" s="1"/>
      <c r="L291" s="1"/>
      <c r="M291" s="59">
        <f t="shared" si="98"/>
        <v>0</v>
      </c>
      <c r="N291" s="1"/>
      <c r="O291" s="1"/>
      <c r="P291" s="1"/>
      <c r="Q291" s="59">
        <f t="shared" si="99"/>
        <v>0</v>
      </c>
      <c r="R291" s="59">
        <f t="shared" si="100"/>
        <v>0</v>
      </c>
    </row>
    <row r="292" spans="1:20" ht="15.75" customHeight="1" x14ac:dyDescent="0.3">
      <c r="A292" s="91" t="s">
        <v>282</v>
      </c>
      <c r="B292" s="1"/>
      <c r="C292" s="1"/>
      <c r="D292" s="1"/>
      <c r="E292" s="59">
        <f t="shared" si="96"/>
        <v>0</v>
      </c>
      <c r="F292" s="1"/>
      <c r="G292" s="1"/>
      <c r="H292" s="1"/>
      <c r="I292" s="59">
        <f t="shared" si="97"/>
        <v>0</v>
      </c>
      <c r="J292" s="1"/>
      <c r="K292" s="1"/>
      <c r="L292" s="1"/>
      <c r="M292" s="59">
        <f t="shared" si="98"/>
        <v>0</v>
      </c>
      <c r="N292" s="1"/>
      <c r="O292" s="1"/>
      <c r="P292" s="1"/>
      <c r="Q292" s="59">
        <f t="shared" si="99"/>
        <v>0</v>
      </c>
      <c r="R292" s="59">
        <f t="shared" si="100"/>
        <v>0</v>
      </c>
    </row>
    <row r="293" spans="1:20" ht="15.75" customHeight="1" x14ac:dyDescent="0.3">
      <c r="A293" s="91" t="s">
        <v>283</v>
      </c>
      <c r="B293" s="1"/>
      <c r="C293" s="1"/>
      <c r="D293" s="1"/>
      <c r="E293" s="59">
        <f t="shared" si="96"/>
        <v>0</v>
      </c>
      <c r="F293" s="1"/>
      <c r="G293" s="1"/>
      <c r="H293" s="1"/>
      <c r="I293" s="59">
        <f t="shared" si="97"/>
        <v>0</v>
      </c>
      <c r="J293" s="1"/>
      <c r="K293" s="1"/>
      <c r="L293" s="1"/>
      <c r="M293" s="59">
        <f t="shared" si="98"/>
        <v>0</v>
      </c>
      <c r="N293" s="1"/>
      <c r="O293" s="1"/>
      <c r="P293" s="1"/>
      <c r="Q293" s="59">
        <f t="shared" si="99"/>
        <v>0</v>
      </c>
      <c r="R293" s="59">
        <f t="shared" si="100"/>
        <v>0</v>
      </c>
    </row>
    <row r="294" spans="1:20" ht="15.75" customHeight="1" x14ac:dyDescent="0.3">
      <c r="A294" s="61" t="s">
        <v>284</v>
      </c>
      <c r="B294" s="1"/>
      <c r="C294" s="1"/>
      <c r="D294" s="1"/>
      <c r="E294" s="59">
        <f t="shared" si="96"/>
        <v>0</v>
      </c>
      <c r="F294" s="1"/>
      <c r="G294" s="1"/>
      <c r="H294" s="1"/>
      <c r="I294" s="59">
        <f t="shared" si="97"/>
        <v>0</v>
      </c>
      <c r="J294" s="1"/>
      <c r="K294" s="1"/>
      <c r="L294" s="1"/>
      <c r="M294" s="59">
        <f t="shared" si="98"/>
        <v>0</v>
      </c>
      <c r="N294" s="1"/>
      <c r="O294" s="1"/>
      <c r="P294" s="1"/>
      <c r="Q294" s="59">
        <f t="shared" si="99"/>
        <v>0</v>
      </c>
      <c r="R294" s="59">
        <f t="shared" si="100"/>
        <v>0</v>
      </c>
    </row>
    <row r="295" spans="1:20" ht="15.75" customHeight="1" x14ac:dyDescent="0.3">
      <c r="A295" s="61" t="s">
        <v>285</v>
      </c>
      <c r="B295" s="1"/>
      <c r="C295" s="1"/>
      <c r="D295" s="1"/>
      <c r="E295" s="59">
        <f t="shared" si="96"/>
        <v>0</v>
      </c>
      <c r="F295" s="1"/>
      <c r="G295" s="1"/>
      <c r="H295" s="1"/>
      <c r="I295" s="59">
        <f t="shared" si="97"/>
        <v>0</v>
      </c>
      <c r="J295" s="1"/>
      <c r="K295" s="1"/>
      <c r="L295" s="1"/>
      <c r="M295" s="59">
        <f t="shared" si="98"/>
        <v>0</v>
      </c>
      <c r="N295" s="1"/>
      <c r="O295" s="1"/>
      <c r="P295" s="1"/>
      <c r="Q295" s="59">
        <f t="shared" si="99"/>
        <v>0</v>
      </c>
      <c r="R295" s="59">
        <f t="shared" si="100"/>
        <v>0</v>
      </c>
    </row>
    <row r="296" spans="1:20" ht="15.75" customHeight="1" x14ac:dyDescent="0.3">
      <c r="A296" s="17" t="s">
        <v>66</v>
      </c>
      <c r="B296" s="1"/>
      <c r="C296" s="1"/>
      <c r="D296" s="1"/>
      <c r="E296" s="59" t="s">
        <v>7</v>
      </c>
      <c r="F296" s="1"/>
      <c r="G296" s="1"/>
      <c r="H296" s="1"/>
      <c r="I296" s="59" t="s">
        <v>7</v>
      </c>
      <c r="J296" s="1"/>
      <c r="K296" s="1"/>
      <c r="L296" s="1"/>
      <c r="M296" s="59" t="s">
        <v>7</v>
      </c>
      <c r="N296" s="1"/>
      <c r="O296" s="1"/>
      <c r="P296" s="1"/>
      <c r="Q296" s="59" t="s">
        <v>7</v>
      </c>
      <c r="R296" s="59" t="s">
        <v>7</v>
      </c>
    </row>
    <row r="297" spans="1:20" ht="15.75" customHeight="1" x14ac:dyDescent="0.3">
      <c r="A297" s="99" t="s">
        <v>286</v>
      </c>
      <c r="B297" s="1"/>
      <c r="C297" s="1"/>
      <c r="D297" s="1"/>
      <c r="E297" s="59">
        <f t="shared" ref="E297" si="101">SUM(B297:D297)</f>
        <v>0</v>
      </c>
      <c r="F297" s="1"/>
      <c r="G297" s="1"/>
      <c r="H297" s="1"/>
      <c r="I297" s="59">
        <f t="shared" ref="I297" si="102">SUM(F297:H297)</f>
        <v>0</v>
      </c>
      <c r="J297" s="1"/>
      <c r="K297" s="1"/>
      <c r="L297" s="1"/>
      <c r="M297" s="59">
        <f t="shared" ref="M297" si="103">SUM(J297:L297)</f>
        <v>0</v>
      </c>
      <c r="N297" s="1"/>
      <c r="O297" s="1"/>
      <c r="P297" s="1"/>
      <c r="Q297" s="59">
        <f t="shared" ref="Q297" si="104">SUM(N297:P297)</f>
        <v>0</v>
      </c>
      <c r="R297" s="59">
        <f t="shared" ref="R297" si="105">+E297+I297+M297+Q297</f>
        <v>0</v>
      </c>
    </row>
    <row r="298" spans="1:20" ht="15.75" customHeight="1" x14ac:dyDescent="0.3">
      <c r="A298" s="17" t="s">
        <v>67</v>
      </c>
      <c r="B298" s="1"/>
      <c r="C298" s="1"/>
      <c r="D298" s="1"/>
      <c r="E298" s="59" t="s">
        <v>7</v>
      </c>
      <c r="F298" s="1"/>
      <c r="G298" s="1"/>
      <c r="H298" s="1"/>
      <c r="I298" s="59" t="s">
        <v>7</v>
      </c>
      <c r="J298" s="1"/>
      <c r="K298" s="1"/>
      <c r="L298" s="1"/>
      <c r="M298" s="59" t="s">
        <v>7</v>
      </c>
      <c r="N298" s="1"/>
      <c r="O298" s="1"/>
      <c r="P298" s="1"/>
      <c r="Q298" s="59" t="s">
        <v>7</v>
      </c>
      <c r="R298" s="59" t="s">
        <v>7</v>
      </c>
    </row>
    <row r="299" spans="1:20" ht="15.75" customHeight="1" thickBot="1" x14ac:dyDescent="0.35">
      <c r="A299" s="74" t="s">
        <v>287</v>
      </c>
      <c r="B299" s="1"/>
      <c r="C299" s="1"/>
      <c r="D299" s="1"/>
      <c r="E299" s="59">
        <f t="shared" ref="E299" si="106">SUM(B299:D299)</f>
        <v>0</v>
      </c>
      <c r="F299" s="1"/>
      <c r="G299" s="1"/>
      <c r="H299" s="1"/>
      <c r="I299" s="59">
        <f t="shared" ref="I299:I308" si="107">SUM(F299:H299)</f>
        <v>0</v>
      </c>
      <c r="J299" s="1"/>
      <c r="K299" s="1"/>
      <c r="L299" s="1"/>
      <c r="M299" s="59">
        <f t="shared" ref="M299:M308" si="108">SUM(J299:L299)</f>
        <v>0</v>
      </c>
      <c r="N299" s="1"/>
      <c r="O299" s="1"/>
      <c r="P299" s="1"/>
      <c r="Q299" s="59">
        <f t="shared" ref="Q299:Q308" si="109">SUM(N299:P299)</f>
        <v>0</v>
      </c>
      <c r="R299" s="59">
        <f t="shared" ref="R299:R308" si="110">+E299+I299+M299+Q299</f>
        <v>0</v>
      </c>
      <c r="S299" s="4" t="s">
        <v>136</v>
      </c>
    </row>
    <row r="300" spans="1:20" ht="16.5" customHeight="1" thickBot="1" x14ac:dyDescent="0.35">
      <c r="A300" s="62" t="s">
        <v>68</v>
      </c>
      <c r="B300" s="63">
        <f>SUM(B296:B299)</f>
        <v>0</v>
      </c>
      <c r="C300" s="63">
        <f>SUM(C296:C299)</f>
        <v>0</v>
      </c>
      <c r="D300" s="63">
        <f>SUM(D296:D299)</f>
        <v>0</v>
      </c>
      <c r="E300" s="65">
        <f t="shared" ref="E300:E305" si="111">SUM(B300:D300)</f>
        <v>0</v>
      </c>
      <c r="F300" s="63">
        <f>SUM(F296:F299)</f>
        <v>0</v>
      </c>
      <c r="G300" s="63">
        <f>SUM(G296:G299)</f>
        <v>0</v>
      </c>
      <c r="H300" s="63">
        <f>SUM(H296:H299)</f>
        <v>0</v>
      </c>
      <c r="I300" s="65">
        <f t="shared" si="107"/>
        <v>0</v>
      </c>
      <c r="J300" s="63">
        <f>SUM(J296:J299)</f>
        <v>0</v>
      </c>
      <c r="K300" s="63">
        <f>SUM(K296:K299)</f>
        <v>0</v>
      </c>
      <c r="L300" s="63">
        <f>SUM(L296:L299)</f>
        <v>0</v>
      </c>
      <c r="M300" s="65">
        <f t="shared" si="108"/>
        <v>0</v>
      </c>
      <c r="N300" s="63">
        <f>SUM(N296:N299)</f>
        <v>0</v>
      </c>
      <c r="O300" s="63">
        <f>SUM(O296:O299)</f>
        <v>0</v>
      </c>
      <c r="P300" s="63">
        <f>SUM(P296:P299)</f>
        <v>0</v>
      </c>
      <c r="Q300" s="65">
        <f t="shared" si="109"/>
        <v>0</v>
      </c>
      <c r="R300" s="64">
        <f t="shared" si="110"/>
        <v>0</v>
      </c>
    </row>
    <row r="301" spans="1:20" ht="16.5" customHeight="1" thickBot="1" x14ac:dyDescent="0.35">
      <c r="A301" s="62" t="s">
        <v>69</v>
      </c>
      <c r="B301" s="100">
        <f>SUM(B282:B299)</f>
        <v>0</v>
      </c>
      <c r="C301" s="101">
        <f>SUM(C282:C299)</f>
        <v>0</v>
      </c>
      <c r="D301" s="101">
        <f>SUM(D282:D299)</f>
        <v>0</v>
      </c>
      <c r="E301" s="64">
        <f t="shared" si="111"/>
        <v>0</v>
      </c>
      <c r="F301" s="101">
        <f>SUM(F282:F299)</f>
        <v>0</v>
      </c>
      <c r="G301" s="101">
        <f>SUM(G282:G299)</f>
        <v>0</v>
      </c>
      <c r="H301" s="101">
        <f>SUM(H282:H299)</f>
        <v>0</v>
      </c>
      <c r="I301" s="64">
        <f t="shared" si="107"/>
        <v>0</v>
      </c>
      <c r="J301" s="101">
        <f>SUM(J282:J299)</f>
        <v>0</v>
      </c>
      <c r="K301" s="101">
        <f>SUM(K282:K299)</f>
        <v>0</v>
      </c>
      <c r="L301" s="101">
        <f>SUM(L282:L299)</f>
        <v>0</v>
      </c>
      <c r="M301" s="64">
        <f t="shared" si="108"/>
        <v>0</v>
      </c>
      <c r="N301" s="101">
        <f>SUM(N282:N299)</f>
        <v>0</v>
      </c>
      <c r="O301" s="101">
        <f>SUM(O282:O299)</f>
        <v>0</v>
      </c>
      <c r="P301" s="101">
        <f>SUM(P282:P299)</f>
        <v>0</v>
      </c>
      <c r="Q301" s="64">
        <f t="shared" si="109"/>
        <v>0</v>
      </c>
      <c r="R301" s="64">
        <f t="shared" si="110"/>
        <v>0</v>
      </c>
    </row>
    <row r="302" spans="1:20" ht="16.5" customHeight="1" thickBot="1" x14ac:dyDescent="0.35">
      <c r="A302" s="62" t="s">
        <v>70</v>
      </c>
      <c r="B302" s="107">
        <f>+B208+B215+B281+B301</f>
        <v>22955</v>
      </c>
      <c r="C302" s="63">
        <f>+C208+C215+C281+C301</f>
        <v>22510</v>
      </c>
      <c r="D302" s="63">
        <f>+D208+D215+D281+D301</f>
        <v>29496</v>
      </c>
      <c r="E302" s="88">
        <f t="shared" si="111"/>
        <v>74961</v>
      </c>
      <c r="F302" s="63">
        <f>+F208+F215+F281+F301</f>
        <v>44440</v>
      </c>
      <c r="G302" s="63">
        <f>+G208+G215+G281+G301</f>
        <v>47423</v>
      </c>
      <c r="H302" s="63">
        <f>+H208+H215+H281+H301</f>
        <v>53721</v>
      </c>
      <c r="I302" s="88">
        <f t="shared" si="107"/>
        <v>145584</v>
      </c>
      <c r="J302" s="63">
        <f>+J208+J215+J281+J301</f>
        <v>57116</v>
      </c>
      <c r="K302" s="63">
        <f>+K208+K215+K281+K301</f>
        <v>57554</v>
      </c>
      <c r="L302" s="63">
        <f>+L208+L215+L281+L301</f>
        <v>50479</v>
      </c>
      <c r="M302" s="88">
        <f t="shared" si="108"/>
        <v>165149</v>
      </c>
      <c r="N302" s="63">
        <f>+N208+N215+N281+N301</f>
        <v>38692</v>
      </c>
      <c r="O302" s="63">
        <f>+O208+O215+O281+O301</f>
        <v>21371</v>
      </c>
      <c r="P302" s="63">
        <f>+P208+P215+P281+P301</f>
        <v>14833</v>
      </c>
      <c r="Q302" s="88">
        <f t="shared" si="109"/>
        <v>74896</v>
      </c>
      <c r="R302" s="88">
        <f t="shared" si="110"/>
        <v>460590</v>
      </c>
    </row>
    <row r="303" spans="1:20" ht="15.75" customHeight="1" x14ac:dyDescent="0.3">
      <c r="A303" s="102" t="s">
        <v>288</v>
      </c>
      <c r="B303" s="1">
        <v>0</v>
      </c>
      <c r="C303" s="1">
        <v>352</v>
      </c>
      <c r="D303" s="1">
        <v>1567</v>
      </c>
      <c r="E303" s="59">
        <f t="shared" si="111"/>
        <v>1919</v>
      </c>
      <c r="F303" s="1">
        <v>2588</v>
      </c>
      <c r="G303" s="1">
        <v>3027</v>
      </c>
      <c r="H303" s="1">
        <v>2355</v>
      </c>
      <c r="I303" s="59">
        <f t="shared" si="107"/>
        <v>7970</v>
      </c>
      <c r="J303" s="1">
        <v>2002</v>
      </c>
      <c r="K303" s="1">
        <v>823</v>
      </c>
      <c r="L303" s="1">
        <v>1176</v>
      </c>
      <c r="M303" s="59">
        <f t="shared" si="108"/>
        <v>4001</v>
      </c>
      <c r="N303" s="1">
        <v>2117</v>
      </c>
      <c r="O303" s="1">
        <v>3231</v>
      </c>
      <c r="P303" s="1">
        <v>941</v>
      </c>
      <c r="Q303" s="59">
        <f t="shared" si="109"/>
        <v>6289</v>
      </c>
      <c r="R303" s="59">
        <f t="shared" si="110"/>
        <v>20179</v>
      </c>
      <c r="T303" s="4" t="s">
        <v>121</v>
      </c>
    </row>
    <row r="304" spans="1:20" ht="15.75" customHeight="1" x14ac:dyDescent="0.3">
      <c r="A304" s="108" t="s">
        <v>289</v>
      </c>
      <c r="B304" s="1"/>
      <c r="C304" s="1"/>
      <c r="D304" s="1"/>
      <c r="E304" s="59">
        <f t="shared" si="111"/>
        <v>0</v>
      </c>
      <c r="F304" s="1"/>
      <c r="G304" s="1"/>
      <c r="H304" s="1">
        <v>-21000</v>
      </c>
      <c r="I304" s="59">
        <f t="shared" si="107"/>
        <v>-21000</v>
      </c>
      <c r="J304" s="1">
        <v>-9000</v>
      </c>
      <c r="K304" s="1"/>
      <c r="L304" s="1"/>
      <c r="M304" s="59">
        <f t="shared" si="108"/>
        <v>-9000</v>
      </c>
      <c r="N304" s="1"/>
      <c r="O304" s="1"/>
      <c r="P304" s="1"/>
      <c r="Q304" s="59">
        <f t="shared" si="109"/>
        <v>0</v>
      </c>
      <c r="R304" s="59">
        <f t="shared" si="110"/>
        <v>-30000</v>
      </c>
    </row>
    <row r="305" spans="1:18" ht="15.75" customHeight="1" x14ac:dyDescent="0.3">
      <c r="A305" s="74" t="s">
        <v>290</v>
      </c>
      <c r="B305" s="1"/>
      <c r="C305" s="1"/>
      <c r="D305" s="1"/>
      <c r="E305" s="59">
        <f t="shared" si="111"/>
        <v>0</v>
      </c>
      <c r="F305" s="1"/>
      <c r="G305" s="1"/>
      <c r="H305" s="1"/>
      <c r="I305" s="59">
        <f t="shared" si="107"/>
        <v>0</v>
      </c>
      <c r="J305" s="1"/>
      <c r="K305" s="1"/>
      <c r="L305" s="1"/>
      <c r="M305" s="59">
        <f t="shared" si="108"/>
        <v>0</v>
      </c>
      <c r="N305" s="1"/>
      <c r="O305" s="1"/>
      <c r="P305" s="1"/>
      <c r="Q305" s="59">
        <f t="shared" si="109"/>
        <v>0</v>
      </c>
      <c r="R305" s="59">
        <f t="shared" si="110"/>
        <v>0</v>
      </c>
    </row>
    <row r="306" spans="1:18" ht="15.75" customHeight="1" x14ac:dyDescent="0.3">
      <c r="A306" s="108" t="s">
        <v>291</v>
      </c>
      <c r="B306" s="1">
        <v>42</v>
      </c>
      <c r="C306" s="1">
        <v>43</v>
      </c>
      <c r="D306" s="1">
        <v>47</v>
      </c>
      <c r="E306" s="59">
        <f>SUM(B306:D306)</f>
        <v>132</v>
      </c>
      <c r="F306" s="1">
        <v>52</v>
      </c>
      <c r="G306" s="1">
        <v>52</v>
      </c>
      <c r="H306" s="1">
        <v>57</v>
      </c>
      <c r="I306" s="59">
        <f>SUM(F306:H306)</f>
        <v>161</v>
      </c>
      <c r="J306" s="1">
        <v>62</v>
      </c>
      <c r="K306" s="1">
        <v>62</v>
      </c>
      <c r="L306" s="1">
        <v>62</v>
      </c>
      <c r="M306" s="59">
        <f>SUM(J306:L306)</f>
        <v>186</v>
      </c>
      <c r="N306" s="1">
        <v>57</v>
      </c>
      <c r="O306" s="1">
        <v>42</v>
      </c>
      <c r="P306" s="1">
        <v>47</v>
      </c>
      <c r="Q306" s="59">
        <f>SUM(N306:P306)</f>
        <v>146</v>
      </c>
      <c r="R306" s="59">
        <f t="shared" si="110"/>
        <v>625</v>
      </c>
    </row>
    <row r="307" spans="1:18" ht="15.75" customHeight="1" x14ac:dyDescent="0.3">
      <c r="A307" s="91" t="s">
        <v>292</v>
      </c>
      <c r="B307" s="1">
        <v>54000</v>
      </c>
      <c r="C307" s="1">
        <v>79000</v>
      </c>
      <c r="D307" s="1">
        <v>54000</v>
      </c>
      <c r="E307" s="59">
        <f t="shared" ref="E307" si="112">SUM(B307:D307)</f>
        <v>187000</v>
      </c>
      <c r="F307" s="1">
        <v>8000</v>
      </c>
      <c r="G307" s="1"/>
      <c r="H307" s="1"/>
      <c r="I307" s="59">
        <f t="shared" ref="I307" si="113">SUM(F307:H307)</f>
        <v>8000</v>
      </c>
      <c r="J307" s="1"/>
      <c r="K307" s="1"/>
      <c r="L307" s="1">
        <v>13000</v>
      </c>
      <c r="M307" s="59">
        <f t="shared" ref="M307" si="114">SUM(J307:L307)</f>
        <v>13000</v>
      </c>
      <c r="N307" s="1">
        <v>42000</v>
      </c>
      <c r="O307" s="1">
        <v>82000</v>
      </c>
      <c r="P307" s="1">
        <v>74000</v>
      </c>
      <c r="Q307" s="59">
        <f t="shared" si="109"/>
        <v>198000</v>
      </c>
      <c r="R307" s="59">
        <f t="shared" si="110"/>
        <v>406000</v>
      </c>
    </row>
    <row r="308" spans="1:18" ht="16.5" customHeight="1" thickBot="1" x14ac:dyDescent="0.35">
      <c r="A308" s="40" t="s">
        <v>37</v>
      </c>
      <c r="B308" s="25">
        <v>104</v>
      </c>
      <c r="C308" s="25">
        <v>268</v>
      </c>
      <c r="D308" s="25">
        <v>474</v>
      </c>
      <c r="E308" s="59">
        <f>SUM(B308:D308)</f>
        <v>846</v>
      </c>
      <c r="F308" s="25">
        <v>647</v>
      </c>
      <c r="G308" s="25">
        <v>742</v>
      </c>
      <c r="H308" s="25">
        <v>781</v>
      </c>
      <c r="I308" s="59">
        <f t="shared" si="107"/>
        <v>2170</v>
      </c>
      <c r="J308" s="25">
        <v>774</v>
      </c>
      <c r="K308" s="25">
        <v>596</v>
      </c>
      <c r="L308" s="25">
        <v>546</v>
      </c>
      <c r="M308" s="59">
        <f t="shared" si="108"/>
        <v>1916</v>
      </c>
      <c r="N308" s="25">
        <v>517</v>
      </c>
      <c r="O308" s="25">
        <v>413</v>
      </c>
      <c r="P308" s="25">
        <v>302</v>
      </c>
      <c r="Q308" s="59">
        <f t="shared" si="109"/>
        <v>1232</v>
      </c>
      <c r="R308" s="59">
        <f t="shared" si="110"/>
        <v>6164</v>
      </c>
    </row>
    <row r="309" spans="1:18" ht="16.5" customHeight="1" thickBot="1" x14ac:dyDescent="0.35">
      <c r="A309" s="80"/>
      <c r="B309" s="81"/>
      <c r="C309" s="81"/>
      <c r="D309" s="81"/>
      <c r="E309" s="65"/>
      <c r="F309" s="81"/>
      <c r="G309" s="81"/>
      <c r="H309" s="81"/>
      <c r="I309" s="64"/>
      <c r="J309" s="81"/>
      <c r="K309" s="81"/>
      <c r="L309" s="81"/>
      <c r="M309" s="64"/>
      <c r="N309" s="81"/>
      <c r="O309" s="81"/>
      <c r="P309" s="81"/>
      <c r="Q309" s="64"/>
      <c r="R309" s="64" t="s">
        <v>7</v>
      </c>
    </row>
    <row r="310" spans="1:18" ht="15.75" customHeight="1" x14ac:dyDescent="0.3">
      <c r="A310" s="82" t="s">
        <v>38</v>
      </c>
      <c r="B310" s="83">
        <f>SUM(B302:B308)</f>
        <v>77101</v>
      </c>
      <c r="C310" s="83">
        <f>SUM(C302:C308)</f>
        <v>102173</v>
      </c>
      <c r="D310" s="83">
        <f>SUM(D302:D308)</f>
        <v>85584</v>
      </c>
      <c r="E310" s="65">
        <f>SUM(B310:D310)</f>
        <v>264858</v>
      </c>
      <c r="F310" s="83">
        <f>SUM(F302:F308)</f>
        <v>55727</v>
      </c>
      <c r="G310" s="83">
        <f>SUM(G302:G308)</f>
        <v>51244</v>
      </c>
      <c r="H310" s="83">
        <f>SUM(H302:H308)</f>
        <v>35914</v>
      </c>
      <c r="I310" s="65">
        <f>SUM(F310:H310)</f>
        <v>142885</v>
      </c>
      <c r="J310" s="83">
        <f>SUM(J302:J308)</f>
        <v>50954</v>
      </c>
      <c r="K310" s="83">
        <f>SUM(K302:K308)</f>
        <v>59035</v>
      </c>
      <c r="L310" s="83">
        <f>SUM(L302:L308)</f>
        <v>65263</v>
      </c>
      <c r="M310" s="65">
        <f>SUM(J310:L310)</f>
        <v>175252</v>
      </c>
      <c r="N310" s="83">
        <f>SUM(N302:N308)</f>
        <v>83383</v>
      </c>
      <c r="O310" s="83">
        <f>SUM(O302:O308)</f>
        <v>107057</v>
      </c>
      <c r="P310" s="83">
        <f>SUM(P302:P308)</f>
        <v>90123</v>
      </c>
      <c r="Q310" s="109">
        <f>SUM(N310:P310)</f>
        <v>280563</v>
      </c>
      <c r="R310" s="65">
        <f>+E310+I310+M310+Q310</f>
        <v>863558</v>
      </c>
    </row>
    <row r="311" spans="1:18" ht="15.75" customHeight="1" x14ac:dyDescent="0.3">
      <c r="A311" s="85" t="s">
        <v>39</v>
      </c>
      <c r="B311" s="1">
        <f>(B310/B10)/1.983</f>
        <v>1254.2254323036129</v>
      </c>
      <c r="C311" s="1">
        <f>(C310/C10)/1.983</f>
        <v>1840.159210431525</v>
      </c>
      <c r="D311" s="1">
        <f>(D310/D10)/1.983</f>
        <v>1392.2209750622226</v>
      </c>
      <c r="E311" s="59" t="s">
        <v>7</v>
      </c>
      <c r="F311" s="1">
        <f>(F310/F10)/1.983</f>
        <v>936.74567154143551</v>
      </c>
      <c r="G311" s="1">
        <f>(G310/G10)/1.983</f>
        <v>833.60174385502569</v>
      </c>
      <c r="H311" s="1">
        <f>(H310/H10)/1.983</f>
        <v>603.69810052109597</v>
      </c>
      <c r="I311" s="59" t="s">
        <v>7</v>
      </c>
      <c r="J311" s="1">
        <f>(J310/J10)/1.983</f>
        <v>828.88422559497667</v>
      </c>
      <c r="K311" s="1">
        <f>(K310/K10)/1.983</f>
        <v>960.34031200689719</v>
      </c>
      <c r="L311" s="1">
        <f>(L310/L10)/1.983</f>
        <v>1097.0415195831231</v>
      </c>
      <c r="M311" s="59" t="s">
        <v>7</v>
      </c>
      <c r="N311" s="1">
        <f>(N310/N10)/1.983</f>
        <v>1356.4166381988841</v>
      </c>
      <c r="O311" s="1">
        <f>(O310/O10)/1.983</f>
        <v>1799.5797613044208</v>
      </c>
      <c r="P311" s="1">
        <f>(P310/P10)/1.983</f>
        <v>1466.0582694841637</v>
      </c>
      <c r="Q311" s="110" t="s">
        <v>7</v>
      </c>
      <c r="R311" s="59" t="s">
        <v>7</v>
      </c>
    </row>
    <row r="312" spans="1:18" ht="15.75" customHeight="1" x14ac:dyDescent="0.3">
      <c r="A312" s="85" t="s">
        <v>293</v>
      </c>
      <c r="B312" s="1">
        <f>(+B310+B482)+B319</f>
        <v>87122</v>
      </c>
      <c r="C312" s="1">
        <f>(+C310+C482)+C319</f>
        <v>161523</v>
      </c>
      <c r="D312" s="1">
        <f>(+D310+D482)+D319</f>
        <v>174020</v>
      </c>
      <c r="E312" s="59">
        <f>SUM(B312:D312)</f>
        <v>422665</v>
      </c>
      <c r="F312" s="1">
        <f>(+F310+F482)+F319</f>
        <v>167599</v>
      </c>
      <c r="G312" s="1">
        <f>(+G310+G482)+G319</f>
        <v>173458</v>
      </c>
      <c r="H312" s="1">
        <f>(+H310+H482)+H319</f>
        <v>65301</v>
      </c>
      <c r="I312" s="59">
        <f>SUM(F312:H312)</f>
        <v>406358</v>
      </c>
      <c r="J312" s="1">
        <f>(+J310+J482)+J319</f>
        <v>67651</v>
      </c>
      <c r="K312" s="1">
        <f>(+K310+K482)+K319</f>
        <v>68215</v>
      </c>
      <c r="L312" s="1">
        <f>(+L310+L482)+L319</f>
        <v>144650</v>
      </c>
      <c r="M312" s="59">
        <f>SUM(J312:L312)</f>
        <v>280516</v>
      </c>
      <c r="N312" s="1">
        <f>(+N310+N482)+N319</f>
        <v>141019</v>
      </c>
      <c r="O312" s="1">
        <f>(+O310+O482)+O319</f>
        <v>117424</v>
      </c>
      <c r="P312" s="1">
        <f>(+P310+P482)+P319</f>
        <v>121214</v>
      </c>
      <c r="Q312" s="110">
        <f>SUM(N312:P312)</f>
        <v>379657</v>
      </c>
      <c r="R312" s="59">
        <f>+E312+I312+M312+Q312</f>
        <v>1489196</v>
      </c>
    </row>
    <row r="313" spans="1:18" ht="16.5" customHeight="1" thickBot="1" x14ac:dyDescent="0.35">
      <c r="A313" s="86" t="s">
        <v>294</v>
      </c>
      <c r="B313" s="87">
        <f>(B312/B10)/1.983</f>
        <v>1417.2400891448278</v>
      </c>
      <c r="C313" s="87">
        <f>(C312/C10)/1.983</f>
        <v>2909.0663496866218</v>
      </c>
      <c r="D313" s="87">
        <f>(D312/D10)/1.983</f>
        <v>2830.8363021163764</v>
      </c>
      <c r="E313" s="88" t="s">
        <v>7</v>
      </c>
      <c r="F313" s="87">
        <f>(F312/F10)/1.983</f>
        <v>2817.2634056143888</v>
      </c>
      <c r="G313" s="87">
        <f>(G312/G10)/1.983</f>
        <v>2821.6940770744877</v>
      </c>
      <c r="H313" s="87">
        <f>(H312/H10)/1.983</f>
        <v>1097.6802824004033</v>
      </c>
      <c r="I313" s="88" t="s">
        <v>7</v>
      </c>
      <c r="J313" s="87">
        <f>(J312/J10)/1.983</f>
        <v>1100.4994062433914</v>
      </c>
      <c r="K313" s="87">
        <f>(K312/K10)/1.983</f>
        <v>1109.6741658939698</v>
      </c>
      <c r="L313" s="87">
        <f>(L312/L10)/1.983</f>
        <v>2431.5010926206087</v>
      </c>
      <c r="M313" s="88" t="s">
        <v>7</v>
      </c>
      <c r="N313" s="87">
        <f>(N312/N10)/1.983</f>
        <v>2293.9989914271305</v>
      </c>
      <c r="O313" s="87">
        <f>(O312/O10)/1.983</f>
        <v>1973.8443435871573</v>
      </c>
      <c r="P313" s="87">
        <f>(P312/P10)/1.983</f>
        <v>1971.825028874465</v>
      </c>
      <c r="Q313" s="111" t="s">
        <v>7</v>
      </c>
      <c r="R313" s="88" t="s">
        <v>7</v>
      </c>
    </row>
    <row r="314" spans="1:18" ht="16.5" customHeight="1" thickBot="1" x14ac:dyDescent="0.35">
      <c r="A314" s="112" t="s">
        <v>295</v>
      </c>
      <c r="B314" s="113">
        <f>+(B312-(B141+B142+B143+B144+B147+B149+B150+B153+B154+B155+B159+B161++B167+B168+B170+B171+B173+B174+B175+B176+B177+B186+B187+B188+B199+B202+B204+B205+B212+B219+B220+B222+B223+B224+B230+B237+B239+B240+B241+B242+B244+B245+B246+B254+B262+B263+B266+B285+B286+B288+B289+B292+B293+B297+B303+B307+B315)-B319)/(B10*1.983)</f>
        <v>1037.0731866022481</v>
      </c>
      <c r="C314" s="113">
        <f>+(C312-(C141+C142+C143+C144+C147+C149+C150+C153+C154+C155+C159+C161++C167+C168+C170+C171+C173+C174+C175+C176+C177+C186+C187+C188+C199+C202+C204+C205+C212+C219+C220+C222+C223+C224+C230+C237+C239+C240+C241+C242+C244+C245+C246+C254+C262+C263+C266+C285+C286+C288+C289+C292+C293+C297+C303+C307+C315)-C319)/(C10*1.983)</f>
        <v>1438.6571572653268</v>
      </c>
      <c r="D314" s="113">
        <f>+(D312-(D141+D142+D143+D144+D147+D149+D150+D153+D154+D155+D159+D161++D167+D168+D170+D171+D173+D174+D175+D176+D177+D186+D187+D188+D199+D202+D204+D205+D212+D219+D220+D222+D223+D224+D230+D237+D239+D240+D241+D242+D244+D245+D246+D254+D262+D263+D266+D285+D286+D288+D289+D292+D293+D297+D303+D307+D315)-D319)/(D10*1.983)</f>
        <v>1848.7303368958728</v>
      </c>
      <c r="E314" s="114"/>
      <c r="F314" s="113">
        <f>+(F312-(F141+F142+F143+F144+F147+F149+F150+F153+F154+F155+F159+F161++F167+F168+F170+F171+F173+F174+F175+F176+F177+F186+F187+F188+F199+F202+F204+F205+F212+F219+F220+F222+F223+F224+F230+F237+F239+F240+F241+F242+F244+F245+F246+F254+F262+F263+F266+F285+F286+F288+F289+F292+F293+F297+F303+F307+F315)-F319)/(F10*1.983)</f>
        <v>2540.4773911581779</v>
      </c>
      <c r="G314" s="113">
        <f>+(G312-(G141+G142+G143+G144+G147+G149+G150+G153+G154+G155+G159+G161++G167+G168+G170+G171+G173+G174+G175+G176+G177+G186+G187+G188+G199+G202+G204+G205+G212+G219+G220+G222+G223+G224+G230+G237+G239+G240+G241+G242+G244+G245+G246+G254+G262+G263+G266+G285+G286+G288+G289+G292+G293+G297+G303+G307+G315)-G319)/(G10*1.983)</f>
        <v>2759.8945878678442</v>
      </c>
      <c r="H314" s="113">
        <f>+(H312-(H141+H142+H143+H144+H147+H149+H150+H153+H154+H155+H159+H161++H167+H168+H170+H171+H173+H174+H175+H176+H177+H186+H187+H188+H199+H202+H204+H205+H212+H219+H220+H222+H223+H224+H230+H237+H239+H240+H241+H242+H244+H245+H246+H254+H262+H263+H266+H285+H286+H288+H289+H292+H293+H297+H303+H307+H315)-H319)/(H10*1.983)</f>
        <v>2722.0709362918137</v>
      </c>
      <c r="I314" s="114"/>
      <c r="J314" s="113">
        <f>+(J312-(J141+J142+J143+J144+J147+J149+J150+J153+J154+J155+J159+J161++J167+J168+J170+J171+J173+J174+J175+J176+J177+J186+J187+J188+J199+J202+J204+J205+J212+J219+J220+J222+J223+J224+J230+J237+J239+J240+J241+J242+J244+J245+J246+J254+J262+J263+J266+J285+J286+J288+J289+J292+J293+J297+J303+J307+J315)-J319)/(J10*1.983)</f>
        <v>2699.9495713565302</v>
      </c>
      <c r="K314" s="113">
        <f>+(K312-(K141+K142+K143+K144+K147+K149+K150+K153+K154+K155+K159+K161++K167+K168+K170+K171+K173+K174+K175+K176+K177+K186+K187+K188+K199+K202+K204+K205+K212+K219+K220+K222+K223+K224+K230+K237+K239+K240+K241+K242+K244+K245+K246+K254+K262+K263+K266+K285+K286+K288+K289+K292+K293+K297+K303+K307+K315)-K319)/(K10*1.983)</f>
        <v>2567.4849120752197</v>
      </c>
      <c r="L314" s="113">
        <f>+(L312-(L141+L142+L143+L144+L147+L149+L150+L153+L154+L155+L159+L161++L167+L168+L170+L171+L173+L174+L175+L176+L177+L186+L187+L188+L199+L202+L204+L205+L212+L219+L220+L222+L223+L224+L230+L237+L239+L240+L241+L242+L244+L245+L246+L254+L262+L263+L266+L285+L286+L288+L289+L292+L293+L297+L303+L307+L315)-L319)/(L10*1.983)</f>
        <v>2077.9290637081863</v>
      </c>
      <c r="M314" s="114"/>
      <c r="N314" s="113">
        <f>+(N312-(N141+N142+N143+N144+N147+N149+N150+N153+N154+N155+N159+N161++N167+N168+N170+N171+N173+N174+N175+N176+N177+N186+N187+N188+N199+N202+N204+N205+N212+N219+N220+N222+N223+N224+N230+N237+N239+N240+N241+N242+N244+N245+N246+N254+N262+N263+N266+N285+N286+N288+N289+N292+N293+N297+N303+N307+N315)-N319)/(N10*1.983)</f>
        <v>1478.8118360906412</v>
      </c>
      <c r="O314" s="113">
        <f>+(O312-(O141+O142+O143+O144+O147+O149+O150+O153+O154+O155+O159+O161++O167+O168+O170+O171+O173+O174+O175+O176+O177+O186+O187+O188+O199+O202+O204+O205+O212+O219+O220+O222+O223+O224+O230+O237+O239+O240+O241+O242+O244+O245+O246+O254+O262+O263+O266+O285+O286+O288+O289+O292+O293+O297+O303+O307+O315)-O319)/(O10*1.983)</f>
        <v>502.01714573877962</v>
      </c>
      <c r="P314" s="113">
        <f>+(P312-(P141+P142+P143+P144+P147+P149+P150+P153+P154+P155+P159+P161++P167+P168+P170+P171+P173+P174+P175+P176+P177+P186+P187+P188+P199+P202+P204+P205+P212+P219+P220+P222+P223+P224+P230+P237+P239+P240+P241+P242+P244+P245+P246+P254+P262+P263+P266+P285+P286+P288+P289+P292+P293+P297+P303+P307+P315)-P319)/(P10*1.983)</f>
        <v>738.34040961072333</v>
      </c>
      <c r="Q314" s="115"/>
      <c r="R314" s="114"/>
    </row>
    <row r="315" spans="1:18" ht="15.75" customHeight="1" x14ac:dyDescent="0.3">
      <c r="A315" s="116" t="s">
        <v>296</v>
      </c>
      <c r="B315" s="1"/>
      <c r="C315" s="1"/>
      <c r="D315" s="1"/>
      <c r="E315" s="1"/>
      <c r="F315" s="1"/>
      <c r="G315" s="1"/>
      <c r="H315" s="1"/>
      <c r="I315" s="1"/>
      <c r="J315" s="1"/>
      <c r="K315" s="1"/>
      <c r="L315" s="1"/>
      <c r="M315" s="1"/>
      <c r="N315" s="1"/>
      <c r="O315" s="1"/>
      <c r="P315" s="1"/>
      <c r="Q315" s="1"/>
      <c r="R315" s="28"/>
    </row>
    <row r="316" spans="1:18" ht="15.75" customHeight="1" thickBot="1" x14ac:dyDescent="0.35">
      <c r="A316" s="30"/>
      <c r="B316" s="1"/>
      <c r="C316" s="1"/>
      <c r="D316" s="1"/>
      <c r="E316" s="1"/>
      <c r="F316" s="1"/>
      <c r="G316" s="1"/>
      <c r="H316" s="1"/>
      <c r="I316" s="1"/>
      <c r="J316" s="1"/>
      <c r="K316" s="1"/>
      <c r="L316" s="1"/>
      <c r="M316" s="1"/>
      <c r="N316" s="1"/>
      <c r="O316" s="1"/>
      <c r="P316" s="1"/>
      <c r="Q316" s="1"/>
      <c r="R316" s="28"/>
    </row>
    <row r="317" spans="1:18" ht="16.5" customHeight="1" thickBot="1" x14ac:dyDescent="0.35">
      <c r="A317" s="31" t="s">
        <v>297</v>
      </c>
      <c r="B317" s="32" t="s">
        <v>36</v>
      </c>
      <c r="C317" s="33" t="s">
        <v>9</v>
      </c>
      <c r="D317" s="33" t="s">
        <v>10</v>
      </c>
      <c r="E317" s="12" t="s">
        <v>11</v>
      </c>
      <c r="F317" s="33" t="s">
        <v>12</v>
      </c>
      <c r="G317" s="33" t="s">
        <v>13</v>
      </c>
      <c r="H317" s="33" t="s">
        <v>14</v>
      </c>
      <c r="I317" s="34" t="s">
        <v>15</v>
      </c>
      <c r="J317" s="33" t="s">
        <v>16</v>
      </c>
      <c r="K317" s="33" t="s">
        <v>17</v>
      </c>
      <c r="L317" s="33" t="s">
        <v>18</v>
      </c>
      <c r="M317" s="34" t="s">
        <v>19</v>
      </c>
      <c r="N317" s="33" t="s">
        <v>20</v>
      </c>
      <c r="O317" s="33" t="s">
        <v>21</v>
      </c>
      <c r="P317" s="33" t="s">
        <v>22</v>
      </c>
      <c r="Q317" s="34" t="s">
        <v>23</v>
      </c>
      <c r="R317" s="35" t="s">
        <v>24</v>
      </c>
    </row>
    <row r="318" spans="1:18" ht="16.5" customHeight="1" thickBot="1" x14ac:dyDescent="0.35">
      <c r="A318" s="80"/>
      <c r="B318" s="81"/>
      <c r="C318" s="81"/>
      <c r="D318" s="81"/>
      <c r="E318" s="89"/>
      <c r="F318" s="81"/>
      <c r="G318" s="81"/>
      <c r="H318" s="81"/>
      <c r="I318" s="89"/>
      <c r="J318" s="81"/>
      <c r="K318" s="81"/>
      <c r="L318" s="81"/>
      <c r="M318" s="89"/>
      <c r="N318" s="81"/>
      <c r="O318" s="81"/>
      <c r="P318" s="81"/>
      <c r="Q318" s="89"/>
      <c r="R318" s="117"/>
    </row>
    <row r="319" spans="1:18" ht="15.75" customHeight="1" thickBot="1" x14ac:dyDescent="0.35">
      <c r="A319" s="74" t="s">
        <v>298</v>
      </c>
      <c r="B319" s="1">
        <v>-33000</v>
      </c>
      <c r="C319" s="1"/>
      <c r="D319" s="1"/>
      <c r="E319" s="59">
        <f>SUM(B319:D319)</f>
        <v>-33000</v>
      </c>
      <c r="F319" s="1"/>
      <c r="G319" s="1">
        <v>-6000</v>
      </c>
      <c r="H319" s="1">
        <v>-107000</v>
      </c>
      <c r="I319" s="59">
        <f>SUM(F319:H319)</f>
        <v>-113000</v>
      </c>
      <c r="J319" s="1">
        <v>-107000</v>
      </c>
      <c r="K319" s="1">
        <v>-97000</v>
      </c>
      <c r="L319" s="1"/>
      <c r="M319" s="59">
        <f>SUM(J319:L319)</f>
        <v>-204000</v>
      </c>
      <c r="N319" s="1"/>
      <c r="O319" s="1"/>
      <c r="P319" s="1"/>
      <c r="Q319" s="59">
        <f>SUM(N319:P319)</f>
        <v>0</v>
      </c>
      <c r="R319" s="59">
        <f>+E319+I319+M319+Q319</f>
        <v>-350000</v>
      </c>
    </row>
    <row r="320" spans="1:18" ht="16.5" customHeight="1" thickBot="1" x14ac:dyDescent="0.35">
      <c r="A320" s="118"/>
      <c r="B320" s="119"/>
      <c r="C320" s="119"/>
      <c r="D320" s="119"/>
      <c r="E320" s="120"/>
      <c r="F320" s="119"/>
      <c r="G320" s="119"/>
      <c r="H320" s="119"/>
      <c r="I320" s="120"/>
      <c r="J320" s="119"/>
      <c r="K320" s="119"/>
      <c r="L320" s="119"/>
      <c r="M320" s="120"/>
      <c r="N320" s="119"/>
      <c r="O320" s="119"/>
      <c r="P320" s="119"/>
      <c r="Q320" s="120"/>
      <c r="R320" s="121"/>
    </row>
    <row r="321" spans="1:20" ht="15.75" customHeight="1" x14ac:dyDescent="0.3">
      <c r="A321" s="17" t="s">
        <v>32</v>
      </c>
      <c r="B321" s="1">
        <f>B319</f>
        <v>-33000</v>
      </c>
      <c r="C321" s="1">
        <f>C319</f>
        <v>0</v>
      </c>
      <c r="D321" s="1">
        <f>D319</f>
        <v>0</v>
      </c>
      <c r="E321" s="59">
        <f>SUM(B321:D321)</f>
        <v>-33000</v>
      </c>
      <c r="F321" s="1">
        <f>F319</f>
        <v>0</v>
      </c>
      <c r="G321" s="1">
        <f>G319</f>
        <v>-6000</v>
      </c>
      <c r="H321" s="1">
        <f>H319</f>
        <v>-107000</v>
      </c>
      <c r="I321" s="59">
        <f>SUM(F321:H321)</f>
        <v>-113000</v>
      </c>
      <c r="J321" s="1">
        <f>J319</f>
        <v>-107000</v>
      </c>
      <c r="K321" s="1">
        <f>K319</f>
        <v>-97000</v>
      </c>
      <c r="L321" s="1">
        <f>L319</f>
        <v>0</v>
      </c>
      <c r="M321" s="59">
        <f>SUM(J321:L321)</f>
        <v>-204000</v>
      </c>
      <c r="N321" s="1">
        <f>N319</f>
        <v>0</v>
      </c>
      <c r="O321" s="1">
        <f>O319</f>
        <v>0</v>
      </c>
      <c r="P321" s="1">
        <f>P319</f>
        <v>0</v>
      </c>
      <c r="Q321" s="59">
        <f>SUM(N321:P321)</f>
        <v>0</v>
      </c>
      <c r="R321" s="122">
        <f>R319</f>
        <v>-350000</v>
      </c>
    </row>
    <row r="322" spans="1:20" ht="16.5" customHeight="1" thickBot="1" x14ac:dyDescent="0.35">
      <c r="A322" s="24" t="s">
        <v>39</v>
      </c>
      <c r="B322" s="25">
        <f>(B321/B10)/1.983</f>
        <v>-536.82104338490069</v>
      </c>
      <c r="C322" s="25">
        <f>(C321/C10)/1.983</f>
        <v>0</v>
      </c>
      <c r="D322" s="25">
        <f>(D321/D10)/1.983</f>
        <v>0</v>
      </c>
      <c r="E322" s="88"/>
      <c r="F322" s="25">
        <f>(F321/F10)/1.983</f>
        <v>0</v>
      </c>
      <c r="G322" s="25">
        <f>(G321/G10)/1.983</f>
        <v>-97.603826069981949</v>
      </c>
      <c r="H322" s="25">
        <f>(H321/H10)/1.983</f>
        <v>-1798.6216170785003</v>
      </c>
      <c r="I322" s="88"/>
      <c r="J322" s="25">
        <f>(J321/J10)/1.983</f>
        <v>-1740.601564914678</v>
      </c>
      <c r="K322" s="25">
        <f>(K321/K10)/1.983</f>
        <v>-1577.928521464708</v>
      </c>
      <c r="L322" s="25">
        <f>(L321/L10)/1.983</f>
        <v>0</v>
      </c>
      <c r="M322" s="88"/>
      <c r="N322" s="25">
        <f>(N321/N10)/1.983</f>
        <v>0</v>
      </c>
      <c r="O322" s="25">
        <f>(O321/O10)/1.983</f>
        <v>0</v>
      </c>
      <c r="P322" s="25">
        <f>(P321/P10)/1.983</f>
        <v>0</v>
      </c>
      <c r="Q322" s="88"/>
      <c r="R322" s="117" t="s">
        <v>7</v>
      </c>
    </row>
    <row r="323" spans="1:20" ht="15.75" customHeight="1" x14ac:dyDescent="0.3">
      <c r="A323" s="28"/>
      <c r="B323" s="1"/>
      <c r="C323" s="1"/>
      <c r="D323" s="1"/>
      <c r="E323" s="1"/>
      <c r="F323" s="1"/>
      <c r="G323" s="1"/>
      <c r="H323" s="1"/>
      <c r="I323" s="1"/>
      <c r="J323" s="1"/>
      <c r="K323" s="1"/>
      <c r="L323" s="1"/>
      <c r="M323" s="1"/>
      <c r="N323" s="1"/>
      <c r="O323" s="1"/>
      <c r="P323" s="1"/>
      <c r="Q323" s="1"/>
      <c r="R323" s="28"/>
    </row>
    <row r="324" spans="1:20" ht="16.5" customHeight="1" thickBot="1" x14ac:dyDescent="0.35">
      <c r="A324" s="123"/>
      <c r="B324" s="25"/>
      <c r="C324" s="25"/>
      <c r="D324" s="25"/>
      <c r="E324" s="25"/>
      <c r="F324" s="25"/>
      <c r="G324" s="25"/>
      <c r="H324" s="25"/>
      <c r="I324" s="25"/>
      <c r="J324" s="25"/>
      <c r="K324" s="25"/>
      <c r="L324" s="25"/>
      <c r="M324" s="25"/>
      <c r="N324" s="25"/>
      <c r="O324" s="25"/>
      <c r="P324" s="25"/>
      <c r="Q324" s="25"/>
      <c r="R324" s="123"/>
    </row>
    <row r="325" spans="1:20" ht="16.5" customHeight="1" thickBot="1" x14ac:dyDescent="0.35">
      <c r="A325" s="124" t="s">
        <v>299</v>
      </c>
      <c r="B325" s="32" t="s">
        <v>36</v>
      </c>
      <c r="C325" s="33" t="s">
        <v>9</v>
      </c>
      <c r="D325" s="33" t="s">
        <v>10</v>
      </c>
      <c r="E325" s="12" t="s">
        <v>11</v>
      </c>
      <c r="F325" s="33" t="s">
        <v>12</v>
      </c>
      <c r="G325" s="33" t="s">
        <v>13</v>
      </c>
      <c r="H325" s="33" t="s">
        <v>14</v>
      </c>
      <c r="I325" s="34" t="s">
        <v>15</v>
      </c>
      <c r="J325" s="33" t="s">
        <v>16</v>
      </c>
      <c r="K325" s="33" t="s">
        <v>17</v>
      </c>
      <c r="L325" s="33" t="s">
        <v>18</v>
      </c>
      <c r="M325" s="34" t="s">
        <v>19</v>
      </c>
      <c r="N325" s="33" t="s">
        <v>20</v>
      </c>
      <c r="O325" s="33" t="s">
        <v>21</v>
      </c>
      <c r="P325" s="33" t="s">
        <v>22</v>
      </c>
      <c r="Q325" s="34" t="s">
        <v>23</v>
      </c>
      <c r="R325" s="35" t="s">
        <v>24</v>
      </c>
    </row>
    <row r="326" spans="1:20" ht="16.5" customHeight="1" thickBot="1" x14ac:dyDescent="0.35">
      <c r="A326" s="64"/>
      <c r="B326" s="81"/>
      <c r="C326" s="81"/>
      <c r="D326" s="81"/>
      <c r="E326" s="72"/>
      <c r="F326" s="81"/>
      <c r="G326" s="81"/>
      <c r="H326" s="81"/>
      <c r="I326" s="89"/>
      <c r="J326" s="81"/>
      <c r="K326" s="81"/>
      <c r="L326" s="81"/>
      <c r="M326" s="89"/>
      <c r="N326" s="81"/>
      <c r="O326" s="81"/>
      <c r="P326" s="81"/>
      <c r="Q326" s="89"/>
      <c r="R326" s="122"/>
    </row>
    <row r="327" spans="1:20" ht="15.75" customHeight="1" x14ac:dyDescent="0.3">
      <c r="A327" s="17" t="s">
        <v>45</v>
      </c>
      <c r="B327" s="1"/>
      <c r="C327" s="1"/>
      <c r="D327" s="1"/>
      <c r="E327" s="59" t="s">
        <v>7</v>
      </c>
      <c r="F327" s="1" t="s">
        <v>7</v>
      </c>
      <c r="G327" s="1" t="s">
        <v>7</v>
      </c>
      <c r="H327" s="1" t="s">
        <v>7</v>
      </c>
      <c r="I327" s="59" t="s">
        <v>7</v>
      </c>
      <c r="J327" s="1" t="s">
        <v>7</v>
      </c>
      <c r="K327" s="1" t="s">
        <v>7</v>
      </c>
      <c r="L327" s="1" t="s">
        <v>7</v>
      </c>
      <c r="M327" s="59" t="s">
        <v>7</v>
      </c>
      <c r="N327" s="1" t="s">
        <v>7</v>
      </c>
      <c r="O327" s="1" t="s">
        <v>7</v>
      </c>
      <c r="P327" s="1" t="s">
        <v>7</v>
      </c>
      <c r="Q327" s="59" t="s">
        <v>7</v>
      </c>
      <c r="R327" s="65" t="s">
        <v>7</v>
      </c>
    </row>
    <row r="328" spans="1:20" ht="15.75" customHeight="1" x14ac:dyDescent="0.3">
      <c r="A328" s="17" t="s">
        <v>46</v>
      </c>
      <c r="B328" s="1"/>
      <c r="C328" s="1"/>
      <c r="D328" s="1"/>
      <c r="E328" s="59" t="s">
        <v>7</v>
      </c>
      <c r="F328" s="1"/>
      <c r="G328" s="1"/>
      <c r="H328" s="1"/>
      <c r="I328" s="59" t="s">
        <v>7</v>
      </c>
      <c r="J328" s="1"/>
      <c r="K328" s="1"/>
      <c r="L328" s="1"/>
      <c r="M328" s="59" t="s">
        <v>7</v>
      </c>
      <c r="N328" s="1"/>
      <c r="O328" s="1"/>
      <c r="P328" s="1"/>
      <c r="Q328" s="59" t="s">
        <v>7</v>
      </c>
      <c r="R328" s="59" t="s">
        <v>7</v>
      </c>
    </row>
    <row r="329" spans="1:20" ht="15.75" customHeight="1" x14ac:dyDescent="0.3">
      <c r="A329" s="76" t="s">
        <v>300</v>
      </c>
      <c r="B329" s="1"/>
      <c r="C329" s="1"/>
      <c r="D329" s="1"/>
      <c r="E329" s="59">
        <f t="shared" ref="E329:E355" si="115">SUM(B329:D329)</f>
        <v>0</v>
      </c>
      <c r="F329" s="1"/>
      <c r="G329" s="1"/>
      <c r="H329" s="1"/>
      <c r="I329" s="59">
        <f t="shared" ref="I329:I355" si="116">SUM(F329:H329)</f>
        <v>0</v>
      </c>
      <c r="J329" s="1">
        <v>6</v>
      </c>
      <c r="K329" s="1">
        <f>1+2+115</f>
        <v>118</v>
      </c>
      <c r="L329" s="1">
        <f>1+2+110</f>
        <v>113</v>
      </c>
      <c r="M329" s="59">
        <f t="shared" ref="M329:M355" si="117">SUM(J329:L329)</f>
        <v>237</v>
      </c>
      <c r="N329" s="1">
        <f>1+2+115</f>
        <v>118</v>
      </c>
      <c r="O329" s="1">
        <f>1+2+110</f>
        <v>113</v>
      </c>
      <c r="P329" s="1">
        <f>1+2+115</f>
        <v>118</v>
      </c>
      <c r="Q329" s="59">
        <f t="shared" ref="Q329:Q358" si="118">SUM(N329:P329)</f>
        <v>349</v>
      </c>
      <c r="R329" s="59">
        <f t="shared" ref="R329:R358" si="119">+E329+I329+M329+Q329</f>
        <v>586</v>
      </c>
      <c r="T329" s="4" t="s">
        <v>301</v>
      </c>
    </row>
    <row r="330" spans="1:20" ht="15.75" customHeight="1" x14ac:dyDescent="0.3">
      <c r="A330" s="76" t="s">
        <v>303</v>
      </c>
      <c r="B330" s="1"/>
      <c r="C330" s="1"/>
      <c r="D330" s="1"/>
      <c r="E330" s="59">
        <f t="shared" si="115"/>
        <v>0</v>
      </c>
      <c r="F330" s="1"/>
      <c r="G330" s="1"/>
      <c r="H330" s="1"/>
      <c r="I330" s="59">
        <f t="shared" si="116"/>
        <v>0</v>
      </c>
      <c r="J330" s="1">
        <v>400</v>
      </c>
      <c r="K330" s="1"/>
      <c r="L330" s="1"/>
      <c r="M330" s="59">
        <f t="shared" si="117"/>
        <v>400</v>
      </c>
      <c r="N330" s="1"/>
      <c r="O330" s="1"/>
      <c r="P330" s="1"/>
      <c r="Q330" s="59">
        <f t="shared" si="118"/>
        <v>0</v>
      </c>
      <c r="R330" s="59">
        <f t="shared" si="119"/>
        <v>400</v>
      </c>
    </row>
    <row r="331" spans="1:20" ht="15.75" customHeight="1" x14ac:dyDescent="0.3">
      <c r="A331" s="76" t="s">
        <v>304</v>
      </c>
      <c r="B331" s="1"/>
      <c r="C331" s="1"/>
      <c r="D331" s="1"/>
      <c r="E331" s="59">
        <f t="shared" si="115"/>
        <v>0</v>
      </c>
      <c r="F331" s="1"/>
      <c r="G331" s="1"/>
      <c r="H331" s="1"/>
      <c r="I331" s="59">
        <f t="shared" si="116"/>
        <v>0</v>
      </c>
      <c r="J331" s="1"/>
      <c r="K331" s="1"/>
      <c r="L331" s="1"/>
      <c r="M331" s="59">
        <f t="shared" si="117"/>
        <v>0</v>
      </c>
      <c r="N331" s="1"/>
      <c r="O331" s="1"/>
      <c r="P331" s="1"/>
      <c r="Q331" s="59">
        <f t="shared" si="118"/>
        <v>0</v>
      </c>
      <c r="R331" s="59">
        <f t="shared" si="119"/>
        <v>0</v>
      </c>
      <c r="T331" s="4" t="s">
        <v>305</v>
      </c>
    </row>
    <row r="332" spans="1:20" ht="15.75" customHeight="1" x14ac:dyDescent="0.3">
      <c r="A332" s="76" t="s">
        <v>306</v>
      </c>
      <c r="B332" s="1"/>
      <c r="C332" s="1"/>
      <c r="D332" s="1"/>
      <c r="E332" s="59">
        <f>SUM(B332:D332)</f>
        <v>0</v>
      </c>
      <c r="F332" s="1"/>
      <c r="G332" s="1">
        <v>100</v>
      </c>
      <c r="H332" s="1">
        <v>100</v>
      </c>
      <c r="I332" s="59">
        <f t="shared" ref="I332" si="120">SUM(F332:H332)</f>
        <v>200</v>
      </c>
      <c r="J332" s="1">
        <v>100</v>
      </c>
      <c r="K332" s="1">
        <v>150</v>
      </c>
      <c r="L332" s="1">
        <v>150</v>
      </c>
      <c r="M332" s="59">
        <f t="shared" ref="M332" si="121">SUM(J332:L332)</f>
        <v>400</v>
      </c>
      <c r="N332" s="1"/>
      <c r="O332" s="1"/>
      <c r="P332" s="1">
        <v>79</v>
      </c>
      <c r="Q332" s="59">
        <f t="shared" ref="Q332" si="122">SUM(N332:P332)</f>
        <v>79</v>
      </c>
      <c r="R332" s="59">
        <f t="shared" si="119"/>
        <v>679</v>
      </c>
      <c r="T332" s="4" t="s">
        <v>307</v>
      </c>
    </row>
    <row r="333" spans="1:20" ht="15.75" customHeight="1" x14ac:dyDescent="0.3">
      <c r="A333" s="76" t="s">
        <v>308</v>
      </c>
      <c r="B333" s="1"/>
      <c r="C333" s="1"/>
      <c r="D333" s="1"/>
      <c r="E333" s="59">
        <f t="shared" si="115"/>
        <v>0</v>
      </c>
      <c r="F333" s="1"/>
      <c r="G333" s="1">
        <v>300</v>
      </c>
      <c r="H333" s="1"/>
      <c r="I333" s="59">
        <f t="shared" si="116"/>
        <v>300</v>
      </c>
      <c r="J333" s="1"/>
      <c r="K333" s="1"/>
      <c r="L333" s="1"/>
      <c r="M333" s="59">
        <f t="shared" si="117"/>
        <v>0</v>
      </c>
      <c r="N333" s="1"/>
      <c r="O333" s="1"/>
      <c r="P333" s="1"/>
      <c r="Q333" s="59">
        <f t="shared" si="118"/>
        <v>0</v>
      </c>
      <c r="R333" s="59">
        <f t="shared" si="119"/>
        <v>300</v>
      </c>
      <c r="T333" s="4" t="s">
        <v>307</v>
      </c>
    </row>
    <row r="334" spans="1:20" ht="15.75" customHeight="1" x14ac:dyDescent="0.3">
      <c r="A334" s="76" t="s">
        <v>309</v>
      </c>
      <c r="B334" s="4">
        <v>162</v>
      </c>
      <c r="C334" s="1">
        <v>154</v>
      </c>
      <c r="D334" s="1">
        <v>248</v>
      </c>
      <c r="E334" s="59">
        <f>SUM(B334:D334)</f>
        <v>564</v>
      </c>
      <c r="F334" s="1">
        <v>251</v>
      </c>
      <c r="G334" s="1">
        <v>272</v>
      </c>
      <c r="H334" s="1">
        <f>291+2800</f>
        <v>3091</v>
      </c>
      <c r="I334" s="59">
        <f>SUM(F334:H334)</f>
        <v>3614</v>
      </c>
      <c r="J334" s="1">
        <v>300</v>
      </c>
      <c r="K334" s="1">
        <v>269</v>
      </c>
      <c r="L334" s="1">
        <v>238</v>
      </c>
      <c r="M334" s="59">
        <f t="shared" ref="M334:M339" si="123">SUM(J334:L334)</f>
        <v>807</v>
      </c>
      <c r="N334" s="1">
        <v>260</v>
      </c>
      <c r="O334" s="1">
        <v>195</v>
      </c>
      <c r="P334" s="1">
        <v>165</v>
      </c>
      <c r="Q334" s="59">
        <f>SUM(N334:P334)</f>
        <v>620</v>
      </c>
      <c r="R334" s="59">
        <f t="shared" si="119"/>
        <v>5605</v>
      </c>
      <c r="T334" s="4" t="s">
        <v>305</v>
      </c>
    </row>
    <row r="335" spans="1:20" ht="15.75" customHeight="1" x14ac:dyDescent="0.3">
      <c r="A335" s="76" t="s">
        <v>310</v>
      </c>
      <c r="B335" s="1"/>
      <c r="C335" s="1"/>
      <c r="D335" s="1"/>
      <c r="E335" s="59">
        <f t="shared" ref="E335:E339" si="124">SUM(B335:D335)</f>
        <v>0</v>
      </c>
      <c r="F335" s="1"/>
      <c r="G335" s="1">
        <v>2000</v>
      </c>
      <c r="H335" s="1"/>
      <c r="I335" s="59">
        <f t="shared" ref="I335:I339" si="125">SUM(F335:H335)</f>
        <v>2000</v>
      </c>
      <c r="J335" s="1"/>
      <c r="K335" s="1"/>
      <c r="L335" s="1"/>
      <c r="M335" s="59">
        <f t="shared" si="123"/>
        <v>0</v>
      </c>
      <c r="N335" s="1"/>
      <c r="O335" s="1"/>
      <c r="P335" s="1"/>
      <c r="Q335" s="59">
        <f>SUM(N335:P335)</f>
        <v>0</v>
      </c>
      <c r="R335" s="59">
        <f t="shared" si="119"/>
        <v>2000</v>
      </c>
      <c r="T335" s="4" t="s">
        <v>307</v>
      </c>
    </row>
    <row r="336" spans="1:20" ht="15.75" customHeight="1" x14ac:dyDescent="0.3">
      <c r="A336" s="76" t="s">
        <v>312</v>
      </c>
      <c r="B336" s="1">
        <f>15+74</f>
        <v>89</v>
      </c>
      <c r="C336" s="1">
        <f>15+88</f>
        <v>103</v>
      </c>
      <c r="D336" s="1">
        <f>30+130</f>
        <v>160</v>
      </c>
      <c r="E336" s="59">
        <f t="shared" si="124"/>
        <v>352</v>
      </c>
      <c r="F336" s="1">
        <f>35+201</f>
        <v>236</v>
      </c>
      <c r="G336" s="1">
        <f>40+330</f>
        <v>370</v>
      </c>
      <c r="H336" s="1">
        <f>60+337</f>
        <v>397</v>
      </c>
      <c r="I336" s="59">
        <f t="shared" si="125"/>
        <v>1003</v>
      </c>
      <c r="J336" s="1">
        <f>60+307</f>
        <v>367</v>
      </c>
      <c r="K336" s="1">
        <f>50+295</f>
        <v>345</v>
      </c>
      <c r="L336" s="1">
        <f>40+250</f>
        <v>290</v>
      </c>
      <c r="M336" s="59">
        <f t="shared" si="123"/>
        <v>1002</v>
      </c>
      <c r="N336" s="1">
        <f>35+370</f>
        <v>405</v>
      </c>
      <c r="O336" s="1">
        <f>30+149</f>
        <v>179</v>
      </c>
      <c r="P336" s="1">
        <f>15+125</f>
        <v>140</v>
      </c>
      <c r="Q336" s="59">
        <f>SUM(N336:P336)</f>
        <v>724</v>
      </c>
      <c r="R336" s="59">
        <f>+E336+I336+M336+Q336</f>
        <v>3081</v>
      </c>
      <c r="T336" s="4" t="s">
        <v>313</v>
      </c>
    </row>
    <row r="337" spans="1:20" ht="15.75" customHeight="1" x14ac:dyDescent="0.3">
      <c r="A337" s="76" t="s">
        <v>316</v>
      </c>
      <c r="B337" s="1"/>
      <c r="C337" s="1"/>
      <c r="D337" s="1"/>
      <c r="E337" s="59">
        <f t="shared" si="124"/>
        <v>0</v>
      </c>
      <c r="F337" s="1"/>
      <c r="G337" s="1"/>
      <c r="H337" s="1"/>
      <c r="I337" s="59">
        <f t="shared" si="125"/>
        <v>0</v>
      </c>
      <c r="J337" s="1">
        <v>3200</v>
      </c>
      <c r="K337" s="1"/>
      <c r="L337" s="1"/>
      <c r="M337" s="59">
        <f t="shared" si="123"/>
        <v>3200</v>
      </c>
      <c r="N337" s="1"/>
      <c r="O337" s="1"/>
      <c r="P337" s="1"/>
      <c r="Q337" s="59">
        <f>SUM(N337:P337)</f>
        <v>0</v>
      </c>
      <c r="R337" s="59">
        <f>+E337+I337+M337+Q337</f>
        <v>3200</v>
      </c>
      <c r="T337" s="4" t="s">
        <v>317</v>
      </c>
    </row>
    <row r="338" spans="1:20" ht="15.75" customHeight="1" x14ac:dyDescent="0.3">
      <c r="A338" s="76" t="s">
        <v>318</v>
      </c>
      <c r="B338" s="1"/>
      <c r="C338" s="1"/>
      <c r="D338" s="1"/>
      <c r="E338" s="59">
        <f t="shared" si="124"/>
        <v>0</v>
      </c>
      <c r="F338" s="1"/>
      <c r="G338" s="1"/>
      <c r="H338" s="1"/>
      <c r="I338" s="59">
        <f t="shared" si="125"/>
        <v>0</v>
      </c>
      <c r="J338" s="1"/>
      <c r="K338" s="1"/>
      <c r="L338" s="1"/>
      <c r="M338" s="59">
        <f t="shared" si="123"/>
        <v>0</v>
      </c>
      <c r="N338" s="1"/>
      <c r="O338" s="1"/>
      <c r="P338" s="1"/>
      <c r="Q338" s="59">
        <f t="shared" ref="Q338" si="126">SUM(N338:P338)</f>
        <v>0</v>
      </c>
      <c r="R338" s="59">
        <f>+E338+I338+M338+Q338</f>
        <v>0</v>
      </c>
    </row>
    <row r="339" spans="1:20" ht="15.75" customHeight="1" x14ac:dyDescent="0.3">
      <c r="A339" s="76" t="s">
        <v>319</v>
      </c>
      <c r="B339" s="1"/>
      <c r="C339" s="1"/>
      <c r="D339" s="1"/>
      <c r="E339" s="59">
        <f t="shared" si="124"/>
        <v>0</v>
      </c>
      <c r="F339" s="1"/>
      <c r="G339" s="1">
        <v>315</v>
      </c>
      <c r="H339" s="1"/>
      <c r="I339" s="59">
        <f t="shared" si="125"/>
        <v>315</v>
      </c>
      <c r="J339" s="1"/>
      <c r="K339" s="1"/>
      <c r="L339" s="1"/>
      <c r="M339" s="59">
        <f t="shared" si="123"/>
        <v>0</v>
      </c>
      <c r="N339" s="1"/>
      <c r="O339" s="1"/>
      <c r="P339" s="1"/>
      <c r="Q339" s="59">
        <f>SUM(N339:P339)</f>
        <v>0</v>
      </c>
      <c r="R339" s="59">
        <f>+E339+I339+M339+Q339</f>
        <v>315</v>
      </c>
      <c r="S339" s="75" t="s">
        <v>80</v>
      </c>
    </row>
    <row r="340" spans="1:20" ht="15.75" customHeight="1" x14ac:dyDescent="0.3">
      <c r="A340" s="76" t="s">
        <v>320</v>
      </c>
      <c r="B340" s="1"/>
      <c r="C340" s="1"/>
      <c r="D340" s="1"/>
      <c r="E340" s="59">
        <f>SUM(B340:D340)</f>
        <v>0</v>
      </c>
      <c r="F340" s="1"/>
      <c r="G340" s="1"/>
      <c r="H340" s="1"/>
      <c r="I340" s="59">
        <f t="shared" ref="I340:I341" si="127">SUM(F340:H340)</f>
        <v>0</v>
      </c>
      <c r="J340" s="1"/>
      <c r="K340" s="1"/>
      <c r="L340" s="1"/>
      <c r="M340" s="59">
        <f t="shared" ref="M340:M341" si="128">SUM(J340:L340)</f>
        <v>0</v>
      </c>
      <c r="N340" s="1"/>
      <c r="O340" s="1"/>
      <c r="P340" s="1"/>
      <c r="Q340" s="59">
        <f t="shared" ref="Q340:Q341" si="129">SUM(N340:P340)</f>
        <v>0</v>
      </c>
      <c r="R340" s="59">
        <f t="shared" ref="R340:R341" si="130">+E340+I340+M340+Q340</f>
        <v>0</v>
      </c>
    </row>
    <row r="341" spans="1:20" ht="15.75" customHeight="1" x14ac:dyDescent="0.3">
      <c r="A341" s="76" t="s">
        <v>321</v>
      </c>
      <c r="B341" s="1"/>
      <c r="C341" s="1"/>
      <c r="D341" s="1"/>
      <c r="E341" s="59">
        <f>SUM(B341:D341)</f>
        <v>0</v>
      </c>
      <c r="F341" s="1">
        <v>1128</v>
      </c>
      <c r="G341" s="1"/>
      <c r="H341" s="1"/>
      <c r="I341" s="59">
        <f t="shared" si="127"/>
        <v>1128</v>
      </c>
      <c r="J341" s="1"/>
      <c r="K341" s="1">
        <v>700</v>
      </c>
      <c r="L341" s="1"/>
      <c r="M341" s="59">
        <f t="shared" si="128"/>
        <v>700</v>
      </c>
      <c r="N341" s="1"/>
      <c r="O341" s="1"/>
      <c r="P341" s="1">
        <v>1000</v>
      </c>
      <c r="Q341" s="59">
        <f t="shared" si="129"/>
        <v>1000</v>
      </c>
      <c r="R341" s="59">
        <f t="shared" si="130"/>
        <v>2828</v>
      </c>
      <c r="T341" s="4" t="s">
        <v>315</v>
      </c>
    </row>
    <row r="342" spans="1:20" ht="15.75" customHeight="1" x14ac:dyDescent="0.3">
      <c r="A342" s="76" t="s">
        <v>322</v>
      </c>
      <c r="B342" s="1"/>
      <c r="C342" s="1"/>
      <c r="D342" s="1"/>
      <c r="E342" s="59">
        <f t="shared" ref="E342:E343" si="131">SUM(B342:D342)</f>
        <v>0</v>
      </c>
      <c r="F342" s="1"/>
      <c r="G342" s="1"/>
      <c r="H342" s="1"/>
      <c r="I342" s="59">
        <f t="shared" ref="I342:I343" si="132">SUM(F342:H342)</f>
        <v>0</v>
      </c>
      <c r="J342" s="1"/>
      <c r="K342" s="1">
        <v>756</v>
      </c>
      <c r="L342" s="1">
        <v>1565</v>
      </c>
      <c r="M342" s="59">
        <f t="shared" ref="M342:M343" si="133">SUM(J342:L342)</f>
        <v>2321</v>
      </c>
      <c r="N342" s="1">
        <v>1617</v>
      </c>
      <c r="O342" s="1"/>
      <c r="P342" s="1">
        <v>773</v>
      </c>
      <c r="Q342" s="59">
        <f t="shared" si="118"/>
        <v>2390</v>
      </c>
      <c r="R342" s="59">
        <f t="shared" si="119"/>
        <v>4711</v>
      </c>
      <c r="T342" s="4" t="s">
        <v>217</v>
      </c>
    </row>
    <row r="343" spans="1:20" ht="15.75" customHeight="1" x14ac:dyDescent="0.3">
      <c r="A343" s="76" t="s">
        <v>324</v>
      </c>
      <c r="B343" s="1">
        <v>200</v>
      </c>
      <c r="C343" s="1">
        <v>200</v>
      </c>
      <c r="D343" s="1">
        <v>200</v>
      </c>
      <c r="E343" s="59">
        <f t="shared" si="131"/>
        <v>600</v>
      </c>
      <c r="F343" s="1">
        <v>200</v>
      </c>
      <c r="G343" s="1">
        <v>200</v>
      </c>
      <c r="H343" s="1">
        <v>200</v>
      </c>
      <c r="I343" s="59">
        <f t="shared" si="132"/>
        <v>600</v>
      </c>
      <c r="J343" s="1">
        <v>200</v>
      </c>
      <c r="K343" s="1">
        <v>200</v>
      </c>
      <c r="L343" s="1">
        <v>200</v>
      </c>
      <c r="M343" s="59">
        <f t="shared" si="133"/>
        <v>600</v>
      </c>
      <c r="N343" s="1">
        <v>200</v>
      </c>
      <c r="O343" s="1"/>
      <c r="P343" s="1"/>
      <c r="Q343" s="59">
        <f t="shared" si="118"/>
        <v>200</v>
      </c>
      <c r="R343" s="59">
        <f t="shared" si="119"/>
        <v>2000</v>
      </c>
      <c r="T343" s="4" t="s">
        <v>305</v>
      </c>
    </row>
    <row r="344" spans="1:20" ht="15.75" customHeight="1" x14ac:dyDescent="0.3">
      <c r="A344" s="76" t="s">
        <v>325</v>
      </c>
      <c r="B344" s="1"/>
      <c r="C344" s="1"/>
      <c r="D344" s="1"/>
      <c r="E344" s="59">
        <f t="shared" si="115"/>
        <v>0</v>
      </c>
      <c r="F344" s="1"/>
      <c r="G344" s="1"/>
      <c r="H344" s="1"/>
      <c r="I344" s="59">
        <f t="shared" si="116"/>
        <v>0</v>
      </c>
      <c r="J344" s="1"/>
      <c r="K344" s="1"/>
      <c r="L344" s="1"/>
      <c r="M344" s="59">
        <f t="shared" si="117"/>
        <v>0</v>
      </c>
      <c r="N344" s="1"/>
      <c r="O344" s="1"/>
      <c r="P344" s="1"/>
      <c r="Q344" s="59">
        <f t="shared" si="118"/>
        <v>0</v>
      </c>
      <c r="R344" s="59">
        <f t="shared" si="119"/>
        <v>0</v>
      </c>
      <c r="T344" s="4" t="s">
        <v>305</v>
      </c>
    </row>
    <row r="345" spans="1:20" ht="15.75" customHeight="1" x14ac:dyDescent="0.3">
      <c r="A345" s="76" t="s">
        <v>326</v>
      </c>
      <c r="B345" s="1"/>
      <c r="C345" s="1"/>
      <c r="D345" s="1"/>
      <c r="E345" s="59">
        <f t="shared" si="115"/>
        <v>0</v>
      </c>
      <c r="F345" s="1"/>
      <c r="G345" s="1"/>
      <c r="H345" s="1"/>
      <c r="I345" s="59">
        <f t="shared" si="116"/>
        <v>0</v>
      </c>
      <c r="J345" s="1"/>
      <c r="K345" s="1"/>
      <c r="L345" s="1"/>
      <c r="M345" s="59">
        <f t="shared" si="117"/>
        <v>0</v>
      </c>
      <c r="N345" s="1"/>
      <c r="O345" s="1"/>
      <c r="P345" s="1"/>
      <c r="Q345" s="59">
        <f t="shared" si="118"/>
        <v>0</v>
      </c>
      <c r="R345" s="59">
        <f t="shared" si="119"/>
        <v>0</v>
      </c>
    </row>
    <row r="346" spans="1:20" ht="15.75" customHeight="1" x14ac:dyDescent="0.3">
      <c r="A346" s="76" t="s">
        <v>327</v>
      </c>
      <c r="B346" s="1"/>
      <c r="C346" s="1"/>
      <c r="D346" s="1"/>
      <c r="E346" s="59">
        <f>SUM(B346:D346)</f>
        <v>0</v>
      </c>
      <c r="F346" s="1"/>
      <c r="G346" s="1"/>
      <c r="H346" s="1"/>
      <c r="I346" s="59">
        <f>SUM(F346:H346)</f>
        <v>0</v>
      </c>
      <c r="J346" s="1"/>
      <c r="K346" s="1"/>
      <c r="L346" s="1"/>
      <c r="M346" s="59">
        <f t="shared" si="117"/>
        <v>0</v>
      </c>
      <c r="N346" s="1"/>
      <c r="O346" s="1"/>
      <c r="P346" s="1"/>
      <c r="Q346" s="59">
        <f>SUM(N346:P346)</f>
        <v>0</v>
      </c>
      <c r="R346" s="59">
        <f t="shared" si="119"/>
        <v>0</v>
      </c>
      <c r="T346" s="4" t="s">
        <v>315</v>
      </c>
    </row>
    <row r="347" spans="1:20" ht="15.75" customHeight="1" x14ac:dyDescent="0.3">
      <c r="A347" s="76" t="s">
        <v>328</v>
      </c>
      <c r="B347" s="1"/>
      <c r="C347" s="1"/>
      <c r="D347" s="1"/>
      <c r="E347" s="59">
        <f t="shared" ref="E347" si="134">SUM(B347:D347)</f>
        <v>0</v>
      </c>
      <c r="F347" s="1"/>
      <c r="G347" s="1"/>
      <c r="H347" s="1"/>
      <c r="I347" s="59">
        <f t="shared" ref="I347" si="135">SUM(F347:H347)</f>
        <v>0</v>
      </c>
      <c r="J347" s="1">
        <v>1135</v>
      </c>
      <c r="K347" s="1">
        <v>1900</v>
      </c>
      <c r="L347" s="1">
        <v>1800</v>
      </c>
      <c r="M347" s="59">
        <f t="shared" si="117"/>
        <v>4835</v>
      </c>
      <c r="N347" s="1">
        <v>1700</v>
      </c>
      <c r="O347" s="1">
        <v>300</v>
      </c>
      <c r="P347" s="1">
        <v>400</v>
      </c>
      <c r="Q347" s="59">
        <f t="shared" si="118"/>
        <v>2400</v>
      </c>
      <c r="R347" s="59">
        <f t="shared" si="119"/>
        <v>7235</v>
      </c>
      <c r="T347" s="4" t="s">
        <v>217</v>
      </c>
    </row>
    <row r="348" spans="1:20" ht="15.75" customHeight="1" x14ac:dyDescent="0.3">
      <c r="A348" s="76" t="s">
        <v>329</v>
      </c>
      <c r="B348" s="1"/>
      <c r="C348" s="1"/>
      <c r="D348" s="1"/>
      <c r="E348" s="59">
        <f>SUM(B348:D348)</f>
        <v>0</v>
      </c>
      <c r="F348" s="1"/>
      <c r="G348" s="1"/>
      <c r="H348" s="1"/>
      <c r="I348" s="59">
        <f>SUM(F348:H348)</f>
        <v>0</v>
      </c>
      <c r="J348" s="1"/>
      <c r="K348" s="1"/>
      <c r="L348" s="1"/>
      <c r="M348" s="59">
        <f>SUM(J348:L348)</f>
        <v>0</v>
      </c>
      <c r="N348" s="1"/>
      <c r="O348" s="1"/>
      <c r="P348" s="1"/>
      <c r="Q348" s="59">
        <f>SUM(N348:P348)</f>
        <v>0</v>
      </c>
      <c r="R348" s="59">
        <f t="shared" si="119"/>
        <v>0</v>
      </c>
      <c r="T348" s="4" t="s">
        <v>315</v>
      </c>
    </row>
    <row r="349" spans="1:20" ht="15.75" customHeight="1" x14ac:dyDescent="0.3">
      <c r="A349" s="76" t="s">
        <v>330</v>
      </c>
      <c r="B349" s="1"/>
      <c r="C349" s="1"/>
      <c r="D349" s="1"/>
      <c r="E349" s="59">
        <f t="shared" si="115"/>
        <v>0</v>
      </c>
      <c r="F349" s="1"/>
      <c r="G349" s="1"/>
      <c r="H349" s="1"/>
      <c r="I349" s="59">
        <f t="shared" si="116"/>
        <v>0</v>
      </c>
      <c r="J349" s="1"/>
      <c r="K349" s="1"/>
      <c r="L349" s="1"/>
      <c r="M349" s="59">
        <f t="shared" si="117"/>
        <v>0</v>
      </c>
      <c r="N349" s="1"/>
      <c r="O349" s="1"/>
      <c r="P349" s="1"/>
      <c r="Q349" s="59">
        <f t="shared" si="118"/>
        <v>0</v>
      </c>
      <c r="R349" s="59">
        <f t="shared" si="119"/>
        <v>0</v>
      </c>
      <c r="S349" s="125"/>
      <c r="T349" s="4" t="s">
        <v>331</v>
      </c>
    </row>
    <row r="350" spans="1:20" ht="15.75" customHeight="1" x14ac:dyDescent="0.3">
      <c r="A350" s="76" t="s">
        <v>332</v>
      </c>
      <c r="B350" s="1">
        <v>24</v>
      </c>
      <c r="C350" s="1">
        <v>32</v>
      </c>
      <c r="D350" s="1">
        <v>46</v>
      </c>
      <c r="E350" s="59">
        <f t="shared" si="115"/>
        <v>102</v>
      </c>
      <c r="F350" s="1"/>
      <c r="G350" s="1"/>
      <c r="H350" s="1">
        <v>75</v>
      </c>
      <c r="I350" s="59">
        <f>SUM(F350:H350)</f>
        <v>75</v>
      </c>
      <c r="J350" s="1">
        <v>74</v>
      </c>
      <c r="K350" s="1">
        <v>60</v>
      </c>
      <c r="L350" s="1">
        <v>39</v>
      </c>
      <c r="M350" s="59">
        <f>SUM(J350:L350)</f>
        <v>173</v>
      </c>
      <c r="N350" s="1">
        <v>60</v>
      </c>
      <c r="O350" s="1">
        <v>44</v>
      </c>
      <c r="P350" s="1">
        <v>28</v>
      </c>
      <c r="Q350" s="59">
        <f>SUM(N350:P350)</f>
        <v>132</v>
      </c>
      <c r="R350" s="59">
        <f>+E350+I350+M350+Q350</f>
        <v>482</v>
      </c>
      <c r="T350" s="4" t="s">
        <v>127</v>
      </c>
    </row>
    <row r="351" spans="1:20" ht="15.75" customHeight="1" x14ac:dyDescent="0.3">
      <c r="A351" s="76" t="s">
        <v>333</v>
      </c>
      <c r="B351" s="1">
        <f>930+728</f>
        <v>1658</v>
      </c>
      <c r="C351" s="1">
        <f>1010+728</f>
        <v>1738</v>
      </c>
      <c r="D351" s="1">
        <v>1238</v>
      </c>
      <c r="E351" s="59">
        <f t="shared" ref="E351" si="136">SUM(B351:D351)</f>
        <v>4634</v>
      </c>
      <c r="F351" s="1"/>
      <c r="G351" s="1">
        <v>4671</v>
      </c>
      <c r="H351" s="1">
        <f>3385+2400</f>
        <v>5785</v>
      </c>
      <c r="I351" s="59">
        <f t="shared" ref="I351" si="137">SUM(F351:H351)</f>
        <v>10456</v>
      </c>
      <c r="J351" s="1">
        <f>3290+2400</f>
        <v>5690</v>
      </c>
      <c r="K351" s="1">
        <f>3880+3000</f>
        <v>6880</v>
      </c>
      <c r="L351" s="1">
        <f>4090+2800</f>
        <v>6890</v>
      </c>
      <c r="M351" s="59">
        <f t="shared" ref="M351" si="138">SUM(J351:L351)</f>
        <v>19460</v>
      </c>
      <c r="N351" s="1">
        <f>3705+2600</f>
        <v>6305</v>
      </c>
      <c r="O351" s="1"/>
      <c r="P351" s="1">
        <f>1920+1250</f>
        <v>3170</v>
      </c>
      <c r="Q351" s="59">
        <f t="shared" si="118"/>
        <v>9475</v>
      </c>
      <c r="R351" s="59">
        <f t="shared" si="119"/>
        <v>44025</v>
      </c>
      <c r="T351" s="4" t="s">
        <v>334</v>
      </c>
    </row>
    <row r="352" spans="1:20" ht="15.75" customHeight="1" x14ac:dyDescent="0.3">
      <c r="A352" s="76" t="s">
        <v>335</v>
      </c>
      <c r="B352" s="1"/>
      <c r="C352" s="1"/>
      <c r="D352" s="1"/>
      <c r="E352" s="59">
        <f t="shared" si="115"/>
        <v>0</v>
      </c>
      <c r="F352" s="1"/>
      <c r="G352" s="1"/>
      <c r="H352" s="1"/>
      <c r="I352" s="59">
        <f t="shared" si="116"/>
        <v>0</v>
      </c>
      <c r="J352" s="1"/>
      <c r="K352" s="1"/>
      <c r="L352" s="1"/>
      <c r="M352" s="59">
        <f t="shared" si="117"/>
        <v>0</v>
      </c>
      <c r="N352" s="1"/>
      <c r="O352" s="1"/>
      <c r="P352" s="1"/>
      <c r="Q352" s="59">
        <f t="shared" si="118"/>
        <v>0</v>
      </c>
      <c r="R352" s="59">
        <f t="shared" si="119"/>
        <v>0</v>
      </c>
      <c r="T352" s="4" t="s">
        <v>336</v>
      </c>
    </row>
    <row r="353" spans="1:20" ht="15.75" customHeight="1" x14ac:dyDescent="0.3">
      <c r="A353" s="76" t="s">
        <v>339</v>
      </c>
      <c r="B353" s="1">
        <v>224</v>
      </c>
      <c r="C353" s="1">
        <v>224</v>
      </c>
      <c r="D353" s="1">
        <v>224</v>
      </c>
      <c r="E353" s="59">
        <f t="shared" si="115"/>
        <v>672</v>
      </c>
      <c r="F353" s="1">
        <v>224</v>
      </c>
      <c r="G353" s="1">
        <v>224</v>
      </c>
      <c r="H353" s="1">
        <v>226</v>
      </c>
      <c r="I353" s="59">
        <f t="shared" si="116"/>
        <v>674</v>
      </c>
      <c r="J353" s="1">
        <v>227</v>
      </c>
      <c r="K353" s="1">
        <v>227</v>
      </c>
      <c r="L353" s="1">
        <v>224</v>
      </c>
      <c r="M353" s="59">
        <f t="shared" si="117"/>
        <v>678</v>
      </c>
      <c r="N353" s="1">
        <v>224</v>
      </c>
      <c r="O353" s="1"/>
      <c r="P353" s="1"/>
      <c r="Q353" s="59">
        <f t="shared" si="118"/>
        <v>224</v>
      </c>
      <c r="R353" s="59">
        <f t="shared" si="119"/>
        <v>2248</v>
      </c>
    </row>
    <row r="354" spans="1:20" ht="15.75" customHeight="1" x14ac:dyDescent="0.3">
      <c r="A354" s="76" t="s">
        <v>340</v>
      </c>
      <c r="B354" s="1"/>
      <c r="C354" s="1"/>
      <c r="D354" s="1"/>
      <c r="E354" s="59">
        <f t="shared" si="115"/>
        <v>0</v>
      </c>
      <c r="F354" s="1"/>
      <c r="G354" s="1"/>
      <c r="H354" s="1"/>
      <c r="I354" s="59">
        <f t="shared" si="116"/>
        <v>0</v>
      </c>
      <c r="J354" s="1"/>
      <c r="K354" s="1"/>
      <c r="L354" s="1"/>
      <c r="M354" s="59">
        <f t="shared" si="117"/>
        <v>0</v>
      </c>
      <c r="N354" s="1"/>
      <c r="O354" s="1"/>
      <c r="P354" s="1"/>
      <c r="Q354" s="59">
        <f t="shared" si="118"/>
        <v>0</v>
      </c>
      <c r="R354" s="59">
        <f t="shared" si="119"/>
        <v>0</v>
      </c>
      <c r="S354" s="75" t="s">
        <v>80</v>
      </c>
    </row>
    <row r="355" spans="1:20" ht="15.75" customHeight="1" x14ac:dyDescent="0.3">
      <c r="A355" s="76" t="s">
        <v>341</v>
      </c>
      <c r="B355" s="1"/>
      <c r="C355" s="1"/>
      <c r="D355" s="1"/>
      <c r="E355" s="59">
        <f t="shared" si="115"/>
        <v>0</v>
      </c>
      <c r="F355" s="1"/>
      <c r="G355" s="1"/>
      <c r="H355" s="1"/>
      <c r="I355" s="59">
        <f t="shared" si="116"/>
        <v>0</v>
      </c>
      <c r="J355" s="1"/>
      <c r="K355" s="1">
        <v>764</v>
      </c>
      <c r="L355" s="1">
        <v>1500</v>
      </c>
      <c r="M355" s="59">
        <f t="shared" si="117"/>
        <v>2264</v>
      </c>
      <c r="N355" s="1">
        <v>1500</v>
      </c>
      <c r="O355" s="1"/>
      <c r="P355" s="1"/>
      <c r="Q355" s="59">
        <f>SUM(N355:P355)</f>
        <v>1500</v>
      </c>
      <c r="R355" s="59">
        <f>+E355+I355+M355+Q355</f>
        <v>3764</v>
      </c>
      <c r="T355" s="4" t="s">
        <v>315</v>
      </c>
    </row>
    <row r="356" spans="1:20" ht="15.75" customHeight="1" x14ac:dyDescent="0.3">
      <c r="A356" s="76" t="s">
        <v>342</v>
      </c>
      <c r="B356" s="1">
        <v>28</v>
      </c>
      <c r="C356" s="1">
        <v>36</v>
      </c>
      <c r="D356" s="1">
        <v>52</v>
      </c>
      <c r="E356" s="59">
        <f>SUM(B356:D356)</f>
        <v>116</v>
      </c>
      <c r="F356" s="1"/>
      <c r="G356" s="1"/>
      <c r="H356" s="1">
        <v>86</v>
      </c>
      <c r="I356" s="59">
        <f>SUM(F356:H356)</f>
        <v>86</v>
      </c>
      <c r="J356" s="1">
        <v>84</v>
      </c>
      <c r="K356" s="1">
        <v>68</v>
      </c>
      <c r="L356" s="1">
        <v>44</v>
      </c>
      <c r="M356" s="59">
        <f>SUM(J356:L356)</f>
        <v>196</v>
      </c>
      <c r="N356" s="1">
        <v>68</v>
      </c>
      <c r="O356" s="1">
        <v>50</v>
      </c>
      <c r="P356" s="1">
        <v>32</v>
      </c>
      <c r="Q356" s="59">
        <f>SUM(N356:P356)</f>
        <v>150</v>
      </c>
      <c r="R356" s="59">
        <f>+E356+I356+M356+Q356</f>
        <v>548</v>
      </c>
      <c r="T356" s="4" t="s">
        <v>127</v>
      </c>
    </row>
    <row r="357" spans="1:20" ht="15.75" customHeight="1" x14ac:dyDescent="0.3">
      <c r="A357" s="74" t="s">
        <v>343</v>
      </c>
      <c r="B357" s="1"/>
      <c r="C357" s="1"/>
      <c r="D357" s="1"/>
      <c r="E357" s="59">
        <f>SUM(B357:D357)</f>
        <v>0</v>
      </c>
      <c r="F357" s="1"/>
      <c r="G357" s="1"/>
      <c r="H357" s="1"/>
      <c r="I357" s="59">
        <f>SUM(F357:H357)</f>
        <v>0</v>
      </c>
      <c r="J357" s="1">
        <v>5</v>
      </c>
      <c r="K357" s="1"/>
      <c r="L357" s="1"/>
      <c r="M357" s="59">
        <f>SUM(J357:L357)</f>
        <v>5</v>
      </c>
      <c r="N357" s="1"/>
      <c r="O357" s="1"/>
      <c r="P357" s="1"/>
      <c r="Q357" s="59">
        <f>SUM(N357:P357)</f>
        <v>0</v>
      </c>
      <c r="R357" s="59">
        <f t="shared" si="119"/>
        <v>5</v>
      </c>
    </row>
    <row r="358" spans="1:20" ht="15.75" customHeight="1" x14ac:dyDescent="0.3">
      <c r="A358" s="76" t="s">
        <v>344</v>
      </c>
      <c r="B358" s="1">
        <v>20</v>
      </c>
      <c r="C358" s="1">
        <v>20</v>
      </c>
      <c r="D358" s="1">
        <v>20</v>
      </c>
      <c r="E358" s="59">
        <f t="shared" ref="E358" si="139">SUM(B358:D358)</f>
        <v>60</v>
      </c>
      <c r="F358" s="1">
        <v>60</v>
      </c>
      <c r="G358" s="1">
        <v>75</v>
      </c>
      <c r="H358" s="1">
        <v>75</v>
      </c>
      <c r="I358" s="59">
        <f t="shared" ref="I358" si="140">SUM(F358:H358)</f>
        <v>210</v>
      </c>
      <c r="J358" s="1">
        <v>75</v>
      </c>
      <c r="K358" s="1">
        <v>75</v>
      </c>
      <c r="L358" s="1">
        <v>30</v>
      </c>
      <c r="M358" s="59">
        <f t="shared" ref="M358" si="141">SUM(J358:L358)</f>
        <v>180</v>
      </c>
      <c r="N358" s="1">
        <v>20</v>
      </c>
      <c r="O358" s="1">
        <v>20</v>
      </c>
      <c r="P358" s="1">
        <v>5</v>
      </c>
      <c r="Q358" s="59">
        <f t="shared" si="118"/>
        <v>45</v>
      </c>
      <c r="R358" s="59">
        <f t="shared" si="119"/>
        <v>495</v>
      </c>
      <c r="S358" s="4">
        <f>SUM(R329:R358)</f>
        <v>84507</v>
      </c>
      <c r="T358" s="4" t="s">
        <v>331</v>
      </c>
    </row>
    <row r="359" spans="1:20" ht="15.75" customHeight="1" x14ac:dyDescent="0.3">
      <c r="A359" s="76" t="s">
        <v>345</v>
      </c>
      <c r="B359" s="1">
        <v>18</v>
      </c>
      <c r="C359" s="1">
        <v>22</v>
      </c>
      <c r="D359" s="1">
        <v>32</v>
      </c>
      <c r="E359" s="59">
        <f>SUM(B359:D359)</f>
        <v>72</v>
      </c>
      <c r="F359" s="1"/>
      <c r="G359" s="1"/>
      <c r="H359" s="1">
        <v>54</v>
      </c>
      <c r="I359" s="59">
        <f>SUM(F359:H359)</f>
        <v>54</v>
      </c>
      <c r="J359" s="1">
        <v>52</v>
      </c>
      <c r="K359" s="1">
        <v>42</v>
      </c>
      <c r="L359" s="1">
        <v>27</v>
      </c>
      <c r="M359" s="59">
        <f>SUM(J359:L359)</f>
        <v>121</v>
      </c>
      <c r="N359" s="1">
        <v>42</v>
      </c>
      <c r="O359" s="1">
        <v>31</v>
      </c>
      <c r="P359" s="1">
        <v>20</v>
      </c>
      <c r="Q359" s="59">
        <f>SUM(N359:P359)</f>
        <v>93</v>
      </c>
      <c r="R359" s="59">
        <f>+E359+I359+M359+Q359</f>
        <v>340</v>
      </c>
      <c r="T359" s="4" t="s">
        <v>127</v>
      </c>
    </row>
    <row r="360" spans="1:20" ht="15.75" customHeight="1" x14ac:dyDescent="0.3">
      <c r="A360" s="17" t="s">
        <v>47</v>
      </c>
      <c r="B360" s="1"/>
      <c r="C360" s="1"/>
      <c r="D360" s="1"/>
      <c r="E360" s="59" t="s">
        <v>7</v>
      </c>
      <c r="F360" s="1"/>
      <c r="G360" s="1"/>
      <c r="H360" s="1"/>
      <c r="I360" s="59" t="s">
        <v>7</v>
      </c>
      <c r="J360" s="1"/>
      <c r="K360" s="1"/>
      <c r="L360" s="1"/>
      <c r="M360" s="59" t="s">
        <v>7</v>
      </c>
      <c r="N360" s="1"/>
      <c r="O360" s="1"/>
      <c r="P360" s="1"/>
      <c r="Q360" s="59" t="s">
        <v>7</v>
      </c>
      <c r="R360" s="59" t="s">
        <v>7</v>
      </c>
    </row>
    <row r="361" spans="1:20" ht="15.75" customHeight="1" x14ac:dyDescent="0.3">
      <c r="A361" s="76" t="s">
        <v>346</v>
      </c>
      <c r="B361" s="1"/>
      <c r="C361" s="1"/>
      <c r="D361" s="1"/>
      <c r="E361" s="59">
        <f t="shared" ref="E361:E371" si="142">SUM(B361:D361)</f>
        <v>0</v>
      </c>
      <c r="F361" s="1"/>
      <c r="G361" s="1"/>
      <c r="H361" s="1"/>
      <c r="I361" s="59">
        <f t="shared" ref="I361:I371" si="143">SUM(F361:H361)</f>
        <v>0</v>
      </c>
      <c r="J361" s="1"/>
      <c r="K361" s="1"/>
      <c r="L361" s="1"/>
      <c r="M361" s="59">
        <f t="shared" ref="M361:M371" si="144">SUM(J361:L361)</f>
        <v>0</v>
      </c>
      <c r="N361" s="1"/>
      <c r="O361" s="1"/>
      <c r="P361" s="1"/>
      <c r="Q361" s="59">
        <f t="shared" ref="Q361:Q371" si="145">SUM(N361:P361)</f>
        <v>0</v>
      </c>
      <c r="R361" s="59">
        <f t="shared" ref="R361:R371" si="146">+E361+I361+M361+Q361</f>
        <v>0</v>
      </c>
    </row>
    <row r="362" spans="1:20" ht="15.75" customHeight="1" x14ac:dyDescent="0.3">
      <c r="A362" s="76" t="s">
        <v>347</v>
      </c>
      <c r="B362" s="1"/>
      <c r="C362" s="1"/>
      <c r="D362" s="1"/>
      <c r="E362" s="59">
        <f>SUM(B362:D362)</f>
        <v>0</v>
      </c>
      <c r="F362" s="1"/>
      <c r="G362" s="1"/>
      <c r="H362" s="1"/>
      <c r="I362" s="59">
        <f>SUM(F362:H362)</f>
        <v>0</v>
      </c>
      <c r="J362" s="1"/>
      <c r="K362" s="1"/>
      <c r="L362" s="1"/>
      <c r="M362" s="59">
        <f>SUM(J362:L362)</f>
        <v>0</v>
      </c>
      <c r="N362" s="1"/>
      <c r="O362" s="1"/>
      <c r="P362" s="1"/>
      <c r="Q362" s="59">
        <f>SUM(N362:P362)</f>
        <v>0</v>
      </c>
      <c r="R362" s="59">
        <f>+E362+I362+M362+Q362</f>
        <v>0</v>
      </c>
      <c r="T362" s="4" t="s">
        <v>348</v>
      </c>
    </row>
    <row r="363" spans="1:20" ht="15.75" customHeight="1" x14ac:dyDescent="0.3">
      <c r="A363" s="76" t="s">
        <v>349</v>
      </c>
      <c r="B363" s="1"/>
      <c r="C363" s="1"/>
      <c r="D363" s="1"/>
      <c r="E363" s="59">
        <f>SUM(B363:D363)</f>
        <v>0</v>
      </c>
      <c r="F363" s="1"/>
      <c r="G363" s="1"/>
      <c r="H363" s="1"/>
      <c r="I363" s="59">
        <f>SUM(F363:H363)</f>
        <v>0</v>
      </c>
      <c r="J363" s="1"/>
      <c r="K363" s="1"/>
      <c r="L363" s="1"/>
      <c r="M363" s="59">
        <f>SUM(J363:L363)</f>
        <v>0</v>
      </c>
      <c r="N363" s="1"/>
      <c r="O363" s="1"/>
      <c r="P363" s="1"/>
      <c r="Q363" s="59">
        <f>SUM(N363:P363)</f>
        <v>0</v>
      </c>
      <c r="R363" s="59">
        <f>+E363+I363+M363+Q363</f>
        <v>0</v>
      </c>
      <c r="T363" s="4" t="s">
        <v>336</v>
      </c>
    </row>
    <row r="364" spans="1:20" ht="15.75" customHeight="1" x14ac:dyDescent="0.3">
      <c r="A364" s="76" t="s">
        <v>330</v>
      </c>
      <c r="B364" s="1"/>
      <c r="C364" s="1"/>
      <c r="D364" s="1"/>
      <c r="E364" s="59">
        <f t="shared" si="142"/>
        <v>0</v>
      </c>
      <c r="F364" s="1"/>
      <c r="G364" s="1"/>
      <c r="H364" s="1"/>
      <c r="I364" s="59">
        <f t="shared" si="143"/>
        <v>0</v>
      </c>
      <c r="J364" s="1"/>
      <c r="K364" s="1"/>
      <c r="L364" s="1"/>
      <c r="M364" s="59">
        <f t="shared" si="144"/>
        <v>0</v>
      </c>
      <c r="N364" s="1"/>
      <c r="O364" s="1"/>
      <c r="P364" s="1"/>
      <c r="Q364" s="59">
        <f t="shared" si="145"/>
        <v>0</v>
      </c>
      <c r="R364" s="59">
        <f>+E364+I364+M364+Q364</f>
        <v>0</v>
      </c>
      <c r="T364" s="4" t="s">
        <v>331</v>
      </c>
    </row>
    <row r="365" spans="1:20" ht="15.75" customHeight="1" x14ac:dyDescent="0.3">
      <c r="A365" s="76" t="s">
        <v>350</v>
      </c>
      <c r="B365" s="1"/>
      <c r="C365" s="1"/>
      <c r="D365" s="1"/>
      <c r="E365" s="59">
        <f>SUM(B365:D365)</f>
        <v>0</v>
      </c>
      <c r="F365" s="1"/>
      <c r="G365" s="1"/>
      <c r="H365" s="1"/>
      <c r="I365" s="59">
        <f>SUM(F365:H365)</f>
        <v>0</v>
      </c>
      <c r="J365" s="1"/>
      <c r="K365" s="1"/>
      <c r="L365" s="1"/>
      <c r="M365" s="59">
        <f>SUM(J365:L365)</f>
        <v>0</v>
      </c>
      <c r="N365" s="1"/>
      <c r="O365" s="1"/>
      <c r="P365" s="1"/>
      <c r="Q365" s="59">
        <f>SUM(N365:P365)</f>
        <v>0</v>
      </c>
      <c r="R365" s="59">
        <f>+E365+I365+M365+Q365</f>
        <v>0</v>
      </c>
      <c r="T365" s="4" t="s">
        <v>351</v>
      </c>
    </row>
    <row r="366" spans="1:20" ht="15.75" customHeight="1" x14ac:dyDescent="0.3">
      <c r="A366" s="76" t="s">
        <v>352</v>
      </c>
      <c r="B366" s="1"/>
      <c r="C366" s="1"/>
      <c r="D366" s="1"/>
      <c r="E366" s="59">
        <f t="shared" si="142"/>
        <v>0</v>
      </c>
      <c r="F366" s="1"/>
      <c r="G366" s="1"/>
      <c r="H366" s="1"/>
      <c r="I366" s="59">
        <f t="shared" si="143"/>
        <v>0</v>
      </c>
      <c r="J366" s="1"/>
      <c r="K366" s="1"/>
      <c r="L366" s="1"/>
      <c r="M366" s="59">
        <f t="shared" si="144"/>
        <v>0</v>
      </c>
      <c r="N366" s="1"/>
      <c r="O366" s="1"/>
      <c r="P366" s="1"/>
      <c r="Q366" s="59">
        <f t="shared" si="145"/>
        <v>0</v>
      </c>
      <c r="R366" s="59">
        <f t="shared" si="146"/>
        <v>0</v>
      </c>
    </row>
    <row r="367" spans="1:20" ht="15.75" customHeight="1" x14ac:dyDescent="0.3">
      <c r="A367" s="76" t="s">
        <v>353</v>
      </c>
      <c r="B367" s="1"/>
      <c r="C367" s="1"/>
      <c r="D367" s="1"/>
      <c r="E367" s="59">
        <f t="shared" si="142"/>
        <v>0</v>
      </c>
      <c r="F367" s="1"/>
      <c r="G367" s="1"/>
      <c r="H367" s="1"/>
      <c r="I367" s="59">
        <f t="shared" si="143"/>
        <v>0</v>
      </c>
      <c r="J367" s="1"/>
      <c r="K367" s="1"/>
      <c r="L367" s="1"/>
      <c r="M367" s="59">
        <f t="shared" si="144"/>
        <v>0</v>
      </c>
      <c r="N367" s="1"/>
      <c r="O367" s="1"/>
      <c r="P367" s="1"/>
      <c r="Q367" s="59">
        <f t="shared" si="145"/>
        <v>0</v>
      </c>
      <c r="R367" s="59">
        <f t="shared" si="146"/>
        <v>0</v>
      </c>
      <c r="T367" s="4" t="s">
        <v>354</v>
      </c>
    </row>
    <row r="368" spans="1:20" ht="15.75" customHeight="1" x14ac:dyDescent="0.3">
      <c r="A368" s="76" t="s">
        <v>355</v>
      </c>
      <c r="B368" s="1"/>
      <c r="C368" s="1"/>
      <c r="D368" s="1"/>
      <c r="E368" s="59">
        <f t="shared" si="142"/>
        <v>0</v>
      </c>
      <c r="F368" s="1"/>
      <c r="G368" s="1"/>
      <c r="H368" s="1"/>
      <c r="I368" s="59">
        <f t="shared" si="143"/>
        <v>0</v>
      </c>
      <c r="J368" s="1"/>
      <c r="K368" s="1"/>
      <c r="L368" s="1"/>
      <c r="M368" s="59">
        <f t="shared" si="144"/>
        <v>0</v>
      </c>
      <c r="N368" s="1"/>
      <c r="O368" s="1"/>
      <c r="P368" s="1"/>
      <c r="Q368" s="59">
        <f t="shared" si="145"/>
        <v>0</v>
      </c>
      <c r="R368" s="59">
        <f t="shared" si="146"/>
        <v>0</v>
      </c>
      <c r="T368" s="4" t="s">
        <v>354</v>
      </c>
    </row>
    <row r="369" spans="1:39" ht="15.75" customHeight="1" x14ac:dyDescent="0.3">
      <c r="A369" s="76" t="s">
        <v>356</v>
      </c>
      <c r="B369" s="1"/>
      <c r="C369" s="1"/>
      <c r="D369" s="1"/>
      <c r="E369" s="59">
        <f t="shared" si="142"/>
        <v>0</v>
      </c>
      <c r="F369" s="1"/>
      <c r="G369" s="1"/>
      <c r="H369" s="1"/>
      <c r="I369" s="59">
        <f t="shared" si="143"/>
        <v>0</v>
      </c>
      <c r="J369" s="1"/>
      <c r="K369" s="1"/>
      <c r="L369" s="1"/>
      <c r="M369" s="59">
        <f t="shared" si="144"/>
        <v>0</v>
      </c>
      <c r="N369" s="1"/>
      <c r="O369" s="1"/>
      <c r="P369" s="1"/>
      <c r="Q369" s="59">
        <f t="shared" si="145"/>
        <v>0</v>
      </c>
      <c r="R369" s="59">
        <f t="shared" si="146"/>
        <v>0</v>
      </c>
      <c r="T369" s="4" t="s">
        <v>127</v>
      </c>
    </row>
    <row r="370" spans="1:39" ht="15.75" customHeight="1" x14ac:dyDescent="0.3">
      <c r="A370" s="76" t="s">
        <v>357</v>
      </c>
      <c r="B370" s="1"/>
      <c r="C370" s="1"/>
      <c r="D370" s="1"/>
      <c r="E370" s="59">
        <f>SUM(B370:D370)</f>
        <v>0</v>
      </c>
      <c r="F370" s="1"/>
      <c r="G370" s="1"/>
      <c r="H370" s="1"/>
      <c r="I370" s="59">
        <f>SUM(F370:H370)</f>
        <v>0</v>
      </c>
      <c r="J370" s="1"/>
      <c r="K370" s="1"/>
      <c r="L370" s="1"/>
      <c r="M370" s="59">
        <f>SUM(J370:L370)</f>
        <v>0</v>
      </c>
      <c r="N370" s="1"/>
      <c r="O370" s="1"/>
      <c r="P370" s="1"/>
      <c r="Q370" s="59">
        <f>SUM(N370:P370)</f>
        <v>0</v>
      </c>
      <c r="R370" s="59">
        <f>+E370+I370+M370+Q370</f>
        <v>0</v>
      </c>
      <c r="T370" s="4" t="s">
        <v>127</v>
      </c>
    </row>
    <row r="371" spans="1:39" ht="15.75" customHeight="1" x14ac:dyDescent="0.3">
      <c r="A371" s="76" t="s">
        <v>358</v>
      </c>
      <c r="B371" s="1"/>
      <c r="C371" s="1"/>
      <c r="D371" s="1"/>
      <c r="E371" s="59">
        <f t="shared" si="142"/>
        <v>0</v>
      </c>
      <c r="F371" s="1"/>
      <c r="G371" s="1"/>
      <c r="H371" s="1"/>
      <c r="I371" s="59">
        <f t="shared" si="143"/>
        <v>0</v>
      </c>
      <c r="J371" s="1"/>
      <c r="K371" s="1"/>
      <c r="L371" s="1"/>
      <c r="M371" s="59">
        <f t="shared" si="144"/>
        <v>0</v>
      </c>
      <c r="N371" s="1"/>
      <c r="O371" s="1"/>
      <c r="P371" s="1"/>
      <c r="Q371" s="59">
        <f t="shared" si="145"/>
        <v>0</v>
      </c>
      <c r="R371" s="59">
        <f t="shared" si="146"/>
        <v>0</v>
      </c>
      <c r="T371" s="4" t="s">
        <v>359</v>
      </c>
    </row>
    <row r="372" spans="1:39" ht="15.75" customHeight="1" x14ac:dyDescent="0.3">
      <c r="A372" s="17" t="s">
        <v>49</v>
      </c>
      <c r="B372" s="1"/>
      <c r="C372" s="1"/>
      <c r="D372" s="1"/>
      <c r="E372" s="59" t="s">
        <v>7</v>
      </c>
      <c r="F372" s="1"/>
      <c r="G372" s="1"/>
      <c r="H372" s="1"/>
      <c r="I372" s="59" t="s">
        <v>7</v>
      </c>
      <c r="J372" s="1"/>
      <c r="K372" s="1"/>
      <c r="L372" s="1"/>
      <c r="M372" s="59" t="s">
        <v>7</v>
      </c>
      <c r="N372" s="1"/>
      <c r="O372" s="1"/>
      <c r="P372" s="1"/>
      <c r="Q372" s="59" t="s">
        <v>7</v>
      </c>
      <c r="R372" s="59" t="s">
        <v>7</v>
      </c>
    </row>
    <row r="373" spans="1:39" ht="15.75" customHeight="1" x14ac:dyDescent="0.3">
      <c r="A373" s="76" t="s">
        <v>360</v>
      </c>
      <c r="B373" s="1"/>
      <c r="C373" s="1"/>
      <c r="D373" s="1"/>
      <c r="E373" s="59">
        <f>SUM(B373:D373)</f>
        <v>0</v>
      </c>
      <c r="F373" s="1"/>
      <c r="G373" s="1"/>
      <c r="H373" s="1"/>
      <c r="I373" s="59">
        <f>SUM(F373:H373)</f>
        <v>0</v>
      </c>
      <c r="J373" s="1"/>
      <c r="K373" s="1"/>
      <c r="L373" s="1"/>
      <c r="M373" s="59">
        <f>SUM(J373:L373)</f>
        <v>0</v>
      </c>
      <c r="N373" s="1"/>
      <c r="O373" s="1"/>
      <c r="P373" s="1"/>
      <c r="Q373" s="59">
        <f>SUM(N373:P373)</f>
        <v>0</v>
      </c>
      <c r="R373" s="59">
        <f>+E373+I373+M373+Q373</f>
        <v>0</v>
      </c>
      <c r="S373" s="77" t="s">
        <v>90</v>
      </c>
      <c r="T373" s="4" t="s">
        <v>305</v>
      </c>
    </row>
    <row r="374" spans="1:39" ht="15.75" customHeight="1" x14ac:dyDescent="0.3">
      <c r="A374" s="76" t="s">
        <v>361</v>
      </c>
      <c r="B374" s="1"/>
      <c r="C374" s="1"/>
      <c r="D374" s="1"/>
      <c r="E374" s="59">
        <f>SUM(B374:D374)</f>
        <v>0</v>
      </c>
      <c r="F374" s="1"/>
      <c r="G374" s="1">
        <v>2000</v>
      </c>
      <c r="H374" s="1">
        <v>2000</v>
      </c>
      <c r="I374" s="59">
        <f>SUM(F374:H374)</f>
        <v>4000</v>
      </c>
      <c r="J374" s="1">
        <v>2000</v>
      </c>
      <c r="K374" s="1"/>
      <c r="L374" s="1"/>
      <c r="M374" s="59">
        <f>SUM(J374:L374)</f>
        <v>2000</v>
      </c>
      <c r="N374" s="1"/>
      <c r="O374" s="1"/>
      <c r="P374" s="1"/>
      <c r="Q374" s="59">
        <f>SUM(N374:P374)</f>
        <v>0</v>
      </c>
      <c r="R374" s="59">
        <f>+E374+I374+M374+Q374</f>
        <v>6000</v>
      </c>
      <c r="S374" s="77" t="s">
        <v>90</v>
      </c>
    </row>
    <row r="375" spans="1:39" ht="15.75" customHeight="1" x14ac:dyDescent="0.3">
      <c r="A375" s="76" t="s">
        <v>362</v>
      </c>
      <c r="B375" s="1"/>
      <c r="C375" s="1"/>
      <c r="D375" s="1"/>
      <c r="E375" s="59">
        <f>SUM(B375:D375)</f>
        <v>0</v>
      </c>
      <c r="F375" s="1"/>
      <c r="G375" s="1">
        <v>2685</v>
      </c>
      <c r="H375" s="1">
        <v>1000</v>
      </c>
      <c r="I375" s="59">
        <f>SUM(F375:H375)</f>
        <v>3685</v>
      </c>
      <c r="J375" s="1"/>
      <c r="K375" s="1"/>
      <c r="L375" s="1"/>
      <c r="M375" s="59">
        <f>SUM(J375:L375)</f>
        <v>0</v>
      </c>
      <c r="N375" s="1"/>
      <c r="O375" s="1"/>
      <c r="P375" s="1"/>
      <c r="Q375" s="59">
        <f>SUM(N375:P375)</f>
        <v>0</v>
      </c>
      <c r="R375" s="59">
        <f>+E375+I375+M375+Q375</f>
        <v>3685</v>
      </c>
      <c r="S375" s="77" t="s">
        <v>90</v>
      </c>
      <c r="T375" s="4" t="s">
        <v>331</v>
      </c>
    </row>
    <row r="376" spans="1:39" ht="15.75" customHeight="1" x14ac:dyDescent="0.3">
      <c r="A376" s="76" t="s">
        <v>363</v>
      </c>
      <c r="B376" s="1"/>
      <c r="C376" s="1"/>
      <c r="D376" s="1"/>
      <c r="E376" s="59">
        <f>SUM(B376:D376)</f>
        <v>0</v>
      </c>
      <c r="F376" s="1"/>
      <c r="G376" s="1"/>
      <c r="H376" s="1"/>
      <c r="I376" s="59">
        <f>SUM(F376:H376)</f>
        <v>0</v>
      </c>
      <c r="J376" s="1"/>
      <c r="K376" s="1"/>
      <c r="L376" s="1"/>
      <c r="M376" s="59">
        <f>SUM(J376:L376)</f>
        <v>0</v>
      </c>
      <c r="N376" s="1"/>
      <c r="O376" s="1"/>
      <c r="P376" s="1"/>
      <c r="Q376" s="59">
        <f>SUM(N376:P376)</f>
        <v>0</v>
      </c>
      <c r="R376" s="59">
        <f>+E376+I376+M376+Q376</f>
        <v>0</v>
      </c>
      <c r="S376" s="77" t="s">
        <v>90</v>
      </c>
      <c r="T376" s="4" t="s">
        <v>315</v>
      </c>
    </row>
    <row r="377" spans="1:39" ht="16.5" customHeight="1" thickBot="1" x14ac:dyDescent="0.35">
      <c r="A377" s="17" t="s">
        <v>51</v>
      </c>
      <c r="B377" s="1"/>
      <c r="C377" s="1"/>
      <c r="D377" s="1"/>
      <c r="E377" s="59" t="s">
        <v>7</v>
      </c>
      <c r="F377" s="1"/>
      <c r="G377" s="1"/>
      <c r="H377" s="1"/>
      <c r="I377" s="59" t="s">
        <v>7</v>
      </c>
      <c r="J377" s="1"/>
      <c r="K377" s="1"/>
      <c r="L377" s="1"/>
      <c r="M377" s="59" t="s">
        <v>7</v>
      </c>
      <c r="N377" s="1"/>
      <c r="O377" s="1"/>
      <c r="P377" s="1"/>
      <c r="Q377" s="59" t="s">
        <v>7</v>
      </c>
      <c r="R377" s="88" t="s">
        <v>7</v>
      </c>
      <c r="V377" s="4" t="s">
        <v>364</v>
      </c>
      <c r="W377" s="4" t="s">
        <v>365</v>
      </c>
    </row>
    <row r="378" spans="1:39" ht="16.5" customHeight="1" thickBot="1" x14ac:dyDescent="0.35">
      <c r="A378" s="126" t="s">
        <v>52</v>
      </c>
      <c r="B378" s="100">
        <f>SUM(B327:B377)</f>
        <v>2423</v>
      </c>
      <c r="C378" s="101">
        <f>SUM(C327:C377)</f>
        <v>2529</v>
      </c>
      <c r="D378" s="101">
        <f>SUM(D327:D377)</f>
        <v>2220</v>
      </c>
      <c r="E378" s="64">
        <f>SUM(B378:D378)</f>
        <v>7172</v>
      </c>
      <c r="F378" s="101">
        <f>SUM(F327:F377)</f>
        <v>2099</v>
      </c>
      <c r="G378" s="101">
        <f>SUM(G327:G377)</f>
        <v>13212</v>
      </c>
      <c r="H378" s="101">
        <f>SUM(H327:H377)</f>
        <v>13089</v>
      </c>
      <c r="I378" s="64">
        <f>SUM(F378:H378)</f>
        <v>28400</v>
      </c>
      <c r="J378" s="101">
        <f>SUM(J327:J377)</f>
        <v>13915</v>
      </c>
      <c r="K378" s="101">
        <f>SUM(K327:K377)</f>
        <v>12554</v>
      </c>
      <c r="L378" s="101">
        <f>SUM(L327:L377)</f>
        <v>13110</v>
      </c>
      <c r="M378" s="64">
        <f>SUM(J378:L378)</f>
        <v>39579</v>
      </c>
      <c r="N378" s="101">
        <f>SUM(N327:N377)</f>
        <v>12519</v>
      </c>
      <c r="O378" s="101">
        <f>SUM(O327:O377)</f>
        <v>932</v>
      </c>
      <c r="P378" s="101">
        <f>SUM(P327:P377)</f>
        <v>5930</v>
      </c>
      <c r="Q378" s="64">
        <f>SUM(N378:P378)</f>
        <v>19381</v>
      </c>
      <c r="R378" s="64">
        <f>+E378+I378+M378+Q378</f>
        <v>94532</v>
      </c>
      <c r="T378" s="106"/>
      <c r="V378" s="4" t="s">
        <v>305</v>
      </c>
      <c r="W378" s="127">
        <v>0.18</v>
      </c>
    </row>
    <row r="379" spans="1:39" ht="15.75" customHeight="1" x14ac:dyDescent="0.3">
      <c r="A379" s="17" t="s">
        <v>53</v>
      </c>
      <c r="B379" s="1"/>
      <c r="C379" s="1"/>
      <c r="D379" s="1"/>
      <c r="E379" s="59" t="s">
        <v>7</v>
      </c>
      <c r="F379" s="1"/>
      <c r="G379" s="1"/>
      <c r="H379" s="1"/>
      <c r="I379" s="59" t="s">
        <v>7</v>
      </c>
      <c r="J379" s="1"/>
      <c r="K379" s="1"/>
      <c r="L379" s="1"/>
      <c r="M379" s="59" t="s">
        <v>7</v>
      </c>
      <c r="N379" s="1"/>
      <c r="O379" s="1"/>
      <c r="P379" s="1"/>
      <c r="Q379" s="59" t="s">
        <v>7</v>
      </c>
      <c r="R379" s="59" t="s">
        <v>7</v>
      </c>
      <c r="V379" s="4" t="s">
        <v>366</v>
      </c>
      <c r="W379" s="127">
        <v>0.52</v>
      </c>
    </row>
    <row r="380" spans="1:39" ht="15.75" customHeight="1" x14ac:dyDescent="0.3">
      <c r="A380" s="17" t="s">
        <v>367</v>
      </c>
      <c r="B380" s="1"/>
      <c r="C380" s="1"/>
      <c r="D380" s="1"/>
      <c r="E380" s="59"/>
      <c r="F380" s="1"/>
      <c r="G380" s="1"/>
      <c r="H380" s="1"/>
      <c r="I380" s="59"/>
      <c r="J380" s="1"/>
      <c r="K380" s="1"/>
      <c r="L380" s="1"/>
      <c r="M380" s="59"/>
      <c r="N380" s="1"/>
      <c r="O380" s="1"/>
      <c r="P380" s="1"/>
      <c r="Q380" s="59"/>
      <c r="R380" s="59"/>
      <c r="V380" s="4" t="s">
        <v>368</v>
      </c>
      <c r="W380" s="127">
        <v>0.3</v>
      </c>
    </row>
    <row r="381" spans="1:39" ht="15.75" customHeight="1" x14ac:dyDescent="0.3">
      <c r="A381" s="17" t="s">
        <v>55</v>
      </c>
      <c r="B381" s="1"/>
      <c r="C381" s="1"/>
      <c r="D381" s="1"/>
      <c r="E381" s="59" t="s">
        <v>7</v>
      </c>
      <c r="F381" s="1"/>
      <c r="G381" s="1"/>
      <c r="H381" s="1"/>
      <c r="I381" s="59" t="s">
        <v>7</v>
      </c>
      <c r="J381" s="1"/>
      <c r="K381" s="1"/>
      <c r="L381" s="1"/>
      <c r="M381" s="59" t="s">
        <v>7</v>
      </c>
      <c r="N381" s="1"/>
      <c r="O381" s="1"/>
      <c r="P381" s="1"/>
      <c r="Q381" s="59" t="s">
        <v>7</v>
      </c>
      <c r="R381" s="59" t="s">
        <v>7</v>
      </c>
      <c r="W381" s="128">
        <f>+SUM(W378:W380)</f>
        <v>1</v>
      </c>
    </row>
    <row r="382" spans="1:39" ht="15.75" customHeight="1" x14ac:dyDescent="0.3">
      <c r="A382" s="76" t="s">
        <v>369</v>
      </c>
      <c r="B382" s="1">
        <v>14</v>
      </c>
      <c r="C382" s="1">
        <v>14</v>
      </c>
      <c r="D382" s="1">
        <v>660</v>
      </c>
      <c r="E382" s="59">
        <f>SUM(B382:D382)</f>
        <v>688</v>
      </c>
      <c r="F382" s="1">
        <v>1300</v>
      </c>
      <c r="G382" s="1">
        <v>1476</v>
      </c>
      <c r="H382" s="1">
        <v>2700</v>
      </c>
      <c r="I382" s="59">
        <f>SUM(F382:H382)</f>
        <v>5476</v>
      </c>
      <c r="J382" s="1">
        <f>3380+390</f>
        <v>3770</v>
      </c>
      <c r="K382" s="1">
        <f>1782+328</f>
        <v>2110</v>
      </c>
      <c r="L382" s="1">
        <v>180</v>
      </c>
      <c r="M382" s="59">
        <f>SUM(J382:L382)</f>
        <v>6060</v>
      </c>
      <c r="N382" s="1">
        <v>30</v>
      </c>
      <c r="O382" s="1">
        <v>7</v>
      </c>
      <c r="P382" s="1">
        <v>35</v>
      </c>
      <c r="Q382" s="59">
        <f>SUM(N382:P382)</f>
        <v>72</v>
      </c>
      <c r="R382" s="59">
        <f t="shared" ref="R382:R390" si="147">+E382+I382+M382+Q382</f>
        <v>12296</v>
      </c>
      <c r="T382" s="4" t="s">
        <v>305</v>
      </c>
      <c r="V382" s="129" t="s">
        <v>370</v>
      </c>
      <c r="W382" s="30" t="s">
        <v>36</v>
      </c>
      <c r="X382" s="2" t="s">
        <v>9</v>
      </c>
      <c r="Y382" s="2" t="s">
        <v>10</v>
      </c>
      <c r="Z382" s="130" t="s">
        <v>11</v>
      </c>
      <c r="AA382" s="2" t="s">
        <v>12</v>
      </c>
      <c r="AB382" s="2" t="s">
        <v>13</v>
      </c>
      <c r="AC382" s="2" t="s">
        <v>14</v>
      </c>
      <c r="AD382" s="130" t="s">
        <v>15</v>
      </c>
      <c r="AE382" s="2" t="s">
        <v>16</v>
      </c>
      <c r="AF382" s="2" t="s">
        <v>17</v>
      </c>
      <c r="AG382" s="2" t="s">
        <v>18</v>
      </c>
      <c r="AH382" s="130" t="s">
        <v>19</v>
      </c>
      <c r="AI382" s="2" t="s">
        <v>20</v>
      </c>
      <c r="AJ382" s="2" t="s">
        <v>21</v>
      </c>
      <c r="AK382" s="2" t="s">
        <v>22</v>
      </c>
      <c r="AL382" s="130" t="s">
        <v>23</v>
      </c>
      <c r="AM382" s="303" t="s">
        <v>24</v>
      </c>
    </row>
    <row r="383" spans="1:39" ht="15.75" customHeight="1" x14ac:dyDescent="0.3">
      <c r="A383" s="76" t="s">
        <v>371</v>
      </c>
      <c r="B383" s="1"/>
      <c r="C383" s="1"/>
      <c r="D383" s="1">
        <v>21</v>
      </c>
      <c r="E383" s="59">
        <f>SUM(B383:D383)</f>
        <v>21</v>
      </c>
      <c r="F383" s="1">
        <v>21</v>
      </c>
      <c r="G383" s="1">
        <v>21</v>
      </c>
      <c r="H383" s="1">
        <v>7</v>
      </c>
      <c r="I383" s="59">
        <f>SUM(F383:H383)</f>
        <v>49</v>
      </c>
      <c r="J383" s="1">
        <v>7</v>
      </c>
      <c r="K383" s="1">
        <v>21</v>
      </c>
      <c r="L383" s="1">
        <v>21</v>
      </c>
      <c r="M383" s="59">
        <f>SUM(J383:L383)</f>
        <v>49</v>
      </c>
      <c r="N383" s="1"/>
      <c r="O383" s="1"/>
      <c r="P383" s="1"/>
      <c r="Q383" s="59">
        <f>SUM(N383:P383)</f>
        <v>0</v>
      </c>
      <c r="R383" s="59">
        <f t="shared" si="147"/>
        <v>119</v>
      </c>
      <c r="T383" s="4" t="s">
        <v>331</v>
      </c>
      <c r="V383" s="95" t="s">
        <v>372</v>
      </c>
      <c r="W383" s="132">
        <v>1500</v>
      </c>
      <c r="X383" s="132">
        <v>1500</v>
      </c>
      <c r="Y383" s="132">
        <v>6800</v>
      </c>
      <c r="Z383" s="4">
        <f>+SUM(W383:Y383)</f>
        <v>9800</v>
      </c>
      <c r="AA383" s="132">
        <f>8000+1500</f>
        <v>9500</v>
      </c>
      <c r="AB383" s="132">
        <f>10000+2000</f>
        <v>12000</v>
      </c>
      <c r="AC383" s="132">
        <f>12000+1500</f>
        <v>13500</v>
      </c>
      <c r="AD383" s="4">
        <f>+SUM(AA383:AC383)</f>
        <v>35000</v>
      </c>
      <c r="AE383" s="132">
        <v>25500</v>
      </c>
      <c r="AF383" s="132">
        <v>19000</v>
      </c>
      <c r="AG383" s="132">
        <v>4000</v>
      </c>
      <c r="AH383" s="4">
        <f>+SUM(AE383:AG383)</f>
        <v>48500</v>
      </c>
      <c r="AI383" s="132">
        <v>1500</v>
      </c>
      <c r="AJ383" s="132">
        <v>1000</v>
      </c>
      <c r="AK383" s="132">
        <v>1069</v>
      </c>
      <c r="AL383" s="4">
        <f>+SUM(AI383:AK383)</f>
        <v>3569</v>
      </c>
      <c r="AM383" s="304">
        <f>+Z383+AD383+AH383+AL383</f>
        <v>96869</v>
      </c>
    </row>
    <row r="384" spans="1:39" ht="15.75" customHeight="1" x14ac:dyDescent="0.3">
      <c r="A384" s="76" t="s">
        <v>373</v>
      </c>
      <c r="B384" s="1">
        <v>1000</v>
      </c>
      <c r="C384" s="1">
        <v>1500</v>
      </c>
      <c r="D384" s="1">
        <v>5200</v>
      </c>
      <c r="E384" s="59">
        <f t="shared" ref="E384:E385" si="148">SUM(B384:D384)</f>
        <v>7700</v>
      </c>
      <c r="F384" s="1">
        <v>10000</v>
      </c>
      <c r="G384" s="1">
        <v>8551</v>
      </c>
      <c r="H384" s="1">
        <v>1968</v>
      </c>
      <c r="I384" s="59">
        <f t="shared" ref="I384:I389" si="149">SUM(F384:H384)</f>
        <v>20519</v>
      </c>
      <c r="J384" s="1"/>
      <c r="K384" s="1"/>
      <c r="L384" s="1"/>
      <c r="M384" s="59">
        <f t="shared" ref="M384:M389" si="150">SUM(J384:L384)</f>
        <v>0</v>
      </c>
      <c r="N384" s="1"/>
      <c r="O384" s="1"/>
      <c r="P384" s="1"/>
      <c r="Q384" s="59">
        <f t="shared" ref="Q384:Q390" si="151">SUM(N384:P384)</f>
        <v>0</v>
      </c>
      <c r="R384" s="59">
        <f t="shared" si="147"/>
        <v>28219</v>
      </c>
      <c r="T384" s="4" t="s">
        <v>307</v>
      </c>
      <c r="V384" s="95" t="s">
        <v>305</v>
      </c>
      <c r="W384" s="4">
        <f>+$W$378*W383</f>
        <v>270</v>
      </c>
      <c r="X384" s="4">
        <f>+$W$378*X383</f>
        <v>270</v>
      </c>
      <c r="Y384" s="4">
        <f>+$W$378*Y383</f>
        <v>1224</v>
      </c>
      <c r="Z384" s="4">
        <f>+SUM(W384:Y384)</f>
        <v>1764</v>
      </c>
      <c r="AA384" s="4">
        <f>+$W$378*AA383</f>
        <v>1710</v>
      </c>
      <c r="AB384" s="4">
        <f>+$W$378*AB383</f>
        <v>2160</v>
      </c>
      <c r="AC384" s="4">
        <f>+$W$378*AC383</f>
        <v>2430</v>
      </c>
      <c r="AD384" s="4">
        <f>+SUM(AA384:AC384)</f>
        <v>6300</v>
      </c>
      <c r="AE384" s="4">
        <f>+$W$378*AE383</f>
        <v>4590</v>
      </c>
      <c r="AF384" s="4">
        <f>+$W$378*AF383</f>
        <v>3420</v>
      </c>
      <c r="AG384" s="4">
        <f>+$W$378*AG383</f>
        <v>720</v>
      </c>
      <c r="AH384" s="4">
        <f>+SUM(AE384:AG384)</f>
        <v>8730</v>
      </c>
      <c r="AI384" s="4">
        <f>+$W$378*AI383</f>
        <v>270</v>
      </c>
      <c r="AJ384" s="4">
        <f>+$W$378*AJ383</f>
        <v>180</v>
      </c>
      <c r="AK384" s="4">
        <f>+$W$378*AK383</f>
        <v>192.42</v>
      </c>
      <c r="AL384" s="4">
        <f>+SUM(AI384:AK384)</f>
        <v>642.41999999999996</v>
      </c>
      <c r="AM384" s="304">
        <f>+Z384+AD384+AH384+AL384</f>
        <v>17436.419999999998</v>
      </c>
    </row>
    <row r="385" spans="1:39" ht="15.75" customHeight="1" x14ac:dyDescent="0.3">
      <c r="A385" s="76" t="s">
        <v>374</v>
      </c>
      <c r="B385" s="1">
        <f>1020+400</f>
        <v>1420</v>
      </c>
      <c r="C385" s="1">
        <f>3690+1600</f>
        <v>5290</v>
      </c>
      <c r="D385" s="1">
        <f>9070+1500</f>
        <v>10570</v>
      </c>
      <c r="E385" s="59">
        <f t="shared" si="148"/>
        <v>17280</v>
      </c>
      <c r="F385" s="1">
        <f>13180+2000</f>
        <v>15180</v>
      </c>
      <c r="G385" s="1">
        <f>15890</f>
        <v>15890</v>
      </c>
      <c r="H385" s="1">
        <v>15910</v>
      </c>
      <c r="I385" s="59">
        <f t="shared" ref="I385" si="152">SUM(F385:H385)</f>
        <v>46980</v>
      </c>
      <c r="J385" s="1">
        <f>9770+487</f>
        <v>10257</v>
      </c>
      <c r="K385" s="1">
        <v>6200</v>
      </c>
      <c r="L385" s="1">
        <v>3770</v>
      </c>
      <c r="M385" s="59">
        <f t="shared" ref="M385" si="153">SUM(J385:L385)</f>
        <v>20227</v>
      </c>
      <c r="N385" s="1">
        <v>660</v>
      </c>
      <c r="O385" s="1">
        <v>370</v>
      </c>
      <c r="P385" s="1">
        <v>356</v>
      </c>
      <c r="Q385" s="59">
        <f t="shared" si="151"/>
        <v>1386</v>
      </c>
      <c r="R385" s="59">
        <f t="shared" si="147"/>
        <v>85873</v>
      </c>
      <c r="T385" s="4" t="s">
        <v>305</v>
      </c>
      <c r="V385" s="95" t="s">
        <v>366</v>
      </c>
      <c r="W385" s="4">
        <f>+$W$379*W383</f>
        <v>780</v>
      </c>
      <c r="X385" s="4">
        <f>+$W$379*X383</f>
        <v>780</v>
      </c>
      <c r="Y385" s="4">
        <f>+$W$379*Y383</f>
        <v>3536</v>
      </c>
      <c r="Z385" s="4">
        <f>+SUM(W385:Y385)</f>
        <v>5096</v>
      </c>
      <c r="AA385" s="4">
        <f>+$W$379*AA383</f>
        <v>4940</v>
      </c>
      <c r="AB385" s="4">
        <f>+$W$379*AB383</f>
        <v>6240</v>
      </c>
      <c r="AC385" s="4">
        <f>+$W$379*AC383</f>
        <v>7020</v>
      </c>
      <c r="AD385" s="4">
        <f>+SUM(AA385:AC385)</f>
        <v>18200</v>
      </c>
      <c r="AE385" s="4">
        <f>+$W$379*AE383</f>
        <v>13260</v>
      </c>
      <c r="AF385" s="4">
        <f>+$W$379*AF383</f>
        <v>9880</v>
      </c>
      <c r="AG385" s="4">
        <f>+$W$379*AG383</f>
        <v>2080</v>
      </c>
      <c r="AH385" s="4">
        <f>+SUM(AE385:AG385)</f>
        <v>25220</v>
      </c>
      <c r="AI385" s="4">
        <f>+$W$379*AI383</f>
        <v>780</v>
      </c>
      <c r="AJ385" s="4">
        <f>+$W$379*AJ383</f>
        <v>520</v>
      </c>
      <c r="AK385" s="4">
        <f>+$W$379*AK383</f>
        <v>555.88</v>
      </c>
      <c r="AL385" s="4">
        <f>+SUM(AI385:AK385)</f>
        <v>1855.88</v>
      </c>
      <c r="AM385" s="304">
        <f>+Z385+AD385+AH385+AL385</f>
        <v>50371.88</v>
      </c>
    </row>
    <row r="386" spans="1:39" ht="15.75" customHeight="1" x14ac:dyDescent="0.3">
      <c r="A386" s="76" t="s">
        <v>375</v>
      </c>
      <c r="B386" s="1"/>
      <c r="C386" s="1"/>
      <c r="D386" s="1"/>
      <c r="E386" s="59">
        <f t="shared" ref="E386:E389" si="154">SUM(B386:D386)</f>
        <v>0</v>
      </c>
      <c r="F386" s="1">
        <v>3000</v>
      </c>
      <c r="G386" s="1">
        <v>2000</v>
      </c>
      <c r="H386" s="1">
        <v>2000</v>
      </c>
      <c r="I386" s="59">
        <f t="shared" si="149"/>
        <v>7000</v>
      </c>
      <c r="J386" s="1">
        <v>2000</v>
      </c>
      <c r="K386" s="1"/>
      <c r="L386" s="1"/>
      <c r="M386" s="59">
        <f t="shared" si="150"/>
        <v>2000</v>
      </c>
      <c r="N386" s="1"/>
      <c r="O386" s="1"/>
      <c r="P386" s="1"/>
      <c r="Q386" s="59">
        <f t="shared" si="151"/>
        <v>0</v>
      </c>
      <c r="R386" s="59">
        <f t="shared" si="147"/>
        <v>9000</v>
      </c>
      <c r="T386" s="4" t="s">
        <v>376</v>
      </c>
      <c r="V386" s="95" t="s">
        <v>368</v>
      </c>
      <c r="W386" s="4">
        <f>+$W$380*W383</f>
        <v>450</v>
      </c>
      <c r="X386" s="4">
        <f>+$W$380*X383</f>
        <v>450</v>
      </c>
      <c r="Y386" s="4">
        <f>+$W$380*Y383</f>
        <v>2040</v>
      </c>
      <c r="Z386" s="4">
        <f>+SUM(W386:Y386)</f>
        <v>2940</v>
      </c>
      <c r="AA386" s="4">
        <f>+$W$380*AA383</f>
        <v>2850</v>
      </c>
      <c r="AB386" s="4">
        <f>+$W$380*AB383</f>
        <v>3600</v>
      </c>
      <c r="AC386" s="4">
        <f>+$W$380*AC383</f>
        <v>4050</v>
      </c>
      <c r="AD386" s="4">
        <f>+SUM(AA386:AC386)</f>
        <v>10500</v>
      </c>
      <c r="AE386" s="4">
        <f>+$W$380*AE383</f>
        <v>7650</v>
      </c>
      <c r="AF386" s="4">
        <f>+$W$380*AF383</f>
        <v>5700</v>
      </c>
      <c r="AG386" s="4">
        <f>+$W$380*AG383</f>
        <v>1200</v>
      </c>
      <c r="AH386" s="4">
        <f>+SUM(AE386:AG386)</f>
        <v>14550</v>
      </c>
      <c r="AI386" s="4">
        <f>+$W$380*AI383</f>
        <v>450</v>
      </c>
      <c r="AJ386" s="4">
        <f>+$W$380*AJ383</f>
        <v>300</v>
      </c>
      <c r="AK386" s="4">
        <f>+$W$380*AK383</f>
        <v>320.7</v>
      </c>
      <c r="AL386" s="4">
        <f>+$W$380*AL383</f>
        <v>1070.7</v>
      </c>
      <c r="AM386" s="304">
        <f>+Z386+AD386+AH386+AL386</f>
        <v>29060.7</v>
      </c>
    </row>
    <row r="387" spans="1:39" ht="15.75" customHeight="1" thickBot="1" x14ac:dyDescent="0.35">
      <c r="A387" s="76" t="s">
        <v>377</v>
      </c>
      <c r="B387" s="1">
        <v>700</v>
      </c>
      <c r="C387" s="1">
        <v>700</v>
      </c>
      <c r="D387" s="1">
        <v>500</v>
      </c>
      <c r="E387" s="59">
        <f t="shared" ref="E387" si="155">SUM(B387:D387)</f>
        <v>1900</v>
      </c>
      <c r="F387" s="1"/>
      <c r="G387" s="1"/>
      <c r="H387" s="1"/>
      <c r="I387" s="59">
        <f t="shared" ref="I387" si="156">SUM(F387:H387)</f>
        <v>0</v>
      </c>
      <c r="J387" s="1">
        <v>600</v>
      </c>
      <c r="K387" s="1">
        <v>1500</v>
      </c>
      <c r="L387" s="1">
        <v>2500</v>
      </c>
      <c r="M387" s="59">
        <f t="shared" ref="M387" si="157">SUM(J387:L387)</f>
        <v>4600</v>
      </c>
      <c r="N387" s="1">
        <v>775</v>
      </c>
      <c r="O387" s="1">
        <v>800</v>
      </c>
      <c r="P387" s="1">
        <v>700</v>
      </c>
      <c r="Q387" s="59">
        <f t="shared" si="151"/>
        <v>2275</v>
      </c>
      <c r="R387" s="59">
        <f t="shared" si="147"/>
        <v>8775</v>
      </c>
      <c r="T387" s="4" t="s">
        <v>331</v>
      </c>
      <c r="V387" s="134"/>
      <c r="W387" s="135"/>
      <c r="X387" s="135"/>
      <c r="Y387" s="135"/>
      <c r="Z387" s="135"/>
      <c r="AA387" s="135"/>
      <c r="AB387" s="135"/>
      <c r="AC387" s="135"/>
      <c r="AD387" s="135"/>
      <c r="AE387" s="135"/>
      <c r="AF387" s="135"/>
      <c r="AG387" s="135"/>
      <c r="AH387" s="135"/>
      <c r="AI387" s="135"/>
      <c r="AJ387" s="135"/>
      <c r="AK387" s="135"/>
      <c r="AL387" s="135"/>
      <c r="AM387" s="136"/>
    </row>
    <row r="388" spans="1:39" s="20" customFormat="1" ht="15.75" customHeight="1" x14ac:dyDescent="0.3">
      <c r="A388" s="104" t="s">
        <v>378</v>
      </c>
      <c r="B388" s="92"/>
      <c r="C388" s="92"/>
      <c r="D388" s="92"/>
      <c r="E388" s="93">
        <f t="shared" si="154"/>
        <v>0</v>
      </c>
      <c r="F388" s="92"/>
      <c r="G388" s="92"/>
      <c r="H388" s="92"/>
      <c r="I388" s="93">
        <f t="shared" si="149"/>
        <v>0</v>
      </c>
      <c r="J388" s="92"/>
      <c r="K388" s="92"/>
      <c r="L388" s="92"/>
      <c r="M388" s="93">
        <f t="shared" si="150"/>
        <v>0</v>
      </c>
      <c r="N388" s="92"/>
      <c r="O388" s="92"/>
      <c r="P388" s="92"/>
      <c r="Q388" s="93">
        <f t="shared" ref="Q388" si="158">SUM(N388:P388)</f>
        <v>0</v>
      </c>
      <c r="R388" s="93">
        <f t="shared" si="147"/>
        <v>0</v>
      </c>
    </row>
    <row r="389" spans="1:39" ht="15.75" customHeight="1" x14ac:dyDescent="0.3">
      <c r="A389" s="76" t="s">
        <v>379</v>
      </c>
      <c r="B389" s="1"/>
      <c r="C389" s="1"/>
      <c r="D389" s="1"/>
      <c r="E389" s="59">
        <f t="shared" si="154"/>
        <v>0</v>
      </c>
      <c r="F389" s="1"/>
      <c r="G389" s="1"/>
      <c r="H389" s="1"/>
      <c r="I389" s="59">
        <f t="shared" si="149"/>
        <v>0</v>
      </c>
      <c r="J389" s="1"/>
      <c r="K389" s="1"/>
      <c r="L389" s="1"/>
      <c r="M389" s="59">
        <f t="shared" si="150"/>
        <v>0</v>
      </c>
      <c r="N389" s="1"/>
      <c r="O389" s="1"/>
      <c r="P389" s="1"/>
      <c r="Q389" s="59">
        <f t="shared" si="151"/>
        <v>0</v>
      </c>
      <c r="R389" s="59">
        <f t="shared" si="147"/>
        <v>0</v>
      </c>
      <c r="T389" s="4" t="s">
        <v>317</v>
      </c>
    </row>
    <row r="390" spans="1:39" ht="15.75" customHeight="1" x14ac:dyDescent="0.3">
      <c r="A390" s="76" t="s">
        <v>380</v>
      </c>
      <c r="B390" s="1"/>
      <c r="C390" s="1">
        <v>250</v>
      </c>
      <c r="D390" s="1">
        <v>250</v>
      </c>
      <c r="E390" s="59">
        <f t="shared" ref="E390" si="159">SUM(B390:D390)</f>
        <v>500</v>
      </c>
      <c r="F390" s="1">
        <v>500</v>
      </c>
      <c r="G390" s="1">
        <v>1000</v>
      </c>
      <c r="H390" s="1">
        <v>3500</v>
      </c>
      <c r="I390" s="59">
        <f t="shared" ref="I390" si="160">SUM(F390:H390)</f>
        <v>5000</v>
      </c>
      <c r="J390" s="1">
        <v>5000</v>
      </c>
      <c r="K390" s="1">
        <v>5500</v>
      </c>
      <c r="L390" s="1">
        <v>3500</v>
      </c>
      <c r="M390" s="59">
        <f t="shared" ref="M390" si="161">SUM(J390:L390)</f>
        <v>14000</v>
      </c>
      <c r="N390" s="1">
        <v>3000</v>
      </c>
      <c r="O390" s="1">
        <v>1000</v>
      </c>
      <c r="P390" s="1">
        <v>1737</v>
      </c>
      <c r="Q390" s="59">
        <f t="shared" si="151"/>
        <v>5737</v>
      </c>
      <c r="R390" s="59">
        <f t="shared" si="147"/>
        <v>25237</v>
      </c>
    </row>
    <row r="391" spans="1:39" ht="15.75" customHeight="1" thickBot="1" x14ac:dyDescent="0.35">
      <c r="A391" s="17" t="s">
        <v>56</v>
      </c>
      <c r="B391" s="1"/>
      <c r="C391" s="1"/>
      <c r="D391" s="1"/>
      <c r="E391" s="59" t="s">
        <v>7</v>
      </c>
      <c r="F391" s="1"/>
      <c r="G391" s="1"/>
      <c r="H391" s="1"/>
      <c r="I391" s="59" t="s">
        <v>7</v>
      </c>
      <c r="J391" s="1"/>
      <c r="K391" s="1"/>
      <c r="L391" s="1"/>
      <c r="M391" s="59" t="s">
        <v>7</v>
      </c>
      <c r="N391" s="1"/>
      <c r="O391" s="1"/>
      <c r="P391" s="1"/>
      <c r="Q391" s="59" t="s">
        <v>7</v>
      </c>
      <c r="R391" s="59" t="s">
        <v>7</v>
      </c>
    </row>
    <row r="392" spans="1:39" ht="16.5" customHeight="1" thickBot="1" x14ac:dyDescent="0.35">
      <c r="A392" s="62" t="s">
        <v>57</v>
      </c>
      <c r="B392" s="100">
        <f>SUM(B379:B391)</f>
        <v>3134</v>
      </c>
      <c r="C392" s="101">
        <f>SUM(C379:C391)</f>
        <v>7754</v>
      </c>
      <c r="D392" s="101">
        <f>SUM(D379:D391)</f>
        <v>17201</v>
      </c>
      <c r="E392" s="64">
        <f>SUM(B392:D392)</f>
        <v>28089</v>
      </c>
      <c r="F392" s="101">
        <f>SUM(F379:F391)</f>
        <v>30001</v>
      </c>
      <c r="G392" s="101">
        <f>SUM(G379:G391)</f>
        <v>28938</v>
      </c>
      <c r="H392" s="101">
        <f>SUM(H379:H391)</f>
        <v>26085</v>
      </c>
      <c r="I392" s="64">
        <f>SUM(F392:H392)</f>
        <v>85024</v>
      </c>
      <c r="J392" s="101">
        <f>SUM(J379:J391)</f>
        <v>21634</v>
      </c>
      <c r="K392" s="101">
        <f>SUM(K379:K391)</f>
        <v>15331</v>
      </c>
      <c r="L392" s="101">
        <f>SUM(L379:L391)</f>
        <v>9971</v>
      </c>
      <c r="M392" s="64">
        <f>SUM(J392:L392)</f>
        <v>46936</v>
      </c>
      <c r="N392" s="101">
        <f>SUM(N379:N391)</f>
        <v>4465</v>
      </c>
      <c r="O392" s="101">
        <f>SUM(O379:O391)</f>
        <v>2177</v>
      </c>
      <c r="P392" s="101">
        <f>SUM(P379:P391)</f>
        <v>2828</v>
      </c>
      <c r="Q392" s="64">
        <f>SUM(N392:P392)</f>
        <v>9470</v>
      </c>
      <c r="R392" s="64">
        <f>+E392+I392+M392+Q392</f>
        <v>169519</v>
      </c>
    </row>
    <row r="393" spans="1:39" ht="15.75" customHeight="1" x14ac:dyDescent="0.3">
      <c r="A393" s="17" t="s">
        <v>58</v>
      </c>
      <c r="B393" s="1"/>
      <c r="C393" s="1"/>
      <c r="D393" s="1"/>
      <c r="E393" s="59" t="s">
        <v>7</v>
      </c>
      <c r="F393" s="1"/>
      <c r="G393" s="1"/>
      <c r="H393" s="1"/>
      <c r="I393" s="59" t="s">
        <v>7</v>
      </c>
      <c r="J393" s="1"/>
      <c r="K393" s="1"/>
      <c r="L393" s="1"/>
      <c r="M393" s="59" t="s">
        <v>7</v>
      </c>
      <c r="N393" s="1"/>
      <c r="O393" s="1"/>
      <c r="P393" s="1"/>
      <c r="Q393" s="59" t="s">
        <v>7</v>
      </c>
      <c r="R393" s="59" t="s">
        <v>7</v>
      </c>
    </row>
    <row r="394" spans="1:39" ht="15.75" customHeight="1" x14ac:dyDescent="0.3">
      <c r="A394" s="17" t="s">
        <v>59</v>
      </c>
      <c r="B394" s="1"/>
      <c r="C394" s="1"/>
      <c r="D394" s="1"/>
      <c r="E394" s="59" t="s">
        <v>7</v>
      </c>
      <c r="F394" s="1"/>
      <c r="G394" s="1"/>
      <c r="H394" s="1"/>
      <c r="I394" s="59" t="s">
        <v>7</v>
      </c>
      <c r="J394" s="1"/>
      <c r="K394" s="1"/>
      <c r="L394" s="1"/>
      <c r="M394" s="59" t="s">
        <v>7</v>
      </c>
      <c r="N394" s="1"/>
      <c r="O394" s="1"/>
      <c r="P394" s="1"/>
      <c r="Q394" s="59" t="s">
        <v>7</v>
      </c>
      <c r="R394" s="59" t="s">
        <v>7</v>
      </c>
    </row>
    <row r="395" spans="1:39" ht="15.75" customHeight="1" x14ac:dyDescent="0.3">
      <c r="A395" s="76" t="s">
        <v>381</v>
      </c>
      <c r="B395" s="1">
        <v>2728</v>
      </c>
      <c r="C395" s="1">
        <v>2944</v>
      </c>
      <c r="D395" s="1">
        <v>8063</v>
      </c>
      <c r="E395" s="59">
        <f>SUM(B395:D395)</f>
        <v>13735</v>
      </c>
      <c r="F395" s="1">
        <v>8619</v>
      </c>
      <c r="G395" s="1">
        <v>12361</v>
      </c>
      <c r="H395" s="1">
        <v>11840</v>
      </c>
      <c r="I395" s="59">
        <f>SUM(F395:H395)</f>
        <v>32820</v>
      </c>
      <c r="J395" s="1">
        <v>10188</v>
      </c>
      <c r="K395" s="1">
        <v>6746</v>
      </c>
      <c r="L395" s="1">
        <v>5419</v>
      </c>
      <c r="M395" s="59">
        <f>SUM(J395:L395)</f>
        <v>22353</v>
      </c>
      <c r="N395" s="1">
        <v>2435</v>
      </c>
      <c r="O395" s="1">
        <v>2213</v>
      </c>
      <c r="P395" s="1">
        <v>1663</v>
      </c>
      <c r="Q395" s="59">
        <f>SUM(N395:P395)</f>
        <v>6311</v>
      </c>
      <c r="R395" s="59">
        <f>+E395+I395+M395+Q395</f>
        <v>75219</v>
      </c>
      <c r="T395" s="4" t="s">
        <v>305</v>
      </c>
    </row>
    <row r="396" spans="1:39" ht="15.75" customHeight="1" x14ac:dyDescent="0.3">
      <c r="A396" s="76" t="s">
        <v>382</v>
      </c>
      <c r="B396" s="1">
        <v>1000</v>
      </c>
      <c r="C396" s="1">
        <f>3900+1800</f>
        <v>5700</v>
      </c>
      <c r="D396" s="1">
        <f>5500+1800</f>
        <v>7300</v>
      </c>
      <c r="E396" s="59">
        <f>SUM(B396:D396)</f>
        <v>14000</v>
      </c>
      <c r="F396" s="1">
        <f>6000+2000</f>
        <v>8000</v>
      </c>
      <c r="G396" s="1">
        <f>9582+2000</f>
        <v>11582</v>
      </c>
      <c r="H396" s="1">
        <f>14582+2000</f>
        <v>16582</v>
      </c>
      <c r="I396" s="59">
        <f>SUM(F396:H396)</f>
        <v>36164</v>
      </c>
      <c r="J396" s="1">
        <f>14582+2000</f>
        <v>16582</v>
      </c>
      <c r="K396" s="1">
        <f>16812+2000</f>
        <v>18812</v>
      </c>
      <c r="L396" s="1">
        <f>12450+2000</f>
        <v>14450</v>
      </c>
      <c r="M396" s="59">
        <f>SUM(J396:L396)</f>
        <v>49844</v>
      </c>
      <c r="N396" s="1">
        <f>10000+2000</f>
        <v>12000</v>
      </c>
      <c r="O396" s="1"/>
      <c r="P396" s="1">
        <f>7976+1400</f>
        <v>9376</v>
      </c>
      <c r="Q396" s="59">
        <f>SUM(N396:P396)</f>
        <v>21376</v>
      </c>
      <c r="R396" s="59">
        <f>+E396+I396+M396+Q396</f>
        <v>121384</v>
      </c>
      <c r="T396" s="4" t="s">
        <v>336</v>
      </c>
    </row>
    <row r="397" spans="1:39" ht="15.75" customHeight="1" x14ac:dyDescent="0.3">
      <c r="A397" s="17" t="s">
        <v>60</v>
      </c>
      <c r="B397" s="1"/>
      <c r="C397" s="1"/>
      <c r="D397" s="1"/>
      <c r="E397" s="59" t="s">
        <v>7</v>
      </c>
      <c r="F397" s="1"/>
      <c r="G397" s="1"/>
      <c r="H397" s="1"/>
      <c r="I397" s="59" t="s">
        <v>7</v>
      </c>
      <c r="J397" s="1"/>
      <c r="K397" s="1"/>
      <c r="L397" s="1"/>
      <c r="M397" s="59" t="s">
        <v>7</v>
      </c>
      <c r="N397" s="1"/>
      <c r="O397" s="1"/>
      <c r="P397" s="1"/>
      <c r="Q397" s="59" t="s">
        <v>7</v>
      </c>
      <c r="R397" s="59" t="s">
        <v>7</v>
      </c>
    </row>
    <row r="398" spans="1:39" ht="15.75" customHeight="1" x14ac:dyDescent="0.3">
      <c r="A398" s="76" t="s">
        <v>385</v>
      </c>
      <c r="B398" s="1"/>
      <c r="C398" s="1"/>
      <c r="D398" s="1"/>
      <c r="E398" s="59">
        <f>SUM(B398:D398)</f>
        <v>0</v>
      </c>
      <c r="F398" s="1">
        <v>4000</v>
      </c>
      <c r="G398" s="1">
        <v>2000</v>
      </c>
      <c r="H398" s="1"/>
      <c r="I398" s="59">
        <f>SUM(F398:H398)</f>
        <v>6000</v>
      </c>
      <c r="J398" s="1"/>
      <c r="K398" s="1"/>
      <c r="L398" s="1"/>
      <c r="M398" s="59">
        <f>SUM(J398:L398)</f>
        <v>0</v>
      </c>
      <c r="N398" s="1"/>
      <c r="O398" s="1"/>
      <c r="P398" s="1"/>
      <c r="Q398" s="59">
        <f>SUM(N398:P398)</f>
        <v>0</v>
      </c>
      <c r="R398" s="59">
        <f t="shared" ref="R398:R447" si="162">+E398+I398+M398+Q398</f>
        <v>6000</v>
      </c>
    </row>
    <row r="399" spans="1:39" ht="15.75" customHeight="1" x14ac:dyDescent="0.3">
      <c r="A399" s="76" t="s">
        <v>386</v>
      </c>
      <c r="B399" s="1"/>
      <c r="C399" s="1"/>
      <c r="D399" s="1"/>
      <c r="E399" s="59">
        <f>SUM(B399:D399)</f>
        <v>0</v>
      </c>
      <c r="F399" s="1"/>
      <c r="G399" s="1">
        <v>1000</v>
      </c>
      <c r="H399" s="1">
        <v>613</v>
      </c>
      <c r="I399" s="59">
        <f>SUM(F399:H399)</f>
        <v>1613</v>
      </c>
      <c r="J399" s="1"/>
      <c r="K399" s="1"/>
      <c r="L399" s="1"/>
      <c r="M399" s="59">
        <f>SUM(J399:L399)</f>
        <v>0</v>
      </c>
      <c r="N399" s="1"/>
      <c r="O399" s="1"/>
      <c r="P399" s="1"/>
      <c r="Q399" s="59">
        <f>SUM(N399:P399)</f>
        <v>0</v>
      </c>
      <c r="R399" s="59">
        <f t="shared" si="162"/>
        <v>1613</v>
      </c>
    </row>
    <row r="400" spans="1:39" ht="15.75" customHeight="1" x14ac:dyDescent="0.3">
      <c r="A400" s="76" t="s">
        <v>388</v>
      </c>
      <c r="B400" s="1"/>
      <c r="C400" s="1"/>
      <c r="D400" s="1"/>
      <c r="E400" s="59">
        <f t="shared" ref="E400:E403" si="163">SUM(B400:D400)</f>
        <v>0</v>
      </c>
      <c r="F400" s="1"/>
      <c r="G400" s="1"/>
      <c r="H400" s="1"/>
      <c r="I400" s="59">
        <f t="shared" ref="I400:I447" si="164">SUM(F400:H400)</f>
        <v>0</v>
      </c>
      <c r="J400" s="1"/>
      <c r="K400" s="1"/>
      <c r="L400" s="1"/>
      <c r="M400" s="59">
        <f t="shared" ref="M400:M447" si="165">SUM(J400:L400)</f>
        <v>0</v>
      </c>
      <c r="N400" s="1"/>
      <c r="O400" s="1"/>
      <c r="P400" s="1"/>
      <c r="Q400" s="59">
        <f t="shared" ref="Q400:Q448" si="166">SUM(N400:P400)</f>
        <v>0</v>
      </c>
      <c r="R400" s="59">
        <f t="shared" si="162"/>
        <v>0</v>
      </c>
    </row>
    <row r="401" spans="1:20" ht="15.75" customHeight="1" x14ac:dyDescent="0.3">
      <c r="A401" s="76" t="s">
        <v>389</v>
      </c>
      <c r="B401" s="1"/>
      <c r="C401" s="1"/>
      <c r="D401" s="1"/>
      <c r="E401" s="59">
        <f t="shared" si="163"/>
        <v>0</v>
      </c>
      <c r="F401" s="1">
        <v>72</v>
      </c>
      <c r="G401" s="1"/>
      <c r="H401" s="1"/>
      <c r="I401" s="59">
        <f t="shared" si="164"/>
        <v>72</v>
      </c>
      <c r="J401" s="1"/>
      <c r="K401" s="1"/>
      <c r="L401" s="1"/>
      <c r="M401" s="59">
        <f t="shared" si="165"/>
        <v>0</v>
      </c>
      <c r="N401" s="1"/>
      <c r="O401" s="1"/>
      <c r="P401" s="1"/>
      <c r="Q401" s="59">
        <f t="shared" si="166"/>
        <v>0</v>
      </c>
      <c r="R401" s="59">
        <f t="shared" si="162"/>
        <v>72</v>
      </c>
      <c r="T401" s="4" t="s">
        <v>315</v>
      </c>
    </row>
    <row r="402" spans="1:20" ht="15.75" customHeight="1" x14ac:dyDescent="0.3">
      <c r="A402" s="76" t="s">
        <v>391</v>
      </c>
      <c r="B402" s="1">
        <v>787</v>
      </c>
      <c r="C402" s="1"/>
      <c r="D402" s="1"/>
      <c r="E402" s="59">
        <f t="shared" si="163"/>
        <v>787</v>
      </c>
      <c r="F402" s="1"/>
      <c r="G402" s="1"/>
      <c r="H402" s="1"/>
      <c r="I402" s="59">
        <f t="shared" si="164"/>
        <v>0</v>
      </c>
      <c r="J402" s="1"/>
      <c r="K402" s="1"/>
      <c r="L402" s="1"/>
      <c r="M402" s="59">
        <f t="shared" si="165"/>
        <v>0</v>
      </c>
      <c r="N402" s="1"/>
      <c r="O402" s="1"/>
      <c r="P402" s="1"/>
      <c r="Q402" s="59">
        <f t="shared" si="166"/>
        <v>0</v>
      </c>
      <c r="R402" s="59">
        <f t="shared" si="162"/>
        <v>787</v>
      </c>
      <c r="T402" s="4" t="s">
        <v>217</v>
      </c>
    </row>
    <row r="403" spans="1:20" ht="15.75" customHeight="1" x14ac:dyDescent="0.3">
      <c r="A403" s="76" t="s">
        <v>392</v>
      </c>
      <c r="B403" s="1"/>
      <c r="C403" s="1"/>
      <c r="D403" s="1"/>
      <c r="E403" s="59">
        <f t="shared" si="163"/>
        <v>0</v>
      </c>
      <c r="F403" s="1"/>
      <c r="G403" s="1"/>
      <c r="H403" s="1"/>
      <c r="I403" s="59">
        <f t="shared" si="164"/>
        <v>0</v>
      </c>
      <c r="J403" s="1"/>
      <c r="K403" s="1"/>
      <c r="L403" s="1"/>
      <c r="M403" s="59">
        <f t="shared" si="165"/>
        <v>0</v>
      </c>
      <c r="N403" s="1"/>
      <c r="O403" s="1"/>
      <c r="P403" s="1"/>
      <c r="Q403" s="59">
        <f t="shared" si="166"/>
        <v>0</v>
      </c>
      <c r="R403" s="59">
        <f t="shared" si="162"/>
        <v>0</v>
      </c>
      <c r="T403" s="4" t="s">
        <v>315</v>
      </c>
    </row>
    <row r="404" spans="1:20" ht="15.75" customHeight="1" x14ac:dyDescent="0.3">
      <c r="A404" s="76" t="s">
        <v>393</v>
      </c>
      <c r="B404" s="1"/>
      <c r="C404" s="1"/>
      <c r="D404" s="1">
        <v>627</v>
      </c>
      <c r="E404" s="59">
        <f t="shared" ref="E404:E447" si="167">SUM(B404:D404)</f>
        <v>627</v>
      </c>
      <c r="F404" s="1"/>
      <c r="G404" s="1"/>
      <c r="H404" s="1"/>
      <c r="I404" s="59">
        <f t="shared" si="164"/>
        <v>0</v>
      </c>
      <c r="J404" s="1"/>
      <c r="K404" s="1"/>
      <c r="L404" s="1"/>
      <c r="M404" s="59">
        <f t="shared" si="165"/>
        <v>0</v>
      </c>
      <c r="N404" s="1"/>
      <c r="O404" s="1"/>
      <c r="P404" s="1"/>
      <c r="Q404" s="59">
        <f t="shared" si="166"/>
        <v>0</v>
      </c>
      <c r="R404" s="59">
        <f t="shared" si="162"/>
        <v>627</v>
      </c>
    </row>
    <row r="405" spans="1:20" ht="15.75" customHeight="1" x14ac:dyDescent="0.3">
      <c r="A405" s="76" t="s">
        <v>394</v>
      </c>
      <c r="B405" s="1"/>
      <c r="C405" s="1"/>
      <c r="D405" s="1"/>
      <c r="E405" s="59">
        <f t="shared" si="167"/>
        <v>0</v>
      </c>
      <c r="F405" s="1"/>
      <c r="G405" s="1"/>
      <c r="H405" s="1"/>
      <c r="I405" s="59">
        <f t="shared" si="164"/>
        <v>0</v>
      </c>
      <c r="J405" s="1"/>
      <c r="K405" s="1"/>
      <c r="L405" s="1"/>
      <c r="M405" s="59">
        <f t="shared" si="165"/>
        <v>0</v>
      </c>
      <c r="N405" s="1"/>
      <c r="O405" s="1"/>
      <c r="P405" s="1"/>
      <c r="Q405" s="59">
        <f t="shared" si="166"/>
        <v>0</v>
      </c>
      <c r="R405" s="59">
        <f t="shared" si="162"/>
        <v>0</v>
      </c>
    </row>
    <row r="406" spans="1:20" ht="15.75" customHeight="1" x14ac:dyDescent="0.3">
      <c r="A406" s="76" t="s">
        <v>395</v>
      </c>
      <c r="B406" s="1"/>
      <c r="C406" s="1"/>
      <c r="D406" s="1"/>
      <c r="E406" s="59">
        <f t="shared" si="167"/>
        <v>0</v>
      </c>
      <c r="F406" s="1"/>
      <c r="G406" s="1">
        <v>5500</v>
      </c>
      <c r="H406" s="1">
        <v>6500</v>
      </c>
      <c r="I406" s="59">
        <f t="shared" si="164"/>
        <v>12000</v>
      </c>
      <c r="J406" s="1"/>
      <c r="K406" s="1"/>
      <c r="L406" s="1"/>
      <c r="M406" s="59">
        <f t="shared" si="165"/>
        <v>0</v>
      </c>
      <c r="N406" s="1"/>
      <c r="O406" s="1"/>
      <c r="P406" s="1"/>
      <c r="Q406" s="59">
        <f t="shared" si="166"/>
        <v>0</v>
      </c>
      <c r="R406" s="59">
        <f>+E406+I406+M406+Q406</f>
        <v>12000</v>
      </c>
      <c r="T406" s="4" t="s">
        <v>317</v>
      </c>
    </row>
    <row r="407" spans="1:20" ht="15.75" customHeight="1" x14ac:dyDescent="0.3">
      <c r="A407" s="76" t="s">
        <v>396</v>
      </c>
      <c r="B407" s="1"/>
      <c r="C407" s="1"/>
      <c r="D407" s="1"/>
      <c r="E407" s="59">
        <f t="shared" si="167"/>
        <v>0</v>
      </c>
      <c r="F407" s="1"/>
      <c r="G407" s="1"/>
      <c r="H407" s="1"/>
      <c r="I407" s="59">
        <f t="shared" si="164"/>
        <v>0</v>
      </c>
      <c r="J407" s="1"/>
      <c r="K407" s="1"/>
      <c r="L407" s="1"/>
      <c r="M407" s="59">
        <f t="shared" si="165"/>
        <v>0</v>
      </c>
      <c r="N407" s="1"/>
      <c r="O407" s="1"/>
      <c r="P407" s="1"/>
      <c r="Q407" s="59">
        <f t="shared" si="166"/>
        <v>0</v>
      </c>
      <c r="R407" s="59">
        <f t="shared" si="162"/>
        <v>0</v>
      </c>
      <c r="T407" s="4" t="s">
        <v>305</v>
      </c>
    </row>
    <row r="408" spans="1:20" ht="15.75" customHeight="1" x14ac:dyDescent="0.3">
      <c r="A408" s="76" t="s">
        <v>397</v>
      </c>
      <c r="B408" s="1">
        <v>2000</v>
      </c>
      <c r="C408" s="1">
        <v>2000</v>
      </c>
      <c r="D408" s="1">
        <v>2000</v>
      </c>
      <c r="E408" s="59">
        <f t="shared" si="167"/>
        <v>6000</v>
      </c>
      <c r="F408" s="1">
        <v>2000</v>
      </c>
      <c r="G408" s="1">
        <v>2000</v>
      </c>
      <c r="H408" s="1">
        <v>2000</v>
      </c>
      <c r="I408" s="59">
        <f t="shared" si="164"/>
        <v>6000</v>
      </c>
      <c r="J408" s="1">
        <v>2000</v>
      </c>
      <c r="K408" s="1">
        <v>2000</v>
      </c>
      <c r="L408" s="1">
        <v>4000</v>
      </c>
      <c r="M408" s="59">
        <f t="shared" si="165"/>
        <v>8000</v>
      </c>
      <c r="N408" s="1">
        <v>4000</v>
      </c>
      <c r="O408" s="1"/>
      <c r="P408" s="1"/>
      <c r="Q408" s="59">
        <f t="shared" si="166"/>
        <v>4000</v>
      </c>
      <c r="R408" s="59">
        <f t="shared" si="162"/>
        <v>24000</v>
      </c>
    </row>
    <row r="409" spans="1:20" ht="15.75" customHeight="1" x14ac:dyDescent="0.3">
      <c r="A409" s="76" t="s">
        <v>398</v>
      </c>
      <c r="B409" s="1"/>
      <c r="C409" s="1"/>
      <c r="D409" s="1">
        <v>1050</v>
      </c>
      <c r="E409" s="59">
        <f t="shared" si="167"/>
        <v>1050</v>
      </c>
      <c r="F409" s="1">
        <v>1060</v>
      </c>
      <c r="G409" s="1">
        <v>1670</v>
      </c>
      <c r="H409" s="1">
        <v>2010</v>
      </c>
      <c r="I409" s="59">
        <f t="shared" si="164"/>
        <v>4740</v>
      </c>
      <c r="J409" s="1">
        <v>210</v>
      </c>
      <c r="K409" s="1"/>
      <c r="L409" s="1"/>
      <c r="M409" s="59">
        <f t="shared" si="165"/>
        <v>210</v>
      </c>
      <c r="N409" s="1"/>
      <c r="O409" s="1"/>
      <c r="P409" s="1"/>
      <c r="Q409" s="59">
        <f t="shared" si="166"/>
        <v>0</v>
      </c>
      <c r="R409" s="59">
        <f t="shared" si="162"/>
        <v>6000</v>
      </c>
      <c r="T409" s="4" t="s">
        <v>305</v>
      </c>
    </row>
    <row r="410" spans="1:20" ht="15.75" customHeight="1" x14ac:dyDescent="0.3">
      <c r="A410" s="76" t="s">
        <v>399</v>
      </c>
      <c r="B410" s="1"/>
      <c r="C410" s="1"/>
      <c r="D410" s="1"/>
      <c r="E410" s="59">
        <f t="shared" si="167"/>
        <v>0</v>
      </c>
      <c r="F410" s="1"/>
      <c r="G410" s="1"/>
      <c r="H410" s="1">
        <v>6000</v>
      </c>
      <c r="I410" s="59">
        <f t="shared" si="164"/>
        <v>6000</v>
      </c>
      <c r="J410" s="1"/>
      <c r="K410" s="1"/>
      <c r="L410" s="1"/>
      <c r="M410" s="59">
        <f t="shared" si="165"/>
        <v>0</v>
      </c>
      <c r="N410" s="1"/>
      <c r="O410" s="1"/>
      <c r="P410" s="1"/>
      <c r="Q410" s="59">
        <f t="shared" si="166"/>
        <v>0</v>
      </c>
      <c r="R410" s="59">
        <f t="shared" si="162"/>
        <v>6000</v>
      </c>
    </row>
    <row r="411" spans="1:20" ht="15.75" customHeight="1" x14ac:dyDescent="0.3">
      <c r="A411" s="76" t="s">
        <v>404</v>
      </c>
      <c r="B411" s="1">
        <v>4000</v>
      </c>
      <c r="C411" s="1">
        <v>7000</v>
      </c>
      <c r="D411" s="1">
        <v>7500</v>
      </c>
      <c r="E411" s="59">
        <f t="shared" si="167"/>
        <v>18500</v>
      </c>
      <c r="F411" s="1">
        <v>3500</v>
      </c>
      <c r="G411" s="1"/>
      <c r="H411" s="1"/>
      <c r="I411" s="59">
        <f t="shared" si="164"/>
        <v>3500</v>
      </c>
      <c r="J411" s="1"/>
      <c r="K411" s="1"/>
      <c r="L411" s="1"/>
      <c r="M411" s="59">
        <f t="shared" si="165"/>
        <v>0</v>
      </c>
      <c r="N411" s="1"/>
      <c r="O411" s="1"/>
      <c r="P411" s="1"/>
      <c r="Q411" s="59">
        <f t="shared" si="166"/>
        <v>0</v>
      </c>
      <c r="R411" s="59">
        <f t="shared" si="162"/>
        <v>22000</v>
      </c>
    </row>
    <row r="412" spans="1:20" ht="15.75" customHeight="1" x14ac:dyDescent="0.3">
      <c r="A412" s="76" t="s">
        <v>405</v>
      </c>
      <c r="B412" s="1"/>
      <c r="C412" s="1"/>
      <c r="D412" s="1"/>
      <c r="E412" s="59">
        <f t="shared" si="167"/>
        <v>0</v>
      </c>
      <c r="F412" s="1"/>
      <c r="G412" s="1"/>
      <c r="H412" s="1"/>
      <c r="I412" s="59">
        <f t="shared" si="164"/>
        <v>0</v>
      </c>
      <c r="J412" s="1"/>
      <c r="K412" s="1"/>
      <c r="L412" s="1"/>
      <c r="M412" s="59">
        <f t="shared" si="165"/>
        <v>0</v>
      </c>
      <c r="N412" s="1"/>
      <c r="O412" s="1"/>
      <c r="P412" s="1"/>
      <c r="Q412" s="59">
        <f t="shared" ref="Q412" si="168">SUM(N412:P412)</f>
        <v>0</v>
      </c>
      <c r="R412" s="59">
        <f t="shared" si="162"/>
        <v>0</v>
      </c>
    </row>
    <row r="413" spans="1:20" ht="15.75" customHeight="1" x14ac:dyDescent="0.3">
      <c r="A413" s="76" t="s">
        <v>406</v>
      </c>
      <c r="B413" s="1">
        <f>1+2+115</f>
        <v>118</v>
      </c>
      <c r="C413" s="1">
        <f>1+2+105</f>
        <v>108</v>
      </c>
      <c r="D413" s="1">
        <f>1+2+115</f>
        <v>118</v>
      </c>
      <c r="E413" s="59">
        <f t="shared" si="167"/>
        <v>344</v>
      </c>
      <c r="F413" s="1">
        <f>1+2+110</f>
        <v>113</v>
      </c>
      <c r="G413" s="1">
        <f>1+2+115</f>
        <v>118</v>
      </c>
      <c r="H413" s="1">
        <f>1+2+110</f>
        <v>113</v>
      </c>
      <c r="I413" s="59">
        <f t="shared" si="164"/>
        <v>344</v>
      </c>
      <c r="J413" s="1">
        <f>1+2+109</f>
        <v>112</v>
      </c>
      <c r="K413" s="1"/>
      <c r="L413" s="1"/>
      <c r="M413" s="59">
        <f t="shared" si="165"/>
        <v>112</v>
      </c>
      <c r="N413" s="1"/>
      <c r="O413" s="1"/>
      <c r="P413" s="1"/>
      <c r="Q413" s="59">
        <f t="shared" si="166"/>
        <v>0</v>
      </c>
      <c r="R413" s="59">
        <f t="shared" si="162"/>
        <v>800</v>
      </c>
    </row>
    <row r="414" spans="1:20" ht="15.75" customHeight="1" x14ac:dyDescent="0.3">
      <c r="A414" s="76" t="s">
        <v>407</v>
      </c>
      <c r="B414" s="1">
        <v>2500</v>
      </c>
      <c r="C414" s="1">
        <v>2500</v>
      </c>
      <c r="D414" s="1">
        <v>2500</v>
      </c>
      <c r="E414" s="59">
        <f t="shared" si="167"/>
        <v>7500</v>
      </c>
      <c r="F414" s="1">
        <v>2500</v>
      </c>
      <c r="G414" s="1">
        <v>2500</v>
      </c>
      <c r="H414" s="1">
        <v>2500</v>
      </c>
      <c r="I414" s="59">
        <f t="shared" si="164"/>
        <v>7500</v>
      </c>
      <c r="J414" s="1"/>
      <c r="K414" s="1"/>
      <c r="L414" s="1"/>
      <c r="M414" s="59">
        <f t="shared" si="165"/>
        <v>0</v>
      </c>
      <c r="N414" s="1"/>
      <c r="O414" s="1"/>
      <c r="P414" s="1"/>
      <c r="Q414" s="59">
        <f t="shared" si="166"/>
        <v>0</v>
      </c>
      <c r="R414" s="59">
        <f t="shared" si="162"/>
        <v>15000</v>
      </c>
      <c r="T414" s="4" t="s">
        <v>315</v>
      </c>
    </row>
    <row r="415" spans="1:20" ht="15.75" customHeight="1" x14ac:dyDescent="0.3">
      <c r="A415" s="76" t="s">
        <v>408</v>
      </c>
      <c r="B415" s="1">
        <v>24</v>
      </c>
      <c r="C415" s="1">
        <v>26</v>
      </c>
      <c r="D415" s="1">
        <v>24</v>
      </c>
      <c r="E415" s="59">
        <f t="shared" si="167"/>
        <v>74</v>
      </c>
      <c r="F415" s="1">
        <v>29</v>
      </c>
      <c r="G415" s="1">
        <v>24</v>
      </c>
      <c r="H415" s="1">
        <v>31</v>
      </c>
      <c r="I415" s="59">
        <f t="shared" si="164"/>
        <v>84</v>
      </c>
      <c r="J415" s="1">
        <v>52</v>
      </c>
      <c r="K415" s="1">
        <v>47</v>
      </c>
      <c r="L415" s="1">
        <v>32</v>
      </c>
      <c r="M415" s="59">
        <f t="shared" si="165"/>
        <v>131</v>
      </c>
      <c r="N415" s="1">
        <v>23</v>
      </c>
      <c r="O415" s="1">
        <v>16</v>
      </c>
      <c r="P415" s="1">
        <v>22</v>
      </c>
      <c r="Q415" s="59">
        <f t="shared" si="166"/>
        <v>61</v>
      </c>
      <c r="R415" s="59">
        <f t="shared" si="162"/>
        <v>350</v>
      </c>
      <c r="T415" s="4" t="s">
        <v>348</v>
      </c>
    </row>
    <row r="416" spans="1:20" ht="15.75" customHeight="1" x14ac:dyDescent="0.3">
      <c r="A416" s="76" t="s">
        <v>409</v>
      </c>
      <c r="B416" s="1">
        <v>1142</v>
      </c>
      <c r="C416" s="1">
        <v>1289</v>
      </c>
      <c r="D416" s="1">
        <v>1522</v>
      </c>
      <c r="E416" s="59">
        <f t="shared" si="167"/>
        <v>3953</v>
      </c>
      <c r="F416" s="1">
        <v>1565</v>
      </c>
      <c r="G416" s="1">
        <v>1712</v>
      </c>
      <c r="H416" s="1">
        <v>1749</v>
      </c>
      <c r="I416" s="59">
        <f t="shared" si="164"/>
        <v>5026</v>
      </c>
      <c r="J416" s="1">
        <v>1086</v>
      </c>
      <c r="K416" s="1"/>
      <c r="L416" s="1"/>
      <c r="M416" s="59">
        <f t="shared" si="165"/>
        <v>1086</v>
      </c>
      <c r="N416" s="1"/>
      <c r="O416" s="1"/>
      <c r="P416" s="1"/>
      <c r="Q416" s="59">
        <f t="shared" si="166"/>
        <v>0</v>
      </c>
      <c r="R416" s="59">
        <f t="shared" si="162"/>
        <v>10065</v>
      </c>
      <c r="T416" s="4" t="s">
        <v>217</v>
      </c>
    </row>
    <row r="417" spans="1:20" ht="15.75" customHeight="1" x14ac:dyDescent="0.3">
      <c r="A417" s="76" t="s">
        <v>410</v>
      </c>
      <c r="B417" s="1">
        <v>1672</v>
      </c>
      <c r="C417" s="1">
        <v>1672</v>
      </c>
      <c r="D417" s="1">
        <v>1672</v>
      </c>
      <c r="E417" s="59">
        <f t="shared" si="167"/>
        <v>5016</v>
      </c>
      <c r="F417" s="1">
        <v>1671</v>
      </c>
      <c r="G417" s="1"/>
      <c r="H417" s="1"/>
      <c r="I417" s="59">
        <f t="shared" si="164"/>
        <v>1671</v>
      </c>
      <c r="J417" s="1"/>
      <c r="K417" s="1"/>
      <c r="L417" s="1"/>
      <c r="M417" s="59">
        <f t="shared" si="165"/>
        <v>0</v>
      </c>
      <c r="N417" s="1"/>
      <c r="O417" s="1"/>
      <c r="P417" s="1"/>
      <c r="Q417" s="59">
        <f t="shared" si="166"/>
        <v>0</v>
      </c>
      <c r="R417" s="59">
        <f>+E417+I417+M417+Q417</f>
        <v>6687</v>
      </c>
    </row>
    <row r="418" spans="1:20" ht="15.75" customHeight="1" x14ac:dyDescent="0.3">
      <c r="A418" s="76" t="s">
        <v>411</v>
      </c>
      <c r="B418" s="1"/>
      <c r="C418" s="1"/>
      <c r="D418" s="1"/>
      <c r="E418" s="59">
        <f t="shared" si="167"/>
        <v>0</v>
      </c>
      <c r="F418" s="1"/>
      <c r="G418" s="1"/>
      <c r="H418" s="1"/>
      <c r="I418" s="59">
        <f t="shared" si="164"/>
        <v>0</v>
      </c>
      <c r="J418" s="1"/>
      <c r="K418" s="1"/>
      <c r="L418" s="1"/>
      <c r="M418" s="59">
        <f t="shared" si="165"/>
        <v>0</v>
      </c>
      <c r="N418" s="1"/>
      <c r="O418" s="1"/>
      <c r="P418" s="1"/>
      <c r="Q418" s="59">
        <f t="shared" si="166"/>
        <v>0</v>
      </c>
      <c r="R418" s="59">
        <f>+E418+I418+M418+Q418</f>
        <v>0</v>
      </c>
    </row>
    <row r="419" spans="1:20" ht="15.75" customHeight="1" x14ac:dyDescent="0.3">
      <c r="A419" s="76" t="s">
        <v>412</v>
      </c>
      <c r="B419" s="1"/>
      <c r="C419" s="1"/>
      <c r="D419" s="1"/>
      <c r="E419" s="59">
        <f t="shared" si="167"/>
        <v>0</v>
      </c>
      <c r="F419" s="1"/>
      <c r="G419" s="1"/>
      <c r="H419" s="1"/>
      <c r="I419" s="59">
        <f t="shared" si="164"/>
        <v>0</v>
      </c>
      <c r="J419" s="1"/>
      <c r="K419" s="1"/>
      <c r="L419" s="1"/>
      <c r="M419" s="59">
        <f t="shared" si="165"/>
        <v>0</v>
      </c>
      <c r="N419" s="1"/>
      <c r="O419" s="1"/>
      <c r="P419" s="1"/>
      <c r="Q419" s="59">
        <f t="shared" si="166"/>
        <v>0</v>
      </c>
      <c r="R419" s="59">
        <f>+E419+I419+M419+Q419</f>
        <v>0</v>
      </c>
    </row>
    <row r="420" spans="1:20" ht="15.75" customHeight="1" x14ac:dyDescent="0.3">
      <c r="A420" s="76" t="s">
        <v>413</v>
      </c>
      <c r="B420" s="1"/>
      <c r="C420" s="1"/>
      <c r="D420" s="1"/>
      <c r="E420" s="59">
        <f t="shared" si="167"/>
        <v>0</v>
      </c>
      <c r="F420" s="1"/>
      <c r="G420" s="1"/>
      <c r="H420" s="1"/>
      <c r="I420" s="59">
        <f t="shared" si="164"/>
        <v>0</v>
      </c>
      <c r="J420" s="1"/>
      <c r="K420" s="1"/>
      <c r="L420" s="1"/>
      <c r="M420" s="59">
        <f t="shared" si="165"/>
        <v>0</v>
      </c>
      <c r="N420" s="1"/>
      <c r="O420" s="1"/>
      <c r="P420" s="1"/>
      <c r="Q420" s="59">
        <f t="shared" si="166"/>
        <v>0</v>
      </c>
      <c r="R420" s="59">
        <f>+E420+I420+M420+Q420</f>
        <v>0</v>
      </c>
      <c r="T420" s="4" t="s">
        <v>315</v>
      </c>
    </row>
    <row r="421" spans="1:20" ht="15.75" customHeight="1" x14ac:dyDescent="0.3">
      <c r="A421" s="76" t="s">
        <v>414</v>
      </c>
      <c r="B421" s="1"/>
      <c r="C421" s="1"/>
      <c r="D421" s="1"/>
      <c r="E421" s="59">
        <f t="shared" ref="E421" si="169">SUM(B421:D421)</f>
        <v>0</v>
      </c>
      <c r="F421" s="1"/>
      <c r="G421" s="1"/>
      <c r="H421" s="1"/>
      <c r="I421" s="59">
        <f t="shared" ref="I421" si="170">SUM(F421:H421)</f>
        <v>0</v>
      </c>
      <c r="J421" s="1"/>
      <c r="K421" s="1"/>
      <c r="L421" s="1"/>
      <c r="M421" s="59">
        <f t="shared" ref="M421" si="171">SUM(J421:L421)</f>
        <v>0</v>
      </c>
      <c r="N421" s="1"/>
      <c r="O421" s="1"/>
      <c r="P421" s="1"/>
      <c r="Q421" s="59">
        <f t="shared" ref="Q421" si="172">SUM(N421:P421)</f>
        <v>0</v>
      </c>
      <c r="R421" s="59">
        <f t="shared" ref="R421:R422" si="173">+E421+I421+M421+Q421</f>
        <v>0</v>
      </c>
      <c r="T421" s="4" t="s">
        <v>137</v>
      </c>
    </row>
    <row r="422" spans="1:20" ht="16.5" customHeight="1" x14ac:dyDescent="0.3">
      <c r="A422" s="76" t="s">
        <v>861</v>
      </c>
      <c r="B422" s="1"/>
      <c r="C422" s="1"/>
      <c r="D422" s="1"/>
      <c r="E422" s="59">
        <f t="shared" si="167"/>
        <v>0</v>
      </c>
      <c r="F422" s="1"/>
      <c r="G422" s="1"/>
      <c r="H422" s="1"/>
      <c r="I422" s="59">
        <f t="shared" si="164"/>
        <v>0</v>
      </c>
      <c r="J422" s="1"/>
      <c r="K422" s="1"/>
      <c r="L422" s="1"/>
      <c r="M422" s="59">
        <f t="shared" si="165"/>
        <v>0</v>
      </c>
      <c r="N422" s="1"/>
      <c r="O422" s="1"/>
      <c r="P422" s="1"/>
      <c r="Q422" s="59">
        <f t="shared" ref="Q422" si="174">SUM(N422:P422)</f>
        <v>0</v>
      </c>
      <c r="R422" s="59">
        <f t="shared" si="173"/>
        <v>0</v>
      </c>
      <c r="T422" s="4" t="s">
        <v>376</v>
      </c>
    </row>
    <row r="423" spans="1:20" ht="15.75" customHeight="1" x14ac:dyDescent="0.3">
      <c r="A423" s="76" t="s">
        <v>416</v>
      </c>
      <c r="B423" s="1"/>
      <c r="C423" s="1"/>
      <c r="D423" s="1"/>
      <c r="E423" s="59">
        <f t="shared" si="167"/>
        <v>0</v>
      </c>
      <c r="F423" s="1"/>
      <c r="G423" s="1"/>
      <c r="H423" s="1"/>
      <c r="I423" s="59">
        <f t="shared" si="164"/>
        <v>0</v>
      </c>
      <c r="J423" s="1"/>
      <c r="K423" s="1"/>
      <c r="L423" s="1"/>
      <c r="M423" s="59">
        <f t="shared" si="165"/>
        <v>0</v>
      </c>
      <c r="N423" s="1"/>
      <c r="O423" s="1"/>
      <c r="P423" s="1"/>
      <c r="Q423" s="59">
        <f t="shared" ref="Q423" si="175">SUM(N423:P423)</f>
        <v>0</v>
      </c>
      <c r="R423" s="59">
        <f t="shared" si="162"/>
        <v>0</v>
      </c>
      <c r="T423" s="4" t="s">
        <v>331</v>
      </c>
    </row>
    <row r="424" spans="1:20" ht="15.75" customHeight="1" x14ac:dyDescent="0.3">
      <c r="A424" s="76" t="s">
        <v>862</v>
      </c>
      <c r="B424" s="1">
        <v>512</v>
      </c>
      <c r="C424" s="1"/>
      <c r="D424" s="1"/>
      <c r="E424" s="59">
        <f t="shared" si="167"/>
        <v>512</v>
      </c>
      <c r="F424" s="1">
        <v>350</v>
      </c>
      <c r="G424" s="1">
        <v>350</v>
      </c>
      <c r="H424" s="1">
        <v>673</v>
      </c>
      <c r="I424" s="59">
        <f t="shared" si="164"/>
        <v>1373</v>
      </c>
      <c r="J424" s="1">
        <v>186</v>
      </c>
      <c r="K424" s="1"/>
      <c r="L424" s="1"/>
      <c r="M424" s="59">
        <f t="shared" si="165"/>
        <v>186</v>
      </c>
      <c r="N424" s="1"/>
      <c r="O424" s="1"/>
      <c r="P424" s="1"/>
      <c r="Q424" s="59">
        <f t="shared" si="166"/>
        <v>0</v>
      </c>
      <c r="R424" s="59">
        <f t="shared" si="162"/>
        <v>2071</v>
      </c>
      <c r="T424" s="4" t="s">
        <v>331</v>
      </c>
    </row>
    <row r="425" spans="1:20" ht="15.75" customHeight="1" x14ac:dyDescent="0.3">
      <c r="A425" s="76" t="s">
        <v>863</v>
      </c>
      <c r="B425" s="1"/>
      <c r="C425" s="1"/>
      <c r="D425" s="1"/>
      <c r="E425" s="59">
        <f t="shared" si="167"/>
        <v>0</v>
      </c>
      <c r="F425" s="1"/>
      <c r="G425" s="1"/>
      <c r="H425" s="1"/>
      <c r="I425" s="59">
        <f t="shared" si="164"/>
        <v>0</v>
      </c>
      <c r="J425" s="1"/>
      <c r="K425" s="1"/>
      <c r="L425" s="1"/>
      <c r="M425" s="59">
        <f t="shared" si="165"/>
        <v>0</v>
      </c>
      <c r="N425" s="1"/>
      <c r="O425" s="1"/>
      <c r="P425" s="1"/>
      <c r="Q425" s="59">
        <f t="shared" si="166"/>
        <v>0</v>
      </c>
      <c r="R425" s="59">
        <f t="shared" si="162"/>
        <v>0</v>
      </c>
      <c r="T425" s="4" t="s">
        <v>217</v>
      </c>
    </row>
    <row r="426" spans="1:20" ht="15.75" customHeight="1" x14ac:dyDescent="0.3">
      <c r="A426" s="76" t="s">
        <v>864</v>
      </c>
      <c r="B426" s="1"/>
      <c r="C426" s="1"/>
      <c r="D426" s="1"/>
      <c r="E426" s="59">
        <f t="shared" si="167"/>
        <v>0</v>
      </c>
      <c r="F426" s="1"/>
      <c r="G426" s="1">
        <v>356</v>
      </c>
      <c r="H426" s="1">
        <v>356</v>
      </c>
      <c r="I426" s="59">
        <f t="shared" si="164"/>
        <v>712</v>
      </c>
      <c r="J426" s="1">
        <v>356</v>
      </c>
      <c r="K426" s="1">
        <v>1002</v>
      </c>
      <c r="L426" s="1"/>
      <c r="M426" s="59">
        <f t="shared" si="165"/>
        <v>1358</v>
      </c>
      <c r="N426" s="1"/>
      <c r="O426" s="1"/>
      <c r="P426" s="1"/>
      <c r="Q426" s="59">
        <f t="shared" si="166"/>
        <v>0</v>
      </c>
      <c r="R426" s="59">
        <f t="shared" si="162"/>
        <v>2070</v>
      </c>
    </row>
    <row r="427" spans="1:20" ht="15.75" customHeight="1" x14ac:dyDescent="0.3">
      <c r="A427" s="76" t="s">
        <v>865</v>
      </c>
      <c r="B427" s="1"/>
      <c r="C427" s="1"/>
      <c r="D427" s="1"/>
      <c r="E427" s="59">
        <f t="shared" si="167"/>
        <v>0</v>
      </c>
      <c r="F427" s="1"/>
      <c r="G427" s="1"/>
      <c r="H427" s="1"/>
      <c r="I427" s="59">
        <f t="shared" si="164"/>
        <v>0</v>
      </c>
      <c r="J427" s="1"/>
      <c r="K427" s="1"/>
      <c r="L427" s="1"/>
      <c r="M427" s="59">
        <f t="shared" si="165"/>
        <v>0</v>
      </c>
      <c r="N427" s="1"/>
      <c r="O427" s="1"/>
      <c r="P427" s="1"/>
      <c r="Q427" s="59">
        <f t="shared" si="166"/>
        <v>0</v>
      </c>
      <c r="R427" s="59">
        <f t="shared" si="162"/>
        <v>0</v>
      </c>
      <c r="T427" s="4" t="s">
        <v>315</v>
      </c>
    </row>
    <row r="428" spans="1:20" ht="15.75" customHeight="1" x14ac:dyDescent="0.3">
      <c r="A428" s="76" t="s">
        <v>421</v>
      </c>
      <c r="B428" s="1"/>
      <c r="C428" s="1"/>
      <c r="D428" s="1">
        <v>1100</v>
      </c>
      <c r="E428" s="59">
        <f t="shared" si="167"/>
        <v>1100</v>
      </c>
      <c r="F428" s="1">
        <v>1100</v>
      </c>
      <c r="G428" s="1">
        <v>1300</v>
      </c>
      <c r="H428" s="1">
        <v>1300</v>
      </c>
      <c r="I428" s="59">
        <f t="shared" si="164"/>
        <v>3700</v>
      </c>
      <c r="J428" s="1">
        <v>1500</v>
      </c>
      <c r="K428" s="1">
        <v>1300</v>
      </c>
      <c r="L428" s="1">
        <v>1000</v>
      </c>
      <c r="M428" s="59">
        <f t="shared" si="165"/>
        <v>3800</v>
      </c>
      <c r="N428" s="1">
        <v>400</v>
      </c>
      <c r="O428" s="1"/>
      <c r="P428" s="1"/>
      <c r="Q428" s="59">
        <f t="shared" si="166"/>
        <v>400</v>
      </c>
      <c r="R428" s="59">
        <f t="shared" si="162"/>
        <v>9000</v>
      </c>
    </row>
    <row r="429" spans="1:20" ht="15.75" customHeight="1" x14ac:dyDescent="0.3">
      <c r="A429" s="76" t="s">
        <v>866</v>
      </c>
      <c r="B429" s="1"/>
      <c r="C429" s="1"/>
      <c r="D429" s="1"/>
      <c r="E429" s="59">
        <f>SUM(B429:D429)</f>
        <v>0</v>
      </c>
      <c r="F429" s="1"/>
      <c r="G429" s="1"/>
      <c r="H429" s="1"/>
      <c r="I429" s="59">
        <f>SUM(F429:H429)</f>
        <v>0</v>
      </c>
      <c r="J429" s="1"/>
      <c r="K429" s="1"/>
      <c r="L429" s="1"/>
      <c r="M429" s="59">
        <f>SUM(J429:L429)</f>
        <v>0</v>
      </c>
      <c r="N429" s="1"/>
      <c r="O429" s="1"/>
      <c r="P429" s="1"/>
      <c r="Q429" s="59">
        <f>SUM(N429:P429)</f>
        <v>0</v>
      </c>
      <c r="R429" s="59">
        <f>+E429+I429+M429+Q429</f>
        <v>0</v>
      </c>
    </row>
    <row r="430" spans="1:20" ht="15.75" customHeight="1" x14ac:dyDescent="0.3">
      <c r="A430" s="76" t="s">
        <v>428</v>
      </c>
      <c r="B430" s="1"/>
      <c r="C430" s="1"/>
      <c r="D430" s="1"/>
      <c r="E430" s="59">
        <f t="shared" si="167"/>
        <v>0</v>
      </c>
      <c r="F430" s="1"/>
      <c r="G430" s="1"/>
      <c r="H430" s="1"/>
      <c r="I430" s="59">
        <f t="shared" si="164"/>
        <v>0</v>
      </c>
      <c r="J430" s="1"/>
      <c r="K430" s="1"/>
      <c r="L430" s="1"/>
      <c r="M430" s="59">
        <f t="shared" si="165"/>
        <v>0</v>
      </c>
      <c r="N430" s="1"/>
      <c r="O430" s="1"/>
      <c r="P430" s="1"/>
      <c r="Q430" s="59">
        <f>SUM(N430:P430)</f>
        <v>0</v>
      </c>
      <c r="R430" s="59">
        <f t="shared" si="162"/>
        <v>0</v>
      </c>
    </row>
    <row r="431" spans="1:20" ht="15.75" customHeight="1" x14ac:dyDescent="0.3">
      <c r="A431" s="76" t="s">
        <v>429</v>
      </c>
      <c r="B431" s="1"/>
      <c r="C431" s="1"/>
      <c r="D431" s="1"/>
      <c r="E431" s="59">
        <f t="shared" si="167"/>
        <v>0</v>
      </c>
      <c r="F431" s="1"/>
      <c r="G431" s="1"/>
      <c r="H431" s="1"/>
      <c r="I431" s="59">
        <f t="shared" si="164"/>
        <v>0</v>
      </c>
      <c r="J431" s="1"/>
      <c r="K431" s="1"/>
      <c r="L431" s="1"/>
      <c r="M431" s="59">
        <f t="shared" si="165"/>
        <v>0</v>
      </c>
      <c r="N431" s="1"/>
      <c r="O431" s="1"/>
      <c r="P431" s="1"/>
      <c r="Q431" s="59">
        <f t="shared" si="166"/>
        <v>0</v>
      </c>
      <c r="R431" s="59">
        <f t="shared" si="162"/>
        <v>0</v>
      </c>
    </row>
    <row r="432" spans="1:20" ht="15.75" customHeight="1" x14ac:dyDescent="0.3">
      <c r="A432" s="76" t="s">
        <v>432</v>
      </c>
      <c r="B432" s="1"/>
      <c r="C432" s="1"/>
      <c r="D432" s="1"/>
      <c r="E432" s="59">
        <f t="shared" ref="E432" si="176">SUM(B432:D432)</f>
        <v>0</v>
      </c>
      <c r="F432" s="1"/>
      <c r="G432" s="1"/>
      <c r="H432" s="1"/>
      <c r="I432" s="59">
        <f t="shared" ref="I432" si="177">SUM(F432:H432)</f>
        <v>0</v>
      </c>
      <c r="J432" s="1"/>
      <c r="K432" s="1"/>
      <c r="L432" s="1"/>
      <c r="M432" s="59">
        <f t="shared" ref="M432" si="178">SUM(J432:L432)</f>
        <v>0</v>
      </c>
      <c r="N432" s="1"/>
      <c r="O432" s="1"/>
      <c r="P432" s="1"/>
      <c r="Q432" s="59">
        <f t="shared" ref="Q432" si="179">SUM(N432:P432)</f>
        <v>0</v>
      </c>
      <c r="R432" s="59">
        <f t="shared" si="162"/>
        <v>0</v>
      </c>
      <c r="T432" s="4" t="s">
        <v>217</v>
      </c>
    </row>
    <row r="433" spans="1:20" ht="15.75" customHeight="1" x14ac:dyDescent="0.3">
      <c r="A433" s="76" t="s">
        <v>433</v>
      </c>
      <c r="B433" s="1"/>
      <c r="C433" s="1"/>
      <c r="D433" s="1"/>
      <c r="E433" s="59">
        <f t="shared" si="167"/>
        <v>0</v>
      </c>
      <c r="F433" s="1"/>
      <c r="G433" s="1"/>
      <c r="H433" s="1"/>
      <c r="I433" s="59">
        <f t="shared" si="164"/>
        <v>0</v>
      </c>
      <c r="J433" s="1"/>
      <c r="K433" s="1"/>
      <c r="L433" s="1"/>
      <c r="M433" s="59">
        <f t="shared" si="165"/>
        <v>0</v>
      </c>
      <c r="N433" s="1"/>
      <c r="O433" s="1"/>
      <c r="P433" s="1"/>
      <c r="Q433" s="59">
        <f t="shared" si="166"/>
        <v>0</v>
      </c>
      <c r="R433" s="59">
        <f t="shared" si="162"/>
        <v>0</v>
      </c>
      <c r="T433" s="4" t="s">
        <v>217</v>
      </c>
    </row>
    <row r="434" spans="1:20" ht="15.75" customHeight="1" x14ac:dyDescent="0.3">
      <c r="A434" s="76" t="s">
        <v>434</v>
      </c>
      <c r="B434" s="1"/>
      <c r="C434" s="1"/>
      <c r="D434" s="1"/>
      <c r="E434" s="59">
        <f t="shared" si="167"/>
        <v>0</v>
      </c>
      <c r="F434" s="1"/>
      <c r="G434" s="1">
        <v>1173</v>
      </c>
      <c r="H434" s="1">
        <v>1800</v>
      </c>
      <c r="I434" s="59">
        <f t="shared" si="164"/>
        <v>2973</v>
      </c>
      <c r="J434" s="1">
        <v>1115</v>
      </c>
      <c r="K434" s="1"/>
      <c r="L434" s="1"/>
      <c r="M434" s="59">
        <f t="shared" si="165"/>
        <v>1115</v>
      </c>
      <c r="N434" s="1"/>
      <c r="O434" s="1"/>
      <c r="P434" s="1"/>
      <c r="Q434" s="59">
        <f t="shared" si="166"/>
        <v>0</v>
      </c>
      <c r="R434" s="59">
        <f t="shared" si="162"/>
        <v>4088</v>
      </c>
      <c r="T434" s="4" t="s">
        <v>217</v>
      </c>
    </row>
    <row r="435" spans="1:20" ht="15.75" customHeight="1" x14ac:dyDescent="0.3">
      <c r="A435" s="76" t="s">
        <v>435</v>
      </c>
      <c r="B435" s="1"/>
      <c r="C435" s="1"/>
      <c r="D435" s="1"/>
      <c r="E435" s="59">
        <f t="shared" si="167"/>
        <v>0</v>
      </c>
      <c r="F435" s="1"/>
      <c r="G435" s="1"/>
      <c r="H435" s="1"/>
      <c r="I435" s="59">
        <f t="shared" si="164"/>
        <v>0</v>
      </c>
      <c r="J435" s="1"/>
      <c r="K435" s="1"/>
      <c r="L435" s="1"/>
      <c r="M435" s="59">
        <f t="shared" si="165"/>
        <v>0</v>
      </c>
      <c r="N435" s="1"/>
      <c r="O435" s="1"/>
      <c r="P435" s="1"/>
      <c r="Q435" s="59">
        <f t="shared" si="166"/>
        <v>0</v>
      </c>
      <c r="R435" s="59">
        <f t="shared" si="162"/>
        <v>0</v>
      </c>
      <c r="T435" s="4" t="s">
        <v>315</v>
      </c>
    </row>
    <row r="436" spans="1:20" ht="15.75" customHeight="1" x14ac:dyDescent="0.3">
      <c r="A436" s="76" t="s">
        <v>436</v>
      </c>
      <c r="B436" s="1"/>
      <c r="C436" s="1"/>
      <c r="D436" s="1">
        <v>733</v>
      </c>
      <c r="E436" s="59">
        <f t="shared" si="167"/>
        <v>733</v>
      </c>
      <c r="F436" s="1">
        <v>936</v>
      </c>
      <c r="G436" s="1"/>
      <c r="H436" s="1"/>
      <c r="I436" s="59">
        <f t="shared" si="164"/>
        <v>936</v>
      </c>
      <c r="J436" s="1"/>
      <c r="K436" s="1"/>
      <c r="L436" s="1"/>
      <c r="M436" s="59">
        <f t="shared" si="165"/>
        <v>0</v>
      </c>
      <c r="N436" s="1"/>
      <c r="O436" s="1"/>
      <c r="P436" s="1"/>
      <c r="Q436" s="59">
        <f t="shared" si="166"/>
        <v>0</v>
      </c>
      <c r="R436" s="59">
        <f t="shared" si="162"/>
        <v>1669</v>
      </c>
    </row>
    <row r="437" spans="1:20" ht="15.75" customHeight="1" x14ac:dyDescent="0.3">
      <c r="A437" s="76" t="s">
        <v>867</v>
      </c>
      <c r="B437" s="1"/>
      <c r="C437" s="1"/>
      <c r="D437" s="1"/>
      <c r="E437" s="59">
        <f t="shared" si="167"/>
        <v>0</v>
      </c>
      <c r="F437" s="1"/>
      <c r="G437" s="1"/>
      <c r="H437" s="1"/>
      <c r="I437" s="59">
        <f t="shared" si="164"/>
        <v>0</v>
      </c>
      <c r="J437" s="1"/>
      <c r="K437" s="1"/>
      <c r="L437" s="1"/>
      <c r="M437" s="59">
        <f t="shared" si="165"/>
        <v>0</v>
      </c>
      <c r="N437" s="1"/>
      <c r="O437" s="1"/>
      <c r="P437" s="1"/>
      <c r="Q437" s="59">
        <f t="shared" si="166"/>
        <v>0</v>
      </c>
      <c r="R437" s="59">
        <f t="shared" si="162"/>
        <v>0</v>
      </c>
      <c r="T437" s="4" t="s">
        <v>315</v>
      </c>
    </row>
    <row r="438" spans="1:20" ht="15.75" customHeight="1" x14ac:dyDescent="0.3">
      <c r="A438" s="76" t="s">
        <v>439</v>
      </c>
      <c r="B438" s="1"/>
      <c r="C438" s="1"/>
      <c r="D438" s="1"/>
      <c r="E438" s="59">
        <f t="shared" si="167"/>
        <v>0</v>
      </c>
      <c r="F438" s="1"/>
      <c r="G438" s="1"/>
      <c r="H438" s="1"/>
      <c r="I438" s="59">
        <f t="shared" si="164"/>
        <v>0</v>
      </c>
      <c r="J438" s="1">
        <v>722</v>
      </c>
      <c r="K438" s="1">
        <v>1052</v>
      </c>
      <c r="L438" s="1"/>
      <c r="M438" s="59">
        <f t="shared" si="165"/>
        <v>1774</v>
      </c>
      <c r="N438" s="1"/>
      <c r="O438" s="1"/>
      <c r="P438" s="1"/>
      <c r="Q438" s="59">
        <f t="shared" si="166"/>
        <v>0</v>
      </c>
      <c r="R438" s="59">
        <f t="shared" si="162"/>
        <v>1774</v>
      </c>
      <c r="T438" s="4" t="s">
        <v>217</v>
      </c>
    </row>
    <row r="439" spans="1:20" ht="15.75" customHeight="1" x14ac:dyDescent="0.3">
      <c r="A439" s="76" t="s">
        <v>440</v>
      </c>
      <c r="B439" s="1"/>
      <c r="C439" s="1"/>
      <c r="D439" s="1"/>
      <c r="E439" s="59">
        <f t="shared" si="167"/>
        <v>0</v>
      </c>
      <c r="F439" s="1"/>
      <c r="G439" s="1"/>
      <c r="H439" s="1"/>
      <c r="I439" s="59">
        <f t="shared" si="164"/>
        <v>0</v>
      </c>
      <c r="J439" s="1"/>
      <c r="K439" s="1"/>
      <c r="L439" s="1"/>
      <c r="M439" s="59">
        <f t="shared" si="165"/>
        <v>0</v>
      </c>
      <c r="N439" s="1"/>
      <c r="O439" s="1"/>
      <c r="P439" s="1"/>
      <c r="Q439" s="59">
        <f t="shared" si="166"/>
        <v>0</v>
      </c>
      <c r="R439" s="59">
        <f>+E439+I439+M439+Q439</f>
        <v>0</v>
      </c>
    </row>
    <row r="440" spans="1:20" ht="15.75" customHeight="1" x14ac:dyDescent="0.3">
      <c r="A440" s="76" t="s">
        <v>441</v>
      </c>
      <c r="B440" s="1"/>
      <c r="C440" s="1"/>
      <c r="D440" s="1"/>
      <c r="E440" s="59">
        <f t="shared" si="167"/>
        <v>0</v>
      </c>
      <c r="F440" s="1"/>
      <c r="G440" s="1"/>
      <c r="H440" s="1"/>
      <c r="I440" s="59">
        <f t="shared" si="164"/>
        <v>0</v>
      </c>
      <c r="J440" s="1"/>
      <c r="K440" s="1"/>
      <c r="L440" s="1"/>
      <c r="M440" s="59">
        <f t="shared" si="165"/>
        <v>0</v>
      </c>
      <c r="N440" s="1"/>
      <c r="O440" s="1"/>
      <c r="P440" s="1"/>
      <c r="Q440" s="59">
        <f t="shared" si="166"/>
        <v>0</v>
      </c>
      <c r="R440" s="59">
        <f>+E440+I440+M440+Q440</f>
        <v>0</v>
      </c>
      <c r="T440" s="4" t="s">
        <v>315</v>
      </c>
    </row>
    <row r="441" spans="1:20" ht="15.75" customHeight="1" x14ac:dyDescent="0.3">
      <c r="A441" s="76" t="s">
        <v>442</v>
      </c>
      <c r="B441" s="1">
        <v>353</v>
      </c>
      <c r="C441" s="1">
        <v>1350</v>
      </c>
      <c r="D441" s="1">
        <v>1700</v>
      </c>
      <c r="E441" s="59">
        <f t="shared" si="167"/>
        <v>3403</v>
      </c>
      <c r="F441" s="1">
        <v>1800</v>
      </c>
      <c r="G441" s="1">
        <v>727</v>
      </c>
      <c r="H441" s="1"/>
      <c r="I441" s="59">
        <f t="shared" si="164"/>
        <v>2527</v>
      </c>
      <c r="J441" s="1"/>
      <c r="K441" s="1"/>
      <c r="L441" s="1"/>
      <c r="M441" s="59">
        <f t="shared" si="165"/>
        <v>0</v>
      </c>
      <c r="N441" s="1"/>
      <c r="O441" s="1"/>
      <c r="P441" s="1"/>
      <c r="Q441" s="59">
        <f t="shared" si="166"/>
        <v>0</v>
      </c>
      <c r="R441" s="59">
        <f t="shared" si="162"/>
        <v>5930</v>
      </c>
      <c r="T441" s="4" t="s">
        <v>217</v>
      </c>
    </row>
    <row r="442" spans="1:20" ht="15.75" customHeight="1" x14ac:dyDescent="0.3">
      <c r="A442" s="76" t="s">
        <v>443</v>
      </c>
      <c r="B442" s="1"/>
      <c r="C442" s="1"/>
      <c r="D442" s="1"/>
      <c r="E442" s="59">
        <f t="shared" si="167"/>
        <v>0</v>
      </c>
      <c r="F442" s="1"/>
      <c r="G442" s="1"/>
      <c r="H442" s="1"/>
      <c r="I442" s="59">
        <f t="shared" si="164"/>
        <v>0</v>
      </c>
      <c r="J442" s="1"/>
      <c r="K442" s="1"/>
      <c r="L442" s="1"/>
      <c r="M442" s="59">
        <f t="shared" si="165"/>
        <v>0</v>
      </c>
      <c r="N442" s="1"/>
      <c r="O442" s="1"/>
      <c r="P442" s="1"/>
      <c r="Q442" s="59">
        <f t="shared" si="166"/>
        <v>0</v>
      </c>
      <c r="R442" s="59">
        <f t="shared" si="162"/>
        <v>0</v>
      </c>
      <c r="T442" s="4" t="s">
        <v>315</v>
      </c>
    </row>
    <row r="443" spans="1:20" ht="15.75" customHeight="1" x14ac:dyDescent="0.3">
      <c r="A443" s="76" t="s">
        <v>868</v>
      </c>
      <c r="B443" s="1"/>
      <c r="C443" s="1"/>
      <c r="D443" s="1"/>
      <c r="E443" s="59">
        <f t="shared" ref="E443:E444" si="180">SUM(B443:D443)</f>
        <v>0</v>
      </c>
      <c r="F443" s="1">
        <v>40</v>
      </c>
      <c r="G443" s="1">
        <v>56</v>
      </c>
      <c r="H443" s="1"/>
      <c r="I443" s="59">
        <f t="shared" ref="I443:I445" si="181">SUM(F443:H443)</f>
        <v>96</v>
      </c>
      <c r="J443" s="1"/>
      <c r="K443" s="1"/>
      <c r="L443" s="1"/>
      <c r="M443" s="59">
        <f t="shared" ref="M443:M445" si="182">SUM(J443:L443)</f>
        <v>0</v>
      </c>
      <c r="N443" s="1"/>
      <c r="O443" s="1"/>
      <c r="P443" s="1"/>
      <c r="Q443" s="59">
        <f t="shared" ref="Q443:Q445" si="183">SUM(N443:P443)</f>
        <v>0</v>
      </c>
      <c r="R443" s="59">
        <f t="shared" si="162"/>
        <v>96</v>
      </c>
    </row>
    <row r="444" spans="1:20" ht="15.75" customHeight="1" x14ac:dyDescent="0.3">
      <c r="A444" s="76" t="s">
        <v>869</v>
      </c>
      <c r="B444" s="1"/>
      <c r="C444" s="1"/>
      <c r="D444" s="1"/>
      <c r="E444" s="59">
        <f t="shared" si="180"/>
        <v>0</v>
      </c>
      <c r="F444" s="1">
        <v>56</v>
      </c>
      <c r="G444" s="1">
        <v>79</v>
      </c>
      <c r="H444" s="1"/>
      <c r="I444" s="59">
        <f t="shared" si="181"/>
        <v>135</v>
      </c>
      <c r="J444" s="1"/>
      <c r="K444" s="1"/>
      <c r="L444" s="1"/>
      <c r="M444" s="59">
        <f t="shared" si="182"/>
        <v>0</v>
      </c>
      <c r="N444" s="1"/>
      <c r="O444" s="1"/>
      <c r="P444" s="1"/>
      <c r="Q444" s="59">
        <f t="shared" si="183"/>
        <v>0</v>
      </c>
      <c r="R444" s="59">
        <f>+E444+I444+M444+Q444</f>
        <v>135</v>
      </c>
    </row>
    <row r="445" spans="1:20" ht="15.75" customHeight="1" x14ac:dyDescent="0.3">
      <c r="A445" s="76" t="s">
        <v>870</v>
      </c>
      <c r="B445" s="1"/>
      <c r="C445" s="1"/>
      <c r="D445" s="1"/>
      <c r="E445" s="59">
        <f>SUM(B445:D445)</f>
        <v>0</v>
      </c>
      <c r="F445" s="1">
        <v>64</v>
      </c>
      <c r="G445" s="1">
        <v>90</v>
      </c>
      <c r="H445" s="1"/>
      <c r="I445" s="59">
        <f t="shared" si="181"/>
        <v>154</v>
      </c>
      <c r="J445" s="1"/>
      <c r="K445" s="1"/>
      <c r="L445" s="1"/>
      <c r="M445" s="59">
        <f t="shared" si="182"/>
        <v>0</v>
      </c>
      <c r="N445" s="1"/>
      <c r="O445" s="1"/>
      <c r="P445" s="1"/>
      <c r="Q445" s="59">
        <f t="shared" si="183"/>
        <v>0</v>
      </c>
      <c r="R445" s="59">
        <f t="shared" si="162"/>
        <v>154</v>
      </c>
    </row>
    <row r="446" spans="1:20" ht="15.75" customHeight="1" x14ac:dyDescent="0.3">
      <c r="A446" s="76" t="s">
        <v>449</v>
      </c>
      <c r="B446" s="1"/>
      <c r="C446" s="1"/>
      <c r="D446" s="1"/>
      <c r="E446" s="59">
        <f t="shared" si="167"/>
        <v>0</v>
      </c>
      <c r="F446" s="1">
        <v>1833</v>
      </c>
      <c r="G446" s="1">
        <v>404</v>
      </c>
      <c r="H446" s="1"/>
      <c r="I446" s="59">
        <f t="shared" si="164"/>
        <v>2237</v>
      </c>
      <c r="J446" s="1"/>
      <c r="K446" s="1"/>
      <c r="L446" s="1"/>
      <c r="M446" s="59">
        <f t="shared" si="165"/>
        <v>0</v>
      </c>
      <c r="N446" s="1"/>
      <c r="O446" s="1"/>
      <c r="P446" s="1"/>
      <c r="Q446" s="59">
        <f t="shared" si="166"/>
        <v>0</v>
      </c>
      <c r="R446" s="59">
        <f t="shared" si="162"/>
        <v>2237</v>
      </c>
    </row>
    <row r="447" spans="1:20" ht="15.75" customHeight="1" thickBot="1" x14ac:dyDescent="0.35">
      <c r="A447" s="76" t="s">
        <v>450</v>
      </c>
      <c r="B447" s="1">
        <v>2000</v>
      </c>
      <c r="C447" s="1">
        <v>2000</v>
      </c>
      <c r="D447" s="1">
        <v>2000</v>
      </c>
      <c r="E447" s="59">
        <f t="shared" si="167"/>
        <v>6000</v>
      </c>
      <c r="F447" s="1">
        <v>2000</v>
      </c>
      <c r="G447" s="1">
        <v>2000</v>
      </c>
      <c r="H447" s="1">
        <v>2000</v>
      </c>
      <c r="I447" s="59">
        <f t="shared" si="164"/>
        <v>6000</v>
      </c>
      <c r="J447" s="1">
        <v>2000</v>
      </c>
      <c r="K447" s="1">
        <v>3000</v>
      </c>
      <c r="L447" s="1">
        <v>2000</v>
      </c>
      <c r="M447" s="59">
        <f t="shared" si="165"/>
        <v>7000</v>
      </c>
      <c r="N447" s="1">
        <v>2000</v>
      </c>
      <c r="O447" s="1">
        <v>2000</v>
      </c>
      <c r="P447" s="1">
        <v>2000</v>
      </c>
      <c r="Q447" s="59">
        <f t="shared" si="166"/>
        <v>6000</v>
      </c>
      <c r="R447" s="59">
        <f t="shared" si="162"/>
        <v>25000</v>
      </c>
    </row>
    <row r="448" spans="1:20" ht="16.5" customHeight="1" thickBot="1" x14ac:dyDescent="0.35">
      <c r="A448" s="137" t="s">
        <v>61</v>
      </c>
      <c r="B448" s="107">
        <f>SUM(B393:B447)</f>
        <v>18836</v>
      </c>
      <c r="C448" s="63">
        <f>SUM(C393:C447)</f>
        <v>26589</v>
      </c>
      <c r="D448" s="63">
        <f>SUM(D393:D447)</f>
        <v>37909</v>
      </c>
      <c r="E448" s="64">
        <f t="shared" ref="E448" si="184">SUM(B448:D448)</f>
        <v>83334</v>
      </c>
      <c r="F448" s="63">
        <f>SUM(F393:F447)</f>
        <v>41308</v>
      </c>
      <c r="G448" s="63">
        <f>SUM(G393:G447)</f>
        <v>47002</v>
      </c>
      <c r="H448" s="63">
        <f>SUM(H393:H447)</f>
        <v>56067</v>
      </c>
      <c r="I448" s="64">
        <f t="shared" ref="I448" si="185">SUM(F448:H448)</f>
        <v>144377</v>
      </c>
      <c r="J448" s="63">
        <f>SUM(J393:J447)</f>
        <v>36109</v>
      </c>
      <c r="K448" s="63">
        <f>SUM(K393:K447)</f>
        <v>33959</v>
      </c>
      <c r="L448" s="63">
        <f>SUM(L393:L447)</f>
        <v>26901</v>
      </c>
      <c r="M448" s="64">
        <f t="shared" ref="M448" si="186">SUM(J448:L448)</f>
        <v>96969</v>
      </c>
      <c r="N448" s="63">
        <f>SUM(N393:N447)</f>
        <v>20858</v>
      </c>
      <c r="O448" s="63">
        <f>SUM(O393:O447)</f>
        <v>4229</v>
      </c>
      <c r="P448" s="63">
        <f>SUM(P393:P447)</f>
        <v>13061</v>
      </c>
      <c r="Q448" s="64">
        <f t="shared" si="166"/>
        <v>38148</v>
      </c>
      <c r="R448" s="64">
        <f>+E448+I448+M448+Q448</f>
        <v>362828</v>
      </c>
      <c r="T448" s="106"/>
    </row>
    <row r="449" spans="1:21" ht="15.75" customHeight="1" x14ac:dyDescent="0.3">
      <c r="A449" s="17" t="s">
        <v>62</v>
      </c>
      <c r="B449" s="1"/>
      <c r="C449" s="1"/>
      <c r="D449" s="1"/>
      <c r="E449" s="59" t="s">
        <v>7</v>
      </c>
      <c r="F449" s="1"/>
      <c r="G449" s="1"/>
      <c r="H449" s="1"/>
      <c r="I449" s="59" t="s">
        <v>7</v>
      </c>
      <c r="J449" s="1"/>
      <c r="K449" s="1"/>
      <c r="L449" s="1"/>
      <c r="M449" s="59" t="s">
        <v>7</v>
      </c>
      <c r="N449" s="1"/>
      <c r="O449" s="1"/>
      <c r="P449" s="1"/>
      <c r="Q449" s="59" t="s">
        <v>7</v>
      </c>
      <c r="R449" s="59" t="s">
        <v>7</v>
      </c>
    </row>
    <row r="450" spans="1:21" ht="15.75" customHeight="1" x14ac:dyDescent="0.3">
      <c r="A450" s="17" t="s">
        <v>63</v>
      </c>
      <c r="B450" s="1"/>
      <c r="C450" s="1"/>
      <c r="D450" s="1"/>
      <c r="E450" s="59" t="s">
        <v>7</v>
      </c>
      <c r="F450" s="1"/>
      <c r="G450" s="1"/>
      <c r="H450" s="1"/>
      <c r="I450" s="59" t="s">
        <v>7</v>
      </c>
      <c r="J450" s="1"/>
      <c r="K450" s="1"/>
      <c r="L450" s="1"/>
      <c r="M450" s="59" t="s">
        <v>7</v>
      </c>
      <c r="N450" s="1"/>
      <c r="O450" s="1"/>
      <c r="P450" s="1"/>
      <c r="Q450" s="59" t="s">
        <v>7</v>
      </c>
      <c r="R450" s="59" t="s">
        <v>7</v>
      </c>
    </row>
    <row r="451" spans="1:21" ht="15.75" customHeight="1" x14ac:dyDescent="0.3">
      <c r="A451" s="76" t="s">
        <v>451</v>
      </c>
      <c r="B451" s="1"/>
      <c r="C451" s="1"/>
      <c r="D451" s="1"/>
      <c r="E451" s="59">
        <f>SUM(B451:D451)</f>
        <v>0</v>
      </c>
      <c r="F451" s="1"/>
      <c r="G451" s="1"/>
      <c r="H451" s="1"/>
      <c r="I451" s="59">
        <f>SUM(F451:H451)</f>
        <v>0</v>
      </c>
      <c r="J451" s="1"/>
      <c r="K451" s="1"/>
      <c r="L451" s="1"/>
      <c r="M451" s="59">
        <f>SUM(J451:L451)</f>
        <v>0</v>
      </c>
      <c r="N451" s="1"/>
      <c r="O451" s="1"/>
      <c r="P451" s="1"/>
      <c r="Q451" s="59">
        <f>SUM(N451:P451)</f>
        <v>0</v>
      </c>
      <c r="R451" s="59">
        <f>+E451+I451+M451+Q451</f>
        <v>0</v>
      </c>
      <c r="U451" s="20"/>
    </row>
    <row r="452" spans="1:21" ht="15.75" customHeight="1" x14ac:dyDescent="0.3">
      <c r="A452" s="17" t="s">
        <v>64</v>
      </c>
      <c r="B452" s="1"/>
      <c r="C452" s="1"/>
      <c r="D452" s="1"/>
      <c r="E452" s="59" t="s">
        <v>7</v>
      </c>
      <c r="F452" s="1"/>
      <c r="G452" s="1"/>
      <c r="H452" s="1"/>
      <c r="I452" s="59" t="s">
        <v>7</v>
      </c>
      <c r="J452" s="1"/>
      <c r="K452" s="1"/>
      <c r="L452" s="1"/>
      <c r="M452" s="59" t="s">
        <v>7</v>
      </c>
      <c r="N452" s="1"/>
      <c r="O452" s="1"/>
      <c r="P452" s="1"/>
      <c r="Q452" s="59" t="s">
        <v>7</v>
      </c>
      <c r="R452" s="59" t="s">
        <v>7</v>
      </c>
    </row>
    <row r="453" spans="1:21" ht="15.75" customHeight="1" x14ac:dyDescent="0.3">
      <c r="A453" s="76" t="s">
        <v>452</v>
      </c>
      <c r="B453" s="1"/>
      <c r="C453" s="1"/>
      <c r="D453" s="1"/>
      <c r="E453" s="59">
        <f>SUM(B453:D453)</f>
        <v>0</v>
      </c>
      <c r="F453" s="1"/>
      <c r="G453" s="1"/>
      <c r="H453" s="1"/>
      <c r="I453" s="59">
        <f>SUM(F453:H453)</f>
        <v>0</v>
      </c>
      <c r="J453" s="1"/>
      <c r="K453" s="1"/>
      <c r="L453" s="1"/>
      <c r="M453" s="59">
        <f>SUM(J453:L453)</f>
        <v>0</v>
      </c>
      <c r="N453" s="1"/>
      <c r="O453" s="1"/>
      <c r="P453" s="1"/>
      <c r="Q453" s="59">
        <f>SUM(N453:P453)</f>
        <v>0</v>
      </c>
      <c r="R453" s="59">
        <f>+E453+I453+M453+Q453</f>
        <v>0</v>
      </c>
    </row>
    <row r="454" spans="1:21" ht="15.75" customHeight="1" x14ac:dyDescent="0.3">
      <c r="A454" s="76" t="s">
        <v>453</v>
      </c>
      <c r="B454" s="1"/>
      <c r="C454" s="1"/>
      <c r="D454" s="1"/>
      <c r="E454" s="59">
        <f>SUM(B454:D454)</f>
        <v>0</v>
      </c>
      <c r="F454" s="1"/>
      <c r="G454" s="1"/>
      <c r="H454" s="1"/>
      <c r="I454" s="59">
        <f>SUM(F454:H454)</f>
        <v>0</v>
      </c>
      <c r="J454" s="1"/>
      <c r="K454" s="1"/>
      <c r="L454" s="1"/>
      <c r="M454" s="59">
        <f>SUM(J454:L454)</f>
        <v>0</v>
      </c>
      <c r="N454" s="1"/>
      <c r="O454" s="1"/>
      <c r="P454" s="1"/>
      <c r="Q454" s="59">
        <f>SUM(N454:P454)</f>
        <v>0</v>
      </c>
      <c r="R454" s="59">
        <f>+E454+I454+M454+Q454</f>
        <v>0</v>
      </c>
    </row>
    <row r="455" spans="1:21" ht="15.75" customHeight="1" x14ac:dyDescent="0.3">
      <c r="A455" s="17" t="s">
        <v>66</v>
      </c>
      <c r="B455" s="1"/>
      <c r="C455" s="1"/>
      <c r="D455" s="1"/>
      <c r="E455" s="59" t="s">
        <v>7</v>
      </c>
      <c r="F455" s="1"/>
      <c r="G455" s="1"/>
      <c r="H455" s="1"/>
      <c r="I455" s="59" t="s">
        <v>7</v>
      </c>
      <c r="J455" s="1"/>
      <c r="K455" s="1"/>
      <c r="L455" s="1"/>
      <c r="M455" s="59" t="s">
        <v>7</v>
      </c>
      <c r="N455" s="1"/>
      <c r="O455" s="1"/>
      <c r="P455" s="1"/>
      <c r="Q455" s="59" t="s">
        <v>7</v>
      </c>
      <c r="R455" s="59" t="s">
        <v>7</v>
      </c>
    </row>
    <row r="456" spans="1:21" ht="15.75" customHeight="1" x14ac:dyDescent="0.3">
      <c r="A456" s="76" t="s">
        <v>454</v>
      </c>
      <c r="B456" s="1"/>
      <c r="C456" s="1"/>
      <c r="D456" s="1"/>
      <c r="E456" s="59">
        <f t="shared" ref="E456:E461" si="187">SUM(B456:D456)</f>
        <v>0</v>
      </c>
      <c r="F456" s="1"/>
      <c r="G456" s="1"/>
      <c r="H456" s="1"/>
      <c r="I456" s="59">
        <f t="shared" ref="I456:I461" si="188">SUM(F456:H456)</f>
        <v>0</v>
      </c>
      <c r="J456" s="1"/>
      <c r="K456" s="1"/>
      <c r="L456" s="1"/>
      <c r="M456" s="59">
        <f t="shared" ref="M456:M461" si="189">SUM(J456:L456)</f>
        <v>0</v>
      </c>
      <c r="N456" s="1"/>
      <c r="O456" s="1"/>
      <c r="P456" s="1"/>
      <c r="Q456" s="59">
        <f t="shared" ref="Q456:Q461" si="190">SUM(N456:P456)</f>
        <v>0</v>
      </c>
      <c r="R456" s="59">
        <f t="shared" ref="R456:R461" si="191">+E456+I456+M456+Q456</f>
        <v>0</v>
      </c>
      <c r="T456" s="4" t="s">
        <v>317</v>
      </c>
    </row>
    <row r="457" spans="1:21" ht="15.75" customHeight="1" x14ac:dyDescent="0.3">
      <c r="A457" s="76" t="s">
        <v>455</v>
      </c>
      <c r="B457" s="1"/>
      <c r="C457" s="1"/>
      <c r="D457" s="1"/>
      <c r="E457" s="59">
        <f t="shared" ref="E457" si="192">SUM(B457:D457)</f>
        <v>0</v>
      </c>
      <c r="F457" s="1"/>
      <c r="G457" s="1"/>
      <c r="H457" s="1"/>
      <c r="I457" s="59">
        <f t="shared" si="188"/>
        <v>0</v>
      </c>
      <c r="J457" s="1"/>
      <c r="K457" s="1"/>
      <c r="L457" s="1"/>
      <c r="M457" s="59">
        <f t="shared" si="189"/>
        <v>0</v>
      </c>
      <c r="N457" s="1"/>
      <c r="O457" s="1"/>
      <c r="P457" s="1"/>
      <c r="Q457" s="59">
        <f t="shared" si="190"/>
        <v>0</v>
      </c>
      <c r="R457" s="59">
        <f t="shared" si="191"/>
        <v>0</v>
      </c>
      <c r="T457" s="4" t="s">
        <v>317</v>
      </c>
    </row>
    <row r="458" spans="1:21" ht="15.75" customHeight="1" x14ac:dyDescent="0.3">
      <c r="A458" s="76" t="s">
        <v>456</v>
      </c>
      <c r="B458" s="1"/>
      <c r="C458" s="1"/>
      <c r="D458" s="1"/>
      <c r="E458" s="59">
        <f t="shared" si="187"/>
        <v>0</v>
      </c>
      <c r="F458" s="1"/>
      <c r="G458" s="1"/>
      <c r="H458" s="1"/>
      <c r="I458" s="59">
        <f t="shared" si="188"/>
        <v>0</v>
      </c>
      <c r="J458" s="1"/>
      <c r="K458" s="1"/>
      <c r="L458" s="1"/>
      <c r="M458" s="59">
        <f t="shared" si="189"/>
        <v>0</v>
      </c>
      <c r="N458" s="1"/>
      <c r="O458" s="1"/>
      <c r="P458" s="1"/>
      <c r="Q458" s="59">
        <f t="shared" si="190"/>
        <v>0</v>
      </c>
      <c r="R458" s="59">
        <f t="shared" si="191"/>
        <v>0</v>
      </c>
      <c r="T458" s="4" t="s">
        <v>331</v>
      </c>
    </row>
    <row r="459" spans="1:21" ht="15.75" customHeight="1" x14ac:dyDescent="0.3">
      <c r="A459" s="76" t="s">
        <v>457</v>
      </c>
      <c r="B459" s="1"/>
      <c r="C459" s="1"/>
      <c r="D459" s="1"/>
      <c r="E459" s="59">
        <f t="shared" si="187"/>
        <v>0</v>
      </c>
      <c r="F459" s="1"/>
      <c r="G459" s="1"/>
      <c r="H459" s="1"/>
      <c r="I459" s="59">
        <f t="shared" si="188"/>
        <v>0</v>
      </c>
      <c r="J459" s="1"/>
      <c r="K459" s="1"/>
      <c r="L459" s="1"/>
      <c r="M459" s="59">
        <f t="shared" si="189"/>
        <v>0</v>
      </c>
      <c r="N459" s="1"/>
      <c r="O459" s="1"/>
      <c r="P459" s="1"/>
      <c r="Q459" s="59">
        <f t="shared" si="190"/>
        <v>0</v>
      </c>
      <c r="R459" s="59">
        <f t="shared" si="191"/>
        <v>0</v>
      </c>
    </row>
    <row r="460" spans="1:21" ht="15.75" customHeight="1" x14ac:dyDescent="0.3">
      <c r="A460" s="76" t="s">
        <v>458</v>
      </c>
      <c r="B460" s="1"/>
      <c r="C460" s="1"/>
      <c r="D460" s="1"/>
      <c r="E460" s="59">
        <f t="shared" si="187"/>
        <v>0</v>
      </c>
      <c r="F460" s="1"/>
      <c r="G460" s="1"/>
      <c r="H460" s="1"/>
      <c r="I460" s="59">
        <f t="shared" si="188"/>
        <v>0</v>
      </c>
      <c r="J460" s="1"/>
      <c r="K460" s="1"/>
      <c r="L460" s="1"/>
      <c r="M460" s="59">
        <f t="shared" si="189"/>
        <v>0</v>
      </c>
      <c r="N460" s="1"/>
      <c r="O460" s="1"/>
      <c r="P460" s="1"/>
      <c r="Q460" s="59">
        <f t="shared" si="190"/>
        <v>0</v>
      </c>
      <c r="R460" s="59">
        <f t="shared" si="191"/>
        <v>0</v>
      </c>
    </row>
    <row r="461" spans="1:21" ht="15.75" customHeight="1" x14ac:dyDescent="0.3">
      <c r="A461" s="76" t="s">
        <v>459</v>
      </c>
      <c r="B461" s="1"/>
      <c r="C461" s="1"/>
      <c r="D461" s="1"/>
      <c r="E461" s="59">
        <f t="shared" si="187"/>
        <v>0</v>
      </c>
      <c r="F461" s="1"/>
      <c r="G461" s="1"/>
      <c r="H461" s="1"/>
      <c r="I461" s="59">
        <f t="shared" si="188"/>
        <v>0</v>
      </c>
      <c r="J461" s="1"/>
      <c r="K461" s="1"/>
      <c r="L461" s="1"/>
      <c r="M461" s="59">
        <f t="shared" si="189"/>
        <v>0</v>
      </c>
      <c r="N461" s="1"/>
      <c r="O461" s="1"/>
      <c r="P461" s="1"/>
      <c r="Q461" s="59">
        <f t="shared" si="190"/>
        <v>0</v>
      </c>
      <c r="R461" s="59">
        <f t="shared" si="191"/>
        <v>0</v>
      </c>
      <c r="T461" s="4" t="s">
        <v>317</v>
      </c>
    </row>
    <row r="462" spans="1:21" ht="15.75" customHeight="1" x14ac:dyDescent="0.3">
      <c r="A462" s="17" t="s">
        <v>67</v>
      </c>
      <c r="B462" s="1"/>
      <c r="C462" s="1"/>
      <c r="D462" s="1"/>
      <c r="E462" s="59" t="s">
        <v>7</v>
      </c>
      <c r="F462" s="1"/>
      <c r="G462" s="1"/>
      <c r="H462" s="1"/>
      <c r="I462" s="59" t="s">
        <v>7</v>
      </c>
      <c r="J462" s="1"/>
      <c r="K462" s="1"/>
      <c r="L462" s="1"/>
      <c r="M462" s="59" t="s">
        <v>7</v>
      </c>
      <c r="N462" s="1"/>
      <c r="O462" s="1"/>
      <c r="P462" s="1"/>
      <c r="Q462" s="59" t="s">
        <v>7</v>
      </c>
      <c r="R462" s="59" t="s">
        <v>7</v>
      </c>
    </row>
    <row r="463" spans="1:21" ht="15.75" customHeight="1" x14ac:dyDescent="0.3">
      <c r="A463" s="76" t="s">
        <v>460</v>
      </c>
      <c r="B463" s="1"/>
      <c r="C463" s="1"/>
      <c r="D463" s="1"/>
      <c r="E463" s="59">
        <f>SUM(B463:D463)</f>
        <v>0</v>
      </c>
      <c r="F463" s="1"/>
      <c r="G463" s="1"/>
      <c r="H463" s="1"/>
      <c r="I463" s="59">
        <f>SUM(F463:H463)</f>
        <v>0</v>
      </c>
      <c r="J463" s="1"/>
      <c r="K463" s="1"/>
      <c r="L463" s="1"/>
      <c r="M463" s="59">
        <f>SUM(J463:L463)</f>
        <v>0</v>
      </c>
      <c r="N463" s="1"/>
      <c r="O463" s="1"/>
      <c r="P463" s="1"/>
      <c r="Q463" s="59">
        <f>SUM(N463:P463)</f>
        <v>0</v>
      </c>
      <c r="R463" s="59">
        <f>+E463+I463+M463+Q463</f>
        <v>0</v>
      </c>
      <c r="T463" s="4" t="s">
        <v>305</v>
      </c>
    </row>
    <row r="464" spans="1:21" ht="15.75" customHeight="1" x14ac:dyDescent="0.3">
      <c r="A464" s="76" t="s">
        <v>461</v>
      </c>
      <c r="B464" s="1"/>
      <c r="C464" s="1"/>
      <c r="D464" s="1"/>
      <c r="E464" s="59">
        <f>SUM(B464:D464)</f>
        <v>0</v>
      </c>
      <c r="F464" s="1"/>
      <c r="G464" s="1"/>
      <c r="H464" s="1"/>
      <c r="I464" s="59">
        <f>SUM(F464:H464)</f>
        <v>0</v>
      </c>
      <c r="J464" s="1"/>
      <c r="K464" s="1"/>
      <c r="L464" s="1"/>
      <c r="M464" s="59">
        <f>SUM(J464:L464)</f>
        <v>0</v>
      </c>
      <c r="N464" s="1"/>
      <c r="O464" s="1"/>
      <c r="P464" s="1"/>
      <c r="Q464" s="59">
        <f>SUM(N464:P464)</f>
        <v>0</v>
      </c>
      <c r="R464" s="59">
        <f>+E464+I464+M464+Q464</f>
        <v>0</v>
      </c>
      <c r="T464" s="4" t="s">
        <v>305</v>
      </c>
    </row>
    <row r="465" spans="1:21" ht="15.75" customHeight="1" x14ac:dyDescent="0.3">
      <c r="A465" s="76" t="s">
        <v>462</v>
      </c>
      <c r="B465" s="1"/>
      <c r="C465" s="1"/>
      <c r="D465" s="1"/>
      <c r="E465" s="59">
        <f>SUM(B465:D465)</f>
        <v>0</v>
      </c>
      <c r="F465" s="1"/>
      <c r="G465" s="1"/>
      <c r="H465" s="1"/>
      <c r="I465" s="59">
        <f>SUM(F465:H465)</f>
        <v>0</v>
      </c>
      <c r="J465" s="1"/>
      <c r="K465" s="1"/>
      <c r="L465" s="1"/>
      <c r="M465" s="59">
        <f>SUM(J465:L465)</f>
        <v>0</v>
      </c>
      <c r="N465" s="1"/>
      <c r="O465" s="1"/>
      <c r="P465" s="1"/>
      <c r="Q465" s="59">
        <f>SUM(N465:P465)</f>
        <v>0</v>
      </c>
      <c r="R465" s="59">
        <f>+E465+I465+M465+Q465</f>
        <v>0</v>
      </c>
    </row>
    <row r="466" spans="1:21" ht="15.75" customHeight="1" x14ac:dyDescent="0.3">
      <c r="A466" s="76" t="s">
        <v>463</v>
      </c>
      <c r="B466" s="1"/>
      <c r="C466" s="1"/>
      <c r="D466" s="1"/>
      <c r="E466" s="59">
        <f>SUM(B466:D466)</f>
        <v>0</v>
      </c>
      <c r="F466" s="1"/>
      <c r="G466" s="1"/>
      <c r="H466" s="1"/>
      <c r="I466" s="59">
        <f>SUM(F466:H466)</f>
        <v>0</v>
      </c>
      <c r="J466" s="1"/>
      <c r="K466" s="1"/>
      <c r="L466" s="1"/>
      <c r="M466" s="59">
        <f>SUM(J466:L466)</f>
        <v>0</v>
      </c>
      <c r="N466" s="1"/>
      <c r="O466" s="1"/>
      <c r="P466" s="1"/>
      <c r="Q466" s="59">
        <f>SUM(N466:P466)</f>
        <v>0</v>
      </c>
      <c r="R466" s="59">
        <f>+E466+I466+M466+Q466</f>
        <v>0</v>
      </c>
    </row>
    <row r="467" spans="1:21" ht="15.75" customHeight="1" x14ac:dyDescent="0.3">
      <c r="A467" s="76" t="s">
        <v>464</v>
      </c>
      <c r="B467" s="1"/>
      <c r="C467" s="1"/>
      <c r="D467" s="1"/>
      <c r="E467" s="59">
        <f t="shared" ref="E467" si="193">SUM(B467:D467)</f>
        <v>0</v>
      </c>
      <c r="F467" s="1"/>
      <c r="G467" s="1"/>
      <c r="H467" s="1"/>
      <c r="I467" s="59">
        <f t="shared" ref="I467" si="194">SUM(F467:H467)</f>
        <v>0</v>
      </c>
      <c r="J467" s="1"/>
      <c r="K467" s="1"/>
      <c r="L467" s="1"/>
      <c r="M467" s="59">
        <f t="shared" ref="M467" si="195">SUM(J467:L467)</f>
        <v>0</v>
      </c>
      <c r="N467" s="1"/>
      <c r="O467" s="1"/>
      <c r="P467" s="1"/>
      <c r="Q467" s="59">
        <f t="shared" ref="Q467:Q478" si="196">SUM(N467:P467)</f>
        <v>0</v>
      </c>
      <c r="R467" s="59">
        <f t="shared" ref="R467:R478" si="197">+E467+I467+M467+Q467</f>
        <v>0</v>
      </c>
    </row>
    <row r="468" spans="1:21" ht="15.75" customHeight="1" x14ac:dyDescent="0.3">
      <c r="A468" s="76" t="s">
        <v>465</v>
      </c>
      <c r="B468" s="1"/>
      <c r="C468" s="1"/>
      <c r="D468" s="1"/>
      <c r="E468" s="59">
        <f>SUM(B468:D468)</f>
        <v>0</v>
      </c>
      <c r="F468" s="1"/>
      <c r="G468" s="1"/>
      <c r="H468" s="1"/>
      <c r="I468" s="59">
        <f>SUM(F468:H468)</f>
        <v>0</v>
      </c>
      <c r="J468" s="1"/>
      <c r="K468" s="1"/>
      <c r="L468" s="1"/>
      <c r="M468" s="59">
        <f>SUM(J468:L468)</f>
        <v>0</v>
      </c>
      <c r="N468" s="1"/>
      <c r="O468" s="1"/>
      <c r="P468" s="1"/>
      <c r="Q468" s="59">
        <f>SUM(N468:P468)</f>
        <v>0</v>
      </c>
      <c r="R468" s="59">
        <f>+E468+I468+M468+Q468</f>
        <v>0</v>
      </c>
    </row>
    <row r="469" spans="1:21" ht="15.75" customHeight="1" x14ac:dyDescent="0.3">
      <c r="A469" s="76" t="s">
        <v>466</v>
      </c>
      <c r="B469" s="1"/>
      <c r="C469" s="1"/>
      <c r="D469" s="1"/>
      <c r="E469" s="59">
        <f>SUM(B469:D469)</f>
        <v>0</v>
      </c>
      <c r="F469" s="1"/>
      <c r="G469" s="1"/>
      <c r="H469" s="1"/>
      <c r="I469" s="59">
        <f>SUM(F469:H469)</f>
        <v>0</v>
      </c>
      <c r="J469" s="1"/>
      <c r="K469" s="1"/>
      <c r="L469" s="1"/>
      <c r="M469" s="59">
        <f>SUM(J469:L469)</f>
        <v>0</v>
      </c>
      <c r="N469" s="1"/>
      <c r="O469" s="1"/>
      <c r="P469" s="1"/>
      <c r="Q469" s="59">
        <f>SUM(N469:P469)</f>
        <v>0</v>
      </c>
      <c r="R469" s="59">
        <f>+E469+I469+M469+Q469</f>
        <v>0</v>
      </c>
      <c r="T469" s="4" t="s">
        <v>305</v>
      </c>
      <c r="U469" s="20"/>
    </row>
    <row r="470" spans="1:21" ht="15.75" customHeight="1" x14ac:dyDescent="0.3">
      <c r="A470" s="76" t="s">
        <v>467</v>
      </c>
      <c r="B470" s="1"/>
      <c r="C470" s="1"/>
      <c r="D470" s="1"/>
      <c r="E470" s="59">
        <f>SUM(B470:D470)</f>
        <v>0</v>
      </c>
      <c r="F470" s="1"/>
      <c r="G470" s="1"/>
      <c r="H470" s="1"/>
      <c r="I470" s="59">
        <f>SUM(F470:H470)</f>
        <v>0</v>
      </c>
      <c r="J470" s="1"/>
      <c r="K470" s="1"/>
      <c r="L470" s="1"/>
      <c r="M470" s="59">
        <f>SUM(J470:L470)</f>
        <v>0</v>
      </c>
      <c r="N470" s="1"/>
      <c r="O470" s="1"/>
      <c r="P470" s="1"/>
      <c r="Q470" s="59">
        <f>SUM(N470:P470)</f>
        <v>0</v>
      </c>
      <c r="R470" s="59">
        <f>+E470+I470+M470+Q470</f>
        <v>0</v>
      </c>
    </row>
    <row r="471" spans="1:21" ht="15.75" customHeight="1" x14ac:dyDescent="0.3">
      <c r="A471" s="76" t="s">
        <v>468</v>
      </c>
      <c r="B471" s="1"/>
      <c r="C471" s="1"/>
      <c r="D471" s="1"/>
      <c r="E471" s="59">
        <f>SUM(B471:D471)</f>
        <v>0</v>
      </c>
      <c r="F471" s="1"/>
      <c r="G471" s="1"/>
      <c r="H471" s="1"/>
      <c r="I471" s="59">
        <f>SUM(F471:H471)</f>
        <v>0</v>
      </c>
      <c r="J471" s="1"/>
      <c r="K471" s="1"/>
      <c r="L471" s="1"/>
      <c r="M471" s="59">
        <f>SUM(J471:L471)</f>
        <v>0</v>
      </c>
      <c r="N471" s="1"/>
      <c r="O471" s="1"/>
      <c r="P471" s="1"/>
      <c r="Q471" s="59">
        <f>SUM(N471:P471)</f>
        <v>0</v>
      </c>
      <c r="R471" s="59">
        <f>+E471+I471+M471+Q471</f>
        <v>0</v>
      </c>
      <c r="T471" s="4" t="s">
        <v>331</v>
      </c>
    </row>
    <row r="472" spans="1:21" ht="15.75" customHeight="1" thickBot="1" x14ac:dyDescent="0.35">
      <c r="A472" s="76" t="s">
        <v>469</v>
      </c>
      <c r="B472" s="1"/>
      <c r="C472" s="1"/>
      <c r="D472" s="1"/>
      <c r="E472" s="59">
        <f>SUM(B472:D472)</f>
        <v>0</v>
      </c>
      <c r="F472" s="1"/>
      <c r="G472" s="1"/>
      <c r="H472" s="1"/>
      <c r="I472" s="59">
        <f>SUM(F472:H472)</f>
        <v>0</v>
      </c>
      <c r="J472" s="1"/>
      <c r="K472" s="1"/>
      <c r="L472" s="1"/>
      <c r="M472" s="59">
        <f>SUM(J472:L472)</f>
        <v>0</v>
      </c>
      <c r="N472" s="1"/>
      <c r="O472" s="1"/>
      <c r="P472" s="1"/>
      <c r="Q472" s="59">
        <f>SUM(N472:P472)</f>
        <v>0</v>
      </c>
      <c r="R472" s="59">
        <f>+E472+I472+M472+Q472</f>
        <v>0</v>
      </c>
      <c r="T472" s="4" t="s">
        <v>331</v>
      </c>
    </row>
    <row r="473" spans="1:21" ht="16.5" customHeight="1" thickBot="1" x14ac:dyDescent="0.35">
      <c r="A473" s="62" t="s">
        <v>68</v>
      </c>
      <c r="B473" s="63">
        <f>SUM(B455:B472)</f>
        <v>0</v>
      </c>
      <c r="C473" s="63">
        <f>SUM(C455:C472)</f>
        <v>0</v>
      </c>
      <c r="D473" s="63">
        <f>SUM(D455:D472)</f>
        <v>0</v>
      </c>
      <c r="E473" s="65">
        <f t="shared" ref="E473:E478" si="198">SUM(B473:D473)</f>
        <v>0</v>
      </c>
      <c r="F473" s="63">
        <f>SUM(F455:F472)</f>
        <v>0</v>
      </c>
      <c r="G473" s="63">
        <f>SUM(G455:G472)</f>
        <v>0</v>
      </c>
      <c r="H473" s="63">
        <f>SUM(H455:H472)</f>
        <v>0</v>
      </c>
      <c r="I473" s="65">
        <f t="shared" ref="I473:I478" si="199">SUM(F473:H473)</f>
        <v>0</v>
      </c>
      <c r="J473" s="63">
        <f>SUM(J455:J472)</f>
        <v>0</v>
      </c>
      <c r="K473" s="63">
        <f>SUM(K455:K472)</f>
        <v>0</v>
      </c>
      <c r="L473" s="63">
        <f>SUM(L455:L472)</f>
        <v>0</v>
      </c>
      <c r="M473" s="65">
        <f t="shared" ref="M473:M478" si="200">SUM(J473:L473)</f>
        <v>0</v>
      </c>
      <c r="N473" s="63">
        <f>SUM(N455:N472)</f>
        <v>0</v>
      </c>
      <c r="O473" s="63">
        <f>SUM(O455:O472)</f>
        <v>0</v>
      </c>
      <c r="P473" s="63">
        <f>SUM(P455:P472)</f>
        <v>0</v>
      </c>
      <c r="Q473" s="65">
        <f t="shared" si="196"/>
        <v>0</v>
      </c>
      <c r="R473" s="64">
        <f t="shared" si="197"/>
        <v>0</v>
      </c>
    </row>
    <row r="474" spans="1:21" ht="16.5" customHeight="1" thickBot="1" x14ac:dyDescent="0.35">
      <c r="A474" s="137" t="s">
        <v>69</v>
      </c>
      <c r="B474" s="100">
        <f>SUM(B449:B472)</f>
        <v>0</v>
      </c>
      <c r="C474" s="101">
        <f>SUM(C449:C472)</f>
        <v>0</v>
      </c>
      <c r="D474" s="138">
        <f>SUM(D449:D472)</f>
        <v>0</v>
      </c>
      <c r="E474" s="65">
        <f t="shared" si="198"/>
        <v>0</v>
      </c>
      <c r="F474" s="101">
        <f>SUM(F449:F472)</f>
        <v>0</v>
      </c>
      <c r="G474" s="101">
        <f>SUM(G449:G472)</f>
        <v>0</v>
      </c>
      <c r="H474" s="101">
        <f>SUM(H449:H472)</f>
        <v>0</v>
      </c>
      <c r="I474" s="65">
        <f t="shared" si="199"/>
        <v>0</v>
      </c>
      <c r="J474" s="101">
        <f>SUM(J449:J472)</f>
        <v>0</v>
      </c>
      <c r="K474" s="101">
        <f>SUM(K449:K472)</f>
        <v>0</v>
      </c>
      <c r="L474" s="101">
        <f>SUM(L449:L472)</f>
        <v>0</v>
      </c>
      <c r="M474" s="65">
        <f t="shared" si="200"/>
        <v>0</v>
      </c>
      <c r="N474" s="101">
        <f>SUM(N449:N472)</f>
        <v>0</v>
      </c>
      <c r="O474" s="101">
        <f>SUM(O449:O472)</f>
        <v>0</v>
      </c>
      <c r="P474" s="101">
        <f>SUM(P449:P472)</f>
        <v>0</v>
      </c>
      <c r="Q474" s="65">
        <f t="shared" si="196"/>
        <v>0</v>
      </c>
      <c r="R474" s="64">
        <f t="shared" si="197"/>
        <v>0</v>
      </c>
    </row>
    <row r="475" spans="1:21" ht="16.5" customHeight="1" thickBot="1" x14ac:dyDescent="0.35">
      <c r="A475" s="62" t="s">
        <v>70</v>
      </c>
      <c r="B475" s="107">
        <f>+B378+B392+B448+B474</f>
        <v>24393</v>
      </c>
      <c r="C475" s="63">
        <f>+C378+C392+C448+C474</f>
        <v>36872</v>
      </c>
      <c r="D475" s="63">
        <f>+D378+D392+D448+D474</f>
        <v>57330</v>
      </c>
      <c r="E475" s="64">
        <f t="shared" si="198"/>
        <v>118595</v>
      </c>
      <c r="F475" s="63">
        <f>+F378+F392+F448+F474</f>
        <v>73408</v>
      </c>
      <c r="G475" s="63">
        <f>+G378+G392+G448+G474</f>
        <v>89152</v>
      </c>
      <c r="H475" s="63">
        <f>+H378+H392+H448+H474</f>
        <v>95241</v>
      </c>
      <c r="I475" s="64">
        <f t="shared" si="199"/>
        <v>257801</v>
      </c>
      <c r="J475" s="63">
        <f>+J378+J392+J448+J474</f>
        <v>71658</v>
      </c>
      <c r="K475" s="63">
        <f>+K378+K392+K448+K474</f>
        <v>61844</v>
      </c>
      <c r="L475" s="63">
        <f>+L378+L392+L448+L474</f>
        <v>49982</v>
      </c>
      <c r="M475" s="64">
        <f t="shared" si="200"/>
        <v>183484</v>
      </c>
      <c r="N475" s="63">
        <f>+N378+N392+N448+N474</f>
        <v>37842</v>
      </c>
      <c r="O475" s="63">
        <f>+O378+O392+O448+O474</f>
        <v>7338</v>
      </c>
      <c r="P475" s="63">
        <f>+P378+P392+P448+P474</f>
        <v>21819</v>
      </c>
      <c r="Q475" s="64">
        <f t="shared" si="196"/>
        <v>66999</v>
      </c>
      <c r="R475" s="88">
        <f t="shared" si="197"/>
        <v>626879</v>
      </c>
    </row>
    <row r="476" spans="1:21" ht="15.75" customHeight="1" x14ac:dyDescent="0.3">
      <c r="A476" s="74" t="s">
        <v>470</v>
      </c>
      <c r="B476" s="1"/>
      <c r="C476" s="1"/>
      <c r="D476" s="1"/>
      <c r="E476" s="59">
        <f t="shared" si="198"/>
        <v>0</v>
      </c>
      <c r="F476" s="1"/>
      <c r="G476" s="1"/>
      <c r="H476" s="1"/>
      <c r="I476" s="59">
        <f t="shared" si="199"/>
        <v>0</v>
      </c>
      <c r="J476" s="1"/>
      <c r="K476" s="1"/>
      <c r="L476" s="1"/>
      <c r="M476" s="59">
        <f t="shared" si="200"/>
        <v>0</v>
      </c>
      <c r="N476" s="1"/>
      <c r="O476" s="1"/>
      <c r="P476" s="1"/>
      <c r="Q476" s="59">
        <f t="shared" si="196"/>
        <v>0</v>
      </c>
      <c r="R476" s="59">
        <f t="shared" si="197"/>
        <v>0</v>
      </c>
    </row>
    <row r="477" spans="1:21" ht="15.75" customHeight="1" x14ac:dyDescent="0.3">
      <c r="A477" s="74" t="s">
        <v>471</v>
      </c>
      <c r="B477" s="1"/>
      <c r="C477" s="1"/>
      <c r="D477" s="1"/>
      <c r="E477" s="59">
        <f t="shared" si="198"/>
        <v>0</v>
      </c>
      <c r="F477" s="1"/>
      <c r="G477" s="1"/>
      <c r="H477" s="1"/>
      <c r="I477" s="59">
        <f t="shared" si="199"/>
        <v>0</v>
      </c>
      <c r="J477" s="1"/>
      <c r="K477" s="1"/>
      <c r="L477" s="1"/>
      <c r="M477" s="59">
        <f t="shared" si="200"/>
        <v>0</v>
      </c>
      <c r="N477" s="1"/>
      <c r="O477" s="1"/>
      <c r="P477" s="1"/>
      <c r="Q477" s="59">
        <f t="shared" si="196"/>
        <v>0</v>
      </c>
      <c r="R477" s="59">
        <f t="shared" si="197"/>
        <v>0</v>
      </c>
    </row>
    <row r="478" spans="1:21" ht="16.5" customHeight="1" thickBot="1" x14ac:dyDescent="0.35">
      <c r="A478" s="79" t="s">
        <v>37</v>
      </c>
      <c r="B478" s="25">
        <v>155</v>
      </c>
      <c r="C478" s="25">
        <v>283</v>
      </c>
      <c r="D478" s="25">
        <v>435</v>
      </c>
      <c r="E478" s="88">
        <f t="shared" si="198"/>
        <v>873</v>
      </c>
      <c r="F478" s="25">
        <v>602</v>
      </c>
      <c r="G478" s="25">
        <v>711</v>
      </c>
      <c r="H478" s="25">
        <v>722</v>
      </c>
      <c r="I478" s="88">
        <f t="shared" si="199"/>
        <v>2035</v>
      </c>
      <c r="J478" s="25">
        <v>686</v>
      </c>
      <c r="K478" s="25">
        <v>519</v>
      </c>
      <c r="L478" s="25">
        <v>531</v>
      </c>
      <c r="M478" s="88">
        <f t="shared" si="200"/>
        <v>1736</v>
      </c>
      <c r="N478" s="25">
        <v>489</v>
      </c>
      <c r="O478" s="25">
        <v>389</v>
      </c>
      <c r="P478" s="25">
        <v>275</v>
      </c>
      <c r="Q478" s="88">
        <f t="shared" si="196"/>
        <v>1153</v>
      </c>
      <c r="R478" s="59">
        <f t="shared" si="197"/>
        <v>5797</v>
      </c>
    </row>
    <row r="479" spans="1:21" ht="16.5" customHeight="1" thickBot="1" x14ac:dyDescent="0.35">
      <c r="A479" s="80"/>
      <c r="B479" s="81"/>
      <c r="C479" s="81"/>
      <c r="D479" s="81"/>
      <c r="E479" s="64"/>
      <c r="F479" s="81"/>
      <c r="G479" s="81"/>
      <c r="H479" s="81"/>
      <c r="I479" s="64"/>
      <c r="J479" s="81"/>
      <c r="K479" s="81"/>
      <c r="L479" s="81"/>
      <c r="M479" s="64"/>
      <c r="N479" s="81"/>
      <c r="O479" s="81"/>
      <c r="P479" s="81"/>
      <c r="Q479" s="64"/>
      <c r="R479" s="64" t="s">
        <v>7</v>
      </c>
    </row>
    <row r="480" spans="1:21" ht="15.75" customHeight="1" x14ac:dyDescent="0.3">
      <c r="A480" s="82" t="s">
        <v>38</v>
      </c>
      <c r="B480" s="83">
        <f>SUM(B475:B478)</f>
        <v>24548</v>
      </c>
      <c r="C480" s="83">
        <f>SUM(C475:C478)</f>
        <v>37155</v>
      </c>
      <c r="D480" s="83">
        <f>SUM(D475:D478)</f>
        <v>57765</v>
      </c>
      <c r="E480" s="65">
        <f>SUM(B480:D480)</f>
        <v>119468</v>
      </c>
      <c r="F480" s="83">
        <f>SUM(F475:F478)</f>
        <v>74010</v>
      </c>
      <c r="G480" s="83">
        <f>SUM(G475:G478)</f>
        <v>89863</v>
      </c>
      <c r="H480" s="83">
        <f>SUM(H475:H478)</f>
        <v>95963</v>
      </c>
      <c r="I480" s="65">
        <f>SUM(F480:H480)</f>
        <v>259836</v>
      </c>
      <c r="J480" s="83">
        <f>SUM(J475:J478)</f>
        <v>72344</v>
      </c>
      <c r="K480" s="83">
        <f>SUM(K475:K478)</f>
        <v>62363</v>
      </c>
      <c r="L480" s="83">
        <f>SUM(L475:L478)</f>
        <v>50513</v>
      </c>
      <c r="M480" s="65">
        <f>SUM(J480:L480)</f>
        <v>185220</v>
      </c>
      <c r="N480" s="83">
        <f>SUM(N475:N478)</f>
        <v>38331</v>
      </c>
      <c r="O480" s="83">
        <f>SUM(O475:O478)</f>
        <v>7727</v>
      </c>
      <c r="P480" s="83">
        <f>SUM(P475:P478)</f>
        <v>22094</v>
      </c>
      <c r="Q480" s="65">
        <f>SUM(N480:P480)</f>
        <v>68152</v>
      </c>
      <c r="R480" s="65">
        <f>+E480+I480+M480+Q480</f>
        <v>632676</v>
      </c>
    </row>
    <row r="481" spans="1:20" ht="15.75" customHeight="1" x14ac:dyDescent="0.3">
      <c r="A481" s="85" t="s">
        <v>39</v>
      </c>
      <c r="B481" s="1">
        <f>(B480/B10)/1.983</f>
        <v>399.32978706098612</v>
      </c>
      <c r="C481" s="1">
        <f>(C480/C10)/1.983</f>
        <v>669.17008861033071</v>
      </c>
      <c r="D481" s="1">
        <f>(D480/D10)/1.983</f>
        <v>939.6808354887512</v>
      </c>
      <c r="E481" s="59" t="s">
        <v>7</v>
      </c>
      <c r="F481" s="1">
        <f>(F480/F10)/1.983</f>
        <v>1244.0746343923347</v>
      </c>
      <c r="G481" s="1">
        <f>(G480/G10)/1.983</f>
        <v>1461.8287703544645</v>
      </c>
      <c r="H481" s="1">
        <f>(H480/H10)/1.983</f>
        <v>1613.0946377542443</v>
      </c>
      <c r="I481" s="59" t="s">
        <v>7</v>
      </c>
      <c r="J481" s="1">
        <f>(J480/J10)/1.983</f>
        <v>1176.8418655344622</v>
      </c>
      <c r="K481" s="1">
        <f>(K480/K10)/1.983</f>
        <v>1014.4779008670473</v>
      </c>
      <c r="L481" s="1">
        <f>(L480/L10)/1.983</f>
        <v>849.10068919146067</v>
      </c>
      <c r="M481" s="59" t="s">
        <v>7</v>
      </c>
      <c r="N481" s="1">
        <f>(N480/N10)/1.983</f>
        <v>623.54204284807963</v>
      </c>
      <c r="O481" s="1">
        <f>(O480/O10)/1.983</f>
        <v>129.8873760295848</v>
      </c>
      <c r="P481" s="1">
        <f>(P480/P10)/1.983</f>
        <v>359.40982219836349</v>
      </c>
      <c r="Q481" s="59" t="s">
        <v>7</v>
      </c>
      <c r="R481" s="59" t="s">
        <v>7</v>
      </c>
    </row>
    <row r="482" spans="1:20" ht="15.75" customHeight="1" x14ac:dyDescent="0.3">
      <c r="A482" s="85" t="s">
        <v>472</v>
      </c>
      <c r="B482" s="1">
        <f>B480+B532</f>
        <v>43021</v>
      </c>
      <c r="C482" s="1">
        <f>C480+C532</f>
        <v>59350</v>
      </c>
      <c r="D482" s="1">
        <f>D480+D532</f>
        <v>88436</v>
      </c>
      <c r="E482" s="59">
        <f>SUM(B482:D482)</f>
        <v>190807</v>
      </c>
      <c r="F482" s="1">
        <f>F480+F532</f>
        <v>111872</v>
      </c>
      <c r="G482" s="1">
        <f>G480+G532</f>
        <v>128214</v>
      </c>
      <c r="H482" s="1">
        <f>H480+H532</f>
        <v>136387</v>
      </c>
      <c r="I482" s="59">
        <f>SUM(F482:H482)</f>
        <v>376473</v>
      </c>
      <c r="J482" s="1">
        <f>J480+J532</f>
        <v>123697</v>
      </c>
      <c r="K482" s="1">
        <f>K480+K532</f>
        <v>106180</v>
      </c>
      <c r="L482" s="1">
        <f>L480+L532</f>
        <v>79387</v>
      </c>
      <c r="M482" s="59">
        <f>SUM(J482:L482)</f>
        <v>309264</v>
      </c>
      <c r="N482" s="1">
        <f>N480+N532</f>
        <v>57636</v>
      </c>
      <c r="O482" s="1">
        <f>O480+O532</f>
        <v>10367</v>
      </c>
      <c r="P482" s="1">
        <f>P480+P532</f>
        <v>31091</v>
      </c>
      <c r="Q482" s="59">
        <f>SUM(N482:P482)</f>
        <v>99094</v>
      </c>
      <c r="R482" s="59">
        <f>+E482+I482+M482+Q482</f>
        <v>975638</v>
      </c>
    </row>
    <row r="483" spans="1:20" s="50" customFormat="1" ht="16.5" customHeight="1" thickBot="1" x14ac:dyDescent="0.35">
      <c r="A483" s="139" t="s">
        <v>473</v>
      </c>
      <c r="B483" s="140">
        <f>(B482/B10)/1.983</f>
        <v>699.83570022611548</v>
      </c>
      <c r="C483" s="140">
        <f>(C482/C10)/1.983</f>
        <v>1068.907139255097</v>
      </c>
      <c r="D483" s="140">
        <f>(D482/D10)/1.983</f>
        <v>1438.6153270541538</v>
      </c>
      <c r="E483" s="141" t="s">
        <v>7</v>
      </c>
      <c r="F483" s="140">
        <f>(F482/F10)/1.983</f>
        <v>1880.5177340729533</v>
      </c>
      <c r="G483" s="140">
        <f>(G482/G10)/1.983</f>
        <v>2085.696159289444</v>
      </c>
      <c r="H483" s="140">
        <f>(H482/H10)/1.983</f>
        <v>2292.6037989578081</v>
      </c>
      <c r="I483" s="141" t="s">
        <v>7</v>
      </c>
      <c r="J483" s="140">
        <f>(J482/J10)/1.983</f>
        <v>2012.2167455630924</v>
      </c>
      <c r="K483" s="140">
        <f>(K482/K10)/1.983</f>
        <v>1727.2623753517803</v>
      </c>
      <c r="L483" s="140">
        <f>(L482/L10)/1.983</f>
        <v>1334.4595730374851</v>
      </c>
      <c r="M483" s="141" t="s">
        <v>7</v>
      </c>
      <c r="N483" s="140">
        <f>(N482/N10)/1.983</f>
        <v>937.58235322824646</v>
      </c>
      <c r="O483" s="140">
        <f>(O482/O10)/1.983</f>
        <v>174.2645822827366</v>
      </c>
      <c r="P483" s="140">
        <f>(P482/P10)/1.983</f>
        <v>505.76675939030139</v>
      </c>
      <c r="Q483" s="141" t="s">
        <v>7</v>
      </c>
      <c r="R483" s="141" t="s">
        <v>7</v>
      </c>
    </row>
    <row r="484" spans="1:20" ht="15.75" customHeight="1" x14ac:dyDescent="0.3">
      <c r="A484" s="142" t="s">
        <v>474</v>
      </c>
      <c r="B484" s="143">
        <f>B$485+(SUMIF($T$320:$T$459,"FLG",B$327:B$477)/B10/1.98)+(SUMIF($T$320:$T$459,"FCA",B$327:B$477)/B10/1.98)+(SUMIF($T$320:$T$459,"NSC",B$327:B$477)/B10/1.98)</f>
        <v>451.41826246457543</v>
      </c>
      <c r="C484" s="143">
        <f>C$485+(SUMIF($T$320:$T$459,"FLG",C$327:C$477)/C10/1.98)+(SUMIF($T$320:$T$459,"FCA",C$327:C$477)/C10/1.98)+(SUMIF($T$320:$T$459,"NSC",C$327:C$477)/C10/1.98)</f>
        <v>640.26735367506933</v>
      </c>
      <c r="D484" s="143">
        <f>D$485+(SUMIF($T$320:$T$459,"FLG",D$327:D$477)/D10/1.98)+(SUMIF($T$320:$T$459,"FCA",D$327:D$477)/D10/1.98)+(SUMIF($T$320:$T$459,"NSC",D$327:D$477)/D10/1.98)</f>
        <v>866.13879264067145</v>
      </c>
      <c r="E484" s="144"/>
      <c r="F484" s="143">
        <f>F$485+(SUMIF($T$320:$T$459,"FLG",F$327:F$477)/F10/1.98)+(SUMIF($T$320:$T$459,"FCA",F$327:F$477)/F10/1.98)+(SUMIF($T$320:$T$459,"NSC",F$327:F$477)/F10/1.98)</f>
        <v>1228.9346821722011</v>
      </c>
      <c r="G484" s="143">
        <f>G$485+(SUMIF($T$320:$T$459,"FLG",G$327:G$477)/G10/1.98)+(SUMIF($T$320:$T$459,"FCA",G$327:G$477)/G10/1.98)+(SUMIF($T$320:$T$459,"NSC",G$327:G$477)/G10/1.98)</f>
        <v>1240.0452970483716</v>
      </c>
      <c r="H484" s="143">
        <f>H$485+(SUMIF($T$320:$T$459,"FLG",H$327:H$477)/H10/1.98)+(SUMIF($T$320:$T$459,"FCA",H$327:H$477)/H10/1.98)+(SUMIF($T$320:$T$459,"NSC",H$327:H$477)/H10/1.98)</f>
        <v>1289.744851439254</v>
      </c>
      <c r="I484" s="52"/>
      <c r="J484" s="143">
        <f>J$485+(SUMIF($T$320:$T$459,"FLG",J$327:J$477)/J10/1.98)+(SUMIF($T$320:$T$459,"FCA",J$327:J$477)/J10/1.98)+(SUMIF($T$320:$T$459,"NSC",J$327:J$477)/J10/1.98)</f>
        <v>1300.2820159035082</v>
      </c>
      <c r="K484" s="143">
        <f>K$485+(SUMIF($T$320:$T$459,"FLG",K$327:K$477)/K10/1.98)+(SUMIF($T$320:$T$459,"FCA",K$327:K$477)/K10/1.98)+(SUMIF($T$320:$T$459,"NSC",K$327:K$477)/K10/1.98)</f>
        <v>1087.7111607017421</v>
      </c>
      <c r="L484" s="143">
        <f>L$485+(SUMIF($T$320:$T$459,"FLG",L$327:L$477)/L10/1.98)+(SUMIF($T$320:$T$459,"FCA",L$327:L$477)/L10/1.98)+(SUMIF($T$320:$T$459,"NSC",L$327:L$477)/L10/1.98)</f>
        <v>770.3252138123546</v>
      </c>
      <c r="M484" s="52"/>
      <c r="N484" s="143">
        <f>N$485+(SUMIF($T$320:$T$459,"FLG",N$327:N$477)/N10/1.98)+(SUMIF($T$320:$T$459,"FCA",N$327:N$477)/N10/1.98)+(SUMIF($T$320:$T$459,"NSC",N$327:N$477)/N10/1.98)</f>
        <v>491.16641008691175</v>
      </c>
      <c r="O484" s="143">
        <f>O$485+(SUMIF($T$320:$T$459,"FLG",O$327:O$477)/O10/1.98)+(SUMIF($T$320:$T$459,"FCA",O$327:O$477)/O10/1.98)+(SUMIF($T$320:$T$459,"NSC",O$327:O$477)/O10/1.98)</f>
        <v>82.289664165609693</v>
      </c>
      <c r="P484" s="143">
        <f>P$485+(SUMIF($T$320:$T$459,"FLG",P$327:P$477)/P10/1.98)+(SUMIF($T$320:$T$459,"FCA",P$327:P$477)/P10/1.98)+(SUMIF($T$320:$T$459,"NSC",P$327:P$477)/P10/1.98)</f>
        <v>261.15002940438501</v>
      </c>
      <c r="Q484" s="52"/>
      <c r="R484" s="52"/>
    </row>
    <row r="485" spans="1:20" ht="15.75" customHeight="1" x14ac:dyDescent="0.3">
      <c r="A485" s="142" t="s">
        <v>475</v>
      </c>
      <c r="B485" s="143">
        <f>B$486+(SUMIF($T$320:$T$459,"FCI",B$327:B$477)/B10/1.98)+(SUMIF($T$320:$T$459,"FCC",B$327:B$477)/B10/1.98)</f>
        <v>451.41826246457543</v>
      </c>
      <c r="C485" s="143">
        <f>C$486+(SUMIF($T$320:$T$459,"FCI",C$327:C$477)/C10/1.98)+(SUMIF($T$320:$T$459,"FCC",C$327:C$477)/C10/1.98)</f>
        <v>640.26735367506933</v>
      </c>
      <c r="D485" s="143">
        <f>D$486+(SUMIF($T$320:$T$459,"FCI",D$327:D$477)/D10/1.98)+(SUMIF($T$320:$T$459,"FCC",D$327:D$477)/D10/1.98)</f>
        <v>866.13879264067145</v>
      </c>
      <c r="E485" s="144"/>
      <c r="F485" s="143">
        <f>F$486+(SUMIF($T$320:$T$459,"FCI",F$327:F$477)/F10/1.98)+(SUMIF($T$320:$T$459,"FCC",F$327:F$477)/F10/1.98)</f>
        <v>1228.9346821722011</v>
      </c>
      <c r="G485" s="143">
        <f>G$486+(SUMIF($T$320:$T$459,"FCI",G$327:G$477)/G10/1.98)+(SUMIF($T$320:$T$459,"FCC",G$327:G$477)/G10/1.98)</f>
        <v>1240.0452970483716</v>
      </c>
      <c r="H485" s="143">
        <f>H$486+(SUMIF($T$320:$T$459,"FCI",H$327:H$477)/H10/1.98)+(SUMIF($T$320:$T$459,"FCC",H$327:H$477)/H10/1.98)</f>
        <v>1289.744851439254</v>
      </c>
      <c r="I485" s="52"/>
      <c r="J485" s="143">
        <f>J$486+(SUMIF($T$320:$T$459,"FCI",J$327:J$477)/J10/1.98)+(SUMIF($T$320:$T$459,"FCC",J$327:J$477)/J10/1.98)</f>
        <v>1300.2820159035082</v>
      </c>
      <c r="K485" s="143">
        <f>K$486+(SUMIF($T$320:$T$459,"FCI",K$327:K$477)/K10/1.98)+(SUMIF($T$320:$T$459,"FCC",K$327:K$477)/K10/1.98)</f>
        <v>1087.7111607017421</v>
      </c>
      <c r="L485" s="143">
        <f>L$486+(SUMIF($T$320:$T$459,"FCI",L$327:L$477)/L10/1.98)+(SUMIF($T$320:$T$459,"FCC",L$327:L$477)/L10/1.98)</f>
        <v>770.3252138123546</v>
      </c>
      <c r="M485" s="52"/>
      <c r="N485" s="143">
        <f>N$486+(SUMIF($T$320:$T$459,"FCI",N$327:N$477)/N10/1.98)+(SUMIF($T$320:$T$459,"FCC",N$327:N$477)/N10/1.98)</f>
        <v>491.16641008691175</v>
      </c>
      <c r="O485" s="143">
        <f>O$486+(SUMIF($T$320:$T$459,"FCI",O$327:O$477)/O10/1.98)+(SUMIF($T$320:$T$459,"FCC",O$327:O$477)/O10/1.98)</f>
        <v>82.289664165609693</v>
      </c>
      <c r="P485" s="143">
        <f>P$486+(SUMIF($T$320:$T$459,"FCI",P$327:P$477)/P10/1.98)+(SUMIF($T$320:$T$459,"FCC",P$327:P$477)/P10/1.98)</f>
        <v>261.15002940438501</v>
      </c>
      <c r="Q485" s="52"/>
      <c r="R485" s="52"/>
    </row>
    <row r="486" spans="1:20" ht="15.75" customHeight="1" x14ac:dyDescent="0.3">
      <c r="A486" s="142" t="s">
        <v>476</v>
      </c>
      <c r="B486" s="143">
        <f>B$487+(SUMIF($T$320:$T$459,"PIL",B$327:B$477)/B10/1.98)+(SUMIF($T$320:$T$459,"KLK",B$327:B$477)/B10/1.98)</f>
        <v>451.41826246457543</v>
      </c>
      <c r="C486" s="143">
        <f>C$487+(SUMIF($T$320:$T$459,"PIL",C$327:C$477)/C10/1.98)+(SUMIF($T$320:$T$459,"KLK",C$327:C$477)/C10/1.98)</f>
        <v>640.26735367506933</v>
      </c>
      <c r="D486" s="143">
        <f>D$487+(SUMIF($T$320:$T$459,"PIL",D$327:D$477)/D10/1.98)+(SUMIF($T$320:$T$459,"KLK",D$327:D$477)/D10/1.98)</f>
        <v>866.13879264067145</v>
      </c>
      <c r="E486" s="144"/>
      <c r="F486" s="143">
        <f>F$487+(SUMIF($T$320:$T$459,"PIL",F$327:F$477)/F10/1.98)+(SUMIF($T$320:$T$459,"KLK",F$327:F$477)/F10/1.98)</f>
        <v>1228.9346821722011</v>
      </c>
      <c r="G486" s="143">
        <f>G$487+(SUMIF($T$320:$T$459,"PIL",G$327:G$477)/G10/1.98)+(SUMIF($T$320:$T$459,"KLK",G$327:G$477)/G10/1.98)</f>
        <v>1240.0452970483716</v>
      </c>
      <c r="H486" s="143">
        <f>H$487+(SUMIF($T$320:$T$459,"PIL",H$327:H$477)/H10/1.98)+(SUMIF($T$320:$T$459,"KLK",H$327:H$477)/H10/1.98)</f>
        <v>1289.744851439254</v>
      </c>
      <c r="I486" s="52"/>
      <c r="J486" s="143">
        <f>J$487+(SUMIF($T$320:$T$459,"PIL",J$327:J$477)/J10/1.98)+(SUMIF($T$320:$T$459,"KLK",J$327:J$477)/J10/1.98)</f>
        <v>1300.2820159035082</v>
      </c>
      <c r="K486" s="143">
        <f>K$487+(SUMIF($T$320:$T$459,"PIL",K$327:K$477)/K10/1.98)+(SUMIF($T$320:$T$459,"KLK",K$327:K$477)/K10/1.98)</f>
        <v>1087.7111607017421</v>
      </c>
      <c r="L486" s="143">
        <f>L$487+(SUMIF($T$320:$T$459,"PIL",L$327:L$477)/L10/1.98)+(SUMIF($T$320:$T$459,"KLK",L$327:L$477)/L10/1.98)</f>
        <v>770.3252138123546</v>
      </c>
      <c r="M486" s="52"/>
      <c r="N486" s="143">
        <f>N$487+(SUMIF($T$320:$T$459,"PIL",N$327:N$477)/N10/1.98)+(SUMIF($T$320:$T$459,"KLK",N$327:N$477)/N10/1.98)</f>
        <v>491.16641008691175</v>
      </c>
      <c r="O486" s="143">
        <f>O$487+(SUMIF($T$320:$T$459,"PIL",O$327:O$477)/O10/1.98)+(SUMIF($T$320:$T$459,"KLK",O$327:O$477)/O10/1.98)</f>
        <v>82.289664165609693</v>
      </c>
      <c r="P486" s="143">
        <f>P$487+(SUMIF($T$320:$T$459,"PIL",P$327:P$477)/P10/1.98)+(SUMIF($T$320:$T$459,"KLK",P$327:P$477)/P10/1.98)</f>
        <v>261.15002940438501</v>
      </c>
      <c r="Q486" s="52"/>
      <c r="R486" s="52"/>
    </row>
    <row r="487" spans="1:20" ht="15.75" customHeight="1" x14ac:dyDescent="0.3">
      <c r="A487" s="142" t="s">
        <v>477</v>
      </c>
      <c r="B487" s="143">
        <f>B$488+(SUMIF($T$320:$T$459,"CGE",B$327:B$477)/B10/1.98)</f>
        <v>451.12500733261061</v>
      </c>
      <c r="C487" s="143">
        <f>C$488+(SUMIF($T$320:$T$459,"CGE",C$327:C$477)/C10/1.98)</f>
        <v>639.87052827824391</v>
      </c>
      <c r="D487" s="143">
        <f>D$488+(SUMIF($T$320:$T$459,"CGE",D$327:D$477)/D10/1.98)</f>
        <v>865.61745018384511</v>
      </c>
      <c r="E487" s="144"/>
      <c r="F487" s="143">
        <f>F$488+(SUMIF($T$320:$T$459,"CGE",F$327:F$477)/F10/1.98)</f>
        <v>1228.9346821722011</v>
      </c>
      <c r="G487" s="143">
        <f>G$488+(SUMIF($T$320:$T$459,"CGE",G$327:G$477)/G10/1.98)</f>
        <v>1240.0452970483716</v>
      </c>
      <c r="H487" s="143">
        <f>H$488+(SUMIF($T$320:$T$459,"CGE",H$327:H$477)/H10/1.98)</f>
        <v>1288.835760530163</v>
      </c>
      <c r="I487" s="52"/>
      <c r="J487" s="143">
        <f>J$488+(SUMIF($T$320:$T$459,"CGE",J$327:J$477)/J10/1.98)</f>
        <v>1299.4348344111654</v>
      </c>
      <c r="K487" s="143">
        <f>K$488+(SUMIF($T$320:$T$459,"CGE",K$327:K$477)/K10/1.98)</f>
        <v>1087.0268987271575</v>
      </c>
      <c r="L487" s="143">
        <f>L$488+(SUMIF($T$320:$T$459,"CGE",L$327:L$477)/L10/1.98)</f>
        <v>769.87066835780911</v>
      </c>
      <c r="M487" s="52"/>
      <c r="N487" s="143">
        <f>N$488+(SUMIF($T$320:$T$459,"CGE",N$327:N$477)/N10/1.98)</f>
        <v>490.4821481123272</v>
      </c>
      <c r="O487" s="143">
        <f>O$488+(SUMIF($T$320:$T$459,"CGE",O$327:O$477)/O10/1.98)</f>
        <v>81.767778643724171</v>
      </c>
      <c r="P487" s="143">
        <f>P$488+(SUMIF($T$320:$T$459,"CGE",P$327:P$477)/P10/1.98)</f>
        <v>260.82419036886853</v>
      </c>
      <c r="Q487" s="52"/>
      <c r="R487" s="52"/>
    </row>
    <row r="488" spans="1:20" ht="15.75" customHeight="1" x14ac:dyDescent="0.3">
      <c r="A488" s="142" t="s">
        <v>478</v>
      </c>
      <c r="B488" s="143">
        <f>B$489+(SUMIF($T$320:$T$459,"SRO",B$327:B$477)/B10/1.98)</f>
        <v>451.12500733261061</v>
      </c>
      <c r="C488" s="143">
        <f>C$489+(SUMIF($T$320:$T$459,"SRO",C$327:C$477)/C10/1.98)</f>
        <v>639.87052827824391</v>
      </c>
      <c r="D488" s="143">
        <f>D$489+(SUMIF($T$320:$T$459,"SRO",D$327:D$477)/D10/1.98)</f>
        <v>865.61745018384511</v>
      </c>
      <c r="E488" s="144"/>
      <c r="F488" s="143">
        <f>F$489+(SUMIF($T$320:$T$459,"SRO",F$327:F$477)/F10/1.98)</f>
        <v>1228.9346821722011</v>
      </c>
      <c r="G488" s="143">
        <f>G$489+(SUMIF($T$320:$T$459,"SRO",G$327:G$477)/G10/1.98)</f>
        <v>1240.0452970483716</v>
      </c>
      <c r="H488" s="143">
        <f>H$489+(SUMIF($T$320:$T$459,"SRO",H$327:H$477)/H10/1.98)</f>
        <v>1288.835760530163</v>
      </c>
      <c r="I488" s="52"/>
      <c r="J488" s="143">
        <f>J$489+(SUMIF($T$320:$T$459,"SRO",J$327:J$477)/J10/1.98)</f>
        <v>1299.4348344111654</v>
      </c>
      <c r="K488" s="143">
        <f>K$489+(SUMIF($T$320:$T$459,"SRO",K$327:K$477)/K10/1.98)</f>
        <v>1087.0268987271575</v>
      </c>
      <c r="L488" s="143">
        <f>L$489+(SUMIF($T$320:$T$459,"SRO",L$327:L$477)/L10/1.98)</f>
        <v>769.87066835780911</v>
      </c>
      <c r="M488" s="52"/>
      <c r="N488" s="143">
        <f>N$489+(SUMIF($T$320:$T$459,"SRO",N$327:N$477)/N10/1.98)</f>
        <v>490.4821481123272</v>
      </c>
      <c r="O488" s="143">
        <f>O$489+(SUMIF($T$320:$T$459,"SRO",O$327:O$477)/O10/1.98)</f>
        <v>81.767778643724171</v>
      </c>
      <c r="P488" s="143">
        <f>P$489+(SUMIF($T$320:$T$459,"SRO",P$327:P$477)/P10/1.98)</f>
        <v>260.82419036886853</v>
      </c>
      <c r="Q488" s="52"/>
      <c r="R488" s="52"/>
    </row>
    <row r="489" spans="1:20" ht="15.75" customHeight="1" x14ac:dyDescent="0.3">
      <c r="A489" s="142" t="s">
        <v>479</v>
      </c>
      <c r="B489" s="143">
        <f>B$532/B10/1.983</f>
        <v>300.50591316512936</v>
      </c>
      <c r="C489" s="143">
        <f>C$532/C10/1.983</f>
        <v>399.73705064476621</v>
      </c>
      <c r="D489" s="143">
        <f>D$532/D10/1.983</f>
        <v>498.93449156540265</v>
      </c>
      <c r="E489" s="98"/>
      <c r="F489" s="143">
        <f>F$532/F10/1.983</f>
        <v>636.4430996806185</v>
      </c>
      <c r="G489" s="143">
        <f>G$532/G10/1.983</f>
        <v>623.86738893497966</v>
      </c>
      <c r="H489" s="143">
        <f>H$532/H10/1.983</f>
        <v>679.50916120356362</v>
      </c>
      <c r="I489" s="1"/>
      <c r="J489" s="143">
        <f>J$532/J10/1.983</f>
        <v>835.3748800286304</v>
      </c>
      <c r="K489" s="143">
        <f>K$532/K10/1.983</f>
        <v>712.7844744847331</v>
      </c>
      <c r="L489" s="143">
        <f>L$532/L10/1.983</f>
        <v>485.35888384602453</v>
      </c>
      <c r="N489" s="143">
        <f>N$532/N10/1.983</f>
        <v>314.04031038016689</v>
      </c>
      <c r="O489" s="143">
        <f>O$532/O10/1.983</f>
        <v>44.37720625315179</v>
      </c>
      <c r="P489" s="143">
        <f>P$532/P10/1.983</f>
        <v>146.35693719193793</v>
      </c>
      <c r="R489" s="52"/>
    </row>
    <row r="490" spans="1:20" ht="15.75" customHeight="1" x14ac:dyDescent="0.3">
      <c r="A490" s="142"/>
      <c r="B490" s="143"/>
      <c r="C490" s="143"/>
      <c r="D490" s="143"/>
      <c r="E490" s="98"/>
      <c r="F490" s="143"/>
      <c r="G490" s="143"/>
      <c r="H490" s="143"/>
      <c r="I490" s="1"/>
      <c r="J490" s="143"/>
      <c r="K490" s="143"/>
      <c r="L490" s="143"/>
      <c r="N490" s="143"/>
      <c r="O490" s="143"/>
      <c r="P490" s="143"/>
      <c r="R490" s="52"/>
    </row>
    <row r="491" spans="1:20" ht="15.75" customHeight="1" thickBot="1" x14ac:dyDescent="0.35">
      <c r="A491" s="30"/>
      <c r="B491" s="1"/>
      <c r="C491" s="1"/>
      <c r="D491" s="1"/>
      <c r="E491" s="1"/>
      <c r="F491" s="1"/>
      <c r="G491" s="1"/>
      <c r="H491" s="1"/>
      <c r="I491" s="1"/>
      <c r="J491" s="1"/>
      <c r="K491" s="1"/>
      <c r="L491" s="1"/>
      <c r="M491" s="1"/>
      <c r="N491" s="1"/>
      <c r="O491" s="1"/>
      <c r="P491" s="1"/>
      <c r="Q491" s="1"/>
      <c r="R491" s="28"/>
    </row>
    <row r="492" spans="1:20" ht="16.5" customHeight="1" thickBot="1" x14ac:dyDescent="0.35">
      <c r="A492" s="31" t="s">
        <v>480</v>
      </c>
      <c r="B492" s="32" t="s">
        <v>36</v>
      </c>
      <c r="C492" s="33" t="s">
        <v>9</v>
      </c>
      <c r="D492" s="33" t="s">
        <v>10</v>
      </c>
      <c r="E492" s="12" t="s">
        <v>11</v>
      </c>
      <c r="F492" s="33" t="s">
        <v>12</v>
      </c>
      <c r="G492" s="33" t="s">
        <v>13</v>
      </c>
      <c r="H492" s="33" t="s">
        <v>14</v>
      </c>
      <c r="I492" s="34" t="s">
        <v>15</v>
      </c>
      <c r="J492" s="33" t="s">
        <v>16</v>
      </c>
      <c r="K492" s="33" t="s">
        <v>17</v>
      </c>
      <c r="L492" s="33" t="s">
        <v>18</v>
      </c>
      <c r="M492" s="34" t="s">
        <v>19</v>
      </c>
      <c r="N492" s="33" t="s">
        <v>20</v>
      </c>
      <c r="O492" s="33" t="s">
        <v>21</v>
      </c>
      <c r="P492" s="33" t="s">
        <v>22</v>
      </c>
      <c r="Q492" s="34" t="s">
        <v>23</v>
      </c>
      <c r="R492" s="35" t="s">
        <v>24</v>
      </c>
    </row>
    <row r="493" spans="1:20" ht="16.5" customHeight="1" thickBot="1" x14ac:dyDescent="0.35">
      <c r="A493" s="64"/>
      <c r="B493" s="81"/>
      <c r="C493" s="81"/>
      <c r="D493" s="81"/>
      <c r="E493" s="72"/>
      <c r="F493" s="81"/>
      <c r="G493" s="81"/>
      <c r="H493" s="81"/>
      <c r="I493" s="89"/>
      <c r="J493" s="81"/>
      <c r="K493" s="81"/>
      <c r="L493" s="81"/>
      <c r="M493" s="89"/>
      <c r="N493" s="81"/>
      <c r="O493" s="81"/>
      <c r="P493" s="81"/>
      <c r="Q493" s="89"/>
      <c r="R493" s="117"/>
    </row>
    <row r="494" spans="1:20" ht="15.75" customHeight="1" x14ac:dyDescent="0.3">
      <c r="A494" s="17" t="s">
        <v>45</v>
      </c>
      <c r="B494" s="1" t="s">
        <v>7</v>
      </c>
      <c r="C494" s="1" t="s">
        <v>7</v>
      </c>
      <c r="D494" s="1" t="s">
        <v>7</v>
      </c>
      <c r="E494" s="59" t="s">
        <v>7</v>
      </c>
      <c r="F494" s="1"/>
      <c r="G494" s="1"/>
      <c r="H494" s="1"/>
      <c r="I494" s="59" t="s">
        <v>7</v>
      </c>
      <c r="J494" s="1" t="s">
        <v>7</v>
      </c>
      <c r="K494" s="1" t="s">
        <v>7</v>
      </c>
      <c r="L494" s="1" t="s">
        <v>7</v>
      </c>
      <c r="M494" s="59" t="s">
        <v>7</v>
      </c>
      <c r="N494" s="1" t="s">
        <v>7</v>
      </c>
      <c r="O494" s="1" t="s">
        <v>7</v>
      </c>
      <c r="P494" s="1" t="s">
        <v>7</v>
      </c>
      <c r="Q494" s="59" t="s">
        <v>7</v>
      </c>
      <c r="R494" s="59" t="s">
        <v>7</v>
      </c>
    </row>
    <row r="495" spans="1:20" ht="15.75" customHeight="1" x14ac:dyDescent="0.3">
      <c r="A495" s="17" t="s">
        <v>46</v>
      </c>
      <c r="B495" s="1"/>
      <c r="C495" s="1"/>
      <c r="D495" s="1"/>
      <c r="E495" s="59" t="s">
        <v>7</v>
      </c>
      <c r="F495" s="1"/>
      <c r="G495" s="1"/>
      <c r="H495" s="1"/>
      <c r="I495" s="59" t="s">
        <v>7</v>
      </c>
      <c r="J495" s="1"/>
      <c r="K495" s="1"/>
      <c r="L495" s="1"/>
      <c r="M495" s="59" t="s">
        <v>7</v>
      </c>
      <c r="N495" s="1"/>
      <c r="O495" s="1"/>
      <c r="P495" s="1"/>
      <c r="Q495" s="59" t="s">
        <v>7</v>
      </c>
      <c r="R495" s="59" t="s">
        <v>7</v>
      </c>
    </row>
    <row r="496" spans="1:20" ht="15.75" customHeight="1" x14ac:dyDescent="0.3">
      <c r="A496" s="74" t="s">
        <v>481</v>
      </c>
      <c r="B496" s="1"/>
      <c r="C496" s="1"/>
      <c r="D496" s="1"/>
      <c r="E496" s="59">
        <f t="shared" ref="E496:E500" si="201">SUM(B496:D496)</f>
        <v>0</v>
      </c>
      <c r="F496" s="1">
        <v>6</v>
      </c>
      <c r="G496" s="1">
        <v>6</v>
      </c>
      <c r="H496" s="1">
        <v>12</v>
      </c>
      <c r="I496" s="59">
        <f t="shared" ref="I496:I500" si="202">SUM(F496:H496)</f>
        <v>24</v>
      </c>
      <c r="J496" s="1">
        <v>12</v>
      </c>
      <c r="K496" s="1">
        <v>12</v>
      </c>
      <c r="L496" s="1">
        <v>6</v>
      </c>
      <c r="M496" s="59">
        <f t="shared" ref="M496:M500" si="203">SUM(J496:L496)</f>
        <v>30</v>
      </c>
      <c r="N496" s="1">
        <v>4</v>
      </c>
      <c r="O496" s="1">
        <v>1</v>
      </c>
      <c r="P496" s="1">
        <v>1</v>
      </c>
      <c r="Q496" s="59">
        <f t="shared" ref="Q496:Q500" si="204">SUM(N496:P496)</f>
        <v>6</v>
      </c>
      <c r="R496" s="59">
        <f t="shared" ref="R496:R500" si="205">+E496+I496+M496+Q496</f>
        <v>60</v>
      </c>
      <c r="T496" s="4" t="s">
        <v>366</v>
      </c>
    </row>
    <row r="497" spans="1:20" ht="15.75" customHeight="1" x14ac:dyDescent="0.3">
      <c r="A497" s="74" t="s">
        <v>482</v>
      </c>
      <c r="B497" s="1"/>
      <c r="C497" s="1"/>
      <c r="D497" s="1"/>
      <c r="E497" s="59">
        <f t="shared" si="201"/>
        <v>0</v>
      </c>
      <c r="F497" s="1"/>
      <c r="G497" s="1"/>
      <c r="H497" s="1"/>
      <c r="I497" s="59">
        <f t="shared" si="202"/>
        <v>0</v>
      </c>
      <c r="J497" s="1"/>
      <c r="K497" s="1"/>
      <c r="L497" s="1"/>
      <c r="M497" s="59">
        <f t="shared" si="203"/>
        <v>0</v>
      </c>
      <c r="N497" s="1"/>
      <c r="O497" s="1"/>
      <c r="P497" s="1"/>
      <c r="Q497" s="59">
        <f t="shared" si="204"/>
        <v>0</v>
      </c>
      <c r="R497" s="59">
        <f t="shared" si="205"/>
        <v>0</v>
      </c>
      <c r="T497" s="4" t="s">
        <v>366</v>
      </c>
    </row>
    <row r="498" spans="1:20" ht="15.75" customHeight="1" x14ac:dyDescent="0.3">
      <c r="A498" s="74" t="s">
        <v>871</v>
      </c>
      <c r="B498" s="1"/>
      <c r="C498" s="1"/>
      <c r="D498" s="1"/>
      <c r="E498" s="59">
        <f t="shared" si="201"/>
        <v>0</v>
      </c>
      <c r="F498" s="1"/>
      <c r="G498" s="1"/>
      <c r="H498" s="1"/>
      <c r="I498" s="59">
        <f t="shared" si="202"/>
        <v>0</v>
      </c>
      <c r="J498" s="1"/>
      <c r="K498" s="1"/>
      <c r="L498" s="1"/>
      <c r="M498" s="59">
        <f t="shared" si="203"/>
        <v>0</v>
      </c>
      <c r="N498" s="1"/>
      <c r="O498" s="1"/>
      <c r="P498" s="1"/>
      <c r="Q498" s="59">
        <f t="shared" si="204"/>
        <v>0</v>
      </c>
      <c r="R498" s="59">
        <f t="shared" si="205"/>
        <v>0</v>
      </c>
    </row>
    <row r="499" spans="1:20" ht="15.75" customHeight="1" x14ac:dyDescent="0.3">
      <c r="A499" s="74" t="s">
        <v>484</v>
      </c>
      <c r="C499" s="1"/>
      <c r="D499" s="1"/>
      <c r="E499" s="59">
        <f t="shared" si="201"/>
        <v>0</v>
      </c>
      <c r="F499" s="1"/>
      <c r="G499" s="1">
        <v>2300</v>
      </c>
      <c r="H499" s="1"/>
      <c r="I499" s="59">
        <f t="shared" si="202"/>
        <v>2300</v>
      </c>
      <c r="J499" s="1"/>
      <c r="K499" s="1"/>
      <c r="L499" s="1"/>
      <c r="M499" s="59">
        <f t="shared" si="203"/>
        <v>0</v>
      </c>
      <c r="N499" s="1"/>
      <c r="O499" s="1"/>
      <c r="P499" s="1"/>
      <c r="Q499" s="59">
        <f t="shared" si="204"/>
        <v>0</v>
      </c>
      <c r="R499" s="59">
        <f t="shared" si="205"/>
        <v>2300</v>
      </c>
      <c r="T499" s="4" t="s">
        <v>366</v>
      </c>
    </row>
    <row r="500" spans="1:20" ht="15.75" customHeight="1" x14ac:dyDescent="0.3">
      <c r="A500" s="76" t="s">
        <v>485</v>
      </c>
      <c r="B500" s="1"/>
      <c r="C500" s="1"/>
      <c r="D500" s="1"/>
      <c r="E500" s="59">
        <f t="shared" si="201"/>
        <v>0</v>
      </c>
      <c r="F500" s="1"/>
      <c r="G500" s="1"/>
      <c r="H500" s="1"/>
      <c r="I500" s="59">
        <f t="shared" si="202"/>
        <v>0</v>
      </c>
      <c r="J500" s="1"/>
      <c r="K500" s="1"/>
      <c r="L500" s="1"/>
      <c r="M500" s="59">
        <f t="shared" si="203"/>
        <v>0</v>
      </c>
      <c r="N500" s="1"/>
      <c r="O500" s="1"/>
      <c r="P500" s="1"/>
      <c r="Q500" s="59">
        <f t="shared" si="204"/>
        <v>0</v>
      </c>
      <c r="R500" s="59">
        <f t="shared" si="205"/>
        <v>0</v>
      </c>
      <c r="T500" s="4" t="s">
        <v>366</v>
      </c>
    </row>
    <row r="501" spans="1:20" ht="15.75" customHeight="1" x14ac:dyDescent="0.3">
      <c r="A501" s="17" t="s">
        <v>47</v>
      </c>
      <c r="B501" s="1"/>
      <c r="C501" s="1"/>
      <c r="D501" s="1"/>
      <c r="E501" s="59" t="s">
        <v>7</v>
      </c>
      <c r="F501" s="1"/>
      <c r="G501" s="1"/>
      <c r="H501" s="1"/>
      <c r="I501" s="59" t="s">
        <v>7</v>
      </c>
      <c r="J501" s="1"/>
      <c r="K501" s="1"/>
      <c r="L501" s="1"/>
      <c r="M501" s="59" t="s">
        <v>7</v>
      </c>
      <c r="N501" s="1"/>
      <c r="O501" s="1"/>
      <c r="P501" s="1"/>
      <c r="Q501" s="59" t="s">
        <v>7</v>
      </c>
      <c r="R501" s="59" t="s">
        <v>7</v>
      </c>
    </row>
    <row r="502" spans="1:20" ht="15.75" customHeight="1" x14ac:dyDescent="0.3">
      <c r="A502" s="74" t="s">
        <v>486</v>
      </c>
      <c r="B502" s="1"/>
      <c r="C502" s="1"/>
      <c r="D502" s="1"/>
      <c r="E502" s="59">
        <f>SUM(B502:D502)</f>
        <v>0</v>
      </c>
      <c r="F502" s="1"/>
      <c r="G502" s="1"/>
      <c r="H502" s="1"/>
      <c r="I502" s="59">
        <f>SUM(F502:H502)</f>
        <v>0</v>
      </c>
      <c r="J502" s="1"/>
      <c r="K502" s="1"/>
      <c r="L502" s="1"/>
      <c r="M502" s="59">
        <f>SUM(J502:L502)</f>
        <v>0</v>
      </c>
      <c r="N502" s="1"/>
      <c r="O502" s="1"/>
      <c r="P502" s="1"/>
      <c r="Q502" s="59">
        <f>SUM(N502:P502)</f>
        <v>0</v>
      </c>
      <c r="R502" s="59">
        <f>+E502+I502+M502+Q502</f>
        <v>0</v>
      </c>
    </row>
    <row r="503" spans="1:20" ht="15.75" customHeight="1" x14ac:dyDescent="0.3">
      <c r="A503" s="74" t="s">
        <v>487</v>
      </c>
      <c r="B503" s="1"/>
      <c r="C503" s="1"/>
      <c r="D503" s="1"/>
      <c r="E503" s="59">
        <f>SUM(B503:D503)</f>
        <v>0</v>
      </c>
      <c r="F503" s="1"/>
      <c r="G503" s="1"/>
      <c r="H503" s="1"/>
      <c r="I503" s="59">
        <f>SUM(F503:H503)</f>
        <v>0</v>
      </c>
      <c r="J503" s="1"/>
      <c r="K503" s="1"/>
      <c r="L503" s="1"/>
      <c r="M503" s="59">
        <f>SUM(J503:L503)</f>
        <v>0</v>
      </c>
      <c r="N503" s="1"/>
      <c r="O503" s="1"/>
      <c r="P503" s="1"/>
      <c r="Q503" s="59">
        <f>SUM(N503:P503)</f>
        <v>0</v>
      </c>
      <c r="R503" s="59">
        <f>+E503+I503+M503+Q503</f>
        <v>0</v>
      </c>
    </row>
    <row r="504" spans="1:20" ht="15.75" customHeight="1" x14ac:dyDescent="0.3">
      <c r="A504" s="17" t="s">
        <v>49</v>
      </c>
      <c r="B504" s="1"/>
      <c r="C504" s="1"/>
      <c r="D504" s="1"/>
      <c r="E504" s="59" t="s">
        <v>7</v>
      </c>
      <c r="F504" s="1"/>
      <c r="G504" s="1"/>
      <c r="H504" s="1"/>
      <c r="I504" s="59" t="s">
        <v>7</v>
      </c>
      <c r="J504" s="1"/>
      <c r="K504" s="1"/>
      <c r="L504" s="1"/>
      <c r="M504" s="59" t="s">
        <v>7</v>
      </c>
      <c r="N504" s="1"/>
      <c r="O504" s="1"/>
      <c r="P504" s="1"/>
      <c r="Q504" s="59" t="s">
        <v>7</v>
      </c>
      <c r="R504" s="59" t="s">
        <v>7</v>
      </c>
    </row>
    <row r="505" spans="1:20" ht="15.75" customHeight="1" thickBot="1" x14ac:dyDescent="0.35">
      <c r="A505" s="17" t="s">
        <v>51</v>
      </c>
      <c r="B505" s="1"/>
      <c r="C505" s="1"/>
      <c r="D505" s="1"/>
      <c r="E505" s="59" t="s">
        <v>7</v>
      </c>
      <c r="F505" s="1"/>
      <c r="G505" s="1"/>
      <c r="H505" s="1"/>
      <c r="I505" s="59" t="s">
        <v>7</v>
      </c>
      <c r="J505" s="1"/>
      <c r="K505" s="1"/>
      <c r="L505" s="1"/>
      <c r="M505" s="59" t="s">
        <v>7</v>
      </c>
      <c r="N505" s="1"/>
      <c r="O505" s="1"/>
      <c r="P505" s="1"/>
      <c r="Q505" s="59" t="s">
        <v>7</v>
      </c>
      <c r="R505" s="59" t="s">
        <v>7</v>
      </c>
    </row>
    <row r="506" spans="1:20" ht="16.5" customHeight="1" thickBot="1" x14ac:dyDescent="0.35">
      <c r="A506" s="126" t="s">
        <v>52</v>
      </c>
      <c r="B506" s="100">
        <f>SUM(B494:B505)</f>
        <v>0</v>
      </c>
      <c r="C506" s="101">
        <f>SUM(C494:C505)</f>
        <v>0</v>
      </c>
      <c r="D506" s="101">
        <f>SUM(D494:D505)</f>
        <v>0</v>
      </c>
      <c r="E506" s="64">
        <f>SUM(B506:D506)</f>
        <v>0</v>
      </c>
      <c r="F506" s="101">
        <f>SUM(F494:F505)</f>
        <v>6</v>
      </c>
      <c r="G506" s="101">
        <f>SUM(G494:G505)</f>
        <v>2306</v>
      </c>
      <c r="H506" s="101">
        <f>SUM(H494:H505)</f>
        <v>12</v>
      </c>
      <c r="I506" s="64">
        <f>SUM(F506:H506)</f>
        <v>2324</v>
      </c>
      <c r="J506" s="101">
        <f>SUM(J494:J505)</f>
        <v>12</v>
      </c>
      <c r="K506" s="101">
        <f>SUM(K494:K505)</f>
        <v>12</v>
      </c>
      <c r="L506" s="101">
        <f>SUM(L494:L505)</f>
        <v>6</v>
      </c>
      <c r="M506" s="64">
        <f>SUM(J506:L506)</f>
        <v>30</v>
      </c>
      <c r="N506" s="101">
        <f>SUM(N494:N505)</f>
        <v>4</v>
      </c>
      <c r="O506" s="101">
        <f>SUM(O494:O505)</f>
        <v>1</v>
      </c>
      <c r="P506" s="101">
        <f>SUM(P494:P505)</f>
        <v>1</v>
      </c>
      <c r="Q506" s="64">
        <f>SUM(N506:P506)</f>
        <v>6</v>
      </c>
      <c r="R506" s="64">
        <f>+E506+I506+M506+Q506</f>
        <v>2360</v>
      </c>
    </row>
    <row r="507" spans="1:20" ht="15.75" customHeight="1" x14ac:dyDescent="0.3">
      <c r="A507" s="17" t="s">
        <v>53</v>
      </c>
      <c r="B507" s="1"/>
      <c r="C507" s="1"/>
      <c r="D507" s="1"/>
      <c r="E507" s="59" t="s">
        <v>7</v>
      </c>
      <c r="F507" s="1"/>
      <c r="G507" s="1"/>
      <c r="H507" s="1"/>
      <c r="I507" s="59" t="s">
        <v>7</v>
      </c>
      <c r="J507" s="1"/>
      <c r="K507" s="1"/>
      <c r="L507" s="1"/>
      <c r="M507" s="59" t="s">
        <v>7</v>
      </c>
      <c r="N507" s="1" t="s">
        <v>7</v>
      </c>
      <c r="O507" s="1"/>
      <c r="P507" s="1"/>
      <c r="Q507" s="59" t="s">
        <v>7</v>
      </c>
      <c r="R507" s="59" t="s">
        <v>7</v>
      </c>
    </row>
    <row r="508" spans="1:20" ht="15.75" customHeight="1" x14ac:dyDescent="0.3">
      <c r="A508" s="17" t="s">
        <v>55</v>
      </c>
      <c r="B508" s="1"/>
      <c r="C508" s="1"/>
      <c r="D508" s="1"/>
      <c r="E508" s="59" t="s">
        <v>7</v>
      </c>
      <c r="F508" s="1"/>
      <c r="G508" s="1"/>
      <c r="H508" s="1"/>
      <c r="I508" s="59" t="s">
        <v>7</v>
      </c>
      <c r="J508" s="1"/>
      <c r="K508" s="1"/>
      <c r="L508" s="1"/>
      <c r="M508" s="59" t="s">
        <v>7</v>
      </c>
      <c r="N508" s="1"/>
      <c r="O508" s="1"/>
      <c r="P508" s="1"/>
      <c r="Q508" s="59" t="s">
        <v>7</v>
      </c>
      <c r="R508" s="59" t="s">
        <v>7</v>
      </c>
    </row>
    <row r="509" spans="1:20" ht="15.75" customHeight="1" x14ac:dyDescent="0.3">
      <c r="A509" s="74" t="s">
        <v>488</v>
      </c>
      <c r="B509" s="1">
        <v>193</v>
      </c>
      <c r="C509" s="1">
        <v>248</v>
      </c>
      <c r="D509" s="1">
        <v>3540</v>
      </c>
      <c r="E509" s="59">
        <f>SUM(B509:D509)</f>
        <v>3981</v>
      </c>
      <c r="F509" s="1">
        <v>9100</v>
      </c>
      <c r="G509" s="1">
        <v>6433</v>
      </c>
      <c r="H509" s="1">
        <v>10800</v>
      </c>
      <c r="I509" s="59">
        <f>SUM(F509:H509)</f>
        <v>26333</v>
      </c>
      <c r="J509" s="1">
        <f>17940+2070</f>
        <v>20010</v>
      </c>
      <c r="K509" s="1">
        <f>3760+2102</f>
        <v>5862</v>
      </c>
      <c r="L509" s="1">
        <v>1920</v>
      </c>
      <c r="M509" s="59">
        <f>SUM(J509:L509)</f>
        <v>27792</v>
      </c>
      <c r="N509" s="1">
        <v>620</v>
      </c>
      <c r="O509" s="1">
        <v>85</v>
      </c>
      <c r="P509" s="1">
        <v>427</v>
      </c>
      <c r="Q509" s="59">
        <f>SUM(N509:P509)</f>
        <v>1132</v>
      </c>
      <c r="R509" s="59">
        <f>+E509+I509+M509+Q509</f>
        <v>59238</v>
      </c>
    </row>
    <row r="510" spans="1:20" ht="15.75" customHeight="1" thickBot="1" x14ac:dyDescent="0.35">
      <c r="A510" s="17" t="s">
        <v>56</v>
      </c>
      <c r="B510" s="1"/>
      <c r="C510" s="1"/>
      <c r="D510" s="1"/>
      <c r="E510" s="59" t="s">
        <v>7</v>
      </c>
      <c r="F510" s="1"/>
      <c r="G510" s="1"/>
      <c r="H510" s="1"/>
      <c r="I510" s="59" t="s">
        <v>7</v>
      </c>
      <c r="J510" s="1"/>
      <c r="K510" s="1"/>
      <c r="L510" s="1"/>
      <c r="M510" s="59" t="s">
        <v>7</v>
      </c>
      <c r="N510" s="1"/>
      <c r="O510" s="1"/>
      <c r="P510" s="1"/>
      <c r="Q510" s="59" t="s">
        <v>7</v>
      </c>
      <c r="R510" s="59" t="s">
        <v>7</v>
      </c>
    </row>
    <row r="511" spans="1:20" ht="16.5" customHeight="1" thickBot="1" x14ac:dyDescent="0.35">
      <c r="A511" s="62" t="s">
        <v>57</v>
      </c>
      <c r="B511" s="100">
        <f>SUM(B507:B510)</f>
        <v>193</v>
      </c>
      <c r="C511" s="101">
        <f>SUM(C507:C510)</f>
        <v>248</v>
      </c>
      <c r="D511" s="101">
        <f>SUM(D507:D510)</f>
        <v>3540</v>
      </c>
      <c r="E511" s="64">
        <f>SUM(B511:D511)</f>
        <v>3981</v>
      </c>
      <c r="F511" s="101">
        <f>SUM(F507:F510)</f>
        <v>9100</v>
      </c>
      <c r="G511" s="101">
        <f>SUM(G507:G510)</f>
        <v>6433</v>
      </c>
      <c r="H511" s="101">
        <f>SUM(H507:H510)</f>
        <v>10800</v>
      </c>
      <c r="I511" s="64">
        <f>SUM(F511:H511)</f>
        <v>26333</v>
      </c>
      <c r="J511" s="101">
        <f>SUM(J507:J510)</f>
        <v>20010</v>
      </c>
      <c r="K511" s="101">
        <f>SUM(K507:K510)</f>
        <v>5862</v>
      </c>
      <c r="L511" s="101">
        <f>SUM(L507:L510)</f>
        <v>1920</v>
      </c>
      <c r="M511" s="64">
        <f>SUM(J511:L511)</f>
        <v>27792</v>
      </c>
      <c r="N511" s="101">
        <f>SUM(N507:N510)</f>
        <v>620</v>
      </c>
      <c r="O511" s="101">
        <f>SUM(O507:O510)</f>
        <v>85</v>
      </c>
      <c r="P511" s="101">
        <f>SUM(P507:P510)</f>
        <v>427</v>
      </c>
      <c r="Q511" s="64">
        <f>SUM(N511:P511)</f>
        <v>1132</v>
      </c>
      <c r="R511" s="64">
        <f>+E511+I511+M511+Q511</f>
        <v>59238</v>
      </c>
    </row>
    <row r="512" spans="1:20" ht="15.75" customHeight="1" x14ac:dyDescent="0.3">
      <c r="A512" s="17" t="s">
        <v>58</v>
      </c>
      <c r="B512" s="1"/>
      <c r="C512" s="1"/>
      <c r="D512" s="1"/>
      <c r="E512" s="59" t="s">
        <v>7</v>
      </c>
      <c r="F512" s="1"/>
      <c r="G512" s="1"/>
      <c r="H512" s="1"/>
      <c r="I512" s="59" t="s">
        <v>7</v>
      </c>
      <c r="J512" s="1"/>
      <c r="K512" s="1"/>
      <c r="L512" s="1"/>
      <c r="M512" s="59" t="s">
        <v>7</v>
      </c>
      <c r="N512" s="1"/>
      <c r="O512" s="1"/>
      <c r="P512" s="1"/>
      <c r="Q512" s="59" t="s">
        <v>7</v>
      </c>
      <c r="R512" s="59" t="s">
        <v>7</v>
      </c>
    </row>
    <row r="513" spans="1:20" ht="15.75" customHeight="1" x14ac:dyDescent="0.3">
      <c r="A513" s="17" t="s">
        <v>59</v>
      </c>
      <c r="B513" s="1"/>
      <c r="C513" s="1"/>
      <c r="D513" s="1"/>
      <c r="E513" s="59" t="s">
        <v>7</v>
      </c>
      <c r="F513" s="1"/>
      <c r="G513" s="1"/>
      <c r="H513" s="1"/>
      <c r="I513" s="59" t="s">
        <v>7</v>
      </c>
      <c r="J513" s="1"/>
      <c r="K513" s="1"/>
      <c r="L513" s="1"/>
      <c r="M513" s="59" t="s">
        <v>7</v>
      </c>
      <c r="N513" s="1"/>
      <c r="O513" s="1"/>
      <c r="P513" s="1"/>
      <c r="Q513" s="59" t="s">
        <v>7</v>
      </c>
      <c r="R513" s="59" t="s">
        <v>7</v>
      </c>
    </row>
    <row r="514" spans="1:20" ht="15.75" customHeight="1" x14ac:dyDescent="0.3">
      <c r="A514" s="17" t="s">
        <v>60</v>
      </c>
      <c r="B514" s="1"/>
      <c r="C514" s="1"/>
      <c r="D514" s="1"/>
      <c r="E514" s="59" t="s">
        <v>7</v>
      </c>
      <c r="F514" s="1"/>
      <c r="G514" s="1"/>
      <c r="H514" s="1"/>
      <c r="I514" s="59" t="s">
        <v>7</v>
      </c>
      <c r="J514" s="1"/>
      <c r="K514" s="1"/>
      <c r="L514" s="1"/>
      <c r="M514" s="59" t="s">
        <v>7</v>
      </c>
      <c r="N514" s="1"/>
      <c r="O514" s="1"/>
      <c r="P514" s="1"/>
      <c r="Q514" s="59" t="s">
        <v>7</v>
      </c>
      <c r="R514" s="59" t="s">
        <v>7</v>
      </c>
    </row>
    <row r="515" spans="1:20" ht="15.75" customHeight="1" x14ac:dyDescent="0.3">
      <c r="A515" s="74" t="s">
        <v>872</v>
      </c>
      <c r="B515" s="1"/>
      <c r="C515" s="1"/>
      <c r="D515" s="1"/>
      <c r="E515" s="59">
        <f>SUM(B515:D515)</f>
        <v>0</v>
      </c>
      <c r="F515" s="1"/>
      <c r="G515" s="1"/>
      <c r="H515" s="1"/>
      <c r="I515" s="59">
        <f>SUM(F515:H515)</f>
        <v>0</v>
      </c>
      <c r="J515" s="1"/>
      <c r="K515" s="1">
        <v>8000</v>
      </c>
      <c r="L515" s="1"/>
      <c r="M515" s="59">
        <f>SUM(J515:L515)</f>
        <v>8000</v>
      </c>
      <c r="N515" s="1"/>
      <c r="O515" s="1"/>
      <c r="P515" s="1"/>
      <c r="Q515" s="59">
        <f>SUM(N515:P515)</f>
        <v>0</v>
      </c>
      <c r="R515" s="59">
        <f>+E515+I515+M515+Q515</f>
        <v>8000</v>
      </c>
      <c r="T515" s="4" t="s">
        <v>366</v>
      </c>
    </row>
    <row r="516" spans="1:20" ht="15.75" customHeight="1" thickBot="1" x14ac:dyDescent="0.35">
      <c r="A516" s="103" t="s">
        <v>856</v>
      </c>
      <c r="B516" s="1"/>
      <c r="C516" s="1"/>
      <c r="E516" s="59">
        <f>SUM(B516:D516)</f>
        <v>0</v>
      </c>
      <c r="F516" s="1"/>
      <c r="G516" s="1"/>
      <c r="H516" s="1"/>
      <c r="I516" s="59">
        <f>SUM(F516:H516)</f>
        <v>0</v>
      </c>
      <c r="J516" s="1"/>
      <c r="K516" s="1"/>
      <c r="L516" s="1"/>
      <c r="M516" s="59">
        <f>SUM(J516:L516)</f>
        <v>0</v>
      </c>
      <c r="N516" s="1"/>
      <c r="O516" s="1"/>
      <c r="P516" s="1"/>
      <c r="Q516" s="59">
        <f>SUM(N516:P516)</f>
        <v>0</v>
      </c>
      <c r="R516" s="59">
        <f>+E516+I516+M516+Q516</f>
        <v>0</v>
      </c>
      <c r="T516" s="4" t="s">
        <v>366</v>
      </c>
    </row>
    <row r="517" spans="1:20" ht="16.5" customHeight="1" thickBot="1" x14ac:dyDescent="0.35">
      <c r="A517" s="137" t="s">
        <v>61</v>
      </c>
      <c r="B517" s="100">
        <f>SUM(B512:B516)</f>
        <v>0</v>
      </c>
      <c r="C517" s="101">
        <f>SUM(C512:C516)</f>
        <v>0</v>
      </c>
      <c r="D517" s="101">
        <f>SUM(D512:D516)</f>
        <v>0</v>
      </c>
      <c r="E517" s="64">
        <f>SUM(B517:D517)</f>
        <v>0</v>
      </c>
      <c r="F517" s="101">
        <f>SUM(F512:F516)</f>
        <v>0</v>
      </c>
      <c r="G517" s="101">
        <f>SUM(G512:G516)</f>
        <v>0</v>
      </c>
      <c r="H517" s="101">
        <f>SUM(H512:H516)</f>
        <v>0</v>
      </c>
      <c r="I517" s="64">
        <f>SUM(F517:H517)</f>
        <v>0</v>
      </c>
      <c r="J517" s="101">
        <f>SUM(J512:J516)</f>
        <v>0</v>
      </c>
      <c r="K517" s="101">
        <f>SUM(K512:K516)</f>
        <v>8000</v>
      </c>
      <c r="L517" s="101">
        <f>SUM(L512:L516)</f>
        <v>0</v>
      </c>
      <c r="M517" s="64">
        <f>SUM(J517:L517)</f>
        <v>8000</v>
      </c>
      <c r="N517" s="101">
        <f>SUM(N512:N516)</f>
        <v>0</v>
      </c>
      <c r="O517" s="101">
        <f>SUM(O512:O516)</f>
        <v>0</v>
      </c>
      <c r="P517" s="101">
        <f>SUM(P512:P516)</f>
        <v>0</v>
      </c>
      <c r="Q517" s="64">
        <f>SUM(N517:P517)</f>
        <v>0</v>
      </c>
      <c r="R517" s="64">
        <f>+E517+I517+M517+Q517</f>
        <v>8000</v>
      </c>
    </row>
    <row r="518" spans="1:20" ht="15.75" customHeight="1" x14ac:dyDescent="0.3">
      <c r="A518" s="17" t="s">
        <v>62</v>
      </c>
      <c r="B518" s="1"/>
      <c r="C518" s="1"/>
      <c r="D518" s="1"/>
      <c r="E518" s="59" t="s">
        <v>7</v>
      </c>
      <c r="F518" s="1"/>
      <c r="G518" s="1"/>
      <c r="H518" s="1"/>
      <c r="I518" s="59" t="s">
        <v>7</v>
      </c>
      <c r="J518" s="1"/>
      <c r="K518" s="1"/>
      <c r="L518" s="1"/>
      <c r="M518" s="59" t="s">
        <v>7</v>
      </c>
      <c r="N518" s="1"/>
      <c r="O518" s="1"/>
      <c r="P518" s="1"/>
      <c r="Q518" s="59" t="s">
        <v>7</v>
      </c>
      <c r="R518" s="59" t="s">
        <v>7</v>
      </c>
    </row>
    <row r="519" spans="1:20" ht="15.75" customHeight="1" x14ac:dyDescent="0.3">
      <c r="A519" s="17" t="s">
        <v>63</v>
      </c>
      <c r="B519" s="1"/>
      <c r="C519" s="1"/>
      <c r="D519" s="1"/>
      <c r="E519" s="59" t="s">
        <v>7</v>
      </c>
      <c r="F519" s="1"/>
      <c r="G519" s="1"/>
      <c r="H519" s="1"/>
      <c r="I519" s="59" t="s">
        <v>7</v>
      </c>
      <c r="J519" s="1"/>
      <c r="K519" s="1"/>
      <c r="L519" s="1"/>
      <c r="M519" s="59" t="s">
        <v>7</v>
      </c>
      <c r="N519" s="1"/>
      <c r="O519" s="1"/>
      <c r="P519" s="1"/>
      <c r="Q519" s="59" t="s">
        <v>7</v>
      </c>
      <c r="R519" s="59" t="s">
        <v>7</v>
      </c>
    </row>
    <row r="520" spans="1:20" ht="15.75" customHeight="1" x14ac:dyDescent="0.3">
      <c r="A520" s="17" t="s">
        <v>64</v>
      </c>
      <c r="B520" s="1"/>
      <c r="C520" s="1"/>
      <c r="D520" s="1"/>
      <c r="E520" s="59" t="s">
        <v>7</v>
      </c>
      <c r="F520" s="1"/>
      <c r="G520" s="1"/>
      <c r="H520" s="1"/>
      <c r="I520" s="59" t="s">
        <v>7</v>
      </c>
      <c r="J520" s="1"/>
      <c r="K520" s="1"/>
      <c r="L520" s="1"/>
      <c r="M520" s="59" t="s">
        <v>7</v>
      </c>
      <c r="N520" s="1"/>
      <c r="O520" s="1"/>
      <c r="P520" s="1"/>
      <c r="Q520" s="59" t="s">
        <v>7</v>
      </c>
      <c r="R520" s="59" t="s">
        <v>7</v>
      </c>
    </row>
    <row r="521" spans="1:20" ht="15.75" customHeight="1" x14ac:dyDescent="0.3">
      <c r="A521" s="17" t="s">
        <v>66</v>
      </c>
      <c r="B521" s="1"/>
      <c r="C521" s="1"/>
      <c r="D521" s="1"/>
      <c r="E521" s="59" t="s">
        <v>7</v>
      </c>
      <c r="F521" s="1"/>
      <c r="G521" s="1"/>
      <c r="H521" s="1"/>
      <c r="I521" s="59" t="s">
        <v>7</v>
      </c>
      <c r="J521" s="1"/>
      <c r="K521" s="1"/>
      <c r="L521" s="1"/>
      <c r="M521" s="59" t="s">
        <v>7</v>
      </c>
      <c r="N521" s="1"/>
      <c r="O521" s="1"/>
      <c r="P521" s="1"/>
      <c r="Q521" s="59" t="s">
        <v>7</v>
      </c>
      <c r="R521" s="59" t="s">
        <v>7</v>
      </c>
    </row>
    <row r="522" spans="1:20" ht="15.75" customHeight="1" x14ac:dyDescent="0.3">
      <c r="A522" s="17" t="s">
        <v>67</v>
      </c>
      <c r="B522" s="1"/>
      <c r="C522" s="1"/>
      <c r="D522" s="1"/>
      <c r="E522" s="59" t="s">
        <v>7</v>
      </c>
      <c r="F522" s="1"/>
      <c r="G522" s="1"/>
      <c r="H522" s="1"/>
      <c r="I522" s="59" t="s">
        <v>7</v>
      </c>
      <c r="J522" s="1"/>
      <c r="K522" s="1"/>
      <c r="L522" s="1"/>
      <c r="M522" s="59" t="s">
        <v>7</v>
      </c>
      <c r="N522" s="1"/>
      <c r="O522" s="1"/>
      <c r="P522" s="1"/>
      <c r="Q522" s="59" t="s">
        <v>7</v>
      </c>
      <c r="R522" s="59" t="s">
        <v>7</v>
      </c>
    </row>
    <row r="523" spans="1:20" ht="15.75" customHeight="1" x14ac:dyDescent="0.3">
      <c r="A523" s="74" t="s">
        <v>460</v>
      </c>
      <c r="B523" s="1"/>
      <c r="C523" s="1"/>
      <c r="D523" s="1"/>
      <c r="E523" s="59">
        <f t="shared" ref="E523:E524" si="206">SUM(B523:D523)</f>
        <v>0</v>
      </c>
      <c r="F523" s="1"/>
      <c r="G523" s="1"/>
      <c r="H523" s="1"/>
      <c r="I523" s="59">
        <f t="shared" ref="I523:I524" si="207">SUM(F523:H523)</f>
        <v>0</v>
      </c>
      <c r="J523" s="1"/>
      <c r="K523" s="1"/>
      <c r="L523" s="1"/>
      <c r="M523" s="59">
        <f t="shared" ref="M523:M524" si="208">SUM(J523:L523)</f>
        <v>0</v>
      </c>
      <c r="N523" s="1"/>
      <c r="O523" s="1"/>
      <c r="P523" s="1"/>
      <c r="Q523" s="59">
        <f t="shared" ref="Q523:Q524" si="209">SUM(N523:P523)</f>
        <v>0</v>
      </c>
      <c r="R523" s="59">
        <f t="shared" ref="R523:R528" si="210">+E523+I523+M523+Q523</f>
        <v>0</v>
      </c>
      <c r="T523" s="4" t="s">
        <v>366</v>
      </c>
    </row>
    <row r="524" spans="1:20" ht="15.75" customHeight="1" thickBot="1" x14ac:dyDescent="0.35">
      <c r="A524" s="74" t="s">
        <v>491</v>
      </c>
      <c r="B524" s="1"/>
      <c r="C524" s="1"/>
      <c r="D524" s="1"/>
      <c r="E524" s="59">
        <f t="shared" si="206"/>
        <v>0</v>
      </c>
      <c r="F524" s="1"/>
      <c r="G524" s="1"/>
      <c r="H524" s="1"/>
      <c r="I524" s="59">
        <f t="shared" si="207"/>
        <v>0</v>
      </c>
      <c r="J524" s="1"/>
      <c r="K524" s="1"/>
      <c r="L524" s="1"/>
      <c r="M524" s="59">
        <f t="shared" si="208"/>
        <v>0</v>
      </c>
      <c r="N524" s="1"/>
      <c r="O524" s="1"/>
      <c r="P524" s="1"/>
      <c r="Q524" s="59">
        <f t="shared" si="209"/>
        <v>0</v>
      </c>
      <c r="R524" s="59">
        <f t="shared" si="210"/>
        <v>0</v>
      </c>
      <c r="T524" s="4" t="s">
        <v>366</v>
      </c>
    </row>
    <row r="525" spans="1:20" ht="16.5" customHeight="1" thickBot="1" x14ac:dyDescent="0.35">
      <c r="A525" s="62" t="s">
        <v>68</v>
      </c>
      <c r="B525" s="63">
        <f>SUM(B521:B524)</f>
        <v>0</v>
      </c>
      <c r="C525" s="63">
        <f>SUM(C521:C524)</f>
        <v>0</v>
      </c>
      <c r="D525" s="63">
        <f>SUM(D521:D524)</f>
        <v>0</v>
      </c>
      <c r="E525" s="65">
        <f t="shared" ref="E525:E528" si="211">SUM(B525:D525)</f>
        <v>0</v>
      </c>
      <c r="F525" s="63">
        <f>SUM(F521:F524)</f>
        <v>0</v>
      </c>
      <c r="G525" s="63">
        <f>SUM(G521:G524)</f>
        <v>0</v>
      </c>
      <c r="H525" s="63">
        <f>SUM(H521:H524)</f>
        <v>0</v>
      </c>
      <c r="I525" s="65">
        <f t="shared" ref="I525:I528" si="212">SUM(F525:H525)</f>
        <v>0</v>
      </c>
      <c r="J525" s="63">
        <f>SUM(J521:J524)</f>
        <v>0</v>
      </c>
      <c r="K525" s="63">
        <f>SUM(K521:K524)</f>
        <v>0</v>
      </c>
      <c r="L525" s="63">
        <f>SUM(L521:L524)</f>
        <v>0</v>
      </c>
      <c r="M525" s="65">
        <f t="shared" ref="M525:M528" si="213">SUM(J525:L525)</f>
        <v>0</v>
      </c>
      <c r="N525" s="63">
        <f>SUM(N521:N524)</f>
        <v>0</v>
      </c>
      <c r="O525" s="63">
        <f>SUM(O521:O524)</f>
        <v>0</v>
      </c>
      <c r="P525" s="63">
        <f>SUM(P521:P524)</f>
        <v>0</v>
      </c>
      <c r="Q525" s="65">
        <f t="shared" ref="Q525:Q528" si="214">SUM(N525:P525)</f>
        <v>0</v>
      </c>
      <c r="R525" s="64">
        <f t="shared" si="210"/>
        <v>0</v>
      </c>
    </row>
    <row r="526" spans="1:20" ht="16.5" customHeight="1" thickBot="1" x14ac:dyDescent="0.35">
      <c r="A526" s="137" t="s">
        <v>69</v>
      </c>
      <c r="B526" s="100">
        <f>SUM(B518:B524)</f>
        <v>0</v>
      </c>
      <c r="C526" s="101">
        <f>SUM(C518:C524)</f>
        <v>0</v>
      </c>
      <c r="D526" s="138">
        <f>SUM(D518:D524)</f>
        <v>0</v>
      </c>
      <c r="E526" s="65">
        <f t="shared" si="211"/>
        <v>0</v>
      </c>
      <c r="F526" s="101">
        <f>SUM(F518:F524)</f>
        <v>0</v>
      </c>
      <c r="G526" s="101">
        <f>SUM(G518:G524)</f>
        <v>0</v>
      </c>
      <c r="H526" s="101">
        <f>SUM(H518:H524)</f>
        <v>0</v>
      </c>
      <c r="I526" s="65">
        <f t="shared" si="212"/>
        <v>0</v>
      </c>
      <c r="J526" s="101">
        <f>SUM(J518:J524)</f>
        <v>0</v>
      </c>
      <c r="K526" s="101">
        <f>SUM(K518:K524)</f>
        <v>0</v>
      </c>
      <c r="L526" s="101">
        <f>SUM(L518:L524)</f>
        <v>0</v>
      </c>
      <c r="M526" s="65">
        <f t="shared" si="213"/>
        <v>0</v>
      </c>
      <c r="N526" s="101">
        <f>SUM(N518:N524)</f>
        <v>0</v>
      </c>
      <c r="O526" s="101">
        <f>SUM(O518:O524)</f>
        <v>0</v>
      </c>
      <c r="P526" s="101">
        <f>SUM(P518:P524)</f>
        <v>0</v>
      </c>
      <c r="Q526" s="65">
        <f t="shared" si="214"/>
        <v>0</v>
      </c>
      <c r="R526" s="64">
        <f t="shared" si="210"/>
        <v>0</v>
      </c>
    </row>
    <row r="527" spans="1:20" ht="16.5" customHeight="1" thickBot="1" x14ac:dyDescent="0.35">
      <c r="A527" s="62" t="s">
        <v>70</v>
      </c>
      <c r="B527" s="107">
        <f>+B506+B511+B517+B526</f>
        <v>193</v>
      </c>
      <c r="C527" s="63">
        <f>+C506+C511+C517+C526</f>
        <v>248</v>
      </c>
      <c r="D527" s="63">
        <f>+D506+D511+D517+D526</f>
        <v>3540</v>
      </c>
      <c r="E527" s="64">
        <f t="shared" si="211"/>
        <v>3981</v>
      </c>
      <c r="F527" s="63">
        <f>+F506+F511+F517+F526</f>
        <v>9106</v>
      </c>
      <c r="G527" s="63">
        <f>+G506+G511+G517+G526</f>
        <v>8739</v>
      </c>
      <c r="H527" s="63">
        <f>+H506+H511+H517+H526</f>
        <v>10812</v>
      </c>
      <c r="I527" s="64">
        <f t="shared" si="212"/>
        <v>28657</v>
      </c>
      <c r="J527" s="63">
        <f>+J506+J511+J517+J526</f>
        <v>20022</v>
      </c>
      <c r="K527" s="63">
        <f>+K506+K511+K517+K526</f>
        <v>13874</v>
      </c>
      <c r="L527" s="63">
        <f>+L506+L511+L517+L526</f>
        <v>1926</v>
      </c>
      <c r="M527" s="64">
        <f t="shared" si="213"/>
        <v>35822</v>
      </c>
      <c r="N527" s="63">
        <f>+N506+N511+N517+N526</f>
        <v>624</v>
      </c>
      <c r="O527" s="63">
        <f>+O506+O511+O517+O526</f>
        <v>86</v>
      </c>
      <c r="P527" s="63">
        <f>+P506+P511+P517+P526</f>
        <v>428</v>
      </c>
      <c r="Q527" s="64">
        <f t="shared" si="214"/>
        <v>1138</v>
      </c>
      <c r="R527" s="88">
        <f>+E527+I527+M527+Q527</f>
        <v>69598</v>
      </c>
    </row>
    <row r="528" spans="1:20" ht="16.5" customHeight="1" thickBot="1" x14ac:dyDescent="0.35">
      <c r="A528" s="40" t="s">
        <v>37</v>
      </c>
      <c r="B528" s="25">
        <v>9</v>
      </c>
      <c r="C528" s="25">
        <v>16</v>
      </c>
      <c r="D528" s="25">
        <v>25</v>
      </c>
      <c r="E528" s="59">
        <f t="shared" si="211"/>
        <v>50</v>
      </c>
      <c r="F528" s="25">
        <v>34</v>
      </c>
      <c r="G528" s="25">
        <v>41</v>
      </c>
      <c r="H528" s="25">
        <v>41</v>
      </c>
      <c r="I528" s="59">
        <f t="shared" si="212"/>
        <v>116</v>
      </c>
      <c r="J528" s="25">
        <v>39</v>
      </c>
      <c r="K528" s="25">
        <v>30</v>
      </c>
      <c r="L528" s="25">
        <v>30</v>
      </c>
      <c r="M528" s="59">
        <f t="shared" si="213"/>
        <v>99</v>
      </c>
      <c r="N528" s="25">
        <v>28</v>
      </c>
      <c r="O528" s="25">
        <v>22</v>
      </c>
      <c r="P528" s="25">
        <v>16</v>
      </c>
      <c r="Q528" s="59">
        <f t="shared" si="214"/>
        <v>66</v>
      </c>
      <c r="R528" s="59">
        <f t="shared" si="210"/>
        <v>331</v>
      </c>
    </row>
    <row r="529" spans="1:20" ht="16.5" customHeight="1" thickBot="1" x14ac:dyDescent="0.35">
      <c r="A529" s="80"/>
      <c r="B529" s="81"/>
      <c r="C529" s="81"/>
      <c r="D529" s="81"/>
      <c r="E529" s="64"/>
      <c r="F529" s="81"/>
      <c r="G529" s="81"/>
      <c r="H529" s="81"/>
      <c r="I529" s="64"/>
      <c r="J529" s="81"/>
      <c r="K529" s="81"/>
      <c r="L529" s="81"/>
      <c r="M529" s="64"/>
      <c r="N529" s="81"/>
      <c r="O529" s="81"/>
      <c r="P529" s="81"/>
      <c r="Q529" s="64"/>
      <c r="R529" s="64" t="s">
        <v>7</v>
      </c>
    </row>
    <row r="530" spans="1:20" ht="15.75" customHeight="1" x14ac:dyDescent="0.3">
      <c r="A530" s="82" t="s">
        <v>38</v>
      </c>
      <c r="B530" s="83">
        <f>SUM(B527:B528)</f>
        <v>202</v>
      </c>
      <c r="C530" s="83">
        <f>SUM(C527:C528)</f>
        <v>264</v>
      </c>
      <c r="D530" s="83">
        <f>SUM(D527:D528)</f>
        <v>3565</v>
      </c>
      <c r="E530" s="65">
        <f>SUM(B530:D530)</f>
        <v>4031</v>
      </c>
      <c r="F530" s="83">
        <f>SUM(F527:F528)</f>
        <v>9140</v>
      </c>
      <c r="G530" s="83">
        <f>SUM(G527:G528)</f>
        <v>8780</v>
      </c>
      <c r="H530" s="83">
        <f>SUM(H527:H528)</f>
        <v>10853</v>
      </c>
      <c r="I530" s="65">
        <f>SUM(F530:H530)</f>
        <v>28773</v>
      </c>
      <c r="J530" s="83">
        <f>SUM(J527:J528)</f>
        <v>20061</v>
      </c>
      <c r="K530" s="83">
        <f>SUM(K527:K528)</f>
        <v>13904</v>
      </c>
      <c r="L530" s="83">
        <f>SUM(L527:L528)</f>
        <v>1956</v>
      </c>
      <c r="M530" s="65">
        <f>SUM(J530:L530)</f>
        <v>35921</v>
      </c>
      <c r="N530" s="83">
        <f>SUM(N527:N528)</f>
        <v>652</v>
      </c>
      <c r="O530" s="83">
        <f>SUM(O527:O528)</f>
        <v>108</v>
      </c>
      <c r="P530" s="83">
        <f>SUM(P527:P528)</f>
        <v>444</v>
      </c>
      <c r="Q530" s="65">
        <f>SUM(N530:P530)</f>
        <v>1204</v>
      </c>
      <c r="R530" s="65">
        <f>+E530+I530+M530+Q530</f>
        <v>69929</v>
      </c>
    </row>
    <row r="531" spans="1:20" ht="15.75" customHeight="1" x14ac:dyDescent="0.3">
      <c r="A531" s="85" t="s">
        <v>39</v>
      </c>
      <c r="B531" s="1">
        <f>(B530/B10)/1.983</f>
        <v>3.2859954776893923</v>
      </c>
      <c r="C531" s="1">
        <f>(C530/C10)/1.983</f>
        <v>4.754700669980549</v>
      </c>
      <c r="D531" s="1">
        <f>(D530/D10)/1.983</f>
        <v>57.992939989914269</v>
      </c>
      <c r="E531" s="59" t="s">
        <v>7</v>
      </c>
      <c r="F531" s="1">
        <f>(F530/F10)/1.983</f>
        <v>153.6392671037149</v>
      </c>
      <c r="G531" s="1">
        <f>(G530/G10)/1.983</f>
        <v>142.82693214907357</v>
      </c>
      <c r="H531" s="1">
        <f>(H530/H10)/1.983</f>
        <v>182.43402252479407</v>
      </c>
      <c r="I531" s="59" t="s">
        <v>7</v>
      </c>
      <c r="J531" s="1">
        <f>(J530/J10)/1.983</f>
        <v>326.33839246498462</v>
      </c>
      <c r="K531" s="1">
        <f>(K530/K10)/1.983</f>
        <v>226.18059961283814</v>
      </c>
      <c r="L531" s="1">
        <f>(L530/L10)/1.983</f>
        <v>32.879475542107919</v>
      </c>
      <c r="M531" s="59" t="s">
        <v>7</v>
      </c>
      <c r="N531" s="1">
        <f>(N530/N10)/1.983</f>
        <v>10.606282432938038</v>
      </c>
      <c r="O531" s="1">
        <f>(O530/O10)/1.983</f>
        <v>1.8154311649016641</v>
      </c>
      <c r="P531" s="1">
        <f>(P530/P10)/1.983</f>
        <v>7.2226831291786633</v>
      </c>
      <c r="Q531" s="59" t="s">
        <v>7</v>
      </c>
      <c r="R531" s="59" t="s">
        <v>7</v>
      </c>
    </row>
    <row r="532" spans="1:20" ht="15.75" customHeight="1" x14ac:dyDescent="0.3">
      <c r="A532" s="85" t="s">
        <v>492</v>
      </c>
      <c r="B532" s="1">
        <f>B530+B577</f>
        <v>18473</v>
      </c>
      <c r="C532" s="1">
        <f>C530+C577</f>
        <v>22195</v>
      </c>
      <c r="D532" s="1">
        <f>D530+D577</f>
        <v>30671</v>
      </c>
      <c r="E532" s="59">
        <f>SUM(B532:D532)</f>
        <v>71339</v>
      </c>
      <c r="F532" s="1">
        <f>F530+F577</f>
        <v>37862</v>
      </c>
      <c r="G532" s="1">
        <f>G530+G577</f>
        <v>38351</v>
      </c>
      <c r="H532" s="1">
        <f>H530+H577</f>
        <v>40424</v>
      </c>
      <c r="I532" s="59">
        <f>SUM(F532:H532)</f>
        <v>116637</v>
      </c>
      <c r="J532" s="1">
        <f>J530+J577</f>
        <v>51353</v>
      </c>
      <c r="K532" s="1">
        <f>K530+K577</f>
        <v>43817</v>
      </c>
      <c r="L532" s="1">
        <f>L530+L577</f>
        <v>28874</v>
      </c>
      <c r="M532" s="59">
        <f>SUM(J532:L532)</f>
        <v>124044</v>
      </c>
      <c r="N532" s="1">
        <f>N530+N577</f>
        <v>19305</v>
      </c>
      <c r="O532" s="1">
        <f>O530+O577</f>
        <v>2640</v>
      </c>
      <c r="P532" s="1">
        <f>P530+P577</f>
        <v>8997</v>
      </c>
      <c r="Q532" s="59">
        <f>SUM(N532:P532)</f>
        <v>30942</v>
      </c>
      <c r="R532" s="59">
        <f>+E532+I532+M532+Q532</f>
        <v>342962</v>
      </c>
    </row>
    <row r="533" spans="1:20" ht="16.5" customHeight="1" thickBot="1" x14ac:dyDescent="0.35">
      <c r="A533" s="86" t="s">
        <v>493</v>
      </c>
      <c r="B533" s="87">
        <f>(B532/B10)/1.983</f>
        <v>300.50591316512936</v>
      </c>
      <c r="C533" s="87">
        <f>(C532/C10)/1.983</f>
        <v>399.73705064476621</v>
      </c>
      <c r="D533" s="87">
        <f>(D532/D10)/1.983</f>
        <v>498.93449156540265</v>
      </c>
      <c r="E533" s="88" t="s">
        <v>7</v>
      </c>
      <c r="F533" s="87">
        <f>(F532/F10)/1.983</f>
        <v>636.4430996806185</v>
      </c>
      <c r="G533" s="87">
        <f>(G532/G10)/1.983</f>
        <v>623.86738893497966</v>
      </c>
      <c r="H533" s="87">
        <f>(H532/H10)/1.983</f>
        <v>679.50916120356362</v>
      </c>
      <c r="I533" s="88" t="s">
        <v>7</v>
      </c>
      <c r="J533" s="87">
        <f>(J532/J10)/1.983</f>
        <v>835.3748800286304</v>
      </c>
      <c r="K533" s="87">
        <f>(K532/K10)/1.983</f>
        <v>712.7844744847331</v>
      </c>
      <c r="L533" s="87">
        <f>(L532/L10)/1.983</f>
        <v>485.35888384602453</v>
      </c>
      <c r="M533" s="88" t="s">
        <v>7</v>
      </c>
      <c r="N533" s="87">
        <f>(N532/N10)/1.983</f>
        <v>314.04031038016689</v>
      </c>
      <c r="O533" s="87">
        <f>(O532/O10)/1.983</f>
        <v>44.37720625315179</v>
      </c>
      <c r="P533" s="87">
        <f>(P532/P10)/1.983</f>
        <v>146.35693719193793</v>
      </c>
      <c r="Q533" s="88" t="s">
        <v>7</v>
      </c>
      <c r="R533" s="88" t="s">
        <v>7</v>
      </c>
    </row>
    <row r="534" spans="1:20" ht="15.75" customHeight="1" x14ac:dyDescent="0.3">
      <c r="A534" s="28"/>
      <c r="B534" s="1"/>
      <c r="C534" s="1"/>
      <c r="D534" s="1"/>
      <c r="E534" s="1"/>
      <c r="F534" s="1"/>
      <c r="G534" s="1"/>
      <c r="H534" s="1"/>
      <c r="I534" s="1"/>
      <c r="J534" s="1"/>
      <c r="K534" s="1"/>
      <c r="L534" s="1"/>
      <c r="M534" s="1"/>
      <c r="N534" s="1"/>
      <c r="O534" s="1"/>
      <c r="P534" s="1"/>
      <c r="Q534" s="1"/>
      <c r="R534" s="28"/>
    </row>
    <row r="535" spans="1:20" ht="15.75" customHeight="1" thickBot="1" x14ac:dyDescent="0.35">
      <c r="A535" s="28"/>
      <c r="B535" s="1"/>
      <c r="C535" s="1"/>
      <c r="D535" s="1"/>
      <c r="E535" s="1"/>
      <c r="F535" s="1"/>
      <c r="G535" s="1"/>
      <c r="H535" s="1"/>
      <c r="I535" s="1"/>
      <c r="J535" s="1"/>
      <c r="K535" s="1"/>
      <c r="L535" s="1"/>
      <c r="M535" s="1"/>
      <c r="N535" s="1"/>
      <c r="O535" s="1"/>
      <c r="P535" s="1"/>
      <c r="Q535" s="1"/>
      <c r="R535" s="28"/>
    </row>
    <row r="536" spans="1:20" ht="16.5" customHeight="1" thickBot="1" x14ac:dyDescent="0.35">
      <c r="A536" s="145" t="s">
        <v>494</v>
      </c>
      <c r="B536" s="32" t="s">
        <v>36</v>
      </c>
      <c r="C536" s="33" t="s">
        <v>9</v>
      </c>
      <c r="D536" s="33" t="s">
        <v>10</v>
      </c>
      <c r="E536" s="12" t="s">
        <v>11</v>
      </c>
      <c r="F536" s="33" t="s">
        <v>12</v>
      </c>
      <c r="G536" s="33" t="s">
        <v>13</v>
      </c>
      <c r="H536" s="33" t="s">
        <v>14</v>
      </c>
      <c r="I536" s="34" t="s">
        <v>15</v>
      </c>
      <c r="J536" s="33" t="s">
        <v>16</v>
      </c>
      <c r="K536" s="33" t="s">
        <v>17</v>
      </c>
      <c r="L536" s="33" t="s">
        <v>18</v>
      </c>
      <c r="M536" s="34" t="s">
        <v>19</v>
      </c>
      <c r="N536" s="33" t="s">
        <v>20</v>
      </c>
      <c r="O536" s="33" t="s">
        <v>21</v>
      </c>
      <c r="P536" s="33" t="s">
        <v>22</v>
      </c>
      <c r="Q536" s="34" t="s">
        <v>23</v>
      </c>
      <c r="R536" s="35" t="s">
        <v>24</v>
      </c>
    </row>
    <row r="537" spans="1:20" ht="16.5" customHeight="1" thickBot="1" x14ac:dyDescent="0.35">
      <c r="A537" s="64"/>
      <c r="B537" s="81"/>
      <c r="C537" s="81"/>
      <c r="D537" s="81"/>
      <c r="E537" s="72"/>
      <c r="F537" s="81"/>
      <c r="G537" s="81"/>
      <c r="H537" s="81"/>
      <c r="I537" s="89"/>
      <c r="J537" s="81"/>
      <c r="K537" s="81"/>
      <c r="L537" s="81"/>
      <c r="M537" s="89"/>
      <c r="N537" s="81"/>
      <c r="O537" s="81"/>
      <c r="P537" s="81"/>
      <c r="Q537" s="89"/>
      <c r="R537" s="117"/>
    </row>
    <row r="538" spans="1:20" ht="15.75" customHeight="1" x14ac:dyDescent="0.3">
      <c r="A538" s="17" t="s">
        <v>45</v>
      </c>
      <c r="B538" s="1" t="s">
        <v>7</v>
      </c>
      <c r="C538" s="1" t="s">
        <v>7</v>
      </c>
      <c r="D538" s="1" t="s">
        <v>7</v>
      </c>
      <c r="E538" s="59" t="s">
        <v>7</v>
      </c>
      <c r="F538" s="1"/>
      <c r="G538" s="1"/>
      <c r="H538" s="1"/>
      <c r="I538" s="59" t="s">
        <v>7</v>
      </c>
      <c r="J538" s="1" t="s">
        <v>7</v>
      </c>
      <c r="K538" s="1" t="s">
        <v>7</v>
      </c>
      <c r="L538" s="1" t="s">
        <v>7</v>
      </c>
      <c r="M538" s="59" t="s">
        <v>7</v>
      </c>
      <c r="N538" s="1" t="s">
        <v>7</v>
      </c>
      <c r="O538" s="1" t="s">
        <v>7</v>
      </c>
      <c r="P538" s="1" t="s">
        <v>7</v>
      </c>
      <c r="Q538" s="59" t="s">
        <v>7</v>
      </c>
      <c r="R538" s="59" t="s">
        <v>7</v>
      </c>
    </row>
    <row r="539" spans="1:20" ht="15.75" customHeight="1" x14ac:dyDescent="0.3">
      <c r="A539" s="17" t="s">
        <v>46</v>
      </c>
      <c r="B539" s="1"/>
      <c r="C539" s="1"/>
      <c r="D539" s="1"/>
      <c r="E539" s="59" t="s">
        <v>7</v>
      </c>
      <c r="F539" s="1"/>
      <c r="G539" s="1"/>
      <c r="H539" s="1"/>
      <c r="I539" s="59" t="s">
        <v>7</v>
      </c>
      <c r="J539" s="1"/>
      <c r="K539" s="1"/>
      <c r="L539" s="1"/>
      <c r="M539" s="59" t="s">
        <v>7</v>
      </c>
      <c r="N539" s="1"/>
      <c r="O539" s="1"/>
      <c r="P539" s="1"/>
      <c r="Q539" s="59" t="s">
        <v>7</v>
      </c>
      <c r="R539" s="59" t="s">
        <v>7</v>
      </c>
    </row>
    <row r="540" spans="1:20" ht="15.75" customHeight="1" x14ac:dyDescent="0.3">
      <c r="A540" s="17" t="s">
        <v>495</v>
      </c>
      <c r="C540" s="1"/>
      <c r="D540" s="1"/>
      <c r="E540" s="59">
        <f>SUM(B540:D540)</f>
        <v>0</v>
      </c>
      <c r="F540" s="1"/>
      <c r="G540" s="1"/>
      <c r="H540" s="1"/>
      <c r="I540" s="59">
        <f>SUM(F540:H540)</f>
        <v>0</v>
      </c>
      <c r="J540" s="1"/>
      <c r="K540" s="1"/>
      <c r="L540" s="1"/>
      <c r="M540" s="59">
        <f>SUM(J540:L540)</f>
        <v>0</v>
      </c>
      <c r="N540" s="1"/>
      <c r="O540" s="1"/>
      <c r="P540" s="1"/>
      <c r="Q540" s="59">
        <f>SUM(N540:P540)</f>
        <v>0</v>
      </c>
      <c r="R540" s="59">
        <f>+E540+I540+M540+Q540</f>
        <v>0</v>
      </c>
      <c r="T540" s="4" t="s">
        <v>368</v>
      </c>
    </row>
    <row r="541" spans="1:20" ht="15.75" customHeight="1" x14ac:dyDescent="0.3">
      <c r="A541" s="74" t="s">
        <v>496</v>
      </c>
      <c r="B541" s="1"/>
      <c r="C541" s="1">
        <v>500</v>
      </c>
      <c r="D541" s="1">
        <v>500</v>
      </c>
      <c r="E541" s="59">
        <f>SUM(B541:D541)</f>
        <v>1000</v>
      </c>
      <c r="F541" s="1">
        <v>500</v>
      </c>
      <c r="G541" s="1">
        <v>500</v>
      </c>
      <c r="H541" s="1"/>
      <c r="I541" s="59">
        <f>SUM(F541:H541)</f>
        <v>1000</v>
      </c>
      <c r="J541" s="1"/>
      <c r="K541" s="1"/>
      <c r="L541" s="1"/>
      <c r="M541" s="59">
        <f>SUM(J541:L541)</f>
        <v>0</v>
      </c>
      <c r="N541" s="1"/>
      <c r="O541" s="1"/>
      <c r="P541" s="1"/>
      <c r="Q541" s="59">
        <f>SUM(N541:P541)</f>
        <v>0</v>
      </c>
      <c r="R541" s="59">
        <f>+E541+I541+M541+Q541</f>
        <v>2000</v>
      </c>
    </row>
    <row r="542" spans="1:20" ht="15.75" customHeight="1" x14ac:dyDescent="0.3">
      <c r="A542" s="74" t="s">
        <v>497</v>
      </c>
      <c r="B542" s="1"/>
      <c r="C542" s="1"/>
      <c r="D542" s="1">
        <v>250</v>
      </c>
      <c r="E542" s="59">
        <f>SUM(B542:D542)</f>
        <v>250</v>
      </c>
      <c r="F542" s="1">
        <v>250</v>
      </c>
      <c r="G542" s="1">
        <v>250</v>
      </c>
      <c r="H542" s="1">
        <v>1250</v>
      </c>
      <c r="I542" s="59">
        <f>SUM(F542:H542)</f>
        <v>1750</v>
      </c>
      <c r="J542" s="1">
        <v>1000</v>
      </c>
      <c r="K542" s="1">
        <v>500</v>
      </c>
      <c r="L542" s="1">
        <v>500</v>
      </c>
      <c r="M542" s="59">
        <f>SUM(J542:L542)</f>
        <v>2000</v>
      </c>
      <c r="N542" s="1"/>
      <c r="O542" s="1"/>
      <c r="P542" s="1"/>
      <c r="Q542" s="59">
        <f>SUM(N542:P542)</f>
        <v>0</v>
      </c>
      <c r="R542" s="59">
        <f>+E542+I542+M542+Q542</f>
        <v>4000</v>
      </c>
    </row>
    <row r="543" spans="1:20" ht="15.75" customHeight="1" x14ac:dyDescent="0.3">
      <c r="A543" s="74" t="s">
        <v>498</v>
      </c>
      <c r="B543" s="1"/>
      <c r="C543" s="1"/>
      <c r="D543" s="1"/>
      <c r="E543" s="59">
        <f>SUM(B543:D543)</f>
        <v>0</v>
      </c>
      <c r="F543" s="1"/>
      <c r="G543" s="1"/>
      <c r="H543" s="1"/>
      <c r="I543" s="59">
        <f>SUM(F543:H543)</f>
        <v>0</v>
      </c>
      <c r="J543" s="1"/>
      <c r="K543" s="1">
        <v>500</v>
      </c>
      <c r="L543" s="1">
        <v>500</v>
      </c>
      <c r="M543" s="59">
        <f>SUM(J543:L543)</f>
        <v>1000</v>
      </c>
      <c r="N543" s="1">
        <v>500</v>
      </c>
      <c r="O543" s="1"/>
      <c r="P543" s="1"/>
      <c r="Q543" s="59">
        <f>SUM(N543:P543)</f>
        <v>500</v>
      </c>
      <c r="R543" s="59">
        <f>+E543+I543+M543+Q543</f>
        <v>1500</v>
      </c>
    </row>
    <row r="544" spans="1:20" ht="15.75" customHeight="1" x14ac:dyDescent="0.3">
      <c r="A544" s="74" t="s">
        <v>499</v>
      </c>
      <c r="B544" s="1"/>
      <c r="C544" s="1"/>
      <c r="D544" s="1"/>
      <c r="E544" s="59">
        <f>SUM(B544:D544)</f>
        <v>0</v>
      </c>
      <c r="F544" s="1"/>
      <c r="G544" s="1"/>
      <c r="H544" s="1"/>
      <c r="I544" s="59">
        <f>SUM(F544:H544)</f>
        <v>0</v>
      </c>
      <c r="J544" s="1">
        <v>237</v>
      </c>
      <c r="K544" s="1"/>
      <c r="L544" s="1">
        <v>300</v>
      </c>
      <c r="M544" s="59">
        <f>SUM(J544:L544)</f>
        <v>537</v>
      </c>
      <c r="N544" s="1"/>
      <c r="O544" s="1"/>
      <c r="P544" s="1"/>
      <c r="Q544" s="59">
        <f>SUM(N544:P544)</f>
        <v>0</v>
      </c>
      <c r="R544" s="59">
        <f>+E544+I544+M544+Q544</f>
        <v>537</v>
      </c>
    </row>
    <row r="545" spans="1:20" ht="15.75" customHeight="1" x14ac:dyDescent="0.3">
      <c r="A545" s="17" t="s">
        <v>47</v>
      </c>
      <c r="B545" s="1"/>
      <c r="C545" s="1"/>
      <c r="D545" s="1"/>
      <c r="E545" s="59" t="s">
        <v>7</v>
      </c>
      <c r="F545" s="1"/>
      <c r="G545" s="1"/>
      <c r="H545" s="1"/>
      <c r="I545" s="59" t="s">
        <v>7</v>
      </c>
      <c r="J545" s="1"/>
      <c r="K545" s="1"/>
      <c r="L545" s="1"/>
      <c r="M545" s="59" t="s">
        <v>7</v>
      </c>
      <c r="N545" s="1"/>
      <c r="O545" s="1"/>
      <c r="P545" s="1"/>
      <c r="Q545" s="59" t="s">
        <v>7</v>
      </c>
      <c r="R545" s="59" t="s">
        <v>7</v>
      </c>
    </row>
    <row r="546" spans="1:20" ht="15.75" customHeight="1" x14ac:dyDescent="0.3">
      <c r="A546" s="17" t="s">
        <v>49</v>
      </c>
      <c r="B546" s="1"/>
      <c r="C546" s="1"/>
      <c r="D546" s="1"/>
      <c r="E546" s="59" t="s">
        <v>7</v>
      </c>
      <c r="F546" s="1"/>
      <c r="G546" s="1"/>
      <c r="H546" s="1"/>
      <c r="I546" s="59" t="s">
        <v>7</v>
      </c>
      <c r="J546" s="1"/>
      <c r="K546" s="1"/>
      <c r="L546" s="1"/>
      <c r="M546" s="59" t="s">
        <v>7</v>
      </c>
      <c r="N546" s="1"/>
      <c r="O546" s="1"/>
      <c r="P546" s="1"/>
      <c r="Q546" s="59" t="s">
        <v>7</v>
      </c>
      <c r="R546" s="59" t="s">
        <v>7</v>
      </c>
    </row>
    <row r="547" spans="1:20" ht="15.75" customHeight="1" thickBot="1" x14ac:dyDescent="0.35">
      <c r="A547" s="17" t="s">
        <v>51</v>
      </c>
      <c r="B547" s="1"/>
      <c r="C547" s="1"/>
      <c r="D547" s="1"/>
      <c r="E547" s="59" t="s">
        <v>7</v>
      </c>
      <c r="F547" s="1"/>
      <c r="G547" s="1"/>
      <c r="H547" s="1"/>
      <c r="I547" s="59" t="s">
        <v>7</v>
      </c>
      <c r="J547" s="1"/>
      <c r="K547" s="1"/>
      <c r="L547" s="1"/>
      <c r="M547" s="59" t="s">
        <v>7</v>
      </c>
      <c r="N547" s="1"/>
      <c r="O547" s="1"/>
      <c r="P547" s="1"/>
      <c r="Q547" s="59" t="s">
        <v>7</v>
      </c>
      <c r="R547" s="59" t="s">
        <v>7</v>
      </c>
    </row>
    <row r="548" spans="1:20" ht="16.5" customHeight="1" thickBot="1" x14ac:dyDescent="0.35">
      <c r="A548" s="126" t="s">
        <v>52</v>
      </c>
      <c r="B548" s="100">
        <f>SUM(B538:B547)</f>
        <v>0</v>
      </c>
      <c r="C548" s="101">
        <f>SUM(C538:C547)</f>
        <v>500</v>
      </c>
      <c r="D548" s="101">
        <f>SUM(D538:D547)</f>
        <v>750</v>
      </c>
      <c r="E548" s="64">
        <f>SUM(B548:D548)</f>
        <v>1250</v>
      </c>
      <c r="F548" s="101">
        <f>SUM(F538:F547)</f>
        <v>750</v>
      </c>
      <c r="G548" s="101">
        <f>SUM(G538:G547)</f>
        <v>750</v>
      </c>
      <c r="H548" s="101">
        <f>SUM(H538:H547)</f>
        <v>1250</v>
      </c>
      <c r="I548" s="64">
        <f>SUM(F548:H548)</f>
        <v>2750</v>
      </c>
      <c r="J548" s="101">
        <f>SUM(J538:J547)</f>
        <v>1237</v>
      </c>
      <c r="K548" s="101">
        <f>SUM(K538:K547)</f>
        <v>1000</v>
      </c>
      <c r="L548" s="101">
        <f>SUM(L538:L547)</f>
        <v>1300</v>
      </c>
      <c r="M548" s="64">
        <f>SUM(J548:L548)</f>
        <v>3537</v>
      </c>
      <c r="N548" s="101">
        <f>SUM(N538:N547)</f>
        <v>500</v>
      </c>
      <c r="O548" s="101">
        <f>SUM(O538:O547)</f>
        <v>0</v>
      </c>
      <c r="P548" s="101">
        <f>SUM(P538:P547)</f>
        <v>0</v>
      </c>
      <c r="Q548" s="64">
        <f>SUM(N548:P548)</f>
        <v>500</v>
      </c>
      <c r="R548" s="64">
        <f>+E548+I548+M548+Q548</f>
        <v>8037</v>
      </c>
    </row>
    <row r="549" spans="1:20" ht="15.75" customHeight="1" x14ac:dyDescent="0.3">
      <c r="A549" s="17" t="s">
        <v>53</v>
      </c>
      <c r="B549" s="1"/>
      <c r="C549" s="1"/>
      <c r="D549" s="1"/>
      <c r="E549" s="65" t="s">
        <v>7</v>
      </c>
      <c r="F549" s="1"/>
      <c r="G549" s="1"/>
      <c r="H549" s="1"/>
      <c r="I549" s="65" t="s">
        <v>7</v>
      </c>
      <c r="J549" s="1"/>
      <c r="K549" s="1"/>
      <c r="L549" s="1"/>
      <c r="M549" s="65" t="s">
        <v>7</v>
      </c>
      <c r="N549" s="1"/>
      <c r="O549" s="1"/>
      <c r="P549" s="1"/>
      <c r="Q549" s="65" t="s">
        <v>7</v>
      </c>
      <c r="R549" s="305" t="s">
        <v>7</v>
      </c>
    </row>
    <row r="550" spans="1:20" ht="15.75" customHeight="1" x14ac:dyDescent="0.3">
      <c r="A550" s="17" t="s">
        <v>55</v>
      </c>
      <c r="B550" s="1"/>
      <c r="C550" s="1"/>
      <c r="D550" s="1"/>
      <c r="E550" s="59" t="s">
        <v>7</v>
      </c>
      <c r="F550" s="1"/>
      <c r="G550" s="1"/>
      <c r="H550" s="1"/>
      <c r="I550" s="59" t="s">
        <v>7</v>
      </c>
      <c r="J550" s="1"/>
      <c r="K550" s="1"/>
      <c r="L550" s="1"/>
      <c r="M550" s="59" t="s">
        <v>7</v>
      </c>
      <c r="N550" s="1"/>
      <c r="O550" s="1"/>
      <c r="P550" s="1"/>
      <c r="Q550" s="59" t="s">
        <v>7</v>
      </c>
      <c r="R550" s="305" t="s">
        <v>7</v>
      </c>
    </row>
    <row r="551" spans="1:20" ht="15.75" customHeight="1" x14ac:dyDescent="0.3">
      <c r="A551" s="74" t="s">
        <v>500</v>
      </c>
      <c r="B551" s="1">
        <v>143</v>
      </c>
      <c r="C551" s="1">
        <v>88</v>
      </c>
      <c r="D551" s="1">
        <v>1800</v>
      </c>
      <c r="E551" s="59">
        <f>SUM(B551:D551)</f>
        <v>2031</v>
      </c>
      <c r="F551" s="1">
        <v>2600</v>
      </c>
      <c r="G551" s="1">
        <v>2091</v>
      </c>
      <c r="H551" s="1">
        <v>1500</v>
      </c>
      <c r="I551" s="59">
        <f>SUM(F551:H551)</f>
        <v>6191</v>
      </c>
      <c r="J551" s="1">
        <f>1680+540</f>
        <v>2220</v>
      </c>
      <c r="K551" s="1">
        <f>3458+660</f>
        <v>4118</v>
      </c>
      <c r="L551" s="1">
        <v>900</v>
      </c>
      <c r="M551" s="59">
        <f>SUM(J551:L551)</f>
        <v>7238</v>
      </c>
      <c r="N551" s="1">
        <v>350</v>
      </c>
      <c r="O551" s="1">
        <v>8</v>
      </c>
      <c r="P551" s="1">
        <v>40</v>
      </c>
      <c r="Q551" s="59">
        <f>SUM(N551:P551)</f>
        <v>398</v>
      </c>
      <c r="R551" s="59">
        <f>+E551+I551+M551+Q551</f>
        <v>15858</v>
      </c>
      <c r="S551" s="4">
        <f>+SUM(R551,R509,R382)</f>
        <v>87392</v>
      </c>
      <c r="T551" s="4" t="s">
        <v>501</v>
      </c>
    </row>
    <row r="552" spans="1:20" ht="15.75" customHeight="1" x14ac:dyDescent="0.3">
      <c r="A552" s="74" t="s">
        <v>502</v>
      </c>
      <c r="B552" s="1"/>
      <c r="C552" s="1"/>
      <c r="D552" s="1"/>
      <c r="E552" s="59">
        <f>SUM(B552:D552)</f>
        <v>0</v>
      </c>
      <c r="F552" s="1"/>
      <c r="G552" s="1"/>
      <c r="H552" s="1"/>
      <c r="I552" s="59">
        <f>SUM(F552:H552)</f>
        <v>0</v>
      </c>
      <c r="J552" s="1"/>
      <c r="K552" s="1"/>
      <c r="L552" s="1"/>
      <c r="M552" s="59">
        <f>SUM(J552:L552)</f>
        <v>0</v>
      </c>
      <c r="N552" s="1"/>
      <c r="O552" s="1"/>
      <c r="P552" s="1"/>
      <c r="Q552" s="59">
        <f>SUM(N552:P552)</f>
        <v>0</v>
      </c>
      <c r="R552" s="59">
        <f>+E552+I552+M552+Q552</f>
        <v>0</v>
      </c>
    </row>
    <row r="553" spans="1:20" ht="15.75" customHeight="1" thickBot="1" x14ac:dyDescent="0.35">
      <c r="A553" s="17" t="s">
        <v>56</v>
      </c>
      <c r="B553" s="1"/>
      <c r="C553" s="1"/>
      <c r="D553" s="1"/>
      <c r="E553" s="59" t="s">
        <v>7</v>
      </c>
      <c r="F553" s="1"/>
      <c r="G553" s="1"/>
      <c r="H553" s="1"/>
      <c r="I553" s="59" t="s">
        <v>7</v>
      </c>
      <c r="J553" s="1"/>
      <c r="K553" s="1"/>
      <c r="L553" s="1"/>
      <c r="M553" s="59" t="s">
        <v>7</v>
      </c>
      <c r="N553" s="1"/>
      <c r="O553" s="1"/>
      <c r="P553" s="1"/>
      <c r="Q553" s="59" t="s">
        <v>7</v>
      </c>
      <c r="R553" s="305" t="s">
        <v>7</v>
      </c>
    </row>
    <row r="554" spans="1:20" ht="16.5" customHeight="1" thickBot="1" x14ac:dyDescent="0.35">
      <c r="A554" s="62" t="s">
        <v>57</v>
      </c>
      <c r="B554" s="100">
        <f>SUM(B549:B553)</f>
        <v>143</v>
      </c>
      <c r="C554" s="101">
        <f>SUM(C549:C553)</f>
        <v>88</v>
      </c>
      <c r="D554" s="101">
        <f>SUM(D549:D553)</f>
        <v>1800</v>
      </c>
      <c r="E554" s="64">
        <f>SUM(B554:D554)</f>
        <v>2031</v>
      </c>
      <c r="F554" s="101">
        <f>SUM(F549:F553)</f>
        <v>2600</v>
      </c>
      <c r="G554" s="101">
        <f>SUM(G549:G553)</f>
        <v>2091</v>
      </c>
      <c r="H554" s="101">
        <f>SUM(H549:H553)</f>
        <v>1500</v>
      </c>
      <c r="I554" s="64">
        <f>SUM(F554:H554)</f>
        <v>6191</v>
      </c>
      <c r="J554" s="101">
        <f>SUM(J549:J553)</f>
        <v>2220</v>
      </c>
      <c r="K554" s="101">
        <f>SUM(K549:K553)</f>
        <v>4118</v>
      </c>
      <c r="L554" s="101">
        <f>SUM(L549:L553)</f>
        <v>900</v>
      </c>
      <c r="M554" s="64">
        <f>SUM(J554:L554)</f>
        <v>7238</v>
      </c>
      <c r="N554" s="101">
        <f>SUM(N549:N553)</f>
        <v>350</v>
      </c>
      <c r="O554" s="101">
        <f>SUM(O549:O553)</f>
        <v>8</v>
      </c>
      <c r="P554" s="101">
        <f>SUM(P549:P553)</f>
        <v>40</v>
      </c>
      <c r="Q554" s="64">
        <f>SUM(N554:P554)</f>
        <v>398</v>
      </c>
      <c r="R554" s="64">
        <f>+E554+I554+M554+Q554</f>
        <v>15858</v>
      </c>
    </row>
    <row r="555" spans="1:20" ht="15.75" customHeight="1" x14ac:dyDescent="0.3">
      <c r="A555" s="17" t="s">
        <v>58</v>
      </c>
      <c r="B555" s="1"/>
      <c r="C555" s="1"/>
      <c r="D555" s="1"/>
      <c r="E555" s="59" t="s">
        <v>7</v>
      </c>
      <c r="F555" s="1"/>
      <c r="G555" s="1"/>
      <c r="H555" s="1"/>
      <c r="I555" s="59" t="s">
        <v>7</v>
      </c>
      <c r="J555" s="1"/>
      <c r="K555" s="1"/>
      <c r="L555" s="1"/>
      <c r="M555" s="59" t="s">
        <v>7</v>
      </c>
      <c r="N555" s="1"/>
      <c r="O555" s="1"/>
      <c r="P555" s="1"/>
      <c r="Q555" s="59" t="s">
        <v>7</v>
      </c>
      <c r="R555" s="59" t="s">
        <v>7</v>
      </c>
    </row>
    <row r="556" spans="1:20" ht="15.75" customHeight="1" x14ac:dyDescent="0.3">
      <c r="A556" s="17" t="s">
        <v>59</v>
      </c>
      <c r="B556" s="1"/>
      <c r="C556" s="1"/>
      <c r="D556" s="1"/>
      <c r="E556" s="59" t="s">
        <v>7</v>
      </c>
      <c r="F556" s="1"/>
      <c r="G556" s="1"/>
      <c r="H556" s="1"/>
      <c r="I556" s="59" t="s">
        <v>7</v>
      </c>
      <c r="J556" s="1"/>
      <c r="K556" s="1"/>
      <c r="L556" s="1"/>
      <c r="M556" s="59" t="s">
        <v>7</v>
      </c>
      <c r="N556" s="1"/>
      <c r="O556" s="1"/>
      <c r="P556" s="1"/>
      <c r="Q556" s="59" t="s">
        <v>7</v>
      </c>
      <c r="R556" s="59" t="s">
        <v>7</v>
      </c>
    </row>
    <row r="557" spans="1:20" ht="15.75" customHeight="1" x14ac:dyDescent="0.3">
      <c r="A557" s="17" t="s">
        <v>60</v>
      </c>
      <c r="B557" s="1"/>
      <c r="C557" s="1"/>
      <c r="D557" s="1"/>
      <c r="E557" s="59" t="s">
        <v>7</v>
      </c>
      <c r="F557" s="1"/>
      <c r="G557" s="1"/>
      <c r="H557" s="1"/>
      <c r="I557" s="59" t="s">
        <v>7</v>
      </c>
      <c r="J557" s="1"/>
      <c r="K557" s="1"/>
      <c r="L557" s="1"/>
      <c r="M557" s="59" t="s">
        <v>7</v>
      </c>
      <c r="N557" s="1"/>
      <c r="O557" s="1"/>
      <c r="P557" s="1"/>
      <c r="Q557" s="59" t="s">
        <v>7</v>
      </c>
      <c r="R557" s="59" t="s">
        <v>7</v>
      </c>
    </row>
    <row r="558" spans="1:20" ht="15.75" customHeight="1" thickBot="1" x14ac:dyDescent="0.35">
      <c r="A558" s="103" t="s">
        <v>856</v>
      </c>
      <c r="B558" s="1"/>
      <c r="C558" s="1"/>
      <c r="D558" s="1"/>
      <c r="E558" s="59">
        <f>SUM(B558:D558)</f>
        <v>0</v>
      </c>
      <c r="F558" s="1"/>
      <c r="G558" s="1"/>
      <c r="H558" s="1">
        <v>3000</v>
      </c>
      <c r="I558" s="59">
        <f>SUM(F558:H558)</f>
        <v>3000</v>
      </c>
      <c r="J558" s="1">
        <v>3000</v>
      </c>
      <c r="K558" s="1"/>
      <c r="L558" s="1"/>
      <c r="M558" s="59">
        <f>SUM(J558:L558)</f>
        <v>3000</v>
      </c>
      <c r="N558" s="1"/>
      <c r="O558" s="1"/>
      <c r="P558" s="1"/>
      <c r="Q558" s="59">
        <f>SUM(N558:P558)</f>
        <v>0</v>
      </c>
      <c r="R558" s="59">
        <f>+E558+I558+M558+Q558</f>
        <v>6000</v>
      </c>
      <c r="T558" s="4" t="s">
        <v>368</v>
      </c>
    </row>
    <row r="559" spans="1:20" ht="16.5" customHeight="1" thickBot="1" x14ac:dyDescent="0.35">
      <c r="A559" s="137" t="s">
        <v>61</v>
      </c>
      <c r="B559" s="100">
        <f>SUM(B555:B558)</f>
        <v>0</v>
      </c>
      <c r="C559" s="101">
        <f>SUM(C555:C558)</f>
        <v>0</v>
      </c>
      <c r="D559" s="101">
        <f>SUM(D555:D558)</f>
        <v>0</v>
      </c>
      <c r="E559" s="64">
        <f>SUM(B559:D559)</f>
        <v>0</v>
      </c>
      <c r="F559" s="101">
        <f>SUM(F555:F558)</f>
        <v>0</v>
      </c>
      <c r="G559" s="101">
        <f>SUM(G555:G558)</f>
        <v>0</v>
      </c>
      <c r="H559" s="101">
        <f>SUM(H555:H558)</f>
        <v>3000</v>
      </c>
      <c r="I559" s="64">
        <f>SUM(F559:H559)</f>
        <v>3000</v>
      </c>
      <c r="J559" s="101">
        <f>SUM(J555:J558)</f>
        <v>3000</v>
      </c>
      <c r="K559" s="101">
        <f>SUM(K555:K558)</f>
        <v>0</v>
      </c>
      <c r="L559" s="101">
        <f>SUM(L555:L558)</f>
        <v>0</v>
      </c>
      <c r="M559" s="64">
        <f>SUM(J559:L559)</f>
        <v>3000</v>
      </c>
      <c r="N559" s="101">
        <f>SUM(N555:N558)</f>
        <v>0</v>
      </c>
      <c r="O559" s="101">
        <f>SUM(O555:O558)</f>
        <v>0</v>
      </c>
      <c r="P559" s="101">
        <f>SUM(P555:P558)</f>
        <v>0</v>
      </c>
      <c r="Q559" s="64">
        <f>SUM(N559:P559)</f>
        <v>0</v>
      </c>
      <c r="R559" s="64">
        <f>+E559+I559+M559+Q559</f>
        <v>6000</v>
      </c>
    </row>
    <row r="560" spans="1:20" ht="15.75" customHeight="1" x14ac:dyDescent="0.3">
      <c r="A560" s="17" t="s">
        <v>62</v>
      </c>
      <c r="B560" s="1"/>
      <c r="C560" s="1"/>
      <c r="D560" s="1"/>
      <c r="E560" s="59" t="s">
        <v>7</v>
      </c>
      <c r="F560" s="1"/>
      <c r="G560" s="1"/>
      <c r="H560" s="1"/>
      <c r="I560" s="59" t="s">
        <v>7</v>
      </c>
      <c r="J560" s="1"/>
      <c r="K560" s="1"/>
      <c r="L560" s="1"/>
      <c r="M560" s="59" t="s">
        <v>7</v>
      </c>
      <c r="N560" s="1"/>
      <c r="O560" s="1"/>
      <c r="P560" s="1"/>
      <c r="Q560" s="59" t="s">
        <v>7</v>
      </c>
      <c r="R560" s="59" t="s">
        <v>7</v>
      </c>
    </row>
    <row r="561" spans="1:20" ht="15.75" customHeight="1" x14ac:dyDescent="0.3">
      <c r="A561" s="17" t="s">
        <v>63</v>
      </c>
      <c r="B561" s="1"/>
      <c r="C561" s="1"/>
      <c r="D561" s="1"/>
      <c r="E561" s="59" t="s">
        <v>7</v>
      </c>
      <c r="F561" s="1"/>
      <c r="G561" s="1"/>
      <c r="H561" s="1"/>
      <c r="I561" s="59" t="s">
        <v>7</v>
      </c>
      <c r="J561" s="1"/>
      <c r="K561" s="1"/>
      <c r="L561" s="1"/>
      <c r="M561" s="59" t="s">
        <v>7</v>
      </c>
      <c r="N561" s="1"/>
      <c r="O561" s="1"/>
      <c r="P561" s="1"/>
      <c r="Q561" s="59" t="s">
        <v>7</v>
      </c>
      <c r="R561" s="59" t="s">
        <v>7</v>
      </c>
    </row>
    <row r="562" spans="1:20" ht="15.75" customHeight="1" x14ac:dyDescent="0.3">
      <c r="A562" s="17" t="s">
        <v>64</v>
      </c>
      <c r="B562" s="1"/>
      <c r="C562" s="1"/>
      <c r="D562" s="1"/>
      <c r="E562" s="59" t="s">
        <v>7</v>
      </c>
      <c r="F562" s="1"/>
      <c r="G562" s="1"/>
      <c r="H562" s="1"/>
      <c r="I562" s="59" t="s">
        <v>7</v>
      </c>
      <c r="J562" s="1"/>
      <c r="K562" s="1"/>
      <c r="L562" s="1"/>
      <c r="M562" s="59" t="s">
        <v>7</v>
      </c>
      <c r="N562" s="1"/>
      <c r="O562" s="1"/>
      <c r="P562" s="1"/>
      <c r="Q562" s="59" t="s">
        <v>7</v>
      </c>
      <c r="R562" s="59" t="s">
        <v>7</v>
      </c>
    </row>
    <row r="563" spans="1:20" ht="15.75" customHeight="1" x14ac:dyDescent="0.3">
      <c r="A563" s="17" t="s">
        <v>66</v>
      </c>
      <c r="B563" s="1"/>
      <c r="C563" s="1"/>
      <c r="D563" s="1"/>
      <c r="E563" s="59" t="s">
        <v>7</v>
      </c>
      <c r="F563" s="1"/>
      <c r="G563" s="1"/>
      <c r="H563" s="1"/>
      <c r="I563" s="59" t="s">
        <v>7</v>
      </c>
      <c r="J563" s="1"/>
      <c r="K563" s="1"/>
      <c r="L563" s="1"/>
      <c r="M563" s="59" t="s">
        <v>7</v>
      </c>
      <c r="N563" s="1"/>
      <c r="O563" s="1"/>
      <c r="P563" s="1"/>
      <c r="Q563" s="59" t="s">
        <v>7</v>
      </c>
      <c r="R563" s="59" t="s">
        <v>7</v>
      </c>
    </row>
    <row r="564" spans="1:20" ht="15.75" customHeight="1" x14ac:dyDescent="0.3">
      <c r="A564" s="74" t="s">
        <v>503</v>
      </c>
      <c r="B564" s="1"/>
      <c r="C564" s="1"/>
      <c r="D564" s="1"/>
      <c r="E564" s="59">
        <f>SUM(B564:D564)</f>
        <v>0</v>
      </c>
      <c r="F564" s="1"/>
      <c r="G564" s="1"/>
      <c r="H564" s="1"/>
      <c r="I564" s="59">
        <f>SUM(F564:H564)</f>
        <v>0</v>
      </c>
      <c r="J564" s="1"/>
      <c r="K564" s="1"/>
      <c r="L564" s="1"/>
      <c r="M564" s="59">
        <f>SUM(J564:L564)</f>
        <v>0</v>
      </c>
      <c r="N564" s="1"/>
      <c r="O564" s="1"/>
      <c r="P564" s="1"/>
      <c r="Q564" s="59">
        <f>SUM(N564:P564)</f>
        <v>0</v>
      </c>
      <c r="R564" s="59">
        <f>+E564+I564+M564+Q564</f>
        <v>0</v>
      </c>
    </row>
    <row r="565" spans="1:20" ht="15.75" customHeight="1" x14ac:dyDescent="0.3">
      <c r="A565" s="17" t="s">
        <v>67</v>
      </c>
      <c r="B565" s="1"/>
      <c r="C565" s="1"/>
      <c r="D565" s="1"/>
      <c r="E565" s="59"/>
      <c r="F565" s="1"/>
      <c r="G565" s="1"/>
      <c r="H565" s="1"/>
      <c r="I565" s="59"/>
      <c r="J565" s="1"/>
      <c r="K565" s="1"/>
      <c r="L565" s="1"/>
      <c r="M565" s="59"/>
      <c r="N565" s="1"/>
      <c r="O565" s="1"/>
      <c r="P565" s="1"/>
      <c r="Q565" s="59"/>
      <c r="R565" s="59" t="s">
        <v>7</v>
      </c>
    </row>
    <row r="566" spans="1:20" ht="15.75" customHeight="1" x14ac:dyDescent="0.3">
      <c r="A566" s="74" t="s">
        <v>460</v>
      </c>
      <c r="B566" s="1"/>
      <c r="C566" s="1"/>
      <c r="D566" s="1"/>
      <c r="E566" s="59">
        <f t="shared" ref="E566:E573" si="215">SUM(B566:D566)</f>
        <v>0</v>
      </c>
      <c r="F566" s="1"/>
      <c r="G566" s="1"/>
      <c r="H566" s="1"/>
      <c r="I566" s="59">
        <f t="shared" ref="I566:I573" si="216">SUM(F566:H566)</f>
        <v>0</v>
      </c>
      <c r="J566" s="1"/>
      <c r="K566" s="1"/>
      <c r="L566" s="1"/>
      <c r="M566" s="59">
        <f t="shared" ref="M566:M573" si="217">SUM(J566:L566)</f>
        <v>0</v>
      </c>
      <c r="N566" s="1"/>
      <c r="O566" s="1"/>
      <c r="P566" s="1"/>
      <c r="Q566" s="59">
        <f t="shared" ref="Q566:Q573" si="218">SUM(N566:P566)</f>
        <v>0</v>
      </c>
      <c r="R566" s="59">
        <f t="shared" ref="R566:R573" si="219">+E566+I566+M566+Q566</f>
        <v>0</v>
      </c>
      <c r="T566" s="4" t="s">
        <v>368</v>
      </c>
    </row>
    <row r="567" spans="1:20" ht="15.75" customHeight="1" x14ac:dyDescent="0.3">
      <c r="A567" s="74" t="s">
        <v>504</v>
      </c>
      <c r="B567" s="1"/>
      <c r="C567" s="1"/>
      <c r="D567" s="1"/>
      <c r="E567" s="59">
        <f>SUM(B567:D567)</f>
        <v>0</v>
      </c>
      <c r="F567" s="1"/>
      <c r="G567" s="1"/>
      <c r="H567" s="1"/>
      <c r="I567" s="59">
        <f>SUM(F567:H567)</f>
        <v>0</v>
      </c>
      <c r="J567" s="1"/>
      <c r="K567" s="1"/>
      <c r="L567" s="1"/>
      <c r="M567" s="59">
        <f>SUM(J567:L567)</f>
        <v>0</v>
      </c>
      <c r="N567" s="1"/>
      <c r="O567" s="1"/>
      <c r="P567" s="1"/>
      <c r="Q567" s="59">
        <f>SUM(N567:P567)</f>
        <v>0</v>
      </c>
      <c r="R567" s="59">
        <f>+E567+I567+M567+Q567</f>
        <v>0</v>
      </c>
      <c r="T567" s="4" t="s">
        <v>368</v>
      </c>
    </row>
    <row r="568" spans="1:20" ht="15.75" customHeight="1" x14ac:dyDescent="0.3">
      <c r="A568" s="74" t="s">
        <v>505</v>
      </c>
      <c r="B568" s="1"/>
      <c r="C568" s="1"/>
      <c r="D568" s="1"/>
      <c r="E568" s="59">
        <f t="shared" ref="E568" si="220">SUM(B568:D568)</f>
        <v>0</v>
      </c>
      <c r="F568" s="1"/>
      <c r="G568" s="1"/>
      <c r="H568" s="1"/>
      <c r="I568" s="59">
        <f t="shared" ref="I568" si="221">SUM(F568:H568)</f>
        <v>0</v>
      </c>
      <c r="J568" s="1"/>
      <c r="K568" s="1"/>
      <c r="L568" s="1"/>
      <c r="M568" s="59">
        <f t="shared" ref="M568" si="222">SUM(J568:L568)</f>
        <v>0</v>
      </c>
      <c r="N568" s="1"/>
      <c r="O568" s="1"/>
      <c r="P568" s="1"/>
      <c r="Q568" s="59">
        <f t="shared" ref="Q568" si="223">SUM(N568:P568)</f>
        <v>0</v>
      </c>
      <c r="R568" s="59">
        <f t="shared" ref="R568" si="224">+E568+I568+M568+Q568</f>
        <v>0</v>
      </c>
    </row>
    <row r="569" spans="1:20" ht="15.75" customHeight="1" thickBot="1" x14ac:dyDescent="0.35">
      <c r="A569" s="74" t="s">
        <v>506</v>
      </c>
      <c r="B569" s="1"/>
      <c r="C569" s="1"/>
      <c r="D569" s="1"/>
      <c r="E569" s="59">
        <f t="shared" si="215"/>
        <v>0</v>
      </c>
      <c r="F569" s="1"/>
      <c r="G569" s="1"/>
      <c r="H569" s="1"/>
      <c r="I569" s="59">
        <f t="shared" si="216"/>
        <v>0</v>
      </c>
      <c r="J569" s="1"/>
      <c r="K569" s="1"/>
      <c r="L569" s="1"/>
      <c r="M569" s="59">
        <f t="shared" si="217"/>
        <v>0</v>
      </c>
      <c r="N569" s="1"/>
      <c r="O569" s="1"/>
      <c r="P569" s="1"/>
      <c r="Q569" s="59">
        <f t="shared" si="218"/>
        <v>0</v>
      </c>
      <c r="R569" s="59">
        <f t="shared" si="219"/>
        <v>0</v>
      </c>
    </row>
    <row r="570" spans="1:20" ht="16.5" customHeight="1" thickBot="1" x14ac:dyDescent="0.35">
      <c r="A570" s="62" t="s">
        <v>68</v>
      </c>
      <c r="B570" s="63">
        <f>SUM(B563:B569)</f>
        <v>0</v>
      </c>
      <c r="C570" s="63">
        <f>SUM(C563:C569)</f>
        <v>0</v>
      </c>
      <c r="D570" s="63">
        <f>SUM(D563:D569)</f>
        <v>0</v>
      </c>
      <c r="E570" s="65">
        <f t="shared" si="215"/>
        <v>0</v>
      </c>
      <c r="F570" s="63">
        <f>SUM(F563:F569)</f>
        <v>0</v>
      </c>
      <c r="G570" s="63">
        <f>SUM(G563:G569)</f>
        <v>0</v>
      </c>
      <c r="H570" s="63">
        <f>SUM(H563:H569)</f>
        <v>0</v>
      </c>
      <c r="I570" s="65">
        <f t="shared" si="216"/>
        <v>0</v>
      </c>
      <c r="J570" s="63">
        <f>SUM(J563:J569)</f>
        <v>0</v>
      </c>
      <c r="K570" s="63">
        <f>SUM(K563:K569)</f>
        <v>0</v>
      </c>
      <c r="L570" s="63">
        <f>SUM(L563:L569)</f>
        <v>0</v>
      </c>
      <c r="M570" s="65">
        <f t="shared" si="217"/>
        <v>0</v>
      </c>
      <c r="N570" s="63">
        <f>SUM(N563:N569)</f>
        <v>0</v>
      </c>
      <c r="O570" s="63">
        <f>SUM(O563:O569)</f>
        <v>0</v>
      </c>
      <c r="P570" s="63">
        <f>SUM(P563:P569)</f>
        <v>0</v>
      </c>
      <c r="Q570" s="65">
        <f t="shared" si="218"/>
        <v>0</v>
      </c>
      <c r="R570" s="64">
        <f t="shared" si="219"/>
        <v>0</v>
      </c>
    </row>
    <row r="571" spans="1:20" ht="16.5" customHeight="1" thickBot="1" x14ac:dyDescent="0.35">
      <c r="A571" s="137" t="s">
        <v>69</v>
      </c>
      <c r="B571" s="100">
        <f>SUM(B560:B569)</f>
        <v>0</v>
      </c>
      <c r="C571" s="101">
        <f>SUM(C560:C569)</f>
        <v>0</v>
      </c>
      <c r="D571" s="138">
        <f>SUM(D560:D569)</f>
        <v>0</v>
      </c>
      <c r="E571" s="65">
        <f t="shared" si="215"/>
        <v>0</v>
      </c>
      <c r="F571" s="101">
        <f>SUM(F560:F569)</f>
        <v>0</v>
      </c>
      <c r="G571" s="101">
        <f>SUM(G560:G569)</f>
        <v>0</v>
      </c>
      <c r="H571" s="101">
        <f>SUM(H560:H569)</f>
        <v>0</v>
      </c>
      <c r="I571" s="65">
        <f t="shared" si="216"/>
        <v>0</v>
      </c>
      <c r="J571" s="101">
        <f>SUM(J560:J569)</f>
        <v>0</v>
      </c>
      <c r="K571" s="101">
        <f>SUM(K560:K569)</f>
        <v>0</v>
      </c>
      <c r="L571" s="101">
        <f>SUM(L560:L569)</f>
        <v>0</v>
      </c>
      <c r="M571" s="65">
        <f t="shared" si="217"/>
        <v>0</v>
      </c>
      <c r="N571" s="101">
        <f>SUM(N560:N569)</f>
        <v>0</v>
      </c>
      <c r="O571" s="101">
        <f>SUM(O560:O569)</f>
        <v>0</v>
      </c>
      <c r="P571" s="101">
        <f>SUM(P560:P569)</f>
        <v>0</v>
      </c>
      <c r="Q571" s="65">
        <f t="shared" si="218"/>
        <v>0</v>
      </c>
      <c r="R571" s="64">
        <f t="shared" si="219"/>
        <v>0</v>
      </c>
    </row>
    <row r="572" spans="1:20" ht="16.5" customHeight="1" thickBot="1" x14ac:dyDescent="0.35">
      <c r="A572" s="62" t="s">
        <v>70</v>
      </c>
      <c r="B572" s="107">
        <f>+B548+B554+B559+B571</f>
        <v>143</v>
      </c>
      <c r="C572" s="63">
        <f>+C548+C554+C559+C571</f>
        <v>588</v>
      </c>
      <c r="D572" s="63">
        <f>+D548+D554+D559+D571</f>
        <v>2550</v>
      </c>
      <c r="E572" s="64">
        <f t="shared" si="215"/>
        <v>3281</v>
      </c>
      <c r="F572" s="63">
        <f>+F548+F554+F559+F571</f>
        <v>3350</v>
      </c>
      <c r="G572" s="63">
        <f>+G548+G554+G559+G571</f>
        <v>2841</v>
      </c>
      <c r="H572" s="63">
        <f>+H548+H554+H559+H571</f>
        <v>5750</v>
      </c>
      <c r="I572" s="64">
        <f t="shared" si="216"/>
        <v>11941</v>
      </c>
      <c r="J572" s="63">
        <f>+J548+J554+J559+J571</f>
        <v>6457</v>
      </c>
      <c r="K572" s="63">
        <f>+K548+K554+K559+K571</f>
        <v>5118</v>
      </c>
      <c r="L572" s="63">
        <f>+L548+L554+L559+L571</f>
        <v>2200</v>
      </c>
      <c r="M572" s="64">
        <f t="shared" si="217"/>
        <v>13775</v>
      </c>
      <c r="N572" s="63">
        <f>+N548+N554+N559+N571</f>
        <v>850</v>
      </c>
      <c r="O572" s="63">
        <f>+O548+O554+O559+O571</f>
        <v>8</v>
      </c>
      <c r="P572" s="63">
        <f>+P548+P554+P559+P571</f>
        <v>40</v>
      </c>
      <c r="Q572" s="64">
        <f t="shared" si="218"/>
        <v>898</v>
      </c>
      <c r="R572" s="88">
        <f t="shared" si="219"/>
        <v>29895</v>
      </c>
    </row>
    <row r="573" spans="1:20" ht="16.5" customHeight="1" thickBot="1" x14ac:dyDescent="0.35">
      <c r="A573" s="40" t="s">
        <v>37</v>
      </c>
      <c r="B573" s="25">
        <v>23</v>
      </c>
      <c r="C573" s="25">
        <v>43</v>
      </c>
      <c r="D573" s="25">
        <v>66</v>
      </c>
      <c r="E573" s="88">
        <f t="shared" si="215"/>
        <v>132</v>
      </c>
      <c r="F573" s="25">
        <v>91</v>
      </c>
      <c r="G573" s="25">
        <v>108</v>
      </c>
      <c r="H573" s="25">
        <v>109</v>
      </c>
      <c r="I573" s="88">
        <f t="shared" si="216"/>
        <v>308</v>
      </c>
      <c r="J573" s="25">
        <v>104</v>
      </c>
      <c r="K573" s="25">
        <v>79</v>
      </c>
      <c r="L573" s="25">
        <v>80</v>
      </c>
      <c r="M573" s="88">
        <f t="shared" si="217"/>
        <v>263</v>
      </c>
      <c r="N573" s="25">
        <v>74</v>
      </c>
      <c r="O573" s="25">
        <v>58</v>
      </c>
      <c r="P573" s="25">
        <v>42</v>
      </c>
      <c r="Q573" s="88">
        <f t="shared" si="218"/>
        <v>174</v>
      </c>
      <c r="R573" s="59">
        <f t="shared" si="219"/>
        <v>877</v>
      </c>
    </row>
    <row r="574" spans="1:20" ht="16.5" customHeight="1" thickBot="1" x14ac:dyDescent="0.35">
      <c r="A574" s="42"/>
      <c r="B574" s="37"/>
      <c r="C574" s="37"/>
      <c r="D574" s="37"/>
      <c r="E574" s="43"/>
      <c r="F574" s="37"/>
      <c r="G574" s="37"/>
      <c r="H574" s="37"/>
      <c r="I574" s="147"/>
      <c r="J574" s="37"/>
      <c r="K574" s="37"/>
      <c r="L574" s="37"/>
      <c r="M574" s="147"/>
      <c r="N574" s="37"/>
      <c r="O574" s="37"/>
      <c r="P574" s="37"/>
      <c r="Q574" s="147"/>
      <c r="R574" s="43"/>
    </row>
    <row r="575" spans="1:20" ht="15.75" customHeight="1" x14ac:dyDescent="0.3">
      <c r="A575" s="17" t="s">
        <v>507</v>
      </c>
      <c r="B575" s="83">
        <f>SUM(B572:B573)</f>
        <v>166</v>
      </c>
      <c r="C575" s="83">
        <f>SUM(C572:C573)</f>
        <v>631</v>
      </c>
      <c r="D575" s="83">
        <f>SUM(D572:D573)</f>
        <v>2616</v>
      </c>
      <c r="E575" s="65">
        <f>SUM(B575:D575)</f>
        <v>3413</v>
      </c>
      <c r="F575" s="83">
        <f>SUM(F572:F573)</f>
        <v>3441</v>
      </c>
      <c r="G575" s="83">
        <f>SUM(G572:G573)</f>
        <v>2949</v>
      </c>
      <c r="H575" s="83">
        <f>SUM(H572:H573)</f>
        <v>5859</v>
      </c>
      <c r="I575" s="65">
        <f>SUM(F575:H575)</f>
        <v>12249</v>
      </c>
      <c r="J575" s="83">
        <f>SUM(J572:J573)</f>
        <v>6561</v>
      </c>
      <c r="K575" s="83">
        <f>SUM(K572:K573)</f>
        <v>5197</v>
      </c>
      <c r="L575" s="83">
        <f>SUM(L572:L573)</f>
        <v>2280</v>
      </c>
      <c r="M575" s="65">
        <f>SUM(J575:L575)</f>
        <v>14038</v>
      </c>
      <c r="N575" s="83">
        <f>SUM(N572:N573)</f>
        <v>924</v>
      </c>
      <c r="O575" s="83">
        <f>SUM(O572:O573)</f>
        <v>66</v>
      </c>
      <c r="P575" s="83">
        <f>SUM(P572:P573)</f>
        <v>82</v>
      </c>
      <c r="Q575" s="65">
        <f>SUM(N575:P575)</f>
        <v>1072</v>
      </c>
      <c r="R575" s="65">
        <f>+E575+I575+M575+Q575</f>
        <v>30772</v>
      </c>
    </row>
    <row r="576" spans="1:20" ht="15.75" customHeight="1" x14ac:dyDescent="0.3">
      <c r="A576" s="17" t="s">
        <v>39</v>
      </c>
      <c r="B576" s="1">
        <f>(B575/B10)/1.983</f>
        <v>2.7003725212695002</v>
      </c>
      <c r="C576" s="1">
        <f>(C575/C10)/1.983</f>
        <v>11.364455010445932</v>
      </c>
      <c r="D576" s="1">
        <f>(D575/D10)/1.983</f>
        <v>42.555268166512128</v>
      </c>
      <c r="E576" s="59" t="s">
        <v>7</v>
      </c>
      <c r="F576" s="1">
        <f>(F575/F10)/1.983</f>
        <v>57.8416540595058</v>
      </c>
      <c r="G576" s="1">
        <f>(G575/G10)/1.983</f>
        <v>47.972280513396122</v>
      </c>
      <c r="H576" s="1">
        <f>(H575/H10)/1.983</f>
        <v>98.487140695915286</v>
      </c>
      <c r="I576" s="59" t="s">
        <v>7</v>
      </c>
      <c r="J576" s="1">
        <f>(J575/J10)/1.983</f>
        <v>106.72978380752525</v>
      </c>
      <c r="K576" s="1">
        <f>(K575/K10)/1.983</f>
        <v>84.541180680949367</v>
      </c>
      <c r="L576" s="1">
        <f>(L575/L10)/1.983</f>
        <v>38.325769036812908</v>
      </c>
      <c r="M576" s="59" t="s">
        <v>7</v>
      </c>
      <c r="N576" s="1">
        <f>(N575/N10)/1.983</f>
        <v>15.030989214777218</v>
      </c>
      <c r="O576" s="1">
        <f>(O575/O10)/1.983</f>
        <v>1.1094301563287947</v>
      </c>
      <c r="P576" s="1">
        <f>(P575/P10)/1.983</f>
        <v>1.3339189562897531</v>
      </c>
      <c r="Q576" s="59" t="s">
        <v>7</v>
      </c>
      <c r="R576" s="59" t="s">
        <v>7</v>
      </c>
    </row>
    <row r="577" spans="1:20" ht="15.75" customHeight="1" x14ac:dyDescent="0.3">
      <c r="A577" s="17" t="s">
        <v>508</v>
      </c>
      <c r="B577" s="1">
        <f>B575+B641</f>
        <v>18271</v>
      </c>
      <c r="C577" s="1">
        <f>C575+C641</f>
        <v>21931</v>
      </c>
      <c r="D577" s="1">
        <f>D575+D641</f>
        <v>27106</v>
      </c>
      <c r="E577" s="59">
        <f>SUM(B577:D577)</f>
        <v>67308</v>
      </c>
      <c r="F577" s="1">
        <f>F575+F641</f>
        <v>28722</v>
      </c>
      <c r="G577" s="1">
        <f>G575+G641</f>
        <v>29571</v>
      </c>
      <c r="H577" s="1">
        <f>H575+H641</f>
        <v>29571</v>
      </c>
      <c r="I577" s="59">
        <f>SUM(F577:H577)</f>
        <v>87864</v>
      </c>
      <c r="J577" s="1">
        <f>J575+J641</f>
        <v>31292</v>
      </c>
      <c r="K577" s="1">
        <f>K575+K641</f>
        <v>29913</v>
      </c>
      <c r="L577" s="1">
        <f>L575+L641</f>
        <v>26918</v>
      </c>
      <c r="M577" s="59">
        <f>SUM(J577:L577)</f>
        <v>88123</v>
      </c>
      <c r="N577" s="1">
        <f>N575+N641</f>
        <v>18653</v>
      </c>
      <c r="O577" s="1">
        <f>O575+O641</f>
        <v>2532</v>
      </c>
      <c r="P577" s="1">
        <f>P575+P641</f>
        <v>8553</v>
      </c>
      <c r="Q577" s="59">
        <f>SUM(N577:P577)</f>
        <v>29738</v>
      </c>
      <c r="R577" s="59">
        <f>+E577+I577+M577+Q577</f>
        <v>273033</v>
      </c>
    </row>
    <row r="578" spans="1:20" ht="16.5" customHeight="1" thickBot="1" x14ac:dyDescent="0.35">
      <c r="A578" s="24" t="s">
        <v>509</v>
      </c>
      <c r="B578" s="87">
        <f>(B577/B10)/1.983</f>
        <v>297.21991768743999</v>
      </c>
      <c r="C578" s="87">
        <f>(C577/C10)/1.983</f>
        <v>394.98234997478568</v>
      </c>
      <c r="D578" s="87">
        <f>(D577/D10)/1.983</f>
        <v>440.9415515754884</v>
      </c>
      <c r="E578" s="88" t="s">
        <v>7</v>
      </c>
      <c r="F578" s="87">
        <f>(F577/F10)/1.983</f>
        <v>482.80383257690363</v>
      </c>
      <c r="G578" s="87">
        <f>(G577/G10)/1.983</f>
        <v>481.04045678590597</v>
      </c>
      <c r="H578" s="87">
        <f>(H577/H10)/1.983</f>
        <v>497.07513867876952</v>
      </c>
      <c r="I578" s="88" t="s">
        <v>7</v>
      </c>
      <c r="J578" s="87">
        <f>(J577/J10)/1.983</f>
        <v>509.03648756364578</v>
      </c>
      <c r="K578" s="87">
        <f>(K577/K10)/1.983</f>
        <v>486.6038748718949</v>
      </c>
      <c r="L578" s="87">
        <f>(L577/L10)/1.983</f>
        <v>452.47940830391661</v>
      </c>
      <c r="M578" s="88" t="s">
        <v>7</v>
      </c>
      <c r="N578" s="87">
        <f>(N577/N10)/1.983</f>
        <v>303.43402794722886</v>
      </c>
      <c r="O578" s="87">
        <f>(O577/O10)/1.983</f>
        <v>42.56177508825013</v>
      </c>
      <c r="P578" s="87">
        <f>(P577/P10)/1.983</f>
        <v>139.13425406275925</v>
      </c>
      <c r="Q578" s="88" t="s">
        <v>7</v>
      </c>
      <c r="R578" s="88" t="s">
        <v>7</v>
      </c>
    </row>
    <row r="579" spans="1:20" ht="15.75" customHeight="1" x14ac:dyDescent="0.3">
      <c r="A579" s="28"/>
      <c r="B579" s="1"/>
      <c r="C579" s="1"/>
      <c r="D579" s="1"/>
      <c r="E579" s="1"/>
      <c r="F579" s="1"/>
      <c r="G579" s="1"/>
      <c r="H579" s="1"/>
      <c r="I579" s="1"/>
      <c r="J579" s="1"/>
      <c r="K579" s="1"/>
      <c r="L579" s="1"/>
      <c r="M579" s="1"/>
      <c r="N579" s="1"/>
      <c r="O579" s="1"/>
      <c r="P579" s="1"/>
      <c r="Q579" s="1"/>
      <c r="R579" s="28"/>
    </row>
    <row r="580" spans="1:20" ht="15.75" customHeight="1" thickBot="1" x14ac:dyDescent="0.35">
      <c r="A580" s="28"/>
      <c r="B580" s="1"/>
      <c r="C580" s="1"/>
      <c r="D580" s="1"/>
      <c r="E580" s="1"/>
      <c r="F580" s="1"/>
      <c r="G580" s="1"/>
      <c r="H580" s="1"/>
      <c r="I580" s="1"/>
      <c r="J580" s="1"/>
      <c r="K580" s="1"/>
      <c r="L580" s="1"/>
      <c r="M580" s="1"/>
      <c r="N580" s="1"/>
      <c r="O580" s="1"/>
      <c r="P580" s="1"/>
      <c r="Q580" s="1"/>
      <c r="R580" s="28"/>
    </row>
    <row r="581" spans="1:20" ht="16.5" customHeight="1" thickBot="1" x14ac:dyDescent="0.35">
      <c r="A581" s="145" t="s">
        <v>510</v>
      </c>
      <c r="B581" s="32" t="s">
        <v>36</v>
      </c>
      <c r="C581" s="33" t="s">
        <v>9</v>
      </c>
      <c r="D581" s="33" t="s">
        <v>10</v>
      </c>
      <c r="E581" s="12" t="s">
        <v>11</v>
      </c>
      <c r="F581" s="33" t="s">
        <v>12</v>
      </c>
      <c r="G581" s="33" t="s">
        <v>13</v>
      </c>
      <c r="H581" s="33" t="s">
        <v>14</v>
      </c>
      <c r="I581" s="34" t="s">
        <v>15</v>
      </c>
      <c r="J581" s="33" t="s">
        <v>16</v>
      </c>
      <c r="K581" s="33" t="s">
        <v>17</v>
      </c>
      <c r="L581" s="33" t="s">
        <v>18</v>
      </c>
      <c r="M581" s="34" t="s">
        <v>19</v>
      </c>
      <c r="N581" s="33" t="s">
        <v>20</v>
      </c>
      <c r="O581" s="33" t="s">
        <v>21</v>
      </c>
      <c r="P581" s="33" t="s">
        <v>22</v>
      </c>
      <c r="Q581" s="34" t="s">
        <v>23</v>
      </c>
      <c r="R581" s="35" t="s">
        <v>24</v>
      </c>
    </row>
    <row r="582" spans="1:20" ht="16.5" customHeight="1" thickBot="1" x14ac:dyDescent="0.35">
      <c r="A582" s="64"/>
      <c r="B582" s="81"/>
      <c r="C582" s="81"/>
      <c r="D582" s="81"/>
      <c r="E582" s="72"/>
      <c r="F582" s="81"/>
      <c r="G582" s="81"/>
      <c r="H582" s="81"/>
      <c r="I582" s="89"/>
      <c r="J582" s="81"/>
      <c r="K582" s="81"/>
      <c r="L582" s="81"/>
      <c r="M582" s="89"/>
      <c r="N582" s="81"/>
      <c r="O582" s="81"/>
      <c r="P582" s="81"/>
      <c r="Q582" s="89"/>
      <c r="R582" s="117"/>
    </row>
    <row r="583" spans="1:20" ht="15.75" customHeight="1" x14ac:dyDescent="0.3">
      <c r="A583" s="17" t="s">
        <v>45</v>
      </c>
      <c r="B583" s="1"/>
      <c r="C583" s="1"/>
      <c r="D583" s="1"/>
      <c r="E583" s="59" t="s">
        <v>7</v>
      </c>
      <c r="F583" s="1"/>
      <c r="G583" s="1"/>
      <c r="H583" s="1"/>
      <c r="I583" s="59" t="s">
        <v>7</v>
      </c>
      <c r="J583" s="1" t="s">
        <v>7</v>
      </c>
      <c r="K583" s="1" t="s">
        <v>7</v>
      </c>
      <c r="L583" s="1" t="s">
        <v>7</v>
      </c>
      <c r="M583" s="59" t="s">
        <v>7</v>
      </c>
      <c r="N583" s="1" t="s">
        <v>7</v>
      </c>
      <c r="O583" s="1" t="s">
        <v>7</v>
      </c>
      <c r="P583" s="1" t="s">
        <v>7</v>
      </c>
      <c r="Q583" s="59" t="s">
        <v>7</v>
      </c>
      <c r="R583" s="59" t="s">
        <v>7</v>
      </c>
    </row>
    <row r="584" spans="1:20" ht="15.75" customHeight="1" x14ac:dyDescent="0.3">
      <c r="A584" s="17" t="s">
        <v>46</v>
      </c>
      <c r="B584" s="1"/>
      <c r="C584" s="1"/>
      <c r="D584" s="1"/>
      <c r="E584" s="59" t="s">
        <v>7</v>
      </c>
      <c r="F584" s="1"/>
      <c r="G584" s="1"/>
      <c r="H584" s="1"/>
      <c r="I584" s="59" t="s">
        <v>7</v>
      </c>
      <c r="J584" s="1"/>
      <c r="K584" s="1"/>
      <c r="L584" s="1"/>
      <c r="M584" s="59" t="s">
        <v>7</v>
      </c>
      <c r="N584" s="1"/>
      <c r="O584" s="1"/>
      <c r="P584" s="1"/>
      <c r="Q584" s="59" t="s">
        <v>7</v>
      </c>
      <c r="R584" s="59" t="s">
        <v>7</v>
      </c>
    </row>
    <row r="585" spans="1:20" ht="15.75" customHeight="1" x14ac:dyDescent="0.3">
      <c r="A585" s="74" t="s">
        <v>511</v>
      </c>
      <c r="B585" s="1"/>
      <c r="C585" s="1"/>
      <c r="D585" s="1"/>
      <c r="E585" s="59">
        <f t="shared" ref="E585" si="225">SUM(B585:D585)</f>
        <v>0</v>
      </c>
      <c r="F585" s="1"/>
      <c r="G585" s="1"/>
      <c r="H585" s="1">
        <v>600</v>
      </c>
      <c r="I585" s="59">
        <f t="shared" ref="I585" si="226">SUM(F585:H585)</f>
        <v>600</v>
      </c>
      <c r="J585" s="1">
        <v>600</v>
      </c>
      <c r="K585" s="1">
        <v>600</v>
      </c>
      <c r="L585" s="1">
        <v>160</v>
      </c>
      <c r="M585" s="59">
        <f t="shared" ref="M585" si="227">SUM(J585:L585)</f>
        <v>1360</v>
      </c>
      <c r="N585" s="1"/>
      <c r="O585" s="1"/>
      <c r="P585" s="1"/>
      <c r="Q585" s="59">
        <f t="shared" ref="Q585:Q593" si="228">SUM(N585:P585)</f>
        <v>0</v>
      </c>
      <c r="R585" s="59">
        <f t="shared" ref="R585:R595" si="229">+E585+I585+M585+Q585</f>
        <v>1960</v>
      </c>
    </row>
    <row r="586" spans="1:20" ht="15.75" customHeight="1" x14ac:dyDescent="0.3">
      <c r="A586" s="74" t="s">
        <v>512</v>
      </c>
      <c r="B586" s="1">
        <v>200</v>
      </c>
      <c r="C586" s="1">
        <v>300</v>
      </c>
      <c r="D586" s="1">
        <v>500</v>
      </c>
      <c r="E586" s="59">
        <f>SUM(B586:D586)</f>
        <v>1000</v>
      </c>
      <c r="F586" s="1">
        <v>200</v>
      </c>
      <c r="G586" s="1">
        <v>200</v>
      </c>
      <c r="H586" s="1">
        <v>200</v>
      </c>
      <c r="I586" s="59">
        <f>SUM(F586:H586)</f>
        <v>600</v>
      </c>
      <c r="J586" s="1">
        <v>200</v>
      </c>
      <c r="K586" s="1">
        <v>200</v>
      </c>
      <c r="L586" s="1"/>
      <c r="M586" s="59">
        <f>SUM(J586:L586)</f>
        <v>400</v>
      </c>
      <c r="N586" s="1"/>
      <c r="O586" s="1"/>
      <c r="P586" s="1"/>
      <c r="Q586" s="59">
        <f>SUM(N586:P586)</f>
        <v>0</v>
      </c>
      <c r="R586" s="59">
        <f>+E586+I586+M586+Q586</f>
        <v>2000</v>
      </c>
    </row>
    <row r="587" spans="1:20" ht="15.75" customHeight="1" x14ac:dyDescent="0.3">
      <c r="A587" s="74" t="s">
        <v>513</v>
      </c>
      <c r="B587" s="1"/>
      <c r="C587" s="1">
        <v>100</v>
      </c>
      <c r="D587" s="1">
        <v>500</v>
      </c>
      <c r="E587" s="59">
        <f t="shared" ref="E587" si="230">SUM(B587:D587)</f>
        <v>600</v>
      </c>
      <c r="F587" s="1">
        <v>750</v>
      </c>
      <c r="G587" s="1">
        <v>1000</v>
      </c>
      <c r="H587" s="1">
        <v>1000</v>
      </c>
      <c r="I587" s="59">
        <f t="shared" ref="I587" si="231">SUM(F587:H587)</f>
        <v>2750</v>
      </c>
      <c r="J587" s="1">
        <v>1100</v>
      </c>
      <c r="K587" s="1">
        <v>1000</v>
      </c>
      <c r="L587" s="1">
        <v>1000</v>
      </c>
      <c r="M587" s="59">
        <f t="shared" ref="M587" si="232">SUM(J587:L587)</f>
        <v>3100</v>
      </c>
      <c r="N587" s="1">
        <v>550</v>
      </c>
      <c r="O587" s="1"/>
      <c r="P587" s="1"/>
      <c r="Q587" s="59">
        <f t="shared" si="228"/>
        <v>550</v>
      </c>
      <c r="R587" s="59">
        <f t="shared" si="229"/>
        <v>7000</v>
      </c>
      <c r="T587" s="4" t="s">
        <v>514</v>
      </c>
    </row>
    <row r="588" spans="1:20" ht="15.75" customHeight="1" x14ac:dyDescent="0.3">
      <c r="A588" s="74" t="s">
        <v>515</v>
      </c>
      <c r="B588" s="1"/>
      <c r="C588" s="1"/>
      <c r="D588" s="1"/>
      <c r="E588" s="59">
        <f>SUM(B588:D588)</f>
        <v>0</v>
      </c>
      <c r="F588" s="1"/>
      <c r="G588" s="1"/>
      <c r="H588" s="1"/>
      <c r="I588" s="59">
        <f>SUM(F588:H588)</f>
        <v>0</v>
      </c>
      <c r="J588" s="1"/>
      <c r="K588" s="1"/>
      <c r="L588" s="1"/>
      <c r="M588" s="59">
        <f>SUM(J588:L588)</f>
        <v>0</v>
      </c>
      <c r="N588" s="1"/>
      <c r="O588" s="1"/>
      <c r="P588" s="1"/>
      <c r="Q588" s="59">
        <f>SUM(N588:P588)</f>
        <v>0</v>
      </c>
      <c r="R588" s="59">
        <f>+E588+I588+M588+Q588</f>
        <v>0</v>
      </c>
      <c r="T588" s="4" t="s">
        <v>516</v>
      </c>
    </row>
    <row r="589" spans="1:20" ht="15.75" customHeight="1" x14ac:dyDescent="0.3">
      <c r="A589" s="74" t="s">
        <v>517</v>
      </c>
      <c r="B589" s="1">
        <v>400</v>
      </c>
      <c r="C589" s="1">
        <v>400</v>
      </c>
      <c r="D589" s="1">
        <v>400</v>
      </c>
      <c r="E589" s="59">
        <f t="shared" ref="E589" si="233">SUM(B589:D589)</f>
        <v>1200</v>
      </c>
      <c r="F589" s="1">
        <v>400</v>
      </c>
      <c r="G589" s="1">
        <v>400</v>
      </c>
      <c r="H589" s="1">
        <v>400</v>
      </c>
      <c r="I589" s="59">
        <f t="shared" ref="I589" si="234">SUM(F589:H589)</f>
        <v>1200</v>
      </c>
      <c r="J589" s="1">
        <v>400</v>
      </c>
      <c r="K589" s="1">
        <v>400</v>
      </c>
      <c r="L589" s="1">
        <v>400</v>
      </c>
      <c r="M589" s="59">
        <f t="shared" ref="M589" si="235">SUM(J589:L589)</f>
        <v>1200</v>
      </c>
      <c r="N589" s="1">
        <v>405</v>
      </c>
      <c r="O589" s="1"/>
      <c r="P589" s="1"/>
      <c r="Q589" s="59">
        <f t="shared" si="228"/>
        <v>405</v>
      </c>
      <c r="R589" s="59">
        <f t="shared" si="229"/>
        <v>4005</v>
      </c>
      <c r="T589" s="4" t="s">
        <v>516</v>
      </c>
    </row>
    <row r="590" spans="1:20" ht="15.75" customHeight="1" x14ac:dyDescent="0.3">
      <c r="A590" s="74" t="s">
        <v>518</v>
      </c>
      <c r="B590" s="1">
        <v>700</v>
      </c>
      <c r="C590" s="1">
        <v>700</v>
      </c>
      <c r="D590" s="1">
        <v>700</v>
      </c>
      <c r="E590" s="59">
        <f>SUM(B590:D590)</f>
        <v>2100</v>
      </c>
      <c r="F590" s="1">
        <v>700</v>
      </c>
      <c r="G590" s="1">
        <v>700</v>
      </c>
      <c r="H590" s="1"/>
      <c r="I590" s="59">
        <f>SUM(F590:H590)</f>
        <v>1400</v>
      </c>
      <c r="J590" s="1"/>
      <c r="K590" s="1"/>
      <c r="L590" s="1"/>
      <c r="M590" s="59">
        <f>SUM(J590:L590)</f>
        <v>0</v>
      </c>
      <c r="N590" s="1"/>
      <c r="O590" s="1"/>
      <c r="P590" s="1"/>
      <c r="Q590" s="59">
        <f>SUM(N590:P590)</f>
        <v>0</v>
      </c>
      <c r="R590" s="59">
        <f t="shared" si="229"/>
        <v>3500</v>
      </c>
    </row>
    <row r="591" spans="1:20" ht="15.75" customHeight="1" x14ac:dyDescent="0.3">
      <c r="A591" s="74" t="s">
        <v>519</v>
      </c>
      <c r="B591" s="1"/>
      <c r="C591" s="1"/>
      <c r="D591" s="1"/>
      <c r="E591" s="59">
        <f t="shared" ref="E591:E595" si="236">SUM(B591:D591)</f>
        <v>0</v>
      </c>
      <c r="F591" s="1"/>
      <c r="G591" s="1"/>
      <c r="H591" s="1"/>
      <c r="I591" s="59">
        <f t="shared" ref="I591:I595" si="237">SUM(F591:H591)</f>
        <v>0</v>
      </c>
      <c r="J591" s="1"/>
      <c r="K591" s="1">
        <v>500</v>
      </c>
      <c r="L591" s="1">
        <v>1500</v>
      </c>
      <c r="M591" s="59">
        <f t="shared" ref="M591:M595" si="238">SUM(J591:L591)</f>
        <v>2000</v>
      </c>
      <c r="N591" s="1">
        <v>800</v>
      </c>
      <c r="O591" s="1"/>
      <c r="P591" s="1"/>
      <c r="Q591" s="59">
        <f t="shared" si="228"/>
        <v>800</v>
      </c>
      <c r="R591" s="59">
        <f t="shared" si="229"/>
        <v>2800</v>
      </c>
      <c r="T591" s="4" t="s">
        <v>516</v>
      </c>
    </row>
    <row r="592" spans="1:20" ht="15.75" customHeight="1" x14ac:dyDescent="0.3">
      <c r="A592" s="74" t="s">
        <v>520</v>
      </c>
      <c r="B592" s="1"/>
      <c r="C592" s="1"/>
      <c r="D592" s="1">
        <v>300</v>
      </c>
      <c r="E592" s="59">
        <f t="shared" si="236"/>
        <v>300</v>
      </c>
      <c r="F592" s="1">
        <v>436</v>
      </c>
      <c r="G592" s="1">
        <v>400</v>
      </c>
      <c r="H592" s="1">
        <v>400</v>
      </c>
      <c r="I592" s="59">
        <f t="shared" si="237"/>
        <v>1236</v>
      </c>
      <c r="J592" s="1">
        <v>400</v>
      </c>
      <c r="K592" s="1">
        <v>400</v>
      </c>
      <c r="L592" s="1"/>
      <c r="M592" s="59">
        <f t="shared" si="238"/>
        <v>800</v>
      </c>
      <c r="N592" s="1"/>
      <c r="O592" s="1"/>
      <c r="P592" s="1"/>
      <c r="Q592" s="59">
        <f>SUM(N592:P592)</f>
        <v>0</v>
      </c>
      <c r="R592" s="59">
        <f>+E592+I592+M592+Q592</f>
        <v>2336</v>
      </c>
    </row>
    <row r="593" spans="1:20" ht="15.75" customHeight="1" x14ac:dyDescent="0.3">
      <c r="A593" s="74" t="s">
        <v>521</v>
      </c>
      <c r="B593" s="1"/>
      <c r="C593" s="1"/>
      <c r="D593" s="1"/>
      <c r="E593" s="59">
        <f t="shared" si="236"/>
        <v>0</v>
      </c>
      <c r="F593" s="1"/>
      <c r="G593" s="1"/>
      <c r="H593" s="1"/>
      <c r="I593" s="59">
        <f t="shared" si="237"/>
        <v>0</v>
      </c>
      <c r="J593" s="1"/>
      <c r="K593" s="1"/>
      <c r="L593" s="1"/>
      <c r="M593" s="59">
        <f t="shared" si="238"/>
        <v>0</v>
      </c>
      <c r="N593" s="1"/>
      <c r="O593" s="1"/>
      <c r="P593" s="1"/>
      <c r="Q593" s="59">
        <f t="shared" si="228"/>
        <v>0</v>
      </c>
      <c r="R593" s="59">
        <f t="shared" si="229"/>
        <v>0</v>
      </c>
      <c r="T593" s="4" t="s">
        <v>516</v>
      </c>
    </row>
    <row r="594" spans="1:20" ht="15.75" customHeight="1" x14ac:dyDescent="0.3">
      <c r="A594" s="74" t="s">
        <v>522</v>
      </c>
      <c r="B594" s="1"/>
      <c r="C594" s="1">
        <v>250</v>
      </c>
      <c r="D594" s="1">
        <v>400</v>
      </c>
      <c r="E594" s="59">
        <f t="shared" si="236"/>
        <v>650</v>
      </c>
      <c r="F594" s="1">
        <v>650</v>
      </c>
      <c r="G594" s="1">
        <v>750</v>
      </c>
      <c r="H594" s="1">
        <v>340</v>
      </c>
      <c r="I594" s="59">
        <f t="shared" si="237"/>
        <v>1740</v>
      </c>
      <c r="J594" s="1">
        <v>380</v>
      </c>
      <c r="K594" s="1">
        <v>67</v>
      </c>
      <c r="L594" s="1"/>
      <c r="M594" s="59">
        <f t="shared" si="238"/>
        <v>447</v>
      </c>
      <c r="N594" s="1"/>
      <c r="O594" s="1"/>
      <c r="P594" s="1"/>
      <c r="Q594" s="59">
        <f t="shared" ref="Q594" si="239">SUM(N594:P594)</f>
        <v>0</v>
      </c>
      <c r="R594" s="59">
        <f t="shared" si="229"/>
        <v>2837</v>
      </c>
    </row>
    <row r="595" spans="1:20" ht="15.75" customHeight="1" x14ac:dyDescent="0.3">
      <c r="A595" s="74" t="s">
        <v>523</v>
      </c>
      <c r="B595" s="1"/>
      <c r="C595" s="1"/>
      <c r="D595" s="1">
        <v>500</v>
      </c>
      <c r="E595" s="59">
        <f t="shared" si="236"/>
        <v>500</v>
      </c>
      <c r="F595" s="1">
        <v>500</v>
      </c>
      <c r="G595" s="1">
        <v>500</v>
      </c>
      <c r="H595" s="1"/>
      <c r="I595" s="59">
        <f t="shared" si="237"/>
        <v>1000</v>
      </c>
      <c r="J595" s="1"/>
      <c r="K595" s="1"/>
      <c r="L595" s="1"/>
      <c r="M595" s="59">
        <f t="shared" si="238"/>
        <v>0</v>
      </c>
      <c r="N595" s="1"/>
      <c r="O595" s="1"/>
      <c r="P595" s="1"/>
      <c r="Q595" s="59">
        <f t="shared" ref="Q595" si="240">SUM(N595:P595)</f>
        <v>0</v>
      </c>
      <c r="R595" s="59">
        <f t="shared" si="229"/>
        <v>1500</v>
      </c>
    </row>
    <row r="596" spans="1:20" ht="15.75" customHeight="1" x14ac:dyDescent="0.3">
      <c r="A596" s="74" t="s">
        <v>524</v>
      </c>
      <c r="B596" s="1">
        <v>1000</v>
      </c>
      <c r="C596" s="1">
        <v>1000</v>
      </c>
      <c r="D596" s="1">
        <v>1000</v>
      </c>
      <c r="E596" s="59">
        <f>SUM(B596:D596)</f>
        <v>3000</v>
      </c>
      <c r="F596" s="1">
        <v>1000</v>
      </c>
      <c r="G596" s="1">
        <v>1000</v>
      </c>
      <c r="H596" s="1">
        <v>1000</v>
      </c>
      <c r="I596" s="59">
        <f>SUM(F596:H596)</f>
        <v>3000</v>
      </c>
      <c r="J596" s="1">
        <v>1000</v>
      </c>
      <c r="K596" s="1">
        <v>1000</v>
      </c>
      <c r="L596" s="1">
        <v>1000</v>
      </c>
      <c r="M596" s="59">
        <f>SUM(J596:L596)</f>
        <v>3000</v>
      </c>
      <c r="N596" s="1">
        <v>1000</v>
      </c>
      <c r="O596" s="1"/>
      <c r="P596" s="1"/>
      <c r="Q596" s="59">
        <f>SUM(N596:P596)</f>
        <v>1000</v>
      </c>
      <c r="R596" s="59">
        <f>+E596+I596+M596+Q596</f>
        <v>10000</v>
      </c>
      <c r="T596" s="4" t="s">
        <v>514</v>
      </c>
    </row>
    <row r="597" spans="1:20" ht="15.75" customHeight="1" x14ac:dyDescent="0.3">
      <c r="A597" s="17" t="s">
        <v>47</v>
      </c>
      <c r="B597" s="1"/>
      <c r="C597" s="1"/>
      <c r="D597" s="1"/>
      <c r="E597" s="59" t="s">
        <v>7</v>
      </c>
      <c r="F597" s="1"/>
      <c r="G597" s="1"/>
      <c r="H597" s="1"/>
      <c r="I597" s="59" t="s">
        <v>7</v>
      </c>
      <c r="J597" s="1"/>
      <c r="K597" s="1"/>
      <c r="L597" s="1"/>
      <c r="M597" s="59" t="s">
        <v>7</v>
      </c>
      <c r="N597" s="1"/>
      <c r="O597" s="1"/>
      <c r="P597" s="1"/>
      <c r="Q597" s="59" t="s">
        <v>7</v>
      </c>
      <c r="R597" s="59" t="s">
        <v>7</v>
      </c>
    </row>
    <row r="598" spans="1:20" ht="15.75" customHeight="1" x14ac:dyDescent="0.3">
      <c r="A598" s="74" t="s">
        <v>521</v>
      </c>
      <c r="B598" s="1"/>
      <c r="C598" s="1"/>
      <c r="D598" s="1"/>
      <c r="E598" s="59">
        <f>SUM(B598:D598)</f>
        <v>0</v>
      </c>
      <c r="F598" s="1"/>
      <c r="G598" s="1"/>
      <c r="H598" s="1"/>
      <c r="I598" s="59">
        <f>SUM(F598:H598)</f>
        <v>0</v>
      </c>
      <c r="J598" s="1"/>
      <c r="K598" s="1"/>
      <c r="L598" s="1"/>
      <c r="M598" s="59">
        <f>SUM(J598:L598)</f>
        <v>0</v>
      </c>
      <c r="N598" s="1"/>
      <c r="O598" s="1"/>
      <c r="P598" s="1"/>
      <c r="Q598" s="59">
        <f>SUM(N598:P598)</f>
        <v>0</v>
      </c>
      <c r="R598" s="59">
        <f>+E598+I598+M598+Q598</f>
        <v>0</v>
      </c>
      <c r="T598" s="4" t="s">
        <v>516</v>
      </c>
    </row>
    <row r="599" spans="1:20" ht="15.75" customHeight="1" x14ac:dyDescent="0.3">
      <c r="A599" s="17" t="s">
        <v>49</v>
      </c>
      <c r="B599" s="1"/>
      <c r="C599" s="1"/>
      <c r="D599" s="1"/>
      <c r="E599" s="59" t="s">
        <v>7</v>
      </c>
      <c r="F599" s="1"/>
      <c r="G599" s="1"/>
      <c r="H599" s="1"/>
      <c r="I599" s="59" t="s">
        <v>7</v>
      </c>
      <c r="J599" s="1"/>
      <c r="K599" s="1"/>
      <c r="L599" s="1"/>
      <c r="M599" s="59" t="s">
        <v>7</v>
      </c>
      <c r="N599" s="1"/>
      <c r="O599" s="1"/>
      <c r="P599" s="1"/>
      <c r="Q599" s="59" t="s">
        <v>7</v>
      </c>
      <c r="R599" s="59" t="s">
        <v>7</v>
      </c>
    </row>
    <row r="600" spans="1:20" ht="15.75" customHeight="1" x14ac:dyDescent="0.3">
      <c r="A600" s="74" t="s">
        <v>525</v>
      </c>
      <c r="B600" s="1"/>
      <c r="C600" s="1"/>
      <c r="D600" s="1"/>
      <c r="E600" s="59">
        <f>SUM(B600:D600)</f>
        <v>0</v>
      </c>
      <c r="F600" s="1"/>
      <c r="G600" s="1"/>
      <c r="H600" s="1"/>
      <c r="I600" s="59">
        <f>SUM(F600:H600)</f>
        <v>0</v>
      </c>
      <c r="J600" s="1"/>
      <c r="K600" s="1"/>
      <c r="L600" s="1">
        <v>500</v>
      </c>
      <c r="M600" s="59">
        <f>SUM(J600:L600)</f>
        <v>500</v>
      </c>
      <c r="N600" s="1"/>
      <c r="O600" s="1"/>
      <c r="P600" s="1"/>
      <c r="Q600" s="59">
        <f>SUM(N600:P600)</f>
        <v>0</v>
      </c>
      <c r="R600" s="59">
        <f>+E600+I600+M600+Q600</f>
        <v>500</v>
      </c>
      <c r="S600" s="77" t="s">
        <v>90</v>
      </c>
      <c r="T600" s="4" t="s">
        <v>516</v>
      </c>
    </row>
    <row r="601" spans="1:20" ht="15.75" customHeight="1" thickBot="1" x14ac:dyDescent="0.35">
      <c r="A601" s="17" t="s">
        <v>51</v>
      </c>
      <c r="B601" s="1"/>
      <c r="C601" s="1"/>
      <c r="D601" s="1"/>
      <c r="E601" s="59" t="s">
        <v>7</v>
      </c>
      <c r="F601" s="1"/>
      <c r="G601" s="1"/>
      <c r="H601" s="1"/>
      <c r="I601" s="59" t="s">
        <v>7</v>
      </c>
      <c r="J601" s="1"/>
      <c r="K601" s="1"/>
      <c r="L601" s="1"/>
      <c r="M601" s="59" t="s">
        <v>7</v>
      </c>
      <c r="N601" s="1"/>
      <c r="O601" s="1"/>
      <c r="P601" s="1"/>
      <c r="Q601" s="59" t="s">
        <v>7</v>
      </c>
      <c r="R601" s="59" t="s">
        <v>7</v>
      </c>
    </row>
    <row r="602" spans="1:20" ht="16.5" customHeight="1" thickBot="1" x14ac:dyDescent="0.35">
      <c r="A602" s="126" t="s">
        <v>52</v>
      </c>
      <c r="B602" s="100">
        <f>SUM(B583:B601)</f>
        <v>2300</v>
      </c>
      <c r="C602" s="101">
        <f>SUM(C583:C601)</f>
        <v>2750</v>
      </c>
      <c r="D602" s="101">
        <f>SUM(D583:D601)</f>
        <v>4300</v>
      </c>
      <c r="E602" s="64">
        <f>SUM(B602:D602)</f>
        <v>9350</v>
      </c>
      <c r="F602" s="101">
        <f>SUM(F583:F601)</f>
        <v>4636</v>
      </c>
      <c r="G602" s="101">
        <f>SUM(G583:G601)</f>
        <v>4950</v>
      </c>
      <c r="H602" s="101">
        <f>SUM(H583:H601)</f>
        <v>3940</v>
      </c>
      <c r="I602" s="64">
        <f>SUM(F602:H602)</f>
        <v>13526</v>
      </c>
      <c r="J602" s="101">
        <f>SUM(J583:J601)</f>
        <v>4080</v>
      </c>
      <c r="K602" s="101">
        <f>SUM(K583:K601)</f>
        <v>4167</v>
      </c>
      <c r="L602" s="101">
        <f>SUM(L583:L601)</f>
        <v>4560</v>
      </c>
      <c r="M602" s="64">
        <f>SUM(J602:L602)</f>
        <v>12807</v>
      </c>
      <c r="N602" s="101">
        <f>SUM(N583:N601)</f>
        <v>2755</v>
      </c>
      <c r="O602" s="101">
        <f>SUM(O583:O601)</f>
        <v>0</v>
      </c>
      <c r="P602" s="101">
        <f>SUM(P583:P601)</f>
        <v>0</v>
      </c>
      <c r="Q602" s="64">
        <f>SUM(N602:P602)</f>
        <v>2755</v>
      </c>
      <c r="R602" s="64">
        <f>+E602+I602+M602+Q602</f>
        <v>38438</v>
      </c>
    </row>
    <row r="603" spans="1:20" ht="15.75" customHeight="1" x14ac:dyDescent="0.3">
      <c r="A603" s="17" t="s">
        <v>53</v>
      </c>
      <c r="B603" s="1"/>
      <c r="C603" s="1"/>
      <c r="D603" s="1"/>
      <c r="E603" s="59" t="s">
        <v>7</v>
      </c>
      <c r="F603" s="1"/>
      <c r="G603" s="1"/>
      <c r="H603" s="1"/>
      <c r="I603" s="59" t="s">
        <v>7</v>
      </c>
      <c r="J603" s="1"/>
      <c r="K603" s="1"/>
      <c r="L603" s="1"/>
      <c r="M603" s="59" t="s">
        <v>7</v>
      </c>
      <c r="N603" s="1"/>
      <c r="O603" s="1"/>
      <c r="P603" s="1"/>
      <c r="Q603" s="59" t="s">
        <v>7</v>
      </c>
      <c r="R603" s="59" t="s">
        <v>7</v>
      </c>
    </row>
    <row r="604" spans="1:20" ht="15.75" customHeight="1" x14ac:dyDescent="0.3">
      <c r="A604" s="17" t="s">
        <v>55</v>
      </c>
      <c r="B604" s="1"/>
      <c r="C604" s="1"/>
      <c r="D604" s="1"/>
      <c r="E604" s="59" t="s">
        <v>7</v>
      </c>
      <c r="F604" s="1"/>
      <c r="G604" s="1"/>
      <c r="H604" s="1"/>
      <c r="I604" s="59" t="s">
        <v>7</v>
      </c>
      <c r="J604" s="1"/>
      <c r="K604" s="1"/>
      <c r="L604" s="1"/>
      <c r="M604" s="59" t="s">
        <v>7</v>
      </c>
      <c r="N604" s="1"/>
      <c r="O604" s="1"/>
      <c r="P604" s="1"/>
      <c r="Q604" s="59" t="s">
        <v>7</v>
      </c>
      <c r="R604" s="59" t="s">
        <v>7</v>
      </c>
    </row>
    <row r="605" spans="1:20" ht="15.75" customHeight="1" x14ac:dyDescent="0.3">
      <c r="A605" s="74" t="s">
        <v>526</v>
      </c>
      <c r="B605" s="1"/>
      <c r="C605" s="1"/>
      <c r="D605" s="1"/>
      <c r="E605" s="59">
        <f>SUM(B605:D605)</f>
        <v>0</v>
      </c>
      <c r="F605" s="1"/>
      <c r="G605" s="1"/>
      <c r="H605" s="1"/>
      <c r="I605" s="59">
        <f>SUM(F605:H605)</f>
        <v>0</v>
      </c>
      <c r="J605" s="1"/>
      <c r="K605" s="1"/>
      <c r="L605" s="1"/>
      <c r="M605" s="59">
        <f>SUM(J605:L605)</f>
        <v>0</v>
      </c>
      <c r="N605" s="1"/>
      <c r="O605" s="1"/>
      <c r="P605" s="1"/>
      <c r="Q605" s="59">
        <f>SUM(N605:P605)</f>
        <v>0</v>
      </c>
      <c r="R605" s="59">
        <f>+E605+I605+M605+Q605</f>
        <v>0</v>
      </c>
    </row>
    <row r="606" spans="1:20" ht="15.75" customHeight="1" x14ac:dyDescent="0.3">
      <c r="A606" s="74" t="s">
        <v>527</v>
      </c>
      <c r="B606" s="1"/>
      <c r="C606" s="1"/>
      <c r="D606" s="1"/>
      <c r="E606" s="59">
        <f>SUM(B606:D606)</f>
        <v>0</v>
      </c>
      <c r="F606" s="1"/>
      <c r="G606" s="1"/>
      <c r="H606" s="1"/>
      <c r="I606" s="59">
        <f>SUM(F606:H606)</f>
        <v>0</v>
      </c>
      <c r="J606" s="1"/>
      <c r="K606" s="1"/>
      <c r="L606" s="1"/>
      <c r="M606" s="59">
        <f>SUM(J606:L606)</f>
        <v>0</v>
      </c>
      <c r="N606" s="1"/>
      <c r="O606" s="1"/>
      <c r="P606" s="1"/>
      <c r="Q606" s="59">
        <f>SUM(N606:P606)</f>
        <v>0</v>
      </c>
      <c r="R606" s="59">
        <f>+E606+I606+M606+Q606</f>
        <v>0</v>
      </c>
    </row>
    <row r="607" spans="1:20" ht="15.75" customHeight="1" thickBot="1" x14ac:dyDescent="0.35">
      <c r="A607" s="17" t="s">
        <v>56</v>
      </c>
      <c r="B607" s="1"/>
      <c r="C607" s="1"/>
      <c r="D607" s="1"/>
      <c r="E607" s="59" t="s">
        <v>7</v>
      </c>
      <c r="F607" s="1"/>
      <c r="G607" s="1"/>
      <c r="H607" s="1"/>
      <c r="I607" s="59" t="s">
        <v>7</v>
      </c>
      <c r="J607" s="1"/>
      <c r="K607" s="1"/>
      <c r="L607" s="1"/>
      <c r="M607" s="59" t="s">
        <v>7</v>
      </c>
      <c r="N607" s="1"/>
      <c r="O607" s="1"/>
      <c r="P607" s="1"/>
      <c r="Q607" s="59" t="s">
        <v>7</v>
      </c>
      <c r="R607" s="59" t="s">
        <v>7</v>
      </c>
    </row>
    <row r="608" spans="1:20" ht="16.5" customHeight="1" thickBot="1" x14ac:dyDescent="0.35">
      <c r="A608" s="62" t="s">
        <v>57</v>
      </c>
      <c r="B608" s="100">
        <f>SUM(B603:B607)</f>
        <v>0</v>
      </c>
      <c r="C608" s="101">
        <f>SUM(C603:C607)</f>
        <v>0</v>
      </c>
      <c r="D608" s="101">
        <f>SUM(D603:D607)</f>
        <v>0</v>
      </c>
      <c r="E608" s="64">
        <f>SUM(B608:D608)</f>
        <v>0</v>
      </c>
      <c r="F608" s="101">
        <f>SUM(F603:F607)</f>
        <v>0</v>
      </c>
      <c r="G608" s="101">
        <f>SUM(G603:G607)</f>
        <v>0</v>
      </c>
      <c r="H608" s="101">
        <f>SUM(H603:H607)</f>
        <v>0</v>
      </c>
      <c r="I608" s="64">
        <f>SUM(F608:H608)</f>
        <v>0</v>
      </c>
      <c r="J608" s="101">
        <f>SUM(J603:J607)</f>
        <v>0</v>
      </c>
      <c r="K608" s="101">
        <f>SUM(K603:K607)</f>
        <v>0</v>
      </c>
      <c r="L608" s="101">
        <f>SUM(L603:L607)</f>
        <v>0</v>
      </c>
      <c r="M608" s="64">
        <f>SUM(J608:L608)</f>
        <v>0</v>
      </c>
      <c r="N608" s="101">
        <f>SUM(N603:N607)</f>
        <v>0</v>
      </c>
      <c r="O608" s="101">
        <f>SUM(O603:O607)</f>
        <v>0</v>
      </c>
      <c r="P608" s="101">
        <f>SUM(P603:P607)</f>
        <v>0</v>
      </c>
      <c r="Q608" s="64">
        <f>SUM(N608:P608)</f>
        <v>0</v>
      </c>
      <c r="R608" s="64">
        <f>+E608+I608+M608+Q608</f>
        <v>0</v>
      </c>
    </row>
    <row r="609" spans="1:20" ht="15.75" customHeight="1" x14ac:dyDescent="0.3">
      <c r="A609" s="17" t="s">
        <v>58</v>
      </c>
      <c r="B609" s="1"/>
      <c r="C609" s="1"/>
      <c r="D609" s="1"/>
      <c r="E609" s="59" t="s">
        <v>7</v>
      </c>
      <c r="F609" s="1"/>
      <c r="G609" s="1"/>
      <c r="H609" s="1"/>
      <c r="I609" s="59" t="s">
        <v>7</v>
      </c>
      <c r="J609" s="1"/>
      <c r="K609" s="1"/>
      <c r="L609" s="1"/>
      <c r="M609" s="59" t="s">
        <v>7</v>
      </c>
      <c r="N609" s="1"/>
      <c r="O609" s="1"/>
      <c r="P609" s="1"/>
      <c r="Q609" s="59" t="s">
        <v>7</v>
      </c>
      <c r="R609" s="59" t="s">
        <v>7</v>
      </c>
    </row>
    <row r="610" spans="1:20" ht="15.75" customHeight="1" x14ac:dyDescent="0.3">
      <c r="A610" s="17" t="s">
        <v>59</v>
      </c>
      <c r="B610" s="1"/>
      <c r="C610" s="1"/>
      <c r="D610" s="1"/>
      <c r="E610" s="59" t="s">
        <v>7</v>
      </c>
      <c r="F610" s="1"/>
      <c r="G610" s="1"/>
      <c r="H610" s="1"/>
      <c r="I610" s="59" t="s">
        <v>7</v>
      </c>
      <c r="J610" s="1"/>
      <c r="K610" s="1"/>
      <c r="L610" s="1"/>
      <c r="M610" s="59" t="s">
        <v>7</v>
      </c>
      <c r="N610" s="1"/>
      <c r="O610" s="1"/>
      <c r="P610" s="1"/>
      <c r="Q610" s="59" t="s">
        <v>7</v>
      </c>
      <c r="R610" s="59" t="s">
        <v>7</v>
      </c>
    </row>
    <row r="611" spans="1:20" ht="15.75" customHeight="1" x14ac:dyDescent="0.3">
      <c r="A611" s="17" t="s">
        <v>60</v>
      </c>
      <c r="B611" s="1"/>
      <c r="C611" s="1"/>
      <c r="D611" s="1"/>
      <c r="E611" s="59" t="s">
        <v>7</v>
      </c>
      <c r="F611" s="1"/>
      <c r="G611" s="1"/>
      <c r="H611" s="1"/>
      <c r="I611" s="59" t="s">
        <v>7</v>
      </c>
      <c r="J611" s="1"/>
      <c r="K611" s="1"/>
      <c r="L611" s="1"/>
      <c r="M611" s="59" t="s">
        <v>7</v>
      </c>
      <c r="N611" s="1"/>
      <c r="O611" s="1"/>
      <c r="P611" s="1"/>
      <c r="Q611" s="59" t="s">
        <v>7</v>
      </c>
      <c r="R611" s="59" t="s">
        <v>7</v>
      </c>
    </row>
    <row r="612" spans="1:20" ht="15.75" customHeight="1" x14ac:dyDescent="0.3">
      <c r="A612" s="74" t="s">
        <v>528</v>
      </c>
      <c r="B612" s="1"/>
      <c r="C612" s="1"/>
      <c r="D612" s="1"/>
      <c r="E612" s="59">
        <f t="shared" ref="E612:E613" si="241">SUM(B612:D612)</f>
        <v>0</v>
      </c>
      <c r="F612" s="1"/>
      <c r="G612" s="1"/>
      <c r="H612" s="1"/>
      <c r="I612" s="59">
        <f t="shared" ref="I612:I613" si="242">SUM(F612:H612)</f>
        <v>0</v>
      </c>
      <c r="J612" s="1"/>
      <c r="K612" s="1"/>
      <c r="L612" s="1"/>
      <c r="M612" s="59">
        <f t="shared" ref="M612:M613" si="243">SUM(J612:L612)</f>
        <v>0</v>
      </c>
      <c r="N612" s="1"/>
      <c r="O612" s="1"/>
      <c r="P612" s="1"/>
      <c r="Q612" s="59">
        <f>SUM(N612:P612)</f>
        <v>0</v>
      </c>
      <c r="R612" s="59">
        <f>+E612+I612+M612+Q612</f>
        <v>0</v>
      </c>
      <c r="T612" s="4" t="s">
        <v>516</v>
      </c>
    </row>
    <row r="613" spans="1:20" ht="15.75" customHeight="1" x14ac:dyDescent="0.3">
      <c r="A613" s="74" t="s">
        <v>529</v>
      </c>
      <c r="B613" s="1"/>
      <c r="C613" s="1"/>
      <c r="D613" s="1"/>
      <c r="E613" s="59">
        <f t="shared" si="241"/>
        <v>0</v>
      </c>
      <c r="F613" s="1"/>
      <c r="G613" s="1"/>
      <c r="H613" s="1"/>
      <c r="I613" s="59">
        <f t="shared" si="242"/>
        <v>0</v>
      </c>
      <c r="J613" s="1"/>
      <c r="K613" s="1"/>
      <c r="L613" s="1"/>
      <c r="M613" s="59">
        <f t="shared" si="243"/>
        <v>0</v>
      </c>
      <c r="N613" s="1"/>
      <c r="O613" s="1"/>
      <c r="P613" s="1"/>
      <c r="Q613" s="59">
        <f t="shared" ref="Q613" si="244">SUM(N613:P613)</f>
        <v>0</v>
      </c>
      <c r="R613" s="59">
        <f t="shared" ref="R613:R615" si="245">+E613+I613+M613+Q613</f>
        <v>0</v>
      </c>
    </row>
    <row r="614" spans="1:20" ht="15.75" customHeight="1" x14ac:dyDescent="0.3">
      <c r="A614" s="74" t="s">
        <v>531</v>
      </c>
      <c r="B614" s="1"/>
      <c r="C614" s="1"/>
      <c r="D614" s="1"/>
      <c r="E614" s="59">
        <f>SUM(B614:D614)</f>
        <v>0</v>
      </c>
      <c r="F614" s="1"/>
      <c r="G614" s="1"/>
      <c r="H614" s="1"/>
      <c r="I614" s="59">
        <f>SUM(F614:H614)</f>
        <v>0</v>
      </c>
      <c r="J614" s="1"/>
      <c r="K614" s="1"/>
      <c r="L614" s="1"/>
      <c r="M614" s="59">
        <f>SUM(J614:L614)</f>
        <v>0</v>
      </c>
      <c r="N614" s="1"/>
      <c r="O614" s="1"/>
      <c r="P614" s="1"/>
      <c r="Q614" s="59">
        <f>SUM(N614:P614)</f>
        <v>0</v>
      </c>
      <c r="R614" s="59">
        <f t="shared" si="245"/>
        <v>0</v>
      </c>
    </row>
    <row r="615" spans="1:20" ht="15.75" customHeight="1" x14ac:dyDescent="0.3">
      <c r="A615" s="74" t="s">
        <v>533</v>
      </c>
      <c r="B615" s="1"/>
      <c r="C615" s="1"/>
      <c r="D615" s="1"/>
      <c r="E615" s="59">
        <f>SUM(B615:D615)</f>
        <v>0</v>
      </c>
      <c r="F615" s="1"/>
      <c r="G615" s="1"/>
      <c r="H615" s="1"/>
      <c r="I615" s="59">
        <f>SUM(F615:H615)</f>
        <v>0</v>
      </c>
      <c r="J615" s="1"/>
      <c r="K615" s="1"/>
      <c r="L615" s="1"/>
      <c r="M615" s="59">
        <f>SUM(J615:L615)</f>
        <v>0</v>
      </c>
      <c r="N615" s="1"/>
      <c r="O615" s="1"/>
      <c r="P615" s="1"/>
      <c r="Q615" s="59">
        <f>SUM(N615:P615)</f>
        <v>0</v>
      </c>
      <c r="R615" s="59">
        <f t="shared" si="245"/>
        <v>0</v>
      </c>
    </row>
    <row r="616" spans="1:20" ht="15.75" customHeight="1" thickBot="1" x14ac:dyDescent="0.35">
      <c r="A616" s="74" t="s">
        <v>534</v>
      </c>
      <c r="B616" s="1"/>
      <c r="C616" s="1"/>
      <c r="D616" s="1"/>
      <c r="E616" s="59">
        <f>SUM(B616:D616)</f>
        <v>0</v>
      </c>
      <c r="F616" s="1"/>
      <c r="G616" s="1"/>
      <c r="H616" s="1"/>
      <c r="I616" s="59">
        <f>SUM(F616:H616)</f>
        <v>0</v>
      </c>
      <c r="J616" s="1"/>
      <c r="K616" s="1"/>
      <c r="L616" s="1"/>
      <c r="M616" s="59">
        <f>SUM(J616:L616)</f>
        <v>0</v>
      </c>
      <c r="N616" s="1"/>
      <c r="O616" s="1"/>
      <c r="P616" s="1"/>
      <c r="Q616" s="59">
        <f>SUM(N616:P616)</f>
        <v>0</v>
      </c>
      <c r="R616" s="59">
        <f>+E616+I616+M616+Q616</f>
        <v>0</v>
      </c>
      <c r="T616" s="4" t="s">
        <v>516</v>
      </c>
    </row>
    <row r="617" spans="1:20" ht="16.5" customHeight="1" thickBot="1" x14ac:dyDescent="0.35">
      <c r="A617" s="137" t="s">
        <v>61</v>
      </c>
      <c r="B617" s="100">
        <f>SUM(B609:B616)</f>
        <v>0</v>
      </c>
      <c r="C617" s="101">
        <f>SUM(C609:C616)</f>
        <v>0</v>
      </c>
      <c r="D617" s="101">
        <f>SUM(D609:D616)</f>
        <v>0</v>
      </c>
      <c r="E617" s="64">
        <f>SUM(B617:D617)</f>
        <v>0</v>
      </c>
      <c r="F617" s="101">
        <f>SUM(F609:F616)</f>
        <v>0</v>
      </c>
      <c r="G617" s="101">
        <f>SUM(G609:G616)</f>
        <v>0</v>
      </c>
      <c r="H617" s="101">
        <f>SUM(H609:H616)</f>
        <v>0</v>
      </c>
      <c r="I617" s="64">
        <f>SUM(F617:H617)</f>
        <v>0</v>
      </c>
      <c r="J617" s="101">
        <f>SUM(J609:J616)</f>
        <v>0</v>
      </c>
      <c r="K617" s="101">
        <f>SUM(K609:K616)</f>
        <v>0</v>
      </c>
      <c r="L617" s="101">
        <f>SUM(L609:L616)</f>
        <v>0</v>
      </c>
      <c r="M617" s="64">
        <f>SUM(J617:L617)</f>
        <v>0</v>
      </c>
      <c r="N617" s="101">
        <f>SUM(N609:N616)</f>
        <v>0</v>
      </c>
      <c r="O617" s="101">
        <f>SUM(O609:O616)</f>
        <v>0</v>
      </c>
      <c r="P617" s="101">
        <f>SUM(P609:P616)</f>
        <v>0</v>
      </c>
      <c r="Q617" s="64">
        <f>SUM(N617:P617)</f>
        <v>0</v>
      </c>
      <c r="R617" s="64">
        <f>+E617+I617+M617+Q617</f>
        <v>0</v>
      </c>
    </row>
    <row r="618" spans="1:20" ht="15.75" customHeight="1" x14ac:dyDescent="0.3">
      <c r="A618" s="17" t="s">
        <v>62</v>
      </c>
      <c r="B618" s="1"/>
      <c r="C618" s="1"/>
      <c r="D618" s="1"/>
      <c r="E618" s="59" t="s">
        <v>7</v>
      </c>
      <c r="F618" s="1"/>
      <c r="G618" s="1"/>
      <c r="H618" s="1"/>
      <c r="I618" s="59" t="s">
        <v>7</v>
      </c>
      <c r="J618" s="1"/>
      <c r="K618" s="1"/>
      <c r="L618" s="1"/>
      <c r="M618" s="59" t="s">
        <v>7</v>
      </c>
      <c r="N618" s="1"/>
      <c r="O618" s="1"/>
      <c r="P618" s="1"/>
      <c r="Q618" s="59" t="s">
        <v>7</v>
      </c>
      <c r="R618" s="59" t="s">
        <v>7</v>
      </c>
    </row>
    <row r="619" spans="1:20" ht="15.75" customHeight="1" x14ac:dyDescent="0.3">
      <c r="A619" s="17" t="s">
        <v>63</v>
      </c>
      <c r="B619" s="1"/>
      <c r="C619" s="1"/>
      <c r="D619" s="1"/>
      <c r="E619" s="59" t="s">
        <v>7</v>
      </c>
      <c r="F619" s="1"/>
      <c r="G619" s="1"/>
      <c r="H619" s="1"/>
      <c r="I619" s="59" t="s">
        <v>7</v>
      </c>
      <c r="J619" s="1"/>
      <c r="K619" s="1"/>
      <c r="L619" s="1"/>
      <c r="M619" s="59" t="s">
        <v>7</v>
      </c>
      <c r="N619" s="1"/>
      <c r="O619" s="1"/>
      <c r="P619" s="1"/>
      <c r="Q619" s="59" t="s">
        <v>7</v>
      </c>
      <c r="R619" s="59" t="s">
        <v>7</v>
      </c>
    </row>
    <row r="620" spans="1:20" ht="15.75" customHeight="1" x14ac:dyDescent="0.3">
      <c r="A620" s="74" t="s">
        <v>535</v>
      </c>
      <c r="B620" s="1"/>
      <c r="C620" s="1"/>
      <c r="D620" s="1"/>
      <c r="E620" s="59">
        <f>SUM(B620:D620)</f>
        <v>0</v>
      </c>
      <c r="F620" s="1"/>
      <c r="G620" s="1"/>
      <c r="H620" s="1"/>
      <c r="I620" s="59">
        <f>SUM(F620:H620)</f>
        <v>0</v>
      </c>
      <c r="J620" s="1"/>
      <c r="K620" s="1"/>
      <c r="L620" s="1"/>
      <c r="M620" s="59">
        <f>SUM(J620:L620)</f>
        <v>0</v>
      </c>
      <c r="N620" s="1"/>
      <c r="O620" s="1"/>
      <c r="P620" s="1"/>
      <c r="Q620" s="59">
        <f>SUM(N620:P620)</f>
        <v>0</v>
      </c>
      <c r="R620" s="59">
        <f>+E620+I620+M620+Q620</f>
        <v>0</v>
      </c>
      <c r="T620" s="4" t="s">
        <v>516</v>
      </c>
    </row>
    <row r="621" spans="1:20" ht="15.75" customHeight="1" x14ac:dyDescent="0.3">
      <c r="A621" s="74" t="s">
        <v>536</v>
      </c>
      <c r="B621" s="1"/>
      <c r="C621" s="1"/>
      <c r="D621" s="1"/>
      <c r="E621" s="59">
        <f>SUM(B621:D621)</f>
        <v>0</v>
      </c>
      <c r="F621" s="1"/>
      <c r="G621" s="1"/>
      <c r="H621" s="1"/>
      <c r="I621" s="59">
        <f>SUM(F621:H621)</f>
        <v>0</v>
      </c>
      <c r="J621" s="1"/>
      <c r="K621" s="1"/>
      <c r="L621" s="1"/>
      <c r="M621" s="59">
        <f>SUM(J621:L621)</f>
        <v>0</v>
      </c>
      <c r="N621" s="1"/>
      <c r="O621" s="1"/>
      <c r="P621" s="1"/>
      <c r="Q621" s="59">
        <f>SUM(N621:P621)</f>
        <v>0</v>
      </c>
      <c r="R621" s="59">
        <f>+E621+I621+M621+Q621</f>
        <v>0</v>
      </c>
      <c r="T621" s="4" t="s">
        <v>516</v>
      </c>
    </row>
    <row r="622" spans="1:20" ht="15.75" customHeight="1" x14ac:dyDescent="0.3">
      <c r="A622" s="17" t="s">
        <v>64</v>
      </c>
      <c r="B622" s="1"/>
      <c r="C622" s="1"/>
      <c r="D622" s="1"/>
      <c r="E622" s="59" t="s">
        <v>7</v>
      </c>
      <c r="F622" s="1"/>
      <c r="G622" s="1"/>
      <c r="H622" s="1"/>
      <c r="I622" s="59" t="s">
        <v>7</v>
      </c>
      <c r="J622" s="1"/>
      <c r="K622" s="1"/>
      <c r="L622" s="1"/>
      <c r="M622" s="59" t="s">
        <v>7</v>
      </c>
      <c r="N622" s="1"/>
      <c r="O622" s="1"/>
      <c r="P622" s="1"/>
      <c r="Q622" s="59" t="s">
        <v>7</v>
      </c>
      <c r="R622" s="59" t="s">
        <v>7</v>
      </c>
    </row>
    <row r="623" spans="1:20" ht="15.75" customHeight="1" x14ac:dyDescent="0.3">
      <c r="A623" s="74" t="s">
        <v>537</v>
      </c>
      <c r="B623" s="1"/>
      <c r="C623" s="1"/>
      <c r="D623" s="1"/>
      <c r="E623" s="59">
        <f>SUM(B623:D623)</f>
        <v>0</v>
      </c>
      <c r="F623" s="1"/>
      <c r="G623" s="1"/>
      <c r="H623" s="1"/>
      <c r="I623" s="59">
        <f>SUM(F623:H623)</f>
        <v>0</v>
      </c>
      <c r="J623" s="1"/>
      <c r="K623" s="1"/>
      <c r="L623" s="1"/>
      <c r="M623" s="59">
        <f>SUM(J623:L623)</f>
        <v>0</v>
      </c>
      <c r="N623" s="1"/>
      <c r="O623" s="1"/>
      <c r="P623" s="1"/>
      <c r="Q623" s="59">
        <f>SUM(N623:P623)</f>
        <v>0</v>
      </c>
      <c r="R623" s="59">
        <f>+E623+I623+M623+Q623</f>
        <v>0</v>
      </c>
    </row>
    <row r="624" spans="1:20" ht="15.75" customHeight="1" x14ac:dyDescent="0.3">
      <c r="A624" s="74" t="s">
        <v>538</v>
      </c>
      <c r="B624" s="1"/>
      <c r="C624" s="1"/>
      <c r="D624" s="1"/>
      <c r="E624" s="59">
        <f>SUM(B624:D624)</f>
        <v>0</v>
      </c>
      <c r="F624" s="1"/>
      <c r="G624" s="1"/>
      <c r="H624" s="1"/>
      <c r="I624" s="59">
        <f>SUM(F624:H624)</f>
        <v>0</v>
      </c>
      <c r="J624" s="1"/>
      <c r="K624" s="1"/>
      <c r="L624" s="1"/>
      <c r="M624" s="59">
        <f>SUM(J624:L624)</f>
        <v>0</v>
      </c>
      <c r="N624" s="1"/>
      <c r="O624" s="1"/>
      <c r="P624" s="1"/>
      <c r="Q624" s="59">
        <f>SUM(N624:P624)</f>
        <v>0</v>
      </c>
      <c r="R624" s="59">
        <f>+E624+I624+M624+Q624</f>
        <v>0</v>
      </c>
    </row>
    <row r="625" spans="1:20" ht="15.75" customHeight="1" x14ac:dyDescent="0.3">
      <c r="A625" s="74" t="s">
        <v>539</v>
      </c>
      <c r="B625" s="1"/>
      <c r="C625" s="1"/>
      <c r="D625" s="1"/>
      <c r="E625" s="59">
        <f>SUM(B625:D625)</f>
        <v>0</v>
      </c>
      <c r="F625" s="1"/>
      <c r="G625" s="1"/>
      <c r="H625" s="1"/>
      <c r="I625" s="59">
        <f>SUM(F625:H625)</f>
        <v>0</v>
      </c>
      <c r="J625" s="1"/>
      <c r="K625" s="1"/>
      <c r="L625" s="1"/>
      <c r="M625" s="59">
        <f>SUM(J625:L625)</f>
        <v>0</v>
      </c>
      <c r="N625" s="1"/>
      <c r="O625" s="1"/>
      <c r="P625" s="1"/>
      <c r="Q625" s="59">
        <f>SUM(N625:P625)</f>
        <v>0</v>
      </c>
      <c r="R625" s="59">
        <f>+E625+I625+M625+Q625</f>
        <v>0</v>
      </c>
      <c r="T625" s="4" t="s">
        <v>516</v>
      </c>
    </row>
    <row r="626" spans="1:20" ht="15.75" customHeight="1" x14ac:dyDescent="0.3">
      <c r="A626" s="74" t="s">
        <v>540</v>
      </c>
      <c r="B626" s="1"/>
      <c r="C626" s="1"/>
      <c r="D626" s="1"/>
      <c r="E626" s="59">
        <f>SUM(B626:D626)</f>
        <v>0</v>
      </c>
      <c r="F626" s="1"/>
      <c r="G626" s="1"/>
      <c r="H626" s="1"/>
      <c r="I626" s="59">
        <f>SUM(F626:H626)</f>
        <v>0</v>
      </c>
      <c r="J626" s="1"/>
      <c r="K626" s="1"/>
      <c r="L626" s="1"/>
      <c r="M626" s="59">
        <f>SUM(J626:L626)</f>
        <v>0</v>
      </c>
      <c r="N626" s="1"/>
      <c r="O626" s="1"/>
      <c r="P626" s="1"/>
      <c r="Q626" s="59">
        <f>SUM(N626:P626)</f>
        <v>0</v>
      </c>
      <c r="R626" s="59">
        <f>+E626+I626+M626+Q626</f>
        <v>0</v>
      </c>
      <c r="T626" s="4" t="s">
        <v>516</v>
      </c>
    </row>
    <row r="627" spans="1:20" ht="15.75" customHeight="1" x14ac:dyDescent="0.3">
      <c r="A627" s="17" t="s">
        <v>66</v>
      </c>
      <c r="B627" s="1"/>
      <c r="C627" s="1"/>
      <c r="D627" s="1"/>
      <c r="E627" s="59" t="s">
        <v>7</v>
      </c>
      <c r="F627" s="1"/>
      <c r="G627" s="1"/>
      <c r="H627" s="1"/>
      <c r="I627" s="59" t="s">
        <v>7</v>
      </c>
      <c r="J627" s="1"/>
      <c r="K627" s="1"/>
      <c r="L627" s="1"/>
      <c r="M627" s="59" t="s">
        <v>7</v>
      </c>
      <c r="N627" s="1"/>
      <c r="O627" s="1"/>
      <c r="P627" s="1"/>
      <c r="Q627" s="59" t="s">
        <v>7</v>
      </c>
      <c r="R627" s="59" t="s">
        <v>7</v>
      </c>
    </row>
    <row r="628" spans="1:20" ht="15.75" customHeight="1" x14ac:dyDescent="0.3">
      <c r="A628" s="74" t="s">
        <v>541</v>
      </c>
      <c r="B628" s="1"/>
      <c r="C628" s="1"/>
      <c r="D628" s="1"/>
      <c r="E628" s="59">
        <f>SUM(B628:D628)</f>
        <v>0</v>
      </c>
      <c r="F628" s="1"/>
      <c r="G628" s="1"/>
      <c r="H628" s="1"/>
      <c r="I628" s="59">
        <f>SUM(F628:H628)</f>
        <v>0</v>
      </c>
      <c r="J628" s="1"/>
      <c r="K628" s="1"/>
      <c r="L628" s="1"/>
      <c r="M628" s="59">
        <f>SUM(J628:L628)</f>
        <v>0</v>
      </c>
      <c r="N628" s="1"/>
      <c r="O628" s="1"/>
      <c r="P628" s="1"/>
      <c r="Q628" s="59">
        <f>SUM(N628:P628)</f>
        <v>0</v>
      </c>
      <c r="R628" s="59">
        <f>+E628+I628+M628+Q628</f>
        <v>0</v>
      </c>
    </row>
    <row r="629" spans="1:20" ht="15.75" customHeight="1" x14ac:dyDescent="0.3">
      <c r="A629" s="74" t="s">
        <v>542</v>
      </c>
      <c r="B629" s="1"/>
      <c r="C629" s="1"/>
      <c r="D629" s="1"/>
      <c r="E629" s="59">
        <f>SUM(B629:D629)</f>
        <v>0</v>
      </c>
      <c r="F629" s="1"/>
      <c r="G629" s="1"/>
      <c r="H629" s="1"/>
      <c r="I629" s="59">
        <f>SUM(F629:H629)</f>
        <v>0</v>
      </c>
      <c r="J629" s="1"/>
      <c r="K629" s="1"/>
      <c r="L629" s="1"/>
      <c r="M629" s="59">
        <f>SUM(J629:L629)</f>
        <v>0</v>
      </c>
      <c r="N629" s="1"/>
      <c r="O629" s="1"/>
      <c r="P629" s="1"/>
      <c r="Q629" s="59">
        <f>SUM(N629:P629)</f>
        <v>0</v>
      </c>
      <c r="R629" s="59">
        <f>+E629+I629+M629+Q629</f>
        <v>0</v>
      </c>
    </row>
    <row r="630" spans="1:20" ht="15.75" customHeight="1" x14ac:dyDescent="0.3">
      <c r="A630" s="17" t="s">
        <v>67</v>
      </c>
      <c r="B630" s="1"/>
      <c r="C630" s="1"/>
      <c r="D630" s="1"/>
      <c r="E630" s="59" t="s">
        <v>7</v>
      </c>
      <c r="F630" s="1"/>
      <c r="G630" s="1"/>
      <c r="H630" s="1"/>
      <c r="I630" s="59" t="s">
        <v>7</v>
      </c>
      <c r="J630" s="1"/>
      <c r="K630" s="1"/>
      <c r="L630" s="1"/>
      <c r="M630" s="59" t="s">
        <v>7</v>
      </c>
      <c r="N630" s="1"/>
      <c r="O630" s="1"/>
      <c r="P630" s="1"/>
      <c r="Q630" s="59" t="s">
        <v>7</v>
      </c>
      <c r="R630" s="59" t="s">
        <v>7</v>
      </c>
    </row>
    <row r="631" spans="1:20" ht="15.75" customHeight="1" x14ac:dyDescent="0.3">
      <c r="A631" s="74" t="s">
        <v>543</v>
      </c>
      <c r="B631" s="1"/>
      <c r="C631" s="1"/>
      <c r="D631" s="1"/>
      <c r="E631" s="59">
        <f t="shared" ref="E631:E633" si="246">SUM(B631:D631)</f>
        <v>0</v>
      </c>
      <c r="F631" s="1"/>
      <c r="G631" s="1"/>
      <c r="H631" s="1"/>
      <c r="I631" s="59">
        <f t="shared" ref="I631:I633" si="247">SUM(F631:H631)</f>
        <v>0</v>
      </c>
      <c r="J631" s="1"/>
      <c r="K631" s="1"/>
      <c r="L631" s="1"/>
      <c r="M631" s="59">
        <f t="shared" ref="M631:M633" si="248">SUM(J631:L631)</f>
        <v>0</v>
      </c>
      <c r="N631" s="1"/>
      <c r="O631" s="1"/>
      <c r="P631" s="1"/>
      <c r="Q631" s="59">
        <f t="shared" ref="Q631:Q637" si="249">SUM(N631:P631)</f>
        <v>0</v>
      </c>
      <c r="R631" s="59">
        <f t="shared" ref="R631:R637" si="250">+E631+I631+M631+Q631</f>
        <v>0</v>
      </c>
    </row>
    <row r="632" spans="1:20" ht="15.75" customHeight="1" x14ac:dyDescent="0.3">
      <c r="A632" s="74" t="s">
        <v>544</v>
      </c>
      <c r="B632" s="1"/>
      <c r="C632" s="1"/>
      <c r="D632" s="1"/>
      <c r="E632" s="59">
        <f t="shared" ref="E632" si="251">SUM(B632:D632)</f>
        <v>0</v>
      </c>
      <c r="F632" s="1"/>
      <c r="G632" s="1"/>
      <c r="H632" s="1"/>
      <c r="I632" s="59">
        <f t="shared" ref="I632" si="252">SUM(F632:H632)</f>
        <v>0</v>
      </c>
      <c r="J632" s="1"/>
      <c r="K632" s="1"/>
      <c r="L632" s="1"/>
      <c r="M632" s="59">
        <f t="shared" ref="M632" si="253">SUM(J632:L632)</f>
        <v>0</v>
      </c>
      <c r="N632" s="1"/>
      <c r="O632" s="1"/>
      <c r="P632" s="1"/>
      <c r="Q632" s="59">
        <f t="shared" ref="Q632" si="254">SUM(N632:P632)</f>
        <v>0</v>
      </c>
      <c r="R632" s="59">
        <f t="shared" si="250"/>
        <v>0</v>
      </c>
    </row>
    <row r="633" spans="1:20" ht="15.75" customHeight="1" thickBot="1" x14ac:dyDescent="0.35">
      <c r="A633" s="74" t="s">
        <v>545</v>
      </c>
      <c r="B633" s="1"/>
      <c r="C633" s="1"/>
      <c r="D633" s="1"/>
      <c r="E633" s="59">
        <f t="shared" si="246"/>
        <v>0</v>
      </c>
      <c r="F633" s="1"/>
      <c r="G633" s="1"/>
      <c r="H633" s="1"/>
      <c r="I633" s="59">
        <f t="shared" si="247"/>
        <v>0</v>
      </c>
      <c r="J633" s="1"/>
      <c r="K633" s="1"/>
      <c r="L633" s="1"/>
      <c r="M633" s="59">
        <f t="shared" si="248"/>
        <v>0</v>
      </c>
      <c r="N633" s="1"/>
      <c r="O633" s="1"/>
      <c r="P633" s="1"/>
      <c r="Q633" s="59">
        <f t="shared" si="249"/>
        <v>0</v>
      </c>
      <c r="R633" s="59">
        <f t="shared" si="250"/>
        <v>0</v>
      </c>
    </row>
    <row r="634" spans="1:20" ht="16.5" customHeight="1" thickBot="1" x14ac:dyDescent="0.35">
      <c r="A634" s="62" t="s">
        <v>68</v>
      </c>
      <c r="B634" s="148">
        <f>SUM(B627:B633)</f>
        <v>0</v>
      </c>
      <c r="C634" s="148">
        <f>SUM(C627:C633)</f>
        <v>0</v>
      </c>
      <c r="D634" s="148">
        <f>SUM(D627:D633)</f>
        <v>0</v>
      </c>
      <c r="E634" s="65">
        <f t="shared" ref="E634:E637" si="255">SUM(B634:D634)</f>
        <v>0</v>
      </c>
      <c r="F634" s="148">
        <f>SUM(F627:F633)</f>
        <v>0</v>
      </c>
      <c r="G634" s="148">
        <f>SUM(G627:G633)</f>
        <v>0</v>
      </c>
      <c r="H634" s="148">
        <f>SUM(H627:H633)</f>
        <v>0</v>
      </c>
      <c r="I634" s="65">
        <f t="shared" ref="I634:I637" si="256">SUM(F634:H634)</f>
        <v>0</v>
      </c>
      <c r="J634" s="148">
        <f>SUM(J627:J633)</f>
        <v>0</v>
      </c>
      <c r="K634" s="148">
        <f>SUM(K627:K633)</f>
        <v>0</v>
      </c>
      <c r="L634" s="148">
        <f>SUM(L627:L633)</f>
        <v>0</v>
      </c>
      <c r="M634" s="65">
        <f t="shared" ref="M634:M637" si="257">SUM(J634:L634)</f>
        <v>0</v>
      </c>
      <c r="N634" s="148">
        <f>SUM(N627:N633)</f>
        <v>0</v>
      </c>
      <c r="O634" s="148">
        <f>SUM(O627:O633)</f>
        <v>0</v>
      </c>
      <c r="P634" s="148">
        <f>SUM(P627:P633)</f>
        <v>0</v>
      </c>
      <c r="Q634" s="65">
        <f t="shared" si="249"/>
        <v>0</v>
      </c>
      <c r="R634" s="64">
        <f t="shared" si="250"/>
        <v>0</v>
      </c>
    </row>
    <row r="635" spans="1:20" ht="16.5" customHeight="1" thickBot="1" x14ac:dyDescent="0.35">
      <c r="A635" s="137" t="s">
        <v>69</v>
      </c>
      <c r="B635" s="100">
        <f>SUM(B618:B633)</f>
        <v>0</v>
      </c>
      <c r="C635" s="101">
        <f>SUM(C618:C633)</f>
        <v>0</v>
      </c>
      <c r="D635" s="138">
        <f>SUM(D618:D633)</f>
        <v>0</v>
      </c>
      <c r="E635" s="65">
        <f t="shared" si="255"/>
        <v>0</v>
      </c>
      <c r="F635" s="100">
        <f>SUM(F618:F633)</f>
        <v>0</v>
      </c>
      <c r="G635" s="101">
        <f>SUM(G618:G633)</f>
        <v>0</v>
      </c>
      <c r="H635" s="138">
        <f>SUM(H618:H633)</f>
        <v>0</v>
      </c>
      <c r="I635" s="65">
        <f t="shared" si="256"/>
        <v>0</v>
      </c>
      <c r="J635" s="100">
        <f>SUM(J618:J633)</f>
        <v>0</v>
      </c>
      <c r="K635" s="101">
        <f>SUM(K618:K633)</f>
        <v>0</v>
      </c>
      <c r="L635" s="138">
        <f>SUM(L618:L633)</f>
        <v>0</v>
      </c>
      <c r="M635" s="65">
        <f t="shared" si="257"/>
        <v>0</v>
      </c>
      <c r="N635" s="100">
        <f>SUM(N618:N633)</f>
        <v>0</v>
      </c>
      <c r="O635" s="101">
        <f>SUM(O618:O633)</f>
        <v>0</v>
      </c>
      <c r="P635" s="138">
        <f>SUM(P618:P633)</f>
        <v>0</v>
      </c>
      <c r="Q635" s="65">
        <f t="shared" si="249"/>
        <v>0</v>
      </c>
      <c r="R635" s="64">
        <f t="shared" si="250"/>
        <v>0</v>
      </c>
    </row>
    <row r="636" spans="1:20" ht="16.5" customHeight="1" thickBot="1" x14ac:dyDescent="0.35">
      <c r="A636" s="62" t="s">
        <v>70</v>
      </c>
      <c r="B636" s="149">
        <f>+B602+B608+B617+B635</f>
        <v>2300</v>
      </c>
      <c r="C636" s="150">
        <f>+C602+C608+C617+C635</f>
        <v>2750</v>
      </c>
      <c r="D636" s="150">
        <f>+D602+D608+D617+D635</f>
        <v>4300</v>
      </c>
      <c r="E636" s="64">
        <f t="shared" si="255"/>
        <v>9350</v>
      </c>
      <c r="F636" s="63">
        <f>+F602+F608+F617+F635</f>
        <v>4636</v>
      </c>
      <c r="G636" s="63">
        <f>+G602+G608+G617+G635</f>
        <v>4950</v>
      </c>
      <c r="H636" s="63">
        <f>+H602+H608+H617+H635</f>
        <v>3940</v>
      </c>
      <c r="I636" s="64">
        <f t="shared" si="256"/>
        <v>13526</v>
      </c>
      <c r="J636" s="63">
        <f>+J602+J608+J617+J635</f>
        <v>4080</v>
      </c>
      <c r="K636" s="63">
        <f>+K602+K608+K617+K635</f>
        <v>4167</v>
      </c>
      <c r="L636" s="63">
        <f>+L602+L608+L617+L635</f>
        <v>4560</v>
      </c>
      <c r="M636" s="64">
        <f t="shared" si="257"/>
        <v>12807</v>
      </c>
      <c r="N636" s="63">
        <f>+N602+N608+N617+N635</f>
        <v>2755</v>
      </c>
      <c r="O636" s="63">
        <f>+O602+O608+O617+O635</f>
        <v>0</v>
      </c>
      <c r="P636" s="63">
        <f>+P602+P608+P617+P635</f>
        <v>0</v>
      </c>
      <c r="Q636" s="64">
        <f t="shared" si="249"/>
        <v>2755</v>
      </c>
      <c r="R636" s="88">
        <f t="shared" si="250"/>
        <v>38438</v>
      </c>
    </row>
    <row r="637" spans="1:20" ht="16.5" customHeight="1" thickBot="1" x14ac:dyDescent="0.35">
      <c r="A637" s="40" t="s">
        <v>37</v>
      </c>
      <c r="B637" s="25">
        <v>17</v>
      </c>
      <c r="C637" s="25">
        <v>47</v>
      </c>
      <c r="D637" s="25">
        <v>84</v>
      </c>
      <c r="E637" s="59">
        <f t="shared" si="255"/>
        <v>148</v>
      </c>
      <c r="F637" s="25">
        <v>116</v>
      </c>
      <c r="G637" s="25">
        <v>132</v>
      </c>
      <c r="H637" s="25">
        <v>138</v>
      </c>
      <c r="I637" s="59">
        <f t="shared" si="256"/>
        <v>386</v>
      </c>
      <c r="J637" s="25">
        <v>126</v>
      </c>
      <c r="K637" s="25">
        <v>95</v>
      </c>
      <c r="L637" s="25">
        <v>99</v>
      </c>
      <c r="M637" s="59">
        <f t="shared" si="257"/>
        <v>320</v>
      </c>
      <c r="N637" s="25">
        <v>91</v>
      </c>
      <c r="O637" s="25">
        <v>67</v>
      </c>
      <c r="P637" s="25">
        <v>38</v>
      </c>
      <c r="Q637" s="59">
        <f t="shared" si="249"/>
        <v>196</v>
      </c>
      <c r="R637" s="59">
        <f t="shared" si="250"/>
        <v>1050</v>
      </c>
    </row>
    <row r="638" spans="1:20" ht="16.5" customHeight="1" thickBot="1" x14ac:dyDescent="0.35">
      <c r="A638" s="42"/>
      <c r="B638" s="37"/>
      <c r="C638" s="37"/>
      <c r="D638" s="37"/>
      <c r="E638" s="43"/>
      <c r="F638" s="37"/>
      <c r="G638" s="37"/>
      <c r="H638" s="37"/>
      <c r="I638" s="43"/>
      <c r="J638" s="37"/>
      <c r="K638" s="37"/>
      <c r="L638" s="37"/>
      <c r="M638" s="43"/>
      <c r="N638" s="37"/>
      <c r="O638" s="37"/>
      <c r="P638" s="37"/>
      <c r="Q638" s="43"/>
      <c r="R638" s="43"/>
    </row>
    <row r="639" spans="1:20" ht="15.75" customHeight="1" x14ac:dyDescent="0.3">
      <c r="A639" s="82" t="s">
        <v>507</v>
      </c>
      <c r="B639" s="83">
        <f>SUM(B636:B637)</f>
        <v>2317</v>
      </c>
      <c r="C639" s="83">
        <f>SUM(C636:C637)</f>
        <v>2797</v>
      </c>
      <c r="D639" s="83">
        <f>SUM(D636:D637)</f>
        <v>4384</v>
      </c>
      <c r="E639" s="65">
        <f>SUM(B639:D639)</f>
        <v>9498</v>
      </c>
      <c r="F639" s="83">
        <f>SUM(F636:F637)</f>
        <v>4752</v>
      </c>
      <c r="G639" s="83">
        <f>SUM(G636:G637)</f>
        <v>5082</v>
      </c>
      <c r="H639" s="83">
        <f>SUM(H636:H637)</f>
        <v>4078</v>
      </c>
      <c r="I639" s="65">
        <f>SUM(F639:H639)</f>
        <v>13912</v>
      </c>
      <c r="J639" s="83">
        <f>SUM(J636:J637)</f>
        <v>4206</v>
      </c>
      <c r="K639" s="83">
        <f>SUM(K636:K637)</f>
        <v>4262</v>
      </c>
      <c r="L639" s="83">
        <f>SUM(L636:L637)</f>
        <v>4659</v>
      </c>
      <c r="M639" s="65">
        <f>SUM(J639:L639)</f>
        <v>13127</v>
      </c>
      <c r="N639" s="83">
        <f>SUM(N636:N637)</f>
        <v>2846</v>
      </c>
      <c r="O639" s="83">
        <f>SUM(O636:O637)</f>
        <v>67</v>
      </c>
      <c r="P639" s="83">
        <f>SUM(P636:P637)</f>
        <v>38</v>
      </c>
      <c r="Q639" s="65">
        <f>SUM(N639:P639)</f>
        <v>2951</v>
      </c>
      <c r="R639" s="65">
        <f>+E639+I639+M639+Q639</f>
        <v>39488</v>
      </c>
    </row>
    <row r="640" spans="1:20" ht="15.75" customHeight="1" x14ac:dyDescent="0.3">
      <c r="A640" s="85" t="s">
        <v>39</v>
      </c>
      <c r="B640" s="1">
        <f>(B639/B10)/1.983</f>
        <v>37.691344167358025</v>
      </c>
      <c r="C640" s="1">
        <f>(C639/C10)/1.983</f>
        <v>50.374612780059067</v>
      </c>
      <c r="D640" s="1">
        <f>(D639/D10)/1.983</f>
        <v>71.3158622484668</v>
      </c>
      <c r="E640" s="59" t="s">
        <v>7</v>
      </c>
      <c r="F640" s="1">
        <f>(F639/F10)/1.983</f>
        <v>79.878971255673221</v>
      </c>
      <c r="G640" s="1">
        <f>(G639/G10)/1.983</f>
        <v>82.670440681274698</v>
      </c>
      <c r="H640" s="1">
        <f>(H639/H10)/1.983</f>
        <v>68.549336022860984</v>
      </c>
      <c r="I640" s="59" t="s">
        <v>7</v>
      </c>
      <c r="J640" s="1">
        <f>(J639/J10)/1.983</f>
        <v>68.420282075057344</v>
      </c>
      <c r="K640" s="1">
        <f>(K639/K10)/1.983</f>
        <v>69.331251118377168</v>
      </c>
      <c r="L640" s="1">
        <f>(L639/L10)/1.983</f>
        <v>78.31568330811902</v>
      </c>
      <c r="M640" s="59" t="s">
        <v>7</v>
      </c>
      <c r="N640" s="1">
        <f>(N639/N10)/1.983</f>
        <v>46.296748165861437</v>
      </c>
      <c r="O640" s="1">
        <f>(O639/O10)/1.983</f>
        <v>1.1262397041519583</v>
      </c>
      <c r="P640" s="1">
        <f>(P639/P10)/1.983</f>
        <v>0.61815756510988562</v>
      </c>
      <c r="Q640" s="59" t="s">
        <v>7</v>
      </c>
      <c r="R640" s="59" t="s">
        <v>7</v>
      </c>
    </row>
    <row r="641" spans="1:18" ht="15.75" customHeight="1" x14ac:dyDescent="0.3">
      <c r="A641" s="85" t="s">
        <v>546</v>
      </c>
      <c r="B641" s="1">
        <f>B639+B651</f>
        <v>18105</v>
      </c>
      <c r="C641" s="1">
        <f>C639+C651</f>
        <v>21300</v>
      </c>
      <c r="D641" s="1">
        <f>D639+D651</f>
        <v>24490</v>
      </c>
      <c r="E641" s="59">
        <f>SUM(B641:D641)</f>
        <v>63895</v>
      </c>
      <c r="F641" s="1">
        <f>F639+F651</f>
        <v>25281</v>
      </c>
      <c r="G641" s="1">
        <f>G639+G651</f>
        <v>26622</v>
      </c>
      <c r="H641" s="1">
        <f>H639+H651</f>
        <v>23712</v>
      </c>
      <c r="I641" s="59">
        <f>SUM(F641:H641)</f>
        <v>75615</v>
      </c>
      <c r="J641" s="1">
        <f>J639+J651</f>
        <v>24731</v>
      </c>
      <c r="K641" s="1">
        <f>K639+K651</f>
        <v>24716</v>
      </c>
      <c r="L641" s="1">
        <f>L639+L651</f>
        <v>24638</v>
      </c>
      <c r="M641" s="59">
        <f>SUM(J641:L641)</f>
        <v>74085</v>
      </c>
      <c r="N641" s="1">
        <f>N639+N651</f>
        <v>17729</v>
      </c>
      <c r="O641" s="1">
        <f>O639+O651</f>
        <v>2466</v>
      </c>
      <c r="P641" s="1">
        <f>P639+P651</f>
        <v>8471</v>
      </c>
      <c r="Q641" s="59">
        <f>SUM(N641:P641)</f>
        <v>28666</v>
      </c>
      <c r="R641" s="59">
        <f>+E641+I641+M641+Q641</f>
        <v>242261</v>
      </c>
    </row>
    <row r="642" spans="1:18" ht="16.5" customHeight="1" thickBot="1" x14ac:dyDescent="0.35">
      <c r="A642" s="86" t="s">
        <v>547</v>
      </c>
      <c r="B642" s="87">
        <f>(B641/B10)/1.983</f>
        <v>294.51954516617047</v>
      </c>
      <c r="C642" s="87">
        <f>(C641/C10)/1.983</f>
        <v>383.61789496433971</v>
      </c>
      <c r="D642" s="87">
        <f>(D641/D10)/1.983</f>
        <v>398.38628340897628</v>
      </c>
      <c r="E642" s="88" t="s">
        <v>7</v>
      </c>
      <c r="F642" s="87">
        <f>(F641/F10)/1.983</f>
        <v>424.96217851739789</v>
      </c>
      <c r="G642" s="87">
        <f>(G641/G10)/1.983</f>
        <v>433.06817627250985</v>
      </c>
      <c r="H642" s="87">
        <f>(H641/H10)/1.983</f>
        <v>398.58799798285423</v>
      </c>
      <c r="I642" s="88" t="s">
        <v>7</v>
      </c>
      <c r="J642" s="87">
        <f>(J641/J10)/1.983</f>
        <v>402.30670375612056</v>
      </c>
      <c r="K642" s="87">
        <f>(K641/K10)/1.983</f>
        <v>402.06269419094559</v>
      </c>
      <c r="L642" s="87">
        <f>(L641/L10)/1.983</f>
        <v>414.1536392671037</v>
      </c>
      <c r="M642" s="88" t="s">
        <v>7</v>
      </c>
      <c r="N642" s="87">
        <f>(N641/N10)/1.983</f>
        <v>288.40303873245159</v>
      </c>
      <c r="O642" s="87">
        <f>(O641/O10)/1.983</f>
        <v>41.452344931921331</v>
      </c>
      <c r="P642" s="87">
        <f>(P641/P10)/1.983</f>
        <v>137.8003351064695</v>
      </c>
      <c r="Q642" s="88" t="s">
        <v>7</v>
      </c>
      <c r="R642" s="88" t="s">
        <v>7</v>
      </c>
    </row>
    <row r="643" spans="1:18" ht="15.75" customHeight="1" x14ac:dyDescent="0.3">
      <c r="A643" s="28"/>
      <c r="B643" s="1"/>
      <c r="C643" s="1"/>
      <c r="D643" s="1"/>
      <c r="E643" s="1"/>
      <c r="F643" s="1"/>
      <c r="G643" s="1"/>
      <c r="H643" s="1"/>
      <c r="I643" s="1"/>
      <c r="J643" s="1"/>
      <c r="K643" s="1"/>
      <c r="L643" s="1"/>
      <c r="M643" s="1"/>
      <c r="N643" s="1"/>
      <c r="O643" s="1"/>
      <c r="P643" s="1"/>
      <c r="Q643" s="1"/>
      <c r="R643" s="28"/>
    </row>
    <row r="644" spans="1:18" ht="16.5" customHeight="1" thickBot="1" x14ac:dyDescent="0.35">
      <c r="A644" s="123"/>
      <c r="B644" s="25"/>
      <c r="C644" s="25"/>
      <c r="D644" s="25"/>
      <c r="E644" s="25"/>
      <c r="F644" s="25"/>
      <c r="G644" s="25"/>
      <c r="H644" s="25"/>
      <c r="I644" s="25"/>
      <c r="J644" s="25"/>
      <c r="K644" s="25"/>
      <c r="L644" s="25"/>
      <c r="M644" s="25"/>
      <c r="N644" s="25"/>
      <c r="O644" s="25"/>
      <c r="P644" s="25"/>
      <c r="Q644" s="25"/>
      <c r="R644" s="123"/>
    </row>
    <row r="645" spans="1:18" ht="16.5" customHeight="1" thickBot="1" x14ac:dyDescent="0.35">
      <c r="A645" s="145" t="s">
        <v>548</v>
      </c>
      <c r="B645" s="32" t="s">
        <v>36</v>
      </c>
      <c r="C645" s="33" t="s">
        <v>9</v>
      </c>
      <c r="D645" s="33" t="s">
        <v>10</v>
      </c>
      <c r="E645" s="12" t="s">
        <v>11</v>
      </c>
      <c r="F645" s="33" t="s">
        <v>12</v>
      </c>
      <c r="G645" s="33" t="s">
        <v>13</v>
      </c>
      <c r="H645" s="33" t="s">
        <v>14</v>
      </c>
      <c r="I645" s="34" t="s">
        <v>15</v>
      </c>
      <c r="J645" s="33" t="s">
        <v>16</v>
      </c>
      <c r="K645" s="33" t="s">
        <v>17</v>
      </c>
      <c r="L645" s="33" t="s">
        <v>18</v>
      </c>
      <c r="M645" s="34" t="s">
        <v>19</v>
      </c>
      <c r="N645" s="33" t="s">
        <v>20</v>
      </c>
      <c r="O645" s="33" t="s">
        <v>21</v>
      </c>
      <c r="P645" s="33" t="s">
        <v>22</v>
      </c>
      <c r="Q645" s="12" t="s">
        <v>23</v>
      </c>
      <c r="R645" s="13" t="s">
        <v>24</v>
      </c>
    </row>
    <row r="646" spans="1:18" ht="16.5" customHeight="1" thickBot="1" x14ac:dyDescent="0.35">
      <c r="A646" s="42"/>
      <c r="B646" s="37"/>
      <c r="C646" s="37"/>
      <c r="D646" s="37"/>
      <c r="E646" s="38"/>
      <c r="F646" s="37"/>
      <c r="G646" s="37"/>
      <c r="H646" s="37"/>
      <c r="I646" s="38"/>
      <c r="J646" s="37"/>
      <c r="K646" s="37"/>
      <c r="L646" s="37"/>
      <c r="M646" s="38"/>
      <c r="N646" s="37"/>
      <c r="O646" s="37"/>
      <c r="P646" s="37"/>
      <c r="Q646" s="151"/>
      <c r="R646" s="152"/>
    </row>
    <row r="647" spans="1:18" ht="16.5" customHeight="1" thickBot="1" x14ac:dyDescent="0.35">
      <c r="A647" s="40" t="s">
        <v>37</v>
      </c>
      <c r="B647" s="25">
        <v>20</v>
      </c>
      <c r="C647" s="25">
        <v>22</v>
      </c>
      <c r="D647" s="25">
        <v>28</v>
      </c>
      <c r="E647" s="59">
        <f>SUM(B647:D647)</f>
        <v>70</v>
      </c>
      <c r="F647" s="25">
        <v>37</v>
      </c>
      <c r="G647" s="25">
        <v>42</v>
      </c>
      <c r="H647" s="25">
        <v>44</v>
      </c>
      <c r="I647" s="59">
        <f>SUM(F647:H647)</f>
        <v>123</v>
      </c>
      <c r="J647" s="25">
        <v>39</v>
      </c>
      <c r="K647" s="25">
        <v>36</v>
      </c>
      <c r="L647" s="25">
        <v>34</v>
      </c>
      <c r="M647" s="59">
        <f>SUM(J647:L647)</f>
        <v>109</v>
      </c>
      <c r="N647" s="25">
        <v>29</v>
      </c>
      <c r="O647" s="25">
        <v>23</v>
      </c>
      <c r="P647" s="25">
        <v>19</v>
      </c>
      <c r="Q647" s="59">
        <f>SUM(N647:P647)</f>
        <v>71</v>
      </c>
      <c r="R647" s="59">
        <f>+E647+I647+M647+Q647</f>
        <v>373</v>
      </c>
    </row>
    <row r="648" spans="1:18" ht="16.5" customHeight="1" thickBot="1" x14ac:dyDescent="0.35">
      <c r="A648" s="42"/>
      <c r="B648" s="37"/>
      <c r="C648" s="37"/>
      <c r="D648" s="37"/>
      <c r="E648" s="16"/>
      <c r="F648" s="37"/>
      <c r="G648" s="37"/>
      <c r="H648" s="37"/>
      <c r="I648" s="16"/>
      <c r="J648" s="37"/>
      <c r="K648" s="37"/>
      <c r="L648" s="37"/>
      <c r="M648" s="16"/>
      <c r="N648" s="37"/>
      <c r="O648" s="37"/>
      <c r="P648" s="37"/>
      <c r="Q648" s="16"/>
      <c r="R648" s="43"/>
    </row>
    <row r="649" spans="1:18" ht="15.75" customHeight="1" x14ac:dyDescent="0.3">
      <c r="A649" s="82" t="s">
        <v>507</v>
      </c>
      <c r="B649" s="83">
        <f>B647</f>
        <v>20</v>
      </c>
      <c r="C649" s="83">
        <f>C647</f>
        <v>22</v>
      </c>
      <c r="D649" s="83">
        <f>D647</f>
        <v>28</v>
      </c>
      <c r="E649" s="65">
        <f>SUM(B649:D649)</f>
        <v>70</v>
      </c>
      <c r="F649" s="83">
        <f>F647</f>
        <v>37</v>
      </c>
      <c r="G649" s="83">
        <f>G647</f>
        <v>42</v>
      </c>
      <c r="H649" s="83">
        <f>H647</f>
        <v>44</v>
      </c>
      <c r="I649" s="65">
        <f>SUM(F649:H649)</f>
        <v>123</v>
      </c>
      <c r="J649" s="83">
        <f>J647</f>
        <v>39</v>
      </c>
      <c r="K649" s="83">
        <f>K647</f>
        <v>36</v>
      </c>
      <c r="L649" s="83">
        <f>L647</f>
        <v>34</v>
      </c>
      <c r="M649" s="65">
        <f>SUM(J649:L649)</f>
        <v>109</v>
      </c>
      <c r="N649" s="83">
        <f>N647</f>
        <v>29</v>
      </c>
      <c r="O649" s="83">
        <f>O647</f>
        <v>23</v>
      </c>
      <c r="P649" s="83">
        <f>P647</f>
        <v>19</v>
      </c>
      <c r="Q649" s="65">
        <f>SUM(N649:P649)</f>
        <v>71</v>
      </c>
      <c r="R649" s="65">
        <f>+E649+I649+M649+Q649</f>
        <v>373</v>
      </c>
    </row>
    <row r="650" spans="1:18" ht="15.75" customHeight="1" x14ac:dyDescent="0.3">
      <c r="A650" s="85" t="s">
        <v>39</v>
      </c>
      <c r="B650" s="1">
        <f>(B649/B10)/1.983</f>
        <v>0.32534608689993977</v>
      </c>
      <c r="C650" s="1">
        <f>(C649/C10)/1.983</f>
        <v>0.39622505583171236</v>
      </c>
      <c r="D650" s="1">
        <f>(D649/D10)/1.983</f>
        <v>0.45548452165991571</v>
      </c>
      <c r="E650" s="59" t="s">
        <v>7</v>
      </c>
      <c r="F650" s="1">
        <f>(F649/F10)/1.983</f>
        <v>0.62195326945705165</v>
      </c>
      <c r="G650" s="1">
        <f>(G649/G10)/1.983</f>
        <v>0.68322678248987356</v>
      </c>
      <c r="H650" s="1">
        <f>(H649/H10)/1.983</f>
        <v>0.73962010421919644</v>
      </c>
      <c r="I650" s="59" t="s">
        <v>7</v>
      </c>
      <c r="J650" s="1">
        <f>(J649/J10)/1.983</f>
        <v>0.63442486945488263</v>
      </c>
      <c r="K650" s="1">
        <f>(K649/K10)/1.983</f>
        <v>0.5856229564198917</v>
      </c>
      <c r="L650" s="1">
        <f>(L649/L10)/1.983</f>
        <v>0.57152462598756093</v>
      </c>
      <c r="M650" s="59" t="s">
        <v>7</v>
      </c>
      <c r="N650" s="1">
        <f>(N649/N10)/1.983</f>
        <v>0.47175182600491267</v>
      </c>
      <c r="O650" s="1">
        <f>(O649/O10)/1.983</f>
        <v>0.38661959993276179</v>
      </c>
      <c r="P650" s="1">
        <f>(P649/P10)/1.983</f>
        <v>0.30907878255494281</v>
      </c>
      <c r="Q650" s="59" t="s">
        <v>7</v>
      </c>
      <c r="R650" s="59" t="s">
        <v>7</v>
      </c>
    </row>
    <row r="651" spans="1:18" ht="15.75" customHeight="1" x14ac:dyDescent="0.3">
      <c r="A651" s="85" t="s">
        <v>549</v>
      </c>
      <c r="B651" s="1">
        <f>B649+B687</f>
        <v>15788</v>
      </c>
      <c r="C651" s="1">
        <f>C649+C687</f>
        <v>18503</v>
      </c>
      <c r="D651" s="1">
        <f>D649+D687</f>
        <v>20106</v>
      </c>
      <c r="E651" s="59">
        <f>SUM(B651:D651)</f>
        <v>54397</v>
      </c>
      <c r="F651" s="1">
        <f>F649+F687</f>
        <v>20529</v>
      </c>
      <c r="G651" s="1">
        <f>G649+G687</f>
        <v>21540</v>
      </c>
      <c r="H651" s="1">
        <f>H649+H687</f>
        <v>19634</v>
      </c>
      <c r="I651" s="59">
        <f>SUM(F651:H651)</f>
        <v>61703</v>
      </c>
      <c r="J651" s="1">
        <f>J649+J687</f>
        <v>20525</v>
      </c>
      <c r="K651" s="1">
        <f>K649+K687</f>
        <v>20454</v>
      </c>
      <c r="L651" s="1">
        <f>L649+L687</f>
        <v>19979</v>
      </c>
      <c r="M651" s="59">
        <f>SUM(J651:L651)</f>
        <v>60958</v>
      </c>
      <c r="N651" s="1">
        <f>N649+N687</f>
        <v>14883</v>
      </c>
      <c r="O651" s="1">
        <f>O649+O687</f>
        <v>2399</v>
      </c>
      <c r="P651" s="1">
        <f>P649+P687</f>
        <v>8433</v>
      </c>
      <c r="Q651" s="59">
        <f>SUM(N651:P651)</f>
        <v>25715</v>
      </c>
      <c r="R651" s="59">
        <f>+E651+I651+M651+Q651</f>
        <v>202773</v>
      </c>
    </row>
    <row r="652" spans="1:18" ht="16.5" customHeight="1" thickBot="1" x14ac:dyDescent="0.35">
      <c r="A652" s="86" t="s">
        <v>550</v>
      </c>
      <c r="B652" s="87">
        <f>(B651/B10)/1.983</f>
        <v>256.82820099881246</v>
      </c>
      <c r="C652" s="87">
        <f>(C651/C10)/1.983</f>
        <v>333.24328218428064</v>
      </c>
      <c r="D652" s="87">
        <f>(D651/D10)/1.983</f>
        <v>327.07042116050951</v>
      </c>
      <c r="E652" s="88" t="s">
        <v>7</v>
      </c>
      <c r="F652" s="87">
        <f>(F651/F10)/1.983</f>
        <v>345.08320726172462</v>
      </c>
      <c r="G652" s="87">
        <f>(G651/G10)/1.983</f>
        <v>350.39773559123518</v>
      </c>
      <c r="H652" s="87">
        <f>(H651/H10)/1.983</f>
        <v>330.03866195999325</v>
      </c>
      <c r="I652" s="88" t="s">
        <v>7</v>
      </c>
      <c r="J652" s="87">
        <f>(J651/J10)/1.983</f>
        <v>333.88642168106321</v>
      </c>
      <c r="K652" s="87">
        <f>(K651/K10)/1.983</f>
        <v>332.73144307256842</v>
      </c>
      <c r="L652" s="87">
        <f>(L651/L10)/1.983</f>
        <v>335.83795595898471</v>
      </c>
      <c r="M652" s="88" t="s">
        <v>7</v>
      </c>
      <c r="N652" s="87">
        <f>(N651/N10)/1.983</f>
        <v>242.10629056659022</v>
      </c>
      <c r="O652" s="87">
        <f>(O651/O10)/1.983</f>
        <v>40.326105227769375</v>
      </c>
      <c r="P652" s="87">
        <f>(P651/P10)/1.983</f>
        <v>137.18217754135964</v>
      </c>
      <c r="Q652" s="88" t="s">
        <v>7</v>
      </c>
      <c r="R652" s="88" t="s">
        <v>7</v>
      </c>
    </row>
    <row r="653" spans="1:18" ht="15.75" customHeight="1" x14ac:dyDescent="0.3">
      <c r="A653" s="30"/>
      <c r="B653" s="1"/>
      <c r="C653" s="1"/>
      <c r="D653" s="1"/>
      <c r="E653" s="1"/>
      <c r="F653" s="1"/>
      <c r="G653" s="1"/>
      <c r="H653" s="1"/>
      <c r="I653" s="1"/>
      <c r="J653" s="1"/>
      <c r="K653" s="1"/>
      <c r="L653" s="1"/>
      <c r="M653" s="1"/>
      <c r="N653" s="1"/>
      <c r="O653" s="1"/>
      <c r="P653" s="1"/>
      <c r="Q653" s="1"/>
      <c r="R653" s="28"/>
    </row>
    <row r="654" spans="1:18" ht="15.75" customHeight="1" thickBot="1" x14ac:dyDescent="0.35">
      <c r="A654" s="30"/>
      <c r="B654" s="1"/>
      <c r="C654" s="1"/>
      <c r="D654" s="1"/>
      <c r="E654" s="1"/>
      <c r="F654" s="1"/>
      <c r="G654" s="1"/>
      <c r="H654" s="1"/>
      <c r="I654" s="1"/>
      <c r="J654" s="1"/>
      <c r="K654" s="1"/>
      <c r="L654" s="1"/>
      <c r="M654" s="1"/>
      <c r="N654" s="1"/>
      <c r="O654" s="1"/>
      <c r="P654" s="1"/>
      <c r="Q654" s="1"/>
      <c r="R654" s="28"/>
    </row>
    <row r="655" spans="1:18" ht="16.5" customHeight="1" thickBot="1" x14ac:dyDescent="0.35">
      <c r="A655" s="31" t="s">
        <v>551</v>
      </c>
      <c r="B655" s="32" t="s">
        <v>36</v>
      </c>
      <c r="C655" s="33" t="s">
        <v>9</v>
      </c>
      <c r="D655" s="33" t="s">
        <v>10</v>
      </c>
      <c r="E655" s="12" t="s">
        <v>11</v>
      </c>
      <c r="F655" s="33" t="s">
        <v>12</v>
      </c>
      <c r="G655" s="33" t="s">
        <v>13</v>
      </c>
      <c r="H655" s="33" t="s">
        <v>14</v>
      </c>
      <c r="I655" s="34" t="s">
        <v>15</v>
      </c>
      <c r="J655" s="33" t="s">
        <v>16</v>
      </c>
      <c r="K655" s="33" t="s">
        <v>17</v>
      </c>
      <c r="L655" s="33" t="s">
        <v>18</v>
      </c>
      <c r="M655" s="34" t="s">
        <v>19</v>
      </c>
      <c r="N655" s="33" t="s">
        <v>20</v>
      </c>
      <c r="O655" s="33" t="s">
        <v>21</v>
      </c>
      <c r="P655" s="33" t="s">
        <v>22</v>
      </c>
      <c r="Q655" s="34" t="s">
        <v>23</v>
      </c>
      <c r="R655" s="35" t="s">
        <v>24</v>
      </c>
    </row>
    <row r="656" spans="1:18" ht="16.5" customHeight="1" thickBot="1" x14ac:dyDescent="0.35">
      <c r="A656" s="42"/>
      <c r="B656" s="37"/>
      <c r="C656" s="37"/>
      <c r="D656" s="37"/>
      <c r="E656" s="16"/>
      <c r="F656" s="37"/>
      <c r="G656" s="37"/>
      <c r="H656" s="37"/>
      <c r="I656" s="16"/>
      <c r="J656" s="37"/>
      <c r="K656" s="37"/>
      <c r="L656" s="37"/>
      <c r="M656" s="16"/>
      <c r="N656" s="37"/>
      <c r="O656" s="37"/>
      <c r="P656" s="37"/>
      <c r="Q656" s="16"/>
      <c r="R656" s="39"/>
    </row>
    <row r="657" spans="1:18" ht="15.75" customHeight="1" x14ac:dyDescent="0.3">
      <c r="A657" s="17" t="s">
        <v>45</v>
      </c>
      <c r="B657" s="1" t="s">
        <v>7</v>
      </c>
      <c r="C657" s="1" t="s">
        <v>7</v>
      </c>
      <c r="D657" s="1" t="s">
        <v>7</v>
      </c>
      <c r="E657" s="59" t="s">
        <v>7</v>
      </c>
      <c r="F657" s="1" t="s">
        <v>7</v>
      </c>
      <c r="G657" s="1" t="s">
        <v>7</v>
      </c>
      <c r="H657" s="1" t="s">
        <v>7</v>
      </c>
      <c r="I657" s="59" t="s">
        <v>7</v>
      </c>
      <c r="J657" s="1" t="s">
        <v>7</v>
      </c>
      <c r="K657" s="1" t="s">
        <v>7</v>
      </c>
      <c r="L657" s="1" t="s">
        <v>7</v>
      </c>
      <c r="M657" s="59" t="s">
        <v>7</v>
      </c>
      <c r="N657" s="1" t="s">
        <v>7</v>
      </c>
      <c r="O657" s="1" t="s">
        <v>7</v>
      </c>
      <c r="P657" s="1" t="s">
        <v>7</v>
      </c>
      <c r="Q657" s="59" t="s">
        <v>7</v>
      </c>
      <c r="R657" s="59" t="s">
        <v>7</v>
      </c>
    </row>
    <row r="658" spans="1:18" ht="15.75" customHeight="1" x14ac:dyDescent="0.3">
      <c r="A658" s="17" t="s">
        <v>46</v>
      </c>
      <c r="B658" s="1"/>
      <c r="C658" s="1"/>
      <c r="D658" s="1"/>
      <c r="E658" s="59" t="s">
        <v>7</v>
      </c>
      <c r="F658" s="1"/>
      <c r="G658" s="1"/>
      <c r="H658" s="1"/>
      <c r="I658" s="59" t="s">
        <v>7</v>
      </c>
      <c r="J658" s="1"/>
      <c r="K658" s="1"/>
      <c r="L658" s="1"/>
      <c r="M658" s="59" t="s">
        <v>7</v>
      </c>
      <c r="N658" s="1"/>
      <c r="O658" s="1"/>
      <c r="P658" s="1"/>
      <c r="Q658" s="59" t="s">
        <v>7</v>
      </c>
      <c r="R658" s="59" t="s">
        <v>7</v>
      </c>
    </row>
    <row r="659" spans="1:18" ht="15.75" customHeight="1" x14ac:dyDescent="0.3">
      <c r="A659" s="74" t="s">
        <v>552</v>
      </c>
      <c r="B659" s="1">
        <v>100</v>
      </c>
      <c r="C659" s="1">
        <v>200</v>
      </c>
      <c r="D659" s="1">
        <v>500</v>
      </c>
      <c r="E659" s="59">
        <f>SUM(B659:D659)</f>
        <v>800</v>
      </c>
      <c r="F659" s="1">
        <v>700</v>
      </c>
      <c r="G659" s="1">
        <v>1300</v>
      </c>
      <c r="H659" s="1">
        <v>1500</v>
      </c>
      <c r="I659" s="59">
        <f>SUM(F659:H659)</f>
        <v>3500</v>
      </c>
      <c r="J659" s="1">
        <v>2000</v>
      </c>
      <c r="K659" s="1">
        <v>1600</v>
      </c>
      <c r="L659" s="1">
        <v>1200</v>
      </c>
      <c r="M659" s="59">
        <f>SUM(J659:L659)</f>
        <v>4800</v>
      </c>
      <c r="N659" s="1">
        <v>400</v>
      </c>
      <c r="O659" s="1">
        <v>100</v>
      </c>
      <c r="P659" s="1">
        <v>200</v>
      </c>
      <c r="Q659" s="59">
        <f>SUM(N659:P659)</f>
        <v>700</v>
      </c>
      <c r="R659" s="59">
        <f>+E659+I659+M659+Q659</f>
        <v>9800</v>
      </c>
    </row>
    <row r="660" spans="1:18" ht="15.75" customHeight="1" x14ac:dyDescent="0.3">
      <c r="A660" s="74" t="s">
        <v>553</v>
      </c>
      <c r="B660" s="1"/>
      <c r="C660" s="1"/>
      <c r="D660" s="1"/>
      <c r="E660" s="59">
        <f>SUM(B660:D660)</f>
        <v>0</v>
      </c>
      <c r="F660" s="1"/>
      <c r="G660" s="1"/>
      <c r="H660" s="1"/>
      <c r="I660" s="59">
        <f>SUM(F660:H660)</f>
        <v>0</v>
      </c>
      <c r="J660" s="1"/>
      <c r="K660" s="1"/>
      <c r="L660" s="1"/>
      <c r="M660" s="59">
        <f>SUM(J660:L660)</f>
        <v>0</v>
      </c>
      <c r="N660" s="1"/>
      <c r="O660" s="1"/>
      <c r="P660" s="1"/>
      <c r="Q660" s="59">
        <f>SUM(N660:P660)</f>
        <v>0</v>
      </c>
      <c r="R660" s="59">
        <f>+E660+I660+M660+Q660</f>
        <v>0</v>
      </c>
    </row>
    <row r="661" spans="1:18" ht="15.75" customHeight="1" x14ac:dyDescent="0.3">
      <c r="A661" s="74" t="s">
        <v>554</v>
      </c>
      <c r="B661" s="1">
        <v>100</v>
      </c>
      <c r="C661" s="1">
        <v>50</v>
      </c>
      <c r="D661" s="1">
        <v>100</v>
      </c>
      <c r="E661" s="59">
        <f>SUM(B661:D661)</f>
        <v>250</v>
      </c>
      <c r="F661" s="1">
        <v>150</v>
      </c>
      <c r="G661" s="1">
        <v>50</v>
      </c>
      <c r="H661" s="1"/>
      <c r="I661" s="59">
        <f>SUM(F661:H661)</f>
        <v>200</v>
      </c>
      <c r="J661" s="1"/>
      <c r="K661" s="1"/>
      <c r="L661" s="1"/>
      <c r="M661" s="59">
        <f>SUM(J661:L661)</f>
        <v>0</v>
      </c>
      <c r="N661" s="1"/>
      <c r="O661" s="1"/>
      <c r="P661" s="1">
        <v>100</v>
      </c>
      <c r="Q661" s="59">
        <f>SUM(N661:P661)</f>
        <v>100</v>
      </c>
      <c r="R661" s="59">
        <f>+E661+I661+M661+Q661</f>
        <v>550</v>
      </c>
    </row>
    <row r="662" spans="1:18" ht="15.75" customHeight="1" x14ac:dyDescent="0.3">
      <c r="A662" s="17" t="s">
        <v>47</v>
      </c>
      <c r="B662" s="1"/>
      <c r="C662" s="1"/>
      <c r="D662" s="1"/>
      <c r="E662" s="59" t="s">
        <v>7</v>
      </c>
      <c r="F662" s="1"/>
      <c r="G662" s="1"/>
      <c r="H662" s="1"/>
      <c r="I662" s="59" t="s">
        <v>7</v>
      </c>
      <c r="J662" s="1"/>
      <c r="K662" s="1"/>
      <c r="L662" s="1"/>
      <c r="M662" s="59" t="s">
        <v>7</v>
      </c>
      <c r="N662" s="1"/>
      <c r="O662" s="1"/>
      <c r="P662" s="1"/>
      <c r="Q662" s="59" t="s">
        <v>7</v>
      </c>
      <c r="R662" s="59" t="s">
        <v>7</v>
      </c>
    </row>
    <row r="663" spans="1:18" ht="15.75" customHeight="1" x14ac:dyDescent="0.3">
      <c r="A663" s="17" t="s">
        <v>49</v>
      </c>
      <c r="B663" s="1"/>
      <c r="C663" s="1"/>
      <c r="D663" s="1"/>
      <c r="E663" s="59" t="s">
        <v>7</v>
      </c>
      <c r="F663" s="1"/>
      <c r="G663" s="1"/>
      <c r="H663" s="1"/>
      <c r="I663" s="59" t="s">
        <v>7</v>
      </c>
      <c r="J663" s="1"/>
      <c r="K663" s="1"/>
      <c r="L663" s="1"/>
      <c r="M663" s="59" t="s">
        <v>7</v>
      </c>
      <c r="N663" s="1"/>
      <c r="O663" s="1"/>
      <c r="P663" s="1"/>
      <c r="Q663" s="59" t="s">
        <v>7</v>
      </c>
      <c r="R663" s="59" t="s">
        <v>7</v>
      </c>
    </row>
    <row r="664" spans="1:18" ht="15.75" customHeight="1" thickBot="1" x14ac:dyDescent="0.35">
      <c r="A664" s="17" t="s">
        <v>51</v>
      </c>
      <c r="B664" s="1"/>
      <c r="C664" s="1"/>
      <c r="D664" s="1"/>
      <c r="E664" s="59" t="s">
        <v>7</v>
      </c>
      <c r="F664" s="1"/>
      <c r="G664" s="1"/>
      <c r="H664" s="1"/>
      <c r="I664" s="59" t="s">
        <v>7</v>
      </c>
      <c r="J664" s="1"/>
      <c r="K664" s="1"/>
      <c r="L664" s="1"/>
      <c r="M664" s="59" t="s">
        <v>7</v>
      </c>
      <c r="N664" s="1"/>
      <c r="O664" s="1"/>
      <c r="P664" s="1"/>
      <c r="Q664" s="59" t="s">
        <v>7</v>
      </c>
      <c r="R664" s="59" t="s">
        <v>7</v>
      </c>
    </row>
    <row r="665" spans="1:18" ht="16.5" customHeight="1" thickBot="1" x14ac:dyDescent="0.35">
      <c r="A665" s="126" t="s">
        <v>52</v>
      </c>
      <c r="B665" s="100">
        <f>SUM(B657:B664)</f>
        <v>200</v>
      </c>
      <c r="C665" s="101">
        <f>SUM(C657:C664)</f>
        <v>250</v>
      </c>
      <c r="D665" s="101">
        <f>SUM(D657:D664)</f>
        <v>600</v>
      </c>
      <c r="E665" s="64">
        <f>SUM(B665:D665)</f>
        <v>1050</v>
      </c>
      <c r="F665" s="101">
        <f>SUM(F657:F664)</f>
        <v>850</v>
      </c>
      <c r="G665" s="101">
        <f>SUM(G657:G664)</f>
        <v>1350</v>
      </c>
      <c r="H665" s="101">
        <f>SUM(H657:H664)</f>
        <v>1500</v>
      </c>
      <c r="I665" s="64">
        <f>SUM(F665:H665)</f>
        <v>3700</v>
      </c>
      <c r="J665" s="101">
        <f>SUM(J657:J664)</f>
        <v>2000</v>
      </c>
      <c r="K665" s="101">
        <f>SUM(K657:K664)</f>
        <v>1600</v>
      </c>
      <c r="L665" s="101">
        <f>SUM(L657:L664)</f>
        <v>1200</v>
      </c>
      <c r="M665" s="64">
        <f>SUM(J665:L665)</f>
        <v>4800</v>
      </c>
      <c r="N665" s="101">
        <f>SUM(N657:N664)</f>
        <v>400</v>
      </c>
      <c r="O665" s="101">
        <f>SUM(O657:O664)</f>
        <v>100</v>
      </c>
      <c r="P665" s="101">
        <f>SUM(P657:P664)</f>
        <v>300</v>
      </c>
      <c r="Q665" s="64">
        <f>SUM(N665:P665)</f>
        <v>800</v>
      </c>
      <c r="R665" s="64">
        <f>+E665+I665+M665+Q665</f>
        <v>10350</v>
      </c>
    </row>
    <row r="666" spans="1:18" ht="15.75" customHeight="1" x14ac:dyDescent="0.3">
      <c r="A666" s="17" t="s">
        <v>53</v>
      </c>
      <c r="B666" s="1"/>
      <c r="C666" s="1"/>
      <c r="D666" s="1"/>
      <c r="E666" s="59" t="s">
        <v>7</v>
      </c>
      <c r="F666" s="1"/>
      <c r="G666" s="1"/>
      <c r="H666" s="1"/>
      <c r="I666" s="59" t="s">
        <v>7</v>
      </c>
      <c r="J666" s="1"/>
      <c r="K666" s="1"/>
      <c r="L666" s="1"/>
      <c r="M666" s="59" t="s">
        <v>7</v>
      </c>
      <c r="N666" s="1"/>
      <c r="O666" s="1"/>
      <c r="P666" s="1"/>
      <c r="Q666" s="59" t="s">
        <v>7</v>
      </c>
      <c r="R666" s="59" t="s">
        <v>7</v>
      </c>
    </row>
    <row r="667" spans="1:18" ht="15.75" customHeight="1" x14ac:dyDescent="0.3">
      <c r="A667" s="17" t="s">
        <v>55</v>
      </c>
      <c r="B667" s="1"/>
      <c r="C667" s="1"/>
      <c r="D667" s="1"/>
      <c r="E667" s="59" t="s">
        <v>7</v>
      </c>
      <c r="F667" s="1"/>
      <c r="G667" s="1"/>
      <c r="H667" s="1"/>
      <c r="I667" s="59" t="s">
        <v>7</v>
      </c>
      <c r="J667" s="1"/>
      <c r="K667" s="1"/>
      <c r="L667" s="1"/>
      <c r="M667" s="59" t="s">
        <v>7</v>
      </c>
      <c r="N667" s="1"/>
      <c r="O667" s="1"/>
      <c r="P667" s="1"/>
      <c r="Q667" s="59" t="s">
        <v>7</v>
      </c>
      <c r="R667" s="59" t="s">
        <v>7</v>
      </c>
    </row>
    <row r="668" spans="1:18" ht="15.75" customHeight="1" thickBot="1" x14ac:dyDescent="0.35">
      <c r="A668" s="17" t="s">
        <v>56</v>
      </c>
      <c r="B668" s="1"/>
      <c r="C668" s="1"/>
      <c r="D668" s="1"/>
      <c r="E668" s="59" t="s">
        <v>7</v>
      </c>
      <c r="F668" s="1"/>
      <c r="G668" s="1"/>
      <c r="H668" s="1"/>
      <c r="I668" s="59" t="s">
        <v>7</v>
      </c>
      <c r="J668" s="1"/>
      <c r="K668" s="1"/>
      <c r="L668" s="1"/>
      <c r="M668" s="59" t="s">
        <v>7</v>
      </c>
      <c r="N668" s="1"/>
      <c r="O668" s="1"/>
      <c r="P668" s="1"/>
      <c r="Q668" s="59" t="s">
        <v>7</v>
      </c>
      <c r="R668" s="59" t="s">
        <v>7</v>
      </c>
    </row>
    <row r="669" spans="1:18" ht="16.5" customHeight="1" thickBot="1" x14ac:dyDescent="0.35">
      <c r="A669" s="62" t="s">
        <v>57</v>
      </c>
      <c r="B669" s="100">
        <f>SUM(B666:B668)</f>
        <v>0</v>
      </c>
      <c r="C669" s="101">
        <f>SUM(C666:C668)</f>
        <v>0</v>
      </c>
      <c r="D669" s="101">
        <f>SUM(D666:D668)</f>
        <v>0</v>
      </c>
      <c r="E669" s="64">
        <f>SUM(B669:D669)</f>
        <v>0</v>
      </c>
      <c r="F669" s="101">
        <f>SUM(F666:F668)</f>
        <v>0</v>
      </c>
      <c r="G669" s="101">
        <f>SUM(G666:G668)</f>
        <v>0</v>
      </c>
      <c r="H669" s="101">
        <f>SUM(H666:H668)</f>
        <v>0</v>
      </c>
      <c r="I669" s="64">
        <f>SUM(F669:H669)</f>
        <v>0</v>
      </c>
      <c r="J669" s="101">
        <f>SUM(J666:J668)</f>
        <v>0</v>
      </c>
      <c r="K669" s="101">
        <f>SUM(K666:K668)</f>
        <v>0</v>
      </c>
      <c r="L669" s="101">
        <f>SUM(L666:L668)</f>
        <v>0</v>
      </c>
      <c r="M669" s="64">
        <f>SUM(J669:L669)</f>
        <v>0</v>
      </c>
      <c r="N669" s="101">
        <f>SUM(N666:N668)</f>
        <v>0</v>
      </c>
      <c r="O669" s="101">
        <f>SUM(O666:O668)</f>
        <v>0</v>
      </c>
      <c r="P669" s="101">
        <f>SUM(P666:P668)</f>
        <v>0</v>
      </c>
      <c r="Q669" s="64">
        <f>SUM(N669:P669)</f>
        <v>0</v>
      </c>
      <c r="R669" s="64">
        <f>+E669+I669+M669+Q669</f>
        <v>0</v>
      </c>
    </row>
    <row r="670" spans="1:18" ht="15.75" customHeight="1" x14ac:dyDescent="0.3">
      <c r="A670" s="17" t="s">
        <v>58</v>
      </c>
      <c r="B670" s="1"/>
      <c r="C670" s="1"/>
      <c r="D670" s="1"/>
      <c r="E670" s="59" t="s">
        <v>7</v>
      </c>
      <c r="F670" s="1"/>
      <c r="G670" s="1"/>
      <c r="H670" s="1"/>
      <c r="I670" s="59" t="s">
        <v>7</v>
      </c>
      <c r="J670" s="1"/>
      <c r="K670" s="1"/>
      <c r="L670" s="1"/>
      <c r="M670" s="59" t="s">
        <v>7</v>
      </c>
      <c r="N670" s="1"/>
      <c r="O670" s="1"/>
      <c r="P670" s="1"/>
      <c r="Q670" s="59" t="s">
        <v>7</v>
      </c>
      <c r="R670" s="59" t="s">
        <v>7</v>
      </c>
    </row>
    <row r="671" spans="1:18" ht="15.75" customHeight="1" x14ac:dyDescent="0.3">
      <c r="A671" s="17" t="s">
        <v>59</v>
      </c>
      <c r="B671" s="1"/>
      <c r="C671" s="1"/>
      <c r="D671" s="1"/>
      <c r="E671" s="59" t="s">
        <v>7</v>
      </c>
      <c r="F671" s="1"/>
      <c r="G671" s="1"/>
      <c r="H671" s="1"/>
      <c r="I671" s="59" t="s">
        <v>7</v>
      </c>
      <c r="J671" s="1"/>
      <c r="K671" s="1"/>
      <c r="L671" s="1"/>
      <c r="M671" s="59" t="s">
        <v>7</v>
      </c>
      <c r="N671" s="1"/>
      <c r="O671" s="1"/>
      <c r="P671" s="1"/>
      <c r="Q671" s="59" t="s">
        <v>7</v>
      </c>
      <c r="R671" s="59" t="s">
        <v>7</v>
      </c>
    </row>
    <row r="672" spans="1:18" ht="15.75" customHeight="1" thickBot="1" x14ac:dyDescent="0.35">
      <c r="A672" s="17" t="s">
        <v>60</v>
      </c>
      <c r="B672" s="1"/>
      <c r="C672" s="1"/>
      <c r="D672" s="1"/>
      <c r="E672" s="59" t="s">
        <v>7</v>
      </c>
      <c r="F672" s="1"/>
      <c r="G672" s="1"/>
      <c r="H672" s="1"/>
      <c r="I672" s="59" t="s">
        <v>7</v>
      </c>
      <c r="J672" s="1"/>
      <c r="K672" s="1"/>
      <c r="L672" s="1"/>
      <c r="M672" s="59" t="s">
        <v>7</v>
      </c>
      <c r="N672" s="1"/>
      <c r="O672" s="1"/>
      <c r="P672" s="1"/>
      <c r="Q672" s="59" t="s">
        <v>7</v>
      </c>
      <c r="R672" s="59" t="s">
        <v>7</v>
      </c>
    </row>
    <row r="673" spans="1:18" ht="16.5" customHeight="1" thickBot="1" x14ac:dyDescent="0.35">
      <c r="A673" s="137" t="s">
        <v>61</v>
      </c>
      <c r="B673" s="100">
        <f>SUM(B670:B672)</f>
        <v>0</v>
      </c>
      <c r="C673" s="101">
        <f>SUM(C670:C672)</f>
        <v>0</v>
      </c>
      <c r="D673" s="101">
        <f>SUM(D670:D672)</f>
        <v>0</v>
      </c>
      <c r="E673" s="64">
        <f>SUM(B673:D673)</f>
        <v>0</v>
      </c>
      <c r="F673" s="101">
        <f>SUM(F670:F672)</f>
        <v>0</v>
      </c>
      <c r="G673" s="101">
        <f>SUM(G670:G672)</f>
        <v>0</v>
      </c>
      <c r="H673" s="101">
        <f>SUM(H670:H672)</f>
        <v>0</v>
      </c>
      <c r="I673" s="64">
        <f>SUM(F673:H673)</f>
        <v>0</v>
      </c>
      <c r="J673" s="101">
        <f>SUM(J670:J672)</f>
        <v>0</v>
      </c>
      <c r="K673" s="101">
        <f>SUM(K670:K672)</f>
        <v>0</v>
      </c>
      <c r="L673" s="101">
        <f>SUM(L670:L672)</f>
        <v>0</v>
      </c>
      <c r="M673" s="64">
        <f>SUM(J673:L673)</f>
        <v>0</v>
      </c>
      <c r="N673" s="101">
        <f>SUM(N670:N672)</f>
        <v>0</v>
      </c>
      <c r="O673" s="101">
        <f>SUM(O670:O672)</f>
        <v>0</v>
      </c>
      <c r="P673" s="101">
        <f>SUM(P670:P672)</f>
        <v>0</v>
      </c>
      <c r="Q673" s="64">
        <f>SUM(N673:P673)</f>
        <v>0</v>
      </c>
      <c r="R673" s="64">
        <f>+E673+I673+M673+Q673</f>
        <v>0</v>
      </c>
    </row>
    <row r="674" spans="1:18" ht="15.75" customHeight="1" x14ac:dyDescent="0.3">
      <c r="A674" s="17" t="s">
        <v>62</v>
      </c>
      <c r="B674" s="1"/>
      <c r="C674" s="1"/>
      <c r="D674" s="1"/>
      <c r="E674" s="59" t="s">
        <v>7</v>
      </c>
      <c r="F674" s="1"/>
      <c r="G674" s="1"/>
      <c r="H674" s="1"/>
      <c r="I674" s="59" t="s">
        <v>7</v>
      </c>
      <c r="J674" s="1"/>
      <c r="K674" s="1"/>
      <c r="L674" s="1"/>
      <c r="M674" s="59" t="s">
        <v>7</v>
      </c>
      <c r="N674" s="1"/>
      <c r="O674" s="1"/>
      <c r="P674" s="1"/>
      <c r="Q674" s="59" t="s">
        <v>7</v>
      </c>
      <c r="R674" s="59" t="s">
        <v>7</v>
      </c>
    </row>
    <row r="675" spans="1:18" ht="15.75" customHeight="1" x14ac:dyDescent="0.3">
      <c r="A675" s="17" t="s">
        <v>63</v>
      </c>
      <c r="B675" s="1"/>
      <c r="C675" s="1"/>
      <c r="D675" s="1"/>
      <c r="E675" s="59" t="s">
        <v>7</v>
      </c>
      <c r="F675" s="1"/>
      <c r="G675" s="1"/>
      <c r="H675" s="1"/>
      <c r="I675" s="59" t="s">
        <v>7</v>
      </c>
      <c r="J675" s="1"/>
      <c r="K675" s="1"/>
      <c r="L675" s="1"/>
      <c r="M675" s="59" t="s">
        <v>7</v>
      </c>
      <c r="N675" s="1"/>
      <c r="O675" s="1"/>
      <c r="P675" s="1"/>
      <c r="Q675" s="59" t="s">
        <v>7</v>
      </c>
      <c r="R675" s="59" t="s">
        <v>7</v>
      </c>
    </row>
    <row r="676" spans="1:18" ht="15.75" customHeight="1" x14ac:dyDescent="0.3">
      <c r="A676" s="17" t="s">
        <v>64</v>
      </c>
      <c r="B676" s="1"/>
      <c r="C676" s="1"/>
      <c r="D676" s="1"/>
      <c r="E676" s="59" t="s">
        <v>7</v>
      </c>
      <c r="F676" s="1"/>
      <c r="G676" s="1"/>
      <c r="H676" s="1"/>
      <c r="I676" s="59" t="s">
        <v>7</v>
      </c>
      <c r="J676" s="1"/>
      <c r="K676" s="1"/>
      <c r="L676" s="1"/>
      <c r="M676" s="59" t="s">
        <v>7</v>
      </c>
      <c r="N676" s="1"/>
      <c r="O676" s="1"/>
      <c r="P676" s="1"/>
      <c r="Q676" s="59" t="s">
        <v>7</v>
      </c>
      <c r="R676" s="59" t="s">
        <v>7</v>
      </c>
    </row>
    <row r="677" spans="1:18" ht="15.75" customHeight="1" x14ac:dyDescent="0.3">
      <c r="A677" s="74" t="s">
        <v>555</v>
      </c>
      <c r="B677" s="1"/>
      <c r="C677" s="1"/>
      <c r="D677" s="1"/>
      <c r="E677" s="59">
        <f>SUM(B677:D677)</f>
        <v>0</v>
      </c>
      <c r="F677" s="1"/>
      <c r="G677" s="1"/>
      <c r="H677" s="1"/>
      <c r="I677" s="59">
        <f>SUM(F677:H677)</f>
        <v>0</v>
      </c>
      <c r="J677" s="1"/>
      <c r="K677" s="1"/>
      <c r="L677" s="1"/>
      <c r="M677" s="59">
        <f>SUM(J677:L677)</f>
        <v>0</v>
      </c>
      <c r="N677" s="1"/>
      <c r="O677" s="1"/>
      <c r="P677" s="1"/>
      <c r="Q677" s="59">
        <f>SUM(N677:P677)</f>
        <v>0</v>
      </c>
      <c r="R677" s="59">
        <f>+E677+I677+M677+Q677</f>
        <v>0</v>
      </c>
    </row>
    <row r="678" spans="1:18" ht="15.75" customHeight="1" x14ac:dyDescent="0.3">
      <c r="A678" s="17" t="s">
        <v>66</v>
      </c>
      <c r="B678" s="1"/>
      <c r="C678" s="1"/>
      <c r="D678" s="1"/>
      <c r="E678" s="59" t="s">
        <v>7</v>
      </c>
      <c r="F678" s="1"/>
      <c r="G678" s="1"/>
      <c r="H678" s="1"/>
      <c r="I678" s="59" t="s">
        <v>7</v>
      </c>
      <c r="J678" s="1"/>
      <c r="K678" s="1"/>
      <c r="L678" s="1"/>
      <c r="M678" s="59" t="s">
        <v>7</v>
      </c>
      <c r="N678" s="1"/>
      <c r="O678" s="1"/>
      <c r="P678" s="1"/>
      <c r="Q678" s="59" t="s">
        <v>7</v>
      </c>
      <c r="R678" s="59" t="s">
        <v>7</v>
      </c>
    </row>
    <row r="679" spans="1:18" ht="15.75" customHeight="1" thickBot="1" x14ac:dyDescent="0.35">
      <c r="A679" s="17" t="s">
        <v>67</v>
      </c>
      <c r="B679" s="1"/>
      <c r="C679" s="1"/>
      <c r="D679" s="1"/>
      <c r="E679" s="59" t="s">
        <v>7</v>
      </c>
      <c r="F679" s="1"/>
      <c r="G679" s="1"/>
      <c r="H679" s="1"/>
      <c r="I679" s="59" t="s">
        <v>7</v>
      </c>
      <c r="J679" s="1"/>
      <c r="K679" s="1"/>
      <c r="L679" s="1"/>
      <c r="M679" s="59" t="s">
        <v>7</v>
      </c>
      <c r="N679" s="1"/>
      <c r="O679" s="1"/>
      <c r="P679" s="1"/>
      <c r="Q679" s="59" t="s">
        <v>7</v>
      </c>
      <c r="R679" s="59" t="s">
        <v>7</v>
      </c>
    </row>
    <row r="680" spans="1:18" ht="16.5" customHeight="1" thickBot="1" x14ac:dyDescent="0.35">
      <c r="A680" s="62" t="s">
        <v>68</v>
      </c>
      <c r="B680" s="63">
        <f>SUM(B678:B679)</f>
        <v>0</v>
      </c>
      <c r="C680" s="63">
        <f>SUM(C678:C679)</f>
        <v>0</v>
      </c>
      <c r="D680" s="63">
        <f>SUM(D678:D679)</f>
        <v>0</v>
      </c>
      <c r="E680" s="65">
        <f>SUM(B680:D680)</f>
        <v>0</v>
      </c>
      <c r="F680" s="63">
        <f>SUM(F678:F679)</f>
        <v>0</v>
      </c>
      <c r="G680" s="63">
        <f>SUM(G678:G679)</f>
        <v>0</v>
      </c>
      <c r="H680" s="63">
        <f>SUM(H678:H679)</f>
        <v>0</v>
      </c>
      <c r="I680" s="65">
        <f>SUM(F680:H680)</f>
        <v>0</v>
      </c>
      <c r="J680" s="63">
        <f>SUM(J678:J679)</f>
        <v>0</v>
      </c>
      <c r="K680" s="63">
        <f>SUM(K678:K679)</f>
        <v>0</v>
      </c>
      <c r="L680" s="63">
        <f>SUM(L678:L679)</f>
        <v>0</v>
      </c>
      <c r="M680" s="65">
        <f>SUM(J680:L680)</f>
        <v>0</v>
      </c>
      <c r="N680" s="63">
        <f>SUM(N678:N679)</f>
        <v>0</v>
      </c>
      <c r="O680" s="63">
        <f>SUM(O678:O679)</f>
        <v>0</v>
      </c>
      <c r="P680" s="63">
        <f>SUM(P678:P679)</f>
        <v>0</v>
      </c>
      <c r="Q680" s="65">
        <f>SUM(N680:P680)</f>
        <v>0</v>
      </c>
      <c r="R680" s="64">
        <f>+E680+I680+M680+Q680</f>
        <v>0</v>
      </c>
    </row>
    <row r="681" spans="1:18" ht="16.5" customHeight="1" thickBot="1" x14ac:dyDescent="0.35">
      <c r="A681" s="137" t="s">
        <v>69</v>
      </c>
      <c r="B681" s="100">
        <f>SUM(B674:B679)</f>
        <v>0</v>
      </c>
      <c r="C681" s="101">
        <f>SUM(C674:C679)</f>
        <v>0</v>
      </c>
      <c r="D681" s="138">
        <f>SUM(D674:D679)</f>
        <v>0</v>
      </c>
      <c r="E681" s="65">
        <f>SUM(B681:D681)</f>
        <v>0</v>
      </c>
      <c r="F681" s="101">
        <f>SUM(F674:F679)</f>
        <v>0</v>
      </c>
      <c r="G681" s="101">
        <f>SUM(G674:G679)</f>
        <v>0</v>
      </c>
      <c r="H681" s="101">
        <f>SUM(H674:H679)</f>
        <v>0</v>
      </c>
      <c r="I681" s="65">
        <f>SUM(F681:H681)</f>
        <v>0</v>
      </c>
      <c r="J681" s="101">
        <f>SUM(J674:J679)</f>
        <v>0</v>
      </c>
      <c r="K681" s="101">
        <f>SUM(K674:K679)</f>
        <v>0</v>
      </c>
      <c r="L681" s="101">
        <f>SUM(L674:L679)</f>
        <v>0</v>
      </c>
      <c r="M681" s="65">
        <f>SUM(J681:L681)</f>
        <v>0</v>
      </c>
      <c r="N681" s="101">
        <f>SUM(N674:N679)</f>
        <v>0</v>
      </c>
      <c r="O681" s="101">
        <f>SUM(O674:O679)</f>
        <v>0</v>
      </c>
      <c r="P681" s="101">
        <f>SUM(P674:P679)</f>
        <v>0</v>
      </c>
      <c r="Q681" s="65">
        <f>SUM(N681:P681)</f>
        <v>0</v>
      </c>
      <c r="R681" s="64">
        <f>+E681+I681+M681+Q681</f>
        <v>0</v>
      </c>
    </row>
    <row r="682" spans="1:18" ht="16.5" customHeight="1" thickBot="1" x14ac:dyDescent="0.35">
      <c r="A682" s="62" t="s">
        <v>70</v>
      </c>
      <c r="B682" s="107">
        <f>+B665+B669+B673+B681</f>
        <v>200</v>
      </c>
      <c r="C682" s="63">
        <f>+C665+C669+C673+C681</f>
        <v>250</v>
      </c>
      <c r="D682" s="63">
        <f>+D665+D669+D673+D681</f>
        <v>600</v>
      </c>
      <c r="E682" s="64">
        <f>SUM(B682:D682)</f>
        <v>1050</v>
      </c>
      <c r="F682" s="63">
        <f>+F665+F669+F673+F681</f>
        <v>850</v>
      </c>
      <c r="G682" s="63">
        <f>+G665+G669+G673+G681</f>
        <v>1350</v>
      </c>
      <c r="H682" s="63">
        <f>+H665+H669+H673+H681</f>
        <v>1500</v>
      </c>
      <c r="I682" s="64">
        <f>SUM(F682:H682)</f>
        <v>3700</v>
      </c>
      <c r="J682" s="63">
        <f>+J665+J669+J673+J681</f>
        <v>2000</v>
      </c>
      <c r="K682" s="63">
        <f>+K665+K669+K673+K681</f>
        <v>1600</v>
      </c>
      <c r="L682" s="63">
        <f>+L665+L669+L673+L681</f>
        <v>1200</v>
      </c>
      <c r="M682" s="64">
        <f>SUM(J682:L682)</f>
        <v>4800</v>
      </c>
      <c r="N682" s="63">
        <f>+N665+N669+N673+N681</f>
        <v>400</v>
      </c>
      <c r="O682" s="63">
        <f>+O665+O669+O673+O681</f>
        <v>100</v>
      </c>
      <c r="P682" s="63">
        <f>+P665+P669+P673+P681</f>
        <v>300</v>
      </c>
      <c r="Q682" s="64">
        <f>SUM(N682:P682)</f>
        <v>800</v>
      </c>
      <c r="R682" s="88">
        <f>+E682+I682+M682+Q682</f>
        <v>10350</v>
      </c>
    </row>
    <row r="683" spans="1:18" ht="16.5" customHeight="1" thickBot="1" x14ac:dyDescent="0.35">
      <c r="A683" s="40" t="s">
        <v>37</v>
      </c>
      <c r="B683" s="25">
        <v>10</v>
      </c>
      <c r="C683" s="25">
        <v>11</v>
      </c>
      <c r="D683" s="25">
        <v>14</v>
      </c>
      <c r="E683" s="59">
        <f>SUM(B683:D683)</f>
        <v>35</v>
      </c>
      <c r="F683" s="25">
        <v>18</v>
      </c>
      <c r="G683" s="25">
        <v>21</v>
      </c>
      <c r="H683" s="25">
        <v>22</v>
      </c>
      <c r="I683" s="59">
        <f>SUM(F683:H683)</f>
        <v>61</v>
      </c>
      <c r="J683" s="25">
        <v>19</v>
      </c>
      <c r="K683" s="25">
        <v>17</v>
      </c>
      <c r="L683" s="25">
        <v>17</v>
      </c>
      <c r="M683" s="59">
        <f>SUM(J683:L683)</f>
        <v>53</v>
      </c>
      <c r="N683" s="25">
        <v>14</v>
      </c>
      <c r="O683" s="25">
        <v>11</v>
      </c>
      <c r="P683" s="25">
        <v>9</v>
      </c>
      <c r="Q683" s="59">
        <f>SUM(N683:P683)</f>
        <v>34</v>
      </c>
      <c r="R683" s="59">
        <f>+E683+I683+M683+Q683</f>
        <v>183</v>
      </c>
    </row>
    <row r="684" spans="1:18" ht="16.5" customHeight="1" thickBot="1" x14ac:dyDescent="0.35">
      <c r="A684" s="42"/>
      <c r="B684" s="37"/>
      <c r="C684" s="37"/>
      <c r="D684" s="37"/>
      <c r="E684" s="16"/>
      <c r="F684" s="37"/>
      <c r="G684" s="37"/>
      <c r="H684" s="37"/>
      <c r="I684" s="16"/>
      <c r="J684" s="37"/>
      <c r="K684" s="37"/>
      <c r="L684" s="37"/>
      <c r="M684" s="153"/>
      <c r="N684" s="37"/>
      <c r="O684" s="37"/>
      <c r="P684" s="37"/>
      <c r="Q684" s="153"/>
      <c r="R684" s="41"/>
    </row>
    <row r="685" spans="1:18" ht="15.75" customHeight="1" x14ac:dyDescent="0.3">
      <c r="A685" s="17" t="s">
        <v>507</v>
      </c>
      <c r="B685" s="1">
        <f>SUM(B682:B683)</f>
        <v>210</v>
      </c>
      <c r="C685" s="1">
        <f>SUM(C682:C683)</f>
        <v>261</v>
      </c>
      <c r="D685" s="1">
        <f>SUM(D682:D683)</f>
        <v>614</v>
      </c>
      <c r="E685" s="59">
        <f>SUM(B685:D685)</f>
        <v>1085</v>
      </c>
      <c r="F685" s="1">
        <f>SUM(F682:F683)</f>
        <v>868</v>
      </c>
      <c r="G685" s="1">
        <f>SUM(G682:G683)</f>
        <v>1371</v>
      </c>
      <c r="H685" s="1">
        <f>SUM(H682:H683)</f>
        <v>1522</v>
      </c>
      <c r="I685" s="65">
        <f>SUM(F685:H685)</f>
        <v>3761</v>
      </c>
      <c r="J685" s="1">
        <f>SUM(J682:J683)</f>
        <v>2019</v>
      </c>
      <c r="K685" s="1">
        <f>SUM(K682:K683)</f>
        <v>1617</v>
      </c>
      <c r="L685" s="1">
        <f>SUM(L682:L683)</f>
        <v>1217</v>
      </c>
      <c r="M685" s="65">
        <f>SUM(J685:L685)</f>
        <v>4853</v>
      </c>
      <c r="N685" s="1">
        <f>SUM(N682:N683)</f>
        <v>414</v>
      </c>
      <c r="O685" s="1">
        <f>SUM(O682:O683)</f>
        <v>111</v>
      </c>
      <c r="P685" s="1">
        <f>SUM(P682:P683)</f>
        <v>309</v>
      </c>
      <c r="Q685" s="65">
        <f>SUM(N685:P685)</f>
        <v>834</v>
      </c>
      <c r="R685" s="65">
        <f>+E685+I685+M685+Q685</f>
        <v>10533</v>
      </c>
    </row>
    <row r="686" spans="1:18" ht="15.75" customHeight="1" x14ac:dyDescent="0.3">
      <c r="A686" s="17" t="s">
        <v>39</v>
      </c>
      <c r="B686" s="1">
        <f>(B685/B10)/1.983</f>
        <v>3.4161339124493679</v>
      </c>
      <c r="C686" s="1">
        <f>(C685/C10)/1.983</f>
        <v>4.7006699805489518</v>
      </c>
      <c r="D686" s="1">
        <f>(D685/D10)/1.983</f>
        <v>9.9881248678281516</v>
      </c>
      <c r="E686" s="59" t="s">
        <v>7</v>
      </c>
      <c r="F686" s="1">
        <f>(F685/F10)/1.983</f>
        <v>14.590687510505967</v>
      </c>
      <c r="G686" s="1">
        <f>(G685/G10)/1.983</f>
        <v>22.302474256990873</v>
      </c>
      <c r="H686" s="1">
        <f>(H685/H10)/1.983</f>
        <v>25.584131786854932</v>
      </c>
      <c r="I686" s="59" t="s">
        <v>7</v>
      </c>
      <c r="J686" s="1">
        <f>(J685/J10)/1.983</f>
        <v>32.843687472548922</v>
      </c>
      <c r="K686" s="1">
        <f>(K685/K10)/1.983</f>
        <v>26.304231125860134</v>
      </c>
      <c r="L686" s="1">
        <f>(L685/L10)/1.983</f>
        <v>20.457219700790048</v>
      </c>
      <c r="M686" s="59" t="s">
        <v>7</v>
      </c>
      <c r="N686" s="1">
        <f>(N685/N10)/1.983</f>
        <v>6.7346639988287542</v>
      </c>
      <c r="O686" s="1">
        <f>(O685/O10)/1.983</f>
        <v>1.8658598083711548</v>
      </c>
      <c r="P686" s="1">
        <f>(P685/P10)/1.983</f>
        <v>5.0265970426040694</v>
      </c>
      <c r="Q686" s="59" t="s">
        <v>7</v>
      </c>
      <c r="R686" s="59" t="s">
        <v>7</v>
      </c>
    </row>
    <row r="687" spans="1:18" ht="15.75" customHeight="1" x14ac:dyDescent="0.3">
      <c r="A687" s="17" t="s">
        <v>556</v>
      </c>
      <c r="B687" s="1">
        <f>B685+B739</f>
        <v>15768</v>
      </c>
      <c r="C687" s="1">
        <f>C685+C739</f>
        <v>18481</v>
      </c>
      <c r="D687" s="1">
        <f>D685+D739</f>
        <v>20078</v>
      </c>
      <c r="E687" s="59">
        <f>SUM(B687:D687)</f>
        <v>54327</v>
      </c>
      <c r="F687" s="1">
        <f>F685+F739</f>
        <v>20492</v>
      </c>
      <c r="G687" s="1">
        <f>G685+G739</f>
        <v>21498</v>
      </c>
      <c r="H687" s="1">
        <f>H685+H739</f>
        <v>19590</v>
      </c>
      <c r="I687" s="59">
        <f>SUM(F687:H687)</f>
        <v>61580</v>
      </c>
      <c r="J687" s="1">
        <f>J685+J739</f>
        <v>20486</v>
      </c>
      <c r="K687" s="1">
        <f>K685+K739</f>
        <v>20418</v>
      </c>
      <c r="L687" s="1">
        <f>L685+L739</f>
        <v>19945</v>
      </c>
      <c r="M687" s="59">
        <f>SUM(J687:L687)</f>
        <v>60849</v>
      </c>
      <c r="N687" s="1">
        <f>N685+N739</f>
        <v>14854</v>
      </c>
      <c r="O687" s="1">
        <f>O685+O739</f>
        <v>2376</v>
      </c>
      <c r="P687" s="1">
        <f>P685+P739</f>
        <v>8414</v>
      </c>
      <c r="Q687" s="59">
        <f>SUM(N687:P687)</f>
        <v>25644</v>
      </c>
      <c r="R687" s="59">
        <f>+E687+I687+M687+Q687</f>
        <v>202400</v>
      </c>
    </row>
    <row r="688" spans="1:18" ht="16.5" customHeight="1" thickBot="1" x14ac:dyDescent="0.35">
      <c r="A688" s="24" t="s">
        <v>557</v>
      </c>
      <c r="B688" s="25">
        <f>(B687/B10)/1.983</f>
        <v>256.50285491191255</v>
      </c>
      <c r="C688" s="25">
        <f>(C687/C10)/1.983</f>
        <v>332.84705712844897</v>
      </c>
      <c r="D688" s="25">
        <f>(D687/D10)/1.983</f>
        <v>326.61493663884954</v>
      </c>
      <c r="E688" s="88" t="s">
        <v>7</v>
      </c>
      <c r="F688" s="25">
        <f>(F687/F10)/1.983</f>
        <v>344.46125399226764</v>
      </c>
      <c r="G688" s="25">
        <f>(G687/G10)/1.983</f>
        <v>349.71450880874528</v>
      </c>
      <c r="H688" s="25">
        <f>(H687/H10)/1.983</f>
        <v>329.29904185577408</v>
      </c>
      <c r="I688" s="88" t="s">
        <v>7</v>
      </c>
      <c r="J688" s="25">
        <f>(J687/J10)/1.983</f>
        <v>333.25199681160836</v>
      </c>
      <c r="K688" s="25">
        <f>(K687/K10)/1.983</f>
        <v>332.14582011614851</v>
      </c>
      <c r="L688" s="25">
        <f>(L687/L10)/1.983</f>
        <v>335.26643133299717</v>
      </c>
      <c r="M688" s="88" t="s">
        <v>7</v>
      </c>
      <c r="N688" s="25">
        <f>(N687/N10)/1.983</f>
        <v>241.6345387405853</v>
      </c>
      <c r="O688" s="25">
        <f>(O687/O10)/1.983</f>
        <v>39.939485627836611</v>
      </c>
      <c r="P688" s="25">
        <f>(P687/P10)/1.983</f>
        <v>136.87309875880467</v>
      </c>
      <c r="Q688" s="88" t="s">
        <v>7</v>
      </c>
      <c r="R688" s="88" t="s">
        <v>7</v>
      </c>
    </row>
    <row r="689" spans="1:18" ht="15.75" customHeight="1" x14ac:dyDescent="0.3">
      <c r="A689" s="28"/>
      <c r="B689" s="1"/>
      <c r="C689" s="1"/>
      <c r="D689" s="1"/>
      <c r="E689" s="1"/>
      <c r="F689" s="1"/>
      <c r="G689" s="1"/>
      <c r="H689" s="1"/>
      <c r="I689" s="1"/>
      <c r="J689" s="1"/>
      <c r="K689" s="1"/>
      <c r="L689" s="1"/>
      <c r="M689" s="1"/>
      <c r="N689" s="1"/>
      <c r="O689" s="1"/>
      <c r="P689" s="1"/>
      <c r="Q689" s="1"/>
      <c r="R689" s="28"/>
    </row>
    <row r="690" spans="1:18" ht="16.5" customHeight="1" thickBot="1" x14ac:dyDescent="0.35">
      <c r="A690" s="123"/>
      <c r="B690" s="25"/>
      <c r="C690" s="25"/>
      <c r="D690" s="25"/>
      <c r="E690" s="25"/>
      <c r="F690" s="25"/>
      <c r="G690" s="25"/>
      <c r="H690" s="25"/>
      <c r="I690" s="25"/>
      <c r="J690" s="25"/>
      <c r="K690" s="25"/>
      <c r="L690" s="25"/>
      <c r="M690" s="25"/>
      <c r="N690" s="25"/>
      <c r="O690" s="25"/>
      <c r="P690" s="25"/>
      <c r="Q690" s="25"/>
      <c r="R690" s="123"/>
    </row>
    <row r="691" spans="1:18" ht="15.75" customHeight="1" thickBot="1" x14ac:dyDescent="0.35">
      <c r="A691" s="124" t="s">
        <v>558</v>
      </c>
      <c r="B691" s="54" t="s">
        <v>36</v>
      </c>
      <c r="C691" s="11" t="s">
        <v>9</v>
      </c>
      <c r="D691" s="11" t="s">
        <v>10</v>
      </c>
      <c r="E691" s="12" t="s">
        <v>11</v>
      </c>
      <c r="F691" s="11" t="s">
        <v>12</v>
      </c>
      <c r="G691" s="11" t="s">
        <v>13</v>
      </c>
      <c r="H691" s="11" t="s">
        <v>14</v>
      </c>
      <c r="I691" s="12" t="s">
        <v>15</v>
      </c>
      <c r="J691" s="11" t="s">
        <v>16</v>
      </c>
      <c r="K691" s="11" t="s">
        <v>17</v>
      </c>
      <c r="L691" s="11" t="s">
        <v>18</v>
      </c>
      <c r="M691" s="12" t="s">
        <v>19</v>
      </c>
      <c r="N691" s="11" t="s">
        <v>20</v>
      </c>
      <c r="O691" s="11" t="s">
        <v>21</v>
      </c>
      <c r="P691" s="11" t="s">
        <v>22</v>
      </c>
      <c r="Q691" s="12" t="s">
        <v>23</v>
      </c>
      <c r="R691" s="13" t="s">
        <v>24</v>
      </c>
    </row>
    <row r="692" spans="1:18" ht="16.5" customHeight="1" thickBot="1" x14ac:dyDescent="0.35">
      <c r="A692" s="154"/>
      <c r="B692" s="56"/>
      <c r="C692" s="56"/>
      <c r="D692" s="56"/>
      <c r="E692" s="16"/>
      <c r="F692" s="56"/>
      <c r="G692" s="56"/>
      <c r="H692" s="56"/>
      <c r="I692" s="16"/>
      <c r="J692" s="56"/>
      <c r="K692" s="56"/>
      <c r="L692" s="56"/>
      <c r="M692" s="16"/>
      <c r="N692" s="56"/>
      <c r="O692" s="56"/>
      <c r="P692" s="56"/>
      <c r="Q692" s="16"/>
      <c r="R692" s="57"/>
    </row>
    <row r="693" spans="1:18" ht="15.75" customHeight="1" x14ac:dyDescent="0.3">
      <c r="A693" s="17" t="s">
        <v>45</v>
      </c>
      <c r="B693" s="1" t="s">
        <v>7</v>
      </c>
      <c r="C693" s="1" t="s">
        <v>7</v>
      </c>
      <c r="D693" s="1" t="s">
        <v>7</v>
      </c>
      <c r="E693" s="59" t="s">
        <v>7</v>
      </c>
      <c r="F693" s="1" t="s">
        <v>7</v>
      </c>
      <c r="G693" s="1" t="s">
        <v>7</v>
      </c>
      <c r="H693" s="1" t="s">
        <v>7</v>
      </c>
      <c r="I693" s="59" t="s">
        <v>7</v>
      </c>
      <c r="J693" s="1" t="s">
        <v>7</v>
      </c>
      <c r="K693" s="1" t="s">
        <v>7</v>
      </c>
      <c r="L693" s="1" t="s">
        <v>7</v>
      </c>
      <c r="M693" s="59" t="s">
        <v>7</v>
      </c>
      <c r="N693" s="1" t="s">
        <v>7</v>
      </c>
      <c r="O693" s="1" t="s">
        <v>7</v>
      </c>
      <c r="P693" s="1" t="s">
        <v>7</v>
      </c>
      <c r="Q693" s="59" t="s">
        <v>7</v>
      </c>
      <c r="R693" s="59" t="s">
        <v>7</v>
      </c>
    </row>
    <row r="694" spans="1:18" ht="15.75" customHeight="1" x14ac:dyDescent="0.3">
      <c r="A694" s="17" t="s">
        <v>46</v>
      </c>
      <c r="B694" s="1"/>
      <c r="C694" s="1"/>
      <c r="D694" s="1"/>
      <c r="E694" s="59" t="s">
        <v>7</v>
      </c>
      <c r="F694" s="1"/>
      <c r="G694" s="1"/>
      <c r="H694" s="1"/>
      <c r="I694" s="59" t="s">
        <v>7</v>
      </c>
      <c r="J694" s="1"/>
      <c r="K694" s="1"/>
      <c r="L694" s="1"/>
      <c r="M694" s="59" t="s">
        <v>7</v>
      </c>
      <c r="N694" s="1"/>
      <c r="O694" s="1"/>
      <c r="P694" s="1"/>
      <c r="Q694" s="59" t="s">
        <v>7</v>
      </c>
      <c r="R694" s="59" t="s">
        <v>7</v>
      </c>
    </row>
    <row r="695" spans="1:18" ht="15.75" customHeight="1" x14ac:dyDescent="0.3">
      <c r="A695" s="74" t="s">
        <v>559</v>
      </c>
      <c r="B695" s="1">
        <f>5300+500</f>
        <v>5800</v>
      </c>
      <c r="C695" s="1">
        <f>5500+500</f>
        <v>6000</v>
      </c>
      <c r="D695" s="1">
        <f>5750+500</f>
        <v>6250</v>
      </c>
      <c r="E695" s="59">
        <f t="shared" ref="E695:E696" si="258">SUM(B695:D695)</f>
        <v>18050</v>
      </c>
      <c r="F695" s="1">
        <f>5750+500</f>
        <v>6250</v>
      </c>
      <c r="G695" s="1">
        <f>5750+500</f>
        <v>6250</v>
      </c>
      <c r="H695" s="1">
        <f>5750+500</f>
        <v>6250</v>
      </c>
      <c r="I695" s="59">
        <f t="shared" ref="I695:I696" si="259">SUM(F695:H695)</f>
        <v>18750</v>
      </c>
      <c r="J695" s="1">
        <f>5750+500</f>
        <v>6250</v>
      </c>
      <c r="K695" s="1">
        <f>6050+500</f>
        <v>6550</v>
      </c>
      <c r="L695" s="1">
        <f>6250+500</f>
        <v>6750</v>
      </c>
      <c r="M695" s="59">
        <f t="shared" ref="M695:M696" si="260">SUM(J695:L695)</f>
        <v>19550</v>
      </c>
      <c r="N695" s="1">
        <v>2975</v>
      </c>
      <c r="O695" s="1"/>
      <c r="P695" s="1">
        <v>1750</v>
      </c>
      <c r="Q695" s="59">
        <f t="shared" ref="Q695:Q700" si="261">SUM(N695:P695)</f>
        <v>4725</v>
      </c>
      <c r="R695" s="59">
        <f>+E695+I695+M695+Q695</f>
        <v>61075</v>
      </c>
    </row>
    <row r="696" spans="1:18" ht="15.75" customHeight="1" x14ac:dyDescent="0.3">
      <c r="A696" s="74" t="s">
        <v>560</v>
      </c>
      <c r="B696" s="1">
        <v>2600</v>
      </c>
      <c r="C696" s="1">
        <v>3650</v>
      </c>
      <c r="D696" s="1">
        <v>3650</v>
      </c>
      <c r="E696" s="59">
        <f t="shared" si="258"/>
        <v>9900</v>
      </c>
      <c r="F696" s="1">
        <v>3650</v>
      </c>
      <c r="G696" s="1">
        <v>3650</v>
      </c>
      <c r="H696" s="1">
        <v>4950</v>
      </c>
      <c r="I696" s="59">
        <f t="shared" si="259"/>
        <v>12250</v>
      </c>
      <c r="J696" s="1">
        <v>4950</v>
      </c>
      <c r="K696" s="1">
        <v>2500</v>
      </c>
      <c r="L696" s="1">
        <v>2500</v>
      </c>
      <c r="M696" s="59">
        <f t="shared" si="260"/>
        <v>9950</v>
      </c>
      <c r="N696" s="1">
        <v>1166</v>
      </c>
      <c r="O696" s="1"/>
      <c r="P696" s="1">
        <v>1500</v>
      </c>
      <c r="Q696" s="59">
        <f t="shared" si="261"/>
        <v>2666</v>
      </c>
      <c r="R696" s="59">
        <f t="shared" ref="R696:R700" si="262">+E696+I696+M696+Q696</f>
        <v>34766</v>
      </c>
    </row>
    <row r="697" spans="1:18" ht="15.75" customHeight="1" x14ac:dyDescent="0.3">
      <c r="A697" s="74" t="s">
        <v>561</v>
      </c>
      <c r="B697" s="1">
        <v>50</v>
      </c>
      <c r="C697" s="1">
        <v>50</v>
      </c>
      <c r="D697" s="1">
        <v>50</v>
      </c>
      <c r="E697" s="59">
        <f t="shared" ref="E697:E700" si="263">SUM(B697:D697)</f>
        <v>150</v>
      </c>
      <c r="F697" s="1">
        <v>50</v>
      </c>
      <c r="G697" s="1">
        <v>50</v>
      </c>
      <c r="H697" s="1">
        <v>50</v>
      </c>
      <c r="I697" s="59">
        <f t="shared" ref="I697:I700" si="264">SUM(F697:H697)</f>
        <v>150</v>
      </c>
      <c r="J697" s="1">
        <v>50</v>
      </c>
      <c r="K697" s="1">
        <v>50</v>
      </c>
      <c r="L697" s="1">
        <v>50</v>
      </c>
      <c r="M697" s="59">
        <f t="shared" ref="M697:M700" si="265">SUM(J697:L697)</f>
        <v>150</v>
      </c>
      <c r="N697" s="1">
        <v>50</v>
      </c>
      <c r="O697" s="1"/>
      <c r="P697" s="1"/>
      <c r="Q697" s="59">
        <f t="shared" si="261"/>
        <v>50</v>
      </c>
      <c r="R697" s="59">
        <f t="shared" si="262"/>
        <v>500</v>
      </c>
    </row>
    <row r="698" spans="1:18" ht="15.75" customHeight="1" x14ac:dyDescent="0.3">
      <c r="A698" s="74" t="s">
        <v>562</v>
      </c>
      <c r="B698" s="1">
        <v>164</v>
      </c>
      <c r="C698" s="1">
        <v>3000</v>
      </c>
      <c r="D698" s="1">
        <v>3000</v>
      </c>
      <c r="E698" s="59">
        <f t="shared" si="263"/>
        <v>6164</v>
      </c>
      <c r="F698" s="1">
        <v>3000</v>
      </c>
      <c r="G698" s="1">
        <v>3000</v>
      </c>
      <c r="H698" s="1"/>
      <c r="I698" s="59">
        <f t="shared" si="264"/>
        <v>6000</v>
      </c>
      <c r="J698" s="1"/>
      <c r="K698" s="1">
        <v>3000</v>
      </c>
      <c r="L698" s="1"/>
      <c r="M698" s="59">
        <f t="shared" si="265"/>
        <v>3000</v>
      </c>
      <c r="N698" s="1"/>
      <c r="O698" s="1"/>
      <c r="P698" s="1">
        <v>2098</v>
      </c>
      <c r="Q698" s="59">
        <f t="shared" si="261"/>
        <v>2098</v>
      </c>
      <c r="R698" s="59">
        <f t="shared" si="262"/>
        <v>17262</v>
      </c>
    </row>
    <row r="699" spans="1:18" ht="15.75" customHeight="1" x14ac:dyDescent="0.3">
      <c r="A699" s="74" t="s">
        <v>563</v>
      </c>
      <c r="B699" s="1">
        <v>250</v>
      </c>
      <c r="C699" s="1">
        <v>250</v>
      </c>
      <c r="D699" s="1">
        <v>250</v>
      </c>
      <c r="E699" s="59">
        <f t="shared" si="263"/>
        <v>750</v>
      </c>
      <c r="F699" s="1">
        <v>250</v>
      </c>
      <c r="G699" s="1">
        <v>250</v>
      </c>
      <c r="H699" s="1">
        <v>250</v>
      </c>
      <c r="I699" s="59">
        <f t="shared" si="264"/>
        <v>750</v>
      </c>
      <c r="J699" s="1">
        <v>250</v>
      </c>
      <c r="K699" s="1">
        <v>250</v>
      </c>
      <c r="L699" s="1">
        <v>300</v>
      </c>
      <c r="M699" s="59">
        <f t="shared" si="265"/>
        <v>800</v>
      </c>
      <c r="N699" s="1"/>
      <c r="O699" s="1"/>
      <c r="P699" s="1"/>
      <c r="Q699" s="59">
        <f t="shared" si="261"/>
        <v>0</v>
      </c>
      <c r="R699" s="59">
        <f t="shared" si="262"/>
        <v>2300</v>
      </c>
    </row>
    <row r="700" spans="1:18" ht="15.75" customHeight="1" x14ac:dyDescent="0.3">
      <c r="A700" s="74" t="s">
        <v>564</v>
      </c>
      <c r="B700" s="1">
        <v>120</v>
      </c>
      <c r="C700" s="1">
        <v>120</v>
      </c>
      <c r="D700" s="1">
        <v>120</v>
      </c>
      <c r="E700" s="59">
        <f t="shared" si="263"/>
        <v>360</v>
      </c>
      <c r="F700" s="1">
        <v>120</v>
      </c>
      <c r="G700" s="1">
        <v>130</v>
      </c>
      <c r="H700" s="1">
        <v>130</v>
      </c>
      <c r="I700" s="59">
        <f t="shared" si="264"/>
        <v>380</v>
      </c>
      <c r="J700" s="1">
        <v>130</v>
      </c>
      <c r="K700" s="1">
        <v>130</v>
      </c>
      <c r="L700" s="1">
        <v>130</v>
      </c>
      <c r="M700" s="59">
        <f t="shared" si="265"/>
        <v>390</v>
      </c>
      <c r="N700" s="1">
        <v>130</v>
      </c>
      <c r="O700" s="1"/>
      <c r="P700" s="1">
        <v>60</v>
      </c>
      <c r="Q700" s="59">
        <f t="shared" si="261"/>
        <v>190</v>
      </c>
      <c r="R700" s="59">
        <f t="shared" si="262"/>
        <v>1320</v>
      </c>
    </row>
    <row r="701" spans="1:18" ht="15.75" customHeight="1" x14ac:dyDescent="0.3">
      <c r="A701" s="17" t="s">
        <v>47</v>
      </c>
      <c r="B701" s="1"/>
      <c r="C701" s="1"/>
      <c r="D701" s="1"/>
      <c r="E701" s="59" t="s">
        <v>7</v>
      </c>
      <c r="F701" s="1"/>
      <c r="G701" s="1"/>
      <c r="H701" s="1"/>
      <c r="I701" s="59" t="s">
        <v>7</v>
      </c>
      <c r="J701" s="1"/>
      <c r="K701" s="1"/>
      <c r="L701" s="1"/>
      <c r="M701" s="59" t="s">
        <v>7</v>
      </c>
      <c r="N701" s="1"/>
      <c r="O701" s="1"/>
      <c r="P701" s="1"/>
      <c r="Q701" s="59" t="s">
        <v>7</v>
      </c>
      <c r="R701" s="59" t="s">
        <v>7</v>
      </c>
    </row>
    <row r="702" spans="1:18" ht="15.75" customHeight="1" x14ac:dyDescent="0.3">
      <c r="A702" s="17" t="s">
        <v>49</v>
      </c>
      <c r="B702" s="1"/>
      <c r="C702" s="1"/>
      <c r="D702" s="1"/>
      <c r="E702" s="59" t="s">
        <v>7</v>
      </c>
      <c r="F702" s="1"/>
      <c r="G702" s="1"/>
      <c r="H702" s="1"/>
      <c r="I702" s="59" t="s">
        <v>7</v>
      </c>
      <c r="J702" s="1"/>
      <c r="K702" s="1"/>
      <c r="L702" s="1"/>
      <c r="M702" s="59" t="s">
        <v>7</v>
      </c>
      <c r="N702" s="1"/>
      <c r="O702" s="1"/>
      <c r="P702" s="1"/>
      <c r="Q702" s="59" t="s">
        <v>7</v>
      </c>
      <c r="R702" s="59" t="s">
        <v>7</v>
      </c>
    </row>
    <row r="703" spans="1:18" ht="15.75" customHeight="1" thickBot="1" x14ac:dyDescent="0.35">
      <c r="A703" s="17" t="s">
        <v>51</v>
      </c>
      <c r="B703" s="1"/>
      <c r="C703" s="1"/>
      <c r="D703" s="1"/>
      <c r="E703" s="59" t="s">
        <v>7</v>
      </c>
      <c r="F703" s="1"/>
      <c r="G703" s="1"/>
      <c r="H703" s="1"/>
      <c r="I703" s="59" t="s">
        <v>7</v>
      </c>
      <c r="J703" s="1"/>
      <c r="K703" s="1"/>
      <c r="L703" s="1"/>
      <c r="M703" s="59" t="s">
        <v>7</v>
      </c>
      <c r="N703" s="1"/>
      <c r="O703" s="1"/>
      <c r="P703" s="1"/>
      <c r="Q703" s="59" t="s">
        <v>7</v>
      </c>
      <c r="R703" s="59" t="s">
        <v>7</v>
      </c>
    </row>
    <row r="704" spans="1:18" ht="16.5" customHeight="1" thickBot="1" x14ac:dyDescent="0.35">
      <c r="A704" s="126" t="s">
        <v>52</v>
      </c>
      <c r="B704" s="100">
        <f>SUM(B693:B703)</f>
        <v>8984</v>
      </c>
      <c r="C704" s="101">
        <f>SUM(C693:C703)</f>
        <v>13070</v>
      </c>
      <c r="D704" s="101">
        <f>SUM(D693:D703)</f>
        <v>13320</v>
      </c>
      <c r="E704" s="64">
        <f>SUM(B704:D704)</f>
        <v>35374</v>
      </c>
      <c r="F704" s="101">
        <f>SUM(F693:F703)</f>
        <v>13320</v>
      </c>
      <c r="G704" s="101">
        <f>SUM(G693:G703)</f>
        <v>13330</v>
      </c>
      <c r="H704" s="101">
        <f>SUM(H693:H703)</f>
        <v>11630</v>
      </c>
      <c r="I704" s="64">
        <f>SUM(F704:H704)</f>
        <v>38280</v>
      </c>
      <c r="J704" s="101">
        <f>SUM(J693:J703)</f>
        <v>11630</v>
      </c>
      <c r="K704" s="101">
        <f>SUM(K693:K703)</f>
        <v>12480</v>
      </c>
      <c r="L704" s="101">
        <f>SUM(L693:L703)</f>
        <v>9730</v>
      </c>
      <c r="M704" s="64">
        <f>SUM(J704:L704)</f>
        <v>33840</v>
      </c>
      <c r="N704" s="101">
        <f>SUM(N693:N703)</f>
        <v>4321</v>
      </c>
      <c r="O704" s="101">
        <f>SUM(O693:O703)</f>
        <v>0</v>
      </c>
      <c r="P704" s="101">
        <f>SUM(P693:P703)</f>
        <v>5408</v>
      </c>
      <c r="Q704" s="64">
        <f>SUM(N704:P704)</f>
        <v>9729</v>
      </c>
      <c r="R704" s="64">
        <f>+E704+I704+M704+Q704</f>
        <v>117223</v>
      </c>
    </row>
    <row r="705" spans="1:20" ht="15.75" customHeight="1" x14ac:dyDescent="0.3">
      <c r="A705" s="17" t="s">
        <v>53</v>
      </c>
      <c r="B705" s="1"/>
      <c r="C705" s="1"/>
      <c r="D705" s="1"/>
      <c r="E705" s="59" t="s">
        <v>7</v>
      </c>
      <c r="F705" s="1"/>
      <c r="G705" s="1"/>
      <c r="H705" s="1"/>
      <c r="I705" s="59" t="s">
        <v>7</v>
      </c>
      <c r="J705" s="1"/>
      <c r="K705" s="1"/>
      <c r="L705" s="1"/>
      <c r="M705" s="59" t="s">
        <v>7</v>
      </c>
      <c r="N705" s="1"/>
      <c r="O705" s="1"/>
      <c r="P705" s="1"/>
      <c r="Q705" s="59" t="s">
        <v>7</v>
      </c>
      <c r="R705" s="59" t="s">
        <v>7</v>
      </c>
    </row>
    <row r="706" spans="1:20" ht="15.75" customHeight="1" x14ac:dyDescent="0.3">
      <c r="A706" s="17" t="s">
        <v>55</v>
      </c>
      <c r="B706" s="1"/>
      <c r="C706" s="1"/>
      <c r="D706" s="1"/>
      <c r="E706" s="59" t="s">
        <v>7</v>
      </c>
      <c r="F706" s="1"/>
      <c r="G706" s="1"/>
      <c r="H706" s="1"/>
      <c r="I706" s="59" t="s">
        <v>7</v>
      </c>
      <c r="J706" s="1"/>
      <c r="K706" s="1"/>
      <c r="L706" s="1"/>
      <c r="M706" s="59" t="s">
        <v>7</v>
      </c>
      <c r="N706" s="1"/>
      <c r="O706" s="1"/>
      <c r="P706" s="1"/>
      <c r="Q706" s="59" t="s">
        <v>7</v>
      </c>
      <c r="R706" s="59" t="s">
        <v>7</v>
      </c>
    </row>
    <row r="707" spans="1:20" ht="15.75" customHeight="1" thickBot="1" x14ac:dyDescent="0.35">
      <c r="A707" s="17" t="s">
        <v>56</v>
      </c>
      <c r="B707" s="1"/>
      <c r="C707" s="1"/>
      <c r="D707" s="1"/>
      <c r="E707" s="59" t="s">
        <v>7</v>
      </c>
      <c r="F707" s="1"/>
      <c r="G707" s="1"/>
      <c r="H707" s="1"/>
      <c r="I707" s="59" t="s">
        <v>7</v>
      </c>
      <c r="J707" s="1"/>
      <c r="K707" s="1"/>
      <c r="L707" s="1"/>
      <c r="M707" s="59" t="s">
        <v>7</v>
      </c>
      <c r="N707" s="1"/>
      <c r="O707" s="1"/>
      <c r="P707" s="1"/>
      <c r="Q707" s="59" t="s">
        <v>7</v>
      </c>
      <c r="R707" s="59" t="s">
        <v>7</v>
      </c>
    </row>
    <row r="708" spans="1:20" ht="16.5" customHeight="1" thickBot="1" x14ac:dyDescent="0.35">
      <c r="A708" s="62" t="s">
        <v>57</v>
      </c>
      <c r="B708" s="100">
        <f>SUM(B705:B707)</f>
        <v>0</v>
      </c>
      <c r="C708" s="101">
        <f>SUM(C705:C707)</f>
        <v>0</v>
      </c>
      <c r="D708" s="101">
        <f>SUM(D705:D707)</f>
        <v>0</v>
      </c>
      <c r="E708" s="64">
        <f>SUM(B708:D708)</f>
        <v>0</v>
      </c>
      <c r="F708" s="101">
        <f>SUM(F705:F707)</f>
        <v>0</v>
      </c>
      <c r="G708" s="101">
        <f>SUM(G705:G707)</f>
        <v>0</v>
      </c>
      <c r="H708" s="101">
        <f>SUM(H705:H707)</f>
        <v>0</v>
      </c>
      <c r="I708" s="64">
        <f>SUM(F708:H708)</f>
        <v>0</v>
      </c>
      <c r="J708" s="101">
        <f>SUM(J705:J707)</f>
        <v>0</v>
      </c>
      <c r="K708" s="101">
        <f>SUM(K705:K707)</f>
        <v>0</v>
      </c>
      <c r="L708" s="101">
        <f>SUM(L705:L707)</f>
        <v>0</v>
      </c>
      <c r="M708" s="64">
        <f>SUM(J708:L708)</f>
        <v>0</v>
      </c>
      <c r="N708" s="101">
        <f>SUM(N705:N707)</f>
        <v>0</v>
      </c>
      <c r="O708" s="101">
        <f>SUM(O705:O707)</f>
        <v>0</v>
      </c>
      <c r="P708" s="101">
        <f>SUM(P705:P707)</f>
        <v>0</v>
      </c>
      <c r="Q708" s="64">
        <f>SUM(N708:P708)</f>
        <v>0</v>
      </c>
      <c r="R708" s="64">
        <f>+E708+I708+M708+Q708</f>
        <v>0</v>
      </c>
    </row>
    <row r="709" spans="1:20" ht="15.75" customHeight="1" x14ac:dyDescent="0.3">
      <c r="A709" s="17" t="s">
        <v>58</v>
      </c>
      <c r="B709" s="1"/>
      <c r="C709" s="1"/>
      <c r="D709" s="1"/>
      <c r="E709" s="59" t="s">
        <v>7</v>
      </c>
      <c r="F709" s="1"/>
      <c r="G709" s="1"/>
      <c r="H709" s="1"/>
      <c r="I709" s="59" t="s">
        <v>7</v>
      </c>
      <c r="J709" s="1"/>
      <c r="K709" s="1"/>
      <c r="L709" s="1"/>
      <c r="M709" s="59" t="s">
        <v>7</v>
      </c>
      <c r="N709" s="1"/>
      <c r="O709" s="1"/>
      <c r="P709" s="1"/>
      <c r="Q709" s="59" t="s">
        <v>7</v>
      </c>
      <c r="R709" s="59" t="s">
        <v>7</v>
      </c>
    </row>
    <row r="710" spans="1:20" ht="15.75" customHeight="1" x14ac:dyDescent="0.3">
      <c r="A710" s="17" t="s">
        <v>59</v>
      </c>
      <c r="B710" s="1"/>
      <c r="C710" s="1"/>
      <c r="D710" s="1"/>
      <c r="E710" s="59" t="s">
        <v>7</v>
      </c>
      <c r="F710" s="1"/>
      <c r="G710" s="1"/>
      <c r="H710" s="1"/>
      <c r="I710" s="59" t="s">
        <v>7</v>
      </c>
      <c r="J710" s="1"/>
      <c r="K710" s="1"/>
      <c r="L710" s="1"/>
      <c r="M710" s="59" t="s">
        <v>7</v>
      </c>
      <c r="N710" s="1"/>
      <c r="O710" s="1"/>
      <c r="P710" s="1"/>
      <c r="Q710" s="59" t="s">
        <v>7</v>
      </c>
      <c r="R710" s="59" t="s">
        <v>7</v>
      </c>
    </row>
    <row r="711" spans="1:20" ht="15.75" customHeight="1" x14ac:dyDescent="0.3">
      <c r="A711" s="74" t="s">
        <v>565</v>
      </c>
      <c r="B711" s="1">
        <v>500</v>
      </c>
      <c r="C711" s="1">
        <v>480</v>
      </c>
      <c r="D711" s="1">
        <v>1350</v>
      </c>
      <c r="E711" s="59">
        <f>SUM(B711:D711)</f>
        <v>2330</v>
      </c>
      <c r="F711" s="1">
        <v>1500</v>
      </c>
      <c r="G711" s="1">
        <v>1950</v>
      </c>
      <c r="H711" s="1">
        <v>1600</v>
      </c>
      <c r="I711" s="59">
        <f>SUM(F711:H711)</f>
        <v>5050</v>
      </c>
      <c r="J711" s="1">
        <v>2000</v>
      </c>
      <c r="K711" s="1">
        <f>1420+80</f>
        <v>1500</v>
      </c>
      <c r="L711" s="1">
        <v>1220</v>
      </c>
      <c r="M711" s="59">
        <f>SUM(J711:L711)</f>
        <v>4720</v>
      </c>
      <c r="N711" s="1">
        <v>400</v>
      </c>
      <c r="O711" s="1">
        <v>150</v>
      </c>
      <c r="P711" s="1">
        <v>150</v>
      </c>
      <c r="Q711" s="59">
        <f>SUM(N711:P711)</f>
        <v>700</v>
      </c>
      <c r="R711" s="59">
        <f>+E711+I711+M711+Q711</f>
        <v>12800</v>
      </c>
      <c r="T711" s="4" t="s">
        <v>566</v>
      </c>
    </row>
    <row r="712" spans="1:20" ht="15.75" customHeight="1" x14ac:dyDescent="0.3">
      <c r="A712" s="17" t="s">
        <v>60</v>
      </c>
      <c r="B712" s="1"/>
      <c r="C712" s="1"/>
      <c r="D712" s="1"/>
      <c r="E712" s="59" t="s">
        <v>7</v>
      </c>
      <c r="F712" s="1"/>
      <c r="G712" s="1"/>
      <c r="H712" s="1"/>
      <c r="I712" s="59" t="s">
        <v>7</v>
      </c>
      <c r="J712" s="1"/>
      <c r="K712" s="1"/>
      <c r="L712" s="1"/>
      <c r="M712" s="59" t="s">
        <v>7</v>
      </c>
      <c r="N712" s="1"/>
      <c r="O712" s="1"/>
      <c r="P712" s="1"/>
      <c r="Q712" s="59" t="s">
        <v>7</v>
      </c>
      <c r="R712" s="59" t="s">
        <v>7</v>
      </c>
    </row>
    <row r="713" spans="1:20" ht="15.75" customHeight="1" x14ac:dyDescent="0.3">
      <c r="A713" s="74" t="s">
        <v>567</v>
      </c>
      <c r="B713" s="1"/>
      <c r="C713" s="1"/>
      <c r="D713" s="1"/>
      <c r="E713" s="59">
        <f t="shared" ref="E713:E722" si="266">SUM(B713:D713)</f>
        <v>0</v>
      </c>
      <c r="F713" s="1"/>
      <c r="G713" s="1"/>
      <c r="H713" s="1"/>
      <c r="I713" s="59">
        <f t="shared" ref="I713:I722" si="267">SUM(F713:H713)</f>
        <v>0</v>
      </c>
      <c r="J713" s="1"/>
      <c r="K713" s="1"/>
      <c r="L713" s="1"/>
      <c r="M713" s="59">
        <f t="shared" ref="M713:M722" si="268">SUM(J713:L713)</f>
        <v>0</v>
      </c>
      <c r="N713" s="1"/>
      <c r="O713" s="1"/>
      <c r="P713" s="1"/>
      <c r="Q713" s="59">
        <f t="shared" ref="Q713:Q722" si="269">SUM(N713:P713)</f>
        <v>0</v>
      </c>
      <c r="R713" s="59">
        <f t="shared" ref="R713:R722" si="270">+E713+I713+M713+Q713</f>
        <v>0</v>
      </c>
      <c r="T713" s="4" t="s">
        <v>568</v>
      </c>
    </row>
    <row r="714" spans="1:20" ht="15.75" customHeight="1" x14ac:dyDescent="0.3">
      <c r="A714" s="74" t="s">
        <v>569</v>
      </c>
      <c r="B714" s="1"/>
      <c r="C714" s="1"/>
      <c r="D714" s="1"/>
      <c r="E714" s="59">
        <f t="shared" si="266"/>
        <v>0</v>
      </c>
      <c r="F714" s="1"/>
      <c r="G714" s="1"/>
      <c r="H714" s="1"/>
      <c r="I714" s="59">
        <f t="shared" si="267"/>
        <v>0</v>
      </c>
      <c r="J714" s="1"/>
      <c r="K714" s="1"/>
      <c r="L714" s="1"/>
      <c r="M714" s="59">
        <f t="shared" si="268"/>
        <v>0</v>
      </c>
      <c r="N714" s="1"/>
      <c r="O714" s="1"/>
      <c r="P714" s="1"/>
      <c r="Q714" s="59">
        <f t="shared" si="269"/>
        <v>0</v>
      </c>
      <c r="R714" s="59">
        <f t="shared" si="270"/>
        <v>0</v>
      </c>
      <c r="T714" s="4" t="s">
        <v>568</v>
      </c>
    </row>
    <row r="715" spans="1:20" ht="15.75" customHeight="1" x14ac:dyDescent="0.3">
      <c r="A715" s="74" t="s">
        <v>570</v>
      </c>
      <c r="B715" s="1">
        <v>125</v>
      </c>
      <c r="C715" s="1">
        <v>125</v>
      </c>
      <c r="D715" s="1">
        <v>125</v>
      </c>
      <c r="E715" s="59">
        <f t="shared" si="266"/>
        <v>375</v>
      </c>
      <c r="F715" s="1">
        <v>125</v>
      </c>
      <c r="G715" s="1">
        <v>125</v>
      </c>
      <c r="H715" s="1">
        <v>125</v>
      </c>
      <c r="I715" s="59">
        <f t="shared" si="267"/>
        <v>375</v>
      </c>
      <c r="J715" s="1">
        <v>125</v>
      </c>
      <c r="K715" s="1">
        <v>125</v>
      </c>
      <c r="L715" s="1">
        <v>125</v>
      </c>
      <c r="M715" s="59">
        <f t="shared" si="268"/>
        <v>375</v>
      </c>
      <c r="N715" s="1">
        <v>250</v>
      </c>
      <c r="O715" s="1"/>
      <c r="P715" s="1">
        <v>125</v>
      </c>
      <c r="Q715" s="59">
        <f t="shared" si="269"/>
        <v>375</v>
      </c>
      <c r="R715" s="59">
        <f t="shared" si="270"/>
        <v>1500</v>
      </c>
      <c r="T715" s="4" t="s">
        <v>568</v>
      </c>
    </row>
    <row r="716" spans="1:20" ht="15.75" customHeight="1" x14ac:dyDescent="0.3">
      <c r="A716" s="74" t="s">
        <v>571</v>
      </c>
      <c r="B716" s="1">
        <v>1136</v>
      </c>
      <c r="C716" s="1"/>
      <c r="D716" s="1"/>
      <c r="E716" s="59">
        <f t="shared" si="266"/>
        <v>1136</v>
      </c>
      <c r="F716" s="1"/>
      <c r="G716" s="1"/>
      <c r="H716" s="1"/>
      <c r="I716" s="59">
        <f t="shared" si="267"/>
        <v>0</v>
      </c>
      <c r="J716" s="1"/>
      <c r="K716" s="1"/>
      <c r="L716" s="1"/>
      <c r="M716" s="59">
        <f t="shared" si="268"/>
        <v>0</v>
      </c>
      <c r="N716" s="1"/>
      <c r="O716" s="1"/>
      <c r="P716" s="1"/>
      <c r="Q716" s="59">
        <f t="shared" ref="Q716" si="271">SUM(N716:P716)</f>
        <v>0</v>
      </c>
      <c r="R716" s="59">
        <f t="shared" si="270"/>
        <v>1136</v>
      </c>
    </row>
    <row r="717" spans="1:20" ht="15.75" customHeight="1" x14ac:dyDescent="0.3">
      <c r="A717" s="74" t="s">
        <v>572</v>
      </c>
      <c r="B717" s="1"/>
      <c r="C717" s="1"/>
      <c r="D717" s="1"/>
      <c r="E717" s="59">
        <f t="shared" si="266"/>
        <v>0</v>
      </c>
      <c r="F717" s="1"/>
      <c r="G717" s="1"/>
      <c r="H717" s="1"/>
      <c r="I717" s="59">
        <f t="shared" si="267"/>
        <v>0</v>
      </c>
      <c r="J717" s="1"/>
      <c r="K717" s="1"/>
      <c r="L717" s="1"/>
      <c r="M717" s="59">
        <f t="shared" si="268"/>
        <v>0</v>
      </c>
      <c r="N717" s="1"/>
      <c r="O717" s="1"/>
      <c r="P717" s="1"/>
      <c r="Q717" s="59">
        <f t="shared" si="269"/>
        <v>0</v>
      </c>
      <c r="R717" s="59">
        <f t="shared" si="270"/>
        <v>0</v>
      </c>
    </row>
    <row r="718" spans="1:20" ht="15.75" customHeight="1" x14ac:dyDescent="0.3">
      <c r="A718" s="74" t="s">
        <v>573</v>
      </c>
      <c r="B718" s="1"/>
      <c r="C718" s="1"/>
      <c r="D718" s="1"/>
      <c r="E718" s="59">
        <f t="shared" si="266"/>
        <v>0</v>
      </c>
      <c r="F718" s="1"/>
      <c r="G718" s="1"/>
      <c r="H718" s="1"/>
      <c r="I718" s="59">
        <f t="shared" si="267"/>
        <v>0</v>
      </c>
      <c r="J718" s="1"/>
      <c r="K718" s="1"/>
      <c r="L718" s="1">
        <v>3000</v>
      </c>
      <c r="M718" s="59">
        <f t="shared" si="268"/>
        <v>3000</v>
      </c>
      <c r="N718" s="1">
        <v>4800</v>
      </c>
      <c r="O718" s="1"/>
      <c r="P718" s="1">
        <v>302</v>
      </c>
      <c r="Q718" s="59">
        <f t="shared" si="269"/>
        <v>5102</v>
      </c>
      <c r="R718" s="59">
        <f t="shared" si="270"/>
        <v>8102</v>
      </c>
    </row>
    <row r="719" spans="1:20" ht="15.75" customHeight="1" x14ac:dyDescent="0.3">
      <c r="A719" s="74" t="s">
        <v>574</v>
      </c>
      <c r="B719" s="1"/>
      <c r="C719" s="1"/>
      <c r="D719" s="1"/>
      <c r="E719" s="59">
        <f t="shared" si="266"/>
        <v>0</v>
      </c>
      <c r="F719" s="1"/>
      <c r="G719" s="1"/>
      <c r="H719" s="1"/>
      <c r="I719" s="59">
        <f t="shared" si="267"/>
        <v>0</v>
      </c>
      <c r="J719" s="1"/>
      <c r="K719" s="1"/>
      <c r="L719" s="1"/>
      <c r="M719" s="59">
        <f t="shared" si="268"/>
        <v>0</v>
      </c>
      <c r="N719" s="1"/>
      <c r="O719" s="1"/>
      <c r="P719" s="1"/>
      <c r="Q719" s="59">
        <f t="shared" si="269"/>
        <v>0</v>
      </c>
      <c r="R719" s="59">
        <f t="shared" si="270"/>
        <v>0</v>
      </c>
    </row>
    <row r="720" spans="1:20" ht="15.75" customHeight="1" x14ac:dyDescent="0.3">
      <c r="A720" s="74" t="s">
        <v>575</v>
      </c>
      <c r="B720" s="1"/>
      <c r="C720" s="1"/>
      <c r="D720" s="1"/>
      <c r="E720" s="59">
        <f t="shared" si="266"/>
        <v>0</v>
      </c>
      <c r="F720" s="1"/>
      <c r="G720" s="1"/>
      <c r="H720" s="1"/>
      <c r="I720" s="59">
        <f t="shared" si="267"/>
        <v>0</v>
      </c>
      <c r="J720" s="1"/>
      <c r="K720" s="1"/>
      <c r="L720" s="1"/>
      <c r="M720" s="59">
        <f t="shared" si="268"/>
        <v>0</v>
      </c>
      <c r="N720" s="1"/>
      <c r="O720" s="1"/>
      <c r="P720" s="1"/>
      <c r="Q720" s="59">
        <f t="shared" ref="Q720" si="272">SUM(N720:P720)</f>
        <v>0</v>
      </c>
      <c r="R720" s="59">
        <f t="shared" si="270"/>
        <v>0</v>
      </c>
    </row>
    <row r="721" spans="1:20" ht="15.75" customHeight="1" thickBot="1" x14ac:dyDescent="0.35">
      <c r="A721" s="74" t="s">
        <v>576</v>
      </c>
      <c r="B721" s="1"/>
      <c r="C721" s="1"/>
      <c r="D721" s="1"/>
      <c r="E721" s="59">
        <f t="shared" si="266"/>
        <v>0</v>
      </c>
      <c r="F721" s="1"/>
      <c r="G721" s="1"/>
      <c r="H721" s="1"/>
      <c r="I721" s="59">
        <f t="shared" si="267"/>
        <v>0</v>
      </c>
      <c r="J721" s="1"/>
      <c r="K721" s="1"/>
      <c r="L721" s="1"/>
      <c r="M721" s="59">
        <f t="shared" si="268"/>
        <v>0</v>
      </c>
      <c r="N721" s="1"/>
      <c r="O721" s="1"/>
      <c r="P721" s="1"/>
      <c r="Q721" s="59">
        <f t="shared" si="269"/>
        <v>0</v>
      </c>
      <c r="R721" s="59">
        <f t="shared" si="270"/>
        <v>0</v>
      </c>
      <c r="T721" s="4" t="s">
        <v>568</v>
      </c>
    </row>
    <row r="722" spans="1:20" ht="16.5" customHeight="1" thickBot="1" x14ac:dyDescent="0.35">
      <c r="A722" s="62" t="s">
        <v>61</v>
      </c>
      <c r="B722" s="100">
        <f>SUM(B709:B721)</f>
        <v>1761</v>
      </c>
      <c r="C722" s="101">
        <f>SUM(C709:C721)</f>
        <v>605</v>
      </c>
      <c r="D722" s="101">
        <f>SUM(D709:D721)</f>
        <v>1475</v>
      </c>
      <c r="E722" s="64">
        <f t="shared" si="266"/>
        <v>3841</v>
      </c>
      <c r="F722" s="101">
        <f>SUM(F709:F721)</f>
        <v>1625</v>
      </c>
      <c r="G722" s="101">
        <f>SUM(G709:G721)</f>
        <v>2075</v>
      </c>
      <c r="H722" s="101">
        <f>SUM(H709:H721)</f>
        <v>1725</v>
      </c>
      <c r="I722" s="64">
        <f t="shared" si="267"/>
        <v>5425</v>
      </c>
      <c r="J722" s="101">
        <f>SUM(J709:J721)</f>
        <v>2125</v>
      </c>
      <c r="K722" s="101">
        <f>SUM(K709:K721)</f>
        <v>1625</v>
      </c>
      <c r="L722" s="101">
        <f>SUM(L709:L721)</f>
        <v>4345</v>
      </c>
      <c r="M722" s="64">
        <f t="shared" si="268"/>
        <v>8095</v>
      </c>
      <c r="N722" s="101">
        <f>SUM(N709:N721)</f>
        <v>5450</v>
      </c>
      <c r="O722" s="101">
        <f>SUM(O709:O721)</f>
        <v>150</v>
      </c>
      <c r="P722" s="101">
        <f>SUM(P709:P721)</f>
        <v>577</v>
      </c>
      <c r="Q722" s="64">
        <f t="shared" si="269"/>
        <v>6177</v>
      </c>
      <c r="R722" s="138">
        <f t="shared" si="270"/>
        <v>23538</v>
      </c>
    </row>
    <row r="723" spans="1:20" ht="15.75" customHeight="1" x14ac:dyDescent="0.3">
      <c r="A723" s="17" t="s">
        <v>62</v>
      </c>
      <c r="B723" s="1"/>
      <c r="C723" s="1"/>
      <c r="D723" s="1"/>
      <c r="E723" s="59" t="s">
        <v>7</v>
      </c>
      <c r="F723" s="1"/>
      <c r="G723" s="1"/>
      <c r="H723" s="1"/>
      <c r="I723" s="59" t="s">
        <v>7</v>
      </c>
      <c r="J723" s="1"/>
      <c r="K723" s="1"/>
      <c r="L723" s="1"/>
      <c r="M723" s="59" t="s">
        <v>7</v>
      </c>
      <c r="N723" s="1"/>
      <c r="O723" s="1"/>
      <c r="P723" s="1"/>
      <c r="Q723" s="59" t="s">
        <v>7</v>
      </c>
      <c r="R723" s="59" t="s">
        <v>7</v>
      </c>
    </row>
    <row r="724" spans="1:20" ht="15.75" customHeight="1" x14ac:dyDescent="0.3">
      <c r="A724" s="17" t="s">
        <v>63</v>
      </c>
      <c r="B724" s="1"/>
      <c r="C724" s="1"/>
      <c r="D724" s="1"/>
      <c r="E724" s="59" t="s">
        <v>7</v>
      </c>
      <c r="F724" s="1"/>
      <c r="G724" s="1"/>
      <c r="H724" s="1"/>
      <c r="I724" s="59" t="s">
        <v>7</v>
      </c>
      <c r="J724" s="1"/>
      <c r="K724" s="1"/>
      <c r="L724" s="1"/>
      <c r="M724" s="59" t="s">
        <v>7</v>
      </c>
      <c r="N724" s="1"/>
      <c r="O724" s="1"/>
      <c r="P724" s="1"/>
      <c r="Q724" s="59" t="s">
        <v>7</v>
      </c>
      <c r="R724" s="59" t="s">
        <v>7</v>
      </c>
    </row>
    <row r="725" spans="1:20" ht="15.75" customHeight="1" x14ac:dyDescent="0.3">
      <c r="A725" s="17" t="s">
        <v>64</v>
      </c>
      <c r="B725" s="1"/>
      <c r="C725" s="1"/>
      <c r="D725" s="1"/>
      <c r="E725" s="59" t="s">
        <v>7</v>
      </c>
      <c r="F725" s="1"/>
      <c r="G725" s="1"/>
      <c r="H725" s="1"/>
      <c r="I725" s="59" t="s">
        <v>7</v>
      </c>
      <c r="J725" s="1"/>
      <c r="K725" s="1"/>
      <c r="L725" s="1"/>
      <c r="M725" s="59" t="s">
        <v>7</v>
      </c>
      <c r="N725" s="1"/>
      <c r="O725" s="1"/>
      <c r="P725" s="1"/>
      <c r="Q725" s="59" t="s">
        <v>7</v>
      </c>
      <c r="R725" s="59" t="s">
        <v>7</v>
      </c>
    </row>
    <row r="726" spans="1:20" ht="15.75" customHeight="1" x14ac:dyDescent="0.3">
      <c r="A726" s="74" t="s">
        <v>577</v>
      </c>
      <c r="B726" s="1"/>
      <c r="C726" s="1"/>
      <c r="D726" s="1"/>
      <c r="E726" s="59">
        <f>SUM(B726:D726)</f>
        <v>0</v>
      </c>
      <c r="F726" s="1"/>
      <c r="G726" s="1"/>
      <c r="H726" s="1"/>
      <c r="I726" s="59">
        <f>SUM(F726:H726)</f>
        <v>0</v>
      </c>
      <c r="J726" s="1"/>
      <c r="K726" s="1"/>
      <c r="L726" s="1"/>
      <c r="M726" s="59">
        <f>SUM(J726:L726)</f>
        <v>0</v>
      </c>
      <c r="N726" s="1"/>
      <c r="O726" s="1"/>
      <c r="P726" s="1"/>
      <c r="Q726" s="59">
        <f>SUM(N726:P726)</f>
        <v>0</v>
      </c>
      <c r="R726" s="59">
        <f>+E726+I726+M726+Q726</f>
        <v>0</v>
      </c>
    </row>
    <row r="727" spans="1:20" ht="15.75" customHeight="1" x14ac:dyDescent="0.3">
      <c r="A727" s="74" t="s">
        <v>578</v>
      </c>
      <c r="B727" s="1"/>
      <c r="C727" s="1"/>
      <c r="D727" s="1"/>
      <c r="E727" s="59">
        <f>SUM(B727:D727)</f>
        <v>0</v>
      </c>
      <c r="F727" s="1"/>
      <c r="G727" s="1"/>
      <c r="H727" s="1"/>
      <c r="I727" s="59">
        <f>SUM(F727:H727)</f>
        <v>0</v>
      </c>
      <c r="J727" s="1"/>
      <c r="K727" s="1"/>
      <c r="L727" s="1"/>
      <c r="M727" s="59">
        <f>SUM(J727:L727)</f>
        <v>0</v>
      </c>
      <c r="N727" s="1"/>
      <c r="O727" s="1"/>
      <c r="P727" s="1"/>
      <c r="Q727" s="59">
        <f>SUM(N727:P727)</f>
        <v>0</v>
      </c>
      <c r="R727" s="59">
        <f>+E727+I727+M727+Q727</f>
        <v>0</v>
      </c>
    </row>
    <row r="728" spans="1:20" ht="15.75" customHeight="1" x14ac:dyDescent="0.3">
      <c r="A728" s="74" t="s">
        <v>579</v>
      </c>
      <c r="B728" s="1"/>
      <c r="C728" s="1"/>
      <c r="D728" s="1"/>
      <c r="E728" s="59">
        <f>SUM(B728:D728)</f>
        <v>0</v>
      </c>
      <c r="F728" s="1"/>
      <c r="G728" s="1"/>
      <c r="H728" s="1"/>
      <c r="I728" s="59">
        <f>SUM(F728:H728)</f>
        <v>0</v>
      </c>
      <c r="J728" s="1"/>
      <c r="K728" s="1"/>
      <c r="L728" s="1"/>
      <c r="M728" s="59">
        <f>SUM(J728:L728)</f>
        <v>0</v>
      </c>
      <c r="N728" s="1"/>
      <c r="O728" s="1"/>
      <c r="P728" s="1"/>
      <c r="Q728" s="59">
        <f>SUM(N728:P728)</f>
        <v>0</v>
      </c>
      <c r="R728" s="59">
        <f>+E728+I728+M728+Q728</f>
        <v>0</v>
      </c>
    </row>
    <row r="729" spans="1:20" ht="15.75" customHeight="1" x14ac:dyDescent="0.3">
      <c r="A729" s="74" t="s">
        <v>580</v>
      </c>
      <c r="B729" s="1"/>
      <c r="C729" s="1"/>
      <c r="D729" s="1"/>
      <c r="E729" s="59">
        <f>SUM(B729:D729)</f>
        <v>0</v>
      </c>
      <c r="F729" s="1"/>
      <c r="G729" s="1"/>
      <c r="H729" s="1"/>
      <c r="I729" s="59">
        <f>SUM(F729:H729)</f>
        <v>0</v>
      </c>
      <c r="J729" s="1"/>
      <c r="K729" s="1"/>
      <c r="L729" s="1"/>
      <c r="M729" s="59">
        <f>SUM(J729:L729)</f>
        <v>0</v>
      </c>
      <c r="N729" s="1"/>
      <c r="O729" s="1"/>
      <c r="P729" s="1"/>
      <c r="Q729" s="59">
        <f>SUM(N729:P729)</f>
        <v>0</v>
      </c>
      <c r="R729" s="59">
        <f>+E729+I729+M729+Q729</f>
        <v>0</v>
      </c>
    </row>
    <row r="730" spans="1:20" ht="15.75" customHeight="1" x14ac:dyDescent="0.3">
      <c r="A730" s="17" t="s">
        <v>66</v>
      </c>
      <c r="B730" s="1"/>
      <c r="C730" s="1"/>
      <c r="D730" s="1"/>
      <c r="E730" s="59" t="s">
        <v>7</v>
      </c>
      <c r="F730" s="1"/>
      <c r="G730" s="1"/>
      <c r="H730" s="1"/>
      <c r="I730" s="59" t="s">
        <v>7</v>
      </c>
      <c r="J730" s="1"/>
      <c r="K730" s="1"/>
      <c r="L730" s="1"/>
      <c r="M730" s="59" t="s">
        <v>7</v>
      </c>
      <c r="N730" s="1"/>
      <c r="O730" s="1"/>
      <c r="P730" s="1"/>
      <c r="Q730" s="59" t="s">
        <v>7</v>
      </c>
      <c r="R730" s="59" t="s">
        <v>7</v>
      </c>
    </row>
    <row r="731" spans="1:20" ht="15.75" customHeight="1" thickBot="1" x14ac:dyDescent="0.35">
      <c r="A731" s="17" t="s">
        <v>67</v>
      </c>
      <c r="B731" s="1"/>
      <c r="C731" s="1"/>
      <c r="D731" s="1"/>
      <c r="E731" s="59" t="s">
        <v>7</v>
      </c>
      <c r="F731" s="1"/>
      <c r="G731" s="1"/>
      <c r="H731" s="1"/>
      <c r="I731" s="59" t="s">
        <v>7</v>
      </c>
      <c r="J731" s="1"/>
      <c r="K731" s="1"/>
      <c r="L731" s="1"/>
      <c r="M731" s="59" t="s">
        <v>7</v>
      </c>
      <c r="N731" s="1"/>
      <c r="O731" s="1"/>
      <c r="P731" s="1"/>
      <c r="Q731" s="59" t="s">
        <v>7</v>
      </c>
      <c r="R731" s="59" t="s">
        <v>7</v>
      </c>
    </row>
    <row r="732" spans="1:20" ht="16.5" customHeight="1" thickBot="1" x14ac:dyDescent="0.35">
      <c r="A732" s="62" t="s">
        <v>68</v>
      </c>
      <c r="B732" s="63">
        <f>SUM(B730:B731)</f>
        <v>0</v>
      </c>
      <c r="C732" s="63">
        <f>SUM(C730:C731)</f>
        <v>0</v>
      </c>
      <c r="D732" s="63">
        <f>SUM(D730:D731)</f>
        <v>0</v>
      </c>
      <c r="E732" s="65">
        <f>SUM(B732:D732)</f>
        <v>0</v>
      </c>
      <c r="F732" s="63">
        <f>SUM(F730:F731)</f>
        <v>0</v>
      </c>
      <c r="G732" s="63">
        <f>SUM(G730:G731)</f>
        <v>0</v>
      </c>
      <c r="H732" s="63">
        <f>SUM(H730:H731)</f>
        <v>0</v>
      </c>
      <c r="I732" s="65">
        <f>SUM(F732:H732)</f>
        <v>0</v>
      </c>
      <c r="J732" s="63">
        <f>SUM(J730:J731)</f>
        <v>0</v>
      </c>
      <c r="K732" s="63">
        <f>SUM(K730:K731)</f>
        <v>0</v>
      </c>
      <c r="L732" s="63">
        <f>SUM(L730:L731)</f>
        <v>0</v>
      </c>
      <c r="M732" s="65">
        <f>SUM(J732:L732)</f>
        <v>0</v>
      </c>
      <c r="N732" s="63">
        <f>SUM(N730:N731)</f>
        <v>0</v>
      </c>
      <c r="O732" s="63">
        <f>SUM(O730:O731)</f>
        <v>0</v>
      </c>
      <c r="P732" s="63">
        <f>SUM(P730:P731)</f>
        <v>0</v>
      </c>
      <c r="Q732" s="65">
        <f>SUM(N732:P732)</f>
        <v>0</v>
      </c>
      <c r="R732" s="64">
        <f>+E732+I732+M732+Q732</f>
        <v>0</v>
      </c>
    </row>
    <row r="733" spans="1:20" ht="16.5" customHeight="1" thickBot="1" x14ac:dyDescent="0.35">
      <c r="A733" s="137" t="s">
        <v>69</v>
      </c>
      <c r="B733" s="100">
        <f>SUM(B723:B731)</f>
        <v>0</v>
      </c>
      <c r="C733" s="101">
        <f>SUM(C723:C731)</f>
        <v>0</v>
      </c>
      <c r="D733" s="138">
        <f>SUM(D723:D731)</f>
        <v>0</v>
      </c>
      <c r="E733" s="65">
        <f>SUM(B733:D733)</f>
        <v>0</v>
      </c>
      <c r="F733" s="101">
        <f>SUM(F723:F731)</f>
        <v>0</v>
      </c>
      <c r="G733" s="101">
        <f>SUM(G723:G731)</f>
        <v>0</v>
      </c>
      <c r="H733" s="101">
        <f>SUM(H723:H731)</f>
        <v>0</v>
      </c>
      <c r="I733" s="65">
        <f>SUM(F733:H733)</f>
        <v>0</v>
      </c>
      <c r="J733" s="101">
        <f>SUM(J723:J731)</f>
        <v>0</v>
      </c>
      <c r="K733" s="101">
        <f>SUM(K723:K731)</f>
        <v>0</v>
      </c>
      <c r="L733" s="101">
        <f>SUM(L723:L731)</f>
        <v>0</v>
      </c>
      <c r="M733" s="65">
        <f>SUM(J733:L733)</f>
        <v>0</v>
      </c>
      <c r="N733" s="101">
        <f>SUM(N723:N731)</f>
        <v>0</v>
      </c>
      <c r="O733" s="101">
        <f>SUM(O723:O731)</f>
        <v>0</v>
      </c>
      <c r="P733" s="101">
        <f>SUM(P723:P731)</f>
        <v>0</v>
      </c>
      <c r="Q733" s="65">
        <f>SUM(N733:P733)</f>
        <v>0</v>
      </c>
      <c r="R733" s="64">
        <f>+E733+I733+M733+Q733</f>
        <v>0</v>
      </c>
    </row>
    <row r="734" spans="1:20" ht="16.5" customHeight="1" thickBot="1" x14ac:dyDescent="0.35">
      <c r="A734" s="62" t="s">
        <v>70</v>
      </c>
      <c r="B734" s="107">
        <f>+B704+B708+B722+B733</f>
        <v>10745</v>
      </c>
      <c r="C734" s="63">
        <f>+C704+C708+C722+C733</f>
        <v>13675</v>
      </c>
      <c r="D734" s="63">
        <f>+D704+D708+D722+D733</f>
        <v>14795</v>
      </c>
      <c r="E734" s="64">
        <f>SUM(B734:D734)</f>
        <v>39215</v>
      </c>
      <c r="F734" s="63">
        <f>+F704+F708+F722+F733</f>
        <v>14945</v>
      </c>
      <c r="G734" s="63">
        <f>+G704+G708+G722+G733</f>
        <v>15405</v>
      </c>
      <c r="H734" s="63">
        <f>+H704+H708+H722+H733</f>
        <v>13355</v>
      </c>
      <c r="I734" s="64">
        <f>SUM(F734:H734)</f>
        <v>43705</v>
      </c>
      <c r="J734" s="63">
        <f>+J704+J708+J722+J733</f>
        <v>13755</v>
      </c>
      <c r="K734" s="63">
        <f>+K704+K708+K722+K733</f>
        <v>14105</v>
      </c>
      <c r="L734" s="63">
        <f>+L704+L708+L722+L733</f>
        <v>14075</v>
      </c>
      <c r="M734" s="64">
        <f>SUM(J734:L734)</f>
        <v>41935</v>
      </c>
      <c r="N734" s="63">
        <f>+N704+N708+N722+N733</f>
        <v>9771</v>
      </c>
      <c r="O734" s="63">
        <f>+O704+O708+O722+O733</f>
        <v>150</v>
      </c>
      <c r="P734" s="63">
        <f>+P704+P708+P722+P733</f>
        <v>5985</v>
      </c>
      <c r="Q734" s="64">
        <f>SUM(N734:P734)</f>
        <v>15906</v>
      </c>
      <c r="R734" s="88">
        <f>+E734+I734+M734+Q734</f>
        <v>140761</v>
      </c>
    </row>
    <row r="735" spans="1:20" ht="16.5" customHeight="1" thickBot="1" x14ac:dyDescent="0.35">
      <c r="A735" s="66" t="s">
        <v>37</v>
      </c>
      <c r="B735" s="25">
        <v>22</v>
      </c>
      <c r="C735" s="25">
        <v>24</v>
      </c>
      <c r="D735" s="25">
        <v>31</v>
      </c>
      <c r="E735" s="64">
        <f>SUM(B735:D735)</f>
        <v>77</v>
      </c>
      <c r="F735" s="25">
        <v>40</v>
      </c>
      <c r="G735" s="25">
        <v>45</v>
      </c>
      <c r="H735" s="25">
        <v>48</v>
      </c>
      <c r="I735" s="64">
        <f>SUM(F735:H735)</f>
        <v>133</v>
      </c>
      <c r="J735" s="25">
        <v>42</v>
      </c>
      <c r="K735" s="25">
        <v>39</v>
      </c>
      <c r="L735" s="25">
        <v>38</v>
      </c>
      <c r="M735" s="64">
        <f>SUM(J735:L735)</f>
        <v>119</v>
      </c>
      <c r="N735" s="25">
        <v>32</v>
      </c>
      <c r="O735" s="25">
        <v>25</v>
      </c>
      <c r="P735" s="25">
        <v>21</v>
      </c>
      <c r="Q735" s="64">
        <f>SUM(N735:P735)</f>
        <v>78</v>
      </c>
      <c r="R735" s="65">
        <f>+E735+I735+M735+Q735</f>
        <v>407</v>
      </c>
    </row>
    <row r="736" spans="1:20" ht="16.5" customHeight="1" thickBot="1" x14ac:dyDescent="0.35">
      <c r="A736" s="42"/>
      <c r="B736" s="37"/>
      <c r="C736" s="37"/>
      <c r="D736" s="37"/>
      <c r="E736" s="16"/>
      <c r="F736" s="37"/>
      <c r="G736" s="37"/>
      <c r="H736" s="37"/>
      <c r="I736" s="16"/>
      <c r="J736" s="37"/>
      <c r="K736" s="37"/>
      <c r="L736" s="37"/>
      <c r="M736" s="16"/>
      <c r="N736" s="37"/>
      <c r="O736" s="37"/>
      <c r="P736" s="37"/>
      <c r="Q736" s="16"/>
      <c r="R736" s="43"/>
    </row>
    <row r="737" spans="1:18" ht="15.75" customHeight="1" x14ac:dyDescent="0.3">
      <c r="A737" s="17" t="s">
        <v>507</v>
      </c>
      <c r="B737" s="1">
        <f>+SUM(B734:B735)</f>
        <v>10767</v>
      </c>
      <c r="C737" s="1">
        <f>+SUM(C734:C735)</f>
        <v>13699</v>
      </c>
      <c r="D737" s="1">
        <f>+SUM(D734:D735)</f>
        <v>14826</v>
      </c>
      <c r="E737" s="65">
        <f>SUM(B737:D737)</f>
        <v>39292</v>
      </c>
      <c r="F737" s="1">
        <f>+SUM(F734:F735)</f>
        <v>14985</v>
      </c>
      <c r="G737" s="1">
        <f>+SUM(G734:G735)</f>
        <v>15450</v>
      </c>
      <c r="H737" s="1">
        <f>+SUM(H734:H735)</f>
        <v>13403</v>
      </c>
      <c r="I737" s="65">
        <f>SUM(F737:H737)</f>
        <v>43838</v>
      </c>
      <c r="J737" s="1">
        <f>+SUM(J734:J735)</f>
        <v>13797</v>
      </c>
      <c r="K737" s="1">
        <f>+SUM(K734:K735)</f>
        <v>14144</v>
      </c>
      <c r="L737" s="1">
        <f>+SUM(L734:L735)</f>
        <v>14113</v>
      </c>
      <c r="M737" s="65">
        <f>SUM(J737:L737)</f>
        <v>42054</v>
      </c>
      <c r="N737" s="1">
        <f>+SUM(N734:N735)</f>
        <v>9803</v>
      </c>
      <c r="O737" s="1">
        <f>+SUM(O734:O735)</f>
        <v>175</v>
      </c>
      <c r="P737" s="1">
        <f>+SUM(P734:P735)</f>
        <v>6006</v>
      </c>
      <c r="Q737" s="65">
        <f>SUM(N737:P737)</f>
        <v>15984</v>
      </c>
      <c r="R737" s="65">
        <f>+E737+I737+M737+Q737</f>
        <v>141168</v>
      </c>
    </row>
    <row r="738" spans="1:18" ht="15.75" customHeight="1" x14ac:dyDescent="0.3">
      <c r="A738" s="17" t="s">
        <v>39</v>
      </c>
      <c r="B738" s="1">
        <f>(B737/B10)/1.983</f>
        <v>175.1500658825826</v>
      </c>
      <c r="C738" s="1">
        <f>(C737/C10)/1.983</f>
        <v>246.72213817448309</v>
      </c>
      <c r="D738" s="1">
        <f>(D737/D10)/1.983</f>
        <v>241.17905421892536</v>
      </c>
      <c r="E738" s="59" t="s">
        <v>7</v>
      </c>
      <c r="F738" s="1">
        <f>(F737/F10)/1.983</f>
        <v>251.89107413010589</v>
      </c>
      <c r="G738" s="1">
        <f>(G737/G10)/1.983</f>
        <v>251.32985213020348</v>
      </c>
      <c r="H738" s="1">
        <f>(H737/H10)/1.983</f>
        <v>225.29836947386113</v>
      </c>
      <c r="I738" s="59" t="s">
        <v>7</v>
      </c>
      <c r="J738" s="1">
        <f>(J737/J10)/1.983</f>
        <v>224.43999804792347</v>
      </c>
      <c r="K738" s="1">
        <f>(K737/K10)/1.983</f>
        <v>230.08475265563743</v>
      </c>
      <c r="L738" s="1">
        <f>(L737/L10)/1.983</f>
        <v>237.23314842830726</v>
      </c>
      <c r="M738" s="59" t="s">
        <v>7</v>
      </c>
      <c r="N738" s="1">
        <f>(N737/N10)/1.983</f>
        <v>159.46838449400551</v>
      </c>
      <c r="O738" s="1">
        <f>(O737/O10)/1.983</f>
        <v>2.9416708690536222</v>
      </c>
      <c r="P738" s="1">
        <f>(P737/P10)/1.983</f>
        <v>97.70142989605192</v>
      </c>
      <c r="Q738" s="59" t="s">
        <v>7</v>
      </c>
      <c r="R738" s="59" t="s">
        <v>7</v>
      </c>
    </row>
    <row r="739" spans="1:18" ht="15.75" customHeight="1" x14ac:dyDescent="0.3">
      <c r="A739" s="17" t="s">
        <v>581</v>
      </c>
      <c r="B739" s="1">
        <f>B737+B749</f>
        <v>15558</v>
      </c>
      <c r="C739" s="1">
        <f>C737+C749</f>
        <v>18220</v>
      </c>
      <c r="D739" s="1">
        <f>D737+D749</f>
        <v>19464</v>
      </c>
      <c r="E739" s="59">
        <f>SUM(B739:D739)</f>
        <v>53242</v>
      </c>
      <c r="F739" s="1">
        <f>F737+F749</f>
        <v>19624</v>
      </c>
      <c r="G739" s="1">
        <f>G737+G749</f>
        <v>20127</v>
      </c>
      <c r="H739" s="1">
        <f>H737+H749</f>
        <v>18068</v>
      </c>
      <c r="I739" s="59">
        <f>SUM(F739:H739)</f>
        <v>57819</v>
      </c>
      <c r="J739" s="1">
        <f>J737+J749</f>
        <v>18467</v>
      </c>
      <c r="K739" s="1">
        <f>K737+K749</f>
        <v>18801</v>
      </c>
      <c r="L739" s="1">
        <f>L737+L749</f>
        <v>18728</v>
      </c>
      <c r="M739" s="59">
        <f>SUM(J739:L739)</f>
        <v>55996</v>
      </c>
      <c r="N739" s="1">
        <f>N737+N749</f>
        <v>14440</v>
      </c>
      <c r="O739" s="1">
        <f>O737+O749</f>
        <v>2265</v>
      </c>
      <c r="P739" s="1">
        <f>P737+P749</f>
        <v>8105</v>
      </c>
      <c r="Q739" s="59">
        <f>SUM(N739:P739)</f>
        <v>24810</v>
      </c>
      <c r="R739" s="59">
        <f>+E739+I739+M739+Q739</f>
        <v>191867</v>
      </c>
    </row>
    <row r="740" spans="1:18" ht="16.5" customHeight="1" thickBot="1" x14ac:dyDescent="0.35">
      <c r="A740" s="24" t="s">
        <v>582</v>
      </c>
      <c r="B740" s="25">
        <f>(B739/B10)/1.983</f>
        <v>253.08672099946318</v>
      </c>
      <c r="C740" s="25">
        <f>(C739/C10)/1.983</f>
        <v>328.14638714789999</v>
      </c>
      <c r="D740" s="25">
        <f>(D739/D10)/1.983</f>
        <v>316.62681177102144</v>
      </c>
      <c r="E740" s="88" t="s">
        <v>7</v>
      </c>
      <c r="F740" s="25">
        <f>(F739/F10)/1.983</f>
        <v>329.87056648176161</v>
      </c>
      <c r="G740" s="25">
        <f>(G739/G10)/1.983</f>
        <v>327.4120345517544</v>
      </c>
      <c r="H740" s="25">
        <f>(H739/H10)/1.983</f>
        <v>303.7149100689191</v>
      </c>
      <c r="I740" s="88" t="s">
        <v>7</v>
      </c>
      <c r="J740" s="25">
        <f>(J739/J10)/1.983</f>
        <v>300.40830933905943</v>
      </c>
      <c r="K740" s="25">
        <f>(K739/K10)/1.983</f>
        <v>305.84158899028841</v>
      </c>
      <c r="L740" s="25">
        <f>(L739/L10)/1.983</f>
        <v>314.80921163220705</v>
      </c>
      <c r="M740" s="88" t="s">
        <v>7</v>
      </c>
      <c r="N740" s="25">
        <f>(N739/N10)/1.983</f>
        <v>234.89987474175655</v>
      </c>
      <c r="O740" s="25">
        <f>(O739/O10)/1.983</f>
        <v>38.073625819465455</v>
      </c>
      <c r="P740" s="25">
        <f>(P739/P10)/1.983</f>
        <v>131.84650171620061</v>
      </c>
      <c r="Q740" s="88" t="s">
        <v>7</v>
      </c>
      <c r="R740" s="88" t="s">
        <v>7</v>
      </c>
    </row>
    <row r="741" spans="1:18" ht="15.75" customHeight="1" x14ac:dyDescent="0.3">
      <c r="A741" s="28"/>
      <c r="B741" s="1"/>
      <c r="C741" s="1"/>
      <c r="D741" s="1"/>
      <c r="E741" s="1"/>
      <c r="F741" s="1"/>
      <c r="G741" s="1"/>
      <c r="H741" s="1"/>
      <c r="I741" s="1"/>
      <c r="J741" s="1"/>
      <c r="K741" s="1"/>
      <c r="L741" s="1"/>
      <c r="M741" s="1"/>
      <c r="N741" s="1"/>
      <c r="O741" s="1"/>
      <c r="P741" s="1"/>
      <c r="Q741" s="1"/>
      <c r="R741" s="28"/>
    </row>
    <row r="742" spans="1:18" ht="15.75" customHeight="1" thickBot="1" x14ac:dyDescent="0.35">
      <c r="A742" s="28"/>
      <c r="B742" s="1"/>
      <c r="C742" s="1"/>
      <c r="D742" s="1"/>
      <c r="E742" s="1"/>
      <c r="F742" s="1"/>
      <c r="G742" s="1"/>
      <c r="H742" s="1"/>
      <c r="I742" s="1"/>
      <c r="J742" s="1"/>
      <c r="K742" s="1"/>
      <c r="L742" s="1"/>
      <c r="M742" s="1"/>
      <c r="N742" s="1"/>
      <c r="O742" s="1"/>
      <c r="P742" s="1"/>
      <c r="Q742" s="1"/>
      <c r="R742" s="28"/>
    </row>
    <row r="743" spans="1:18" ht="16.5" customHeight="1" thickBot="1" x14ac:dyDescent="0.35">
      <c r="A743" s="145" t="s">
        <v>583</v>
      </c>
      <c r="B743" s="32" t="s">
        <v>36</v>
      </c>
      <c r="C743" s="33" t="s">
        <v>9</v>
      </c>
      <c r="D743" s="33" t="s">
        <v>10</v>
      </c>
      <c r="E743" s="12" t="s">
        <v>11</v>
      </c>
      <c r="F743" s="33" t="s">
        <v>12</v>
      </c>
      <c r="G743" s="33" t="s">
        <v>13</v>
      </c>
      <c r="H743" s="33" t="s">
        <v>14</v>
      </c>
      <c r="I743" s="34" t="s">
        <v>15</v>
      </c>
      <c r="J743" s="33" t="s">
        <v>16</v>
      </c>
      <c r="K743" s="33" t="s">
        <v>17</v>
      </c>
      <c r="L743" s="33" t="s">
        <v>18</v>
      </c>
      <c r="M743" s="34" t="s">
        <v>19</v>
      </c>
      <c r="N743" s="33" t="s">
        <v>20</v>
      </c>
      <c r="O743" s="33" t="s">
        <v>21</v>
      </c>
      <c r="P743" s="33" t="s">
        <v>22</v>
      </c>
      <c r="Q743" s="34" t="s">
        <v>23</v>
      </c>
      <c r="R743" s="35" t="s">
        <v>24</v>
      </c>
    </row>
    <row r="744" spans="1:18" ht="16.5" customHeight="1" thickBot="1" x14ac:dyDescent="0.35">
      <c r="A744" s="42"/>
      <c r="B744" s="37"/>
      <c r="C744" s="37"/>
      <c r="D744" s="37"/>
      <c r="E744" s="38"/>
      <c r="F744" s="37"/>
      <c r="G744" s="37"/>
      <c r="H744" s="37"/>
      <c r="I744" s="38"/>
      <c r="J744" s="37"/>
      <c r="K744" s="37"/>
      <c r="L744" s="37"/>
      <c r="M744" s="38"/>
      <c r="N744" s="37"/>
      <c r="O744" s="37"/>
      <c r="P744" s="37"/>
      <c r="Q744" s="38"/>
      <c r="R744" s="42"/>
    </row>
    <row r="745" spans="1:18" ht="16.5" customHeight="1" thickBot="1" x14ac:dyDescent="0.35">
      <c r="A745" s="40" t="s">
        <v>37</v>
      </c>
      <c r="B745" s="25">
        <v>2</v>
      </c>
      <c r="C745" s="25">
        <v>3</v>
      </c>
      <c r="D745" s="25">
        <v>5</v>
      </c>
      <c r="E745" s="59">
        <f>SUM(B745:D745)</f>
        <v>10</v>
      </c>
      <c r="F745" s="25">
        <v>7</v>
      </c>
      <c r="G745" s="25">
        <v>8</v>
      </c>
      <c r="H745" s="25">
        <v>9</v>
      </c>
      <c r="I745" s="59">
        <f>SUM(F745:H745)</f>
        <v>24</v>
      </c>
      <c r="J745" s="25">
        <v>7</v>
      </c>
      <c r="K745" s="25">
        <v>6</v>
      </c>
      <c r="L745" s="25">
        <v>6</v>
      </c>
      <c r="M745" s="59">
        <f>SUM(J745:L745)</f>
        <v>19</v>
      </c>
      <c r="N745" s="25">
        <v>5</v>
      </c>
      <c r="O745" s="25">
        <v>3</v>
      </c>
      <c r="P745" s="25">
        <v>2</v>
      </c>
      <c r="Q745" s="59">
        <f>SUM(N745:P745)</f>
        <v>10</v>
      </c>
      <c r="R745" s="65">
        <f>+E745+I745+M745+Q745</f>
        <v>63</v>
      </c>
    </row>
    <row r="746" spans="1:18" ht="16.5" customHeight="1" thickBot="1" x14ac:dyDescent="0.35">
      <c r="A746" s="42"/>
      <c r="B746" s="37"/>
      <c r="C746" s="37"/>
      <c r="D746" s="37"/>
      <c r="E746" s="16"/>
      <c r="F746" s="37"/>
      <c r="G746" s="37"/>
      <c r="H746" s="37"/>
      <c r="I746" s="16"/>
      <c r="J746" s="37"/>
      <c r="K746" s="37"/>
      <c r="L746" s="37"/>
      <c r="M746" s="16"/>
      <c r="N746" s="37"/>
      <c r="O746" s="37"/>
      <c r="P746" s="37"/>
      <c r="Q746" s="16"/>
      <c r="R746" s="43"/>
    </row>
    <row r="747" spans="1:18" ht="15.75" customHeight="1" x14ac:dyDescent="0.3">
      <c r="A747" s="17" t="s">
        <v>507</v>
      </c>
      <c r="B747" s="1">
        <f>B745</f>
        <v>2</v>
      </c>
      <c r="C747" s="1">
        <f>C745</f>
        <v>3</v>
      </c>
      <c r="D747" s="1">
        <f>D745</f>
        <v>5</v>
      </c>
      <c r="E747" s="65">
        <f>SUM(B747:D747)</f>
        <v>10</v>
      </c>
      <c r="F747" s="1">
        <f>F745</f>
        <v>7</v>
      </c>
      <c r="G747" s="1">
        <f>G745</f>
        <v>8</v>
      </c>
      <c r="H747" s="1">
        <f>H745</f>
        <v>9</v>
      </c>
      <c r="I747" s="65">
        <f>SUM(F747:H747)</f>
        <v>24</v>
      </c>
      <c r="J747" s="1">
        <f>J745</f>
        <v>7</v>
      </c>
      <c r="K747" s="1">
        <f>K745</f>
        <v>6</v>
      </c>
      <c r="L747" s="1">
        <f>L745</f>
        <v>6</v>
      </c>
      <c r="M747" s="65">
        <f>SUM(J747:L747)</f>
        <v>19</v>
      </c>
      <c r="N747" s="1">
        <f>N745</f>
        <v>5</v>
      </c>
      <c r="O747" s="1">
        <f>O745</f>
        <v>3</v>
      </c>
      <c r="P747" s="1">
        <f>P745</f>
        <v>2</v>
      </c>
      <c r="Q747" s="65">
        <f>SUM(N747:P747)</f>
        <v>10</v>
      </c>
      <c r="R747" s="65">
        <f>+E747+I747+M747+Q747</f>
        <v>63</v>
      </c>
    </row>
    <row r="748" spans="1:18" ht="15.75" customHeight="1" x14ac:dyDescent="0.3">
      <c r="A748" s="17" t="s">
        <v>39</v>
      </c>
      <c r="B748" s="1">
        <f>(B747/B10)/1.983</f>
        <v>3.2534608689993978E-2</v>
      </c>
      <c r="C748" s="1">
        <f>(C747/C10)/1.983</f>
        <v>5.403068943159714E-2</v>
      </c>
      <c r="D748" s="1">
        <f>(D747/D10)/1.983</f>
        <v>8.1336521724984942E-2</v>
      </c>
      <c r="E748" s="59" t="s">
        <v>7</v>
      </c>
      <c r="F748" s="1">
        <f>(F747/F10)/1.983</f>
        <v>0.1176668347621449</v>
      </c>
      <c r="G748" s="1">
        <f>(G747/G10)/1.983</f>
        <v>0.13013843475997591</v>
      </c>
      <c r="H748" s="1">
        <f>(H747/H10)/1.983</f>
        <v>0.15128593040847199</v>
      </c>
      <c r="I748" s="59" t="s">
        <v>7</v>
      </c>
      <c r="J748" s="1">
        <f>(J747/J10)/1.983</f>
        <v>0.11387113041497893</v>
      </c>
      <c r="K748" s="1">
        <f>(K747/K10)/1.983</f>
        <v>9.7603826069981942E-2</v>
      </c>
      <c r="L748" s="1">
        <f>(L747/L10)/1.983</f>
        <v>0.10085728693898134</v>
      </c>
      <c r="M748" s="59" t="s">
        <v>7</v>
      </c>
      <c r="N748" s="1">
        <f>(N747/N10)/1.983</f>
        <v>8.1336521724984942E-2</v>
      </c>
      <c r="O748" s="1">
        <f>(O747/O10)/1.983</f>
        <v>5.0428643469490671E-2</v>
      </c>
      <c r="P748" s="1">
        <f>(P747/P10)/1.983</f>
        <v>3.2534608689993978E-2</v>
      </c>
      <c r="Q748" s="59" t="s">
        <v>7</v>
      </c>
      <c r="R748" s="59" t="s">
        <v>7</v>
      </c>
    </row>
    <row r="749" spans="1:18" ht="15.75" customHeight="1" x14ac:dyDescent="0.3">
      <c r="A749" s="17" t="s">
        <v>584</v>
      </c>
      <c r="B749" s="1">
        <f>B747+B783+B832-B778</f>
        <v>4791</v>
      </c>
      <c r="C749" s="1">
        <f>C747+C783+C832-C778</f>
        <v>4521</v>
      </c>
      <c r="D749" s="1">
        <f>D747+D783+D832-D778</f>
        <v>4638</v>
      </c>
      <c r="E749" s="59">
        <f>SUM(B749:D749)</f>
        <v>13950</v>
      </c>
      <c r="F749" s="1">
        <f>F747+F783+F832-F778</f>
        <v>4639</v>
      </c>
      <c r="G749" s="1">
        <f>G747+G783+G832-G778</f>
        <v>4677</v>
      </c>
      <c r="H749" s="1">
        <f>H747+H783+H832-H778</f>
        <v>4665</v>
      </c>
      <c r="I749" s="59">
        <f>SUM(F749:H749)</f>
        <v>13981</v>
      </c>
      <c r="J749" s="1">
        <f>J747+J783+J832-J778</f>
        <v>4670</v>
      </c>
      <c r="K749" s="1">
        <f>K747+K783+K832-K778</f>
        <v>4657</v>
      </c>
      <c r="L749" s="1">
        <f>L747+L783+L832-L778</f>
        <v>4615</v>
      </c>
      <c r="M749" s="59">
        <f>SUM(J749:L749)</f>
        <v>13942</v>
      </c>
      <c r="N749" s="1">
        <f>N747+N783+N832-N778</f>
        <v>4637</v>
      </c>
      <c r="O749" s="1">
        <f>O747+O783+O832-O778</f>
        <v>2090</v>
      </c>
      <c r="P749" s="1">
        <f>P747+P783+P832-P778</f>
        <v>2099</v>
      </c>
      <c r="Q749" s="59">
        <f>SUM(N749:P749)</f>
        <v>8826</v>
      </c>
      <c r="R749" s="59">
        <f>+E749+I749+M749+Q749</f>
        <v>50699</v>
      </c>
    </row>
    <row r="750" spans="1:18" ht="16.5" customHeight="1" thickBot="1" x14ac:dyDescent="0.35">
      <c r="A750" s="24" t="s">
        <v>585</v>
      </c>
      <c r="B750" s="25">
        <f>(B749/B10)/1.983</f>
        <v>77.936655116880587</v>
      </c>
      <c r="C750" s="25">
        <f>(C749/C10)/1.983</f>
        <v>81.424248973416894</v>
      </c>
      <c r="D750" s="25">
        <f>(D749/D10)/1.983</f>
        <v>75.44775755209605</v>
      </c>
      <c r="E750" s="88" t="s">
        <v>7</v>
      </c>
      <c r="F750" s="25">
        <f>(F749/F10)/1.983</f>
        <v>77.979492351655736</v>
      </c>
      <c r="G750" s="25">
        <f>(G749/G10)/1.983</f>
        <v>76.082182421550925</v>
      </c>
      <c r="H750" s="25">
        <f>(H749/H10)/1.983</f>
        <v>78.416540595057995</v>
      </c>
      <c r="I750" s="88" t="s">
        <v>7</v>
      </c>
      <c r="J750" s="25">
        <f>(J749/J10)/1.983</f>
        <v>75.968311291135947</v>
      </c>
      <c r="K750" s="25">
        <f>(K749/K10)/1.983</f>
        <v>75.756836334650984</v>
      </c>
      <c r="L750" s="25">
        <f>(L749/L10)/1.983</f>
        <v>77.576063203899821</v>
      </c>
      <c r="M750" s="88" t="s">
        <v>7</v>
      </c>
      <c r="N750" s="25">
        <f>(N749/N10)/1.983</f>
        <v>75.431490247751043</v>
      </c>
      <c r="O750" s="25">
        <f>(O749/O10)/1.983</f>
        <v>35.131954950411831</v>
      </c>
      <c r="P750" s="25">
        <f>(P749/P10)/1.983</f>
        <v>34.145071820148679</v>
      </c>
      <c r="Q750" s="88" t="s">
        <v>7</v>
      </c>
      <c r="R750" s="88" t="s">
        <v>7</v>
      </c>
    </row>
    <row r="751" spans="1:18" ht="15.75" customHeight="1" x14ac:dyDescent="0.3">
      <c r="A751" s="28"/>
      <c r="B751" s="1"/>
      <c r="C751" s="1"/>
      <c r="D751" s="1"/>
      <c r="E751" s="1"/>
      <c r="F751" s="1"/>
      <c r="G751" s="1"/>
      <c r="H751" s="1"/>
      <c r="I751" s="1"/>
      <c r="J751" s="1"/>
      <c r="K751" s="1"/>
      <c r="L751" s="1"/>
      <c r="M751" s="1"/>
      <c r="N751" s="1"/>
      <c r="O751" s="1"/>
      <c r="P751" s="1"/>
      <c r="Q751" s="1"/>
      <c r="R751" s="28"/>
    </row>
    <row r="752" spans="1:18" ht="15.75" customHeight="1" thickBot="1" x14ac:dyDescent="0.35">
      <c r="A752" s="28"/>
      <c r="B752" s="1"/>
      <c r="C752" s="1"/>
      <c r="D752" s="1"/>
      <c r="E752" s="1"/>
      <c r="F752" s="1"/>
      <c r="G752" s="1"/>
      <c r="H752" s="1"/>
      <c r="I752" s="1"/>
      <c r="J752" s="1"/>
      <c r="K752" s="1"/>
      <c r="L752" s="1"/>
      <c r="M752" s="1"/>
      <c r="N752" s="1"/>
      <c r="O752" s="1"/>
      <c r="P752" s="1"/>
      <c r="Q752" s="1"/>
      <c r="R752" s="28"/>
    </row>
    <row r="753" spans="1:18" ht="16.5" customHeight="1" thickBot="1" x14ac:dyDescent="0.35">
      <c r="A753" s="145" t="s">
        <v>586</v>
      </c>
      <c r="B753" s="32" t="s">
        <v>36</v>
      </c>
      <c r="C753" s="33" t="s">
        <v>9</v>
      </c>
      <c r="D753" s="33" t="s">
        <v>10</v>
      </c>
      <c r="E753" s="34" t="s">
        <v>11</v>
      </c>
      <c r="F753" s="33" t="s">
        <v>12</v>
      </c>
      <c r="G753" s="33" t="s">
        <v>13</v>
      </c>
      <c r="H753" s="33" t="s">
        <v>14</v>
      </c>
      <c r="I753" s="34" t="s">
        <v>15</v>
      </c>
      <c r="J753" s="33" t="s">
        <v>16</v>
      </c>
      <c r="K753" s="33" t="s">
        <v>17</v>
      </c>
      <c r="L753" s="33" t="s">
        <v>18</v>
      </c>
      <c r="M753" s="34" t="s">
        <v>19</v>
      </c>
      <c r="N753" s="33" t="s">
        <v>20</v>
      </c>
      <c r="O753" s="33" t="s">
        <v>21</v>
      </c>
      <c r="P753" s="33" t="s">
        <v>22</v>
      </c>
      <c r="Q753" s="34" t="s">
        <v>23</v>
      </c>
      <c r="R753" s="155" t="s">
        <v>24</v>
      </c>
    </row>
    <row r="754" spans="1:18" ht="16.5" customHeight="1" thickBot="1" x14ac:dyDescent="0.35">
      <c r="A754" s="42"/>
      <c r="B754" s="37"/>
      <c r="C754" s="37"/>
      <c r="D754" s="37"/>
      <c r="E754" s="156"/>
      <c r="F754" s="37"/>
      <c r="G754" s="37"/>
      <c r="H754" s="37"/>
      <c r="I754" s="156"/>
      <c r="J754" s="37"/>
      <c r="K754" s="37"/>
      <c r="L754" s="37"/>
      <c r="M754" s="156"/>
      <c r="N754" s="37"/>
      <c r="O754" s="37"/>
      <c r="P754" s="37"/>
      <c r="Q754" s="156"/>
      <c r="R754" s="39"/>
    </row>
    <row r="755" spans="1:18" ht="15.75" customHeight="1" x14ac:dyDescent="0.3">
      <c r="A755" s="17" t="s">
        <v>45</v>
      </c>
      <c r="B755" s="1" t="s">
        <v>7</v>
      </c>
      <c r="C755" s="1" t="s">
        <v>7</v>
      </c>
      <c r="D755" s="1" t="s">
        <v>7</v>
      </c>
      <c r="E755" s="59" t="s">
        <v>7</v>
      </c>
      <c r="F755" s="1" t="s">
        <v>7</v>
      </c>
      <c r="G755" s="1" t="s">
        <v>7</v>
      </c>
      <c r="H755" s="1" t="s">
        <v>7</v>
      </c>
      <c r="I755" s="59" t="s">
        <v>7</v>
      </c>
      <c r="J755" s="1" t="s">
        <v>7</v>
      </c>
      <c r="K755" s="1" t="s">
        <v>7</v>
      </c>
      <c r="L755" s="1" t="s">
        <v>7</v>
      </c>
      <c r="M755" s="59" t="s">
        <v>7</v>
      </c>
      <c r="N755" s="1" t="s">
        <v>7</v>
      </c>
      <c r="O755" s="1" t="s">
        <v>7</v>
      </c>
      <c r="P755" s="1" t="s">
        <v>7</v>
      </c>
      <c r="Q755" s="59" t="s">
        <v>7</v>
      </c>
      <c r="R755" s="59" t="s">
        <v>7</v>
      </c>
    </row>
    <row r="756" spans="1:18" ht="15.75" customHeight="1" x14ac:dyDescent="0.3">
      <c r="A756" s="17" t="s">
        <v>46</v>
      </c>
      <c r="B756" s="1"/>
      <c r="C756" s="1"/>
      <c r="D756" s="1"/>
      <c r="E756" s="59" t="s">
        <v>7</v>
      </c>
      <c r="F756" s="1"/>
      <c r="G756" s="1"/>
      <c r="H756" s="1"/>
      <c r="I756" s="59" t="s">
        <v>7</v>
      </c>
      <c r="J756" s="1"/>
      <c r="K756" s="1"/>
      <c r="L756" s="1"/>
      <c r="M756" s="59" t="s">
        <v>7</v>
      </c>
      <c r="N756" s="1"/>
      <c r="O756" s="1"/>
      <c r="P756" s="1"/>
      <c r="Q756" s="59" t="s">
        <v>7</v>
      </c>
      <c r="R756" s="59" t="s">
        <v>7</v>
      </c>
    </row>
    <row r="757" spans="1:18" ht="15.75" customHeight="1" x14ac:dyDescent="0.3">
      <c r="A757" s="74" t="s">
        <v>587</v>
      </c>
      <c r="B757" s="1"/>
      <c r="C757" s="1"/>
      <c r="D757" s="1"/>
      <c r="E757" s="59">
        <f>SUM(B757:D757)</f>
        <v>0</v>
      </c>
      <c r="F757" s="1"/>
      <c r="G757" s="1"/>
      <c r="H757" s="1"/>
      <c r="I757" s="59">
        <f>SUM(F757:H757)</f>
        <v>0</v>
      </c>
      <c r="J757" s="1"/>
      <c r="K757" s="1"/>
      <c r="L757" s="1"/>
      <c r="M757" s="59">
        <f>SUM(J757:L757)</f>
        <v>0</v>
      </c>
      <c r="N757" s="1"/>
      <c r="O757" s="1"/>
      <c r="P757" s="1"/>
      <c r="Q757" s="59">
        <f>SUM(N757:P757)</f>
        <v>0</v>
      </c>
      <c r="R757" s="59">
        <f>+E757+I757+M757+Q757</f>
        <v>0</v>
      </c>
    </row>
    <row r="758" spans="1:18" ht="15.75" customHeight="1" x14ac:dyDescent="0.3">
      <c r="A758" s="17" t="s">
        <v>47</v>
      </c>
      <c r="B758" s="1"/>
      <c r="C758" s="1"/>
      <c r="D758" s="1"/>
      <c r="E758" s="59" t="s">
        <v>7</v>
      </c>
      <c r="F758" s="1"/>
      <c r="G758" s="1"/>
      <c r="H758" s="1"/>
      <c r="I758" s="59" t="s">
        <v>7</v>
      </c>
      <c r="J758" s="1"/>
      <c r="K758" s="1"/>
      <c r="L758" s="1"/>
      <c r="M758" s="59" t="s">
        <v>7</v>
      </c>
      <c r="N758" s="1"/>
      <c r="O758" s="1"/>
      <c r="P758" s="1"/>
      <c r="Q758" s="59" t="s">
        <v>7</v>
      </c>
      <c r="R758" s="59" t="s">
        <v>7</v>
      </c>
    </row>
    <row r="759" spans="1:18" ht="15.75" customHeight="1" x14ac:dyDescent="0.3">
      <c r="A759" s="17" t="s">
        <v>49</v>
      </c>
      <c r="B759" s="1"/>
      <c r="C759" s="1"/>
      <c r="D759" s="1"/>
      <c r="E759" s="59" t="s">
        <v>7</v>
      </c>
      <c r="F759" s="1"/>
      <c r="G759" s="1"/>
      <c r="H759" s="1"/>
      <c r="I759" s="59" t="s">
        <v>7</v>
      </c>
      <c r="J759" s="1"/>
      <c r="K759" s="1"/>
      <c r="L759" s="1"/>
      <c r="M759" s="59" t="s">
        <v>7</v>
      </c>
      <c r="N759" s="1"/>
      <c r="O759" s="1"/>
      <c r="P759" s="1"/>
      <c r="Q759" s="59" t="s">
        <v>7</v>
      </c>
      <c r="R759" s="59" t="s">
        <v>7</v>
      </c>
    </row>
    <row r="760" spans="1:18" ht="15.75" customHeight="1" thickBot="1" x14ac:dyDescent="0.35">
      <c r="A760" s="17" t="s">
        <v>51</v>
      </c>
      <c r="B760" s="1"/>
      <c r="C760" s="1"/>
      <c r="D760" s="1"/>
      <c r="E760" s="59" t="s">
        <v>7</v>
      </c>
      <c r="F760" s="1"/>
      <c r="G760" s="1"/>
      <c r="H760" s="1"/>
      <c r="I760" s="59" t="s">
        <v>7</v>
      </c>
      <c r="J760" s="1"/>
      <c r="K760" s="1"/>
      <c r="L760" s="1"/>
      <c r="M760" s="59" t="s">
        <v>7</v>
      </c>
      <c r="N760" s="1"/>
      <c r="O760" s="1"/>
      <c r="P760" s="1"/>
      <c r="Q760" s="59" t="s">
        <v>7</v>
      </c>
      <c r="R760" s="59" t="s">
        <v>7</v>
      </c>
    </row>
    <row r="761" spans="1:18" ht="16.5" customHeight="1" thickBot="1" x14ac:dyDescent="0.35">
      <c r="A761" s="62" t="s">
        <v>52</v>
      </c>
      <c r="B761" s="100">
        <f>SUM(B755:B760)</f>
        <v>0</v>
      </c>
      <c r="C761" s="101">
        <f>SUM(C755:C760)</f>
        <v>0</v>
      </c>
      <c r="D761" s="101">
        <f>SUM(D755:D760)</f>
        <v>0</v>
      </c>
      <c r="E761" s="64">
        <f>SUM(B761:D761)</f>
        <v>0</v>
      </c>
      <c r="F761" s="101">
        <f>SUM(F755:F760)</f>
        <v>0</v>
      </c>
      <c r="G761" s="101">
        <f>SUM(G755:G760)</f>
        <v>0</v>
      </c>
      <c r="H761" s="101">
        <f>SUM(H755:H760)</f>
        <v>0</v>
      </c>
      <c r="I761" s="64">
        <f>SUM(F761:H761)</f>
        <v>0</v>
      </c>
      <c r="J761" s="101">
        <f>SUM(J755:J760)</f>
        <v>0</v>
      </c>
      <c r="K761" s="101">
        <f>SUM(K755:K760)</f>
        <v>0</v>
      </c>
      <c r="L761" s="101">
        <f>SUM(L755:L760)</f>
        <v>0</v>
      </c>
      <c r="M761" s="64">
        <f>SUM(J761:L761)</f>
        <v>0</v>
      </c>
      <c r="N761" s="101">
        <f>SUM(N755:N760)</f>
        <v>0</v>
      </c>
      <c r="O761" s="101">
        <f>SUM(O755:O760)</f>
        <v>0</v>
      </c>
      <c r="P761" s="101">
        <f>SUM(P755:P760)</f>
        <v>0</v>
      </c>
      <c r="Q761" s="64">
        <f>SUM(N761:P761)</f>
        <v>0</v>
      </c>
      <c r="R761" s="64">
        <f>+E761+I761+M761+Q761</f>
        <v>0</v>
      </c>
    </row>
    <row r="762" spans="1:18" ht="15.75" customHeight="1" x14ac:dyDescent="0.3">
      <c r="A762" s="17" t="s">
        <v>53</v>
      </c>
      <c r="B762" s="1"/>
      <c r="C762" s="1"/>
      <c r="D762" s="1"/>
      <c r="E762" s="59" t="s">
        <v>7</v>
      </c>
      <c r="F762" s="1"/>
      <c r="G762" s="1"/>
      <c r="H762" s="1"/>
      <c r="I762" s="59" t="s">
        <v>7</v>
      </c>
      <c r="J762" s="1"/>
      <c r="K762" s="1"/>
      <c r="L762" s="1"/>
      <c r="M762" s="59" t="s">
        <v>7</v>
      </c>
      <c r="N762" s="1"/>
      <c r="O762" s="1"/>
      <c r="P762" s="1"/>
      <c r="Q762" s="59" t="s">
        <v>7</v>
      </c>
      <c r="R762" s="59" t="s">
        <v>7</v>
      </c>
    </row>
    <row r="763" spans="1:18" ht="15.75" customHeight="1" x14ac:dyDescent="0.3">
      <c r="A763" s="17" t="s">
        <v>55</v>
      </c>
      <c r="B763" s="1"/>
      <c r="C763" s="1"/>
      <c r="D763" s="1"/>
      <c r="E763" s="59" t="s">
        <v>7</v>
      </c>
      <c r="F763" s="1"/>
      <c r="G763" s="1"/>
      <c r="H763" s="1"/>
      <c r="I763" s="59" t="s">
        <v>7</v>
      </c>
      <c r="J763" s="1"/>
      <c r="K763" s="1"/>
      <c r="L763" s="1"/>
      <c r="M763" s="59" t="s">
        <v>7</v>
      </c>
      <c r="N763" s="1"/>
      <c r="O763" s="1"/>
      <c r="P763" s="1"/>
      <c r="Q763" s="59" t="s">
        <v>7</v>
      </c>
      <c r="R763" s="59" t="s">
        <v>7</v>
      </c>
    </row>
    <row r="764" spans="1:18" ht="15.75" customHeight="1" thickBot="1" x14ac:dyDescent="0.35">
      <c r="A764" s="17" t="s">
        <v>56</v>
      </c>
      <c r="B764" s="1"/>
      <c r="C764" s="1"/>
      <c r="D764" s="1"/>
      <c r="E764" s="59" t="s">
        <v>7</v>
      </c>
      <c r="F764" s="1"/>
      <c r="G764" s="1"/>
      <c r="H764" s="1"/>
      <c r="I764" s="59" t="s">
        <v>7</v>
      </c>
      <c r="J764" s="1"/>
      <c r="K764" s="1"/>
      <c r="L764" s="1"/>
      <c r="M764" s="59" t="s">
        <v>7</v>
      </c>
      <c r="N764" s="1"/>
      <c r="O764" s="1"/>
      <c r="P764" s="1"/>
      <c r="Q764" s="59" t="s">
        <v>7</v>
      </c>
      <c r="R764" s="59" t="s">
        <v>7</v>
      </c>
    </row>
    <row r="765" spans="1:18" ht="16.5" customHeight="1" thickBot="1" x14ac:dyDescent="0.35">
      <c r="A765" s="62" t="s">
        <v>57</v>
      </c>
      <c r="B765" s="100">
        <f>SUM(B762:B764)</f>
        <v>0</v>
      </c>
      <c r="C765" s="101">
        <f>SUM(C762:C764)</f>
        <v>0</v>
      </c>
      <c r="D765" s="101">
        <f>SUM(D762:D764)</f>
        <v>0</v>
      </c>
      <c r="E765" s="64">
        <f>SUM(B765:D765)</f>
        <v>0</v>
      </c>
      <c r="F765" s="101">
        <f>SUM(F762:F764)</f>
        <v>0</v>
      </c>
      <c r="G765" s="101">
        <f>SUM(G762:G764)</f>
        <v>0</v>
      </c>
      <c r="H765" s="101">
        <f>SUM(H762:H764)</f>
        <v>0</v>
      </c>
      <c r="I765" s="64">
        <f>SUM(F765:H765)</f>
        <v>0</v>
      </c>
      <c r="J765" s="101">
        <f>SUM(J762:J764)</f>
        <v>0</v>
      </c>
      <c r="K765" s="101">
        <f>SUM(K762:K764)</f>
        <v>0</v>
      </c>
      <c r="L765" s="101">
        <f>SUM(L762:L764)</f>
        <v>0</v>
      </c>
      <c r="M765" s="64">
        <f>SUM(J765:L765)</f>
        <v>0</v>
      </c>
      <c r="N765" s="101">
        <f>SUM(N762:N764)</f>
        <v>0</v>
      </c>
      <c r="O765" s="101">
        <f>SUM(O762:O764)</f>
        <v>0</v>
      </c>
      <c r="P765" s="101">
        <f>SUM(P762:P764)</f>
        <v>0</v>
      </c>
      <c r="Q765" s="64">
        <f>SUM(N765:P765)</f>
        <v>0</v>
      </c>
      <c r="R765" s="64">
        <f>+E765+I765+M765+Q765</f>
        <v>0</v>
      </c>
    </row>
    <row r="766" spans="1:18" ht="15.75" customHeight="1" x14ac:dyDescent="0.3">
      <c r="A766" s="17" t="s">
        <v>58</v>
      </c>
      <c r="B766" s="1"/>
      <c r="C766" s="1"/>
      <c r="D766" s="1"/>
      <c r="E766" s="59" t="s">
        <v>7</v>
      </c>
      <c r="F766" s="1"/>
      <c r="G766" s="1"/>
      <c r="H766" s="1"/>
      <c r="I766" s="59" t="s">
        <v>7</v>
      </c>
      <c r="J766" s="1"/>
      <c r="K766" s="1"/>
      <c r="L766" s="1"/>
      <c r="M766" s="59" t="s">
        <v>7</v>
      </c>
      <c r="N766" s="1"/>
      <c r="O766" s="1"/>
      <c r="P766" s="1"/>
      <c r="Q766" s="59" t="s">
        <v>7</v>
      </c>
      <c r="R766" s="59" t="s">
        <v>7</v>
      </c>
    </row>
    <row r="767" spans="1:18" ht="15.75" customHeight="1" x14ac:dyDescent="0.3">
      <c r="A767" s="17" t="s">
        <v>59</v>
      </c>
      <c r="B767" s="1"/>
      <c r="C767" s="1"/>
      <c r="D767" s="1"/>
      <c r="E767" s="59" t="s">
        <v>7</v>
      </c>
      <c r="F767" s="1"/>
      <c r="G767" s="1"/>
      <c r="H767" s="1"/>
      <c r="I767" s="59" t="s">
        <v>7</v>
      </c>
      <c r="J767" s="1"/>
      <c r="K767" s="1"/>
      <c r="L767" s="1"/>
      <c r="M767" s="59" t="s">
        <v>7</v>
      </c>
      <c r="N767" s="1"/>
      <c r="O767" s="1"/>
      <c r="P767" s="1"/>
      <c r="Q767" s="59" t="s">
        <v>7</v>
      </c>
      <c r="R767" s="59" t="s">
        <v>7</v>
      </c>
    </row>
    <row r="768" spans="1:18" ht="15.75" customHeight="1" thickBot="1" x14ac:dyDescent="0.35">
      <c r="A768" s="17" t="s">
        <v>60</v>
      </c>
      <c r="B768" s="1"/>
      <c r="C768" s="1"/>
      <c r="D768" s="1"/>
      <c r="E768" s="59" t="s">
        <v>7</v>
      </c>
      <c r="F768" s="1"/>
      <c r="G768" s="1"/>
      <c r="H768" s="1"/>
      <c r="I768" s="59" t="s">
        <v>7</v>
      </c>
      <c r="J768" s="1"/>
      <c r="K768" s="1"/>
      <c r="L768" s="1"/>
      <c r="M768" s="59" t="s">
        <v>7</v>
      </c>
      <c r="N768" s="1"/>
      <c r="O768" s="1"/>
      <c r="P768" s="1"/>
      <c r="Q768" s="59" t="s">
        <v>7</v>
      </c>
      <c r="R768" s="59" t="s">
        <v>7</v>
      </c>
    </row>
    <row r="769" spans="1:18" ht="16.5" customHeight="1" thickBot="1" x14ac:dyDescent="0.35">
      <c r="A769" s="62" t="s">
        <v>61</v>
      </c>
      <c r="B769" s="100">
        <f>SUM(B766:B768)</f>
        <v>0</v>
      </c>
      <c r="C769" s="101">
        <f>SUM(C766:C768)</f>
        <v>0</v>
      </c>
      <c r="D769" s="101">
        <f>SUM(D766:D768)</f>
        <v>0</v>
      </c>
      <c r="E769" s="64">
        <f>SUM(B769:D769)</f>
        <v>0</v>
      </c>
      <c r="F769" s="101">
        <f>SUM(F766:F768)</f>
        <v>0</v>
      </c>
      <c r="G769" s="101">
        <f>SUM(G766:G768)</f>
        <v>0</v>
      </c>
      <c r="H769" s="101">
        <f>SUM(H766:H768)</f>
        <v>0</v>
      </c>
      <c r="I769" s="64">
        <f>SUM(F769:H769)</f>
        <v>0</v>
      </c>
      <c r="J769" s="101">
        <f>SUM(J766:J768)</f>
        <v>0</v>
      </c>
      <c r="K769" s="101">
        <f>SUM(K766:K768)</f>
        <v>0</v>
      </c>
      <c r="L769" s="101">
        <f>SUM(L766:L768)</f>
        <v>0</v>
      </c>
      <c r="M769" s="64">
        <f>SUM(J769:L769)</f>
        <v>0</v>
      </c>
      <c r="N769" s="101">
        <f>SUM(N766:N768)</f>
        <v>0</v>
      </c>
      <c r="O769" s="101">
        <f>SUM(O766:O768)</f>
        <v>0</v>
      </c>
      <c r="P769" s="101">
        <f>SUM(P766:P768)</f>
        <v>0</v>
      </c>
      <c r="Q769" s="64">
        <f>SUM(N769:P769)</f>
        <v>0</v>
      </c>
      <c r="R769" s="64">
        <f>+E769+I769+M769+Q769</f>
        <v>0</v>
      </c>
    </row>
    <row r="770" spans="1:18" ht="15.75" customHeight="1" x14ac:dyDescent="0.3">
      <c r="A770" s="17" t="s">
        <v>62</v>
      </c>
      <c r="B770" s="1"/>
      <c r="C770" s="1"/>
      <c r="D770" s="1"/>
      <c r="E770" s="59" t="s">
        <v>7</v>
      </c>
      <c r="F770" s="1"/>
      <c r="G770" s="1"/>
      <c r="H770" s="1"/>
      <c r="I770" s="59" t="s">
        <v>7</v>
      </c>
      <c r="J770" s="1"/>
      <c r="K770" s="1"/>
      <c r="L770" s="1"/>
      <c r="M770" s="59" t="s">
        <v>7</v>
      </c>
      <c r="N770" s="1"/>
      <c r="O770" s="1"/>
      <c r="P770" s="1"/>
      <c r="Q770" s="59" t="s">
        <v>7</v>
      </c>
      <c r="R770" s="59" t="s">
        <v>7</v>
      </c>
    </row>
    <row r="771" spans="1:18" ht="15.75" customHeight="1" x14ac:dyDescent="0.3">
      <c r="A771" s="17" t="s">
        <v>63</v>
      </c>
      <c r="B771" s="1"/>
      <c r="C771" s="1"/>
      <c r="D771" s="1"/>
      <c r="E771" s="59" t="s">
        <v>7</v>
      </c>
      <c r="F771" s="1"/>
      <c r="G771" s="1"/>
      <c r="H771" s="1"/>
      <c r="I771" s="59" t="s">
        <v>7</v>
      </c>
      <c r="J771" s="1"/>
      <c r="K771" s="1"/>
      <c r="L771" s="1"/>
      <c r="M771" s="59" t="s">
        <v>7</v>
      </c>
      <c r="N771" s="1"/>
      <c r="O771" s="1"/>
      <c r="P771" s="1"/>
      <c r="Q771" s="59" t="s">
        <v>7</v>
      </c>
      <c r="R771" s="59" t="s">
        <v>7</v>
      </c>
    </row>
    <row r="772" spans="1:18" ht="15.75" customHeight="1" x14ac:dyDescent="0.3">
      <c r="A772" s="17" t="s">
        <v>64</v>
      </c>
      <c r="B772" s="1"/>
      <c r="C772" s="1"/>
      <c r="D772" s="1"/>
      <c r="E772" s="59" t="s">
        <v>7</v>
      </c>
      <c r="F772" s="1"/>
      <c r="G772" s="1"/>
      <c r="H772" s="1"/>
      <c r="I772" s="59" t="s">
        <v>7</v>
      </c>
      <c r="J772" s="1"/>
      <c r="K772" s="1"/>
      <c r="L772" s="1"/>
      <c r="M772" s="59" t="s">
        <v>7</v>
      </c>
      <c r="N772" s="1"/>
      <c r="O772" s="1"/>
      <c r="P772" s="1"/>
      <c r="Q772" s="59" t="s">
        <v>7</v>
      </c>
      <c r="R772" s="59" t="s">
        <v>7</v>
      </c>
    </row>
    <row r="773" spans="1:18" ht="15.75" customHeight="1" x14ac:dyDescent="0.3">
      <c r="A773" s="17" t="s">
        <v>66</v>
      </c>
      <c r="B773" s="1"/>
      <c r="C773" s="1"/>
      <c r="D773" s="1"/>
      <c r="E773" s="59" t="s">
        <v>7</v>
      </c>
      <c r="F773" s="1"/>
      <c r="G773" s="1"/>
      <c r="H773" s="1"/>
      <c r="I773" s="59" t="s">
        <v>7</v>
      </c>
      <c r="J773" s="1"/>
      <c r="K773" s="1"/>
      <c r="L773" s="1"/>
      <c r="M773" s="59" t="s">
        <v>7</v>
      </c>
      <c r="N773" s="1"/>
      <c r="O773" s="1"/>
      <c r="P773" s="1"/>
      <c r="Q773" s="59" t="s">
        <v>7</v>
      </c>
      <c r="R773" s="59" t="s">
        <v>7</v>
      </c>
    </row>
    <row r="774" spans="1:18" ht="15.75" customHeight="1" thickBot="1" x14ac:dyDescent="0.35">
      <c r="A774" s="17" t="s">
        <v>67</v>
      </c>
      <c r="B774" s="1"/>
      <c r="C774" s="1"/>
      <c r="D774" s="1"/>
      <c r="E774" s="59" t="s">
        <v>7</v>
      </c>
      <c r="F774" s="1"/>
      <c r="G774" s="1"/>
      <c r="H774" s="1"/>
      <c r="I774" s="59" t="s">
        <v>7</v>
      </c>
      <c r="J774" s="1"/>
      <c r="K774" s="1"/>
      <c r="L774" s="1"/>
      <c r="M774" s="59" t="s">
        <v>7</v>
      </c>
      <c r="N774" s="1"/>
      <c r="O774" s="1"/>
      <c r="P774" s="1"/>
      <c r="Q774" s="59" t="s">
        <v>7</v>
      </c>
      <c r="R774" s="59" t="s">
        <v>7</v>
      </c>
    </row>
    <row r="775" spans="1:18" ht="16.5" customHeight="1" thickBot="1" x14ac:dyDescent="0.35">
      <c r="A775" s="62" t="s">
        <v>68</v>
      </c>
      <c r="B775" s="63">
        <f>SUM(B773:B774)</f>
        <v>0</v>
      </c>
      <c r="C775" s="63">
        <f>SUM(C773:C774)</f>
        <v>0</v>
      </c>
      <c r="D775" s="63">
        <f>SUM(D773:D774)</f>
        <v>0</v>
      </c>
      <c r="E775" s="65">
        <f>SUM(B775:D775)</f>
        <v>0</v>
      </c>
      <c r="F775" s="63">
        <f>SUM(F773:F774)</f>
        <v>0</v>
      </c>
      <c r="G775" s="63">
        <f>SUM(G773:G774)</f>
        <v>0</v>
      </c>
      <c r="H775" s="63">
        <f>SUM(H773:H774)</f>
        <v>0</v>
      </c>
      <c r="I775" s="65">
        <f>SUM(F775:H775)</f>
        <v>0</v>
      </c>
      <c r="J775" s="63">
        <f>SUM(J773:J774)</f>
        <v>0</v>
      </c>
      <c r="K775" s="63">
        <f>SUM(K773:K774)</f>
        <v>0</v>
      </c>
      <c r="L775" s="63">
        <f>SUM(L773:L774)</f>
        <v>0</v>
      </c>
      <c r="M775" s="65">
        <f>SUM(J775:L775)</f>
        <v>0</v>
      </c>
      <c r="N775" s="63">
        <f>SUM(N773:N774)</f>
        <v>0</v>
      </c>
      <c r="O775" s="63">
        <f>SUM(O773:O774)</f>
        <v>0</v>
      </c>
      <c r="P775" s="63">
        <f>SUM(P773:P774)</f>
        <v>0</v>
      </c>
      <c r="Q775" s="65">
        <f>SUM(N775:P775)</f>
        <v>0</v>
      </c>
      <c r="R775" s="64">
        <f>+E775+I775+M775+Q775</f>
        <v>0</v>
      </c>
    </row>
    <row r="776" spans="1:18" ht="16.5" customHeight="1" thickBot="1" x14ac:dyDescent="0.35">
      <c r="A776" s="62" t="s">
        <v>69</v>
      </c>
      <c r="B776" s="100">
        <f>SUM(B770:B774)</f>
        <v>0</v>
      </c>
      <c r="C776" s="101">
        <f>SUM(C770:C774)</f>
        <v>0</v>
      </c>
      <c r="D776" s="138">
        <f>SUM(D770:D774)</f>
        <v>0</v>
      </c>
      <c r="E776" s="65">
        <f>SUM(B776:D776)</f>
        <v>0</v>
      </c>
      <c r="F776" s="101">
        <f>SUM(F770:F774)</f>
        <v>0</v>
      </c>
      <c r="G776" s="101">
        <f>SUM(G770:G774)</f>
        <v>0</v>
      </c>
      <c r="H776" s="101">
        <f>SUM(H770:H774)</f>
        <v>0</v>
      </c>
      <c r="I776" s="65">
        <f>SUM(F776:H776)</f>
        <v>0</v>
      </c>
      <c r="J776" s="101">
        <f>SUM(J770:J774)</f>
        <v>0</v>
      </c>
      <c r="K776" s="101">
        <f>SUM(K770:K774)</f>
        <v>0</v>
      </c>
      <c r="L776" s="101">
        <f>SUM(L770:L774)</f>
        <v>0</v>
      </c>
      <c r="M776" s="65">
        <f>SUM(J776:L776)</f>
        <v>0</v>
      </c>
      <c r="N776" s="101">
        <f>SUM(N770:N774)</f>
        <v>0</v>
      </c>
      <c r="O776" s="101">
        <f>SUM(O770:O774)</f>
        <v>0</v>
      </c>
      <c r="P776" s="101">
        <f>SUM(P770:P774)</f>
        <v>0</v>
      </c>
      <c r="Q776" s="65">
        <f>SUM(N776:P776)</f>
        <v>0</v>
      </c>
      <c r="R776" s="64">
        <f>+E776+I776+M776+Q776</f>
        <v>0</v>
      </c>
    </row>
    <row r="777" spans="1:18" ht="16.5" customHeight="1" thickBot="1" x14ac:dyDescent="0.35">
      <c r="A777" s="62" t="s">
        <v>70</v>
      </c>
      <c r="B777" s="107">
        <f>+B761+B765+B769+B776</f>
        <v>0</v>
      </c>
      <c r="C777" s="63">
        <f>+C761+C765+C769+C776</f>
        <v>0</v>
      </c>
      <c r="D777" s="63">
        <f>+D761+D765+D769+D776</f>
        <v>0</v>
      </c>
      <c r="E777" s="64">
        <f>SUM(B777:D777)</f>
        <v>0</v>
      </c>
      <c r="F777" s="63">
        <f>+F761+F765+F769+F776</f>
        <v>0</v>
      </c>
      <c r="G777" s="63">
        <f>+G761+G765+G769+G776</f>
        <v>0</v>
      </c>
      <c r="H777" s="63">
        <f>+H761+H765+H769+H776</f>
        <v>0</v>
      </c>
      <c r="I777" s="64">
        <f>SUM(F777:H777)</f>
        <v>0</v>
      </c>
      <c r="J777" s="63">
        <f>+J761+J765+J769+J776</f>
        <v>0</v>
      </c>
      <c r="K777" s="63">
        <f>+K761+K765+K769+K776</f>
        <v>0</v>
      </c>
      <c r="L777" s="63">
        <f>+L761+L765+L769+L776</f>
        <v>0</v>
      </c>
      <c r="M777" s="64">
        <f>SUM(J777:L777)</f>
        <v>0</v>
      </c>
      <c r="N777" s="63">
        <f>+N761+N765+N769+N776</f>
        <v>0</v>
      </c>
      <c r="O777" s="63">
        <f>+O761+O765+O769+O776</f>
        <v>0</v>
      </c>
      <c r="P777" s="63">
        <f>+P761+P765+P769+P776</f>
        <v>0</v>
      </c>
      <c r="Q777" s="64">
        <f>SUM(N777:P777)</f>
        <v>0</v>
      </c>
      <c r="R777" s="88">
        <f>+E777+I777+M777+Q777</f>
        <v>0</v>
      </c>
    </row>
    <row r="778" spans="1:18" ht="15.75" customHeight="1" x14ac:dyDescent="0.3">
      <c r="A778" s="74" t="s">
        <v>588</v>
      </c>
      <c r="B778" s="1">
        <v>3805</v>
      </c>
      <c r="C778" s="1">
        <v>3805</v>
      </c>
      <c r="D778" s="1">
        <v>4757</v>
      </c>
      <c r="E778" s="59">
        <f>SUM(B778:D778)</f>
        <v>12367</v>
      </c>
      <c r="F778" s="1">
        <v>5708</v>
      </c>
      <c r="G778" s="1">
        <v>6659</v>
      </c>
      <c r="H778" s="1">
        <v>6850</v>
      </c>
      <c r="I778" s="59">
        <f>SUM(F778:H778)</f>
        <v>19217</v>
      </c>
      <c r="J778" s="1">
        <v>6184</v>
      </c>
      <c r="K778" s="1">
        <v>5708</v>
      </c>
      <c r="L778" s="1">
        <v>5232</v>
      </c>
      <c r="M778" s="59">
        <f>SUM(J778:L778)</f>
        <v>17124</v>
      </c>
      <c r="N778" s="1">
        <v>4757</v>
      </c>
      <c r="O778" s="1">
        <v>4281</v>
      </c>
      <c r="P778" s="1">
        <v>3805</v>
      </c>
      <c r="Q778" s="59">
        <f>SUM(N778:P778)</f>
        <v>12843</v>
      </c>
      <c r="R778" s="59">
        <f>+E778+I778+M778+Q778</f>
        <v>61551</v>
      </c>
    </row>
    <row r="779" spans="1:18" ht="15.75" customHeight="1" thickBot="1" x14ac:dyDescent="0.35">
      <c r="A779" s="74" t="s">
        <v>37</v>
      </c>
      <c r="B779" s="1">
        <v>0</v>
      </c>
      <c r="C779" s="1">
        <v>0</v>
      </c>
      <c r="D779" s="1">
        <v>0</v>
      </c>
      <c r="E779" s="59">
        <f>SUM(B779:D779)</f>
        <v>0</v>
      </c>
      <c r="F779" s="1">
        <v>0</v>
      </c>
      <c r="G779" s="1">
        <v>0</v>
      </c>
      <c r="H779" s="1">
        <v>0</v>
      </c>
      <c r="I779" s="59">
        <f>SUM(F779:H779)</f>
        <v>0</v>
      </c>
      <c r="J779" s="1">
        <v>0</v>
      </c>
      <c r="K779" s="1">
        <v>0</v>
      </c>
      <c r="L779" s="1">
        <v>0</v>
      </c>
      <c r="M779" s="59">
        <f>SUM(J779:L779)</f>
        <v>0</v>
      </c>
      <c r="N779" s="1">
        <v>0</v>
      </c>
      <c r="O779" s="1">
        <v>0</v>
      </c>
      <c r="P779" s="1">
        <v>0</v>
      </c>
      <c r="Q779" s="59">
        <f>SUM(N779:P779)</f>
        <v>0</v>
      </c>
      <c r="R779" s="59">
        <f>+E779+I779+M779+Q779</f>
        <v>0</v>
      </c>
    </row>
    <row r="780" spans="1:18" ht="16.5" customHeight="1" thickBot="1" x14ac:dyDescent="0.35">
      <c r="A780" s="154"/>
      <c r="B780" s="56"/>
      <c r="C780" s="56"/>
      <c r="D780" s="56"/>
      <c r="E780" s="64" t="s">
        <v>7</v>
      </c>
      <c r="F780" s="56"/>
      <c r="G780" s="56"/>
      <c r="H780" s="56"/>
      <c r="I780" s="64" t="s">
        <v>7</v>
      </c>
      <c r="J780" s="56"/>
      <c r="K780" s="56"/>
      <c r="L780" s="56"/>
      <c r="M780" s="64" t="s">
        <v>7</v>
      </c>
      <c r="N780" s="56"/>
      <c r="O780" s="56"/>
      <c r="P780" s="56"/>
      <c r="Q780" s="64"/>
      <c r="R780" s="64"/>
    </row>
    <row r="781" spans="1:18" ht="15.75" customHeight="1" x14ac:dyDescent="0.3">
      <c r="A781" s="17" t="s">
        <v>38</v>
      </c>
      <c r="B781" s="1">
        <f>SUM(B777:B779)</f>
        <v>3805</v>
      </c>
      <c r="C781" s="1">
        <f>SUM(C777:C779)</f>
        <v>3805</v>
      </c>
      <c r="D781" s="1">
        <f>SUM(D777:D779)</f>
        <v>4757</v>
      </c>
      <c r="E781" s="65">
        <f>SUM(B781:D781)</f>
        <v>12367</v>
      </c>
      <c r="F781" s="1">
        <f>SUM(F777:F779)</f>
        <v>5708</v>
      </c>
      <c r="G781" s="1">
        <f>SUM(G777:G779)</f>
        <v>6659</v>
      </c>
      <c r="H781" s="1">
        <f>SUM(H777:H779)</f>
        <v>6850</v>
      </c>
      <c r="I781" s="65">
        <f>SUM(F781:H781)</f>
        <v>19217</v>
      </c>
      <c r="J781" s="1">
        <f>SUM(J777:J779)</f>
        <v>6184</v>
      </c>
      <c r="K781" s="1">
        <f>SUM(K777:K779)</f>
        <v>5708</v>
      </c>
      <c r="L781" s="1">
        <f>SUM(L777:L779)</f>
        <v>5232</v>
      </c>
      <c r="M781" s="65">
        <f>SUM(J781:L781)</f>
        <v>17124</v>
      </c>
      <c r="N781" s="1">
        <f>SUM(N777:N779)</f>
        <v>4757</v>
      </c>
      <c r="O781" s="1">
        <f>SUM(O777:O779)</f>
        <v>4281</v>
      </c>
      <c r="P781" s="1">
        <f>SUM(P777:P779)</f>
        <v>3805</v>
      </c>
      <c r="Q781" s="65">
        <f>SUM(N781:P781)</f>
        <v>12843</v>
      </c>
      <c r="R781" s="65">
        <f>+E781+I781+M781+Q781</f>
        <v>61551</v>
      </c>
    </row>
    <row r="782" spans="1:18" ht="15.75" customHeight="1" x14ac:dyDescent="0.3">
      <c r="A782" s="17" t="s">
        <v>39</v>
      </c>
      <c r="B782" s="1">
        <f>(B781/B10)/1.983</f>
        <v>61.897093032713542</v>
      </c>
      <c r="C782" s="1">
        <f>(C781/C10)/1.983</f>
        <v>68.528924429075715</v>
      </c>
      <c r="D782" s="1">
        <f>(D781/D10)/1.983</f>
        <v>77.383566769150676</v>
      </c>
      <c r="E782" s="59" t="s">
        <v>7</v>
      </c>
      <c r="F782" s="1">
        <f>(F781/F10)/1.983</f>
        <v>95.948898974617592</v>
      </c>
      <c r="G782" s="1">
        <f>(G781/G10)/1.983</f>
        <v>108.32397963333496</v>
      </c>
      <c r="H782" s="1">
        <f>(H781/H10)/1.983</f>
        <v>115.14540258867036</v>
      </c>
      <c r="I782" s="59" t="s">
        <v>7</v>
      </c>
      <c r="J782" s="1">
        <f>(J781/J10)/1.983</f>
        <v>100.59701006946138</v>
      </c>
      <c r="K782" s="1">
        <f>(K781/K10)/1.983</f>
        <v>92.853773201242817</v>
      </c>
      <c r="L782" s="1">
        <f>(L781/L10)/1.983</f>
        <v>87.947554210791722</v>
      </c>
      <c r="M782" s="59" t="s">
        <v>7</v>
      </c>
      <c r="N782" s="1">
        <f>(N781/N10)/1.983</f>
        <v>77.383566769150676</v>
      </c>
      <c r="O782" s="1">
        <f>(O781/O10)/1.983</f>
        <v>71.961674230963183</v>
      </c>
      <c r="P782" s="1">
        <f>(P781/P10)/1.983</f>
        <v>61.897093032713542</v>
      </c>
      <c r="Q782" s="59" t="s">
        <v>7</v>
      </c>
      <c r="R782" s="59" t="s">
        <v>7</v>
      </c>
    </row>
    <row r="783" spans="1:18" ht="15.75" customHeight="1" x14ac:dyDescent="0.3">
      <c r="A783" s="17" t="s">
        <v>589</v>
      </c>
      <c r="B783" s="1">
        <f>B781</f>
        <v>3805</v>
      </c>
      <c r="C783" s="1">
        <f>C781</f>
        <v>3805</v>
      </c>
      <c r="D783" s="1">
        <f>D781</f>
        <v>4757</v>
      </c>
      <c r="E783" s="59">
        <f>SUM(B783:D783)</f>
        <v>12367</v>
      </c>
      <c r="F783" s="1">
        <f>F781</f>
        <v>5708</v>
      </c>
      <c r="G783" s="1">
        <f>G781</f>
        <v>6659</v>
      </c>
      <c r="H783" s="1">
        <f>H781</f>
        <v>6850</v>
      </c>
      <c r="I783" s="59">
        <f>SUM(F783:H783)</f>
        <v>19217</v>
      </c>
      <c r="J783" s="1">
        <f>J781</f>
        <v>6184</v>
      </c>
      <c r="K783" s="1">
        <f>K781</f>
        <v>5708</v>
      </c>
      <c r="L783" s="1">
        <f>L781</f>
        <v>5232</v>
      </c>
      <c r="M783" s="59">
        <f>SUM(J783:L783)</f>
        <v>17124</v>
      </c>
      <c r="N783" s="1">
        <f>N781</f>
        <v>4757</v>
      </c>
      <c r="O783" s="1">
        <f>O781</f>
        <v>4281</v>
      </c>
      <c r="P783" s="1">
        <f>P781</f>
        <v>3805</v>
      </c>
      <c r="Q783" s="59">
        <f>SUM(N783:P783)</f>
        <v>12843</v>
      </c>
      <c r="R783" s="59">
        <f>+E783+I783+M783+Q783</f>
        <v>61551</v>
      </c>
    </row>
    <row r="784" spans="1:18" ht="16.5" customHeight="1" thickBot="1" x14ac:dyDescent="0.35">
      <c r="A784" s="24" t="s">
        <v>590</v>
      </c>
      <c r="B784" s="25">
        <f>(B783/B10)/1.983</f>
        <v>61.897093032713542</v>
      </c>
      <c r="C784" s="25">
        <f>(C783/C10)/1.983</f>
        <v>68.528924429075715</v>
      </c>
      <c r="D784" s="25">
        <f>(D783/D10)/1.983</f>
        <v>77.383566769150676</v>
      </c>
      <c r="E784" s="88" t="s">
        <v>7</v>
      </c>
      <c r="F784" s="25">
        <f>(F783/F10)/1.983</f>
        <v>95.948898974617592</v>
      </c>
      <c r="G784" s="25">
        <f>(G783/G10)/1.983</f>
        <v>108.32397963333496</v>
      </c>
      <c r="H784" s="25">
        <f>(H783/H10)/1.983</f>
        <v>115.14540258867036</v>
      </c>
      <c r="I784" s="88" t="s">
        <v>7</v>
      </c>
      <c r="J784" s="25">
        <f>(J783/J10)/1.983</f>
        <v>100.59701006946138</v>
      </c>
      <c r="K784" s="25">
        <f>(K783/K10)/1.983</f>
        <v>92.853773201242817</v>
      </c>
      <c r="L784" s="25">
        <f>(L783/L10)/1.983</f>
        <v>87.947554210791722</v>
      </c>
      <c r="M784" s="88" t="s">
        <v>7</v>
      </c>
      <c r="N784" s="25">
        <f>(N783/N10)/1.983</f>
        <v>77.383566769150676</v>
      </c>
      <c r="O784" s="25">
        <f>(O783/O10)/1.983</f>
        <v>71.961674230963183</v>
      </c>
      <c r="P784" s="25">
        <f>(P783/P10)/1.983</f>
        <v>61.897093032713542</v>
      </c>
      <c r="Q784" s="88" t="s">
        <v>7</v>
      </c>
      <c r="R784" s="88" t="s">
        <v>7</v>
      </c>
    </row>
    <row r="785" spans="1:20" ht="15.75" customHeight="1" x14ac:dyDescent="0.3">
      <c r="A785" s="28"/>
      <c r="B785" s="1"/>
      <c r="C785" s="1"/>
      <c r="D785" s="1"/>
      <c r="E785" s="1"/>
      <c r="F785" s="1"/>
      <c r="G785" s="1"/>
      <c r="H785" s="1"/>
      <c r="I785" s="1"/>
      <c r="J785" s="1"/>
      <c r="K785" s="1"/>
      <c r="L785" s="1"/>
      <c r="M785" s="1"/>
      <c r="N785" s="1"/>
      <c r="O785" s="1"/>
      <c r="P785" s="1"/>
      <c r="Q785" s="1"/>
      <c r="R785" s="28"/>
    </row>
    <row r="786" spans="1:20" ht="15.75" customHeight="1" thickBot="1" x14ac:dyDescent="0.35">
      <c r="A786" s="28"/>
      <c r="B786" s="1"/>
      <c r="C786" s="1"/>
      <c r="D786" s="1"/>
      <c r="E786" s="1"/>
      <c r="F786" s="1"/>
      <c r="G786" s="1"/>
      <c r="H786" s="1"/>
      <c r="I786" s="1"/>
      <c r="J786" s="1"/>
      <c r="K786" s="1"/>
      <c r="L786" s="1"/>
      <c r="M786" s="1"/>
      <c r="N786" s="1"/>
      <c r="O786" s="1"/>
      <c r="P786" s="1"/>
      <c r="Q786" s="1"/>
      <c r="R786" s="28"/>
    </row>
    <row r="787" spans="1:20" ht="16.5" customHeight="1" thickBot="1" x14ac:dyDescent="0.35">
      <c r="A787" s="145" t="s">
        <v>591</v>
      </c>
      <c r="B787" s="32" t="s">
        <v>36</v>
      </c>
      <c r="C787" s="33" t="s">
        <v>9</v>
      </c>
      <c r="D787" s="33" t="s">
        <v>10</v>
      </c>
      <c r="E787" s="12" t="s">
        <v>11</v>
      </c>
      <c r="F787" s="33" t="s">
        <v>12</v>
      </c>
      <c r="G787" s="33" t="s">
        <v>13</v>
      </c>
      <c r="H787" s="33" t="s">
        <v>14</v>
      </c>
      <c r="I787" s="34" t="s">
        <v>15</v>
      </c>
      <c r="J787" s="33" t="s">
        <v>16</v>
      </c>
      <c r="K787" s="33" t="s">
        <v>17</v>
      </c>
      <c r="L787" s="33" t="s">
        <v>18</v>
      </c>
      <c r="M787" s="34" t="s">
        <v>19</v>
      </c>
      <c r="N787" s="33" t="s">
        <v>20</v>
      </c>
      <c r="O787" s="33" t="s">
        <v>21</v>
      </c>
      <c r="P787" s="33" t="s">
        <v>22</v>
      </c>
      <c r="Q787" s="34" t="s">
        <v>23</v>
      </c>
      <c r="R787" s="157" t="s">
        <v>24</v>
      </c>
    </row>
    <row r="788" spans="1:20" ht="16.5" customHeight="1" thickBot="1" x14ac:dyDescent="0.35">
      <c r="A788" s="42"/>
      <c r="B788" s="37"/>
      <c r="C788" s="37"/>
      <c r="D788" s="37"/>
      <c r="E788" s="16"/>
      <c r="F788" s="37"/>
      <c r="G788" s="37"/>
      <c r="H788" s="37"/>
      <c r="I788" s="156"/>
      <c r="J788" s="37"/>
      <c r="K788" s="37"/>
      <c r="L788" s="37"/>
      <c r="M788" s="156"/>
      <c r="N788" s="37"/>
      <c r="O788" s="37"/>
      <c r="P788" s="37"/>
      <c r="Q788" s="158"/>
      <c r="R788" s="159"/>
    </row>
    <row r="789" spans="1:20" ht="15.75" customHeight="1" x14ac:dyDescent="0.3">
      <c r="A789" s="17" t="s">
        <v>45</v>
      </c>
      <c r="B789" s="1" t="s">
        <v>7</v>
      </c>
      <c r="C789" s="1" t="s">
        <v>7</v>
      </c>
      <c r="D789" s="1" t="s">
        <v>7</v>
      </c>
      <c r="E789" s="160"/>
      <c r="F789" s="1" t="s">
        <v>7</v>
      </c>
      <c r="G789" s="1" t="s">
        <v>7</v>
      </c>
      <c r="H789" s="1" t="s">
        <v>7</v>
      </c>
      <c r="I789" s="160"/>
      <c r="J789" s="1" t="s">
        <v>7</v>
      </c>
      <c r="K789" s="1" t="s">
        <v>7</v>
      </c>
      <c r="L789" s="1" t="s">
        <v>7</v>
      </c>
      <c r="M789" s="160"/>
      <c r="N789" s="1" t="s">
        <v>7</v>
      </c>
      <c r="O789" s="1" t="s">
        <v>7</v>
      </c>
      <c r="P789" s="1" t="s">
        <v>7</v>
      </c>
      <c r="Q789" s="161"/>
      <c r="R789" s="162" t="s">
        <v>7</v>
      </c>
    </row>
    <row r="790" spans="1:20" ht="15.75" customHeight="1" x14ac:dyDescent="0.3">
      <c r="A790" s="17" t="s">
        <v>46</v>
      </c>
      <c r="B790" s="1"/>
      <c r="C790" s="1"/>
      <c r="D790" s="1"/>
      <c r="E790" s="59" t="s">
        <v>7</v>
      </c>
      <c r="F790" s="1"/>
      <c r="G790" s="1"/>
      <c r="H790" s="1"/>
      <c r="I790" s="59" t="s">
        <v>7</v>
      </c>
      <c r="J790" s="1"/>
      <c r="K790" s="1"/>
      <c r="L790" s="1"/>
      <c r="M790" s="59" t="s">
        <v>7</v>
      </c>
      <c r="N790" s="1"/>
      <c r="O790" s="1"/>
      <c r="P790" s="1"/>
      <c r="Q790" s="59" t="s">
        <v>7</v>
      </c>
      <c r="R790" s="59" t="s">
        <v>7</v>
      </c>
    </row>
    <row r="791" spans="1:20" ht="15.75" customHeight="1" x14ac:dyDescent="0.3">
      <c r="A791" s="74" t="s">
        <v>592</v>
      </c>
      <c r="B791" s="1"/>
      <c r="C791" s="1"/>
      <c r="D791" s="1"/>
      <c r="E791" s="59">
        <f>SUM(B791:D791)</f>
        <v>0</v>
      </c>
      <c r="F791" s="1"/>
      <c r="G791" s="1"/>
      <c r="H791" s="1"/>
      <c r="I791" s="59">
        <f>SUM(F791:H791)</f>
        <v>0</v>
      </c>
      <c r="J791" s="1"/>
      <c r="K791" s="1"/>
      <c r="L791" s="1"/>
      <c r="M791" s="59">
        <f>SUM(J791:L791)</f>
        <v>0</v>
      </c>
      <c r="N791" s="1"/>
      <c r="O791" s="1"/>
      <c r="P791" s="1"/>
      <c r="Q791" s="59">
        <f>SUM(N791:P791)</f>
        <v>0</v>
      </c>
      <c r="R791" s="59">
        <f>+E791+I791+M791+Q791</f>
        <v>0</v>
      </c>
      <c r="T791" s="4" t="s">
        <v>593</v>
      </c>
    </row>
    <row r="792" spans="1:20" ht="15.75" customHeight="1" x14ac:dyDescent="0.3">
      <c r="A792" s="74" t="s">
        <v>594</v>
      </c>
      <c r="B792" s="1"/>
      <c r="C792" s="1"/>
      <c r="D792" s="1"/>
      <c r="E792" s="59">
        <f>SUM(B792:D792)</f>
        <v>0</v>
      </c>
      <c r="F792" s="1"/>
      <c r="G792" s="1"/>
      <c r="H792" s="1"/>
      <c r="I792" s="59">
        <f>SUM(F792:H792)</f>
        <v>0</v>
      </c>
      <c r="J792" s="1"/>
      <c r="K792" s="1"/>
      <c r="L792" s="1"/>
      <c r="M792" s="59">
        <f>SUM(J792:L792)</f>
        <v>0</v>
      </c>
      <c r="N792" s="1"/>
      <c r="O792" s="1"/>
      <c r="P792" s="1"/>
      <c r="Q792" s="59">
        <f>SUM(N792:P792)</f>
        <v>0</v>
      </c>
      <c r="R792" s="59">
        <f>+E792+I792+M792+Q792</f>
        <v>0</v>
      </c>
    </row>
    <row r="793" spans="1:20" ht="15.75" customHeight="1" x14ac:dyDescent="0.3">
      <c r="A793" s="74" t="s">
        <v>595</v>
      </c>
      <c r="B793" s="1"/>
      <c r="C793" s="1"/>
      <c r="D793" s="1"/>
      <c r="E793" s="59">
        <f>SUM(B793:D793)</f>
        <v>0</v>
      </c>
      <c r="F793" s="1"/>
      <c r="G793" s="1"/>
      <c r="H793" s="1"/>
      <c r="I793" s="59">
        <f>SUM(F793:H793)</f>
        <v>0</v>
      </c>
      <c r="J793" s="1"/>
      <c r="K793" s="1"/>
      <c r="L793" s="1"/>
      <c r="M793" s="59">
        <f>SUM(J793:L793)</f>
        <v>0</v>
      </c>
      <c r="N793" s="1"/>
      <c r="O793" s="1"/>
      <c r="P793" s="1"/>
      <c r="Q793" s="59">
        <f>SUM(N793:P793)</f>
        <v>0</v>
      </c>
      <c r="R793" s="59">
        <f>+E793+I793+M793+Q793</f>
        <v>0</v>
      </c>
    </row>
    <row r="794" spans="1:20" ht="15.75" customHeight="1" x14ac:dyDescent="0.3">
      <c r="A794" s="74" t="s">
        <v>596</v>
      </c>
      <c r="B794" s="1">
        <v>200</v>
      </c>
      <c r="C794" s="1"/>
      <c r="D794" s="1"/>
      <c r="E794" s="59">
        <f>SUM(B794:D794)</f>
        <v>200</v>
      </c>
      <c r="F794" s="1"/>
      <c r="G794" s="1"/>
      <c r="H794" s="1"/>
      <c r="I794" s="59">
        <f>SUM(F794:H794)</f>
        <v>0</v>
      </c>
      <c r="J794" s="1"/>
      <c r="K794" s="1"/>
      <c r="L794" s="1"/>
      <c r="M794" s="59">
        <f>SUM(J794:L794)</f>
        <v>0</v>
      </c>
      <c r="N794" s="1"/>
      <c r="O794" s="1"/>
      <c r="P794" s="1"/>
      <c r="Q794" s="59">
        <f>SUM(N794:P794)</f>
        <v>0</v>
      </c>
      <c r="R794" s="59">
        <f>+E794+I794+M794+Q794</f>
        <v>200</v>
      </c>
    </row>
    <row r="795" spans="1:20" ht="15.75" customHeight="1" x14ac:dyDescent="0.3">
      <c r="A795" s="74" t="s">
        <v>598</v>
      </c>
      <c r="B795" s="1">
        <v>2500</v>
      </c>
      <c r="C795" s="1">
        <v>2500</v>
      </c>
      <c r="D795" s="1">
        <v>2500</v>
      </c>
      <c r="E795" s="59">
        <f>SUM(B795:D795)</f>
        <v>7500</v>
      </c>
      <c r="F795" s="1">
        <v>2500</v>
      </c>
      <c r="G795" s="1">
        <v>2500</v>
      </c>
      <c r="H795" s="1">
        <v>2500</v>
      </c>
      <c r="I795" s="59">
        <f>SUM(F795:H795)</f>
        <v>7500</v>
      </c>
      <c r="J795" s="1">
        <v>2500</v>
      </c>
      <c r="K795" s="1">
        <v>2500</v>
      </c>
      <c r="L795" s="1">
        <v>2500</v>
      </c>
      <c r="M795" s="59">
        <f>SUM(J795:L795)</f>
        <v>7500</v>
      </c>
      <c r="N795" s="1">
        <v>2500</v>
      </c>
      <c r="O795" s="1"/>
      <c r="P795" s="1"/>
      <c r="Q795" s="59">
        <f>SUM(N795:P795)</f>
        <v>2500</v>
      </c>
      <c r="R795" s="59">
        <f>+E795+I795+M795+Q795</f>
        <v>25000</v>
      </c>
    </row>
    <row r="796" spans="1:20" ht="15.75" customHeight="1" x14ac:dyDescent="0.3">
      <c r="A796" s="17" t="s">
        <v>47</v>
      </c>
      <c r="B796" s="1"/>
      <c r="C796" s="1"/>
      <c r="D796" s="1"/>
      <c r="E796" s="59" t="s">
        <v>7</v>
      </c>
      <c r="F796" s="1"/>
      <c r="G796" s="1"/>
      <c r="H796" s="1"/>
      <c r="I796" s="59" t="s">
        <v>7</v>
      </c>
      <c r="J796" s="1"/>
      <c r="K796" s="1"/>
      <c r="L796" s="1"/>
      <c r="M796" s="59" t="s">
        <v>7</v>
      </c>
      <c r="N796" s="1"/>
      <c r="O796" s="1"/>
      <c r="P796" s="1"/>
      <c r="Q796" s="59" t="s">
        <v>7</v>
      </c>
      <c r="R796" s="59" t="s">
        <v>7</v>
      </c>
    </row>
    <row r="797" spans="1:20" ht="15.75" customHeight="1" x14ac:dyDescent="0.3">
      <c r="A797" s="17" t="s">
        <v>49</v>
      </c>
      <c r="B797" s="1"/>
      <c r="C797" s="1"/>
      <c r="D797" s="1"/>
      <c r="E797" s="59" t="s">
        <v>7</v>
      </c>
      <c r="F797" s="1"/>
      <c r="G797" s="1"/>
      <c r="H797" s="1"/>
      <c r="I797" s="59" t="s">
        <v>7</v>
      </c>
      <c r="J797" s="1"/>
      <c r="K797" s="1"/>
      <c r="L797" s="1"/>
      <c r="M797" s="59" t="s">
        <v>7</v>
      </c>
      <c r="N797" s="1"/>
      <c r="O797" s="1"/>
      <c r="P797" s="1"/>
      <c r="Q797" s="59" t="s">
        <v>7</v>
      </c>
      <c r="R797" s="59" t="s">
        <v>7</v>
      </c>
    </row>
    <row r="798" spans="1:20" ht="15.75" customHeight="1" x14ac:dyDescent="0.3">
      <c r="A798" s="74" t="s">
        <v>599</v>
      </c>
      <c r="B798" s="1"/>
      <c r="C798" s="1"/>
      <c r="D798" s="1"/>
      <c r="E798" s="59">
        <f>SUM(B798:D798)</f>
        <v>0</v>
      </c>
      <c r="F798" s="1"/>
      <c r="G798" s="1"/>
      <c r="H798" s="1"/>
      <c r="I798" s="59">
        <f>SUM(F798:H798)</f>
        <v>0</v>
      </c>
      <c r="J798" s="1"/>
      <c r="K798" s="1"/>
      <c r="L798" s="1"/>
      <c r="M798" s="59">
        <f>SUM(J798:L798)</f>
        <v>0</v>
      </c>
      <c r="N798" s="1"/>
      <c r="O798" s="1"/>
      <c r="P798" s="1"/>
      <c r="Q798" s="59">
        <f>SUM(N798:P798)</f>
        <v>0</v>
      </c>
      <c r="R798" s="59">
        <f>+E798+I798+M798+Q798</f>
        <v>0</v>
      </c>
      <c r="S798" s="77" t="s">
        <v>90</v>
      </c>
    </row>
    <row r="799" spans="1:20" ht="15.75" customHeight="1" thickBot="1" x14ac:dyDescent="0.35">
      <c r="A799" s="17" t="s">
        <v>51</v>
      </c>
      <c r="B799" s="1"/>
      <c r="C799" s="1"/>
      <c r="D799" s="1"/>
      <c r="E799" s="59" t="s">
        <v>7</v>
      </c>
      <c r="F799" s="1"/>
      <c r="G799" s="1"/>
      <c r="H799" s="1"/>
      <c r="I799" s="59" t="s">
        <v>7</v>
      </c>
      <c r="J799" s="1"/>
      <c r="K799" s="1"/>
      <c r="L799" s="1"/>
      <c r="M799" s="59" t="s">
        <v>7</v>
      </c>
      <c r="N799" s="1"/>
      <c r="O799" s="1"/>
      <c r="P799" s="1"/>
      <c r="Q799" s="59" t="s">
        <v>7</v>
      </c>
      <c r="R799" s="59" t="s">
        <v>7</v>
      </c>
    </row>
    <row r="800" spans="1:20" ht="16.5" customHeight="1" thickBot="1" x14ac:dyDescent="0.35">
      <c r="A800" s="62" t="s">
        <v>52</v>
      </c>
      <c r="B800" s="100">
        <f>SUM(B789:B799)</f>
        <v>2700</v>
      </c>
      <c r="C800" s="101">
        <f>SUM(C789:C799)</f>
        <v>2500</v>
      </c>
      <c r="D800" s="101">
        <f>SUM(D789:D799)</f>
        <v>2500</v>
      </c>
      <c r="E800" s="64">
        <f>SUM(B800:D800)</f>
        <v>7700</v>
      </c>
      <c r="F800" s="101">
        <f>SUM(F789:F799)</f>
        <v>2500</v>
      </c>
      <c r="G800" s="101">
        <f>SUM(G789:G799)</f>
        <v>2500</v>
      </c>
      <c r="H800" s="101">
        <f>SUM(H789:H799)</f>
        <v>2500</v>
      </c>
      <c r="I800" s="64">
        <f>SUM(F800:H800)</f>
        <v>7500</v>
      </c>
      <c r="J800" s="101">
        <f>SUM(J789:J799)</f>
        <v>2500</v>
      </c>
      <c r="K800" s="101">
        <f>SUM(K789:K799)</f>
        <v>2500</v>
      </c>
      <c r="L800" s="101">
        <f>SUM(L789:L799)</f>
        <v>2500</v>
      </c>
      <c r="M800" s="64">
        <f>SUM(J800:L800)</f>
        <v>7500</v>
      </c>
      <c r="N800" s="101">
        <f>SUM(N789:N799)</f>
        <v>2500</v>
      </c>
      <c r="O800" s="101">
        <f>SUM(O789:O799)</f>
        <v>0</v>
      </c>
      <c r="P800" s="101">
        <f>SUM(P789:P799)</f>
        <v>0</v>
      </c>
      <c r="Q800" s="64">
        <f>SUM(N800:P800)</f>
        <v>2500</v>
      </c>
      <c r="R800" s="64">
        <f>+E800+I800+M800+Q800</f>
        <v>25200</v>
      </c>
    </row>
    <row r="801" spans="1:20" ht="15.75" customHeight="1" x14ac:dyDescent="0.3">
      <c r="A801" s="17" t="s">
        <v>53</v>
      </c>
      <c r="B801" s="1"/>
      <c r="C801" s="1"/>
      <c r="D801" s="1"/>
      <c r="E801" s="59" t="s">
        <v>7</v>
      </c>
      <c r="F801" s="1"/>
      <c r="G801" s="1"/>
      <c r="H801" s="1"/>
      <c r="I801" s="59" t="s">
        <v>7</v>
      </c>
      <c r="J801" s="1"/>
      <c r="K801" s="1"/>
      <c r="L801" s="1"/>
      <c r="M801" s="59" t="s">
        <v>7</v>
      </c>
      <c r="N801" s="1"/>
      <c r="O801" s="1"/>
      <c r="P801" s="1"/>
      <c r="Q801" s="59" t="s">
        <v>7</v>
      </c>
      <c r="R801" s="59" t="s">
        <v>7</v>
      </c>
    </row>
    <row r="802" spans="1:20" ht="15.75" customHeight="1" x14ac:dyDescent="0.3">
      <c r="A802" s="17" t="s">
        <v>55</v>
      </c>
      <c r="B802" s="1"/>
      <c r="C802" s="1"/>
      <c r="D802" s="1"/>
      <c r="E802" s="59" t="s">
        <v>7</v>
      </c>
      <c r="F802" s="1"/>
      <c r="G802" s="1"/>
      <c r="H802" s="1"/>
      <c r="I802" s="59" t="s">
        <v>7</v>
      </c>
      <c r="J802" s="1"/>
      <c r="K802" s="1"/>
      <c r="L802" s="1"/>
      <c r="M802" s="59" t="s">
        <v>7</v>
      </c>
      <c r="N802" s="1"/>
      <c r="O802" s="1"/>
      <c r="P802" s="1"/>
      <c r="Q802" s="59" t="s">
        <v>7</v>
      </c>
      <c r="R802" s="59" t="s">
        <v>7</v>
      </c>
    </row>
    <row r="803" spans="1:20" ht="15.75" customHeight="1" x14ac:dyDescent="0.3">
      <c r="A803" s="74" t="s">
        <v>600</v>
      </c>
      <c r="B803" s="1"/>
      <c r="C803" s="1"/>
      <c r="D803" s="1"/>
      <c r="E803" s="59">
        <f>SUM(B803:D803)</f>
        <v>0</v>
      </c>
      <c r="F803" s="1"/>
      <c r="G803" s="1"/>
      <c r="H803" s="1"/>
      <c r="I803" s="59">
        <f>SUM(F803:H803)</f>
        <v>0</v>
      </c>
      <c r="J803" s="1"/>
      <c r="K803" s="1"/>
      <c r="L803" s="1"/>
      <c r="M803" s="59">
        <f>SUM(J803:L803)</f>
        <v>0</v>
      </c>
      <c r="N803" s="1"/>
      <c r="O803" s="1"/>
      <c r="P803" s="1"/>
      <c r="Q803" s="59">
        <f>SUM(N803:P803)</f>
        <v>0</v>
      </c>
      <c r="R803" s="59">
        <f>+E803+I803+M803+Q803</f>
        <v>0</v>
      </c>
    </row>
    <row r="804" spans="1:20" ht="15.75" customHeight="1" thickBot="1" x14ac:dyDescent="0.35">
      <c r="A804" s="17" t="s">
        <v>56</v>
      </c>
      <c r="B804" s="1"/>
      <c r="C804" s="1"/>
      <c r="D804" s="1"/>
      <c r="E804" s="59" t="s">
        <v>7</v>
      </c>
      <c r="F804" s="1"/>
      <c r="G804" s="1"/>
      <c r="H804" s="1"/>
      <c r="I804" s="59" t="s">
        <v>7</v>
      </c>
      <c r="J804" s="1"/>
      <c r="K804" s="1"/>
      <c r="L804" s="1"/>
      <c r="M804" s="59" t="s">
        <v>7</v>
      </c>
      <c r="N804" s="1"/>
      <c r="O804" s="1"/>
      <c r="P804" s="1"/>
      <c r="Q804" s="59" t="s">
        <v>7</v>
      </c>
      <c r="R804" s="59" t="s">
        <v>7</v>
      </c>
    </row>
    <row r="805" spans="1:20" ht="16.5" customHeight="1" thickBot="1" x14ac:dyDescent="0.35">
      <c r="A805" s="62" t="s">
        <v>57</v>
      </c>
      <c r="B805" s="100">
        <f>SUM(B801:B804)</f>
        <v>0</v>
      </c>
      <c r="C805" s="101">
        <f>SUM(C801:C804)</f>
        <v>0</v>
      </c>
      <c r="D805" s="101">
        <f>SUM(D801:D804)</f>
        <v>0</v>
      </c>
      <c r="E805" s="64">
        <f>SUM(B805:D805)</f>
        <v>0</v>
      </c>
      <c r="F805" s="101">
        <f>SUM(F801:F804)</f>
        <v>0</v>
      </c>
      <c r="G805" s="101">
        <f>SUM(G801:G804)</f>
        <v>0</v>
      </c>
      <c r="H805" s="101">
        <f>SUM(H801:H804)</f>
        <v>0</v>
      </c>
      <c r="I805" s="64">
        <f>SUM(F805:H805)</f>
        <v>0</v>
      </c>
      <c r="J805" s="101">
        <f>SUM(J801:J804)</f>
        <v>0</v>
      </c>
      <c r="K805" s="101">
        <f>SUM(K801:K804)</f>
        <v>0</v>
      </c>
      <c r="L805" s="101">
        <f>SUM(L801:L804)</f>
        <v>0</v>
      </c>
      <c r="M805" s="64">
        <f>SUM(J805:L805)</f>
        <v>0</v>
      </c>
      <c r="N805" s="101">
        <f>SUM(N801:N804)</f>
        <v>0</v>
      </c>
      <c r="O805" s="101">
        <f>SUM(O801:O804)</f>
        <v>0</v>
      </c>
      <c r="P805" s="101">
        <f>SUM(P801:P804)</f>
        <v>0</v>
      </c>
      <c r="Q805" s="64">
        <f>SUM(N805:P805)</f>
        <v>0</v>
      </c>
      <c r="R805" s="64">
        <f>+E805+I805+M805+Q805</f>
        <v>0</v>
      </c>
    </row>
    <row r="806" spans="1:20" ht="15.75" customHeight="1" x14ac:dyDescent="0.3">
      <c r="A806" s="17" t="s">
        <v>58</v>
      </c>
      <c r="B806" s="1"/>
      <c r="C806" s="1"/>
      <c r="D806" s="1"/>
      <c r="E806" s="59" t="s">
        <v>7</v>
      </c>
      <c r="F806" s="1"/>
      <c r="G806" s="1"/>
      <c r="H806" s="1"/>
      <c r="I806" s="59" t="s">
        <v>7</v>
      </c>
      <c r="J806" s="1" t="s">
        <v>7</v>
      </c>
      <c r="K806" s="1"/>
      <c r="L806" s="1"/>
      <c r="M806" s="59" t="s">
        <v>7</v>
      </c>
      <c r="N806" s="1"/>
      <c r="O806" s="1"/>
      <c r="P806" s="1"/>
      <c r="Q806" s="59" t="s">
        <v>7</v>
      </c>
      <c r="R806" s="59" t="s">
        <v>7</v>
      </c>
    </row>
    <row r="807" spans="1:20" ht="18" customHeight="1" x14ac:dyDescent="0.3">
      <c r="A807" s="17" t="s">
        <v>59</v>
      </c>
      <c r="B807" s="1"/>
      <c r="C807" s="1"/>
      <c r="D807" s="1"/>
      <c r="E807" s="59" t="s">
        <v>7</v>
      </c>
      <c r="F807" s="1"/>
      <c r="G807" s="1"/>
      <c r="H807" s="1"/>
      <c r="I807" s="59" t="s">
        <v>7</v>
      </c>
      <c r="J807" s="1"/>
      <c r="K807" s="1"/>
      <c r="L807" s="1"/>
      <c r="M807" s="59" t="s">
        <v>7</v>
      </c>
      <c r="N807" s="1"/>
      <c r="O807" s="1"/>
      <c r="P807" s="1"/>
      <c r="Q807" s="59" t="s">
        <v>7</v>
      </c>
      <c r="R807" s="59" t="s">
        <v>7</v>
      </c>
    </row>
    <row r="808" spans="1:20" ht="15.75" customHeight="1" x14ac:dyDescent="0.3">
      <c r="A808" s="74" t="s">
        <v>601</v>
      </c>
      <c r="B808" s="1">
        <v>1201</v>
      </c>
      <c r="C808" s="1">
        <v>1204</v>
      </c>
      <c r="D808" s="1">
        <v>1205</v>
      </c>
      <c r="E808" s="59">
        <f>SUM(B808:D808)</f>
        <v>3610</v>
      </c>
      <c r="F808" s="1">
        <v>1206</v>
      </c>
      <c r="G808" s="1">
        <v>1214</v>
      </c>
      <c r="H808" s="1">
        <v>1209</v>
      </c>
      <c r="I808" s="59">
        <f>SUM(F808:H808)</f>
        <v>3629</v>
      </c>
      <c r="J808" s="1">
        <v>1214</v>
      </c>
      <c r="K808" s="1">
        <v>1208</v>
      </c>
      <c r="L808" s="1">
        <v>1206</v>
      </c>
      <c r="M808" s="59">
        <f>SUM(J808:L808)</f>
        <v>3628</v>
      </c>
      <c r="N808" s="1">
        <v>1201</v>
      </c>
      <c r="O808" s="1">
        <v>1201</v>
      </c>
      <c r="P808" s="1">
        <v>1201</v>
      </c>
      <c r="Q808" s="59">
        <f>SUM(N808:P808)</f>
        <v>3603</v>
      </c>
      <c r="R808" s="59">
        <f>+E808+I808+M808+Q808</f>
        <v>14470</v>
      </c>
      <c r="T808" s="4" t="s">
        <v>602</v>
      </c>
    </row>
    <row r="809" spans="1:20" ht="15.75" customHeight="1" x14ac:dyDescent="0.3">
      <c r="A809" s="74" t="s">
        <v>603</v>
      </c>
      <c r="B809" s="1">
        <v>28</v>
      </c>
      <c r="C809" s="1">
        <v>32</v>
      </c>
      <c r="D809" s="1">
        <v>62</v>
      </c>
      <c r="E809" s="59">
        <f>SUM(B809:D809)</f>
        <v>122</v>
      </c>
      <c r="F809" s="1">
        <v>83</v>
      </c>
      <c r="G809" s="1">
        <v>83</v>
      </c>
      <c r="H809" s="1">
        <v>100</v>
      </c>
      <c r="I809" s="59">
        <f t="shared" ref="I809" si="273">SUM(F809:H809)</f>
        <v>266</v>
      </c>
      <c r="J809" s="1">
        <v>75</v>
      </c>
      <c r="K809" s="1">
        <v>37</v>
      </c>
      <c r="L809" s="1"/>
      <c r="M809" s="59">
        <f>SUM(J809:L809)</f>
        <v>112</v>
      </c>
      <c r="N809" s="1"/>
      <c r="O809" s="1"/>
      <c r="P809" s="1"/>
      <c r="Q809" s="59">
        <f>SUM(N809:P809)</f>
        <v>0</v>
      </c>
      <c r="R809" s="59">
        <f>+E809+I809+M809+Q809</f>
        <v>500</v>
      </c>
      <c r="T809" s="4" t="s">
        <v>604</v>
      </c>
    </row>
    <row r="810" spans="1:20" ht="15.75" customHeight="1" x14ac:dyDescent="0.3">
      <c r="A810" s="17" t="s">
        <v>60</v>
      </c>
      <c r="B810" s="1"/>
      <c r="C810" s="1"/>
      <c r="D810" s="1"/>
      <c r="E810" s="59" t="s">
        <v>7</v>
      </c>
      <c r="F810" s="1"/>
      <c r="G810" s="1"/>
      <c r="H810" s="1"/>
      <c r="I810" s="59" t="s">
        <v>7</v>
      </c>
      <c r="J810" s="1"/>
      <c r="K810" s="1"/>
      <c r="L810" s="1"/>
      <c r="M810" s="59" t="s">
        <v>7</v>
      </c>
      <c r="N810" s="1"/>
      <c r="O810" s="1"/>
      <c r="P810" s="1"/>
      <c r="Q810" s="59" t="s">
        <v>7</v>
      </c>
      <c r="R810" s="59" t="s">
        <v>7</v>
      </c>
    </row>
    <row r="811" spans="1:20" ht="15.75" customHeight="1" x14ac:dyDescent="0.3">
      <c r="A811" s="74" t="s">
        <v>606</v>
      </c>
      <c r="B811" s="1"/>
      <c r="C811" s="1"/>
      <c r="D811" s="1"/>
      <c r="E811" s="59">
        <f>SUM(B811:D811)</f>
        <v>0</v>
      </c>
      <c r="F811" s="1"/>
      <c r="G811" s="1"/>
      <c r="H811" s="1"/>
      <c r="I811" s="59">
        <f>SUM(F811:H811)</f>
        <v>0</v>
      </c>
      <c r="J811" s="1"/>
      <c r="K811" s="1"/>
      <c r="L811" s="1"/>
      <c r="M811" s="59">
        <f>SUM(J811:L811)</f>
        <v>0</v>
      </c>
      <c r="N811" s="1"/>
      <c r="O811" s="1"/>
      <c r="P811" s="1"/>
      <c r="Q811" s="59">
        <f>SUM(N811:P811)</f>
        <v>0</v>
      </c>
      <c r="R811" s="59">
        <f>+E811+I811+M811+Q811</f>
        <v>0</v>
      </c>
      <c r="T811" s="4" t="s">
        <v>604</v>
      </c>
    </row>
    <row r="812" spans="1:20" ht="15.75" customHeight="1" x14ac:dyDescent="0.3">
      <c r="A812" s="74" t="s">
        <v>607</v>
      </c>
      <c r="B812" s="1"/>
      <c r="C812" s="1"/>
      <c r="D812" s="1"/>
      <c r="E812" s="59">
        <f>SUM(B812:D812)</f>
        <v>0</v>
      </c>
      <c r="F812" s="1"/>
      <c r="G812" s="1"/>
      <c r="H812" s="1"/>
      <c r="I812" s="59">
        <f>SUM(F812:H812)</f>
        <v>0</v>
      </c>
      <c r="J812" s="1"/>
      <c r="K812" s="1">
        <v>36</v>
      </c>
      <c r="L812" s="1">
        <v>62</v>
      </c>
      <c r="M812" s="59">
        <f>SUM(J812:L812)</f>
        <v>98</v>
      </c>
      <c r="N812" s="1">
        <v>65</v>
      </c>
      <c r="O812" s="1">
        <v>51</v>
      </c>
      <c r="P812" s="1">
        <v>36</v>
      </c>
      <c r="Q812" s="59">
        <f>SUM(N812:P812)</f>
        <v>152</v>
      </c>
      <c r="R812" s="59">
        <f>+E812+I812+M812+Q812</f>
        <v>250</v>
      </c>
    </row>
    <row r="813" spans="1:20" ht="15.75" customHeight="1" x14ac:dyDescent="0.3">
      <c r="A813" s="74" t="s">
        <v>609</v>
      </c>
      <c r="B813" s="1"/>
      <c r="C813" s="1"/>
      <c r="D813" s="1"/>
      <c r="E813" s="59">
        <f>SUM(B813:D813)</f>
        <v>0</v>
      </c>
      <c r="F813" s="1"/>
      <c r="G813" s="1"/>
      <c r="H813" s="1"/>
      <c r="I813" s="59">
        <f>SUM(F813:H813)</f>
        <v>0</v>
      </c>
      <c r="J813" s="1"/>
      <c r="K813" s="1"/>
      <c r="L813" s="1"/>
      <c r="M813" s="59">
        <f>SUM(J813:L813)</f>
        <v>0</v>
      </c>
      <c r="N813" s="1"/>
      <c r="O813" s="1"/>
      <c r="P813" s="1"/>
      <c r="Q813" s="59">
        <f>SUM(N813:P813)</f>
        <v>0</v>
      </c>
      <c r="R813" s="59">
        <f>+E813+I813+M813+Q813</f>
        <v>0</v>
      </c>
      <c r="T813" s="4" t="s">
        <v>593</v>
      </c>
    </row>
    <row r="814" spans="1:20" ht="15.75" customHeight="1" thickBot="1" x14ac:dyDescent="0.35">
      <c r="A814" s="74" t="s">
        <v>610</v>
      </c>
      <c r="B814" s="1">
        <v>849</v>
      </c>
      <c r="C814" s="1">
        <v>769</v>
      </c>
      <c r="D814" s="1">
        <v>849</v>
      </c>
      <c r="E814" s="59">
        <f>SUM(B814:D814)</f>
        <v>2467</v>
      </c>
      <c r="F814" s="1">
        <v>822</v>
      </c>
      <c r="G814" s="1">
        <v>849</v>
      </c>
      <c r="H814" s="1">
        <v>822</v>
      </c>
      <c r="I814" s="59">
        <f>SUM(F814:H814)</f>
        <v>2493</v>
      </c>
      <c r="J814" s="1">
        <v>849</v>
      </c>
      <c r="K814" s="1">
        <v>849</v>
      </c>
      <c r="L814" s="1">
        <v>822</v>
      </c>
      <c r="M814" s="59">
        <f>SUM(J814:L814)</f>
        <v>2520</v>
      </c>
      <c r="N814" s="1">
        <v>849</v>
      </c>
      <c r="O814" s="1">
        <v>822</v>
      </c>
      <c r="P814" s="1">
        <v>849</v>
      </c>
      <c r="Q814" s="59">
        <f>SUM(N814:P814)</f>
        <v>2520</v>
      </c>
      <c r="R814" s="59">
        <f>+E814+I814+M814+Q814</f>
        <v>10000</v>
      </c>
      <c r="T814" s="4" t="s">
        <v>611</v>
      </c>
    </row>
    <row r="815" spans="1:20" ht="16.5" customHeight="1" thickBot="1" x14ac:dyDescent="0.35">
      <c r="A815" s="62" t="s">
        <v>61</v>
      </c>
      <c r="B815" s="100">
        <f>SUM(B806:B814)</f>
        <v>2078</v>
      </c>
      <c r="C815" s="101">
        <f>SUM(C806:C814)</f>
        <v>2005</v>
      </c>
      <c r="D815" s="101">
        <f>SUM(D806:D814)</f>
        <v>2116</v>
      </c>
      <c r="E815" s="64">
        <f>SUM(B815:D815)</f>
        <v>6199</v>
      </c>
      <c r="F815" s="101">
        <f>SUM(F806:F814)</f>
        <v>2111</v>
      </c>
      <c r="G815" s="101">
        <f>SUM(G806:G814)</f>
        <v>2146</v>
      </c>
      <c r="H815" s="101">
        <f>SUM(H806:H814)</f>
        <v>2131</v>
      </c>
      <c r="I815" s="64">
        <f>SUM(F815:H815)</f>
        <v>6388</v>
      </c>
      <c r="J815" s="101">
        <f>SUM(J806:J814)</f>
        <v>2138</v>
      </c>
      <c r="K815" s="101">
        <f>SUM(K806:K814)</f>
        <v>2130</v>
      </c>
      <c r="L815" s="101">
        <f>SUM(L806:L814)</f>
        <v>2090</v>
      </c>
      <c r="M815" s="64">
        <f>SUM(J815:L815)</f>
        <v>6358</v>
      </c>
      <c r="N815" s="101">
        <f>SUM(N806:N814)</f>
        <v>2115</v>
      </c>
      <c r="O815" s="101">
        <f>SUM(O806:O814)</f>
        <v>2074</v>
      </c>
      <c r="P815" s="101">
        <f>SUM(P806:P814)</f>
        <v>2086</v>
      </c>
      <c r="Q815" s="64">
        <f>SUM(N815:P815)</f>
        <v>6275</v>
      </c>
      <c r="R815" s="64">
        <f>+E815+I815+M815+Q815</f>
        <v>25220</v>
      </c>
    </row>
    <row r="816" spans="1:20" ht="15.75" customHeight="1" x14ac:dyDescent="0.3">
      <c r="A816" s="17" t="s">
        <v>62</v>
      </c>
      <c r="B816" s="1"/>
      <c r="C816" s="1"/>
      <c r="D816" s="1"/>
      <c r="E816" s="59" t="s">
        <v>7</v>
      </c>
      <c r="F816" s="1"/>
      <c r="G816" s="1"/>
      <c r="H816" s="1"/>
      <c r="I816" s="59" t="s">
        <v>7</v>
      </c>
      <c r="J816" s="1"/>
      <c r="K816" s="1"/>
      <c r="L816" s="1"/>
      <c r="M816" s="59" t="s">
        <v>7</v>
      </c>
      <c r="N816" s="1"/>
      <c r="O816" s="1"/>
      <c r="P816" s="1"/>
      <c r="Q816" s="59" t="s">
        <v>7</v>
      </c>
      <c r="R816" s="59" t="s">
        <v>7</v>
      </c>
    </row>
    <row r="817" spans="1:18" ht="15.75" customHeight="1" x14ac:dyDescent="0.3">
      <c r="A817" s="17" t="s">
        <v>63</v>
      </c>
      <c r="B817" s="1"/>
      <c r="C817" s="1"/>
      <c r="D817" s="1"/>
      <c r="E817" s="59" t="s">
        <v>7</v>
      </c>
      <c r="F817" s="1"/>
      <c r="G817" s="1"/>
      <c r="H817" s="1"/>
      <c r="I817" s="59" t="s">
        <v>7</v>
      </c>
      <c r="J817" s="1"/>
      <c r="K817" s="1"/>
      <c r="L817" s="1"/>
      <c r="M817" s="59" t="s">
        <v>7</v>
      </c>
      <c r="N817" s="1"/>
      <c r="O817" s="1"/>
      <c r="P817" s="1"/>
      <c r="Q817" s="59" t="s">
        <v>7</v>
      </c>
      <c r="R817" s="59" t="s">
        <v>7</v>
      </c>
    </row>
    <row r="818" spans="1:18" ht="15.75" customHeight="1" x14ac:dyDescent="0.3">
      <c r="A818" s="74" t="s">
        <v>612</v>
      </c>
      <c r="B818" s="1"/>
      <c r="C818" s="1"/>
      <c r="D818" s="1"/>
      <c r="E818" s="59">
        <f>SUM(B818:D818)</f>
        <v>0</v>
      </c>
      <c r="F818" s="1"/>
      <c r="G818" s="1"/>
      <c r="H818" s="1"/>
      <c r="I818" s="59">
        <f>SUM(F818:H818)</f>
        <v>0</v>
      </c>
      <c r="J818" s="1"/>
      <c r="K818" s="1"/>
      <c r="L818" s="1"/>
      <c r="M818" s="59">
        <f>SUM(J818:L818)</f>
        <v>0</v>
      </c>
      <c r="N818" s="1"/>
      <c r="O818" s="1"/>
      <c r="P818" s="1"/>
      <c r="Q818" s="59">
        <f>SUM(N818:P818)</f>
        <v>0</v>
      </c>
      <c r="R818" s="59">
        <f>+E818+I818+M818+Q818</f>
        <v>0</v>
      </c>
    </row>
    <row r="819" spans="1:18" ht="15.75" customHeight="1" x14ac:dyDescent="0.3">
      <c r="A819" s="74" t="s">
        <v>613</v>
      </c>
      <c r="B819" s="1"/>
      <c r="C819" s="1"/>
      <c r="D819" s="1"/>
      <c r="E819" s="59">
        <f>SUM(B819:D819)</f>
        <v>0</v>
      </c>
      <c r="F819" s="1"/>
      <c r="G819" s="1"/>
      <c r="H819" s="1"/>
      <c r="I819" s="59">
        <f>SUM(F819:H819)</f>
        <v>0</v>
      </c>
      <c r="J819" s="1"/>
      <c r="K819" s="1"/>
      <c r="L819" s="1"/>
      <c r="M819" s="59">
        <f>SUM(J819:L819)</f>
        <v>0</v>
      </c>
      <c r="N819" s="1"/>
      <c r="O819" s="1"/>
      <c r="P819" s="1"/>
      <c r="Q819" s="59">
        <f>SUM(N819:P819)</f>
        <v>0</v>
      </c>
      <c r="R819" s="59">
        <f>+E819+I819+M819+Q819</f>
        <v>0</v>
      </c>
    </row>
    <row r="820" spans="1:18" ht="15.75" customHeight="1" x14ac:dyDescent="0.3">
      <c r="A820" s="17" t="s">
        <v>64</v>
      </c>
      <c r="B820" s="1"/>
      <c r="C820" s="1"/>
      <c r="D820" s="1"/>
      <c r="E820" s="59" t="s">
        <v>7</v>
      </c>
      <c r="F820" s="1"/>
      <c r="G820" s="1"/>
      <c r="H820" s="1"/>
      <c r="I820" s="59" t="s">
        <v>7</v>
      </c>
      <c r="J820" s="1"/>
      <c r="K820" s="1"/>
      <c r="L820" s="1"/>
      <c r="M820" s="59" t="s">
        <v>7</v>
      </c>
      <c r="N820" s="1"/>
      <c r="O820" s="1"/>
      <c r="P820" s="1"/>
      <c r="Q820" s="59" t="s">
        <v>7</v>
      </c>
      <c r="R820" s="59" t="s">
        <v>7</v>
      </c>
    </row>
    <row r="821" spans="1:18" ht="15.75" customHeight="1" x14ac:dyDescent="0.3">
      <c r="A821" s="74" t="s">
        <v>614</v>
      </c>
      <c r="B821" s="1"/>
      <c r="C821" s="1"/>
      <c r="D821" s="1"/>
      <c r="E821" s="59">
        <f>SUM(B821:D821)</f>
        <v>0</v>
      </c>
      <c r="F821" s="1"/>
      <c r="G821" s="1"/>
      <c r="H821" s="1"/>
      <c r="I821" s="59">
        <f>SUM(F821:H821)</f>
        <v>0</v>
      </c>
      <c r="J821" s="1"/>
      <c r="K821" s="1"/>
      <c r="L821" s="1"/>
      <c r="M821" s="59">
        <f>SUM(J821:L821)</f>
        <v>0</v>
      </c>
      <c r="N821" s="1"/>
      <c r="O821" s="1"/>
      <c r="P821" s="1"/>
      <c r="Q821" s="59">
        <f>SUM(N821:P821)</f>
        <v>0</v>
      </c>
      <c r="R821" s="59">
        <f>+E821+I821+M821+Q821</f>
        <v>0</v>
      </c>
    </row>
    <row r="822" spans="1:18" ht="15.75" customHeight="1" x14ac:dyDescent="0.3">
      <c r="A822" s="74" t="s">
        <v>615</v>
      </c>
      <c r="B822" s="1"/>
      <c r="C822" s="1"/>
      <c r="D822" s="1"/>
      <c r="E822" s="59">
        <f>SUM(B822:D822)</f>
        <v>0</v>
      </c>
      <c r="F822" s="1"/>
      <c r="G822" s="1"/>
      <c r="H822" s="1"/>
      <c r="I822" s="59">
        <f>SUM(F822:H822)</f>
        <v>0</v>
      </c>
      <c r="J822" s="1"/>
      <c r="K822" s="1"/>
      <c r="L822" s="1"/>
      <c r="M822" s="59">
        <f>SUM(J822:L822)</f>
        <v>0</v>
      </c>
      <c r="N822" s="1"/>
      <c r="O822" s="1"/>
      <c r="P822" s="1"/>
      <c r="Q822" s="59">
        <f>SUM(N822:P822)</f>
        <v>0</v>
      </c>
      <c r="R822" s="59">
        <f>+E822+I822+M822+Q822</f>
        <v>0</v>
      </c>
    </row>
    <row r="823" spans="1:18" ht="15.75" customHeight="1" x14ac:dyDescent="0.3">
      <c r="A823" s="17" t="s">
        <v>66</v>
      </c>
      <c r="B823" s="1"/>
      <c r="C823" s="1"/>
      <c r="D823" s="1"/>
      <c r="E823" s="59" t="s">
        <v>7</v>
      </c>
      <c r="F823" s="1"/>
      <c r="G823" s="1"/>
      <c r="H823" s="1"/>
      <c r="I823" s="59" t="s">
        <v>7</v>
      </c>
      <c r="J823" s="1"/>
      <c r="K823" s="1"/>
      <c r="L823" s="1"/>
      <c r="M823" s="59" t="s">
        <v>7</v>
      </c>
      <c r="N823" s="1"/>
      <c r="O823" s="1"/>
      <c r="P823" s="1"/>
      <c r="Q823" s="59" t="s">
        <v>7</v>
      </c>
      <c r="R823" s="59" t="s">
        <v>7</v>
      </c>
    </row>
    <row r="824" spans="1:18" ht="15.75" customHeight="1" thickBot="1" x14ac:dyDescent="0.35">
      <c r="A824" s="17" t="s">
        <v>67</v>
      </c>
      <c r="B824" s="1"/>
      <c r="C824" s="1"/>
      <c r="D824" s="1"/>
      <c r="E824" s="59" t="s">
        <v>7</v>
      </c>
      <c r="F824" s="1"/>
      <c r="G824" s="1"/>
      <c r="H824" s="1"/>
      <c r="I824" s="59" t="s">
        <v>7</v>
      </c>
      <c r="J824" s="1"/>
      <c r="K824" s="1"/>
      <c r="L824" s="1"/>
      <c r="M824" s="59" t="s">
        <v>7</v>
      </c>
      <c r="N824" s="1"/>
      <c r="O824" s="1"/>
      <c r="P824" s="1"/>
      <c r="Q824" s="59" t="s">
        <v>7</v>
      </c>
      <c r="R824" s="59" t="s">
        <v>7</v>
      </c>
    </row>
    <row r="825" spans="1:18" ht="16.5" customHeight="1" thickBot="1" x14ac:dyDescent="0.35">
      <c r="A825" s="62" t="s">
        <v>68</v>
      </c>
      <c r="B825" s="63">
        <f>SUM(B823:B824)</f>
        <v>0</v>
      </c>
      <c r="C825" s="63">
        <f>SUM(C823:C824)</f>
        <v>0</v>
      </c>
      <c r="D825" s="63">
        <f>SUM(D823:D824)</f>
        <v>0</v>
      </c>
      <c r="E825" s="65">
        <f>SUM(B825:D825)</f>
        <v>0</v>
      </c>
      <c r="F825" s="63">
        <f>SUM(F823:F824)</f>
        <v>0</v>
      </c>
      <c r="G825" s="63">
        <f>SUM(G823:G824)</f>
        <v>0</v>
      </c>
      <c r="H825" s="63">
        <f>SUM(H823:H824)</f>
        <v>0</v>
      </c>
      <c r="I825" s="65">
        <f>SUM(F825:H825)</f>
        <v>0</v>
      </c>
      <c r="J825" s="63">
        <f>SUM(J823:J824)</f>
        <v>0</v>
      </c>
      <c r="K825" s="63">
        <f>SUM(K823:K824)</f>
        <v>0</v>
      </c>
      <c r="L825" s="63">
        <f>SUM(L823:L824)</f>
        <v>0</v>
      </c>
      <c r="M825" s="65">
        <f>SUM(J825:L825)</f>
        <v>0</v>
      </c>
      <c r="N825" s="63">
        <f>SUM(N823:N824)</f>
        <v>0</v>
      </c>
      <c r="O825" s="63">
        <f>SUM(O823:O824)</f>
        <v>0</v>
      </c>
      <c r="P825" s="63">
        <f>SUM(P823:P824)</f>
        <v>0</v>
      </c>
      <c r="Q825" s="65">
        <f>SUM(N825:P825)</f>
        <v>0</v>
      </c>
      <c r="R825" s="64">
        <f>+E825+I825+M825+Q825</f>
        <v>0</v>
      </c>
    </row>
    <row r="826" spans="1:18" ht="16.5" customHeight="1" thickBot="1" x14ac:dyDescent="0.35">
      <c r="A826" s="62" t="s">
        <v>69</v>
      </c>
      <c r="B826" s="100">
        <f>SUM(B816:B824)</f>
        <v>0</v>
      </c>
      <c r="C826" s="101">
        <f>SUM(C816:C824)</f>
        <v>0</v>
      </c>
      <c r="D826" s="138">
        <f>SUM(D816:D824)</f>
        <v>0</v>
      </c>
      <c r="E826" s="65">
        <f>SUM(B826:D826)</f>
        <v>0</v>
      </c>
      <c r="F826" s="101">
        <f>SUM(F816:F824)</f>
        <v>0</v>
      </c>
      <c r="G826" s="101">
        <f>SUM(G816:G824)</f>
        <v>0</v>
      </c>
      <c r="H826" s="101">
        <f>SUM(H816:H824)</f>
        <v>0</v>
      </c>
      <c r="I826" s="65">
        <f>SUM(F826:H826)</f>
        <v>0</v>
      </c>
      <c r="J826" s="101">
        <f>SUM(J816:J824)</f>
        <v>0</v>
      </c>
      <c r="K826" s="101">
        <f>SUM(K816:K824)</f>
        <v>0</v>
      </c>
      <c r="L826" s="101">
        <f>SUM(L816:L824)</f>
        <v>0</v>
      </c>
      <c r="M826" s="65">
        <f>SUM(J826:L826)</f>
        <v>0</v>
      </c>
      <c r="N826" s="101">
        <f>SUM(N816:N824)</f>
        <v>0</v>
      </c>
      <c r="O826" s="101">
        <f>SUM(O816:O824)</f>
        <v>0</v>
      </c>
      <c r="P826" s="101">
        <f>SUM(P816:P824)</f>
        <v>0</v>
      </c>
      <c r="Q826" s="65">
        <f>SUM(N826:P826)</f>
        <v>0</v>
      </c>
      <c r="R826" s="64">
        <f>+E826+I826+M826+Q826</f>
        <v>0</v>
      </c>
    </row>
    <row r="827" spans="1:18" ht="16.5" customHeight="1" thickBot="1" x14ac:dyDescent="0.35">
      <c r="A827" s="62" t="s">
        <v>70</v>
      </c>
      <c r="B827" s="107">
        <f>+B800+B805+B815+B826</f>
        <v>4778</v>
      </c>
      <c r="C827" s="63">
        <f>+C800+C805+C815+C826</f>
        <v>4505</v>
      </c>
      <c r="D827" s="63">
        <f>+D800+D805+D815+D826</f>
        <v>4616</v>
      </c>
      <c r="E827" s="64">
        <f>SUM(B827:D827)</f>
        <v>13899</v>
      </c>
      <c r="F827" s="63">
        <f>+F800+F805+F815+F826</f>
        <v>4611</v>
      </c>
      <c r="G827" s="63">
        <f>+G800+G805+G815+G826</f>
        <v>4646</v>
      </c>
      <c r="H827" s="63">
        <f>+H800+H805+H815+H826</f>
        <v>4631</v>
      </c>
      <c r="I827" s="64">
        <f>SUM(F827:H827)</f>
        <v>13888</v>
      </c>
      <c r="J827" s="63">
        <f>+J800+J805+J815+J826</f>
        <v>4638</v>
      </c>
      <c r="K827" s="63">
        <f>+K800+K805+K815+K826</f>
        <v>4630</v>
      </c>
      <c r="L827" s="63">
        <f>+L800+L805+L815+L826</f>
        <v>4590</v>
      </c>
      <c r="M827" s="64">
        <f>SUM(J827:L827)</f>
        <v>13858</v>
      </c>
      <c r="N827" s="63">
        <f>+N800+N805+N815+N826</f>
        <v>4615</v>
      </c>
      <c r="O827" s="63">
        <f>+O800+O805+O815+O826</f>
        <v>2074</v>
      </c>
      <c r="P827" s="63">
        <f>+P800+P805+P815+P826</f>
        <v>2086</v>
      </c>
      <c r="Q827" s="64">
        <f>SUM(N827:P827)</f>
        <v>8775</v>
      </c>
      <c r="R827" s="88">
        <f>+E827+I827+M827+Q827</f>
        <v>50420</v>
      </c>
    </row>
    <row r="828" spans="1:18" ht="16.5" customHeight="1" thickBot="1" x14ac:dyDescent="0.35">
      <c r="A828" s="40" t="s">
        <v>37</v>
      </c>
      <c r="B828" s="25">
        <v>11</v>
      </c>
      <c r="C828" s="25">
        <v>13</v>
      </c>
      <c r="D828" s="25">
        <v>17</v>
      </c>
      <c r="E828" s="59">
        <f>SUM(B828:D828)</f>
        <v>41</v>
      </c>
      <c r="F828" s="25">
        <v>21</v>
      </c>
      <c r="G828" s="25">
        <v>23</v>
      </c>
      <c r="H828" s="25">
        <v>25</v>
      </c>
      <c r="I828" s="59">
        <f>SUM(F828:H828)</f>
        <v>69</v>
      </c>
      <c r="J828" s="25">
        <v>25</v>
      </c>
      <c r="K828" s="25">
        <v>21</v>
      </c>
      <c r="L828" s="25">
        <v>19</v>
      </c>
      <c r="M828" s="59">
        <f>SUM(J828:L828)</f>
        <v>65</v>
      </c>
      <c r="N828" s="25">
        <v>17</v>
      </c>
      <c r="O828" s="25">
        <v>13</v>
      </c>
      <c r="P828" s="25">
        <v>11</v>
      </c>
      <c r="Q828" s="59">
        <f>SUM(N828:P828)</f>
        <v>41</v>
      </c>
      <c r="R828" s="59">
        <f>+E828+I828+M828+Q828</f>
        <v>216</v>
      </c>
    </row>
    <row r="829" spans="1:18" ht="16.5" customHeight="1" thickBot="1" x14ac:dyDescent="0.35">
      <c r="A829" s="42"/>
      <c r="B829" s="37"/>
      <c r="C829" s="37"/>
      <c r="D829" s="37"/>
      <c r="E829" s="64" t="s">
        <v>7</v>
      </c>
      <c r="F829" s="37"/>
      <c r="G829" s="37"/>
      <c r="H829" s="37"/>
      <c r="I829" s="64" t="s">
        <v>7</v>
      </c>
      <c r="J829" s="37"/>
      <c r="K829" s="37"/>
      <c r="L829" s="37"/>
      <c r="M829" s="64" t="s">
        <v>7</v>
      </c>
      <c r="N829" s="37"/>
      <c r="O829" s="37"/>
      <c r="P829" s="37"/>
      <c r="Q829" s="64" t="s">
        <v>7</v>
      </c>
      <c r="R829" s="64" t="s">
        <v>7</v>
      </c>
    </row>
    <row r="830" spans="1:18" ht="15.75" customHeight="1" x14ac:dyDescent="0.3">
      <c r="A830" s="17" t="s">
        <v>38</v>
      </c>
      <c r="B830" s="1">
        <f>SUM(B827:B828)</f>
        <v>4789</v>
      </c>
      <c r="C830" s="1">
        <f>SUM(C827:C828)</f>
        <v>4518</v>
      </c>
      <c r="D830" s="1">
        <f>SUM(D827:D828)</f>
        <v>4633</v>
      </c>
      <c r="E830" s="65">
        <f>SUM(B830:D830)</f>
        <v>13940</v>
      </c>
      <c r="F830" s="1">
        <f>SUM(F827:F828)</f>
        <v>4632</v>
      </c>
      <c r="G830" s="1">
        <f>SUM(G827:G828)</f>
        <v>4669</v>
      </c>
      <c r="H830" s="1">
        <f>SUM(H827:H828)</f>
        <v>4656</v>
      </c>
      <c r="I830" s="65">
        <f>SUM(F830:H830)</f>
        <v>13957</v>
      </c>
      <c r="J830" s="1">
        <f>SUM(J827:J828)</f>
        <v>4663</v>
      </c>
      <c r="K830" s="1">
        <f>SUM(K827:K828)</f>
        <v>4651</v>
      </c>
      <c r="L830" s="1">
        <f>SUM(L827:L828)</f>
        <v>4609</v>
      </c>
      <c r="M830" s="65">
        <f>SUM(J830:L830)</f>
        <v>13923</v>
      </c>
      <c r="N830" s="1">
        <f>SUM(N827:N828)</f>
        <v>4632</v>
      </c>
      <c r="O830" s="1">
        <f>SUM(O827:O828)</f>
        <v>2087</v>
      </c>
      <c r="P830" s="1">
        <f>SUM(P827:P828)</f>
        <v>2097</v>
      </c>
      <c r="Q830" s="65">
        <f>SUM(N830:P830)</f>
        <v>8816</v>
      </c>
      <c r="R830" s="65">
        <f>+E830+I830+M830+Q830</f>
        <v>50636</v>
      </c>
    </row>
    <row r="831" spans="1:18" ht="15.75" customHeight="1" x14ac:dyDescent="0.3">
      <c r="A831" s="17" t="s">
        <v>39</v>
      </c>
      <c r="B831" s="1">
        <f>(B830/B10)/1.983</f>
        <v>77.904120508190573</v>
      </c>
      <c r="C831" s="1">
        <f>(C830/C10)/1.983</f>
        <v>81.370218283985295</v>
      </c>
      <c r="D831" s="1">
        <f>(D830/D10)/1.983</f>
        <v>75.366421030371043</v>
      </c>
      <c r="E831" s="59" t="s">
        <v>7</v>
      </c>
      <c r="F831" s="1">
        <f>(F830/F10)/1.983</f>
        <v>77.861825516893589</v>
      </c>
      <c r="G831" s="1">
        <f>(G830/G10)/1.983</f>
        <v>75.952043986790954</v>
      </c>
      <c r="H831" s="1">
        <f>(H830/H10)/1.983</f>
        <v>78.265254664649518</v>
      </c>
      <c r="I831" s="59" t="s">
        <v>7</v>
      </c>
      <c r="J831" s="1">
        <f>(J830/J10)/1.983</f>
        <v>75.854440160720955</v>
      </c>
      <c r="K831" s="1">
        <f>(K830/K10)/1.983</f>
        <v>75.659232508580999</v>
      </c>
      <c r="L831" s="1">
        <f>(L830/L10)/1.983</f>
        <v>77.475205916960832</v>
      </c>
      <c r="M831" s="59" t="s">
        <v>7</v>
      </c>
      <c r="N831" s="1">
        <f>(N830/N10)/1.983</f>
        <v>75.350153726026051</v>
      </c>
      <c r="O831" s="1">
        <f>(O830/O10)/1.983</f>
        <v>35.081526306942337</v>
      </c>
      <c r="P831" s="1">
        <f>(P830/P10)/1.983</f>
        <v>34.112537211458687</v>
      </c>
      <c r="Q831" s="59" t="s">
        <v>7</v>
      </c>
      <c r="R831" s="59" t="s">
        <v>7</v>
      </c>
    </row>
    <row r="832" spans="1:18" ht="15.75" customHeight="1" x14ac:dyDescent="0.3">
      <c r="A832" s="17" t="s">
        <v>616</v>
      </c>
      <c r="B832" s="1">
        <f>B830</f>
        <v>4789</v>
      </c>
      <c r="C832" s="1">
        <f>C830</f>
        <v>4518</v>
      </c>
      <c r="D832" s="1">
        <f>D830</f>
        <v>4633</v>
      </c>
      <c r="E832" s="59">
        <f>SUM(B832:D832)</f>
        <v>13940</v>
      </c>
      <c r="F832" s="1">
        <f>F830</f>
        <v>4632</v>
      </c>
      <c r="G832" s="1">
        <f>G830</f>
        <v>4669</v>
      </c>
      <c r="H832" s="1">
        <f>H830</f>
        <v>4656</v>
      </c>
      <c r="I832" s="59">
        <f>SUM(F832:H832)</f>
        <v>13957</v>
      </c>
      <c r="J832" s="1">
        <f>J830</f>
        <v>4663</v>
      </c>
      <c r="K832" s="1">
        <f>K830</f>
        <v>4651</v>
      </c>
      <c r="L832" s="1">
        <f>L830</f>
        <v>4609</v>
      </c>
      <c r="M832" s="59">
        <f>SUM(J832:L832)</f>
        <v>13923</v>
      </c>
      <c r="N832" s="1">
        <f>N830</f>
        <v>4632</v>
      </c>
      <c r="O832" s="1">
        <f>O830</f>
        <v>2087</v>
      </c>
      <c r="P832" s="1">
        <f>P830</f>
        <v>2097</v>
      </c>
      <c r="Q832" s="59">
        <f>SUM(N832:P832)</f>
        <v>8816</v>
      </c>
      <c r="R832" s="59">
        <f>+E832+I832+M832+Q832</f>
        <v>50636</v>
      </c>
    </row>
    <row r="833" spans="1:18" ht="16.5" customHeight="1" thickBot="1" x14ac:dyDescent="0.35">
      <c r="A833" s="24" t="s">
        <v>617</v>
      </c>
      <c r="B833" s="25">
        <f>(B832/B10)/1.983</f>
        <v>77.904120508190573</v>
      </c>
      <c r="C833" s="25">
        <f>(C832/C10)/1.983</f>
        <v>81.370218283985295</v>
      </c>
      <c r="D833" s="25">
        <f>(D832/D10)/1.983</f>
        <v>75.366421030371043</v>
      </c>
      <c r="E833" s="88" t="s">
        <v>7</v>
      </c>
      <c r="F833" s="25">
        <f>(F832/F10)/1.983</f>
        <v>77.861825516893589</v>
      </c>
      <c r="G833" s="25">
        <f>(G832/G10)/1.983</f>
        <v>75.952043986790954</v>
      </c>
      <c r="H833" s="25">
        <f>(H832/H10)/1.983</f>
        <v>78.265254664649518</v>
      </c>
      <c r="I833" s="88" t="s">
        <v>7</v>
      </c>
      <c r="J833" s="25">
        <f>(J832/J10)/1.983</f>
        <v>75.854440160720955</v>
      </c>
      <c r="K833" s="25">
        <f>(K832/K10)/1.983</f>
        <v>75.659232508580999</v>
      </c>
      <c r="L833" s="25">
        <f>(L832/L10)/1.983</f>
        <v>77.475205916960832</v>
      </c>
      <c r="M833" s="88" t="s">
        <v>7</v>
      </c>
      <c r="N833" s="25">
        <f>(N832/N10)/1.983</f>
        <v>75.350153726026051</v>
      </c>
      <c r="O833" s="25">
        <f>(O832/O10)/1.983</f>
        <v>35.081526306942337</v>
      </c>
      <c r="P833" s="25">
        <f>(P832/P10)/1.983</f>
        <v>34.112537211458687</v>
      </c>
      <c r="Q833" s="88" t="s">
        <v>7</v>
      </c>
      <c r="R833" s="88" t="s">
        <v>7</v>
      </c>
    </row>
    <row r="834" spans="1:18" ht="15.75" customHeight="1" x14ac:dyDescent="0.3">
      <c r="A834" s="30"/>
      <c r="B834" s="1"/>
      <c r="C834" s="1"/>
      <c r="D834" s="1"/>
      <c r="E834" s="28"/>
      <c r="F834" s="1"/>
      <c r="G834" s="1"/>
      <c r="H834" s="1"/>
      <c r="I834" s="28"/>
      <c r="J834" s="1"/>
      <c r="K834" s="1"/>
      <c r="L834" s="1"/>
      <c r="M834" s="28"/>
      <c r="N834" s="1"/>
      <c r="O834" s="1"/>
      <c r="P834" s="1"/>
      <c r="Q834" s="28"/>
      <c r="R834" s="28"/>
    </row>
    <row r="835" spans="1:18" ht="15.75" customHeight="1" x14ac:dyDescent="0.3">
      <c r="A835" s="30"/>
      <c r="B835" s="1"/>
      <c r="C835" s="1"/>
      <c r="D835" s="1"/>
      <c r="E835" s="1"/>
      <c r="F835" s="1"/>
      <c r="G835" s="1"/>
      <c r="H835" s="1"/>
      <c r="I835" s="1"/>
      <c r="J835" s="1"/>
      <c r="K835" s="1"/>
      <c r="L835" s="1"/>
      <c r="M835" s="1"/>
      <c r="N835" s="1"/>
      <c r="O835" s="1"/>
      <c r="P835" s="1"/>
      <c r="Q835" s="2" t="str">
        <f>+Q1</f>
        <v xml:space="preserve">PRINTED:  </v>
      </c>
      <c r="R835" s="163">
        <f ca="1">+R1</f>
        <v>44894.658168518516</v>
      </c>
    </row>
    <row r="836" spans="1:18" ht="15.75" customHeight="1" x14ac:dyDescent="0.3">
      <c r="A836" s="383" t="s">
        <v>1</v>
      </c>
      <c r="B836" s="383"/>
      <c r="C836" s="383"/>
      <c r="D836" s="383"/>
      <c r="E836" s="383"/>
      <c r="F836" s="383"/>
      <c r="G836" s="383"/>
      <c r="H836" s="383"/>
      <c r="I836" s="383"/>
      <c r="J836" s="383"/>
      <c r="K836" s="383"/>
      <c r="L836" s="383"/>
      <c r="M836" s="383"/>
      <c r="N836" s="383"/>
      <c r="O836" s="383"/>
      <c r="P836" s="383"/>
      <c r="Q836" s="383"/>
      <c r="R836" s="383"/>
    </row>
    <row r="837" spans="1:18" ht="15.75" customHeight="1" x14ac:dyDescent="0.3">
      <c r="A837" s="383" t="s">
        <v>2</v>
      </c>
      <c r="B837" s="383"/>
      <c r="C837" s="383"/>
      <c r="D837" s="383"/>
      <c r="E837" s="383"/>
      <c r="F837" s="383"/>
      <c r="G837" s="383"/>
      <c r="H837" s="383"/>
      <c r="I837" s="383"/>
      <c r="J837" s="383"/>
      <c r="K837" s="383"/>
      <c r="L837" s="383"/>
      <c r="M837" s="383"/>
      <c r="N837" s="383"/>
      <c r="O837" s="383"/>
      <c r="P837" s="383"/>
      <c r="Q837" s="383"/>
      <c r="R837" s="383"/>
    </row>
    <row r="838" spans="1:18" ht="15.75" customHeight="1" x14ac:dyDescent="0.3">
      <c r="A838" s="383" t="s">
        <v>3</v>
      </c>
      <c r="B838" s="383"/>
      <c r="C838" s="383"/>
      <c r="D838" s="383"/>
      <c r="E838" s="383"/>
      <c r="F838" s="383"/>
      <c r="G838" s="383"/>
      <c r="H838" s="383"/>
      <c r="I838" s="383"/>
      <c r="J838" s="383"/>
      <c r="K838" s="383"/>
      <c r="L838" s="383"/>
      <c r="M838" s="383"/>
      <c r="N838" s="383"/>
      <c r="O838" s="383"/>
      <c r="P838" s="383"/>
      <c r="Q838" s="383"/>
      <c r="R838" s="383"/>
    </row>
    <row r="839" spans="1:18" ht="15.75" customHeight="1" x14ac:dyDescent="0.3">
      <c r="A839" s="391">
        <f>+A5</f>
        <v>2019</v>
      </c>
      <c r="B839" s="391"/>
      <c r="C839" s="391"/>
      <c r="D839" s="391"/>
      <c r="E839" s="391"/>
      <c r="F839" s="391"/>
      <c r="G839" s="391"/>
      <c r="H839" s="391"/>
      <c r="I839" s="391"/>
      <c r="J839" s="391"/>
      <c r="K839" s="391"/>
      <c r="L839" s="391"/>
      <c r="M839" s="391"/>
      <c r="N839" s="391"/>
      <c r="O839" s="391"/>
      <c r="P839" s="391"/>
      <c r="Q839" s="391"/>
      <c r="R839" s="391"/>
    </row>
    <row r="840" spans="1:18" ht="15.75" customHeight="1" x14ac:dyDescent="0.3">
      <c r="A840" s="1"/>
      <c r="B840" s="1"/>
      <c r="C840" s="1"/>
      <c r="D840" s="7"/>
      <c r="E840" s="7"/>
      <c r="F840" s="7"/>
      <c r="G840" s="8"/>
      <c r="H840" s="7"/>
      <c r="I840" s="7"/>
      <c r="J840" s="8"/>
      <c r="K840" s="8"/>
      <c r="L840" s="8"/>
      <c r="M840" s="8"/>
      <c r="N840" s="1"/>
      <c r="O840" s="8"/>
      <c r="P840" s="8"/>
      <c r="Q840" s="8"/>
      <c r="R840" s="8"/>
    </row>
    <row r="841" spans="1:18" ht="15.75" customHeight="1" x14ac:dyDescent="0.3">
      <c r="A841" s="383" t="str">
        <f>+A8</f>
        <v>Revised:  11/27/2018</v>
      </c>
      <c r="B841" s="383"/>
      <c r="C841" s="383"/>
      <c r="D841" s="383"/>
      <c r="E841" s="383"/>
      <c r="F841" s="383"/>
      <c r="G841" s="383"/>
      <c r="H841" s="383"/>
      <c r="I841" s="383"/>
      <c r="J841" s="383"/>
      <c r="K841" s="383"/>
      <c r="L841" s="383"/>
      <c r="M841" s="383"/>
      <c r="N841" s="383"/>
      <c r="O841" s="383"/>
      <c r="P841" s="383"/>
      <c r="Q841" s="383"/>
      <c r="R841" s="383"/>
    </row>
    <row r="842" spans="1:18" ht="15.75" customHeight="1" x14ac:dyDescent="0.3">
      <c r="A842" s="6"/>
      <c r="B842" s="6"/>
      <c r="C842" s="6"/>
      <c r="D842" s="6"/>
      <c r="E842" s="6"/>
      <c r="F842" s="6"/>
      <c r="G842" s="6"/>
      <c r="H842" s="6"/>
      <c r="I842" s="6"/>
      <c r="J842" s="6"/>
      <c r="K842" s="6"/>
      <c r="L842" s="6"/>
      <c r="M842" s="6"/>
      <c r="N842" s="6"/>
      <c r="O842" s="6"/>
      <c r="P842" s="6"/>
      <c r="Q842" s="6"/>
      <c r="R842" s="6"/>
    </row>
    <row r="843" spans="1:18" ht="15.75" customHeight="1" x14ac:dyDescent="0.3">
      <c r="A843" s="6"/>
      <c r="B843" s="6"/>
      <c r="C843" s="6"/>
      <c r="D843" s="6"/>
      <c r="E843" s="6"/>
      <c r="F843" s="6"/>
      <c r="G843" s="6"/>
      <c r="H843" s="6"/>
      <c r="I843" s="6"/>
      <c r="J843" s="6"/>
      <c r="K843" s="6"/>
      <c r="L843" s="6"/>
      <c r="M843" s="6"/>
      <c r="N843" s="6"/>
      <c r="O843" s="6"/>
      <c r="P843" s="6"/>
      <c r="Q843" s="6"/>
      <c r="R843" s="6"/>
    </row>
    <row r="844" spans="1:18" ht="15.75" customHeight="1" thickBot="1" x14ac:dyDescent="0.35">
      <c r="A844" s="30"/>
      <c r="B844" s="1"/>
      <c r="C844" s="1"/>
      <c r="D844" s="1"/>
      <c r="E844" s="1"/>
      <c r="F844" s="1"/>
      <c r="G844" s="1"/>
      <c r="H844" s="1"/>
      <c r="I844" s="1"/>
      <c r="J844" s="1"/>
      <c r="K844" s="1"/>
      <c r="L844" s="1"/>
      <c r="M844" s="1"/>
      <c r="N844" s="1"/>
      <c r="O844" s="1"/>
      <c r="P844" s="1"/>
      <c r="Q844" s="1"/>
      <c r="R844" s="28"/>
    </row>
    <row r="845" spans="1:18" ht="16.5" customHeight="1" thickBot="1" x14ac:dyDescent="0.35">
      <c r="A845" s="145" t="s">
        <v>618</v>
      </c>
      <c r="B845" s="32" t="s">
        <v>36</v>
      </c>
      <c r="C845" s="33" t="s">
        <v>9</v>
      </c>
      <c r="D845" s="33" t="s">
        <v>10</v>
      </c>
      <c r="E845" s="12" t="s">
        <v>11</v>
      </c>
      <c r="F845" s="33" t="s">
        <v>12</v>
      </c>
      <c r="G845" s="33" t="s">
        <v>13</v>
      </c>
      <c r="H845" s="33" t="s">
        <v>14</v>
      </c>
      <c r="I845" s="34" t="s">
        <v>15</v>
      </c>
      <c r="J845" s="33" t="s">
        <v>16</v>
      </c>
      <c r="K845" s="33" t="s">
        <v>17</v>
      </c>
      <c r="L845" s="33" t="s">
        <v>18</v>
      </c>
      <c r="M845" s="34" t="s">
        <v>19</v>
      </c>
      <c r="N845" s="33" t="s">
        <v>20</v>
      </c>
      <c r="O845" s="33" t="s">
        <v>21</v>
      </c>
      <c r="P845" s="33" t="s">
        <v>22</v>
      </c>
      <c r="Q845" s="34" t="s">
        <v>23</v>
      </c>
      <c r="R845" s="157" t="s">
        <v>24</v>
      </c>
    </row>
    <row r="846" spans="1:18" ht="16.5" customHeight="1" thickBot="1" x14ac:dyDescent="0.35">
      <c r="A846" s="42"/>
      <c r="B846" s="37"/>
      <c r="C846" s="37"/>
      <c r="D846" s="37"/>
      <c r="E846" s="16"/>
      <c r="F846" s="37"/>
      <c r="G846" s="37"/>
      <c r="H846" s="37"/>
      <c r="I846" s="156"/>
      <c r="J846" s="37"/>
      <c r="K846" s="37"/>
      <c r="L846" s="37"/>
      <c r="M846" s="156"/>
      <c r="N846" s="37"/>
      <c r="O846" s="37"/>
      <c r="P846" s="37"/>
      <c r="Q846" s="158"/>
      <c r="R846" s="159"/>
    </row>
    <row r="847" spans="1:18" ht="15.75" customHeight="1" x14ac:dyDescent="0.3">
      <c r="A847" s="17" t="s">
        <v>45</v>
      </c>
      <c r="B847" s="1" t="s">
        <v>7</v>
      </c>
      <c r="C847" s="1" t="s">
        <v>7</v>
      </c>
      <c r="D847" s="1" t="s">
        <v>7</v>
      </c>
      <c r="E847" s="160"/>
      <c r="F847" s="1" t="s">
        <v>7</v>
      </c>
      <c r="G847" s="1" t="s">
        <v>7</v>
      </c>
      <c r="H847" s="1" t="s">
        <v>7</v>
      </c>
      <c r="I847" s="160"/>
      <c r="J847" s="1" t="s">
        <v>7</v>
      </c>
      <c r="K847" s="1" t="s">
        <v>7</v>
      </c>
      <c r="L847" s="1" t="s">
        <v>7</v>
      </c>
      <c r="M847" s="160"/>
      <c r="N847" s="1" t="s">
        <v>7</v>
      </c>
      <c r="O847" s="1" t="s">
        <v>7</v>
      </c>
      <c r="P847" s="1" t="s">
        <v>7</v>
      </c>
      <c r="Q847" s="161"/>
      <c r="R847" s="162" t="s">
        <v>7</v>
      </c>
    </row>
    <row r="848" spans="1:18" ht="15.75" customHeight="1" x14ac:dyDescent="0.3">
      <c r="A848" s="164" t="s">
        <v>46</v>
      </c>
      <c r="B848" s="1">
        <f>+SUM(B71:B82)+SUM(B140:B191)+SUM(B328:B359)+SUM(B495:B500)+SUM(B539:B544)+SUM(B584:B596)+SUM(B658:B661)+SUM(B694:B700)+SUM(B756:B757)+SUM(B790:B795)</f>
        <v>32969</v>
      </c>
      <c r="C848" s="1">
        <f>+SUM(C71:C82)+SUM(C140:C191)+SUM(C328:C359)+SUM(C495:C500)+SUM(C539:C544)+SUM(C584:C596)+SUM(C658:C661)+SUM(C694:C700)+SUM(C756:C757)+SUM(C790:C795)</f>
        <v>35579</v>
      </c>
      <c r="D848" s="1">
        <f>+SUM(D71:D82)+SUM(D140:D191)+SUM(D328:D359)+SUM(D495:D500)+SUM(D539:D544)+SUM(D584:D596)+SUM(D658:D661)+SUM(D694:D700)+SUM(D756:D757)+SUM(D790:D795)</f>
        <v>42959</v>
      </c>
      <c r="E848" s="59">
        <f t="shared" ref="E848:E854" si="274">SUM(B848:D848)</f>
        <v>111507</v>
      </c>
      <c r="F848" s="1">
        <f>+SUM(F71:F82)+SUM(F140:F191)+SUM(F328:F359)+SUM(F495:F500)+SUM(F539:F544)+SUM(F584:F596)+SUM(F658:F661)+SUM(F694:F700)+SUM(F756:F757)+SUM(F790:F795)</f>
        <v>58175</v>
      </c>
      <c r="G848" s="1">
        <f>+SUM(G71:G82)+SUM(G140:G191)+SUM(G328:G359)+SUM(G495:G500)+SUM(G539:G544)+SUM(G584:G596)+SUM(G658:G661)+SUM(G694:G700)+SUM(G756:G757)+SUM(G790:G795)</f>
        <v>65815</v>
      </c>
      <c r="H848" s="1">
        <f>+SUM(H71:H82)+SUM(H140:H191)+SUM(H328:H359)+SUM(H495:H500)+SUM(H539:H544)+SUM(H584:H596)+SUM(H658:H661)+SUM(H694:H700)+SUM(H756:H757)+SUM(H790:H795)</f>
        <v>70212</v>
      </c>
      <c r="I848" s="59">
        <f t="shared" ref="I848:I854" si="275">SUM(F848:H848)</f>
        <v>194202</v>
      </c>
      <c r="J848" s="1">
        <f>+SUM(J71:J82)+SUM(J140:J191)+SUM(J328:J359)+SUM(J495:J500)+SUM(J539:J544)+SUM(J584:J596)+SUM(J658:J661)+SUM(J694:J700)+SUM(J756:J757)+SUM(J790:J795)</f>
        <v>84622</v>
      </c>
      <c r="K848" s="1">
        <f>+SUM(K71:K82)+SUM(K140:K191)+SUM(K328:K359)+SUM(K495:K500)+SUM(K539:K544)+SUM(K584:K596)+SUM(K658:K661)+SUM(K694:K700)+SUM(K756:K757)+SUM(K790:K795)</f>
        <v>71544</v>
      </c>
      <c r="L848" s="1">
        <f>+SUM(L71:L82)+SUM(L140:L191)+SUM(L328:L359)+SUM(L495:L500)+SUM(L539:L544)+SUM(L584:L596)+SUM(L658:L661)+SUM(L694:L700)+SUM(L756:L757)+SUM(L790:L795)</f>
        <v>61343</v>
      </c>
      <c r="M848" s="59">
        <f t="shared" ref="M848:M854" si="276">SUM(J848:L848)</f>
        <v>217509</v>
      </c>
      <c r="N848" s="1">
        <f>+SUM(N71:N82)+SUM(N140:N191)+SUM(N328:N359)+SUM(N495:N500)+SUM(N539:N544)+SUM(N584:N596)+SUM(N658:N661)+SUM(N694:N700)+SUM(N756:N757)+SUM(N790:N795)</f>
        <v>48073</v>
      </c>
      <c r="O848" s="1">
        <f>+SUM(O71:O82)+SUM(O140:O191)+SUM(O328:O359)+SUM(O495:O500)+SUM(O539:O544)+SUM(O584:O596)+SUM(O658:O661)+SUM(O694:O700)+SUM(O756:O757)+SUM(O790:O795)</f>
        <v>17409</v>
      </c>
      <c r="P848" s="1">
        <f>+SUM(P71:P82)+SUM(P140:P191)+SUM(P328:P359)+SUM(P495:P500)+SUM(P539:P544)+SUM(P584:P596)+SUM(P658:P661)+SUM(P694:P700)+SUM(P756:P757)+SUM(P790:P795)</f>
        <v>22125</v>
      </c>
      <c r="Q848" s="59">
        <f t="shared" ref="Q848:Q854" si="277">SUM(N848:P848)</f>
        <v>87607</v>
      </c>
      <c r="R848" s="59">
        <f t="shared" ref="R848:R854" si="278">+E848+I848+M848+Q848</f>
        <v>610825</v>
      </c>
    </row>
    <row r="849" spans="1:20" ht="15.75" customHeight="1" x14ac:dyDescent="0.3">
      <c r="A849" s="17" t="s">
        <v>619</v>
      </c>
      <c r="B849" s="1">
        <f>+B38+SUM(B83:B84)+SUM(B193:B202)+SUM(B361:B371)+SUM(B502:B503)+B545+SUM(B597:B598)+B662+B701+B758+SUM(B796:B796)</f>
        <v>0</v>
      </c>
      <c r="C849" s="1">
        <f>+C38+SUM(C83:C84)+SUM(C193:C202)+SUM(C361:C371)+SUM(C502:C503)+C545+SUM(C597:C598)+C662+C701+C758+SUM(C796:C796)</f>
        <v>0</v>
      </c>
      <c r="D849" s="1">
        <f>+D38+SUM(D83:D84)+SUM(D193:D202)+SUM(D361:D371)+SUM(D502:D503)+D545+SUM(D597:D598)+D662+D701+D758+SUM(D796:D796)</f>
        <v>0</v>
      </c>
      <c r="E849" s="59">
        <f t="shared" si="274"/>
        <v>0</v>
      </c>
      <c r="F849" s="1">
        <f>+F38+SUM(F83:F84)+SUM(F193:F202)+SUM(F361:F371)+SUM(F502:F503)+F545+SUM(F597:F598)+F662+F701+F758+SUM(F796:F796)</f>
        <v>0</v>
      </c>
      <c r="G849" s="1">
        <f>+G38+SUM(G83:G84)+SUM(G193:G202)+SUM(G361:G371)+SUM(G502:G503)+G545+SUM(G597:G598)+G662+G701+G758+SUM(G796:G796)</f>
        <v>0</v>
      </c>
      <c r="H849" s="1">
        <f>+H38+SUM(H83:H84)+SUM(H193:H202)+SUM(H361:H371)+SUM(H502:H503)+H545+SUM(H597:H598)+H662+H701+H758+SUM(H796:H796)</f>
        <v>0</v>
      </c>
      <c r="I849" s="59">
        <f t="shared" si="275"/>
        <v>0</v>
      </c>
      <c r="J849" s="1">
        <f>+J38+SUM(J83:J84)+SUM(J193:J202)+SUM(J361:J371)+SUM(J502:J503)+J545+SUM(J597:J598)+J662+J701+J758+SUM(J796:J796)</f>
        <v>0</v>
      </c>
      <c r="K849" s="1">
        <f>+K38+SUM(K83:K84)+SUM(K193:K202)+SUM(K361:K371)+SUM(K502:K503)+K545+SUM(K597:K598)+K662+K701+K758+SUM(K796:K796)</f>
        <v>0</v>
      </c>
      <c r="L849" s="1">
        <f>+L38+SUM(L83:L84)+SUM(L193:L202)+SUM(L361:L371)+SUM(L502:L503)+L545+SUM(L597:L598)+L662+L701+L758+SUM(L796:L796)</f>
        <v>0</v>
      </c>
      <c r="M849" s="59">
        <f t="shared" si="276"/>
        <v>0</v>
      </c>
      <c r="N849" s="1">
        <f>+N38+SUM(N83:N84)+SUM(N193:N202)+SUM(N361:N371)+SUM(N502:N503)+N545+SUM(N597:N598)+N662+N701+N758+SUM(N796:N796)</f>
        <v>0</v>
      </c>
      <c r="O849" s="1">
        <f>+O38+SUM(O83:O84)+SUM(O193:O202)+SUM(O361:O371)+SUM(O502:O503)+O545+SUM(O597:O598)+O662+O701+O758+SUM(O796:O796)</f>
        <v>0</v>
      </c>
      <c r="P849" s="1">
        <f>+P38+SUM(P83:P84)+SUM(P193:P202)+SUM(P361:P371)+SUM(P502:P503)+P545+SUM(P597:P598)+P662+P701+P758+SUM(P796:P796)</f>
        <v>0</v>
      </c>
      <c r="Q849" s="59">
        <f t="shared" si="277"/>
        <v>0</v>
      </c>
      <c r="R849" s="59">
        <f t="shared" si="278"/>
        <v>0</v>
      </c>
    </row>
    <row r="850" spans="1:20" ht="15.75" customHeight="1" x14ac:dyDescent="0.3">
      <c r="A850" s="164" t="s">
        <v>620</v>
      </c>
      <c r="B850" s="1">
        <f>+SUM(B85:B87)+SUM(B203:B206)+SUM(B372:B376)+B504+B546+SUM(B599:B600)+B663+B702+B759+SUM(B797:B798)</f>
        <v>24</v>
      </c>
      <c r="C850" s="1">
        <f>+SUM(C85:C87)+SUM(C203:C206)+SUM(C372:C376)+C504+C546+SUM(C599:C600)+C663+C702+C759+SUM(C797:C798)</f>
        <v>21</v>
      </c>
      <c r="D850" s="1">
        <f>+SUM(D85:D87)+SUM(D203:D206)+SUM(D372:D376)+D504+D546+SUM(D599:D600)+D663+D702+D759+SUM(D797:D798)</f>
        <v>78</v>
      </c>
      <c r="E850" s="59">
        <f t="shared" si="274"/>
        <v>123</v>
      </c>
      <c r="F850" s="1">
        <f>+SUM(F85:F87)+SUM(F203:F206)+SUM(F372:F376)+F504+F546+SUM(F599:F600)+F663+F702+F759+SUM(F797:F798)</f>
        <v>110</v>
      </c>
      <c r="G850" s="1">
        <f>+SUM(G85:G87)+SUM(G203:G206)+SUM(G372:G376)+G504+G546+SUM(G599:G600)+G663+G702+G759+SUM(G797:G798)</f>
        <v>4829</v>
      </c>
      <c r="H850" s="1">
        <f>+SUM(H85:H87)+SUM(H203:H206)+SUM(H372:H376)+H504+H546+SUM(H599:H600)+H663+H702+H759+SUM(H797:H798)</f>
        <v>3206</v>
      </c>
      <c r="I850" s="59">
        <f t="shared" si="275"/>
        <v>8145</v>
      </c>
      <c r="J850" s="1">
        <f>+SUM(J85:J87)+SUM(J203:J206)+SUM(J372:J376)+J504+J546+SUM(J599:J600)+J663+J702+J759+SUM(J797:J798)</f>
        <v>3271</v>
      </c>
      <c r="K850" s="1">
        <f>+SUM(K85:K87)+SUM(K203:K206)+SUM(K372:K376)+K504+K546+SUM(K599:K600)+K663+K702+K759+SUM(K797:K798)</f>
        <v>1399</v>
      </c>
      <c r="L850" s="1">
        <f>+SUM(L85:L87)+SUM(L203:L206)+SUM(L372:L376)+L504+L546+SUM(L599:L600)+L663+L702+L759+SUM(L797:L798)</f>
        <v>1528</v>
      </c>
      <c r="M850" s="59">
        <f t="shared" si="276"/>
        <v>6198</v>
      </c>
      <c r="N850" s="1">
        <f>+SUM(N85:N87)+SUM(N203:N206)+SUM(N372:N376)+N504+N546+SUM(N599:N600)+N663+N702+N759+SUM(N797:N798)</f>
        <v>618</v>
      </c>
      <c r="O850" s="1">
        <f>+SUM(O85:O87)+SUM(O203:O206)+SUM(O372:O376)+O504+O546+SUM(O599:O600)+O663+O702+O759+SUM(O797:O798)</f>
        <v>44</v>
      </c>
      <c r="P850" s="1">
        <f>+SUM(P85:P87)+SUM(P203:P206)+SUM(P372:P376)+P504+P546+SUM(P599:P600)+P663+P702+P759+SUM(P797:P798)</f>
        <v>23</v>
      </c>
      <c r="Q850" s="59">
        <f t="shared" si="277"/>
        <v>685</v>
      </c>
      <c r="R850" s="59">
        <f>+E850+I850+M850+Q850</f>
        <v>15151</v>
      </c>
    </row>
    <row r="851" spans="1:20" ht="15.75" customHeight="1" x14ac:dyDescent="0.3">
      <c r="A851" s="17" t="s">
        <v>621</v>
      </c>
      <c r="B851" s="1">
        <f>+B305+B476+B477</f>
        <v>0</v>
      </c>
      <c r="C851" s="1">
        <f>+C305+C476+C477</f>
        <v>0</v>
      </c>
      <c r="D851" s="1">
        <f>+D305+D476+D477</f>
        <v>0</v>
      </c>
      <c r="E851" s="59">
        <f t="shared" si="274"/>
        <v>0</v>
      </c>
      <c r="F851" s="1">
        <f>+F305+F476+F477</f>
        <v>0</v>
      </c>
      <c r="G851" s="1">
        <f>+G305+G476+G477</f>
        <v>0</v>
      </c>
      <c r="H851" s="1">
        <f>+H305+H476+H477</f>
        <v>0</v>
      </c>
      <c r="I851" s="59">
        <f t="shared" si="275"/>
        <v>0</v>
      </c>
      <c r="J851" s="1">
        <f>+J305+J476+J477</f>
        <v>0</v>
      </c>
      <c r="K851" s="1">
        <f>+K305+K476+K477</f>
        <v>0</v>
      </c>
      <c r="L851" s="1">
        <f>+L305+L476+L477</f>
        <v>0</v>
      </c>
      <c r="M851" s="59">
        <f t="shared" si="276"/>
        <v>0</v>
      </c>
      <c r="N851" s="1">
        <f>+N305+N476+N477</f>
        <v>0</v>
      </c>
      <c r="O851" s="1">
        <f>+O305+O476+O477</f>
        <v>0</v>
      </c>
      <c r="P851" s="1">
        <f>+P305+P476+P477</f>
        <v>0</v>
      </c>
      <c r="Q851" s="59">
        <f t="shared" si="277"/>
        <v>0</v>
      </c>
      <c r="R851" s="59">
        <f t="shared" si="278"/>
        <v>0</v>
      </c>
    </row>
    <row r="852" spans="1:20" ht="15.75" customHeight="1" x14ac:dyDescent="0.3">
      <c r="A852" s="164" t="s">
        <v>622</v>
      </c>
      <c r="B852" s="1">
        <f>+B306</f>
        <v>42</v>
      </c>
      <c r="C852" s="1">
        <f>+C306</f>
        <v>43</v>
      </c>
      <c r="D852" s="1">
        <f>+D306</f>
        <v>47</v>
      </c>
      <c r="E852" s="59">
        <f>SUM(B852:D852)</f>
        <v>132</v>
      </c>
      <c r="F852" s="1">
        <f>+F306</f>
        <v>52</v>
      </c>
      <c r="G852" s="1">
        <f>+G306</f>
        <v>52</v>
      </c>
      <c r="H852" s="1">
        <f>+H306</f>
        <v>57</v>
      </c>
      <c r="I852" s="59">
        <f>SUM(F852:H852)</f>
        <v>161</v>
      </c>
      <c r="J852" s="1">
        <f>+J306</f>
        <v>62</v>
      </c>
      <c r="K852" s="1">
        <f>+K306</f>
        <v>62</v>
      </c>
      <c r="L852" s="1">
        <f>+L306</f>
        <v>62</v>
      </c>
      <c r="M852" s="59">
        <f>SUM(J852:L852)</f>
        <v>186</v>
      </c>
      <c r="N852" s="1">
        <f>+N306</f>
        <v>57</v>
      </c>
      <c r="O852" s="1">
        <f>+O306</f>
        <v>42</v>
      </c>
      <c r="P852" s="1">
        <f>+P306</f>
        <v>47</v>
      </c>
      <c r="Q852" s="59">
        <f t="shared" si="277"/>
        <v>146</v>
      </c>
      <c r="R852" s="59">
        <f>+E852+I852+M852+Q852</f>
        <v>625</v>
      </c>
    </row>
    <row r="853" spans="1:20" ht="15.75" customHeight="1" thickBot="1" x14ac:dyDescent="0.35">
      <c r="A853" s="17" t="s">
        <v>51</v>
      </c>
      <c r="B853" s="1">
        <f>+B88+B505+B547+B601+B664+B703+B760+B799</f>
        <v>0</v>
      </c>
      <c r="C853" s="1">
        <f>+C88+C505+C547+C601+C664+C703+C760+C799</f>
        <v>0</v>
      </c>
      <c r="D853" s="1">
        <f>+D88+D505+D547+D601+D664+D703+D760+D799</f>
        <v>0</v>
      </c>
      <c r="E853" s="59">
        <f t="shared" si="274"/>
        <v>0</v>
      </c>
      <c r="F853" s="1">
        <f>+F88+F505+F547+F601+F664+F703+F760+F799</f>
        <v>0</v>
      </c>
      <c r="G853" s="1">
        <f>+G88+G505+G547+G601+G664+G703+G760+G799</f>
        <v>0</v>
      </c>
      <c r="H853" s="1">
        <f>+H88+H505+H547+H601+H664+H703+H760+H799</f>
        <v>0</v>
      </c>
      <c r="I853" s="59">
        <f t="shared" si="275"/>
        <v>0</v>
      </c>
      <c r="J853" s="1">
        <f>+J88+J505+J547+J601+J664+J703+J760+J799</f>
        <v>0</v>
      </c>
      <c r="K853" s="1">
        <f>+K88+K505+K547+K601+K664+K703+K760+K799</f>
        <v>0</v>
      </c>
      <c r="L853" s="1">
        <f>+L88+L505+L547+L601+L664+L703+L760+L799</f>
        <v>0</v>
      </c>
      <c r="M853" s="59">
        <f t="shared" si="276"/>
        <v>0</v>
      </c>
      <c r="N853" s="1">
        <f>+N88+N505+N547+N601+N664+N703+N760+N799</f>
        <v>0</v>
      </c>
      <c r="O853" s="1">
        <f>+O88+O505+O547+O601+O664+O703+O760+O799</f>
        <v>0</v>
      </c>
      <c r="P853" s="1">
        <f>+P88+P505+P547+P601+P664+P703+P760+P799</f>
        <v>0</v>
      </c>
      <c r="Q853" s="59">
        <f t="shared" si="277"/>
        <v>0</v>
      </c>
      <c r="R853" s="59">
        <f t="shared" si="278"/>
        <v>0</v>
      </c>
    </row>
    <row r="854" spans="1:20" ht="16.5" customHeight="1" thickBot="1" x14ac:dyDescent="0.35">
      <c r="A854" s="62" t="s">
        <v>52</v>
      </c>
      <c r="B854" s="100">
        <f>SUM(B847:B853)</f>
        <v>33035</v>
      </c>
      <c r="C854" s="101">
        <f>SUM(C847:C853)</f>
        <v>35643</v>
      </c>
      <c r="D854" s="101">
        <f>SUM(D847:D853)</f>
        <v>43084</v>
      </c>
      <c r="E854" s="64">
        <f t="shared" si="274"/>
        <v>111762</v>
      </c>
      <c r="F854" s="101">
        <f>SUM(F847:F853)</f>
        <v>58337</v>
      </c>
      <c r="G854" s="101">
        <f>SUM(G847:G853)</f>
        <v>70696</v>
      </c>
      <c r="H854" s="101">
        <f>SUM(H847:H853)</f>
        <v>73475</v>
      </c>
      <c r="I854" s="64">
        <f t="shared" si="275"/>
        <v>202508</v>
      </c>
      <c r="J854" s="101">
        <f>SUM(J847:J853)</f>
        <v>87955</v>
      </c>
      <c r="K854" s="101">
        <f>SUM(K847:K853)</f>
        <v>73005</v>
      </c>
      <c r="L854" s="101">
        <f>SUM(L847:L853)</f>
        <v>62933</v>
      </c>
      <c r="M854" s="64">
        <f t="shared" si="276"/>
        <v>223893</v>
      </c>
      <c r="N854" s="101">
        <f>SUM(N847:N853)</f>
        <v>48748</v>
      </c>
      <c r="O854" s="101">
        <f>SUM(O847:O853)</f>
        <v>17495</v>
      </c>
      <c r="P854" s="101">
        <f>SUM(P847:P853)</f>
        <v>22195</v>
      </c>
      <c r="Q854" s="64">
        <f t="shared" si="277"/>
        <v>88438</v>
      </c>
      <c r="R854" s="64">
        <f t="shared" si="278"/>
        <v>626601</v>
      </c>
      <c r="T854" s="4">
        <f>+R854-R851-R850</f>
        <v>611450</v>
      </c>
    </row>
    <row r="855" spans="1:20" ht="15.75" customHeight="1" x14ac:dyDescent="0.3">
      <c r="A855" s="17" t="s">
        <v>53</v>
      </c>
      <c r="B855" s="1"/>
      <c r="C855" s="1"/>
      <c r="D855" s="1"/>
      <c r="E855" s="59" t="s">
        <v>7</v>
      </c>
      <c r="F855" s="1"/>
      <c r="G855" s="1"/>
      <c r="H855" s="1"/>
      <c r="I855" s="59" t="s">
        <v>7</v>
      </c>
      <c r="J855" s="1"/>
      <c r="K855" s="1"/>
      <c r="L855" s="1"/>
      <c r="M855" s="59" t="s">
        <v>7</v>
      </c>
      <c r="N855" s="1"/>
      <c r="O855" s="1"/>
      <c r="P855" s="1"/>
      <c r="Q855" s="59" t="s">
        <v>7</v>
      </c>
      <c r="R855" s="59" t="s">
        <v>7</v>
      </c>
    </row>
    <row r="856" spans="1:20" ht="15.75" customHeight="1" x14ac:dyDescent="0.3">
      <c r="A856" s="17" t="s">
        <v>54</v>
      </c>
      <c r="B856" s="1">
        <f>SUM(B43:B43)+SUM(B210:B210)+SUM(B91:B91)+SUM(B380:B380)</f>
        <v>0</v>
      </c>
      <c r="C856" s="1">
        <f>SUM(C43:C43)+SUM(C210:C210)+SUM(C91:C91)+SUM(C380:C380)</f>
        <v>0</v>
      </c>
      <c r="D856" s="1">
        <f>SUM(D43:D43)+SUM(D210:D210)+SUM(D91:D91)+SUM(D380:D380)</f>
        <v>0</v>
      </c>
      <c r="E856" s="59">
        <f>SUM(B856:D856)</f>
        <v>0</v>
      </c>
      <c r="F856" s="1">
        <f>SUM(F43:F43)+SUM(F210:F210)+SUM(F91:F91)+SUM(F380:F380)</f>
        <v>0</v>
      </c>
      <c r="G856" s="1">
        <f>SUM(G43:G43)+SUM(G210:G210)+SUM(G91:G91)+SUM(G380:G380)</f>
        <v>0</v>
      </c>
      <c r="H856" s="1">
        <f>SUM(H43:H43)+SUM(H210:H210)+SUM(H91:H91)+SUM(H380:H380)</f>
        <v>0</v>
      </c>
      <c r="I856" s="59">
        <f>SUM(F856:H856)</f>
        <v>0</v>
      </c>
      <c r="J856" s="1">
        <f>SUM(J43:J43)+SUM(J210:J210)+SUM(J91:J91)+SUM(J380:J380)</f>
        <v>0</v>
      </c>
      <c r="K856" s="1">
        <f>SUM(K43:K43)+SUM(K210:K210)+SUM(K91:K91)+SUM(K380:K380)</f>
        <v>0</v>
      </c>
      <c r="L856" s="1">
        <f>SUM(L43:L43)+SUM(L210:L210)+SUM(L91:L91)+SUM(L380:L380)</f>
        <v>0</v>
      </c>
      <c r="M856" s="59">
        <f>SUM(J856:L856)</f>
        <v>0</v>
      </c>
      <c r="N856" s="1">
        <f>SUM(N43:N43)+SUM(N210:N210)+SUM(N91:N91)+SUM(N380:N380)</f>
        <v>0</v>
      </c>
      <c r="O856" s="1">
        <f>SUM(O43:O43)+SUM(O210:O210)+SUM(O91:O91)+SUM(O380:O380)</f>
        <v>0</v>
      </c>
      <c r="P856" s="1">
        <f>SUM(P43:P43)+SUM(P210:P210)+SUM(P91:P91)+SUM(P380:P380)</f>
        <v>0</v>
      </c>
      <c r="Q856" s="59">
        <f>SUM(N856:P856)</f>
        <v>0</v>
      </c>
      <c r="R856" s="59">
        <f>+E856+I856+M856+Q856</f>
        <v>0</v>
      </c>
    </row>
    <row r="857" spans="1:20" ht="15.75" customHeight="1" x14ac:dyDescent="0.3">
      <c r="A857" s="164" t="s">
        <v>55</v>
      </c>
      <c r="B857" s="1">
        <f>+SUM(B93:B94)+SUM(B211:B213)+SUM(B381:B390)+B509+SUM(B550:B552)+SUM(B604:B606)+SUM(B667:B667)+B706+B763+SUM(B802:B803)</f>
        <v>3970</v>
      </c>
      <c r="C857" s="1">
        <f>+SUM(C93:C94)+SUM(C211:C213)+SUM(C381:C390)+C509+SUM(C550:C552)+SUM(C604:C606)+SUM(C667:C667)+C706+C763+SUM(C802:C803)</f>
        <v>8790</v>
      </c>
      <c r="D857" s="1">
        <f>+SUM(D93:D94)+SUM(D211:D213)+SUM(D381:D390)+D509+SUM(D550:D552)+SUM(D604:D606)+SUM(D667:D667)+D706+D763+SUM(D802:D803)</f>
        <v>26441</v>
      </c>
      <c r="E857" s="59">
        <f>SUM(B857:D857)</f>
        <v>39201</v>
      </c>
      <c r="F857" s="1">
        <f>+SUM(F93:F94)+SUM(F211:F213)+SUM(F381:F390)+F509+SUM(F550:F552)+SUM(F604:F606)+SUM(F667:F667)+F706+F763+SUM(F802:F803)</f>
        <v>45801</v>
      </c>
      <c r="G857" s="1">
        <f>+SUM(G93:G94)+SUM(G211:G213)+SUM(G381:G390)+G509+SUM(G550:G552)+SUM(G604:G606)+SUM(G667:G667)+G706+G763+SUM(G802:G803)</f>
        <v>41650</v>
      </c>
      <c r="H857" s="1">
        <f>+SUM(H93:H94)+SUM(H211:H213)+SUM(H381:H390)+H509+SUM(H550:H552)+SUM(H604:H606)+SUM(H667:H667)+H706+H763+SUM(H802:H803)</f>
        <v>42573</v>
      </c>
      <c r="I857" s="59">
        <f>SUM(F857:H857)</f>
        <v>130024</v>
      </c>
      <c r="J857" s="1">
        <f>+SUM(J93:J94)+SUM(J211:J213)+SUM(J381:J390)+J509+SUM(J550:J552)+SUM(J604:J606)+SUM(J667:J667)+J706+J763+SUM(J802:J803)</f>
        <v>48308</v>
      </c>
      <c r="K857" s="1">
        <f>+SUM(K93:K94)+SUM(K211:K213)+SUM(K381:K390)+K509+SUM(K550:K552)+SUM(K604:K606)+SUM(K667:K667)+K706+K763+SUM(K802:K803)</f>
        <v>28675</v>
      </c>
      <c r="L857" s="1">
        <f>+SUM(L93:L94)+SUM(L211:L213)+SUM(L381:L390)+L509+SUM(L550:L552)+SUM(L604:L606)+SUM(L667:L667)+L706+L763+SUM(L802:L803)</f>
        <v>14693</v>
      </c>
      <c r="M857" s="59">
        <f>SUM(J857:L857)</f>
        <v>91676</v>
      </c>
      <c r="N857" s="1">
        <f>+SUM(N93:N94)+SUM(N211:N213)+SUM(N381:N390)+N509+SUM(N550:N552)+SUM(N604:N606)+SUM(N667:N667)+N706+N763+SUM(N802:N803)</f>
        <v>6085</v>
      </c>
      <c r="O857" s="1">
        <f>+SUM(O93:O94)+SUM(O211:O213)+SUM(O381:O390)+O509+SUM(O550:O552)+SUM(O604:O606)+SUM(O667:O667)+O706+O763+SUM(O802:O803)</f>
        <v>2870</v>
      </c>
      <c r="P857" s="1">
        <f>+SUM(P93:P94)+SUM(P211:P213)+SUM(P381:P390)+P509+SUM(P550:P552)+SUM(P604:P606)+SUM(P667:P667)+P706+P763+SUM(P802:P803)</f>
        <v>3998</v>
      </c>
      <c r="Q857" s="59">
        <f>SUM(N857:P857)</f>
        <v>12953</v>
      </c>
      <c r="R857" s="59">
        <f>+E857+I857+M857+Q857</f>
        <v>273854</v>
      </c>
    </row>
    <row r="858" spans="1:20" ht="15.75" customHeight="1" thickBot="1" x14ac:dyDescent="0.35">
      <c r="A858" s="17" t="s">
        <v>56</v>
      </c>
      <c r="B858" s="1">
        <f>+B95+B510+B553+B607+B668+B707+B764+B804+B391+B214+B45</f>
        <v>0</v>
      </c>
      <c r="C858" s="1">
        <f>+C95+C510+C553+C607+C668+C707+C764+C804+C391+C214+C45</f>
        <v>0</v>
      </c>
      <c r="D858" s="1">
        <f>+D95+D510+D553+D607+D668+D707+D764+D804+D391+D214+D45</f>
        <v>0</v>
      </c>
      <c r="E858" s="59">
        <f>SUM(B858:D858)</f>
        <v>0</v>
      </c>
      <c r="F858" s="1">
        <f>+F95+F510+F553+F607+F668+F707+F764+F804+F391+F214+F45</f>
        <v>0</v>
      </c>
      <c r="G858" s="1">
        <f>+G95+G510+G553+G607+G668+G707+G764+G804+G391+G214+G45</f>
        <v>0</v>
      </c>
      <c r="H858" s="1">
        <f>+H95+H510+H553+H607+H668+H707+H764+H804+H391+H214+H45</f>
        <v>0</v>
      </c>
      <c r="I858" s="59">
        <f>SUM(F858:H858)</f>
        <v>0</v>
      </c>
      <c r="J858" s="1">
        <f>+J95+J510+J553+J607+J668+J707+J764+J804+J391+J214+J45</f>
        <v>0</v>
      </c>
      <c r="K858" s="1">
        <f>+K95+K510+K553+K607+K668+K707+K764+K804+K391+K214+K45</f>
        <v>0</v>
      </c>
      <c r="L858" s="1">
        <f>+L95+L510+L553+L607+L668+L707+L764+L804+L391+L214+L45</f>
        <v>0</v>
      </c>
      <c r="M858" s="59">
        <f>SUM(J858:L858)</f>
        <v>0</v>
      </c>
      <c r="N858" s="1">
        <f>+N95+N510+N553+N607+N668+N707+N764+N804+N391+N214+N45</f>
        <v>0</v>
      </c>
      <c r="O858" s="1">
        <f>+O95+O510+O553+O607+O668+O707+O764+O804+O391+O214+O45</f>
        <v>0</v>
      </c>
      <c r="P858" s="1">
        <f>+P95+P510+P553+P607+P668+P707+P764+P804+P391+P214+P45</f>
        <v>0</v>
      </c>
      <c r="Q858" s="59">
        <f>SUM(N858:P858)</f>
        <v>0</v>
      </c>
      <c r="R858" s="59">
        <f>+E858+I858+M858+Q858</f>
        <v>0</v>
      </c>
    </row>
    <row r="859" spans="1:20" ht="16.5" customHeight="1" thickBot="1" x14ac:dyDescent="0.35">
      <c r="A859" s="62" t="s">
        <v>57</v>
      </c>
      <c r="B859" s="100">
        <f>SUM(B855:B858)</f>
        <v>3970</v>
      </c>
      <c r="C859" s="101">
        <f>SUM(C855:C858)</f>
        <v>8790</v>
      </c>
      <c r="D859" s="101">
        <f>SUM(D855:D858)</f>
        <v>26441</v>
      </c>
      <c r="E859" s="64">
        <f>SUM(B859:D859)</f>
        <v>39201</v>
      </c>
      <c r="F859" s="101">
        <f>SUM(F855:F858)</f>
        <v>45801</v>
      </c>
      <c r="G859" s="101">
        <f>SUM(G855:G858)</f>
        <v>41650</v>
      </c>
      <c r="H859" s="101">
        <f>SUM(H855:H858)</f>
        <v>42573</v>
      </c>
      <c r="I859" s="64">
        <f>SUM(F859:H859)</f>
        <v>130024</v>
      </c>
      <c r="J859" s="101">
        <f>SUM(J855:J858)</f>
        <v>48308</v>
      </c>
      <c r="K859" s="101">
        <f>SUM(K855:K858)</f>
        <v>28675</v>
      </c>
      <c r="L859" s="101">
        <f>SUM(L855:L858)</f>
        <v>14693</v>
      </c>
      <c r="M859" s="64">
        <f>SUM(J859:L859)</f>
        <v>91676</v>
      </c>
      <c r="N859" s="101">
        <f>SUM(N855:N858)</f>
        <v>6085</v>
      </c>
      <c r="O859" s="101">
        <f>SUM(O855:O858)</f>
        <v>2870</v>
      </c>
      <c r="P859" s="101">
        <f>SUM(P855:P858)</f>
        <v>3998</v>
      </c>
      <c r="Q859" s="64">
        <f>SUM(N859:P859)</f>
        <v>12953</v>
      </c>
      <c r="R859" s="64">
        <f>+E859+I859+M859+Q859</f>
        <v>273854</v>
      </c>
    </row>
    <row r="860" spans="1:20" ht="15.75" customHeight="1" x14ac:dyDescent="0.3">
      <c r="A860" s="17" t="s">
        <v>58</v>
      </c>
      <c r="B860" s="1"/>
      <c r="C860" s="1"/>
      <c r="D860" s="1"/>
      <c r="E860" s="59" t="s">
        <v>7</v>
      </c>
      <c r="F860" s="1"/>
      <c r="G860" s="1"/>
      <c r="H860" s="1"/>
      <c r="I860" s="59" t="s">
        <v>7</v>
      </c>
      <c r="J860" s="1"/>
      <c r="K860" s="1"/>
      <c r="L860" s="1"/>
      <c r="M860" s="59" t="s">
        <v>7</v>
      </c>
      <c r="N860" s="1"/>
      <c r="O860" s="1"/>
      <c r="P860" s="1"/>
      <c r="Q860" s="59" t="s">
        <v>7</v>
      </c>
      <c r="R860" s="59" t="s">
        <v>7</v>
      </c>
    </row>
    <row r="861" spans="1:20" ht="15.75" customHeight="1" x14ac:dyDescent="0.3">
      <c r="A861" s="164" t="s">
        <v>59</v>
      </c>
      <c r="B861" s="1">
        <f>+B48+B98+B217+SUM(B394:B396)+B513+B556+B610+B671+SUM(B710:B711)+B767+SUM(B807:B809)</f>
        <v>5457</v>
      </c>
      <c r="C861" s="1">
        <f>+C48+C98+C217+SUM(C394:C396)+C513+C556+C610+C671+SUM(C710:C711)+C767+SUM(C807:C809)</f>
        <v>10360</v>
      </c>
      <c r="D861" s="1">
        <f>+D48+D98+D217+SUM(D394:D396)+D513+D556+D610+D671+SUM(D710:D711)+D767+SUM(D807:D809)</f>
        <v>17980</v>
      </c>
      <c r="E861" s="59">
        <f>SUM(B861:D861)</f>
        <v>33797</v>
      </c>
      <c r="F861" s="1">
        <f>+F48+F98+F217+SUM(F394:F396)+F513+F556+F610+F671+SUM(F710:F711)+F767+SUM(F807:F809)</f>
        <v>19408</v>
      </c>
      <c r="G861" s="1">
        <f>+G48+G98+G217+SUM(G394:G396)+G513+G556+G610+G671+SUM(G710:G711)+G767+SUM(G807:G809)</f>
        <v>27190</v>
      </c>
      <c r="H861" s="1">
        <f>+H48+H98+H217+SUM(H394:H396)+H513+H556+H610+H671+SUM(H710:H711)+H767+SUM(H807:H809)</f>
        <v>31331</v>
      </c>
      <c r="I861" s="59">
        <f>SUM(F861:H861)</f>
        <v>77929</v>
      </c>
      <c r="J861" s="1">
        <f>+J48+J98+J217+SUM(J394:J396)+J513+J556+J610+J671+SUM(J710:J711)+J767+SUM(J807:J809)</f>
        <v>30059</v>
      </c>
      <c r="K861" s="1">
        <f>+K48+K98+K217+SUM(K394:K396)+K513+K556+K610+K671+SUM(K710:K711)+K767+SUM(K807:K809)</f>
        <v>28303</v>
      </c>
      <c r="L861" s="1">
        <f>+L48+L98+L217+SUM(L394:L396)+L513+L556+L610+L671+SUM(L710:L711)+L767+SUM(L807:L809)</f>
        <v>22295</v>
      </c>
      <c r="M861" s="59">
        <f>SUM(J861:L861)</f>
        <v>80657</v>
      </c>
      <c r="N861" s="1">
        <f>+N48+N98+N217+SUM(N394:N396)+N513+N556+N610+N671+SUM(N710:N711)+N767+SUM(N807:N809)</f>
        <v>16036</v>
      </c>
      <c r="O861" s="1">
        <f>+O48+O98+O217+SUM(O394:O396)+O513+O556+O610+O671+SUM(O710:O711)+O767+SUM(O807:O809)</f>
        <v>3564</v>
      </c>
      <c r="P861" s="1">
        <f>+P48+P98+P217+SUM(P394:P396)+P513+P556+P610+P671+SUM(P710:P711)+P767+SUM(P807:P809)</f>
        <v>12390</v>
      </c>
      <c r="Q861" s="59">
        <f>SUM(N861:P861)</f>
        <v>31990</v>
      </c>
      <c r="R861" s="59">
        <f>+E861+I861+M861+Q861</f>
        <v>224373</v>
      </c>
    </row>
    <row r="862" spans="1:20" ht="15.75" customHeight="1" thickBot="1" x14ac:dyDescent="0.35">
      <c r="A862" s="164" t="s">
        <v>60</v>
      </c>
      <c r="B862" s="1">
        <f>+B49+SUM(B99:B106)+SUM(B218:B280)+SUM(B397:B447)+SUM(B514:B516)+SUM(B557:B558)+SUM(B611:B616)+B672+SUM(B712:B721)+B768+SUM(B810:B814)</f>
        <v>24087</v>
      </c>
      <c r="C862" s="1">
        <f>+C49+SUM(C99:C106)+SUM(C218:C280)+SUM(C397:C447)+SUM(C514:C516)+SUM(C557:C558)+SUM(C611:C616)+C672+SUM(C712:C721)+C768+SUM(C810:C814)</f>
        <v>27748</v>
      </c>
      <c r="D862" s="1">
        <f>+D49+SUM(D99:D106)+SUM(D218:D280)+SUM(D397:D447)+SUM(D514:D516)+SUM(D557:D558)+SUM(D611:D616)+D672+SUM(D712:D721)+D768+SUM(D810:D814)</f>
        <v>34769</v>
      </c>
      <c r="E862" s="59">
        <f>SUM(B862:D862)</f>
        <v>86604</v>
      </c>
      <c r="F862" s="1">
        <f>+F49+SUM(F99:F106)+SUM(F218:F280)+SUM(F397:F447)+SUM(F514:F516)+SUM(F557:F558)+SUM(F611:F616)+F672+SUM(F712:F721)+F768+SUM(F810:F814)</f>
        <v>37752</v>
      </c>
      <c r="G862" s="1">
        <f>+G49+SUM(G99:G106)+SUM(G218:G280)+SUM(G397:G447)+SUM(G514:G516)+SUM(G557:G558)+SUM(G611:G616)+G672+SUM(G712:G721)+G768+SUM(G810:G814)</f>
        <v>41422</v>
      </c>
      <c r="H862" s="1">
        <f>+H49+SUM(H99:H106)+SUM(H218:H280)+SUM(H397:H447)+SUM(H514:H516)+SUM(H557:H558)+SUM(H611:H616)+H672+SUM(H712:H721)+H768+SUM(H810:H814)</f>
        <v>48028</v>
      </c>
      <c r="I862" s="59">
        <f>SUM(F862:H862)</f>
        <v>127202</v>
      </c>
      <c r="J862" s="1">
        <f>+J49+SUM(J99:J106)+SUM(J218:J280)+SUM(J397:J447)+SUM(J514:J516)+SUM(J557:J558)+SUM(J611:J616)+J672+SUM(J712:J721)+J768+SUM(J810:J814)</f>
        <v>19787</v>
      </c>
      <c r="K862" s="1">
        <f>+K49+SUM(K99:K106)+SUM(K218:K280)+SUM(K397:K447)+SUM(K514:K516)+SUM(K557:K558)+SUM(K611:K616)+K672+SUM(K712:K721)+K768+SUM(K810:K814)</f>
        <v>38094</v>
      </c>
      <c r="L862" s="1">
        <f>+L49+SUM(L99:L106)+SUM(L218:L280)+SUM(L397:L447)+SUM(L514:L516)+SUM(L557:L558)+SUM(L611:L616)+L672+SUM(L712:L721)+L768+SUM(L810:L814)</f>
        <v>31943</v>
      </c>
      <c r="M862" s="59">
        <f>SUM(J862:L862)</f>
        <v>89824</v>
      </c>
      <c r="N862" s="1">
        <f>+N49+SUM(N99:N106)+SUM(N218:N280)+SUM(N397:N447)+SUM(N514:N516)+SUM(N557:N558)+SUM(N611:N616)+N672+SUM(N712:N721)+N768+SUM(N810:N814)</f>
        <v>25887</v>
      </c>
      <c r="O862" s="1">
        <f>+O49+SUM(O99:O106)+SUM(O218:O280)+SUM(O397:O447)+SUM(O514:O516)+SUM(O557:O558)+SUM(O611:O616)+O672+SUM(O712:O721)+O768+SUM(O810:O814)</f>
        <v>7840</v>
      </c>
      <c r="P862" s="1">
        <f>+P49+SUM(P99:P106)+SUM(P218:P280)+SUM(P397:P447)+SUM(P514:P516)+SUM(P557:P558)+SUM(P611:P616)+P672+SUM(P712:P721)+P768+SUM(P810:P814)</f>
        <v>7658</v>
      </c>
      <c r="Q862" s="59">
        <f>SUM(N862:P862)</f>
        <v>41385</v>
      </c>
      <c r="R862" s="59">
        <f>+E862+I862+M862+Q862</f>
        <v>345015</v>
      </c>
    </row>
    <row r="863" spans="1:20" ht="16.5" customHeight="1" thickBot="1" x14ac:dyDescent="0.35">
      <c r="A863" s="62" t="s">
        <v>61</v>
      </c>
      <c r="B863" s="100">
        <f>SUM(B860:B862)</f>
        <v>29544</v>
      </c>
      <c r="C863" s="101">
        <f>SUM(C860:C862)</f>
        <v>38108</v>
      </c>
      <c r="D863" s="138">
        <f>SUM(D860:D862)</f>
        <v>52749</v>
      </c>
      <c r="E863" s="64">
        <f>SUM(B863:D863)</f>
        <v>120401</v>
      </c>
      <c r="F863" s="101">
        <f>SUM(F860:F862)</f>
        <v>57160</v>
      </c>
      <c r="G863" s="101">
        <f>SUM(G860:G862)</f>
        <v>68612</v>
      </c>
      <c r="H863" s="101">
        <f>SUM(H860:H862)</f>
        <v>79359</v>
      </c>
      <c r="I863" s="64">
        <f>SUM(F863:H863)</f>
        <v>205131</v>
      </c>
      <c r="J863" s="101">
        <f>SUM(J860:J862)</f>
        <v>49846</v>
      </c>
      <c r="K863" s="101">
        <f>SUM(K860:K862)</f>
        <v>66397</v>
      </c>
      <c r="L863" s="101">
        <f>SUM(L860:L862)</f>
        <v>54238</v>
      </c>
      <c r="M863" s="64">
        <f>SUM(J863:L863)</f>
        <v>170481</v>
      </c>
      <c r="N863" s="101">
        <f>SUM(N860:N862)</f>
        <v>41923</v>
      </c>
      <c r="O863" s="101">
        <f>SUM(O860:O862)</f>
        <v>11404</v>
      </c>
      <c r="P863" s="101">
        <f>SUM(P860:P862)</f>
        <v>20048</v>
      </c>
      <c r="Q863" s="64">
        <f>SUM(N863:P863)</f>
        <v>73375</v>
      </c>
      <c r="R863" s="64">
        <f>+E863+I863+M863+Q863</f>
        <v>569388</v>
      </c>
      <c r="T863" s="4">
        <v>1600000</v>
      </c>
    </row>
    <row r="864" spans="1:20" ht="20.25" customHeight="1" x14ac:dyDescent="0.3">
      <c r="A864" s="17" t="s">
        <v>623</v>
      </c>
      <c r="B864" s="1"/>
      <c r="C864" s="1"/>
      <c r="D864" s="1"/>
      <c r="E864" s="59" t="s">
        <v>7</v>
      </c>
      <c r="F864" s="1"/>
      <c r="G864" s="1"/>
      <c r="H864" s="1"/>
      <c r="I864" s="59" t="s">
        <v>7</v>
      </c>
      <c r="J864" s="1"/>
      <c r="K864" s="1"/>
      <c r="L864" s="1"/>
      <c r="M864" s="59" t="s">
        <v>7</v>
      </c>
      <c r="N864" s="1"/>
      <c r="O864" s="1"/>
      <c r="P864" s="1"/>
      <c r="Q864" s="59" t="s">
        <v>7</v>
      </c>
      <c r="R864" s="59" t="s">
        <v>7</v>
      </c>
      <c r="T864" s="4">
        <f>+T863-28000-R848-R849-400000-R861-R862+12000</f>
        <v>3787</v>
      </c>
    </row>
    <row r="865" spans="1:18" ht="15.75" customHeight="1" x14ac:dyDescent="0.3">
      <c r="A865" s="17" t="s">
        <v>624</v>
      </c>
      <c r="B865" s="1">
        <f>SUM(B52:B52)+SUM(B109:B117)+SUM(B283:B286)+SUM(B450:B451)+SUM(B519:B519)+B561+SUM(B619:B621)+B675+B724+B771+SUM(B817:B819)</f>
        <v>0</v>
      </c>
      <c r="C865" s="1">
        <f>SUM(C52:C52)+SUM(C109:C117)+SUM(C283:C286)+SUM(C450:C451)+SUM(C519:C519)+C561+SUM(C619:C621)+C675+C724+C771+SUM(C817:C819)</f>
        <v>0</v>
      </c>
      <c r="D865" s="1">
        <f>SUM(D52:D52)+SUM(D109:D117)+SUM(D283:D286)+SUM(D450:D451)+SUM(D519:D519)+D561+SUM(D619:D621)+D675+D724+D771+SUM(D817:D819)</f>
        <v>0</v>
      </c>
      <c r="E865" s="59">
        <f t="shared" ref="E865:E873" si="279">SUM(B865:D865)</f>
        <v>0</v>
      </c>
      <c r="F865" s="1">
        <f>SUM(F52:F52)+SUM(F109:F117)+SUM(F283:F286)+SUM(F450:F451)+SUM(F519:F519)+F561+SUM(F619:F621)+F675+F724+F771+SUM(F817:F819)</f>
        <v>0</v>
      </c>
      <c r="G865" s="1">
        <f>SUM(G52:G52)+SUM(G109:G117)+SUM(G283:G286)+SUM(G450:G451)+SUM(G519:G519)+G561+SUM(G619:G621)+G675+G724+G771+SUM(G817:G819)</f>
        <v>0</v>
      </c>
      <c r="H865" s="1">
        <f>SUM(H52:H52)+SUM(H109:H117)+SUM(H283:H286)+SUM(H450:H451)+SUM(H519:H519)+H561+SUM(H619:H621)+H675+H724+H771+SUM(H817:H819)</f>
        <v>0</v>
      </c>
      <c r="I865" s="59">
        <f t="shared" ref="I865:I873" si="280">SUM(F865:H865)</f>
        <v>0</v>
      </c>
      <c r="J865" s="1">
        <f>SUM(J52:J52)+SUM(J109:J117)+SUM(J283:J286)+SUM(J450:J451)+SUM(J519:J519)+J561+SUM(J619:J621)+J675+J724+J771+SUM(J817:J819)</f>
        <v>0</v>
      </c>
      <c r="K865" s="1">
        <f>SUM(K52:K52)+SUM(K109:K117)+SUM(K283:K286)+SUM(K450:K451)+SUM(K519:K519)+K561+SUM(K619:K621)+K675+K724+K771+SUM(K817:K819)</f>
        <v>0</v>
      </c>
      <c r="L865" s="1">
        <f>SUM(L52:L52)+SUM(L109:L117)+SUM(L283:L286)+SUM(L450:L451)+SUM(L519:L519)+L561+SUM(L619:L621)+L675+L724+L771+SUM(L817:L819)</f>
        <v>0</v>
      </c>
      <c r="M865" s="59">
        <f t="shared" ref="M865:M873" si="281">SUM(J865:L865)</f>
        <v>0</v>
      </c>
      <c r="N865" s="1">
        <f>SUM(N52:N52)+SUM(N109:N117)+SUM(N283:N286)+SUM(N450:N451)+SUM(N519:N519)+N561+SUM(N619:N621)+N675+N724+N771+SUM(N817:N819)</f>
        <v>0</v>
      </c>
      <c r="O865" s="1">
        <f>SUM(O52:O52)+SUM(O109:O117)+SUM(O283:O286)+SUM(O450:O451)+SUM(O519:O519)+O561+SUM(O619:O621)+O675+O724+O771+SUM(O817:O819)</f>
        <v>0</v>
      </c>
      <c r="P865" s="1">
        <f>SUM(P52:P52)+SUM(P109:P117)+SUM(P283:P286)+SUM(P450:P451)+SUM(P519:P519)+P561+SUM(P619:P621)+P675+P724+P771+SUM(P817:P819)</f>
        <v>0</v>
      </c>
      <c r="Q865" s="59">
        <f t="shared" ref="Q865:Q873" si="282">SUM(N865:P865)</f>
        <v>0</v>
      </c>
      <c r="R865" s="59">
        <f>+E865+I865+M865+Q865</f>
        <v>0</v>
      </c>
    </row>
    <row r="866" spans="1:18" ht="15.75" customHeight="1" x14ac:dyDescent="0.3">
      <c r="A866" s="17" t="s">
        <v>64</v>
      </c>
      <c r="B866" s="1">
        <f>SUM(B53:B54)+SUM(B118:B119)+SUM(B287:B288)+B290+B292+B294+B295+SUM(B452:B454)+B520+B562+SUM(B622:B623)+B625+SUM(B676:B677)+B726+B728+B772+SUM(B820:B821)</f>
        <v>0</v>
      </c>
      <c r="C866" s="1">
        <f>SUM(C53:C54)+SUM(C118:C119)+SUM(C287:C288)+C290+C292+C294+C295+SUM(C452:C454)+C520+C562+SUM(C622:C623)+C625+SUM(C676:C677)+C726+C728+C772+SUM(C820:C821)</f>
        <v>0</v>
      </c>
      <c r="D866" s="1">
        <f>SUM(D53:D54)+SUM(D118:D119)+SUM(D287:D288)+D290+D292+D294+D295+SUM(D452:D454)+D520+D562+SUM(D622:D623)+D625+SUM(D676:D677)+D726+D728+D772+SUM(D820:D821)</f>
        <v>0</v>
      </c>
      <c r="E866" s="59">
        <f t="shared" si="279"/>
        <v>0</v>
      </c>
      <c r="F866" s="1">
        <f>SUM(F53:F54)+SUM(F118:F119)+SUM(F287:F288)+F290+F292+F294+F295+SUM(F452:F454)+F520+F562+SUM(F622:F623)+F625+SUM(F676:F677)+F726+F728+F772+SUM(F820:F821)</f>
        <v>0</v>
      </c>
      <c r="G866" s="1">
        <f>SUM(G53:G54)+SUM(G118:G119)+SUM(G287:G288)+G290+G292+G294+G295+SUM(G452:G454)+G520+G562+SUM(G622:G623)+G625+SUM(G676:G677)+G726+G728+G772+SUM(G820:G821)</f>
        <v>0</v>
      </c>
      <c r="H866" s="1">
        <f>SUM(H53:H54)+SUM(H118:H119)+SUM(H287:H288)+H290+H292+H294+H295+SUM(H452:H454)+H520+H562+SUM(H622:H623)+H625+SUM(H676:H677)+H726+H728+H772+SUM(H820:H821)</f>
        <v>0</v>
      </c>
      <c r="I866" s="59">
        <f t="shared" si="280"/>
        <v>0</v>
      </c>
      <c r="J866" s="1">
        <f>SUM(J53:J54)+SUM(J118:J119)+SUM(J287:J288)+J290+J292+J294+J295+SUM(J452:J454)+J520+J562+SUM(J622:J623)+J625+SUM(J676:J677)+J726+J728+J772+SUM(J820:J821)</f>
        <v>0</v>
      </c>
      <c r="K866" s="1">
        <f>SUM(K53:K54)+SUM(K118:K119)+SUM(K287:K288)+K290+K292+K294+K295+SUM(K452:K454)+K520+K562+SUM(K622:K623)+K625+SUM(K676:K677)+K726+K728+K772+SUM(K820:K821)</f>
        <v>0</v>
      </c>
      <c r="L866" s="1">
        <f>SUM(L53:L54)+SUM(L118:L119)+SUM(L287:L288)+L290+L292+L294+L295+SUM(L452:L454)+L520+L562+SUM(L622:L623)+L625+SUM(L676:L677)+L726+L728+L772+SUM(L820:L821)</f>
        <v>0</v>
      </c>
      <c r="M866" s="59">
        <f t="shared" si="281"/>
        <v>0</v>
      </c>
      <c r="N866" s="1">
        <f>SUM(N53:N54)+SUM(N118:N119)+SUM(N287:N288)+N290+N292+N294+N295+SUM(N452:N454)+N520+N562+SUM(N622:N623)+N625+SUM(N676:N677)+N726+N728+N772+SUM(N820:N821)</f>
        <v>0</v>
      </c>
      <c r="O866" s="1">
        <f>SUM(O53:O54)+SUM(O118:O119)+SUM(O287:O288)+O290+O292+O294+O295+SUM(O452:O454)+O520+O562+SUM(O622:O623)+O625+SUM(O676:O677)+O726+O728+O772+SUM(O820:O821)</f>
        <v>0</v>
      </c>
      <c r="P866" s="1">
        <f>SUM(P53:P54)+SUM(P118:P119)+SUM(P287:P288)+P290+P292+P294+P295+SUM(P452:P454)+P520+P562+SUM(P622:P623)+P625+SUM(P676:P677)+P726+P728+P772+SUM(P820:P821)</f>
        <v>0</v>
      </c>
      <c r="Q866" s="59">
        <f t="shared" si="282"/>
        <v>0</v>
      </c>
      <c r="R866" s="59">
        <f t="shared" ref="R866:R873" si="283">+E866+I866+M866+Q866</f>
        <v>0</v>
      </c>
    </row>
    <row r="867" spans="1:18" ht="17.399999999999999" x14ac:dyDescent="0.3">
      <c r="A867" s="74" t="s">
        <v>625</v>
      </c>
      <c r="B867" s="1">
        <f>B120+B289+B291+B293+B624+B626+B727+B729+B822</f>
        <v>0</v>
      </c>
      <c r="C867" s="1">
        <f>C120+C289+C291+C293+C624+C626+C727+C729+C822</f>
        <v>0</v>
      </c>
      <c r="D867" s="1">
        <f>D120+D289+D291+D293+D624+D626+D727+D729+D822</f>
        <v>0</v>
      </c>
      <c r="E867" s="59">
        <f t="shared" si="279"/>
        <v>0</v>
      </c>
      <c r="F867" s="1">
        <f>F120+F289+F291+F293+F624+F626+F727+F729+F822</f>
        <v>0</v>
      </c>
      <c r="G867" s="1">
        <f>G120+G289+G291+G293+G624+G626+G727+G729+G822</f>
        <v>0</v>
      </c>
      <c r="H867" s="1">
        <f>H120+H289+H291+H293+H624+H626+H727+H729+H822</f>
        <v>0</v>
      </c>
      <c r="I867" s="59">
        <f t="shared" si="280"/>
        <v>0</v>
      </c>
      <c r="J867" s="1">
        <f>J120+J289+J291+J293+J624+J626+J727+J729+J822</f>
        <v>0</v>
      </c>
      <c r="K867" s="1">
        <f>K120+K289+K291+K293+K624+K626+K727+K729+K822</f>
        <v>0</v>
      </c>
      <c r="L867" s="1">
        <f>L120+L289+L291+L293+L624+L626+L727+L729+L822</f>
        <v>0</v>
      </c>
      <c r="M867" s="59">
        <f t="shared" si="281"/>
        <v>0</v>
      </c>
      <c r="N867" s="1">
        <f>N120+N289+N291+N293+N624+N626+N727+N729+N822</f>
        <v>0</v>
      </c>
      <c r="O867" s="1">
        <f>O120+O289+O291+O293+O624+O626+O727+O729+O822</f>
        <v>0</v>
      </c>
      <c r="P867" s="1">
        <f>P120+P289+P291+P293+P624+P626+P727+P729+P822</f>
        <v>0</v>
      </c>
      <c r="Q867" s="59">
        <f t="shared" si="282"/>
        <v>0</v>
      </c>
      <c r="R867" s="59">
        <f t="shared" si="283"/>
        <v>0</v>
      </c>
    </row>
    <row r="868" spans="1:18" ht="15.75" customHeight="1" x14ac:dyDescent="0.3">
      <c r="A868" s="17" t="s">
        <v>626</v>
      </c>
      <c r="B868" s="1">
        <f>+B55+SUM(B121:B122)+SUM(B296:B297)+SUM(B455:B461)+SUM(B521:B521)+SUM(B563:B564)+SUM(B627:B629)+B678+B730+B823+B823+B773</f>
        <v>0</v>
      </c>
      <c r="C868" s="1">
        <f>+C55+SUM(C121:C122)+SUM(C296:C297)+SUM(C455:C461)+SUM(C521:C521)+SUM(C563:C564)+SUM(C627:C629)+C678+C730+C823+C823+C773</f>
        <v>0</v>
      </c>
      <c r="D868" s="1">
        <f>+D55+SUM(D121:D122)+SUM(D296:D297)+SUM(D455:D461)+SUM(D521:D521)+SUM(D563:D564)+SUM(D627:D629)+D678+D730+D823+D823+D773</f>
        <v>0</v>
      </c>
      <c r="E868" s="59">
        <f t="shared" si="279"/>
        <v>0</v>
      </c>
      <c r="F868" s="1">
        <f>+F55+SUM(F121:F122)+SUM(F296:F297)+SUM(F455:F461)+SUM(F521:F521)+SUM(F563:F564)+SUM(F627:F629)+F678+F730+F823+F823+F773</f>
        <v>0</v>
      </c>
      <c r="G868" s="1">
        <f>+G55+SUM(G121:G122)+SUM(G296:G297)+SUM(G455:G461)+SUM(G521:G521)+SUM(G563:G564)+SUM(G627:G629)+G678+G730+G823+G823+G773</f>
        <v>0</v>
      </c>
      <c r="H868" s="1">
        <f>+H55+SUM(H121:H122)+SUM(H296:H297)+SUM(H455:H461)+SUM(H521:H521)+SUM(H563:H564)+SUM(H627:H629)+H678+H730+H823+H823+H773</f>
        <v>0</v>
      </c>
      <c r="I868" s="59">
        <f t="shared" si="280"/>
        <v>0</v>
      </c>
      <c r="J868" s="1">
        <f>+J55+SUM(J121:J122)+SUM(J296:J297)+SUM(J455:J461)+SUM(J521:J521)+SUM(J563:J564)+SUM(J627:J629)+J678+J730+J823+J823+J773</f>
        <v>0</v>
      </c>
      <c r="K868" s="1">
        <f>+K55+SUM(K121:K122)+SUM(K296:K297)+SUM(K455:K461)+SUM(K521:K521)+SUM(K563:K564)+SUM(K627:K629)+K678+K730+K823+K823+K773</f>
        <v>0</v>
      </c>
      <c r="L868" s="1">
        <f>+L55+SUM(L121:L122)+SUM(L296:L297)+SUM(L455:L461)+SUM(L521:L521)+SUM(L563:L564)+SUM(L627:L629)+L678+L730+L823+L823+L773</f>
        <v>0</v>
      </c>
      <c r="M868" s="59">
        <f t="shared" si="281"/>
        <v>0</v>
      </c>
      <c r="N868" s="1">
        <f>+N55+SUM(N121:N122)+SUM(N296:N297)+SUM(N455:N461)+SUM(N521:N521)+SUM(N563:N564)+SUM(N627:N629)+N678+N730+N823+N823+N773</f>
        <v>0</v>
      </c>
      <c r="O868" s="1">
        <f>+O55+SUM(O121:O122)+SUM(O296:O297)+SUM(O455:O461)+SUM(O521:O521)+SUM(O563:O564)+SUM(O627:O629)+O678+O730+O823+O823+O773</f>
        <v>0</v>
      </c>
      <c r="P868" s="1">
        <f>+P55+SUM(P121:P122)+SUM(P296:P297)+SUM(P455:P461)+SUM(P521:P521)+SUM(P563:P564)+SUM(P627:P629)+P678+P730+P823+P823+P773</f>
        <v>0</v>
      </c>
      <c r="Q868" s="59">
        <f t="shared" si="282"/>
        <v>0</v>
      </c>
      <c r="R868" s="59">
        <f>+E868+I868+M868+Q868</f>
        <v>0</v>
      </c>
    </row>
    <row r="869" spans="1:18" ht="22.5" customHeight="1" x14ac:dyDescent="0.3">
      <c r="A869" s="17" t="s">
        <v>67</v>
      </c>
      <c r="B869" s="1">
        <f>SUM(B125:B125)+SUM(B298:B299)+B463+B466+B467+B469+B472+SUM(B522:B523)+B566+B569+B630+B631+B633+B679+B731+B774+B824</f>
        <v>0</v>
      </c>
      <c r="C869" s="1">
        <f>SUM(C125:C125)+SUM(C298:C299)+C463+C466+C467+C469+C472+SUM(C522:C523)+C566+C569+C630+C631+C633+C679+C731+C774+C824</f>
        <v>0</v>
      </c>
      <c r="D869" s="1">
        <f>SUM(D125:D125)+SUM(D298:D299)+D463+D466+D467+D469+D472+SUM(D522:D523)+D566+D569+D630+D631+D633+D679+D731+D774+D824</f>
        <v>0</v>
      </c>
      <c r="E869" s="59">
        <f t="shared" si="279"/>
        <v>0</v>
      </c>
      <c r="F869" s="1">
        <f>SUM(F125:F125)+SUM(F298:F299)+F463+F466+F467+F469+F472+SUM(F522:F523)+F566+F569+F630+F631+F633+F679+F731+F774+F824</f>
        <v>0</v>
      </c>
      <c r="G869" s="1">
        <f>SUM(G125:G125)+SUM(G298:G299)+G463+G466+G467+G469+G472+SUM(G522:G523)+G566+G569+G630+G631+G633+G679+G731+G774+G824</f>
        <v>0</v>
      </c>
      <c r="H869" s="1">
        <f>SUM(H125:H125)+SUM(H298:H299)+H463+H466+H467+H469+H472+SUM(H522:H523)+H566+H569+H630+H631+H633+H679+H731+H774+H824</f>
        <v>0</v>
      </c>
      <c r="I869" s="59">
        <f t="shared" si="280"/>
        <v>0</v>
      </c>
      <c r="J869" s="1">
        <f>SUM(J125:J125)+SUM(J298:J299)+J463+J466+J467+J469+J472+SUM(J522:J523)+J566+J569+J630+J631+J633+J679+J731+J774+J824</f>
        <v>0</v>
      </c>
      <c r="K869" s="1">
        <f>SUM(K125:K125)+SUM(K298:K299)+K463+K466+K467+K469+K472+SUM(K522:K523)+K566+K569+K630+K631+K633+K679+K731+K774+K824</f>
        <v>0</v>
      </c>
      <c r="L869" s="1">
        <f>SUM(L125:L125)+SUM(L298:L299)+L463+L466+L467+L469+L472+SUM(L522:L523)+L566+L569+L630+L631+L633+L679+L731+L774+L824</f>
        <v>0</v>
      </c>
      <c r="M869" s="59">
        <f t="shared" si="281"/>
        <v>0</v>
      </c>
      <c r="N869" s="1">
        <f>SUM(N125:N125)+SUM(N298:N299)+N463+N466+N467+N469+N472+SUM(N522:N523)+N566+N569+N630+N631+N633+N679+N731+N774+N824</f>
        <v>0</v>
      </c>
      <c r="O869" s="1">
        <f>SUM(O125:O125)+SUM(O298:O299)+O463+O466+O467+O469+O472+SUM(O522:O523)+O566+O569+O630+O631+O633+O679+O731+O774+O824</f>
        <v>0</v>
      </c>
      <c r="P869" s="1">
        <f>SUM(P125:P125)+SUM(P298:P299)+P463+P466+P467+P469+P472+SUM(P522:P523)+P566+P569+P630+P631+P633+P679+P731+P774+P824</f>
        <v>0</v>
      </c>
      <c r="Q869" s="59">
        <f t="shared" si="282"/>
        <v>0</v>
      </c>
      <c r="R869" s="59">
        <f>+E869+I869+M869+Q869</f>
        <v>0</v>
      </c>
    </row>
    <row r="870" spans="1:18" ht="18" thickBot="1" x14ac:dyDescent="0.35">
      <c r="A870" s="74" t="s">
        <v>627</v>
      </c>
      <c r="B870" s="1">
        <f>+B464+B468+B470+B524+B124+B465+B471+B567+B568+B632</f>
        <v>0</v>
      </c>
      <c r="C870" s="1">
        <f>+C464+C468+C470+C524+C124+C465+C471+C567+C568+C632</f>
        <v>0</v>
      </c>
      <c r="D870" s="1">
        <f>+D464+D468+D470+D524+D124+D465+D471+D567+D568+D632</f>
        <v>0</v>
      </c>
      <c r="E870" s="59">
        <f>SUM(B870:D870)</f>
        <v>0</v>
      </c>
      <c r="F870" s="1">
        <f>+F464+F468+F470+F524+F124+F465+F471+F567+F568+F632</f>
        <v>0</v>
      </c>
      <c r="G870" s="1">
        <f>+G464+G468+G470+G524+G124+G465+G471+G567+G568+G632</f>
        <v>0</v>
      </c>
      <c r="H870" s="1">
        <f>+H464+H468+H470+H524+H124+H465+H471+H567+H568+H632</f>
        <v>0</v>
      </c>
      <c r="I870" s="59">
        <f>SUM(F870:H870)</f>
        <v>0</v>
      </c>
      <c r="J870" s="1">
        <f>+J464+J468+J470+J524+J124+J465+J471+J567+J568+J632</f>
        <v>0</v>
      </c>
      <c r="K870" s="1">
        <f>+K464+K468+K470+K524+K124+K465+K471+K567+K568+K632</f>
        <v>0</v>
      </c>
      <c r="L870" s="1">
        <f>+L464+L468+L470+L524+L124+L465+L471+L567+L568+L632</f>
        <v>0</v>
      </c>
      <c r="M870" s="59">
        <f>SUM(J870:L870)</f>
        <v>0</v>
      </c>
      <c r="N870" s="1">
        <f>+N464+N468+N470+N524+N124+N465+N471+N567+N568+N632</f>
        <v>0</v>
      </c>
      <c r="O870" s="1">
        <f>+O464+O468+O470+O524+O124+O465+O471+O567+O568+O632</f>
        <v>0</v>
      </c>
      <c r="P870" s="1">
        <f>+P464+P468+P470+P524+P124+P465+P471+P567+P568+P632</f>
        <v>0</v>
      </c>
      <c r="Q870" s="59">
        <f>SUM(N870:P870)</f>
        <v>0</v>
      </c>
      <c r="R870" s="59">
        <f>+E870+I870+M870+Q870</f>
        <v>0</v>
      </c>
    </row>
    <row r="871" spans="1:18" ht="16.5" customHeight="1" thickBot="1" x14ac:dyDescent="0.35">
      <c r="A871" s="62" t="s">
        <v>68</v>
      </c>
      <c r="B871" s="148">
        <f>SUM(B868:B870)</f>
        <v>0</v>
      </c>
      <c r="C871" s="148">
        <f>SUM(C868:C870)</f>
        <v>0</v>
      </c>
      <c r="D871" s="148">
        <f>SUM(D868:D870)</f>
        <v>0</v>
      </c>
      <c r="E871" s="65">
        <f t="shared" si="279"/>
        <v>0</v>
      </c>
      <c r="F871" s="148">
        <f>SUM(F868:F870)</f>
        <v>0</v>
      </c>
      <c r="G871" s="148">
        <f>SUM(G868:G870)</f>
        <v>0</v>
      </c>
      <c r="H871" s="148">
        <f>SUM(H868:H870)</f>
        <v>0</v>
      </c>
      <c r="I871" s="65">
        <f t="shared" si="280"/>
        <v>0</v>
      </c>
      <c r="J871" s="148">
        <f>SUM(J868:J870)</f>
        <v>0</v>
      </c>
      <c r="K871" s="148">
        <f>SUM(K868:K870)</f>
        <v>0</v>
      </c>
      <c r="L871" s="148">
        <f>SUM(L868:L870)</f>
        <v>0</v>
      </c>
      <c r="M871" s="65">
        <f t="shared" si="281"/>
        <v>0</v>
      </c>
      <c r="N871" s="148">
        <f>SUM(N868:N870)</f>
        <v>0</v>
      </c>
      <c r="O871" s="148">
        <f>SUM(O868:O870)</f>
        <v>0</v>
      </c>
      <c r="P871" s="148">
        <f>SUM(P868:P870)</f>
        <v>0</v>
      </c>
      <c r="Q871" s="65">
        <f t="shared" si="282"/>
        <v>0</v>
      </c>
      <c r="R871" s="64">
        <f t="shared" si="283"/>
        <v>0</v>
      </c>
    </row>
    <row r="872" spans="1:18" ht="16.5" customHeight="1" thickBot="1" x14ac:dyDescent="0.35">
      <c r="A872" s="137" t="s">
        <v>69</v>
      </c>
      <c r="B872" s="100">
        <f>SUM(B864:B870)</f>
        <v>0</v>
      </c>
      <c r="C872" s="101">
        <f>SUM(C864:C870)</f>
        <v>0</v>
      </c>
      <c r="D872" s="138">
        <f>SUM(D864:D870)</f>
        <v>0</v>
      </c>
      <c r="E872" s="165">
        <f t="shared" si="279"/>
        <v>0</v>
      </c>
      <c r="F872" s="100">
        <f>SUM(F864:F870)</f>
        <v>0</v>
      </c>
      <c r="G872" s="101">
        <f>SUM(G864:G870)</f>
        <v>0</v>
      </c>
      <c r="H872" s="138">
        <f>SUM(H864:H870)</f>
        <v>0</v>
      </c>
      <c r="I872" s="65">
        <f t="shared" si="280"/>
        <v>0</v>
      </c>
      <c r="J872" s="100">
        <f>SUM(J864:J870)</f>
        <v>0</v>
      </c>
      <c r="K872" s="101">
        <f>SUM(K864:K870)</f>
        <v>0</v>
      </c>
      <c r="L872" s="138">
        <f>SUM(L864:L870)</f>
        <v>0</v>
      </c>
      <c r="M872" s="65">
        <f t="shared" si="281"/>
        <v>0</v>
      </c>
      <c r="N872" s="100">
        <f>SUM(N864:N870)</f>
        <v>0</v>
      </c>
      <c r="O872" s="101">
        <f>SUM(O864:O870)</f>
        <v>0</v>
      </c>
      <c r="P872" s="138">
        <f>SUM(P864:P870)</f>
        <v>0</v>
      </c>
      <c r="Q872" s="65">
        <f t="shared" si="282"/>
        <v>0</v>
      </c>
      <c r="R872" s="64">
        <f t="shared" si="283"/>
        <v>0</v>
      </c>
    </row>
    <row r="873" spans="1:18" ht="16.5" customHeight="1" thickBot="1" x14ac:dyDescent="0.35">
      <c r="A873" s="62" t="s">
        <v>70</v>
      </c>
      <c r="B873" s="149">
        <f>+B854+B859+B863+B872</f>
        <v>66549</v>
      </c>
      <c r="C873" s="150">
        <f>+C854+C859+C863+C872</f>
        <v>82541</v>
      </c>
      <c r="D873" s="150">
        <f>+D854+D859+D863+D872</f>
        <v>122274</v>
      </c>
      <c r="E873" s="64">
        <f t="shared" si="279"/>
        <v>271364</v>
      </c>
      <c r="F873" s="63">
        <f>+F854+F859+F863+F872</f>
        <v>161298</v>
      </c>
      <c r="G873" s="63">
        <f>+G854+G859+G863+G872</f>
        <v>180958</v>
      </c>
      <c r="H873" s="63">
        <f>+H854+H859+H863+H872</f>
        <v>195407</v>
      </c>
      <c r="I873" s="64">
        <f t="shared" si="280"/>
        <v>537663</v>
      </c>
      <c r="J873" s="63">
        <f>+J854+J859+J863+J872</f>
        <v>186109</v>
      </c>
      <c r="K873" s="63">
        <f>+K854+K859+K863+K872</f>
        <v>168077</v>
      </c>
      <c r="L873" s="63">
        <f>+L854+L859+L863+L872</f>
        <v>131864</v>
      </c>
      <c r="M873" s="64">
        <f t="shared" si="281"/>
        <v>486050</v>
      </c>
      <c r="N873" s="63">
        <f>+N854+N859+N863+N872</f>
        <v>96756</v>
      </c>
      <c r="O873" s="63">
        <f>+O854+O859+O863+O872</f>
        <v>31769</v>
      </c>
      <c r="P873" s="63">
        <f>+P854+P859+P863+P872</f>
        <v>46241</v>
      </c>
      <c r="Q873" s="64">
        <f t="shared" si="282"/>
        <v>174766</v>
      </c>
      <c r="R873" s="88">
        <f t="shared" si="283"/>
        <v>1469843</v>
      </c>
    </row>
    <row r="874" spans="1:18" ht="15.75" customHeight="1" x14ac:dyDescent="0.3">
      <c r="A874" s="1" t="s">
        <v>628</v>
      </c>
      <c r="B874" s="1"/>
      <c r="C874" s="1"/>
      <c r="D874" s="1"/>
      <c r="E874" s="1"/>
      <c r="F874" s="1"/>
      <c r="G874" s="1"/>
      <c r="H874" s="1"/>
      <c r="I874" s="1"/>
      <c r="J874" s="1"/>
      <c r="K874" s="1"/>
      <c r="L874" s="1"/>
      <c r="M874" s="1"/>
      <c r="N874" s="1"/>
      <c r="O874" s="166"/>
      <c r="P874" s="1"/>
      <c r="Q874" s="1"/>
      <c r="R874" s="28"/>
    </row>
    <row r="875" spans="1:18" ht="15.75" customHeight="1" x14ac:dyDescent="0.3">
      <c r="A875" s="1" t="s">
        <v>629</v>
      </c>
      <c r="B875" s="1"/>
      <c r="C875" s="1"/>
      <c r="D875" s="1"/>
      <c r="E875" s="1"/>
      <c r="F875" s="1"/>
      <c r="G875" s="1"/>
      <c r="H875" s="1"/>
      <c r="I875" s="1"/>
      <c r="J875" s="1"/>
      <c r="K875" s="1"/>
      <c r="L875" s="1"/>
      <c r="M875" s="1"/>
      <c r="N875" s="1"/>
      <c r="O875" s="166"/>
      <c r="P875" s="1"/>
      <c r="Q875" s="1"/>
      <c r="R875" s="28"/>
    </row>
    <row r="876" spans="1:18" ht="15.75" customHeight="1" x14ac:dyDescent="0.3">
      <c r="A876" s="1"/>
      <c r="B876" s="1"/>
      <c r="C876" s="1"/>
      <c r="D876" s="1"/>
      <c r="E876" s="1"/>
      <c r="F876" s="1"/>
      <c r="G876" s="1"/>
      <c r="H876" s="1"/>
      <c r="I876" s="1"/>
      <c r="J876" s="1"/>
      <c r="K876" s="1"/>
      <c r="L876" s="1"/>
      <c r="M876" s="1"/>
      <c r="N876" s="1"/>
      <c r="O876" s="166"/>
      <c r="P876" s="1"/>
      <c r="Q876" s="2" t="str">
        <f>+Q1</f>
        <v xml:space="preserve">PRINTED:  </v>
      </c>
      <c r="R876" s="163">
        <f ca="1">+R1</f>
        <v>44894.658168518516</v>
      </c>
    </row>
    <row r="877" spans="1:18" ht="15.75" customHeight="1" x14ac:dyDescent="0.3">
      <c r="A877" s="383" t="s">
        <v>1</v>
      </c>
      <c r="B877" s="383"/>
      <c r="C877" s="383"/>
      <c r="D877" s="383"/>
      <c r="E877" s="383"/>
      <c r="F877" s="383"/>
      <c r="G877" s="383"/>
      <c r="H877" s="383"/>
      <c r="I877" s="383"/>
      <c r="J877" s="383"/>
      <c r="K877" s="383"/>
      <c r="L877" s="383"/>
      <c r="M877" s="383"/>
      <c r="N877" s="383"/>
      <c r="O877" s="383"/>
      <c r="P877" s="383"/>
      <c r="Q877" s="383"/>
      <c r="R877" s="383"/>
    </row>
    <row r="878" spans="1:18" ht="15.75" customHeight="1" x14ac:dyDescent="0.3">
      <c r="A878" s="383" t="s">
        <v>2</v>
      </c>
      <c r="B878" s="383"/>
      <c r="C878" s="383"/>
      <c r="D878" s="383"/>
      <c r="E878" s="383"/>
      <c r="F878" s="383"/>
      <c r="G878" s="383"/>
      <c r="H878" s="383"/>
      <c r="I878" s="383"/>
      <c r="J878" s="383"/>
      <c r="K878" s="383"/>
      <c r="L878" s="383"/>
      <c r="M878" s="383"/>
      <c r="N878" s="383"/>
      <c r="O878" s="383"/>
      <c r="P878" s="383"/>
      <c r="Q878" s="383"/>
      <c r="R878" s="383"/>
    </row>
    <row r="879" spans="1:18" ht="15.75" customHeight="1" x14ac:dyDescent="0.3">
      <c r="A879" s="383" t="s">
        <v>3</v>
      </c>
      <c r="B879" s="383"/>
      <c r="C879" s="383"/>
      <c r="D879" s="383"/>
      <c r="E879" s="383"/>
      <c r="F879" s="383"/>
      <c r="G879" s="383"/>
      <c r="H879" s="383"/>
      <c r="I879" s="383"/>
      <c r="J879" s="383"/>
      <c r="K879" s="383"/>
      <c r="L879" s="383"/>
      <c r="M879" s="383"/>
      <c r="N879" s="383"/>
      <c r="O879" s="383"/>
      <c r="P879" s="383"/>
      <c r="Q879" s="383"/>
      <c r="R879" s="383"/>
    </row>
    <row r="880" spans="1:18" ht="15.75" customHeight="1" x14ac:dyDescent="0.3">
      <c r="A880" s="392">
        <f>+A5</f>
        <v>2019</v>
      </c>
      <c r="B880" s="392"/>
      <c r="C880" s="392"/>
      <c r="D880" s="392"/>
      <c r="E880" s="392"/>
      <c r="F880" s="392"/>
      <c r="G880" s="392"/>
      <c r="H880" s="392"/>
      <c r="I880" s="392"/>
      <c r="J880" s="392"/>
      <c r="K880" s="392"/>
      <c r="L880" s="392"/>
      <c r="M880" s="392"/>
      <c r="N880" s="392"/>
      <c r="O880" s="392"/>
      <c r="P880" s="392"/>
      <c r="Q880" s="392"/>
      <c r="R880" s="392"/>
    </row>
    <row r="881" spans="1:46" ht="15.75" customHeight="1" x14ac:dyDescent="0.3">
      <c r="A881" s="1"/>
      <c r="B881" s="1"/>
      <c r="C881" s="1"/>
      <c r="D881" s="7"/>
      <c r="E881" s="7"/>
      <c r="F881" s="7"/>
      <c r="G881" s="8"/>
      <c r="H881" s="7"/>
      <c r="I881" s="7"/>
      <c r="J881" s="8"/>
      <c r="K881" s="8"/>
      <c r="L881" s="8"/>
      <c r="M881" s="8"/>
      <c r="N881" s="1"/>
      <c r="O881" s="8"/>
      <c r="P881" s="8"/>
      <c r="Q881" s="8"/>
      <c r="R881" s="8"/>
    </row>
    <row r="882" spans="1:46" ht="15.75" customHeight="1" x14ac:dyDescent="0.3">
      <c r="A882" s="383" t="str">
        <f>+A8</f>
        <v>Revised:  11/27/2018</v>
      </c>
      <c r="B882" s="383"/>
      <c r="C882" s="383"/>
      <c r="D882" s="383"/>
      <c r="E882" s="383"/>
      <c r="F882" s="383"/>
      <c r="G882" s="383"/>
      <c r="H882" s="383"/>
      <c r="I882" s="383"/>
      <c r="J882" s="383"/>
      <c r="K882" s="383"/>
      <c r="L882" s="383"/>
      <c r="M882" s="383"/>
      <c r="N882" s="383"/>
      <c r="O882" s="383"/>
      <c r="P882" s="383"/>
      <c r="Q882" s="383"/>
      <c r="R882" s="383"/>
    </row>
    <row r="883" spans="1:46" ht="15.75" customHeight="1" x14ac:dyDescent="0.3">
      <c r="A883" s="6"/>
      <c r="B883" s="6"/>
      <c r="C883" s="6"/>
      <c r="D883" s="6"/>
      <c r="E883" s="6"/>
      <c r="F883" s="6"/>
      <c r="G883" s="6"/>
      <c r="H883" s="6"/>
      <c r="I883" s="6"/>
      <c r="J883" s="6"/>
      <c r="K883" s="6"/>
      <c r="L883" s="6"/>
      <c r="M883" s="6"/>
      <c r="N883" s="6"/>
      <c r="O883" s="6"/>
      <c r="P883" s="6"/>
      <c r="Q883" s="6"/>
      <c r="R883" s="6"/>
    </row>
    <row r="884" spans="1:46" ht="15.75" customHeight="1" x14ac:dyDescent="0.3">
      <c r="A884" s="30"/>
      <c r="B884" s="1"/>
      <c r="C884" s="1"/>
      <c r="D884" s="1"/>
      <c r="E884" s="1"/>
      <c r="F884" s="1"/>
      <c r="G884" s="1"/>
      <c r="H884" s="1"/>
      <c r="I884" s="1"/>
      <c r="J884" s="1"/>
      <c r="K884" s="1"/>
      <c r="L884" s="1"/>
      <c r="M884" s="1"/>
      <c r="N884" s="1"/>
      <c r="O884" s="1"/>
      <c r="P884" s="1"/>
      <c r="Q884" s="1"/>
      <c r="R884" s="28"/>
    </row>
    <row r="885" spans="1:46" ht="15.75" customHeight="1" thickBot="1" x14ac:dyDescent="0.35">
      <c r="A885" s="1"/>
      <c r="B885" s="1"/>
      <c r="C885" s="1"/>
      <c r="D885" s="1"/>
      <c r="E885" s="1"/>
      <c r="F885" s="1"/>
      <c r="G885" s="1"/>
      <c r="H885" s="1"/>
      <c r="I885" s="1"/>
      <c r="J885" s="1"/>
      <c r="K885" s="1"/>
      <c r="L885" s="1"/>
      <c r="M885" s="1"/>
      <c r="N885" s="1"/>
      <c r="O885" s="166"/>
      <c r="P885" s="1"/>
      <c r="Q885" s="1"/>
      <c r="R885" s="28"/>
    </row>
    <row r="886" spans="1:46" ht="15.75" customHeight="1" thickBot="1" x14ac:dyDescent="0.35">
      <c r="A886" s="124" t="s">
        <v>630</v>
      </c>
      <c r="B886" s="54" t="s">
        <v>36</v>
      </c>
      <c r="C886" s="11" t="s">
        <v>9</v>
      </c>
      <c r="D886" s="11" t="s">
        <v>10</v>
      </c>
      <c r="E886" s="12" t="s">
        <v>11</v>
      </c>
      <c r="F886" s="11" t="s">
        <v>12</v>
      </c>
      <c r="G886" s="11" t="s">
        <v>13</v>
      </c>
      <c r="H886" s="11" t="s">
        <v>14</v>
      </c>
      <c r="I886" s="12" t="s">
        <v>15</v>
      </c>
      <c r="J886" s="11" t="s">
        <v>16</v>
      </c>
      <c r="K886" s="11" t="s">
        <v>17</v>
      </c>
      <c r="L886" s="11" t="s">
        <v>18</v>
      </c>
      <c r="M886" s="12" t="s">
        <v>19</v>
      </c>
      <c r="N886" s="11" t="s">
        <v>20</v>
      </c>
      <c r="O886" s="11" t="s">
        <v>21</v>
      </c>
      <c r="P886" s="11" t="s">
        <v>22</v>
      </c>
      <c r="Q886" s="12" t="s">
        <v>23</v>
      </c>
      <c r="R886" s="167" t="s">
        <v>24</v>
      </c>
    </row>
    <row r="887" spans="1:46" ht="16.5" customHeight="1" thickBot="1" x14ac:dyDescent="0.35">
      <c r="A887" s="168"/>
      <c r="B887" s="169"/>
      <c r="C887" s="169"/>
      <c r="D887" s="169"/>
      <c r="E887" s="16"/>
      <c r="F887" s="169"/>
      <c r="G887" s="169"/>
      <c r="H887" s="169"/>
      <c r="I887" s="38"/>
      <c r="J887" s="169"/>
      <c r="K887" s="169"/>
      <c r="L887" s="169"/>
      <c r="M887" s="38"/>
      <c r="N887" s="169"/>
      <c r="O887" s="169"/>
      <c r="P887" s="169"/>
      <c r="Q887" s="151"/>
      <c r="R887" s="170"/>
    </row>
    <row r="888" spans="1:46" ht="16.5" customHeight="1" thickBot="1" x14ac:dyDescent="0.35">
      <c r="A888" s="171" t="s">
        <v>26</v>
      </c>
      <c r="B888" s="172">
        <f>+B854</f>
        <v>33035</v>
      </c>
      <c r="C888" s="172">
        <f>+C854</f>
        <v>35643</v>
      </c>
      <c r="D888" s="172">
        <f>+D854</f>
        <v>43084</v>
      </c>
      <c r="E888" s="100">
        <f>+SUM(B888:D888)</f>
        <v>111762</v>
      </c>
      <c r="F888" s="172">
        <f>+F854</f>
        <v>58337</v>
      </c>
      <c r="G888" s="172">
        <f>+G854</f>
        <v>70696</v>
      </c>
      <c r="H888" s="172">
        <f>+H854</f>
        <v>73475</v>
      </c>
      <c r="I888" s="100">
        <f>+SUM(F888:H888)</f>
        <v>202508</v>
      </c>
      <c r="J888" s="172">
        <f>+J854</f>
        <v>87955</v>
      </c>
      <c r="K888" s="172">
        <f>+K854</f>
        <v>73005</v>
      </c>
      <c r="L888" s="172">
        <f>+L854</f>
        <v>62933</v>
      </c>
      <c r="M888" s="100">
        <f>+SUM(J888:L888)</f>
        <v>223893</v>
      </c>
      <c r="N888" s="172">
        <f>+N854</f>
        <v>48748</v>
      </c>
      <c r="O888" s="172">
        <f>+O854</f>
        <v>17495</v>
      </c>
      <c r="P888" s="172">
        <f>+P854</f>
        <v>22195</v>
      </c>
      <c r="Q888" s="100">
        <f>+SUM(N888:P888)</f>
        <v>88438</v>
      </c>
      <c r="R888" s="64">
        <f>+E888+I888+M888+Q888</f>
        <v>626601</v>
      </c>
    </row>
    <row r="889" spans="1:46" ht="16.5" customHeight="1" thickBot="1" x14ac:dyDescent="0.35">
      <c r="A889" s="34"/>
      <c r="B889" s="100"/>
      <c r="C889" s="100"/>
      <c r="D889" s="100"/>
      <c r="E889" s="100"/>
      <c r="F889" s="100"/>
      <c r="G889" s="100"/>
      <c r="H889" s="100"/>
      <c r="I889" s="100"/>
      <c r="J889" s="100"/>
      <c r="K889" s="100"/>
      <c r="L889" s="100"/>
      <c r="M889" s="100"/>
      <c r="N889" s="100"/>
      <c r="O889" s="100"/>
      <c r="P889" s="100"/>
      <c r="Q889" s="100"/>
      <c r="R889" s="64"/>
    </row>
    <row r="890" spans="1:46" ht="16.5" customHeight="1" thickBot="1" x14ac:dyDescent="0.35">
      <c r="A890" s="171" t="s">
        <v>631</v>
      </c>
      <c r="B890" s="172">
        <f>+B859</f>
        <v>3970</v>
      </c>
      <c r="C890" s="172">
        <f>+C859</f>
        <v>8790</v>
      </c>
      <c r="D890" s="172">
        <f>+D859</f>
        <v>26441</v>
      </c>
      <c r="E890" s="100">
        <f>+SUM(B890:D890)</f>
        <v>39201</v>
      </c>
      <c r="F890" s="172">
        <f>+F859</f>
        <v>45801</v>
      </c>
      <c r="G890" s="172">
        <f>+G859</f>
        <v>41650</v>
      </c>
      <c r="H890" s="172">
        <f>+H859</f>
        <v>42573</v>
      </c>
      <c r="I890" s="100">
        <f>+SUM(F890:H890)</f>
        <v>130024</v>
      </c>
      <c r="J890" s="172">
        <f>+J859</f>
        <v>48308</v>
      </c>
      <c r="K890" s="172">
        <f>+K859</f>
        <v>28675</v>
      </c>
      <c r="L890" s="172">
        <f>+L859</f>
        <v>14693</v>
      </c>
      <c r="M890" s="100">
        <f>+SUM(J890:L890)</f>
        <v>91676</v>
      </c>
      <c r="N890" s="172">
        <f>+N859</f>
        <v>6085</v>
      </c>
      <c r="O890" s="172">
        <f>+O859</f>
        <v>2870</v>
      </c>
      <c r="P890" s="172">
        <f>+P859</f>
        <v>3998</v>
      </c>
      <c r="Q890" s="100">
        <f>+SUM(N890:P890)</f>
        <v>12953</v>
      </c>
      <c r="R890" s="64">
        <f>+E890+I890+M890+Q890</f>
        <v>273854</v>
      </c>
    </row>
    <row r="891" spans="1:46" ht="16.5" customHeight="1" thickBot="1" x14ac:dyDescent="0.35">
      <c r="A891" s="34"/>
      <c r="B891" s="100"/>
      <c r="C891" s="100"/>
      <c r="D891" s="100"/>
      <c r="E891" s="100"/>
      <c r="F891" s="100"/>
      <c r="G891" s="100"/>
      <c r="H891" s="100"/>
      <c r="I891" s="100"/>
      <c r="J891" s="100"/>
      <c r="K891" s="100"/>
      <c r="L891" s="100"/>
      <c r="M891" s="100"/>
      <c r="N891" s="100"/>
      <c r="O891" s="100"/>
      <c r="P891" s="100"/>
      <c r="Q891" s="100"/>
      <c r="R891" s="64"/>
      <c r="AC891" s="173"/>
      <c r="AD891" s="174"/>
      <c r="AE891" s="175" t="s">
        <v>632</v>
      </c>
      <c r="AF891" s="174"/>
      <c r="AG891" s="174"/>
      <c r="AH891" s="174"/>
      <c r="AI891" s="174"/>
      <c r="AJ891" s="174"/>
      <c r="AK891" s="174" t="s">
        <v>633</v>
      </c>
      <c r="AL891" s="174"/>
      <c r="AM891" s="174" t="s">
        <v>7</v>
      </c>
      <c r="AN891" s="176" t="str">
        <f>+A8</f>
        <v>Revised:  11/27/2018</v>
      </c>
      <c r="AO891" s="174"/>
      <c r="AP891" s="174"/>
      <c r="AQ891" s="174"/>
      <c r="AR891" s="174"/>
      <c r="AS891" s="177" t="str">
        <f>+Q1</f>
        <v xml:space="preserve">PRINTED:  </v>
      </c>
      <c r="AT891" s="178">
        <f ca="1">+R1</f>
        <v>44894.658168518516</v>
      </c>
    </row>
    <row r="892" spans="1:46" ht="16.5" customHeight="1" thickBot="1" x14ac:dyDescent="0.35">
      <c r="A892" s="171" t="s">
        <v>28</v>
      </c>
      <c r="B892" s="172">
        <f>+B863</f>
        <v>29544</v>
      </c>
      <c r="C892" s="172">
        <f>+C863</f>
        <v>38108</v>
      </c>
      <c r="D892" s="172">
        <f>+D863</f>
        <v>52749</v>
      </c>
      <c r="E892" s="100">
        <f>+SUM(B892:D892)</f>
        <v>120401</v>
      </c>
      <c r="F892" s="172">
        <f>+F863</f>
        <v>57160</v>
      </c>
      <c r="G892" s="172">
        <f>+G863</f>
        <v>68612</v>
      </c>
      <c r="H892" s="172">
        <f>+H863</f>
        <v>79359</v>
      </c>
      <c r="I892" s="100">
        <f>+SUM(F892:H892)</f>
        <v>205131</v>
      </c>
      <c r="J892" s="172">
        <f>+J863</f>
        <v>49846</v>
      </c>
      <c r="K892" s="172">
        <f>+K863</f>
        <v>66397</v>
      </c>
      <c r="L892" s="172">
        <f>+L863</f>
        <v>54238</v>
      </c>
      <c r="M892" s="100">
        <f>+SUM(J892:L892)</f>
        <v>170481</v>
      </c>
      <c r="N892" s="172">
        <f>+N863</f>
        <v>41923</v>
      </c>
      <c r="O892" s="172">
        <f>+O863</f>
        <v>11404</v>
      </c>
      <c r="P892" s="172">
        <f>+P863</f>
        <v>20048</v>
      </c>
      <c r="Q892" s="100">
        <f>+SUM(N892:P892)</f>
        <v>73375</v>
      </c>
      <c r="R892" s="64">
        <f>+E892+I892+M892+Q892</f>
        <v>569388</v>
      </c>
      <c r="AC892" s="179"/>
      <c r="AD892" s="180"/>
      <c r="AE892" s="180"/>
      <c r="AF892" s="180">
        <f>++A5</f>
        <v>2019</v>
      </c>
      <c r="AG892" s="180"/>
      <c r="AH892" s="180"/>
      <c r="AI892" s="180"/>
      <c r="AJ892" s="180"/>
      <c r="AK892" s="180"/>
      <c r="AL892" s="180"/>
      <c r="AM892" s="180"/>
      <c r="AN892" s="180"/>
      <c r="AO892" s="180"/>
      <c r="AP892" s="180"/>
      <c r="AQ892" s="180"/>
      <c r="AR892" s="180"/>
      <c r="AS892" s="180"/>
      <c r="AT892" s="306"/>
    </row>
    <row r="893" spans="1:46" ht="16.5" customHeight="1" thickBot="1" x14ac:dyDescent="0.35">
      <c r="A893" s="34"/>
      <c r="B893" s="100"/>
      <c r="C893" s="100"/>
      <c r="D893" s="100"/>
      <c r="E893" s="100"/>
      <c r="F893" s="100"/>
      <c r="G893" s="100"/>
      <c r="H893" s="100"/>
      <c r="I893" s="100"/>
      <c r="J893" s="100"/>
      <c r="K893" s="100"/>
      <c r="L893" s="100"/>
      <c r="M893" s="100"/>
      <c r="N893" s="100"/>
      <c r="O893" s="100"/>
      <c r="P893" s="100"/>
      <c r="Q893" s="100"/>
      <c r="R893" s="64"/>
      <c r="AC893" s="179"/>
      <c r="AD893" s="180"/>
      <c r="AE893" s="180"/>
      <c r="AF893" s="180"/>
      <c r="AG893" s="180"/>
      <c r="AH893" s="180"/>
      <c r="AI893" s="180"/>
      <c r="AJ893" s="180"/>
      <c r="AK893" s="180"/>
      <c r="AL893" s="180"/>
      <c r="AM893" s="180"/>
      <c r="AN893" s="180"/>
      <c r="AO893" s="180"/>
      <c r="AP893" s="180"/>
      <c r="AQ893" s="180"/>
      <c r="AR893" s="180"/>
      <c r="AS893" s="180"/>
      <c r="AT893" s="306"/>
    </row>
    <row r="894" spans="1:46" ht="16.5" customHeight="1" thickBot="1" x14ac:dyDescent="0.35">
      <c r="A894" s="171" t="s">
        <v>634</v>
      </c>
      <c r="B894" s="172">
        <f>+B872</f>
        <v>0</v>
      </c>
      <c r="C894" s="172">
        <f>+C872</f>
        <v>0</v>
      </c>
      <c r="D894" s="172">
        <f>+D872</f>
        <v>0</v>
      </c>
      <c r="E894" s="100">
        <f>+SUM(B894:D894)</f>
        <v>0</v>
      </c>
      <c r="F894" s="172">
        <f>+F872</f>
        <v>0</v>
      </c>
      <c r="G894" s="172">
        <f>+G872</f>
        <v>0</v>
      </c>
      <c r="H894" s="172">
        <f>+H872</f>
        <v>0</v>
      </c>
      <c r="I894" s="100">
        <f>+SUM(F894:H894)</f>
        <v>0</v>
      </c>
      <c r="J894" s="172">
        <f>+J872</f>
        <v>0</v>
      </c>
      <c r="K894" s="172">
        <f>+K872</f>
        <v>0</v>
      </c>
      <c r="L894" s="172">
        <f>+L872</f>
        <v>0</v>
      </c>
      <c r="M894" s="100">
        <f>+SUM(J894:L894)</f>
        <v>0</v>
      </c>
      <c r="N894" s="172">
        <f>+N872</f>
        <v>0</v>
      </c>
      <c r="O894" s="172">
        <f>+O872</f>
        <v>0</v>
      </c>
      <c r="P894" s="172">
        <f>+P872</f>
        <v>0</v>
      </c>
      <c r="Q894" s="100">
        <f>+SUM(N894:P894)</f>
        <v>0</v>
      </c>
      <c r="R894" s="64">
        <f>+E894+I894+M894+Q894</f>
        <v>0</v>
      </c>
      <c r="AC894" s="179"/>
      <c r="AD894" s="180"/>
      <c r="AE894" s="180"/>
      <c r="AF894" s="180"/>
      <c r="AG894" s="180"/>
      <c r="AH894" s="180"/>
      <c r="AI894" s="182" t="s">
        <v>635</v>
      </c>
      <c r="AJ894" s="180"/>
      <c r="AK894" s="180"/>
      <c r="AL894" s="180"/>
      <c r="AM894" s="180"/>
      <c r="AN894" s="180"/>
      <c r="AO894" s="180"/>
      <c r="AP894" s="180"/>
      <c r="AQ894" s="180"/>
      <c r="AR894" s="180"/>
      <c r="AS894" s="180"/>
      <c r="AT894" s="306"/>
    </row>
    <row r="895" spans="1:46" ht="16.5" customHeight="1" thickBot="1" x14ac:dyDescent="0.35">
      <c r="A895" s="34"/>
      <c r="B895" s="100"/>
      <c r="C895" s="100"/>
      <c r="D895" s="100"/>
      <c r="E895" s="100"/>
      <c r="F895" s="100"/>
      <c r="G895" s="100"/>
      <c r="H895" s="100"/>
      <c r="I895" s="100"/>
      <c r="J895" s="100"/>
      <c r="K895" s="100"/>
      <c r="L895" s="100"/>
      <c r="M895" s="100"/>
      <c r="N895" s="100"/>
      <c r="O895" s="100"/>
      <c r="P895" s="100"/>
      <c r="Q895" s="100"/>
      <c r="R895" s="64"/>
      <c r="AC895" s="179"/>
      <c r="AD895" s="180" t="s">
        <v>633</v>
      </c>
      <c r="AE895" s="180"/>
      <c r="AF895" s="182" t="s">
        <v>636</v>
      </c>
      <c r="AG895" s="182" t="s">
        <v>636</v>
      </c>
      <c r="AH895" s="182" t="s">
        <v>637</v>
      </c>
      <c r="AI895" s="182" t="s">
        <v>638</v>
      </c>
      <c r="AJ895" s="182" t="s">
        <v>639</v>
      </c>
      <c r="AK895" s="182" t="s">
        <v>640</v>
      </c>
      <c r="AL895" s="182" t="s">
        <v>641</v>
      </c>
      <c r="AM895" s="180" t="s">
        <v>633</v>
      </c>
      <c r="AN895" s="182" t="s">
        <v>642</v>
      </c>
      <c r="AO895" s="182" t="s">
        <v>642</v>
      </c>
      <c r="AP895" s="182" t="s">
        <v>642</v>
      </c>
      <c r="AQ895" s="180"/>
      <c r="AR895" s="180"/>
      <c r="AS895" s="180"/>
      <c r="AT895" s="306"/>
    </row>
    <row r="896" spans="1:46" ht="16.5" customHeight="1" thickBot="1" x14ac:dyDescent="0.4">
      <c r="A896" s="34" t="s">
        <v>643</v>
      </c>
      <c r="B896" s="107">
        <f t="shared" ref="B896:Q896" si="284">+SUM(B888:B894)</f>
        <v>66549</v>
      </c>
      <c r="C896" s="107">
        <f t="shared" si="284"/>
        <v>82541</v>
      </c>
      <c r="D896" s="107">
        <f t="shared" si="284"/>
        <v>122274</v>
      </c>
      <c r="E896" s="107">
        <f t="shared" si="284"/>
        <v>271364</v>
      </c>
      <c r="F896" s="107">
        <f t="shared" si="284"/>
        <v>161298</v>
      </c>
      <c r="G896" s="107">
        <f t="shared" si="284"/>
        <v>180958</v>
      </c>
      <c r="H896" s="107">
        <f t="shared" si="284"/>
        <v>195407</v>
      </c>
      <c r="I896" s="107">
        <f t="shared" si="284"/>
        <v>537663</v>
      </c>
      <c r="J896" s="107">
        <f t="shared" si="284"/>
        <v>186109</v>
      </c>
      <c r="K896" s="107">
        <f t="shared" si="284"/>
        <v>168077</v>
      </c>
      <c r="L896" s="107">
        <f t="shared" si="284"/>
        <v>131864</v>
      </c>
      <c r="M896" s="107">
        <f t="shared" si="284"/>
        <v>486050</v>
      </c>
      <c r="N896" s="107">
        <f t="shared" si="284"/>
        <v>96756</v>
      </c>
      <c r="O896" s="107">
        <f t="shared" si="284"/>
        <v>31769</v>
      </c>
      <c r="P896" s="107">
        <f t="shared" si="284"/>
        <v>46241</v>
      </c>
      <c r="Q896" s="107">
        <f t="shared" si="284"/>
        <v>174766</v>
      </c>
      <c r="R896" s="183">
        <f>+SUM(R888:R894)</f>
        <v>1469843</v>
      </c>
      <c r="AC896" s="179"/>
      <c r="AD896" s="182" t="s">
        <v>644</v>
      </c>
      <c r="AE896" s="182" t="s">
        <v>645</v>
      </c>
      <c r="AF896" s="182" t="s">
        <v>646</v>
      </c>
      <c r="AG896" s="182" t="s">
        <v>646</v>
      </c>
      <c r="AH896" s="182" t="s">
        <v>647</v>
      </c>
      <c r="AI896" s="184" t="s">
        <v>648</v>
      </c>
      <c r="AJ896" s="182" t="s">
        <v>649</v>
      </c>
      <c r="AK896" s="182" t="s">
        <v>650</v>
      </c>
      <c r="AL896" s="182" t="s">
        <v>651</v>
      </c>
      <c r="AM896" s="180" t="s">
        <v>633</v>
      </c>
      <c r="AN896" s="182" t="s">
        <v>652</v>
      </c>
      <c r="AO896" s="182" t="s">
        <v>648</v>
      </c>
      <c r="AP896" s="182" t="s">
        <v>653</v>
      </c>
      <c r="AQ896" s="180"/>
      <c r="AR896" s="180"/>
      <c r="AS896" s="180"/>
      <c r="AT896" s="306"/>
    </row>
    <row r="897" spans="1:46" ht="15.75" customHeight="1" x14ac:dyDescent="0.35">
      <c r="A897" s="185"/>
      <c r="B897" s="186"/>
      <c r="C897" s="186"/>
      <c r="D897" s="186"/>
      <c r="E897" s="186"/>
      <c r="F897" s="186"/>
      <c r="G897" s="186"/>
      <c r="H897" s="187" t="s">
        <v>654</v>
      </c>
      <c r="I897" s="186"/>
      <c r="J897" s="186"/>
      <c r="K897" s="186"/>
      <c r="L897" s="186"/>
      <c r="M897" s="186"/>
      <c r="N897" s="186"/>
      <c r="O897" s="186"/>
      <c r="P897" s="186"/>
      <c r="Q897" s="186"/>
      <c r="R897" s="186"/>
      <c r="AC897" s="179"/>
      <c r="AD897" s="182" t="s">
        <v>127</v>
      </c>
      <c r="AE897" s="182" t="s">
        <v>655</v>
      </c>
      <c r="AF897" s="182" t="s">
        <v>656</v>
      </c>
      <c r="AG897" s="182" t="s">
        <v>657</v>
      </c>
      <c r="AH897" s="182" t="s">
        <v>658</v>
      </c>
      <c r="AI897" s="182" t="s">
        <v>658</v>
      </c>
      <c r="AJ897" s="182" t="s">
        <v>658</v>
      </c>
      <c r="AK897" s="182" t="s">
        <v>658</v>
      </c>
      <c r="AL897" s="182" t="s">
        <v>659</v>
      </c>
      <c r="AM897" s="180" t="s">
        <v>633</v>
      </c>
      <c r="AN897" s="182" t="s">
        <v>660</v>
      </c>
      <c r="AO897" s="182" t="s">
        <v>661</v>
      </c>
      <c r="AP897" s="182" t="s">
        <v>661</v>
      </c>
      <c r="AQ897" s="180"/>
      <c r="AR897" s="180"/>
      <c r="AS897" s="180"/>
      <c r="AT897" s="306"/>
    </row>
    <row r="898" spans="1:46" ht="15.75" customHeight="1" x14ac:dyDescent="0.35">
      <c r="A898" s="185"/>
      <c r="B898" s="186"/>
      <c r="C898" s="186"/>
      <c r="D898" s="186"/>
      <c r="E898" s="186"/>
      <c r="F898" s="186"/>
      <c r="G898" s="186"/>
      <c r="H898" s="186"/>
      <c r="I898" s="186"/>
      <c r="J898" s="186"/>
      <c r="K898" s="186"/>
      <c r="L898" s="186"/>
      <c r="M898" s="186"/>
      <c r="N898" s="186"/>
      <c r="O898" s="186"/>
      <c r="P898" s="186"/>
      <c r="Q898" s="186"/>
      <c r="R898" s="186"/>
      <c r="AC898" s="179"/>
      <c r="AD898" s="182" t="s">
        <v>662</v>
      </c>
      <c r="AE898" s="182" t="s">
        <v>663</v>
      </c>
      <c r="AF898" s="182" t="s">
        <v>664</v>
      </c>
      <c r="AG898" s="182" t="s">
        <v>664</v>
      </c>
      <c r="AH898" s="182" t="s">
        <v>664</v>
      </c>
      <c r="AI898" s="182" t="s">
        <v>664</v>
      </c>
      <c r="AJ898" s="182" t="s">
        <v>664</v>
      </c>
      <c r="AK898" s="182" t="s">
        <v>664</v>
      </c>
      <c r="AL898" s="182" t="s">
        <v>664</v>
      </c>
      <c r="AM898" s="180" t="s">
        <v>633</v>
      </c>
      <c r="AN898" s="182" t="s">
        <v>665</v>
      </c>
      <c r="AO898" s="182" t="s">
        <v>665</v>
      </c>
      <c r="AP898" s="182" t="s">
        <v>665</v>
      </c>
      <c r="AQ898" s="180"/>
      <c r="AR898" s="180"/>
      <c r="AS898" s="180"/>
      <c r="AT898" s="306"/>
    </row>
    <row r="899" spans="1:46" ht="15.75" customHeight="1" thickBot="1" x14ac:dyDescent="0.4">
      <c r="A899" s="185"/>
      <c r="B899" s="186"/>
      <c r="C899" s="186"/>
      <c r="D899" s="186"/>
      <c r="E899" s="186"/>
      <c r="F899" s="186"/>
      <c r="G899" s="186"/>
      <c r="H899" s="187"/>
      <c r="I899" s="186"/>
      <c r="J899" s="186"/>
      <c r="K899" s="186"/>
      <c r="L899" s="186"/>
      <c r="M899" s="186"/>
      <c r="N899" s="186"/>
      <c r="O899" s="186"/>
      <c r="P899" s="186"/>
      <c r="Q899" s="186"/>
      <c r="R899" s="186"/>
      <c r="AC899" s="179"/>
      <c r="AD899" s="180" t="s">
        <v>666</v>
      </c>
      <c r="AE899" s="180" t="s">
        <v>666</v>
      </c>
      <c r="AF899" s="180" t="s">
        <v>666</v>
      </c>
      <c r="AG899" s="180" t="s">
        <v>666</v>
      </c>
      <c r="AH899" s="180" t="s">
        <v>666</v>
      </c>
      <c r="AI899" s="180" t="s">
        <v>666</v>
      </c>
      <c r="AJ899" s="180" t="s">
        <v>666</v>
      </c>
      <c r="AK899" s="180" t="s">
        <v>666</v>
      </c>
      <c r="AL899" s="180" t="s">
        <v>666</v>
      </c>
      <c r="AM899" s="180" t="s">
        <v>633</v>
      </c>
      <c r="AN899" s="180" t="s">
        <v>666</v>
      </c>
      <c r="AO899" s="180" t="s">
        <v>666</v>
      </c>
      <c r="AP899" s="180" t="s">
        <v>666</v>
      </c>
      <c r="AQ899" s="180"/>
      <c r="AR899" s="180"/>
      <c r="AS899" s="180"/>
      <c r="AT899" s="306"/>
    </row>
    <row r="900" spans="1:46" ht="15.75" customHeight="1" x14ac:dyDescent="0.3">
      <c r="A900" s="188"/>
      <c r="B900" s="387" t="s">
        <v>667</v>
      </c>
      <c r="C900" s="387"/>
      <c r="D900" s="387"/>
      <c r="E900" s="387"/>
      <c r="F900" s="387"/>
      <c r="G900" s="387"/>
      <c r="H900" s="387"/>
      <c r="I900" s="387"/>
      <c r="J900" s="387"/>
      <c r="K900" s="387"/>
      <c r="L900" s="387"/>
      <c r="M900" s="387"/>
      <c r="N900" s="387"/>
      <c r="O900" s="387"/>
      <c r="P900" s="387"/>
      <c r="Q900" s="177" t="str">
        <f>+Q1</f>
        <v xml:space="preserve">PRINTED:  </v>
      </c>
      <c r="R900" s="178">
        <f ca="1">+R1</f>
        <v>44894.658168518516</v>
      </c>
      <c r="AC900" s="189" t="s">
        <v>668</v>
      </c>
      <c r="AD900" s="180">
        <f t="shared" ref="AD900:AD911" si="285">(F909)</f>
        <v>54000</v>
      </c>
      <c r="AE900" s="180">
        <f t="shared" ref="AE900:AE911" si="286">SUM($B$964:$E$964)+(T909-1526.8)/0.7702</f>
        <v>1619.81910935626</v>
      </c>
      <c r="AF900" s="180">
        <f>(AD900*AE900/1000)</f>
        <v>87470.231905238048</v>
      </c>
      <c r="AG900" s="180">
        <f t="shared" ref="AG900:AG911" si="287">(((B909-F909)*B$964)+((C909-F909)*C$964)+((D909-F909)*D$964)+((E909-F909)*E$964))/1000</f>
        <v>48602.796000000002</v>
      </c>
      <c r="AH900" s="180">
        <f>(AF900+AG900)</f>
        <v>136073.02790523804</v>
      </c>
      <c r="AI900" s="180">
        <f t="shared" ref="AI900:AI911" si="288">SUM(H966:Q966)</f>
        <v>28093</v>
      </c>
      <c r="AJ900" s="180">
        <f>+AH900+AI900</f>
        <v>164166.02790523804</v>
      </c>
      <c r="AK900" s="180">
        <f t="shared" ref="AK900:AK907" si="289">(G994)</f>
        <v>4211.6394496824669</v>
      </c>
      <c r="AL900" s="180">
        <f t="shared" ref="AL900:AL911" si="290">(AJ900-AK900)</f>
        <v>159954.38845555557</v>
      </c>
      <c r="AM900" s="180" t="s">
        <v>633</v>
      </c>
      <c r="AN900" s="180">
        <f>+B909/31/1.98</f>
        <v>1438.3838383838383</v>
      </c>
      <c r="AO900" s="180">
        <f>(AD900*43560/31/24/3600)</f>
        <v>878.22580645161281</v>
      </c>
      <c r="AP900" s="180">
        <f>+B322</f>
        <v>-536.82104338490069</v>
      </c>
      <c r="AQ900" s="180"/>
      <c r="AR900" s="180"/>
      <c r="AS900" s="180"/>
      <c r="AT900" s="306"/>
    </row>
    <row r="901" spans="1:46" ht="15.75" customHeight="1" x14ac:dyDescent="0.3">
      <c r="A901" s="189"/>
      <c r="B901" s="394" t="str">
        <f>+A8</f>
        <v>Revised:  11/27/2018</v>
      </c>
      <c r="C901" s="394"/>
      <c r="D901" s="394"/>
      <c r="E901" s="394"/>
      <c r="F901" s="394"/>
      <c r="G901" s="394"/>
      <c r="H901" s="394"/>
      <c r="I901" s="394"/>
      <c r="J901" s="394"/>
      <c r="K901" s="394"/>
      <c r="L901" s="394"/>
      <c r="M901" s="394"/>
      <c r="N901" s="394"/>
      <c r="O901" s="394"/>
      <c r="P901" s="394"/>
      <c r="Q901" s="180"/>
      <c r="R901" s="306"/>
      <c r="AC901" s="189" t="s">
        <v>669</v>
      </c>
      <c r="AD901" s="180">
        <f t="shared" si="285"/>
        <v>79000</v>
      </c>
      <c r="AE901" s="180">
        <f t="shared" si="286"/>
        <v>1632.4330510834375</v>
      </c>
      <c r="AF901" s="180">
        <f>(AD901*AE901/1000)</f>
        <v>128962.21103559156</v>
      </c>
      <c r="AG901" s="180">
        <f t="shared" si="287"/>
        <v>119617.409</v>
      </c>
      <c r="AH901" s="180">
        <f t="shared" ref="AH901:AH911" si="291">(AF901+AG901)</f>
        <v>248579.62003559156</v>
      </c>
      <c r="AI901" s="180">
        <f t="shared" si="288"/>
        <v>33101</v>
      </c>
      <c r="AJ901" s="180">
        <f t="shared" ref="AJ901:AJ911" si="292">+AH901+AI901</f>
        <v>281680.62003559154</v>
      </c>
      <c r="AK901" s="180">
        <f t="shared" si="289"/>
        <v>0</v>
      </c>
      <c r="AL901" s="180">
        <f t="shared" si="290"/>
        <v>281680.62003559154</v>
      </c>
      <c r="AM901" s="180" t="s">
        <v>633</v>
      </c>
      <c r="AN901" s="180">
        <f>+B910/28/1.98</f>
        <v>2943.2900432900433</v>
      </c>
      <c r="AO901" s="180">
        <f>(AD901*43560/29/24/3600)</f>
        <v>1373.4195402298849</v>
      </c>
      <c r="AP901" s="180">
        <f>+C322</f>
        <v>0</v>
      </c>
      <c r="AQ901" s="180"/>
      <c r="AR901" s="180"/>
      <c r="AS901" s="180"/>
      <c r="AT901" s="306"/>
    </row>
    <row r="902" spans="1:46" ht="15.75" customHeight="1" x14ac:dyDescent="0.3">
      <c r="A902" s="189"/>
      <c r="B902" s="394" t="s">
        <v>670</v>
      </c>
      <c r="C902" s="394"/>
      <c r="D902" s="394"/>
      <c r="E902" s="394"/>
      <c r="F902" s="394"/>
      <c r="G902" s="394"/>
      <c r="H902" s="394"/>
      <c r="I902" s="394"/>
      <c r="J902" s="394"/>
      <c r="K902" s="394"/>
      <c r="L902" s="394"/>
      <c r="M902" s="394"/>
      <c r="N902" s="394"/>
      <c r="O902" s="394"/>
      <c r="P902" s="394"/>
      <c r="Q902" s="180"/>
      <c r="R902" s="306"/>
      <c r="AC902" s="189" t="s">
        <v>671</v>
      </c>
      <c r="AD902" s="180">
        <f t="shared" si="285"/>
        <v>54000</v>
      </c>
      <c r="AE902" s="180">
        <f t="shared" si="286"/>
        <v>1640.1801372072132</v>
      </c>
      <c r="AF902" s="180">
        <f t="shared" ref="AF902:AF911" si="293">(AD902*AE902/1000)</f>
        <v>88569.727409189509</v>
      </c>
      <c r="AG902" s="180">
        <f t="shared" si="287"/>
        <v>178295.85399999999</v>
      </c>
      <c r="AH902" s="180">
        <f t="shared" si="291"/>
        <v>266865.5814091895</v>
      </c>
      <c r="AI902" s="180">
        <f t="shared" si="288"/>
        <v>40458</v>
      </c>
      <c r="AJ902" s="180">
        <f t="shared" si="292"/>
        <v>307323.5814091895</v>
      </c>
      <c r="AK902" s="180">
        <f t="shared" si="289"/>
        <v>0</v>
      </c>
      <c r="AL902" s="180">
        <f t="shared" si="290"/>
        <v>307323.5814091895</v>
      </c>
      <c r="AM902" s="180" t="s">
        <v>633</v>
      </c>
      <c r="AN902" s="180">
        <f>+B911/31/1.98</f>
        <v>2932.974910394265</v>
      </c>
      <c r="AO902" s="180">
        <f>(AD902*43560/31/24/3600)</f>
        <v>878.22580645161281</v>
      </c>
      <c r="AP902" s="180">
        <f>+D322</f>
        <v>0</v>
      </c>
      <c r="AQ902" s="180"/>
      <c r="AR902" s="180"/>
      <c r="AS902" s="180"/>
      <c r="AT902" s="306"/>
    </row>
    <row r="903" spans="1:46" ht="15.75" customHeight="1" x14ac:dyDescent="0.3">
      <c r="A903" s="189"/>
      <c r="B903" s="394"/>
      <c r="C903" s="394"/>
      <c r="D903" s="394"/>
      <c r="E903" s="394"/>
      <c r="F903" s="394"/>
      <c r="G903" s="394"/>
      <c r="H903" s="394"/>
      <c r="I903" s="394"/>
      <c r="J903" s="394"/>
      <c r="K903" s="394"/>
      <c r="L903" s="394"/>
      <c r="M903" s="394"/>
      <c r="N903" s="394"/>
      <c r="O903" s="394"/>
      <c r="P903" s="394"/>
      <c r="Q903" s="180"/>
      <c r="R903" s="306"/>
      <c r="AC903" s="189" t="s">
        <v>672</v>
      </c>
      <c r="AD903" s="180">
        <f t="shared" si="285"/>
        <v>8000</v>
      </c>
      <c r="AE903" s="180">
        <f t="shared" si="286"/>
        <v>1640.8031817190838</v>
      </c>
      <c r="AF903" s="180">
        <f t="shared" si="293"/>
        <v>13126.42545375267</v>
      </c>
      <c r="AG903" s="180">
        <f t="shared" si="287"/>
        <v>236197.546</v>
      </c>
      <c r="AH903" s="180">
        <f t="shared" si="291"/>
        <v>249323.97145375266</v>
      </c>
      <c r="AI903" s="180">
        <f t="shared" si="288"/>
        <v>44947</v>
      </c>
      <c r="AJ903" s="180">
        <f t="shared" si="292"/>
        <v>294270.97145375266</v>
      </c>
      <c r="AK903" s="180">
        <f t="shared" si="289"/>
        <v>0</v>
      </c>
      <c r="AL903" s="180">
        <f t="shared" si="290"/>
        <v>294270.97145375266</v>
      </c>
      <c r="AM903" s="180" t="s">
        <v>633</v>
      </c>
      <c r="AN903" s="180">
        <f>+B912/30/1.98</f>
        <v>2943.5185185185187</v>
      </c>
      <c r="AO903" s="180">
        <f>(AD903*43560/30/24/3600)</f>
        <v>134.44444444444446</v>
      </c>
      <c r="AP903" s="180">
        <f>+F322</f>
        <v>0</v>
      </c>
      <c r="AQ903" s="180"/>
      <c r="AR903" s="180"/>
      <c r="AS903" s="180"/>
      <c r="AT903" s="306"/>
    </row>
    <row r="904" spans="1:46" ht="15.75" customHeight="1" x14ac:dyDescent="0.3">
      <c r="A904" s="189"/>
      <c r="B904" s="395">
        <f>+A5</f>
        <v>2019</v>
      </c>
      <c r="C904" s="395"/>
      <c r="D904" s="395"/>
      <c r="E904" s="395"/>
      <c r="F904" s="395"/>
      <c r="G904" s="395"/>
      <c r="H904" s="395"/>
      <c r="I904" s="395"/>
      <c r="J904" s="395"/>
      <c r="K904" s="395"/>
      <c r="L904" s="395"/>
      <c r="M904" s="395"/>
      <c r="N904" s="395"/>
      <c r="O904" s="395"/>
      <c r="P904" s="395"/>
      <c r="Q904" s="180"/>
      <c r="R904" s="306"/>
      <c r="AC904" s="189" t="s">
        <v>673</v>
      </c>
      <c r="AD904" s="180">
        <f t="shared" si="285"/>
        <v>0</v>
      </c>
      <c r="AE904" s="180">
        <f t="shared" si="286"/>
        <v>1638.8605643285464</v>
      </c>
      <c r="AF904" s="180">
        <f t="shared" si="293"/>
        <v>0</v>
      </c>
      <c r="AG904" s="180">
        <f t="shared" si="287"/>
        <v>256791.46599999999</v>
      </c>
      <c r="AH904" s="180">
        <f t="shared" si="291"/>
        <v>256791.46599999999</v>
      </c>
      <c r="AI904" s="180">
        <f t="shared" si="288"/>
        <v>47865</v>
      </c>
      <c r="AJ904" s="180">
        <f t="shared" si="292"/>
        <v>304656.46600000001</v>
      </c>
      <c r="AK904" s="180">
        <f t="shared" si="289"/>
        <v>898.3741369631914</v>
      </c>
      <c r="AL904" s="180">
        <f t="shared" si="290"/>
        <v>303758.0918630368</v>
      </c>
      <c r="AM904" s="180" t="s">
        <v>633</v>
      </c>
      <c r="AN904" s="180">
        <f>+B913/31/1.98</f>
        <v>2955.5229716520039</v>
      </c>
      <c r="AO904" s="180">
        <f>(AD904*43560/31/24/3600)</f>
        <v>0</v>
      </c>
      <c r="AP904" s="180">
        <f>+G322</f>
        <v>-97.603826069981949</v>
      </c>
      <c r="AQ904" s="180"/>
      <c r="AR904" s="180"/>
      <c r="AS904" s="180"/>
      <c r="AT904" s="306"/>
    </row>
    <row r="905" spans="1:46" ht="15.75" customHeight="1" x14ac:dyDescent="0.3">
      <c r="A905" s="189"/>
      <c r="B905" s="394" t="s">
        <v>674</v>
      </c>
      <c r="C905" s="394"/>
      <c r="D905" s="394"/>
      <c r="E905" s="394"/>
      <c r="F905" s="394"/>
      <c r="G905" s="394"/>
      <c r="H905" s="394"/>
      <c r="I905" s="394"/>
      <c r="J905" s="394"/>
      <c r="K905" s="394"/>
      <c r="L905" s="394"/>
      <c r="M905" s="394"/>
      <c r="N905" s="394"/>
      <c r="O905" s="394"/>
      <c r="P905" s="394"/>
      <c r="Q905" s="180"/>
      <c r="R905" s="306"/>
      <c r="AC905" s="189" t="s">
        <v>675</v>
      </c>
      <c r="AD905" s="180">
        <f t="shared" si="285"/>
        <v>0</v>
      </c>
      <c r="AE905" s="180">
        <f t="shared" si="286"/>
        <v>1621.8228788197084</v>
      </c>
      <c r="AF905" s="180">
        <f t="shared" si="293"/>
        <v>0</v>
      </c>
      <c r="AG905" s="180">
        <f t="shared" si="287"/>
        <v>102529.76300000001</v>
      </c>
      <c r="AH905" s="180">
        <f t="shared" si="291"/>
        <v>102529.76300000001</v>
      </c>
      <c r="AI905" s="180">
        <f t="shared" si="288"/>
        <v>47358</v>
      </c>
      <c r="AJ905" s="180">
        <f t="shared" si="292"/>
        <v>149887.76300000001</v>
      </c>
      <c r="AK905" s="180">
        <f t="shared" si="289"/>
        <v>13904.804213357216</v>
      </c>
      <c r="AL905" s="180">
        <f t="shared" si="290"/>
        <v>135982.95878664279</v>
      </c>
      <c r="AM905" s="180" t="s">
        <v>633</v>
      </c>
      <c r="AN905" s="180">
        <f>+B914/30/1.98</f>
        <v>1232.7609427609427</v>
      </c>
      <c r="AO905" s="180">
        <f t="shared" ref="AO905:AO910" si="294">(AD905*43560/30/24/3600)</f>
        <v>0</v>
      </c>
      <c r="AP905" s="180">
        <f>+H322</f>
        <v>-1798.6216170785003</v>
      </c>
      <c r="AQ905" s="180"/>
      <c r="AR905" s="180"/>
      <c r="AS905" s="180"/>
      <c r="AT905" s="306"/>
    </row>
    <row r="906" spans="1:46" ht="15.75" customHeight="1" x14ac:dyDescent="0.3">
      <c r="A906" s="189"/>
      <c r="B906" s="180"/>
      <c r="C906" s="180"/>
      <c r="D906" s="180"/>
      <c r="E906" s="180"/>
      <c r="F906" s="180"/>
      <c r="G906" s="180"/>
      <c r="H906" s="180"/>
      <c r="I906" s="180"/>
      <c r="J906" s="180"/>
      <c r="K906" s="180"/>
      <c r="L906" s="180"/>
      <c r="M906" s="180"/>
      <c r="N906" s="180"/>
      <c r="O906" s="180"/>
      <c r="P906" s="180"/>
      <c r="Q906" s="180"/>
      <c r="R906" s="306"/>
      <c r="AC906" s="189" t="s">
        <v>676</v>
      </c>
      <c r="AD906" s="180">
        <f t="shared" si="285"/>
        <v>0</v>
      </c>
      <c r="AE906" s="180">
        <f t="shared" si="286"/>
        <v>1603.3261339286623</v>
      </c>
      <c r="AF906" s="180">
        <f t="shared" si="293"/>
        <v>0</v>
      </c>
      <c r="AG906" s="180">
        <f t="shared" si="287"/>
        <v>105781.18799999999</v>
      </c>
      <c r="AH906" s="180">
        <f t="shared" si="291"/>
        <v>105781.18799999999</v>
      </c>
      <c r="AI906" s="180">
        <f t="shared" si="288"/>
        <v>48643</v>
      </c>
      <c r="AJ906" s="180">
        <f t="shared" si="292"/>
        <v>154424.18799999999</v>
      </c>
      <c r="AK906" s="180">
        <f t="shared" si="289"/>
        <v>11607.377473471804</v>
      </c>
      <c r="AL906" s="180">
        <f t="shared" si="290"/>
        <v>142816.81052652819</v>
      </c>
      <c r="AM906" s="180" t="s">
        <v>633</v>
      </c>
      <c r="AN906" s="180">
        <f>+B915/31/1.98</f>
        <v>1229.9283154121865</v>
      </c>
      <c r="AO906" s="180">
        <f t="shared" si="294"/>
        <v>0</v>
      </c>
      <c r="AP906" s="180">
        <f>+J322</f>
        <v>-1740.601564914678</v>
      </c>
      <c r="AQ906" s="180"/>
      <c r="AR906" s="180"/>
      <c r="AS906" s="180"/>
      <c r="AT906" s="306"/>
    </row>
    <row r="907" spans="1:46" ht="15.75" customHeight="1" thickBot="1" x14ac:dyDescent="0.35">
      <c r="A907" s="189" t="s">
        <v>647</v>
      </c>
      <c r="B907" s="191" t="s">
        <v>677</v>
      </c>
      <c r="C907" s="191" t="s">
        <v>678</v>
      </c>
      <c r="D907" s="191" t="s">
        <v>679</v>
      </c>
      <c r="E907" s="191" t="s">
        <v>680</v>
      </c>
      <c r="F907" s="191" t="s">
        <v>644</v>
      </c>
      <c r="G907" s="191" t="s">
        <v>644</v>
      </c>
      <c r="H907" s="191" t="s">
        <v>681</v>
      </c>
      <c r="I907" s="191" t="s">
        <v>682</v>
      </c>
      <c r="J907" s="191" t="s">
        <v>683</v>
      </c>
      <c r="K907" s="191" t="s">
        <v>684</v>
      </c>
      <c r="L907" s="191" t="s">
        <v>685</v>
      </c>
      <c r="M907" s="191" t="s">
        <v>686</v>
      </c>
      <c r="N907" s="191" t="s">
        <v>687</v>
      </c>
      <c r="O907" s="191" t="s">
        <v>688</v>
      </c>
      <c r="P907" s="191" t="s">
        <v>689</v>
      </c>
      <c r="Q907" s="191" t="s">
        <v>638</v>
      </c>
      <c r="R907" s="306"/>
      <c r="T907" s="52" t="s">
        <v>690</v>
      </c>
      <c r="AC907" s="189" t="s">
        <v>691</v>
      </c>
      <c r="AD907" s="180">
        <f t="shared" si="285"/>
        <v>0</v>
      </c>
      <c r="AE907" s="180">
        <f t="shared" si="286"/>
        <v>1584.8168551220842</v>
      </c>
      <c r="AF907" s="180">
        <f t="shared" si="293"/>
        <v>0</v>
      </c>
      <c r="AG907" s="180">
        <f t="shared" si="287"/>
        <v>104812.42200000001</v>
      </c>
      <c r="AH907" s="180">
        <f t="shared" si="291"/>
        <v>104812.42200000001</v>
      </c>
      <c r="AI907" s="180">
        <f t="shared" si="288"/>
        <v>45287</v>
      </c>
      <c r="AJ907" s="180">
        <f t="shared" si="292"/>
        <v>150099.42200000002</v>
      </c>
      <c r="AK907" s="180">
        <f t="shared" si="289"/>
        <v>8438.4505743147456</v>
      </c>
      <c r="AL907" s="180">
        <f t="shared" si="290"/>
        <v>141660.97142568527</v>
      </c>
      <c r="AM907" s="180" t="s">
        <v>633</v>
      </c>
      <c r="AN907" s="180">
        <f>+B916/31/1.98</f>
        <v>1214.7768002606713</v>
      </c>
      <c r="AO907" s="180">
        <f t="shared" si="294"/>
        <v>0</v>
      </c>
      <c r="AP907" s="180">
        <f>+K322</f>
        <v>-1577.928521464708</v>
      </c>
      <c r="AQ907" s="180"/>
      <c r="AR907" s="180"/>
      <c r="AS907" s="180"/>
      <c r="AT907" s="306"/>
    </row>
    <row r="908" spans="1:46" ht="15.75" customHeight="1" x14ac:dyDescent="0.3">
      <c r="A908" s="189"/>
      <c r="B908" s="180"/>
      <c r="C908" s="180"/>
      <c r="D908" s="180"/>
      <c r="E908" s="180"/>
      <c r="F908" s="182" t="s">
        <v>127</v>
      </c>
      <c r="G908" s="182" t="s">
        <v>653</v>
      </c>
      <c r="H908" s="180"/>
      <c r="I908" s="180"/>
      <c r="J908" s="180"/>
      <c r="K908" s="180"/>
      <c r="L908" s="180"/>
      <c r="M908" s="180"/>
      <c r="N908" s="180"/>
      <c r="O908" s="180"/>
      <c r="P908" s="180"/>
      <c r="Q908" s="180"/>
      <c r="R908" s="306"/>
      <c r="AC908" s="189" t="s">
        <v>692</v>
      </c>
      <c r="AD908" s="180">
        <f t="shared" si="285"/>
        <v>13000</v>
      </c>
      <c r="AE908" s="180">
        <f t="shared" si="286"/>
        <v>1587.3249567572875</v>
      </c>
      <c r="AF908" s="180">
        <f t="shared" si="293"/>
        <v>20635.224437844739</v>
      </c>
      <c r="AG908" s="180">
        <f t="shared" si="287"/>
        <v>192381.815</v>
      </c>
      <c r="AH908" s="180">
        <f t="shared" si="291"/>
        <v>213017.03943784474</v>
      </c>
      <c r="AI908" s="180">
        <f t="shared" si="288"/>
        <v>39221</v>
      </c>
      <c r="AJ908" s="180">
        <f t="shared" si="292"/>
        <v>252238.03943784474</v>
      </c>
      <c r="AK908" s="180">
        <v>0</v>
      </c>
      <c r="AL908" s="180">
        <f t="shared" si="290"/>
        <v>252238.03943784474</v>
      </c>
      <c r="AM908" s="180" t="s">
        <v>633</v>
      </c>
      <c r="AN908" s="180">
        <f>+B917/30/1.98</f>
        <v>2501.666666666667</v>
      </c>
      <c r="AO908" s="180">
        <f t="shared" si="294"/>
        <v>218.47222222222223</v>
      </c>
      <c r="AP908" s="180">
        <f>+L322</f>
        <v>0</v>
      </c>
      <c r="AQ908" s="180"/>
      <c r="AR908" s="180"/>
      <c r="AS908" s="180"/>
      <c r="AT908" s="306"/>
    </row>
    <row r="909" spans="1:46" ht="15.75" customHeight="1" x14ac:dyDescent="0.3">
      <c r="A909" s="192" t="s">
        <v>8</v>
      </c>
      <c r="B909" s="180">
        <f>+B29</f>
        <v>88288</v>
      </c>
      <c r="C909" s="180">
        <f>+B64</f>
        <v>88191</v>
      </c>
      <c r="D909" s="180">
        <f>+B133</f>
        <v>88095</v>
      </c>
      <c r="E909" s="180">
        <f>+B312</f>
        <v>87122</v>
      </c>
      <c r="F909" s="180">
        <f>+B307</f>
        <v>54000</v>
      </c>
      <c r="G909" s="180">
        <f>+B319</f>
        <v>-33000</v>
      </c>
      <c r="H909" s="180">
        <f>+B482</f>
        <v>43021</v>
      </c>
      <c r="I909" s="180">
        <f>+B532</f>
        <v>18473</v>
      </c>
      <c r="J909" s="180">
        <f>+B577</f>
        <v>18271</v>
      </c>
      <c r="K909" s="180">
        <f>+B641</f>
        <v>18105</v>
      </c>
      <c r="L909" s="180">
        <f>+B651</f>
        <v>15788</v>
      </c>
      <c r="M909" s="180">
        <f>+B687</f>
        <v>15768</v>
      </c>
      <c r="N909" s="180">
        <f>+B739</f>
        <v>15558</v>
      </c>
      <c r="O909" s="180">
        <f>+B749</f>
        <v>4791</v>
      </c>
      <c r="P909" s="180">
        <f>+B783</f>
        <v>3805</v>
      </c>
      <c r="Q909" s="180">
        <f>+B832</f>
        <v>4789</v>
      </c>
      <c r="R909" s="306"/>
      <c r="T909" s="193">
        <f>'[5]Lake Pleasant Forecast'!B83</f>
        <v>1676.0794780261915</v>
      </c>
      <c r="AC909" s="189" t="s">
        <v>693</v>
      </c>
      <c r="AD909" s="180">
        <f t="shared" si="285"/>
        <v>42000</v>
      </c>
      <c r="AE909" s="180">
        <f t="shared" si="286"/>
        <v>1595.3740839224813</v>
      </c>
      <c r="AF909" s="180">
        <f t="shared" si="293"/>
        <v>67005.711524744213</v>
      </c>
      <c r="AG909" s="180">
        <f t="shared" si="287"/>
        <v>143746.807</v>
      </c>
      <c r="AH909" s="180">
        <f t="shared" si="291"/>
        <v>210752.5185247442</v>
      </c>
      <c r="AI909" s="180">
        <f t="shared" si="288"/>
        <v>29386</v>
      </c>
      <c r="AJ909" s="180">
        <f t="shared" si="292"/>
        <v>240138.5185247442</v>
      </c>
      <c r="AK909" s="180">
        <v>0</v>
      </c>
      <c r="AL909" s="180">
        <f t="shared" si="290"/>
        <v>240138.5185247442</v>
      </c>
      <c r="AM909" s="180" t="s">
        <v>633</v>
      </c>
      <c r="AN909" s="180">
        <f>+B918/31/1.98</f>
        <v>2333.26816552623</v>
      </c>
      <c r="AO909" s="180">
        <f t="shared" si="294"/>
        <v>705.83333333333337</v>
      </c>
      <c r="AP909" s="180">
        <f>+N322</f>
        <v>0</v>
      </c>
      <c r="AQ909" s="180"/>
      <c r="AR909" s="180"/>
      <c r="AS909" s="180"/>
      <c r="AT909" s="306"/>
    </row>
    <row r="910" spans="1:46" ht="15.75" customHeight="1" x14ac:dyDescent="0.3">
      <c r="A910" s="192" t="s">
        <v>9</v>
      </c>
      <c r="B910" s="180">
        <f>+C29</f>
        <v>163176</v>
      </c>
      <c r="C910" s="180">
        <f>+C64</f>
        <v>163028</v>
      </c>
      <c r="D910" s="180">
        <f>+C133</f>
        <v>162883</v>
      </c>
      <c r="E910" s="180">
        <f>+C312</f>
        <v>161523</v>
      </c>
      <c r="F910" s="180">
        <f>+C307</f>
        <v>79000</v>
      </c>
      <c r="G910" s="180">
        <f>+C319</f>
        <v>0</v>
      </c>
      <c r="H910" s="180">
        <f>+C482</f>
        <v>59350</v>
      </c>
      <c r="I910" s="180">
        <f>+C532</f>
        <v>22195</v>
      </c>
      <c r="J910" s="180">
        <f>+C577</f>
        <v>21931</v>
      </c>
      <c r="K910" s="180">
        <f>+C641</f>
        <v>21300</v>
      </c>
      <c r="L910" s="180">
        <f>+C651</f>
        <v>18503</v>
      </c>
      <c r="M910" s="180">
        <f>+C687</f>
        <v>18481</v>
      </c>
      <c r="N910" s="180">
        <f>+C739</f>
        <v>18220</v>
      </c>
      <c r="O910" s="180">
        <f>+C749</f>
        <v>4521</v>
      </c>
      <c r="P910" s="180">
        <f>+C783</f>
        <v>3805</v>
      </c>
      <c r="Q910" s="180">
        <f>+C832</f>
        <v>4518</v>
      </c>
      <c r="R910" s="306"/>
      <c r="T910" s="193">
        <f>'[5]Lake Pleasant Forecast'!B85</f>
        <v>1685.7947359444636</v>
      </c>
      <c r="AC910" s="189" t="s">
        <v>694</v>
      </c>
      <c r="AD910" s="180">
        <f t="shared" si="285"/>
        <v>82000</v>
      </c>
      <c r="AE910" s="180">
        <f t="shared" si="286"/>
        <v>1609.9491632703021</v>
      </c>
      <c r="AF910" s="180">
        <f t="shared" si="293"/>
        <v>132015.83138816478</v>
      </c>
      <c r="AG910" s="180">
        <f t="shared" si="287"/>
        <v>52198.822</v>
      </c>
      <c r="AH910" s="180">
        <f t="shared" si="291"/>
        <v>184214.65338816476</v>
      </c>
      <c r="AI910" s="180">
        <f t="shared" si="288"/>
        <v>6580</v>
      </c>
      <c r="AJ910" s="180">
        <f t="shared" si="292"/>
        <v>190794.65338816476</v>
      </c>
      <c r="AK910" s="180">
        <f>(G1004)</f>
        <v>0</v>
      </c>
      <c r="AL910" s="180">
        <f t="shared" si="290"/>
        <v>190794.65338816476</v>
      </c>
      <c r="AM910" s="180" t="s">
        <v>633</v>
      </c>
      <c r="AN910" s="180">
        <f>+B919/30/1.98</f>
        <v>2001.5488215488215</v>
      </c>
      <c r="AO910" s="180">
        <f t="shared" si="294"/>
        <v>1378.0555555555557</v>
      </c>
      <c r="AP910" s="180">
        <f>+O322</f>
        <v>0</v>
      </c>
      <c r="AQ910" s="180"/>
      <c r="AR910" s="180"/>
      <c r="AS910" s="180"/>
      <c r="AT910" s="306"/>
    </row>
    <row r="911" spans="1:46" ht="15.75" customHeight="1" x14ac:dyDescent="0.3">
      <c r="A911" s="192" t="s">
        <v>10</v>
      </c>
      <c r="B911" s="180">
        <f>+D29</f>
        <v>180026</v>
      </c>
      <c r="C911" s="180">
        <f>+D64</f>
        <v>179752</v>
      </c>
      <c r="D911" s="180">
        <f>+D133</f>
        <v>179491</v>
      </c>
      <c r="E911" s="180">
        <f>+D312</f>
        <v>174020</v>
      </c>
      <c r="F911" s="180">
        <f>+D307</f>
        <v>54000</v>
      </c>
      <c r="G911" s="180">
        <f>+D319</f>
        <v>0</v>
      </c>
      <c r="H911" s="180">
        <f>+D482</f>
        <v>88436</v>
      </c>
      <c r="I911" s="180">
        <f>+D532</f>
        <v>30671</v>
      </c>
      <c r="J911" s="180">
        <f>+D577</f>
        <v>27106</v>
      </c>
      <c r="K911" s="180">
        <f>+D641</f>
        <v>24490</v>
      </c>
      <c r="L911" s="180">
        <f>+D651</f>
        <v>20106</v>
      </c>
      <c r="M911" s="180">
        <f>+D687</f>
        <v>20078</v>
      </c>
      <c r="N911" s="180">
        <f>+D739</f>
        <v>19464</v>
      </c>
      <c r="O911" s="180">
        <f>+D749</f>
        <v>4638</v>
      </c>
      <c r="P911" s="180">
        <f>+D783</f>
        <v>4757</v>
      </c>
      <c r="Q911" s="180">
        <f>+D832</f>
        <v>4633</v>
      </c>
      <c r="R911" s="306"/>
      <c r="T911" s="193">
        <f>'[5]Lake Pleasant Forecast'!B87</f>
        <v>1691.7615416769956</v>
      </c>
      <c r="AC911" s="189" t="s">
        <v>695</v>
      </c>
      <c r="AD911" s="180">
        <f t="shared" si="285"/>
        <v>74000</v>
      </c>
      <c r="AE911" s="180">
        <f t="shared" si="286"/>
        <v>1622.2792399995824</v>
      </c>
      <c r="AF911" s="180">
        <f t="shared" si="293"/>
        <v>120048.6637599691</v>
      </c>
      <c r="AG911" s="180">
        <f t="shared" si="287"/>
        <v>68936.688999999998</v>
      </c>
      <c r="AH911" s="180">
        <f t="shared" si="291"/>
        <v>188985.3527599691</v>
      </c>
      <c r="AI911" s="180">
        <f t="shared" si="288"/>
        <v>15295</v>
      </c>
      <c r="AJ911" s="180">
        <f t="shared" si="292"/>
        <v>204280.3527599691</v>
      </c>
      <c r="AK911" s="180">
        <f>(G1005)</f>
        <v>0</v>
      </c>
      <c r="AL911" s="180">
        <f t="shared" si="290"/>
        <v>204280.3527599691</v>
      </c>
      <c r="AM911" s="180" t="s">
        <v>633</v>
      </c>
      <c r="AN911" s="180">
        <f>+B920/31/1.98</f>
        <v>1997.4747474747476</v>
      </c>
      <c r="AO911" s="180">
        <f>(AD911*43560/31/24/3600)</f>
        <v>1203.494623655914</v>
      </c>
      <c r="AP911" s="180">
        <f>+P322</f>
        <v>0</v>
      </c>
      <c r="AQ911" s="180"/>
      <c r="AR911" s="180"/>
      <c r="AS911" s="180"/>
      <c r="AT911" s="306"/>
    </row>
    <row r="912" spans="1:46" ht="15.75" customHeight="1" x14ac:dyDescent="0.3">
      <c r="A912" s="192" t="s">
        <v>12</v>
      </c>
      <c r="B912" s="180">
        <f>+F29</f>
        <v>174845</v>
      </c>
      <c r="C912" s="180">
        <f>+F64</f>
        <v>174478</v>
      </c>
      <c r="D912" s="180">
        <f>+F133</f>
        <v>174128</v>
      </c>
      <c r="E912" s="180">
        <f>+F312</f>
        <v>167599</v>
      </c>
      <c r="F912" s="180">
        <f>+F307</f>
        <v>8000</v>
      </c>
      <c r="G912" s="180">
        <f>+F319</f>
        <v>0</v>
      </c>
      <c r="H912" s="180">
        <f>+F482</f>
        <v>111872</v>
      </c>
      <c r="I912" s="180">
        <f>+F532</f>
        <v>37862</v>
      </c>
      <c r="J912" s="180">
        <f>+F577</f>
        <v>28722</v>
      </c>
      <c r="K912" s="180">
        <f>+F641</f>
        <v>25281</v>
      </c>
      <c r="L912" s="180">
        <f>+F651</f>
        <v>20529</v>
      </c>
      <c r="M912" s="180">
        <f>+F687</f>
        <v>20492</v>
      </c>
      <c r="N912" s="180">
        <f>+F739</f>
        <v>19624</v>
      </c>
      <c r="O912" s="180">
        <f>+F749</f>
        <v>4639</v>
      </c>
      <c r="P912" s="180">
        <f>+F783</f>
        <v>5708</v>
      </c>
      <c r="Q912" s="180">
        <f>+F832</f>
        <v>4632</v>
      </c>
      <c r="R912" s="306"/>
      <c r="T912" s="193">
        <f>'[5]Lake Pleasant Forecast'!B89</f>
        <v>1692.2414105600383</v>
      </c>
      <c r="AC912" s="179"/>
      <c r="AD912" s="180"/>
      <c r="AE912" s="180"/>
      <c r="AF912" s="180"/>
      <c r="AG912" s="180"/>
      <c r="AH912" s="180"/>
      <c r="AI912" s="180"/>
      <c r="AJ912" s="180"/>
      <c r="AK912" s="180"/>
      <c r="AL912" s="180"/>
      <c r="AM912" s="180" t="s">
        <v>633</v>
      </c>
      <c r="AN912" s="180"/>
      <c r="AO912" s="180"/>
      <c r="AP912" s="180"/>
      <c r="AQ912" s="180"/>
      <c r="AR912" s="180"/>
      <c r="AS912" s="180"/>
      <c r="AT912" s="306"/>
    </row>
    <row r="913" spans="1:50" ht="15.75" customHeight="1" x14ac:dyDescent="0.3">
      <c r="A913" s="192" t="s">
        <v>13</v>
      </c>
      <c r="B913" s="180">
        <f>+G29</f>
        <v>181410</v>
      </c>
      <c r="C913" s="180">
        <f>+G64</f>
        <v>180985</v>
      </c>
      <c r="D913" s="180">
        <f>+G133</f>
        <v>180583</v>
      </c>
      <c r="E913" s="180">
        <f>+G312</f>
        <v>173458</v>
      </c>
      <c r="F913" s="180">
        <f>+G307</f>
        <v>0</v>
      </c>
      <c r="G913" s="180">
        <f>+G319</f>
        <v>-6000</v>
      </c>
      <c r="H913" s="180">
        <f>+G482</f>
        <v>128214</v>
      </c>
      <c r="I913" s="180">
        <f>+G532</f>
        <v>38351</v>
      </c>
      <c r="J913" s="180">
        <f>+G577</f>
        <v>29571</v>
      </c>
      <c r="K913" s="180">
        <f>+G641</f>
        <v>26622</v>
      </c>
      <c r="L913" s="180">
        <f>+G651</f>
        <v>21540</v>
      </c>
      <c r="M913" s="180">
        <f>+G687</f>
        <v>21498</v>
      </c>
      <c r="N913" s="180">
        <f>+G739</f>
        <v>20127</v>
      </c>
      <c r="O913" s="180">
        <f>+G749</f>
        <v>4677</v>
      </c>
      <c r="P913" s="180">
        <f>+G783</f>
        <v>6659</v>
      </c>
      <c r="Q913" s="180">
        <f>+G832</f>
        <v>4669</v>
      </c>
      <c r="R913" s="306"/>
      <c r="T913" s="193">
        <f>'[5]Lake Pleasant Forecast'!B91</f>
        <v>1690.7452066458463</v>
      </c>
      <c r="AC913" s="179" t="s">
        <v>641</v>
      </c>
      <c r="AD913" s="180">
        <f>SUM(AD900:AD911)</f>
        <v>406000</v>
      </c>
      <c r="AE913" s="180"/>
      <c r="AF913" s="180">
        <f t="shared" ref="AF913:AL913" si="295">SUM(AF900:AF911)</f>
        <v>657834.02691449469</v>
      </c>
      <c r="AG913" s="180">
        <f t="shared" si="295"/>
        <v>1609892.5769999998</v>
      </c>
      <c r="AH913" s="180">
        <f t="shared" si="295"/>
        <v>2267726.6039144946</v>
      </c>
      <c r="AI913" s="180">
        <f t="shared" si="295"/>
        <v>426234</v>
      </c>
      <c r="AJ913" s="180">
        <f t="shared" si="295"/>
        <v>2693960.6039144946</v>
      </c>
      <c r="AK913" s="180">
        <f t="shared" si="295"/>
        <v>39060.645847789427</v>
      </c>
      <c r="AL913" s="180">
        <f t="shared" si="295"/>
        <v>2654899.9580667051</v>
      </c>
      <c r="AM913" s="180"/>
      <c r="AN913" s="180"/>
      <c r="AO913" s="180"/>
      <c r="AP913" s="180"/>
      <c r="AQ913" s="180"/>
      <c r="AR913" s="180"/>
      <c r="AS913" s="180"/>
      <c r="AT913" s="306"/>
    </row>
    <row r="914" spans="1:50" ht="15.75" customHeight="1" x14ac:dyDescent="0.3">
      <c r="A914" s="192" t="s">
        <v>14</v>
      </c>
      <c r="B914" s="180">
        <f>+H29</f>
        <v>73226</v>
      </c>
      <c r="C914" s="180">
        <f>+H64</f>
        <v>72809</v>
      </c>
      <c r="D914" s="180">
        <f>+H133</f>
        <v>72413</v>
      </c>
      <c r="E914" s="180">
        <f>+H312</f>
        <v>65301</v>
      </c>
      <c r="F914" s="180">
        <f>+H307</f>
        <v>0</v>
      </c>
      <c r="G914" s="180">
        <f>+H319</f>
        <v>-107000</v>
      </c>
      <c r="H914" s="180">
        <f>+H482</f>
        <v>136387</v>
      </c>
      <c r="I914" s="180">
        <f>+H532</f>
        <v>40424</v>
      </c>
      <c r="J914" s="180">
        <f>+H577</f>
        <v>29571</v>
      </c>
      <c r="K914" s="180">
        <f>+H641</f>
        <v>23712</v>
      </c>
      <c r="L914" s="180">
        <f>+H651</f>
        <v>19634</v>
      </c>
      <c r="M914" s="180">
        <f>+H687</f>
        <v>19590</v>
      </c>
      <c r="N914" s="180">
        <f>+H739</f>
        <v>18068</v>
      </c>
      <c r="O914" s="180">
        <f>+H749</f>
        <v>4665</v>
      </c>
      <c r="P914" s="180">
        <f>+H783</f>
        <v>6850</v>
      </c>
      <c r="Q914" s="180">
        <f>+H832</f>
        <v>4656</v>
      </c>
      <c r="R914" s="306"/>
      <c r="T914" s="193">
        <f>'[5]Lake Pleasant Forecast'!B93</f>
        <v>1677.6227812669395</v>
      </c>
      <c r="AC914" s="179"/>
      <c r="AD914" s="180"/>
      <c r="AE914" s="180"/>
      <c r="AF914" s="180"/>
      <c r="AG914" s="180"/>
      <c r="AH914" s="180"/>
      <c r="AI914" s="180"/>
      <c r="AJ914" s="180"/>
      <c r="AK914" s="180"/>
      <c r="AL914" s="180"/>
      <c r="AM914" s="180"/>
      <c r="AN914" s="180"/>
      <c r="AO914" s="180"/>
      <c r="AP914" s="180"/>
      <c r="AQ914" s="180"/>
      <c r="AR914" s="180"/>
      <c r="AS914" s="180"/>
      <c r="AT914" s="306"/>
    </row>
    <row r="915" spans="1:50" ht="15.75" customHeight="1" x14ac:dyDescent="0.3">
      <c r="A915" s="192" t="s">
        <v>16</v>
      </c>
      <c r="B915" s="180">
        <f>+J29</f>
        <v>75493</v>
      </c>
      <c r="C915" s="180">
        <f>+J64</f>
        <v>75077</v>
      </c>
      <c r="D915" s="180">
        <f>+J133</f>
        <v>74683</v>
      </c>
      <c r="E915" s="180">
        <f>+J312</f>
        <v>67651</v>
      </c>
      <c r="F915" s="180">
        <f>+J307</f>
        <v>0</v>
      </c>
      <c r="G915" s="180">
        <f>+J319</f>
        <v>-107000</v>
      </c>
      <c r="H915" s="180">
        <f>+J482</f>
        <v>123697</v>
      </c>
      <c r="I915" s="180">
        <f>+J532</f>
        <v>51353</v>
      </c>
      <c r="J915" s="180">
        <f>+J577</f>
        <v>31292</v>
      </c>
      <c r="K915" s="180">
        <f>+J641</f>
        <v>24731</v>
      </c>
      <c r="L915" s="180">
        <f>+J651</f>
        <v>20525</v>
      </c>
      <c r="M915" s="180">
        <f>+J687</f>
        <v>20486</v>
      </c>
      <c r="N915" s="180">
        <f>+J739</f>
        <v>18467</v>
      </c>
      <c r="O915" s="180">
        <f>+J749</f>
        <v>4670</v>
      </c>
      <c r="P915" s="180">
        <f>+J783</f>
        <v>6184</v>
      </c>
      <c r="Q915" s="180">
        <f>+J832</f>
        <v>4663</v>
      </c>
      <c r="R915" s="306"/>
      <c r="T915" s="193">
        <f>'[5]Lake Pleasant Forecast'!B95</f>
        <v>1663.3765883518556</v>
      </c>
      <c r="AC915" s="179" t="s">
        <v>696</v>
      </c>
      <c r="AD915" s="180"/>
      <c r="AE915" s="180"/>
      <c r="AF915" s="180"/>
      <c r="AG915" s="180"/>
      <c r="AH915" s="180"/>
      <c r="AI915" s="180"/>
      <c r="AJ915" s="180"/>
      <c r="AK915" s="180"/>
      <c r="AL915" s="180"/>
      <c r="AM915" s="180"/>
      <c r="AN915" s="180"/>
      <c r="AO915" s="180"/>
      <c r="AP915" s="180"/>
      <c r="AQ915" s="180"/>
      <c r="AR915" s="180"/>
      <c r="AS915" s="180"/>
      <c r="AT915" s="306"/>
    </row>
    <row r="916" spans="1:50" ht="15.75" customHeight="1" x14ac:dyDescent="0.3">
      <c r="A916" s="192" t="s">
        <v>17</v>
      </c>
      <c r="B916" s="180">
        <f>+K29</f>
        <v>74563</v>
      </c>
      <c r="C916" s="180">
        <f>+K64</f>
        <v>74229</v>
      </c>
      <c r="D916" s="180">
        <f>+K133</f>
        <v>73911</v>
      </c>
      <c r="E916" s="180">
        <f>+K312</f>
        <v>68215</v>
      </c>
      <c r="F916" s="180">
        <f>+K307</f>
        <v>0</v>
      </c>
      <c r="G916" s="180">
        <f>+K319</f>
        <v>-97000</v>
      </c>
      <c r="H916" s="180">
        <f>+K482</f>
        <v>106180</v>
      </c>
      <c r="I916" s="180">
        <f>+K532</f>
        <v>43817</v>
      </c>
      <c r="J916" s="180">
        <f>+K577</f>
        <v>29913</v>
      </c>
      <c r="K916" s="180">
        <f>+K641</f>
        <v>24716</v>
      </c>
      <c r="L916" s="180">
        <f>+K651</f>
        <v>20454</v>
      </c>
      <c r="M916" s="180">
        <f>+K687</f>
        <v>20418</v>
      </c>
      <c r="N916" s="180">
        <f>+K739</f>
        <v>18801</v>
      </c>
      <c r="O916" s="180">
        <f>+K749</f>
        <v>4657</v>
      </c>
      <c r="P916" s="180">
        <f>+K783</f>
        <v>5708</v>
      </c>
      <c r="Q916" s="180">
        <f>+K832</f>
        <v>4651</v>
      </c>
      <c r="R916" s="306"/>
      <c r="T916" s="193">
        <f>'[5]Lake Pleasant Forecast'!B97</f>
        <v>1649.1207418150293</v>
      </c>
      <c r="AC916" s="179" t="s">
        <v>697</v>
      </c>
      <c r="AD916" s="180"/>
      <c r="AE916" s="180"/>
      <c r="AF916" s="180"/>
      <c r="AG916" s="180"/>
      <c r="AH916" s="180"/>
      <c r="AI916" s="180"/>
      <c r="AJ916" s="180"/>
      <c r="AK916" s="180"/>
      <c r="AL916" s="180"/>
      <c r="AM916" s="180"/>
      <c r="AN916" s="180"/>
      <c r="AO916" s="180"/>
      <c r="AP916" s="180"/>
      <c r="AQ916" s="180"/>
      <c r="AR916" s="180"/>
      <c r="AS916" s="180"/>
      <c r="AT916" s="306"/>
    </row>
    <row r="917" spans="1:50" ht="15.75" customHeight="1" x14ac:dyDescent="0.3">
      <c r="A917" s="192" t="s">
        <v>18</v>
      </c>
      <c r="B917" s="180">
        <f>+L29</f>
        <v>148599</v>
      </c>
      <c r="C917" s="180">
        <f>+L64</f>
        <v>148283</v>
      </c>
      <c r="D917" s="180">
        <f>+L133</f>
        <v>147982</v>
      </c>
      <c r="E917" s="180">
        <f>+L312</f>
        <v>144650</v>
      </c>
      <c r="F917" s="180">
        <f>+L307</f>
        <v>13000</v>
      </c>
      <c r="G917" s="180">
        <f>+L319</f>
        <v>0</v>
      </c>
      <c r="H917" s="180">
        <f>+L482</f>
        <v>79387</v>
      </c>
      <c r="I917" s="180">
        <f>+L532</f>
        <v>28874</v>
      </c>
      <c r="J917" s="180">
        <f>+L577</f>
        <v>26918</v>
      </c>
      <c r="K917" s="180">
        <f>+L641</f>
        <v>24638</v>
      </c>
      <c r="L917" s="180">
        <f>+L651</f>
        <v>19979</v>
      </c>
      <c r="M917" s="180">
        <f>+L687</f>
        <v>19945</v>
      </c>
      <c r="N917" s="180">
        <f>+L739</f>
        <v>18728</v>
      </c>
      <c r="O917" s="180">
        <f>+L749</f>
        <v>4615</v>
      </c>
      <c r="P917" s="180">
        <f>+L783</f>
        <v>5232</v>
      </c>
      <c r="Q917" s="180">
        <f>+L832</f>
        <v>4609</v>
      </c>
      <c r="R917" s="306"/>
      <c r="T917" s="193">
        <f>'[5]Lake Pleasant Forecast'!B99</f>
        <v>1651.0524816944628</v>
      </c>
      <c r="AC917" s="179"/>
      <c r="AD917" s="180"/>
      <c r="AE917" s="180"/>
      <c r="AF917" s="180"/>
      <c r="AG917" s="180"/>
      <c r="AH917" s="180"/>
      <c r="AI917" s="180"/>
      <c r="AJ917" s="180"/>
      <c r="AK917" s="180"/>
      <c r="AL917" s="180"/>
      <c r="AM917" s="180"/>
      <c r="AN917" s="180"/>
      <c r="AO917" s="180"/>
      <c r="AP917" s="180"/>
      <c r="AQ917" s="180"/>
      <c r="AR917" s="180"/>
      <c r="AS917" s="180"/>
      <c r="AT917" s="306"/>
    </row>
    <row r="918" spans="1:50" ht="15.75" customHeight="1" x14ac:dyDescent="0.3">
      <c r="A918" s="192" t="s">
        <v>20</v>
      </c>
      <c r="B918" s="180">
        <f>+N29</f>
        <v>143216</v>
      </c>
      <c r="C918" s="180">
        <f>+N64</f>
        <v>142931</v>
      </c>
      <c r="D918" s="180">
        <f>+N133</f>
        <v>142659</v>
      </c>
      <c r="E918" s="180">
        <f>+N312</f>
        <v>141019</v>
      </c>
      <c r="F918" s="180">
        <f>+N307</f>
        <v>42000</v>
      </c>
      <c r="G918" s="180">
        <f>+N319</f>
        <v>0</v>
      </c>
      <c r="H918" s="180">
        <f>+N482</f>
        <v>57636</v>
      </c>
      <c r="I918" s="180">
        <f>+N532</f>
        <v>19305</v>
      </c>
      <c r="J918" s="180">
        <f>+N577</f>
        <v>18653</v>
      </c>
      <c r="K918" s="180">
        <f>+N641</f>
        <v>17729</v>
      </c>
      <c r="L918" s="180">
        <f>+N651</f>
        <v>14883</v>
      </c>
      <c r="M918" s="180">
        <f>+N687</f>
        <v>14854</v>
      </c>
      <c r="N918" s="180">
        <f>+N739</f>
        <v>14440</v>
      </c>
      <c r="O918" s="180">
        <f>+N749</f>
        <v>4637</v>
      </c>
      <c r="P918" s="180">
        <f>+N783</f>
        <v>4757</v>
      </c>
      <c r="Q918" s="180">
        <f>+N832</f>
        <v>4632</v>
      </c>
      <c r="R918" s="306"/>
      <c r="T918" s="193">
        <f>'[5]Lake Pleasant Forecast'!B101</f>
        <v>1657.251919437095</v>
      </c>
      <c r="AC918" s="179" t="s">
        <v>698</v>
      </c>
      <c r="AD918" s="180"/>
      <c r="AE918" s="180"/>
      <c r="AF918" s="180"/>
      <c r="AG918" s="180"/>
      <c r="AH918" s="180"/>
      <c r="AI918" s="180"/>
      <c r="AJ918" s="180"/>
      <c r="AK918" s="180"/>
      <c r="AL918" s="180"/>
      <c r="AM918" s="180"/>
      <c r="AN918" s="180"/>
      <c r="AO918" s="180"/>
      <c r="AP918" s="180"/>
      <c r="AQ918" s="180"/>
      <c r="AR918" s="180"/>
      <c r="AS918" s="180"/>
      <c r="AT918" s="306"/>
    </row>
    <row r="919" spans="1:50" ht="15.75" customHeight="1" x14ac:dyDescent="0.3">
      <c r="A919" s="192" t="s">
        <v>21</v>
      </c>
      <c r="B919" s="180">
        <f>+O29</f>
        <v>118892</v>
      </c>
      <c r="C919" s="180">
        <f>+O64</f>
        <v>118657</v>
      </c>
      <c r="D919" s="180">
        <f>+O133</f>
        <v>118431</v>
      </c>
      <c r="E919" s="180">
        <f>+O312</f>
        <v>117424</v>
      </c>
      <c r="F919" s="180">
        <f>+O307</f>
        <v>82000</v>
      </c>
      <c r="G919" s="180">
        <f>+O319</f>
        <v>0</v>
      </c>
      <c r="H919" s="180">
        <f>+O482</f>
        <v>10367</v>
      </c>
      <c r="I919" s="180">
        <f>+O532</f>
        <v>2640</v>
      </c>
      <c r="J919" s="180">
        <f>+O577</f>
        <v>2532</v>
      </c>
      <c r="K919" s="180">
        <f>+O641</f>
        <v>2466</v>
      </c>
      <c r="L919" s="180">
        <f>+O651</f>
        <v>2399</v>
      </c>
      <c r="M919" s="180">
        <f>+O687</f>
        <v>2376</v>
      </c>
      <c r="N919" s="180">
        <f>+O739</f>
        <v>2265</v>
      </c>
      <c r="O919" s="180">
        <f>+O749</f>
        <v>2090</v>
      </c>
      <c r="P919" s="180">
        <f>+O783</f>
        <v>4281</v>
      </c>
      <c r="Q919" s="180">
        <f>+O832</f>
        <v>2087</v>
      </c>
      <c r="R919" s="306"/>
      <c r="T919" s="193">
        <f>'[5]Lake Pleasant Forecast'!B103</f>
        <v>1668.4776455507865</v>
      </c>
      <c r="AC919" s="179"/>
      <c r="AD919" s="180"/>
      <c r="AE919" s="180"/>
      <c r="AF919" s="180"/>
      <c r="AG919" s="180"/>
      <c r="AH919" s="180"/>
      <c r="AI919" s="180"/>
      <c r="AJ919" s="180"/>
      <c r="AK919" s="180"/>
      <c r="AL919" s="180"/>
      <c r="AM919" s="180"/>
      <c r="AN919" s="180"/>
      <c r="AO919" s="180"/>
      <c r="AP919" s="180"/>
      <c r="AQ919" s="180"/>
      <c r="AR919" s="180"/>
      <c r="AS919" s="180"/>
      <c r="AT919" s="306"/>
    </row>
    <row r="920" spans="1:50" ht="15.75" customHeight="1" thickBot="1" x14ac:dyDescent="0.35">
      <c r="A920" s="192" t="s">
        <v>22</v>
      </c>
      <c r="B920" s="180">
        <f>+P29</f>
        <v>122605</v>
      </c>
      <c r="C920" s="180">
        <f>+P64</f>
        <v>122419</v>
      </c>
      <c r="D920" s="180">
        <f>+P133</f>
        <v>122240</v>
      </c>
      <c r="E920" s="180">
        <f>+P312</f>
        <v>121214</v>
      </c>
      <c r="F920" s="180">
        <f>+P307</f>
        <v>74000</v>
      </c>
      <c r="G920" s="180">
        <f>+P319</f>
        <v>0</v>
      </c>
      <c r="H920" s="180">
        <f>+P482</f>
        <v>31091</v>
      </c>
      <c r="I920" s="180">
        <f>+P532</f>
        <v>8997</v>
      </c>
      <c r="J920" s="180">
        <f>+P577</f>
        <v>8553</v>
      </c>
      <c r="K920" s="180">
        <f>+P641</f>
        <v>8471</v>
      </c>
      <c r="L920" s="180">
        <f>+P651</f>
        <v>8433</v>
      </c>
      <c r="M920" s="180">
        <f>+P687</f>
        <v>8414</v>
      </c>
      <c r="N920" s="180">
        <f>+P739</f>
        <v>8105</v>
      </c>
      <c r="O920" s="180">
        <f>+P749</f>
        <v>2099</v>
      </c>
      <c r="P920" s="180">
        <f>+P783</f>
        <v>3805</v>
      </c>
      <c r="Q920" s="180">
        <f>+P832</f>
        <v>2097</v>
      </c>
      <c r="R920" s="306"/>
      <c r="T920" s="193">
        <f>'[5]Lake Pleasant Forecast'!B105</f>
        <v>1677.9742706476784</v>
      </c>
      <c r="AC920" s="194" t="s">
        <v>699</v>
      </c>
      <c r="AD920" s="195"/>
      <c r="AE920" s="195"/>
      <c r="AF920" s="195"/>
      <c r="AG920" s="195"/>
      <c r="AH920" s="195"/>
      <c r="AI920" s="195"/>
      <c r="AJ920" s="195"/>
      <c r="AK920" s="195"/>
      <c r="AL920" s="195"/>
      <c r="AM920" s="195"/>
      <c r="AN920" s="195"/>
      <c r="AO920" s="195"/>
      <c r="AP920" s="195"/>
      <c r="AQ920" s="195"/>
      <c r="AR920" s="195"/>
      <c r="AS920" s="195"/>
      <c r="AT920" s="196"/>
    </row>
    <row r="921" spans="1:50" ht="15.75" customHeight="1" x14ac:dyDescent="0.3">
      <c r="A921" s="189"/>
      <c r="B921" s="180"/>
      <c r="C921" s="180"/>
      <c r="D921" s="180"/>
      <c r="E921" s="180"/>
      <c r="F921" s="180"/>
      <c r="G921" s="180"/>
      <c r="H921" s="180"/>
      <c r="I921" s="180"/>
      <c r="J921" s="180"/>
      <c r="K921" s="180"/>
      <c r="L921" s="180"/>
      <c r="M921" s="180"/>
      <c r="N921" s="180"/>
      <c r="O921" s="180"/>
      <c r="P921" s="180"/>
      <c r="Q921" s="180"/>
      <c r="R921" s="306"/>
    </row>
    <row r="922" spans="1:50" ht="15.75" customHeight="1" thickBot="1" x14ac:dyDescent="0.35">
      <c r="A922" s="189" t="s">
        <v>641</v>
      </c>
      <c r="B922" s="180">
        <f t="shared" ref="B922:Q922" si="296">SUM(B909:B920)</f>
        <v>1544339</v>
      </c>
      <c r="C922" s="180">
        <f t="shared" si="296"/>
        <v>1540839</v>
      </c>
      <c r="D922" s="180">
        <f t="shared" si="296"/>
        <v>1537499</v>
      </c>
      <c r="E922" s="180">
        <f t="shared" si="296"/>
        <v>1489196</v>
      </c>
      <c r="F922" s="180">
        <f t="shared" si="296"/>
        <v>406000</v>
      </c>
      <c r="G922" s="180">
        <f t="shared" si="296"/>
        <v>-350000</v>
      </c>
      <c r="H922" s="180">
        <f t="shared" si="296"/>
        <v>975638</v>
      </c>
      <c r="I922" s="180">
        <f t="shared" si="296"/>
        <v>342962</v>
      </c>
      <c r="J922" s="180">
        <f t="shared" si="296"/>
        <v>273033</v>
      </c>
      <c r="K922" s="180">
        <f t="shared" si="296"/>
        <v>242261</v>
      </c>
      <c r="L922" s="180">
        <f t="shared" si="296"/>
        <v>202773</v>
      </c>
      <c r="M922" s="180">
        <f t="shared" si="296"/>
        <v>202400</v>
      </c>
      <c r="N922" s="180">
        <f t="shared" si="296"/>
        <v>191867</v>
      </c>
      <c r="O922" s="180">
        <f t="shared" si="296"/>
        <v>50699</v>
      </c>
      <c r="P922" s="180">
        <f t="shared" si="296"/>
        <v>61551</v>
      </c>
      <c r="Q922" s="180">
        <f t="shared" si="296"/>
        <v>50636</v>
      </c>
      <c r="R922" s="306"/>
    </row>
    <row r="923" spans="1:50" ht="15.75" customHeight="1" thickBot="1" x14ac:dyDescent="0.35">
      <c r="A923" s="135"/>
      <c r="B923" s="135"/>
      <c r="C923" s="135"/>
      <c r="D923" s="135"/>
      <c r="E923" s="135"/>
      <c r="F923" s="135"/>
      <c r="G923" s="135"/>
      <c r="H923" s="135"/>
      <c r="I923" s="135"/>
      <c r="J923" s="135"/>
      <c r="K923" s="135"/>
      <c r="L923" s="135"/>
      <c r="M923" s="135"/>
      <c r="N923" s="135"/>
      <c r="O923" s="135"/>
      <c r="P923" s="135"/>
      <c r="Q923" s="135"/>
      <c r="R923" s="196"/>
      <c r="AC923" s="173"/>
      <c r="AD923" s="174"/>
      <c r="AE923" s="174"/>
      <c r="AF923" s="174"/>
      <c r="AG923" s="174"/>
      <c r="AH923" s="174"/>
      <c r="AI923" s="174"/>
      <c r="AJ923" s="174"/>
      <c r="AK923" s="174"/>
      <c r="AL923" s="174"/>
      <c r="AM923" s="174"/>
      <c r="AN923" s="174"/>
      <c r="AO923" s="174"/>
      <c r="AP923" s="174"/>
      <c r="AQ923" s="174"/>
      <c r="AR923" s="174"/>
      <c r="AS923" s="177" t="str">
        <f>+Q1</f>
        <v xml:space="preserve">PRINTED:  </v>
      </c>
      <c r="AT923" s="197">
        <f ca="1">+R1</f>
        <v>44894.658168518516</v>
      </c>
      <c r="AU923" s="198"/>
      <c r="AW923" s="199" t="s">
        <v>700</v>
      </c>
      <c r="AX923" s="180"/>
    </row>
    <row r="924" spans="1:50" ht="15.75" customHeight="1" x14ac:dyDescent="0.35">
      <c r="A924" s="200"/>
      <c r="B924" s="200"/>
      <c r="C924" s="200"/>
      <c r="D924" s="200"/>
      <c r="E924" s="200"/>
      <c r="F924" s="200"/>
      <c r="G924" s="200"/>
      <c r="H924" s="200"/>
      <c r="I924" s="200"/>
      <c r="J924" s="200"/>
      <c r="K924" s="200"/>
      <c r="L924" s="200"/>
      <c r="M924" s="200"/>
      <c r="N924" s="200"/>
      <c r="O924" s="200"/>
      <c r="P924" s="200"/>
      <c r="Q924" s="200"/>
      <c r="R924" s="174"/>
      <c r="AC924" s="179"/>
      <c r="AD924" s="180"/>
      <c r="AE924" s="199" t="s">
        <v>701</v>
      </c>
      <c r="AF924" s="180"/>
      <c r="AG924" s="180"/>
      <c r="AH924" s="180"/>
      <c r="AI924" s="180"/>
      <c r="AJ924" s="180"/>
      <c r="AK924" s="180"/>
      <c r="AL924" s="180"/>
      <c r="AM924" s="180"/>
      <c r="AN924" s="201"/>
      <c r="AO924" s="199" t="s">
        <v>702</v>
      </c>
      <c r="AP924" s="180"/>
      <c r="AQ924" s="180"/>
      <c r="AR924" s="180"/>
      <c r="AS924" s="180"/>
      <c r="AT924" s="180"/>
      <c r="AU924" s="304"/>
      <c r="AW924" s="180" t="s">
        <v>703</v>
      </c>
      <c r="AX924" s="180"/>
    </row>
    <row r="925" spans="1:50" ht="16.5" customHeight="1" x14ac:dyDescent="0.3">
      <c r="A925" s="189" t="s">
        <v>7</v>
      </c>
      <c r="B925" s="180"/>
      <c r="C925" s="180"/>
      <c r="D925" s="180"/>
      <c r="E925" s="180"/>
      <c r="F925" s="180"/>
      <c r="G925" s="180"/>
      <c r="H925" s="180"/>
      <c r="I925" s="180"/>
      <c r="J925" s="180"/>
      <c r="K925" s="180"/>
      <c r="L925" s="180"/>
      <c r="M925" s="180"/>
      <c r="N925" s="180"/>
      <c r="O925" s="180"/>
      <c r="P925" s="180"/>
      <c r="Q925" s="180"/>
      <c r="R925" s="180"/>
      <c r="AC925" s="179"/>
      <c r="AD925" s="180"/>
      <c r="AE925" s="180"/>
      <c r="AF925" s="180"/>
      <c r="AG925" s="180" t="s">
        <v>7</v>
      </c>
      <c r="AH925" s="202" t="str">
        <f>+A8</f>
        <v>Revised:  11/27/2018</v>
      </c>
      <c r="AI925" s="180"/>
      <c r="AJ925" s="180"/>
      <c r="AK925" s="180"/>
      <c r="AL925" s="180"/>
      <c r="AM925" s="180"/>
      <c r="AN925" s="180"/>
      <c r="AO925" s="180"/>
      <c r="AP925" s="180"/>
      <c r="AQ925" s="180"/>
      <c r="AR925" s="180" t="s">
        <v>7</v>
      </c>
      <c r="AS925" s="202" t="str">
        <f>+A8</f>
        <v>Revised:  11/27/2018</v>
      </c>
      <c r="AT925" s="180"/>
      <c r="AU925" s="304"/>
      <c r="AW925" s="180"/>
      <c r="AX925" s="180"/>
    </row>
    <row r="926" spans="1:50" ht="15.75" customHeight="1" x14ac:dyDescent="0.3">
      <c r="A926" s="182"/>
      <c r="B926" s="180"/>
      <c r="C926" s="180"/>
      <c r="D926" s="180"/>
      <c r="E926" s="180"/>
      <c r="F926" s="180"/>
      <c r="G926" s="180"/>
      <c r="H926" s="180"/>
      <c r="I926" s="180"/>
      <c r="J926" s="180"/>
      <c r="K926" s="180"/>
      <c r="L926" s="180"/>
      <c r="M926" s="180"/>
      <c r="N926" s="180"/>
      <c r="O926" s="180"/>
      <c r="P926" s="180"/>
      <c r="Q926" s="180"/>
      <c r="R926" s="180"/>
      <c r="AC926" s="179"/>
      <c r="AD926" s="180"/>
      <c r="AE926" s="180"/>
      <c r="AF926" s="180" t="s">
        <v>704</v>
      </c>
      <c r="AG926" s="180"/>
      <c r="AH926" s="180"/>
      <c r="AI926" s="180"/>
      <c r="AJ926" s="180"/>
      <c r="AK926" s="180"/>
      <c r="AL926" s="180"/>
      <c r="AM926" s="180"/>
      <c r="AN926" s="180"/>
      <c r="AO926" s="180"/>
      <c r="AP926" s="180" t="s">
        <v>704</v>
      </c>
      <c r="AQ926" s="180"/>
      <c r="AR926" s="180"/>
      <c r="AS926" s="180"/>
      <c r="AT926" s="180"/>
      <c r="AU926" s="304"/>
      <c r="AW926" s="180" t="s">
        <v>633</v>
      </c>
      <c r="AX926" s="182" t="s">
        <v>658</v>
      </c>
    </row>
    <row r="927" spans="1:50" ht="15.75" customHeight="1" x14ac:dyDescent="0.3">
      <c r="A927" s="192"/>
      <c r="AC927" s="179"/>
      <c r="AD927" s="180"/>
      <c r="AE927" s="180"/>
      <c r="AF927" s="180"/>
      <c r="AG927" s="180"/>
      <c r="AH927" s="180"/>
      <c r="AI927" s="180"/>
      <c r="AJ927" s="180"/>
      <c r="AK927" s="180"/>
      <c r="AL927" s="180"/>
      <c r="AM927" s="180"/>
      <c r="AN927" s="180"/>
      <c r="AO927" s="180"/>
      <c r="AP927" s="180"/>
      <c r="AQ927" s="180"/>
      <c r="AR927" s="180"/>
      <c r="AS927" s="180"/>
      <c r="AT927" s="180"/>
      <c r="AU927" s="304"/>
      <c r="AW927" s="182" t="s">
        <v>658</v>
      </c>
      <c r="AX927" s="182" t="s">
        <v>655</v>
      </c>
    </row>
    <row r="928" spans="1:50" ht="15.75" customHeight="1" thickBot="1" x14ac:dyDescent="0.35">
      <c r="A928" s="192"/>
      <c r="AC928" s="179"/>
      <c r="AD928" s="180"/>
      <c r="AE928" s="180"/>
      <c r="AF928" s="180"/>
      <c r="AG928" s="180">
        <f>+A5</f>
        <v>2019</v>
      </c>
      <c r="AH928" s="180"/>
      <c r="AI928" s="180"/>
      <c r="AJ928" s="180"/>
      <c r="AK928" s="180"/>
      <c r="AL928" s="180"/>
      <c r="AM928" s="180"/>
      <c r="AN928" s="180"/>
      <c r="AO928" s="180"/>
      <c r="AP928" s="180"/>
      <c r="AQ928" s="180"/>
      <c r="AR928" s="180">
        <f>+A5</f>
        <v>2019</v>
      </c>
      <c r="AS928" s="180"/>
      <c r="AT928" s="180"/>
      <c r="AU928" s="304"/>
      <c r="AW928" s="182" t="s">
        <v>705</v>
      </c>
      <c r="AX928" s="182" t="s">
        <v>706</v>
      </c>
    </row>
    <row r="929" spans="1:50" ht="15.75" customHeight="1" x14ac:dyDescent="0.3">
      <c r="A929" s="188"/>
      <c r="B929" s="387" t="s">
        <v>707</v>
      </c>
      <c r="C929" s="387"/>
      <c r="D929" s="387"/>
      <c r="E929" s="387"/>
      <c r="F929" s="387"/>
      <c r="G929" s="387"/>
      <c r="H929" s="387"/>
      <c r="I929" s="387"/>
      <c r="J929" s="387"/>
      <c r="K929" s="387"/>
      <c r="L929" s="387"/>
      <c r="M929" s="387"/>
      <c r="N929" s="387"/>
      <c r="O929" s="387"/>
      <c r="P929" s="387"/>
      <c r="Q929" s="177" t="str">
        <f>+Q1</f>
        <v xml:space="preserve">PRINTED:  </v>
      </c>
      <c r="R929" s="178">
        <f ca="1">+R1</f>
        <v>44894.658168518516</v>
      </c>
      <c r="AC929" s="179"/>
      <c r="AD929" s="180"/>
      <c r="AE929" s="180"/>
      <c r="AF929" s="180"/>
      <c r="AG929" s="180" t="s">
        <v>708</v>
      </c>
      <c r="AH929" s="180"/>
      <c r="AI929" s="180"/>
      <c r="AJ929" s="180"/>
      <c r="AK929" s="180"/>
      <c r="AL929" s="180"/>
      <c r="AM929" s="180"/>
      <c r="AN929" s="180"/>
      <c r="AO929" s="180"/>
      <c r="AP929" s="180"/>
      <c r="AQ929" s="180"/>
      <c r="AR929" s="180" t="s">
        <v>708</v>
      </c>
      <c r="AS929" s="180"/>
      <c r="AT929" s="180"/>
      <c r="AU929" s="304"/>
      <c r="AW929" s="182" t="s">
        <v>666</v>
      </c>
      <c r="AX929" s="182" t="s">
        <v>666</v>
      </c>
    </row>
    <row r="930" spans="1:50" ht="15.75" customHeight="1" x14ac:dyDescent="0.3">
      <c r="A930" s="189"/>
      <c r="B930" s="394" t="str">
        <f>+A8</f>
        <v>Revised:  11/27/2018</v>
      </c>
      <c r="C930" s="394"/>
      <c r="D930" s="394"/>
      <c r="E930" s="394"/>
      <c r="F930" s="394"/>
      <c r="G930" s="394"/>
      <c r="H930" s="394"/>
      <c r="I930" s="394"/>
      <c r="J930" s="394"/>
      <c r="K930" s="394"/>
      <c r="L930" s="394"/>
      <c r="M930" s="394"/>
      <c r="N930" s="394"/>
      <c r="O930" s="394"/>
      <c r="P930" s="394"/>
      <c r="Q930" s="180"/>
      <c r="R930" s="306"/>
      <c r="AC930" s="179"/>
      <c r="AD930" s="180"/>
      <c r="AE930" s="180"/>
      <c r="AF930" s="180"/>
      <c r="AG930" s="180"/>
      <c r="AH930" s="180"/>
      <c r="AI930" s="180"/>
      <c r="AJ930" s="180"/>
      <c r="AK930" s="180"/>
      <c r="AL930" s="180"/>
      <c r="AM930" s="180"/>
      <c r="AN930" s="180"/>
      <c r="AO930" s="180"/>
      <c r="AP930" s="180"/>
      <c r="AQ930" s="180"/>
      <c r="AR930" s="180"/>
      <c r="AS930" s="180"/>
      <c r="AT930" s="180"/>
      <c r="AU930" s="304"/>
      <c r="AW930" s="180">
        <f t="shared" ref="AW930:AW941" si="297">SUM(L966:Q966)</f>
        <v>11689</v>
      </c>
      <c r="AX930" s="203">
        <v>2.4700000000000002</v>
      </c>
    </row>
    <row r="931" spans="1:50" ht="15.75" customHeight="1" x14ac:dyDescent="0.3">
      <c r="A931" s="189"/>
      <c r="B931" s="394" t="s">
        <v>670</v>
      </c>
      <c r="C931" s="394"/>
      <c r="D931" s="394"/>
      <c r="E931" s="394"/>
      <c r="F931" s="394"/>
      <c r="G931" s="394"/>
      <c r="H931" s="394"/>
      <c r="I931" s="394"/>
      <c r="J931" s="394"/>
      <c r="K931" s="394"/>
      <c r="L931" s="394"/>
      <c r="M931" s="394"/>
      <c r="N931" s="394"/>
      <c r="O931" s="394"/>
      <c r="P931" s="394"/>
      <c r="Q931" s="180"/>
      <c r="R931" s="306"/>
      <c r="AC931" s="179" t="s">
        <v>709</v>
      </c>
      <c r="AD931" s="182" t="s">
        <v>677</v>
      </c>
      <c r="AE931" s="182" t="s">
        <v>678</v>
      </c>
      <c r="AF931" s="182" t="s">
        <v>679</v>
      </c>
      <c r="AG931" s="182" t="s">
        <v>680</v>
      </c>
      <c r="AH931" s="182" t="s">
        <v>644</v>
      </c>
      <c r="AI931" s="180"/>
      <c r="AJ931" s="182" t="s">
        <v>641</v>
      </c>
      <c r="AK931" s="180"/>
      <c r="AL931" s="180"/>
      <c r="AM931" s="180"/>
      <c r="AN931" s="180" t="s">
        <v>709</v>
      </c>
      <c r="AO931" s="182" t="s">
        <v>677</v>
      </c>
      <c r="AP931" s="182" t="s">
        <v>678</v>
      </c>
      <c r="AQ931" s="182" t="s">
        <v>679</v>
      </c>
      <c r="AR931" s="182" t="s">
        <v>680</v>
      </c>
      <c r="AS931" s="182" t="s">
        <v>644</v>
      </c>
      <c r="AT931" s="182" t="s">
        <v>641</v>
      </c>
      <c r="AU931" s="304"/>
      <c r="AW931" s="180">
        <f t="shared" si="297"/>
        <v>12772</v>
      </c>
      <c r="AX931" s="203">
        <v>2.4700000000000002</v>
      </c>
    </row>
    <row r="932" spans="1:50" ht="15.75" customHeight="1" x14ac:dyDescent="0.3">
      <c r="A932" s="189"/>
      <c r="B932" s="394"/>
      <c r="C932" s="394"/>
      <c r="D932" s="394"/>
      <c r="E932" s="394"/>
      <c r="F932" s="394"/>
      <c r="G932" s="394"/>
      <c r="H932" s="394"/>
      <c r="I932" s="394"/>
      <c r="J932" s="394"/>
      <c r="K932" s="394"/>
      <c r="L932" s="394"/>
      <c r="M932" s="394"/>
      <c r="N932" s="394"/>
      <c r="O932" s="394"/>
      <c r="P932" s="394"/>
      <c r="Q932" s="180"/>
      <c r="R932" s="306"/>
      <c r="AC932" s="179" t="s">
        <v>710</v>
      </c>
      <c r="AD932" s="180"/>
      <c r="AE932" s="180"/>
      <c r="AF932" s="180"/>
      <c r="AG932" s="180"/>
      <c r="AH932" s="182" t="s">
        <v>127</v>
      </c>
      <c r="AI932" s="180"/>
      <c r="AJ932" s="182" t="s">
        <v>711</v>
      </c>
      <c r="AK932" s="180"/>
      <c r="AL932" s="180"/>
      <c r="AM932" s="180"/>
      <c r="AN932" s="180" t="s">
        <v>710</v>
      </c>
      <c r="AO932" s="180"/>
      <c r="AP932" s="180"/>
      <c r="AQ932" s="180"/>
      <c r="AR932" s="180"/>
      <c r="AS932" s="182" t="s">
        <v>127</v>
      </c>
      <c r="AT932" s="182" t="s">
        <v>711</v>
      </c>
      <c r="AU932" s="304"/>
      <c r="AW932" s="180">
        <f t="shared" si="297"/>
        <v>13829</v>
      </c>
      <c r="AX932" s="203">
        <v>2.4700000000000002</v>
      </c>
    </row>
    <row r="933" spans="1:50" ht="15.75" customHeight="1" x14ac:dyDescent="0.3">
      <c r="A933" s="189"/>
      <c r="B933" s="395">
        <f>+A5</f>
        <v>2019</v>
      </c>
      <c r="C933" s="395"/>
      <c r="D933" s="395"/>
      <c r="E933" s="395"/>
      <c r="F933" s="395"/>
      <c r="G933" s="395"/>
      <c r="H933" s="395"/>
      <c r="I933" s="395"/>
      <c r="J933" s="395"/>
      <c r="K933" s="395"/>
      <c r="L933" s="395"/>
      <c r="M933" s="395"/>
      <c r="N933" s="395"/>
      <c r="O933" s="395"/>
      <c r="P933" s="395"/>
      <c r="Q933" s="180"/>
      <c r="R933" s="306"/>
      <c r="AC933" s="179" t="s">
        <v>712</v>
      </c>
      <c r="AD933" s="180">
        <f>+$B$964</f>
        <v>957</v>
      </c>
      <c r="AE933" s="180">
        <f>+C$964</f>
        <v>122</v>
      </c>
      <c r="AF933" s="180">
        <f>+D$964</f>
        <v>128</v>
      </c>
      <c r="AG933" s="180">
        <f>+E$964</f>
        <v>219</v>
      </c>
      <c r="AH933" s="180"/>
      <c r="AI933" s="180"/>
      <c r="AJ933" s="182" t="s">
        <v>658</v>
      </c>
      <c r="AK933" s="180"/>
      <c r="AL933" s="180"/>
      <c r="AM933" s="180"/>
      <c r="AN933" s="180" t="s">
        <v>712</v>
      </c>
      <c r="AO933" s="180">
        <f>+$B$964</f>
        <v>957</v>
      </c>
      <c r="AP933" s="180">
        <f>+C$964</f>
        <v>122</v>
      </c>
      <c r="AQ933" s="180">
        <f>+D$964</f>
        <v>128</v>
      </c>
      <c r="AR933" s="180">
        <f>+E$964</f>
        <v>219</v>
      </c>
      <c r="AS933" s="180"/>
      <c r="AT933" s="182" t="s">
        <v>658</v>
      </c>
      <c r="AU933" s="304"/>
      <c r="AW933" s="180">
        <f t="shared" si="297"/>
        <v>14283</v>
      </c>
      <c r="AX933" s="203">
        <v>2.4700000000000002</v>
      </c>
    </row>
    <row r="934" spans="1:50" ht="15.75" customHeight="1" x14ac:dyDescent="0.3">
      <c r="A934" s="189"/>
      <c r="B934" s="394" t="s">
        <v>713</v>
      </c>
      <c r="C934" s="394"/>
      <c r="D934" s="394"/>
      <c r="E934" s="394"/>
      <c r="F934" s="394"/>
      <c r="G934" s="394"/>
      <c r="H934" s="394"/>
      <c r="I934" s="394"/>
      <c r="J934" s="394"/>
      <c r="K934" s="394"/>
      <c r="L934" s="394"/>
      <c r="M934" s="394"/>
      <c r="N934" s="394"/>
      <c r="O934" s="394"/>
      <c r="P934" s="394"/>
      <c r="Q934" s="180"/>
      <c r="R934" s="306"/>
      <c r="AC934" s="179"/>
      <c r="AD934" s="180" t="s">
        <v>666</v>
      </c>
      <c r="AE934" s="180" t="s">
        <v>666</v>
      </c>
      <c r="AF934" s="180" t="s">
        <v>666</v>
      </c>
      <c r="AG934" s="180" t="s">
        <v>666</v>
      </c>
      <c r="AH934" s="180" t="s">
        <v>666</v>
      </c>
      <c r="AI934" s="180"/>
      <c r="AJ934" s="180" t="s">
        <v>714</v>
      </c>
      <c r="AK934" s="180"/>
      <c r="AL934" s="180"/>
      <c r="AM934" s="180"/>
      <c r="AN934" s="180"/>
      <c r="AO934" s="180" t="s">
        <v>666</v>
      </c>
      <c r="AP934" s="180" t="s">
        <v>666</v>
      </c>
      <c r="AQ934" s="180" t="s">
        <v>666</v>
      </c>
      <c r="AR934" s="180" t="s">
        <v>666</v>
      </c>
      <c r="AS934" s="180" t="s">
        <v>666</v>
      </c>
      <c r="AT934" s="180" t="s">
        <v>714</v>
      </c>
      <c r="AU934" s="304"/>
      <c r="AW934" s="180">
        <f t="shared" si="297"/>
        <v>14977</v>
      </c>
      <c r="AX934" s="203">
        <v>2.4700000000000002</v>
      </c>
    </row>
    <row r="935" spans="1:50" ht="15.75" customHeight="1" x14ac:dyDescent="0.3">
      <c r="A935" s="189"/>
      <c r="B935" s="180"/>
      <c r="C935" s="180"/>
      <c r="D935" s="180"/>
      <c r="E935" s="180"/>
      <c r="F935" s="180"/>
      <c r="G935" s="180"/>
      <c r="H935" s="180"/>
      <c r="I935" s="180"/>
      <c r="J935" s="180"/>
      <c r="K935" s="180"/>
      <c r="L935" s="180"/>
      <c r="M935" s="180"/>
      <c r="N935" s="180"/>
      <c r="O935" s="180"/>
      <c r="P935" s="180"/>
      <c r="Q935" s="180"/>
      <c r="R935" s="306"/>
      <c r="AC935" s="189" t="s">
        <v>668</v>
      </c>
      <c r="AD935" s="180">
        <f t="shared" ref="AD935:AD946" si="298">ROUND($F909*$AD$933/1000,0)</f>
        <v>51678</v>
      </c>
      <c r="AE935" s="180">
        <f t="shared" ref="AE935:AE946" si="299">ROUND($F909*$AE$933/1000,0)</f>
        <v>6588</v>
      </c>
      <c r="AF935" s="180">
        <f t="shared" ref="AF935:AF946" si="300">ROUND($F909*$AF$933/1000,0)</f>
        <v>6912</v>
      </c>
      <c r="AG935" s="180">
        <f t="shared" ref="AG935:AG946" si="301">ROUND($F909*$AG$933/1000,0)</f>
        <v>11826</v>
      </c>
      <c r="AH935" s="180">
        <f t="shared" ref="AH935:AH946" si="302">(F909*((T909-1526.8)/0.7702))/1000</f>
        <v>10466.231905238048</v>
      </c>
      <c r="AI935" s="180"/>
      <c r="AJ935" s="180">
        <f t="shared" ref="AJ935:AJ946" si="303">SUM(AD935:AH935)</f>
        <v>87470.231905238048</v>
      </c>
      <c r="AK935" s="180"/>
      <c r="AL935" s="180"/>
      <c r="AM935" s="180"/>
      <c r="AN935" s="182" t="s">
        <v>668</v>
      </c>
      <c r="AO935" s="180">
        <f t="shared" ref="AO935:AO946" si="304">ROUND((B909-$F909)*$AO$933/1000,0)</f>
        <v>32814</v>
      </c>
      <c r="AP935" s="180">
        <f t="shared" ref="AP935:AP946" si="305">ROUND((C909-$F909)*$AP$933/1000,0)</f>
        <v>4171</v>
      </c>
      <c r="AQ935" s="180">
        <f t="shared" ref="AQ935:AQ946" si="306">ROUND((D909-$F909)*$AQ$933/1000,0)</f>
        <v>4364</v>
      </c>
      <c r="AR935" s="180">
        <f t="shared" ref="AR935:AR946" si="307">ROUND((E909-$F909)*$AR$933/1000,0)</f>
        <v>7254</v>
      </c>
      <c r="AS935" s="180">
        <f>((F909-$F909)*(('[5]Lake Pleasant Forecast'!B35-1526.8)/0.7702))/1000</f>
        <v>0</v>
      </c>
      <c r="AT935" s="180">
        <f t="shared" ref="AT935:AT946" si="308">SUM(AN935:AR935)</f>
        <v>48603</v>
      </c>
      <c r="AU935" s="304"/>
      <c r="AW935" s="180">
        <f t="shared" si="297"/>
        <v>14102</v>
      </c>
      <c r="AX935" s="203">
        <v>2.4700000000000002</v>
      </c>
    </row>
    <row r="936" spans="1:50" ht="15.75" customHeight="1" thickBot="1" x14ac:dyDescent="0.35">
      <c r="A936" s="189" t="s">
        <v>647</v>
      </c>
      <c r="B936" s="191" t="s">
        <v>677</v>
      </c>
      <c r="C936" s="191" t="s">
        <v>678</v>
      </c>
      <c r="D936" s="191" t="s">
        <v>679</v>
      </c>
      <c r="E936" s="191" t="s">
        <v>680</v>
      </c>
      <c r="F936" s="191" t="s">
        <v>644</v>
      </c>
      <c r="G936" s="191" t="s">
        <v>644</v>
      </c>
      <c r="H936" s="191" t="s">
        <v>681</v>
      </c>
      <c r="I936" s="191" t="s">
        <v>682</v>
      </c>
      <c r="J936" s="191" t="s">
        <v>683</v>
      </c>
      <c r="K936" s="191" t="s">
        <v>684</v>
      </c>
      <c r="L936" s="191" t="s">
        <v>685</v>
      </c>
      <c r="M936" s="191" t="s">
        <v>686</v>
      </c>
      <c r="N936" s="191" t="s">
        <v>687</v>
      </c>
      <c r="O936" s="191" t="s">
        <v>688</v>
      </c>
      <c r="P936" s="191" t="s">
        <v>689</v>
      </c>
      <c r="Q936" s="191" t="s">
        <v>638</v>
      </c>
      <c r="R936" s="306"/>
      <c r="AC936" s="189" t="s">
        <v>669</v>
      </c>
      <c r="AD936" s="180">
        <f t="shared" si="298"/>
        <v>75603</v>
      </c>
      <c r="AE936" s="180">
        <f t="shared" si="299"/>
        <v>9638</v>
      </c>
      <c r="AF936" s="180">
        <f t="shared" si="300"/>
        <v>10112</v>
      </c>
      <c r="AG936" s="180">
        <f t="shared" si="301"/>
        <v>17301</v>
      </c>
      <c r="AH936" s="180">
        <f t="shared" si="302"/>
        <v>16308.211035591568</v>
      </c>
      <c r="AI936" s="180"/>
      <c r="AJ936" s="180">
        <f t="shared" si="303"/>
        <v>128962.21103559156</v>
      </c>
      <c r="AK936" s="180"/>
      <c r="AL936" s="180"/>
      <c r="AM936" s="180"/>
      <c r="AN936" s="182" t="s">
        <v>669</v>
      </c>
      <c r="AO936" s="180">
        <f t="shared" si="304"/>
        <v>80556</v>
      </c>
      <c r="AP936" s="180">
        <f t="shared" si="305"/>
        <v>10251</v>
      </c>
      <c r="AQ936" s="180">
        <f t="shared" si="306"/>
        <v>10737</v>
      </c>
      <c r="AR936" s="180">
        <f t="shared" si="307"/>
        <v>18073</v>
      </c>
      <c r="AS936" s="180">
        <f>((F910-$F910)*(('[5]Lake Pleasant Forecast'!B37-1526.8)/0.7702))/1000</f>
        <v>0</v>
      </c>
      <c r="AT936" s="180">
        <f t="shared" si="308"/>
        <v>119617</v>
      </c>
      <c r="AU936" s="304"/>
      <c r="AW936" s="180">
        <f t="shared" si="297"/>
        <v>14175</v>
      </c>
      <c r="AX936" s="203">
        <v>2.4700000000000002</v>
      </c>
    </row>
    <row r="937" spans="1:50" ht="15.75" customHeight="1" x14ac:dyDescent="0.3">
      <c r="A937" s="189"/>
      <c r="B937" s="180"/>
      <c r="C937" s="180"/>
      <c r="D937" s="180"/>
      <c r="E937" s="180"/>
      <c r="F937" s="182" t="s">
        <v>127</v>
      </c>
      <c r="G937" s="182" t="s">
        <v>653</v>
      </c>
      <c r="H937" s="180"/>
      <c r="I937" s="180"/>
      <c r="J937" s="180"/>
      <c r="K937" s="180"/>
      <c r="L937" s="180"/>
      <c r="M937" s="180"/>
      <c r="N937" s="180"/>
      <c r="O937" s="180"/>
      <c r="P937" s="180"/>
      <c r="Q937" s="180"/>
      <c r="R937" s="306"/>
      <c r="AC937" s="189" t="s">
        <v>671</v>
      </c>
      <c r="AD937" s="180">
        <f t="shared" si="298"/>
        <v>51678</v>
      </c>
      <c r="AE937" s="180">
        <f t="shared" si="299"/>
        <v>6588</v>
      </c>
      <c r="AF937" s="180">
        <f t="shared" si="300"/>
        <v>6912</v>
      </c>
      <c r="AG937" s="180">
        <f t="shared" si="301"/>
        <v>11826</v>
      </c>
      <c r="AH937" s="180">
        <f t="shared" si="302"/>
        <v>11565.727409189518</v>
      </c>
      <c r="AI937" s="180"/>
      <c r="AJ937" s="180">
        <f t="shared" si="303"/>
        <v>88569.727409189523</v>
      </c>
      <c r="AK937" s="180"/>
      <c r="AL937" s="180"/>
      <c r="AM937" s="180"/>
      <c r="AN937" s="182" t="s">
        <v>671</v>
      </c>
      <c r="AO937" s="180">
        <f t="shared" si="304"/>
        <v>120607</v>
      </c>
      <c r="AP937" s="180">
        <f t="shared" si="305"/>
        <v>15342</v>
      </c>
      <c r="AQ937" s="180">
        <f t="shared" si="306"/>
        <v>16063</v>
      </c>
      <c r="AR937" s="180">
        <f t="shared" si="307"/>
        <v>26284</v>
      </c>
      <c r="AS937" s="180">
        <f>((F911-$F911)*(('[5]Lake Pleasant Forecast'!B39-1526.8)/0.7702))/1000</f>
        <v>0</v>
      </c>
      <c r="AT937" s="180">
        <f t="shared" si="308"/>
        <v>178296</v>
      </c>
      <c r="AU937" s="304"/>
      <c r="AW937" s="180">
        <f t="shared" si="297"/>
        <v>14073</v>
      </c>
      <c r="AX937" s="203">
        <v>2.4700000000000002</v>
      </c>
    </row>
    <row r="938" spans="1:50" ht="15.75" customHeight="1" x14ac:dyDescent="0.3">
      <c r="A938" s="192" t="s">
        <v>8</v>
      </c>
      <c r="B938" s="180">
        <f t="shared" ref="B938:Q938" si="309">(B909/$B$10/1.983)</f>
        <v>1436.2077660110942</v>
      </c>
      <c r="C938" s="180">
        <f t="shared" si="309"/>
        <v>1434.6298374896296</v>
      </c>
      <c r="D938" s="180">
        <f t="shared" si="309"/>
        <v>1433.0681762725098</v>
      </c>
      <c r="E938" s="180">
        <f t="shared" si="309"/>
        <v>1417.2400891448278</v>
      </c>
      <c r="F938" s="180">
        <f t="shared" si="309"/>
        <v>878.43443462983748</v>
      </c>
      <c r="G938" s="180">
        <f t="shared" si="309"/>
        <v>-536.82104338490069</v>
      </c>
      <c r="H938" s="180">
        <f t="shared" si="309"/>
        <v>699.83570022611548</v>
      </c>
      <c r="I938" s="180">
        <f t="shared" si="309"/>
        <v>300.50591316512936</v>
      </c>
      <c r="J938" s="180">
        <f t="shared" si="309"/>
        <v>297.21991768743999</v>
      </c>
      <c r="K938" s="180">
        <f t="shared" si="309"/>
        <v>294.51954516617047</v>
      </c>
      <c r="L938" s="180">
        <f t="shared" si="309"/>
        <v>256.82820099881246</v>
      </c>
      <c r="M938" s="180">
        <f t="shared" si="309"/>
        <v>256.50285491191255</v>
      </c>
      <c r="N938" s="180">
        <f t="shared" si="309"/>
        <v>253.08672099946318</v>
      </c>
      <c r="O938" s="180">
        <f t="shared" si="309"/>
        <v>77.936655116880587</v>
      </c>
      <c r="P938" s="180">
        <f t="shared" si="309"/>
        <v>61.897093032713542</v>
      </c>
      <c r="Q938" s="180">
        <f t="shared" si="309"/>
        <v>77.904120508190573</v>
      </c>
      <c r="R938" s="306"/>
      <c r="AC938" s="189" t="s">
        <v>672</v>
      </c>
      <c r="AD938" s="180">
        <f t="shared" si="298"/>
        <v>7656</v>
      </c>
      <c r="AE938" s="180">
        <f t="shared" si="299"/>
        <v>976</v>
      </c>
      <c r="AF938" s="180">
        <f t="shared" si="300"/>
        <v>1024</v>
      </c>
      <c r="AG938" s="180">
        <f t="shared" si="301"/>
        <v>1752</v>
      </c>
      <c r="AH938" s="180">
        <f t="shared" si="302"/>
        <v>1718.4254537526701</v>
      </c>
      <c r="AI938" s="180"/>
      <c r="AJ938" s="180">
        <f t="shared" si="303"/>
        <v>13126.42545375267</v>
      </c>
      <c r="AK938" s="180"/>
      <c r="AL938" s="180"/>
      <c r="AM938" s="180"/>
      <c r="AN938" s="182" t="s">
        <v>672</v>
      </c>
      <c r="AO938" s="180">
        <f t="shared" si="304"/>
        <v>159671</v>
      </c>
      <c r="AP938" s="180">
        <f t="shared" si="305"/>
        <v>20310</v>
      </c>
      <c r="AQ938" s="180">
        <f t="shared" si="306"/>
        <v>21264</v>
      </c>
      <c r="AR938" s="180">
        <f t="shared" si="307"/>
        <v>34952</v>
      </c>
      <c r="AS938" s="180">
        <f>((F912-$F912)*(('[5]Lake Pleasant Forecast'!B41-1526.8)/0.7702))/1000</f>
        <v>0</v>
      </c>
      <c r="AT938" s="180">
        <f t="shared" si="308"/>
        <v>236197</v>
      </c>
      <c r="AU938" s="304"/>
      <c r="AW938" s="180">
        <f t="shared" si="297"/>
        <v>13764</v>
      </c>
      <c r="AX938" s="203">
        <v>2.4700000000000002</v>
      </c>
    </row>
    <row r="939" spans="1:50" ht="15.75" customHeight="1" x14ac:dyDescent="0.3">
      <c r="A939" s="192" t="s">
        <v>9</v>
      </c>
      <c r="B939" s="180">
        <f t="shared" ref="B939:Q939" si="310">(B910/$C$10/1.983)</f>
        <v>2938.8372595634319</v>
      </c>
      <c r="C939" s="180">
        <f t="shared" si="310"/>
        <v>2936.1717455514731</v>
      </c>
      <c r="D939" s="180">
        <f t="shared" si="310"/>
        <v>2933.5602622289457</v>
      </c>
      <c r="E939" s="180">
        <f t="shared" si="310"/>
        <v>2909.0663496866218</v>
      </c>
      <c r="F939" s="180">
        <f t="shared" si="310"/>
        <v>1422.8081550320583</v>
      </c>
      <c r="G939" s="180">
        <f t="shared" si="310"/>
        <v>0</v>
      </c>
      <c r="H939" s="180">
        <f t="shared" si="310"/>
        <v>1068.907139255097</v>
      </c>
      <c r="I939" s="180">
        <f t="shared" si="310"/>
        <v>399.73705064476621</v>
      </c>
      <c r="J939" s="180">
        <f t="shared" si="310"/>
        <v>394.98234997478568</v>
      </c>
      <c r="K939" s="180">
        <f t="shared" si="310"/>
        <v>383.61789496433971</v>
      </c>
      <c r="L939" s="180">
        <f t="shared" si="310"/>
        <v>333.24328218428064</v>
      </c>
      <c r="M939" s="180">
        <f t="shared" si="310"/>
        <v>332.84705712844897</v>
      </c>
      <c r="N939" s="180">
        <f t="shared" si="310"/>
        <v>328.14638714789999</v>
      </c>
      <c r="O939" s="180">
        <f t="shared" si="310"/>
        <v>81.424248973416894</v>
      </c>
      <c r="P939" s="180">
        <f t="shared" si="310"/>
        <v>68.528924429075715</v>
      </c>
      <c r="Q939" s="180">
        <f t="shared" si="310"/>
        <v>81.370218283985295</v>
      </c>
      <c r="R939" s="306"/>
      <c r="AC939" s="189" t="s">
        <v>673</v>
      </c>
      <c r="AD939" s="180">
        <f t="shared" si="298"/>
        <v>0</v>
      </c>
      <c r="AE939" s="180">
        <f t="shared" si="299"/>
        <v>0</v>
      </c>
      <c r="AF939" s="180">
        <f t="shared" si="300"/>
        <v>0</v>
      </c>
      <c r="AG939" s="180">
        <f t="shared" si="301"/>
        <v>0</v>
      </c>
      <c r="AH939" s="180">
        <f t="shared" si="302"/>
        <v>0</v>
      </c>
      <c r="AI939" s="180"/>
      <c r="AJ939" s="180">
        <f t="shared" si="303"/>
        <v>0</v>
      </c>
      <c r="AK939" s="180"/>
      <c r="AL939" s="180"/>
      <c r="AM939" s="180"/>
      <c r="AN939" s="182" t="s">
        <v>673</v>
      </c>
      <c r="AO939" s="180">
        <f t="shared" si="304"/>
        <v>173609</v>
      </c>
      <c r="AP939" s="180">
        <f t="shared" si="305"/>
        <v>22080</v>
      </c>
      <c r="AQ939" s="180">
        <f t="shared" si="306"/>
        <v>23115</v>
      </c>
      <c r="AR939" s="180">
        <f t="shared" si="307"/>
        <v>37987</v>
      </c>
      <c r="AS939" s="180">
        <f>((F913-$F913)*(('[5]Lake Pleasant Forecast'!B43-1526.8)/0.7702))/1000</f>
        <v>0</v>
      </c>
      <c r="AT939" s="180">
        <f t="shared" si="308"/>
        <v>256791</v>
      </c>
      <c r="AU939" s="304"/>
      <c r="AW939" s="180">
        <f t="shared" si="297"/>
        <v>11433</v>
      </c>
      <c r="AX939" s="203">
        <v>2.4700000000000002</v>
      </c>
    </row>
    <row r="940" spans="1:50" ht="15.75" customHeight="1" x14ac:dyDescent="0.3">
      <c r="A940" s="192" t="s">
        <v>10</v>
      </c>
      <c r="B940" s="180">
        <f t="shared" ref="B940:Q940" si="311">(B911/$D$10/1.983)</f>
        <v>2928.537732012428</v>
      </c>
      <c r="C940" s="180">
        <f t="shared" si="311"/>
        <v>2924.0804906218987</v>
      </c>
      <c r="D940" s="180">
        <f t="shared" si="311"/>
        <v>2919.8347241878546</v>
      </c>
      <c r="E940" s="180">
        <f t="shared" si="311"/>
        <v>2830.8363021163764</v>
      </c>
      <c r="F940" s="180">
        <f t="shared" si="311"/>
        <v>878.43443462983748</v>
      </c>
      <c r="G940" s="180">
        <f t="shared" si="311"/>
        <v>0</v>
      </c>
      <c r="H940" s="180">
        <f t="shared" si="311"/>
        <v>1438.6153270541538</v>
      </c>
      <c r="I940" s="180">
        <f t="shared" si="311"/>
        <v>498.93449156540265</v>
      </c>
      <c r="J940" s="180">
        <f t="shared" si="311"/>
        <v>440.9415515754884</v>
      </c>
      <c r="K940" s="180">
        <f t="shared" si="311"/>
        <v>398.38628340897628</v>
      </c>
      <c r="L940" s="180">
        <f t="shared" si="311"/>
        <v>327.07042116050951</v>
      </c>
      <c r="M940" s="180">
        <f t="shared" si="311"/>
        <v>326.61493663884954</v>
      </c>
      <c r="N940" s="180">
        <f t="shared" si="311"/>
        <v>316.62681177102144</v>
      </c>
      <c r="O940" s="180">
        <f t="shared" si="311"/>
        <v>75.44775755209605</v>
      </c>
      <c r="P940" s="180">
        <f t="shared" si="311"/>
        <v>77.383566769150676</v>
      </c>
      <c r="Q940" s="180">
        <f t="shared" si="311"/>
        <v>75.366421030371043</v>
      </c>
      <c r="R940" s="306"/>
      <c r="AC940" s="189" t="s">
        <v>675</v>
      </c>
      <c r="AD940" s="180">
        <f t="shared" si="298"/>
        <v>0</v>
      </c>
      <c r="AE940" s="180">
        <f t="shared" si="299"/>
        <v>0</v>
      </c>
      <c r="AF940" s="180">
        <f t="shared" si="300"/>
        <v>0</v>
      </c>
      <c r="AG940" s="180">
        <f t="shared" si="301"/>
        <v>0</v>
      </c>
      <c r="AH940" s="180">
        <f t="shared" si="302"/>
        <v>0</v>
      </c>
      <c r="AI940" s="180"/>
      <c r="AJ940" s="180">
        <f t="shared" si="303"/>
        <v>0</v>
      </c>
      <c r="AK940" s="180"/>
      <c r="AL940" s="180"/>
      <c r="AM940" s="180"/>
      <c r="AN940" s="182" t="s">
        <v>675</v>
      </c>
      <c r="AO940" s="180">
        <f t="shared" si="304"/>
        <v>70077</v>
      </c>
      <c r="AP940" s="180">
        <f t="shared" si="305"/>
        <v>8883</v>
      </c>
      <c r="AQ940" s="180">
        <f t="shared" si="306"/>
        <v>9269</v>
      </c>
      <c r="AR940" s="180">
        <f t="shared" si="307"/>
        <v>14301</v>
      </c>
      <c r="AS940" s="180">
        <f>((F914-$F914)*(('[5]Lake Pleasant Forecast'!B45-1526.8)/0.7702))/1000</f>
        <v>0</v>
      </c>
      <c r="AT940" s="180">
        <f t="shared" si="308"/>
        <v>102530</v>
      </c>
      <c r="AU940" s="304"/>
      <c r="AW940" s="180">
        <f t="shared" si="297"/>
        <v>3878</v>
      </c>
      <c r="AX940" s="203">
        <v>2.4700000000000002</v>
      </c>
    </row>
    <row r="941" spans="1:50" ht="15.75" customHeight="1" x14ac:dyDescent="0.3">
      <c r="A941" s="192" t="s">
        <v>12</v>
      </c>
      <c r="B941" s="180">
        <f t="shared" ref="B941:Q941" si="312">(B912/$F$10/1.983)</f>
        <v>2939.065389141032</v>
      </c>
      <c r="C941" s="180">
        <f t="shared" si="312"/>
        <v>2932.8962850899311</v>
      </c>
      <c r="D941" s="180">
        <f t="shared" si="312"/>
        <v>2927.0129433518237</v>
      </c>
      <c r="E941" s="180">
        <f t="shared" si="312"/>
        <v>2817.2634056143888</v>
      </c>
      <c r="F941" s="180">
        <f t="shared" si="312"/>
        <v>134.47638258530847</v>
      </c>
      <c r="G941" s="180">
        <f t="shared" si="312"/>
        <v>0</v>
      </c>
      <c r="H941" s="180">
        <f t="shared" si="312"/>
        <v>1880.5177340729533</v>
      </c>
      <c r="I941" s="180">
        <f t="shared" si="312"/>
        <v>636.4430996806185</v>
      </c>
      <c r="J941" s="180">
        <f t="shared" si="312"/>
        <v>482.80383257690363</v>
      </c>
      <c r="K941" s="180">
        <f t="shared" si="312"/>
        <v>424.96217851739789</v>
      </c>
      <c r="L941" s="180">
        <f t="shared" si="312"/>
        <v>345.08320726172462</v>
      </c>
      <c r="M941" s="180">
        <f t="shared" si="312"/>
        <v>344.46125399226764</v>
      </c>
      <c r="N941" s="180">
        <f t="shared" si="312"/>
        <v>329.87056648176161</v>
      </c>
      <c r="O941" s="180">
        <f t="shared" si="312"/>
        <v>77.979492351655736</v>
      </c>
      <c r="P941" s="180">
        <f t="shared" si="312"/>
        <v>95.948898974617592</v>
      </c>
      <c r="Q941" s="180">
        <f t="shared" si="312"/>
        <v>77.861825516893589</v>
      </c>
      <c r="R941" s="306"/>
      <c r="AC941" s="189" t="s">
        <v>676</v>
      </c>
      <c r="AD941" s="180">
        <f t="shared" si="298"/>
        <v>0</v>
      </c>
      <c r="AE941" s="180">
        <f t="shared" si="299"/>
        <v>0</v>
      </c>
      <c r="AF941" s="180">
        <f t="shared" si="300"/>
        <v>0</v>
      </c>
      <c r="AG941" s="180">
        <f t="shared" si="301"/>
        <v>0</v>
      </c>
      <c r="AH941" s="180">
        <f t="shared" si="302"/>
        <v>0</v>
      </c>
      <c r="AI941" s="180"/>
      <c r="AJ941" s="180">
        <f t="shared" si="303"/>
        <v>0</v>
      </c>
      <c r="AK941" s="180"/>
      <c r="AL941" s="180"/>
      <c r="AM941" s="180"/>
      <c r="AN941" s="182" t="s">
        <v>676</v>
      </c>
      <c r="AO941" s="180">
        <f t="shared" si="304"/>
        <v>72247</v>
      </c>
      <c r="AP941" s="180">
        <f t="shared" si="305"/>
        <v>9159</v>
      </c>
      <c r="AQ941" s="180">
        <f t="shared" si="306"/>
        <v>9559</v>
      </c>
      <c r="AR941" s="180">
        <f t="shared" si="307"/>
        <v>14816</v>
      </c>
      <c r="AS941" s="180">
        <f>((F915-$F915)*(('[5]Lake Pleasant Forecast'!B47-1526.8)/0.7702))/1000</f>
        <v>0</v>
      </c>
      <c r="AT941" s="180">
        <f t="shared" si="308"/>
        <v>105781</v>
      </c>
      <c r="AU941" s="304"/>
      <c r="AW941" s="180">
        <f t="shared" si="297"/>
        <v>6499</v>
      </c>
      <c r="AX941" s="203">
        <v>2.4700000000000002</v>
      </c>
    </row>
    <row r="942" spans="1:50" ht="15.75" customHeight="1" x14ac:dyDescent="0.3">
      <c r="A942" s="192" t="s">
        <v>13</v>
      </c>
      <c r="B942" s="180">
        <f t="shared" ref="B942:Q942" si="313">(B913/$G$10/1.983)</f>
        <v>2951.0516812259038</v>
      </c>
      <c r="C942" s="180">
        <f t="shared" si="313"/>
        <v>2944.1380768792801</v>
      </c>
      <c r="D942" s="180">
        <f t="shared" si="313"/>
        <v>2937.5986205325912</v>
      </c>
      <c r="E942" s="180">
        <f t="shared" si="313"/>
        <v>2821.6940770744877</v>
      </c>
      <c r="F942" s="180">
        <f t="shared" si="313"/>
        <v>0</v>
      </c>
      <c r="G942" s="180">
        <f>(G913/$G$10/1.983)</f>
        <v>-97.603826069981949</v>
      </c>
      <c r="H942" s="180">
        <f t="shared" si="313"/>
        <v>2085.696159289444</v>
      </c>
      <c r="I942" s="180">
        <f t="shared" si="313"/>
        <v>623.86738893497966</v>
      </c>
      <c r="J942" s="180">
        <f t="shared" si="313"/>
        <v>481.04045678590597</v>
      </c>
      <c r="K942" s="180">
        <f t="shared" si="313"/>
        <v>433.06817627250985</v>
      </c>
      <c r="L942" s="180">
        <f t="shared" si="313"/>
        <v>350.39773559123518</v>
      </c>
      <c r="M942" s="180">
        <f t="shared" si="313"/>
        <v>349.71450880874528</v>
      </c>
      <c r="N942" s="180">
        <f t="shared" si="313"/>
        <v>327.4120345517544</v>
      </c>
      <c r="O942" s="180">
        <f t="shared" si="313"/>
        <v>76.082182421550925</v>
      </c>
      <c r="P942" s="180">
        <f t="shared" si="313"/>
        <v>108.32397963333496</v>
      </c>
      <c r="Q942" s="180">
        <f t="shared" si="313"/>
        <v>75.952043986790954</v>
      </c>
      <c r="R942" s="306"/>
      <c r="AC942" s="189" t="s">
        <v>691</v>
      </c>
      <c r="AD942" s="180">
        <f t="shared" si="298"/>
        <v>0</v>
      </c>
      <c r="AE942" s="180">
        <f t="shared" si="299"/>
        <v>0</v>
      </c>
      <c r="AF942" s="180">
        <f t="shared" si="300"/>
        <v>0</v>
      </c>
      <c r="AG942" s="180">
        <f t="shared" si="301"/>
        <v>0</v>
      </c>
      <c r="AH942" s="180">
        <f t="shared" si="302"/>
        <v>0</v>
      </c>
      <c r="AI942" s="180"/>
      <c r="AJ942" s="180">
        <f t="shared" si="303"/>
        <v>0</v>
      </c>
      <c r="AK942" s="180"/>
      <c r="AL942" s="180"/>
      <c r="AM942" s="180"/>
      <c r="AN942" s="182" t="s">
        <v>691</v>
      </c>
      <c r="AO942" s="180">
        <f t="shared" si="304"/>
        <v>71357</v>
      </c>
      <c r="AP942" s="180">
        <f t="shared" si="305"/>
        <v>9056</v>
      </c>
      <c r="AQ942" s="180">
        <f t="shared" si="306"/>
        <v>9461</v>
      </c>
      <c r="AR942" s="180">
        <f t="shared" si="307"/>
        <v>14939</v>
      </c>
      <c r="AS942" s="180">
        <f>((F916-$F916)*(('[5]Lake Pleasant Forecast'!B49-1526.8)/0.7702))/1000</f>
        <v>0</v>
      </c>
      <c r="AT942" s="180">
        <f t="shared" si="308"/>
        <v>104813</v>
      </c>
      <c r="AU942" s="304"/>
      <c r="AW942" s="180"/>
      <c r="AX942" s="203"/>
    </row>
    <row r="943" spans="1:50" ht="15.75" customHeight="1" x14ac:dyDescent="0.3">
      <c r="A943" s="192" t="s">
        <v>14</v>
      </c>
      <c r="B943" s="180">
        <f t="shared" ref="B943:Q943" si="314">(B914/$H$10/1.983)</f>
        <v>1230.8959488989747</v>
      </c>
      <c r="C943" s="180">
        <f t="shared" si="314"/>
        <v>1223.8863674567153</v>
      </c>
      <c r="D943" s="180">
        <f t="shared" si="314"/>
        <v>1217.2297865187427</v>
      </c>
      <c r="E943" s="180">
        <f t="shared" si="314"/>
        <v>1097.6802824004033</v>
      </c>
      <c r="F943" s="180">
        <f t="shared" si="314"/>
        <v>0</v>
      </c>
      <c r="G943" s="180">
        <f t="shared" si="314"/>
        <v>-1798.6216170785003</v>
      </c>
      <c r="H943" s="180">
        <f t="shared" si="314"/>
        <v>2292.6037989578081</v>
      </c>
      <c r="I943" s="180">
        <f t="shared" si="314"/>
        <v>679.50916120356362</v>
      </c>
      <c r="J943" s="180">
        <f t="shared" si="314"/>
        <v>497.07513867876952</v>
      </c>
      <c r="K943" s="180">
        <f t="shared" si="314"/>
        <v>398.58799798285423</v>
      </c>
      <c r="L943" s="180">
        <f t="shared" si="314"/>
        <v>330.03866195999325</v>
      </c>
      <c r="M943" s="180">
        <f t="shared" si="314"/>
        <v>329.29904185577408</v>
      </c>
      <c r="N943" s="180">
        <f t="shared" si="314"/>
        <v>303.7149100689191</v>
      </c>
      <c r="O943" s="180">
        <f t="shared" si="314"/>
        <v>78.416540595057995</v>
      </c>
      <c r="P943" s="180">
        <f t="shared" si="314"/>
        <v>115.14540258867036</v>
      </c>
      <c r="Q943" s="180">
        <f t="shared" si="314"/>
        <v>78.265254664649518</v>
      </c>
      <c r="R943" s="306"/>
      <c r="AC943" s="189" t="s">
        <v>692</v>
      </c>
      <c r="AD943" s="180">
        <f t="shared" si="298"/>
        <v>12441</v>
      </c>
      <c r="AE943" s="180">
        <f t="shared" si="299"/>
        <v>1586</v>
      </c>
      <c r="AF943" s="180">
        <f t="shared" si="300"/>
        <v>1664</v>
      </c>
      <c r="AG943" s="180">
        <f t="shared" si="301"/>
        <v>2847</v>
      </c>
      <c r="AH943" s="180">
        <f t="shared" si="302"/>
        <v>2097.2244378447381</v>
      </c>
      <c r="AI943" s="180"/>
      <c r="AJ943" s="180">
        <f t="shared" si="303"/>
        <v>20635.224437844739</v>
      </c>
      <c r="AK943" s="180"/>
      <c r="AL943" s="180"/>
      <c r="AM943" s="180"/>
      <c r="AN943" s="182" t="s">
        <v>692</v>
      </c>
      <c r="AO943" s="180">
        <f t="shared" si="304"/>
        <v>129768</v>
      </c>
      <c r="AP943" s="180">
        <f t="shared" si="305"/>
        <v>16505</v>
      </c>
      <c r="AQ943" s="180">
        <f t="shared" si="306"/>
        <v>17278</v>
      </c>
      <c r="AR943" s="180">
        <f t="shared" si="307"/>
        <v>28831</v>
      </c>
      <c r="AS943" s="180">
        <f>((F917-$F917)*(('[5]Lake Pleasant Forecast'!B51-1526.8)/0.7702))/1000</f>
        <v>0</v>
      </c>
      <c r="AT943" s="180">
        <f t="shared" si="308"/>
        <v>192382</v>
      </c>
      <c r="AU943" s="304"/>
      <c r="AW943" s="180">
        <f>(SUM(AW930:AW941))</f>
        <v>145474</v>
      </c>
      <c r="AX943" s="203"/>
    </row>
    <row r="944" spans="1:50" ht="15.75" customHeight="1" x14ac:dyDescent="0.3">
      <c r="A944" s="192" t="s">
        <v>16</v>
      </c>
      <c r="B944" s="180">
        <f t="shared" ref="B944:Q944" si="315">(B915/$J$10/1.983)</f>
        <v>1228.0676069168578</v>
      </c>
      <c r="C944" s="180">
        <f t="shared" si="315"/>
        <v>1221.300408309339</v>
      </c>
      <c r="D944" s="180">
        <f t="shared" si="315"/>
        <v>1214.8910903974102</v>
      </c>
      <c r="E944" s="180">
        <f t="shared" si="315"/>
        <v>1100.4994062433914</v>
      </c>
      <c r="F944" s="180">
        <f t="shared" si="315"/>
        <v>0</v>
      </c>
      <c r="G944" s="180">
        <f t="shared" si="315"/>
        <v>-1740.601564914678</v>
      </c>
      <c r="H944" s="180">
        <f t="shared" si="315"/>
        <v>2012.2167455630924</v>
      </c>
      <c r="I944" s="180">
        <f t="shared" si="315"/>
        <v>835.3748800286304</v>
      </c>
      <c r="J944" s="180">
        <f t="shared" si="315"/>
        <v>509.03648756364578</v>
      </c>
      <c r="K944" s="180">
        <f t="shared" si="315"/>
        <v>402.30670375612056</v>
      </c>
      <c r="L944" s="180">
        <f t="shared" si="315"/>
        <v>333.88642168106321</v>
      </c>
      <c r="M944" s="180">
        <f t="shared" si="315"/>
        <v>333.25199681160836</v>
      </c>
      <c r="N944" s="180">
        <f t="shared" si="315"/>
        <v>300.40830933905943</v>
      </c>
      <c r="O944" s="180">
        <f t="shared" si="315"/>
        <v>75.968311291135947</v>
      </c>
      <c r="P944" s="180">
        <f t="shared" si="315"/>
        <v>100.59701006946138</v>
      </c>
      <c r="Q944" s="180">
        <f t="shared" si="315"/>
        <v>75.854440160720955</v>
      </c>
      <c r="R944" s="306"/>
      <c r="AC944" s="189" t="s">
        <v>693</v>
      </c>
      <c r="AD944" s="180">
        <f t="shared" si="298"/>
        <v>40194</v>
      </c>
      <c r="AE944" s="180">
        <f t="shared" si="299"/>
        <v>5124</v>
      </c>
      <c r="AF944" s="180">
        <f t="shared" si="300"/>
        <v>5376</v>
      </c>
      <c r="AG944" s="180">
        <f t="shared" si="301"/>
        <v>9198</v>
      </c>
      <c r="AH944" s="180">
        <f t="shared" si="302"/>
        <v>7113.7115247442125</v>
      </c>
      <c r="AI944" s="180"/>
      <c r="AJ944" s="180">
        <f t="shared" si="303"/>
        <v>67005.711524744213</v>
      </c>
      <c r="AK944" s="180"/>
      <c r="AL944" s="180"/>
      <c r="AM944" s="180"/>
      <c r="AN944" s="182" t="s">
        <v>693</v>
      </c>
      <c r="AO944" s="180">
        <f t="shared" si="304"/>
        <v>96864</v>
      </c>
      <c r="AP944" s="180">
        <f t="shared" si="305"/>
        <v>12314</v>
      </c>
      <c r="AQ944" s="180">
        <f t="shared" si="306"/>
        <v>12884</v>
      </c>
      <c r="AR944" s="180">
        <f t="shared" si="307"/>
        <v>21685</v>
      </c>
      <c r="AS944" s="180">
        <f>((F918-$F918)*(('[5]Lake Pleasant Forecast'!B53-1526.8)/0.7702))/1000</f>
        <v>0</v>
      </c>
      <c r="AT944" s="180">
        <f t="shared" si="308"/>
        <v>143747</v>
      </c>
      <c r="AU944" s="304"/>
    </row>
    <row r="945" spans="1:47" ht="15.75" customHeight="1" x14ac:dyDescent="0.3">
      <c r="A945" s="192" t="s">
        <v>17</v>
      </c>
      <c r="B945" s="180">
        <f t="shared" ref="B945:Q945" si="316">(B916/$K$10/1.983)</f>
        <v>1212.9390138760107</v>
      </c>
      <c r="C945" s="180">
        <f t="shared" si="316"/>
        <v>1207.5057342247815</v>
      </c>
      <c r="D945" s="180">
        <f t="shared" si="316"/>
        <v>1202.3327314430724</v>
      </c>
      <c r="E945" s="180">
        <f t="shared" si="316"/>
        <v>1109.6741658939698</v>
      </c>
      <c r="F945" s="180">
        <f t="shared" si="316"/>
        <v>0</v>
      </c>
      <c r="G945" s="180">
        <f t="shared" si="316"/>
        <v>-1577.928521464708</v>
      </c>
      <c r="H945" s="180">
        <f t="shared" si="316"/>
        <v>1727.2623753517803</v>
      </c>
      <c r="I945" s="180">
        <f t="shared" si="316"/>
        <v>712.7844744847331</v>
      </c>
      <c r="J945" s="180">
        <f t="shared" si="316"/>
        <v>486.6038748718949</v>
      </c>
      <c r="K945" s="180">
        <f t="shared" si="316"/>
        <v>402.06269419094559</v>
      </c>
      <c r="L945" s="180">
        <f t="shared" si="316"/>
        <v>332.73144307256842</v>
      </c>
      <c r="M945" s="180">
        <f t="shared" si="316"/>
        <v>332.14582011614851</v>
      </c>
      <c r="N945" s="180">
        <f t="shared" si="316"/>
        <v>305.84158899028841</v>
      </c>
      <c r="O945" s="180">
        <f t="shared" si="316"/>
        <v>75.756836334650984</v>
      </c>
      <c r="P945" s="180">
        <f t="shared" si="316"/>
        <v>92.853773201242817</v>
      </c>
      <c r="Q945" s="180">
        <f t="shared" si="316"/>
        <v>75.659232508580999</v>
      </c>
      <c r="R945" s="306"/>
      <c r="AC945" s="189" t="s">
        <v>694</v>
      </c>
      <c r="AD945" s="180">
        <f t="shared" si="298"/>
        <v>78474</v>
      </c>
      <c r="AE945" s="180">
        <f t="shared" si="299"/>
        <v>10004</v>
      </c>
      <c r="AF945" s="180">
        <f t="shared" si="300"/>
        <v>10496</v>
      </c>
      <c r="AG945" s="180">
        <f t="shared" si="301"/>
        <v>17958</v>
      </c>
      <c r="AH945" s="180">
        <f t="shared" si="302"/>
        <v>15083.831388164761</v>
      </c>
      <c r="AI945" s="180"/>
      <c r="AJ945" s="180">
        <f t="shared" si="303"/>
        <v>132015.83138816475</v>
      </c>
      <c r="AK945" s="180"/>
      <c r="AL945" s="180"/>
      <c r="AM945" s="180"/>
      <c r="AN945" s="182" t="s">
        <v>694</v>
      </c>
      <c r="AO945" s="180">
        <f t="shared" si="304"/>
        <v>35306</v>
      </c>
      <c r="AP945" s="180">
        <f t="shared" si="305"/>
        <v>4472</v>
      </c>
      <c r="AQ945" s="180">
        <f t="shared" si="306"/>
        <v>4663</v>
      </c>
      <c r="AR945" s="180">
        <f t="shared" si="307"/>
        <v>7758</v>
      </c>
      <c r="AS945" s="180">
        <f>((F919-$F919)*(('[5]Lake Pleasant Forecast'!B55-1526.8)/0.7702))/1000</f>
        <v>0</v>
      </c>
      <c r="AT945" s="180">
        <f t="shared" si="308"/>
        <v>52199</v>
      </c>
      <c r="AU945" s="304"/>
    </row>
    <row r="946" spans="1:47" ht="15.75" customHeight="1" x14ac:dyDescent="0.3">
      <c r="A946" s="192" t="s">
        <v>18</v>
      </c>
      <c r="B946" s="180">
        <f t="shared" ref="B946:Q946" si="317">(B917/$L$10/1.983)</f>
        <v>2497.8819969742813</v>
      </c>
      <c r="C946" s="180">
        <f t="shared" si="317"/>
        <v>2492.5701798621612</v>
      </c>
      <c r="D946" s="180">
        <f t="shared" si="317"/>
        <v>2487.5105059673897</v>
      </c>
      <c r="E946" s="180">
        <f t="shared" si="317"/>
        <v>2431.5010926206087</v>
      </c>
      <c r="F946" s="180">
        <f t="shared" si="317"/>
        <v>218.52412170112623</v>
      </c>
      <c r="G946" s="180">
        <f t="shared" si="317"/>
        <v>0</v>
      </c>
      <c r="H946" s="180">
        <f t="shared" si="317"/>
        <v>1334.4595730374851</v>
      </c>
      <c r="I946" s="180">
        <f t="shared" si="317"/>
        <v>485.35888384602453</v>
      </c>
      <c r="J946" s="180">
        <f t="shared" si="317"/>
        <v>452.47940830391661</v>
      </c>
      <c r="K946" s="180">
        <f t="shared" si="317"/>
        <v>414.1536392671037</v>
      </c>
      <c r="L946" s="180">
        <f t="shared" si="317"/>
        <v>335.83795595898471</v>
      </c>
      <c r="M946" s="180">
        <f t="shared" si="317"/>
        <v>335.26643133299717</v>
      </c>
      <c r="N946" s="180">
        <f t="shared" si="317"/>
        <v>314.80921163220705</v>
      </c>
      <c r="O946" s="180">
        <f t="shared" si="317"/>
        <v>77.576063203899821</v>
      </c>
      <c r="P946" s="180">
        <f t="shared" si="317"/>
        <v>87.947554210791722</v>
      </c>
      <c r="Q946" s="180">
        <f t="shared" si="317"/>
        <v>77.475205916960832</v>
      </c>
      <c r="R946" s="306"/>
      <c r="AC946" s="189" t="s">
        <v>695</v>
      </c>
      <c r="AD946" s="180">
        <f t="shared" si="298"/>
        <v>70818</v>
      </c>
      <c r="AE946" s="180">
        <f t="shared" si="299"/>
        <v>9028</v>
      </c>
      <c r="AF946" s="180">
        <f t="shared" si="300"/>
        <v>9472</v>
      </c>
      <c r="AG946" s="180">
        <f t="shared" si="301"/>
        <v>16206</v>
      </c>
      <c r="AH946" s="180">
        <f t="shared" si="302"/>
        <v>14524.663759969106</v>
      </c>
      <c r="AI946" s="180"/>
      <c r="AJ946" s="180">
        <f t="shared" si="303"/>
        <v>120048.6637599691</v>
      </c>
      <c r="AK946" s="180"/>
      <c r="AL946" s="180"/>
      <c r="AM946" s="180"/>
      <c r="AN946" s="182" t="s">
        <v>695</v>
      </c>
      <c r="AO946" s="180">
        <f t="shared" si="304"/>
        <v>46515</v>
      </c>
      <c r="AP946" s="180">
        <f t="shared" si="305"/>
        <v>5907</v>
      </c>
      <c r="AQ946" s="180">
        <f t="shared" si="306"/>
        <v>6175</v>
      </c>
      <c r="AR946" s="180">
        <f t="shared" si="307"/>
        <v>10340</v>
      </c>
      <c r="AS946" s="180">
        <f>((F920-$F920)*(('[5]Lake Pleasant Forecast'!B57-1526.8)/0.7702))/1000</f>
        <v>0</v>
      </c>
      <c r="AT946" s="180">
        <f t="shared" si="308"/>
        <v>68937</v>
      </c>
      <c r="AU946" s="304"/>
    </row>
    <row r="947" spans="1:47" ht="15.75" customHeight="1" x14ac:dyDescent="0.3">
      <c r="A947" s="192" t="s">
        <v>20</v>
      </c>
      <c r="B947" s="180">
        <f t="shared" ref="B947:Q947" si="318">(B918/$N$10/1.983)</f>
        <v>2329.738259073089</v>
      </c>
      <c r="C947" s="180">
        <f t="shared" si="318"/>
        <v>2325.102077334765</v>
      </c>
      <c r="D947" s="180">
        <f t="shared" si="318"/>
        <v>2320.6773705529258</v>
      </c>
      <c r="E947" s="180">
        <f t="shared" si="318"/>
        <v>2293.9989914271305</v>
      </c>
      <c r="F947" s="180">
        <f t="shared" si="318"/>
        <v>683.22678248987359</v>
      </c>
      <c r="G947" s="180">
        <f t="shared" si="318"/>
        <v>0</v>
      </c>
      <c r="H947" s="180">
        <f t="shared" si="318"/>
        <v>937.58235322824646</v>
      </c>
      <c r="I947" s="180">
        <f t="shared" si="318"/>
        <v>314.04031038016689</v>
      </c>
      <c r="J947" s="180">
        <f t="shared" si="318"/>
        <v>303.43402794722886</v>
      </c>
      <c r="K947" s="180">
        <f t="shared" si="318"/>
        <v>288.40303873245159</v>
      </c>
      <c r="L947" s="180">
        <f t="shared" si="318"/>
        <v>242.10629056659022</v>
      </c>
      <c r="M947" s="180">
        <f t="shared" si="318"/>
        <v>241.6345387405853</v>
      </c>
      <c r="N947" s="180">
        <f t="shared" si="318"/>
        <v>234.89987474175655</v>
      </c>
      <c r="O947" s="180">
        <f t="shared" si="318"/>
        <v>75.431490247751043</v>
      </c>
      <c r="P947" s="180">
        <f t="shared" si="318"/>
        <v>77.383566769150676</v>
      </c>
      <c r="Q947" s="180">
        <f t="shared" si="318"/>
        <v>75.350153726026051</v>
      </c>
      <c r="R947" s="306"/>
      <c r="AC947" s="179"/>
      <c r="AD947" s="180"/>
      <c r="AE947" s="180"/>
      <c r="AF947" s="180"/>
      <c r="AG947" s="180"/>
      <c r="AH947" s="180"/>
      <c r="AI947" s="180"/>
      <c r="AJ947" s="180"/>
      <c r="AK947" s="180"/>
      <c r="AL947" s="180"/>
      <c r="AM947" s="180"/>
      <c r="AN947" s="180"/>
      <c r="AO947" s="180"/>
      <c r="AP947" s="180"/>
      <c r="AQ947" s="180"/>
      <c r="AR947" s="180"/>
      <c r="AS947" s="180"/>
      <c r="AT947" s="180"/>
      <c r="AU947" s="304"/>
    </row>
    <row r="948" spans="1:47" ht="15.75" customHeight="1" thickBot="1" x14ac:dyDescent="0.35">
      <c r="A948" s="192" t="s">
        <v>21</v>
      </c>
      <c r="B948" s="180">
        <f t="shared" ref="B948:Q948" si="319">(B919/$O$10/1.983)</f>
        <v>1998.5207597915614</v>
      </c>
      <c r="C948" s="180">
        <f t="shared" si="319"/>
        <v>1994.5705160531179</v>
      </c>
      <c r="D948" s="180">
        <f t="shared" si="319"/>
        <v>1990.771558245083</v>
      </c>
      <c r="E948" s="180">
        <f t="shared" si="319"/>
        <v>1973.8443435871573</v>
      </c>
      <c r="F948" s="180">
        <f t="shared" si="319"/>
        <v>1378.3829214994116</v>
      </c>
      <c r="G948" s="180">
        <f t="shared" si="319"/>
        <v>0</v>
      </c>
      <c r="H948" s="180">
        <f t="shared" si="319"/>
        <v>174.2645822827366</v>
      </c>
      <c r="I948" s="180">
        <f t="shared" si="319"/>
        <v>44.37720625315179</v>
      </c>
      <c r="J948" s="180">
        <f t="shared" si="319"/>
        <v>42.56177508825013</v>
      </c>
      <c r="K948" s="180">
        <f t="shared" si="319"/>
        <v>41.452344931921331</v>
      </c>
      <c r="L948" s="180">
        <f t="shared" si="319"/>
        <v>40.326105227769375</v>
      </c>
      <c r="M948" s="180">
        <f t="shared" si="319"/>
        <v>39.939485627836611</v>
      </c>
      <c r="N948" s="180">
        <f t="shared" si="319"/>
        <v>38.073625819465455</v>
      </c>
      <c r="O948" s="180">
        <f t="shared" si="319"/>
        <v>35.131954950411831</v>
      </c>
      <c r="P948" s="180">
        <f t="shared" si="319"/>
        <v>71.961674230963183</v>
      </c>
      <c r="Q948" s="180">
        <f t="shared" si="319"/>
        <v>35.081526306942337</v>
      </c>
      <c r="R948" s="306"/>
      <c r="AC948" s="204" t="s">
        <v>641</v>
      </c>
      <c r="AD948" s="195">
        <f>SUM(AD935:AD946)</f>
        <v>388542</v>
      </c>
      <c r="AE948" s="195">
        <f>SUM(AE935:AE946)</f>
        <v>49532</v>
      </c>
      <c r="AF948" s="195">
        <f>SUM(AF935:AF946)</f>
        <v>51968</v>
      </c>
      <c r="AG948" s="195">
        <f>SUM(AG935:AG946)</f>
        <v>88914</v>
      </c>
      <c r="AH948" s="195">
        <f>SUM(AH935:AH946)</f>
        <v>78878.026914494621</v>
      </c>
      <c r="AI948" s="195"/>
      <c r="AJ948" s="195">
        <f>SUM(AJ935:AJ946)</f>
        <v>657834.02691449458</v>
      </c>
      <c r="AK948" s="195"/>
      <c r="AL948" s="195"/>
      <c r="AM948" s="195"/>
      <c r="AN948" s="205" t="s">
        <v>641</v>
      </c>
      <c r="AO948" s="195">
        <f t="shared" ref="AO948:AT948" si="320">SUM(AO935:AO946)</f>
        <v>1089391</v>
      </c>
      <c r="AP948" s="195">
        <f t="shared" si="320"/>
        <v>138450</v>
      </c>
      <c r="AQ948" s="195">
        <f t="shared" si="320"/>
        <v>144832</v>
      </c>
      <c r="AR948" s="195">
        <f t="shared" si="320"/>
        <v>237220</v>
      </c>
      <c r="AS948" s="195">
        <f t="shared" si="320"/>
        <v>0</v>
      </c>
      <c r="AT948" s="195">
        <f t="shared" si="320"/>
        <v>1609893</v>
      </c>
      <c r="AU948" s="136"/>
    </row>
    <row r="949" spans="1:47" ht="15.75" customHeight="1" thickBot="1" x14ac:dyDescent="0.35">
      <c r="A949" s="206" t="s">
        <v>22</v>
      </c>
      <c r="B949" s="195">
        <f t="shared" ref="B949:Q949" si="321">(B920/$P$10/1.983)</f>
        <v>1994.4528492183558</v>
      </c>
      <c r="C949" s="195">
        <f t="shared" si="321"/>
        <v>1991.4271306101864</v>
      </c>
      <c r="D949" s="195">
        <f t="shared" si="321"/>
        <v>1988.5152831324319</v>
      </c>
      <c r="E949" s="195">
        <f t="shared" si="321"/>
        <v>1971.825028874465</v>
      </c>
      <c r="F949" s="195">
        <f t="shared" si="321"/>
        <v>1203.7805215297772</v>
      </c>
      <c r="G949" s="195">
        <f t="shared" si="321"/>
        <v>0</v>
      </c>
      <c r="H949" s="195">
        <f t="shared" si="321"/>
        <v>505.76675939030139</v>
      </c>
      <c r="I949" s="195">
        <f t="shared" si="321"/>
        <v>146.35693719193793</v>
      </c>
      <c r="J949" s="195">
        <f t="shared" si="321"/>
        <v>139.13425406275925</v>
      </c>
      <c r="K949" s="195">
        <f t="shared" si="321"/>
        <v>137.8003351064695</v>
      </c>
      <c r="L949" s="195">
        <f t="shared" si="321"/>
        <v>137.18217754135964</v>
      </c>
      <c r="M949" s="195">
        <f t="shared" si="321"/>
        <v>136.87309875880467</v>
      </c>
      <c r="N949" s="195">
        <f t="shared" si="321"/>
        <v>131.84650171620061</v>
      </c>
      <c r="O949" s="195">
        <f t="shared" si="321"/>
        <v>34.145071820148679</v>
      </c>
      <c r="P949" s="195">
        <f t="shared" si="321"/>
        <v>61.897093032713542</v>
      </c>
      <c r="Q949" s="195">
        <f t="shared" si="321"/>
        <v>34.112537211458687</v>
      </c>
      <c r="R949" s="196"/>
    </row>
    <row r="950" spans="1:47" ht="15.75" customHeight="1" x14ac:dyDescent="0.3">
      <c r="R950" s="174"/>
      <c r="AC950" s="207"/>
      <c r="AD950" s="387" t="s">
        <v>715</v>
      </c>
      <c r="AE950" s="393"/>
      <c r="AF950" s="393"/>
      <c r="AG950" s="393"/>
      <c r="AH950" s="393"/>
      <c r="AI950" s="393"/>
      <c r="AJ950" s="393"/>
      <c r="AK950" s="393"/>
      <c r="AL950" s="393"/>
      <c r="AM950" s="393"/>
      <c r="AN950" s="393"/>
      <c r="AO950" s="393"/>
      <c r="AP950" s="393"/>
      <c r="AQ950" s="393"/>
      <c r="AR950" s="177" t="str">
        <f>$Q$1</f>
        <v xml:space="preserve">PRINTED:  </v>
      </c>
      <c r="AS950" s="208">
        <f ca="1">$R$1</f>
        <v>44894.658168518516</v>
      </c>
    </row>
    <row r="951" spans="1:47" ht="15.75" customHeight="1" x14ac:dyDescent="0.3">
      <c r="R951" s="180"/>
      <c r="AC951" s="95"/>
      <c r="AD951" s="394" t="str">
        <f>+$A$8</f>
        <v>Revised:  11/27/2018</v>
      </c>
      <c r="AE951" s="396"/>
      <c r="AF951" s="396"/>
      <c r="AG951" s="396"/>
      <c r="AH951" s="396"/>
      <c r="AI951" s="396"/>
      <c r="AJ951" s="396"/>
      <c r="AK951" s="396"/>
      <c r="AL951" s="396"/>
      <c r="AM951" s="396"/>
      <c r="AN951" s="396"/>
      <c r="AO951" s="396"/>
      <c r="AP951" s="396"/>
      <c r="AQ951" s="396"/>
      <c r="AR951" s="192"/>
      <c r="AS951" s="304"/>
    </row>
    <row r="952" spans="1:47" ht="15.75" customHeight="1" x14ac:dyDescent="0.3">
      <c r="A952" s="192"/>
      <c r="AC952" s="95"/>
      <c r="AD952" s="394" t="s">
        <v>670</v>
      </c>
      <c r="AE952" s="397"/>
      <c r="AF952" s="397"/>
      <c r="AG952" s="397"/>
      <c r="AH952" s="397"/>
      <c r="AI952" s="397"/>
      <c r="AJ952" s="397"/>
      <c r="AK952" s="397"/>
      <c r="AL952" s="397"/>
      <c r="AM952" s="397"/>
      <c r="AN952" s="397"/>
      <c r="AO952" s="397"/>
      <c r="AP952" s="397"/>
      <c r="AQ952" s="397"/>
      <c r="AS952" s="304"/>
    </row>
    <row r="953" spans="1:47" ht="15.75" customHeight="1" x14ac:dyDescent="0.3">
      <c r="A953" s="192"/>
      <c r="AC953" s="95"/>
      <c r="AS953" s="304"/>
    </row>
    <row r="954" spans="1:47" ht="15.75" customHeight="1" thickBot="1" x14ac:dyDescent="0.35">
      <c r="A954" s="192"/>
      <c r="AC954" s="95"/>
      <c r="AD954" s="395">
        <f>$A$5</f>
        <v>2019</v>
      </c>
      <c r="AE954" s="397"/>
      <c r="AF954" s="397"/>
      <c r="AG954" s="397"/>
      <c r="AH954" s="397"/>
      <c r="AI954" s="397"/>
      <c r="AJ954" s="397"/>
      <c r="AK954" s="397"/>
      <c r="AL954" s="397"/>
      <c r="AM954" s="397"/>
      <c r="AN954" s="397"/>
      <c r="AO954" s="397"/>
      <c r="AP954" s="397"/>
      <c r="AQ954" s="397"/>
      <c r="AS954" s="304"/>
    </row>
    <row r="955" spans="1:47" ht="15.75" customHeight="1" x14ac:dyDescent="0.3">
      <c r="A955" s="188"/>
      <c r="B955" s="387" t="s">
        <v>716</v>
      </c>
      <c r="C955" s="387"/>
      <c r="D955" s="387"/>
      <c r="E955" s="387"/>
      <c r="F955" s="387"/>
      <c r="G955" s="387"/>
      <c r="H955" s="387"/>
      <c r="I955" s="387"/>
      <c r="J955" s="387"/>
      <c r="K955" s="387"/>
      <c r="L955" s="387"/>
      <c r="M955" s="387"/>
      <c r="N955" s="387"/>
      <c r="O955" s="387"/>
      <c r="P955" s="387"/>
      <c r="Q955" s="177" t="str">
        <f>+Q1</f>
        <v xml:space="preserve">PRINTED:  </v>
      </c>
      <c r="R955" s="178">
        <f ca="1">+R1</f>
        <v>44894.658168518516</v>
      </c>
      <c r="AC955" s="95"/>
      <c r="AD955" s="394" t="s">
        <v>717</v>
      </c>
      <c r="AE955" s="396"/>
      <c r="AF955" s="396"/>
      <c r="AG955" s="396"/>
      <c r="AH955" s="396"/>
      <c r="AI955" s="396"/>
      <c r="AJ955" s="396"/>
      <c r="AK955" s="396"/>
      <c r="AL955" s="396"/>
      <c r="AM955" s="396"/>
      <c r="AN955" s="396"/>
      <c r="AO955" s="396"/>
      <c r="AP955" s="396"/>
      <c r="AQ955" s="396"/>
      <c r="AR955" s="182"/>
      <c r="AS955" s="304"/>
    </row>
    <row r="956" spans="1:47" ht="16.5" customHeight="1" x14ac:dyDescent="0.3">
      <c r="A956" s="189"/>
      <c r="B956" s="394" t="str">
        <f>+A8</f>
        <v>Revised:  11/27/2018</v>
      </c>
      <c r="C956" s="394"/>
      <c r="D956" s="394"/>
      <c r="E956" s="394"/>
      <c r="F956" s="394"/>
      <c r="G956" s="394"/>
      <c r="H956" s="394"/>
      <c r="I956" s="394"/>
      <c r="J956" s="394"/>
      <c r="K956" s="394"/>
      <c r="L956" s="394"/>
      <c r="M956" s="394"/>
      <c r="N956" s="394"/>
      <c r="O956" s="394"/>
      <c r="P956" s="394"/>
      <c r="Q956" s="180"/>
      <c r="R956" s="306"/>
      <c r="AC956" s="95"/>
      <c r="AK956" s="190"/>
      <c r="AS956" s="304"/>
    </row>
    <row r="957" spans="1:47" ht="15.75" customHeight="1" thickBot="1" x14ac:dyDescent="0.35">
      <c r="A957" s="189"/>
      <c r="B957" s="394" t="s">
        <v>670</v>
      </c>
      <c r="C957" s="394"/>
      <c r="D957" s="394"/>
      <c r="E957" s="394"/>
      <c r="F957" s="394"/>
      <c r="G957" s="394"/>
      <c r="H957" s="394"/>
      <c r="I957" s="394"/>
      <c r="J957" s="394"/>
      <c r="K957" s="394"/>
      <c r="L957" s="394"/>
      <c r="M957" s="394"/>
      <c r="N957" s="394"/>
      <c r="O957" s="394"/>
      <c r="P957" s="394"/>
      <c r="Q957" s="180"/>
      <c r="R957" s="306"/>
      <c r="AC957" s="95"/>
      <c r="AD957" s="191" t="s">
        <v>677</v>
      </c>
      <c r="AE957" s="191" t="s">
        <v>678</v>
      </c>
      <c r="AF957" s="191" t="s">
        <v>679</v>
      </c>
      <c r="AG957" s="191" t="s">
        <v>680</v>
      </c>
      <c r="AH957" s="191" t="s">
        <v>644</v>
      </c>
      <c r="AI957" s="191" t="s">
        <v>681</v>
      </c>
      <c r="AJ957" s="191" t="s">
        <v>682</v>
      </c>
      <c r="AK957" s="191" t="s">
        <v>683</v>
      </c>
      <c r="AL957" s="191" t="s">
        <v>684</v>
      </c>
      <c r="AM957" s="191" t="s">
        <v>685</v>
      </c>
      <c r="AN957" s="191" t="s">
        <v>686</v>
      </c>
      <c r="AO957" s="191" t="s">
        <v>687</v>
      </c>
      <c r="AP957" s="191" t="s">
        <v>688</v>
      </c>
      <c r="AQ957" s="191" t="s">
        <v>689</v>
      </c>
      <c r="AR957" s="191" t="s">
        <v>638</v>
      </c>
      <c r="AS957" s="209" t="s">
        <v>641</v>
      </c>
    </row>
    <row r="958" spans="1:47" ht="15.75" customHeight="1" x14ac:dyDescent="0.3">
      <c r="A958" s="189"/>
      <c r="B958" s="180"/>
      <c r="C958" s="180"/>
      <c r="D958" s="180"/>
      <c r="E958" s="180"/>
      <c r="F958" s="180"/>
      <c r="G958" s="180"/>
      <c r="H958" s="180"/>
      <c r="I958" s="180"/>
      <c r="J958" s="180"/>
      <c r="K958" s="180"/>
      <c r="L958" s="180"/>
      <c r="M958" s="180"/>
      <c r="N958" s="180"/>
      <c r="O958" s="180"/>
      <c r="P958" s="180"/>
      <c r="Q958" s="180"/>
      <c r="R958" s="306"/>
      <c r="AC958" s="95"/>
      <c r="AD958" s="180"/>
      <c r="AE958" s="180"/>
      <c r="AF958" s="180"/>
      <c r="AG958" s="180"/>
      <c r="AH958" s="182" t="s">
        <v>718</v>
      </c>
      <c r="AI958" s="180"/>
      <c r="AJ958" s="180"/>
      <c r="AK958" s="180"/>
      <c r="AL958" s="180"/>
      <c r="AM958" s="180"/>
      <c r="AN958" s="180"/>
      <c r="AO958" s="180"/>
      <c r="AP958" s="180"/>
      <c r="AQ958" s="180"/>
      <c r="AR958" s="180"/>
      <c r="AS958" s="210"/>
    </row>
    <row r="959" spans="1:47" ht="15.75" customHeight="1" x14ac:dyDescent="0.3">
      <c r="A959" s="189"/>
      <c r="B959" s="395">
        <f>A5</f>
        <v>2019</v>
      </c>
      <c r="C959" s="395"/>
      <c r="D959" s="395"/>
      <c r="E959" s="395"/>
      <c r="F959" s="395"/>
      <c r="G959" s="395"/>
      <c r="H959" s="395"/>
      <c r="I959" s="395"/>
      <c r="J959" s="395"/>
      <c r="K959" s="395"/>
      <c r="L959" s="395"/>
      <c r="M959" s="395"/>
      <c r="N959" s="395"/>
      <c r="O959" s="395"/>
      <c r="P959" s="395"/>
      <c r="Q959" s="180"/>
      <c r="R959" s="306"/>
      <c r="S959" s="180"/>
      <c r="AC959" s="211" t="s">
        <v>719</v>
      </c>
      <c r="AD959" s="212">
        <v>1.7000000000000001E-2</v>
      </c>
      <c r="AE959" s="212">
        <v>1.7000000000000001E-2</v>
      </c>
      <c r="AF959" s="212">
        <v>1.7000000000000001E-2</v>
      </c>
      <c r="AG959" s="212">
        <v>1.7000000000000001E-2</v>
      </c>
      <c r="AH959" s="212"/>
      <c r="AI959" s="212"/>
      <c r="AJ959" s="212"/>
      <c r="AK959" s="212"/>
      <c r="AL959" s="212"/>
      <c r="AM959" s="212"/>
      <c r="AN959" s="212"/>
      <c r="AO959" s="212"/>
      <c r="AP959" s="212"/>
      <c r="AQ959" s="212"/>
      <c r="AR959" s="212"/>
      <c r="AS959" s="213"/>
    </row>
    <row r="960" spans="1:47" ht="15.75" customHeight="1" x14ac:dyDescent="0.3">
      <c r="A960" s="189"/>
      <c r="B960" s="394" t="s">
        <v>717</v>
      </c>
      <c r="C960" s="394"/>
      <c r="D960" s="394"/>
      <c r="E960" s="394"/>
      <c r="F960" s="394"/>
      <c r="G960" s="394"/>
      <c r="H960" s="394"/>
      <c r="I960" s="394"/>
      <c r="J960" s="394"/>
      <c r="K960" s="394"/>
      <c r="L960" s="394"/>
      <c r="M960" s="394"/>
      <c r="N960" s="394"/>
      <c r="O960" s="394"/>
      <c r="P960" s="394"/>
      <c r="Q960" s="180"/>
      <c r="R960" s="306"/>
      <c r="S960" s="180"/>
      <c r="AC960" s="211" t="s">
        <v>720</v>
      </c>
      <c r="AD960" s="212"/>
      <c r="AE960" s="212">
        <v>0.03</v>
      </c>
      <c r="AF960" s="212"/>
      <c r="AG960" s="212"/>
      <c r="AH960" s="212"/>
      <c r="AI960" s="212"/>
      <c r="AJ960" s="212"/>
      <c r="AK960" s="212"/>
      <c r="AL960" s="212"/>
      <c r="AM960" s="212">
        <v>0.03</v>
      </c>
      <c r="AN960" s="212">
        <v>0.03</v>
      </c>
      <c r="AO960" s="212">
        <v>0.03</v>
      </c>
      <c r="AP960" s="212">
        <v>0.03</v>
      </c>
      <c r="AQ960" s="212">
        <v>0.03</v>
      </c>
      <c r="AR960" s="212">
        <v>0.03</v>
      </c>
      <c r="AS960" s="213"/>
    </row>
    <row r="961" spans="1:48" ht="15.75" customHeight="1" x14ac:dyDescent="0.3">
      <c r="A961" s="189"/>
      <c r="B961" s="180"/>
      <c r="C961" s="180"/>
      <c r="D961" s="180"/>
      <c r="E961" s="180"/>
      <c r="F961" s="180"/>
      <c r="G961" s="180"/>
      <c r="H961" s="180"/>
      <c r="I961" s="180"/>
      <c r="J961" s="180"/>
      <c r="K961" s="180"/>
      <c r="L961" s="180"/>
      <c r="M961" s="180"/>
      <c r="N961" s="180"/>
      <c r="O961" s="180"/>
      <c r="P961" s="180"/>
      <c r="Q961" s="180"/>
      <c r="R961" s="306"/>
      <c r="S961" s="180"/>
      <c r="AC961" s="211" t="s">
        <v>721</v>
      </c>
      <c r="AD961" s="212"/>
      <c r="AE961" s="212"/>
      <c r="AF961" s="212">
        <v>0.03</v>
      </c>
      <c r="AG961" s="212">
        <v>0.03</v>
      </c>
      <c r="AH961" s="212"/>
      <c r="AI961" s="212"/>
      <c r="AJ961" s="212"/>
      <c r="AK961" s="212"/>
      <c r="AL961" s="212"/>
      <c r="AM961" s="212"/>
      <c r="AN961" s="212"/>
      <c r="AO961" s="212"/>
      <c r="AP961" s="212"/>
      <c r="AQ961" s="212"/>
      <c r="AR961" s="212"/>
      <c r="AS961" s="213"/>
    </row>
    <row r="962" spans="1:48" ht="15.75" customHeight="1" thickBot="1" x14ac:dyDescent="0.35">
      <c r="A962" s="189" t="s">
        <v>647</v>
      </c>
      <c r="B962" s="191" t="s">
        <v>677</v>
      </c>
      <c r="C962" s="191" t="s">
        <v>678</v>
      </c>
      <c r="D962" s="191" t="s">
        <v>679</v>
      </c>
      <c r="E962" s="191" t="s">
        <v>680</v>
      </c>
      <c r="F962" s="191" t="s">
        <v>644</v>
      </c>
      <c r="G962" s="191" t="s">
        <v>644</v>
      </c>
      <c r="H962" s="191" t="s">
        <v>681</v>
      </c>
      <c r="I962" s="191" t="s">
        <v>682</v>
      </c>
      <c r="J962" s="191" t="s">
        <v>683</v>
      </c>
      <c r="K962" s="191" t="s">
        <v>684</v>
      </c>
      <c r="L962" s="191" t="s">
        <v>685</v>
      </c>
      <c r="M962" s="191" t="s">
        <v>686</v>
      </c>
      <c r="N962" s="191" t="s">
        <v>687</v>
      </c>
      <c r="O962" s="191" t="s">
        <v>688</v>
      </c>
      <c r="P962" s="191" t="s">
        <v>689</v>
      </c>
      <c r="Q962" s="191" t="s">
        <v>638</v>
      </c>
      <c r="R962" s="209" t="s">
        <v>641</v>
      </c>
      <c r="S962" s="182"/>
      <c r="AC962" s="211" t="s">
        <v>137</v>
      </c>
      <c r="AD962" s="212"/>
      <c r="AE962" s="212"/>
      <c r="AF962" s="212"/>
      <c r="AG962" s="212"/>
      <c r="AH962" s="212"/>
      <c r="AI962" s="212">
        <v>0.03</v>
      </c>
      <c r="AJ962" s="212"/>
      <c r="AK962" s="212"/>
      <c r="AL962" s="212"/>
      <c r="AM962" s="212"/>
      <c r="AN962" s="212"/>
      <c r="AO962" s="212"/>
      <c r="AP962" s="212"/>
      <c r="AQ962" s="212"/>
      <c r="AR962" s="212"/>
      <c r="AS962" s="213"/>
    </row>
    <row r="963" spans="1:48" ht="15.75" customHeight="1" x14ac:dyDescent="0.3">
      <c r="A963" s="189"/>
      <c r="B963" s="180"/>
      <c r="C963" s="180"/>
      <c r="D963" s="180"/>
      <c r="E963" s="180"/>
      <c r="F963" s="182" t="s">
        <v>127</v>
      </c>
      <c r="G963" s="182" t="s">
        <v>653</v>
      </c>
      <c r="H963" s="180"/>
      <c r="I963" s="180"/>
      <c r="J963" s="180"/>
      <c r="K963" s="180"/>
      <c r="L963" s="180"/>
      <c r="M963" s="180"/>
      <c r="N963" s="180"/>
      <c r="O963" s="180"/>
      <c r="P963" s="180"/>
      <c r="Q963" s="180"/>
      <c r="R963" s="213" t="s">
        <v>722</v>
      </c>
      <c r="S963" s="182"/>
      <c r="AC963" s="211" t="s">
        <v>723</v>
      </c>
      <c r="AD963" s="212">
        <v>0.03</v>
      </c>
      <c r="AE963" s="212"/>
      <c r="AF963" s="212"/>
      <c r="AG963" s="212"/>
      <c r="AH963" s="212"/>
      <c r="AI963" s="212"/>
      <c r="AJ963" s="212">
        <v>0.03</v>
      </c>
      <c r="AK963" s="212">
        <v>0.03</v>
      </c>
      <c r="AL963" s="212">
        <v>0.03</v>
      </c>
      <c r="AM963" s="212"/>
      <c r="AN963" s="212"/>
      <c r="AO963" s="212"/>
      <c r="AP963" s="212"/>
      <c r="AQ963" s="212"/>
      <c r="AR963" s="212"/>
      <c r="AS963" s="213"/>
    </row>
    <row r="964" spans="1:48" ht="15.75" customHeight="1" x14ac:dyDescent="0.3">
      <c r="A964" s="189" t="s">
        <v>724</v>
      </c>
      <c r="B964" s="214">
        <v>957</v>
      </c>
      <c r="C964" s="214">
        <v>122</v>
      </c>
      <c r="D964" s="214">
        <v>128</v>
      </c>
      <c r="E964" s="214">
        <v>219</v>
      </c>
      <c r="F964" s="214"/>
      <c r="G964" s="214"/>
      <c r="H964" s="214">
        <v>97</v>
      </c>
      <c r="I964" s="214">
        <v>160</v>
      </c>
      <c r="J964" s="214">
        <v>250</v>
      </c>
      <c r="K964" s="214">
        <v>260</v>
      </c>
      <c r="L964" s="214">
        <v>100</v>
      </c>
      <c r="M964" s="214">
        <v>118</v>
      </c>
      <c r="N964" s="214">
        <v>250</v>
      </c>
      <c r="O964" s="214">
        <v>190</v>
      </c>
      <c r="P964" s="214">
        <v>340</v>
      </c>
      <c r="Q964" s="214">
        <v>450</v>
      </c>
      <c r="R964" s="213" t="s">
        <v>658</v>
      </c>
      <c r="S964" s="182"/>
      <c r="AC964" s="211" t="s">
        <v>641</v>
      </c>
      <c r="AD964" s="215">
        <f>SUM(AD959:AD963)</f>
        <v>4.7E-2</v>
      </c>
      <c r="AE964" s="215">
        <f t="shared" ref="AE964:AR964" si="322">SUM(AE959:AE963)</f>
        <v>4.7E-2</v>
      </c>
      <c r="AF964" s="215">
        <f t="shared" si="322"/>
        <v>4.7E-2</v>
      </c>
      <c r="AG964" s="215">
        <f t="shared" si="322"/>
        <v>4.7E-2</v>
      </c>
      <c r="AH964" s="215">
        <f t="shared" si="322"/>
        <v>0</v>
      </c>
      <c r="AI964" s="215">
        <f t="shared" si="322"/>
        <v>0.03</v>
      </c>
      <c r="AJ964" s="215">
        <f t="shared" si="322"/>
        <v>0.03</v>
      </c>
      <c r="AK964" s="215">
        <f t="shared" si="322"/>
        <v>0.03</v>
      </c>
      <c r="AL964" s="215">
        <f t="shared" si="322"/>
        <v>0.03</v>
      </c>
      <c r="AM964" s="215">
        <f t="shared" si="322"/>
        <v>0.03</v>
      </c>
      <c r="AN964" s="215">
        <f t="shared" si="322"/>
        <v>0.03</v>
      </c>
      <c r="AO964" s="215">
        <f t="shared" si="322"/>
        <v>0.03</v>
      </c>
      <c r="AP964" s="215">
        <f t="shared" si="322"/>
        <v>0.03</v>
      </c>
      <c r="AQ964" s="215">
        <f t="shared" si="322"/>
        <v>0.03</v>
      </c>
      <c r="AR964" s="215">
        <f t="shared" si="322"/>
        <v>0.03</v>
      </c>
      <c r="AS964" s="213"/>
      <c r="AU964" s="192" t="s">
        <v>725</v>
      </c>
      <c r="AV964" s="4" t="s">
        <v>726</v>
      </c>
    </row>
    <row r="965" spans="1:48" ht="15.75" customHeight="1" x14ac:dyDescent="0.3">
      <c r="A965" s="189"/>
      <c r="B965" s="182" t="s">
        <v>666</v>
      </c>
      <c r="C965" s="182" t="s">
        <v>666</v>
      </c>
      <c r="D965" s="182" t="s">
        <v>666</v>
      </c>
      <c r="E965" s="182" t="s">
        <v>666</v>
      </c>
      <c r="F965" s="182" t="s">
        <v>666</v>
      </c>
      <c r="G965" s="182" t="s">
        <v>666</v>
      </c>
      <c r="H965" s="182" t="s">
        <v>666</v>
      </c>
      <c r="I965" s="182" t="s">
        <v>666</v>
      </c>
      <c r="J965" s="182" t="s">
        <v>666</v>
      </c>
      <c r="K965" s="182" t="s">
        <v>666</v>
      </c>
      <c r="L965" s="182" t="s">
        <v>666</v>
      </c>
      <c r="M965" s="182" t="s">
        <v>666</v>
      </c>
      <c r="N965" s="182" t="s">
        <v>666</v>
      </c>
      <c r="O965" s="182" t="s">
        <v>666</v>
      </c>
      <c r="P965" s="182" t="s">
        <v>666</v>
      </c>
      <c r="Q965" s="182" t="s">
        <v>666</v>
      </c>
      <c r="R965" s="213" t="s">
        <v>714</v>
      </c>
      <c r="S965" s="182"/>
      <c r="T965" s="182"/>
      <c r="AC965" s="189" t="s">
        <v>666</v>
      </c>
      <c r="AD965" s="182" t="s">
        <v>666</v>
      </c>
      <c r="AE965" s="182" t="s">
        <v>666</v>
      </c>
      <c r="AF965" s="182" t="s">
        <v>666</v>
      </c>
      <c r="AG965" s="182" t="s">
        <v>666</v>
      </c>
      <c r="AH965" s="182" t="s">
        <v>666</v>
      </c>
      <c r="AI965" s="182" t="s">
        <v>666</v>
      </c>
      <c r="AJ965" s="182" t="s">
        <v>666</v>
      </c>
      <c r="AK965" s="182" t="s">
        <v>666</v>
      </c>
      <c r="AL965" s="182" t="s">
        <v>666</v>
      </c>
      <c r="AM965" s="182" t="s">
        <v>666</v>
      </c>
      <c r="AN965" s="182" t="s">
        <v>666</v>
      </c>
      <c r="AO965" s="182" t="s">
        <v>666</v>
      </c>
      <c r="AP965" s="182" t="s">
        <v>666</v>
      </c>
      <c r="AQ965" s="182" t="s">
        <v>666</v>
      </c>
      <c r="AR965" s="182" t="s">
        <v>666</v>
      </c>
      <c r="AS965" s="213" t="s">
        <v>666</v>
      </c>
    </row>
    <row r="966" spans="1:48" ht="15.75" customHeight="1" x14ac:dyDescent="0.3">
      <c r="A966" s="192" t="s">
        <v>8</v>
      </c>
      <c r="B966" s="180">
        <f>ROUND((B909*$B$964)/1000,0)</f>
        <v>84492</v>
      </c>
      <c r="C966" s="180">
        <f t="shared" ref="C966:C977" si="323">ROUND((C909*$C$964)/1000,0)</f>
        <v>10759</v>
      </c>
      <c r="D966" s="180">
        <f t="shared" ref="D966:D977" si="324">ROUND((D909*$D$964)/1000,0)</f>
        <v>11276</v>
      </c>
      <c r="E966" s="180">
        <f t="shared" ref="E966:E977" si="325">ROUND((E909*$E$964)/1000,0)</f>
        <v>19080</v>
      </c>
      <c r="F966" s="180">
        <f>(F909*((T909-1526.8)/0.7702))/1000</f>
        <v>10466.231905238048</v>
      </c>
      <c r="G966" s="180">
        <f t="shared" ref="G966:G977" si="326">(G909*((T909-1591.4)/0.6635))/1000</f>
        <v>-4211.6394496824669</v>
      </c>
      <c r="H966" s="180">
        <f t="shared" ref="H966:H977" si="327">ROUND((H909*$H$964)/1000,0)</f>
        <v>4173</v>
      </c>
      <c r="I966" s="180">
        <f t="shared" ref="I966:I977" si="328">ROUND((I909*$I$964)/1000,0)</f>
        <v>2956</v>
      </c>
      <c r="J966" s="180">
        <f t="shared" ref="J966:J977" si="329">ROUND((J909*$J$964)/1000,0)</f>
        <v>4568</v>
      </c>
      <c r="K966" s="180">
        <f t="shared" ref="K966:K977" si="330">ROUND((K909*$K$964)/1000,0)</f>
        <v>4707</v>
      </c>
      <c r="L966" s="180">
        <f t="shared" ref="L966:L977" si="331">ROUND((L909*$L$964)/1000,0)</f>
        <v>1579</v>
      </c>
      <c r="M966" s="180">
        <f t="shared" ref="M966:M977" si="332">ROUND((M909*$M$964)/1000,0)</f>
        <v>1861</v>
      </c>
      <c r="N966" s="180">
        <f t="shared" ref="N966:N977" si="333">ROUND((N909*$N$964)/1000,0)</f>
        <v>3890</v>
      </c>
      <c r="O966" s="180">
        <f t="shared" ref="O966:O977" si="334">ROUND((O909*$O$964)/1000,0)</f>
        <v>910</v>
      </c>
      <c r="P966" s="180">
        <f t="shared" ref="P966:P977" si="335">ROUND((P909*$P$964)/1000,0)</f>
        <v>1294</v>
      </c>
      <c r="Q966" s="180">
        <f t="shared" ref="Q966:Q977" si="336">ROUND((Q909*$Q$964)/1000,0)</f>
        <v>2155</v>
      </c>
      <c r="R966" s="216">
        <f>(SUM(B966:Q966))</f>
        <v>159954.5924555556</v>
      </c>
      <c r="S966" s="217"/>
      <c r="AC966" s="211" t="s">
        <v>8</v>
      </c>
      <c r="AD966" s="180">
        <f>ROUND(B966*$AD$964, 0)</f>
        <v>3971</v>
      </c>
      <c r="AE966" s="180">
        <f>ROUND(C966*$AE$964,0)</f>
        <v>506</v>
      </c>
      <c r="AF966" s="180">
        <f>ROUND(D966*$AF$964,0)</f>
        <v>530</v>
      </c>
      <c r="AG966" s="180">
        <f>ROUND(E966*$AG$964,0)</f>
        <v>897</v>
      </c>
      <c r="AH966" s="180">
        <f>ROUND(F966*$AH$964,0)</f>
        <v>0</v>
      </c>
      <c r="AI966" s="180">
        <f>ROUND(H966*$AI$964,0)</f>
        <v>125</v>
      </c>
      <c r="AJ966" s="180">
        <f>ROUND(I966*$AJ$964,0)</f>
        <v>89</v>
      </c>
      <c r="AK966" s="180">
        <f>ROUND(J966*$AK$964,0)</f>
        <v>137</v>
      </c>
      <c r="AL966" s="180">
        <f>ROUND(K966*$AL$964,0)</f>
        <v>141</v>
      </c>
      <c r="AM966" s="180">
        <f>ROUND(L966*$AM$964,0)</f>
        <v>47</v>
      </c>
      <c r="AN966" s="180">
        <f>ROUND(M966*$AN$964,0)</f>
        <v>56</v>
      </c>
      <c r="AO966" s="180">
        <f>ROUND(N966*$AO$964,0)</f>
        <v>117</v>
      </c>
      <c r="AP966" s="180">
        <f>ROUND(O966*$AP$964,0)</f>
        <v>27</v>
      </c>
      <c r="AQ966" s="180">
        <f>ROUND(P966*$AQ$964,0)</f>
        <v>39</v>
      </c>
      <c r="AR966" s="180">
        <f>ROUND(Q966*$AR$964,0)</f>
        <v>65</v>
      </c>
      <c r="AS966" s="210">
        <f>SUM(AD966:AR966)</f>
        <v>6747</v>
      </c>
      <c r="AU966" s="218">
        <f>AS966/R966</f>
        <v>4.2180720768456192E-2</v>
      </c>
    </row>
    <row r="967" spans="1:48" ht="15.75" customHeight="1" x14ac:dyDescent="0.3">
      <c r="A967" s="192" t="s">
        <v>9</v>
      </c>
      <c r="B967" s="180">
        <f t="shared" ref="B967:B977" si="337">ROUND((B910*$B$964)/1000,0)</f>
        <v>156159</v>
      </c>
      <c r="C967" s="180">
        <f t="shared" si="323"/>
        <v>19889</v>
      </c>
      <c r="D967" s="180">
        <f t="shared" si="324"/>
        <v>20849</v>
      </c>
      <c r="E967" s="180">
        <f t="shared" si="325"/>
        <v>35374</v>
      </c>
      <c r="F967" s="180">
        <f t="shared" ref="F967:F977" si="338">(F910*((T910-1526.8)/0.7702))/1000</f>
        <v>16308.211035591568</v>
      </c>
      <c r="G967" s="180">
        <f>(G910*((T910-1591.4)/0.6635))/1000</f>
        <v>0</v>
      </c>
      <c r="H967" s="180">
        <f t="shared" si="327"/>
        <v>5757</v>
      </c>
      <c r="I967" s="180">
        <f t="shared" si="328"/>
        <v>3551</v>
      </c>
      <c r="J967" s="180">
        <f t="shared" si="329"/>
        <v>5483</v>
      </c>
      <c r="K967" s="180">
        <f t="shared" si="330"/>
        <v>5538</v>
      </c>
      <c r="L967" s="180">
        <f t="shared" si="331"/>
        <v>1850</v>
      </c>
      <c r="M967" s="180">
        <f t="shared" si="332"/>
        <v>2181</v>
      </c>
      <c r="N967" s="180">
        <f t="shared" si="333"/>
        <v>4555</v>
      </c>
      <c r="O967" s="180">
        <f t="shared" si="334"/>
        <v>859</v>
      </c>
      <c r="P967" s="180">
        <f t="shared" si="335"/>
        <v>1294</v>
      </c>
      <c r="Q967" s="180">
        <f t="shared" si="336"/>
        <v>2033</v>
      </c>
      <c r="R967" s="216">
        <f>(SUM(B967:Q967))</f>
        <v>281680.21103559155</v>
      </c>
      <c r="S967" s="217"/>
      <c r="AC967" s="211" t="s">
        <v>9</v>
      </c>
      <c r="AD967" s="180">
        <f t="shared" ref="AD967:AD977" si="339">ROUND(B967*$AD$964, 0)</f>
        <v>7339</v>
      </c>
      <c r="AE967" s="180">
        <f t="shared" ref="AE967:AE977" si="340">ROUND(C967*$AE$964,0)</f>
        <v>935</v>
      </c>
      <c r="AF967" s="180">
        <f t="shared" ref="AF967:AF977" si="341">ROUND(D967*$AF$964,0)</f>
        <v>980</v>
      </c>
      <c r="AG967" s="180">
        <f t="shared" ref="AG967:AG977" si="342">ROUND(E967*$AG$964,0)</f>
        <v>1663</v>
      </c>
      <c r="AH967" s="180">
        <f t="shared" ref="AH967:AH977" si="343">ROUND(F967*$AH$964,0)</f>
        <v>0</v>
      </c>
      <c r="AI967" s="180">
        <f t="shared" ref="AI967:AI977" si="344">ROUND(H967*$AI$964,0)</f>
        <v>173</v>
      </c>
      <c r="AJ967" s="180">
        <f t="shared" ref="AJ967:AJ977" si="345">ROUND(I967*$AJ$964,0)</f>
        <v>107</v>
      </c>
      <c r="AK967" s="180">
        <f t="shared" ref="AK967:AK977" si="346">ROUND(J967*$AK$964,0)</f>
        <v>164</v>
      </c>
      <c r="AL967" s="180">
        <f t="shared" ref="AL967:AL977" si="347">ROUND(K967*$AL$964,0)</f>
        <v>166</v>
      </c>
      <c r="AM967" s="180">
        <f t="shared" ref="AM967:AM977" si="348">ROUND(L967*$AM$964,0)</f>
        <v>56</v>
      </c>
      <c r="AN967" s="180">
        <f t="shared" ref="AN967:AN977" si="349">ROUND(M967*$AN$964,0)</f>
        <v>65</v>
      </c>
      <c r="AO967" s="180">
        <f t="shared" ref="AO967:AO977" si="350">ROUND(N967*$AO$964,0)</f>
        <v>137</v>
      </c>
      <c r="AP967" s="180">
        <f t="shared" ref="AP967:AP977" si="351">ROUND(O967*$AP$964,0)</f>
        <v>26</v>
      </c>
      <c r="AQ967" s="180">
        <f t="shared" ref="AQ967:AQ977" si="352">ROUND(P967*$AQ$964,0)</f>
        <v>39</v>
      </c>
      <c r="AR967" s="180">
        <f t="shared" ref="AR967:AR977" si="353">ROUND(Q967*$AR$964,0)</f>
        <v>61</v>
      </c>
      <c r="AS967" s="210">
        <f t="shared" ref="AS967:AS977" si="354">SUM(AD967:AR967)</f>
        <v>11911</v>
      </c>
      <c r="AU967" s="218">
        <f t="shared" ref="AU967:AU979" si="355">AS967/R967</f>
        <v>4.228554060013464E-2</v>
      </c>
    </row>
    <row r="968" spans="1:48" ht="15.75" customHeight="1" x14ac:dyDescent="0.3">
      <c r="A968" s="192" t="s">
        <v>10</v>
      </c>
      <c r="B968" s="180">
        <f t="shared" si="337"/>
        <v>172285</v>
      </c>
      <c r="C968" s="180">
        <f t="shared" si="323"/>
        <v>21930</v>
      </c>
      <c r="D968" s="180">
        <f t="shared" si="324"/>
        <v>22975</v>
      </c>
      <c r="E968" s="180">
        <f t="shared" si="325"/>
        <v>38110</v>
      </c>
      <c r="F968" s="180">
        <f t="shared" si="338"/>
        <v>11565.727409189518</v>
      </c>
      <c r="G968" s="180">
        <f t="shared" si="326"/>
        <v>0</v>
      </c>
      <c r="H968" s="180">
        <f t="shared" si="327"/>
        <v>8578</v>
      </c>
      <c r="I968" s="180">
        <f t="shared" si="328"/>
        <v>4907</v>
      </c>
      <c r="J968" s="180">
        <f t="shared" si="329"/>
        <v>6777</v>
      </c>
      <c r="K968" s="180">
        <f t="shared" si="330"/>
        <v>6367</v>
      </c>
      <c r="L968" s="180">
        <f t="shared" si="331"/>
        <v>2011</v>
      </c>
      <c r="M968" s="180">
        <f t="shared" si="332"/>
        <v>2369</v>
      </c>
      <c r="N968" s="180">
        <f t="shared" si="333"/>
        <v>4866</v>
      </c>
      <c r="O968" s="180">
        <f t="shared" si="334"/>
        <v>881</v>
      </c>
      <c r="P968" s="180">
        <f t="shared" si="335"/>
        <v>1617</v>
      </c>
      <c r="Q968" s="180">
        <f t="shared" si="336"/>
        <v>2085</v>
      </c>
      <c r="R968" s="216">
        <f t="shared" ref="R968:R977" si="356">(SUM(B968:Q968))</f>
        <v>307323.72740918951</v>
      </c>
      <c r="S968" s="217"/>
      <c r="AC968" s="211" t="s">
        <v>10</v>
      </c>
      <c r="AD968" s="180">
        <f t="shared" si="339"/>
        <v>8097</v>
      </c>
      <c r="AE968" s="180">
        <f t="shared" si="340"/>
        <v>1031</v>
      </c>
      <c r="AF968" s="180">
        <f t="shared" si="341"/>
        <v>1080</v>
      </c>
      <c r="AG968" s="180">
        <f t="shared" si="342"/>
        <v>1791</v>
      </c>
      <c r="AH968" s="180">
        <f t="shared" si="343"/>
        <v>0</v>
      </c>
      <c r="AI968" s="180">
        <f t="shared" si="344"/>
        <v>257</v>
      </c>
      <c r="AJ968" s="180">
        <f t="shared" si="345"/>
        <v>147</v>
      </c>
      <c r="AK968" s="180">
        <f t="shared" si="346"/>
        <v>203</v>
      </c>
      <c r="AL968" s="180">
        <f t="shared" si="347"/>
        <v>191</v>
      </c>
      <c r="AM968" s="180">
        <f t="shared" si="348"/>
        <v>60</v>
      </c>
      <c r="AN968" s="180">
        <f t="shared" si="349"/>
        <v>71</v>
      </c>
      <c r="AO968" s="180">
        <f t="shared" si="350"/>
        <v>146</v>
      </c>
      <c r="AP968" s="180">
        <f t="shared" si="351"/>
        <v>26</v>
      </c>
      <c r="AQ968" s="180">
        <f t="shared" si="352"/>
        <v>49</v>
      </c>
      <c r="AR968" s="180">
        <f t="shared" si="353"/>
        <v>63</v>
      </c>
      <c r="AS968" s="210">
        <f t="shared" si="354"/>
        <v>13212</v>
      </c>
      <c r="AU968" s="218">
        <f t="shared" si="355"/>
        <v>4.2990497711908653E-2</v>
      </c>
    </row>
    <row r="969" spans="1:48" ht="15.75" customHeight="1" x14ac:dyDescent="0.3">
      <c r="A969" s="192" t="s">
        <v>12</v>
      </c>
      <c r="B969" s="180">
        <f t="shared" si="337"/>
        <v>167327</v>
      </c>
      <c r="C969" s="180">
        <f t="shared" si="323"/>
        <v>21286</v>
      </c>
      <c r="D969" s="180">
        <f t="shared" si="324"/>
        <v>22288</v>
      </c>
      <c r="E969" s="180">
        <f t="shared" si="325"/>
        <v>36704</v>
      </c>
      <c r="F969" s="180">
        <f t="shared" si="338"/>
        <v>1718.4254537526701</v>
      </c>
      <c r="G969" s="180">
        <f t="shared" si="326"/>
        <v>0</v>
      </c>
      <c r="H969" s="180">
        <f t="shared" si="327"/>
        <v>10852</v>
      </c>
      <c r="I969" s="180">
        <f t="shared" si="328"/>
        <v>6058</v>
      </c>
      <c r="J969" s="180">
        <f t="shared" si="329"/>
        <v>7181</v>
      </c>
      <c r="K969" s="180">
        <f t="shared" si="330"/>
        <v>6573</v>
      </c>
      <c r="L969" s="180">
        <f t="shared" si="331"/>
        <v>2053</v>
      </c>
      <c r="M969" s="180">
        <f t="shared" si="332"/>
        <v>2418</v>
      </c>
      <c r="N969" s="180">
        <f t="shared" si="333"/>
        <v>4906</v>
      </c>
      <c r="O969" s="180">
        <f t="shared" si="334"/>
        <v>881</v>
      </c>
      <c r="P969" s="180">
        <f t="shared" si="335"/>
        <v>1941</v>
      </c>
      <c r="Q969" s="180">
        <f t="shared" si="336"/>
        <v>2084</v>
      </c>
      <c r="R969" s="216">
        <f t="shared" si="356"/>
        <v>294270.42545375263</v>
      </c>
      <c r="S969" s="217"/>
      <c r="AC969" s="211" t="s">
        <v>12</v>
      </c>
      <c r="AD969" s="180">
        <f t="shared" si="339"/>
        <v>7864</v>
      </c>
      <c r="AE969" s="180">
        <f t="shared" si="340"/>
        <v>1000</v>
      </c>
      <c r="AF969" s="180">
        <f t="shared" si="341"/>
        <v>1048</v>
      </c>
      <c r="AG969" s="180">
        <f t="shared" si="342"/>
        <v>1725</v>
      </c>
      <c r="AH969" s="180">
        <f t="shared" si="343"/>
        <v>0</v>
      </c>
      <c r="AI969" s="180">
        <f t="shared" si="344"/>
        <v>326</v>
      </c>
      <c r="AJ969" s="180">
        <f t="shared" si="345"/>
        <v>182</v>
      </c>
      <c r="AK969" s="180">
        <f t="shared" si="346"/>
        <v>215</v>
      </c>
      <c r="AL969" s="180">
        <f t="shared" si="347"/>
        <v>197</v>
      </c>
      <c r="AM969" s="180">
        <f t="shared" si="348"/>
        <v>62</v>
      </c>
      <c r="AN969" s="180">
        <f t="shared" si="349"/>
        <v>73</v>
      </c>
      <c r="AO969" s="180">
        <f t="shared" si="350"/>
        <v>147</v>
      </c>
      <c r="AP969" s="180">
        <f t="shared" si="351"/>
        <v>26</v>
      </c>
      <c r="AQ969" s="180">
        <f t="shared" si="352"/>
        <v>58</v>
      </c>
      <c r="AR969" s="180">
        <f t="shared" si="353"/>
        <v>63</v>
      </c>
      <c r="AS969" s="210">
        <f t="shared" si="354"/>
        <v>12986</v>
      </c>
      <c r="AU969" s="218">
        <f t="shared" si="355"/>
        <v>4.4129477095688888E-2</v>
      </c>
    </row>
    <row r="970" spans="1:48" ht="15.75" customHeight="1" x14ac:dyDescent="0.3">
      <c r="A970" s="192" t="s">
        <v>13</v>
      </c>
      <c r="B970" s="180">
        <f t="shared" si="337"/>
        <v>173609</v>
      </c>
      <c r="C970" s="180">
        <f t="shared" si="323"/>
        <v>22080</v>
      </c>
      <c r="D970" s="180">
        <f t="shared" si="324"/>
        <v>23115</v>
      </c>
      <c r="E970" s="180">
        <f t="shared" si="325"/>
        <v>37987</v>
      </c>
      <c r="F970" s="180">
        <f t="shared" si="338"/>
        <v>0</v>
      </c>
      <c r="G970" s="180">
        <f t="shared" si="326"/>
        <v>-898.3741369631914</v>
      </c>
      <c r="H970" s="180">
        <f t="shared" si="327"/>
        <v>12437</v>
      </c>
      <c r="I970" s="180">
        <f t="shared" si="328"/>
        <v>6136</v>
      </c>
      <c r="J970" s="180">
        <f t="shared" si="329"/>
        <v>7393</v>
      </c>
      <c r="K970" s="180">
        <f t="shared" si="330"/>
        <v>6922</v>
      </c>
      <c r="L970" s="180">
        <f t="shared" si="331"/>
        <v>2154</v>
      </c>
      <c r="M970" s="180">
        <f t="shared" si="332"/>
        <v>2537</v>
      </c>
      <c r="N970" s="180">
        <f t="shared" si="333"/>
        <v>5032</v>
      </c>
      <c r="O970" s="180">
        <f t="shared" si="334"/>
        <v>889</v>
      </c>
      <c r="P970" s="180">
        <f t="shared" si="335"/>
        <v>2264</v>
      </c>
      <c r="Q970" s="180">
        <f t="shared" si="336"/>
        <v>2101</v>
      </c>
      <c r="R970" s="216">
        <f t="shared" si="356"/>
        <v>303757.62586303684</v>
      </c>
      <c r="S970" s="217"/>
      <c r="AC970" s="211" t="s">
        <v>13</v>
      </c>
      <c r="AD970" s="180">
        <f t="shared" si="339"/>
        <v>8160</v>
      </c>
      <c r="AE970" s="180">
        <f t="shared" si="340"/>
        <v>1038</v>
      </c>
      <c r="AF970" s="180">
        <f t="shared" si="341"/>
        <v>1086</v>
      </c>
      <c r="AG970" s="180">
        <f t="shared" si="342"/>
        <v>1785</v>
      </c>
      <c r="AH970" s="180">
        <f t="shared" si="343"/>
        <v>0</v>
      </c>
      <c r="AI970" s="180">
        <f t="shared" si="344"/>
        <v>373</v>
      </c>
      <c r="AJ970" s="180">
        <f t="shared" si="345"/>
        <v>184</v>
      </c>
      <c r="AK970" s="180">
        <f t="shared" si="346"/>
        <v>222</v>
      </c>
      <c r="AL970" s="180">
        <f t="shared" si="347"/>
        <v>208</v>
      </c>
      <c r="AM970" s="180">
        <f t="shared" si="348"/>
        <v>65</v>
      </c>
      <c r="AN970" s="180">
        <f t="shared" si="349"/>
        <v>76</v>
      </c>
      <c r="AO970" s="180">
        <f t="shared" si="350"/>
        <v>151</v>
      </c>
      <c r="AP970" s="180">
        <f t="shared" si="351"/>
        <v>27</v>
      </c>
      <c r="AQ970" s="180">
        <f t="shared" si="352"/>
        <v>68</v>
      </c>
      <c r="AR970" s="180">
        <f t="shared" si="353"/>
        <v>63</v>
      </c>
      <c r="AS970" s="210">
        <f t="shared" si="354"/>
        <v>13506</v>
      </c>
      <c r="AU970" s="218">
        <f t="shared" si="355"/>
        <v>4.4463081253110021E-2</v>
      </c>
    </row>
    <row r="971" spans="1:48" ht="15.75" customHeight="1" x14ac:dyDescent="0.3">
      <c r="A971" s="192" t="s">
        <v>14</v>
      </c>
      <c r="B971" s="180">
        <f t="shared" si="337"/>
        <v>70077</v>
      </c>
      <c r="C971" s="180">
        <f t="shared" si="323"/>
        <v>8883</v>
      </c>
      <c r="D971" s="180">
        <f t="shared" si="324"/>
        <v>9269</v>
      </c>
      <c r="E971" s="180">
        <f t="shared" si="325"/>
        <v>14301</v>
      </c>
      <c r="F971" s="180">
        <f t="shared" si="338"/>
        <v>0</v>
      </c>
      <c r="G971" s="180">
        <f t="shared" si="326"/>
        <v>-13904.804213357216</v>
      </c>
      <c r="H971" s="180">
        <f t="shared" si="327"/>
        <v>13230</v>
      </c>
      <c r="I971" s="180">
        <f t="shared" si="328"/>
        <v>6468</v>
      </c>
      <c r="J971" s="180">
        <f t="shared" si="329"/>
        <v>7393</v>
      </c>
      <c r="K971" s="180">
        <f t="shared" si="330"/>
        <v>6165</v>
      </c>
      <c r="L971" s="180">
        <f t="shared" si="331"/>
        <v>1963</v>
      </c>
      <c r="M971" s="180">
        <f t="shared" si="332"/>
        <v>2312</v>
      </c>
      <c r="N971" s="180">
        <f t="shared" si="333"/>
        <v>4517</v>
      </c>
      <c r="O971" s="180">
        <f t="shared" si="334"/>
        <v>886</v>
      </c>
      <c r="P971" s="180">
        <f t="shared" si="335"/>
        <v>2329</v>
      </c>
      <c r="Q971" s="180">
        <f t="shared" si="336"/>
        <v>2095</v>
      </c>
      <c r="R971" s="216">
        <f>(SUM(B971:Q971))</f>
        <v>135983.19578664278</v>
      </c>
      <c r="S971" s="217"/>
      <c r="AC971" s="211" t="s">
        <v>14</v>
      </c>
      <c r="AD971" s="180">
        <f t="shared" si="339"/>
        <v>3294</v>
      </c>
      <c r="AE971" s="180">
        <f t="shared" si="340"/>
        <v>418</v>
      </c>
      <c r="AF971" s="180">
        <f t="shared" si="341"/>
        <v>436</v>
      </c>
      <c r="AG971" s="180">
        <f t="shared" si="342"/>
        <v>672</v>
      </c>
      <c r="AH971" s="180">
        <f t="shared" si="343"/>
        <v>0</v>
      </c>
      <c r="AI971" s="180">
        <f t="shared" si="344"/>
        <v>397</v>
      </c>
      <c r="AJ971" s="180">
        <f t="shared" si="345"/>
        <v>194</v>
      </c>
      <c r="AK971" s="180">
        <f t="shared" si="346"/>
        <v>222</v>
      </c>
      <c r="AL971" s="180">
        <f t="shared" si="347"/>
        <v>185</v>
      </c>
      <c r="AM971" s="180">
        <f t="shared" si="348"/>
        <v>59</v>
      </c>
      <c r="AN971" s="180">
        <f t="shared" si="349"/>
        <v>69</v>
      </c>
      <c r="AO971" s="180">
        <f t="shared" si="350"/>
        <v>136</v>
      </c>
      <c r="AP971" s="180">
        <f t="shared" si="351"/>
        <v>27</v>
      </c>
      <c r="AQ971" s="180">
        <f t="shared" si="352"/>
        <v>70</v>
      </c>
      <c r="AR971" s="180">
        <f t="shared" si="353"/>
        <v>63</v>
      </c>
      <c r="AS971" s="210">
        <f t="shared" si="354"/>
        <v>6242</v>
      </c>
      <c r="AU971" s="218">
        <f t="shared" si="355"/>
        <v>4.5902730582929367E-2</v>
      </c>
    </row>
    <row r="972" spans="1:48" ht="15.75" customHeight="1" x14ac:dyDescent="0.3">
      <c r="A972" s="192" t="s">
        <v>16</v>
      </c>
      <c r="B972" s="180">
        <f t="shared" si="337"/>
        <v>72247</v>
      </c>
      <c r="C972" s="180">
        <f t="shared" si="323"/>
        <v>9159</v>
      </c>
      <c r="D972" s="180">
        <f t="shared" si="324"/>
        <v>9559</v>
      </c>
      <c r="E972" s="180">
        <f t="shared" si="325"/>
        <v>14816</v>
      </c>
      <c r="F972" s="180">
        <f t="shared" si="338"/>
        <v>0</v>
      </c>
      <c r="G972" s="180">
        <f t="shared" si="326"/>
        <v>-11607.377473471804</v>
      </c>
      <c r="H972" s="180">
        <f t="shared" si="327"/>
        <v>11999</v>
      </c>
      <c r="I972" s="180">
        <f t="shared" si="328"/>
        <v>8216</v>
      </c>
      <c r="J972" s="180">
        <f t="shared" si="329"/>
        <v>7823</v>
      </c>
      <c r="K972" s="180">
        <f t="shared" si="330"/>
        <v>6430</v>
      </c>
      <c r="L972" s="180">
        <f t="shared" si="331"/>
        <v>2053</v>
      </c>
      <c r="M972" s="180">
        <f t="shared" si="332"/>
        <v>2417</v>
      </c>
      <c r="N972" s="180">
        <f t="shared" si="333"/>
        <v>4617</v>
      </c>
      <c r="O972" s="180">
        <f t="shared" si="334"/>
        <v>887</v>
      </c>
      <c r="P972" s="180">
        <f t="shared" si="335"/>
        <v>2103</v>
      </c>
      <c r="Q972" s="180">
        <f t="shared" si="336"/>
        <v>2098</v>
      </c>
      <c r="R972" s="216">
        <f t="shared" si="356"/>
        <v>142816.6225265282</v>
      </c>
      <c r="S972" s="217"/>
      <c r="AC972" s="211" t="s">
        <v>16</v>
      </c>
      <c r="AD972" s="180">
        <f t="shared" si="339"/>
        <v>3396</v>
      </c>
      <c r="AE972" s="180">
        <f t="shared" si="340"/>
        <v>430</v>
      </c>
      <c r="AF972" s="180">
        <f t="shared" si="341"/>
        <v>449</v>
      </c>
      <c r="AG972" s="180">
        <f t="shared" si="342"/>
        <v>696</v>
      </c>
      <c r="AH972" s="180">
        <f t="shared" si="343"/>
        <v>0</v>
      </c>
      <c r="AI972" s="180">
        <f t="shared" si="344"/>
        <v>360</v>
      </c>
      <c r="AJ972" s="180">
        <f t="shared" si="345"/>
        <v>246</v>
      </c>
      <c r="AK972" s="180">
        <f t="shared" si="346"/>
        <v>235</v>
      </c>
      <c r="AL972" s="180">
        <f t="shared" si="347"/>
        <v>193</v>
      </c>
      <c r="AM972" s="180">
        <f t="shared" si="348"/>
        <v>62</v>
      </c>
      <c r="AN972" s="180">
        <f t="shared" si="349"/>
        <v>73</v>
      </c>
      <c r="AO972" s="180">
        <f t="shared" si="350"/>
        <v>139</v>
      </c>
      <c r="AP972" s="180">
        <f t="shared" si="351"/>
        <v>27</v>
      </c>
      <c r="AQ972" s="180">
        <f t="shared" si="352"/>
        <v>63</v>
      </c>
      <c r="AR972" s="180">
        <f t="shared" si="353"/>
        <v>63</v>
      </c>
      <c r="AS972" s="210">
        <f t="shared" si="354"/>
        <v>6432</v>
      </c>
      <c r="AU972" s="218">
        <f t="shared" si="355"/>
        <v>4.5036774334901074E-2</v>
      </c>
    </row>
    <row r="973" spans="1:48" ht="15.75" customHeight="1" x14ac:dyDescent="0.3">
      <c r="A973" s="192" t="s">
        <v>17</v>
      </c>
      <c r="B973" s="180">
        <f t="shared" si="337"/>
        <v>71357</v>
      </c>
      <c r="C973" s="180">
        <f t="shared" si="323"/>
        <v>9056</v>
      </c>
      <c r="D973" s="180">
        <f t="shared" si="324"/>
        <v>9461</v>
      </c>
      <c r="E973" s="180">
        <f t="shared" si="325"/>
        <v>14939</v>
      </c>
      <c r="F973" s="180">
        <f t="shared" si="338"/>
        <v>0</v>
      </c>
      <c r="G973" s="180">
        <f t="shared" si="326"/>
        <v>-8438.4505743147456</v>
      </c>
      <c r="H973" s="180">
        <f t="shared" si="327"/>
        <v>10299</v>
      </c>
      <c r="I973" s="180">
        <f t="shared" si="328"/>
        <v>7011</v>
      </c>
      <c r="J973" s="180">
        <f t="shared" si="329"/>
        <v>7478</v>
      </c>
      <c r="K973" s="180">
        <f t="shared" si="330"/>
        <v>6426</v>
      </c>
      <c r="L973" s="180">
        <f t="shared" si="331"/>
        <v>2045</v>
      </c>
      <c r="M973" s="180">
        <f t="shared" si="332"/>
        <v>2409</v>
      </c>
      <c r="N973" s="180">
        <f t="shared" si="333"/>
        <v>4700</v>
      </c>
      <c r="O973" s="180">
        <f t="shared" si="334"/>
        <v>885</v>
      </c>
      <c r="P973" s="180">
        <f t="shared" si="335"/>
        <v>1941</v>
      </c>
      <c r="Q973" s="180">
        <f t="shared" si="336"/>
        <v>2093</v>
      </c>
      <c r="R973" s="216">
        <f t="shared" si="356"/>
        <v>141661.54942568525</v>
      </c>
      <c r="S973" s="217"/>
      <c r="AC973" s="211" t="s">
        <v>17</v>
      </c>
      <c r="AD973" s="180">
        <f t="shared" si="339"/>
        <v>3354</v>
      </c>
      <c r="AE973" s="180">
        <f t="shared" si="340"/>
        <v>426</v>
      </c>
      <c r="AF973" s="180">
        <f t="shared" si="341"/>
        <v>445</v>
      </c>
      <c r="AG973" s="180">
        <f t="shared" si="342"/>
        <v>702</v>
      </c>
      <c r="AH973" s="180">
        <f t="shared" si="343"/>
        <v>0</v>
      </c>
      <c r="AI973" s="180">
        <f t="shared" si="344"/>
        <v>309</v>
      </c>
      <c r="AJ973" s="180">
        <f t="shared" si="345"/>
        <v>210</v>
      </c>
      <c r="AK973" s="180">
        <f t="shared" si="346"/>
        <v>224</v>
      </c>
      <c r="AL973" s="180">
        <f t="shared" si="347"/>
        <v>193</v>
      </c>
      <c r="AM973" s="180">
        <f t="shared" si="348"/>
        <v>61</v>
      </c>
      <c r="AN973" s="180">
        <f t="shared" si="349"/>
        <v>72</v>
      </c>
      <c r="AO973" s="180">
        <f t="shared" si="350"/>
        <v>141</v>
      </c>
      <c r="AP973" s="180">
        <f t="shared" si="351"/>
        <v>27</v>
      </c>
      <c r="AQ973" s="180">
        <f t="shared" si="352"/>
        <v>58</v>
      </c>
      <c r="AR973" s="180">
        <f t="shared" si="353"/>
        <v>63</v>
      </c>
      <c r="AS973" s="210">
        <f t="shared" si="354"/>
        <v>6285</v>
      </c>
      <c r="AU973" s="218">
        <f t="shared" si="355"/>
        <v>4.4366308468883939E-2</v>
      </c>
    </row>
    <row r="974" spans="1:48" ht="15.75" customHeight="1" x14ac:dyDescent="0.3">
      <c r="A974" s="192" t="s">
        <v>18</v>
      </c>
      <c r="B974" s="180">
        <f t="shared" si="337"/>
        <v>142209</v>
      </c>
      <c r="C974" s="180">
        <f t="shared" si="323"/>
        <v>18091</v>
      </c>
      <c r="D974" s="180">
        <f t="shared" si="324"/>
        <v>18942</v>
      </c>
      <c r="E974" s="180">
        <f t="shared" si="325"/>
        <v>31678</v>
      </c>
      <c r="F974" s="180">
        <f t="shared" si="338"/>
        <v>2097.2244378447381</v>
      </c>
      <c r="G974" s="180">
        <f t="shared" si="326"/>
        <v>0</v>
      </c>
      <c r="H974" s="180">
        <f t="shared" si="327"/>
        <v>7701</v>
      </c>
      <c r="I974" s="180">
        <f t="shared" si="328"/>
        <v>4620</v>
      </c>
      <c r="J974" s="180">
        <f t="shared" si="329"/>
        <v>6730</v>
      </c>
      <c r="K974" s="180">
        <f t="shared" si="330"/>
        <v>6406</v>
      </c>
      <c r="L974" s="180">
        <f t="shared" si="331"/>
        <v>1998</v>
      </c>
      <c r="M974" s="180">
        <f t="shared" si="332"/>
        <v>2354</v>
      </c>
      <c r="N974" s="180">
        <f t="shared" si="333"/>
        <v>4682</v>
      </c>
      <c r="O974" s="180">
        <f t="shared" si="334"/>
        <v>877</v>
      </c>
      <c r="P974" s="180">
        <f t="shared" si="335"/>
        <v>1779</v>
      </c>
      <c r="Q974" s="180">
        <f t="shared" si="336"/>
        <v>2074</v>
      </c>
      <c r="R974" s="216">
        <f t="shared" si="356"/>
        <v>252238.22443784474</v>
      </c>
      <c r="S974" s="217"/>
      <c r="AC974" s="211" t="s">
        <v>18</v>
      </c>
      <c r="AD974" s="180">
        <f t="shared" si="339"/>
        <v>6684</v>
      </c>
      <c r="AE974" s="180">
        <f t="shared" si="340"/>
        <v>850</v>
      </c>
      <c r="AF974" s="180">
        <f t="shared" si="341"/>
        <v>890</v>
      </c>
      <c r="AG974" s="180">
        <f t="shared" si="342"/>
        <v>1489</v>
      </c>
      <c r="AH974" s="180">
        <f t="shared" si="343"/>
        <v>0</v>
      </c>
      <c r="AI974" s="180">
        <f t="shared" si="344"/>
        <v>231</v>
      </c>
      <c r="AJ974" s="180">
        <f t="shared" si="345"/>
        <v>139</v>
      </c>
      <c r="AK974" s="180">
        <f t="shared" si="346"/>
        <v>202</v>
      </c>
      <c r="AL974" s="180">
        <f t="shared" si="347"/>
        <v>192</v>
      </c>
      <c r="AM974" s="180">
        <f t="shared" si="348"/>
        <v>60</v>
      </c>
      <c r="AN974" s="180">
        <f t="shared" si="349"/>
        <v>71</v>
      </c>
      <c r="AO974" s="180">
        <f t="shared" si="350"/>
        <v>140</v>
      </c>
      <c r="AP974" s="180">
        <f t="shared" si="351"/>
        <v>26</v>
      </c>
      <c r="AQ974" s="180">
        <f t="shared" si="352"/>
        <v>53</v>
      </c>
      <c r="AR974" s="180">
        <f t="shared" si="353"/>
        <v>62</v>
      </c>
      <c r="AS974" s="210">
        <f t="shared" si="354"/>
        <v>11089</v>
      </c>
      <c r="AU974" s="218">
        <f t="shared" si="355"/>
        <v>4.3962409046898819E-2</v>
      </c>
    </row>
    <row r="975" spans="1:48" ht="15.75" customHeight="1" x14ac:dyDescent="0.3">
      <c r="A975" s="192" t="s">
        <v>20</v>
      </c>
      <c r="B975" s="180">
        <f t="shared" si="337"/>
        <v>137058</v>
      </c>
      <c r="C975" s="180">
        <f t="shared" si="323"/>
        <v>17438</v>
      </c>
      <c r="D975" s="180">
        <f t="shared" si="324"/>
        <v>18260</v>
      </c>
      <c r="E975" s="180">
        <f t="shared" si="325"/>
        <v>30883</v>
      </c>
      <c r="F975" s="180">
        <f t="shared" si="338"/>
        <v>7113.7115247442125</v>
      </c>
      <c r="G975" s="180">
        <f t="shared" si="326"/>
        <v>0</v>
      </c>
      <c r="H975" s="180">
        <f t="shared" si="327"/>
        <v>5591</v>
      </c>
      <c r="I975" s="180">
        <f t="shared" si="328"/>
        <v>3089</v>
      </c>
      <c r="J975" s="180">
        <f t="shared" si="329"/>
        <v>4663</v>
      </c>
      <c r="K975" s="180">
        <f t="shared" si="330"/>
        <v>4610</v>
      </c>
      <c r="L975" s="180">
        <f t="shared" si="331"/>
        <v>1488</v>
      </c>
      <c r="M975" s="180">
        <f t="shared" si="332"/>
        <v>1753</v>
      </c>
      <c r="N975" s="180">
        <f t="shared" si="333"/>
        <v>3610</v>
      </c>
      <c r="O975" s="180">
        <f t="shared" si="334"/>
        <v>881</v>
      </c>
      <c r="P975" s="180">
        <f t="shared" si="335"/>
        <v>1617</v>
      </c>
      <c r="Q975" s="180">
        <f t="shared" si="336"/>
        <v>2084</v>
      </c>
      <c r="R975" s="216">
        <f t="shared" si="356"/>
        <v>240138.71152474423</v>
      </c>
      <c r="S975" s="217"/>
      <c r="AC975" s="211" t="s">
        <v>20</v>
      </c>
      <c r="AD975" s="180">
        <f t="shared" si="339"/>
        <v>6442</v>
      </c>
      <c r="AE975" s="180">
        <f t="shared" si="340"/>
        <v>820</v>
      </c>
      <c r="AF975" s="180">
        <f t="shared" si="341"/>
        <v>858</v>
      </c>
      <c r="AG975" s="180">
        <f t="shared" si="342"/>
        <v>1452</v>
      </c>
      <c r="AH975" s="180">
        <f t="shared" si="343"/>
        <v>0</v>
      </c>
      <c r="AI975" s="180">
        <f t="shared" si="344"/>
        <v>168</v>
      </c>
      <c r="AJ975" s="180">
        <f t="shared" si="345"/>
        <v>93</v>
      </c>
      <c r="AK975" s="180">
        <f t="shared" si="346"/>
        <v>140</v>
      </c>
      <c r="AL975" s="180">
        <f t="shared" si="347"/>
        <v>138</v>
      </c>
      <c r="AM975" s="180">
        <f t="shared" si="348"/>
        <v>45</v>
      </c>
      <c r="AN975" s="180">
        <f t="shared" si="349"/>
        <v>53</v>
      </c>
      <c r="AO975" s="180">
        <f t="shared" si="350"/>
        <v>108</v>
      </c>
      <c r="AP975" s="180">
        <f t="shared" si="351"/>
        <v>26</v>
      </c>
      <c r="AQ975" s="180">
        <f t="shared" si="352"/>
        <v>49</v>
      </c>
      <c r="AR975" s="180">
        <f t="shared" si="353"/>
        <v>63</v>
      </c>
      <c r="AS975" s="210">
        <f t="shared" si="354"/>
        <v>10455</v>
      </c>
      <c r="AU975" s="218">
        <f t="shared" si="355"/>
        <v>4.3537336956697641E-2</v>
      </c>
    </row>
    <row r="976" spans="1:48" ht="15.75" customHeight="1" x14ac:dyDescent="0.3">
      <c r="A976" s="192" t="s">
        <v>21</v>
      </c>
      <c r="B976" s="180">
        <f t="shared" si="337"/>
        <v>113780</v>
      </c>
      <c r="C976" s="180">
        <f t="shared" si="323"/>
        <v>14476</v>
      </c>
      <c r="D976" s="180">
        <f t="shared" si="324"/>
        <v>15159</v>
      </c>
      <c r="E976" s="180">
        <f t="shared" si="325"/>
        <v>25716</v>
      </c>
      <c r="F976" s="180">
        <f t="shared" si="338"/>
        <v>15083.831388164761</v>
      </c>
      <c r="G976" s="180">
        <f t="shared" si="326"/>
        <v>0</v>
      </c>
      <c r="H976" s="180">
        <f t="shared" si="327"/>
        <v>1006</v>
      </c>
      <c r="I976" s="180">
        <f t="shared" si="328"/>
        <v>422</v>
      </c>
      <c r="J976" s="180">
        <f t="shared" si="329"/>
        <v>633</v>
      </c>
      <c r="K976" s="180">
        <f t="shared" si="330"/>
        <v>641</v>
      </c>
      <c r="L976" s="180">
        <f t="shared" si="331"/>
        <v>240</v>
      </c>
      <c r="M976" s="180">
        <f t="shared" si="332"/>
        <v>280</v>
      </c>
      <c r="N976" s="180">
        <f t="shared" si="333"/>
        <v>566</v>
      </c>
      <c r="O976" s="180">
        <f t="shared" si="334"/>
        <v>397</v>
      </c>
      <c r="P976" s="180">
        <f t="shared" si="335"/>
        <v>1456</v>
      </c>
      <c r="Q976" s="180">
        <f t="shared" si="336"/>
        <v>939</v>
      </c>
      <c r="R976" s="216">
        <f t="shared" si="356"/>
        <v>190794.83138816475</v>
      </c>
      <c r="S976" s="217"/>
      <c r="AC976" s="211" t="s">
        <v>21</v>
      </c>
      <c r="AD976" s="180">
        <f t="shared" si="339"/>
        <v>5348</v>
      </c>
      <c r="AE976" s="180">
        <f t="shared" si="340"/>
        <v>680</v>
      </c>
      <c r="AF976" s="180">
        <f t="shared" si="341"/>
        <v>712</v>
      </c>
      <c r="AG976" s="180">
        <f t="shared" si="342"/>
        <v>1209</v>
      </c>
      <c r="AH976" s="180">
        <f t="shared" si="343"/>
        <v>0</v>
      </c>
      <c r="AI976" s="180">
        <f t="shared" si="344"/>
        <v>30</v>
      </c>
      <c r="AJ976" s="180">
        <f t="shared" si="345"/>
        <v>13</v>
      </c>
      <c r="AK976" s="180">
        <f t="shared" si="346"/>
        <v>19</v>
      </c>
      <c r="AL976" s="180">
        <f t="shared" si="347"/>
        <v>19</v>
      </c>
      <c r="AM976" s="180">
        <f t="shared" si="348"/>
        <v>7</v>
      </c>
      <c r="AN976" s="180">
        <f t="shared" si="349"/>
        <v>8</v>
      </c>
      <c r="AO976" s="180">
        <f t="shared" si="350"/>
        <v>17</v>
      </c>
      <c r="AP976" s="180">
        <f t="shared" si="351"/>
        <v>12</v>
      </c>
      <c r="AQ976" s="180">
        <f t="shared" si="352"/>
        <v>44</v>
      </c>
      <c r="AR976" s="180">
        <f t="shared" si="353"/>
        <v>28</v>
      </c>
      <c r="AS976" s="210">
        <f t="shared" si="354"/>
        <v>8146</v>
      </c>
      <c r="AU976" s="218">
        <f t="shared" si="355"/>
        <v>4.2695076909223376E-2</v>
      </c>
    </row>
    <row r="977" spans="1:47" ht="15.75" customHeight="1" x14ac:dyDescent="0.3">
      <c r="A977" s="192" t="s">
        <v>22</v>
      </c>
      <c r="B977" s="180">
        <f t="shared" si="337"/>
        <v>117333</v>
      </c>
      <c r="C977" s="180">
        <f t="shared" si="323"/>
        <v>14935</v>
      </c>
      <c r="D977" s="180">
        <f t="shared" si="324"/>
        <v>15647</v>
      </c>
      <c r="E977" s="180">
        <f t="shared" si="325"/>
        <v>26546</v>
      </c>
      <c r="F977" s="180">
        <f t="shared" si="338"/>
        <v>14524.663759969106</v>
      </c>
      <c r="G977" s="180">
        <f t="shared" si="326"/>
        <v>0</v>
      </c>
      <c r="H977" s="180">
        <f t="shared" si="327"/>
        <v>3016</v>
      </c>
      <c r="I977" s="180">
        <f t="shared" si="328"/>
        <v>1440</v>
      </c>
      <c r="J977" s="180">
        <f t="shared" si="329"/>
        <v>2138</v>
      </c>
      <c r="K977" s="180">
        <f t="shared" si="330"/>
        <v>2202</v>
      </c>
      <c r="L977" s="180">
        <f t="shared" si="331"/>
        <v>843</v>
      </c>
      <c r="M977" s="180">
        <f t="shared" si="332"/>
        <v>993</v>
      </c>
      <c r="N977" s="180">
        <f t="shared" si="333"/>
        <v>2026</v>
      </c>
      <c r="O977" s="180">
        <f t="shared" si="334"/>
        <v>399</v>
      </c>
      <c r="P977" s="180">
        <f t="shared" si="335"/>
        <v>1294</v>
      </c>
      <c r="Q977" s="180">
        <f t="shared" si="336"/>
        <v>944</v>
      </c>
      <c r="R977" s="216">
        <f t="shared" si="356"/>
        <v>204280.66375996912</v>
      </c>
      <c r="S977" s="217"/>
      <c r="AC977" s="211" t="s">
        <v>22</v>
      </c>
      <c r="AD977" s="180">
        <f t="shared" si="339"/>
        <v>5515</v>
      </c>
      <c r="AE977" s="180">
        <f t="shared" si="340"/>
        <v>702</v>
      </c>
      <c r="AF977" s="180">
        <f t="shared" si="341"/>
        <v>735</v>
      </c>
      <c r="AG977" s="180">
        <f t="shared" si="342"/>
        <v>1248</v>
      </c>
      <c r="AH977" s="180">
        <f t="shared" si="343"/>
        <v>0</v>
      </c>
      <c r="AI977" s="180">
        <f t="shared" si="344"/>
        <v>90</v>
      </c>
      <c r="AJ977" s="180">
        <f t="shared" si="345"/>
        <v>43</v>
      </c>
      <c r="AK977" s="180">
        <f t="shared" si="346"/>
        <v>64</v>
      </c>
      <c r="AL977" s="180">
        <f t="shared" si="347"/>
        <v>66</v>
      </c>
      <c r="AM977" s="180">
        <f t="shared" si="348"/>
        <v>25</v>
      </c>
      <c r="AN977" s="180">
        <f t="shared" si="349"/>
        <v>30</v>
      </c>
      <c r="AO977" s="180">
        <f t="shared" si="350"/>
        <v>61</v>
      </c>
      <c r="AP977" s="180">
        <f t="shared" si="351"/>
        <v>12</v>
      </c>
      <c r="AQ977" s="180">
        <f t="shared" si="352"/>
        <v>39</v>
      </c>
      <c r="AR977" s="180">
        <f t="shared" si="353"/>
        <v>28</v>
      </c>
      <c r="AS977" s="210">
        <f t="shared" si="354"/>
        <v>8658</v>
      </c>
      <c r="AU977" s="218">
        <f t="shared" si="355"/>
        <v>4.2382866007196825E-2</v>
      </c>
    </row>
    <row r="978" spans="1:47" ht="15.75" customHeight="1" x14ac:dyDescent="0.3">
      <c r="A978" s="189"/>
      <c r="B978" s="180"/>
      <c r="C978" s="180"/>
      <c r="D978" s="180"/>
      <c r="E978" s="180"/>
      <c r="F978" s="180"/>
      <c r="G978" s="180"/>
      <c r="H978" s="180"/>
      <c r="I978" s="180"/>
      <c r="J978" s="180"/>
      <c r="K978" s="180"/>
      <c r="L978" s="180"/>
      <c r="M978" s="180"/>
      <c r="N978" s="180"/>
      <c r="O978" s="180"/>
      <c r="P978" s="180"/>
      <c r="Q978" s="180"/>
      <c r="R978" s="210"/>
      <c r="S978" s="217"/>
      <c r="AC978" s="95"/>
      <c r="AD978" s="180"/>
      <c r="AE978" s="180"/>
      <c r="AF978" s="180"/>
      <c r="AG978" s="180"/>
      <c r="AH978" s="180"/>
      <c r="AI978" s="180"/>
      <c r="AJ978" s="180"/>
      <c r="AK978" s="180"/>
      <c r="AL978" s="180"/>
      <c r="AM978" s="180"/>
      <c r="AN978" s="180"/>
      <c r="AO978" s="180"/>
      <c r="AP978" s="180"/>
      <c r="AQ978" s="180"/>
      <c r="AR978" s="180"/>
      <c r="AS978" s="210"/>
    </row>
    <row r="979" spans="1:47" ht="15.75" customHeight="1" thickBot="1" x14ac:dyDescent="0.35">
      <c r="A979" s="189" t="s">
        <v>641</v>
      </c>
      <c r="B979" s="180">
        <f>SUM(B966:B977)</f>
        <v>1477933</v>
      </c>
      <c r="C979" s="180">
        <f t="shared" ref="C979:Q979" si="357">SUM(C966:C977)</f>
        <v>187982</v>
      </c>
      <c r="D979" s="180">
        <f t="shared" si="357"/>
        <v>196800</v>
      </c>
      <c r="E979" s="180">
        <f t="shared" si="357"/>
        <v>326134</v>
      </c>
      <c r="F979" s="180">
        <f t="shared" si="357"/>
        <v>78878.026914494621</v>
      </c>
      <c r="G979" s="180">
        <f t="shared" si="357"/>
        <v>-39060.645847789427</v>
      </c>
      <c r="H979" s="180">
        <f t="shared" si="357"/>
        <v>94639</v>
      </c>
      <c r="I979" s="180">
        <f t="shared" si="357"/>
        <v>54874</v>
      </c>
      <c r="J979" s="180">
        <f t="shared" si="357"/>
        <v>68260</v>
      </c>
      <c r="K979" s="180">
        <f t="shared" si="357"/>
        <v>62987</v>
      </c>
      <c r="L979" s="180">
        <f t="shared" si="357"/>
        <v>20277</v>
      </c>
      <c r="M979" s="180">
        <f t="shared" si="357"/>
        <v>23884</v>
      </c>
      <c r="N979" s="180">
        <f t="shared" si="357"/>
        <v>47967</v>
      </c>
      <c r="O979" s="180">
        <f t="shared" si="357"/>
        <v>9632</v>
      </c>
      <c r="P979" s="180">
        <f t="shared" si="357"/>
        <v>20929</v>
      </c>
      <c r="Q979" s="180">
        <f t="shared" si="357"/>
        <v>22785</v>
      </c>
      <c r="R979" s="219">
        <f>SUM(R966:R977)</f>
        <v>2654900.3810667056</v>
      </c>
      <c r="S979" s="217"/>
      <c r="AC979" s="220" t="s">
        <v>641</v>
      </c>
      <c r="AD979" s="195">
        <f>SUM(AD966:AD977)</f>
        <v>69464</v>
      </c>
      <c r="AE979" s="195">
        <f t="shared" ref="AE979:AS979" si="358">SUM(AE966:AE977)</f>
        <v>8836</v>
      </c>
      <c r="AF979" s="195">
        <f t="shared" si="358"/>
        <v>9249</v>
      </c>
      <c r="AG979" s="195">
        <f t="shared" si="358"/>
        <v>15329</v>
      </c>
      <c r="AH979" s="195">
        <f t="shared" si="358"/>
        <v>0</v>
      </c>
      <c r="AI979" s="195">
        <f t="shared" si="358"/>
        <v>2839</v>
      </c>
      <c r="AJ979" s="195">
        <f t="shared" si="358"/>
        <v>1647</v>
      </c>
      <c r="AK979" s="195">
        <f t="shared" si="358"/>
        <v>2047</v>
      </c>
      <c r="AL979" s="195">
        <f t="shared" si="358"/>
        <v>1889</v>
      </c>
      <c r="AM979" s="195">
        <f t="shared" si="358"/>
        <v>609</v>
      </c>
      <c r="AN979" s="195">
        <f t="shared" si="358"/>
        <v>717</v>
      </c>
      <c r="AO979" s="195">
        <f t="shared" si="358"/>
        <v>1440</v>
      </c>
      <c r="AP979" s="195">
        <f t="shared" si="358"/>
        <v>289</v>
      </c>
      <c r="AQ979" s="195">
        <f t="shared" si="358"/>
        <v>629</v>
      </c>
      <c r="AR979" s="195">
        <f t="shared" si="358"/>
        <v>685</v>
      </c>
      <c r="AS979" s="221">
        <f t="shared" si="358"/>
        <v>115669</v>
      </c>
      <c r="AU979" s="218">
        <f t="shared" si="355"/>
        <v>4.3568113073050842E-2</v>
      </c>
    </row>
    <row r="980" spans="1:47" ht="16.5" customHeight="1" thickBot="1" x14ac:dyDescent="0.35">
      <c r="A980" s="204" t="s">
        <v>7</v>
      </c>
      <c r="B980" s="195"/>
      <c r="C980" s="195"/>
      <c r="D980" s="195"/>
      <c r="E980" s="195"/>
      <c r="F980" s="195"/>
      <c r="G980" s="195"/>
      <c r="H980" s="195"/>
      <c r="I980" s="195"/>
      <c r="J980" s="195"/>
      <c r="K980" s="195"/>
      <c r="L980" s="195"/>
      <c r="M980" s="195"/>
      <c r="N980" s="195"/>
      <c r="O980" s="195"/>
      <c r="P980" s="195"/>
      <c r="Q980" s="195"/>
      <c r="R980" s="221"/>
      <c r="S980" s="180"/>
    </row>
    <row r="981" spans="1:47" ht="15.75" customHeight="1" x14ac:dyDescent="0.3">
      <c r="A981" s="180"/>
      <c r="B981" s="180"/>
      <c r="C981" s="180"/>
      <c r="D981" s="180"/>
      <c r="E981" s="180"/>
      <c r="F981" s="180"/>
      <c r="G981" s="180"/>
      <c r="H981" s="180"/>
      <c r="I981" s="180"/>
      <c r="J981" s="180"/>
      <c r="K981" s="180"/>
      <c r="L981" s="180"/>
      <c r="M981" s="180"/>
      <c r="N981" s="180"/>
      <c r="O981" s="180"/>
      <c r="P981" s="180"/>
      <c r="Q981" s="180"/>
      <c r="R981" s="180"/>
    </row>
    <row r="982" spans="1:47" ht="15.75" customHeight="1" x14ac:dyDescent="0.3"/>
    <row r="983" spans="1:47" ht="15.75" customHeight="1" thickBot="1" x14ac:dyDescent="0.35"/>
    <row r="984" spans="1:47" ht="15.75" customHeight="1" thickBot="1" x14ac:dyDescent="0.35">
      <c r="B984" s="398" t="s">
        <v>727</v>
      </c>
      <c r="C984" s="387"/>
      <c r="D984" s="387"/>
      <c r="E984" s="387"/>
      <c r="F984" s="387"/>
      <c r="G984" s="387"/>
      <c r="H984" s="387"/>
      <c r="I984" s="387"/>
      <c r="J984" s="387"/>
      <c r="K984" s="387"/>
      <c r="L984" s="387"/>
      <c r="M984" s="387"/>
      <c r="N984" s="387"/>
      <c r="O984" s="387"/>
      <c r="P984" s="387"/>
      <c r="Q984" s="177" t="str">
        <f>+Q1</f>
        <v xml:space="preserve">PRINTED:  </v>
      </c>
      <c r="R984" s="197">
        <f ca="1">+R1</f>
        <v>44894.658168518516</v>
      </c>
      <c r="S984" s="174"/>
      <c r="T984" s="200"/>
      <c r="U984" s="200"/>
      <c r="V984" s="198"/>
    </row>
    <row r="985" spans="1:47" ht="15.75" customHeight="1" x14ac:dyDescent="0.3">
      <c r="B985" s="399">
        <f>+A5</f>
        <v>2019</v>
      </c>
      <c r="C985" s="395"/>
      <c r="D985" s="395"/>
      <c r="E985" s="395"/>
      <c r="F985" s="395"/>
      <c r="G985" s="395"/>
      <c r="H985" s="395"/>
      <c r="I985" s="395"/>
      <c r="J985" s="395"/>
      <c r="K985" s="395"/>
      <c r="L985" s="395"/>
      <c r="M985" s="395"/>
      <c r="N985" s="395"/>
      <c r="O985" s="395"/>
      <c r="P985" s="395"/>
      <c r="Q985" s="180"/>
      <c r="R985" s="180"/>
      <c r="S985" s="180"/>
      <c r="V985" s="304"/>
      <c r="AC985" s="207"/>
      <c r="AD985" s="387" t="s">
        <v>728</v>
      </c>
      <c r="AE985" s="393"/>
      <c r="AF985" s="393"/>
      <c r="AG985" s="393"/>
      <c r="AH985" s="393"/>
      <c r="AI985" s="393"/>
      <c r="AJ985" s="393"/>
      <c r="AK985" s="393"/>
      <c r="AL985" s="393"/>
      <c r="AM985" s="393"/>
      <c r="AN985" s="393"/>
      <c r="AO985" s="393"/>
      <c r="AP985" s="393"/>
      <c r="AQ985" s="393"/>
      <c r="AR985" s="177" t="str">
        <f>$Q$1</f>
        <v xml:space="preserve">PRINTED:  </v>
      </c>
      <c r="AS985" s="208">
        <f ca="1">$R$1</f>
        <v>44894.658168518516</v>
      </c>
    </row>
    <row r="986" spans="1:47" ht="15.75" customHeight="1" x14ac:dyDescent="0.3">
      <c r="B986" s="400" t="str">
        <f>+A8</f>
        <v>Revised:  11/27/2018</v>
      </c>
      <c r="C986" s="394"/>
      <c r="D986" s="394"/>
      <c r="E986" s="394"/>
      <c r="F986" s="394"/>
      <c r="G986" s="394"/>
      <c r="H986" s="394"/>
      <c r="I986" s="394"/>
      <c r="J986" s="394"/>
      <c r="K986" s="394"/>
      <c r="L986" s="394"/>
      <c r="M986" s="394"/>
      <c r="N986" s="394"/>
      <c r="O986" s="394"/>
      <c r="P986" s="394"/>
      <c r="Q986" s="180"/>
      <c r="R986" s="180"/>
      <c r="S986" s="180"/>
      <c r="V986" s="304"/>
      <c r="AC986" s="95"/>
      <c r="AD986" s="394" t="str">
        <f>+$A$8</f>
        <v>Revised:  11/27/2018</v>
      </c>
      <c r="AE986" s="396"/>
      <c r="AF986" s="396"/>
      <c r="AG986" s="396"/>
      <c r="AH986" s="396"/>
      <c r="AI986" s="396"/>
      <c r="AJ986" s="396"/>
      <c r="AK986" s="396"/>
      <c r="AL986" s="396"/>
      <c r="AM986" s="396"/>
      <c r="AN986" s="396"/>
      <c r="AO986" s="396"/>
      <c r="AP986" s="396"/>
      <c r="AQ986" s="396"/>
      <c r="AR986" s="192"/>
      <c r="AS986" s="304"/>
    </row>
    <row r="987" spans="1:47" ht="15.75" customHeight="1" thickBot="1" x14ac:dyDescent="0.35">
      <c r="B987" s="401" t="s">
        <v>729</v>
      </c>
      <c r="C987" s="402"/>
      <c r="D987" s="402"/>
      <c r="E987" s="402"/>
      <c r="F987" s="402"/>
      <c r="G987" s="402"/>
      <c r="H987" s="402"/>
      <c r="I987" s="402"/>
      <c r="J987" s="402"/>
      <c r="K987" s="402"/>
      <c r="L987" s="402"/>
      <c r="M987" s="402"/>
      <c r="N987" s="402"/>
      <c r="O987" s="402"/>
      <c r="P987" s="402"/>
      <c r="Q987" s="180"/>
      <c r="R987" s="180"/>
      <c r="S987" s="195"/>
      <c r="V987" s="304"/>
      <c r="AC987" s="95"/>
      <c r="AD987" s="394" t="s">
        <v>670</v>
      </c>
      <c r="AE987" s="397"/>
      <c r="AF987" s="397"/>
      <c r="AG987" s="397"/>
      <c r="AH987" s="397"/>
      <c r="AI987" s="397"/>
      <c r="AJ987" s="397"/>
      <c r="AK987" s="397"/>
      <c r="AL987" s="397"/>
      <c r="AM987" s="397"/>
      <c r="AN987" s="397"/>
      <c r="AO987" s="397"/>
      <c r="AP987" s="397"/>
      <c r="AQ987" s="397"/>
      <c r="AS987" s="304"/>
    </row>
    <row r="988" spans="1:47" ht="15.75" customHeight="1" thickBot="1" x14ac:dyDescent="0.35">
      <c r="A988" s="222"/>
      <c r="B988" s="403" t="s">
        <v>730</v>
      </c>
      <c r="C988" s="404"/>
      <c r="D988" s="404"/>
      <c r="E988" s="404"/>
      <c r="F988" s="405"/>
      <c r="G988" s="403" t="s">
        <v>731</v>
      </c>
      <c r="H988" s="404"/>
      <c r="I988" s="404"/>
      <c r="J988" s="404"/>
      <c r="K988" s="404"/>
      <c r="L988" s="404"/>
      <c r="M988" s="406" t="s">
        <v>732</v>
      </c>
      <c r="N988" s="429"/>
      <c r="O988" s="429"/>
      <c r="P988" s="429"/>
      <c r="Q988" s="429"/>
      <c r="R988" s="430"/>
      <c r="S988" s="403" t="s">
        <v>733</v>
      </c>
      <c r="T988" s="431"/>
      <c r="U988" s="432"/>
      <c r="V988" s="304"/>
      <c r="AC988" s="95"/>
      <c r="AS988" s="304"/>
    </row>
    <row r="989" spans="1:47" ht="15.75" customHeight="1" x14ac:dyDescent="0.3">
      <c r="A989" s="222"/>
      <c r="B989" s="189" t="s">
        <v>639</v>
      </c>
      <c r="C989" s="182"/>
      <c r="D989" s="182" t="s">
        <v>734</v>
      </c>
      <c r="E989" s="182" t="s">
        <v>735</v>
      </c>
      <c r="F989" s="307" t="s">
        <v>736</v>
      </c>
      <c r="G989" s="189" t="s">
        <v>737</v>
      </c>
      <c r="H989" s="182"/>
      <c r="I989" s="182"/>
      <c r="J989" s="182" t="s">
        <v>738</v>
      </c>
      <c r="K989" s="182" t="s">
        <v>739</v>
      </c>
      <c r="L989" s="182" t="s">
        <v>740</v>
      </c>
      <c r="M989" s="446" t="s">
        <v>741</v>
      </c>
      <c r="N989" s="447"/>
      <c r="O989" s="448"/>
      <c r="P989" s="226"/>
      <c r="Q989" s="227"/>
      <c r="R989" s="225"/>
      <c r="S989" s="182" t="s">
        <v>742</v>
      </c>
      <c r="T989" s="228" t="s">
        <v>743</v>
      </c>
      <c r="U989" s="308" t="s">
        <v>744</v>
      </c>
      <c r="V989" s="304"/>
      <c r="AC989" s="95"/>
      <c r="AD989" s="395">
        <f>$A$5</f>
        <v>2019</v>
      </c>
      <c r="AE989" s="397"/>
      <c r="AF989" s="397"/>
      <c r="AG989" s="397"/>
      <c r="AH989" s="397"/>
      <c r="AI989" s="397"/>
      <c r="AJ989" s="397"/>
      <c r="AK989" s="397"/>
      <c r="AL989" s="397"/>
      <c r="AM989" s="397"/>
      <c r="AN989" s="397"/>
      <c r="AO989" s="397"/>
      <c r="AP989" s="397"/>
      <c r="AQ989" s="397"/>
      <c r="AS989" s="304"/>
    </row>
    <row r="990" spans="1:47" ht="15.75" customHeight="1" x14ac:dyDescent="0.3">
      <c r="A990" s="222"/>
      <c r="B990" s="230" t="s">
        <v>745</v>
      </c>
      <c r="C990" s="231" t="s">
        <v>746</v>
      </c>
      <c r="D990" s="231" t="s">
        <v>747</v>
      </c>
      <c r="E990" s="182" t="s">
        <v>658</v>
      </c>
      <c r="F990" s="309" t="s">
        <v>748</v>
      </c>
      <c r="G990" s="189" t="s">
        <v>640</v>
      </c>
      <c r="H990" s="182" t="s">
        <v>749</v>
      </c>
      <c r="I990" s="182" t="s">
        <v>750</v>
      </c>
      <c r="J990" s="231" t="s">
        <v>751</v>
      </c>
      <c r="K990" s="182" t="s">
        <v>723</v>
      </c>
      <c r="L990" s="231" t="s">
        <v>752</v>
      </c>
      <c r="M990" s="233" t="s">
        <v>753</v>
      </c>
      <c r="N990" s="226" t="s">
        <v>754</v>
      </c>
      <c r="O990" s="310" t="s">
        <v>641</v>
      </c>
      <c r="P990" s="226" t="s">
        <v>755</v>
      </c>
      <c r="Q990" s="226" t="s">
        <v>755</v>
      </c>
      <c r="R990" s="310" t="s">
        <v>756</v>
      </c>
      <c r="S990" s="182" t="s">
        <v>757</v>
      </c>
      <c r="T990" s="182" t="s">
        <v>758</v>
      </c>
      <c r="U990" s="307" t="s">
        <v>759</v>
      </c>
      <c r="V990" s="304"/>
      <c r="AC990" s="95"/>
      <c r="AD990" s="394" t="s">
        <v>717</v>
      </c>
      <c r="AE990" s="396"/>
      <c r="AF990" s="396"/>
      <c r="AG990" s="396"/>
      <c r="AH990" s="396"/>
      <c r="AI990" s="396"/>
      <c r="AJ990" s="396"/>
      <c r="AK990" s="396"/>
      <c r="AL990" s="396"/>
      <c r="AM990" s="396"/>
      <c r="AN990" s="396"/>
      <c r="AO990" s="396"/>
      <c r="AP990" s="396"/>
      <c r="AQ990" s="396"/>
      <c r="AR990" s="182"/>
      <c r="AS990" s="304"/>
    </row>
    <row r="991" spans="1:47" ht="15.75" customHeight="1" x14ac:dyDescent="0.3">
      <c r="A991" s="222"/>
      <c r="B991" s="235" t="s">
        <v>760</v>
      </c>
      <c r="C991" s="215">
        <v>0</v>
      </c>
      <c r="D991" s="215"/>
      <c r="E991" s="182" t="s">
        <v>761</v>
      </c>
      <c r="F991" s="311" t="s">
        <v>762</v>
      </c>
      <c r="G991" s="189" t="s">
        <v>763</v>
      </c>
      <c r="H991" s="182" t="s">
        <v>658</v>
      </c>
      <c r="I991" s="182" t="s">
        <v>658</v>
      </c>
      <c r="J991" s="182" t="s">
        <v>658</v>
      </c>
      <c r="K991" s="182" t="s">
        <v>743</v>
      </c>
      <c r="L991" s="182" t="s">
        <v>764</v>
      </c>
      <c r="M991" s="237" t="s">
        <v>648</v>
      </c>
      <c r="N991" s="227" t="s">
        <v>765</v>
      </c>
      <c r="O991" s="310" t="s">
        <v>766</v>
      </c>
      <c r="P991" s="227" t="s">
        <v>767</v>
      </c>
      <c r="Q991" s="226" t="s">
        <v>767</v>
      </c>
      <c r="R991" s="310" t="s">
        <v>766</v>
      </c>
      <c r="S991" s="182" t="s">
        <v>658</v>
      </c>
      <c r="T991" s="182" t="s">
        <v>658</v>
      </c>
      <c r="U991" s="307" t="s">
        <v>658</v>
      </c>
      <c r="V991" s="304"/>
      <c r="AC991" s="95"/>
      <c r="AK991" s="190"/>
      <c r="AS991" s="304"/>
    </row>
    <row r="992" spans="1:47" ht="15.75" customHeight="1" thickBot="1" x14ac:dyDescent="0.35">
      <c r="A992" s="213" t="s">
        <v>768</v>
      </c>
      <c r="B992" s="189" t="s">
        <v>705</v>
      </c>
      <c r="C992" s="182" t="s">
        <v>705</v>
      </c>
      <c r="D992" s="182" t="s">
        <v>705</v>
      </c>
      <c r="E992" s="182" t="s">
        <v>705</v>
      </c>
      <c r="F992" s="307" t="s">
        <v>705</v>
      </c>
      <c r="G992" s="189" t="s">
        <v>705</v>
      </c>
      <c r="H992" s="182" t="s">
        <v>705</v>
      </c>
      <c r="I992" s="182" t="s">
        <v>705</v>
      </c>
      <c r="J992" s="182" t="s">
        <v>705</v>
      </c>
      <c r="K992" s="182" t="s">
        <v>705</v>
      </c>
      <c r="L992" s="182" t="s">
        <v>705</v>
      </c>
      <c r="M992" s="237" t="s">
        <v>705</v>
      </c>
      <c r="N992" s="227" t="s">
        <v>705</v>
      </c>
      <c r="O992" s="310" t="s">
        <v>705</v>
      </c>
      <c r="P992" s="227" t="s">
        <v>365</v>
      </c>
      <c r="Q992" s="226" t="s">
        <v>705</v>
      </c>
      <c r="R992" s="310" t="s">
        <v>705</v>
      </c>
      <c r="S992" s="182" t="s">
        <v>705</v>
      </c>
      <c r="T992" s="182" t="s">
        <v>705</v>
      </c>
      <c r="U992" s="307" t="s">
        <v>705</v>
      </c>
      <c r="V992" s="304"/>
      <c r="AC992" s="95"/>
      <c r="AD992" s="191" t="s">
        <v>677</v>
      </c>
      <c r="AE992" s="191" t="s">
        <v>678</v>
      </c>
      <c r="AF992" s="191" t="s">
        <v>679</v>
      </c>
      <c r="AG992" s="191" t="s">
        <v>680</v>
      </c>
      <c r="AH992" s="191" t="s">
        <v>644</v>
      </c>
      <c r="AI992" s="191" t="s">
        <v>681</v>
      </c>
      <c r="AJ992" s="191" t="s">
        <v>682</v>
      </c>
      <c r="AK992" s="191" t="s">
        <v>683</v>
      </c>
      <c r="AL992" s="191" t="s">
        <v>684</v>
      </c>
      <c r="AM992" s="191" t="s">
        <v>685</v>
      </c>
      <c r="AN992" s="191" t="s">
        <v>686</v>
      </c>
      <c r="AO992" s="191" t="s">
        <v>687</v>
      </c>
      <c r="AP992" s="191" t="s">
        <v>688</v>
      </c>
      <c r="AQ992" s="191" t="s">
        <v>689</v>
      </c>
      <c r="AR992" s="191" t="s">
        <v>638</v>
      </c>
      <c r="AS992" s="209" t="s">
        <v>641</v>
      </c>
    </row>
    <row r="993" spans="1:45" ht="15.75" customHeight="1" x14ac:dyDescent="0.3">
      <c r="A993" s="213" t="s">
        <v>666</v>
      </c>
      <c r="B993" s="189" t="s">
        <v>666</v>
      </c>
      <c r="C993" s="182" t="s">
        <v>666</v>
      </c>
      <c r="D993" s="182" t="s">
        <v>666</v>
      </c>
      <c r="E993" s="182" t="s">
        <v>769</v>
      </c>
      <c r="F993" s="307" t="s">
        <v>666</v>
      </c>
      <c r="G993" s="189" t="s">
        <v>666</v>
      </c>
      <c r="H993" s="182" t="s">
        <v>770</v>
      </c>
      <c r="I993" s="182" t="s">
        <v>770</v>
      </c>
      <c r="J993" s="182" t="s">
        <v>666</v>
      </c>
      <c r="K993" s="182" t="s">
        <v>666</v>
      </c>
      <c r="L993" s="182" t="s">
        <v>666</v>
      </c>
      <c r="M993" s="237" t="s">
        <v>666</v>
      </c>
      <c r="N993" s="227" t="s">
        <v>666</v>
      </c>
      <c r="O993" s="310" t="s">
        <v>666</v>
      </c>
      <c r="P993" s="237" t="s">
        <v>666</v>
      </c>
      <c r="Q993" s="227" t="s">
        <v>666</v>
      </c>
      <c r="R993" s="310" t="s">
        <v>666</v>
      </c>
      <c r="S993" s="182" t="s">
        <v>666</v>
      </c>
      <c r="T993" s="182" t="s">
        <v>666</v>
      </c>
      <c r="U993" s="307" t="s">
        <v>666</v>
      </c>
      <c r="V993" s="304"/>
      <c r="AC993" s="95"/>
      <c r="AD993" s="180"/>
      <c r="AE993" s="180"/>
      <c r="AF993" s="180"/>
      <c r="AG993" s="180"/>
      <c r="AH993" s="182" t="s">
        <v>718</v>
      </c>
      <c r="AI993" s="180"/>
      <c r="AJ993" s="180"/>
      <c r="AK993" s="180"/>
      <c r="AL993" s="180"/>
      <c r="AM993" s="180"/>
      <c r="AN993" s="180"/>
      <c r="AO993" s="180"/>
      <c r="AP993" s="180"/>
      <c r="AQ993" s="180"/>
      <c r="AR993" s="180"/>
      <c r="AS993" s="210"/>
    </row>
    <row r="994" spans="1:45" ht="15.75" customHeight="1" x14ac:dyDescent="0.3">
      <c r="A994" s="192" t="s">
        <v>8</v>
      </c>
      <c r="B994" s="189">
        <f>ROUND(R966-G966,0)</f>
        <v>164166</v>
      </c>
      <c r="C994" s="182">
        <f>+ROUND(B994*$C$991,0)</f>
        <v>0</v>
      </c>
      <c r="D994" s="182">
        <f>AS966</f>
        <v>6747</v>
      </c>
      <c r="E994" s="182">
        <f>+B994+C994</f>
        <v>164166</v>
      </c>
      <c r="F994" s="307">
        <f>(D994+E994)</f>
        <v>170913</v>
      </c>
      <c r="G994" s="189">
        <f>ABS(G966)</f>
        <v>4211.6394496824669</v>
      </c>
      <c r="H994" s="238">
        <v>9026</v>
      </c>
      <c r="I994" s="238">
        <v>0</v>
      </c>
      <c r="J994" s="182">
        <f>(H994+I994)</f>
        <v>9026</v>
      </c>
      <c r="K994" s="238">
        <v>0</v>
      </c>
      <c r="L994" s="238">
        <v>0</v>
      </c>
      <c r="M994" s="239">
        <f>D994+E994-G994-J994-K994-L994</f>
        <v>157675.36055031753</v>
      </c>
      <c r="N994" s="240">
        <v>0</v>
      </c>
      <c r="O994" s="310">
        <f>M994+N994</f>
        <v>157675.36055031753</v>
      </c>
      <c r="P994" s="241">
        <v>0.2</v>
      </c>
      <c r="Q994" s="227">
        <f>-O994*P994</f>
        <v>-31535.072110063509</v>
      </c>
      <c r="R994" s="310">
        <f>O994+Q994</f>
        <v>126140.28844025402</v>
      </c>
      <c r="S994" s="242">
        <f t="shared" ref="S994:S1005" si="359">(F994-G994-J994-K994-L994-R994)</f>
        <v>31535.072110063513</v>
      </c>
      <c r="T994" s="182">
        <f>+IF(S994&gt;=0,ABS(S994),"")</f>
        <v>31535.072110063513</v>
      </c>
      <c r="U994" s="307" t="str">
        <f>+IF(S994&lt;=0,ABS(S994),"")</f>
        <v/>
      </c>
      <c r="V994" s="304"/>
      <c r="AC994" s="211" t="s">
        <v>771</v>
      </c>
      <c r="AD994" s="212"/>
      <c r="AE994" s="212"/>
      <c r="AF994" s="212"/>
      <c r="AG994" s="212"/>
      <c r="AH994" s="212">
        <v>1.6E-2</v>
      </c>
      <c r="AI994" s="212">
        <v>1.6E-2</v>
      </c>
      <c r="AJ994" s="212">
        <v>1.6E-2</v>
      </c>
      <c r="AK994" s="212">
        <v>1.6E-2</v>
      </c>
      <c r="AL994" s="212">
        <v>1.6E-2</v>
      </c>
      <c r="AM994" s="212">
        <v>1.6E-2</v>
      </c>
      <c r="AN994" s="212">
        <v>1.6E-2</v>
      </c>
      <c r="AO994" s="212">
        <v>1.6E-2</v>
      </c>
      <c r="AP994" s="212">
        <v>1.6E-2</v>
      </c>
      <c r="AQ994" s="212">
        <v>1.6E-2</v>
      </c>
      <c r="AR994" s="212">
        <v>1.6E-2</v>
      </c>
      <c r="AS994" s="213"/>
    </row>
    <row r="995" spans="1:45" ht="15.75" customHeight="1" x14ac:dyDescent="0.3">
      <c r="A995" s="192" t="s">
        <v>9</v>
      </c>
      <c r="B995" s="189">
        <f>ROUND(R967-G967,0)</f>
        <v>281680</v>
      </c>
      <c r="C995" s="182">
        <f t="shared" ref="C995:C1005" si="360">+ROUND(B995*$C$991,0)</f>
        <v>0</v>
      </c>
      <c r="D995" s="182">
        <f t="shared" ref="D995:D1005" si="361">AS967</f>
        <v>11911</v>
      </c>
      <c r="E995" s="182">
        <f t="shared" ref="E995:E1007" si="362">+B995+C995</f>
        <v>281680</v>
      </c>
      <c r="F995" s="307">
        <f t="shared" ref="F995:F1005" si="363">(D995+E995)</f>
        <v>293591</v>
      </c>
      <c r="G995" s="189">
        <f t="shared" ref="G995:G1005" si="364">ABS(G967)</f>
        <v>0</v>
      </c>
      <c r="H995" s="238">
        <v>10267</v>
      </c>
      <c r="I995" s="238">
        <v>0</v>
      </c>
      <c r="J995" s="182">
        <f t="shared" ref="J995:J1004" si="365">(H995+I995)</f>
        <v>10267</v>
      </c>
      <c r="K995" s="238">
        <v>0</v>
      </c>
      <c r="L995" s="238">
        <v>0</v>
      </c>
      <c r="M995" s="239">
        <f t="shared" ref="M995:M1005" si="366">D995+E995-G995-J995-K995-L995</f>
        <v>283324</v>
      </c>
      <c r="N995" s="240">
        <v>0</v>
      </c>
      <c r="O995" s="310">
        <f t="shared" ref="O995:O1005" si="367">M995+N995</f>
        <v>283324</v>
      </c>
      <c r="P995" s="241">
        <v>0.25</v>
      </c>
      <c r="Q995" s="227">
        <f t="shared" ref="Q995:Q1005" si="368">-O995*P995</f>
        <v>-70831</v>
      </c>
      <c r="R995" s="310">
        <f t="shared" ref="R995:R1005" si="369">O995+Q995</f>
        <v>212493</v>
      </c>
      <c r="S995" s="242">
        <f t="shared" si="359"/>
        <v>70831</v>
      </c>
      <c r="T995" s="182">
        <f t="shared" ref="T995:T1005" si="370">+IF(S995&gt;=0,ABS(S995),"")</f>
        <v>70831</v>
      </c>
      <c r="U995" s="307" t="str">
        <f t="shared" ref="U995:U1005" si="371">+IF(S995&lt;=0,ABS(S995),"")</f>
        <v/>
      </c>
      <c r="V995" s="304"/>
      <c r="AC995" s="211" t="s">
        <v>720</v>
      </c>
      <c r="AD995" s="212"/>
      <c r="AE995" s="212"/>
      <c r="AF995" s="212"/>
      <c r="AG995" s="212"/>
      <c r="AH995" s="212"/>
      <c r="AI995" s="212"/>
      <c r="AJ995" s="212"/>
      <c r="AK995" s="212"/>
      <c r="AL995" s="212"/>
      <c r="AM995" s="212"/>
      <c r="AN995" s="212"/>
      <c r="AO995" s="212"/>
      <c r="AP995" s="212"/>
      <c r="AQ995" s="212"/>
      <c r="AR995" s="212"/>
      <c r="AS995" s="213"/>
    </row>
    <row r="996" spans="1:45" ht="15.75" customHeight="1" x14ac:dyDescent="0.3">
      <c r="A996" s="192" t="s">
        <v>10</v>
      </c>
      <c r="B996" s="189">
        <f t="shared" ref="B996:B1005" si="372">ROUND(R968-G968,0)</f>
        <v>307324</v>
      </c>
      <c r="C996" s="182">
        <f t="shared" si="360"/>
        <v>0</v>
      </c>
      <c r="D996" s="182">
        <f t="shared" si="361"/>
        <v>13212</v>
      </c>
      <c r="E996" s="182">
        <f t="shared" si="362"/>
        <v>307324</v>
      </c>
      <c r="F996" s="307">
        <f t="shared" si="363"/>
        <v>320536</v>
      </c>
      <c r="G996" s="189">
        <f t="shared" si="364"/>
        <v>0</v>
      </c>
      <c r="H996" s="238">
        <v>15833</v>
      </c>
      <c r="I996" s="238">
        <v>0</v>
      </c>
      <c r="J996" s="182">
        <f t="shared" si="365"/>
        <v>15833</v>
      </c>
      <c r="K996" s="238">
        <v>0</v>
      </c>
      <c r="L996" s="238">
        <v>0</v>
      </c>
      <c r="M996" s="239">
        <f t="shared" si="366"/>
        <v>304703</v>
      </c>
      <c r="N996" s="240">
        <v>0</v>
      </c>
      <c r="O996" s="310">
        <f t="shared" si="367"/>
        <v>304703</v>
      </c>
      <c r="P996" s="241">
        <v>0.3</v>
      </c>
      <c r="Q996" s="227">
        <f t="shared" si="368"/>
        <v>-91410.9</v>
      </c>
      <c r="R996" s="310">
        <f t="shared" si="369"/>
        <v>213292.1</v>
      </c>
      <c r="S996" s="242">
        <f t="shared" si="359"/>
        <v>91410.9</v>
      </c>
      <c r="T996" s="182">
        <f t="shared" si="370"/>
        <v>91410.9</v>
      </c>
      <c r="U996" s="307" t="str">
        <f t="shared" si="371"/>
        <v/>
      </c>
      <c r="V996" s="304"/>
      <c r="AC996" s="211" t="s">
        <v>721</v>
      </c>
      <c r="AD996" s="212"/>
      <c r="AE996" s="212"/>
      <c r="AF996" s="212"/>
      <c r="AG996" s="212"/>
      <c r="AH996" s="212"/>
      <c r="AI996" s="212"/>
      <c r="AJ996" s="212"/>
      <c r="AK996" s="212"/>
      <c r="AL996" s="212"/>
      <c r="AM996" s="212"/>
      <c r="AN996" s="212"/>
      <c r="AO996" s="212"/>
      <c r="AP996" s="212"/>
      <c r="AQ996" s="212"/>
      <c r="AR996" s="212"/>
      <c r="AS996" s="213"/>
    </row>
    <row r="997" spans="1:45" ht="15.75" customHeight="1" x14ac:dyDescent="0.3">
      <c r="A997" s="192" t="s">
        <v>12</v>
      </c>
      <c r="B997" s="189">
        <f t="shared" si="372"/>
        <v>294270</v>
      </c>
      <c r="C997" s="182">
        <f t="shared" si="360"/>
        <v>0</v>
      </c>
      <c r="D997" s="182">
        <f t="shared" si="361"/>
        <v>12986</v>
      </c>
      <c r="E997" s="182">
        <f t="shared" si="362"/>
        <v>294270</v>
      </c>
      <c r="F997" s="307">
        <f t="shared" si="363"/>
        <v>307256</v>
      </c>
      <c r="G997" s="189">
        <f t="shared" si="364"/>
        <v>0</v>
      </c>
      <c r="H997" s="238">
        <v>15927</v>
      </c>
      <c r="I997" s="238">
        <v>0</v>
      </c>
      <c r="J997" s="182">
        <f t="shared" si="365"/>
        <v>15927</v>
      </c>
      <c r="K997" s="238">
        <v>0</v>
      </c>
      <c r="L997" s="238">
        <v>0</v>
      </c>
      <c r="M997" s="239">
        <f t="shared" si="366"/>
        <v>291329</v>
      </c>
      <c r="N997" s="240">
        <v>-22320</v>
      </c>
      <c r="O997" s="310">
        <f t="shared" si="367"/>
        <v>269009</v>
      </c>
      <c r="P997" s="241">
        <v>0.35</v>
      </c>
      <c r="Q997" s="227">
        <f t="shared" si="368"/>
        <v>-94153.15</v>
      </c>
      <c r="R997" s="310">
        <f t="shared" si="369"/>
        <v>174855.85</v>
      </c>
      <c r="S997" s="242">
        <f t="shared" si="359"/>
        <v>116473.15</v>
      </c>
      <c r="T997" s="182">
        <f t="shared" si="370"/>
        <v>116473.15</v>
      </c>
      <c r="U997" s="307" t="str">
        <f t="shared" si="371"/>
        <v/>
      </c>
      <c r="V997" s="304"/>
      <c r="AC997" s="211" t="s">
        <v>137</v>
      </c>
      <c r="AD997" s="212"/>
      <c r="AE997" s="212"/>
      <c r="AF997" s="212"/>
      <c r="AG997" s="212"/>
      <c r="AH997" s="212"/>
      <c r="AI997" s="212"/>
      <c r="AJ997" s="212"/>
      <c r="AK997" s="212"/>
      <c r="AL997" s="212"/>
      <c r="AM997" s="212"/>
      <c r="AN997" s="212"/>
      <c r="AO997" s="212"/>
      <c r="AP997" s="212"/>
      <c r="AQ997" s="212"/>
      <c r="AR997" s="212"/>
      <c r="AS997" s="213"/>
    </row>
    <row r="998" spans="1:45" ht="15.75" customHeight="1" x14ac:dyDescent="0.3">
      <c r="A998" s="192" t="s">
        <v>13</v>
      </c>
      <c r="B998" s="189">
        <f t="shared" si="372"/>
        <v>304656</v>
      </c>
      <c r="C998" s="182">
        <f t="shared" si="360"/>
        <v>0</v>
      </c>
      <c r="D998" s="182">
        <f t="shared" si="361"/>
        <v>13506</v>
      </c>
      <c r="E998" s="182">
        <f t="shared" si="362"/>
        <v>304656</v>
      </c>
      <c r="F998" s="307">
        <f t="shared" si="363"/>
        <v>318162</v>
      </c>
      <c r="G998" s="189">
        <f t="shared" si="364"/>
        <v>898.3741369631914</v>
      </c>
      <c r="H998" s="238">
        <v>14250</v>
      </c>
      <c r="I998" s="238">
        <v>0</v>
      </c>
      <c r="J998" s="182">
        <f t="shared" si="365"/>
        <v>14250</v>
      </c>
      <c r="K998" s="238">
        <v>0</v>
      </c>
      <c r="L998" s="238">
        <v>0</v>
      </c>
      <c r="M998" s="239">
        <f t="shared" si="366"/>
        <v>303013.62586303678</v>
      </c>
      <c r="N998" s="240">
        <v>0</v>
      </c>
      <c r="O998" s="310">
        <f t="shared" si="367"/>
        <v>303013.62586303678</v>
      </c>
      <c r="P998" s="241">
        <v>0.35</v>
      </c>
      <c r="Q998" s="227">
        <f t="shared" si="368"/>
        <v>-106054.76905206287</v>
      </c>
      <c r="R998" s="310">
        <f t="shared" si="369"/>
        <v>196958.8568109739</v>
      </c>
      <c r="S998" s="242">
        <f t="shared" si="359"/>
        <v>106054.76905206288</v>
      </c>
      <c r="T998" s="182">
        <f t="shared" si="370"/>
        <v>106054.76905206288</v>
      </c>
      <c r="U998" s="307" t="str">
        <f t="shared" si="371"/>
        <v/>
      </c>
      <c r="V998" s="304"/>
      <c r="AC998" s="211" t="s">
        <v>772</v>
      </c>
      <c r="AD998" s="212"/>
      <c r="AE998" s="212"/>
      <c r="AF998" s="212"/>
      <c r="AG998" s="212"/>
      <c r="AH998" s="212"/>
      <c r="AI998" s="212"/>
      <c r="AJ998" s="212">
        <v>2.5000000000000001E-2</v>
      </c>
      <c r="AK998" s="212">
        <v>2.5000000000000001E-2</v>
      </c>
      <c r="AL998" s="212">
        <v>2.5000000000000001E-2</v>
      </c>
      <c r="AM998" s="212">
        <v>2.5000000000000001E-2</v>
      </c>
      <c r="AN998" s="212">
        <v>2.5000000000000001E-2</v>
      </c>
      <c r="AO998" s="212">
        <v>2.5000000000000001E-2</v>
      </c>
      <c r="AP998" s="212">
        <v>2.5000000000000001E-2</v>
      </c>
      <c r="AQ998" s="212">
        <v>2.5000000000000001E-2</v>
      </c>
      <c r="AR998" s="212">
        <v>2.5000000000000001E-2</v>
      </c>
      <c r="AS998" s="213"/>
    </row>
    <row r="999" spans="1:45" ht="15.75" customHeight="1" x14ac:dyDescent="0.3">
      <c r="A999" s="192" t="s">
        <v>14</v>
      </c>
      <c r="B999" s="189">
        <f>ROUND(R971-G971,0)</f>
        <v>149888</v>
      </c>
      <c r="C999" s="182">
        <f t="shared" si="360"/>
        <v>0</v>
      </c>
      <c r="D999" s="182">
        <f t="shared" si="361"/>
        <v>6242</v>
      </c>
      <c r="E999" s="182">
        <f t="shared" si="362"/>
        <v>149888</v>
      </c>
      <c r="F999" s="307">
        <f t="shared" si="363"/>
        <v>156130</v>
      </c>
      <c r="G999" s="189">
        <f t="shared" si="364"/>
        <v>13904.804213357216</v>
      </c>
      <c r="H999" s="238">
        <v>12696</v>
      </c>
      <c r="I999" s="238">
        <v>0</v>
      </c>
      <c r="J999" s="182">
        <f t="shared" si="365"/>
        <v>12696</v>
      </c>
      <c r="K999" s="238">
        <v>0</v>
      </c>
      <c r="L999" s="238">
        <v>0</v>
      </c>
      <c r="M999" s="239">
        <f t="shared" si="366"/>
        <v>129529.19578664278</v>
      </c>
      <c r="N999" s="240">
        <v>47280</v>
      </c>
      <c r="O999" s="310">
        <f t="shared" si="367"/>
        <v>176809.19578664278</v>
      </c>
      <c r="P999" s="241">
        <v>7.4999999999999997E-2</v>
      </c>
      <c r="Q999" s="227">
        <f t="shared" si="368"/>
        <v>-13260.689683998209</v>
      </c>
      <c r="R999" s="310">
        <f t="shared" si="369"/>
        <v>163548.50610264458</v>
      </c>
      <c r="S999" s="242">
        <f t="shared" si="359"/>
        <v>-34019.310316001793</v>
      </c>
      <c r="T999" s="182" t="str">
        <f t="shared" si="370"/>
        <v/>
      </c>
      <c r="U999" s="307">
        <f t="shared" si="371"/>
        <v>34019.310316001793</v>
      </c>
      <c r="V999" s="304"/>
      <c r="AC999" s="211" t="s">
        <v>641</v>
      </c>
      <c r="AD999" s="215">
        <f>SUM(AD994:AD998)</f>
        <v>0</v>
      </c>
      <c r="AE999" s="215">
        <f t="shared" ref="AE999:AR999" si="373">SUM(AE994:AE998)</f>
        <v>0</v>
      </c>
      <c r="AF999" s="215">
        <f t="shared" si="373"/>
        <v>0</v>
      </c>
      <c r="AG999" s="215">
        <f t="shared" si="373"/>
        <v>0</v>
      </c>
      <c r="AH999" s="215">
        <f t="shared" si="373"/>
        <v>1.6E-2</v>
      </c>
      <c r="AI999" s="215">
        <f t="shared" si="373"/>
        <v>1.6E-2</v>
      </c>
      <c r="AJ999" s="215">
        <f t="shared" si="373"/>
        <v>4.1000000000000002E-2</v>
      </c>
      <c r="AK999" s="215">
        <f t="shared" si="373"/>
        <v>4.1000000000000002E-2</v>
      </c>
      <c r="AL999" s="215">
        <f t="shared" si="373"/>
        <v>4.1000000000000002E-2</v>
      </c>
      <c r="AM999" s="215">
        <f t="shared" si="373"/>
        <v>4.1000000000000002E-2</v>
      </c>
      <c r="AN999" s="215">
        <f t="shared" si="373"/>
        <v>4.1000000000000002E-2</v>
      </c>
      <c r="AO999" s="215">
        <f t="shared" si="373"/>
        <v>4.1000000000000002E-2</v>
      </c>
      <c r="AP999" s="215">
        <f t="shared" si="373"/>
        <v>4.1000000000000002E-2</v>
      </c>
      <c r="AQ999" s="215">
        <f t="shared" si="373"/>
        <v>4.1000000000000002E-2</v>
      </c>
      <c r="AR999" s="215">
        <f t="shared" si="373"/>
        <v>4.1000000000000002E-2</v>
      </c>
      <c r="AS999" s="213"/>
    </row>
    <row r="1000" spans="1:45" ht="15.75" customHeight="1" x14ac:dyDescent="0.3">
      <c r="A1000" s="192" t="s">
        <v>16</v>
      </c>
      <c r="B1000" s="189">
        <f t="shared" si="372"/>
        <v>154424</v>
      </c>
      <c r="C1000" s="182">
        <f t="shared" si="360"/>
        <v>0</v>
      </c>
      <c r="D1000" s="182">
        <f t="shared" si="361"/>
        <v>6432</v>
      </c>
      <c r="E1000" s="182">
        <f t="shared" si="362"/>
        <v>154424</v>
      </c>
      <c r="F1000" s="307">
        <f t="shared" si="363"/>
        <v>160856</v>
      </c>
      <c r="G1000" s="189">
        <f t="shared" si="364"/>
        <v>11607.377473471804</v>
      </c>
      <c r="H1000" s="238">
        <v>11620</v>
      </c>
      <c r="I1000" s="238">
        <v>0</v>
      </c>
      <c r="J1000" s="182">
        <f t="shared" si="365"/>
        <v>11620</v>
      </c>
      <c r="K1000" s="238">
        <v>0</v>
      </c>
      <c r="L1000" s="238">
        <v>0</v>
      </c>
      <c r="M1000" s="239">
        <f t="shared" si="366"/>
        <v>137628.6225265282</v>
      </c>
      <c r="N1000" s="240">
        <v>47120</v>
      </c>
      <c r="O1000" s="310">
        <f t="shared" si="367"/>
        <v>184748.6225265282</v>
      </c>
      <c r="P1000" s="241">
        <v>0.05</v>
      </c>
      <c r="Q1000" s="227">
        <f t="shared" si="368"/>
        <v>-9237.4311263264099</v>
      </c>
      <c r="R1000" s="310">
        <f t="shared" si="369"/>
        <v>175511.19140020179</v>
      </c>
      <c r="S1000" s="242">
        <f t="shared" si="359"/>
        <v>-37882.56887367359</v>
      </c>
      <c r="T1000" s="182" t="str">
        <f t="shared" si="370"/>
        <v/>
      </c>
      <c r="U1000" s="307">
        <f t="shared" si="371"/>
        <v>37882.56887367359</v>
      </c>
      <c r="V1000" s="304"/>
      <c r="AC1000" s="189" t="s">
        <v>666</v>
      </c>
      <c r="AD1000" s="182" t="s">
        <v>666</v>
      </c>
      <c r="AE1000" s="182" t="s">
        <v>666</v>
      </c>
      <c r="AF1000" s="182" t="s">
        <v>666</v>
      </c>
      <c r="AG1000" s="182" t="s">
        <v>666</v>
      </c>
      <c r="AH1000" s="182" t="s">
        <v>666</v>
      </c>
      <c r="AI1000" s="182" t="s">
        <v>666</v>
      </c>
      <c r="AJ1000" s="182" t="s">
        <v>666</v>
      </c>
      <c r="AK1000" s="182" t="s">
        <v>666</v>
      </c>
      <c r="AL1000" s="182" t="s">
        <v>666</v>
      </c>
      <c r="AM1000" s="182" t="s">
        <v>666</v>
      </c>
      <c r="AN1000" s="182" t="s">
        <v>666</v>
      </c>
      <c r="AO1000" s="182" t="s">
        <v>666</v>
      </c>
      <c r="AP1000" s="182" t="s">
        <v>666</v>
      </c>
      <c r="AQ1000" s="182" t="s">
        <v>666</v>
      </c>
      <c r="AR1000" s="182" t="s">
        <v>666</v>
      </c>
      <c r="AS1000" s="213" t="s">
        <v>666</v>
      </c>
    </row>
    <row r="1001" spans="1:45" ht="15.75" customHeight="1" x14ac:dyDescent="0.3">
      <c r="A1001" s="192" t="s">
        <v>17</v>
      </c>
      <c r="B1001" s="189">
        <f t="shared" si="372"/>
        <v>150100</v>
      </c>
      <c r="C1001" s="182">
        <f t="shared" si="360"/>
        <v>0</v>
      </c>
      <c r="D1001" s="182">
        <f t="shared" si="361"/>
        <v>6285</v>
      </c>
      <c r="E1001" s="182">
        <f t="shared" si="362"/>
        <v>150100</v>
      </c>
      <c r="F1001" s="307">
        <f t="shared" si="363"/>
        <v>156385</v>
      </c>
      <c r="G1001" s="189">
        <f t="shared" si="364"/>
        <v>8438.4505743147456</v>
      </c>
      <c r="H1001" s="238">
        <v>10241</v>
      </c>
      <c r="I1001" s="238">
        <v>0</v>
      </c>
      <c r="J1001" s="182">
        <f t="shared" si="365"/>
        <v>10241</v>
      </c>
      <c r="K1001" s="238">
        <v>0</v>
      </c>
      <c r="L1001" s="238">
        <v>0</v>
      </c>
      <c r="M1001" s="239">
        <f t="shared" si="366"/>
        <v>137705.54942568525</v>
      </c>
      <c r="N1001" s="240">
        <v>58776</v>
      </c>
      <c r="O1001" s="310">
        <f t="shared" si="367"/>
        <v>196481.54942568525</v>
      </c>
      <c r="P1001" s="241">
        <v>0</v>
      </c>
      <c r="Q1001" s="227">
        <f t="shared" si="368"/>
        <v>0</v>
      </c>
      <c r="R1001" s="310">
        <f t="shared" si="369"/>
        <v>196481.54942568525</v>
      </c>
      <c r="S1001" s="242">
        <f t="shared" si="359"/>
        <v>-58776</v>
      </c>
      <c r="T1001" s="182" t="str">
        <f t="shared" si="370"/>
        <v/>
      </c>
      <c r="U1001" s="307">
        <f t="shared" si="371"/>
        <v>58776</v>
      </c>
      <c r="V1001" s="304"/>
      <c r="AC1001" s="211" t="s">
        <v>8</v>
      </c>
      <c r="AD1001" s="180">
        <f>ROUND(B966*$AD$999, 0)</f>
        <v>0</v>
      </c>
      <c r="AE1001" s="180">
        <f>ROUND(C966*$AE$999,0)</f>
        <v>0</v>
      </c>
      <c r="AF1001" s="180">
        <f>ROUND(D966*$AF$999,0)</f>
        <v>0</v>
      </c>
      <c r="AG1001" s="180">
        <f>ROUND(E966*$AG$999,0)</f>
        <v>0</v>
      </c>
      <c r="AH1001" s="180">
        <f>ROUND(F966*$AH$999,0)</f>
        <v>167</v>
      </c>
      <c r="AI1001" s="180">
        <f>ROUND(H966*$AI$999,0)</f>
        <v>67</v>
      </c>
      <c r="AJ1001" s="180">
        <f>ROUND(I966*$AJ$999,0)</f>
        <v>121</v>
      </c>
      <c r="AK1001" s="180">
        <f>ROUND(J966*$AK$999,0)</f>
        <v>187</v>
      </c>
      <c r="AL1001" s="180">
        <f>ROUND(K966*$AL$999,0)</f>
        <v>193</v>
      </c>
      <c r="AM1001" s="180">
        <f>ROUND(L966*$AM$999,0)</f>
        <v>65</v>
      </c>
      <c r="AN1001" s="180">
        <f>ROUND(M966*$AN$999,0)</f>
        <v>76</v>
      </c>
      <c r="AO1001" s="180">
        <f>ROUND(N966*$AO$999,0)</f>
        <v>159</v>
      </c>
      <c r="AP1001" s="180">
        <f>ROUND(O966*$AP$999,0)</f>
        <v>37</v>
      </c>
      <c r="AQ1001" s="180">
        <f>ROUND(P966*$AQ$999,0)</f>
        <v>53</v>
      </c>
      <c r="AR1001" s="180">
        <f>ROUND(Q966*$AR$999,0)</f>
        <v>88</v>
      </c>
      <c r="AS1001" s="210">
        <f>SUM(AD1001:AR1001)</f>
        <v>1213</v>
      </c>
    </row>
    <row r="1002" spans="1:45" ht="15.75" customHeight="1" x14ac:dyDescent="0.3">
      <c r="A1002" s="192" t="s">
        <v>18</v>
      </c>
      <c r="B1002" s="189">
        <f t="shared" si="372"/>
        <v>252238</v>
      </c>
      <c r="C1002" s="182">
        <f t="shared" si="360"/>
        <v>0</v>
      </c>
      <c r="D1002" s="182">
        <f t="shared" si="361"/>
        <v>11089</v>
      </c>
      <c r="E1002" s="182">
        <f t="shared" si="362"/>
        <v>252238</v>
      </c>
      <c r="F1002" s="307">
        <f t="shared" si="363"/>
        <v>263327</v>
      </c>
      <c r="G1002" s="189">
        <f t="shared" si="364"/>
        <v>0</v>
      </c>
      <c r="H1002" s="238">
        <v>10229</v>
      </c>
      <c r="I1002" s="238">
        <v>0</v>
      </c>
      <c r="J1002" s="182">
        <f t="shared" si="365"/>
        <v>10229</v>
      </c>
      <c r="K1002" s="238">
        <v>0</v>
      </c>
      <c r="L1002" s="238">
        <v>0</v>
      </c>
      <c r="M1002" s="239">
        <f t="shared" si="366"/>
        <v>253098</v>
      </c>
      <c r="N1002" s="240">
        <v>0</v>
      </c>
      <c r="O1002" s="310">
        <f t="shared" si="367"/>
        <v>253098</v>
      </c>
      <c r="P1002" s="241">
        <v>0.05</v>
      </c>
      <c r="Q1002" s="227">
        <f t="shared" si="368"/>
        <v>-12654.900000000001</v>
      </c>
      <c r="R1002" s="310">
        <f t="shared" si="369"/>
        <v>240443.1</v>
      </c>
      <c r="S1002" s="242">
        <f t="shared" si="359"/>
        <v>12654.899999999994</v>
      </c>
      <c r="T1002" s="182">
        <f t="shared" si="370"/>
        <v>12654.899999999994</v>
      </c>
      <c r="U1002" s="307" t="str">
        <f t="shared" si="371"/>
        <v/>
      </c>
      <c r="V1002" s="304"/>
      <c r="AC1002" s="211" t="s">
        <v>9</v>
      </c>
      <c r="AD1002" s="180">
        <f t="shared" ref="AD1002:AD1012" si="374">ROUND(B967*$AD$999, 0)</f>
        <v>0</v>
      </c>
      <c r="AE1002" s="180">
        <f t="shared" ref="AE1002:AE1012" si="375">ROUND(C967*$AE$999,0)</f>
        <v>0</v>
      </c>
      <c r="AF1002" s="180">
        <f t="shared" ref="AF1002:AF1012" si="376">ROUND(D967*$AF$999,0)</f>
        <v>0</v>
      </c>
      <c r="AG1002" s="180">
        <f t="shared" ref="AG1002:AG1012" si="377">ROUND(E967*$AG$999,0)</f>
        <v>0</v>
      </c>
      <c r="AH1002" s="180">
        <f t="shared" ref="AH1002:AH1012" si="378">ROUND(F967*$AH$999,0)</f>
        <v>261</v>
      </c>
      <c r="AI1002" s="180">
        <f t="shared" ref="AI1002:AI1012" si="379">ROUND(H967*$AI$999,0)</f>
        <v>92</v>
      </c>
      <c r="AJ1002" s="180">
        <f t="shared" ref="AJ1002:AJ1012" si="380">ROUND(I967*$AJ$999,0)</f>
        <v>146</v>
      </c>
      <c r="AK1002" s="180">
        <f t="shared" ref="AK1002:AK1012" si="381">ROUND(J967*$AK$999,0)</f>
        <v>225</v>
      </c>
      <c r="AL1002" s="180">
        <f t="shared" ref="AL1002:AL1012" si="382">ROUND(K967*$AL$999,0)</f>
        <v>227</v>
      </c>
      <c r="AM1002" s="180">
        <f t="shared" ref="AM1002:AM1012" si="383">ROUND(L967*$AM$999,0)</f>
        <v>76</v>
      </c>
      <c r="AN1002" s="180">
        <f t="shared" ref="AN1002:AN1012" si="384">ROUND(M967*$AN$999,0)</f>
        <v>89</v>
      </c>
      <c r="AO1002" s="180">
        <f t="shared" ref="AO1002:AO1012" si="385">ROUND(N967*$AO$999,0)</f>
        <v>187</v>
      </c>
      <c r="AP1002" s="180">
        <f t="shared" ref="AP1002:AP1012" si="386">ROUND(O967*$AP$999,0)</f>
        <v>35</v>
      </c>
      <c r="AQ1002" s="180">
        <f t="shared" ref="AQ1002:AQ1012" si="387">ROUND(P967*$AQ$999,0)</f>
        <v>53</v>
      </c>
      <c r="AR1002" s="180">
        <f t="shared" ref="AR1002:AR1012" si="388">ROUND(Q967*$AR$999,0)</f>
        <v>83</v>
      </c>
      <c r="AS1002" s="210">
        <f t="shared" ref="AS1002:AS1012" si="389">SUM(AD1002:AR1002)</f>
        <v>1474</v>
      </c>
    </row>
    <row r="1003" spans="1:45" ht="15.75" customHeight="1" x14ac:dyDescent="0.3">
      <c r="A1003" s="192" t="s">
        <v>20</v>
      </c>
      <c r="B1003" s="189">
        <f t="shared" si="372"/>
        <v>240139</v>
      </c>
      <c r="C1003" s="182">
        <f t="shared" si="360"/>
        <v>0</v>
      </c>
      <c r="D1003" s="182">
        <f t="shared" si="361"/>
        <v>10455</v>
      </c>
      <c r="E1003" s="182">
        <f t="shared" si="362"/>
        <v>240139</v>
      </c>
      <c r="F1003" s="307">
        <f t="shared" si="363"/>
        <v>250594</v>
      </c>
      <c r="G1003" s="189">
        <f t="shared" si="364"/>
        <v>0</v>
      </c>
      <c r="H1003" s="238">
        <v>10104</v>
      </c>
      <c r="I1003" s="238">
        <v>0</v>
      </c>
      <c r="J1003" s="182">
        <f t="shared" si="365"/>
        <v>10104</v>
      </c>
      <c r="K1003" s="238">
        <v>0</v>
      </c>
      <c r="L1003" s="238">
        <v>0</v>
      </c>
      <c r="M1003" s="239">
        <f t="shared" si="366"/>
        <v>240490</v>
      </c>
      <c r="N1003" s="240">
        <v>0</v>
      </c>
      <c r="O1003" s="310">
        <f t="shared" si="367"/>
        <v>240490</v>
      </c>
      <c r="P1003" s="241">
        <v>0.2</v>
      </c>
      <c r="Q1003" s="227">
        <f t="shared" si="368"/>
        <v>-48098</v>
      </c>
      <c r="R1003" s="310">
        <f t="shared" si="369"/>
        <v>192392</v>
      </c>
      <c r="S1003" s="242">
        <f t="shared" si="359"/>
        <v>48098</v>
      </c>
      <c r="T1003" s="182">
        <f t="shared" si="370"/>
        <v>48098</v>
      </c>
      <c r="U1003" s="307" t="str">
        <f t="shared" si="371"/>
        <v/>
      </c>
      <c r="V1003" s="304"/>
      <c r="AC1003" s="211" t="s">
        <v>10</v>
      </c>
      <c r="AD1003" s="180">
        <f t="shared" si="374"/>
        <v>0</v>
      </c>
      <c r="AE1003" s="180">
        <f t="shared" si="375"/>
        <v>0</v>
      </c>
      <c r="AF1003" s="180">
        <f t="shared" si="376"/>
        <v>0</v>
      </c>
      <c r="AG1003" s="180">
        <f t="shared" si="377"/>
        <v>0</v>
      </c>
      <c r="AH1003" s="180">
        <f t="shared" si="378"/>
        <v>185</v>
      </c>
      <c r="AI1003" s="180">
        <f t="shared" si="379"/>
        <v>137</v>
      </c>
      <c r="AJ1003" s="180">
        <f t="shared" si="380"/>
        <v>201</v>
      </c>
      <c r="AK1003" s="180">
        <f t="shared" si="381"/>
        <v>278</v>
      </c>
      <c r="AL1003" s="180">
        <f t="shared" si="382"/>
        <v>261</v>
      </c>
      <c r="AM1003" s="180">
        <f t="shared" si="383"/>
        <v>82</v>
      </c>
      <c r="AN1003" s="180">
        <f t="shared" si="384"/>
        <v>97</v>
      </c>
      <c r="AO1003" s="180">
        <f t="shared" si="385"/>
        <v>200</v>
      </c>
      <c r="AP1003" s="180">
        <f t="shared" si="386"/>
        <v>36</v>
      </c>
      <c r="AQ1003" s="180">
        <f t="shared" si="387"/>
        <v>66</v>
      </c>
      <c r="AR1003" s="180">
        <f t="shared" si="388"/>
        <v>85</v>
      </c>
      <c r="AS1003" s="210">
        <f t="shared" si="389"/>
        <v>1628</v>
      </c>
    </row>
    <row r="1004" spans="1:45" ht="15.75" customHeight="1" x14ac:dyDescent="0.3">
      <c r="A1004" s="192" t="s">
        <v>21</v>
      </c>
      <c r="B1004" s="189">
        <f t="shared" si="372"/>
        <v>190795</v>
      </c>
      <c r="C1004" s="182">
        <f t="shared" si="360"/>
        <v>0</v>
      </c>
      <c r="D1004" s="182">
        <f t="shared" si="361"/>
        <v>8146</v>
      </c>
      <c r="E1004" s="182">
        <f t="shared" si="362"/>
        <v>190795</v>
      </c>
      <c r="F1004" s="307">
        <f t="shared" si="363"/>
        <v>198941</v>
      </c>
      <c r="G1004" s="189">
        <f t="shared" si="364"/>
        <v>0</v>
      </c>
      <c r="H1004" s="238">
        <v>10826</v>
      </c>
      <c r="I1004" s="238">
        <v>0</v>
      </c>
      <c r="J1004" s="182">
        <f t="shared" si="365"/>
        <v>10826</v>
      </c>
      <c r="K1004" s="238">
        <v>0</v>
      </c>
      <c r="L1004" s="238">
        <v>0</v>
      </c>
      <c r="M1004" s="239">
        <f t="shared" si="366"/>
        <v>188115</v>
      </c>
      <c r="N1004" s="240">
        <v>0</v>
      </c>
      <c r="O1004" s="310">
        <f t="shared" si="367"/>
        <v>188115</v>
      </c>
      <c r="P1004" s="241">
        <v>0.2</v>
      </c>
      <c r="Q1004" s="227">
        <f t="shared" si="368"/>
        <v>-37623</v>
      </c>
      <c r="R1004" s="310">
        <f t="shared" si="369"/>
        <v>150492</v>
      </c>
      <c r="S1004" s="242">
        <f t="shared" si="359"/>
        <v>37623</v>
      </c>
      <c r="T1004" s="182">
        <f t="shared" si="370"/>
        <v>37623</v>
      </c>
      <c r="U1004" s="307" t="str">
        <f t="shared" si="371"/>
        <v/>
      </c>
      <c r="V1004" s="304"/>
      <c r="AC1004" s="211" t="s">
        <v>12</v>
      </c>
      <c r="AD1004" s="180">
        <f t="shared" si="374"/>
        <v>0</v>
      </c>
      <c r="AE1004" s="180">
        <f t="shared" si="375"/>
        <v>0</v>
      </c>
      <c r="AF1004" s="180">
        <f t="shared" si="376"/>
        <v>0</v>
      </c>
      <c r="AG1004" s="180">
        <f t="shared" si="377"/>
        <v>0</v>
      </c>
      <c r="AH1004" s="180">
        <f t="shared" si="378"/>
        <v>27</v>
      </c>
      <c r="AI1004" s="180">
        <f t="shared" si="379"/>
        <v>174</v>
      </c>
      <c r="AJ1004" s="180">
        <f t="shared" si="380"/>
        <v>248</v>
      </c>
      <c r="AK1004" s="180">
        <f t="shared" si="381"/>
        <v>294</v>
      </c>
      <c r="AL1004" s="180">
        <f t="shared" si="382"/>
        <v>269</v>
      </c>
      <c r="AM1004" s="180">
        <f t="shared" si="383"/>
        <v>84</v>
      </c>
      <c r="AN1004" s="180">
        <f t="shared" si="384"/>
        <v>99</v>
      </c>
      <c r="AO1004" s="180">
        <f t="shared" si="385"/>
        <v>201</v>
      </c>
      <c r="AP1004" s="180">
        <f t="shared" si="386"/>
        <v>36</v>
      </c>
      <c r="AQ1004" s="180">
        <f t="shared" si="387"/>
        <v>80</v>
      </c>
      <c r="AR1004" s="180">
        <f t="shared" si="388"/>
        <v>85</v>
      </c>
      <c r="AS1004" s="210">
        <f t="shared" si="389"/>
        <v>1597</v>
      </c>
    </row>
    <row r="1005" spans="1:45" ht="15.75" customHeight="1" x14ac:dyDescent="0.3">
      <c r="A1005" s="192" t="s">
        <v>22</v>
      </c>
      <c r="B1005" s="189">
        <f t="shared" si="372"/>
        <v>204281</v>
      </c>
      <c r="C1005" s="182">
        <f t="shared" si="360"/>
        <v>0</v>
      </c>
      <c r="D1005" s="182">
        <f t="shared" si="361"/>
        <v>8658</v>
      </c>
      <c r="E1005" s="182">
        <f t="shared" si="362"/>
        <v>204281</v>
      </c>
      <c r="F1005" s="307">
        <f t="shared" si="363"/>
        <v>212939</v>
      </c>
      <c r="G1005" s="189">
        <f t="shared" si="364"/>
        <v>0</v>
      </c>
      <c r="H1005" s="238">
        <v>6676</v>
      </c>
      <c r="I1005" s="238">
        <v>0</v>
      </c>
      <c r="J1005" s="182">
        <f>(H1005+I1005)</f>
        <v>6676</v>
      </c>
      <c r="K1005" s="238">
        <v>0</v>
      </c>
      <c r="L1005" s="238">
        <v>0</v>
      </c>
      <c r="M1005" s="239">
        <f t="shared" si="366"/>
        <v>206263</v>
      </c>
      <c r="N1005" s="240">
        <v>0</v>
      </c>
      <c r="O1005" s="310">
        <f t="shared" si="367"/>
        <v>206263</v>
      </c>
      <c r="P1005" s="241">
        <v>0.2</v>
      </c>
      <c r="Q1005" s="227">
        <f t="shared" si="368"/>
        <v>-41252.600000000006</v>
      </c>
      <c r="R1005" s="310">
        <f t="shared" si="369"/>
        <v>165010.4</v>
      </c>
      <c r="S1005" s="242">
        <f t="shared" si="359"/>
        <v>41252.600000000006</v>
      </c>
      <c r="T1005" s="182">
        <f t="shared" si="370"/>
        <v>41252.600000000006</v>
      </c>
      <c r="U1005" s="307" t="str">
        <f t="shared" si="371"/>
        <v/>
      </c>
      <c r="V1005" s="304"/>
      <c r="AC1005" s="211" t="s">
        <v>13</v>
      </c>
      <c r="AD1005" s="180">
        <f t="shared" si="374"/>
        <v>0</v>
      </c>
      <c r="AE1005" s="180">
        <f t="shared" si="375"/>
        <v>0</v>
      </c>
      <c r="AF1005" s="180">
        <f t="shared" si="376"/>
        <v>0</v>
      </c>
      <c r="AG1005" s="180">
        <f t="shared" si="377"/>
        <v>0</v>
      </c>
      <c r="AH1005" s="180">
        <f t="shared" si="378"/>
        <v>0</v>
      </c>
      <c r="AI1005" s="180">
        <f t="shared" si="379"/>
        <v>199</v>
      </c>
      <c r="AJ1005" s="180">
        <f t="shared" si="380"/>
        <v>252</v>
      </c>
      <c r="AK1005" s="180">
        <f t="shared" si="381"/>
        <v>303</v>
      </c>
      <c r="AL1005" s="180">
        <f t="shared" si="382"/>
        <v>284</v>
      </c>
      <c r="AM1005" s="180">
        <f t="shared" si="383"/>
        <v>88</v>
      </c>
      <c r="AN1005" s="180">
        <f t="shared" si="384"/>
        <v>104</v>
      </c>
      <c r="AO1005" s="180">
        <f t="shared" si="385"/>
        <v>206</v>
      </c>
      <c r="AP1005" s="180">
        <f t="shared" si="386"/>
        <v>36</v>
      </c>
      <c r="AQ1005" s="180">
        <f t="shared" si="387"/>
        <v>93</v>
      </c>
      <c r="AR1005" s="180">
        <f t="shared" si="388"/>
        <v>86</v>
      </c>
      <c r="AS1005" s="210">
        <f t="shared" si="389"/>
        <v>1651</v>
      </c>
    </row>
    <row r="1006" spans="1:45" ht="15.75" customHeight="1" x14ac:dyDescent="0.3">
      <c r="A1006" s="213" t="s">
        <v>633</v>
      </c>
      <c r="B1006" s="189" t="s">
        <v>633</v>
      </c>
      <c r="C1006" s="182"/>
      <c r="D1006" s="182"/>
      <c r="E1006" s="182" t="s">
        <v>7</v>
      </c>
      <c r="F1006" s="307"/>
      <c r="G1006" s="189"/>
      <c r="H1006" s="182"/>
      <c r="I1006" s="182" t="s">
        <v>7</v>
      </c>
      <c r="J1006" s="182" t="s">
        <v>7</v>
      </c>
      <c r="K1006" s="243"/>
      <c r="L1006" s="182"/>
      <c r="M1006" s="239"/>
      <c r="N1006" s="240"/>
      <c r="O1006" s="310"/>
      <c r="P1006" s="241"/>
      <c r="Q1006" s="240"/>
      <c r="R1006" s="310"/>
      <c r="S1006" s="242"/>
      <c r="T1006" s="182"/>
      <c r="U1006" s="307"/>
      <c r="V1006" s="304"/>
      <c r="AC1006" s="211" t="s">
        <v>14</v>
      </c>
      <c r="AD1006" s="180">
        <f t="shared" si="374"/>
        <v>0</v>
      </c>
      <c r="AE1006" s="180">
        <f t="shared" si="375"/>
        <v>0</v>
      </c>
      <c r="AF1006" s="180">
        <f t="shared" si="376"/>
        <v>0</v>
      </c>
      <c r="AG1006" s="180">
        <f t="shared" si="377"/>
        <v>0</v>
      </c>
      <c r="AH1006" s="180">
        <f t="shared" si="378"/>
        <v>0</v>
      </c>
      <c r="AI1006" s="180">
        <f t="shared" si="379"/>
        <v>212</v>
      </c>
      <c r="AJ1006" s="180">
        <f t="shared" si="380"/>
        <v>265</v>
      </c>
      <c r="AK1006" s="180">
        <f t="shared" si="381"/>
        <v>303</v>
      </c>
      <c r="AL1006" s="180">
        <f t="shared" si="382"/>
        <v>253</v>
      </c>
      <c r="AM1006" s="180">
        <f t="shared" si="383"/>
        <v>80</v>
      </c>
      <c r="AN1006" s="180">
        <f t="shared" si="384"/>
        <v>95</v>
      </c>
      <c r="AO1006" s="180">
        <f t="shared" si="385"/>
        <v>185</v>
      </c>
      <c r="AP1006" s="180">
        <f t="shared" si="386"/>
        <v>36</v>
      </c>
      <c r="AQ1006" s="180">
        <f t="shared" si="387"/>
        <v>95</v>
      </c>
      <c r="AR1006" s="180">
        <f t="shared" si="388"/>
        <v>86</v>
      </c>
      <c r="AS1006" s="210">
        <f t="shared" si="389"/>
        <v>1610</v>
      </c>
    </row>
    <row r="1007" spans="1:45" ht="16.5" customHeight="1" thickBot="1" x14ac:dyDescent="0.35">
      <c r="A1007" s="244" t="s">
        <v>641</v>
      </c>
      <c r="B1007" s="204">
        <f>SUM(B994:B1005)</f>
        <v>2693961</v>
      </c>
      <c r="C1007" s="205">
        <f>+SUM(C994:C1005)</f>
        <v>0</v>
      </c>
      <c r="D1007" s="205">
        <f>SUM(D994:D1005)</f>
        <v>115669</v>
      </c>
      <c r="E1007" s="205">
        <f t="shared" si="362"/>
        <v>2693961</v>
      </c>
      <c r="F1007" s="245">
        <f>SUM(F994:F1005)</f>
        <v>2809630</v>
      </c>
      <c r="G1007" s="204">
        <f>SUM(G994:G1005)</f>
        <v>39060.645847789427</v>
      </c>
      <c r="H1007" s="205">
        <f>SUM(H994:H1005)</f>
        <v>137695</v>
      </c>
      <c r="I1007" s="205">
        <f>SUM(I994:I1005)</f>
        <v>0</v>
      </c>
      <c r="J1007" s="205">
        <f>(H1007+I1007)</f>
        <v>137695</v>
      </c>
      <c r="K1007" s="205">
        <f>SUM(K994:K1005)</f>
        <v>0</v>
      </c>
      <c r="L1007" s="205">
        <f>SUM(L994:L1005)</f>
        <v>0</v>
      </c>
      <c r="M1007" s="246">
        <f>SUM(M994:M1005)</f>
        <v>2632874.3541522105</v>
      </c>
      <c r="N1007" s="247">
        <f>SUM(N994:N1005)</f>
        <v>130856</v>
      </c>
      <c r="O1007" s="248">
        <f>+M1007+N1007</f>
        <v>2763730.3541522105</v>
      </c>
      <c r="P1007" s="249">
        <f>Q1007/O1007</f>
        <v>-0.20121771689374568</v>
      </c>
      <c r="Q1007" s="250">
        <f>SUM(Q994:Q1005)</f>
        <v>-556111.511972451</v>
      </c>
      <c r="R1007" s="248">
        <f>SUM(R994:R1005)</f>
        <v>2207618.8421797599</v>
      </c>
      <c r="S1007" s="251">
        <f>(F1007-G1007-J1007-K1007-L1007-R1007)</f>
        <v>425255.51197245065</v>
      </c>
      <c r="T1007" s="205">
        <f>+SUM(T994:T1005)</f>
        <v>555933.39116212633</v>
      </c>
      <c r="U1007" s="245">
        <f>+SUM(U994:U1005)</f>
        <v>130677.87918967538</v>
      </c>
      <c r="V1007" s="304"/>
      <c r="AC1007" s="211" t="s">
        <v>16</v>
      </c>
      <c r="AD1007" s="180">
        <f t="shared" si="374"/>
        <v>0</v>
      </c>
      <c r="AE1007" s="180">
        <f t="shared" si="375"/>
        <v>0</v>
      </c>
      <c r="AF1007" s="180">
        <f t="shared" si="376"/>
        <v>0</v>
      </c>
      <c r="AG1007" s="180">
        <f t="shared" si="377"/>
        <v>0</v>
      </c>
      <c r="AH1007" s="180">
        <f t="shared" si="378"/>
        <v>0</v>
      </c>
      <c r="AI1007" s="180">
        <f t="shared" si="379"/>
        <v>192</v>
      </c>
      <c r="AJ1007" s="180">
        <f t="shared" si="380"/>
        <v>337</v>
      </c>
      <c r="AK1007" s="180">
        <f t="shared" si="381"/>
        <v>321</v>
      </c>
      <c r="AL1007" s="180">
        <f t="shared" si="382"/>
        <v>264</v>
      </c>
      <c r="AM1007" s="180">
        <f t="shared" si="383"/>
        <v>84</v>
      </c>
      <c r="AN1007" s="180">
        <f t="shared" si="384"/>
        <v>99</v>
      </c>
      <c r="AO1007" s="180">
        <f t="shared" si="385"/>
        <v>189</v>
      </c>
      <c r="AP1007" s="180">
        <f t="shared" si="386"/>
        <v>36</v>
      </c>
      <c r="AQ1007" s="180">
        <f t="shared" si="387"/>
        <v>86</v>
      </c>
      <c r="AR1007" s="180">
        <f t="shared" si="388"/>
        <v>86</v>
      </c>
      <c r="AS1007" s="210">
        <f t="shared" si="389"/>
        <v>1694</v>
      </c>
    </row>
    <row r="1008" spans="1:45" ht="15.75" customHeight="1" x14ac:dyDescent="0.3">
      <c r="A1008" s="95"/>
      <c r="B1008" s="180"/>
      <c r="C1008" s="180"/>
      <c r="D1008" s="180"/>
      <c r="E1008" s="180"/>
      <c r="F1008" s="180" t="s">
        <v>633</v>
      </c>
      <c r="G1008" s="180"/>
      <c r="H1008" s="180"/>
      <c r="I1008" s="180"/>
      <c r="K1008" s="180"/>
      <c r="L1008" s="180"/>
      <c r="M1008" s="252"/>
      <c r="O1008" s="200"/>
      <c r="P1008" s="174"/>
      <c r="V1008" s="304"/>
      <c r="AC1008" s="211" t="s">
        <v>17</v>
      </c>
      <c r="AD1008" s="180">
        <f t="shared" si="374"/>
        <v>0</v>
      </c>
      <c r="AE1008" s="180">
        <f t="shared" si="375"/>
        <v>0</v>
      </c>
      <c r="AF1008" s="180">
        <f t="shared" si="376"/>
        <v>0</v>
      </c>
      <c r="AG1008" s="180">
        <f t="shared" si="377"/>
        <v>0</v>
      </c>
      <c r="AH1008" s="180">
        <f t="shared" si="378"/>
        <v>0</v>
      </c>
      <c r="AI1008" s="180">
        <f t="shared" si="379"/>
        <v>165</v>
      </c>
      <c r="AJ1008" s="180">
        <f t="shared" si="380"/>
        <v>287</v>
      </c>
      <c r="AK1008" s="180">
        <f t="shared" si="381"/>
        <v>307</v>
      </c>
      <c r="AL1008" s="180">
        <f t="shared" si="382"/>
        <v>263</v>
      </c>
      <c r="AM1008" s="180">
        <f t="shared" si="383"/>
        <v>84</v>
      </c>
      <c r="AN1008" s="180">
        <f t="shared" si="384"/>
        <v>99</v>
      </c>
      <c r="AO1008" s="180">
        <f t="shared" si="385"/>
        <v>193</v>
      </c>
      <c r="AP1008" s="180">
        <f t="shared" si="386"/>
        <v>36</v>
      </c>
      <c r="AQ1008" s="180">
        <f t="shared" si="387"/>
        <v>80</v>
      </c>
      <c r="AR1008" s="180">
        <f t="shared" si="388"/>
        <v>86</v>
      </c>
      <c r="AS1008" s="210">
        <f t="shared" si="389"/>
        <v>1600</v>
      </c>
    </row>
    <row r="1009" spans="1:45" ht="15.75" customHeight="1" x14ac:dyDescent="0.3">
      <c r="A1009" s="179" t="s">
        <v>773</v>
      </c>
      <c r="P1009" s="180"/>
      <c r="Q1009" s="180"/>
      <c r="R1009" s="180"/>
      <c r="V1009" s="304"/>
      <c r="AC1009" s="211" t="s">
        <v>18</v>
      </c>
      <c r="AD1009" s="180">
        <f t="shared" si="374"/>
        <v>0</v>
      </c>
      <c r="AE1009" s="180">
        <f t="shared" si="375"/>
        <v>0</v>
      </c>
      <c r="AF1009" s="180">
        <f t="shared" si="376"/>
        <v>0</v>
      </c>
      <c r="AG1009" s="180">
        <f t="shared" si="377"/>
        <v>0</v>
      </c>
      <c r="AH1009" s="180">
        <f t="shared" si="378"/>
        <v>34</v>
      </c>
      <c r="AI1009" s="180">
        <f t="shared" si="379"/>
        <v>123</v>
      </c>
      <c r="AJ1009" s="180">
        <f t="shared" si="380"/>
        <v>189</v>
      </c>
      <c r="AK1009" s="180">
        <f t="shared" si="381"/>
        <v>276</v>
      </c>
      <c r="AL1009" s="180">
        <f t="shared" si="382"/>
        <v>263</v>
      </c>
      <c r="AM1009" s="180">
        <f t="shared" si="383"/>
        <v>82</v>
      </c>
      <c r="AN1009" s="180">
        <f t="shared" si="384"/>
        <v>97</v>
      </c>
      <c r="AO1009" s="180">
        <f t="shared" si="385"/>
        <v>192</v>
      </c>
      <c r="AP1009" s="180">
        <f t="shared" si="386"/>
        <v>36</v>
      </c>
      <c r="AQ1009" s="180">
        <f t="shared" si="387"/>
        <v>73</v>
      </c>
      <c r="AR1009" s="180">
        <f t="shared" si="388"/>
        <v>85</v>
      </c>
      <c r="AS1009" s="210">
        <f t="shared" si="389"/>
        <v>1450</v>
      </c>
    </row>
    <row r="1010" spans="1:45" ht="15.75" customHeight="1" x14ac:dyDescent="0.3">
      <c r="A1010" s="179" t="s">
        <v>774</v>
      </c>
      <c r="D1010" s="180"/>
      <c r="E1010" s="180"/>
      <c r="F1010" s="180"/>
      <c r="G1010" s="180"/>
      <c r="H1010" s="180"/>
      <c r="I1010" s="180"/>
      <c r="J1010" s="180"/>
      <c r="K1010" s="180"/>
      <c r="L1010" s="180"/>
      <c r="M1010" s="180"/>
      <c r="N1010" s="180"/>
      <c r="O1010" s="180"/>
      <c r="P1010" s="180"/>
      <c r="Q1010" s="180"/>
      <c r="R1010" s="180"/>
      <c r="V1010" s="304"/>
      <c r="AC1010" s="211" t="s">
        <v>20</v>
      </c>
      <c r="AD1010" s="180">
        <f t="shared" si="374"/>
        <v>0</v>
      </c>
      <c r="AE1010" s="180">
        <f t="shared" si="375"/>
        <v>0</v>
      </c>
      <c r="AF1010" s="180">
        <f t="shared" si="376"/>
        <v>0</v>
      </c>
      <c r="AG1010" s="180">
        <f t="shared" si="377"/>
        <v>0</v>
      </c>
      <c r="AH1010" s="180">
        <f t="shared" si="378"/>
        <v>114</v>
      </c>
      <c r="AI1010" s="180">
        <f t="shared" si="379"/>
        <v>89</v>
      </c>
      <c r="AJ1010" s="180">
        <f t="shared" si="380"/>
        <v>127</v>
      </c>
      <c r="AK1010" s="180">
        <f t="shared" si="381"/>
        <v>191</v>
      </c>
      <c r="AL1010" s="180">
        <f t="shared" si="382"/>
        <v>189</v>
      </c>
      <c r="AM1010" s="180">
        <f t="shared" si="383"/>
        <v>61</v>
      </c>
      <c r="AN1010" s="180">
        <f t="shared" si="384"/>
        <v>72</v>
      </c>
      <c r="AO1010" s="180">
        <f t="shared" si="385"/>
        <v>148</v>
      </c>
      <c r="AP1010" s="180">
        <f t="shared" si="386"/>
        <v>36</v>
      </c>
      <c r="AQ1010" s="180">
        <f t="shared" si="387"/>
        <v>66</v>
      </c>
      <c r="AR1010" s="180">
        <f t="shared" si="388"/>
        <v>85</v>
      </c>
      <c r="AS1010" s="210">
        <f t="shared" si="389"/>
        <v>1178</v>
      </c>
    </row>
    <row r="1011" spans="1:45" ht="15.75" customHeight="1" x14ac:dyDescent="0.3">
      <c r="A1011" s="179" t="s">
        <v>775</v>
      </c>
      <c r="D1011" s="180"/>
      <c r="E1011" s="180"/>
      <c r="F1011" s="180"/>
      <c r="G1011" s="180"/>
      <c r="H1011" s="180"/>
      <c r="I1011" s="180"/>
      <c r="J1011" s="180"/>
      <c r="K1011" s="180"/>
      <c r="L1011" s="180"/>
      <c r="M1011" s="180"/>
      <c r="N1011" s="180"/>
      <c r="O1011" s="180"/>
      <c r="P1011" s="180"/>
      <c r="Q1011" s="180"/>
      <c r="R1011" s="180"/>
      <c r="V1011" s="304"/>
      <c r="AC1011" s="211" t="s">
        <v>21</v>
      </c>
      <c r="AD1011" s="180">
        <f t="shared" si="374"/>
        <v>0</v>
      </c>
      <c r="AE1011" s="180">
        <f t="shared" si="375"/>
        <v>0</v>
      </c>
      <c r="AF1011" s="180">
        <f t="shared" si="376"/>
        <v>0</v>
      </c>
      <c r="AG1011" s="180">
        <f t="shared" si="377"/>
        <v>0</v>
      </c>
      <c r="AH1011" s="180">
        <f t="shared" si="378"/>
        <v>241</v>
      </c>
      <c r="AI1011" s="180">
        <f t="shared" si="379"/>
        <v>16</v>
      </c>
      <c r="AJ1011" s="180">
        <f t="shared" si="380"/>
        <v>17</v>
      </c>
      <c r="AK1011" s="180">
        <f t="shared" si="381"/>
        <v>26</v>
      </c>
      <c r="AL1011" s="180">
        <f t="shared" si="382"/>
        <v>26</v>
      </c>
      <c r="AM1011" s="180">
        <f t="shared" si="383"/>
        <v>10</v>
      </c>
      <c r="AN1011" s="180">
        <f t="shared" si="384"/>
        <v>11</v>
      </c>
      <c r="AO1011" s="180">
        <f t="shared" si="385"/>
        <v>23</v>
      </c>
      <c r="AP1011" s="180">
        <f t="shared" si="386"/>
        <v>16</v>
      </c>
      <c r="AQ1011" s="180">
        <f t="shared" si="387"/>
        <v>60</v>
      </c>
      <c r="AR1011" s="180">
        <f t="shared" si="388"/>
        <v>38</v>
      </c>
      <c r="AS1011" s="210">
        <f t="shared" si="389"/>
        <v>484</v>
      </c>
    </row>
    <row r="1012" spans="1:45" ht="15.75" customHeight="1" thickBot="1" x14ac:dyDescent="0.35">
      <c r="A1012" s="194" t="s">
        <v>776</v>
      </c>
      <c r="B1012" s="135"/>
      <c r="C1012" s="135"/>
      <c r="D1012" s="195"/>
      <c r="E1012" s="195"/>
      <c r="F1012" s="195"/>
      <c r="G1012" s="195"/>
      <c r="H1012" s="195"/>
      <c r="I1012" s="195"/>
      <c r="J1012" s="195"/>
      <c r="K1012" s="195"/>
      <c r="L1012" s="195"/>
      <c r="M1012" s="195"/>
      <c r="N1012" s="195"/>
      <c r="O1012" s="195"/>
      <c r="P1012" s="195"/>
      <c r="Q1012" s="195"/>
      <c r="R1012" s="195"/>
      <c r="S1012" s="135"/>
      <c r="T1012" s="135"/>
      <c r="U1012" s="135"/>
      <c r="V1012" s="136"/>
      <c r="AC1012" s="211" t="s">
        <v>22</v>
      </c>
      <c r="AD1012" s="180">
        <f t="shared" si="374"/>
        <v>0</v>
      </c>
      <c r="AE1012" s="180">
        <f t="shared" si="375"/>
        <v>0</v>
      </c>
      <c r="AF1012" s="180">
        <f t="shared" si="376"/>
        <v>0</v>
      </c>
      <c r="AG1012" s="180">
        <f t="shared" si="377"/>
        <v>0</v>
      </c>
      <c r="AH1012" s="180">
        <f t="shared" si="378"/>
        <v>232</v>
      </c>
      <c r="AI1012" s="180">
        <f t="shared" si="379"/>
        <v>48</v>
      </c>
      <c r="AJ1012" s="180">
        <f t="shared" si="380"/>
        <v>59</v>
      </c>
      <c r="AK1012" s="180">
        <f t="shared" si="381"/>
        <v>88</v>
      </c>
      <c r="AL1012" s="180">
        <f t="shared" si="382"/>
        <v>90</v>
      </c>
      <c r="AM1012" s="180">
        <f t="shared" si="383"/>
        <v>35</v>
      </c>
      <c r="AN1012" s="180">
        <f t="shared" si="384"/>
        <v>41</v>
      </c>
      <c r="AO1012" s="180">
        <f t="shared" si="385"/>
        <v>83</v>
      </c>
      <c r="AP1012" s="180">
        <f t="shared" si="386"/>
        <v>16</v>
      </c>
      <c r="AQ1012" s="180">
        <f t="shared" si="387"/>
        <v>53</v>
      </c>
      <c r="AR1012" s="180">
        <f t="shared" si="388"/>
        <v>39</v>
      </c>
      <c r="AS1012" s="210">
        <f t="shared" si="389"/>
        <v>784</v>
      </c>
    </row>
    <row r="1013" spans="1:45" ht="15.75" customHeight="1" thickBot="1" x14ac:dyDescent="0.35">
      <c r="A1013" s="179"/>
      <c r="D1013" s="180"/>
      <c r="E1013" s="180"/>
      <c r="F1013" s="180"/>
      <c r="G1013" s="180"/>
      <c r="H1013" s="180"/>
      <c r="I1013" s="180"/>
      <c r="J1013" s="180"/>
      <c r="K1013" s="180"/>
      <c r="L1013" s="180"/>
      <c r="M1013" s="180"/>
      <c r="N1013" s="180"/>
      <c r="O1013" s="180"/>
      <c r="P1013" s="180"/>
      <c r="Q1013" s="180"/>
      <c r="R1013" s="180"/>
      <c r="S1013" s="200"/>
      <c r="V1013" s="223"/>
      <c r="AC1013" s="95"/>
      <c r="AD1013" s="180"/>
      <c r="AE1013" s="180"/>
      <c r="AF1013" s="180"/>
      <c r="AG1013" s="180"/>
      <c r="AH1013" s="180"/>
      <c r="AI1013" s="180"/>
      <c r="AJ1013" s="180"/>
      <c r="AK1013" s="180"/>
      <c r="AL1013" s="180"/>
      <c r="AM1013" s="180"/>
      <c r="AN1013" s="180"/>
      <c r="AO1013" s="180"/>
      <c r="AP1013" s="180"/>
      <c r="AQ1013" s="180"/>
      <c r="AR1013" s="180"/>
      <c r="AS1013" s="210"/>
    </row>
    <row r="1014" spans="1:45" ht="15.75" customHeight="1" thickBot="1" x14ac:dyDescent="0.35">
      <c r="A1014" s="192"/>
      <c r="B1014" s="412" t="s">
        <v>777</v>
      </c>
      <c r="C1014" s="413"/>
      <c r="D1014" s="413"/>
      <c r="E1014" s="413"/>
      <c r="F1014" s="413"/>
      <c r="G1014" s="413"/>
      <c r="H1014" s="413"/>
      <c r="I1014" s="413"/>
      <c r="J1014" s="413"/>
      <c r="K1014" s="413"/>
      <c r="L1014" s="413"/>
      <c r="M1014" s="413"/>
      <c r="N1014" s="413"/>
      <c r="O1014" s="413"/>
      <c r="P1014" s="413"/>
      <c r="Q1014" s="174"/>
      <c r="R1014" s="174"/>
      <c r="S1014" s="223"/>
      <c r="T1014" s="200"/>
      <c r="U1014" s="200"/>
      <c r="V1014" s="198"/>
      <c r="AC1014" s="220" t="s">
        <v>641</v>
      </c>
      <c r="AD1014" s="195">
        <f>SUM(AD1001:AD1012)</f>
        <v>0</v>
      </c>
      <c r="AE1014" s="195">
        <f t="shared" ref="AE1014:AS1014" si="390">SUM(AE1001:AE1012)</f>
        <v>0</v>
      </c>
      <c r="AF1014" s="195">
        <f t="shared" si="390"/>
        <v>0</v>
      </c>
      <c r="AG1014" s="195">
        <f t="shared" si="390"/>
        <v>0</v>
      </c>
      <c r="AH1014" s="195">
        <f t="shared" si="390"/>
        <v>1261</v>
      </c>
      <c r="AI1014" s="195">
        <f t="shared" si="390"/>
        <v>1514</v>
      </c>
      <c r="AJ1014" s="195">
        <f t="shared" si="390"/>
        <v>2249</v>
      </c>
      <c r="AK1014" s="195">
        <f t="shared" si="390"/>
        <v>2799</v>
      </c>
      <c r="AL1014" s="195">
        <f t="shared" si="390"/>
        <v>2582</v>
      </c>
      <c r="AM1014" s="195">
        <f t="shared" si="390"/>
        <v>831</v>
      </c>
      <c r="AN1014" s="195">
        <f t="shared" si="390"/>
        <v>979</v>
      </c>
      <c r="AO1014" s="195">
        <f t="shared" si="390"/>
        <v>1966</v>
      </c>
      <c r="AP1014" s="195">
        <f t="shared" si="390"/>
        <v>392</v>
      </c>
      <c r="AQ1014" s="195">
        <f t="shared" si="390"/>
        <v>858</v>
      </c>
      <c r="AR1014" s="195">
        <f t="shared" si="390"/>
        <v>932</v>
      </c>
      <c r="AS1014" s="221">
        <f t="shared" si="390"/>
        <v>16363</v>
      </c>
    </row>
    <row r="1015" spans="1:45" ht="15.75" customHeight="1" thickBot="1" x14ac:dyDescent="0.35">
      <c r="A1015" s="192"/>
      <c r="B1015" s="403" t="s">
        <v>730</v>
      </c>
      <c r="C1015" s="404"/>
      <c r="D1015" s="404"/>
      <c r="E1015" s="404"/>
      <c r="F1015" s="405"/>
      <c r="G1015" s="403" t="s">
        <v>731</v>
      </c>
      <c r="H1015" s="404"/>
      <c r="I1015" s="404"/>
      <c r="J1015" s="404"/>
      <c r="K1015" s="404"/>
      <c r="L1015" s="404"/>
      <c r="M1015" s="406" t="s">
        <v>732</v>
      </c>
      <c r="N1015" s="407"/>
      <c r="O1015" s="407"/>
      <c r="P1015" s="429"/>
      <c r="Q1015" s="429"/>
      <c r="R1015" s="430"/>
      <c r="S1015" s="403" t="s">
        <v>733</v>
      </c>
      <c r="T1015" s="431"/>
      <c r="U1015" s="432"/>
      <c r="V1015" s="304"/>
    </row>
    <row r="1016" spans="1:45" ht="15.75" customHeight="1" x14ac:dyDescent="0.3">
      <c r="A1016" s="213"/>
      <c r="B1016" s="189" t="s">
        <v>639</v>
      </c>
      <c r="C1016" s="182"/>
      <c r="D1016" s="182" t="s">
        <v>734</v>
      </c>
      <c r="E1016" s="182" t="s">
        <v>735</v>
      </c>
      <c r="F1016" s="307" t="s">
        <v>736</v>
      </c>
      <c r="G1016" s="189" t="s">
        <v>737</v>
      </c>
      <c r="H1016" s="182"/>
      <c r="I1016" s="182"/>
      <c r="J1016" s="182" t="s">
        <v>738</v>
      </c>
      <c r="K1016" s="182" t="s">
        <v>739</v>
      </c>
      <c r="L1016" s="182" t="s">
        <v>740</v>
      </c>
      <c r="M1016" s="409" t="str">
        <f>+M989</f>
        <v>(NE)* per WAPA</v>
      </c>
      <c r="N1016" s="410"/>
      <c r="O1016" s="410"/>
      <c r="P1016" s="253"/>
      <c r="Q1016" s="227"/>
      <c r="R1016" s="310"/>
      <c r="S1016" s="189" t="s">
        <v>742</v>
      </c>
      <c r="T1016" s="228" t="s">
        <v>743</v>
      </c>
      <c r="U1016" s="308" t="s">
        <v>744</v>
      </c>
      <c r="V1016" s="304"/>
    </row>
    <row r="1017" spans="1:45" ht="15.75" customHeight="1" x14ac:dyDescent="0.3">
      <c r="A1017" s="213"/>
      <c r="B1017" s="230" t="s">
        <v>745</v>
      </c>
      <c r="C1017" s="231" t="s">
        <v>746</v>
      </c>
      <c r="D1017" s="231" t="s">
        <v>747</v>
      </c>
      <c r="E1017" s="182" t="s">
        <v>658</v>
      </c>
      <c r="F1017" s="309" t="s">
        <v>748</v>
      </c>
      <c r="G1017" s="189" t="s">
        <v>640</v>
      </c>
      <c r="H1017" s="182" t="s">
        <v>749</v>
      </c>
      <c r="I1017" s="182" t="s">
        <v>750</v>
      </c>
      <c r="J1017" s="231" t="s">
        <v>751</v>
      </c>
      <c r="K1017" s="182" t="s">
        <v>723</v>
      </c>
      <c r="L1017" s="231" t="s">
        <v>752</v>
      </c>
      <c r="M1017" s="233" t="s">
        <v>753</v>
      </c>
      <c r="N1017" s="226" t="s">
        <v>754</v>
      </c>
      <c r="O1017" s="227" t="s">
        <v>641</v>
      </c>
      <c r="P1017" s="233" t="s">
        <v>755</v>
      </c>
      <c r="Q1017" s="226" t="s">
        <v>755</v>
      </c>
      <c r="R1017" s="310" t="s">
        <v>756</v>
      </c>
      <c r="S1017" s="189" t="s">
        <v>757</v>
      </c>
      <c r="T1017" s="182" t="s">
        <v>758</v>
      </c>
      <c r="U1017" s="307" t="s">
        <v>759</v>
      </c>
      <c r="V1017" s="304"/>
    </row>
    <row r="1018" spans="1:45" ht="15.75" customHeight="1" x14ac:dyDescent="0.3">
      <c r="A1018" s="213"/>
      <c r="B1018" s="235" t="s">
        <v>760</v>
      </c>
      <c r="C1018" s="215">
        <v>5.0000000000000001E-3</v>
      </c>
      <c r="D1018" s="215">
        <v>4.2999999999999997E-2</v>
      </c>
      <c r="E1018" s="182" t="s">
        <v>761</v>
      </c>
      <c r="F1018" s="311" t="s">
        <v>762</v>
      </c>
      <c r="G1018" s="189" t="s">
        <v>763</v>
      </c>
      <c r="H1018" s="182" t="s">
        <v>658</v>
      </c>
      <c r="I1018" s="182" t="s">
        <v>658</v>
      </c>
      <c r="J1018" s="182" t="s">
        <v>658</v>
      </c>
      <c r="K1018" s="182" t="s">
        <v>743</v>
      </c>
      <c r="L1018" s="182" t="s">
        <v>764</v>
      </c>
      <c r="M1018" s="237" t="s">
        <v>648</v>
      </c>
      <c r="N1018" s="227" t="s">
        <v>765</v>
      </c>
      <c r="O1018" s="227" t="s">
        <v>766</v>
      </c>
      <c r="P1018" s="237" t="s">
        <v>767</v>
      </c>
      <c r="Q1018" s="226" t="s">
        <v>767</v>
      </c>
      <c r="R1018" s="310" t="s">
        <v>766</v>
      </c>
      <c r="S1018" s="189" t="s">
        <v>658</v>
      </c>
      <c r="T1018" s="182" t="s">
        <v>658</v>
      </c>
      <c r="U1018" s="307" t="s">
        <v>658</v>
      </c>
      <c r="V1018" s="304"/>
    </row>
    <row r="1019" spans="1:45" ht="15.75" customHeight="1" x14ac:dyDescent="0.3">
      <c r="A1019" s="213" t="s">
        <v>768</v>
      </c>
      <c r="B1019" s="189" t="s">
        <v>778</v>
      </c>
      <c r="C1019" s="182" t="s">
        <v>778</v>
      </c>
      <c r="D1019" s="182" t="s">
        <v>778</v>
      </c>
      <c r="E1019" s="182" t="s">
        <v>778</v>
      </c>
      <c r="F1019" s="182" t="s">
        <v>778</v>
      </c>
      <c r="G1019" s="189" t="s">
        <v>778</v>
      </c>
      <c r="H1019" s="182" t="s">
        <v>778</v>
      </c>
      <c r="I1019" s="182" t="s">
        <v>778</v>
      </c>
      <c r="J1019" s="182" t="s">
        <v>778</v>
      </c>
      <c r="K1019" s="182" t="s">
        <v>778</v>
      </c>
      <c r="L1019" s="182" t="s">
        <v>778</v>
      </c>
      <c r="M1019" s="237" t="s">
        <v>778</v>
      </c>
      <c r="N1019" s="227" t="s">
        <v>779</v>
      </c>
      <c r="O1019" s="227" t="s">
        <v>778</v>
      </c>
      <c r="P1019" s="237" t="s">
        <v>365</v>
      </c>
      <c r="Q1019" s="226" t="s">
        <v>705</v>
      </c>
      <c r="R1019" s="310" t="s">
        <v>705</v>
      </c>
      <c r="S1019" s="189" t="s">
        <v>778</v>
      </c>
      <c r="T1019" s="182" t="s">
        <v>778</v>
      </c>
      <c r="U1019" s="307" t="s">
        <v>778</v>
      </c>
      <c r="V1019" s="304"/>
    </row>
    <row r="1020" spans="1:45" ht="15.75" customHeight="1" x14ac:dyDescent="0.3">
      <c r="A1020" s="213" t="s">
        <v>666</v>
      </c>
      <c r="B1020" s="189" t="s">
        <v>666</v>
      </c>
      <c r="C1020" s="182" t="s">
        <v>666</v>
      </c>
      <c r="D1020" s="182" t="s">
        <v>666</v>
      </c>
      <c r="E1020" s="182" t="s">
        <v>769</v>
      </c>
      <c r="F1020" s="307" t="s">
        <v>666</v>
      </c>
      <c r="G1020" s="189" t="s">
        <v>666</v>
      </c>
      <c r="H1020" s="182" t="s">
        <v>770</v>
      </c>
      <c r="I1020" s="182" t="s">
        <v>770</v>
      </c>
      <c r="J1020" s="182" t="s">
        <v>666</v>
      </c>
      <c r="K1020" s="182" t="s">
        <v>666</v>
      </c>
      <c r="L1020" s="182" t="s">
        <v>666</v>
      </c>
      <c r="M1020" s="237" t="s">
        <v>666</v>
      </c>
      <c r="N1020" s="227" t="s">
        <v>666</v>
      </c>
      <c r="O1020" s="227" t="s">
        <v>666</v>
      </c>
      <c r="P1020" s="237" t="s">
        <v>666</v>
      </c>
      <c r="Q1020" s="227" t="s">
        <v>666</v>
      </c>
      <c r="R1020" s="310" t="s">
        <v>666</v>
      </c>
      <c r="S1020" s="189" t="s">
        <v>666</v>
      </c>
      <c r="T1020" s="182" t="s">
        <v>666</v>
      </c>
      <c r="U1020" s="307" t="s">
        <v>666</v>
      </c>
      <c r="V1020" s="304"/>
    </row>
    <row r="1021" spans="1:45" ht="15.75" customHeight="1" x14ac:dyDescent="0.3">
      <c r="A1021" s="192" t="s">
        <v>8</v>
      </c>
      <c r="B1021" s="189">
        <f>+B994/($B$10*24)</f>
        <v>220.65322580645162</v>
      </c>
      <c r="C1021" s="182">
        <f t="shared" ref="C1021:L1021" si="391">+C994/($B$10*24)</f>
        <v>0</v>
      </c>
      <c r="D1021" s="182">
        <f t="shared" si="391"/>
        <v>9.068548387096774</v>
      </c>
      <c r="E1021" s="182">
        <f t="shared" si="391"/>
        <v>220.65322580645162</v>
      </c>
      <c r="F1021" s="307">
        <f t="shared" si="391"/>
        <v>229.72177419354838</v>
      </c>
      <c r="G1021" s="182">
        <f t="shared" si="391"/>
        <v>5.6608057119387993</v>
      </c>
      <c r="H1021" s="182">
        <f t="shared" si="391"/>
        <v>12.131720430107526</v>
      </c>
      <c r="I1021" s="182">
        <f t="shared" si="391"/>
        <v>0</v>
      </c>
      <c r="J1021" s="182">
        <f t="shared" si="391"/>
        <v>12.131720430107526</v>
      </c>
      <c r="K1021" s="182">
        <f t="shared" si="391"/>
        <v>0</v>
      </c>
      <c r="L1021" s="182">
        <f t="shared" si="391"/>
        <v>0</v>
      </c>
      <c r="M1021" s="237">
        <f>+M994/($B$10*24)</f>
        <v>211.92924805150207</v>
      </c>
      <c r="N1021" s="227">
        <f t="shared" ref="N1021" si="392">+N994/($B$10*24)</f>
        <v>0</v>
      </c>
      <c r="O1021" s="227">
        <f>+O994/($B$10*24)</f>
        <v>211.92924805150207</v>
      </c>
      <c r="P1021" s="254">
        <f>P994</f>
        <v>0.2</v>
      </c>
      <c r="Q1021" s="227">
        <f>-O1021*P1021</f>
        <v>-42.385849610300419</v>
      </c>
      <c r="R1021" s="310">
        <f>O1021+Q1021</f>
        <v>169.54339844120165</v>
      </c>
      <c r="S1021" s="255">
        <f>+S994/($B$10*24)</f>
        <v>42.385849610300419</v>
      </c>
      <c r="T1021" s="182">
        <f>+IF(S1021&gt;=0,ABS(S1021),"")</f>
        <v>42.385849610300419</v>
      </c>
      <c r="U1021" s="307" t="str">
        <f>+IF(S1021&lt;=0,ABS(S1021),"")</f>
        <v/>
      </c>
      <c r="V1021" s="304"/>
    </row>
    <row r="1022" spans="1:45" ht="15.75" customHeight="1" x14ac:dyDescent="0.3">
      <c r="A1022" s="192" t="s">
        <v>9</v>
      </c>
      <c r="B1022" s="189">
        <f>+B995/($C$10*24)</f>
        <v>419.16666666666669</v>
      </c>
      <c r="C1022" s="182">
        <f t="shared" ref="C1022:N1022" si="393">+C995/($C$10*24)</f>
        <v>0</v>
      </c>
      <c r="D1022" s="182">
        <f t="shared" si="393"/>
        <v>17.72470238095238</v>
      </c>
      <c r="E1022" s="182">
        <f t="shared" si="393"/>
        <v>419.16666666666669</v>
      </c>
      <c r="F1022" s="307">
        <f t="shared" si="393"/>
        <v>436.89136904761904</v>
      </c>
      <c r="G1022" s="182">
        <f t="shared" si="393"/>
        <v>0</v>
      </c>
      <c r="H1022" s="182">
        <f t="shared" si="393"/>
        <v>15.27827380952381</v>
      </c>
      <c r="I1022" s="182">
        <f t="shared" si="393"/>
        <v>0</v>
      </c>
      <c r="J1022" s="182">
        <f t="shared" si="393"/>
        <v>15.27827380952381</v>
      </c>
      <c r="K1022" s="182">
        <f t="shared" si="393"/>
        <v>0</v>
      </c>
      <c r="L1022" s="182">
        <f t="shared" si="393"/>
        <v>0</v>
      </c>
      <c r="M1022" s="237">
        <f t="shared" si="393"/>
        <v>421.61309523809524</v>
      </c>
      <c r="N1022" s="227">
        <f t="shared" si="393"/>
        <v>0</v>
      </c>
      <c r="O1022" s="227">
        <f t="shared" ref="O1022:O1032" si="394">+O995/($B$10*24)</f>
        <v>380.81182795698925</v>
      </c>
      <c r="P1022" s="254">
        <f t="shared" ref="P1022:P1032" si="395">P995</f>
        <v>0.25</v>
      </c>
      <c r="Q1022" s="227">
        <f t="shared" ref="Q1022:Q1032" si="396">-O1022*P1022</f>
        <v>-95.202956989247312</v>
      </c>
      <c r="R1022" s="310">
        <f t="shared" ref="R1022:R1032" si="397">O1022+Q1022</f>
        <v>285.60887096774195</v>
      </c>
      <c r="S1022" s="255">
        <f>+S995/($C$10*24)</f>
        <v>105.40327380952381</v>
      </c>
      <c r="T1022" s="182">
        <f t="shared" ref="T1022:T1032" si="398">+IF(S1022&gt;=0,ABS(S1022),"")</f>
        <v>105.40327380952381</v>
      </c>
      <c r="U1022" s="307" t="str">
        <f t="shared" ref="U1022:U1032" si="399">+IF(S1022&lt;=0,ABS(S1022),"")</f>
        <v/>
      </c>
      <c r="V1022" s="304"/>
    </row>
    <row r="1023" spans="1:45" ht="15.75" customHeight="1" x14ac:dyDescent="0.3">
      <c r="A1023" s="192" t="s">
        <v>10</v>
      </c>
      <c r="B1023" s="189">
        <f>+B996/($D$10*24)</f>
        <v>413.06989247311827</v>
      </c>
      <c r="C1023" s="182">
        <f t="shared" ref="C1023:N1023" si="400">+C996/($D$10*24)</f>
        <v>0</v>
      </c>
      <c r="D1023" s="182">
        <f t="shared" si="400"/>
        <v>17.758064516129032</v>
      </c>
      <c r="E1023" s="182">
        <f t="shared" si="400"/>
        <v>413.06989247311827</v>
      </c>
      <c r="F1023" s="307">
        <f t="shared" si="400"/>
        <v>430.8279569892473</v>
      </c>
      <c r="G1023" s="182">
        <f t="shared" si="400"/>
        <v>0</v>
      </c>
      <c r="H1023" s="182">
        <f>+H996/($D$10*24)</f>
        <v>21.280913978494624</v>
      </c>
      <c r="I1023" s="182">
        <f t="shared" si="400"/>
        <v>0</v>
      </c>
      <c r="J1023" s="182">
        <f t="shared" si="400"/>
        <v>21.280913978494624</v>
      </c>
      <c r="K1023" s="182">
        <f t="shared" si="400"/>
        <v>0</v>
      </c>
      <c r="L1023" s="182">
        <f t="shared" si="400"/>
        <v>0</v>
      </c>
      <c r="M1023" s="237">
        <f t="shared" si="400"/>
        <v>409.5470430107527</v>
      </c>
      <c r="N1023" s="227">
        <f t="shared" si="400"/>
        <v>0</v>
      </c>
      <c r="O1023" s="227">
        <f t="shared" si="394"/>
        <v>409.5470430107527</v>
      </c>
      <c r="P1023" s="254">
        <f t="shared" si="395"/>
        <v>0.3</v>
      </c>
      <c r="Q1023" s="227">
        <f t="shared" si="396"/>
        <v>-122.8641129032258</v>
      </c>
      <c r="R1023" s="310">
        <f t="shared" si="397"/>
        <v>286.68293010752689</v>
      </c>
      <c r="S1023" s="255">
        <f>+S996/($D$10*24)</f>
        <v>122.8641129032258</v>
      </c>
      <c r="T1023" s="182">
        <f t="shared" si="398"/>
        <v>122.8641129032258</v>
      </c>
      <c r="U1023" s="307" t="str">
        <f t="shared" si="399"/>
        <v/>
      </c>
      <c r="V1023" s="304"/>
    </row>
    <row r="1024" spans="1:45" ht="15.75" customHeight="1" x14ac:dyDescent="0.3">
      <c r="A1024" s="192" t="s">
        <v>12</v>
      </c>
      <c r="B1024" s="189">
        <f>+B997/($F$10*24)</f>
        <v>408.70833333333331</v>
      </c>
      <c r="C1024" s="182">
        <f t="shared" ref="C1024:N1024" si="401">+C997/($F$10*24)</f>
        <v>0</v>
      </c>
      <c r="D1024" s="182">
        <f t="shared" si="401"/>
        <v>18.036111111111111</v>
      </c>
      <c r="E1024" s="182">
        <f t="shared" si="401"/>
        <v>408.70833333333331</v>
      </c>
      <c r="F1024" s="307">
        <f t="shared" si="401"/>
        <v>426.74444444444447</v>
      </c>
      <c r="G1024" s="182">
        <f t="shared" si="401"/>
        <v>0</v>
      </c>
      <c r="H1024" s="182">
        <f t="shared" si="401"/>
        <v>22.120833333333334</v>
      </c>
      <c r="I1024" s="182">
        <f t="shared" si="401"/>
        <v>0</v>
      </c>
      <c r="J1024" s="182">
        <f t="shared" si="401"/>
        <v>22.120833333333334</v>
      </c>
      <c r="K1024" s="182">
        <f t="shared" si="401"/>
        <v>0</v>
      </c>
      <c r="L1024" s="182">
        <f t="shared" si="401"/>
        <v>0</v>
      </c>
      <c r="M1024" s="237">
        <f t="shared" si="401"/>
        <v>404.62361111111113</v>
      </c>
      <c r="N1024" s="227">
        <f t="shared" si="401"/>
        <v>-31</v>
      </c>
      <c r="O1024" s="227">
        <f t="shared" si="394"/>
        <v>361.57123655913978</v>
      </c>
      <c r="P1024" s="254">
        <f t="shared" si="395"/>
        <v>0.35</v>
      </c>
      <c r="Q1024" s="227">
        <f t="shared" si="396"/>
        <v>-126.54993279569891</v>
      </c>
      <c r="R1024" s="310">
        <f t="shared" si="397"/>
        <v>235.02130376344087</v>
      </c>
      <c r="S1024" s="255">
        <f>+S997/($F$10*24)</f>
        <v>161.76826388888887</v>
      </c>
      <c r="T1024" s="182">
        <f t="shared" si="398"/>
        <v>161.76826388888887</v>
      </c>
      <c r="U1024" s="307" t="str">
        <f t="shared" si="399"/>
        <v/>
      </c>
      <c r="V1024" s="304"/>
    </row>
    <row r="1025" spans="1:22" ht="15.75" customHeight="1" x14ac:dyDescent="0.3">
      <c r="A1025" s="192" t="s">
        <v>13</v>
      </c>
      <c r="B1025" s="189">
        <f>+B998/($G$10*24)</f>
        <v>409.48387096774195</v>
      </c>
      <c r="C1025" s="182">
        <f t="shared" ref="C1025:N1025" si="402">+C998/($G$10*24)</f>
        <v>0</v>
      </c>
      <c r="D1025" s="182">
        <f t="shared" si="402"/>
        <v>18.153225806451612</v>
      </c>
      <c r="E1025" s="182">
        <f t="shared" si="402"/>
        <v>409.48387096774195</v>
      </c>
      <c r="F1025" s="307">
        <f t="shared" si="402"/>
        <v>427.63709677419354</v>
      </c>
      <c r="G1025" s="182">
        <f t="shared" si="402"/>
        <v>1.2074921195741819</v>
      </c>
      <c r="H1025" s="182">
        <f t="shared" si="402"/>
        <v>19.153225806451612</v>
      </c>
      <c r="I1025" s="182">
        <f t="shared" si="402"/>
        <v>0</v>
      </c>
      <c r="J1025" s="182">
        <f t="shared" si="402"/>
        <v>19.153225806451612</v>
      </c>
      <c r="K1025" s="182">
        <f t="shared" si="402"/>
        <v>0</v>
      </c>
      <c r="L1025" s="182">
        <f t="shared" si="402"/>
        <v>0</v>
      </c>
      <c r="M1025" s="237">
        <f t="shared" si="402"/>
        <v>407.27637884816772</v>
      </c>
      <c r="N1025" s="227">
        <f t="shared" si="402"/>
        <v>0</v>
      </c>
      <c r="O1025" s="227">
        <f t="shared" si="394"/>
        <v>407.27637884816772</v>
      </c>
      <c r="P1025" s="254">
        <f t="shared" si="395"/>
        <v>0.35</v>
      </c>
      <c r="Q1025" s="227">
        <f t="shared" si="396"/>
        <v>-142.5467325968587</v>
      </c>
      <c r="R1025" s="310">
        <f t="shared" si="397"/>
        <v>264.72964625130902</v>
      </c>
      <c r="S1025" s="255">
        <f>+S998/($G$10*24)</f>
        <v>142.5467325968587</v>
      </c>
      <c r="T1025" s="182">
        <f t="shared" si="398"/>
        <v>142.5467325968587</v>
      </c>
      <c r="U1025" s="307" t="str">
        <f t="shared" si="399"/>
        <v/>
      </c>
      <c r="V1025" s="304"/>
    </row>
    <row r="1026" spans="1:22" ht="15.75" customHeight="1" x14ac:dyDescent="0.3">
      <c r="A1026" s="192" t="s">
        <v>14</v>
      </c>
      <c r="B1026" s="189">
        <f>+B999/($H$10*24)</f>
        <v>208.17777777777778</v>
      </c>
      <c r="C1026" s="182">
        <f t="shared" ref="C1026:N1026" si="403">+C999/($H$10*24)</f>
        <v>0</v>
      </c>
      <c r="D1026" s="182">
        <f t="shared" si="403"/>
        <v>8.6694444444444443</v>
      </c>
      <c r="E1026" s="182">
        <f t="shared" si="403"/>
        <v>208.17777777777778</v>
      </c>
      <c r="F1026" s="307">
        <f t="shared" si="403"/>
        <v>216.84722222222223</v>
      </c>
      <c r="G1026" s="182">
        <f t="shared" si="403"/>
        <v>19.312228074107246</v>
      </c>
      <c r="H1026" s="182">
        <f t="shared" si="403"/>
        <v>17.633333333333333</v>
      </c>
      <c r="I1026" s="182">
        <f t="shared" si="403"/>
        <v>0</v>
      </c>
      <c r="J1026" s="182">
        <f t="shared" si="403"/>
        <v>17.633333333333333</v>
      </c>
      <c r="K1026" s="182">
        <f t="shared" si="403"/>
        <v>0</v>
      </c>
      <c r="L1026" s="182">
        <f t="shared" si="403"/>
        <v>0</v>
      </c>
      <c r="M1026" s="237">
        <f t="shared" si="403"/>
        <v>179.90166081478165</v>
      </c>
      <c r="N1026" s="227">
        <f t="shared" si="403"/>
        <v>65.666666666666671</v>
      </c>
      <c r="O1026" s="227">
        <f t="shared" si="394"/>
        <v>237.64676853043386</v>
      </c>
      <c r="P1026" s="254">
        <f t="shared" si="395"/>
        <v>7.4999999999999997E-2</v>
      </c>
      <c r="Q1026" s="227">
        <f t="shared" si="396"/>
        <v>-17.823507639782537</v>
      </c>
      <c r="R1026" s="310">
        <f t="shared" si="397"/>
        <v>219.82326089065131</v>
      </c>
      <c r="S1026" s="255">
        <f>+S999/($H$10*24)</f>
        <v>-47.249042105558047</v>
      </c>
      <c r="T1026" s="182" t="str">
        <f t="shared" si="398"/>
        <v/>
      </c>
      <c r="U1026" s="307">
        <f t="shared" si="399"/>
        <v>47.249042105558047</v>
      </c>
      <c r="V1026" s="304"/>
    </row>
    <row r="1027" spans="1:22" ht="15.75" customHeight="1" x14ac:dyDescent="0.3">
      <c r="A1027" s="192" t="s">
        <v>16</v>
      </c>
      <c r="B1027" s="189">
        <f>+B1000/($J$10*24)</f>
        <v>207.55913978494624</v>
      </c>
      <c r="C1027" s="182">
        <f t="shared" ref="C1027:N1027" si="404">+C1000/($J$10*24)</f>
        <v>0</v>
      </c>
      <c r="D1027" s="182">
        <f t="shared" si="404"/>
        <v>8.6451612903225801</v>
      </c>
      <c r="E1027" s="182">
        <f t="shared" si="404"/>
        <v>207.55913978494624</v>
      </c>
      <c r="F1027" s="307">
        <f t="shared" si="404"/>
        <v>216.20430107526883</v>
      </c>
      <c r="G1027" s="182">
        <f t="shared" si="404"/>
        <v>15.601313808429845</v>
      </c>
      <c r="H1027" s="182">
        <f t="shared" si="404"/>
        <v>15.618279569892474</v>
      </c>
      <c r="I1027" s="182">
        <f t="shared" si="404"/>
        <v>0</v>
      </c>
      <c r="J1027" s="182">
        <f t="shared" si="404"/>
        <v>15.618279569892474</v>
      </c>
      <c r="K1027" s="182">
        <f t="shared" si="404"/>
        <v>0</v>
      </c>
      <c r="L1027" s="182">
        <f t="shared" si="404"/>
        <v>0</v>
      </c>
      <c r="M1027" s="237">
        <f t="shared" si="404"/>
        <v>184.98470769694651</v>
      </c>
      <c r="N1027" s="227">
        <f t="shared" si="404"/>
        <v>63.333333333333336</v>
      </c>
      <c r="O1027" s="227">
        <f t="shared" si="394"/>
        <v>248.31804103027983</v>
      </c>
      <c r="P1027" s="254">
        <f t="shared" si="395"/>
        <v>0.05</v>
      </c>
      <c r="Q1027" s="227">
        <f t="shared" si="396"/>
        <v>-12.415902051513992</v>
      </c>
      <c r="R1027" s="310">
        <f t="shared" si="397"/>
        <v>235.90213897876583</v>
      </c>
      <c r="S1027" s="255">
        <f>+S1000/($J$10*24)</f>
        <v>-50.91743128181934</v>
      </c>
      <c r="T1027" s="182" t="str">
        <f t="shared" si="398"/>
        <v/>
      </c>
      <c r="U1027" s="307">
        <f t="shared" si="399"/>
        <v>50.91743128181934</v>
      </c>
      <c r="V1027" s="304"/>
    </row>
    <row r="1028" spans="1:22" ht="15.75" customHeight="1" x14ac:dyDescent="0.3">
      <c r="A1028" s="192" t="s">
        <v>17</v>
      </c>
      <c r="B1028" s="189">
        <f>+B1001/($K$10*24)</f>
        <v>201.74731182795699</v>
      </c>
      <c r="C1028" s="182">
        <f t="shared" ref="C1028:N1028" si="405">+C1001/($K$10*24)</f>
        <v>0</v>
      </c>
      <c r="D1028" s="182">
        <f t="shared" si="405"/>
        <v>8.44758064516129</v>
      </c>
      <c r="E1028" s="182">
        <f t="shared" si="405"/>
        <v>201.74731182795699</v>
      </c>
      <c r="F1028" s="307">
        <f t="shared" si="405"/>
        <v>210.19489247311827</v>
      </c>
      <c r="G1028" s="182">
        <f t="shared" si="405"/>
        <v>11.342003460100464</v>
      </c>
      <c r="H1028" s="182">
        <f t="shared" si="405"/>
        <v>13.76478494623656</v>
      </c>
      <c r="I1028" s="182">
        <f t="shared" si="405"/>
        <v>0</v>
      </c>
      <c r="J1028" s="182">
        <f t="shared" si="405"/>
        <v>13.76478494623656</v>
      </c>
      <c r="K1028" s="182">
        <f t="shared" si="405"/>
        <v>0</v>
      </c>
      <c r="L1028" s="182">
        <f t="shared" si="405"/>
        <v>0</v>
      </c>
      <c r="M1028" s="237">
        <f t="shared" si="405"/>
        <v>185.08810406678126</v>
      </c>
      <c r="N1028" s="227">
        <f t="shared" si="405"/>
        <v>79</v>
      </c>
      <c r="O1028" s="227">
        <f t="shared" si="394"/>
        <v>264.08810406678128</v>
      </c>
      <c r="P1028" s="254">
        <f t="shared" si="395"/>
        <v>0</v>
      </c>
      <c r="Q1028" s="227">
        <f t="shared" si="396"/>
        <v>0</v>
      </c>
      <c r="R1028" s="310">
        <f t="shared" si="397"/>
        <v>264.08810406678128</v>
      </c>
      <c r="S1028" s="255">
        <f>+S1001/($K$10*24)</f>
        <v>-79</v>
      </c>
      <c r="T1028" s="182" t="str">
        <f t="shared" si="398"/>
        <v/>
      </c>
      <c r="U1028" s="307">
        <f t="shared" si="399"/>
        <v>79</v>
      </c>
      <c r="V1028" s="304"/>
    </row>
    <row r="1029" spans="1:22" ht="15.75" customHeight="1" x14ac:dyDescent="0.3">
      <c r="A1029" s="192" t="s">
        <v>18</v>
      </c>
      <c r="B1029" s="189">
        <f>+B1002/($L$10*24)</f>
        <v>350.33055555555558</v>
      </c>
      <c r="C1029" s="182">
        <f t="shared" ref="C1029:N1029" si="406">+C1002/($L$10*24)</f>
        <v>0</v>
      </c>
      <c r="D1029" s="182">
        <f t="shared" si="406"/>
        <v>15.401388888888889</v>
      </c>
      <c r="E1029" s="182">
        <f t="shared" si="406"/>
        <v>350.33055555555558</v>
      </c>
      <c r="F1029" s="307">
        <f t="shared" si="406"/>
        <v>365.73194444444442</v>
      </c>
      <c r="G1029" s="182">
        <f t="shared" si="406"/>
        <v>0</v>
      </c>
      <c r="H1029" s="182">
        <f t="shared" si="406"/>
        <v>14.206944444444444</v>
      </c>
      <c r="I1029" s="182">
        <f t="shared" si="406"/>
        <v>0</v>
      </c>
      <c r="J1029" s="182">
        <f t="shared" si="406"/>
        <v>14.206944444444444</v>
      </c>
      <c r="K1029" s="182">
        <f t="shared" si="406"/>
        <v>0</v>
      </c>
      <c r="L1029" s="182">
        <f t="shared" si="406"/>
        <v>0</v>
      </c>
      <c r="M1029" s="237">
        <f t="shared" si="406"/>
        <v>351.52499999999998</v>
      </c>
      <c r="N1029" s="227">
        <f t="shared" si="406"/>
        <v>0</v>
      </c>
      <c r="O1029" s="227">
        <f t="shared" si="394"/>
        <v>340.18548387096774</v>
      </c>
      <c r="P1029" s="254">
        <f t="shared" si="395"/>
        <v>0.05</v>
      </c>
      <c r="Q1029" s="227">
        <f t="shared" si="396"/>
        <v>-17.009274193548389</v>
      </c>
      <c r="R1029" s="310">
        <f t="shared" si="397"/>
        <v>323.17620967741937</v>
      </c>
      <c r="S1029" s="255">
        <f>+S1002/($L$10*24)</f>
        <v>17.576249999999991</v>
      </c>
      <c r="T1029" s="182">
        <f t="shared" si="398"/>
        <v>17.576249999999991</v>
      </c>
      <c r="U1029" s="307" t="str">
        <f t="shared" si="399"/>
        <v/>
      </c>
      <c r="V1029" s="304"/>
    </row>
    <row r="1030" spans="1:22" ht="15.75" customHeight="1" x14ac:dyDescent="0.3">
      <c r="A1030" s="192" t="s">
        <v>20</v>
      </c>
      <c r="B1030" s="189">
        <f>+B1003/($N$10*24)</f>
        <v>322.76747311827955</v>
      </c>
      <c r="C1030" s="182">
        <f t="shared" ref="C1030:N1030" si="407">+C1003/($N$10*24)</f>
        <v>0</v>
      </c>
      <c r="D1030" s="182">
        <f t="shared" si="407"/>
        <v>14.05241935483871</v>
      </c>
      <c r="E1030" s="182">
        <f t="shared" si="407"/>
        <v>322.76747311827955</v>
      </c>
      <c r="F1030" s="307">
        <f t="shared" si="407"/>
        <v>336.81989247311827</v>
      </c>
      <c r="G1030" s="182">
        <f t="shared" si="407"/>
        <v>0</v>
      </c>
      <c r="H1030" s="182">
        <f t="shared" si="407"/>
        <v>13.580645161290322</v>
      </c>
      <c r="I1030" s="182">
        <f t="shared" si="407"/>
        <v>0</v>
      </c>
      <c r="J1030" s="182">
        <f t="shared" si="407"/>
        <v>13.580645161290322</v>
      </c>
      <c r="K1030" s="182">
        <f t="shared" si="407"/>
        <v>0</v>
      </c>
      <c r="L1030" s="182">
        <f t="shared" si="407"/>
        <v>0</v>
      </c>
      <c r="M1030" s="237">
        <f t="shared" si="407"/>
        <v>323.23924731182797</v>
      </c>
      <c r="N1030" s="227">
        <f t="shared" si="407"/>
        <v>0</v>
      </c>
      <c r="O1030" s="227">
        <f t="shared" si="394"/>
        <v>323.23924731182797</v>
      </c>
      <c r="P1030" s="254">
        <f t="shared" si="395"/>
        <v>0.2</v>
      </c>
      <c r="Q1030" s="227">
        <f t="shared" si="396"/>
        <v>-64.647849462365599</v>
      </c>
      <c r="R1030" s="310">
        <f t="shared" si="397"/>
        <v>258.5913978494624</v>
      </c>
      <c r="S1030" s="255">
        <f>+S1003/($N$10*24)</f>
        <v>64.647849462365585</v>
      </c>
      <c r="T1030" s="182">
        <f t="shared" si="398"/>
        <v>64.647849462365585</v>
      </c>
      <c r="U1030" s="307" t="str">
        <f t="shared" si="399"/>
        <v/>
      </c>
      <c r="V1030" s="304"/>
    </row>
    <row r="1031" spans="1:22" ht="15.75" customHeight="1" x14ac:dyDescent="0.3">
      <c r="A1031" s="192" t="s">
        <v>21</v>
      </c>
      <c r="B1031" s="189">
        <f>+B1004/($O$10*24)</f>
        <v>264.99305555555554</v>
      </c>
      <c r="C1031" s="182">
        <f t="shared" ref="C1031:N1031" si="408">+C1004/($O$10*24)</f>
        <v>0</v>
      </c>
      <c r="D1031" s="182">
        <f t="shared" si="408"/>
        <v>11.313888888888888</v>
      </c>
      <c r="E1031" s="182">
        <f t="shared" si="408"/>
        <v>264.99305555555554</v>
      </c>
      <c r="F1031" s="307">
        <f t="shared" si="408"/>
        <v>276.30694444444447</v>
      </c>
      <c r="G1031" s="182">
        <f t="shared" si="408"/>
        <v>0</v>
      </c>
      <c r="H1031" s="182">
        <f t="shared" si="408"/>
        <v>15.036111111111111</v>
      </c>
      <c r="I1031" s="182">
        <f t="shared" si="408"/>
        <v>0</v>
      </c>
      <c r="J1031" s="182">
        <f t="shared" si="408"/>
        <v>15.036111111111111</v>
      </c>
      <c r="K1031" s="182">
        <f t="shared" si="408"/>
        <v>0</v>
      </c>
      <c r="L1031" s="182">
        <f t="shared" si="408"/>
        <v>0</v>
      </c>
      <c r="M1031" s="237">
        <f t="shared" si="408"/>
        <v>261.27083333333331</v>
      </c>
      <c r="N1031" s="227">
        <f t="shared" si="408"/>
        <v>0</v>
      </c>
      <c r="O1031" s="227">
        <f t="shared" si="394"/>
        <v>252.84274193548387</v>
      </c>
      <c r="P1031" s="254">
        <f t="shared" si="395"/>
        <v>0.2</v>
      </c>
      <c r="Q1031" s="227">
        <f t="shared" si="396"/>
        <v>-50.568548387096776</v>
      </c>
      <c r="R1031" s="310">
        <f t="shared" si="397"/>
        <v>202.2741935483871</v>
      </c>
      <c r="S1031" s="255">
        <f>+S1004/($O$10*24)</f>
        <v>52.25416666666667</v>
      </c>
      <c r="T1031" s="182">
        <f t="shared" si="398"/>
        <v>52.25416666666667</v>
      </c>
      <c r="U1031" s="307" t="str">
        <f t="shared" si="399"/>
        <v/>
      </c>
      <c r="V1031" s="304"/>
    </row>
    <row r="1032" spans="1:22" ht="15.75" customHeight="1" thickBot="1" x14ac:dyDescent="0.35">
      <c r="A1032" s="192" t="s">
        <v>22</v>
      </c>
      <c r="B1032" s="204">
        <f>+B1005/($P$10*24)</f>
        <v>274.57123655913978</v>
      </c>
      <c r="C1032" s="205">
        <f t="shared" ref="C1032:N1032" si="409">+C1005/($P$10*24)</f>
        <v>0</v>
      </c>
      <c r="D1032" s="205">
        <f t="shared" si="409"/>
        <v>11.637096774193548</v>
      </c>
      <c r="E1032" s="205">
        <f t="shared" si="409"/>
        <v>274.57123655913978</v>
      </c>
      <c r="F1032" s="245">
        <f t="shared" si="409"/>
        <v>286.20833333333331</v>
      </c>
      <c r="G1032" s="205">
        <f t="shared" si="409"/>
        <v>0</v>
      </c>
      <c r="H1032" s="205">
        <f t="shared" si="409"/>
        <v>8.9731182795698921</v>
      </c>
      <c r="I1032" s="205">
        <f t="shared" si="409"/>
        <v>0</v>
      </c>
      <c r="J1032" s="205">
        <f t="shared" si="409"/>
        <v>8.9731182795698921</v>
      </c>
      <c r="K1032" s="205">
        <f t="shared" si="409"/>
        <v>0</v>
      </c>
      <c r="L1032" s="205">
        <f t="shared" si="409"/>
        <v>0</v>
      </c>
      <c r="M1032" s="246">
        <f t="shared" si="409"/>
        <v>277.23521505376345</v>
      </c>
      <c r="N1032" s="247">
        <f t="shared" si="409"/>
        <v>0</v>
      </c>
      <c r="O1032" s="248">
        <f t="shared" si="394"/>
        <v>277.23521505376345</v>
      </c>
      <c r="P1032" s="249">
        <f t="shared" si="395"/>
        <v>0.2</v>
      </c>
      <c r="Q1032" s="247">
        <f t="shared" si="396"/>
        <v>-55.447043010752694</v>
      </c>
      <c r="R1032" s="248">
        <f t="shared" si="397"/>
        <v>221.78817204301077</v>
      </c>
      <c r="S1032" s="256">
        <f>+S1005/($P$10*24)</f>
        <v>55.447043010752694</v>
      </c>
      <c r="T1032" s="205">
        <f t="shared" si="398"/>
        <v>55.447043010752694</v>
      </c>
      <c r="U1032" s="245" t="str">
        <f t="shared" si="399"/>
        <v/>
      </c>
      <c r="V1032" s="304"/>
    </row>
    <row r="1033" spans="1:22" ht="15.75" customHeight="1" x14ac:dyDescent="0.3">
      <c r="A1033" s="257"/>
      <c r="V1033" s="304"/>
    </row>
    <row r="1034" spans="1:22" ht="16.5" customHeight="1" thickBot="1" x14ac:dyDescent="0.35">
      <c r="A1034" s="258"/>
      <c r="B1034" s="135"/>
      <c r="C1034" s="135"/>
      <c r="D1034" s="135"/>
      <c r="E1034" s="135"/>
      <c r="F1034" s="135"/>
      <c r="G1034" s="135"/>
      <c r="H1034" s="135"/>
      <c r="I1034" s="135"/>
      <c r="J1034" s="135"/>
      <c r="K1034" s="135"/>
      <c r="L1034" s="135"/>
      <c r="M1034" s="135"/>
      <c r="N1034" s="135"/>
      <c r="O1034" s="135"/>
      <c r="P1034" s="135"/>
      <c r="Q1034" s="135"/>
      <c r="R1034" s="135"/>
      <c r="S1034" s="135"/>
      <c r="T1034" s="135"/>
      <c r="U1034" s="135"/>
      <c r="V1034" s="136"/>
    </row>
    <row r="1035" spans="1:22" ht="15.75" customHeight="1" x14ac:dyDescent="0.3">
      <c r="A1035" s="259"/>
      <c r="B1035" s="180"/>
      <c r="C1035" s="180"/>
      <c r="D1035" s="180"/>
      <c r="E1035" s="180"/>
      <c r="F1035" s="180"/>
      <c r="G1035" s="180"/>
      <c r="H1035" s="180"/>
      <c r="I1035" s="180"/>
      <c r="J1035" s="180"/>
      <c r="K1035" s="180"/>
      <c r="L1035" s="180"/>
      <c r="M1035" s="180"/>
      <c r="N1035" s="180"/>
      <c r="O1035" s="180"/>
      <c r="P1035" s="180"/>
      <c r="Q1035" s="180"/>
      <c r="R1035" s="180"/>
    </row>
    <row r="1036" spans="1:22" ht="15.75" customHeight="1" x14ac:dyDescent="0.3">
      <c r="A1036" s="260"/>
    </row>
    <row r="1037" spans="1:22" ht="15.75" customHeight="1" thickBot="1" x14ac:dyDescent="0.35">
      <c r="A1037" s="260"/>
    </row>
    <row r="1038" spans="1:22" ht="15.75" customHeight="1" x14ac:dyDescent="0.3">
      <c r="A1038" s="261"/>
      <c r="B1038" s="387" t="s">
        <v>780</v>
      </c>
      <c r="C1038" s="387"/>
      <c r="D1038" s="387"/>
      <c r="E1038" s="387"/>
      <c r="F1038" s="387"/>
      <c r="G1038" s="387"/>
      <c r="H1038" s="387"/>
      <c r="I1038" s="387"/>
      <c r="J1038" s="387"/>
      <c r="K1038" s="387"/>
      <c r="L1038" s="387"/>
      <c r="M1038" s="387"/>
      <c r="N1038" s="387"/>
      <c r="O1038" s="387"/>
      <c r="P1038" s="387"/>
      <c r="Q1038" s="177" t="str">
        <f>+Q1</f>
        <v xml:space="preserve">PRINTED:  </v>
      </c>
      <c r="R1038" s="197">
        <f ca="1">+R1</f>
        <v>44894.658168518516</v>
      </c>
      <c r="S1038" s="198"/>
    </row>
    <row r="1039" spans="1:22" ht="15.75" customHeight="1" x14ac:dyDescent="0.3">
      <c r="A1039" s="262"/>
      <c r="B1039" s="394" t="str">
        <f>+A8</f>
        <v>Revised:  11/27/2018</v>
      </c>
      <c r="C1039" s="394"/>
      <c r="D1039" s="394"/>
      <c r="E1039" s="394"/>
      <c r="F1039" s="394"/>
      <c r="G1039" s="394"/>
      <c r="H1039" s="394"/>
      <c r="I1039" s="394"/>
      <c r="J1039" s="394"/>
      <c r="K1039" s="394"/>
      <c r="L1039" s="394"/>
      <c r="M1039" s="394"/>
      <c r="N1039" s="394"/>
      <c r="O1039" s="394"/>
      <c r="P1039" s="394"/>
      <c r="Q1039" s="180"/>
      <c r="R1039" s="180"/>
      <c r="S1039" s="304"/>
    </row>
    <row r="1040" spans="1:22" ht="16.5" customHeight="1" x14ac:dyDescent="0.3">
      <c r="A1040" s="262"/>
      <c r="B1040" s="394" t="s">
        <v>670</v>
      </c>
      <c r="C1040" s="394"/>
      <c r="D1040" s="394"/>
      <c r="E1040" s="394"/>
      <c r="F1040" s="394"/>
      <c r="G1040" s="394"/>
      <c r="H1040" s="394"/>
      <c r="I1040" s="394"/>
      <c r="J1040" s="394"/>
      <c r="K1040" s="394"/>
      <c r="L1040" s="394"/>
      <c r="M1040" s="394"/>
      <c r="N1040" s="394"/>
      <c r="O1040" s="394"/>
      <c r="P1040" s="394"/>
      <c r="Q1040" s="180"/>
      <c r="R1040" s="180"/>
      <c r="S1040" s="304"/>
    </row>
    <row r="1041" spans="1:50" ht="15.75" customHeight="1" x14ac:dyDescent="0.3">
      <c r="A1041" s="262"/>
      <c r="B1041" s="180"/>
      <c r="C1041" s="180"/>
      <c r="D1041" s="180"/>
      <c r="E1041" s="180"/>
      <c r="F1041" s="180"/>
      <c r="G1041" s="180"/>
      <c r="H1041" s="180"/>
      <c r="I1041" s="180"/>
      <c r="J1041" s="180"/>
      <c r="K1041" s="180"/>
      <c r="L1041" s="180"/>
      <c r="M1041" s="180"/>
      <c r="N1041" s="180"/>
      <c r="O1041" s="180"/>
      <c r="P1041" s="180"/>
      <c r="Q1041" s="180"/>
      <c r="R1041" s="180"/>
      <c r="S1041" s="304"/>
      <c r="AG1041" s="192"/>
    </row>
    <row r="1042" spans="1:50" ht="15.75" customHeight="1" x14ac:dyDescent="0.3">
      <c r="A1042" s="262"/>
      <c r="B1042" s="415">
        <f>+A5</f>
        <v>2019</v>
      </c>
      <c r="C1042" s="395"/>
      <c r="D1042" s="395"/>
      <c r="E1042" s="395"/>
      <c r="F1042" s="395"/>
      <c r="G1042" s="395"/>
      <c r="H1042" s="395"/>
      <c r="I1042" s="395"/>
      <c r="J1042" s="395"/>
      <c r="K1042" s="395"/>
      <c r="L1042" s="395"/>
      <c r="M1042" s="395"/>
      <c r="N1042" s="395"/>
      <c r="O1042" s="395"/>
      <c r="P1042" s="395"/>
      <c r="Q1042" s="180"/>
      <c r="R1042" s="180"/>
      <c r="S1042" s="304"/>
      <c r="AE1042" s="4" t="s">
        <v>781</v>
      </c>
      <c r="AF1042" s="4" t="s">
        <v>782</v>
      </c>
    </row>
    <row r="1043" spans="1:50" ht="15.75" customHeight="1" thickBot="1" x14ac:dyDescent="0.35">
      <c r="A1043" s="262"/>
      <c r="B1043" s="394" t="s">
        <v>708</v>
      </c>
      <c r="C1043" s="394"/>
      <c r="D1043" s="394"/>
      <c r="E1043" s="394"/>
      <c r="F1043" s="394"/>
      <c r="G1043" s="394"/>
      <c r="H1043" s="394"/>
      <c r="I1043" s="394"/>
      <c r="J1043" s="394"/>
      <c r="K1043" s="394"/>
      <c r="L1043" s="394"/>
      <c r="M1043" s="394"/>
      <c r="N1043" s="394"/>
      <c r="O1043" s="394"/>
      <c r="P1043" s="394"/>
      <c r="Q1043" s="180"/>
      <c r="R1043" s="180"/>
      <c r="S1043" s="304"/>
      <c r="V1043" s="4" t="s">
        <v>783</v>
      </c>
      <c r="AC1043" s="4" t="s">
        <v>784</v>
      </c>
      <c r="AD1043" s="263" t="s">
        <v>785</v>
      </c>
      <c r="AE1043" s="4">
        <f>DAY(DATE($A$5,MONTH(CONCATENATE(1,"-",AD1043,"-",$A$5))+1,1)-1)</f>
        <v>28</v>
      </c>
      <c r="AI1043" s="264"/>
      <c r="AJ1043" s="264"/>
    </row>
    <row r="1044" spans="1:50" ht="15.75" customHeight="1" x14ac:dyDescent="0.3">
      <c r="A1044" s="262"/>
      <c r="B1044" s="420" t="s">
        <v>786</v>
      </c>
      <c r="C1044" s="421"/>
      <c r="D1044" s="422"/>
      <c r="E1044" s="182"/>
      <c r="F1044" s="182"/>
      <c r="G1044" s="182"/>
      <c r="H1044" s="182"/>
      <c r="I1044" s="182"/>
      <c r="J1044" s="182"/>
      <c r="K1044" s="182"/>
      <c r="L1044" s="182"/>
      <c r="M1044" s="182"/>
      <c r="N1044" s="182"/>
      <c r="O1044" s="182"/>
      <c r="P1044" s="182"/>
      <c r="Q1044" s="180"/>
      <c r="R1044" s="180"/>
      <c r="S1044" s="265"/>
      <c r="T1044" s="444" t="s">
        <v>787</v>
      </c>
      <c r="U1044" s="445"/>
      <c r="V1044" s="445" t="s">
        <v>788</v>
      </c>
      <c r="W1044" s="445"/>
      <c r="X1044" s="266" t="s">
        <v>640</v>
      </c>
      <c r="Y1044" s="266" t="s">
        <v>789</v>
      </c>
      <c r="Z1044" s="266" t="s">
        <v>790</v>
      </c>
    </row>
    <row r="1045" spans="1:50" ht="15.75" customHeight="1" thickBot="1" x14ac:dyDescent="0.35">
      <c r="A1045" s="191" t="s">
        <v>768</v>
      </c>
      <c r="B1045" s="267" t="s">
        <v>791</v>
      </c>
      <c r="C1045" s="268" t="s">
        <v>792</v>
      </c>
      <c r="D1045" s="269" t="s">
        <v>793</v>
      </c>
      <c r="E1045" s="268" t="s">
        <v>678</v>
      </c>
      <c r="F1045" s="268" t="s">
        <v>679</v>
      </c>
      <c r="G1045" s="268" t="s">
        <v>680</v>
      </c>
      <c r="H1045" s="268" t="s">
        <v>794</v>
      </c>
      <c r="I1045" s="268" t="s">
        <v>795</v>
      </c>
      <c r="J1045" s="268" t="s">
        <v>681</v>
      </c>
      <c r="K1045" s="268" t="s">
        <v>682</v>
      </c>
      <c r="L1045" s="268" t="s">
        <v>683</v>
      </c>
      <c r="M1045" s="268" t="s">
        <v>684</v>
      </c>
      <c r="N1045" s="268" t="s">
        <v>685</v>
      </c>
      <c r="O1045" s="268" t="s">
        <v>686</v>
      </c>
      <c r="P1045" s="268" t="s">
        <v>687</v>
      </c>
      <c r="Q1045" s="268" t="s">
        <v>688</v>
      </c>
      <c r="R1045" s="268" t="s">
        <v>689</v>
      </c>
      <c r="S1045" s="269" t="s">
        <v>638</v>
      </c>
      <c r="T1045" s="268" t="s">
        <v>796</v>
      </c>
      <c r="U1045" s="268" t="s">
        <v>792</v>
      </c>
      <c r="V1045" s="268" t="s">
        <v>797</v>
      </c>
      <c r="W1045" s="268" t="s">
        <v>792</v>
      </c>
      <c r="X1045" s="268" t="s">
        <v>127</v>
      </c>
      <c r="Y1045" s="268" t="s">
        <v>798</v>
      </c>
      <c r="Z1045" s="268" t="s">
        <v>799</v>
      </c>
      <c r="AD1045" s="191" t="s">
        <v>677</v>
      </c>
      <c r="AE1045" s="191" t="s">
        <v>678</v>
      </c>
      <c r="AF1045" s="191" t="s">
        <v>679</v>
      </c>
      <c r="AG1045" s="191" t="s">
        <v>680</v>
      </c>
      <c r="AH1045" s="191" t="s">
        <v>644</v>
      </c>
      <c r="AI1045" s="191" t="s">
        <v>681</v>
      </c>
      <c r="AJ1045" s="191" t="s">
        <v>682</v>
      </c>
      <c r="AK1045" s="191" t="s">
        <v>683</v>
      </c>
      <c r="AL1045" s="191" t="s">
        <v>684</v>
      </c>
      <c r="AM1045" s="191" t="s">
        <v>685</v>
      </c>
      <c r="AN1045" s="191" t="s">
        <v>686</v>
      </c>
      <c r="AO1045" s="191" t="s">
        <v>687</v>
      </c>
      <c r="AP1045" s="191" t="s">
        <v>688</v>
      </c>
      <c r="AQ1045" s="191" t="s">
        <v>689</v>
      </c>
      <c r="AR1045" s="191" t="s">
        <v>638</v>
      </c>
      <c r="AS1045" s="191" t="s">
        <v>641</v>
      </c>
      <c r="AT1045" s="191" t="s">
        <v>800</v>
      </c>
      <c r="AU1045" s="191" t="s">
        <v>641</v>
      </c>
      <c r="AW1045" s="270" t="s">
        <v>801</v>
      </c>
      <c r="AX1045" s="270" t="s">
        <v>802</v>
      </c>
    </row>
    <row r="1046" spans="1:50" ht="15.75" customHeight="1" x14ac:dyDescent="0.3">
      <c r="A1046" s="211" t="s">
        <v>8</v>
      </c>
      <c r="B1046" s="211">
        <f>+F1073</f>
        <v>196</v>
      </c>
      <c r="C1046" s="192">
        <f t="shared" ref="B1046:C1057" si="410">+G1073</f>
        <v>0</v>
      </c>
      <c r="D1046" s="312" t="s">
        <v>803</v>
      </c>
      <c r="E1046" s="192">
        <f>+C966/$B$10/24</f>
        <v>14.461021505376344</v>
      </c>
      <c r="F1046" s="192">
        <f t="shared" ref="F1046:S1046" si="411">+D966/$B$10/24</f>
        <v>15.155913978494624</v>
      </c>
      <c r="G1046" s="192">
        <f t="shared" si="411"/>
        <v>25.64516129032258</v>
      </c>
      <c r="H1046" s="192">
        <f t="shared" si="411"/>
        <v>14.067516001664044</v>
      </c>
      <c r="I1046" s="192">
        <f t="shared" si="411"/>
        <v>-5.6608057119387993</v>
      </c>
      <c r="J1046" s="192">
        <f t="shared" si="411"/>
        <v>5.6088709677419359</v>
      </c>
      <c r="K1046" s="192">
        <f t="shared" si="411"/>
        <v>3.9731182795698925</v>
      </c>
      <c r="L1046" s="192">
        <f t="shared" si="411"/>
        <v>6.139784946236559</v>
      </c>
      <c r="M1046" s="192">
        <f t="shared" si="411"/>
        <v>6.3266129032258069</v>
      </c>
      <c r="N1046" s="192">
        <f t="shared" si="411"/>
        <v>2.1223118279569895</v>
      </c>
      <c r="O1046" s="192">
        <f t="shared" si="411"/>
        <v>2.5013440860215055</v>
      </c>
      <c r="P1046" s="192">
        <f t="shared" si="411"/>
        <v>5.228494623655914</v>
      </c>
      <c r="Q1046" s="192">
        <f t="shared" si="411"/>
        <v>1.2231182795698925</v>
      </c>
      <c r="R1046" s="192">
        <f t="shared" si="411"/>
        <v>1.739247311827957</v>
      </c>
      <c r="S1046" s="312">
        <f t="shared" si="411"/>
        <v>2.896505376344086</v>
      </c>
      <c r="T1046" s="192">
        <f>+B1046+SUM(E1046:S1046)</f>
        <v>297.42821566606932</v>
      </c>
      <c r="U1046" s="192">
        <f t="shared" ref="U1046:U1057" si="412">+C1046+SUM(E1046:S1046)</f>
        <v>101.42821566606933</v>
      </c>
      <c r="V1046" s="192">
        <f>+B1046+SUM(E1046:G1046)</f>
        <v>251.26209677419354</v>
      </c>
      <c r="W1046" s="192">
        <f>+C1046+SUM(E1046:G1046)</f>
        <v>55.262096774193552</v>
      </c>
      <c r="X1046" s="192">
        <f>+H1046</f>
        <v>14.067516001664044</v>
      </c>
      <c r="Y1046" s="192">
        <f>+I1046</f>
        <v>-5.6608057119387993</v>
      </c>
      <c r="Z1046" s="192">
        <f>+SUM(J1046:S1046)</f>
        <v>37.759408602150543</v>
      </c>
      <c r="AC1046" s="4">
        <v>1</v>
      </c>
      <c r="AD1046" s="192">
        <f>IF($AF$1043=1,VLOOKUP($AD$1043,$A$1073:$P$1084,12,FALSE),VLOOKUP($AD$1043,$A$1046:$S$1057,2,FALSE))</f>
        <v>98</v>
      </c>
      <c r="AE1046" s="192">
        <f>VLOOKUP($AD$1043,$A$1046:$S$1057,5,FALSE)</f>
        <v>29.59672619047619</v>
      </c>
      <c r="AF1046" s="192">
        <f>VLOOKUP($AD$1043,$A$1046:$S$1057,6,FALSE)</f>
        <v>31.02529761904762</v>
      </c>
      <c r="AG1046" s="192">
        <f>VLOOKUP($AD$1043,$A$1046:$S$1057,7,FALSE)</f>
        <v>52.639880952380956</v>
      </c>
      <c r="AH1046" s="192">
        <f>VLOOKUP($AD$1043,$A$1046:$S$1057,8,FALSE)</f>
        <v>24.268171183916024</v>
      </c>
      <c r="AI1046" s="192">
        <f>VLOOKUP($AD$1043,$A$1046:$S$1057,10,FALSE)</f>
        <v>8.5669642857142865</v>
      </c>
      <c r="AJ1046" s="192">
        <f>VLOOKUP($AD$1043,$A$1046:$S$1057,11,FALSE)</f>
        <v>5.2842261904761907</v>
      </c>
      <c r="AK1046" s="192">
        <f>VLOOKUP($AD$1043,$A$1046:$S$1057,12,FALSE)</f>
        <v>8.1592261904761916</v>
      </c>
      <c r="AL1046" s="192">
        <f>VLOOKUP($AD$1043,$A$1046:$S$1057,13,FALSE)</f>
        <v>8.2410714285714288</v>
      </c>
      <c r="AM1046" s="192">
        <f>VLOOKUP($AD$1043,$A$1046:$S$1057,14,FALSE)</f>
        <v>2.7529761904761902</v>
      </c>
      <c r="AN1046" s="192">
        <f>VLOOKUP($AD$1043,$A$1046:$S$1057,15,FALSE)</f>
        <v>3.245535714285714</v>
      </c>
      <c r="AO1046" s="192">
        <f>VLOOKUP($AD$1043,$A$1046:$S$1057,16,FALSE)</f>
        <v>6.7782738095238093</v>
      </c>
      <c r="AP1046" s="192">
        <f>VLOOKUP($AD$1043,$A$1046:$S$1057,17,FALSE)</f>
        <v>1.2782738095238095</v>
      </c>
      <c r="AQ1046" s="192">
        <f>VLOOKUP($AD$1043,$A$1046:$S$1057,18,FALSE)</f>
        <v>1.9255952380952381</v>
      </c>
      <c r="AR1046" s="192">
        <f>VLOOKUP($AD$1043,$A$1046:$S$1057,19,FALSE)</f>
        <v>3.0252976190476191</v>
      </c>
      <c r="AS1046" s="192">
        <f>SUM(AD1046:AR1046)</f>
        <v>284.78751642201127</v>
      </c>
      <c r="AT1046" s="192">
        <f>VLOOKUP($AD$1043,$AC$966:$AS$977,17,FALSE)/$AE$1043*(AS1046/$AS$1070)</f>
        <v>23.00149352063621</v>
      </c>
      <c r="AU1046" s="192">
        <f>AS1046+AT1046</f>
        <v>307.78900994264745</v>
      </c>
      <c r="AW1046" s="192">
        <f>VLOOKUP($AD$1043,$A$994:$O$1007,15,FALSE)/$AE$1043/24</f>
        <v>421.61309523809524</v>
      </c>
      <c r="AX1046" s="192">
        <f>AU1046-AW1046</f>
        <v>-113.82408529544779</v>
      </c>
    </row>
    <row r="1047" spans="1:50" ht="15.75" customHeight="1" x14ac:dyDescent="0.3">
      <c r="A1047" s="211" t="s">
        <v>9</v>
      </c>
      <c r="B1047" s="211">
        <f t="shared" si="410"/>
        <v>98</v>
      </c>
      <c r="C1047" s="192">
        <f t="shared" si="410"/>
        <v>0</v>
      </c>
      <c r="D1047" s="312" t="s">
        <v>803</v>
      </c>
      <c r="E1047" s="192">
        <f t="shared" ref="E1047:S1047" si="413">+C967/$C$10/24</f>
        <v>29.59672619047619</v>
      </c>
      <c r="F1047" s="192">
        <f t="shared" si="413"/>
        <v>31.02529761904762</v>
      </c>
      <c r="G1047" s="192">
        <f t="shared" si="413"/>
        <v>52.639880952380956</v>
      </c>
      <c r="H1047" s="192">
        <f t="shared" si="413"/>
        <v>24.268171183916024</v>
      </c>
      <c r="I1047" s="192">
        <f t="shared" si="413"/>
        <v>0</v>
      </c>
      <c r="J1047" s="192">
        <f t="shared" si="413"/>
        <v>8.5669642857142865</v>
      </c>
      <c r="K1047" s="192">
        <f t="shared" si="413"/>
        <v>5.2842261904761907</v>
      </c>
      <c r="L1047" s="192">
        <f t="shared" si="413"/>
        <v>8.1592261904761916</v>
      </c>
      <c r="M1047" s="192">
        <f t="shared" si="413"/>
        <v>8.2410714285714288</v>
      </c>
      <c r="N1047" s="192">
        <f t="shared" si="413"/>
        <v>2.7529761904761902</v>
      </c>
      <c r="O1047" s="192">
        <f t="shared" si="413"/>
        <v>3.245535714285714</v>
      </c>
      <c r="P1047" s="192">
        <f t="shared" si="413"/>
        <v>6.7782738095238093</v>
      </c>
      <c r="Q1047" s="192">
        <f t="shared" si="413"/>
        <v>1.2782738095238095</v>
      </c>
      <c r="R1047" s="192">
        <f t="shared" si="413"/>
        <v>1.9255952380952381</v>
      </c>
      <c r="S1047" s="312">
        <f t="shared" si="413"/>
        <v>3.0252976190476191</v>
      </c>
      <c r="T1047" s="192">
        <f t="shared" ref="T1047:T1057" si="414">+B1047+SUM(E1047:S1047)</f>
        <v>284.78751642201127</v>
      </c>
      <c r="U1047" s="192">
        <f t="shared" si="412"/>
        <v>186.78751642201127</v>
      </c>
      <c r="V1047" s="192">
        <f t="shared" ref="V1047:V1057" si="415">+B1047+SUM(E1047:G1047)</f>
        <v>211.26190476190476</v>
      </c>
      <c r="W1047" s="192">
        <f t="shared" ref="W1047:W1057" si="416">+C1047+SUM(E1047:G1047)</f>
        <v>113.26190476190476</v>
      </c>
      <c r="X1047" s="192">
        <f t="shared" ref="X1047:Y1057" si="417">+H1047</f>
        <v>24.268171183916024</v>
      </c>
      <c r="Y1047" s="192">
        <f t="shared" si="417"/>
        <v>0</v>
      </c>
      <c r="Z1047" s="192">
        <f t="shared" ref="Z1047:Z1057" si="418">+SUM(J1047:S1047)</f>
        <v>49.257440476190489</v>
      </c>
      <c r="AC1047" s="4">
        <v>2</v>
      </c>
      <c r="AD1047" s="192">
        <f t="shared" ref="AD1047:AD1051" si="419">IF($AF$1043=1,VLOOKUP($AD$1043,$A$1073:$P$1084,12,FALSE),VLOOKUP($AD$1043,$A$1046:$S$1057,2,FALSE))</f>
        <v>98</v>
      </c>
      <c r="AE1047" s="192">
        <f t="shared" ref="AE1047:AE1069" si="420">VLOOKUP($AD$1043,$A$1046:$S$1057,5,FALSE)</f>
        <v>29.59672619047619</v>
      </c>
      <c r="AF1047" s="192">
        <f t="shared" ref="AF1047:AF1069" si="421">VLOOKUP($AD$1043,$A$1046:$S$1057,6,FALSE)</f>
        <v>31.02529761904762</v>
      </c>
      <c r="AG1047" s="192">
        <f t="shared" ref="AG1047:AG1069" si="422">VLOOKUP($AD$1043,$A$1046:$S$1057,7,FALSE)</f>
        <v>52.639880952380956</v>
      </c>
      <c r="AH1047" s="192">
        <f t="shared" ref="AH1047:AH1069" si="423">VLOOKUP($AD$1043,$A$1046:$S$1057,8,FALSE)</f>
        <v>24.268171183916024</v>
      </c>
      <c r="AI1047" s="192">
        <f t="shared" ref="AI1047:AI1069" si="424">VLOOKUP($AD$1043,$A$1046:$S$1057,10,FALSE)</f>
        <v>8.5669642857142865</v>
      </c>
      <c r="AJ1047" s="192">
        <f t="shared" ref="AJ1047:AJ1069" si="425">VLOOKUP($AD$1043,$A$1046:$S$1057,11,FALSE)</f>
        <v>5.2842261904761907</v>
      </c>
      <c r="AK1047" s="192">
        <f t="shared" ref="AK1047:AK1069" si="426">VLOOKUP($AD$1043,$A$1046:$S$1057,12,FALSE)</f>
        <v>8.1592261904761916</v>
      </c>
      <c r="AL1047" s="192">
        <f t="shared" ref="AL1047:AL1069" si="427">VLOOKUP($AD$1043,$A$1046:$S$1057,13,FALSE)</f>
        <v>8.2410714285714288</v>
      </c>
      <c r="AM1047" s="192">
        <f t="shared" ref="AM1047:AM1069" si="428">VLOOKUP($AD$1043,$A$1046:$S$1057,14,FALSE)</f>
        <v>2.7529761904761902</v>
      </c>
      <c r="AN1047" s="192">
        <f t="shared" ref="AN1047:AN1069" si="429">VLOOKUP($AD$1043,$A$1046:$S$1057,15,FALSE)</f>
        <v>3.245535714285714</v>
      </c>
      <c r="AO1047" s="192">
        <f t="shared" ref="AO1047:AO1069" si="430">VLOOKUP($AD$1043,$A$1046:$S$1057,16,FALSE)</f>
        <v>6.7782738095238093</v>
      </c>
      <c r="AP1047" s="192">
        <f t="shared" ref="AP1047:AP1069" si="431">VLOOKUP($AD$1043,$A$1046:$S$1057,17,FALSE)</f>
        <v>1.2782738095238095</v>
      </c>
      <c r="AQ1047" s="192">
        <f t="shared" ref="AQ1047:AQ1069" si="432">VLOOKUP($AD$1043,$A$1046:$S$1057,18,FALSE)</f>
        <v>1.9255952380952381</v>
      </c>
      <c r="AR1047" s="192">
        <f t="shared" ref="AR1047:AR1069" si="433">VLOOKUP($AD$1043,$A$1046:$S$1057,19,FALSE)</f>
        <v>3.0252976190476191</v>
      </c>
      <c r="AS1047" s="192">
        <f t="shared" ref="AS1047:AS1069" si="434">SUM(AD1047:AR1047)</f>
        <v>284.78751642201127</v>
      </c>
      <c r="AT1047" s="192">
        <f t="shared" ref="AT1047:AT1069" si="435">VLOOKUP($AD$1043,$AC$966:$AS$977,17,FALSE)/$AE$1043*(AS1047/$AS$1070)</f>
        <v>23.00149352063621</v>
      </c>
      <c r="AU1047" s="192">
        <f t="shared" ref="AU1047:AU1069" si="436">AS1047+AT1047</f>
        <v>307.78900994264745</v>
      </c>
      <c r="AW1047" s="192">
        <f t="shared" ref="AW1047:AW1069" si="437">VLOOKUP($AD$1043,$A$994:$O$1007,15,FALSE)/$AE$1043/24</f>
        <v>421.61309523809524</v>
      </c>
      <c r="AX1047" s="192">
        <f t="shared" ref="AX1047:AX1069" si="438">AU1047-AW1047</f>
        <v>-113.82408529544779</v>
      </c>
    </row>
    <row r="1048" spans="1:50" ht="15.75" customHeight="1" x14ac:dyDescent="0.3">
      <c r="A1048" s="211" t="s">
        <v>10</v>
      </c>
      <c r="B1048" s="211">
        <f t="shared" si="410"/>
        <v>294</v>
      </c>
      <c r="C1048" s="192">
        <f t="shared" si="410"/>
        <v>0</v>
      </c>
      <c r="D1048" s="312" t="s">
        <v>803</v>
      </c>
      <c r="E1048" s="192">
        <f t="shared" ref="E1048:S1048" si="439">+C968/$D$10/24</f>
        <v>29.4758064516129</v>
      </c>
      <c r="F1048" s="192">
        <f t="shared" si="439"/>
        <v>30.88037634408602</v>
      </c>
      <c r="G1048" s="192">
        <f t="shared" si="439"/>
        <v>51.223118279569889</v>
      </c>
      <c r="H1048" s="192">
        <f t="shared" si="439"/>
        <v>15.545332539233222</v>
      </c>
      <c r="I1048" s="192">
        <f t="shared" si="439"/>
        <v>0</v>
      </c>
      <c r="J1048" s="192">
        <f t="shared" si="439"/>
        <v>11.529569892473118</v>
      </c>
      <c r="K1048" s="192">
        <f t="shared" si="439"/>
        <v>6.5954301075268811</v>
      </c>
      <c r="L1048" s="192">
        <f t="shared" si="439"/>
        <v>9.1088709677419359</v>
      </c>
      <c r="M1048" s="192">
        <f t="shared" si="439"/>
        <v>8.5577956989247301</v>
      </c>
      <c r="N1048" s="192">
        <f t="shared" si="439"/>
        <v>2.702956989247312</v>
      </c>
      <c r="O1048" s="192">
        <f t="shared" si="439"/>
        <v>3.1841397849462365</v>
      </c>
      <c r="P1048" s="192">
        <f t="shared" si="439"/>
        <v>6.540322580645161</v>
      </c>
      <c r="Q1048" s="192">
        <f t="shared" si="439"/>
        <v>1.1841397849462365</v>
      </c>
      <c r="R1048" s="192">
        <f t="shared" si="439"/>
        <v>2.1733870967741935</v>
      </c>
      <c r="S1048" s="312">
        <f t="shared" si="439"/>
        <v>2.80241935483871</v>
      </c>
      <c r="T1048" s="192">
        <f t="shared" si="414"/>
        <v>475.50366587256656</v>
      </c>
      <c r="U1048" s="192">
        <f t="shared" si="412"/>
        <v>181.50366587256653</v>
      </c>
      <c r="V1048" s="192">
        <f t="shared" si="415"/>
        <v>405.5793010752688</v>
      </c>
      <c r="W1048" s="192">
        <f t="shared" si="416"/>
        <v>111.5793010752688</v>
      </c>
      <c r="X1048" s="192">
        <f t="shared" si="417"/>
        <v>15.545332539233222</v>
      </c>
      <c r="Y1048" s="192">
        <f t="shared" si="417"/>
        <v>0</v>
      </c>
      <c r="Z1048" s="192">
        <f t="shared" si="418"/>
        <v>54.37903225806452</v>
      </c>
      <c r="AC1048" s="4">
        <v>3</v>
      </c>
      <c r="AD1048" s="192">
        <f t="shared" si="419"/>
        <v>98</v>
      </c>
      <c r="AE1048" s="192">
        <f t="shared" si="420"/>
        <v>29.59672619047619</v>
      </c>
      <c r="AF1048" s="192">
        <f t="shared" si="421"/>
        <v>31.02529761904762</v>
      </c>
      <c r="AG1048" s="192">
        <f t="shared" si="422"/>
        <v>52.639880952380956</v>
      </c>
      <c r="AH1048" s="192">
        <f t="shared" si="423"/>
        <v>24.268171183916024</v>
      </c>
      <c r="AI1048" s="192">
        <f t="shared" si="424"/>
        <v>8.5669642857142865</v>
      </c>
      <c r="AJ1048" s="192">
        <f t="shared" si="425"/>
        <v>5.2842261904761907</v>
      </c>
      <c r="AK1048" s="192">
        <f t="shared" si="426"/>
        <v>8.1592261904761916</v>
      </c>
      <c r="AL1048" s="192">
        <f t="shared" si="427"/>
        <v>8.2410714285714288</v>
      </c>
      <c r="AM1048" s="192">
        <f t="shared" si="428"/>
        <v>2.7529761904761902</v>
      </c>
      <c r="AN1048" s="192">
        <f t="shared" si="429"/>
        <v>3.245535714285714</v>
      </c>
      <c r="AO1048" s="192">
        <f t="shared" si="430"/>
        <v>6.7782738095238093</v>
      </c>
      <c r="AP1048" s="192">
        <f t="shared" si="431"/>
        <v>1.2782738095238095</v>
      </c>
      <c r="AQ1048" s="192">
        <f t="shared" si="432"/>
        <v>1.9255952380952381</v>
      </c>
      <c r="AR1048" s="192">
        <f t="shared" si="433"/>
        <v>3.0252976190476191</v>
      </c>
      <c r="AS1048" s="192">
        <f t="shared" si="434"/>
        <v>284.78751642201127</v>
      </c>
      <c r="AT1048" s="192">
        <f t="shared" si="435"/>
        <v>23.00149352063621</v>
      </c>
      <c r="AU1048" s="192">
        <f t="shared" si="436"/>
        <v>307.78900994264745</v>
      </c>
      <c r="AW1048" s="192">
        <f t="shared" si="437"/>
        <v>421.61309523809524</v>
      </c>
      <c r="AX1048" s="192">
        <f t="shared" si="438"/>
        <v>-113.82408529544779</v>
      </c>
    </row>
    <row r="1049" spans="1:50" ht="15.75" customHeight="1" x14ac:dyDescent="0.3">
      <c r="A1049" s="211" t="s">
        <v>12</v>
      </c>
      <c r="B1049" s="211">
        <f t="shared" si="410"/>
        <v>294</v>
      </c>
      <c r="C1049" s="192">
        <f t="shared" si="410"/>
        <v>0</v>
      </c>
      <c r="D1049" s="312" t="s">
        <v>803</v>
      </c>
      <c r="E1049" s="192">
        <f t="shared" ref="E1049:S1049" si="440">+C969/$F$10/24</f>
        <v>29.563888888888886</v>
      </c>
      <c r="F1049" s="192">
        <f t="shared" si="440"/>
        <v>30.955555555555552</v>
      </c>
      <c r="G1049" s="192">
        <f t="shared" si="440"/>
        <v>50.977777777777781</v>
      </c>
      <c r="H1049" s="192">
        <f t="shared" si="440"/>
        <v>2.3867020191009307</v>
      </c>
      <c r="I1049" s="192">
        <f t="shared" si="440"/>
        <v>0</v>
      </c>
      <c r="J1049" s="192">
        <f t="shared" si="440"/>
        <v>15.072222222222223</v>
      </c>
      <c r="K1049" s="192">
        <f t="shared" si="440"/>
        <v>8.4138888888888896</v>
      </c>
      <c r="L1049" s="192">
        <f t="shared" si="440"/>
        <v>9.9736111111111114</v>
      </c>
      <c r="M1049" s="192">
        <f t="shared" si="440"/>
        <v>9.1291666666666664</v>
      </c>
      <c r="N1049" s="192">
        <f t="shared" si="440"/>
        <v>2.8513888888888892</v>
      </c>
      <c r="O1049" s="192">
        <f t="shared" si="440"/>
        <v>3.3583333333333329</v>
      </c>
      <c r="P1049" s="192">
        <f t="shared" si="440"/>
        <v>6.8138888888888891</v>
      </c>
      <c r="Q1049" s="192">
        <f t="shared" si="440"/>
        <v>1.2236111111111112</v>
      </c>
      <c r="R1049" s="192">
        <f t="shared" si="440"/>
        <v>2.6958333333333333</v>
      </c>
      <c r="S1049" s="312">
        <f t="shared" si="440"/>
        <v>2.8944444444444444</v>
      </c>
      <c r="T1049" s="192">
        <f t="shared" si="414"/>
        <v>470.31031313021202</v>
      </c>
      <c r="U1049" s="192">
        <f t="shared" si="412"/>
        <v>176.31031313021202</v>
      </c>
      <c r="V1049" s="192">
        <f t="shared" si="415"/>
        <v>405.49722222222221</v>
      </c>
      <c r="W1049" s="192">
        <f t="shared" si="416"/>
        <v>111.49722222222222</v>
      </c>
      <c r="X1049" s="192">
        <f t="shared" si="417"/>
        <v>2.3867020191009307</v>
      </c>
      <c r="Y1049" s="192">
        <f t="shared" si="417"/>
        <v>0</v>
      </c>
      <c r="Z1049" s="192">
        <f t="shared" si="418"/>
        <v>62.426388888888894</v>
      </c>
      <c r="AC1049" s="4">
        <v>4</v>
      </c>
      <c r="AD1049" s="192">
        <f t="shared" si="419"/>
        <v>98</v>
      </c>
      <c r="AE1049" s="192">
        <f t="shared" si="420"/>
        <v>29.59672619047619</v>
      </c>
      <c r="AF1049" s="192">
        <f t="shared" si="421"/>
        <v>31.02529761904762</v>
      </c>
      <c r="AG1049" s="192">
        <f t="shared" si="422"/>
        <v>52.639880952380956</v>
      </c>
      <c r="AH1049" s="192">
        <f t="shared" si="423"/>
        <v>24.268171183916024</v>
      </c>
      <c r="AI1049" s="192">
        <f t="shared" si="424"/>
        <v>8.5669642857142865</v>
      </c>
      <c r="AJ1049" s="192">
        <f t="shared" si="425"/>
        <v>5.2842261904761907</v>
      </c>
      <c r="AK1049" s="192">
        <f t="shared" si="426"/>
        <v>8.1592261904761916</v>
      </c>
      <c r="AL1049" s="192">
        <f t="shared" si="427"/>
        <v>8.2410714285714288</v>
      </c>
      <c r="AM1049" s="192">
        <f t="shared" si="428"/>
        <v>2.7529761904761902</v>
      </c>
      <c r="AN1049" s="192">
        <f t="shared" si="429"/>
        <v>3.245535714285714</v>
      </c>
      <c r="AO1049" s="192">
        <f t="shared" si="430"/>
        <v>6.7782738095238093</v>
      </c>
      <c r="AP1049" s="192">
        <f t="shared" si="431"/>
        <v>1.2782738095238095</v>
      </c>
      <c r="AQ1049" s="192">
        <f t="shared" si="432"/>
        <v>1.9255952380952381</v>
      </c>
      <c r="AR1049" s="192">
        <f t="shared" si="433"/>
        <v>3.0252976190476191</v>
      </c>
      <c r="AS1049" s="192">
        <f t="shared" si="434"/>
        <v>284.78751642201127</v>
      </c>
      <c r="AT1049" s="192">
        <f t="shared" si="435"/>
        <v>23.00149352063621</v>
      </c>
      <c r="AU1049" s="192">
        <f t="shared" si="436"/>
        <v>307.78900994264745</v>
      </c>
      <c r="AW1049" s="192">
        <f t="shared" si="437"/>
        <v>421.61309523809524</v>
      </c>
      <c r="AX1049" s="192">
        <f t="shared" si="438"/>
        <v>-113.82408529544779</v>
      </c>
    </row>
    <row r="1050" spans="1:50" ht="15.75" customHeight="1" x14ac:dyDescent="0.3">
      <c r="A1050" s="211" t="s">
        <v>13</v>
      </c>
      <c r="B1050" s="211">
        <f t="shared" si="410"/>
        <v>294</v>
      </c>
      <c r="C1050" s="192">
        <f t="shared" si="410"/>
        <v>0</v>
      </c>
      <c r="D1050" s="312" t="s">
        <v>803</v>
      </c>
      <c r="E1050" s="192">
        <f t="shared" ref="E1050:S1050" si="441">+C970/$G$10/24</f>
        <v>29.677419354838708</v>
      </c>
      <c r="F1050" s="192">
        <f t="shared" si="441"/>
        <v>31.068548387096772</v>
      </c>
      <c r="G1050" s="192">
        <f t="shared" si="441"/>
        <v>51.057795698924735</v>
      </c>
      <c r="H1050" s="192">
        <f t="shared" si="441"/>
        <v>0</v>
      </c>
      <c r="I1050" s="192">
        <f t="shared" si="441"/>
        <v>-1.2074921195741821</v>
      </c>
      <c r="J1050" s="192">
        <f t="shared" si="441"/>
        <v>16.716397849462364</v>
      </c>
      <c r="K1050" s="192">
        <f t="shared" si="441"/>
        <v>8.2473118279569899</v>
      </c>
      <c r="L1050" s="192">
        <f t="shared" si="441"/>
        <v>9.9368279569892461</v>
      </c>
      <c r="M1050" s="192">
        <f t="shared" si="441"/>
        <v>9.3037634408602141</v>
      </c>
      <c r="N1050" s="192">
        <f t="shared" si="441"/>
        <v>2.8951612903225805</v>
      </c>
      <c r="O1050" s="192">
        <f t="shared" si="441"/>
        <v>3.40994623655914</v>
      </c>
      <c r="P1050" s="192">
        <f t="shared" si="441"/>
        <v>6.7634408602150531</v>
      </c>
      <c r="Q1050" s="192">
        <f t="shared" si="441"/>
        <v>1.1948924731182795</v>
      </c>
      <c r="R1050" s="192">
        <f t="shared" si="441"/>
        <v>3.043010752688172</v>
      </c>
      <c r="S1050" s="312">
        <f t="shared" si="441"/>
        <v>2.823924731182796</v>
      </c>
      <c r="T1050" s="192">
        <f t="shared" si="414"/>
        <v>468.93094874064082</v>
      </c>
      <c r="U1050" s="192">
        <f t="shared" si="412"/>
        <v>174.93094874064084</v>
      </c>
      <c r="V1050" s="192">
        <f t="shared" si="415"/>
        <v>405.80376344086022</v>
      </c>
      <c r="W1050" s="192">
        <f t="shared" si="416"/>
        <v>111.80376344086022</v>
      </c>
      <c r="X1050" s="192">
        <f t="shared" si="417"/>
        <v>0</v>
      </c>
      <c r="Y1050" s="192">
        <f t="shared" si="417"/>
        <v>-1.2074921195741821</v>
      </c>
      <c r="Z1050" s="192">
        <f t="shared" si="418"/>
        <v>64.334677419354847</v>
      </c>
      <c r="AC1050" s="4">
        <v>5</v>
      </c>
      <c r="AD1050" s="192">
        <f t="shared" si="419"/>
        <v>98</v>
      </c>
      <c r="AE1050" s="192">
        <f t="shared" si="420"/>
        <v>29.59672619047619</v>
      </c>
      <c r="AF1050" s="192">
        <f t="shared" si="421"/>
        <v>31.02529761904762</v>
      </c>
      <c r="AG1050" s="192">
        <f t="shared" si="422"/>
        <v>52.639880952380956</v>
      </c>
      <c r="AH1050" s="192">
        <f t="shared" si="423"/>
        <v>24.268171183916024</v>
      </c>
      <c r="AI1050" s="192">
        <f t="shared" si="424"/>
        <v>8.5669642857142865</v>
      </c>
      <c r="AJ1050" s="192">
        <f t="shared" si="425"/>
        <v>5.2842261904761907</v>
      </c>
      <c r="AK1050" s="192">
        <f t="shared" si="426"/>
        <v>8.1592261904761916</v>
      </c>
      <c r="AL1050" s="192">
        <f t="shared" si="427"/>
        <v>8.2410714285714288</v>
      </c>
      <c r="AM1050" s="192">
        <f t="shared" si="428"/>
        <v>2.7529761904761902</v>
      </c>
      <c r="AN1050" s="192">
        <f t="shared" si="429"/>
        <v>3.245535714285714</v>
      </c>
      <c r="AO1050" s="192">
        <f t="shared" si="430"/>
        <v>6.7782738095238093</v>
      </c>
      <c r="AP1050" s="192">
        <f t="shared" si="431"/>
        <v>1.2782738095238095</v>
      </c>
      <c r="AQ1050" s="192">
        <f t="shared" si="432"/>
        <v>1.9255952380952381</v>
      </c>
      <c r="AR1050" s="192">
        <f t="shared" si="433"/>
        <v>3.0252976190476191</v>
      </c>
      <c r="AS1050" s="192">
        <f t="shared" si="434"/>
        <v>284.78751642201127</v>
      </c>
      <c r="AT1050" s="192">
        <f t="shared" si="435"/>
        <v>23.00149352063621</v>
      </c>
      <c r="AU1050" s="192">
        <f t="shared" si="436"/>
        <v>307.78900994264745</v>
      </c>
      <c r="AW1050" s="192">
        <f t="shared" si="437"/>
        <v>421.61309523809524</v>
      </c>
      <c r="AX1050" s="192">
        <f t="shared" si="438"/>
        <v>-113.82408529544779</v>
      </c>
    </row>
    <row r="1051" spans="1:50" ht="15.75" customHeight="1" x14ac:dyDescent="0.3">
      <c r="A1051" s="211" t="s">
        <v>14</v>
      </c>
      <c r="B1051" s="211">
        <f t="shared" si="410"/>
        <v>147</v>
      </c>
      <c r="C1051" s="192">
        <f t="shared" si="410"/>
        <v>0</v>
      </c>
      <c r="D1051" s="312" t="str">
        <f>H1078</f>
        <v>n/a</v>
      </c>
      <c r="E1051" s="192">
        <f t="shared" ref="E1051:S1051" si="442">+C971/$H$10/24</f>
        <v>12.3375</v>
      </c>
      <c r="F1051" s="192">
        <f t="shared" si="442"/>
        <v>12.87361111111111</v>
      </c>
      <c r="G1051" s="192">
        <f t="shared" si="442"/>
        <v>19.862500000000001</v>
      </c>
      <c r="H1051" s="192">
        <f t="shared" si="442"/>
        <v>0</v>
      </c>
      <c r="I1051" s="192">
        <f t="shared" si="442"/>
        <v>-19.312228074107246</v>
      </c>
      <c r="J1051" s="192">
        <f t="shared" si="442"/>
        <v>18.375</v>
      </c>
      <c r="K1051" s="192">
        <f t="shared" si="442"/>
        <v>8.9833333333333325</v>
      </c>
      <c r="L1051" s="192">
        <f t="shared" si="442"/>
        <v>10.268055555555556</v>
      </c>
      <c r="M1051" s="192">
        <f t="shared" si="442"/>
        <v>8.5625</v>
      </c>
      <c r="N1051" s="192">
        <f t="shared" si="442"/>
        <v>2.7263888888888892</v>
      </c>
      <c r="O1051" s="192">
        <f t="shared" si="442"/>
        <v>3.2111111111111108</v>
      </c>
      <c r="P1051" s="192">
        <f t="shared" si="442"/>
        <v>6.2736111111111112</v>
      </c>
      <c r="Q1051" s="192">
        <f t="shared" si="442"/>
        <v>1.2305555555555556</v>
      </c>
      <c r="R1051" s="192">
        <f t="shared" si="442"/>
        <v>3.2347222222222225</v>
      </c>
      <c r="S1051" s="312">
        <f t="shared" si="442"/>
        <v>2.9097222222222219</v>
      </c>
      <c r="T1051" s="192">
        <f t="shared" si="414"/>
        <v>238.53638303700387</v>
      </c>
      <c r="U1051" s="192">
        <f t="shared" si="412"/>
        <v>91.536383037003858</v>
      </c>
      <c r="V1051" s="192">
        <f t="shared" si="415"/>
        <v>192.07361111111112</v>
      </c>
      <c r="W1051" s="192">
        <f t="shared" si="416"/>
        <v>45.073611111111106</v>
      </c>
      <c r="X1051" s="192">
        <f t="shared" si="417"/>
        <v>0</v>
      </c>
      <c r="Y1051" s="192">
        <f t="shared" si="417"/>
        <v>-19.312228074107246</v>
      </c>
      <c r="Z1051" s="192">
        <f t="shared" si="418"/>
        <v>65.775000000000006</v>
      </c>
      <c r="AC1051" s="4">
        <v>6</v>
      </c>
      <c r="AD1051" s="192">
        <f t="shared" si="419"/>
        <v>98</v>
      </c>
      <c r="AE1051" s="192">
        <f t="shared" si="420"/>
        <v>29.59672619047619</v>
      </c>
      <c r="AF1051" s="192">
        <f t="shared" si="421"/>
        <v>31.02529761904762</v>
      </c>
      <c r="AG1051" s="192">
        <f t="shared" si="422"/>
        <v>52.639880952380956</v>
      </c>
      <c r="AH1051" s="192">
        <f t="shared" si="423"/>
        <v>24.268171183916024</v>
      </c>
      <c r="AI1051" s="192">
        <f t="shared" si="424"/>
        <v>8.5669642857142865</v>
      </c>
      <c r="AJ1051" s="192">
        <f t="shared" si="425"/>
        <v>5.2842261904761907</v>
      </c>
      <c r="AK1051" s="192">
        <f t="shared" si="426"/>
        <v>8.1592261904761916</v>
      </c>
      <c r="AL1051" s="192">
        <f t="shared" si="427"/>
        <v>8.2410714285714288</v>
      </c>
      <c r="AM1051" s="192">
        <f t="shared" si="428"/>
        <v>2.7529761904761902</v>
      </c>
      <c r="AN1051" s="192">
        <f t="shared" si="429"/>
        <v>3.245535714285714</v>
      </c>
      <c r="AO1051" s="192">
        <f t="shared" si="430"/>
        <v>6.7782738095238093</v>
      </c>
      <c r="AP1051" s="192">
        <f t="shared" si="431"/>
        <v>1.2782738095238095</v>
      </c>
      <c r="AQ1051" s="192">
        <f t="shared" si="432"/>
        <v>1.9255952380952381</v>
      </c>
      <c r="AR1051" s="192">
        <f t="shared" si="433"/>
        <v>3.0252976190476191</v>
      </c>
      <c r="AS1051" s="192">
        <f t="shared" si="434"/>
        <v>284.78751642201127</v>
      </c>
      <c r="AT1051" s="192">
        <f t="shared" si="435"/>
        <v>23.00149352063621</v>
      </c>
      <c r="AU1051" s="192">
        <f t="shared" si="436"/>
        <v>307.78900994264745</v>
      </c>
      <c r="AW1051" s="192">
        <f t="shared" si="437"/>
        <v>421.61309523809524</v>
      </c>
      <c r="AX1051" s="192">
        <f t="shared" si="438"/>
        <v>-113.82408529544779</v>
      </c>
    </row>
    <row r="1052" spans="1:50" ht="15.75" customHeight="1" x14ac:dyDescent="0.3">
      <c r="A1052" s="211" t="s">
        <v>16</v>
      </c>
      <c r="B1052" s="211">
        <f t="shared" si="410"/>
        <v>147</v>
      </c>
      <c r="C1052" s="192">
        <f t="shared" si="410"/>
        <v>0</v>
      </c>
      <c r="D1052" s="312" t="str">
        <f>H1079</f>
        <v>n/a</v>
      </c>
      <c r="E1052" s="192">
        <f t="shared" ref="E1052:S1052" si="443">+C972/$J$10/24</f>
        <v>12.310483870967742</v>
      </c>
      <c r="F1052" s="192">
        <f t="shared" si="443"/>
        <v>12.848118279569894</v>
      </c>
      <c r="G1052" s="192">
        <f t="shared" si="443"/>
        <v>19.913978494623656</v>
      </c>
      <c r="H1052" s="192">
        <f t="shared" si="443"/>
        <v>0</v>
      </c>
      <c r="I1052" s="192">
        <f t="shared" si="443"/>
        <v>-15.601313808429845</v>
      </c>
      <c r="J1052" s="192">
        <f t="shared" si="443"/>
        <v>16.127688172043012</v>
      </c>
      <c r="K1052" s="192">
        <f t="shared" si="443"/>
        <v>11.043010752688174</v>
      </c>
      <c r="L1052" s="192">
        <f t="shared" si="443"/>
        <v>10.514784946236558</v>
      </c>
      <c r="M1052" s="192">
        <f t="shared" si="443"/>
        <v>8.64247311827957</v>
      </c>
      <c r="N1052" s="192">
        <f t="shared" si="443"/>
        <v>2.7594086021505375</v>
      </c>
      <c r="O1052" s="192">
        <f t="shared" si="443"/>
        <v>3.2486559139784945</v>
      </c>
      <c r="P1052" s="192">
        <f t="shared" si="443"/>
        <v>6.205645161290323</v>
      </c>
      <c r="Q1052" s="192">
        <f t="shared" si="443"/>
        <v>1.1922043010752688</v>
      </c>
      <c r="R1052" s="192">
        <f t="shared" si="443"/>
        <v>2.8266129032258065</v>
      </c>
      <c r="S1052" s="312">
        <f t="shared" si="443"/>
        <v>2.8198924731182795</v>
      </c>
      <c r="T1052" s="192">
        <f t="shared" si="414"/>
        <v>241.85164318081746</v>
      </c>
      <c r="U1052" s="192">
        <f t="shared" si="412"/>
        <v>94.851643180817476</v>
      </c>
      <c r="V1052" s="192">
        <f t="shared" si="415"/>
        <v>192.07258064516128</v>
      </c>
      <c r="W1052" s="192">
        <f t="shared" si="416"/>
        <v>45.072580645161295</v>
      </c>
      <c r="X1052" s="192">
        <f t="shared" si="417"/>
        <v>0</v>
      </c>
      <c r="Y1052" s="192">
        <f t="shared" si="417"/>
        <v>-15.601313808429845</v>
      </c>
      <c r="Z1052" s="192">
        <f t="shared" si="418"/>
        <v>65.380376344086017</v>
      </c>
      <c r="AC1052" s="4">
        <v>7</v>
      </c>
      <c r="AD1052" s="192">
        <f>IF($AF$1043=1,VLOOKUP($AD$1043,$A$1073:$P$1084,12,FALSE),IF(OR($AD$1043="JAN",$AD$1043="FEB",$AD$1043="NOV",$AD$1043="DEC"),VLOOKUP($AD$1043,$A$1046:$S$1057,2,FALSE),VLOOKUP($AD$1043,$A$1046:$S$1057,3,FALSE)))</f>
        <v>98</v>
      </c>
      <c r="AE1052" s="192">
        <f t="shared" si="420"/>
        <v>29.59672619047619</v>
      </c>
      <c r="AF1052" s="192">
        <f t="shared" si="421"/>
        <v>31.02529761904762</v>
      </c>
      <c r="AG1052" s="192">
        <f t="shared" si="422"/>
        <v>52.639880952380956</v>
      </c>
      <c r="AH1052" s="192">
        <f t="shared" si="423"/>
        <v>24.268171183916024</v>
      </c>
      <c r="AI1052" s="192">
        <f t="shared" si="424"/>
        <v>8.5669642857142865</v>
      </c>
      <c r="AJ1052" s="192">
        <f t="shared" si="425"/>
        <v>5.2842261904761907</v>
      </c>
      <c r="AK1052" s="192">
        <f t="shared" si="426"/>
        <v>8.1592261904761916</v>
      </c>
      <c r="AL1052" s="192">
        <f t="shared" si="427"/>
        <v>8.2410714285714288</v>
      </c>
      <c r="AM1052" s="192">
        <f t="shared" si="428"/>
        <v>2.7529761904761902</v>
      </c>
      <c r="AN1052" s="192">
        <f t="shared" si="429"/>
        <v>3.245535714285714</v>
      </c>
      <c r="AO1052" s="192">
        <f t="shared" si="430"/>
        <v>6.7782738095238093</v>
      </c>
      <c r="AP1052" s="192">
        <f t="shared" si="431"/>
        <v>1.2782738095238095</v>
      </c>
      <c r="AQ1052" s="192">
        <f t="shared" si="432"/>
        <v>1.9255952380952381</v>
      </c>
      <c r="AR1052" s="192">
        <f t="shared" si="433"/>
        <v>3.0252976190476191</v>
      </c>
      <c r="AS1052" s="192">
        <f t="shared" si="434"/>
        <v>284.78751642201127</v>
      </c>
      <c r="AT1052" s="192">
        <f t="shared" si="435"/>
        <v>23.00149352063621</v>
      </c>
      <c r="AU1052" s="192">
        <f t="shared" si="436"/>
        <v>307.78900994264745</v>
      </c>
      <c r="AW1052" s="192">
        <f t="shared" si="437"/>
        <v>421.61309523809524</v>
      </c>
      <c r="AX1052" s="192">
        <f t="shared" si="438"/>
        <v>-113.82408529544779</v>
      </c>
    </row>
    <row r="1053" spans="1:50" ht="15.75" customHeight="1" x14ac:dyDescent="0.3">
      <c r="A1053" s="211" t="s">
        <v>17</v>
      </c>
      <c r="B1053" s="211">
        <f t="shared" si="410"/>
        <v>147</v>
      </c>
      <c r="C1053" s="192">
        <f t="shared" si="410"/>
        <v>0</v>
      </c>
      <c r="D1053" s="312" t="str">
        <f>H1080</f>
        <v>n/a</v>
      </c>
      <c r="E1053" s="192">
        <f t="shared" ref="E1053:S1053" si="444">+C973/$K$10/24</f>
        <v>12.172043010752688</v>
      </c>
      <c r="F1053" s="192">
        <f t="shared" si="444"/>
        <v>12.716397849462366</v>
      </c>
      <c r="G1053" s="192">
        <f t="shared" si="444"/>
        <v>20.079301075268816</v>
      </c>
      <c r="H1053" s="192">
        <f t="shared" si="444"/>
        <v>0</v>
      </c>
      <c r="I1053" s="192">
        <f t="shared" si="444"/>
        <v>-11.342003460100464</v>
      </c>
      <c r="J1053" s="192">
        <f t="shared" si="444"/>
        <v>13.842741935483872</v>
      </c>
      <c r="K1053" s="192">
        <f t="shared" si="444"/>
        <v>9.4233870967741939</v>
      </c>
      <c r="L1053" s="192">
        <f t="shared" si="444"/>
        <v>10.051075268817204</v>
      </c>
      <c r="M1053" s="192">
        <f t="shared" si="444"/>
        <v>8.637096774193548</v>
      </c>
      <c r="N1053" s="192">
        <f t="shared" si="444"/>
        <v>2.7486559139784945</v>
      </c>
      <c r="O1053" s="192">
        <f t="shared" si="444"/>
        <v>3.2379032258064515</v>
      </c>
      <c r="P1053" s="192">
        <f t="shared" si="444"/>
        <v>6.317204301075269</v>
      </c>
      <c r="Q1053" s="192">
        <f t="shared" si="444"/>
        <v>1.189516129032258</v>
      </c>
      <c r="R1053" s="192">
        <f t="shared" si="444"/>
        <v>2.6088709677419355</v>
      </c>
      <c r="S1053" s="312">
        <f t="shared" si="444"/>
        <v>2.8131720430107525</v>
      </c>
      <c r="T1053" s="192">
        <f t="shared" si="414"/>
        <v>241.49536213129738</v>
      </c>
      <c r="U1053" s="192">
        <f t="shared" si="412"/>
        <v>94.495362131297384</v>
      </c>
      <c r="V1053" s="192">
        <f t="shared" si="415"/>
        <v>191.96774193548387</v>
      </c>
      <c r="W1053" s="192">
        <f t="shared" si="416"/>
        <v>44.967741935483872</v>
      </c>
      <c r="X1053" s="192">
        <f t="shared" si="417"/>
        <v>0</v>
      </c>
      <c r="Y1053" s="192">
        <f t="shared" si="417"/>
        <v>-11.342003460100464</v>
      </c>
      <c r="Z1053" s="192">
        <f t="shared" si="418"/>
        <v>60.869623655913976</v>
      </c>
      <c r="AC1053" s="4">
        <v>8</v>
      </c>
      <c r="AD1053" s="192">
        <f>IF($AF$1043=1,VLOOKUP($AD$1043,$A$1073:$P$1084,12,FALSE),VLOOKUP($AD$1043,$A$1046:$S$1057,3,FALSE))</f>
        <v>0</v>
      </c>
      <c r="AE1053" s="192">
        <f t="shared" si="420"/>
        <v>29.59672619047619</v>
      </c>
      <c r="AF1053" s="192">
        <f t="shared" si="421"/>
        <v>31.02529761904762</v>
      </c>
      <c r="AG1053" s="192">
        <f t="shared" si="422"/>
        <v>52.639880952380956</v>
      </c>
      <c r="AH1053" s="192">
        <f t="shared" si="423"/>
        <v>24.268171183916024</v>
      </c>
      <c r="AI1053" s="192">
        <f t="shared" si="424"/>
        <v>8.5669642857142865</v>
      </c>
      <c r="AJ1053" s="192">
        <f t="shared" si="425"/>
        <v>5.2842261904761907</v>
      </c>
      <c r="AK1053" s="192">
        <f t="shared" si="426"/>
        <v>8.1592261904761916</v>
      </c>
      <c r="AL1053" s="192">
        <f t="shared" si="427"/>
        <v>8.2410714285714288</v>
      </c>
      <c r="AM1053" s="192">
        <f t="shared" si="428"/>
        <v>2.7529761904761902</v>
      </c>
      <c r="AN1053" s="192">
        <f t="shared" si="429"/>
        <v>3.245535714285714</v>
      </c>
      <c r="AO1053" s="192">
        <f t="shared" si="430"/>
        <v>6.7782738095238093</v>
      </c>
      <c r="AP1053" s="192">
        <f t="shared" si="431"/>
        <v>1.2782738095238095</v>
      </c>
      <c r="AQ1053" s="192">
        <f t="shared" si="432"/>
        <v>1.9255952380952381</v>
      </c>
      <c r="AR1053" s="192">
        <f t="shared" si="433"/>
        <v>3.0252976190476191</v>
      </c>
      <c r="AS1053" s="192">
        <f t="shared" si="434"/>
        <v>186.78751642201127</v>
      </c>
      <c r="AT1053" s="192">
        <f t="shared" si="435"/>
        <v>15.086306811110466</v>
      </c>
      <c r="AU1053" s="192">
        <f t="shared" si="436"/>
        <v>201.87382323312173</v>
      </c>
      <c r="AW1053" s="192">
        <f t="shared" si="437"/>
        <v>421.61309523809524</v>
      </c>
      <c r="AX1053" s="192">
        <f t="shared" si="438"/>
        <v>-219.73927200497351</v>
      </c>
    </row>
    <row r="1054" spans="1:50" ht="15.75" customHeight="1" x14ac:dyDescent="0.3">
      <c r="A1054" s="211" t="s">
        <v>18</v>
      </c>
      <c r="B1054" s="211">
        <f t="shared" si="410"/>
        <v>245</v>
      </c>
      <c r="C1054" s="192">
        <f t="shared" si="410"/>
        <v>0</v>
      </c>
      <c r="D1054" s="312" t="s">
        <v>803</v>
      </c>
      <c r="E1054" s="192">
        <f t="shared" ref="E1054:S1054" si="445">+C974/$L$10/24</f>
        <v>25.126388888888886</v>
      </c>
      <c r="F1054" s="192">
        <f t="shared" si="445"/>
        <v>26.308333333333334</v>
      </c>
      <c r="G1054" s="192">
        <f t="shared" si="445"/>
        <v>43.997222222222227</v>
      </c>
      <c r="H1054" s="192">
        <f t="shared" si="445"/>
        <v>2.9128117192288028</v>
      </c>
      <c r="I1054" s="192">
        <f t="shared" si="445"/>
        <v>0</v>
      </c>
      <c r="J1054" s="192">
        <f t="shared" si="445"/>
        <v>10.695833333333333</v>
      </c>
      <c r="K1054" s="192">
        <f t="shared" si="445"/>
        <v>6.416666666666667</v>
      </c>
      <c r="L1054" s="192">
        <f t="shared" si="445"/>
        <v>9.3472222222222232</v>
      </c>
      <c r="M1054" s="192">
        <f t="shared" si="445"/>
        <v>8.8972222222222221</v>
      </c>
      <c r="N1054" s="192">
        <f t="shared" si="445"/>
        <v>2.7749999999999999</v>
      </c>
      <c r="O1054" s="192">
        <f t="shared" si="445"/>
        <v>3.2694444444444444</v>
      </c>
      <c r="P1054" s="192">
        <f t="shared" si="445"/>
        <v>6.5027777777777773</v>
      </c>
      <c r="Q1054" s="192">
        <f t="shared" si="445"/>
        <v>1.2180555555555557</v>
      </c>
      <c r="R1054" s="192">
        <f t="shared" si="445"/>
        <v>2.4708333333333332</v>
      </c>
      <c r="S1054" s="312">
        <f t="shared" si="445"/>
        <v>2.880555555555556</v>
      </c>
      <c r="T1054" s="192">
        <f t="shared" si="414"/>
        <v>397.81836727478435</v>
      </c>
      <c r="U1054" s="192">
        <f t="shared" si="412"/>
        <v>152.81836727478438</v>
      </c>
      <c r="V1054" s="192">
        <f t="shared" si="415"/>
        <v>340.43194444444441</v>
      </c>
      <c r="W1054" s="192">
        <f t="shared" si="416"/>
        <v>95.43194444444444</v>
      </c>
      <c r="X1054" s="192">
        <f t="shared" si="417"/>
        <v>2.9128117192288028</v>
      </c>
      <c r="Y1054" s="192">
        <f t="shared" si="417"/>
        <v>0</v>
      </c>
      <c r="Z1054" s="192">
        <f t="shared" si="418"/>
        <v>54.473611111111119</v>
      </c>
      <c r="AC1054" s="4">
        <v>9</v>
      </c>
      <c r="AD1054" s="192">
        <f>IF($AF$1043=1,VLOOKUP($AD$1043,$A$1073:$P$1084,12,FALSE),VLOOKUP($AD$1043,$A$1046:$S$1057,3,FALSE))</f>
        <v>0</v>
      </c>
      <c r="AE1054" s="192">
        <f t="shared" si="420"/>
        <v>29.59672619047619</v>
      </c>
      <c r="AF1054" s="192">
        <f t="shared" si="421"/>
        <v>31.02529761904762</v>
      </c>
      <c r="AG1054" s="192">
        <f t="shared" si="422"/>
        <v>52.639880952380956</v>
      </c>
      <c r="AH1054" s="192">
        <f t="shared" si="423"/>
        <v>24.268171183916024</v>
      </c>
      <c r="AI1054" s="192">
        <f t="shared" si="424"/>
        <v>8.5669642857142865</v>
      </c>
      <c r="AJ1054" s="192">
        <f t="shared" si="425"/>
        <v>5.2842261904761907</v>
      </c>
      <c r="AK1054" s="192">
        <f t="shared" si="426"/>
        <v>8.1592261904761916</v>
      </c>
      <c r="AL1054" s="192">
        <f t="shared" si="427"/>
        <v>8.2410714285714288</v>
      </c>
      <c r="AM1054" s="192">
        <f t="shared" si="428"/>
        <v>2.7529761904761902</v>
      </c>
      <c r="AN1054" s="192">
        <f t="shared" si="429"/>
        <v>3.245535714285714</v>
      </c>
      <c r="AO1054" s="192">
        <f t="shared" si="430"/>
        <v>6.7782738095238093</v>
      </c>
      <c r="AP1054" s="192">
        <f t="shared" si="431"/>
        <v>1.2782738095238095</v>
      </c>
      <c r="AQ1054" s="192">
        <f t="shared" si="432"/>
        <v>1.9255952380952381</v>
      </c>
      <c r="AR1054" s="192">
        <f t="shared" si="433"/>
        <v>3.0252976190476191</v>
      </c>
      <c r="AS1054" s="192">
        <f t="shared" si="434"/>
        <v>186.78751642201127</v>
      </c>
      <c r="AT1054" s="192">
        <f t="shared" si="435"/>
        <v>15.086306811110466</v>
      </c>
      <c r="AU1054" s="192">
        <f t="shared" si="436"/>
        <v>201.87382323312173</v>
      </c>
      <c r="AW1054" s="192">
        <f t="shared" si="437"/>
        <v>421.61309523809524</v>
      </c>
      <c r="AX1054" s="192">
        <f t="shared" si="438"/>
        <v>-219.73927200497351</v>
      </c>
    </row>
    <row r="1055" spans="1:50" ht="15.75" customHeight="1" x14ac:dyDescent="0.3">
      <c r="A1055" s="211" t="s">
        <v>20</v>
      </c>
      <c r="B1055" s="211">
        <f t="shared" si="410"/>
        <v>245</v>
      </c>
      <c r="C1055" s="192">
        <f t="shared" si="410"/>
        <v>0</v>
      </c>
      <c r="D1055" s="312" t="s">
        <v>803</v>
      </c>
      <c r="E1055" s="192">
        <f t="shared" ref="E1055:S1055" si="446">+C975/$N$10/24</f>
        <v>23.438172043010752</v>
      </c>
      <c r="F1055" s="192">
        <f t="shared" si="446"/>
        <v>24.543010752688172</v>
      </c>
      <c r="G1055" s="192">
        <f t="shared" si="446"/>
        <v>41.509408602150536</v>
      </c>
      <c r="H1055" s="192">
        <f t="shared" si="446"/>
        <v>9.5614402214303933</v>
      </c>
      <c r="I1055" s="192">
        <f t="shared" si="446"/>
        <v>0</v>
      </c>
      <c r="J1055" s="192">
        <f t="shared" si="446"/>
        <v>7.514784946236559</v>
      </c>
      <c r="K1055" s="192">
        <f t="shared" si="446"/>
        <v>4.1518817204301071</v>
      </c>
      <c r="L1055" s="192">
        <f t="shared" si="446"/>
        <v>6.2674731182795691</v>
      </c>
      <c r="M1055" s="192">
        <f t="shared" si="446"/>
        <v>6.196236559139785</v>
      </c>
      <c r="N1055" s="192">
        <f t="shared" si="446"/>
        <v>2</v>
      </c>
      <c r="O1055" s="192">
        <f t="shared" si="446"/>
        <v>2.3561827956989245</v>
      </c>
      <c r="P1055" s="192">
        <f t="shared" si="446"/>
        <v>4.852150537634409</v>
      </c>
      <c r="Q1055" s="192">
        <f t="shared" si="446"/>
        <v>1.1841397849462365</v>
      </c>
      <c r="R1055" s="192">
        <f t="shared" si="446"/>
        <v>2.1733870967741935</v>
      </c>
      <c r="S1055" s="312">
        <f t="shared" si="446"/>
        <v>2.801075268817204</v>
      </c>
      <c r="T1055" s="192">
        <f t="shared" si="414"/>
        <v>383.54934344723688</v>
      </c>
      <c r="U1055" s="192">
        <f t="shared" si="412"/>
        <v>138.54934344723688</v>
      </c>
      <c r="V1055" s="192">
        <f t="shared" si="415"/>
        <v>334.49059139784947</v>
      </c>
      <c r="W1055" s="192">
        <f t="shared" si="416"/>
        <v>89.490591397849471</v>
      </c>
      <c r="X1055" s="192">
        <f t="shared" si="417"/>
        <v>9.5614402214303933</v>
      </c>
      <c r="Y1055" s="192">
        <f t="shared" si="417"/>
        <v>0</v>
      </c>
      <c r="Z1055" s="192">
        <f t="shared" si="418"/>
        <v>39.497311827956992</v>
      </c>
      <c r="AC1055" s="4">
        <v>10</v>
      </c>
      <c r="AD1055" s="192">
        <f>IF($AF$1043=1,VLOOKUP($AD$1043,$A$1073:$P$1084,12,FALSE),VLOOKUP($AD$1043,$A$1046:$S$1057,3,FALSE))</f>
        <v>0</v>
      </c>
      <c r="AE1055" s="192">
        <f t="shared" si="420"/>
        <v>29.59672619047619</v>
      </c>
      <c r="AF1055" s="192">
        <f t="shared" si="421"/>
        <v>31.02529761904762</v>
      </c>
      <c r="AG1055" s="192">
        <f t="shared" si="422"/>
        <v>52.639880952380956</v>
      </c>
      <c r="AH1055" s="192">
        <f t="shared" si="423"/>
        <v>24.268171183916024</v>
      </c>
      <c r="AI1055" s="192">
        <f t="shared" si="424"/>
        <v>8.5669642857142865</v>
      </c>
      <c r="AJ1055" s="192">
        <f t="shared" si="425"/>
        <v>5.2842261904761907</v>
      </c>
      <c r="AK1055" s="192">
        <f t="shared" si="426"/>
        <v>8.1592261904761916</v>
      </c>
      <c r="AL1055" s="192">
        <f t="shared" si="427"/>
        <v>8.2410714285714288</v>
      </c>
      <c r="AM1055" s="192">
        <f t="shared" si="428"/>
        <v>2.7529761904761902</v>
      </c>
      <c r="AN1055" s="192">
        <f t="shared" si="429"/>
        <v>3.245535714285714</v>
      </c>
      <c r="AO1055" s="192">
        <f t="shared" si="430"/>
        <v>6.7782738095238093</v>
      </c>
      <c r="AP1055" s="192">
        <f t="shared" si="431"/>
        <v>1.2782738095238095</v>
      </c>
      <c r="AQ1055" s="192">
        <f t="shared" si="432"/>
        <v>1.9255952380952381</v>
      </c>
      <c r="AR1055" s="192">
        <f t="shared" si="433"/>
        <v>3.0252976190476191</v>
      </c>
      <c r="AS1055" s="192">
        <f t="shared" si="434"/>
        <v>186.78751642201127</v>
      </c>
      <c r="AT1055" s="192">
        <f t="shared" si="435"/>
        <v>15.086306811110466</v>
      </c>
      <c r="AU1055" s="192">
        <f t="shared" si="436"/>
        <v>201.87382323312173</v>
      </c>
      <c r="AW1055" s="192">
        <f t="shared" si="437"/>
        <v>421.61309523809524</v>
      </c>
      <c r="AX1055" s="192">
        <f t="shared" si="438"/>
        <v>-219.73927200497351</v>
      </c>
    </row>
    <row r="1056" spans="1:50" ht="15.75" customHeight="1" x14ac:dyDescent="0.3">
      <c r="A1056" s="211" t="s">
        <v>21</v>
      </c>
      <c r="B1056" s="211">
        <f t="shared" si="410"/>
        <v>245</v>
      </c>
      <c r="C1056" s="192">
        <f t="shared" si="410"/>
        <v>0</v>
      </c>
      <c r="D1056" s="312" t="s">
        <v>803</v>
      </c>
      <c r="E1056" s="192">
        <f t="shared" ref="E1056:S1056" si="447">+C976/$O$10/24</f>
        <v>20.105555555555558</v>
      </c>
      <c r="F1056" s="192">
        <f t="shared" si="447"/>
        <v>21.054166666666667</v>
      </c>
      <c r="G1056" s="192">
        <f t="shared" si="447"/>
        <v>35.716666666666669</v>
      </c>
      <c r="H1056" s="192">
        <f t="shared" si="447"/>
        <v>20.949765816895503</v>
      </c>
      <c r="I1056" s="192">
        <f t="shared" si="447"/>
        <v>0</v>
      </c>
      <c r="J1056" s="192">
        <f t="shared" si="447"/>
        <v>1.3972222222222221</v>
      </c>
      <c r="K1056" s="192">
        <f t="shared" si="447"/>
        <v>0.58611111111111114</v>
      </c>
      <c r="L1056" s="192">
        <f t="shared" si="447"/>
        <v>0.87916666666666676</v>
      </c>
      <c r="M1056" s="192">
        <f t="shared" si="447"/>
        <v>0.89027777777777783</v>
      </c>
      <c r="N1056" s="192">
        <f t="shared" si="447"/>
        <v>0.33333333333333331</v>
      </c>
      <c r="O1056" s="192">
        <f t="shared" si="447"/>
        <v>0.3888888888888889</v>
      </c>
      <c r="P1056" s="192">
        <f t="shared" si="447"/>
        <v>0.78611111111111109</v>
      </c>
      <c r="Q1056" s="192">
        <f t="shared" si="447"/>
        <v>0.55138888888888882</v>
      </c>
      <c r="R1056" s="192">
        <f t="shared" si="447"/>
        <v>2.0222222222222221</v>
      </c>
      <c r="S1056" s="312">
        <f t="shared" si="447"/>
        <v>1.3041666666666667</v>
      </c>
      <c r="T1056" s="192">
        <f t="shared" si="414"/>
        <v>351.96504359467326</v>
      </c>
      <c r="U1056" s="192">
        <f t="shared" si="412"/>
        <v>106.96504359467329</v>
      </c>
      <c r="V1056" s="192">
        <f t="shared" si="415"/>
        <v>321.87638888888887</v>
      </c>
      <c r="W1056" s="192">
        <f t="shared" si="416"/>
        <v>76.876388888888897</v>
      </c>
      <c r="X1056" s="192">
        <f t="shared" si="417"/>
        <v>20.949765816895503</v>
      </c>
      <c r="Y1056" s="192">
        <f t="shared" si="417"/>
        <v>0</v>
      </c>
      <c r="Z1056" s="192">
        <f t="shared" si="418"/>
        <v>9.1388888888888893</v>
      </c>
      <c r="AC1056" s="4">
        <v>11</v>
      </c>
      <c r="AD1056" s="192">
        <f>IF($AF$1043=1,VLOOKUP($AD$1043,$A$1073:$P$1084,12,FALSE),VLOOKUP($AD$1043,$A$1046:$S$1057,3,FALSE))</f>
        <v>0</v>
      </c>
      <c r="AE1056" s="192">
        <f t="shared" si="420"/>
        <v>29.59672619047619</v>
      </c>
      <c r="AF1056" s="192">
        <f t="shared" si="421"/>
        <v>31.02529761904762</v>
      </c>
      <c r="AG1056" s="192">
        <f t="shared" si="422"/>
        <v>52.639880952380956</v>
      </c>
      <c r="AH1056" s="192">
        <f t="shared" si="423"/>
        <v>24.268171183916024</v>
      </c>
      <c r="AI1056" s="192">
        <f t="shared" si="424"/>
        <v>8.5669642857142865</v>
      </c>
      <c r="AJ1056" s="192">
        <f t="shared" si="425"/>
        <v>5.2842261904761907</v>
      </c>
      <c r="AK1056" s="192">
        <f t="shared" si="426"/>
        <v>8.1592261904761916</v>
      </c>
      <c r="AL1056" s="192">
        <f t="shared" si="427"/>
        <v>8.2410714285714288</v>
      </c>
      <c r="AM1056" s="192">
        <f t="shared" si="428"/>
        <v>2.7529761904761902</v>
      </c>
      <c r="AN1056" s="192">
        <f t="shared" si="429"/>
        <v>3.245535714285714</v>
      </c>
      <c r="AO1056" s="192">
        <f t="shared" si="430"/>
        <v>6.7782738095238093</v>
      </c>
      <c r="AP1056" s="192">
        <f t="shared" si="431"/>
        <v>1.2782738095238095</v>
      </c>
      <c r="AQ1056" s="192">
        <f t="shared" si="432"/>
        <v>1.9255952380952381</v>
      </c>
      <c r="AR1056" s="192">
        <f t="shared" si="433"/>
        <v>3.0252976190476191</v>
      </c>
      <c r="AS1056" s="192">
        <f t="shared" si="434"/>
        <v>186.78751642201127</v>
      </c>
      <c r="AT1056" s="192">
        <f t="shared" si="435"/>
        <v>15.086306811110466</v>
      </c>
      <c r="AU1056" s="192">
        <f t="shared" si="436"/>
        <v>201.87382323312173</v>
      </c>
      <c r="AW1056" s="192">
        <f t="shared" si="437"/>
        <v>421.61309523809524</v>
      </c>
      <c r="AX1056" s="192">
        <f t="shared" si="438"/>
        <v>-219.73927200497351</v>
      </c>
    </row>
    <row r="1057" spans="1:50" ht="15.75" customHeight="1" thickBot="1" x14ac:dyDescent="0.35">
      <c r="A1057" s="220" t="s">
        <v>22</v>
      </c>
      <c r="B1057" s="220">
        <f t="shared" si="410"/>
        <v>245</v>
      </c>
      <c r="C1057" s="206">
        <f t="shared" si="410"/>
        <v>0</v>
      </c>
      <c r="D1057" s="272" t="s">
        <v>803</v>
      </c>
      <c r="E1057" s="206">
        <f t="shared" ref="E1057:S1057" si="448">+C977/$P$10/24</f>
        <v>20.073924731182796</v>
      </c>
      <c r="F1057" s="206">
        <f t="shared" si="448"/>
        <v>21.030913978494624</v>
      </c>
      <c r="G1057" s="206">
        <f t="shared" si="448"/>
        <v>35.68010752688172</v>
      </c>
      <c r="H1057" s="206">
        <f t="shared" si="448"/>
        <v>19.522397526840198</v>
      </c>
      <c r="I1057" s="206">
        <f t="shared" si="448"/>
        <v>0</v>
      </c>
      <c r="J1057" s="206">
        <f t="shared" si="448"/>
        <v>4.053763440860215</v>
      </c>
      <c r="K1057" s="206">
        <f t="shared" si="448"/>
        <v>1.935483870967742</v>
      </c>
      <c r="L1057" s="206">
        <f t="shared" si="448"/>
        <v>2.8736559139784945</v>
      </c>
      <c r="M1057" s="206">
        <f t="shared" si="448"/>
        <v>2.9596774193548385</v>
      </c>
      <c r="N1057" s="206">
        <f t="shared" si="448"/>
        <v>1.1330645161290323</v>
      </c>
      <c r="O1057" s="206">
        <f t="shared" si="448"/>
        <v>1.3346774193548387</v>
      </c>
      <c r="P1057" s="206">
        <f t="shared" si="448"/>
        <v>2.7231182795698925</v>
      </c>
      <c r="Q1057" s="206">
        <f t="shared" si="448"/>
        <v>0.53629032258064513</v>
      </c>
      <c r="R1057" s="206">
        <f t="shared" si="448"/>
        <v>1.739247311827957</v>
      </c>
      <c r="S1057" s="272">
        <f t="shared" si="448"/>
        <v>1.2688172043010753</v>
      </c>
      <c r="T1057" s="192">
        <f t="shared" si="414"/>
        <v>361.86513946232401</v>
      </c>
      <c r="U1057" s="192">
        <f t="shared" si="412"/>
        <v>116.86513946232404</v>
      </c>
      <c r="V1057" s="192">
        <f t="shared" si="415"/>
        <v>321.78494623655911</v>
      </c>
      <c r="W1057" s="192">
        <f t="shared" si="416"/>
        <v>76.784946236559136</v>
      </c>
      <c r="X1057" s="192">
        <f t="shared" si="417"/>
        <v>19.522397526840198</v>
      </c>
      <c r="Y1057" s="192">
        <f t="shared" si="417"/>
        <v>0</v>
      </c>
      <c r="Z1057" s="192">
        <f t="shared" si="418"/>
        <v>20.557795698924728</v>
      </c>
      <c r="AC1057" s="4">
        <v>12</v>
      </c>
      <c r="AD1057" s="192">
        <f>IF($AF$1043=1,VLOOKUP($AD$1043,$A$1073:$P$1084,12,FALSE),VLOOKUP($AD$1043,$A$1046:$S$1057,3,FALSE))</f>
        <v>0</v>
      </c>
      <c r="AE1057" s="192">
        <f t="shared" si="420"/>
        <v>29.59672619047619</v>
      </c>
      <c r="AF1057" s="192">
        <f t="shared" si="421"/>
        <v>31.02529761904762</v>
      </c>
      <c r="AG1057" s="192">
        <f t="shared" si="422"/>
        <v>52.639880952380956</v>
      </c>
      <c r="AH1057" s="192">
        <f t="shared" si="423"/>
        <v>24.268171183916024</v>
      </c>
      <c r="AI1057" s="192">
        <f t="shared" si="424"/>
        <v>8.5669642857142865</v>
      </c>
      <c r="AJ1057" s="192">
        <f t="shared" si="425"/>
        <v>5.2842261904761907</v>
      </c>
      <c r="AK1057" s="192">
        <f t="shared" si="426"/>
        <v>8.1592261904761916</v>
      </c>
      <c r="AL1057" s="192">
        <f t="shared" si="427"/>
        <v>8.2410714285714288</v>
      </c>
      <c r="AM1057" s="192">
        <f t="shared" si="428"/>
        <v>2.7529761904761902</v>
      </c>
      <c r="AN1057" s="192">
        <f t="shared" si="429"/>
        <v>3.245535714285714</v>
      </c>
      <c r="AO1057" s="192">
        <f t="shared" si="430"/>
        <v>6.7782738095238093</v>
      </c>
      <c r="AP1057" s="192">
        <f t="shared" si="431"/>
        <v>1.2782738095238095</v>
      </c>
      <c r="AQ1057" s="192">
        <f t="shared" si="432"/>
        <v>1.9255952380952381</v>
      </c>
      <c r="AR1057" s="192">
        <f t="shared" si="433"/>
        <v>3.0252976190476191</v>
      </c>
      <c r="AS1057" s="192">
        <f t="shared" si="434"/>
        <v>186.78751642201127</v>
      </c>
      <c r="AT1057" s="192">
        <f t="shared" si="435"/>
        <v>15.086306811110466</v>
      </c>
      <c r="AU1057" s="192">
        <f t="shared" si="436"/>
        <v>201.87382323312173</v>
      </c>
      <c r="AW1057" s="192">
        <f t="shared" si="437"/>
        <v>421.61309523809524</v>
      </c>
      <c r="AX1057" s="192">
        <f t="shared" si="438"/>
        <v>-219.73927200497351</v>
      </c>
    </row>
    <row r="1058" spans="1:50" ht="15.75" customHeight="1" x14ac:dyDescent="0.3">
      <c r="A1058" s="260"/>
      <c r="AC1058" s="4">
        <v>13</v>
      </c>
      <c r="AD1058" s="192">
        <f>IF($AF$1043=1,VLOOKUP($AD$1043,$A$1073:$P$1084,12,FALSE),IF(OR($AD$1043="JUN",$AD$1043="JUL",$AD$1043="AUG"),VLOOKUP($AD$1043,$A$1046:$S$1057,4,FALSE),VLOOKUP($AD$1043,$A$1046:$S$1057,3,FALSE)))</f>
        <v>0</v>
      </c>
      <c r="AE1058" s="192">
        <f t="shared" si="420"/>
        <v>29.59672619047619</v>
      </c>
      <c r="AF1058" s="192">
        <f t="shared" si="421"/>
        <v>31.02529761904762</v>
      </c>
      <c r="AG1058" s="192">
        <f t="shared" si="422"/>
        <v>52.639880952380956</v>
      </c>
      <c r="AH1058" s="192">
        <f t="shared" si="423"/>
        <v>24.268171183916024</v>
      </c>
      <c r="AI1058" s="192">
        <f t="shared" si="424"/>
        <v>8.5669642857142865</v>
      </c>
      <c r="AJ1058" s="192">
        <f t="shared" si="425"/>
        <v>5.2842261904761907</v>
      </c>
      <c r="AK1058" s="192">
        <f t="shared" si="426"/>
        <v>8.1592261904761916</v>
      </c>
      <c r="AL1058" s="192">
        <f t="shared" si="427"/>
        <v>8.2410714285714288</v>
      </c>
      <c r="AM1058" s="192">
        <f t="shared" si="428"/>
        <v>2.7529761904761902</v>
      </c>
      <c r="AN1058" s="192">
        <f t="shared" si="429"/>
        <v>3.245535714285714</v>
      </c>
      <c r="AO1058" s="192">
        <f t="shared" si="430"/>
        <v>6.7782738095238093</v>
      </c>
      <c r="AP1058" s="192">
        <f t="shared" si="431"/>
        <v>1.2782738095238095</v>
      </c>
      <c r="AQ1058" s="192">
        <f t="shared" si="432"/>
        <v>1.9255952380952381</v>
      </c>
      <c r="AR1058" s="192">
        <f t="shared" si="433"/>
        <v>3.0252976190476191</v>
      </c>
      <c r="AS1058" s="192">
        <f t="shared" si="434"/>
        <v>186.78751642201127</v>
      </c>
      <c r="AT1058" s="192">
        <f t="shared" si="435"/>
        <v>15.086306811110466</v>
      </c>
      <c r="AU1058" s="192">
        <f t="shared" si="436"/>
        <v>201.87382323312173</v>
      </c>
      <c r="AW1058" s="192">
        <f t="shared" si="437"/>
        <v>421.61309523809524</v>
      </c>
      <c r="AX1058" s="192">
        <f t="shared" si="438"/>
        <v>-219.73927200497351</v>
      </c>
    </row>
    <row r="1059" spans="1:50" ht="27.75" customHeight="1" x14ac:dyDescent="0.3">
      <c r="A1059" s="260" t="s">
        <v>804</v>
      </c>
      <c r="AC1059" s="4">
        <v>14</v>
      </c>
      <c r="AD1059" s="192">
        <f t="shared" ref="AD1059:AD1065" si="449">IF($AF$1043=1,VLOOKUP($AD$1043,$A$1073:$P$1084,12,FALSE),IF(OR($AD$1043="JUN",$AD$1043="JUL",$AD$1043="AUG"),VLOOKUP($AD$1043,$A$1046:$S$1057,4,FALSE),VLOOKUP($AD$1043,$A$1046:$S$1057,3,FALSE)))</f>
        <v>0</v>
      </c>
      <c r="AE1059" s="192">
        <f t="shared" si="420"/>
        <v>29.59672619047619</v>
      </c>
      <c r="AF1059" s="192">
        <f t="shared" si="421"/>
        <v>31.02529761904762</v>
      </c>
      <c r="AG1059" s="192">
        <f t="shared" si="422"/>
        <v>52.639880952380956</v>
      </c>
      <c r="AH1059" s="192">
        <f t="shared" si="423"/>
        <v>24.268171183916024</v>
      </c>
      <c r="AI1059" s="192">
        <f t="shared" si="424"/>
        <v>8.5669642857142865</v>
      </c>
      <c r="AJ1059" s="192">
        <f t="shared" si="425"/>
        <v>5.2842261904761907</v>
      </c>
      <c r="AK1059" s="192">
        <f t="shared" si="426"/>
        <v>8.1592261904761916</v>
      </c>
      <c r="AL1059" s="192">
        <f t="shared" si="427"/>
        <v>8.2410714285714288</v>
      </c>
      <c r="AM1059" s="192">
        <f t="shared" si="428"/>
        <v>2.7529761904761902</v>
      </c>
      <c r="AN1059" s="192">
        <f t="shared" si="429"/>
        <v>3.245535714285714</v>
      </c>
      <c r="AO1059" s="192">
        <f t="shared" si="430"/>
        <v>6.7782738095238093</v>
      </c>
      <c r="AP1059" s="192">
        <f t="shared" si="431"/>
        <v>1.2782738095238095</v>
      </c>
      <c r="AQ1059" s="192">
        <f t="shared" si="432"/>
        <v>1.9255952380952381</v>
      </c>
      <c r="AR1059" s="192">
        <f t="shared" si="433"/>
        <v>3.0252976190476191</v>
      </c>
      <c r="AS1059" s="192">
        <f t="shared" si="434"/>
        <v>186.78751642201127</v>
      </c>
      <c r="AT1059" s="192">
        <f t="shared" si="435"/>
        <v>15.086306811110466</v>
      </c>
      <c r="AU1059" s="192">
        <f t="shared" si="436"/>
        <v>201.87382323312173</v>
      </c>
      <c r="AW1059" s="192">
        <f t="shared" si="437"/>
        <v>421.61309523809524</v>
      </c>
      <c r="AX1059" s="192">
        <f t="shared" si="438"/>
        <v>-219.73927200497351</v>
      </c>
    </row>
    <row r="1060" spans="1:50" ht="15.75" customHeight="1" x14ac:dyDescent="0.3">
      <c r="A1060" s="260"/>
      <c r="AC1060" s="4">
        <v>15</v>
      </c>
      <c r="AD1060" s="192">
        <f t="shared" si="449"/>
        <v>0</v>
      </c>
      <c r="AE1060" s="192">
        <f t="shared" si="420"/>
        <v>29.59672619047619</v>
      </c>
      <c r="AF1060" s="192">
        <f t="shared" si="421"/>
        <v>31.02529761904762</v>
      </c>
      <c r="AG1060" s="192">
        <f t="shared" si="422"/>
        <v>52.639880952380956</v>
      </c>
      <c r="AH1060" s="192">
        <f t="shared" si="423"/>
        <v>24.268171183916024</v>
      </c>
      <c r="AI1060" s="192">
        <f t="shared" si="424"/>
        <v>8.5669642857142865</v>
      </c>
      <c r="AJ1060" s="192">
        <f t="shared" si="425"/>
        <v>5.2842261904761907</v>
      </c>
      <c r="AK1060" s="192">
        <f t="shared" si="426"/>
        <v>8.1592261904761916</v>
      </c>
      <c r="AL1060" s="192">
        <f t="shared" si="427"/>
        <v>8.2410714285714288</v>
      </c>
      <c r="AM1060" s="192">
        <f t="shared" si="428"/>
        <v>2.7529761904761902</v>
      </c>
      <c r="AN1060" s="192">
        <f t="shared" si="429"/>
        <v>3.245535714285714</v>
      </c>
      <c r="AO1060" s="192">
        <f t="shared" si="430"/>
        <v>6.7782738095238093</v>
      </c>
      <c r="AP1060" s="192">
        <f t="shared" si="431"/>
        <v>1.2782738095238095</v>
      </c>
      <c r="AQ1060" s="192">
        <f t="shared" si="432"/>
        <v>1.9255952380952381</v>
      </c>
      <c r="AR1060" s="192">
        <f t="shared" si="433"/>
        <v>3.0252976190476191</v>
      </c>
      <c r="AS1060" s="192">
        <f t="shared" si="434"/>
        <v>186.78751642201127</v>
      </c>
      <c r="AT1060" s="192">
        <f t="shared" si="435"/>
        <v>15.086306811110466</v>
      </c>
      <c r="AU1060" s="192">
        <f t="shared" si="436"/>
        <v>201.87382323312173</v>
      </c>
      <c r="AW1060" s="192">
        <f t="shared" si="437"/>
        <v>421.61309523809524</v>
      </c>
      <c r="AX1060" s="192">
        <f t="shared" si="438"/>
        <v>-219.73927200497351</v>
      </c>
    </row>
    <row r="1061" spans="1:50" ht="15.75" customHeight="1" x14ac:dyDescent="0.3">
      <c r="A1061" s="260"/>
      <c r="AC1061" s="4">
        <v>16</v>
      </c>
      <c r="AD1061" s="192">
        <f t="shared" si="449"/>
        <v>0</v>
      </c>
      <c r="AE1061" s="192">
        <f t="shared" si="420"/>
        <v>29.59672619047619</v>
      </c>
      <c r="AF1061" s="192">
        <f t="shared" si="421"/>
        <v>31.02529761904762</v>
      </c>
      <c r="AG1061" s="192">
        <f t="shared" si="422"/>
        <v>52.639880952380956</v>
      </c>
      <c r="AH1061" s="192">
        <f t="shared" si="423"/>
        <v>24.268171183916024</v>
      </c>
      <c r="AI1061" s="192">
        <f t="shared" si="424"/>
        <v>8.5669642857142865</v>
      </c>
      <c r="AJ1061" s="192">
        <f t="shared" si="425"/>
        <v>5.2842261904761907</v>
      </c>
      <c r="AK1061" s="192">
        <f t="shared" si="426"/>
        <v>8.1592261904761916</v>
      </c>
      <c r="AL1061" s="192">
        <f t="shared" si="427"/>
        <v>8.2410714285714288</v>
      </c>
      <c r="AM1061" s="192">
        <f t="shared" si="428"/>
        <v>2.7529761904761902</v>
      </c>
      <c r="AN1061" s="192">
        <f t="shared" si="429"/>
        <v>3.245535714285714</v>
      </c>
      <c r="AO1061" s="192">
        <f t="shared" si="430"/>
        <v>6.7782738095238093</v>
      </c>
      <c r="AP1061" s="192">
        <f t="shared" si="431"/>
        <v>1.2782738095238095</v>
      </c>
      <c r="AQ1061" s="192">
        <f t="shared" si="432"/>
        <v>1.9255952380952381</v>
      </c>
      <c r="AR1061" s="192">
        <f t="shared" si="433"/>
        <v>3.0252976190476191</v>
      </c>
      <c r="AS1061" s="192">
        <f t="shared" si="434"/>
        <v>186.78751642201127</v>
      </c>
      <c r="AT1061" s="192">
        <f t="shared" si="435"/>
        <v>15.086306811110466</v>
      </c>
      <c r="AU1061" s="192">
        <f t="shared" si="436"/>
        <v>201.87382323312173</v>
      </c>
      <c r="AW1061" s="192">
        <f t="shared" si="437"/>
        <v>421.61309523809524</v>
      </c>
      <c r="AX1061" s="192">
        <f t="shared" si="438"/>
        <v>-219.73927200497351</v>
      </c>
    </row>
    <row r="1062" spans="1:50" ht="15.75" customHeight="1" thickBot="1" x14ac:dyDescent="0.35">
      <c r="A1062" s="260"/>
      <c r="AC1062" s="4">
        <v>17</v>
      </c>
      <c r="AD1062" s="192">
        <f t="shared" si="449"/>
        <v>0</v>
      </c>
      <c r="AE1062" s="192">
        <f t="shared" si="420"/>
        <v>29.59672619047619</v>
      </c>
      <c r="AF1062" s="192">
        <f t="shared" si="421"/>
        <v>31.02529761904762</v>
      </c>
      <c r="AG1062" s="192">
        <f t="shared" si="422"/>
        <v>52.639880952380956</v>
      </c>
      <c r="AH1062" s="192">
        <f t="shared" si="423"/>
        <v>24.268171183916024</v>
      </c>
      <c r="AI1062" s="192">
        <f t="shared" si="424"/>
        <v>8.5669642857142865</v>
      </c>
      <c r="AJ1062" s="192">
        <f t="shared" si="425"/>
        <v>5.2842261904761907</v>
      </c>
      <c r="AK1062" s="192">
        <f t="shared" si="426"/>
        <v>8.1592261904761916</v>
      </c>
      <c r="AL1062" s="192">
        <f t="shared" si="427"/>
        <v>8.2410714285714288</v>
      </c>
      <c r="AM1062" s="192">
        <f t="shared" si="428"/>
        <v>2.7529761904761902</v>
      </c>
      <c r="AN1062" s="192">
        <f t="shared" si="429"/>
        <v>3.245535714285714</v>
      </c>
      <c r="AO1062" s="192">
        <f t="shared" si="430"/>
        <v>6.7782738095238093</v>
      </c>
      <c r="AP1062" s="192">
        <f t="shared" si="431"/>
        <v>1.2782738095238095</v>
      </c>
      <c r="AQ1062" s="192">
        <f t="shared" si="432"/>
        <v>1.9255952380952381</v>
      </c>
      <c r="AR1062" s="192">
        <f t="shared" si="433"/>
        <v>3.0252976190476191</v>
      </c>
      <c r="AS1062" s="192">
        <f t="shared" si="434"/>
        <v>186.78751642201127</v>
      </c>
      <c r="AT1062" s="192">
        <f t="shared" si="435"/>
        <v>15.086306811110466</v>
      </c>
      <c r="AU1062" s="192">
        <f t="shared" si="436"/>
        <v>201.87382323312173</v>
      </c>
      <c r="AW1062" s="192">
        <f t="shared" si="437"/>
        <v>421.61309523809524</v>
      </c>
      <c r="AX1062" s="192">
        <f t="shared" si="438"/>
        <v>-219.73927200497351</v>
      </c>
    </row>
    <row r="1063" spans="1:50" ht="15.75" customHeight="1" x14ac:dyDescent="0.3">
      <c r="A1063" s="273"/>
      <c r="B1063" s="387" t="s">
        <v>805</v>
      </c>
      <c r="C1063" s="387"/>
      <c r="D1063" s="387"/>
      <c r="E1063" s="387"/>
      <c r="F1063" s="387"/>
      <c r="G1063" s="387"/>
      <c r="H1063" s="387"/>
      <c r="I1063" s="387"/>
      <c r="J1063" s="387"/>
      <c r="K1063" s="387"/>
      <c r="L1063" s="387"/>
      <c r="M1063" s="387"/>
      <c r="N1063" s="387"/>
      <c r="O1063" s="387"/>
      <c r="P1063" s="387"/>
      <c r="Q1063" s="177" t="str">
        <f>+Q1</f>
        <v xml:space="preserve">PRINTED:  </v>
      </c>
      <c r="R1063" s="178">
        <f ca="1">+R1</f>
        <v>44894.658168518516</v>
      </c>
      <c r="AC1063" s="4">
        <v>18</v>
      </c>
      <c r="AD1063" s="192">
        <f t="shared" si="449"/>
        <v>0</v>
      </c>
      <c r="AE1063" s="192">
        <f t="shared" si="420"/>
        <v>29.59672619047619</v>
      </c>
      <c r="AF1063" s="192">
        <f t="shared" si="421"/>
        <v>31.02529761904762</v>
      </c>
      <c r="AG1063" s="192">
        <f t="shared" si="422"/>
        <v>52.639880952380956</v>
      </c>
      <c r="AH1063" s="192">
        <f t="shared" si="423"/>
        <v>24.268171183916024</v>
      </c>
      <c r="AI1063" s="192">
        <f t="shared" si="424"/>
        <v>8.5669642857142865</v>
      </c>
      <c r="AJ1063" s="192">
        <f t="shared" si="425"/>
        <v>5.2842261904761907</v>
      </c>
      <c r="AK1063" s="192">
        <f t="shared" si="426"/>
        <v>8.1592261904761916</v>
      </c>
      <c r="AL1063" s="192">
        <f t="shared" si="427"/>
        <v>8.2410714285714288</v>
      </c>
      <c r="AM1063" s="192">
        <f t="shared" si="428"/>
        <v>2.7529761904761902</v>
      </c>
      <c r="AN1063" s="192">
        <f t="shared" si="429"/>
        <v>3.245535714285714</v>
      </c>
      <c r="AO1063" s="192">
        <f t="shared" si="430"/>
        <v>6.7782738095238093</v>
      </c>
      <c r="AP1063" s="192">
        <f t="shared" si="431"/>
        <v>1.2782738095238095</v>
      </c>
      <c r="AQ1063" s="192">
        <f t="shared" si="432"/>
        <v>1.9255952380952381</v>
      </c>
      <c r="AR1063" s="192">
        <f t="shared" si="433"/>
        <v>3.0252976190476191</v>
      </c>
      <c r="AS1063" s="192">
        <f t="shared" si="434"/>
        <v>186.78751642201127</v>
      </c>
      <c r="AT1063" s="192">
        <f t="shared" si="435"/>
        <v>15.086306811110466</v>
      </c>
      <c r="AU1063" s="192">
        <f t="shared" si="436"/>
        <v>201.87382323312173</v>
      </c>
      <c r="AW1063" s="192">
        <f t="shared" si="437"/>
        <v>421.61309523809524</v>
      </c>
      <c r="AX1063" s="192">
        <f t="shared" si="438"/>
        <v>-219.73927200497351</v>
      </c>
    </row>
    <row r="1064" spans="1:50" ht="16.5" customHeight="1" x14ac:dyDescent="0.3">
      <c r="A1064" s="257"/>
      <c r="B1064" s="394" t="str">
        <f>+A8</f>
        <v>Revised:  11/27/2018</v>
      </c>
      <c r="C1064" s="394"/>
      <c r="D1064" s="394"/>
      <c r="E1064" s="394"/>
      <c r="F1064" s="394"/>
      <c r="G1064" s="394"/>
      <c r="H1064" s="394"/>
      <c r="I1064" s="394"/>
      <c r="J1064" s="394"/>
      <c r="K1064" s="394"/>
      <c r="L1064" s="394"/>
      <c r="M1064" s="394"/>
      <c r="N1064" s="394"/>
      <c r="O1064" s="394"/>
      <c r="P1064" s="394"/>
      <c r="R1064" s="304"/>
      <c r="AC1064" s="4">
        <v>19</v>
      </c>
      <c r="AD1064" s="192">
        <f t="shared" si="449"/>
        <v>0</v>
      </c>
      <c r="AE1064" s="192">
        <f t="shared" si="420"/>
        <v>29.59672619047619</v>
      </c>
      <c r="AF1064" s="192">
        <f t="shared" si="421"/>
        <v>31.02529761904762</v>
      </c>
      <c r="AG1064" s="192">
        <f t="shared" si="422"/>
        <v>52.639880952380956</v>
      </c>
      <c r="AH1064" s="192">
        <f t="shared" si="423"/>
        <v>24.268171183916024</v>
      </c>
      <c r="AI1064" s="192">
        <f t="shared" si="424"/>
        <v>8.5669642857142865</v>
      </c>
      <c r="AJ1064" s="192">
        <f t="shared" si="425"/>
        <v>5.2842261904761907</v>
      </c>
      <c r="AK1064" s="192">
        <f t="shared" si="426"/>
        <v>8.1592261904761916</v>
      </c>
      <c r="AL1064" s="192">
        <f t="shared" si="427"/>
        <v>8.2410714285714288</v>
      </c>
      <c r="AM1064" s="192">
        <f t="shared" si="428"/>
        <v>2.7529761904761902</v>
      </c>
      <c r="AN1064" s="192">
        <f t="shared" si="429"/>
        <v>3.245535714285714</v>
      </c>
      <c r="AO1064" s="192">
        <f t="shared" si="430"/>
        <v>6.7782738095238093</v>
      </c>
      <c r="AP1064" s="192">
        <f t="shared" si="431"/>
        <v>1.2782738095238095</v>
      </c>
      <c r="AQ1064" s="192">
        <f t="shared" si="432"/>
        <v>1.9255952380952381</v>
      </c>
      <c r="AR1064" s="192">
        <f t="shared" si="433"/>
        <v>3.0252976190476191</v>
      </c>
      <c r="AS1064" s="192">
        <f t="shared" si="434"/>
        <v>186.78751642201127</v>
      </c>
      <c r="AT1064" s="192">
        <f t="shared" si="435"/>
        <v>15.086306811110466</v>
      </c>
      <c r="AU1064" s="192">
        <f t="shared" si="436"/>
        <v>201.87382323312173</v>
      </c>
      <c r="AW1064" s="192">
        <f t="shared" si="437"/>
        <v>421.61309523809524</v>
      </c>
      <c r="AX1064" s="192">
        <f t="shared" si="438"/>
        <v>-219.73927200497351</v>
      </c>
    </row>
    <row r="1065" spans="1:50" ht="16.5" customHeight="1" x14ac:dyDescent="0.3">
      <c r="A1065" s="257"/>
      <c r="B1065" s="394" t="s">
        <v>670</v>
      </c>
      <c r="C1065" s="394"/>
      <c r="D1065" s="394"/>
      <c r="E1065" s="394"/>
      <c r="F1065" s="394"/>
      <c r="G1065" s="394"/>
      <c r="H1065" s="394"/>
      <c r="I1065" s="394"/>
      <c r="J1065" s="394"/>
      <c r="K1065" s="394"/>
      <c r="L1065" s="394"/>
      <c r="M1065" s="394"/>
      <c r="N1065" s="394"/>
      <c r="O1065" s="394"/>
      <c r="P1065" s="394"/>
      <c r="R1065" s="304"/>
      <c r="AC1065" s="4">
        <v>20</v>
      </c>
      <c r="AD1065" s="192">
        <f t="shared" si="449"/>
        <v>0</v>
      </c>
      <c r="AE1065" s="192">
        <f t="shared" si="420"/>
        <v>29.59672619047619</v>
      </c>
      <c r="AF1065" s="192">
        <f t="shared" si="421"/>
        <v>31.02529761904762</v>
      </c>
      <c r="AG1065" s="192">
        <f t="shared" si="422"/>
        <v>52.639880952380956</v>
      </c>
      <c r="AH1065" s="192">
        <f t="shared" si="423"/>
        <v>24.268171183916024</v>
      </c>
      <c r="AI1065" s="192">
        <f t="shared" si="424"/>
        <v>8.5669642857142865</v>
      </c>
      <c r="AJ1065" s="192">
        <f t="shared" si="425"/>
        <v>5.2842261904761907</v>
      </c>
      <c r="AK1065" s="192">
        <f t="shared" si="426"/>
        <v>8.1592261904761916</v>
      </c>
      <c r="AL1065" s="192">
        <f t="shared" si="427"/>
        <v>8.2410714285714288</v>
      </c>
      <c r="AM1065" s="192">
        <f t="shared" si="428"/>
        <v>2.7529761904761902</v>
      </c>
      <c r="AN1065" s="192">
        <f t="shared" si="429"/>
        <v>3.245535714285714</v>
      </c>
      <c r="AO1065" s="192">
        <f t="shared" si="430"/>
        <v>6.7782738095238093</v>
      </c>
      <c r="AP1065" s="192">
        <f t="shared" si="431"/>
        <v>1.2782738095238095</v>
      </c>
      <c r="AQ1065" s="192">
        <f t="shared" si="432"/>
        <v>1.9255952380952381</v>
      </c>
      <c r="AR1065" s="192">
        <f t="shared" si="433"/>
        <v>3.0252976190476191</v>
      </c>
      <c r="AS1065" s="192">
        <f t="shared" si="434"/>
        <v>186.78751642201127</v>
      </c>
      <c r="AT1065" s="192">
        <f t="shared" si="435"/>
        <v>15.086306811110466</v>
      </c>
      <c r="AU1065" s="192">
        <f t="shared" si="436"/>
        <v>201.87382323312173</v>
      </c>
      <c r="AW1065" s="192">
        <f t="shared" si="437"/>
        <v>421.61309523809524</v>
      </c>
      <c r="AX1065" s="192">
        <f t="shared" si="438"/>
        <v>-219.73927200497351</v>
      </c>
    </row>
    <row r="1066" spans="1:50" ht="16.5" customHeight="1" x14ac:dyDescent="0.3">
      <c r="A1066" s="257"/>
      <c r="B1066" s="180"/>
      <c r="C1066" s="180"/>
      <c r="D1066" s="180"/>
      <c r="E1066" s="180"/>
      <c r="F1066" s="180"/>
      <c r="G1066" s="180"/>
      <c r="H1066" s="180"/>
      <c r="I1066" s="180"/>
      <c r="J1066" s="180"/>
      <c r="K1066" s="180"/>
      <c r="L1066" s="180"/>
      <c r="M1066" s="180"/>
      <c r="N1066" s="180"/>
      <c r="O1066" s="180"/>
      <c r="P1066" s="180"/>
      <c r="R1066" s="304"/>
      <c r="AC1066" s="4">
        <v>21</v>
      </c>
      <c r="AD1066" s="192">
        <f>IF($AF$1043=1,VLOOKUP($AD$1043,$A$1073:$P$1084,12,FALSE),VLOOKUP($AD$1043,$A$1046:$S$1057,3,FALSE))</f>
        <v>0</v>
      </c>
      <c r="AE1066" s="192">
        <f t="shared" si="420"/>
        <v>29.59672619047619</v>
      </c>
      <c r="AF1066" s="192">
        <f t="shared" si="421"/>
        <v>31.02529761904762</v>
      </c>
      <c r="AG1066" s="192">
        <f t="shared" si="422"/>
        <v>52.639880952380956</v>
      </c>
      <c r="AH1066" s="192">
        <f t="shared" si="423"/>
        <v>24.268171183916024</v>
      </c>
      <c r="AI1066" s="192">
        <f t="shared" si="424"/>
        <v>8.5669642857142865</v>
      </c>
      <c r="AJ1066" s="192">
        <f t="shared" si="425"/>
        <v>5.2842261904761907</v>
      </c>
      <c r="AK1066" s="192">
        <f t="shared" si="426"/>
        <v>8.1592261904761916</v>
      </c>
      <c r="AL1066" s="192">
        <f t="shared" si="427"/>
        <v>8.2410714285714288</v>
      </c>
      <c r="AM1066" s="192">
        <f t="shared" si="428"/>
        <v>2.7529761904761902</v>
      </c>
      <c r="AN1066" s="192">
        <f t="shared" si="429"/>
        <v>3.245535714285714</v>
      </c>
      <c r="AO1066" s="192">
        <f t="shared" si="430"/>
        <v>6.7782738095238093</v>
      </c>
      <c r="AP1066" s="192">
        <f t="shared" si="431"/>
        <v>1.2782738095238095</v>
      </c>
      <c r="AQ1066" s="192">
        <f t="shared" si="432"/>
        <v>1.9255952380952381</v>
      </c>
      <c r="AR1066" s="192">
        <f t="shared" si="433"/>
        <v>3.0252976190476191</v>
      </c>
      <c r="AS1066" s="192">
        <f t="shared" si="434"/>
        <v>186.78751642201127</v>
      </c>
      <c r="AT1066" s="192">
        <f t="shared" si="435"/>
        <v>15.086306811110466</v>
      </c>
      <c r="AU1066" s="192">
        <f t="shared" si="436"/>
        <v>201.87382323312173</v>
      </c>
      <c r="AW1066" s="192">
        <f t="shared" si="437"/>
        <v>421.61309523809524</v>
      </c>
      <c r="AX1066" s="192">
        <f t="shared" si="438"/>
        <v>-219.73927200497351</v>
      </c>
    </row>
    <row r="1067" spans="1:50" ht="16.5" customHeight="1" x14ac:dyDescent="0.3">
      <c r="A1067" s="257"/>
      <c r="B1067" s="415">
        <f>+A5</f>
        <v>2019</v>
      </c>
      <c r="C1067" s="395"/>
      <c r="D1067" s="395"/>
      <c r="E1067" s="395"/>
      <c r="F1067" s="395"/>
      <c r="G1067" s="395"/>
      <c r="H1067" s="395"/>
      <c r="I1067" s="395"/>
      <c r="J1067" s="395"/>
      <c r="K1067" s="395"/>
      <c r="L1067" s="395"/>
      <c r="M1067" s="395"/>
      <c r="N1067" s="395"/>
      <c r="O1067" s="395"/>
      <c r="P1067" s="395"/>
      <c r="R1067" s="304"/>
      <c r="AC1067" s="4">
        <v>22</v>
      </c>
      <c r="AD1067" s="192">
        <f>IF($AF$1043=1,VLOOKUP($AD$1043,$A$1073:$P$1084,12,FALSE),VLOOKUP($AD$1043,$A$1046:$S$1057,3,FALSE))</f>
        <v>0</v>
      </c>
      <c r="AE1067" s="192">
        <f t="shared" si="420"/>
        <v>29.59672619047619</v>
      </c>
      <c r="AF1067" s="192">
        <f t="shared" si="421"/>
        <v>31.02529761904762</v>
      </c>
      <c r="AG1067" s="192">
        <f t="shared" si="422"/>
        <v>52.639880952380956</v>
      </c>
      <c r="AH1067" s="192">
        <f t="shared" si="423"/>
        <v>24.268171183916024</v>
      </c>
      <c r="AI1067" s="192">
        <f t="shared" si="424"/>
        <v>8.5669642857142865</v>
      </c>
      <c r="AJ1067" s="192">
        <f t="shared" si="425"/>
        <v>5.2842261904761907</v>
      </c>
      <c r="AK1067" s="192">
        <f t="shared" si="426"/>
        <v>8.1592261904761916</v>
      </c>
      <c r="AL1067" s="192">
        <f t="shared" si="427"/>
        <v>8.2410714285714288</v>
      </c>
      <c r="AM1067" s="192">
        <f t="shared" si="428"/>
        <v>2.7529761904761902</v>
      </c>
      <c r="AN1067" s="192">
        <f t="shared" si="429"/>
        <v>3.245535714285714</v>
      </c>
      <c r="AO1067" s="192">
        <f t="shared" si="430"/>
        <v>6.7782738095238093</v>
      </c>
      <c r="AP1067" s="192">
        <f t="shared" si="431"/>
        <v>1.2782738095238095</v>
      </c>
      <c r="AQ1067" s="192">
        <f t="shared" si="432"/>
        <v>1.9255952380952381</v>
      </c>
      <c r="AR1067" s="192">
        <f t="shared" si="433"/>
        <v>3.0252976190476191</v>
      </c>
      <c r="AS1067" s="192">
        <f t="shared" si="434"/>
        <v>186.78751642201127</v>
      </c>
      <c r="AT1067" s="192">
        <f t="shared" si="435"/>
        <v>15.086306811110466</v>
      </c>
      <c r="AU1067" s="192">
        <f t="shared" si="436"/>
        <v>201.87382323312173</v>
      </c>
      <c r="AW1067" s="192">
        <f t="shared" si="437"/>
        <v>421.61309523809524</v>
      </c>
      <c r="AX1067" s="192">
        <f t="shared" si="438"/>
        <v>-219.73927200497351</v>
      </c>
    </row>
    <row r="1068" spans="1:50" ht="15.75" customHeight="1" x14ac:dyDescent="0.3">
      <c r="A1068" s="257"/>
      <c r="B1068" s="394" t="s">
        <v>708</v>
      </c>
      <c r="C1068" s="394"/>
      <c r="D1068" s="394"/>
      <c r="E1068" s="394"/>
      <c r="F1068" s="394"/>
      <c r="G1068" s="394"/>
      <c r="H1068" s="394"/>
      <c r="I1068" s="394"/>
      <c r="J1068" s="394"/>
      <c r="K1068" s="394"/>
      <c r="L1068" s="394"/>
      <c r="M1068" s="394"/>
      <c r="N1068" s="394"/>
      <c r="O1068" s="394"/>
      <c r="P1068" s="394"/>
      <c r="R1068" s="304"/>
      <c r="AC1068" s="4">
        <v>23</v>
      </c>
      <c r="AD1068" s="192">
        <f>IF($AF$1043=1,VLOOKUP($AD$1043,$A$1073:$P$1084,12,FALSE),IF(OR($AD$1043="JAN",$AD$1043="FEB",$AD$1043="NOV",$AD$1043="DEC"),VLOOKUP($AD$1043,$A$1046:$S$1057,3,FALSE),VLOOKUP($AD$1043,$A$1046:$S$1057,2,FALSE)))</f>
        <v>0</v>
      </c>
      <c r="AE1068" s="192">
        <f t="shared" si="420"/>
        <v>29.59672619047619</v>
      </c>
      <c r="AF1068" s="192">
        <f t="shared" si="421"/>
        <v>31.02529761904762</v>
      </c>
      <c r="AG1068" s="192">
        <f t="shared" si="422"/>
        <v>52.639880952380956</v>
      </c>
      <c r="AH1068" s="192">
        <f t="shared" si="423"/>
        <v>24.268171183916024</v>
      </c>
      <c r="AI1068" s="192">
        <f t="shared" si="424"/>
        <v>8.5669642857142865</v>
      </c>
      <c r="AJ1068" s="192">
        <f t="shared" si="425"/>
        <v>5.2842261904761907</v>
      </c>
      <c r="AK1068" s="192">
        <f t="shared" si="426"/>
        <v>8.1592261904761916</v>
      </c>
      <c r="AL1068" s="192">
        <f t="shared" si="427"/>
        <v>8.2410714285714288</v>
      </c>
      <c r="AM1068" s="192">
        <f t="shared" si="428"/>
        <v>2.7529761904761902</v>
      </c>
      <c r="AN1068" s="192">
        <f t="shared" si="429"/>
        <v>3.245535714285714</v>
      </c>
      <c r="AO1068" s="192">
        <f t="shared" si="430"/>
        <v>6.7782738095238093</v>
      </c>
      <c r="AP1068" s="192">
        <f t="shared" si="431"/>
        <v>1.2782738095238095</v>
      </c>
      <c r="AQ1068" s="192">
        <f t="shared" si="432"/>
        <v>1.9255952380952381</v>
      </c>
      <c r="AR1068" s="192">
        <f t="shared" si="433"/>
        <v>3.0252976190476191</v>
      </c>
      <c r="AS1068" s="192">
        <f t="shared" si="434"/>
        <v>186.78751642201127</v>
      </c>
      <c r="AT1068" s="192">
        <f t="shared" si="435"/>
        <v>15.086306811110466</v>
      </c>
      <c r="AU1068" s="192">
        <f t="shared" si="436"/>
        <v>201.87382323312173</v>
      </c>
      <c r="AW1068" s="192">
        <f t="shared" si="437"/>
        <v>421.61309523809524</v>
      </c>
      <c r="AX1068" s="192">
        <f t="shared" si="438"/>
        <v>-219.73927200497351</v>
      </c>
    </row>
    <row r="1069" spans="1:50" ht="15.75" customHeight="1" thickBot="1" x14ac:dyDescent="0.35">
      <c r="A1069" s="257"/>
      <c r="R1069" s="304"/>
      <c r="AC1069" s="4">
        <v>24</v>
      </c>
      <c r="AD1069" s="192">
        <f>IF($AF$1043=1,VLOOKUP($AD$1043,$A$1073:$P$1084,12,FALSE),VLOOKUP($AD$1043,$A$1046:$S$1057,2,FALSE))</f>
        <v>98</v>
      </c>
      <c r="AE1069" s="192">
        <f t="shared" si="420"/>
        <v>29.59672619047619</v>
      </c>
      <c r="AF1069" s="192">
        <f t="shared" si="421"/>
        <v>31.02529761904762</v>
      </c>
      <c r="AG1069" s="192">
        <f t="shared" si="422"/>
        <v>52.639880952380956</v>
      </c>
      <c r="AH1069" s="192">
        <f t="shared" si="423"/>
        <v>24.268171183916024</v>
      </c>
      <c r="AI1069" s="192">
        <f t="shared" si="424"/>
        <v>8.5669642857142865</v>
      </c>
      <c r="AJ1069" s="192">
        <f t="shared" si="425"/>
        <v>5.2842261904761907</v>
      </c>
      <c r="AK1069" s="192">
        <f t="shared" si="426"/>
        <v>8.1592261904761916</v>
      </c>
      <c r="AL1069" s="192">
        <f t="shared" si="427"/>
        <v>8.2410714285714288</v>
      </c>
      <c r="AM1069" s="192">
        <f t="shared" si="428"/>
        <v>2.7529761904761902</v>
      </c>
      <c r="AN1069" s="192">
        <f t="shared" si="429"/>
        <v>3.245535714285714</v>
      </c>
      <c r="AO1069" s="192">
        <f t="shared" si="430"/>
        <v>6.7782738095238093</v>
      </c>
      <c r="AP1069" s="192">
        <f t="shared" si="431"/>
        <v>1.2782738095238095</v>
      </c>
      <c r="AQ1069" s="192">
        <f t="shared" si="432"/>
        <v>1.9255952380952381</v>
      </c>
      <c r="AR1069" s="192">
        <f t="shared" si="433"/>
        <v>3.0252976190476191</v>
      </c>
      <c r="AS1069" s="192">
        <f t="shared" si="434"/>
        <v>284.78751642201127</v>
      </c>
      <c r="AT1069" s="192">
        <f t="shared" si="435"/>
        <v>23.00149352063621</v>
      </c>
      <c r="AU1069" s="192">
        <f t="shared" si="436"/>
        <v>307.78900994264745</v>
      </c>
      <c r="AW1069" s="192">
        <f t="shared" si="437"/>
        <v>421.61309523809524</v>
      </c>
      <c r="AX1069" s="192">
        <f t="shared" si="438"/>
        <v>-113.82408529544779</v>
      </c>
    </row>
    <row r="1070" spans="1:50" ht="15.75" customHeight="1" x14ac:dyDescent="0.3">
      <c r="A1070" s="257"/>
      <c r="B1070" s="416" t="s">
        <v>806</v>
      </c>
      <c r="C1070" s="417"/>
      <c r="D1070" s="417"/>
      <c r="E1070" s="417"/>
      <c r="F1070" s="417"/>
      <c r="G1070" s="417"/>
      <c r="H1070" s="417"/>
      <c r="I1070" s="417"/>
      <c r="J1070" s="417"/>
      <c r="K1070" s="417"/>
      <c r="L1070" s="418"/>
      <c r="M1070" s="419" t="s">
        <v>807</v>
      </c>
      <c r="N1070" s="417"/>
      <c r="O1070" s="417"/>
      <c r="P1070" s="417"/>
      <c r="Q1070" s="192" t="s">
        <v>808</v>
      </c>
      <c r="R1070" s="312" t="s">
        <v>809</v>
      </c>
      <c r="S1070" s="192" t="s">
        <v>810</v>
      </c>
      <c r="T1070" s="192" t="s">
        <v>782</v>
      </c>
      <c r="AC1070" s="4" t="s">
        <v>641</v>
      </c>
      <c r="AD1070" s="192">
        <f>SUM(AD1046:AD1069)</f>
        <v>784</v>
      </c>
      <c r="AE1070" s="192">
        <f>SUM(AE1046:AE1069)</f>
        <v>710.32142857142844</v>
      </c>
      <c r="AF1070" s="192">
        <f t="shared" ref="AF1070:AW1070" si="450">SUM(AF1046:AF1069)</f>
        <v>744.60714285714243</v>
      </c>
      <c r="AG1070" s="192">
        <f t="shared" si="450"/>
        <v>1263.3571428571429</v>
      </c>
      <c r="AH1070" s="192">
        <f t="shared" si="450"/>
        <v>582.43610841398458</v>
      </c>
      <c r="AI1070" s="192">
        <f t="shared" si="450"/>
        <v>205.60714285714283</v>
      </c>
      <c r="AJ1070" s="192">
        <f t="shared" si="450"/>
        <v>126.82142857142857</v>
      </c>
      <c r="AK1070" s="192">
        <f t="shared" si="450"/>
        <v>195.8214285714287</v>
      </c>
      <c r="AL1070" s="192">
        <f t="shared" si="450"/>
        <v>197.78571428571419</v>
      </c>
      <c r="AM1070" s="192">
        <f t="shared" si="450"/>
        <v>66.071428571428569</v>
      </c>
      <c r="AN1070" s="192">
        <f t="shared" si="450"/>
        <v>77.892857142857125</v>
      </c>
      <c r="AO1070" s="192">
        <f t="shared" si="450"/>
        <v>162.67857142857136</v>
      </c>
      <c r="AP1070" s="192">
        <f t="shared" si="450"/>
        <v>30.678571428571438</v>
      </c>
      <c r="AQ1070" s="192">
        <f t="shared" si="450"/>
        <v>46.214285714285722</v>
      </c>
      <c r="AR1070" s="192">
        <f t="shared" si="450"/>
        <v>72.607142857142875</v>
      </c>
      <c r="AS1070" s="192">
        <f t="shared" si="450"/>
        <v>5266.9003941282708</v>
      </c>
      <c r="AT1070" s="192">
        <f t="shared" si="450"/>
        <v>425.39285714285734</v>
      </c>
      <c r="AU1070" s="192">
        <f t="shared" si="450"/>
        <v>5692.293251271125</v>
      </c>
      <c r="AW1070" s="192">
        <f t="shared" si="450"/>
        <v>10118.714285714288</v>
      </c>
      <c r="AX1070" s="192">
        <f>SUMIF(AX1046:AX1069,"&gt;0")</f>
        <v>0</v>
      </c>
    </row>
    <row r="1071" spans="1:50" ht="15.75" customHeight="1" thickBot="1" x14ac:dyDescent="0.35">
      <c r="A1071" s="257" t="s">
        <v>768</v>
      </c>
      <c r="B1071" s="274" t="s">
        <v>811</v>
      </c>
      <c r="C1071" s="275" t="s">
        <v>791</v>
      </c>
      <c r="D1071" s="275" t="s">
        <v>792</v>
      </c>
      <c r="E1071" s="275" t="s">
        <v>812</v>
      </c>
      <c r="F1071" s="275" t="s">
        <v>791</v>
      </c>
      <c r="G1071" s="275" t="s">
        <v>792</v>
      </c>
      <c r="H1071" s="275" t="s">
        <v>793</v>
      </c>
      <c r="I1071" s="275" t="s">
        <v>791</v>
      </c>
      <c r="J1071" s="275" t="s">
        <v>792</v>
      </c>
      <c r="K1071" s="275" t="s">
        <v>793</v>
      </c>
      <c r="L1071" s="276" t="s">
        <v>813</v>
      </c>
      <c r="M1071" s="274" t="s">
        <v>814</v>
      </c>
      <c r="N1071" s="275" t="s">
        <v>791</v>
      </c>
      <c r="O1071" s="275" t="s">
        <v>791</v>
      </c>
      <c r="P1071" s="276" t="s">
        <v>813</v>
      </c>
      <c r="Q1071" s="277" t="s">
        <v>641</v>
      </c>
      <c r="R1071" s="313" t="s">
        <v>815</v>
      </c>
      <c r="S1071" s="275" t="s">
        <v>816</v>
      </c>
      <c r="T1071" s="275" t="s">
        <v>816</v>
      </c>
      <c r="AU1071" s="192"/>
      <c r="AW1071" s="192"/>
      <c r="AX1071" s="192"/>
    </row>
    <row r="1072" spans="1:50" ht="15.75" customHeight="1" thickTop="1" thickBot="1" x14ac:dyDescent="0.35">
      <c r="A1072" s="257"/>
      <c r="B1072" s="279"/>
      <c r="C1072" s="280" t="s">
        <v>817</v>
      </c>
      <c r="D1072" s="280" t="s">
        <v>817</v>
      </c>
      <c r="E1072" s="280" t="s">
        <v>817</v>
      </c>
      <c r="F1072" s="281" t="s">
        <v>779</v>
      </c>
      <c r="G1072" s="281" t="s">
        <v>779</v>
      </c>
      <c r="H1072" s="281" t="s">
        <v>779</v>
      </c>
      <c r="I1072" s="281" t="s">
        <v>818</v>
      </c>
      <c r="J1072" s="281" t="s">
        <v>818</v>
      </c>
      <c r="K1072" s="281" t="s">
        <v>818</v>
      </c>
      <c r="L1072" s="314" t="s">
        <v>819</v>
      </c>
      <c r="M1072" s="283"/>
      <c r="N1072" s="280" t="s">
        <v>817</v>
      </c>
      <c r="O1072" s="281" t="s">
        <v>779</v>
      </c>
      <c r="P1072" s="314" t="s">
        <v>818</v>
      </c>
      <c r="Q1072" s="277" t="s">
        <v>818</v>
      </c>
      <c r="R1072" s="313" t="s">
        <v>818</v>
      </c>
      <c r="S1072" s="281" t="s">
        <v>820</v>
      </c>
      <c r="T1072" s="281" t="s">
        <v>820</v>
      </c>
    </row>
    <row r="1073" spans="1:36" ht="15.75" customHeight="1" x14ac:dyDescent="0.3">
      <c r="A1073" s="257" t="s">
        <v>8</v>
      </c>
      <c r="B1073" s="211" t="e">
        <f ca="1">+$B$10-M1073</f>
        <v>#NAME?</v>
      </c>
      <c r="C1073" s="284">
        <v>4</v>
      </c>
      <c r="D1073" s="284">
        <v>0</v>
      </c>
      <c r="E1073" s="284" t="s">
        <v>803</v>
      </c>
      <c r="F1073" s="192">
        <f>+I1073/(24-S1073)</f>
        <v>196</v>
      </c>
      <c r="G1073" s="192">
        <f>+J1073/S1073</f>
        <v>0</v>
      </c>
      <c r="H1073" s="192" t="s">
        <v>803</v>
      </c>
      <c r="I1073" s="192">
        <f>+C1073*49*(24-S1073)</f>
        <v>3724</v>
      </c>
      <c r="J1073" s="192">
        <f>+D1073*49*S1073</f>
        <v>0</v>
      </c>
      <c r="K1073" s="192" t="s">
        <v>803</v>
      </c>
      <c r="L1073" s="312">
        <f>+J1073+I1073</f>
        <v>3724</v>
      </c>
      <c r="M1073" s="211" t="e">
        <f ca="1">SUMPRODUCT(--(WEEKDAY(ROW(INDIRECT(DATE($B$1067,MonthFromText(A1073),1)&amp;":"&amp;DATE($B$1067,MonthFromText(A1073),$B$10))),1)=1))</f>
        <v>#NAME?</v>
      </c>
      <c r="N1073" s="284">
        <v>4</v>
      </c>
      <c r="O1073" s="4">
        <f>+P1073/(24-T1073)</f>
        <v>196</v>
      </c>
      <c r="P1073" s="312">
        <f>+N1073*49*(24-T1073)</f>
        <v>3724</v>
      </c>
      <c r="Q1073" s="192" t="e">
        <f ca="1">+(L1073*B1073)+(M1073*P1073)</f>
        <v>#NAME?</v>
      </c>
      <c r="R1073" s="312" t="e">
        <f ca="1">+Q1073-B966</f>
        <v>#NAME?</v>
      </c>
      <c r="S1073" s="285">
        <v>5</v>
      </c>
      <c r="T1073" s="285">
        <v>5</v>
      </c>
      <c r="AD1073" s="207"/>
      <c r="AE1073" s="200"/>
      <c r="AF1073" s="286" t="s">
        <v>821</v>
      </c>
      <c r="AG1073" s="287" t="s">
        <v>822</v>
      </c>
      <c r="AH1073" s="287" t="s">
        <v>823</v>
      </c>
      <c r="AI1073" s="287" t="s">
        <v>824</v>
      </c>
      <c r="AJ1073" s="198"/>
    </row>
    <row r="1074" spans="1:36" ht="15.75" customHeight="1" x14ac:dyDescent="0.3">
      <c r="A1074" s="257" t="s">
        <v>9</v>
      </c>
      <c r="B1074" s="211" t="e">
        <f ca="1">+$C$10-M1074</f>
        <v>#NAME?</v>
      </c>
      <c r="C1074" s="284">
        <v>2</v>
      </c>
      <c r="D1074" s="284">
        <v>0</v>
      </c>
      <c r="E1074" s="284" t="s">
        <v>803</v>
      </c>
      <c r="F1074" s="192">
        <f t="shared" ref="F1074:F1084" si="451">+I1074/(24-S1074)</f>
        <v>98</v>
      </c>
      <c r="G1074" s="192">
        <f t="shared" ref="G1074:G1084" si="452">+J1074/S1074</f>
        <v>0</v>
      </c>
      <c r="H1074" s="192" t="s">
        <v>803</v>
      </c>
      <c r="I1074" s="192">
        <f t="shared" ref="I1074:I1084" si="453">+C1074*49*(24-S1074)</f>
        <v>1862</v>
      </c>
      <c r="J1074" s="192">
        <f t="shared" ref="J1074:J1084" si="454">+D1074*49*S1074</f>
        <v>0</v>
      </c>
      <c r="K1074" s="192" t="s">
        <v>803</v>
      </c>
      <c r="L1074" s="312">
        <f t="shared" ref="L1074:L1084" si="455">+J1074+I1074</f>
        <v>1862</v>
      </c>
      <c r="M1074" s="211" t="e">
        <f ca="1">SUMPRODUCT(--(WEEKDAY(ROW(INDIRECT(DATE($B$1067,MonthFromText(A1074),1)&amp;":"&amp;DATE($B$1067,MonthFromText(A1074),$C$10))),1)=1))</f>
        <v>#NAME?</v>
      </c>
      <c r="N1074" s="284">
        <f t="shared" ref="N1074:N1082" si="456">+C1074</f>
        <v>2</v>
      </c>
      <c r="O1074" s="4">
        <f t="shared" ref="O1074:O1084" si="457">+P1074/24</f>
        <v>98</v>
      </c>
      <c r="P1074" s="312">
        <f t="shared" ref="P1074:P1084" si="458">+N1074*49*24</f>
        <v>2352</v>
      </c>
      <c r="Q1074" s="192" t="e">
        <f ca="1">+(L1074*B1074)+(M1074*P1074)</f>
        <v>#NAME?</v>
      </c>
      <c r="R1074" s="312" t="e">
        <f t="shared" ref="R1074:R1084" ca="1" si="459">+Q1074-B967</f>
        <v>#NAME?</v>
      </c>
      <c r="S1074" s="285">
        <v>5</v>
      </c>
      <c r="T1074" s="285">
        <v>5</v>
      </c>
      <c r="AD1074" s="288" t="s">
        <v>668</v>
      </c>
      <c r="AE1074" s="289" t="s">
        <v>825</v>
      </c>
      <c r="AF1074" s="4">
        <f>V1046</f>
        <v>251.26209677419354</v>
      </c>
      <c r="AG1074" s="4">
        <f>X1046</f>
        <v>14.067516001664044</v>
      </c>
      <c r="AH1074" s="4">
        <f>Y1046</f>
        <v>-5.6608057119387993</v>
      </c>
      <c r="AI1074" s="4">
        <f>Z1046</f>
        <v>37.759408602150543</v>
      </c>
      <c r="AJ1074" s="304"/>
    </row>
    <row r="1075" spans="1:36" ht="16.5" customHeight="1" x14ac:dyDescent="0.3">
      <c r="A1075" s="257" t="s">
        <v>10</v>
      </c>
      <c r="B1075" s="211" t="e">
        <f ca="1">+$D$10-M1075</f>
        <v>#NAME?</v>
      </c>
      <c r="C1075" s="284">
        <v>6</v>
      </c>
      <c r="D1075" s="284">
        <v>0</v>
      </c>
      <c r="E1075" s="284" t="s">
        <v>803</v>
      </c>
      <c r="F1075" s="192">
        <f t="shared" si="451"/>
        <v>294</v>
      </c>
      <c r="G1075" s="192">
        <f t="shared" si="452"/>
        <v>0</v>
      </c>
      <c r="H1075" s="192" t="s">
        <v>803</v>
      </c>
      <c r="I1075" s="192">
        <f t="shared" si="453"/>
        <v>5586</v>
      </c>
      <c r="J1075" s="192">
        <f t="shared" si="454"/>
        <v>0</v>
      </c>
      <c r="K1075" s="192" t="s">
        <v>803</v>
      </c>
      <c r="L1075" s="312">
        <f t="shared" si="455"/>
        <v>5586</v>
      </c>
      <c r="M1075" s="211" t="e">
        <f ca="1">SUMPRODUCT(--(WEEKDAY(ROW(INDIRECT(DATE($B$1067,MonthFromText(A1075),1)&amp;":"&amp;DATE($B$1067,MonthFromText(A1075),$D$10))),1)=1))</f>
        <v>#NAME?</v>
      </c>
      <c r="N1075" s="284">
        <v>3</v>
      </c>
      <c r="O1075" s="4">
        <f t="shared" si="457"/>
        <v>147</v>
      </c>
      <c r="P1075" s="312">
        <f t="shared" si="458"/>
        <v>3528</v>
      </c>
      <c r="Q1075" s="192" t="e">
        <f t="shared" ref="Q1075:Q1084" ca="1" si="460">+(L1075*B1075)+(M1075*P1075)</f>
        <v>#NAME?</v>
      </c>
      <c r="R1075" s="312" t="e">
        <f t="shared" ca="1" si="459"/>
        <v>#NAME?</v>
      </c>
      <c r="S1075" s="285">
        <v>5</v>
      </c>
      <c r="T1075" s="285">
        <v>5</v>
      </c>
      <c r="AD1075" s="288"/>
      <c r="AE1075" s="289" t="s">
        <v>816</v>
      </c>
      <c r="AF1075" s="4">
        <f>W1046</f>
        <v>55.262096774193552</v>
      </c>
      <c r="AG1075" s="4">
        <f>X1046</f>
        <v>14.067516001664044</v>
      </c>
      <c r="AH1075" s="4">
        <f>Y1046</f>
        <v>-5.6608057119387993</v>
      </c>
      <c r="AI1075" s="4">
        <f>Z1046</f>
        <v>37.759408602150543</v>
      </c>
      <c r="AJ1075" s="304"/>
    </row>
    <row r="1076" spans="1:36" ht="16.5" customHeight="1" x14ac:dyDescent="0.3">
      <c r="A1076" s="257" t="s">
        <v>12</v>
      </c>
      <c r="B1076" s="211" t="e">
        <f ca="1">+$F$10-M1076</f>
        <v>#NAME?</v>
      </c>
      <c r="C1076" s="284">
        <v>6</v>
      </c>
      <c r="D1076" s="284">
        <v>0</v>
      </c>
      <c r="E1076" s="284" t="s">
        <v>803</v>
      </c>
      <c r="F1076" s="192">
        <f t="shared" si="451"/>
        <v>294</v>
      </c>
      <c r="G1076" s="192">
        <f t="shared" si="452"/>
        <v>0</v>
      </c>
      <c r="H1076" s="192" t="s">
        <v>803</v>
      </c>
      <c r="I1076" s="192">
        <f t="shared" si="453"/>
        <v>5586</v>
      </c>
      <c r="J1076" s="192">
        <f t="shared" si="454"/>
        <v>0</v>
      </c>
      <c r="K1076" s="192" t="s">
        <v>803</v>
      </c>
      <c r="L1076" s="312">
        <f t="shared" si="455"/>
        <v>5586</v>
      </c>
      <c r="M1076" s="211" t="e">
        <f ca="1">SUMPRODUCT(--(WEEKDAY(ROW(INDIRECT(DATE($B$1067,MonthFromText(A1076),1)&amp;":"&amp;DATE($B$1067,MonthFromText(A1076),$F$10))),1)=1))</f>
        <v>#NAME?</v>
      </c>
      <c r="N1076" s="284">
        <v>5</v>
      </c>
      <c r="O1076" s="4">
        <f t="shared" si="457"/>
        <v>245</v>
      </c>
      <c r="P1076" s="312">
        <f t="shared" si="458"/>
        <v>5880</v>
      </c>
      <c r="Q1076" s="192" t="e">
        <f t="shared" ca="1" si="460"/>
        <v>#NAME?</v>
      </c>
      <c r="R1076" s="312" t="e">
        <f t="shared" ca="1" si="459"/>
        <v>#NAME?</v>
      </c>
      <c r="S1076" s="285">
        <v>5</v>
      </c>
      <c r="T1076" s="285">
        <v>5</v>
      </c>
      <c r="AD1076" s="288" t="s">
        <v>826</v>
      </c>
      <c r="AE1076" s="289" t="s">
        <v>7</v>
      </c>
      <c r="AJ1076" s="304"/>
    </row>
    <row r="1077" spans="1:36" ht="15.75" customHeight="1" x14ac:dyDescent="0.3">
      <c r="A1077" s="257" t="s">
        <v>13</v>
      </c>
      <c r="B1077" s="211" t="e">
        <f ca="1">+$G$10-M1077</f>
        <v>#NAME?</v>
      </c>
      <c r="C1077" s="284">
        <v>6</v>
      </c>
      <c r="D1077" s="284">
        <v>0</v>
      </c>
      <c r="E1077" s="284" t="s">
        <v>803</v>
      </c>
      <c r="F1077" s="192">
        <f t="shared" si="451"/>
        <v>294</v>
      </c>
      <c r="G1077" s="192">
        <f t="shared" si="452"/>
        <v>0</v>
      </c>
      <c r="H1077" s="192" t="s">
        <v>803</v>
      </c>
      <c r="I1077" s="192">
        <f t="shared" si="453"/>
        <v>5586</v>
      </c>
      <c r="J1077" s="192">
        <f t="shared" si="454"/>
        <v>0</v>
      </c>
      <c r="K1077" s="192" t="s">
        <v>803</v>
      </c>
      <c r="L1077" s="312">
        <f t="shared" si="455"/>
        <v>5586</v>
      </c>
      <c r="M1077" s="211" t="e">
        <f ca="1">SUMPRODUCT(--(WEEKDAY(ROW(INDIRECT(DATE($B$1067,MonthFromText(A1077),1)&amp;":"&amp;DATE($B$1067,MonthFromText(A1077),$G$10))),1)=1))</f>
        <v>#NAME?</v>
      </c>
      <c r="N1077" s="284">
        <f t="shared" si="456"/>
        <v>6</v>
      </c>
      <c r="O1077" s="4">
        <f t="shared" si="457"/>
        <v>294</v>
      </c>
      <c r="P1077" s="312">
        <f t="shared" si="458"/>
        <v>7056</v>
      </c>
      <c r="Q1077" s="192" t="e">
        <f t="shared" ca="1" si="460"/>
        <v>#NAME?</v>
      </c>
      <c r="R1077" s="312" t="e">
        <f t="shared" ca="1" si="459"/>
        <v>#NAME?</v>
      </c>
      <c r="S1077" s="285">
        <v>5</v>
      </c>
      <c r="T1077" s="285">
        <v>5</v>
      </c>
      <c r="AD1077" s="288" t="s">
        <v>669</v>
      </c>
      <c r="AE1077" s="289" t="s">
        <v>825</v>
      </c>
      <c r="AF1077" s="4">
        <f>V1047</f>
        <v>211.26190476190476</v>
      </c>
      <c r="AG1077" s="4">
        <f>X1047</f>
        <v>24.268171183916024</v>
      </c>
      <c r="AH1077" s="4">
        <f>Y1047</f>
        <v>0</v>
      </c>
      <c r="AI1077" s="4">
        <f>Z1047</f>
        <v>49.257440476190489</v>
      </c>
      <c r="AJ1077" s="304"/>
    </row>
    <row r="1078" spans="1:36" ht="15.75" customHeight="1" x14ac:dyDescent="0.3">
      <c r="A1078" s="257" t="s">
        <v>14</v>
      </c>
      <c r="B1078" s="211" t="e">
        <f ca="1">+$H$10-M1078</f>
        <v>#NAME?</v>
      </c>
      <c r="C1078" s="284">
        <v>3</v>
      </c>
      <c r="D1078" s="284">
        <v>0</v>
      </c>
      <c r="E1078" s="284">
        <v>0</v>
      </c>
      <c r="F1078" s="192">
        <f t="shared" si="451"/>
        <v>147</v>
      </c>
      <c r="G1078" s="192">
        <f t="shared" si="452"/>
        <v>0</v>
      </c>
      <c r="H1078" s="192" t="s">
        <v>803</v>
      </c>
      <c r="I1078" s="192">
        <f t="shared" si="453"/>
        <v>2205</v>
      </c>
      <c r="J1078" s="192">
        <f t="shared" si="454"/>
        <v>0</v>
      </c>
      <c r="K1078" s="192" t="s">
        <v>803</v>
      </c>
      <c r="L1078" s="312">
        <f t="shared" si="455"/>
        <v>2205</v>
      </c>
      <c r="M1078" s="211" t="e">
        <f ca="1">SUMPRODUCT(--(WEEKDAY(ROW(INDIRECT(DATE($B$1067,MonthFromText(A1078),1)&amp;":"&amp;DATE($B$1067,MonthFromText(A1078),$H$10))),1)=1))</f>
        <v>#NAME?</v>
      </c>
      <c r="N1078" s="284">
        <f t="shared" si="456"/>
        <v>3</v>
      </c>
      <c r="O1078" s="4">
        <f t="shared" si="457"/>
        <v>147</v>
      </c>
      <c r="P1078" s="312">
        <f t="shared" si="458"/>
        <v>3528</v>
      </c>
      <c r="Q1078" s="192" t="e">
        <f ca="1">+(L1078*B1078)+(M1078*P1078)</f>
        <v>#NAME?</v>
      </c>
      <c r="R1078" s="312" t="e">
        <f t="shared" ca="1" si="459"/>
        <v>#NAME?</v>
      </c>
      <c r="S1078" s="285">
        <v>9</v>
      </c>
      <c r="T1078" s="285">
        <v>9</v>
      </c>
      <c r="AD1078" s="288"/>
      <c r="AE1078" s="289" t="s">
        <v>816</v>
      </c>
      <c r="AF1078" s="4">
        <f>W1047</f>
        <v>113.26190476190476</v>
      </c>
      <c r="AG1078" s="4">
        <f>X1047</f>
        <v>24.268171183916024</v>
      </c>
      <c r="AH1078" s="4">
        <f>Y1047</f>
        <v>0</v>
      </c>
      <c r="AI1078" s="4">
        <f>Z1047</f>
        <v>49.257440476190489</v>
      </c>
      <c r="AJ1078" s="304"/>
    </row>
    <row r="1079" spans="1:36" ht="15.75" customHeight="1" x14ac:dyDescent="0.3">
      <c r="A1079" s="257" t="s">
        <v>16</v>
      </c>
      <c r="B1079" s="211" t="e">
        <f ca="1">+$J$10-M1079</f>
        <v>#NAME?</v>
      </c>
      <c r="C1079" s="284">
        <v>3</v>
      </c>
      <c r="D1079" s="284">
        <v>0</v>
      </c>
      <c r="E1079" s="284">
        <v>0</v>
      </c>
      <c r="F1079" s="192">
        <f t="shared" si="451"/>
        <v>147</v>
      </c>
      <c r="G1079" s="192">
        <f t="shared" si="452"/>
        <v>0</v>
      </c>
      <c r="H1079" s="192" t="s">
        <v>803</v>
      </c>
      <c r="I1079" s="192">
        <f t="shared" si="453"/>
        <v>2205</v>
      </c>
      <c r="J1079" s="192">
        <f t="shared" si="454"/>
        <v>0</v>
      </c>
      <c r="K1079" s="192" t="s">
        <v>803</v>
      </c>
      <c r="L1079" s="312">
        <f t="shared" si="455"/>
        <v>2205</v>
      </c>
      <c r="M1079" s="211" t="e">
        <f ca="1">SUMPRODUCT(--(WEEKDAY(ROW(INDIRECT(DATE($B$1067,MonthFromText(A1079),1)&amp;":"&amp;DATE($B$1067,MonthFromText(A1079),$J$10))),1)=1))</f>
        <v>#NAME?</v>
      </c>
      <c r="N1079" s="284">
        <f t="shared" si="456"/>
        <v>3</v>
      </c>
      <c r="O1079" s="4">
        <f t="shared" si="457"/>
        <v>147</v>
      </c>
      <c r="P1079" s="312">
        <f t="shared" si="458"/>
        <v>3528</v>
      </c>
      <c r="Q1079" s="192" t="e">
        <f t="shared" ca="1" si="460"/>
        <v>#NAME?</v>
      </c>
      <c r="R1079" s="312" t="e">
        <f t="shared" ca="1" si="459"/>
        <v>#NAME?</v>
      </c>
      <c r="S1079" s="285">
        <v>9</v>
      </c>
      <c r="T1079" s="285">
        <v>9</v>
      </c>
      <c r="AD1079" s="288" t="s">
        <v>826</v>
      </c>
      <c r="AE1079" s="289" t="s">
        <v>7</v>
      </c>
      <c r="AJ1079" s="304"/>
    </row>
    <row r="1080" spans="1:36" ht="15.75" customHeight="1" x14ac:dyDescent="0.3">
      <c r="A1080" s="257" t="s">
        <v>17</v>
      </c>
      <c r="B1080" s="211" t="e">
        <f ca="1">+$K$10-M1080</f>
        <v>#NAME?</v>
      </c>
      <c r="C1080" s="284">
        <v>3</v>
      </c>
      <c r="D1080" s="284">
        <v>0</v>
      </c>
      <c r="E1080" s="284">
        <v>0</v>
      </c>
      <c r="F1080" s="192">
        <f t="shared" si="451"/>
        <v>147</v>
      </c>
      <c r="G1080" s="192">
        <f t="shared" si="452"/>
        <v>0</v>
      </c>
      <c r="H1080" s="192" t="s">
        <v>803</v>
      </c>
      <c r="I1080" s="192">
        <f t="shared" si="453"/>
        <v>2205</v>
      </c>
      <c r="J1080" s="192">
        <f t="shared" si="454"/>
        <v>0</v>
      </c>
      <c r="K1080" s="192" t="s">
        <v>803</v>
      </c>
      <c r="L1080" s="312">
        <f t="shared" si="455"/>
        <v>2205</v>
      </c>
      <c r="M1080" s="211" t="e">
        <f ca="1">SUMPRODUCT(--(WEEKDAY(ROW(INDIRECT(DATE($B$1067,MonthFromText(A1080),1)&amp;":"&amp;DATE($B$1067,MonthFromText(A1080),$K$10))),1)=1))</f>
        <v>#NAME?</v>
      </c>
      <c r="N1080" s="284">
        <f t="shared" si="456"/>
        <v>3</v>
      </c>
      <c r="O1080" s="4">
        <f t="shared" si="457"/>
        <v>147</v>
      </c>
      <c r="P1080" s="312">
        <f t="shared" si="458"/>
        <v>3528</v>
      </c>
      <c r="Q1080" s="192" t="e">
        <f t="shared" ca="1" si="460"/>
        <v>#NAME?</v>
      </c>
      <c r="R1080" s="312" t="e">
        <f t="shared" ca="1" si="459"/>
        <v>#NAME?</v>
      </c>
      <c r="S1080" s="285">
        <v>9</v>
      </c>
      <c r="T1080" s="285">
        <v>9</v>
      </c>
      <c r="AD1080" s="288" t="s">
        <v>671</v>
      </c>
      <c r="AE1080" s="289" t="s">
        <v>825</v>
      </c>
      <c r="AF1080" s="4">
        <f>V1048</f>
        <v>405.5793010752688</v>
      </c>
      <c r="AG1080" s="4">
        <f>X1048</f>
        <v>15.545332539233222</v>
      </c>
      <c r="AH1080" s="4">
        <f>Y1048</f>
        <v>0</v>
      </c>
      <c r="AI1080" s="4">
        <f>Z1048</f>
        <v>54.37903225806452</v>
      </c>
      <c r="AJ1080" s="304"/>
    </row>
    <row r="1081" spans="1:36" ht="15.75" customHeight="1" x14ac:dyDescent="0.3">
      <c r="A1081" s="257" t="s">
        <v>18</v>
      </c>
      <c r="B1081" s="211" t="e">
        <f ca="1">+$L$10-M1081</f>
        <v>#NAME?</v>
      </c>
      <c r="C1081" s="284">
        <v>5</v>
      </c>
      <c r="D1081" s="284">
        <v>0</v>
      </c>
      <c r="E1081" s="284" t="s">
        <v>803</v>
      </c>
      <c r="F1081" s="192">
        <f t="shared" si="451"/>
        <v>245</v>
      </c>
      <c r="G1081" s="192">
        <f t="shared" si="452"/>
        <v>0</v>
      </c>
      <c r="H1081" s="192" t="s">
        <v>803</v>
      </c>
      <c r="I1081" s="192">
        <f t="shared" si="453"/>
        <v>4410</v>
      </c>
      <c r="J1081" s="192">
        <f t="shared" si="454"/>
        <v>0</v>
      </c>
      <c r="K1081" s="192" t="s">
        <v>803</v>
      </c>
      <c r="L1081" s="312">
        <f t="shared" si="455"/>
        <v>4410</v>
      </c>
      <c r="M1081" s="211" t="e">
        <f ca="1">SUMPRODUCT(--(WEEKDAY(ROW(INDIRECT(DATE($B$1067,MonthFromText(A1081),1)&amp;":"&amp;DATE($B$1067,MonthFromText(A1081),$L$10))),1)=1))</f>
        <v>#NAME?</v>
      </c>
      <c r="N1081" s="284">
        <f t="shared" si="456"/>
        <v>5</v>
      </c>
      <c r="O1081" s="4">
        <f t="shared" si="457"/>
        <v>245</v>
      </c>
      <c r="P1081" s="312">
        <f t="shared" si="458"/>
        <v>5880</v>
      </c>
      <c r="Q1081" s="192" t="e">
        <f t="shared" ca="1" si="460"/>
        <v>#NAME?</v>
      </c>
      <c r="R1081" s="312" t="e">
        <f t="shared" ca="1" si="459"/>
        <v>#NAME?</v>
      </c>
      <c r="S1081" s="285">
        <v>6</v>
      </c>
      <c r="T1081" s="285">
        <v>4</v>
      </c>
      <c r="AD1081" s="288"/>
      <c r="AE1081" s="289" t="s">
        <v>816</v>
      </c>
      <c r="AF1081" s="4">
        <f>W1048</f>
        <v>111.5793010752688</v>
      </c>
      <c r="AG1081" s="4">
        <f>X1048</f>
        <v>15.545332539233222</v>
      </c>
      <c r="AH1081" s="4">
        <f>Y1048</f>
        <v>0</v>
      </c>
      <c r="AI1081" s="4">
        <f>Z1048</f>
        <v>54.37903225806452</v>
      </c>
      <c r="AJ1081" s="304"/>
    </row>
    <row r="1082" spans="1:36" ht="15.75" customHeight="1" x14ac:dyDescent="0.3">
      <c r="A1082" s="257" t="s">
        <v>20</v>
      </c>
      <c r="B1082" s="211" t="e">
        <f ca="1">+$N$10-M1082</f>
        <v>#NAME?</v>
      </c>
      <c r="C1082" s="284">
        <v>5</v>
      </c>
      <c r="D1082" s="284">
        <v>0</v>
      </c>
      <c r="E1082" s="284" t="s">
        <v>803</v>
      </c>
      <c r="F1082" s="192">
        <f t="shared" si="451"/>
        <v>245</v>
      </c>
      <c r="G1082" s="192">
        <f t="shared" si="452"/>
        <v>0</v>
      </c>
      <c r="H1082" s="192" t="s">
        <v>803</v>
      </c>
      <c r="I1082" s="192">
        <f t="shared" si="453"/>
        <v>4410</v>
      </c>
      <c r="J1082" s="192">
        <f t="shared" si="454"/>
        <v>0</v>
      </c>
      <c r="K1082" s="192" t="s">
        <v>803</v>
      </c>
      <c r="L1082" s="312">
        <f t="shared" si="455"/>
        <v>4410</v>
      </c>
      <c r="M1082" s="211" t="e">
        <f ca="1">SUMPRODUCT(--(WEEKDAY(ROW(INDIRECT(DATE($B$1067,MonthFromText(A1082),1)&amp;":"&amp;DATE($B$1067,MonthFromText(A1082),$N$10))),1)=1))</f>
        <v>#NAME?</v>
      </c>
      <c r="N1082" s="284">
        <f t="shared" si="456"/>
        <v>5</v>
      </c>
      <c r="O1082" s="4">
        <f t="shared" si="457"/>
        <v>245</v>
      </c>
      <c r="P1082" s="312">
        <f t="shared" si="458"/>
        <v>5880</v>
      </c>
      <c r="Q1082" s="192" t="e">
        <f t="shared" ca="1" si="460"/>
        <v>#NAME?</v>
      </c>
      <c r="R1082" s="312" t="e">
        <f t="shared" ca="1" si="459"/>
        <v>#NAME?</v>
      </c>
      <c r="S1082" s="285">
        <v>6</v>
      </c>
      <c r="T1082" s="285">
        <v>4</v>
      </c>
      <c r="AD1082" s="288" t="s">
        <v>826</v>
      </c>
      <c r="AE1082" s="289" t="s">
        <v>7</v>
      </c>
      <c r="AJ1082" s="304"/>
    </row>
    <row r="1083" spans="1:36" ht="15.75" customHeight="1" x14ac:dyDescent="0.3">
      <c r="A1083" s="257" t="s">
        <v>21</v>
      </c>
      <c r="B1083" s="211" t="e">
        <f ca="1">+$O$10-M1083</f>
        <v>#NAME?</v>
      </c>
      <c r="C1083" s="284">
        <v>5</v>
      </c>
      <c r="D1083" s="284">
        <v>0</v>
      </c>
      <c r="E1083" s="284" t="s">
        <v>803</v>
      </c>
      <c r="F1083" s="192">
        <f t="shared" si="451"/>
        <v>245</v>
      </c>
      <c r="G1083" s="192">
        <f t="shared" si="452"/>
        <v>0</v>
      </c>
      <c r="H1083" s="192" t="s">
        <v>803</v>
      </c>
      <c r="I1083" s="192">
        <f t="shared" si="453"/>
        <v>4410</v>
      </c>
      <c r="J1083" s="192">
        <f t="shared" si="454"/>
        <v>0</v>
      </c>
      <c r="K1083" s="192" t="s">
        <v>803</v>
      </c>
      <c r="L1083" s="312">
        <f t="shared" si="455"/>
        <v>4410</v>
      </c>
      <c r="M1083" s="211" t="e">
        <f ca="1">SUMPRODUCT(--(WEEKDAY(ROW(INDIRECT(DATE($B$1067,MonthFromText(A1083),1)&amp;":"&amp;DATE($B$1067,MonthFromText(A1083),$O$10))),1)=1))</f>
        <v>#NAME?</v>
      </c>
      <c r="N1083" s="284">
        <v>3</v>
      </c>
      <c r="O1083" s="4">
        <f t="shared" si="457"/>
        <v>147</v>
      </c>
      <c r="P1083" s="312">
        <f t="shared" si="458"/>
        <v>3528</v>
      </c>
      <c r="Q1083" s="192" t="e">
        <f t="shared" ca="1" si="460"/>
        <v>#NAME?</v>
      </c>
      <c r="R1083" s="312" t="e">
        <f t="shared" ca="1" si="459"/>
        <v>#NAME?</v>
      </c>
      <c r="S1083" s="285">
        <v>6</v>
      </c>
      <c r="T1083" s="285">
        <v>4</v>
      </c>
      <c r="AD1083" s="288" t="s">
        <v>672</v>
      </c>
      <c r="AE1083" s="289" t="s">
        <v>825</v>
      </c>
      <c r="AF1083" s="4">
        <f>V1049</f>
        <v>405.49722222222221</v>
      </c>
      <c r="AG1083" s="4">
        <f>X1049</f>
        <v>2.3867020191009307</v>
      </c>
      <c r="AH1083" s="4">
        <f>Y1049</f>
        <v>0</v>
      </c>
      <c r="AI1083" s="4">
        <f>Z1049</f>
        <v>62.426388888888894</v>
      </c>
      <c r="AJ1083" s="304"/>
    </row>
    <row r="1084" spans="1:36" ht="15.75" customHeight="1" thickBot="1" x14ac:dyDescent="0.35">
      <c r="A1084" s="257" t="s">
        <v>22</v>
      </c>
      <c r="B1084" s="220" t="e">
        <f ca="1">+$P$10-M1084</f>
        <v>#NAME?</v>
      </c>
      <c r="C1084" s="290">
        <v>5</v>
      </c>
      <c r="D1084" s="290">
        <v>0</v>
      </c>
      <c r="E1084" s="284" t="s">
        <v>803</v>
      </c>
      <c r="F1084" s="192">
        <f t="shared" si="451"/>
        <v>245</v>
      </c>
      <c r="G1084" s="192">
        <f t="shared" si="452"/>
        <v>0</v>
      </c>
      <c r="H1084" s="192" t="s">
        <v>803</v>
      </c>
      <c r="I1084" s="192">
        <f t="shared" si="453"/>
        <v>4410</v>
      </c>
      <c r="J1084" s="192">
        <f t="shared" si="454"/>
        <v>0</v>
      </c>
      <c r="K1084" s="192" t="s">
        <v>803</v>
      </c>
      <c r="L1084" s="312">
        <f t="shared" si="455"/>
        <v>4410</v>
      </c>
      <c r="M1084" s="220" t="e">
        <f ca="1">SUMPRODUCT(--(WEEKDAY(ROW(INDIRECT(DATE($B$1067,MonthFromText(A1084),1)&amp;":"&amp;DATE($B$1067,MonthFromText(A1084),$P$10))),1)=1))</f>
        <v>#NAME?</v>
      </c>
      <c r="N1084" s="284">
        <v>3</v>
      </c>
      <c r="O1084" s="135">
        <f t="shared" si="457"/>
        <v>147</v>
      </c>
      <c r="P1084" s="272">
        <f t="shared" si="458"/>
        <v>3528</v>
      </c>
      <c r="Q1084" s="291" t="e">
        <f t="shared" ca="1" si="460"/>
        <v>#NAME?</v>
      </c>
      <c r="R1084" s="292" t="e">
        <f t="shared" ca="1" si="459"/>
        <v>#NAME?</v>
      </c>
      <c r="S1084" s="285">
        <v>6</v>
      </c>
      <c r="T1084" s="285">
        <v>4</v>
      </c>
      <c r="AD1084" s="288"/>
      <c r="AE1084" s="289" t="s">
        <v>816</v>
      </c>
      <c r="AF1084" s="4">
        <f>W1049</f>
        <v>111.49722222222222</v>
      </c>
      <c r="AG1084" s="4">
        <f>X1049</f>
        <v>2.3867020191009307</v>
      </c>
      <c r="AH1084" s="4">
        <f>Y1049</f>
        <v>0</v>
      </c>
      <c r="AI1084" s="4">
        <f>Z1049</f>
        <v>62.426388888888894</v>
      </c>
      <c r="AJ1084" s="304"/>
    </row>
    <row r="1085" spans="1:36" ht="15.75" customHeight="1" thickBot="1" x14ac:dyDescent="0.35">
      <c r="A1085" s="134"/>
      <c r="B1085" s="135"/>
      <c r="C1085" s="135"/>
      <c r="D1085" s="135"/>
      <c r="E1085" s="293"/>
      <c r="F1085" s="293"/>
      <c r="G1085" s="293"/>
      <c r="H1085" s="293"/>
      <c r="I1085" s="293"/>
      <c r="J1085" s="293"/>
      <c r="K1085" s="293"/>
      <c r="L1085" s="293"/>
      <c r="M1085" s="135"/>
      <c r="N1085" s="135"/>
      <c r="O1085" s="135"/>
      <c r="P1085" s="135"/>
      <c r="Q1085" s="206" t="e">
        <f ca="1">+SUM(Q1073:Q1084)</f>
        <v>#NAME?</v>
      </c>
      <c r="R1085" s="272" t="e">
        <f ca="1">+Q1085-B979</f>
        <v>#NAME?</v>
      </c>
      <c r="AD1085" s="288" t="s">
        <v>826</v>
      </c>
      <c r="AE1085" s="289" t="s">
        <v>7</v>
      </c>
      <c r="AJ1085" s="304"/>
    </row>
    <row r="1086" spans="1:36" ht="15.75" customHeight="1" x14ac:dyDescent="0.3">
      <c r="A1086" s="260" t="s">
        <v>827</v>
      </c>
      <c r="J1086" s="192"/>
      <c r="AD1086" s="288" t="s">
        <v>673</v>
      </c>
      <c r="AE1086" s="289" t="s">
        <v>825</v>
      </c>
      <c r="AF1086" s="4">
        <f>V1050</f>
        <v>405.80376344086022</v>
      </c>
      <c r="AG1086" s="4">
        <f>X1050</f>
        <v>0</v>
      </c>
      <c r="AH1086" s="4">
        <f>Y1050</f>
        <v>-1.2074921195741821</v>
      </c>
      <c r="AI1086" s="4">
        <f>Z1050</f>
        <v>64.334677419354847</v>
      </c>
      <c r="AJ1086" s="304"/>
    </row>
    <row r="1087" spans="1:36" ht="15.75" customHeight="1" x14ac:dyDescent="0.3">
      <c r="A1087" s="260" t="s">
        <v>828</v>
      </c>
      <c r="AD1087" s="288"/>
      <c r="AE1087" s="289" t="s">
        <v>816</v>
      </c>
      <c r="AF1087" s="4">
        <f>W1050</f>
        <v>111.80376344086022</v>
      </c>
      <c r="AG1087" s="4">
        <f>X1050</f>
        <v>0</v>
      </c>
      <c r="AH1087" s="4">
        <f>Y1050</f>
        <v>-1.2074921195741821</v>
      </c>
      <c r="AI1087" s="4">
        <f>Z1050</f>
        <v>64.334677419354847</v>
      </c>
      <c r="AJ1087" s="304"/>
    </row>
    <row r="1088" spans="1:36" ht="15.75" customHeight="1" x14ac:dyDescent="0.3">
      <c r="A1088" s="260" t="s">
        <v>829</v>
      </c>
      <c r="AD1088" s="288" t="s">
        <v>826</v>
      </c>
      <c r="AE1088" s="289" t="s">
        <v>7</v>
      </c>
      <c r="AJ1088" s="304"/>
    </row>
    <row r="1089" spans="1:36" ht="15.75" customHeight="1" x14ac:dyDescent="0.3">
      <c r="AD1089" s="288" t="s">
        <v>675</v>
      </c>
      <c r="AE1089" s="289" t="s">
        <v>825</v>
      </c>
      <c r="AF1089" s="4">
        <f>V1051</f>
        <v>192.07361111111112</v>
      </c>
      <c r="AG1089" s="4">
        <f>X1051</f>
        <v>0</v>
      </c>
      <c r="AH1089" s="4">
        <f>Y1051</f>
        <v>-19.312228074107246</v>
      </c>
      <c r="AI1089" s="4">
        <f>Z1051</f>
        <v>65.775000000000006</v>
      </c>
      <c r="AJ1089" s="304"/>
    </row>
    <row r="1090" spans="1:36" ht="15.75" customHeight="1" x14ac:dyDescent="0.3">
      <c r="A1090" s="4" t="s">
        <v>830</v>
      </c>
      <c r="AD1090" s="288"/>
      <c r="AE1090" s="289" t="s">
        <v>816</v>
      </c>
      <c r="AF1090" s="4">
        <f>W1051</f>
        <v>45.073611111111106</v>
      </c>
      <c r="AG1090" s="4">
        <f>X1051</f>
        <v>0</v>
      </c>
      <c r="AH1090" s="4">
        <f>Y1051</f>
        <v>-19.312228074107246</v>
      </c>
      <c r="AI1090" s="4">
        <f>Z1051</f>
        <v>65.775000000000006</v>
      </c>
      <c r="AJ1090" s="304"/>
    </row>
    <row r="1091" spans="1:36" ht="15.75" customHeight="1" x14ac:dyDescent="0.3">
      <c r="AD1091" s="288" t="s">
        <v>826</v>
      </c>
      <c r="AE1091" s="289" t="s">
        <v>7</v>
      </c>
      <c r="AJ1091" s="304"/>
    </row>
    <row r="1092" spans="1:36" ht="15.75" customHeight="1" x14ac:dyDescent="0.3">
      <c r="AD1092" s="288" t="s">
        <v>676</v>
      </c>
      <c r="AE1092" s="289" t="s">
        <v>825</v>
      </c>
      <c r="AF1092" s="4">
        <f>V1052</f>
        <v>192.07258064516128</v>
      </c>
      <c r="AG1092" s="4">
        <f>X1052</f>
        <v>0</v>
      </c>
      <c r="AH1092" s="4">
        <f>Y1052</f>
        <v>-15.601313808429845</v>
      </c>
      <c r="AI1092" s="4">
        <f>Z1052</f>
        <v>65.380376344086017</v>
      </c>
      <c r="AJ1092" s="304"/>
    </row>
    <row r="1093" spans="1:36" ht="16.5" customHeight="1" x14ac:dyDescent="0.3">
      <c r="AD1093" s="288"/>
      <c r="AE1093" s="289" t="s">
        <v>816</v>
      </c>
      <c r="AF1093" s="4">
        <f>W1052</f>
        <v>45.072580645161295</v>
      </c>
      <c r="AG1093" s="4">
        <f>X1052</f>
        <v>0</v>
      </c>
      <c r="AH1093" s="4">
        <f>Y1052</f>
        <v>-15.601313808429845</v>
      </c>
      <c r="AI1093" s="4">
        <f>Z1052</f>
        <v>65.380376344086017</v>
      </c>
      <c r="AJ1093" s="304"/>
    </row>
    <row r="1094" spans="1:36" ht="15.75" customHeight="1" x14ac:dyDescent="0.3">
      <c r="AD1094" s="288" t="s">
        <v>826</v>
      </c>
      <c r="AE1094" s="289" t="s">
        <v>7</v>
      </c>
      <c r="AJ1094" s="304"/>
    </row>
    <row r="1095" spans="1:36" ht="16.5" customHeight="1" x14ac:dyDescent="0.3">
      <c r="AD1095" s="288" t="s">
        <v>691</v>
      </c>
      <c r="AE1095" s="289" t="s">
        <v>825</v>
      </c>
      <c r="AF1095" s="4">
        <f>V1053</f>
        <v>191.96774193548387</v>
      </c>
      <c r="AG1095" s="4">
        <f>X1053</f>
        <v>0</v>
      </c>
      <c r="AH1095" s="4">
        <f>Y1053</f>
        <v>-11.342003460100464</v>
      </c>
      <c r="AI1095" s="4">
        <f>Z1053</f>
        <v>60.869623655913976</v>
      </c>
      <c r="AJ1095" s="304"/>
    </row>
    <row r="1096" spans="1:36" ht="15.75" customHeight="1" x14ac:dyDescent="0.3">
      <c r="AD1096" s="288"/>
      <c r="AE1096" s="289" t="s">
        <v>816</v>
      </c>
      <c r="AF1096" s="4">
        <f>W1053</f>
        <v>44.967741935483872</v>
      </c>
      <c r="AG1096" s="4">
        <f>X1053</f>
        <v>0</v>
      </c>
      <c r="AH1096" s="4">
        <f>Y1053</f>
        <v>-11.342003460100464</v>
      </c>
      <c r="AI1096" s="4">
        <f>Z1053</f>
        <v>60.869623655913976</v>
      </c>
      <c r="AJ1096" s="304"/>
    </row>
    <row r="1097" spans="1:36" ht="15.75" customHeight="1" x14ac:dyDescent="0.3">
      <c r="AD1097" s="288" t="s">
        <v>826</v>
      </c>
      <c r="AE1097" s="289" t="s">
        <v>7</v>
      </c>
      <c r="AJ1097" s="304"/>
    </row>
    <row r="1098" spans="1:36" ht="15.75" customHeight="1" x14ac:dyDescent="0.3">
      <c r="AD1098" s="288" t="s">
        <v>831</v>
      </c>
      <c r="AE1098" s="289" t="s">
        <v>825</v>
      </c>
      <c r="AF1098" s="4">
        <f>V1054</f>
        <v>340.43194444444441</v>
      </c>
      <c r="AG1098" s="4">
        <f>X1054</f>
        <v>2.9128117192288028</v>
      </c>
      <c r="AH1098" s="4">
        <f>Y1054</f>
        <v>0</v>
      </c>
      <c r="AI1098" s="4">
        <f>Z1054</f>
        <v>54.473611111111119</v>
      </c>
      <c r="AJ1098" s="304"/>
    </row>
    <row r="1099" spans="1:36" ht="15.75" customHeight="1" x14ac:dyDescent="0.3">
      <c r="AD1099" s="288"/>
      <c r="AE1099" s="289" t="s">
        <v>816</v>
      </c>
      <c r="AF1099" s="4">
        <f>W1054</f>
        <v>95.43194444444444</v>
      </c>
      <c r="AG1099" s="4">
        <f>X1054</f>
        <v>2.9128117192288028</v>
      </c>
      <c r="AH1099" s="4">
        <f>Y1054</f>
        <v>0</v>
      </c>
      <c r="AI1099" s="4">
        <f>Z1054</f>
        <v>54.473611111111119</v>
      </c>
      <c r="AJ1099" s="304"/>
    </row>
    <row r="1100" spans="1:36" ht="15.75" customHeight="1" x14ac:dyDescent="0.3">
      <c r="I1100" s="192"/>
      <c r="J1100" s="192"/>
      <c r="AD1100" s="288" t="s">
        <v>826</v>
      </c>
      <c r="AE1100" s="289" t="s">
        <v>7</v>
      </c>
      <c r="AJ1100" s="304"/>
    </row>
    <row r="1101" spans="1:36" ht="15.75" customHeight="1" x14ac:dyDescent="0.3">
      <c r="AD1101" s="288" t="s">
        <v>693</v>
      </c>
      <c r="AE1101" s="289" t="s">
        <v>825</v>
      </c>
      <c r="AF1101" s="4">
        <f>V1055</f>
        <v>334.49059139784947</v>
      </c>
      <c r="AG1101" s="4">
        <f>X1055</f>
        <v>9.5614402214303933</v>
      </c>
      <c r="AH1101" s="4">
        <f>Y1055</f>
        <v>0</v>
      </c>
      <c r="AI1101" s="4">
        <f>Z1055</f>
        <v>39.497311827956992</v>
      </c>
      <c r="AJ1101" s="304"/>
    </row>
    <row r="1102" spans="1:36" ht="15.75" customHeight="1" x14ac:dyDescent="0.3">
      <c r="AD1102" s="288"/>
      <c r="AE1102" s="289" t="s">
        <v>816</v>
      </c>
      <c r="AF1102" s="4">
        <f>W1055</f>
        <v>89.490591397849471</v>
      </c>
      <c r="AG1102" s="4">
        <f>X1055</f>
        <v>9.5614402214303933</v>
      </c>
      <c r="AH1102" s="4">
        <f>Y1055</f>
        <v>0</v>
      </c>
      <c r="AI1102" s="4">
        <f>Z1055</f>
        <v>39.497311827956992</v>
      </c>
      <c r="AJ1102" s="304"/>
    </row>
    <row r="1103" spans="1:36" ht="15.75" customHeight="1" x14ac:dyDescent="0.3">
      <c r="AD1103" s="288" t="s">
        <v>826</v>
      </c>
      <c r="AE1103" s="289" t="s">
        <v>7</v>
      </c>
      <c r="AJ1103" s="304"/>
    </row>
    <row r="1104" spans="1:36" ht="15.75" customHeight="1" x14ac:dyDescent="0.3">
      <c r="AD1104" s="288" t="s">
        <v>694</v>
      </c>
      <c r="AE1104" s="289" t="s">
        <v>825</v>
      </c>
      <c r="AF1104" s="4">
        <f>V1056</f>
        <v>321.87638888888887</v>
      </c>
      <c r="AG1104" s="4">
        <f>X1056</f>
        <v>20.949765816895503</v>
      </c>
      <c r="AH1104" s="4">
        <f>Y1056</f>
        <v>0</v>
      </c>
      <c r="AI1104" s="4">
        <f>Z1056</f>
        <v>9.1388888888888893</v>
      </c>
      <c r="AJ1104" s="304"/>
    </row>
    <row r="1105" spans="1:36" ht="15.75" customHeight="1" x14ac:dyDescent="0.3">
      <c r="AD1105" s="288"/>
      <c r="AE1105" s="289" t="s">
        <v>816</v>
      </c>
      <c r="AF1105" s="4">
        <f>W1056</f>
        <v>76.876388888888897</v>
      </c>
      <c r="AG1105" s="4">
        <f>X1056</f>
        <v>20.949765816895503</v>
      </c>
      <c r="AH1105" s="4">
        <f>Y1056</f>
        <v>0</v>
      </c>
      <c r="AI1105" s="4">
        <f>Z1056</f>
        <v>9.1388888888888893</v>
      </c>
      <c r="AJ1105" s="304"/>
    </row>
    <row r="1106" spans="1:36" ht="15.75" customHeight="1" x14ac:dyDescent="0.3">
      <c r="AD1106" s="288" t="s">
        <v>826</v>
      </c>
      <c r="AE1106" s="289" t="s">
        <v>7</v>
      </c>
      <c r="AJ1106" s="304"/>
    </row>
    <row r="1107" spans="1:36" ht="15.75" customHeight="1" thickBot="1" x14ac:dyDescent="0.35">
      <c r="AD1107" s="288" t="s">
        <v>695</v>
      </c>
      <c r="AE1107" s="289" t="s">
        <v>825</v>
      </c>
      <c r="AF1107" s="4">
        <f>V1057</f>
        <v>321.78494623655911</v>
      </c>
      <c r="AG1107" s="4">
        <f>X1057</f>
        <v>19.522397526840198</v>
      </c>
      <c r="AH1107" s="4">
        <f>Y1057</f>
        <v>0</v>
      </c>
      <c r="AI1107" s="4">
        <f>Z1057</f>
        <v>20.557795698924728</v>
      </c>
      <c r="AJ1107" s="304"/>
    </row>
    <row r="1108" spans="1:36" ht="15.75" customHeight="1" x14ac:dyDescent="0.35">
      <c r="A1108" s="173"/>
      <c r="B1108" s="174"/>
      <c r="C1108" s="294"/>
      <c r="D1108" s="294"/>
      <c r="E1108" s="294"/>
      <c r="F1108" s="294"/>
      <c r="G1108" s="294"/>
      <c r="H1108" s="175" t="s">
        <v>832</v>
      </c>
      <c r="I1108" s="174"/>
      <c r="J1108" s="174"/>
      <c r="K1108" s="174"/>
      <c r="L1108" s="174"/>
      <c r="M1108" s="174"/>
      <c r="N1108" s="174"/>
      <c r="O1108" s="174"/>
      <c r="P1108" s="174"/>
      <c r="Q1108" s="177" t="str">
        <f>+Q1</f>
        <v xml:space="preserve">PRINTED:  </v>
      </c>
      <c r="R1108" s="197">
        <f ca="1">+R1</f>
        <v>44894.658168518516</v>
      </c>
      <c r="S1108" s="198"/>
      <c r="AD1108" s="288"/>
      <c r="AE1108" s="289" t="s">
        <v>816</v>
      </c>
      <c r="AF1108" s="4">
        <f>W1057</f>
        <v>76.784946236559136</v>
      </c>
      <c r="AG1108" s="4">
        <f>X1057</f>
        <v>19.522397526840198</v>
      </c>
      <c r="AH1108" s="4">
        <f>Y1057</f>
        <v>0</v>
      </c>
      <c r="AI1108" s="4">
        <f>Z1057</f>
        <v>20.557795698924728</v>
      </c>
      <c r="AJ1108" s="304"/>
    </row>
    <row r="1109" spans="1:36" ht="15.75" customHeight="1" thickBot="1" x14ac:dyDescent="0.4">
      <c r="A1109" s="179"/>
      <c r="B1109" s="180"/>
      <c r="C1109" s="201"/>
      <c r="D1109" s="201"/>
      <c r="E1109" s="201"/>
      <c r="F1109" s="201"/>
      <c r="G1109" s="201"/>
      <c r="H1109" s="180" t="s">
        <v>633</v>
      </c>
      <c r="I1109" s="180" t="s">
        <v>7</v>
      </c>
      <c r="J1109" s="202" t="str">
        <f>+A8</f>
        <v>Revised:  11/27/2018</v>
      </c>
      <c r="K1109" s="180"/>
      <c r="L1109" s="180"/>
      <c r="M1109" s="180"/>
      <c r="N1109" s="180"/>
      <c r="O1109" s="180"/>
      <c r="P1109" s="180"/>
      <c r="Q1109" s="180"/>
      <c r="R1109" s="180"/>
      <c r="S1109" s="304"/>
      <c r="AD1109" s="295" t="s">
        <v>826</v>
      </c>
      <c r="AE1109" s="296" t="s">
        <v>7</v>
      </c>
      <c r="AF1109" s="135"/>
      <c r="AG1109" s="135"/>
      <c r="AH1109" s="135"/>
      <c r="AI1109" s="135"/>
      <c r="AJ1109" s="136"/>
    </row>
    <row r="1110" spans="1:36" ht="15.75" customHeight="1" x14ac:dyDescent="0.35">
      <c r="A1110" s="179"/>
      <c r="B1110" s="180"/>
      <c r="C1110" s="201"/>
      <c r="D1110" s="201"/>
      <c r="E1110" s="201"/>
      <c r="F1110" s="201"/>
      <c r="G1110" s="201"/>
      <c r="H1110" s="180" t="s">
        <v>833</v>
      </c>
      <c r="I1110" s="180"/>
      <c r="J1110" s="180"/>
      <c r="K1110" s="180"/>
      <c r="L1110" s="180"/>
      <c r="M1110" s="180"/>
      <c r="N1110" s="180"/>
      <c r="O1110" s="180"/>
      <c r="P1110" s="180"/>
      <c r="Q1110" s="180"/>
      <c r="R1110" s="180"/>
      <c r="S1110" s="304"/>
    </row>
    <row r="1111" spans="1:36" ht="15.75" customHeight="1" x14ac:dyDescent="0.35">
      <c r="A1111" s="179"/>
      <c r="B1111" s="180"/>
      <c r="C1111" s="201"/>
      <c r="D1111" s="201"/>
      <c r="E1111" s="201"/>
      <c r="F1111" s="201"/>
      <c r="G1111" s="201"/>
      <c r="H1111" s="180"/>
      <c r="I1111" s="180"/>
      <c r="J1111" s="180"/>
      <c r="K1111" s="180"/>
      <c r="L1111" s="180"/>
      <c r="M1111" s="180"/>
      <c r="N1111" s="180"/>
      <c r="O1111" s="180"/>
      <c r="P1111" s="180"/>
      <c r="Q1111" s="180"/>
      <c r="R1111" s="180"/>
      <c r="S1111" s="304"/>
    </row>
    <row r="1112" spans="1:36" ht="15.75" customHeight="1" x14ac:dyDescent="0.35">
      <c r="A1112" s="179"/>
      <c r="B1112" s="180"/>
      <c r="C1112" s="201"/>
      <c r="D1112" s="201"/>
      <c r="E1112" s="201"/>
      <c r="F1112" s="201"/>
      <c r="G1112" s="201"/>
      <c r="H1112" s="180" t="s">
        <v>633</v>
      </c>
      <c r="I1112" s="297">
        <f>+A5</f>
        <v>2019</v>
      </c>
      <c r="J1112" s="180"/>
      <c r="K1112" s="180"/>
      <c r="L1112" s="180"/>
      <c r="M1112" s="180"/>
      <c r="N1112" s="180"/>
      <c r="O1112" s="180"/>
      <c r="P1112" s="180"/>
      <c r="Q1112" s="180"/>
      <c r="R1112" s="180"/>
      <c r="S1112" s="304"/>
    </row>
    <row r="1113" spans="1:36" ht="15.75" customHeight="1" x14ac:dyDescent="0.3">
      <c r="A1113" s="179"/>
      <c r="B1113" s="180"/>
      <c r="C1113" s="180"/>
      <c r="D1113" s="180"/>
      <c r="E1113" s="180"/>
      <c r="F1113" s="180"/>
      <c r="G1113" s="180"/>
      <c r="H1113" s="180"/>
      <c r="I1113" s="180"/>
      <c r="J1113" s="180"/>
      <c r="K1113" s="180"/>
      <c r="L1113" s="180"/>
      <c r="M1113" s="180"/>
      <c r="N1113" s="180"/>
      <c r="O1113" s="180"/>
      <c r="P1113" s="180"/>
      <c r="Q1113" s="180"/>
      <c r="R1113" s="180"/>
      <c r="S1113" s="304"/>
    </row>
    <row r="1114" spans="1:36" ht="15.75" customHeight="1" x14ac:dyDescent="0.3">
      <c r="A1114" s="179"/>
      <c r="B1114" s="180"/>
      <c r="C1114" s="199" t="s">
        <v>834</v>
      </c>
      <c r="D1114" s="180"/>
      <c r="E1114" s="180"/>
      <c r="F1114" s="180"/>
      <c r="G1114" s="199" t="s">
        <v>835</v>
      </c>
      <c r="H1114" s="180"/>
      <c r="I1114" s="180"/>
      <c r="J1114" s="180"/>
      <c r="K1114" s="298" t="s">
        <v>836</v>
      </c>
      <c r="L1114" s="180"/>
      <c r="M1114" s="180"/>
      <c r="N1114" s="180"/>
      <c r="O1114" s="298" t="s">
        <v>837</v>
      </c>
      <c r="P1114" s="180"/>
      <c r="Q1114" s="180"/>
      <c r="R1114" s="180"/>
      <c r="S1114" s="304"/>
    </row>
    <row r="1115" spans="1:36" ht="15.75" customHeight="1" x14ac:dyDescent="0.3">
      <c r="A1115" s="179"/>
      <c r="B1115" s="180"/>
      <c r="C1115" s="180">
        <f>+A5</f>
        <v>2019</v>
      </c>
      <c r="D1115" s="180"/>
      <c r="E1115" s="180"/>
      <c r="F1115" s="180" t="s">
        <v>838</v>
      </c>
      <c r="G1115" s="180"/>
      <c r="H1115" s="180"/>
      <c r="I1115" s="180"/>
      <c r="J1115" s="180"/>
      <c r="K1115" s="180">
        <f>+A5</f>
        <v>2019</v>
      </c>
      <c r="L1115" s="180"/>
      <c r="M1115" s="180"/>
      <c r="N1115" s="180"/>
      <c r="O1115" s="180">
        <f>+A5</f>
        <v>2019</v>
      </c>
      <c r="P1115" s="180"/>
      <c r="Q1115" s="180"/>
      <c r="R1115" s="180"/>
      <c r="S1115" s="304"/>
    </row>
    <row r="1116" spans="1:36" ht="15.75" customHeight="1" x14ac:dyDescent="0.3">
      <c r="A1116" s="179"/>
      <c r="B1116" s="180"/>
      <c r="C1116" s="180"/>
      <c r="D1116" s="180"/>
      <c r="E1116" s="180"/>
      <c r="F1116" s="180"/>
      <c r="G1116" s="180">
        <f>+A5</f>
        <v>2019</v>
      </c>
      <c r="H1116" s="180"/>
      <c r="I1116" s="180"/>
      <c r="J1116" s="180"/>
      <c r="K1116" s="180"/>
      <c r="L1116" s="180"/>
      <c r="M1116" s="180"/>
      <c r="N1116" s="180"/>
      <c r="O1116" s="180"/>
      <c r="P1116" s="180"/>
      <c r="Q1116" s="180"/>
      <c r="R1116" s="180"/>
      <c r="S1116" s="304"/>
    </row>
    <row r="1117" spans="1:36" ht="15.75" customHeight="1" x14ac:dyDescent="0.3">
      <c r="A1117" s="179"/>
      <c r="B1117" s="180"/>
      <c r="C1117" s="182" t="s">
        <v>839</v>
      </c>
      <c r="D1117" s="182" t="s">
        <v>840</v>
      </c>
      <c r="E1117" s="182" t="s">
        <v>841</v>
      </c>
      <c r="F1117" s="180"/>
      <c r="G1117" s="182" t="s">
        <v>842</v>
      </c>
      <c r="H1117" s="182" t="s">
        <v>840</v>
      </c>
      <c r="I1117" s="182" t="s">
        <v>843</v>
      </c>
      <c r="J1117" s="180"/>
      <c r="K1117" s="182" t="s">
        <v>738</v>
      </c>
      <c r="L1117" s="182" t="s">
        <v>840</v>
      </c>
      <c r="M1117" s="182" t="s">
        <v>844</v>
      </c>
      <c r="N1117" s="180"/>
      <c r="O1117" s="182" t="s">
        <v>738</v>
      </c>
      <c r="P1117" s="182" t="s">
        <v>840</v>
      </c>
      <c r="Q1117" s="182" t="s">
        <v>844</v>
      </c>
      <c r="R1117" s="180"/>
      <c r="S1117" s="304"/>
    </row>
    <row r="1118" spans="1:36" ht="15.75" customHeight="1" x14ac:dyDescent="0.3">
      <c r="A1118" s="179"/>
      <c r="B1118" s="180"/>
      <c r="C1118" s="182" t="s">
        <v>845</v>
      </c>
      <c r="D1118" s="182" t="s">
        <v>658</v>
      </c>
      <c r="E1118" s="182" t="s">
        <v>846</v>
      </c>
      <c r="F1118" s="180"/>
      <c r="G1118" s="182" t="s">
        <v>847</v>
      </c>
      <c r="H1118" s="182" t="s">
        <v>658</v>
      </c>
      <c r="I1118" s="182" t="s">
        <v>846</v>
      </c>
      <c r="J1118" s="180"/>
      <c r="K1118" s="182" t="s">
        <v>848</v>
      </c>
      <c r="L1118" s="182" t="s">
        <v>658</v>
      </c>
      <c r="M1118" s="182" t="s">
        <v>846</v>
      </c>
      <c r="N1118" s="180"/>
      <c r="O1118" s="182" t="s">
        <v>848</v>
      </c>
      <c r="P1118" s="182" t="s">
        <v>658</v>
      </c>
      <c r="Q1118" s="182" t="s">
        <v>846</v>
      </c>
      <c r="R1118" s="180"/>
      <c r="S1118" s="304"/>
    </row>
    <row r="1119" spans="1:36" ht="15.75" customHeight="1" x14ac:dyDescent="0.3">
      <c r="A1119" s="179"/>
      <c r="B1119" s="180"/>
      <c r="C1119" s="182" t="s">
        <v>658</v>
      </c>
      <c r="D1119" s="182" t="s">
        <v>655</v>
      </c>
      <c r="E1119" s="182" t="s">
        <v>849</v>
      </c>
      <c r="F1119" s="180"/>
      <c r="G1119" s="182" t="s">
        <v>743</v>
      </c>
      <c r="H1119" s="182" t="s">
        <v>655</v>
      </c>
      <c r="I1119" s="182" t="s">
        <v>849</v>
      </c>
      <c r="J1119" s="180"/>
      <c r="K1119" s="182" t="s">
        <v>658</v>
      </c>
      <c r="L1119" s="182" t="s">
        <v>655</v>
      </c>
      <c r="M1119" s="182" t="s">
        <v>849</v>
      </c>
      <c r="N1119" s="180"/>
      <c r="O1119" s="182" t="s">
        <v>658</v>
      </c>
      <c r="P1119" s="182" t="s">
        <v>655</v>
      </c>
      <c r="Q1119" s="182" t="s">
        <v>849</v>
      </c>
      <c r="R1119" s="180"/>
      <c r="S1119" s="304"/>
    </row>
    <row r="1120" spans="1:36" ht="15.75" customHeight="1" x14ac:dyDescent="0.3">
      <c r="A1120" s="179"/>
      <c r="B1120" s="180"/>
      <c r="C1120" s="182" t="s">
        <v>664</v>
      </c>
      <c r="D1120" s="182" t="s">
        <v>850</v>
      </c>
      <c r="E1120" s="182" t="s">
        <v>851</v>
      </c>
      <c r="F1120" s="180"/>
      <c r="G1120" s="182" t="s">
        <v>664</v>
      </c>
      <c r="H1120" s="182" t="s">
        <v>850</v>
      </c>
      <c r="I1120" s="182" t="s">
        <v>851</v>
      </c>
      <c r="J1120" s="180"/>
      <c r="K1120" s="182" t="s">
        <v>664</v>
      </c>
      <c r="L1120" s="182" t="s">
        <v>850</v>
      </c>
      <c r="M1120" s="182" t="s">
        <v>851</v>
      </c>
      <c r="N1120" s="180"/>
      <c r="O1120" s="182" t="s">
        <v>664</v>
      </c>
      <c r="P1120" s="182" t="s">
        <v>850</v>
      </c>
      <c r="Q1120" s="182" t="s">
        <v>851</v>
      </c>
      <c r="R1120" s="180"/>
      <c r="S1120" s="304"/>
    </row>
    <row r="1121" spans="1:19" ht="15.75" customHeight="1" x14ac:dyDescent="0.3">
      <c r="A1121" s="179"/>
      <c r="B1121" s="180"/>
      <c r="C1121" s="180" t="s">
        <v>666</v>
      </c>
      <c r="D1121" s="180" t="s">
        <v>666</v>
      </c>
      <c r="E1121" s="180" t="s">
        <v>666</v>
      </c>
      <c r="F1121" s="180"/>
      <c r="G1121" s="182" t="s">
        <v>666</v>
      </c>
      <c r="H1121" s="182" t="s">
        <v>666</v>
      </c>
      <c r="I1121" s="182" t="s">
        <v>666</v>
      </c>
      <c r="J1121" s="180"/>
      <c r="K1121" s="180" t="s">
        <v>666</v>
      </c>
      <c r="L1121" s="180" t="s">
        <v>666</v>
      </c>
      <c r="M1121" s="180" t="s">
        <v>666</v>
      </c>
      <c r="N1121" s="180"/>
      <c r="O1121" s="180" t="s">
        <v>666</v>
      </c>
      <c r="P1121" s="180" t="s">
        <v>666</v>
      </c>
      <c r="Q1121" s="180" t="s">
        <v>666</v>
      </c>
      <c r="R1121" s="180"/>
      <c r="S1121" s="304"/>
    </row>
    <row r="1122" spans="1:19" ht="15.75" customHeight="1" x14ac:dyDescent="0.3">
      <c r="A1122" s="189" t="s">
        <v>668</v>
      </c>
      <c r="B1122" s="180"/>
      <c r="C1122" s="180">
        <f t="shared" ref="C1122:C1133" si="461">(P994)</f>
        <v>0.2</v>
      </c>
      <c r="D1122" s="203">
        <v>0</v>
      </c>
      <c r="E1122" s="217">
        <f t="shared" ref="E1122:E1133" si="462">(P994*D1122/1000)</f>
        <v>0</v>
      </c>
      <c r="F1122" s="180"/>
      <c r="G1122" s="180">
        <v>0</v>
      </c>
      <c r="H1122" s="203">
        <v>0</v>
      </c>
      <c r="I1122" s="217">
        <f t="shared" ref="I1122:I1133" si="463">(G1122*H1122/1000)</f>
        <v>0</v>
      </c>
      <c r="J1122" s="180"/>
      <c r="K1122" s="299">
        <v>11848</v>
      </c>
      <c r="L1122" s="300">
        <v>0</v>
      </c>
      <c r="M1122" s="217">
        <f t="shared" ref="M1122:M1133" si="464">(K1122*L1122/1000)</f>
        <v>0</v>
      </c>
      <c r="N1122" s="180"/>
      <c r="O1122" s="299">
        <v>0</v>
      </c>
      <c r="P1122" s="203">
        <v>0</v>
      </c>
      <c r="Q1122" s="217">
        <f t="shared" ref="Q1122:Q1133" si="465">(O1122*P1122/1000)</f>
        <v>0</v>
      </c>
      <c r="R1122" s="180"/>
      <c r="S1122" s="304"/>
    </row>
    <row r="1123" spans="1:19" ht="15.75" customHeight="1" x14ac:dyDescent="0.3">
      <c r="A1123" s="189" t="s">
        <v>669</v>
      </c>
      <c r="B1123" s="180"/>
      <c r="C1123" s="180">
        <f t="shared" si="461"/>
        <v>0.25</v>
      </c>
      <c r="D1123" s="203">
        <v>0</v>
      </c>
      <c r="E1123" s="217">
        <f t="shared" si="462"/>
        <v>0</v>
      </c>
      <c r="F1123" s="180"/>
      <c r="G1123" s="180" t="e">
        <f>#REF!</f>
        <v>#REF!</v>
      </c>
      <c r="H1123" s="203">
        <v>0</v>
      </c>
      <c r="I1123" s="217" t="e">
        <f t="shared" si="463"/>
        <v>#REF!</v>
      </c>
      <c r="J1123" s="180"/>
      <c r="K1123" s="299">
        <v>11489</v>
      </c>
      <c r="L1123" s="300">
        <v>0</v>
      </c>
      <c r="M1123" s="217">
        <f t="shared" si="464"/>
        <v>0</v>
      </c>
      <c r="N1123" s="180"/>
      <c r="O1123" s="299">
        <v>0</v>
      </c>
      <c r="P1123" s="203">
        <v>0</v>
      </c>
      <c r="Q1123" s="217">
        <f t="shared" si="465"/>
        <v>0</v>
      </c>
      <c r="R1123" s="180"/>
      <c r="S1123" s="304"/>
    </row>
    <row r="1124" spans="1:19" ht="15.75" customHeight="1" x14ac:dyDescent="0.3">
      <c r="A1124" s="189" t="s">
        <v>671</v>
      </c>
      <c r="B1124" s="180"/>
      <c r="C1124" s="180">
        <f t="shared" si="461"/>
        <v>0.3</v>
      </c>
      <c r="D1124" s="203">
        <v>0</v>
      </c>
      <c r="E1124" s="217">
        <f t="shared" si="462"/>
        <v>0</v>
      </c>
      <c r="F1124" s="180">
        <f>SUM(E1122:E1124)</f>
        <v>0</v>
      </c>
      <c r="G1124" s="180" t="e">
        <f>#REF!</f>
        <v>#REF!</v>
      </c>
      <c r="H1124" s="203">
        <v>0</v>
      </c>
      <c r="I1124" s="217" t="e">
        <f t="shared" si="463"/>
        <v>#REF!</v>
      </c>
      <c r="J1124" s="180" t="e">
        <f>SUM(I1122:I1124)</f>
        <v>#REF!</v>
      </c>
      <c r="K1124" s="299">
        <v>16247</v>
      </c>
      <c r="L1124" s="300">
        <v>0</v>
      </c>
      <c r="M1124" s="217">
        <f t="shared" si="464"/>
        <v>0</v>
      </c>
      <c r="N1124" s="180">
        <f>SUM(M1122:M1124)</f>
        <v>0</v>
      </c>
      <c r="O1124" s="299">
        <v>0</v>
      </c>
      <c r="P1124" s="203">
        <v>0</v>
      </c>
      <c r="Q1124" s="217">
        <f t="shared" si="465"/>
        <v>0</v>
      </c>
      <c r="R1124" s="180">
        <f>SUM(Q1122:Q1124)</f>
        <v>0</v>
      </c>
      <c r="S1124" s="304"/>
    </row>
    <row r="1125" spans="1:19" ht="15.75" customHeight="1" x14ac:dyDescent="0.3">
      <c r="A1125" s="189" t="s">
        <v>672</v>
      </c>
      <c r="B1125" s="180"/>
      <c r="C1125" s="180">
        <f t="shared" si="461"/>
        <v>0.35</v>
      </c>
      <c r="D1125" s="203">
        <v>0</v>
      </c>
      <c r="E1125" s="217">
        <f t="shared" si="462"/>
        <v>0</v>
      </c>
      <c r="F1125" s="180"/>
      <c r="G1125" s="180" t="e">
        <f>#REF!</f>
        <v>#REF!</v>
      </c>
      <c r="H1125" s="203">
        <v>0</v>
      </c>
      <c r="I1125" s="217" t="e">
        <f t="shared" si="463"/>
        <v>#REF!</v>
      </c>
      <c r="J1125" s="180"/>
      <c r="K1125" s="299">
        <v>17740</v>
      </c>
      <c r="L1125" s="300">
        <v>0</v>
      </c>
      <c r="M1125" s="217">
        <f t="shared" si="464"/>
        <v>0</v>
      </c>
      <c r="N1125" s="180"/>
      <c r="O1125" s="299">
        <v>0</v>
      </c>
      <c r="P1125" s="203">
        <v>0</v>
      </c>
      <c r="Q1125" s="217">
        <f t="shared" si="465"/>
        <v>0</v>
      </c>
      <c r="R1125" s="180"/>
      <c r="S1125" s="304"/>
    </row>
    <row r="1126" spans="1:19" ht="15.75" customHeight="1" x14ac:dyDescent="0.3">
      <c r="A1126" s="189" t="s">
        <v>673</v>
      </c>
      <c r="B1126" s="180"/>
      <c r="C1126" s="180">
        <f t="shared" si="461"/>
        <v>0.35</v>
      </c>
      <c r="D1126" s="203">
        <v>0</v>
      </c>
      <c r="E1126" s="217">
        <f t="shared" si="462"/>
        <v>0</v>
      </c>
      <c r="F1126" s="180"/>
      <c r="G1126" s="180" t="e">
        <f>#REF!</f>
        <v>#REF!</v>
      </c>
      <c r="H1126" s="203">
        <v>0</v>
      </c>
      <c r="I1126" s="217" t="e">
        <f t="shared" si="463"/>
        <v>#REF!</v>
      </c>
      <c r="J1126" s="180"/>
      <c r="K1126" s="299">
        <v>15434</v>
      </c>
      <c r="L1126" s="300">
        <v>0</v>
      </c>
      <c r="M1126" s="217">
        <f t="shared" si="464"/>
        <v>0</v>
      </c>
      <c r="N1126" s="180"/>
      <c r="O1126" s="299">
        <v>0</v>
      </c>
      <c r="P1126" s="203">
        <v>0</v>
      </c>
      <c r="Q1126" s="217">
        <f t="shared" si="465"/>
        <v>0</v>
      </c>
      <c r="R1126" s="180"/>
      <c r="S1126" s="304"/>
    </row>
    <row r="1127" spans="1:19" ht="15.75" customHeight="1" x14ac:dyDescent="0.3">
      <c r="A1127" s="189" t="s">
        <v>675</v>
      </c>
      <c r="B1127" s="180"/>
      <c r="C1127" s="180">
        <f t="shared" si="461"/>
        <v>7.4999999999999997E-2</v>
      </c>
      <c r="D1127" s="203">
        <v>0</v>
      </c>
      <c r="E1127" s="217">
        <f t="shared" si="462"/>
        <v>0</v>
      </c>
      <c r="F1127" s="180">
        <f>SUM(E1125:E1127)</f>
        <v>0</v>
      </c>
      <c r="G1127" s="180" t="e">
        <f>#REF!</f>
        <v>#REF!</v>
      </c>
      <c r="H1127" s="203">
        <v>0</v>
      </c>
      <c r="I1127" s="217" t="e">
        <f t="shared" si="463"/>
        <v>#REF!</v>
      </c>
      <c r="J1127" s="180" t="e">
        <f>SUM(I1125:I1127)</f>
        <v>#REF!</v>
      </c>
      <c r="K1127" s="299">
        <v>14355</v>
      </c>
      <c r="L1127" s="300">
        <v>0</v>
      </c>
      <c r="M1127" s="217">
        <f t="shared" si="464"/>
        <v>0</v>
      </c>
      <c r="N1127" s="180">
        <f>SUM(M1125:M1127)</f>
        <v>0</v>
      </c>
      <c r="O1127" s="299">
        <v>0</v>
      </c>
      <c r="P1127" s="203">
        <v>0</v>
      </c>
      <c r="Q1127" s="217">
        <f t="shared" si="465"/>
        <v>0</v>
      </c>
      <c r="R1127" s="180">
        <f>SUM(Q1125:Q1127)</f>
        <v>0</v>
      </c>
      <c r="S1127" s="304"/>
    </row>
    <row r="1128" spans="1:19" ht="15.75" customHeight="1" x14ac:dyDescent="0.3">
      <c r="A1128" s="189" t="s">
        <v>676</v>
      </c>
      <c r="B1128" s="180"/>
      <c r="C1128" s="180">
        <f t="shared" si="461"/>
        <v>0.05</v>
      </c>
      <c r="D1128" s="203">
        <v>0</v>
      </c>
      <c r="E1128" s="217">
        <f t="shared" si="462"/>
        <v>0</v>
      </c>
      <c r="F1128" s="180"/>
      <c r="G1128" s="180" t="e">
        <f>#REF!</f>
        <v>#REF!</v>
      </c>
      <c r="H1128" s="203">
        <v>0</v>
      </c>
      <c r="I1128" s="217" t="e">
        <f t="shared" si="463"/>
        <v>#REF!</v>
      </c>
      <c r="J1128" s="180"/>
      <c r="K1128" s="299">
        <v>13129</v>
      </c>
      <c r="L1128" s="300">
        <v>0</v>
      </c>
      <c r="M1128" s="217">
        <f t="shared" si="464"/>
        <v>0</v>
      </c>
      <c r="N1128" s="180"/>
      <c r="O1128" s="299">
        <v>0</v>
      </c>
      <c r="P1128" s="203">
        <v>0</v>
      </c>
      <c r="Q1128" s="217">
        <f t="shared" si="465"/>
        <v>0</v>
      </c>
      <c r="R1128" s="180"/>
      <c r="S1128" s="304"/>
    </row>
    <row r="1129" spans="1:19" ht="15.75" customHeight="1" x14ac:dyDescent="0.3">
      <c r="A1129" s="189" t="s">
        <v>691</v>
      </c>
      <c r="B1129" s="180"/>
      <c r="C1129" s="180">
        <f t="shared" si="461"/>
        <v>0</v>
      </c>
      <c r="D1129" s="203">
        <v>0</v>
      </c>
      <c r="E1129" s="217">
        <f t="shared" si="462"/>
        <v>0</v>
      </c>
      <c r="F1129" s="180"/>
      <c r="G1129" s="180" t="e">
        <f>#REF!</f>
        <v>#REF!</v>
      </c>
      <c r="H1129" s="203">
        <v>0</v>
      </c>
      <c r="I1129" s="217" t="e">
        <f t="shared" si="463"/>
        <v>#REF!</v>
      </c>
      <c r="J1129" s="180"/>
      <c r="K1129" s="299">
        <v>12545</v>
      </c>
      <c r="L1129" s="300">
        <v>0</v>
      </c>
      <c r="M1129" s="217">
        <f t="shared" si="464"/>
        <v>0</v>
      </c>
      <c r="N1129" s="180"/>
      <c r="O1129" s="299">
        <v>0</v>
      </c>
      <c r="P1129" s="203">
        <v>0</v>
      </c>
      <c r="Q1129" s="217">
        <f t="shared" si="465"/>
        <v>0</v>
      </c>
      <c r="R1129" s="180"/>
      <c r="S1129" s="304"/>
    </row>
    <row r="1130" spans="1:19" ht="15.75" customHeight="1" x14ac:dyDescent="0.3">
      <c r="A1130" s="189" t="s">
        <v>692</v>
      </c>
      <c r="B1130" s="180"/>
      <c r="C1130" s="180">
        <f t="shared" si="461"/>
        <v>0.05</v>
      </c>
      <c r="D1130" s="203">
        <v>0</v>
      </c>
      <c r="E1130" s="217">
        <f t="shared" si="462"/>
        <v>0</v>
      </c>
      <c r="F1130" s="180">
        <f>SUM(E1128:E1130)</f>
        <v>0</v>
      </c>
      <c r="G1130" s="180" t="e">
        <f>#REF!</f>
        <v>#REF!</v>
      </c>
      <c r="H1130" s="203">
        <v>0</v>
      </c>
      <c r="I1130" s="217" t="e">
        <f t="shared" si="463"/>
        <v>#REF!</v>
      </c>
      <c r="J1130" s="180" t="e">
        <f>SUM(I1128:I1130)</f>
        <v>#REF!</v>
      </c>
      <c r="K1130" s="299">
        <v>9350</v>
      </c>
      <c r="L1130" s="300">
        <v>0</v>
      </c>
      <c r="M1130" s="217">
        <f t="shared" si="464"/>
        <v>0</v>
      </c>
      <c r="N1130" s="180">
        <f>SUM(M1128:M1130)</f>
        <v>0</v>
      </c>
      <c r="O1130" s="299">
        <v>0</v>
      </c>
      <c r="P1130" s="203">
        <v>0</v>
      </c>
      <c r="Q1130" s="217">
        <f t="shared" si="465"/>
        <v>0</v>
      </c>
      <c r="R1130" s="180">
        <f>SUM(Q1128:Q1130)</f>
        <v>0</v>
      </c>
      <c r="S1130" s="304"/>
    </row>
    <row r="1131" spans="1:19" ht="15.75" customHeight="1" x14ac:dyDescent="0.3">
      <c r="A1131" s="189" t="s">
        <v>693</v>
      </c>
      <c r="B1131" s="180"/>
      <c r="C1131" s="180">
        <f t="shared" si="461"/>
        <v>0.2</v>
      </c>
      <c r="D1131" s="203">
        <v>0</v>
      </c>
      <c r="E1131" s="217">
        <f t="shared" si="462"/>
        <v>0</v>
      </c>
      <c r="F1131" s="180"/>
      <c r="G1131" s="180" t="e">
        <f>#REF!</f>
        <v>#REF!</v>
      </c>
      <c r="H1131" s="203">
        <v>0</v>
      </c>
      <c r="I1131" s="217" t="e">
        <f t="shared" si="463"/>
        <v>#REF!</v>
      </c>
      <c r="J1131" s="180"/>
      <c r="K1131" s="299">
        <v>11649</v>
      </c>
      <c r="L1131" s="300">
        <v>0</v>
      </c>
      <c r="M1131" s="217">
        <f t="shared" si="464"/>
        <v>0</v>
      </c>
      <c r="N1131" s="180"/>
      <c r="O1131" s="299">
        <v>0</v>
      </c>
      <c r="P1131" s="203">
        <v>0</v>
      </c>
      <c r="Q1131" s="217">
        <f t="shared" si="465"/>
        <v>0</v>
      </c>
      <c r="R1131" s="180"/>
      <c r="S1131" s="304"/>
    </row>
    <row r="1132" spans="1:19" ht="15.75" customHeight="1" x14ac:dyDescent="0.3">
      <c r="A1132" s="189" t="s">
        <v>694</v>
      </c>
      <c r="B1132" s="180"/>
      <c r="C1132" s="180">
        <f t="shared" si="461"/>
        <v>0.2</v>
      </c>
      <c r="D1132" s="203">
        <v>0</v>
      </c>
      <c r="E1132" s="217">
        <f t="shared" si="462"/>
        <v>0</v>
      </c>
      <c r="F1132" s="180"/>
      <c r="G1132" s="180" t="e">
        <f>#REF!</f>
        <v>#REF!</v>
      </c>
      <c r="H1132" s="203">
        <v>0</v>
      </c>
      <c r="I1132" s="217" t="e">
        <f t="shared" si="463"/>
        <v>#REF!</v>
      </c>
      <c r="J1132" s="180"/>
      <c r="K1132" s="299">
        <v>8035</v>
      </c>
      <c r="L1132" s="300">
        <v>0</v>
      </c>
      <c r="M1132" s="217">
        <f t="shared" si="464"/>
        <v>0</v>
      </c>
      <c r="N1132" s="180"/>
      <c r="O1132" s="299">
        <v>0</v>
      </c>
      <c r="P1132" s="203">
        <v>0</v>
      </c>
      <c r="Q1132" s="217">
        <f t="shared" si="465"/>
        <v>0</v>
      </c>
      <c r="R1132" s="180"/>
      <c r="S1132" s="304"/>
    </row>
    <row r="1133" spans="1:19" ht="15.75" customHeight="1" x14ac:dyDescent="0.3">
      <c r="A1133" s="189" t="s">
        <v>695</v>
      </c>
      <c r="B1133" s="180"/>
      <c r="C1133" s="180">
        <f t="shared" si="461"/>
        <v>0.2</v>
      </c>
      <c r="D1133" s="203">
        <v>0</v>
      </c>
      <c r="E1133" s="217">
        <f t="shared" si="462"/>
        <v>0</v>
      </c>
      <c r="F1133" s="180">
        <f>SUM(E1131:E1133)</f>
        <v>0</v>
      </c>
      <c r="G1133" s="180" t="e">
        <f>#REF!</f>
        <v>#REF!</v>
      </c>
      <c r="H1133" s="203">
        <v>0</v>
      </c>
      <c r="I1133" s="217" t="e">
        <f t="shared" si="463"/>
        <v>#REF!</v>
      </c>
      <c r="J1133" s="180" t="e">
        <f>SUM(I1131:I1133)</f>
        <v>#REF!</v>
      </c>
      <c r="K1133" s="299">
        <v>8092</v>
      </c>
      <c r="L1133" s="300">
        <v>0</v>
      </c>
      <c r="M1133" s="217">
        <f t="shared" si="464"/>
        <v>0</v>
      </c>
      <c r="N1133" s="180">
        <f>SUM(M1131:M1133)</f>
        <v>0</v>
      </c>
      <c r="O1133" s="299">
        <v>0</v>
      </c>
      <c r="P1133" s="203">
        <v>0</v>
      </c>
      <c r="Q1133" s="217">
        <f t="shared" si="465"/>
        <v>0</v>
      </c>
      <c r="R1133" s="180">
        <f>SUM(Q1131:Q1133)</f>
        <v>0</v>
      </c>
      <c r="S1133" s="304"/>
    </row>
    <row r="1134" spans="1:19" ht="15.75" customHeight="1" x14ac:dyDescent="0.3">
      <c r="A1134" s="179"/>
      <c r="B1134" s="180"/>
      <c r="C1134" s="180"/>
      <c r="D1134" s="180"/>
      <c r="E1134" s="180"/>
      <c r="F1134" s="180"/>
      <c r="G1134" s="180"/>
      <c r="H1134" s="180"/>
      <c r="I1134" s="180"/>
      <c r="J1134" s="180"/>
      <c r="K1134" s="180"/>
      <c r="L1134" s="180"/>
      <c r="M1134" s="180"/>
      <c r="N1134" s="180"/>
      <c r="O1134" s="180"/>
      <c r="P1134" s="180"/>
      <c r="Q1134" s="180"/>
      <c r="R1134" s="180"/>
      <c r="S1134" s="304"/>
    </row>
    <row r="1135" spans="1:19" ht="15.75" customHeight="1" x14ac:dyDescent="0.3">
      <c r="A1135" s="179"/>
      <c r="B1135" s="180"/>
      <c r="C1135" s="180"/>
      <c r="D1135" s="180"/>
      <c r="E1135" s="180"/>
      <c r="F1135" s="180"/>
      <c r="G1135" s="180"/>
      <c r="H1135" s="180"/>
      <c r="I1135" s="180"/>
      <c r="J1135" s="180"/>
      <c r="K1135" s="180"/>
      <c r="L1135" s="180"/>
      <c r="M1135" s="180"/>
      <c r="N1135" s="180"/>
      <c r="O1135" s="180"/>
      <c r="P1135" s="180"/>
      <c r="Q1135" s="180"/>
      <c r="R1135" s="180"/>
      <c r="S1135" s="304"/>
    </row>
    <row r="1136" spans="1:19" ht="16.5" customHeight="1" thickBot="1" x14ac:dyDescent="0.35">
      <c r="A1136" s="194" t="s">
        <v>641</v>
      </c>
      <c r="B1136" s="195"/>
      <c r="C1136" s="195">
        <f>SUM(C1122:C1133)</f>
        <v>2.2250000000000005</v>
      </c>
      <c r="D1136" s="195"/>
      <c r="E1136" s="301">
        <f>SUM(E1122:E1133)</f>
        <v>0</v>
      </c>
      <c r="F1136" s="195"/>
      <c r="G1136" s="195" t="e">
        <f>SUM(G1122:G1133)</f>
        <v>#REF!</v>
      </c>
      <c r="H1136" s="195" t="s">
        <v>633</v>
      </c>
      <c r="I1136" s="301" t="e">
        <f>SUM(I1122:I1133)</f>
        <v>#REF!</v>
      </c>
      <c r="J1136" s="195"/>
      <c r="K1136" s="195">
        <f>SUM(K1122:K1133)</f>
        <v>149913</v>
      </c>
      <c r="L1136" s="195" t="s">
        <v>633</v>
      </c>
      <c r="M1136" s="301">
        <f>SUM(M1122:M1133)</f>
        <v>0</v>
      </c>
      <c r="N1136" s="195"/>
      <c r="O1136" s="195">
        <f>(SUM(O1122:O1133))</f>
        <v>0</v>
      </c>
      <c r="P1136" s="195" t="s">
        <v>633</v>
      </c>
      <c r="Q1136" s="301">
        <f>SUM(Q1122:Q1133)</f>
        <v>0</v>
      </c>
      <c r="R1136" s="195"/>
      <c r="S1136" s="136"/>
    </row>
  </sheetData>
  <scenarios current="0">
    <scenario name="Jan" count="1" user="Windows User" comment="Created by Windows User on 4/11/2013">
      <inputCells r="B307" val="57771.3688407242" numFmtId="37"/>
    </scenario>
  </scenarios>
  <autoFilter ref="A31:R897" xr:uid="{00000000-0009-0000-0000-000002000000}"/>
  <mergeCells count="73">
    <mergeCell ref="B1067:P1067"/>
    <mergeCell ref="B1068:P1068"/>
    <mergeCell ref="B1070:L1070"/>
    <mergeCell ref="M1070:P1070"/>
    <mergeCell ref="B1044:D1044"/>
    <mergeCell ref="T1044:U1044"/>
    <mergeCell ref="V1044:W1044"/>
    <mergeCell ref="B1063:P1063"/>
    <mergeCell ref="B1064:P1064"/>
    <mergeCell ref="B1065:P1065"/>
    <mergeCell ref="B1043:P1043"/>
    <mergeCell ref="M989:O989"/>
    <mergeCell ref="AD989:AQ989"/>
    <mergeCell ref="AD990:AQ990"/>
    <mergeCell ref="B1014:P1014"/>
    <mergeCell ref="B1015:F1015"/>
    <mergeCell ref="G1015:L1015"/>
    <mergeCell ref="M1015:R1015"/>
    <mergeCell ref="S1015:U1015"/>
    <mergeCell ref="M1016:O1016"/>
    <mergeCell ref="B1038:P1038"/>
    <mergeCell ref="B1039:P1039"/>
    <mergeCell ref="B1040:P1040"/>
    <mergeCell ref="B1042:P1042"/>
    <mergeCell ref="B987:P987"/>
    <mergeCell ref="AD987:AQ987"/>
    <mergeCell ref="B988:F988"/>
    <mergeCell ref="G988:L988"/>
    <mergeCell ref="M988:R988"/>
    <mergeCell ref="S988:U988"/>
    <mergeCell ref="B986:P986"/>
    <mergeCell ref="AD986:AQ986"/>
    <mergeCell ref="AD952:AQ952"/>
    <mergeCell ref="AD954:AQ954"/>
    <mergeCell ref="B955:P955"/>
    <mergeCell ref="AD955:AQ955"/>
    <mergeCell ref="B956:P956"/>
    <mergeCell ref="B957:P957"/>
    <mergeCell ref="B959:P959"/>
    <mergeCell ref="B960:P960"/>
    <mergeCell ref="B984:P984"/>
    <mergeCell ref="B985:P985"/>
    <mergeCell ref="AD985:AQ985"/>
    <mergeCell ref="AD951:AQ951"/>
    <mergeCell ref="B902:P902"/>
    <mergeCell ref="B903:P903"/>
    <mergeCell ref="B904:P904"/>
    <mergeCell ref="B905:P905"/>
    <mergeCell ref="B929:P929"/>
    <mergeCell ref="B930:P930"/>
    <mergeCell ref="B931:P931"/>
    <mergeCell ref="B932:P932"/>
    <mergeCell ref="B933:P933"/>
    <mergeCell ref="B934:P934"/>
    <mergeCell ref="AD950:AQ950"/>
    <mergeCell ref="B901:P901"/>
    <mergeCell ref="A836:R836"/>
    <mergeCell ref="A837:R837"/>
    <mergeCell ref="A838:R838"/>
    <mergeCell ref="A839:R839"/>
    <mergeCell ref="A841:R841"/>
    <mergeCell ref="A877:R877"/>
    <mergeCell ref="A878:R878"/>
    <mergeCell ref="A879:R879"/>
    <mergeCell ref="A880:R880"/>
    <mergeCell ref="A882:R882"/>
    <mergeCell ref="B900:P900"/>
    <mergeCell ref="A8:R8"/>
    <mergeCell ref="A2:R2"/>
    <mergeCell ref="A3:R3"/>
    <mergeCell ref="A4:R4"/>
    <mergeCell ref="A5:R5"/>
    <mergeCell ref="A6:R6"/>
  </mergeCells>
  <conditionalFormatting sqref="S994:S1005 S1007">
    <cfRule type="cellIs" dxfId="15" priority="3" operator="lessThan">
      <formula>0</formula>
    </cfRule>
    <cfRule type="cellIs" dxfId="14" priority="4" operator="greaterThan">
      <formula>0</formula>
    </cfRule>
  </conditionalFormatting>
  <conditionalFormatting sqref="S1021:S1032">
    <cfRule type="cellIs" dxfId="13" priority="1" operator="lessThan">
      <formula>0</formula>
    </cfRule>
    <cfRule type="cellIs" dxfId="12" priority="2" operator="greaterThan">
      <formula>0</formula>
    </cfRule>
  </conditionalFormatting>
  <printOptions horizontalCentered="1"/>
  <pageMargins left="0.25" right="0.25" top="0.25" bottom="0.25" header="0" footer="0"/>
  <pageSetup paperSize="119" scale="10" orientation="landscape" r:id="rId1"/>
  <headerFooter alignWithMargins="0"/>
  <rowBreaks count="5" manualBreakCount="5">
    <brk id="833" max="17" man="1"/>
    <brk id="873" max="17" man="1"/>
    <brk id="926" max="18" man="1"/>
    <brk id="954" max="18" man="1"/>
    <brk id="922" min="28" max="46"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DA6F6-F632-41C4-BB98-D421D5339A4B}">
  <sheetPr codeName="Sheet35">
    <pageSetUpPr fitToPage="1"/>
  </sheetPr>
  <dimension ref="A1:AX1181"/>
  <sheetViews>
    <sheetView tabSelected="1" topLeftCell="Q10" zoomScale="80" zoomScaleNormal="80" workbookViewId="0">
      <pane ySplit="22" topLeftCell="A1050" activePane="bottomLeft" state="frozen"/>
      <selection activeCell="A11" sqref="A11"/>
      <selection pane="bottomLeft" activeCell="AH980" sqref="AH980"/>
    </sheetView>
  </sheetViews>
  <sheetFormatPr defaultColWidth="8.77734375" defaultRowHeight="15.6" x14ac:dyDescent="0.3"/>
  <cols>
    <col min="1" max="1" width="48.21875" style="4" customWidth="1"/>
    <col min="2" max="3" width="11.21875" style="4" customWidth="1"/>
    <col min="4" max="4" width="12.44140625" style="4" customWidth="1"/>
    <col min="5" max="5" width="14" style="4" customWidth="1"/>
    <col min="6" max="7" width="11.21875" style="4" customWidth="1"/>
    <col min="8" max="8" width="11.77734375" style="4" bestFit="1" customWidth="1"/>
    <col min="9" max="9" width="13.109375" style="4" customWidth="1"/>
    <col min="10" max="10" width="11.77734375" style="4" bestFit="1" customWidth="1"/>
    <col min="11" max="12" width="11.21875" style="4" bestFit="1" customWidth="1"/>
    <col min="13" max="13" width="15" style="4" customWidth="1"/>
    <col min="14" max="14" width="11.21875" style="4" bestFit="1" customWidth="1"/>
    <col min="15" max="15" width="11.77734375" style="4" bestFit="1" customWidth="1"/>
    <col min="16" max="16" width="11.21875" style="4" bestFit="1" customWidth="1"/>
    <col min="17" max="17" width="13" style="4" customWidth="1"/>
    <col min="18" max="18" width="14.21875" style="4" customWidth="1"/>
    <col min="19" max="19" width="15.21875" style="4" customWidth="1"/>
    <col min="20" max="20" width="11.21875" style="4" bestFit="1" customWidth="1"/>
    <col min="21" max="21" width="8.77734375" style="4"/>
    <col min="22" max="22" width="11.6640625" style="4" customWidth="1"/>
    <col min="23" max="23" width="13.6640625" style="4" customWidth="1"/>
    <col min="24" max="24" width="12.44140625" style="4" customWidth="1"/>
    <col min="25" max="25" width="13.109375" style="4" customWidth="1"/>
    <col min="26" max="26" width="12.33203125" style="4" bestFit="1" customWidth="1"/>
    <col min="27" max="28" width="8.77734375" style="4"/>
    <col min="29" max="29" width="13.6640625" style="4" customWidth="1"/>
    <col min="30" max="34" width="8.77734375" style="4"/>
    <col min="35" max="35" width="11.6640625" style="4" customWidth="1"/>
    <col min="36" max="48" width="8.77734375" style="4"/>
    <col min="49" max="49" width="21.33203125" style="4" customWidth="1"/>
    <col min="50" max="50" width="20.88671875" style="4" bestFit="1" customWidth="1"/>
    <col min="51" max="16384" width="8.77734375" style="4"/>
  </cols>
  <sheetData>
    <row r="1" spans="1:36" x14ac:dyDescent="0.3">
      <c r="A1" s="1"/>
      <c r="B1" s="1"/>
      <c r="C1" s="1"/>
      <c r="D1" s="1"/>
      <c r="E1" s="1"/>
      <c r="F1" s="1"/>
      <c r="G1" s="1"/>
      <c r="H1" s="1"/>
      <c r="I1" s="1"/>
      <c r="J1" s="1"/>
      <c r="K1" s="1"/>
      <c r="L1" s="1"/>
      <c r="M1" s="1"/>
      <c r="N1" s="1"/>
      <c r="O1" s="1"/>
      <c r="P1" s="1"/>
      <c r="Q1" s="2" t="s">
        <v>0</v>
      </c>
      <c r="R1" s="3">
        <f ca="1">NOW()</f>
        <v>44894.658168402777</v>
      </c>
    </row>
    <row r="2" spans="1:36" ht="19.5" customHeight="1" x14ac:dyDescent="0.35">
      <c r="A2" s="384" t="s">
        <v>1</v>
      </c>
      <c r="B2" s="384"/>
      <c r="C2" s="384"/>
      <c r="D2" s="384"/>
      <c r="E2" s="384"/>
      <c r="F2" s="384"/>
      <c r="G2" s="384"/>
      <c r="H2" s="384"/>
      <c r="I2" s="384"/>
      <c r="J2" s="384"/>
      <c r="K2" s="384"/>
      <c r="L2" s="384"/>
      <c r="M2" s="384"/>
      <c r="N2" s="384"/>
      <c r="O2" s="384"/>
      <c r="P2" s="384"/>
      <c r="Q2" s="384"/>
      <c r="R2" s="384"/>
    </row>
    <row r="3" spans="1:36" ht="19.5" customHeight="1" x14ac:dyDescent="0.35">
      <c r="A3" s="384" t="s">
        <v>2</v>
      </c>
      <c r="B3" s="384"/>
      <c r="C3" s="384"/>
      <c r="D3" s="384"/>
      <c r="E3" s="384"/>
      <c r="F3" s="384"/>
      <c r="G3" s="384"/>
      <c r="H3" s="384"/>
      <c r="I3" s="384"/>
      <c r="J3" s="384"/>
      <c r="K3" s="384"/>
      <c r="L3" s="384"/>
      <c r="M3" s="384"/>
      <c r="N3" s="384"/>
      <c r="O3" s="384"/>
      <c r="P3" s="384"/>
      <c r="Q3" s="384"/>
      <c r="R3" s="384"/>
    </row>
    <row r="4" spans="1:36" ht="19.5" customHeight="1" x14ac:dyDescent="0.35">
      <c r="A4" s="385" t="s">
        <v>3</v>
      </c>
      <c r="B4" s="385"/>
      <c r="C4" s="385"/>
      <c r="D4" s="385"/>
      <c r="E4" s="385"/>
      <c r="F4" s="385"/>
      <c r="G4" s="385"/>
      <c r="H4" s="385"/>
      <c r="I4" s="385"/>
      <c r="J4" s="385"/>
      <c r="K4" s="385"/>
      <c r="L4" s="385"/>
      <c r="M4" s="385"/>
      <c r="N4" s="385"/>
      <c r="O4" s="385"/>
      <c r="P4" s="385"/>
      <c r="Q4" s="385"/>
      <c r="R4" s="385"/>
    </row>
    <row r="5" spans="1:36" ht="19.5" customHeight="1" x14ac:dyDescent="0.35">
      <c r="A5" s="386">
        <v>2020</v>
      </c>
      <c r="B5" s="386"/>
      <c r="C5" s="386"/>
      <c r="D5" s="386"/>
      <c r="E5" s="386"/>
      <c r="F5" s="386"/>
      <c r="G5" s="386"/>
      <c r="H5" s="386"/>
      <c r="I5" s="386"/>
      <c r="J5" s="386"/>
      <c r="K5" s="386"/>
      <c r="L5" s="386"/>
      <c r="M5" s="386"/>
      <c r="N5" s="386"/>
      <c r="O5" s="386"/>
      <c r="P5" s="386"/>
      <c r="Q5" s="386"/>
      <c r="R5" s="386"/>
    </row>
    <row r="6" spans="1:36" ht="19.5" customHeight="1" x14ac:dyDescent="0.35">
      <c r="A6" s="385" t="s">
        <v>987</v>
      </c>
      <c r="B6" s="385"/>
      <c r="C6" s="385"/>
      <c r="D6" s="385"/>
      <c r="E6" s="385"/>
      <c r="F6" s="385"/>
      <c r="G6" s="385"/>
      <c r="H6" s="385"/>
      <c r="I6" s="385"/>
      <c r="J6" s="385"/>
      <c r="K6" s="385"/>
      <c r="L6" s="385"/>
      <c r="M6" s="385"/>
      <c r="N6" s="385"/>
      <c r="O6" s="385"/>
      <c r="P6" s="385"/>
      <c r="Q6" s="385"/>
      <c r="R6" s="385"/>
    </row>
    <row r="7" spans="1:36" ht="19.5" customHeight="1" x14ac:dyDescent="0.35">
      <c r="A7" s="5"/>
      <c r="B7" s="5"/>
      <c r="C7" s="5"/>
      <c r="D7" s="5"/>
      <c r="E7" s="5"/>
      <c r="F7" s="5"/>
      <c r="G7" s="5"/>
      <c r="H7" s="5"/>
      <c r="I7" s="5"/>
      <c r="J7" s="5"/>
      <c r="K7" s="5"/>
      <c r="L7" s="5"/>
      <c r="M7" s="5"/>
      <c r="N7" s="5"/>
      <c r="O7" s="5"/>
      <c r="P7" s="5"/>
      <c r="Q7" s="5"/>
      <c r="R7" s="5"/>
    </row>
    <row r="8" spans="1:36" ht="15.75" customHeight="1" x14ac:dyDescent="0.3">
      <c r="A8" s="383" t="s">
        <v>988</v>
      </c>
      <c r="B8" s="383"/>
      <c r="C8" s="383"/>
      <c r="D8" s="383"/>
      <c r="E8" s="383"/>
      <c r="F8" s="383"/>
      <c r="G8" s="383"/>
      <c r="H8" s="383"/>
      <c r="I8" s="383"/>
      <c r="J8" s="383"/>
      <c r="K8" s="383"/>
      <c r="L8" s="383"/>
      <c r="M8" s="383"/>
      <c r="N8" s="383"/>
      <c r="O8" s="383"/>
      <c r="P8" s="383"/>
      <c r="Q8" s="383"/>
      <c r="R8" s="383"/>
    </row>
    <row r="9" spans="1:36" ht="15.75" customHeight="1" x14ac:dyDescent="0.3">
      <c r="A9" s="7"/>
      <c r="B9" s="8"/>
      <c r="C9" s="8"/>
      <c r="D9" s="8"/>
      <c r="E9" s="8"/>
      <c r="F9" s="8"/>
      <c r="G9" s="8"/>
      <c r="H9" s="8"/>
      <c r="I9" s="8"/>
      <c r="J9" s="8"/>
      <c r="K9" s="8"/>
      <c r="L9" s="8"/>
      <c r="M9" s="8"/>
      <c r="N9" s="8"/>
      <c r="O9" s="8"/>
      <c r="P9" s="8"/>
      <c r="Q9" s="8"/>
      <c r="R9" s="8"/>
    </row>
    <row r="10" spans="1:36" ht="16.2" thickBot="1" x14ac:dyDescent="0.35">
      <c r="A10" s="1" t="s">
        <v>6</v>
      </c>
      <c r="B10" s="1">
        <v>31</v>
      </c>
      <c r="C10" s="1">
        <v>29</v>
      </c>
      <c r="D10" s="1">
        <v>31</v>
      </c>
      <c r="E10" s="1"/>
      <c r="F10" s="1">
        <v>30</v>
      </c>
      <c r="G10" s="1">
        <v>31</v>
      </c>
      <c r="H10" s="1">
        <v>30</v>
      </c>
      <c r="I10" s="1"/>
      <c r="J10" s="1">
        <v>31</v>
      </c>
      <c r="K10" s="1">
        <v>31</v>
      </c>
      <c r="L10" s="1">
        <v>30</v>
      </c>
      <c r="M10" s="1"/>
      <c r="N10" s="1">
        <v>31</v>
      </c>
      <c r="O10" s="1">
        <v>30</v>
      </c>
      <c r="P10" s="1">
        <v>31</v>
      </c>
      <c r="Q10" s="1"/>
      <c r="R10" s="1"/>
    </row>
    <row r="11" spans="1:36" ht="15.75" customHeight="1" thickBot="1" x14ac:dyDescent="0.35">
      <c r="A11" s="370" t="s">
        <v>7</v>
      </c>
      <c r="B11" s="371" t="s">
        <v>8</v>
      </c>
      <c r="C11" s="331" t="s">
        <v>9</v>
      </c>
      <c r="D11" s="331" t="s">
        <v>10</v>
      </c>
      <c r="E11" s="325" t="s">
        <v>11</v>
      </c>
      <c r="F11" s="331" t="s">
        <v>12</v>
      </c>
      <c r="G11" s="331" t="s">
        <v>13</v>
      </c>
      <c r="H11" s="331" t="s">
        <v>14</v>
      </c>
      <c r="I11" s="325" t="s">
        <v>15</v>
      </c>
      <c r="J11" s="331" t="s">
        <v>16</v>
      </c>
      <c r="K11" s="331" t="s">
        <v>17</v>
      </c>
      <c r="L11" s="331" t="s">
        <v>18</v>
      </c>
      <c r="M11" s="325" t="s">
        <v>19</v>
      </c>
      <c r="N11" s="331" t="s">
        <v>20</v>
      </c>
      <c r="O11" s="331" t="s">
        <v>21</v>
      </c>
      <c r="P11" s="331" t="s">
        <v>22</v>
      </c>
      <c r="Q11" s="325" t="s">
        <v>23</v>
      </c>
      <c r="R11" s="332" t="s">
        <v>24</v>
      </c>
    </row>
    <row r="12" spans="1:36" ht="16.5" customHeight="1" thickBot="1" x14ac:dyDescent="0.35">
      <c r="A12" s="14"/>
      <c r="B12" s="302"/>
      <c r="C12" s="302"/>
      <c r="D12" s="302"/>
      <c r="E12" s="16"/>
      <c r="F12" s="302"/>
      <c r="G12" s="302"/>
      <c r="H12" s="302"/>
      <c r="I12" s="16"/>
      <c r="J12" s="302"/>
      <c r="K12" s="302"/>
      <c r="L12" s="302"/>
      <c r="M12" s="16"/>
      <c r="N12" s="302"/>
      <c r="O12" s="302"/>
      <c r="P12" s="302"/>
      <c r="Q12" s="16"/>
      <c r="R12" s="16"/>
    </row>
    <row r="13" spans="1:36" ht="15.75" customHeight="1" x14ac:dyDescent="0.3">
      <c r="A13" s="17" t="s">
        <v>25</v>
      </c>
      <c r="B13" s="1">
        <f>+B941</f>
        <v>52807</v>
      </c>
      <c r="C13" s="1">
        <f>+C941</f>
        <v>69398</v>
      </c>
      <c r="D13" s="1">
        <f>+D941</f>
        <v>88013</v>
      </c>
      <c r="E13" s="18">
        <f>SUM(B13:D13)</f>
        <v>210218</v>
      </c>
      <c r="F13" s="1">
        <f>+F941</f>
        <v>141711</v>
      </c>
      <c r="G13" s="1">
        <f>+G941</f>
        <v>174457</v>
      </c>
      <c r="H13" s="1">
        <f>+H941</f>
        <v>192700</v>
      </c>
      <c r="I13" s="18">
        <f t="shared" ref="I13:I19" si="0">SUM(F13:H13)</f>
        <v>508868</v>
      </c>
      <c r="J13" s="1">
        <f>+J941</f>
        <v>185936</v>
      </c>
      <c r="K13" s="1">
        <f>+K941</f>
        <v>180706</v>
      </c>
      <c r="L13" s="1">
        <f>+L941</f>
        <v>129353</v>
      </c>
      <c r="M13" s="18">
        <f t="shared" ref="M13:M20" si="1">SUM(J13:L13)</f>
        <v>495995</v>
      </c>
      <c r="N13" s="1">
        <f>+N941</f>
        <v>92903</v>
      </c>
      <c r="O13" s="1">
        <f>+O941</f>
        <v>56798</v>
      </c>
      <c r="P13" s="1">
        <f>+P941</f>
        <v>60059</v>
      </c>
      <c r="Q13" s="19">
        <f t="shared" ref="Q13:Q19" si="2">SUM(N13:P13)</f>
        <v>209760</v>
      </c>
      <c r="R13" s="18">
        <f t="shared" ref="R13:R20" si="3">+E13+I13+M13+Q13</f>
        <v>1424841</v>
      </c>
      <c r="V13" s="21"/>
      <c r="W13" s="21"/>
      <c r="X13" s="21"/>
      <c r="Z13" s="21"/>
      <c r="AA13" s="21"/>
      <c r="AB13" s="21"/>
      <c r="AD13" s="21"/>
      <c r="AE13" s="21"/>
      <c r="AF13" s="21"/>
      <c r="AH13" s="21"/>
      <c r="AI13" s="21"/>
      <c r="AJ13" s="21"/>
    </row>
    <row r="14" spans="1:36" ht="15.75" customHeight="1" x14ac:dyDescent="0.3">
      <c r="A14" s="17" t="s">
        <v>27</v>
      </c>
      <c r="B14" s="1">
        <f>B25+B60+B136+B326+B518+B569+B614+B680+B690+B726+B778+B788+B822+B873</f>
        <v>739</v>
      </c>
      <c r="C14" s="1">
        <f>C25+C60+C136+C326+C518+C569+C614+C680+C690+C726+C778+C788+C822+C873</f>
        <v>1283</v>
      </c>
      <c r="D14" s="1">
        <f>D25+D60+D136+D326+D518+D569+D614+D680+D690+D726+D778+D788+D822+D873</f>
        <v>2185</v>
      </c>
      <c r="E14" s="18">
        <f t="shared" ref="E14:E19" si="4">SUM(B14:D14)</f>
        <v>4207</v>
      </c>
      <c r="F14" s="1">
        <f>F25+F60+F136+F326+F518+F569+F614+F680+F690+F726+F778+F788+F822+F873</f>
        <v>2959</v>
      </c>
      <c r="G14" s="1">
        <f>G25+G60+G136+G326+G518+G569+G614+G680+G690+G726+G778+G788+G822+G873</f>
        <v>3425</v>
      </c>
      <c r="H14" s="1">
        <f>H25+H60+H136+H326+H518+H569+H614+H680+H690+H726+H778+H788+H822+H873</f>
        <v>3464</v>
      </c>
      <c r="I14" s="18">
        <f t="shared" si="0"/>
        <v>9848</v>
      </c>
      <c r="J14" s="1">
        <f>J25+J60+J136+J326+J518+J569+J614+J680+J690+J726+J778+J788+J822+J873</f>
        <v>3382</v>
      </c>
      <c r="K14" s="1">
        <f>K25+K60+K136+K326+K518+K569+K614+K680+K690+K726+K778+K788+K822+K873</f>
        <v>2663</v>
      </c>
      <c r="L14" s="1">
        <f>L25+L60+L136+L326+L518+L569+L614+L680+L690+L726+L778+L788+L822+L873</f>
        <v>2559</v>
      </c>
      <c r="M14" s="18">
        <f t="shared" si="1"/>
        <v>8604</v>
      </c>
      <c r="N14" s="1">
        <f>N25+N60+N136+N326+N518+N569+N614+N680+N690+N726+N778+N788+N822+N873</f>
        <v>2343</v>
      </c>
      <c r="O14" s="1">
        <f>O25+O60+O136+O326+O518+O569+O614+O680+O690+O726+O778+O788+O822+O873</f>
        <v>1892</v>
      </c>
      <c r="P14" s="1">
        <f>P25+P60+P136+P326+P518+P569+P614+P680+P690+P726+P778+P788+P822+P873</f>
        <v>1423</v>
      </c>
      <c r="Q14" s="19">
        <f t="shared" si="2"/>
        <v>5658</v>
      </c>
      <c r="R14" s="18">
        <f t="shared" si="3"/>
        <v>28317</v>
      </c>
    </row>
    <row r="15" spans="1:36" ht="15.75" customHeight="1" x14ac:dyDescent="0.3">
      <c r="A15" s="17" t="s">
        <v>29</v>
      </c>
      <c r="B15" s="1">
        <f>B321</f>
        <v>0</v>
      </c>
      <c r="C15" s="1">
        <f>C321</f>
        <v>883</v>
      </c>
      <c r="D15" s="1">
        <f>D321</f>
        <v>640</v>
      </c>
      <c r="E15" s="18">
        <f t="shared" si="4"/>
        <v>1523</v>
      </c>
      <c r="F15" s="1">
        <f>F321</f>
        <v>618</v>
      </c>
      <c r="G15" s="1">
        <f>G321</f>
        <v>1718</v>
      </c>
      <c r="H15" s="1">
        <f>H321</f>
        <v>2967</v>
      </c>
      <c r="I15" s="18">
        <f t="shared" si="0"/>
        <v>5303</v>
      </c>
      <c r="J15" s="1">
        <f>J321</f>
        <v>3280</v>
      </c>
      <c r="K15" s="1">
        <f>K321</f>
        <v>2626</v>
      </c>
      <c r="L15" s="1">
        <f>L321</f>
        <v>2888</v>
      </c>
      <c r="M15" s="18">
        <f t="shared" si="1"/>
        <v>8794</v>
      </c>
      <c r="N15" s="1">
        <f>N321</f>
        <v>6084</v>
      </c>
      <c r="O15" s="1">
        <f>O321</f>
        <v>4262</v>
      </c>
      <c r="P15" s="1">
        <f>P321</f>
        <v>1870</v>
      </c>
      <c r="Q15" s="19">
        <f t="shared" si="2"/>
        <v>12216</v>
      </c>
      <c r="R15" s="18">
        <f t="shared" si="3"/>
        <v>27836</v>
      </c>
    </row>
    <row r="16" spans="1:36" ht="15.75" customHeight="1" x14ac:dyDescent="0.3">
      <c r="A16" s="22" t="s">
        <v>30</v>
      </c>
      <c r="B16" s="1">
        <f>+B322</f>
        <v>0</v>
      </c>
      <c r="C16" s="1">
        <f>+C322</f>
        <v>0</v>
      </c>
      <c r="D16" s="1">
        <f>+D322</f>
        <v>454</v>
      </c>
      <c r="E16" s="18">
        <f t="shared" si="4"/>
        <v>454</v>
      </c>
      <c r="F16" s="1">
        <f>+F322</f>
        <v>2393</v>
      </c>
      <c r="G16" s="1">
        <f>+G322</f>
        <v>12158</v>
      </c>
      <c r="H16" s="1">
        <f>+H322</f>
        <v>-5139</v>
      </c>
      <c r="I16" s="18">
        <f t="shared" si="0"/>
        <v>9412</v>
      </c>
      <c r="J16" s="1">
        <f>+J322</f>
        <v>-5004</v>
      </c>
      <c r="K16" s="1">
        <f>+K322</f>
        <v>-1676</v>
      </c>
      <c r="L16" s="1">
        <f>+L322</f>
        <v>0</v>
      </c>
      <c r="M16" s="18">
        <f t="shared" si="1"/>
        <v>-6680</v>
      </c>
      <c r="N16" s="1">
        <f>+N322</f>
        <v>0</v>
      </c>
      <c r="O16" s="1">
        <f>+O322</f>
        <v>0</v>
      </c>
      <c r="P16" s="1">
        <f>+P322</f>
        <v>0</v>
      </c>
      <c r="Q16" s="19">
        <f t="shared" si="2"/>
        <v>0</v>
      </c>
      <c r="R16" s="18">
        <f t="shared" si="3"/>
        <v>3186</v>
      </c>
    </row>
    <row r="17" spans="1:20" ht="15.75" customHeight="1" x14ac:dyDescent="0.3">
      <c r="A17" s="23" t="s">
        <v>31</v>
      </c>
      <c r="B17" s="1">
        <f>B325</f>
        <v>20718</v>
      </c>
      <c r="C17" s="1">
        <f>C325</f>
        <v>2716</v>
      </c>
      <c r="D17" s="1">
        <f>D325</f>
        <v>23196</v>
      </c>
      <c r="E17" s="18">
        <f t="shared" si="4"/>
        <v>46630</v>
      </c>
      <c r="F17" s="1">
        <f>F325</f>
        <v>3618</v>
      </c>
      <c r="G17" s="1">
        <f>G325</f>
        <v>0</v>
      </c>
      <c r="H17" s="1">
        <f>H325</f>
        <v>0</v>
      </c>
      <c r="I17" s="18">
        <f t="shared" si="0"/>
        <v>3618</v>
      </c>
      <c r="J17" s="1">
        <f>J325</f>
        <v>0</v>
      </c>
      <c r="K17" s="1">
        <f>K325</f>
        <v>5</v>
      </c>
      <c r="L17" s="1">
        <f>L325</f>
        <v>33393</v>
      </c>
      <c r="M17" s="18">
        <f t="shared" si="1"/>
        <v>33398</v>
      </c>
      <c r="N17" s="1">
        <f>N325</f>
        <v>61538</v>
      </c>
      <c r="O17" s="1">
        <f>O325</f>
        <v>65150</v>
      </c>
      <c r="P17" s="1">
        <f>P325</f>
        <v>77761</v>
      </c>
      <c r="Q17" s="19">
        <f t="shared" si="2"/>
        <v>204449</v>
      </c>
      <c r="R17" s="18">
        <f t="shared" si="3"/>
        <v>288095</v>
      </c>
    </row>
    <row r="18" spans="1:20" ht="15.75" customHeight="1" x14ac:dyDescent="0.3">
      <c r="A18" s="23" t="s">
        <v>32</v>
      </c>
      <c r="B18" s="1">
        <f>B337</f>
        <v>0</v>
      </c>
      <c r="C18" s="1">
        <f>C337</f>
        <v>0</v>
      </c>
      <c r="D18" s="1">
        <f>D337</f>
        <v>-19258</v>
      </c>
      <c r="E18" s="18">
        <f t="shared" si="4"/>
        <v>-19258</v>
      </c>
      <c r="F18" s="1">
        <f>F337</f>
        <v>0</v>
      </c>
      <c r="G18" s="1">
        <f>G337</f>
        <v>-12620</v>
      </c>
      <c r="H18" s="1">
        <f>H337</f>
        <v>-87156</v>
      </c>
      <c r="I18" s="18">
        <f t="shared" si="0"/>
        <v>-99776</v>
      </c>
      <c r="J18" s="1">
        <f>J337</f>
        <v>-112890</v>
      </c>
      <c r="K18" s="1">
        <f>K337</f>
        <v>-121200</v>
      </c>
      <c r="L18" s="1">
        <f>L337</f>
        <v>-3227</v>
      </c>
      <c r="M18" s="18">
        <f t="shared" si="1"/>
        <v>-237317</v>
      </c>
      <c r="N18" s="1">
        <f>N337</f>
        <v>-23</v>
      </c>
      <c r="O18" s="1">
        <f>O337</f>
        <v>-5290</v>
      </c>
      <c r="P18" s="1">
        <f>P337</f>
        <v>0</v>
      </c>
      <c r="Q18" s="19">
        <f t="shared" si="2"/>
        <v>-5313</v>
      </c>
      <c r="R18" s="18">
        <f t="shared" si="3"/>
        <v>-361664</v>
      </c>
    </row>
    <row r="19" spans="1:20" ht="16.5" customHeight="1" thickBot="1" x14ac:dyDescent="0.35">
      <c r="A19" s="24" t="s">
        <v>33</v>
      </c>
      <c r="B19" s="25">
        <f>(B29)</f>
        <v>74264</v>
      </c>
      <c r="C19" s="25">
        <f>(C29)</f>
        <v>74280</v>
      </c>
      <c r="D19" s="25">
        <f>(D29)</f>
        <v>95230</v>
      </c>
      <c r="E19" s="26">
        <f t="shared" si="4"/>
        <v>243774</v>
      </c>
      <c r="F19" s="25">
        <f>(F29)</f>
        <v>151299</v>
      </c>
      <c r="G19" s="25">
        <f>(G29)</f>
        <v>179138</v>
      </c>
      <c r="H19" s="25">
        <f>(H29)</f>
        <v>106836</v>
      </c>
      <c r="I19" s="26">
        <f t="shared" si="0"/>
        <v>437273</v>
      </c>
      <c r="J19" s="25">
        <f>(J29)</f>
        <v>74704</v>
      </c>
      <c r="K19" s="25">
        <f>(K29)</f>
        <v>63124</v>
      </c>
      <c r="L19" s="25">
        <f>(L29)</f>
        <v>164966</v>
      </c>
      <c r="M19" s="26">
        <f t="shared" si="1"/>
        <v>302794</v>
      </c>
      <c r="N19" s="25">
        <f>(N29)</f>
        <v>162845</v>
      </c>
      <c r="O19" s="25">
        <f>(O29)</f>
        <v>122812</v>
      </c>
      <c r="P19" s="25">
        <f>(P29)</f>
        <v>141113</v>
      </c>
      <c r="Q19" s="27">
        <f t="shared" si="2"/>
        <v>426770</v>
      </c>
      <c r="R19" s="26">
        <f t="shared" si="3"/>
        <v>1410611</v>
      </c>
    </row>
    <row r="20" spans="1:20" ht="16.5" customHeight="1" thickBot="1" x14ac:dyDescent="0.35">
      <c r="A20" s="24" t="s">
        <v>34</v>
      </c>
      <c r="B20" s="25">
        <v>75318</v>
      </c>
      <c r="C20" s="25">
        <v>74716</v>
      </c>
      <c r="D20" s="25">
        <v>94056</v>
      </c>
      <c r="E20" s="26">
        <f>SUM(B20:D20)</f>
        <v>244090</v>
      </c>
      <c r="F20" s="25">
        <v>148297</v>
      </c>
      <c r="G20" s="25">
        <v>179746</v>
      </c>
      <c r="H20" s="25">
        <v>103316</v>
      </c>
      <c r="I20" s="26">
        <f>SUM(F20:H20)</f>
        <v>431359</v>
      </c>
      <c r="J20" s="25">
        <v>69322</v>
      </c>
      <c r="K20" s="25">
        <v>61464</v>
      </c>
      <c r="L20" s="25">
        <v>164300</v>
      </c>
      <c r="M20" s="26">
        <f t="shared" si="1"/>
        <v>295086</v>
      </c>
      <c r="N20" s="25">
        <v>163523</v>
      </c>
      <c r="O20" s="25">
        <v>123148</v>
      </c>
      <c r="P20" s="25">
        <v>145331</v>
      </c>
      <c r="Q20" s="27">
        <f>SUM(N20:P20)</f>
        <v>432002</v>
      </c>
      <c r="R20" s="26">
        <f t="shared" si="3"/>
        <v>1402537</v>
      </c>
    </row>
    <row r="21" spans="1:20" ht="15.75" customHeight="1" x14ac:dyDescent="0.3">
      <c r="A21" s="1"/>
      <c r="B21" s="1"/>
      <c r="C21" s="1"/>
      <c r="D21" s="1"/>
      <c r="E21" s="1"/>
      <c r="F21" s="1"/>
      <c r="G21" s="1"/>
      <c r="H21" s="1"/>
      <c r="I21" s="1"/>
      <c r="J21" s="1"/>
      <c r="K21" s="1"/>
      <c r="L21" s="1"/>
      <c r="M21" s="1"/>
      <c r="N21" s="1"/>
      <c r="O21" s="1"/>
      <c r="P21" s="1"/>
      <c r="Q21" s="1"/>
      <c r="R21" s="28"/>
    </row>
    <row r="22" spans="1:20" ht="15.75" customHeight="1" thickBot="1" x14ac:dyDescent="0.35">
      <c r="A22" s="1"/>
      <c r="B22" s="1"/>
      <c r="C22" s="1"/>
      <c r="D22" s="1"/>
      <c r="E22" s="1"/>
      <c r="F22" s="29" t="s">
        <v>7</v>
      </c>
      <c r="G22" s="29" t="s">
        <v>7</v>
      </c>
      <c r="H22" s="1"/>
      <c r="I22" s="1"/>
      <c r="J22" s="1"/>
      <c r="K22" s="1"/>
      <c r="L22" s="1"/>
      <c r="M22" s="1"/>
      <c r="N22" s="29" t="s">
        <v>7</v>
      </c>
      <c r="O22" s="29" t="s">
        <v>7</v>
      </c>
      <c r="P22" s="29" t="s">
        <v>7</v>
      </c>
      <c r="Q22" s="29"/>
      <c r="R22" s="30" t="s">
        <v>7</v>
      </c>
    </row>
    <row r="23" spans="1:20" ht="16.5" customHeight="1" thickBot="1" x14ac:dyDescent="0.35">
      <c r="A23" s="31" t="s">
        <v>35</v>
      </c>
      <c r="B23" s="323" t="s">
        <v>36</v>
      </c>
      <c r="C23" s="324" t="s">
        <v>9</v>
      </c>
      <c r="D23" s="324" t="s">
        <v>10</v>
      </c>
      <c r="E23" s="325" t="s">
        <v>11</v>
      </c>
      <c r="F23" s="324" t="s">
        <v>12</v>
      </c>
      <c r="G23" s="324" t="s">
        <v>13</v>
      </c>
      <c r="H23" s="324" t="s">
        <v>14</v>
      </c>
      <c r="I23" s="34" t="s">
        <v>15</v>
      </c>
      <c r="J23" s="324" t="s">
        <v>16</v>
      </c>
      <c r="K23" s="324" t="s">
        <v>17</v>
      </c>
      <c r="L23" s="324" t="s">
        <v>18</v>
      </c>
      <c r="M23" s="34" t="s">
        <v>19</v>
      </c>
      <c r="N23" s="324" t="s">
        <v>20</v>
      </c>
      <c r="O23" s="324" t="s">
        <v>21</v>
      </c>
      <c r="P23" s="324" t="s">
        <v>22</v>
      </c>
      <c r="Q23" s="34" t="s">
        <v>23</v>
      </c>
      <c r="R23" s="326" t="s">
        <v>24</v>
      </c>
    </row>
    <row r="24" spans="1:20" ht="16.5" customHeight="1" thickBot="1" x14ac:dyDescent="0.35">
      <c r="A24" s="36"/>
      <c r="B24" s="37"/>
      <c r="C24" s="37"/>
      <c r="D24" s="37"/>
      <c r="E24" s="38"/>
      <c r="F24" s="37"/>
      <c r="G24" s="37"/>
      <c r="H24" s="37"/>
      <c r="I24" s="38"/>
      <c r="J24" s="37"/>
      <c r="K24" s="37"/>
      <c r="L24" s="37"/>
      <c r="M24" s="38"/>
      <c r="N24" s="37"/>
      <c r="O24" s="37"/>
      <c r="P24" s="37"/>
      <c r="Q24" s="38"/>
      <c r="R24" s="39"/>
    </row>
    <row r="25" spans="1:20" ht="16.5" customHeight="1" thickBot="1" x14ac:dyDescent="0.35">
      <c r="A25" s="40" t="s">
        <v>37</v>
      </c>
      <c r="B25" s="25">
        <v>97</v>
      </c>
      <c r="C25" s="25">
        <v>148</v>
      </c>
      <c r="D25" s="25">
        <v>274</v>
      </c>
      <c r="E25" s="327">
        <f>SUM(B25:D25)</f>
        <v>519</v>
      </c>
      <c r="F25" s="25">
        <v>367</v>
      </c>
      <c r="G25" s="25">
        <v>425</v>
      </c>
      <c r="H25" s="25">
        <v>417</v>
      </c>
      <c r="I25" s="327">
        <f>SUM(F25:H25)</f>
        <v>1209</v>
      </c>
      <c r="J25" s="25">
        <v>416</v>
      </c>
      <c r="K25" s="25">
        <v>334</v>
      </c>
      <c r="L25" s="25">
        <v>316</v>
      </c>
      <c r="M25" s="327">
        <f>SUM(J25:L25)</f>
        <v>1066</v>
      </c>
      <c r="N25" s="25">
        <v>285</v>
      </c>
      <c r="O25" s="25">
        <v>235</v>
      </c>
      <c r="P25" s="25">
        <v>186</v>
      </c>
      <c r="Q25" s="327">
        <f>SUM(N25:P25)</f>
        <v>706</v>
      </c>
      <c r="R25" s="26">
        <f>+E25+I25+M25+Q25</f>
        <v>3500</v>
      </c>
    </row>
    <row r="26" spans="1:20" ht="17.25" customHeight="1" thickBot="1" x14ac:dyDescent="0.35">
      <c r="A26" s="42"/>
      <c r="B26" s="37"/>
      <c r="C26" s="37"/>
      <c r="D26" s="37"/>
      <c r="E26" s="43"/>
      <c r="F26" s="37"/>
      <c r="G26" s="37"/>
      <c r="H26" s="37"/>
      <c r="I26" s="43"/>
      <c r="J26" s="37"/>
      <c r="K26" s="37"/>
      <c r="L26" s="37"/>
      <c r="M26" s="43"/>
      <c r="N26" s="37"/>
      <c r="O26" s="37"/>
      <c r="P26" s="37"/>
      <c r="Q26" s="43"/>
      <c r="R26" s="44"/>
    </row>
    <row r="27" spans="1:20" ht="15.75" customHeight="1" x14ac:dyDescent="0.3">
      <c r="A27" s="17" t="s">
        <v>38</v>
      </c>
      <c r="B27" s="1">
        <f>B25</f>
        <v>97</v>
      </c>
      <c r="C27" s="1">
        <f>C25</f>
        <v>148</v>
      </c>
      <c r="D27" s="1">
        <f>D25</f>
        <v>274</v>
      </c>
      <c r="E27" s="327">
        <f>SUM(B27:D27)</f>
        <v>519</v>
      </c>
      <c r="F27" s="1">
        <f>F25</f>
        <v>367</v>
      </c>
      <c r="G27" s="1">
        <f>G25</f>
        <v>425</v>
      </c>
      <c r="H27" s="1">
        <f>H25</f>
        <v>417</v>
      </c>
      <c r="I27" s="327">
        <f>SUM(F27:H27)</f>
        <v>1209</v>
      </c>
      <c r="J27" s="1">
        <f>J25</f>
        <v>416</v>
      </c>
      <c r="K27" s="1">
        <f>K25</f>
        <v>334</v>
      </c>
      <c r="L27" s="1">
        <f>L25</f>
        <v>316</v>
      </c>
      <c r="M27" s="327">
        <f>SUM(J27:L27)</f>
        <v>1066</v>
      </c>
      <c r="N27" s="1">
        <f>N25</f>
        <v>285</v>
      </c>
      <c r="O27" s="1">
        <f>O25</f>
        <v>235</v>
      </c>
      <c r="P27" s="1">
        <f>P25</f>
        <v>186</v>
      </c>
      <c r="Q27" s="328">
        <f>SUM(N27:P27)</f>
        <v>706</v>
      </c>
      <c r="R27" s="327">
        <f>+E27+I27+M27+Q27</f>
        <v>3500</v>
      </c>
    </row>
    <row r="28" spans="1:20" ht="15.75" customHeight="1" x14ac:dyDescent="0.3">
      <c r="A28" s="17" t="s">
        <v>39</v>
      </c>
      <c r="B28" s="1">
        <f>(B27/B10)/1.983</f>
        <v>1.5779285214647079</v>
      </c>
      <c r="C28" s="1">
        <f>(C27/C10)/1.983</f>
        <v>2.5735997356843514</v>
      </c>
      <c r="D28" s="1">
        <f>(D27/D10)/1.983</f>
        <v>4.457241390529175</v>
      </c>
      <c r="E28" s="18"/>
      <c r="F28" s="1">
        <f>(F27/F10)/1.983</f>
        <v>6.1691040511010247</v>
      </c>
      <c r="G28" s="1">
        <f>(G27/G10)/1.983</f>
        <v>6.9136043466237203</v>
      </c>
      <c r="H28" s="1">
        <f>(H27/H10)/1.983</f>
        <v>7.0095814422592033</v>
      </c>
      <c r="I28" s="18"/>
      <c r="J28" s="1">
        <f>(J27/J10)/1.983</f>
        <v>6.7671986075187478</v>
      </c>
      <c r="K28" s="1">
        <f>(K27/K10)/1.983</f>
        <v>5.433279651228994</v>
      </c>
      <c r="L28" s="1">
        <f>(L27/L10)/1.983</f>
        <v>5.3118171121196838</v>
      </c>
      <c r="M28" s="18"/>
      <c r="N28" s="1">
        <f>(N27/N10)/1.983</f>
        <v>4.6361817383241419</v>
      </c>
      <c r="O28" s="1">
        <f>(O27/O10)/1.983</f>
        <v>3.9502437384434357</v>
      </c>
      <c r="P28" s="1">
        <f>(P27/P10)/1.983</f>
        <v>3.02571860816944</v>
      </c>
      <c r="Q28" s="19"/>
      <c r="R28" s="18"/>
    </row>
    <row r="29" spans="1:20" ht="15.75" customHeight="1" x14ac:dyDescent="0.3">
      <c r="A29" s="17" t="s">
        <v>40</v>
      </c>
      <c r="B29" s="1">
        <f>B27+B64</f>
        <v>74264</v>
      </c>
      <c r="C29" s="1">
        <f>C27+C64</f>
        <v>74280</v>
      </c>
      <c r="D29" s="1">
        <f>D27+D64</f>
        <v>95230</v>
      </c>
      <c r="E29" s="18">
        <f>SUM(B29:D29)</f>
        <v>243774</v>
      </c>
      <c r="F29" s="1">
        <f>F27+F64</f>
        <v>151299</v>
      </c>
      <c r="G29" s="1">
        <f>G27+G64</f>
        <v>179138</v>
      </c>
      <c r="H29" s="1">
        <f>H27+H64</f>
        <v>106836</v>
      </c>
      <c r="I29" s="18">
        <f>SUM(F29:H29)</f>
        <v>437273</v>
      </c>
      <c r="J29" s="1">
        <f>J27+J64</f>
        <v>74704</v>
      </c>
      <c r="K29" s="1">
        <f>K27+K64</f>
        <v>63124</v>
      </c>
      <c r="L29" s="1">
        <f>L27+L64</f>
        <v>164966</v>
      </c>
      <c r="M29" s="18">
        <f>SUM(J29:L29)</f>
        <v>302794</v>
      </c>
      <c r="N29" s="1">
        <f>N27+N64</f>
        <v>162845</v>
      </c>
      <c r="O29" s="1">
        <f>O27+O64</f>
        <v>122812</v>
      </c>
      <c r="P29" s="1">
        <f>P27+P64</f>
        <v>141113</v>
      </c>
      <c r="Q29" s="19">
        <f>SUM(N29:P29)</f>
        <v>426770</v>
      </c>
      <c r="R29" s="18">
        <f>+E29+I29+M29+Q29</f>
        <v>1410611</v>
      </c>
    </row>
    <row r="30" spans="1:20" s="50" customFormat="1" ht="16.5" customHeight="1" thickBot="1" x14ac:dyDescent="0.35">
      <c r="A30" s="46" t="s">
        <v>41</v>
      </c>
      <c r="B30" s="47">
        <f>(B29/B10)/1.983</f>
        <v>1208.0750898768565</v>
      </c>
      <c r="C30" s="47">
        <f>(C29/C10)/1.983</f>
        <v>1291.668840315092</v>
      </c>
      <c r="D30" s="47">
        <f>(D29/D10)/1.983</f>
        <v>1549.1353927740633</v>
      </c>
      <c r="E30" s="48"/>
      <c r="F30" s="47">
        <f>(F29/F10)/1.983</f>
        <v>2543.2677760968231</v>
      </c>
      <c r="G30" s="47">
        <f>(G29/G10)/1.983</f>
        <v>2914.0923657540711</v>
      </c>
      <c r="H30" s="47">
        <f>(H29/H10)/1.983</f>
        <v>1795.8648512355016</v>
      </c>
      <c r="I30" s="48"/>
      <c r="J30" s="47">
        <f>(J29/J10)/1.983</f>
        <v>1215.2327037886553</v>
      </c>
      <c r="K30" s="47">
        <f>(K29/K10)/1.983</f>
        <v>1026.85731947359</v>
      </c>
      <c r="L30" s="47">
        <f>(L29/L10)/1.983</f>
        <v>2773.0038661959993</v>
      </c>
      <c r="M30" s="48"/>
      <c r="N30" s="47">
        <f>(N29/N10)/1.983</f>
        <v>2649.0491760610348</v>
      </c>
      <c r="O30" s="47">
        <f>(O29/O10)/1.983</f>
        <v>2064.4141872583627</v>
      </c>
      <c r="P30" s="47">
        <f>(P29/P10)/1.983</f>
        <v>2295.5281180355601</v>
      </c>
      <c r="Q30" s="49"/>
      <c r="R30" s="48"/>
      <c r="T30" s="51" t="s">
        <v>42</v>
      </c>
    </row>
    <row r="31" spans="1:20" ht="15.75" customHeight="1" x14ac:dyDescent="0.3">
      <c r="A31" s="28"/>
      <c r="B31" s="1"/>
      <c r="C31" s="1"/>
      <c r="D31" s="1"/>
      <c r="E31" s="1"/>
      <c r="F31" s="1"/>
      <c r="G31" s="1"/>
      <c r="H31" s="1"/>
      <c r="I31" s="1"/>
      <c r="J31" s="1"/>
      <c r="K31" s="1"/>
      <c r="L31" s="1"/>
      <c r="M31" s="1"/>
      <c r="N31" s="1"/>
      <c r="O31" s="1"/>
      <c r="P31" s="1"/>
      <c r="Q31" s="1"/>
      <c r="R31" s="28"/>
      <c r="T31" s="52" t="s">
        <v>43</v>
      </c>
    </row>
    <row r="32" spans="1:20" ht="15.75" customHeight="1" thickBot="1" x14ac:dyDescent="0.35">
      <c r="A32" s="28"/>
      <c r="B32" s="1"/>
      <c r="C32" s="1"/>
      <c r="D32" s="1"/>
      <c r="E32" s="1"/>
      <c r="F32" s="1"/>
      <c r="G32" s="1"/>
      <c r="H32" s="1"/>
      <c r="I32" s="1"/>
      <c r="J32" s="1"/>
      <c r="K32" s="1"/>
      <c r="L32" s="1"/>
      <c r="M32" s="1"/>
      <c r="N32" s="1"/>
      <c r="O32" s="1"/>
      <c r="P32" s="1"/>
      <c r="Q32" s="1"/>
      <c r="R32" s="28"/>
    </row>
    <row r="33" spans="1:18" ht="15.75" customHeight="1" thickBot="1" x14ac:dyDescent="0.35">
      <c r="A33" s="329" t="s">
        <v>44</v>
      </c>
      <c r="B33" s="330" t="s">
        <v>36</v>
      </c>
      <c r="C33" s="331" t="s">
        <v>9</v>
      </c>
      <c r="D33" s="331" t="s">
        <v>10</v>
      </c>
      <c r="E33" s="325" t="s">
        <v>11</v>
      </c>
      <c r="F33" s="331" t="s">
        <v>12</v>
      </c>
      <c r="G33" s="331" t="s">
        <v>13</v>
      </c>
      <c r="H33" s="331" t="s">
        <v>14</v>
      </c>
      <c r="I33" s="325" t="s">
        <v>15</v>
      </c>
      <c r="J33" s="331" t="s">
        <v>16</v>
      </c>
      <c r="K33" s="331" t="s">
        <v>17</v>
      </c>
      <c r="L33" s="331" t="s">
        <v>18</v>
      </c>
      <c r="M33" s="325" t="s">
        <v>19</v>
      </c>
      <c r="N33" s="331" t="s">
        <v>20</v>
      </c>
      <c r="O33" s="331" t="s">
        <v>21</v>
      </c>
      <c r="P33" s="331" t="s">
        <v>22</v>
      </c>
      <c r="Q33" s="325" t="s">
        <v>23</v>
      </c>
      <c r="R33" s="332" t="s">
        <v>24</v>
      </c>
    </row>
    <row r="34" spans="1:18" ht="16.5" customHeight="1" thickBot="1" x14ac:dyDescent="0.35">
      <c r="A34" s="43"/>
      <c r="B34" s="55"/>
      <c r="C34" s="56"/>
      <c r="D34" s="56"/>
      <c r="E34" s="16"/>
      <c r="F34" s="56"/>
      <c r="G34" s="56"/>
      <c r="H34" s="56"/>
      <c r="I34" s="16"/>
      <c r="J34" s="56"/>
      <c r="K34" s="56"/>
      <c r="L34" s="56"/>
      <c r="M34" s="16"/>
      <c r="N34" s="56"/>
      <c r="O34" s="56"/>
      <c r="P34" s="56"/>
      <c r="Q34" s="16"/>
      <c r="R34" s="57"/>
    </row>
    <row r="35" spans="1:18" ht="15.75" customHeight="1" x14ac:dyDescent="0.3">
      <c r="A35" s="333" t="s">
        <v>45</v>
      </c>
      <c r="B35" s="30"/>
      <c r="C35" s="30"/>
      <c r="D35" s="30"/>
      <c r="E35" s="59" t="s">
        <v>7</v>
      </c>
      <c r="F35" s="30"/>
      <c r="G35" s="30"/>
      <c r="H35" s="30"/>
      <c r="I35" s="59" t="s">
        <v>7</v>
      </c>
      <c r="J35" s="30"/>
      <c r="K35" s="30"/>
      <c r="L35" s="30"/>
      <c r="M35" s="59" t="s">
        <v>7</v>
      </c>
      <c r="N35" s="30"/>
      <c r="O35" s="30"/>
      <c r="P35" s="30"/>
      <c r="Q35" s="59" t="s">
        <v>7</v>
      </c>
      <c r="R35" s="59" t="s">
        <v>7</v>
      </c>
    </row>
    <row r="36" spans="1:18" ht="15.75" customHeight="1" x14ac:dyDescent="0.3">
      <c r="A36" s="22" t="s">
        <v>46</v>
      </c>
      <c r="B36" s="30" t="s">
        <v>7</v>
      </c>
      <c r="C36" s="60"/>
      <c r="D36" s="60"/>
      <c r="E36" s="59" t="s">
        <v>7</v>
      </c>
      <c r="F36" s="60"/>
      <c r="G36" s="60"/>
      <c r="H36" s="60"/>
      <c r="I36" s="59" t="s">
        <v>7</v>
      </c>
      <c r="J36" s="60"/>
      <c r="K36" s="60"/>
      <c r="L36" s="60"/>
      <c r="M36" s="59" t="s">
        <v>7</v>
      </c>
      <c r="N36" s="60"/>
      <c r="O36" s="60"/>
      <c r="P36" s="60"/>
      <c r="Q36" s="59" t="s">
        <v>7</v>
      </c>
      <c r="R36" s="59" t="s">
        <v>7</v>
      </c>
    </row>
    <row r="37" spans="1:18" ht="15.75" customHeight="1" x14ac:dyDescent="0.3">
      <c r="A37" s="22" t="s">
        <v>47</v>
      </c>
      <c r="B37" s="30"/>
      <c r="C37" s="30"/>
      <c r="D37" s="30"/>
      <c r="E37" s="59" t="s">
        <v>7</v>
      </c>
      <c r="F37" s="30"/>
      <c r="G37" s="30"/>
      <c r="H37" s="30"/>
      <c r="I37" s="59" t="s">
        <v>7</v>
      </c>
      <c r="J37" s="30"/>
      <c r="K37" s="30"/>
      <c r="L37" s="30"/>
      <c r="M37" s="59" t="s">
        <v>7</v>
      </c>
      <c r="N37" s="30"/>
      <c r="O37" s="30"/>
      <c r="P37" s="30"/>
      <c r="Q37" s="59" t="s">
        <v>7</v>
      </c>
      <c r="R37" s="59" t="s">
        <v>7</v>
      </c>
    </row>
    <row r="38" spans="1:18" ht="15.75" customHeight="1" x14ac:dyDescent="0.3">
      <c r="A38" s="61" t="s">
        <v>48</v>
      </c>
      <c r="B38" s="1"/>
      <c r="C38" s="1"/>
      <c r="D38" s="1"/>
      <c r="E38" s="59">
        <f>SUM(B38:D38)</f>
        <v>0</v>
      </c>
      <c r="F38" s="1"/>
      <c r="G38" s="1"/>
      <c r="H38" s="1"/>
      <c r="I38" s="59">
        <f>SUM(F38:H38)</f>
        <v>0</v>
      </c>
      <c r="J38" s="1"/>
      <c r="K38" s="1"/>
      <c r="L38" s="1"/>
      <c r="M38" s="59">
        <f>SUM(J38:L38)</f>
        <v>0</v>
      </c>
      <c r="N38" s="1"/>
      <c r="O38" s="1"/>
      <c r="P38" s="1"/>
      <c r="Q38" s="59">
        <f>SUM(N38:P38)</f>
        <v>0</v>
      </c>
      <c r="R38" s="59">
        <f>+E38+I38+M38+Q38</f>
        <v>0</v>
      </c>
    </row>
    <row r="39" spans="1:18" ht="15.75" customHeight="1" x14ac:dyDescent="0.3">
      <c r="A39" s="22" t="s">
        <v>49</v>
      </c>
      <c r="B39" s="30"/>
      <c r="C39" s="30"/>
      <c r="D39" s="30"/>
      <c r="E39" s="59" t="s">
        <v>50</v>
      </c>
      <c r="F39" s="30"/>
      <c r="G39" s="30"/>
      <c r="H39" s="30"/>
      <c r="I39" s="59" t="s">
        <v>50</v>
      </c>
      <c r="J39" s="30"/>
      <c r="K39" s="30"/>
      <c r="L39" s="30"/>
      <c r="M39" s="59" t="s">
        <v>50</v>
      </c>
      <c r="N39" s="30"/>
      <c r="O39" s="30"/>
      <c r="P39" s="30"/>
      <c r="Q39" s="59" t="s">
        <v>50</v>
      </c>
      <c r="R39" s="59" t="s">
        <v>50</v>
      </c>
    </row>
    <row r="40" spans="1:18" ht="15.75" customHeight="1" thickBot="1" x14ac:dyDescent="0.35">
      <c r="A40" s="22" t="s">
        <v>51</v>
      </c>
      <c r="B40" s="60"/>
      <c r="C40" s="60"/>
      <c r="D40" s="60"/>
      <c r="E40" s="59" t="s">
        <v>7</v>
      </c>
      <c r="F40" s="60"/>
      <c r="G40" s="60"/>
      <c r="H40" s="60"/>
      <c r="I40" s="59" t="s">
        <v>7</v>
      </c>
      <c r="J40" s="60"/>
      <c r="K40" s="60"/>
      <c r="L40" s="60"/>
      <c r="M40" s="59" t="s">
        <v>7</v>
      </c>
      <c r="N40" s="60"/>
      <c r="O40" s="60"/>
      <c r="P40" s="60"/>
      <c r="Q40" s="59" t="s">
        <v>7</v>
      </c>
      <c r="R40" s="59" t="s">
        <v>7</v>
      </c>
    </row>
    <row r="41" spans="1:18" ht="16.5" customHeight="1" thickBot="1" x14ac:dyDescent="0.35">
      <c r="A41" s="62" t="s">
        <v>52</v>
      </c>
      <c r="B41" s="63">
        <f>SUM(B35:B40)</f>
        <v>0</v>
      </c>
      <c r="C41" s="63">
        <f>SUM(C35:C40)</f>
        <v>0</v>
      </c>
      <c r="D41" s="63">
        <f>SUM(D35:D40)</f>
        <v>0</v>
      </c>
      <c r="E41" s="64">
        <f>SUM(B41:D41)</f>
        <v>0</v>
      </c>
      <c r="F41" s="63">
        <f>SUM(F35:F40)</f>
        <v>0</v>
      </c>
      <c r="G41" s="63">
        <f>SUM(G35:G40)</f>
        <v>0</v>
      </c>
      <c r="H41" s="63">
        <f>SUM(H35:H40)</f>
        <v>0</v>
      </c>
      <c r="I41" s="64">
        <f>SUM(F41:H41)</f>
        <v>0</v>
      </c>
      <c r="J41" s="63">
        <f>SUM(J35:J40)</f>
        <v>0</v>
      </c>
      <c r="K41" s="63">
        <f>SUM(K35:K40)</f>
        <v>0</v>
      </c>
      <c r="L41" s="63">
        <f>SUM(L35:L40)</f>
        <v>0</v>
      </c>
      <c r="M41" s="64">
        <f>SUM(J41:L41)</f>
        <v>0</v>
      </c>
      <c r="N41" s="63">
        <f>SUM(N35:N40)</f>
        <v>0</v>
      </c>
      <c r="O41" s="63">
        <f>SUM(O35:O40)</f>
        <v>0</v>
      </c>
      <c r="P41" s="63">
        <f>SUM(P35:P40)</f>
        <v>0</v>
      </c>
      <c r="Q41" s="64">
        <f>SUM(N41:P41)</f>
        <v>0</v>
      </c>
      <c r="R41" s="64">
        <f>+E41+I41+M41+Q41</f>
        <v>0</v>
      </c>
    </row>
    <row r="42" spans="1:18" ht="15.75" customHeight="1" x14ac:dyDescent="0.3">
      <c r="A42" s="22" t="s">
        <v>53</v>
      </c>
      <c r="B42" s="60"/>
      <c r="C42" s="60"/>
      <c r="D42" s="60"/>
      <c r="E42" s="59" t="s">
        <v>7</v>
      </c>
      <c r="F42" s="60"/>
      <c r="G42" s="60"/>
      <c r="H42" s="60"/>
      <c r="I42" s="59" t="s">
        <v>7</v>
      </c>
      <c r="J42" s="60"/>
      <c r="K42" s="60"/>
      <c r="L42" s="60"/>
      <c r="M42" s="59" t="s">
        <v>7</v>
      </c>
      <c r="N42" s="60"/>
      <c r="O42" s="60"/>
      <c r="P42" s="60"/>
      <c r="Q42" s="59" t="s">
        <v>7</v>
      </c>
      <c r="R42" s="334" t="s">
        <v>7</v>
      </c>
    </row>
    <row r="43" spans="1:18" ht="15.75" customHeight="1" x14ac:dyDescent="0.3">
      <c r="A43" s="22" t="s">
        <v>54</v>
      </c>
      <c r="B43" s="60"/>
      <c r="C43" s="60"/>
      <c r="D43" s="60"/>
      <c r="E43" s="59"/>
      <c r="F43" s="60"/>
      <c r="G43" s="60"/>
      <c r="H43" s="60"/>
      <c r="I43" s="59"/>
      <c r="J43" s="60"/>
      <c r="K43" s="60"/>
      <c r="L43" s="60"/>
      <c r="M43" s="59"/>
      <c r="N43" s="60"/>
      <c r="O43" s="60"/>
      <c r="P43" s="60"/>
      <c r="Q43" s="59"/>
      <c r="R43" s="59"/>
    </row>
    <row r="44" spans="1:18" ht="15.75" customHeight="1" x14ac:dyDescent="0.3">
      <c r="A44" s="22" t="s">
        <v>55</v>
      </c>
      <c r="B44" s="60"/>
      <c r="C44" s="60"/>
      <c r="D44" s="60"/>
      <c r="E44" s="59" t="s">
        <v>7</v>
      </c>
      <c r="F44" s="60"/>
      <c r="G44" s="60"/>
      <c r="H44" s="60"/>
      <c r="I44" s="59" t="s">
        <v>7</v>
      </c>
      <c r="J44" s="60"/>
      <c r="K44" s="60"/>
      <c r="L44" s="60"/>
      <c r="M44" s="59" t="s">
        <v>7</v>
      </c>
      <c r="N44" s="60"/>
      <c r="O44" s="60"/>
      <c r="P44" s="60"/>
      <c r="Q44" s="59" t="s">
        <v>7</v>
      </c>
      <c r="R44" s="59" t="s">
        <v>7</v>
      </c>
    </row>
    <row r="45" spans="1:18" ht="15.75" customHeight="1" thickBot="1" x14ac:dyDescent="0.35">
      <c r="A45" s="22" t="s">
        <v>56</v>
      </c>
      <c r="B45" s="60"/>
      <c r="C45" s="60"/>
      <c r="D45" s="60"/>
      <c r="E45" s="59" t="s">
        <v>7</v>
      </c>
      <c r="F45" s="60"/>
      <c r="G45" s="60"/>
      <c r="H45" s="60"/>
      <c r="I45" s="59" t="s">
        <v>7</v>
      </c>
      <c r="J45" s="60"/>
      <c r="K45" s="60"/>
      <c r="L45" s="60"/>
      <c r="M45" s="59" t="s">
        <v>7</v>
      </c>
      <c r="N45" s="60"/>
      <c r="O45" s="60"/>
      <c r="P45" s="60"/>
      <c r="Q45" s="59" t="s">
        <v>7</v>
      </c>
      <c r="R45" s="59" t="s">
        <v>7</v>
      </c>
    </row>
    <row r="46" spans="1:18" ht="16.5" customHeight="1" thickBot="1" x14ac:dyDescent="0.35">
      <c r="A46" s="62" t="s">
        <v>57</v>
      </c>
      <c r="B46" s="63">
        <f>SUM(B42:B45)</f>
        <v>0</v>
      </c>
      <c r="C46" s="63">
        <f>SUM(C42:C45)</f>
        <v>0</v>
      </c>
      <c r="D46" s="63">
        <f>SUM(D42:D45)</f>
        <v>0</v>
      </c>
      <c r="E46" s="64">
        <f>SUM(B46:D46)</f>
        <v>0</v>
      </c>
      <c r="F46" s="63">
        <f>SUM(F42:F45)</f>
        <v>0</v>
      </c>
      <c r="G46" s="63">
        <f>SUM(G42:G45)</f>
        <v>0</v>
      </c>
      <c r="H46" s="63">
        <f>SUM(H42:H45)</f>
        <v>0</v>
      </c>
      <c r="I46" s="64">
        <f>SUM(F46:H46)</f>
        <v>0</v>
      </c>
      <c r="J46" s="63">
        <f>SUM(J42:J45)</f>
        <v>0</v>
      </c>
      <c r="K46" s="63">
        <f>SUM(K42:K45)</f>
        <v>0</v>
      </c>
      <c r="L46" s="63">
        <f>SUM(L42:L45)</f>
        <v>0</v>
      </c>
      <c r="M46" s="64">
        <f>SUM(J46:L46)</f>
        <v>0</v>
      </c>
      <c r="N46" s="63">
        <f>SUM(N42:N45)</f>
        <v>0</v>
      </c>
      <c r="O46" s="63">
        <f>SUM(O42:O45)</f>
        <v>0</v>
      </c>
      <c r="P46" s="63">
        <f>SUM(P42:P45)</f>
        <v>0</v>
      </c>
      <c r="Q46" s="64">
        <f>SUM(N46:P46)</f>
        <v>0</v>
      </c>
      <c r="R46" s="64">
        <f>+E46+I46+M46+Q46</f>
        <v>0</v>
      </c>
    </row>
    <row r="47" spans="1:18" ht="15.75" customHeight="1" x14ac:dyDescent="0.3">
      <c r="A47" s="22" t="s">
        <v>58</v>
      </c>
      <c r="B47" s="60"/>
      <c r="C47" s="60"/>
      <c r="D47" s="60"/>
      <c r="E47" s="59" t="s">
        <v>7</v>
      </c>
      <c r="F47" s="60"/>
      <c r="G47" s="60"/>
      <c r="H47" s="60"/>
      <c r="I47" s="59" t="s">
        <v>7</v>
      </c>
      <c r="J47" s="60"/>
      <c r="K47" s="60"/>
      <c r="L47" s="60"/>
      <c r="M47" s="59" t="s">
        <v>7</v>
      </c>
      <c r="N47" s="60"/>
      <c r="O47" s="60"/>
      <c r="P47" s="60"/>
      <c r="Q47" s="59" t="s">
        <v>7</v>
      </c>
      <c r="R47" s="59" t="s">
        <v>7</v>
      </c>
    </row>
    <row r="48" spans="1:18" ht="15.75" customHeight="1" x14ac:dyDescent="0.3">
      <c r="A48" s="22" t="s">
        <v>59</v>
      </c>
      <c r="B48" s="60"/>
      <c r="C48" s="60"/>
      <c r="D48" s="60"/>
      <c r="E48" s="59" t="s">
        <v>7</v>
      </c>
      <c r="F48" s="60"/>
      <c r="G48" s="60"/>
      <c r="H48" s="60"/>
      <c r="I48" s="59" t="s">
        <v>7</v>
      </c>
      <c r="J48" s="60"/>
      <c r="K48" s="60"/>
      <c r="L48" s="60"/>
      <c r="M48" s="59" t="s">
        <v>7</v>
      </c>
      <c r="N48" s="60"/>
      <c r="O48" s="60"/>
      <c r="P48" s="60"/>
      <c r="Q48" s="59" t="s">
        <v>7</v>
      </c>
      <c r="R48" s="59" t="s">
        <v>7</v>
      </c>
    </row>
    <row r="49" spans="1:18" ht="15.75" customHeight="1" thickBot="1" x14ac:dyDescent="0.35">
      <c r="A49" s="22" t="s">
        <v>60</v>
      </c>
      <c r="B49" s="60"/>
      <c r="C49" s="60"/>
      <c r="D49" s="60"/>
      <c r="E49" s="59"/>
      <c r="F49" s="60"/>
      <c r="G49" s="60"/>
      <c r="H49" s="60"/>
      <c r="I49" s="59"/>
      <c r="J49" s="60"/>
      <c r="K49" s="60"/>
      <c r="L49" s="60"/>
      <c r="M49" s="59"/>
      <c r="N49" s="60"/>
      <c r="O49" s="60"/>
      <c r="P49" s="60"/>
      <c r="Q49" s="59"/>
      <c r="R49" s="59"/>
    </row>
    <row r="50" spans="1:18" ht="16.5" customHeight="1" thickBot="1" x14ac:dyDescent="0.35">
      <c r="A50" s="62" t="s">
        <v>61</v>
      </c>
      <c r="B50" s="63">
        <f>SUM(B47:B49)</f>
        <v>0</v>
      </c>
      <c r="C50" s="63">
        <f>SUM(C47:C49)</f>
        <v>0</v>
      </c>
      <c r="D50" s="63">
        <f>SUM(D47:D49)</f>
        <v>0</v>
      </c>
      <c r="E50" s="64">
        <f>SUM(B50:D50)</f>
        <v>0</v>
      </c>
      <c r="F50" s="63">
        <f>SUM(F47:F49)</f>
        <v>0</v>
      </c>
      <c r="G50" s="63">
        <f>SUM(G47:G49)</f>
        <v>0</v>
      </c>
      <c r="H50" s="63">
        <f>SUM(H47:H49)</f>
        <v>0</v>
      </c>
      <c r="I50" s="64">
        <f>SUM(F50:H50)</f>
        <v>0</v>
      </c>
      <c r="J50" s="63">
        <f>SUM(J47:J49)</f>
        <v>0</v>
      </c>
      <c r="K50" s="63">
        <f>SUM(K47:K49)</f>
        <v>0</v>
      </c>
      <c r="L50" s="63">
        <f>SUM(L47:L49)</f>
        <v>0</v>
      </c>
      <c r="M50" s="64">
        <f>SUM(J50:L50)</f>
        <v>0</v>
      </c>
      <c r="N50" s="63">
        <f>SUM(N47:N49)</f>
        <v>0</v>
      </c>
      <c r="O50" s="63">
        <f>SUM(O47:O49)</f>
        <v>0</v>
      </c>
      <c r="P50" s="63">
        <f>SUM(P47:P49)</f>
        <v>0</v>
      </c>
      <c r="Q50" s="64">
        <f>SUM(N50:P50)</f>
        <v>0</v>
      </c>
      <c r="R50" s="64">
        <f>+E50+I50+M50+Q50</f>
        <v>0</v>
      </c>
    </row>
    <row r="51" spans="1:18" ht="15.75" customHeight="1" x14ac:dyDescent="0.3">
      <c r="A51" s="22" t="s">
        <v>62</v>
      </c>
      <c r="B51" s="60"/>
      <c r="C51" s="60"/>
      <c r="D51" s="60"/>
      <c r="E51" s="59" t="s">
        <v>7</v>
      </c>
      <c r="F51" s="60"/>
      <c r="G51" s="60"/>
      <c r="H51" s="60"/>
      <c r="I51" s="59" t="s">
        <v>7</v>
      </c>
      <c r="J51" s="60"/>
      <c r="K51" s="60"/>
      <c r="L51" s="60"/>
      <c r="M51" s="59" t="s">
        <v>7</v>
      </c>
      <c r="N51" s="60"/>
      <c r="O51" s="60"/>
      <c r="P51" s="60"/>
      <c r="Q51" s="59" t="s">
        <v>7</v>
      </c>
      <c r="R51" s="59" t="s">
        <v>7</v>
      </c>
    </row>
    <row r="52" spans="1:18" ht="15.75" customHeight="1" x14ac:dyDescent="0.3">
      <c r="A52" s="22" t="s">
        <v>63</v>
      </c>
      <c r="B52" s="60"/>
      <c r="C52" s="60"/>
      <c r="D52" s="60"/>
      <c r="E52" s="59" t="s">
        <v>7</v>
      </c>
      <c r="F52" s="60"/>
      <c r="G52" s="60"/>
      <c r="H52" s="60"/>
      <c r="I52" s="59" t="s">
        <v>7</v>
      </c>
      <c r="J52" s="60"/>
      <c r="K52" s="60"/>
      <c r="L52" s="60"/>
      <c r="M52" s="59" t="s">
        <v>7</v>
      </c>
      <c r="N52" s="60"/>
      <c r="O52" s="60"/>
      <c r="P52" s="60"/>
      <c r="Q52" s="59" t="s">
        <v>7</v>
      </c>
      <c r="R52" s="59" t="s">
        <v>7</v>
      </c>
    </row>
    <row r="53" spans="1:18" ht="15.75" customHeight="1" x14ac:dyDescent="0.3">
      <c r="A53" s="22" t="s">
        <v>64</v>
      </c>
      <c r="B53" s="60"/>
      <c r="C53" s="60"/>
      <c r="D53" s="60"/>
      <c r="E53" s="59" t="s">
        <v>7</v>
      </c>
      <c r="F53" s="60"/>
      <c r="G53" s="60"/>
      <c r="H53" s="60"/>
      <c r="I53" s="59" t="s">
        <v>7</v>
      </c>
      <c r="J53" s="60"/>
      <c r="K53" s="60"/>
      <c r="L53" s="60"/>
      <c r="M53" s="59" t="s">
        <v>7</v>
      </c>
      <c r="N53" s="60"/>
      <c r="O53" s="60"/>
      <c r="P53" s="60"/>
      <c r="Q53" s="59" t="s">
        <v>7</v>
      </c>
      <c r="R53" s="59" t="s">
        <v>7</v>
      </c>
    </row>
    <row r="54" spans="1:18" ht="15.75" customHeight="1" x14ac:dyDescent="0.3">
      <c r="A54" s="61" t="s">
        <v>65</v>
      </c>
      <c r="B54" s="1"/>
      <c r="C54" s="1"/>
      <c r="D54" s="1"/>
      <c r="E54" s="59">
        <f>SUM(B54:D54)</f>
        <v>0</v>
      </c>
      <c r="F54" s="1"/>
      <c r="G54" s="1"/>
      <c r="H54" s="1"/>
      <c r="I54" s="59">
        <f>SUM(F54:H54)</f>
        <v>0</v>
      </c>
      <c r="J54" s="1"/>
      <c r="K54" s="1"/>
      <c r="L54" s="1"/>
      <c r="M54" s="59">
        <f>SUM(J54:L54)</f>
        <v>0</v>
      </c>
      <c r="N54" s="1"/>
      <c r="O54" s="1"/>
      <c r="P54" s="1"/>
      <c r="Q54" s="59">
        <f>SUM(N54:P54)</f>
        <v>0</v>
      </c>
      <c r="R54" s="59">
        <f>+E54+I54+M54+Q54</f>
        <v>0</v>
      </c>
    </row>
    <row r="55" spans="1:18" ht="15.75" customHeight="1" x14ac:dyDescent="0.3">
      <c r="A55" s="22" t="s">
        <v>66</v>
      </c>
      <c r="B55" s="60"/>
      <c r="C55" s="60"/>
      <c r="D55" s="60"/>
      <c r="E55" s="59" t="s">
        <v>7</v>
      </c>
      <c r="F55" s="60"/>
      <c r="G55" s="60"/>
      <c r="H55" s="60"/>
      <c r="I55" s="59" t="s">
        <v>7</v>
      </c>
      <c r="J55" s="60"/>
      <c r="K55" s="60"/>
      <c r="L55" s="60"/>
      <c r="M55" s="59" t="s">
        <v>7</v>
      </c>
      <c r="N55" s="60"/>
      <c r="O55" s="60"/>
      <c r="P55" s="60"/>
      <c r="Q55" s="59" t="s">
        <v>7</v>
      </c>
      <c r="R55" s="59" t="s">
        <v>7</v>
      </c>
    </row>
    <row r="56" spans="1:18" ht="15.75" customHeight="1" thickBot="1" x14ac:dyDescent="0.35">
      <c r="A56" s="22" t="s">
        <v>67</v>
      </c>
      <c r="B56" s="60"/>
      <c r="C56" s="60"/>
      <c r="D56" s="60"/>
      <c r="E56" s="59" t="s">
        <v>7</v>
      </c>
      <c r="F56" s="60"/>
      <c r="G56" s="60"/>
      <c r="H56" s="60"/>
      <c r="I56" s="59" t="s">
        <v>7</v>
      </c>
      <c r="J56" s="60"/>
      <c r="K56" s="60"/>
      <c r="L56" s="60"/>
      <c r="M56" s="59" t="s">
        <v>7</v>
      </c>
      <c r="N56" s="60"/>
      <c r="O56" s="60"/>
      <c r="P56" s="60"/>
      <c r="Q56" s="59" t="s">
        <v>7</v>
      </c>
      <c r="R56" s="59" t="s">
        <v>7</v>
      </c>
    </row>
    <row r="57" spans="1:18" ht="16.5" customHeight="1" thickBot="1" x14ac:dyDescent="0.35">
      <c r="A57" s="62" t="s">
        <v>68</v>
      </c>
      <c r="B57" s="63">
        <f>SUM(B55:B56)</f>
        <v>0</v>
      </c>
      <c r="C57" s="63">
        <f>SUM(C55:C56)</f>
        <v>0</v>
      </c>
      <c r="D57" s="63">
        <f>SUM(D55:D56)</f>
        <v>0</v>
      </c>
      <c r="E57" s="334">
        <f>SUM(B57:D57)</f>
        <v>0</v>
      </c>
      <c r="F57" s="63">
        <f>SUM(F55:F56)</f>
        <v>0</v>
      </c>
      <c r="G57" s="63">
        <f>SUM(G55:G56)</f>
        <v>0</v>
      </c>
      <c r="H57" s="63">
        <f>SUM(H55:H56)</f>
        <v>0</v>
      </c>
      <c r="I57" s="334">
        <f>SUM(F57:H57)</f>
        <v>0</v>
      </c>
      <c r="J57" s="63">
        <f>SUM(J55:J56)</f>
        <v>0</v>
      </c>
      <c r="K57" s="63">
        <f>SUM(K55:K56)</f>
        <v>0</v>
      </c>
      <c r="L57" s="63">
        <f>SUM(L55:L56)</f>
        <v>0</v>
      </c>
      <c r="M57" s="334">
        <f>SUM(J57:L57)</f>
        <v>0</v>
      </c>
      <c r="N57" s="63">
        <f>SUM(N55:N56)</f>
        <v>0</v>
      </c>
      <c r="O57" s="63">
        <f>SUM(O55:O56)</f>
        <v>0</v>
      </c>
      <c r="P57" s="63">
        <f>SUM(P55:P56)</f>
        <v>0</v>
      </c>
      <c r="Q57" s="334">
        <f>SUM(N57:P57)</f>
        <v>0</v>
      </c>
      <c r="R57" s="64">
        <f>+E57+I57+M57+Q57</f>
        <v>0</v>
      </c>
    </row>
    <row r="58" spans="1:18" ht="16.5" customHeight="1" thickBot="1" x14ac:dyDescent="0.35">
      <c r="A58" s="62" t="s">
        <v>69</v>
      </c>
      <c r="B58" s="63">
        <f>SUM(B51:B56)</f>
        <v>0</v>
      </c>
      <c r="C58" s="63">
        <f>SUM(C51:C56)</f>
        <v>0</v>
      </c>
      <c r="D58" s="63">
        <f>SUM(D51:D56)</f>
        <v>0</v>
      </c>
      <c r="E58" s="334">
        <f>SUM(B58:D58)</f>
        <v>0</v>
      </c>
      <c r="F58" s="63">
        <f>SUM(F51:F56)</f>
        <v>0</v>
      </c>
      <c r="G58" s="63">
        <f>SUM(G51:G56)</f>
        <v>0</v>
      </c>
      <c r="H58" s="63">
        <f>SUM(H51:H56)</f>
        <v>0</v>
      </c>
      <c r="I58" s="334">
        <f>SUM(F58:H58)</f>
        <v>0</v>
      </c>
      <c r="J58" s="63">
        <f>SUM(J51:J56)</f>
        <v>0</v>
      </c>
      <c r="K58" s="63">
        <f>SUM(K51:K56)</f>
        <v>0</v>
      </c>
      <c r="L58" s="63">
        <f>SUM(L51:L56)</f>
        <v>0</v>
      </c>
      <c r="M58" s="334">
        <f>SUM(J58:L58)</f>
        <v>0</v>
      </c>
      <c r="N58" s="63">
        <f>SUM(N51:N56)</f>
        <v>0</v>
      </c>
      <c r="O58" s="63">
        <f>SUM(O51:O56)</f>
        <v>0</v>
      </c>
      <c r="P58" s="63">
        <f>SUM(P51:P56)</f>
        <v>0</v>
      </c>
      <c r="Q58" s="334">
        <f>SUM(N58:P58)</f>
        <v>0</v>
      </c>
      <c r="R58" s="64">
        <f>+E58+I58+M58+Q58</f>
        <v>0</v>
      </c>
    </row>
    <row r="59" spans="1:18" ht="16.5" customHeight="1" thickBot="1" x14ac:dyDescent="0.35">
      <c r="A59" s="62" t="s">
        <v>70</v>
      </c>
      <c r="B59" s="63">
        <f>+B41+B46+B50+B58</f>
        <v>0</v>
      </c>
      <c r="C59" s="63">
        <f>+C41+C46+C50+C58</f>
        <v>0</v>
      </c>
      <c r="D59" s="63">
        <f>+D41+D46+D50+D58</f>
        <v>0</v>
      </c>
      <c r="E59" s="64">
        <f>SUM(B59:D59)</f>
        <v>0</v>
      </c>
      <c r="F59" s="63">
        <f>+F41+F46+F50+F58</f>
        <v>0</v>
      </c>
      <c r="G59" s="63">
        <f>+G41+G46+G50+G58</f>
        <v>0</v>
      </c>
      <c r="H59" s="63">
        <f>+H41+H46+H50+H58</f>
        <v>0</v>
      </c>
      <c r="I59" s="64">
        <f>SUM(F59:H59)</f>
        <v>0</v>
      </c>
      <c r="J59" s="63">
        <f>+J41+J46+J50+J58</f>
        <v>0</v>
      </c>
      <c r="K59" s="63">
        <f>+K41+K46+K50+K58</f>
        <v>0</v>
      </c>
      <c r="L59" s="63">
        <f>+L41+L46+L50+L58</f>
        <v>0</v>
      </c>
      <c r="M59" s="64">
        <f>SUM(J59:L59)</f>
        <v>0</v>
      </c>
      <c r="N59" s="63">
        <f>+N41+N46+N50+N58</f>
        <v>0</v>
      </c>
      <c r="O59" s="63">
        <f>+O41+O46+O50+O58</f>
        <v>0</v>
      </c>
      <c r="P59" s="63">
        <f>+P41+P46+P50+P58</f>
        <v>0</v>
      </c>
      <c r="Q59" s="64">
        <f>SUM(N59:P59)</f>
        <v>0</v>
      </c>
      <c r="R59" s="64">
        <f>+E59+I59+M59+Q59</f>
        <v>0</v>
      </c>
    </row>
    <row r="60" spans="1:18" ht="16.5" customHeight="1" thickBot="1" x14ac:dyDescent="0.35">
      <c r="A60" s="66" t="s">
        <v>37</v>
      </c>
      <c r="B60" s="67">
        <v>96</v>
      </c>
      <c r="C60" s="67">
        <v>145</v>
      </c>
      <c r="D60" s="67">
        <v>261</v>
      </c>
      <c r="E60" s="43">
        <f>SUM(B60:D60)</f>
        <v>502</v>
      </c>
      <c r="F60" s="67">
        <v>350</v>
      </c>
      <c r="G60" s="67">
        <v>402</v>
      </c>
      <c r="H60" s="67">
        <v>396</v>
      </c>
      <c r="I60" s="43">
        <f>SUM(F60:H60)</f>
        <v>1148</v>
      </c>
      <c r="J60" s="67">
        <v>394</v>
      </c>
      <c r="K60" s="67">
        <v>318</v>
      </c>
      <c r="L60" s="67">
        <v>301</v>
      </c>
      <c r="M60" s="43">
        <f>SUM(J60:L60)</f>
        <v>1013</v>
      </c>
      <c r="N60" s="67">
        <v>272</v>
      </c>
      <c r="O60" s="67">
        <v>226</v>
      </c>
      <c r="P60" s="67">
        <v>179</v>
      </c>
      <c r="Q60" s="43">
        <f>SUM(N60:P60)</f>
        <v>677</v>
      </c>
      <c r="R60" s="43">
        <f>+E60+I60+M60+Q60</f>
        <v>3340</v>
      </c>
    </row>
    <row r="61" spans="1:18" ht="16.5" customHeight="1" thickBot="1" x14ac:dyDescent="0.35">
      <c r="A61" s="42"/>
      <c r="B61" s="37"/>
      <c r="C61" s="37"/>
      <c r="D61" s="37"/>
      <c r="E61" s="26"/>
      <c r="F61" s="37"/>
      <c r="G61" s="37"/>
      <c r="H61" s="37"/>
      <c r="I61" s="26"/>
      <c r="J61" s="37"/>
      <c r="K61" s="37"/>
      <c r="L61" s="37"/>
      <c r="M61" s="26"/>
      <c r="N61" s="37"/>
      <c r="O61" s="37"/>
      <c r="P61" s="37"/>
      <c r="Q61" s="26"/>
      <c r="R61" s="42"/>
    </row>
    <row r="62" spans="1:18" ht="15.75" customHeight="1" x14ac:dyDescent="0.3">
      <c r="A62" s="17" t="s">
        <v>38</v>
      </c>
      <c r="B62" s="1">
        <f>+B59+B60</f>
        <v>96</v>
      </c>
      <c r="C62" s="1">
        <f>+C59+C60</f>
        <v>145</v>
      </c>
      <c r="D62" s="1">
        <f>+D59+D60</f>
        <v>261</v>
      </c>
      <c r="E62" s="327">
        <f>SUM(B62:D62)</f>
        <v>502</v>
      </c>
      <c r="F62" s="1">
        <f>+F59+F60</f>
        <v>350</v>
      </c>
      <c r="G62" s="1">
        <f>+G59+G60</f>
        <v>402</v>
      </c>
      <c r="H62" s="1">
        <f>+H59+H60</f>
        <v>396</v>
      </c>
      <c r="I62" s="327">
        <f>SUM(F62:H62)</f>
        <v>1148</v>
      </c>
      <c r="J62" s="1">
        <f>+J59+J60</f>
        <v>394</v>
      </c>
      <c r="K62" s="1">
        <f>+K59+K60</f>
        <v>318</v>
      </c>
      <c r="L62" s="1">
        <f>+L59+L60</f>
        <v>301</v>
      </c>
      <c r="M62" s="327">
        <f>SUM(J62:L62)</f>
        <v>1013</v>
      </c>
      <c r="N62" s="1">
        <f>+N59+N60</f>
        <v>272</v>
      </c>
      <c r="O62" s="1">
        <f>+O59+O60</f>
        <v>226</v>
      </c>
      <c r="P62" s="1">
        <f>+P59+P60</f>
        <v>179</v>
      </c>
      <c r="Q62" s="328">
        <f>SUM(N62:P62)</f>
        <v>677</v>
      </c>
      <c r="R62" s="18">
        <f>+E62+I62+M62+Q62</f>
        <v>3340</v>
      </c>
    </row>
    <row r="63" spans="1:18" ht="15.75" customHeight="1" x14ac:dyDescent="0.3">
      <c r="A63" s="17" t="s">
        <v>39</v>
      </c>
      <c r="B63" s="1">
        <f>(B62/B10)/1.983</f>
        <v>1.5616612171197111</v>
      </c>
      <c r="C63" s="1">
        <f>(C62/C10)/1.983</f>
        <v>2.5214321734745333</v>
      </c>
      <c r="D63" s="1">
        <f>(D62/D10)/1.983</f>
        <v>4.2457664340442145</v>
      </c>
      <c r="E63" s="18"/>
      <c r="F63" s="1">
        <f>(F62/F10)/1.983</f>
        <v>5.8833417381072444</v>
      </c>
      <c r="G63" s="1">
        <f>(G62/G10)/1.983</f>
        <v>6.5394563466887892</v>
      </c>
      <c r="H63" s="1">
        <f>(H62/H10)/1.983</f>
        <v>6.6565809379727678</v>
      </c>
      <c r="I63" s="18"/>
      <c r="J63" s="1">
        <f>(J62/J10)/1.983</f>
        <v>6.4093179119288139</v>
      </c>
      <c r="K63" s="1">
        <f>(K62/K10)/1.983</f>
        <v>5.1730027817090427</v>
      </c>
      <c r="L63" s="1">
        <f>(L62/L10)/1.983</f>
        <v>5.0596738947722306</v>
      </c>
      <c r="M63" s="18"/>
      <c r="N63" s="1">
        <f>(N62/N10)/1.983</f>
        <v>4.4247067818391805</v>
      </c>
      <c r="O63" s="1">
        <f>(O62/O10)/1.983</f>
        <v>3.7989578080349635</v>
      </c>
      <c r="P63" s="1">
        <f>(P62/P10)/1.983</f>
        <v>2.9118474777544612</v>
      </c>
      <c r="Q63" s="19"/>
      <c r="R63" s="68"/>
    </row>
    <row r="64" spans="1:18" ht="15.75" customHeight="1" x14ac:dyDescent="0.3">
      <c r="A64" s="17" t="s">
        <v>71</v>
      </c>
      <c r="B64" s="1">
        <f>B62+B140</f>
        <v>74167</v>
      </c>
      <c r="C64" s="1">
        <f>C62+C140</f>
        <v>74132</v>
      </c>
      <c r="D64" s="1">
        <f>D62+D140</f>
        <v>94956</v>
      </c>
      <c r="E64" s="18">
        <f>SUM(B64:D64)</f>
        <v>243255</v>
      </c>
      <c r="F64" s="1">
        <f>F62+F140</f>
        <v>150932</v>
      </c>
      <c r="G64" s="1">
        <f>G62+G140</f>
        <v>178713</v>
      </c>
      <c r="H64" s="1">
        <f>H62+H140</f>
        <v>106419</v>
      </c>
      <c r="I64" s="18">
        <f>SUM(F64:H64)</f>
        <v>436064</v>
      </c>
      <c r="J64" s="1">
        <f>J62+J140</f>
        <v>74288</v>
      </c>
      <c r="K64" s="1">
        <f>K62+K140</f>
        <v>62790</v>
      </c>
      <c r="L64" s="1">
        <f>L62+L140</f>
        <v>164650</v>
      </c>
      <c r="M64" s="18">
        <f>SUM(J64:L64)</f>
        <v>301728</v>
      </c>
      <c r="N64" s="1">
        <f>N62+N140</f>
        <v>162560</v>
      </c>
      <c r="O64" s="1">
        <f>O62+O140</f>
        <v>122577</v>
      </c>
      <c r="P64" s="1">
        <f>P62+P140</f>
        <v>140927</v>
      </c>
      <c r="Q64" s="19">
        <f>SUM(N64:P64)</f>
        <v>426064</v>
      </c>
      <c r="R64" s="18">
        <f>+E64+I64+M64+Q64</f>
        <v>1407111</v>
      </c>
    </row>
    <row r="65" spans="1:20" ht="16.5" customHeight="1" thickBot="1" x14ac:dyDescent="0.35">
      <c r="A65" s="24" t="s">
        <v>72</v>
      </c>
      <c r="B65" s="25">
        <f>(B64/B10)/1.983</f>
        <v>1206.4971613553917</v>
      </c>
      <c r="C65" s="25">
        <f>(C64/C10)/1.983</f>
        <v>1289.0952405794078</v>
      </c>
      <c r="D65" s="25">
        <f>(D64/D10)/1.983</f>
        <v>1544.6781513835342</v>
      </c>
      <c r="E65" s="26"/>
      <c r="F65" s="25">
        <f>(F64/F10)/1.983</f>
        <v>2537.0986720457217</v>
      </c>
      <c r="G65" s="25">
        <f>(G64/G10)/1.983</f>
        <v>2907.1787614074469</v>
      </c>
      <c r="H65" s="25">
        <f>(H64/H10)/1.983</f>
        <v>1788.8552697932425</v>
      </c>
      <c r="I65" s="26"/>
      <c r="J65" s="25">
        <f>(J64/J10)/1.983</f>
        <v>1208.4655051811365</v>
      </c>
      <c r="K65" s="25">
        <f>(K64/K10)/1.983</f>
        <v>1021.424039822361</v>
      </c>
      <c r="L65" s="25">
        <f>(L64/L10)/1.983</f>
        <v>2767.6920490838793</v>
      </c>
      <c r="M65" s="26"/>
      <c r="N65" s="25">
        <f>(N64/N10)/1.983</f>
        <v>2644.4129943227108</v>
      </c>
      <c r="O65" s="25">
        <f>(O64/O10)/1.983</f>
        <v>2060.4639435199192</v>
      </c>
      <c r="P65" s="25">
        <f>(P64/P10)/1.983</f>
        <v>2292.5023994273906</v>
      </c>
      <c r="Q65" s="27"/>
      <c r="R65" s="69" t="s">
        <v>7</v>
      </c>
    </row>
    <row r="66" spans="1:20" ht="15.75" customHeight="1" x14ac:dyDescent="0.3">
      <c r="A66" s="28"/>
      <c r="B66" s="1"/>
      <c r="C66" s="1"/>
      <c r="D66" s="1"/>
      <c r="E66" s="1"/>
      <c r="F66" s="1"/>
      <c r="G66" s="1"/>
      <c r="H66" s="1"/>
      <c r="I66" s="1"/>
      <c r="J66" s="1"/>
      <c r="K66" s="1"/>
      <c r="L66" s="1"/>
      <c r="M66" s="1"/>
      <c r="N66" s="1"/>
      <c r="O66" s="1"/>
      <c r="P66" s="1"/>
      <c r="Q66" s="1"/>
      <c r="R66" s="28"/>
    </row>
    <row r="67" spans="1:20" ht="15.75" customHeight="1" thickBot="1" x14ac:dyDescent="0.35">
      <c r="A67" s="28"/>
      <c r="B67" s="1"/>
      <c r="C67" s="1"/>
      <c r="D67" s="1"/>
      <c r="E67" s="1"/>
      <c r="F67" s="1"/>
      <c r="G67" s="1"/>
      <c r="H67" s="1"/>
      <c r="I67" s="1"/>
      <c r="J67" s="1"/>
      <c r="K67" s="1"/>
      <c r="L67" s="1"/>
      <c r="M67" s="1"/>
      <c r="N67" s="1"/>
      <c r="O67" s="1"/>
      <c r="P67" s="1"/>
      <c r="Q67" s="1"/>
      <c r="R67" s="28"/>
    </row>
    <row r="68" spans="1:20" ht="16.5" customHeight="1" thickBot="1" x14ac:dyDescent="0.35">
      <c r="A68" s="31" t="s">
        <v>73</v>
      </c>
      <c r="B68" s="323" t="s">
        <v>36</v>
      </c>
      <c r="C68" s="324" t="s">
        <v>9</v>
      </c>
      <c r="D68" s="324" t="s">
        <v>10</v>
      </c>
      <c r="E68" s="325" t="s">
        <v>11</v>
      </c>
      <c r="F68" s="324" t="s">
        <v>12</v>
      </c>
      <c r="G68" s="324" t="s">
        <v>13</v>
      </c>
      <c r="H68" s="324" t="s">
        <v>14</v>
      </c>
      <c r="I68" s="34" t="s">
        <v>15</v>
      </c>
      <c r="J68" s="324" t="s">
        <v>16</v>
      </c>
      <c r="K68" s="324" t="s">
        <v>17</v>
      </c>
      <c r="L68" s="324" t="s">
        <v>18</v>
      </c>
      <c r="M68" s="34" t="s">
        <v>19</v>
      </c>
      <c r="N68" s="324" t="s">
        <v>20</v>
      </c>
      <c r="O68" s="324" t="s">
        <v>21</v>
      </c>
      <c r="P68" s="324" t="s">
        <v>22</v>
      </c>
      <c r="Q68" s="34" t="s">
        <v>23</v>
      </c>
      <c r="R68" s="326" t="s">
        <v>24</v>
      </c>
    </row>
    <row r="69" spans="1:20" ht="16.5" customHeight="1" thickBot="1" x14ac:dyDescent="0.35">
      <c r="A69" s="70"/>
      <c r="B69" s="14"/>
      <c r="C69" s="71"/>
      <c r="D69" s="71"/>
      <c r="E69" s="72"/>
      <c r="F69" s="71"/>
      <c r="G69" s="71"/>
      <c r="H69" s="71"/>
      <c r="I69" s="72"/>
      <c r="J69" s="71"/>
      <c r="K69" s="71"/>
      <c r="L69" s="71"/>
      <c r="M69" s="72"/>
      <c r="N69" s="71"/>
      <c r="O69" s="71"/>
      <c r="P69" s="73"/>
      <c r="Q69" s="72"/>
      <c r="R69" s="64"/>
    </row>
    <row r="70" spans="1:20" ht="15.75" customHeight="1" x14ac:dyDescent="0.3">
      <c r="A70" s="333" t="s">
        <v>45</v>
      </c>
      <c r="B70" s="30"/>
      <c r="C70" s="30"/>
      <c r="D70" s="30"/>
      <c r="E70" s="59" t="s">
        <v>7</v>
      </c>
      <c r="F70" s="30"/>
      <c r="G70" s="30"/>
      <c r="H70" s="30"/>
      <c r="I70" s="59" t="s">
        <v>7</v>
      </c>
      <c r="J70" s="30"/>
      <c r="K70" s="30"/>
      <c r="L70" s="30"/>
      <c r="M70" s="59" t="s">
        <v>7</v>
      </c>
      <c r="N70" s="30"/>
      <c r="O70" s="30"/>
      <c r="P70" s="30"/>
      <c r="Q70" s="59" t="s">
        <v>7</v>
      </c>
      <c r="R70" s="59" t="s">
        <v>7</v>
      </c>
    </row>
    <row r="71" spans="1:20" ht="15.75" customHeight="1" x14ac:dyDescent="0.3">
      <c r="A71" s="22" t="s">
        <v>46</v>
      </c>
      <c r="B71" s="30"/>
      <c r="C71" s="60"/>
      <c r="D71" s="60"/>
      <c r="E71" s="59" t="s">
        <v>7</v>
      </c>
      <c r="F71" s="60"/>
      <c r="G71" s="60"/>
      <c r="H71" s="60"/>
      <c r="I71" s="59" t="s">
        <v>7</v>
      </c>
      <c r="J71" s="60"/>
      <c r="K71" s="60"/>
      <c r="L71" s="60"/>
      <c r="M71" s="59" t="s">
        <v>7</v>
      </c>
      <c r="N71" s="60"/>
      <c r="O71" s="60"/>
      <c r="P71" s="60"/>
      <c r="Q71" s="59" t="s">
        <v>7</v>
      </c>
      <c r="R71" s="59" t="s">
        <v>7</v>
      </c>
    </row>
    <row r="72" spans="1:20" ht="15.75" customHeight="1" x14ac:dyDescent="0.3">
      <c r="A72" s="74" t="s">
        <v>74</v>
      </c>
      <c r="B72" s="1"/>
      <c r="C72" s="1"/>
      <c r="D72" s="1"/>
      <c r="E72" s="59">
        <f t="shared" ref="E72:E85" si="5">SUM(B72:D72)</f>
        <v>0</v>
      </c>
      <c r="F72" s="1"/>
      <c r="G72" s="1"/>
      <c r="H72" s="1"/>
      <c r="I72" s="59">
        <f t="shared" ref="I72:I85" si="6">SUM(F72:H72)</f>
        <v>0</v>
      </c>
      <c r="J72" s="1"/>
      <c r="K72" s="1"/>
      <c r="L72" s="1"/>
      <c r="M72" s="59">
        <f t="shared" ref="M72:M85" si="7">SUM(J72:L72)</f>
        <v>0</v>
      </c>
      <c r="N72" s="1"/>
      <c r="O72" s="1"/>
      <c r="P72" s="1"/>
      <c r="Q72" s="59">
        <f t="shared" ref="Q72:Q85" si="8">SUM(N72:P72)</f>
        <v>0</v>
      </c>
      <c r="R72" s="59">
        <f t="shared" ref="R72:R85" si="9">+E72+I72+M72+Q72</f>
        <v>0</v>
      </c>
    </row>
    <row r="73" spans="1:20" ht="15.75" customHeight="1" x14ac:dyDescent="0.3">
      <c r="A73" s="74" t="s">
        <v>75</v>
      </c>
      <c r="B73" s="1"/>
      <c r="C73" s="1"/>
      <c r="D73" s="1"/>
      <c r="E73" s="59">
        <f>SUM(B73:D73)</f>
        <v>0</v>
      </c>
      <c r="F73" s="1"/>
      <c r="G73" s="1"/>
      <c r="H73" s="1"/>
      <c r="I73" s="59">
        <f>SUM(F73:H73)</f>
        <v>0</v>
      </c>
      <c r="J73" s="1"/>
      <c r="K73" s="1"/>
      <c r="L73" s="1"/>
      <c r="M73" s="59">
        <f>SUM(J73:L73)</f>
        <v>0</v>
      </c>
      <c r="N73" s="1"/>
      <c r="O73" s="1"/>
      <c r="P73" s="1"/>
      <c r="Q73" s="59">
        <f>SUM(N73:P73)</f>
        <v>0</v>
      </c>
      <c r="R73" s="59">
        <f>+E73+I73+M73+Q73</f>
        <v>0</v>
      </c>
    </row>
    <row r="74" spans="1:20" ht="15.75" customHeight="1" x14ac:dyDescent="0.3">
      <c r="A74" s="74" t="s">
        <v>989</v>
      </c>
      <c r="B74" s="1"/>
      <c r="C74" s="1"/>
      <c r="D74" s="1"/>
      <c r="E74" s="59">
        <f>SUM(B74:D74)</f>
        <v>0</v>
      </c>
      <c r="F74" s="1"/>
      <c r="G74" s="1"/>
      <c r="H74" s="1"/>
      <c r="I74" s="59">
        <f>SUM(F74:H74)</f>
        <v>0</v>
      </c>
      <c r="J74" s="1"/>
      <c r="K74" s="1"/>
      <c r="L74" s="1"/>
      <c r="M74" s="59">
        <f t="shared" ref="M74:M75" si="10">SUM(J74:L74)</f>
        <v>0</v>
      </c>
      <c r="N74" s="1"/>
      <c r="O74" s="1">
        <v>923</v>
      </c>
      <c r="P74" s="1"/>
      <c r="Q74" s="59">
        <f>SUM(N74:P74)</f>
        <v>923</v>
      </c>
      <c r="R74" s="59">
        <f>+E74+I74+M74+Q74</f>
        <v>923</v>
      </c>
    </row>
    <row r="75" spans="1:20" ht="15.75" customHeight="1" x14ac:dyDescent="0.3">
      <c r="A75" s="74" t="s">
        <v>76</v>
      </c>
      <c r="B75" s="1"/>
      <c r="C75" s="1"/>
      <c r="D75" s="1"/>
      <c r="E75" s="59">
        <f t="shared" si="5"/>
        <v>0</v>
      </c>
      <c r="F75" s="1"/>
      <c r="G75" s="1"/>
      <c r="H75" s="1"/>
      <c r="I75" s="59">
        <f t="shared" si="6"/>
        <v>0</v>
      </c>
      <c r="J75" s="1"/>
      <c r="K75" s="1"/>
      <c r="L75" s="1"/>
      <c r="M75" s="59">
        <f t="shared" si="10"/>
        <v>0</v>
      </c>
      <c r="N75" s="1"/>
      <c r="O75" s="1"/>
      <c r="P75" s="1"/>
      <c r="Q75" s="59">
        <f t="shared" si="8"/>
        <v>0</v>
      </c>
      <c r="R75" s="59">
        <f t="shared" si="9"/>
        <v>0</v>
      </c>
    </row>
    <row r="76" spans="1:20" ht="15.75" customHeight="1" x14ac:dyDescent="0.3">
      <c r="A76" s="74" t="s">
        <v>77</v>
      </c>
      <c r="B76" s="1"/>
      <c r="C76" s="1"/>
      <c r="D76" s="1"/>
      <c r="E76" s="59">
        <f t="shared" si="5"/>
        <v>0</v>
      </c>
      <c r="F76" s="1"/>
      <c r="G76" s="1"/>
      <c r="H76" s="1"/>
      <c r="I76" s="59">
        <f t="shared" si="6"/>
        <v>0</v>
      </c>
      <c r="K76" s="1"/>
      <c r="L76" s="1"/>
      <c r="M76" s="59">
        <f t="shared" si="7"/>
        <v>0</v>
      </c>
      <c r="N76" s="1"/>
      <c r="O76" s="1"/>
      <c r="P76" s="1"/>
      <c r="Q76" s="59">
        <f t="shared" si="8"/>
        <v>0</v>
      </c>
      <c r="R76" s="59">
        <f t="shared" si="9"/>
        <v>0</v>
      </c>
      <c r="T76" s="4" t="s">
        <v>78</v>
      </c>
    </row>
    <row r="77" spans="1:20" ht="15.75" customHeight="1" x14ac:dyDescent="0.3">
      <c r="A77" s="74" t="s">
        <v>79</v>
      </c>
      <c r="B77" s="1">
        <v>573</v>
      </c>
      <c r="C77" s="1">
        <v>376</v>
      </c>
      <c r="D77" s="1">
        <v>756</v>
      </c>
      <c r="E77" s="59">
        <f t="shared" si="5"/>
        <v>1705</v>
      </c>
      <c r="F77" s="1">
        <v>1418</v>
      </c>
      <c r="G77" s="1">
        <v>1499</v>
      </c>
      <c r="H77" s="1">
        <v>476</v>
      </c>
      <c r="I77" s="59">
        <f t="shared" si="6"/>
        <v>3393</v>
      </c>
      <c r="J77" s="1"/>
      <c r="K77" s="1"/>
      <c r="L77" s="1"/>
      <c r="M77" s="59">
        <f t="shared" si="7"/>
        <v>0</v>
      </c>
      <c r="N77" s="1"/>
      <c r="O77" s="1"/>
      <c r="P77" s="1"/>
      <c r="Q77" s="59">
        <f t="shared" si="8"/>
        <v>0</v>
      </c>
      <c r="R77" s="59">
        <f t="shared" si="9"/>
        <v>5098</v>
      </c>
      <c r="S77" s="75" t="s">
        <v>80</v>
      </c>
      <c r="T77" s="4" t="s">
        <v>78</v>
      </c>
    </row>
    <row r="78" spans="1:20" ht="15.75" customHeight="1" x14ac:dyDescent="0.3">
      <c r="A78" s="74" t="s">
        <v>81</v>
      </c>
      <c r="B78" s="1"/>
      <c r="C78" s="1"/>
      <c r="D78" s="1"/>
      <c r="E78" s="59">
        <f t="shared" si="5"/>
        <v>0</v>
      </c>
      <c r="F78" s="1"/>
      <c r="G78" s="1"/>
      <c r="H78" s="1"/>
      <c r="I78" s="59">
        <f t="shared" si="6"/>
        <v>0</v>
      </c>
      <c r="J78" s="1"/>
      <c r="K78" s="1"/>
      <c r="L78" s="1"/>
      <c r="M78" s="59">
        <f t="shared" si="7"/>
        <v>0</v>
      </c>
      <c r="N78" s="1"/>
      <c r="O78" s="1"/>
      <c r="P78" s="1"/>
      <c r="Q78" s="59">
        <f t="shared" si="8"/>
        <v>0</v>
      </c>
      <c r="R78" s="59">
        <f t="shared" si="9"/>
        <v>0</v>
      </c>
    </row>
    <row r="79" spans="1:20" ht="15.75" customHeight="1" x14ac:dyDescent="0.3">
      <c r="A79" s="74" t="s">
        <v>82</v>
      </c>
      <c r="B79" s="1"/>
      <c r="C79" s="1"/>
      <c r="D79" s="1"/>
      <c r="E79" s="59">
        <f t="shared" si="5"/>
        <v>0</v>
      </c>
      <c r="F79" s="1"/>
      <c r="G79" s="1"/>
      <c r="H79" s="1"/>
      <c r="I79" s="59">
        <f t="shared" si="6"/>
        <v>0</v>
      </c>
      <c r="J79" s="1"/>
      <c r="K79" s="1"/>
      <c r="L79" s="1"/>
      <c r="M79" s="59">
        <f t="shared" si="7"/>
        <v>0</v>
      </c>
      <c r="N79" s="1"/>
      <c r="O79" s="1"/>
      <c r="P79" s="1"/>
      <c r="Q79" s="59">
        <f t="shared" si="8"/>
        <v>0</v>
      </c>
      <c r="R79" s="59">
        <f t="shared" si="9"/>
        <v>0</v>
      </c>
      <c r="T79" s="4" t="s">
        <v>83</v>
      </c>
    </row>
    <row r="80" spans="1:20" ht="15.75" customHeight="1" x14ac:dyDescent="0.3">
      <c r="A80" s="76" t="s">
        <v>84</v>
      </c>
      <c r="B80" s="1"/>
      <c r="C80" s="1"/>
      <c r="D80" s="1"/>
      <c r="E80" s="59">
        <f t="shared" si="5"/>
        <v>0</v>
      </c>
      <c r="F80" s="1"/>
      <c r="G80" s="1">
        <v>512</v>
      </c>
      <c r="H80" s="1">
        <v>512</v>
      </c>
      <c r="I80" s="59">
        <f t="shared" si="6"/>
        <v>1024</v>
      </c>
      <c r="J80" s="1">
        <v>512</v>
      </c>
      <c r="K80" s="1">
        <v>512</v>
      </c>
      <c r="L80" s="1"/>
      <c r="M80" s="59">
        <f t="shared" si="7"/>
        <v>1024</v>
      </c>
      <c r="N80" s="1"/>
      <c r="O80" s="1"/>
      <c r="P80" s="1"/>
      <c r="Q80" s="59">
        <f t="shared" si="8"/>
        <v>0</v>
      </c>
      <c r="R80" s="59">
        <f t="shared" si="9"/>
        <v>2048</v>
      </c>
    </row>
    <row r="81" spans="1:20" ht="15.75" customHeight="1" x14ac:dyDescent="0.3">
      <c r="A81" s="76" t="s">
        <v>85</v>
      </c>
      <c r="B81" s="1"/>
      <c r="C81" s="1"/>
      <c r="D81" s="1"/>
      <c r="E81" s="59">
        <f t="shared" si="5"/>
        <v>0</v>
      </c>
      <c r="F81" s="1"/>
      <c r="G81" s="1"/>
      <c r="H81" s="1"/>
      <c r="I81" s="59">
        <f t="shared" si="6"/>
        <v>0</v>
      </c>
      <c r="J81" s="1"/>
      <c r="K81" s="1"/>
      <c r="L81" s="1"/>
      <c r="M81" s="59">
        <f t="shared" si="7"/>
        <v>0</v>
      </c>
      <c r="N81" s="1"/>
      <c r="O81" s="1"/>
      <c r="P81" s="1"/>
      <c r="Q81" s="59">
        <f t="shared" si="8"/>
        <v>0</v>
      </c>
      <c r="R81" s="59">
        <f t="shared" si="9"/>
        <v>0</v>
      </c>
    </row>
    <row r="82" spans="1:20" ht="15.75" customHeight="1" x14ac:dyDescent="0.3">
      <c r="A82" s="76" t="s">
        <v>990</v>
      </c>
      <c r="B82" s="1"/>
      <c r="C82" s="1"/>
      <c r="D82" s="1"/>
      <c r="E82" s="59">
        <f t="shared" si="5"/>
        <v>0</v>
      </c>
      <c r="F82" s="1"/>
      <c r="G82" s="1"/>
      <c r="H82" s="1"/>
      <c r="I82" s="59">
        <f t="shared" si="6"/>
        <v>0</v>
      </c>
      <c r="J82" s="1"/>
      <c r="K82" s="1"/>
      <c r="L82" s="1"/>
      <c r="M82" s="59">
        <f t="shared" si="7"/>
        <v>0</v>
      </c>
      <c r="N82" s="1"/>
      <c r="O82" s="1"/>
      <c r="P82" s="1">
        <v>200</v>
      </c>
      <c r="Q82" s="59">
        <f t="shared" ref="Q82" si="11">SUM(N82:P82)</f>
        <v>200</v>
      </c>
      <c r="R82" s="59">
        <f t="shared" si="9"/>
        <v>200</v>
      </c>
    </row>
    <row r="83" spans="1:20" ht="15.75" customHeight="1" x14ac:dyDescent="0.3">
      <c r="A83" s="76" t="s">
        <v>991</v>
      </c>
      <c r="B83" s="1"/>
      <c r="C83" s="1"/>
      <c r="D83" s="1"/>
      <c r="E83" s="59">
        <f t="shared" si="5"/>
        <v>0</v>
      </c>
      <c r="F83" s="1"/>
      <c r="G83" s="1"/>
      <c r="H83" s="1"/>
      <c r="I83" s="59">
        <f t="shared" si="6"/>
        <v>0</v>
      </c>
      <c r="J83" s="1">
        <v>938</v>
      </c>
      <c r="K83" s="1"/>
      <c r="L83" s="1"/>
      <c r="M83" s="59">
        <f t="shared" si="7"/>
        <v>938</v>
      </c>
      <c r="N83" s="1"/>
      <c r="O83" s="1"/>
      <c r="P83" s="1"/>
      <c r="Q83" s="59">
        <f t="shared" ref="Q83" si="12">SUM(N83:P83)</f>
        <v>0</v>
      </c>
      <c r="R83" s="59">
        <f t="shared" si="9"/>
        <v>938</v>
      </c>
    </row>
    <row r="84" spans="1:20" ht="15.75" customHeight="1" x14ac:dyDescent="0.3">
      <c r="A84" s="76" t="s">
        <v>86</v>
      </c>
      <c r="B84" s="1"/>
      <c r="C84" s="1"/>
      <c r="D84" s="1"/>
      <c r="E84" s="59">
        <f>SUM(B84:D84)</f>
        <v>0</v>
      </c>
      <c r="F84" s="1"/>
      <c r="G84" s="1"/>
      <c r="H84" s="1"/>
      <c r="I84" s="59">
        <f>SUM(F84:H84)</f>
        <v>0</v>
      </c>
      <c r="J84" s="1"/>
      <c r="K84" s="1"/>
      <c r="L84" s="1">
        <v>500</v>
      </c>
      <c r="M84" s="59">
        <f>SUM(J84:L84)</f>
        <v>500</v>
      </c>
      <c r="N84" s="1">
        <v>500</v>
      </c>
      <c r="O84" s="1"/>
      <c r="P84" s="1"/>
      <c r="Q84" s="59">
        <f>SUM(N84:P84)</f>
        <v>500</v>
      </c>
      <c r="R84" s="59">
        <f t="shared" si="9"/>
        <v>1000</v>
      </c>
    </row>
    <row r="85" spans="1:20" ht="15.75" customHeight="1" x14ac:dyDescent="0.3">
      <c r="A85" s="76" t="s">
        <v>87</v>
      </c>
      <c r="B85" s="1"/>
      <c r="C85" s="1"/>
      <c r="D85" s="1"/>
      <c r="E85" s="59">
        <f t="shared" si="5"/>
        <v>0</v>
      </c>
      <c r="F85" s="1"/>
      <c r="G85" s="1"/>
      <c r="H85" s="1"/>
      <c r="I85" s="59">
        <f t="shared" si="6"/>
        <v>0</v>
      </c>
      <c r="J85" s="1"/>
      <c r="K85" s="1"/>
      <c r="L85" s="1"/>
      <c r="M85" s="59">
        <f t="shared" si="7"/>
        <v>0</v>
      </c>
      <c r="N85" s="1"/>
      <c r="O85" s="1"/>
      <c r="P85" s="1"/>
      <c r="Q85" s="59">
        <f t="shared" si="8"/>
        <v>0</v>
      </c>
      <c r="R85" s="59">
        <f t="shared" si="9"/>
        <v>0</v>
      </c>
      <c r="S85" s="4">
        <f>SUM(R72:R85)</f>
        <v>10207</v>
      </c>
    </row>
    <row r="86" spans="1:20" ht="15.75" customHeight="1" x14ac:dyDescent="0.3">
      <c r="A86" s="22" t="s">
        <v>47</v>
      </c>
      <c r="B86" s="30"/>
      <c r="C86" s="30"/>
      <c r="D86" s="30"/>
      <c r="E86" s="59" t="s">
        <v>7</v>
      </c>
      <c r="F86" s="30"/>
      <c r="G86" s="30"/>
      <c r="H86" s="30"/>
      <c r="I86" s="59" t="s">
        <v>7</v>
      </c>
      <c r="J86" s="30"/>
      <c r="K86" s="30"/>
      <c r="L86" s="30"/>
      <c r="M86" s="59" t="s">
        <v>7</v>
      </c>
      <c r="N86" s="30"/>
      <c r="O86" s="30"/>
      <c r="P86" s="30"/>
      <c r="Q86" s="59" t="s">
        <v>7</v>
      </c>
      <c r="R86" s="59" t="s">
        <v>7</v>
      </c>
    </row>
    <row r="87" spans="1:20" ht="15.75" customHeight="1" x14ac:dyDescent="0.3">
      <c r="A87" s="76" t="s">
        <v>88</v>
      </c>
      <c r="B87" s="1"/>
      <c r="C87" s="1"/>
      <c r="D87" s="1"/>
      <c r="E87" s="59">
        <f>SUM(B87:D87)</f>
        <v>0</v>
      </c>
      <c r="F87" s="1"/>
      <c r="G87" s="1"/>
      <c r="H87" s="1"/>
      <c r="I87" s="59">
        <f>SUM(F87:H87)</f>
        <v>0</v>
      </c>
      <c r="J87" s="1"/>
      <c r="K87" s="1"/>
      <c r="L87" s="1"/>
      <c r="M87" s="59">
        <f>SUM(J87:L87)</f>
        <v>0</v>
      </c>
      <c r="N87" s="1"/>
      <c r="O87" s="1"/>
      <c r="P87" s="1"/>
      <c r="Q87" s="59">
        <f>SUM(N87:P87)</f>
        <v>0</v>
      </c>
      <c r="R87" s="59">
        <f>+E87+I87+M87+Q87</f>
        <v>0</v>
      </c>
    </row>
    <row r="88" spans="1:20" ht="15.75" customHeight="1" x14ac:dyDescent="0.3">
      <c r="A88" s="22" t="s">
        <v>49</v>
      </c>
      <c r="B88" s="30"/>
      <c r="C88" s="30"/>
      <c r="D88" s="30"/>
      <c r="E88" s="59" t="s">
        <v>50</v>
      </c>
      <c r="F88" s="30"/>
      <c r="G88" s="30"/>
      <c r="H88" s="30"/>
      <c r="I88" s="59" t="s">
        <v>50</v>
      </c>
      <c r="J88" s="30"/>
      <c r="K88" s="30"/>
      <c r="L88" s="30"/>
      <c r="M88" s="59" t="s">
        <v>50</v>
      </c>
      <c r="N88" s="30"/>
      <c r="O88" s="30"/>
      <c r="P88" s="30"/>
      <c r="Q88" s="59" t="s">
        <v>50</v>
      </c>
      <c r="R88" s="59" t="s">
        <v>50</v>
      </c>
    </row>
    <row r="89" spans="1:20" ht="15.75" customHeight="1" x14ac:dyDescent="0.3">
      <c r="A89" s="61" t="s">
        <v>89</v>
      </c>
      <c r="B89" s="1"/>
      <c r="C89" s="1"/>
      <c r="D89" s="1"/>
      <c r="E89" s="59">
        <f>SUM(B89:D89)</f>
        <v>0</v>
      </c>
      <c r="F89" s="1"/>
      <c r="G89" s="1"/>
      <c r="H89" s="1"/>
      <c r="I89" s="59">
        <f>SUM(F89:H89)</f>
        <v>0</v>
      </c>
      <c r="J89" s="1"/>
      <c r="K89" s="1"/>
      <c r="L89" s="1"/>
      <c r="M89" s="59">
        <f>SUM(J89:L89)</f>
        <v>0</v>
      </c>
      <c r="N89" s="1"/>
      <c r="O89" s="1"/>
      <c r="P89" s="1"/>
      <c r="Q89" s="59">
        <f>SUM(N89:P89)</f>
        <v>0</v>
      </c>
      <c r="R89" s="59">
        <f>+E89+I89+M89+Q89</f>
        <v>0</v>
      </c>
      <c r="S89" s="77" t="s">
        <v>90</v>
      </c>
    </row>
    <row r="90" spans="1:20" ht="15.75" customHeight="1" x14ac:dyDescent="0.3">
      <c r="A90" s="61" t="s">
        <v>91</v>
      </c>
      <c r="B90" s="1"/>
      <c r="C90" s="1"/>
      <c r="D90" s="1"/>
      <c r="E90" s="59">
        <f>SUM(B90:D90)</f>
        <v>0</v>
      </c>
      <c r="F90" s="1"/>
      <c r="G90" s="1"/>
      <c r="H90" s="1"/>
      <c r="I90" s="59">
        <f>SUM(F90:H90)</f>
        <v>0</v>
      </c>
      <c r="J90" s="1"/>
      <c r="K90" s="1"/>
      <c r="L90" s="1"/>
      <c r="M90" s="59">
        <f>SUM(J90:L90)</f>
        <v>0</v>
      </c>
      <c r="N90" s="1"/>
      <c r="O90" s="1"/>
      <c r="P90" s="1"/>
      <c r="Q90" s="59">
        <f>SUM(N90:P90)</f>
        <v>0</v>
      </c>
      <c r="R90" s="59">
        <f>+E90+I90+M90+Q90</f>
        <v>0</v>
      </c>
      <c r="S90" s="77" t="s">
        <v>90</v>
      </c>
      <c r="T90" s="4" t="s">
        <v>78</v>
      </c>
    </row>
    <row r="91" spans="1:20" ht="15.75" customHeight="1" thickBot="1" x14ac:dyDescent="0.35">
      <c r="A91" s="22" t="s">
        <v>51</v>
      </c>
      <c r="B91" s="60"/>
      <c r="C91" s="60"/>
      <c r="D91" s="60"/>
      <c r="E91" s="59" t="s">
        <v>7</v>
      </c>
      <c r="F91" s="60"/>
      <c r="G91" s="60"/>
      <c r="H91" s="60"/>
      <c r="I91" s="59" t="s">
        <v>7</v>
      </c>
      <c r="J91" s="60"/>
      <c r="K91" s="60"/>
      <c r="L91" s="60"/>
      <c r="M91" s="59" t="s">
        <v>7</v>
      </c>
      <c r="N91" s="60"/>
      <c r="O91" s="60"/>
      <c r="P91" s="60"/>
      <c r="Q91" s="59" t="s">
        <v>7</v>
      </c>
      <c r="R91" s="59" t="s">
        <v>7</v>
      </c>
    </row>
    <row r="92" spans="1:20" ht="16.5" customHeight="1" thickBot="1" x14ac:dyDescent="0.35">
      <c r="A92" s="62" t="s">
        <v>52</v>
      </c>
      <c r="B92" s="63">
        <f>SUM(B70:B91)</f>
        <v>573</v>
      </c>
      <c r="C92" s="63">
        <f>SUM(C70:C91)</f>
        <v>376</v>
      </c>
      <c r="D92" s="63">
        <f>SUM(D70:D91)</f>
        <v>756</v>
      </c>
      <c r="E92" s="64">
        <f>SUM(B92:D92)</f>
        <v>1705</v>
      </c>
      <c r="F92" s="63">
        <f>SUM(F70:F91)</f>
        <v>1418</v>
      </c>
      <c r="G92" s="63">
        <f>SUM(G70:G91)</f>
        <v>2011</v>
      </c>
      <c r="H92" s="63">
        <f>SUM(H70:H91)</f>
        <v>988</v>
      </c>
      <c r="I92" s="64">
        <f>SUM(F92:H92)</f>
        <v>4417</v>
      </c>
      <c r="J92" s="63">
        <f>SUM(J70:J91)</f>
        <v>1450</v>
      </c>
      <c r="K92" s="63">
        <f>SUM(K70:K91)</f>
        <v>512</v>
      </c>
      <c r="L92" s="63">
        <f>SUM(L70:L91)</f>
        <v>500</v>
      </c>
      <c r="M92" s="64">
        <f>SUM(J92:L92)</f>
        <v>2462</v>
      </c>
      <c r="N92" s="63">
        <f>SUM(N70:N91)</f>
        <v>500</v>
      </c>
      <c r="O92" s="63">
        <f>SUM(O70:O91)</f>
        <v>923</v>
      </c>
      <c r="P92" s="63">
        <f>SUM(P70:P91)</f>
        <v>200</v>
      </c>
      <c r="Q92" s="64">
        <f>SUM(N92:P92)</f>
        <v>1623</v>
      </c>
      <c r="R92" s="64">
        <f>+E92+I92+M92+Q92</f>
        <v>10207</v>
      </c>
    </row>
    <row r="93" spans="1:20" ht="15.75" customHeight="1" x14ac:dyDescent="0.3">
      <c r="A93" s="22" t="s">
        <v>53</v>
      </c>
      <c r="B93" s="60"/>
      <c r="C93" s="60"/>
      <c r="D93" s="60"/>
      <c r="E93" s="59" t="s">
        <v>7</v>
      </c>
      <c r="F93" s="60"/>
      <c r="G93" s="60"/>
      <c r="H93" s="60"/>
      <c r="I93" s="59" t="s">
        <v>7</v>
      </c>
      <c r="J93" s="60"/>
      <c r="K93" s="60"/>
      <c r="L93" s="60"/>
      <c r="M93" s="59" t="s">
        <v>7</v>
      </c>
      <c r="N93" s="60"/>
      <c r="O93" s="60"/>
      <c r="P93" s="60"/>
      <c r="Q93" s="59" t="s">
        <v>7</v>
      </c>
      <c r="R93" s="334" t="s">
        <v>7</v>
      </c>
    </row>
    <row r="94" spans="1:20" ht="15.75" customHeight="1" x14ac:dyDescent="0.3">
      <c r="A94" s="22" t="s">
        <v>54</v>
      </c>
      <c r="B94" s="60"/>
      <c r="C94" s="60"/>
      <c r="D94" s="60"/>
      <c r="E94" s="59" t="s">
        <v>7</v>
      </c>
      <c r="F94" s="60"/>
      <c r="G94" s="60"/>
      <c r="H94" s="60"/>
      <c r="I94" s="59" t="s">
        <v>7</v>
      </c>
      <c r="J94" s="60"/>
      <c r="K94" s="60"/>
      <c r="L94" s="60"/>
      <c r="M94" s="59" t="s">
        <v>7</v>
      </c>
      <c r="N94" s="60"/>
      <c r="O94" s="60"/>
      <c r="P94" s="60"/>
      <c r="Q94" s="59" t="s">
        <v>7</v>
      </c>
      <c r="R94" s="59" t="s">
        <v>7</v>
      </c>
    </row>
    <row r="95" spans="1:20" ht="15.75" customHeight="1" x14ac:dyDescent="0.3">
      <c r="A95" s="22" t="s">
        <v>55</v>
      </c>
      <c r="B95" s="60"/>
      <c r="C95" s="60"/>
      <c r="D95" s="60"/>
      <c r="E95" s="59" t="s">
        <v>7</v>
      </c>
      <c r="F95" s="60"/>
      <c r="G95" s="60"/>
      <c r="H95" s="60"/>
      <c r="I95" s="59" t="s">
        <v>7</v>
      </c>
      <c r="J95" s="60"/>
      <c r="K95" s="60"/>
      <c r="L95" s="60"/>
      <c r="M95" s="59" t="s">
        <v>7</v>
      </c>
      <c r="N95" s="60"/>
      <c r="O95" s="60"/>
      <c r="P95" s="60"/>
      <c r="Q95" s="59" t="s">
        <v>7</v>
      </c>
      <c r="R95" s="59" t="s">
        <v>7</v>
      </c>
    </row>
    <row r="96" spans="1:20" ht="15.75" customHeight="1" x14ac:dyDescent="0.3">
      <c r="A96" s="76" t="s">
        <v>92</v>
      </c>
      <c r="B96" s="1">
        <v>278</v>
      </c>
      <c r="C96" s="1">
        <v>131</v>
      </c>
      <c r="D96" s="1">
        <v>350</v>
      </c>
      <c r="E96" s="59">
        <f>SUM(B96:D96)</f>
        <v>759</v>
      </c>
      <c r="F96" s="1">
        <v>1880</v>
      </c>
      <c r="G96" s="1">
        <v>3547</v>
      </c>
      <c r="H96" s="1">
        <v>4837</v>
      </c>
      <c r="I96" s="59">
        <f>SUM(F96:H96)</f>
        <v>10264</v>
      </c>
      <c r="J96" s="1">
        <v>4549</v>
      </c>
      <c r="K96" s="1">
        <v>4873</v>
      </c>
      <c r="L96" s="1">
        <v>3130</v>
      </c>
      <c r="M96" s="59">
        <f>SUM(J96:L96)</f>
        <v>12552</v>
      </c>
      <c r="N96" s="1">
        <v>973</v>
      </c>
      <c r="O96" s="1">
        <v>659</v>
      </c>
      <c r="P96" s="1">
        <v>1876</v>
      </c>
      <c r="Q96" s="59">
        <f>SUM(N96:P96)</f>
        <v>3508</v>
      </c>
      <c r="R96" s="59">
        <f>+E96+I96+M96+Q96</f>
        <v>27083</v>
      </c>
      <c r="T96" s="4" t="s">
        <v>93</v>
      </c>
    </row>
    <row r="97" spans="1:20" ht="15.75" customHeight="1" x14ac:dyDescent="0.3">
      <c r="A97" s="76" t="s">
        <v>94</v>
      </c>
      <c r="B97" s="1"/>
      <c r="C97" s="1"/>
      <c r="D97" s="1"/>
      <c r="E97" s="59">
        <f>SUM(B97:D97)</f>
        <v>0</v>
      </c>
      <c r="F97" s="1"/>
      <c r="G97" s="1">
        <v>200</v>
      </c>
      <c r="H97" s="1">
        <v>250</v>
      </c>
      <c r="I97" s="59">
        <f>SUM(F97:H97)</f>
        <v>450</v>
      </c>
      <c r="J97" s="1">
        <v>335</v>
      </c>
      <c r="K97" s="1">
        <v>335</v>
      </c>
      <c r="L97" s="1">
        <v>515</v>
      </c>
      <c r="M97" s="59">
        <f>SUM(J97:L97)</f>
        <v>1185</v>
      </c>
      <c r="N97" s="1">
        <v>715</v>
      </c>
      <c r="O97" s="1">
        <v>245</v>
      </c>
      <c r="P97" s="1">
        <v>69</v>
      </c>
      <c r="Q97" s="59">
        <f>SUM(N97:P97)</f>
        <v>1029</v>
      </c>
      <c r="R97" s="59">
        <f>+E97+I97+M97+Q97</f>
        <v>2664</v>
      </c>
      <c r="T97" s="4" t="s">
        <v>78</v>
      </c>
    </row>
    <row r="98" spans="1:20" ht="15.75" customHeight="1" thickBot="1" x14ac:dyDescent="0.35">
      <c r="A98" s="22" t="s">
        <v>56</v>
      </c>
      <c r="B98" s="60"/>
      <c r="C98" s="60"/>
      <c r="D98" s="60"/>
      <c r="E98" s="59" t="s">
        <v>7</v>
      </c>
      <c r="F98" s="60"/>
      <c r="G98" s="60"/>
      <c r="H98" s="60"/>
      <c r="I98" s="59" t="s">
        <v>7</v>
      </c>
      <c r="J98" s="60"/>
      <c r="K98" s="60"/>
      <c r="L98" s="60"/>
      <c r="M98" s="59" t="s">
        <v>7</v>
      </c>
      <c r="N98" s="60"/>
      <c r="O98" s="60"/>
      <c r="P98" s="60"/>
      <c r="Q98" s="59" t="s">
        <v>7</v>
      </c>
      <c r="R98" s="59" t="s">
        <v>7</v>
      </c>
    </row>
    <row r="99" spans="1:20" ht="16.5" customHeight="1" thickBot="1" x14ac:dyDescent="0.35">
      <c r="A99" s="62" t="s">
        <v>57</v>
      </c>
      <c r="B99" s="63">
        <f>SUM(B93:B98)</f>
        <v>278</v>
      </c>
      <c r="C99" s="63">
        <f>SUM(C93:C98)</f>
        <v>131</v>
      </c>
      <c r="D99" s="63">
        <f>SUM(D93:D98)</f>
        <v>350</v>
      </c>
      <c r="E99" s="64">
        <f>SUM(B99:D99)</f>
        <v>759</v>
      </c>
      <c r="F99" s="63">
        <f>SUM(F93:F98)</f>
        <v>1880</v>
      </c>
      <c r="G99" s="63">
        <f>SUM(G93:G98)</f>
        <v>3747</v>
      </c>
      <c r="H99" s="63">
        <f>SUM(H93:H98)</f>
        <v>5087</v>
      </c>
      <c r="I99" s="64">
        <f>SUM(F99:H99)</f>
        <v>10714</v>
      </c>
      <c r="J99" s="63">
        <f>SUM(J93:J98)</f>
        <v>4884</v>
      </c>
      <c r="K99" s="63">
        <f>SUM(K93:K98)</f>
        <v>5208</v>
      </c>
      <c r="L99" s="63">
        <f>SUM(L93:L98)</f>
        <v>3645</v>
      </c>
      <c r="M99" s="64">
        <f>SUM(J99:L99)</f>
        <v>13737</v>
      </c>
      <c r="N99" s="63">
        <f>SUM(N93:N98)</f>
        <v>1688</v>
      </c>
      <c r="O99" s="63">
        <f>SUM(O93:O98)</f>
        <v>904</v>
      </c>
      <c r="P99" s="63">
        <f>SUM(P93:P98)</f>
        <v>1945</v>
      </c>
      <c r="Q99" s="64">
        <f>SUM(N99:P99)</f>
        <v>4537</v>
      </c>
      <c r="R99" s="64">
        <f>+E99+I99+M99+Q99</f>
        <v>29747</v>
      </c>
    </row>
    <row r="100" spans="1:20" ht="15.75" customHeight="1" x14ac:dyDescent="0.3">
      <c r="A100" s="22" t="s">
        <v>58</v>
      </c>
      <c r="B100" s="60"/>
      <c r="C100" s="60"/>
      <c r="D100" s="60"/>
      <c r="E100" s="59" t="s">
        <v>7</v>
      </c>
      <c r="F100" s="60"/>
      <c r="G100" s="60"/>
      <c r="H100" s="60"/>
      <c r="I100" s="59" t="s">
        <v>7</v>
      </c>
      <c r="J100" s="60"/>
      <c r="K100" s="60"/>
      <c r="L100" s="60"/>
      <c r="M100" s="59" t="s">
        <v>7</v>
      </c>
      <c r="N100" s="60"/>
      <c r="O100" s="60"/>
      <c r="P100" s="60"/>
      <c r="Q100" s="59" t="s">
        <v>7</v>
      </c>
      <c r="R100" s="59" t="s">
        <v>7</v>
      </c>
    </row>
    <row r="101" spans="1:20" ht="15.75" customHeight="1" x14ac:dyDescent="0.3">
      <c r="A101" s="22" t="s">
        <v>59</v>
      </c>
      <c r="B101" s="60"/>
      <c r="C101" s="60"/>
      <c r="D101" s="60"/>
      <c r="E101" s="59" t="s">
        <v>7</v>
      </c>
      <c r="F101" s="60"/>
      <c r="G101" s="60"/>
      <c r="H101" s="60"/>
      <c r="I101" s="59" t="s">
        <v>7</v>
      </c>
      <c r="J101" s="60"/>
      <c r="K101" s="60"/>
      <c r="L101" s="60"/>
      <c r="M101" s="59" t="s">
        <v>7</v>
      </c>
      <c r="N101" s="60"/>
      <c r="O101" s="60"/>
      <c r="P101" s="60"/>
      <c r="Q101" s="59" t="s">
        <v>7</v>
      </c>
      <c r="R101" s="59" t="s">
        <v>7</v>
      </c>
    </row>
    <row r="102" spans="1:20" ht="15.75" customHeight="1" x14ac:dyDescent="0.3">
      <c r="A102" s="22" t="s">
        <v>60</v>
      </c>
      <c r="B102" s="60"/>
      <c r="C102" s="60"/>
      <c r="D102" s="60"/>
      <c r="E102" s="59"/>
      <c r="F102" s="60"/>
      <c r="G102" s="60"/>
      <c r="H102" s="60"/>
      <c r="I102" s="59"/>
      <c r="J102" s="60"/>
      <c r="K102" s="60"/>
      <c r="L102" s="60"/>
      <c r="M102" s="59"/>
      <c r="N102" s="60"/>
      <c r="O102" s="60"/>
      <c r="P102" s="60"/>
      <c r="Q102" s="59"/>
      <c r="R102" s="59"/>
    </row>
    <row r="103" spans="1:20" ht="15.75" customHeight="1" x14ac:dyDescent="0.3">
      <c r="A103" s="76" t="s">
        <v>992</v>
      </c>
      <c r="B103" s="1"/>
      <c r="C103" s="1"/>
      <c r="D103" s="1"/>
      <c r="E103" s="59">
        <f t="shared" ref="E103:E114" si="13">SUM(B103:D103)</f>
        <v>0</v>
      </c>
      <c r="F103" s="1"/>
      <c r="G103" s="1"/>
      <c r="H103" s="1"/>
      <c r="I103" s="59">
        <f t="shared" ref="I103:I114" si="14">SUM(F103:H103)</f>
        <v>0</v>
      </c>
      <c r="J103" s="1"/>
      <c r="K103" s="1">
        <v>4000</v>
      </c>
      <c r="L103" s="1"/>
      <c r="M103" s="59">
        <f t="shared" ref="M103:M114" si="15">SUM(J103:L103)</f>
        <v>4000</v>
      </c>
      <c r="N103" s="1"/>
      <c r="O103" s="1"/>
      <c r="P103" s="1">
        <v>1695</v>
      </c>
      <c r="Q103" s="59">
        <f t="shared" ref="Q103:Q114" si="16">SUM(N103:P103)</f>
        <v>1695</v>
      </c>
      <c r="R103" s="59">
        <f t="shared" ref="R103:R114" si="17">+E103+I103+M103+Q103</f>
        <v>5695</v>
      </c>
    </row>
    <row r="104" spans="1:20" ht="15.75" customHeight="1" x14ac:dyDescent="0.3">
      <c r="A104" s="76" t="s">
        <v>95</v>
      </c>
      <c r="B104" s="1"/>
      <c r="C104" s="1"/>
      <c r="D104" s="1"/>
      <c r="E104" s="59">
        <f t="shared" si="13"/>
        <v>0</v>
      </c>
      <c r="F104" s="1"/>
      <c r="G104" s="1"/>
      <c r="H104" s="1"/>
      <c r="I104" s="59">
        <f t="shared" si="14"/>
        <v>0</v>
      </c>
      <c r="J104" s="1"/>
      <c r="K104" s="1"/>
      <c r="L104" s="1"/>
      <c r="M104" s="59">
        <f t="shared" si="15"/>
        <v>0</v>
      </c>
      <c r="N104" s="1"/>
      <c r="O104" s="1"/>
      <c r="P104" s="1"/>
      <c r="Q104" s="59">
        <f t="shared" ref="Q104" si="18">SUM(N104:P104)</f>
        <v>0</v>
      </c>
      <c r="R104" s="59">
        <f t="shared" si="17"/>
        <v>0</v>
      </c>
    </row>
    <row r="105" spans="1:20" ht="15.75" customHeight="1" x14ac:dyDescent="0.3">
      <c r="A105" s="76" t="s">
        <v>96</v>
      </c>
      <c r="B105" s="1"/>
      <c r="C105" s="1"/>
      <c r="D105" s="1"/>
      <c r="E105" s="59">
        <f t="shared" si="13"/>
        <v>0</v>
      </c>
      <c r="F105" s="1"/>
      <c r="G105" s="1"/>
      <c r="H105" s="1"/>
      <c r="I105" s="59">
        <f t="shared" si="14"/>
        <v>0</v>
      </c>
      <c r="J105" s="1"/>
      <c r="K105" s="1"/>
      <c r="L105" s="1"/>
      <c r="M105" s="59">
        <f t="shared" si="15"/>
        <v>0</v>
      </c>
      <c r="N105" s="1"/>
      <c r="O105" s="1"/>
      <c r="P105" s="1"/>
      <c r="Q105" s="59">
        <f t="shared" si="16"/>
        <v>0</v>
      </c>
      <c r="R105" s="59">
        <f t="shared" si="17"/>
        <v>0</v>
      </c>
    </row>
    <row r="106" spans="1:20" ht="15.75" customHeight="1" x14ac:dyDescent="0.3">
      <c r="A106" s="76" t="s">
        <v>97</v>
      </c>
      <c r="B106" s="1"/>
      <c r="C106" s="1"/>
      <c r="D106" s="1"/>
      <c r="E106" s="59">
        <f>SUM(B106:D106)</f>
        <v>0</v>
      </c>
      <c r="F106" s="1"/>
      <c r="G106" s="1"/>
      <c r="H106" s="1"/>
      <c r="I106" s="59">
        <f>SUM(F106:H106)</f>
        <v>0</v>
      </c>
      <c r="J106" s="1"/>
      <c r="K106" s="1"/>
      <c r="L106" s="1"/>
      <c r="M106" s="59">
        <f>SUM(J106:L106)</f>
        <v>0</v>
      </c>
      <c r="N106" s="1"/>
      <c r="O106" s="1"/>
      <c r="P106" s="1"/>
      <c r="Q106" s="59">
        <f>SUM(N106:P106)</f>
        <v>0</v>
      </c>
      <c r="R106" s="59">
        <f>+E106+I106+M106+Q106</f>
        <v>0</v>
      </c>
    </row>
    <row r="107" spans="1:20" ht="15.75" customHeight="1" x14ac:dyDescent="0.3">
      <c r="A107" s="76" t="s">
        <v>98</v>
      </c>
      <c r="B107" s="1"/>
      <c r="C107" s="1"/>
      <c r="D107" s="1"/>
      <c r="E107" s="59">
        <f>SUM(B107:D107)</f>
        <v>0</v>
      </c>
      <c r="F107" s="1"/>
      <c r="G107" s="1"/>
      <c r="H107" s="1"/>
      <c r="I107" s="59">
        <f>SUM(F107:H107)</f>
        <v>0</v>
      </c>
      <c r="J107" s="1"/>
      <c r="K107" s="1"/>
      <c r="L107" s="1"/>
      <c r="M107" s="59">
        <f>SUM(J107:L107)</f>
        <v>0</v>
      </c>
      <c r="N107" s="1"/>
      <c r="O107" s="1"/>
      <c r="P107" s="1"/>
      <c r="Q107" s="59">
        <f>SUM(N107:P107)</f>
        <v>0</v>
      </c>
      <c r="R107" s="59">
        <f>+E107+I107+M107+Q107</f>
        <v>0</v>
      </c>
      <c r="T107" s="4" t="s">
        <v>83</v>
      </c>
    </row>
    <row r="108" spans="1:20" ht="15.75" customHeight="1" x14ac:dyDescent="0.3">
      <c r="A108" s="76" t="s">
        <v>99</v>
      </c>
      <c r="B108" s="1"/>
      <c r="C108" s="1"/>
      <c r="D108" s="1"/>
      <c r="E108" s="59">
        <f>SUM(B108:D108)</f>
        <v>0</v>
      </c>
      <c r="F108" s="1"/>
      <c r="G108" s="1"/>
      <c r="H108" s="1"/>
      <c r="I108" s="59">
        <f>SUM(F108:H108)</f>
        <v>0</v>
      </c>
      <c r="J108" s="1"/>
      <c r="K108" s="1"/>
      <c r="L108" s="1"/>
      <c r="M108" s="59">
        <f>SUM(J108:L108)</f>
        <v>0</v>
      </c>
      <c r="N108" s="1"/>
      <c r="O108" s="1"/>
      <c r="P108" s="1"/>
      <c r="Q108" s="59">
        <f>SUM(N108:P108)</f>
        <v>0</v>
      </c>
      <c r="R108" s="59">
        <f>+E108+I108+M108+Q108</f>
        <v>0</v>
      </c>
    </row>
    <row r="109" spans="1:20" ht="15.75" customHeight="1" x14ac:dyDescent="0.3">
      <c r="A109" s="76" t="s">
        <v>100</v>
      </c>
      <c r="B109" s="1"/>
      <c r="C109" s="1"/>
      <c r="D109" s="1"/>
      <c r="E109" s="59">
        <f t="shared" si="13"/>
        <v>0</v>
      </c>
      <c r="F109" s="1"/>
      <c r="G109" s="1"/>
      <c r="H109" s="1"/>
      <c r="I109" s="59">
        <f t="shared" si="14"/>
        <v>0</v>
      </c>
      <c r="J109" s="1"/>
      <c r="K109" s="1"/>
      <c r="L109" s="1"/>
      <c r="M109" s="59">
        <f t="shared" si="15"/>
        <v>0</v>
      </c>
      <c r="N109" s="1"/>
      <c r="O109" s="1"/>
      <c r="P109" s="1"/>
      <c r="Q109" s="59">
        <f t="shared" si="16"/>
        <v>0</v>
      </c>
      <c r="R109" s="59">
        <f t="shared" si="17"/>
        <v>0</v>
      </c>
    </row>
    <row r="110" spans="1:20" ht="15.75" customHeight="1" x14ac:dyDescent="0.3">
      <c r="A110" s="76" t="s">
        <v>101</v>
      </c>
      <c r="B110" s="1"/>
      <c r="C110" s="1"/>
      <c r="D110" s="1"/>
      <c r="E110" s="59">
        <f t="shared" si="13"/>
        <v>0</v>
      </c>
      <c r="F110" s="1"/>
      <c r="G110" s="1"/>
      <c r="H110" s="1"/>
      <c r="I110" s="59">
        <f t="shared" si="14"/>
        <v>0</v>
      </c>
      <c r="J110" s="1"/>
      <c r="K110" s="1"/>
      <c r="L110" s="1"/>
      <c r="M110" s="59">
        <f t="shared" si="15"/>
        <v>0</v>
      </c>
      <c r="N110" s="1"/>
      <c r="O110" s="1"/>
      <c r="P110" s="1"/>
      <c r="Q110" s="59">
        <f t="shared" ref="Q110" si="19">SUM(N110:P110)</f>
        <v>0</v>
      </c>
      <c r="R110" s="59">
        <f t="shared" si="17"/>
        <v>0</v>
      </c>
    </row>
    <row r="111" spans="1:20" ht="15.75" customHeight="1" x14ac:dyDescent="0.3">
      <c r="A111" s="76" t="s">
        <v>993</v>
      </c>
      <c r="B111" s="1"/>
      <c r="C111" s="1"/>
      <c r="D111" s="1"/>
      <c r="E111" s="59">
        <f t="shared" si="13"/>
        <v>0</v>
      </c>
      <c r="F111" s="1"/>
      <c r="G111" s="1"/>
      <c r="H111" s="1"/>
      <c r="I111" s="59">
        <f t="shared" si="14"/>
        <v>0</v>
      </c>
      <c r="J111" s="1">
        <v>3185</v>
      </c>
      <c r="K111" s="1"/>
      <c r="L111" s="1"/>
      <c r="M111" s="59">
        <f t="shared" si="15"/>
        <v>3185</v>
      </c>
      <c r="N111" s="1"/>
      <c r="O111" s="1"/>
      <c r="P111" s="1"/>
      <c r="Q111" s="59">
        <f t="shared" ref="Q111" si="20">SUM(N111:P111)</f>
        <v>0</v>
      </c>
      <c r="R111" s="59">
        <f t="shared" si="17"/>
        <v>3185</v>
      </c>
    </row>
    <row r="112" spans="1:20" ht="15.75" customHeight="1" x14ac:dyDescent="0.3">
      <c r="A112" s="76" t="s">
        <v>994</v>
      </c>
      <c r="B112" s="1"/>
      <c r="C112" s="1"/>
      <c r="D112" s="1"/>
      <c r="E112" s="59">
        <f t="shared" ref="E112" si="21">SUM(B112:D112)</f>
        <v>0</v>
      </c>
      <c r="F112" s="1"/>
      <c r="G112" s="1"/>
      <c r="H112" s="1"/>
      <c r="I112" s="59">
        <f t="shared" ref="I112" si="22">SUM(F112:H112)</f>
        <v>0</v>
      </c>
      <c r="J112" s="1"/>
      <c r="K112" s="1"/>
      <c r="L112" s="1">
        <v>854</v>
      </c>
      <c r="M112" s="59">
        <f t="shared" ref="M112" si="23">SUM(J112:L112)</f>
        <v>854</v>
      </c>
      <c r="N112" s="1"/>
      <c r="O112" s="1"/>
      <c r="P112" s="1"/>
      <c r="Q112" s="59">
        <f t="shared" ref="Q112" si="24">SUM(N112:P112)</f>
        <v>0</v>
      </c>
      <c r="R112" s="59">
        <f t="shared" si="17"/>
        <v>854</v>
      </c>
    </row>
    <row r="113" spans="1:20" ht="15.75" customHeight="1" thickBot="1" x14ac:dyDescent="0.35">
      <c r="A113" s="76" t="s">
        <v>102</v>
      </c>
      <c r="B113" s="1"/>
      <c r="C113" s="1"/>
      <c r="D113" s="1"/>
      <c r="E113" s="59">
        <f t="shared" si="13"/>
        <v>0</v>
      </c>
      <c r="F113" s="1"/>
      <c r="G113" s="1"/>
      <c r="H113" s="1">
        <v>859</v>
      </c>
      <c r="I113" s="59">
        <f t="shared" si="14"/>
        <v>859</v>
      </c>
      <c r="J113" s="1">
        <v>838</v>
      </c>
      <c r="K113" s="1">
        <v>1566</v>
      </c>
      <c r="L113" s="1">
        <v>1190</v>
      </c>
      <c r="M113" s="59">
        <f t="shared" si="15"/>
        <v>3594</v>
      </c>
      <c r="N113" s="1">
        <v>959</v>
      </c>
      <c r="O113" s="1">
        <v>490</v>
      </c>
      <c r="P113" s="1"/>
      <c r="Q113" s="59">
        <f t="shared" si="16"/>
        <v>1449</v>
      </c>
      <c r="R113" s="59">
        <f t="shared" si="17"/>
        <v>5902</v>
      </c>
    </row>
    <row r="114" spans="1:20" ht="16.5" customHeight="1" thickBot="1" x14ac:dyDescent="0.35">
      <c r="A114" s="62" t="s">
        <v>61</v>
      </c>
      <c r="B114" s="63">
        <f>SUM(B100:B113)</f>
        <v>0</v>
      </c>
      <c r="C114" s="63">
        <f>SUM(C100:C113)</f>
        <v>0</v>
      </c>
      <c r="D114" s="63">
        <f>SUM(D100:D113)</f>
        <v>0</v>
      </c>
      <c r="E114" s="64">
        <f t="shared" si="13"/>
        <v>0</v>
      </c>
      <c r="F114" s="63">
        <f>SUM(F100:F113)</f>
        <v>0</v>
      </c>
      <c r="G114" s="63">
        <f>SUM(G100:G113)</f>
        <v>0</v>
      </c>
      <c r="H114" s="63">
        <f>SUM(H100:H113)</f>
        <v>859</v>
      </c>
      <c r="I114" s="64">
        <f t="shared" si="14"/>
        <v>859</v>
      </c>
      <c r="J114" s="63">
        <f>SUM(J100:J113)</f>
        <v>4023</v>
      </c>
      <c r="K114" s="63">
        <f>SUM(K100:K113)</f>
        <v>5566</v>
      </c>
      <c r="L114" s="63">
        <f>SUM(L100:L113)</f>
        <v>2044</v>
      </c>
      <c r="M114" s="64">
        <f t="shared" si="15"/>
        <v>11633</v>
      </c>
      <c r="N114" s="63">
        <f>SUM(N100:N113)</f>
        <v>959</v>
      </c>
      <c r="O114" s="63">
        <f>SUM(O100:O113)</f>
        <v>490</v>
      </c>
      <c r="P114" s="63">
        <f>SUM(P100:P113)</f>
        <v>1695</v>
      </c>
      <c r="Q114" s="64">
        <f t="shared" si="16"/>
        <v>3144</v>
      </c>
      <c r="R114" s="64">
        <f t="shared" si="17"/>
        <v>15636</v>
      </c>
    </row>
    <row r="115" spans="1:20" ht="15.75" customHeight="1" x14ac:dyDescent="0.3">
      <c r="A115" s="22" t="s">
        <v>62</v>
      </c>
      <c r="B115" s="60"/>
      <c r="C115" s="60"/>
      <c r="D115" s="60"/>
      <c r="E115" s="59" t="s">
        <v>7</v>
      </c>
      <c r="F115" s="60"/>
      <c r="G115" s="60"/>
      <c r="H115" s="60"/>
      <c r="I115" s="59" t="s">
        <v>7</v>
      </c>
      <c r="J115" s="60"/>
      <c r="K115" s="60"/>
      <c r="L115" s="60"/>
      <c r="M115" s="59" t="s">
        <v>7</v>
      </c>
      <c r="N115" s="60"/>
      <c r="O115" s="60"/>
      <c r="P115" s="60"/>
      <c r="Q115" s="59" t="s">
        <v>7</v>
      </c>
      <c r="R115" s="59" t="s">
        <v>7</v>
      </c>
    </row>
    <row r="116" spans="1:20" ht="15.75" customHeight="1" x14ac:dyDescent="0.3">
      <c r="A116" s="22" t="s">
        <v>63</v>
      </c>
      <c r="B116" s="60"/>
      <c r="C116" s="60"/>
      <c r="D116" s="60"/>
      <c r="E116" s="59" t="s">
        <v>7</v>
      </c>
      <c r="F116" s="60"/>
      <c r="G116" s="60"/>
      <c r="H116" s="60"/>
      <c r="I116" s="59" t="s">
        <v>7</v>
      </c>
      <c r="J116" s="60"/>
      <c r="K116" s="60"/>
      <c r="L116" s="60"/>
      <c r="M116" s="59" t="s">
        <v>7</v>
      </c>
      <c r="N116" s="60"/>
      <c r="O116" s="60"/>
      <c r="P116" s="60"/>
      <c r="Q116" s="59" t="s">
        <v>7</v>
      </c>
      <c r="R116" s="59" t="s">
        <v>7</v>
      </c>
    </row>
    <row r="117" spans="1:20" ht="15.75" customHeight="1" x14ac:dyDescent="0.3">
      <c r="A117" s="61" t="s">
        <v>103</v>
      </c>
      <c r="B117" s="1"/>
      <c r="C117" s="1"/>
      <c r="D117" s="1"/>
      <c r="E117" s="59">
        <f t="shared" ref="E117:E122" si="25">SUM(B117:D117)</f>
        <v>0</v>
      </c>
      <c r="F117" s="1"/>
      <c r="G117" s="1"/>
      <c r="H117" s="1"/>
      <c r="I117" s="59">
        <f t="shared" ref="I117:I122" si="26">SUM(F117:H117)</f>
        <v>0</v>
      </c>
      <c r="J117" s="1"/>
      <c r="K117" s="1"/>
      <c r="L117" s="1"/>
      <c r="M117" s="59">
        <f t="shared" ref="M117:M122" si="27">SUM(J117:L117)</f>
        <v>0</v>
      </c>
      <c r="N117" s="1"/>
      <c r="O117" s="1"/>
      <c r="P117" s="1"/>
      <c r="Q117" s="59">
        <f t="shared" ref="Q117:Q122" si="28">SUM(N117:P117)</f>
        <v>0</v>
      </c>
      <c r="R117" s="59">
        <f t="shared" ref="R117:R122" si="29">+E117+I117+M117+Q117</f>
        <v>0</v>
      </c>
    </row>
    <row r="118" spans="1:20" ht="15.75" customHeight="1" x14ac:dyDescent="0.3">
      <c r="A118" s="61" t="s">
        <v>104</v>
      </c>
      <c r="B118" s="1"/>
      <c r="C118" s="1"/>
      <c r="D118" s="1"/>
      <c r="E118" s="59">
        <f t="shared" si="25"/>
        <v>0</v>
      </c>
      <c r="F118" s="1"/>
      <c r="G118" s="1"/>
      <c r="H118" s="1"/>
      <c r="I118" s="59">
        <f t="shared" si="26"/>
        <v>0</v>
      </c>
      <c r="J118" s="1">
        <v>512</v>
      </c>
      <c r="K118" s="1">
        <v>3000</v>
      </c>
      <c r="L118" s="1">
        <v>5188</v>
      </c>
      <c r="M118" s="59">
        <f t="shared" si="27"/>
        <v>8700</v>
      </c>
      <c r="N118" s="1">
        <v>2632</v>
      </c>
      <c r="O118" s="1"/>
      <c r="P118" s="1"/>
      <c r="Q118" s="59">
        <f t="shared" si="28"/>
        <v>2632</v>
      </c>
      <c r="R118" s="59">
        <f t="shared" si="29"/>
        <v>11332</v>
      </c>
    </row>
    <row r="119" spans="1:20" ht="15.75" customHeight="1" x14ac:dyDescent="0.3">
      <c r="A119" s="61" t="s">
        <v>105</v>
      </c>
      <c r="B119" s="1"/>
      <c r="C119" s="1"/>
      <c r="D119" s="1"/>
      <c r="E119" s="59">
        <f t="shared" si="25"/>
        <v>0</v>
      </c>
      <c r="F119" s="1"/>
      <c r="G119" s="1"/>
      <c r="H119" s="1"/>
      <c r="I119" s="59">
        <f t="shared" si="26"/>
        <v>0</v>
      </c>
      <c r="J119" s="1"/>
      <c r="K119" s="1"/>
      <c r="L119" s="1"/>
      <c r="M119" s="59">
        <f t="shared" si="27"/>
        <v>0</v>
      </c>
      <c r="N119" s="1"/>
      <c r="O119" s="1"/>
      <c r="P119" s="1"/>
      <c r="Q119" s="59">
        <f t="shared" si="28"/>
        <v>0</v>
      </c>
      <c r="R119" s="59">
        <f t="shared" si="29"/>
        <v>0</v>
      </c>
    </row>
    <row r="120" spans="1:20" ht="15.75" customHeight="1" x14ac:dyDescent="0.3">
      <c r="A120" s="61" t="s">
        <v>106</v>
      </c>
      <c r="B120" s="1"/>
      <c r="C120" s="1"/>
      <c r="D120" s="1"/>
      <c r="E120" s="59">
        <f t="shared" si="25"/>
        <v>0</v>
      </c>
      <c r="F120" s="1"/>
      <c r="G120" s="1"/>
      <c r="H120" s="1"/>
      <c r="I120" s="59">
        <f t="shared" si="26"/>
        <v>0</v>
      </c>
      <c r="J120" s="1"/>
      <c r="K120" s="1"/>
      <c r="L120" s="1"/>
      <c r="M120" s="59">
        <f t="shared" si="27"/>
        <v>0</v>
      </c>
      <c r="N120" s="1"/>
      <c r="O120" s="1"/>
      <c r="P120" s="1"/>
      <c r="Q120" s="59">
        <f t="shared" si="28"/>
        <v>0</v>
      </c>
      <c r="R120" s="59">
        <f t="shared" si="29"/>
        <v>0</v>
      </c>
    </row>
    <row r="121" spans="1:20" ht="15.75" customHeight="1" x14ac:dyDescent="0.3">
      <c r="A121" s="61" t="s">
        <v>107</v>
      </c>
      <c r="B121" s="1"/>
      <c r="C121" s="1"/>
      <c r="D121" s="1"/>
      <c r="E121" s="59">
        <f t="shared" si="25"/>
        <v>0</v>
      </c>
      <c r="F121" s="1"/>
      <c r="G121" s="1"/>
      <c r="H121" s="1"/>
      <c r="I121" s="59">
        <f t="shared" si="26"/>
        <v>0</v>
      </c>
      <c r="J121" s="1"/>
      <c r="K121" s="1"/>
      <c r="L121" s="1"/>
      <c r="M121" s="59">
        <f t="shared" si="27"/>
        <v>0</v>
      </c>
      <c r="N121" s="1"/>
      <c r="O121" s="1"/>
      <c r="P121" s="1"/>
      <c r="Q121" s="59">
        <f t="shared" si="28"/>
        <v>0</v>
      </c>
      <c r="R121" s="59">
        <f t="shared" si="29"/>
        <v>0</v>
      </c>
    </row>
    <row r="122" spans="1:20" ht="15.75" customHeight="1" x14ac:dyDescent="0.3">
      <c r="A122" s="61" t="s">
        <v>108</v>
      </c>
      <c r="B122" s="1"/>
      <c r="C122" s="1"/>
      <c r="D122" s="1"/>
      <c r="E122" s="59">
        <f t="shared" si="25"/>
        <v>0</v>
      </c>
      <c r="F122" s="1"/>
      <c r="G122" s="1"/>
      <c r="H122" s="1"/>
      <c r="I122" s="59">
        <f t="shared" si="26"/>
        <v>0</v>
      </c>
      <c r="J122" s="1"/>
      <c r="K122" s="1"/>
      <c r="L122" s="1"/>
      <c r="M122" s="59">
        <f t="shared" si="27"/>
        <v>0</v>
      </c>
      <c r="N122" s="1"/>
      <c r="O122" s="1"/>
      <c r="P122" s="1"/>
      <c r="Q122" s="59">
        <f t="shared" si="28"/>
        <v>0</v>
      </c>
      <c r="R122" s="59">
        <f t="shared" si="29"/>
        <v>0</v>
      </c>
    </row>
    <row r="123" spans="1:20" ht="15.75" customHeight="1" x14ac:dyDescent="0.3">
      <c r="A123" s="61" t="s">
        <v>109</v>
      </c>
      <c r="B123" s="1"/>
      <c r="C123" s="1"/>
      <c r="D123" s="1"/>
      <c r="E123" s="59">
        <f>SUM(B123:D123)</f>
        <v>0</v>
      </c>
      <c r="F123" s="1"/>
      <c r="G123" s="1"/>
      <c r="H123" s="1"/>
      <c r="I123" s="59">
        <f>SUM(F123:H123)</f>
        <v>0</v>
      </c>
      <c r="J123" s="1"/>
      <c r="K123" s="1"/>
      <c r="L123" s="1"/>
      <c r="M123" s="59">
        <f>SUM(J123:L123)</f>
        <v>0</v>
      </c>
      <c r="N123" s="1"/>
      <c r="O123" s="1"/>
      <c r="P123" s="1"/>
      <c r="Q123" s="59">
        <f>SUM(N123:P123)</f>
        <v>0</v>
      </c>
      <c r="R123" s="59">
        <f>+E123+I123+M123+Q123</f>
        <v>0</v>
      </c>
    </row>
    <row r="124" spans="1:20" ht="15.75" customHeight="1" x14ac:dyDescent="0.3">
      <c r="A124" s="78" t="s">
        <v>110</v>
      </c>
      <c r="B124" s="1"/>
      <c r="C124" s="1"/>
      <c r="D124" s="1"/>
      <c r="E124" s="59">
        <f>SUM(B124:D124)</f>
        <v>0</v>
      </c>
      <c r="F124" s="1"/>
      <c r="G124" s="1"/>
      <c r="H124" s="1"/>
      <c r="I124" s="59">
        <f>SUM(F124:H124)</f>
        <v>0</v>
      </c>
      <c r="J124" s="1"/>
      <c r="K124" s="1"/>
      <c r="L124" s="1"/>
      <c r="M124" s="59">
        <f>SUM(J124:L124)</f>
        <v>0</v>
      </c>
      <c r="N124" s="1"/>
      <c r="O124" s="1"/>
      <c r="P124" s="1"/>
      <c r="Q124" s="59">
        <f>SUM(N124:P124)</f>
        <v>0</v>
      </c>
      <c r="R124" s="59">
        <f>+E124+I124+M124+Q124</f>
        <v>0</v>
      </c>
      <c r="T124" s="4" t="s">
        <v>111</v>
      </c>
    </row>
    <row r="125" spans="1:20" ht="15.75" customHeight="1" x14ac:dyDescent="0.3">
      <c r="A125" s="22" t="s">
        <v>64</v>
      </c>
      <c r="B125" s="60"/>
      <c r="C125" s="60"/>
      <c r="D125" s="60"/>
      <c r="E125" s="59" t="s">
        <v>7</v>
      </c>
      <c r="F125" s="60"/>
      <c r="G125" s="60"/>
      <c r="H125" s="60"/>
      <c r="I125" s="59" t="s">
        <v>7</v>
      </c>
      <c r="J125" s="60"/>
      <c r="K125" s="60"/>
      <c r="L125" s="60"/>
      <c r="M125" s="59" t="s">
        <v>7</v>
      </c>
      <c r="N125" s="60"/>
      <c r="O125" s="60"/>
      <c r="P125" s="60"/>
      <c r="Q125" s="59" t="s">
        <v>7</v>
      </c>
      <c r="R125" s="59" t="s">
        <v>7</v>
      </c>
    </row>
    <row r="126" spans="1:20" ht="15.75" customHeight="1" x14ac:dyDescent="0.3">
      <c r="A126" s="61" t="s">
        <v>112</v>
      </c>
      <c r="B126" s="1"/>
      <c r="C126" s="1"/>
      <c r="D126" s="1"/>
      <c r="E126" s="59">
        <f>SUM(B126:D126)</f>
        <v>0</v>
      </c>
      <c r="F126" s="1"/>
      <c r="G126" s="1"/>
      <c r="H126" s="1"/>
      <c r="I126" s="59">
        <f>SUM(F126:H126)</f>
        <v>0</v>
      </c>
      <c r="J126" s="1"/>
      <c r="K126" s="1">
        <v>7028</v>
      </c>
      <c r="L126" s="1">
        <v>8000</v>
      </c>
      <c r="M126" s="59">
        <f>SUM(J126:L126)</f>
        <v>15028</v>
      </c>
      <c r="N126" s="1">
        <v>8436</v>
      </c>
      <c r="O126" s="1">
        <v>7003</v>
      </c>
      <c r="P126" s="1">
        <v>3988</v>
      </c>
      <c r="Q126" s="59">
        <f>SUM(N126:P126)</f>
        <v>19427</v>
      </c>
      <c r="R126" s="59">
        <f>+E126+I126+M126+Q126</f>
        <v>34455</v>
      </c>
    </row>
    <row r="127" spans="1:20" ht="15.75" customHeight="1" x14ac:dyDescent="0.3">
      <c r="A127" s="61" t="s">
        <v>113</v>
      </c>
      <c r="B127" s="1"/>
      <c r="C127" s="1"/>
      <c r="D127" s="1"/>
      <c r="E127" s="59">
        <f>SUM(B127:D127)</f>
        <v>0</v>
      </c>
      <c r="F127" s="1"/>
      <c r="G127" s="1"/>
      <c r="H127" s="1"/>
      <c r="I127" s="59">
        <f>SUM(F127:H127)</f>
        <v>0</v>
      </c>
      <c r="J127" s="1"/>
      <c r="K127" s="1"/>
      <c r="L127" s="1"/>
      <c r="M127" s="59">
        <f>SUM(J127:L127)</f>
        <v>0</v>
      </c>
      <c r="N127" s="1"/>
      <c r="O127" s="1"/>
      <c r="P127" s="1"/>
      <c r="Q127" s="59">
        <f>SUM(N127:P127)</f>
        <v>0</v>
      </c>
      <c r="R127" s="59">
        <f>+E127+I127+M127+Q127</f>
        <v>0</v>
      </c>
    </row>
    <row r="128" spans="1:20" ht="15.75" customHeight="1" x14ac:dyDescent="0.3">
      <c r="A128" s="22" t="s">
        <v>66</v>
      </c>
      <c r="B128" s="60"/>
      <c r="C128" s="60"/>
      <c r="D128" s="60"/>
      <c r="E128" s="59" t="s">
        <v>7</v>
      </c>
      <c r="F128" s="60"/>
      <c r="G128" s="60"/>
      <c r="H128" s="60"/>
      <c r="I128" s="59" t="s">
        <v>7</v>
      </c>
      <c r="J128" s="60"/>
      <c r="K128" s="60"/>
      <c r="L128" s="60"/>
      <c r="M128" s="59" t="s">
        <v>7</v>
      </c>
      <c r="N128" s="60"/>
      <c r="O128" s="60"/>
      <c r="P128" s="60"/>
      <c r="Q128" s="59" t="s">
        <v>7</v>
      </c>
      <c r="R128" s="59" t="s">
        <v>7</v>
      </c>
    </row>
    <row r="129" spans="1:20" ht="15.75" customHeight="1" x14ac:dyDescent="0.3">
      <c r="A129" s="61" t="s">
        <v>114</v>
      </c>
      <c r="B129" s="1"/>
      <c r="C129" s="1"/>
      <c r="D129" s="1"/>
      <c r="E129" s="59">
        <f>SUM(B129:D129)</f>
        <v>0</v>
      </c>
      <c r="F129" s="1"/>
      <c r="G129" s="1"/>
      <c r="H129" s="1"/>
      <c r="I129" s="59">
        <f>SUM(F129:H129)</f>
        <v>0</v>
      </c>
      <c r="J129" s="1"/>
      <c r="K129" s="1"/>
      <c r="L129" s="1"/>
      <c r="M129" s="59">
        <f>SUM(J129:L129)</f>
        <v>0</v>
      </c>
      <c r="N129" s="1"/>
      <c r="O129" s="1"/>
      <c r="P129" s="1"/>
      <c r="Q129" s="59">
        <f>SUM(N129:P129)</f>
        <v>0</v>
      </c>
      <c r="R129" s="59">
        <f>+E129+I129+M129+Q129</f>
        <v>0</v>
      </c>
      <c r="T129" s="4" t="s">
        <v>78</v>
      </c>
    </row>
    <row r="130" spans="1:20" ht="15.75" customHeight="1" x14ac:dyDescent="0.3">
      <c r="A130" s="22" t="s">
        <v>67</v>
      </c>
      <c r="B130" s="60"/>
      <c r="C130" s="60"/>
      <c r="D130" s="60"/>
      <c r="E130" s="59" t="s">
        <v>7</v>
      </c>
      <c r="F130" s="60"/>
      <c r="G130" s="60"/>
      <c r="H130" s="60"/>
      <c r="I130" s="59" t="s">
        <v>7</v>
      </c>
      <c r="J130" s="60"/>
      <c r="K130" s="60"/>
      <c r="L130" s="60"/>
      <c r="M130" s="59" t="s">
        <v>7</v>
      </c>
      <c r="N130" s="60"/>
      <c r="O130" s="60"/>
      <c r="P130" s="60"/>
      <c r="Q130" s="59" t="s">
        <v>7</v>
      </c>
      <c r="R130" s="59" t="s">
        <v>7</v>
      </c>
    </row>
    <row r="131" spans="1:20" ht="15.75" customHeight="1" x14ac:dyDescent="0.3">
      <c r="A131" s="61" t="s">
        <v>115</v>
      </c>
      <c r="B131" s="1"/>
      <c r="C131" s="1"/>
      <c r="D131" s="1"/>
      <c r="E131" s="59">
        <f t="shared" ref="E131:E136" si="30">SUM(B131:D131)</f>
        <v>0</v>
      </c>
      <c r="F131" s="1"/>
      <c r="G131" s="1"/>
      <c r="H131" s="1"/>
      <c r="I131" s="59">
        <f t="shared" ref="I131:I136" si="31">SUM(F131:H131)</f>
        <v>0</v>
      </c>
      <c r="J131" s="1"/>
      <c r="K131" s="1"/>
      <c r="L131" s="1"/>
      <c r="M131" s="59">
        <f t="shared" ref="M131:M136" si="32">SUM(J131:L131)</f>
        <v>0</v>
      </c>
      <c r="N131" s="1"/>
      <c r="O131" s="1"/>
      <c r="P131" s="1"/>
      <c r="Q131" s="59">
        <f t="shared" ref="Q131:Q136" si="33">SUM(N131:P131)</f>
        <v>0</v>
      </c>
      <c r="R131" s="59">
        <f t="shared" ref="R131:R136" si="34">+E131+I131+M131+Q131</f>
        <v>0</v>
      </c>
    </row>
    <row r="132" spans="1:20" ht="15.75" customHeight="1" thickBot="1" x14ac:dyDescent="0.35">
      <c r="A132" s="61" t="s">
        <v>116</v>
      </c>
      <c r="B132" s="1"/>
      <c r="C132" s="1"/>
      <c r="D132" s="1"/>
      <c r="E132" s="59">
        <f t="shared" si="30"/>
        <v>0</v>
      </c>
      <c r="F132" s="1"/>
      <c r="G132" s="1"/>
      <c r="H132" s="1"/>
      <c r="I132" s="59">
        <f t="shared" si="31"/>
        <v>0</v>
      </c>
      <c r="J132" s="1"/>
      <c r="K132" s="1"/>
      <c r="L132" s="1"/>
      <c r="M132" s="59">
        <f t="shared" si="32"/>
        <v>0</v>
      </c>
      <c r="N132" s="1"/>
      <c r="O132" s="1">
        <v>74</v>
      </c>
      <c r="P132" s="1">
        <v>326</v>
      </c>
      <c r="Q132" s="59">
        <f t="shared" si="33"/>
        <v>400</v>
      </c>
      <c r="R132" s="59">
        <f t="shared" si="34"/>
        <v>400</v>
      </c>
    </row>
    <row r="133" spans="1:20" ht="16.5" customHeight="1" thickBot="1" x14ac:dyDescent="0.35">
      <c r="A133" s="62" t="s">
        <v>68</v>
      </c>
      <c r="B133" s="63">
        <f>SUM(B128:B132)</f>
        <v>0</v>
      </c>
      <c r="C133" s="63">
        <f>SUM(C128:C132)</f>
        <v>0</v>
      </c>
      <c r="D133" s="63">
        <f>SUM(D128:D132)</f>
        <v>0</v>
      </c>
      <c r="E133" s="334">
        <f t="shared" si="30"/>
        <v>0</v>
      </c>
      <c r="F133" s="63">
        <f>SUM(F128:F132)</f>
        <v>0</v>
      </c>
      <c r="G133" s="63">
        <f>SUM(G128:G132)</f>
        <v>0</v>
      </c>
      <c r="H133" s="63">
        <f>SUM(H128:H132)</f>
        <v>0</v>
      </c>
      <c r="I133" s="334">
        <f t="shared" si="31"/>
        <v>0</v>
      </c>
      <c r="J133" s="63">
        <f>SUM(J128:J132)</f>
        <v>0</v>
      </c>
      <c r="K133" s="63">
        <f>SUM(K128:K132)</f>
        <v>0</v>
      </c>
      <c r="L133" s="63">
        <f>SUM(L128:L132)</f>
        <v>0</v>
      </c>
      <c r="M133" s="334">
        <f t="shared" si="32"/>
        <v>0</v>
      </c>
      <c r="N133" s="63">
        <f>SUM(N128:N132)</f>
        <v>0</v>
      </c>
      <c r="O133" s="63">
        <f>SUM(O128:O132)</f>
        <v>74</v>
      </c>
      <c r="P133" s="63">
        <f>SUM(P128:P132)</f>
        <v>326</v>
      </c>
      <c r="Q133" s="334">
        <f t="shared" si="33"/>
        <v>400</v>
      </c>
      <c r="R133" s="64">
        <f t="shared" si="34"/>
        <v>400</v>
      </c>
    </row>
    <row r="134" spans="1:20" ht="16.5" customHeight="1" thickBot="1" x14ac:dyDescent="0.35">
      <c r="A134" s="62" t="s">
        <v>69</v>
      </c>
      <c r="B134" s="63">
        <f>SUM(B115:B132)</f>
        <v>0</v>
      </c>
      <c r="C134" s="63">
        <f>SUM(C115:C132)</f>
        <v>0</v>
      </c>
      <c r="D134" s="63">
        <f>SUM(D115:D132)</f>
        <v>0</v>
      </c>
      <c r="E134" s="334">
        <f t="shared" si="30"/>
        <v>0</v>
      </c>
      <c r="F134" s="63">
        <f>SUM(F115:F132)</f>
        <v>0</v>
      </c>
      <c r="G134" s="63">
        <f>SUM(G115:G132)</f>
        <v>0</v>
      </c>
      <c r="H134" s="63">
        <f>SUM(H115:H132)</f>
        <v>0</v>
      </c>
      <c r="I134" s="334">
        <f t="shared" si="31"/>
        <v>0</v>
      </c>
      <c r="J134" s="63">
        <f>SUM(J115:J132)</f>
        <v>512</v>
      </c>
      <c r="K134" s="63">
        <f>SUM(K115:K132)</f>
        <v>10028</v>
      </c>
      <c r="L134" s="63">
        <f>SUM(L115:L132)</f>
        <v>13188</v>
      </c>
      <c r="M134" s="334">
        <f t="shared" si="32"/>
        <v>23728</v>
      </c>
      <c r="N134" s="63">
        <f>SUM(N115:N132)</f>
        <v>11068</v>
      </c>
      <c r="O134" s="63">
        <f>SUM(O115:O132)</f>
        <v>7077</v>
      </c>
      <c r="P134" s="63">
        <f>SUM(P115:P132)</f>
        <v>4314</v>
      </c>
      <c r="Q134" s="334">
        <f t="shared" si="33"/>
        <v>22459</v>
      </c>
      <c r="R134" s="64">
        <f t="shared" si="34"/>
        <v>46187</v>
      </c>
    </row>
    <row r="135" spans="1:20" ht="16.5" customHeight="1" thickBot="1" x14ac:dyDescent="0.35">
      <c r="A135" s="62" t="s">
        <v>70</v>
      </c>
      <c r="B135" s="63">
        <f>+B92+B99+B114+B134</f>
        <v>851</v>
      </c>
      <c r="C135" s="63">
        <f>+C92+C99+C114+C134</f>
        <v>507</v>
      </c>
      <c r="D135" s="63">
        <f>+D92+D99+D114+D134</f>
        <v>1106</v>
      </c>
      <c r="E135" s="64">
        <f t="shared" si="30"/>
        <v>2464</v>
      </c>
      <c r="F135" s="63">
        <f>+F92+F99+F114+F134</f>
        <v>3298</v>
      </c>
      <c r="G135" s="63">
        <f>+G92+G99+G114+G134</f>
        <v>5758</v>
      </c>
      <c r="H135" s="63">
        <f>+H92+H99+H114+H134</f>
        <v>6934</v>
      </c>
      <c r="I135" s="64">
        <f t="shared" si="31"/>
        <v>15990</v>
      </c>
      <c r="J135" s="63">
        <f>+J92+J99+J114+J134</f>
        <v>10869</v>
      </c>
      <c r="K135" s="63">
        <f>+K92+K99+K114+K134</f>
        <v>21314</v>
      </c>
      <c r="L135" s="63">
        <f>+L92+L99+L114+L134</f>
        <v>19377</v>
      </c>
      <c r="M135" s="64">
        <f t="shared" si="32"/>
        <v>51560</v>
      </c>
      <c r="N135" s="63">
        <f>+N92+N99+N114+N134</f>
        <v>14215</v>
      </c>
      <c r="O135" s="63">
        <f>+O92+O99+O114+O134</f>
        <v>9394</v>
      </c>
      <c r="P135" s="63">
        <f>+P92+P99+P114+P134</f>
        <v>8154</v>
      </c>
      <c r="Q135" s="64">
        <f t="shared" si="33"/>
        <v>31763</v>
      </c>
      <c r="R135" s="64">
        <f t="shared" si="34"/>
        <v>101777</v>
      </c>
    </row>
    <row r="136" spans="1:20" ht="16.5" customHeight="1" thickBot="1" x14ac:dyDescent="0.35">
      <c r="A136" s="79" t="s">
        <v>37</v>
      </c>
      <c r="B136" s="25">
        <v>173</v>
      </c>
      <c r="C136" s="25">
        <v>260</v>
      </c>
      <c r="D136" s="25">
        <v>471</v>
      </c>
      <c r="E136" s="59">
        <f t="shared" si="30"/>
        <v>904</v>
      </c>
      <c r="F136" s="25">
        <v>629</v>
      </c>
      <c r="G136" s="25">
        <v>725</v>
      </c>
      <c r="H136" s="25">
        <v>712</v>
      </c>
      <c r="I136" s="59">
        <f t="shared" si="31"/>
        <v>2066</v>
      </c>
      <c r="J136" s="25">
        <v>711</v>
      </c>
      <c r="K136" s="25">
        <v>573</v>
      </c>
      <c r="L136" s="25">
        <v>542</v>
      </c>
      <c r="M136" s="59">
        <f t="shared" si="32"/>
        <v>1826</v>
      </c>
      <c r="N136" s="25">
        <v>490</v>
      </c>
      <c r="O136" s="25">
        <v>407</v>
      </c>
      <c r="P136" s="25">
        <v>323</v>
      </c>
      <c r="Q136" s="59">
        <f t="shared" si="33"/>
        <v>1220</v>
      </c>
      <c r="R136" s="59">
        <f t="shared" si="34"/>
        <v>6016</v>
      </c>
    </row>
    <row r="137" spans="1:20" ht="16.5" customHeight="1" thickBot="1" x14ac:dyDescent="0.35">
      <c r="A137" s="80"/>
      <c r="B137" s="81"/>
      <c r="C137" s="81"/>
      <c r="D137" s="81"/>
      <c r="E137" s="64" t="s">
        <v>7</v>
      </c>
      <c r="F137" s="81"/>
      <c r="G137" s="81"/>
      <c r="H137" s="81"/>
      <c r="I137" s="64" t="s">
        <v>7</v>
      </c>
      <c r="J137" s="81"/>
      <c r="K137" s="81"/>
      <c r="L137" s="81"/>
      <c r="M137" s="64" t="s">
        <v>7</v>
      </c>
      <c r="N137" s="81"/>
      <c r="O137" s="81"/>
      <c r="P137" s="81"/>
      <c r="Q137" s="64" t="s">
        <v>7</v>
      </c>
      <c r="R137" s="64" t="s">
        <v>7</v>
      </c>
    </row>
    <row r="138" spans="1:20" ht="15.75" customHeight="1" x14ac:dyDescent="0.3">
      <c r="A138" s="335" t="s">
        <v>38</v>
      </c>
      <c r="B138" s="336">
        <f>+B135+B136</f>
        <v>1024</v>
      </c>
      <c r="C138" s="336">
        <f>+C135+C136</f>
        <v>767</v>
      </c>
      <c r="D138" s="336">
        <f>+D135+D136</f>
        <v>1577</v>
      </c>
      <c r="E138" s="59">
        <f>SUM(B138:D138)</f>
        <v>3368</v>
      </c>
      <c r="F138" s="336">
        <f>+F135+F136</f>
        <v>3927</v>
      </c>
      <c r="G138" s="336">
        <f>+G135+G136</f>
        <v>6483</v>
      </c>
      <c r="H138" s="336">
        <f>+H135+H136</f>
        <v>7646</v>
      </c>
      <c r="I138" s="59">
        <f>SUM(F138:H138)</f>
        <v>18056</v>
      </c>
      <c r="J138" s="336">
        <f>+J135+J136</f>
        <v>11580</v>
      </c>
      <c r="K138" s="336">
        <f>+K135+K136</f>
        <v>21887</v>
      </c>
      <c r="L138" s="336">
        <f>+L135+L136</f>
        <v>19919</v>
      </c>
      <c r="M138" s="59">
        <f>SUM(J138:L138)</f>
        <v>53386</v>
      </c>
      <c r="N138" s="336">
        <f>+N135+N136</f>
        <v>14705</v>
      </c>
      <c r="O138" s="336">
        <f>+O135+O136</f>
        <v>9801</v>
      </c>
      <c r="P138" s="336">
        <f>+P135+P136</f>
        <v>8477</v>
      </c>
      <c r="Q138" s="59">
        <f>SUM(N138:P138)</f>
        <v>32983</v>
      </c>
      <c r="R138" s="59">
        <f>+E138+I138+M138+Q138</f>
        <v>107793</v>
      </c>
    </row>
    <row r="139" spans="1:20" ht="15.75" customHeight="1" x14ac:dyDescent="0.3">
      <c r="A139" s="84" t="s">
        <v>39</v>
      </c>
      <c r="B139" s="1">
        <f>(B138/B10)/1.983</f>
        <v>16.657719649276917</v>
      </c>
      <c r="C139" s="1">
        <f>(C138/C10)/1.983</f>
        <v>13.337506738310118</v>
      </c>
      <c r="D139" s="1">
        <f>(D138/D10)/1.983</f>
        <v>25.653538952060252</v>
      </c>
      <c r="E139" s="59" t="s">
        <v>7</v>
      </c>
      <c r="F139" s="1">
        <f>(F138/F10)/1.983</f>
        <v>66.01109430156329</v>
      </c>
      <c r="G139" s="1">
        <f>(G138/G10)/1.983</f>
        <v>105.46093406861549</v>
      </c>
      <c r="H139" s="1">
        <f>(H138/H10)/1.983</f>
        <v>128.52580265590856</v>
      </c>
      <c r="I139" s="59" t="s">
        <v>7</v>
      </c>
      <c r="J139" s="1">
        <f>(J138/J10)/1.983</f>
        <v>188.37538431506516</v>
      </c>
      <c r="K139" s="1">
        <f>(K138/K10)/1.983</f>
        <v>356.04249019894911</v>
      </c>
      <c r="L139" s="1">
        <f>(L138/L10)/1.983</f>
        <v>334.8293830895949</v>
      </c>
      <c r="M139" s="59" t="s">
        <v>7</v>
      </c>
      <c r="N139" s="1">
        <f>(N138/N10)/1.983</f>
        <v>239.21071039318073</v>
      </c>
      <c r="O139" s="1">
        <f>(O138/O10)/1.983</f>
        <v>164.75037821482601</v>
      </c>
      <c r="P139" s="1">
        <f>(P138/P10)/1.983</f>
        <v>137.89793893253949</v>
      </c>
      <c r="Q139" s="59" t="s">
        <v>7</v>
      </c>
      <c r="R139" s="59" t="s">
        <v>7</v>
      </c>
    </row>
    <row r="140" spans="1:20" ht="15.75" customHeight="1" x14ac:dyDescent="0.3">
      <c r="A140" s="85" t="s">
        <v>117</v>
      </c>
      <c r="B140" s="1">
        <f>B138+B330</f>
        <v>74071</v>
      </c>
      <c r="C140" s="1">
        <f>C138+C330</f>
        <v>73987</v>
      </c>
      <c r="D140" s="1">
        <f>D138+D330</f>
        <v>94695</v>
      </c>
      <c r="E140" s="59">
        <f>SUM(B140:D140)</f>
        <v>242753</v>
      </c>
      <c r="F140" s="1">
        <f>F138+F330</f>
        <v>150582</v>
      </c>
      <c r="G140" s="1">
        <f>G138+G330</f>
        <v>178311</v>
      </c>
      <c r="H140" s="1">
        <f>H138+H330</f>
        <v>106023</v>
      </c>
      <c r="I140" s="59">
        <f>SUM(F140:H140)</f>
        <v>434916</v>
      </c>
      <c r="J140" s="1">
        <f>J138+J330</f>
        <v>73894</v>
      </c>
      <c r="K140" s="1">
        <f>K138+K330</f>
        <v>62472</v>
      </c>
      <c r="L140" s="1">
        <f>L138+L330</f>
        <v>164349</v>
      </c>
      <c r="M140" s="59">
        <f>SUM(J140:L140)</f>
        <v>300715</v>
      </c>
      <c r="N140" s="1">
        <f>N138+N330</f>
        <v>162288</v>
      </c>
      <c r="O140" s="1">
        <f>O138+O330</f>
        <v>122351</v>
      </c>
      <c r="P140" s="1">
        <f>P138+P330</f>
        <v>140748</v>
      </c>
      <c r="Q140" s="59">
        <f>SUM(N140:P140)</f>
        <v>425387</v>
      </c>
      <c r="R140" s="59">
        <f>+E140+I140+M140+Q140</f>
        <v>1403771</v>
      </c>
    </row>
    <row r="141" spans="1:20" ht="16.5" customHeight="1" thickBot="1" x14ac:dyDescent="0.35">
      <c r="A141" s="86" t="s">
        <v>118</v>
      </c>
      <c r="B141" s="87">
        <f>(B140/B10)/1.983</f>
        <v>1204.9355001382721</v>
      </c>
      <c r="C141" s="87">
        <f>(C140/C10)/1.983</f>
        <v>1286.5738084059331</v>
      </c>
      <c r="D141" s="87">
        <f>(D140/D10)/1.983</f>
        <v>1540.4323849494899</v>
      </c>
      <c r="E141" s="88" t="s">
        <v>7</v>
      </c>
      <c r="F141" s="87">
        <f>(F140/F10)/1.983</f>
        <v>2531.2153303076143</v>
      </c>
      <c r="G141" s="87">
        <f>(G140/G10)/1.983</f>
        <v>2900.639305060758</v>
      </c>
      <c r="H141" s="87">
        <f>(H140/H10)/1.983</f>
        <v>1782.1986888552697</v>
      </c>
      <c r="I141" s="88" t="s">
        <v>7</v>
      </c>
      <c r="J141" s="87">
        <f>(J140/J10)/1.983</f>
        <v>1202.0561872692074</v>
      </c>
      <c r="K141" s="87">
        <f>(K140/K10)/1.983</f>
        <v>1016.2510370406519</v>
      </c>
      <c r="L141" s="87">
        <f>(L140/L10)/1.983</f>
        <v>2762.6323751891073</v>
      </c>
      <c r="M141" s="88" t="s">
        <v>7</v>
      </c>
      <c r="N141" s="87">
        <f>(N140/N10)/1.983</f>
        <v>2639.9882875408716</v>
      </c>
      <c r="O141" s="87">
        <f>(O140/O10)/1.983</f>
        <v>2056.6649857118841</v>
      </c>
      <c r="P141" s="87">
        <f>(P140/P10)/1.983</f>
        <v>2289.5905519496364</v>
      </c>
      <c r="Q141" s="88" t="s">
        <v>7</v>
      </c>
      <c r="R141" s="88" t="s">
        <v>7</v>
      </c>
    </row>
    <row r="142" spans="1:20" ht="15.75" customHeight="1" x14ac:dyDescent="0.3">
      <c r="A142" s="30"/>
      <c r="B142" s="1"/>
      <c r="C142" s="1"/>
      <c r="D142" s="1"/>
      <c r="E142" s="1"/>
      <c r="F142" s="1"/>
      <c r="G142" s="1"/>
      <c r="H142" s="1"/>
      <c r="I142" s="1"/>
      <c r="J142" s="1"/>
      <c r="K142" s="1"/>
      <c r="L142" s="1"/>
      <c r="M142" s="1"/>
      <c r="N142" s="1"/>
      <c r="O142" s="1"/>
      <c r="P142" s="1"/>
      <c r="Q142" s="1"/>
      <c r="R142" s="28"/>
    </row>
    <row r="143" spans="1:20" ht="15.75" customHeight="1" thickBot="1" x14ac:dyDescent="0.35">
      <c r="A143" s="30" t="s">
        <v>7</v>
      </c>
      <c r="B143" s="1"/>
      <c r="C143" s="1"/>
      <c r="D143" s="1"/>
      <c r="E143" s="1"/>
      <c r="F143" s="1"/>
      <c r="G143" s="1"/>
      <c r="H143" s="1"/>
      <c r="I143" s="1"/>
      <c r="J143" s="1"/>
      <c r="K143" s="1"/>
      <c r="L143" s="1"/>
      <c r="M143" s="1"/>
      <c r="N143" s="1"/>
      <c r="O143" s="1"/>
      <c r="P143" s="1"/>
      <c r="Q143" s="1"/>
      <c r="R143" s="28"/>
    </row>
    <row r="144" spans="1:20" ht="16.5" customHeight="1" thickBot="1" x14ac:dyDescent="0.35">
      <c r="A144" s="31" t="s">
        <v>119</v>
      </c>
      <c r="B144" s="323" t="s">
        <v>36</v>
      </c>
      <c r="C144" s="324" t="s">
        <v>9</v>
      </c>
      <c r="D144" s="324" t="s">
        <v>10</v>
      </c>
      <c r="E144" s="325" t="s">
        <v>11</v>
      </c>
      <c r="F144" s="324" t="s">
        <v>12</v>
      </c>
      <c r="G144" s="324" t="s">
        <v>13</v>
      </c>
      <c r="H144" s="324" t="s">
        <v>14</v>
      </c>
      <c r="I144" s="34" t="s">
        <v>15</v>
      </c>
      <c r="J144" s="324" t="s">
        <v>16</v>
      </c>
      <c r="K144" s="324" t="s">
        <v>17</v>
      </c>
      <c r="L144" s="324" t="s">
        <v>18</v>
      </c>
      <c r="M144" s="34" t="s">
        <v>19</v>
      </c>
      <c r="N144" s="324" t="s">
        <v>20</v>
      </c>
      <c r="O144" s="324" t="s">
        <v>21</v>
      </c>
      <c r="P144" s="324" t="s">
        <v>22</v>
      </c>
      <c r="Q144" s="34" t="s">
        <v>23</v>
      </c>
      <c r="R144" s="326" t="s">
        <v>24</v>
      </c>
    </row>
    <row r="145" spans="1:20" ht="16.5" customHeight="1" thickBot="1" x14ac:dyDescent="0.35">
      <c r="A145" s="80"/>
      <c r="B145" s="81"/>
      <c r="C145" s="81"/>
      <c r="D145" s="81"/>
      <c r="E145" s="89"/>
      <c r="F145" s="81"/>
      <c r="G145" s="81"/>
      <c r="H145" s="81"/>
      <c r="I145" s="89"/>
      <c r="J145" s="81"/>
      <c r="K145" s="81"/>
      <c r="L145" s="81"/>
      <c r="M145" s="89"/>
      <c r="N145" s="81"/>
      <c r="O145" s="81"/>
      <c r="P145" s="81"/>
      <c r="Q145" s="89"/>
      <c r="R145" s="80"/>
    </row>
    <row r="146" spans="1:20" ht="15.75" customHeight="1" x14ac:dyDescent="0.3">
      <c r="A146" s="17" t="s">
        <v>45</v>
      </c>
      <c r="B146" s="1" t="s">
        <v>7</v>
      </c>
      <c r="C146" s="1" t="s">
        <v>7</v>
      </c>
      <c r="D146" s="1" t="s">
        <v>7</v>
      </c>
      <c r="E146" s="59" t="s">
        <v>7</v>
      </c>
      <c r="F146" s="1" t="s">
        <v>7</v>
      </c>
      <c r="G146" s="1" t="s">
        <v>7</v>
      </c>
      <c r="H146" s="1" t="s">
        <v>7</v>
      </c>
      <c r="I146" s="59" t="s">
        <v>7</v>
      </c>
      <c r="J146" s="1" t="s">
        <v>7</v>
      </c>
      <c r="K146" s="1" t="s">
        <v>7</v>
      </c>
      <c r="L146" s="1" t="s">
        <v>7</v>
      </c>
      <c r="M146" s="59" t="s">
        <v>7</v>
      </c>
      <c r="N146" s="1" t="s">
        <v>7</v>
      </c>
      <c r="O146" s="1" t="s">
        <v>7</v>
      </c>
      <c r="P146" s="1" t="s">
        <v>7</v>
      </c>
      <c r="Q146" s="59" t="s">
        <v>7</v>
      </c>
      <c r="R146" s="90" t="s">
        <v>7</v>
      </c>
    </row>
    <row r="147" spans="1:20" ht="15.75" customHeight="1" x14ac:dyDescent="0.3">
      <c r="A147" s="17" t="s">
        <v>46</v>
      </c>
      <c r="B147" s="1"/>
      <c r="C147" s="1"/>
      <c r="D147" s="1"/>
      <c r="E147" s="59" t="s">
        <v>7</v>
      </c>
      <c r="F147" s="1"/>
      <c r="G147" s="1"/>
      <c r="H147" s="1"/>
      <c r="I147" s="59" t="s">
        <v>7</v>
      </c>
      <c r="J147" s="1"/>
      <c r="K147" s="1"/>
      <c r="L147" s="1"/>
      <c r="M147" s="59" t="s">
        <v>7</v>
      </c>
      <c r="N147" s="1"/>
      <c r="O147" s="1"/>
      <c r="P147" s="1"/>
      <c r="Q147" s="59" t="s">
        <v>7</v>
      </c>
      <c r="R147" s="90"/>
    </row>
    <row r="148" spans="1:20" ht="15.75" customHeight="1" x14ac:dyDescent="0.3">
      <c r="A148" s="91" t="s">
        <v>120</v>
      </c>
      <c r="B148" s="1"/>
      <c r="C148" s="1"/>
      <c r="D148" s="1">
        <v>155</v>
      </c>
      <c r="E148" s="59">
        <f t="shared" ref="E148:E152" si="35">SUM(B148:D148)</f>
        <v>155</v>
      </c>
      <c r="F148" s="1">
        <v>630</v>
      </c>
      <c r="G148" s="1">
        <v>877</v>
      </c>
      <c r="H148" s="1">
        <v>600</v>
      </c>
      <c r="I148" s="59">
        <f t="shared" ref="I148:I152" si="36">SUM(F148:H148)</f>
        <v>2107</v>
      </c>
      <c r="J148" s="1">
        <v>584</v>
      </c>
      <c r="K148" s="1">
        <v>598</v>
      </c>
      <c r="L148" s="1">
        <v>446</v>
      </c>
      <c r="M148" s="59">
        <f t="shared" ref="M148:M152" si="37">SUM(J148:L148)</f>
        <v>1628</v>
      </c>
      <c r="N148" s="1">
        <v>102</v>
      </c>
      <c r="O148" s="1">
        <v>102</v>
      </c>
      <c r="P148" s="1"/>
      <c r="Q148" s="59">
        <f t="shared" ref="Q148:Q155" si="38">SUM(N148:P148)</f>
        <v>204</v>
      </c>
      <c r="R148" s="59">
        <f>+E148+I148+M148+Q148</f>
        <v>4094</v>
      </c>
      <c r="T148" s="4" t="s">
        <v>121</v>
      </c>
    </row>
    <row r="149" spans="1:20" ht="15.75" customHeight="1" x14ac:dyDescent="0.3">
      <c r="A149" s="91" t="s">
        <v>122</v>
      </c>
      <c r="B149" s="1"/>
      <c r="C149" s="1">
        <v>300</v>
      </c>
      <c r="D149" s="1">
        <v>847</v>
      </c>
      <c r="E149" s="59">
        <f t="shared" si="35"/>
        <v>1147</v>
      </c>
      <c r="F149" s="1">
        <v>1240</v>
      </c>
      <c r="G149" s="1">
        <v>1602</v>
      </c>
      <c r="H149" s="1">
        <v>1750</v>
      </c>
      <c r="I149" s="59">
        <f t="shared" si="36"/>
        <v>4592</v>
      </c>
      <c r="J149" s="1">
        <v>2009</v>
      </c>
      <c r="K149" s="1">
        <v>2026</v>
      </c>
      <c r="L149" s="1">
        <v>1319</v>
      </c>
      <c r="M149" s="59">
        <f>SUM(J149:L149)</f>
        <v>5354</v>
      </c>
      <c r="N149" s="1"/>
      <c r="O149" s="1"/>
      <c r="P149" s="1"/>
      <c r="Q149" s="59">
        <f t="shared" si="38"/>
        <v>0</v>
      </c>
      <c r="R149" s="59">
        <f t="shared" ref="R149:R200" si="39">+E149+I149+M149+Q149</f>
        <v>11093</v>
      </c>
      <c r="S149" s="50"/>
      <c r="T149" s="4" t="s">
        <v>121</v>
      </c>
    </row>
    <row r="150" spans="1:20" ht="15.75" customHeight="1" x14ac:dyDescent="0.3">
      <c r="A150" s="91" t="s">
        <v>123</v>
      </c>
      <c r="B150" s="1"/>
      <c r="C150" s="1"/>
      <c r="D150" s="1">
        <v>88</v>
      </c>
      <c r="E150" s="59">
        <f t="shared" si="35"/>
        <v>88</v>
      </c>
      <c r="F150" s="1">
        <v>356</v>
      </c>
      <c r="G150" s="1">
        <v>496</v>
      </c>
      <c r="H150" s="1">
        <v>340</v>
      </c>
      <c r="I150" s="59">
        <f t="shared" si="36"/>
        <v>1192</v>
      </c>
      <c r="J150" s="1">
        <v>330</v>
      </c>
      <c r="K150" s="1">
        <v>338</v>
      </c>
      <c r="L150" s="1">
        <v>252</v>
      </c>
      <c r="M150" s="59">
        <f t="shared" si="37"/>
        <v>920</v>
      </c>
      <c r="N150" s="1">
        <v>58</v>
      </c>
      <c r="O150" s="1">
        <v>58</v>
      </c>
      <c r="P150" s="1"/>
      <c r="Q150" s="59">
        <f t="shared" si="38"/>
        <v>116</v>
      </c>
      <c r="R150" s="59">
        <f t="shared" si="39"/>
        <v>2316</v>
      </c>
      <c r="T150" s="4" t="s">
        <v>121</v>
      </c>
    </row>
    <row r="151" spans="1:20" ht="15.75" customHeight="1" x14ac:dyDescent="0.3">
      <c r="A151" s="91" t="s">
        <v>124</v>
      </c>
      <c r="B151" s="1"/>
      <c r="C151" s="1"/>
      <c r="D151" s="1">
        <v>79</v>
      </c>
      <c r="E151" s="59">
        <f t="shared" si="35"/>
        <v>79</v>
      </c>
      <c r="F151" s="1">
        <v>301</v>
      </c>
      <c r="G151" s="1">
        <v>445</v>
      </c>
      <c r="H151" s="1">
        <v>305</v>
      </c>
      <c r="I151" s="59">
        <f t="shared" si="36"/>
        <v>1051</v>
      </c>
      <c r="J151" s="1">
        <v>297</v>
      </c>
      <c r="K151" s="1">
        <v>304</v>
      </c>
      <c r="L151" s="1">
        <v>226</v>
      </c>
      <c r="M151" s="59">
        <f t="shared" si="37"/>
        <v>827</v>
      </c>
      <c r="N151" s="1">
        <v>52</v>
      </c>
      <c r="O151" s="1">
        <v>52</v>
      </c>
      <c r="P151" s="1"/>
      <c r="Q151" s="59">
        <f t="shared" si="38"/>
        <v>104</v>
      </c>
      <c r="R151" s="59">
        <f t="shared" si="39"/>
        <v>2061</v>
      </c>
      <c r="T151" s="4" t="s">
        <v>121</v>
      </c>
    </row>
    <row r="152" spans="1:20" ht="15.75" customHeight="1" x14ac:dyDescent="0.3">
      <c r="A152" s="91" t="s">
        <v>125</v>
      </c>
      <c r="B152" s="1"/>
      <c r="C152" s="1"/>
      <c r="D152" s="1"/>
      <c r="E152" s="59">
        <f t="shared" si="35"/>
        <v>0</v>
      </c>
      <c r="F152" s="1"/>
      <c r="G152" s="1"/>
      <c r="H152" s="1">
        <v>172</v>
      </c>
      <c r="I152" s="59">
        <f t="shared" si="36"/>
        <v>172</v>
      </c>
      <c r="J152" s="1"/>
      <c r="K152" s="1"/>
      <c r="L152" s="1"/>
      <c r="M152" s="59">
        <f t="shared" si="37"/>
        <v>0</v>
      </c>
      <c r="N152" s="1"/>
      <c r="O152" s="1"/>
      <c r="P152" s="1"/>
      <c r="Q152" s="59">
        <f t="shared" ref="Q152" si="40">SUM(N152:P152)</f>
        <v>0</v>
      </c>
      <c r="R152" s="59">
        <f t="shared" si="39"/>
        <v>172</v>
      </c>
    </row>
    <row r="153" spans="1:20" ht="15.75" customHeight="1" x14ac:dyDescent="0.3">
      <c r="A153" s="74" t="s">
        <v>126</v>
      </c>
      <c r="B153" s="1">
        <v>5</v>
      </c>
      <c r="C153" s="1">
        <v>4</v>
      </c>
      <c r="D153" s="1">
        <v>92</v>
      </c>
      <c r="E153" s="59">
        <f t="shared" ref="E153:E154" si="41">SUM(B153:D153)</f>
        <v>101</v>
      </c>
      <c r="F153" s="1">
        <v>291</v>
      </c>
      <c r="G153" s="1">
        <v>47</v>
      </c>
      <c r="H153" s="1">
        <v>283</v>
      </c>
      <c r="I153" s="59">
        <f t="shared" ref="I153:I197" si="42">SUM(F153:H153)</f>
        <v>621</v>
      </c>
      <c r="J153" s="1">
        <v>78</v>
      </c>
      <c r="K153" s="1">
        <v>29</v>
      </c>
      <c r="L153" s="1">
        <v>6</v>
      </c>
      <c r="M153" s="59">
        <f t="shared" ref="M153:M197" si="43">SUM(J153:L153)</f>
        <v>113</v>
      </c>
      <c r="N153" s="1">
        <v>21</v>
      </c>
      <c r="O153" s="1">
        <v>17</v>
      </c>
      <c r="P153" s="1">
        <v>3</v>
      </c>
      <c r="Q153" s="59">
        <f t="shared" si="38"/>
        <v>41</v>
      </c>
      <c r="R153" s="59">
        <f t="shared" si="39"/>
        <v>876</v>
      </c>
      <c r="T153" s="4" t="s">
        <v>127</v>
      </c>
    </row>
    <row r="154" spans="1:20" ht="15.75" customHeight="1" x14ac:dyDescent="0.3">
      <c r="A154" s="74" t="s">
        <v>128</v>
      </c>
      <c r="B154" s="1"/>
      <c r="C154" s="1"/>
      <c r="D154" s="1"/>
      <c r="E154" s="59">
        <f t="shared" si="41"/>
        <v>0</v>
      </c>
      <c r="F154" s="1"/>
      <c r="G154" s="1"/>
      <c r="H154" s="1"/>
      <c r="I154" s="59">
        <f t="shared" si="42"/>
        <v>0</v>
      </c>
      <c r="J154" s="1"/>
      <c r="K154" s="1"/>
      <c r="L154" s="1"/>
      <c r="M154" s="59">
        <f t="shared" si="43"/>
        <v>0</v>
      </c>
      <c r="N154" s="1"/>
      <c r="O154" s="1"/>
      <c r="P154" s="1"/>
      <c r="Q154" s="59">
        <f t="shared" ref="Q154" si="44">SUM(N154:P154)</f>
        <v>0</v>
      </c>
      <c r="R154" s="59">
        <f t="shared" si="39"/>
        <v>0</v>
      </c>
    </row>
    <row r="155" spans="1:20" ht="15.75" customHeight="1" x14ac:dyDescent="0.3">
      <c r="A155" s="91" t="s">
        <v>129</v>
      </c>
      <c r="C155" s="1"/>
      <c r="D155" s="1"/>
      <c r="E155" s="59">
        <f>SUM(C155:D155)</f>
        <v>0</v>
      </c>
      <c r="F155" s="1"/>
      <c r="G155" s="1"/>
      <c r="H155" s="1">
        <v>718</v>
      </c>
      <c r="I155" s="59">
        <f t="shared" si="42"/>
        <v>718</v>
      </c>
      <c r="J155" s="1"/>
      <c r="K155" s="1">
        <v>200</v>
      </c>
      <c r="L155" s="1"/>
      <c r="M155" s="59">
        <f t="shared" si="43"/>
        <v>200</v>
      </c>
      <c r="N155" s="1"/>
      <c r="O155" s="1">
        <v>50</v>
      </c>
      <c r="P155" s="1"/>
      <c r="Q155" s="59">
        <f t="shared" si="38"/>
        <v>50</v>
      </c>
      <c r="R155" s="59">
        <f t="shared" si="39"/>
        <v>968</v>
      </c>
      <c r="T155" s="4" t="s">
        <v>121</v>
      </c>
    </row>
    <row r="156" spans="1:20" ht="15.75" customHeight="1" x14ac:dyDescent="0.3">
      <c r="A156" s="74" t="s">
        <v>130</v>
      </c>
      <c r="C156" s="1"/>
      <c r="D156" s="1"/>
      <c r="E156" s="59">
        <f>SUM(C156:D156)</f>
        <v>0</v>
      </c>
      <c r="F156" s="1">
        <v>658</v>
      </c>
      <c r="G156" s="1">
        <v>4865</v>
      </c>
      <c r="H156" s="1">
        <v>6351</v>
      </c>
      <c r="I156" s="59">
        <f t="shared" si="42"/>
        <v>11874</v>
      </c>
      <c r="J156" s="1">
        <v>2626</v>
      </c>
      <c r="K156" s="1">
        <v>2606</v>
      </c>
      <c r="L156" s="1">
        <v>194</v>
      </c>
      <c r="M156" s="59">
        <f t="shared" si="43"/>
        <v>5426</v>
      </c>
      <c r="N156" s="1"/>
      <c r="O156" s="1"/>
      <c r="P156" s="1"/>
      <c r="Q156" s="59">
        <f t="shared" ref="Q156:Q203" si="45">SUM(N156:P156)</f>
        <v>0</v>
      </c>
      <c r="R156" s="59">
        <f t="shared" si="39"/>
        <v>17300</v>
      </c>
    </row>
    <row r="157" spans="1:20" ht="15.75" customHeight="1" x14ac:dyDescent="0.3">
      <c r="A157" s="91" t="s">
        <v>131</v>
      </c>
      <c r="B157" s="1"/>
      <c r="C157" s="1"/>
      <c r="D157" s="1"/>
      <c r="E157" s="59">
        <f t="shared" ref="E157:E196" si="46">SUM(B157:D157)</f>
        <v>0</v>
      </c>
      <c r="F157" s="1"/>
      <c r="G157" s="1"/>
      <c r="H157" s="1"/>
      <c r="I157" s="59">
        <f t="shared" si="42"/>
        <v>0</v>
      </c>
      <c r="J157" s="1"/>
      <c r="K157" s="1"/>
      <c r="L157" s="1"/>
      <c r="M157" s="59">
        <f t="shared" si="43"/>
        <v>0</v>
      </c>
      <c r="N157" s="1"/>
      <c r="O157" s="1"/>
      <c r="P157" s="1"/>
      <c r="Q157" s="59">
        <f t="shared" si="45"/>
        <v>0</v>
      </c>
      <c r="R157" s="59">
        <f t="shared" si="39"/>
        <v>0</v>
      </c>
      <c r="T157" s="4" t="s">
        <v>132</v>
      </c>
    </row>
    <row r="158" spans="1:20" ht="15.75" customHeight="1" x14ac:dyDescent="0.3">
      <c r="A158" s="91" t="s">
        <v>133</v>
      </c>
      <c r="B158" s="1">
        <v>800</v>
      </c>
      <c r="C158" s="1">
        <v>900</v>
      </c>
      <c r="D158" s="1">
        <v>1000</v>
      </c>
      <c r="E158" s="59">
        <f t="shared" si="46"/>
        <v>2700</v>
      </c>
      <c r="F158" s="1">
        <v>416</v>
      </c>
      <c r="G158" s="1"/>
      <c r="H158" s="1"/>
      <c r="I158" s="59">
        <f t="shared" si="42"/>
        <v>416</v>
      </c>
      <c r="J158" s="1"/>
      <c r="K158" s="1">
        <v>1000</v>
      </c>
      <c r="L158" s="1"/>
      <c r="M158" s="59">
        <f t="shared" si="43"/>
        <v>1000</v>
      </c>
      <c r="N158" s="1"/>
      <c r="O158" s="1"/>
      <c r="P158" s="1"/>
      <c r="Q158" s="59">
        <f t="shared" si="45"/>
        <v>0</v>
      </c>
      <c r="R158" s="59">
        <f t="shared" si="39"/>
        <v>4116</v>
      </c>
      <c r="T158" s="4" t="s">
        <v>134</v>
      </c>
    </row>
    <row r="159" spans="1:20" ht="15.75" customHeight="1" x14ac:dyDescent="0.3">
      <c r="A159" s="74" t="s">
        <v>135</v>
      </c>
      <c r="B159" s="1"/>
      <c r="C159" s="1"/>
      <c r="D159" s="1"/>
      <c r="E159" s="59">
        <f t="shared" si="46"/>
        <v>0</v>
      </c>
      <c r="F159" s="1"/>
      <c r="G159" s="1">
        <v>362</v>
      </c>
      <c r="H159" s="1"/>
      <c r="I159" s="59">
        <f t="shared" si="42"/>
        <v>362</v>
      </c>
      <c r="J159" s="1"/>
      <c r="K159" s="1"/>
      <c r="L159" s="1"/>
      <c r="M159" s="59">
        <f t="shared" si="43"/>
        <v>0</v>
      </c>
      <c r="N159" s="1"/>
      <c r="O159" s="1"/>
      <c r="P159" s="1">
        <v>15</v>
      </c>
      <c r="Q159" s="59">
        <f t="shared" si="45"/>
        <v>15</v>
      </c>
      <c r="R159" s="59">
        <f t="shared" si="39"/>
        <v>377</v>
      </c>
      <c r="S159" s="4" t="s">
        <v>136</v>
      </c>
      <c r="T159" s="4" t="s">
        <v>137</v>
      </c>
    </row>
    <row r="160" spans="1:20" ht="15.75" customHeight="1" x14ac:dyDescent="0.3">
      <c r="A160" s="76" t="s">
        <v>138</v>
      </c>
      <c r="B160" s="1">
        <v>18</v>
      </c>
      <c r="C160" s="1">
        <v>22</v>
      </c>
      <c r="D160" s="1">
        <v>19</v>
      </c>
      <c r="E160" s="59">
        <f>SUM(B160:D160)</f>
        <v>59</v>
      </c>
      <c r="F160" s="1">
        <v>42</v>
      </c>
      <c r="G160" s="1">
        <v>52</v>
      </c>
      <c r="H160" s="1">
        <v>51</v>
      </c>
      <c r="I160" s="59">
        <f>SUM(F160:H160)</f>
        <v>145</v>
      </c>
      <c r="J160" s="1">
        <v>56</v>
      </c>
      <c r="K160" s="1">
        <v>5</v>
      </c>
      <c r="L160" s="1"/>
      <c r="M160" s="59">
        <f>SUM(J160:L160)</f>
        <v>61</v>
      </c>
      <c r="N160" s="1"/>
      <c r="O160" s="1"/>
      <c r="P160" s="1"/>
      <c r="Q160" s="59">
        <f>SUM(N160:P160)</f>
        <v>0</v>
      </c>
      <c r="R160" s="59">
        <f>+E160+I160+M160+Q160</f>
        <v>265</v>
      </c>
      <c r="S160" s="94"/>
    </row>
    <row r="161" spans="1:20" ht="15.75" customHeight="1" x14ac:dyDescent="0.3">
      <c r="A161" s="91" t="s">
        <v>139</v>
      </c>
      <c r="B161" s="1"/>
      <c r="C161" s="1"/>
      <c r="D161" s="1"/>
      <c r="E161" s="59">
        <f t="shared" si="46"/>
        <v>0</v>
      </c>
      <c r="F161" s="1"/>
      <c r="G161" s="1"/>
      <c r="H161" s="1"/>
      <c r="I161" s="59">
        <f t="shared" si="42"/>
        <v>0</v>
      </c>
      <c r="J161" s="1"/>
      <c r="K161" s="1"/>
      <c r="L161" s="1"/>
      <c r="M161" s="59">
        <f t="shared" si="43"/>
        <v>0</v>
      </c>
      <c r="N161" s="1">
        <v>893</v>
      </c>
      <c r="O161" s="1"/>
      <c r="P161" s="1"/>
      <c r="Q161" s="59">
        <f t="shared" si="45"/>
        <v>893</v>
      </c>
      <c r="R161" s="59">
        <f t="shared" si="39"/>
        <v>893</v>
      </c>
      <c r="S161" s="75" t="s">
        <v>80</v>
      </c>
      <c r="T161" s="4" t="s">
        <v>132</v>
      </c>
    </row>
    <row r="162" spans="1:20" ht="15.75" customHeight="1" x14ac:dyDescent="0.3">
      <c r="A162" s="91" t="s">
        <v>140</v>
      </c>
      <c r="B162" s="1"/>
      <c r="C162" s="1"/>
      <c r="E162" s="59">
        <f t="shared" si="46"/>
        <v>0</v>
      </c>
      <c r="F162" s="1"/>
      <c r="G162" s="1"/>
      <c r="H162" s="1"/>
      <c r="I162" s="59">
        <f t="shared" si="42"/>
        <v>0</v>
      </c>
      <c r="J162" s="1"/>
      <c r="K162" s="1"/>
      <c r="L162" s="1"/>
      <c r="M162" s="59">
        <f t="shared" si="43"/>
        <v>0</v>
      </c>
      <c r="N162" s="1">
        <v>157</v>
      </c>
      <c r="O162" s="1"/>
      <c r="P162" s="1"/>
      <c r="Q162" s="59">
        <f t="shared" si="45"/>
        <v>157</v>
      </c>
      <c r="R162" s="59">
        <f t="shared" si="39"/>
        <v>157</v>
      </c>
      <c r="S162" s="75" t="s">
        <v>80</v>
      </c>
      <c r="T162" s="4" t="s">
        <v>134</v>
      </c>
    </row>
    <row r="163" spans="1:20" ht="15.75" customHeight="1" x14ac:dyDescent="0.3">
      <c r="A163" s="91" t="s">
        <v>141</v>
      </c>
      <c r="B163" s="1"/>
      <c r="C163" s="1"/>
      <c r="D163" s="1"/>
      <c r="E163" s="59">
        <f t="shared" si="46"/>
        <v>0</v>
      </c>
      <c r="F163" s="1"/>
      <c r="G163" s="1"/>
      <c r="H163" s="1"/>
      <c r="I163" s="59">
        <f t="shared" si="42"/>
        <v>0</v>
      </c>
      <c r="J163" s="1"/>
      <c r="K163" s="1"/>
      <c r="L163" s="1"/>
      <c r="M163" s="59">
        <f t="shared" si="43"/>
        <v>0</v>
      </c>
      <c r="N163" s="1"/>
      <c r="O163" s="1"/>
      <c r="P163" s="1"/>
      <c r="Q163" s="59">
        <f t="shared" si="45"/>
        <v>0</v>
      </c>
      <c r="R163" s="59">
        <f t="shared" si="39"/>
        <v>0</v>
      </c>
      <c r="S163" s="75" t="s">
        <v>80</v>
      </c>
      <c r="T163" s="4" t="s">
        <v>121</v>
      </c>
    </row>
    <row r="164" spans="1:20" ht="15.75" customHeight="1" x14ac:dyDescent="0.3">
      <c r="A164" s="74" t="s">
        <v>142</v>
      </c>
      <c r="B164" s="1">
        <v>43</v>
      </c>
      <c r="C164" s="1">
        <v>41</v>
      </c>
      <c r="D164" s="1">
        <v>51</v>
      </c>
      <c r="E164" s="59">
        <f t="shared" si="46"/>
        <v>135</v>
      </c>
      <c r="F164" s="1">
        <v>41</v>
      </c>
      <c r="G164" s="1">
        <v>54</v>
      </c>
      <c r="H164" s="1">
        <v>55</v>
      </c>
      <c r="I164" s="59">
        <f t="shared" si="42"/>
        <v>150</v>
      </c>
      <c r="J164" s="1">
        <v>67</v>
      </c>
      <c r="K164" s="1">
        <v>67</v>
      </c>
      <c r="L164" s="1">
        <v>64</v>
      </c>
      <c r="M164" s="59">
        <f t="shared" si="43"/>
        <v>198</v>
      </c>
      <c r="N164" s="1">
        <v>66</v>
      </c>
      <c r="O164" s="1">
        <v>56</v>
      </c>
      <c r="P164" s="1">
        <v>45</v>
      </c>
      <c r="Q164" s="59">
        <f t="shared" si="45"/>
        <v>167</v>
      </c>
      <c r="R164" s="59">
        <f t="shared" si="39"/>
        <v>650</v>
      </c>
      <c r="T164" s="4" t="s">
        <v>143</v>
      </c>
    </row>
    <row r="165" spans="1:20" ht="15.75" customHeight="1" x14ac:dyDescent="0.3">
      <c r="A165" s="74" t="s">
        <v>144</v>
      </c>
      <c r="B165" s="1">
        <v>143</v>
      </c>
      <c r="C165" s="1">
        <v>130</v>
      </c>
      <c r="D165" s="1">
        <v>129</v>
      </c>
      <c r="E165" s="59">
        <f t="shared" si="46"/>
        <v>402</v>
      </c>
      <c r="F165" s="1">
        <v>173</v>
      </c>
      <c r="G165" s="1">
        <v>248</v>
      </c>
      <c r="H165" s="1">
        <v>228</v>
      </c>
      <c r="I165" s="59">
        <f t="shared" si="42"/>
        <v>649</v>
      </c>
      <c r="J165" s="1">
        <v>215</v>
      </c>
      <c r="K165" s="1">
        <v>200</v>
      </c>
      <c r="L165" s="1">
        <v>201</v>
      </c>
      <c r="M165" s="59">
        <f t="shared" si="43"/>
        <v>616</v>
      </c>
      <c r="N165" s="1">
        <v>216</v>
      </c>
      <c r="O165" s="1">
        <v>176</v>
      </c>
      <c r="P165" s="1">
        <v>147</v>
      </c>
      <c r="Q165" s="59">
        <f t="shared" si="45"/>
        <v>539</v>
      </c>
      <c r="R165" s="59">
        <f t="shared" si="39"/>
        <v>2206</v>
      </c>
      <c r="T165" s="4" t="s">
        <v>145</v>
      </c>
    </row>
    <row r="166" spans="1:20" ht="15.75" customHeight="1" x14ac:dyDescent="0.3">
      <c r="A166" s="91" t="s">
        <v>146</v>
      </c>
      <c r="B166" s="1"/>
      <c r="C166" s="1">
        <v>400</v>
      </c>
      <c r="D166" s="1"/>
      <c r="E166" s="59">
        <f t="shared" si="46"/>
        <v>400</v>
      </c>
      <c r="F166" s="1"/>
      <c r="G166" s="1"/>
      <c r="H166" s="1"/>
      <c r="I166" s="59">
        <f t="shared" si="42"/>
        <v>0</v>
      </c>
      <c r="J166" s="1"/>
      <c r="K166" s="1"/>
      <c r="L166" s="1"/>
      <c r="M166" s="59">
        <f t="shared" si="43"/>
        <v>0</v>
      </c>
      <c r="N166" s="1"/>
      <c r="O166" s="1"/>
      <c r="P166" s="1"/>
      <c r="Q166" s="59">
        <f t="shared" ref="Q166" si="47">SUM(N166:P166)</f>
        <v>0</v>
      </c>
      <c r="R166" s="59">
        <f t="shared" si="39"/>
        <v>400</v>
      </c>
    </row>
    <row r="167" spans="1:20" ht="15.75" customHeight="1" x14ac:dyDescent="0.3">
      <c r="A167" s="74" t="s">
        <v>147</v>
      </c>
      <c r="B167" s="1"/>
      <c r="C167" s="1"/>
      <c r="D167" s="1">
        <v>200</v>
      </c>
      <c r="E167" s="59">
        <f t="shared" si="46"/>
        <v>200</v>
      </c>
      <c r="F167" s="1">
        <v>24</v>
      </c>
      <c r="G167" s="1"/>
      <c r="H167" s="1"/>
      <c r="I167" s="59">
        <f t="shared" si="42"/>
        <v>24</v>
      </c>
      <c r="J167" s="1">
        <v>238</v>
      </c>
      <c r="K167" s="1">
        <v>800</v>
      </c>
      <c r="L167" s="1"/>
      <c r="M167" s="59">
        <f t="shared" si="43"/>
        <v>1038</v>
      </c>
      <c r="N167" s="1"/>
      <c r="O167" s="1">
        <v>800</v>
      </c>
      <c r="P167" s="1">
        <v>150</v>
      </c>
      <c r="Q167" s="59">
        <f t="shared" si="45"/>
        <v>950</v>
      </c>
      <c r="R167" s="59">
        <f t="shared" si="39"/>
        <v>2212</v>
      </c>
      <c r="S167" s="4" t="s">
        <v>136</v>
      </c>
    </row>
    <row r="168" spans="1:20" ht="15.75" customHeight="1" x14ac:dyDescent="0.3">
      <c r="A168" s="91" t="s">
        <v>148</v>
      </c>
      <c r="B168" s="1"/>
      <c r="C168" s="1"/>
      <c r="D168" s="1">
        <v>140</v>
      </c>
      <c r="E168" s="59">
        <f>SUM(B168:D168)</f>
        <v>140</v>
      </c>
      <c r="F168" s="1">
        <v>541</v>
      </c>
      <c r="G168" s="1">
        <v>754</v>
      </c>
      <c r="H168" s="1">
        <v>516</v>
      </c>
      <c r="I168" s="59">
        <f t="shared" si="42"/>
        <v>1811</v>
      </c>
      <c r="J168" s="1">
        <v>501</v>
      </c>
      <c r="K168" s="1">
        <v>513</v>
      </c>
      <c r="L168" s="1">
        <v>383</v>
      </c>
      <c r="M168" s="59">
        <f t="shared" si="43"/>
        <v>1397</v>
      </c>
      <c r="N168" s="1">
        <v>88</v>
      </c>
      <c r="O168" s="1">
        <v>88</v>
      </c>
      <c r="P168" s="1"/>
      <c r="Q168" s="59">
        <f t="shared" si="45"/>
        <v>176</v>
      </c>
      <c r="R168" s="59">
        <f t="shared" si="39"/>
        <v>3524</v>
      </c>
      <c r="T168" s="4" t="s">
        <v>121</v>
      </c>
    </row>
    <row r="169" spans="1:20" ht="15.75" customHeight="1" x14ac:dyDescent="0.3">
      <c r="A169" s="74" t="s">
        <v>149</v>
      </c>
      <c r="B169" s="1">
        <v>224</v>
      </c>
      <c r="C169" s="1">
        <v>202</v>
      </c>
      <c r="D169" s="1">
        <v>182</v>
      </c>
      <c r="E169" s="59">
        <f t="shared" si="46"/>
        <v>608</v>
      </c>
      <c r="F169" s="1">
        <v>227</v>
      </c>
      <c r="G169" s="1">
        <v>101</v>
      </c>
      <c r="H169" s="1">
        <v>185</v>
      </c>
      <c r="I169" s="59">
        <f t="shared" si="42"/>
        <v>513</v>
      </c>
      <c r="J169" s="1">
        <v>290</v>
      </c>
      <c r="K169" s="1">
        <v>390</v>
      </c>
      <c r="L169" s="1">
        <v>365</v>
      </c>
      <c r="M169" s="59">
        <f t="shared" si="43"/>
        <v>1045</v>
      </c>
      <c r="N169" s="1">
        <v>277</v>
      </c>
      <c r="O169" s="1">
        <v>237</v>
      </c>
      <c r="P169" s="1">
        <v>432</v>
      </c>
      <c r="Q169" s="59">
        <f t="shared" si="45"/>
        <v>946</v>
      </c>
      <c r="R169" s="59">
        <f t="shared" si="39"/>
        <v>3112</v>
      </c>
      <c r="T169" s="4" t="s">
        <v>150</v>
      </c>
    </row>
    <row r="170" spans="1:20" ht="15.75" customHeight="1" x14ac:dyDescent="0.3">
      <c r="A170" s="74" t="s">
        <v>151</v>
      </c>
      <c r="B170" s="1"/>
      <c r="C170" s="1"/>
      <c r="D170" s="1"/>
      <c r="E170" s="59">
        <f t="shared" si="46"/>
        <v>0</v>
      </c>
      <c r="F170" s="1">
        <v>113</v>
      </c>
      <c r="G170" s="1">
        <v>163</v>
      </c>
      <c r="H170" s="1">
        <v>213</v>
      </c>
      <c r="I170" s="59">
        <f t="shared" si="42"/>
        <v>489</v>
      </c>
      <c r="J170" s="1">
        <v>213</v>
      </c>
      <c r="K170" s="1">
        <v>163</v>
      </c>
      <c r="L170" s="1">
        <v>113</v>
      </c>
      <c r="M170" s="59">
        <f t="shared" si="43"/>
        <v>489</v>
      </c>
      <c r="N170" s="1">
        <v>61</v>
      </c>
      <c r="O170" s="1">
        <v>36</v>
      </c>
      <c r="P170" s="1">
        <v>26</v>
      </c>
      <c r="Q170" s="59">
        <f t="shared" si="45"/>
        <v>123</v>
      </c>
      <c r="R170" s="59">
        <f t="shared" si="39"/>
        <v>1101</v>
      </c>
    </row>
    <row r="171" spans="1:20" ht="15.75" customHeight="1" x14ac:dyDescent="0.3">
      <c r="A171" s="91" t="s">
        <v>152</v>
      </c>
      <c r="B171" s="1"/>
      <c r="C171" s="1"/>
      <c r="D171" s="1"/>
      <c r="E171" s="59">
        <f t="shared" si="46"/>
        <v>0</v>
      </c>
      <c r="F171" s="1"/>
      <c r="G171" s="1"/>
      <c r="H171" s="1"/>
      <c r="I171" s="59">
        <f t="shared" si="42"/>
        <v>0</v>
      </c>
      <c r="J171" s="1">
        <v>508</v>
      </c>
      <c r="K171" s="1"/>
      <c r="L171" s="1"/>
      <c r="M171" s="59">
        <f t="shared" si="43"/>
        <v>508</v>
      </c>
      <c r="N171" s="1"/>
      <c r="O171" s="1"/>
      <c r="P171" s="1"/>
      <c r="Q171" s="59">
        <f t="shared" si="45"/>
        <v>0</v>
      </c>
      <c r="R171" s="59">
        <f t="shared" si="39"/>
        <v>508</v>
      </c>
      <c r="T171" s="4" t="s">
        <v>134</v>
      </c>
    </row>
    <row r="172" spans="1:20" ht="15.75" customHeight="1" x14ac:dyDescent="0.3">
      <c r="A172" s="76" t="s">
        <v>153</v>
      </c>
      <c r="B172" s="1"/>
      <c r="C172" s="1"/>
      <c r="D172" s="1"/>
      <c r="E172" s="59">
        <f t="shared" ref="E172" si="48">SUM(B172:D172)</f>
        <v>0</v>
      </c>
      <c r="F172" s="1"/>
      <c r="G172" s="1"/>
      <c r="H172" s="1"/>
      <c r="I172" s="59">
        <f t="shared" si="42"/>
        <v>0</v>
      </c>
      <c r="J172" s="1"/>
      <c r="K172" s="1"/>
      <c r="L172" s="1"/>
      <c r="M172" s="59">
        <f t="shared" si="43"/>
        <v>0</v>
      </c>
      <c r="N172" s="1"/>
      <c r="O172" s="1"/>
      <c r="P172" s="1"/>
      <c r="Q172" s="59">
        <f t="shared" si="45"/>
        <v>0</v>
      </c>
      <c r="R172" s="59">
        <f t="shared" si="39"/>
        <v>0</v>
      </c>
    </row>
    <row r="173" spans="1:20" ht="15.75" customHeight="1" x14ac:dyDescent="0.3">
      <c r="A173" s="76" t="s">
        <v>154</v>
      </c>
      <c r="B173" s="1"/>
      <c r="C173" s="1"/>
      <c r="D173" s="1"/>
      <c r="E173" s="59">
        <f t="shared" si="46"/>
        <v>0</v>
      </c>
      <c r="F173" s="1"/>
      <c r="G173" s="1"/>
      <c r="H173" s="1"/>
      <c r="I173" s="59">
        <f t="shared" si="42"/>
        <v>0</v>
      </c>
      <c r="J173" s="1"/>
      <c r="K173" s="1"/>
      <c r="L173" s="1"/>
      <c r="M173" s="59">
        <f t="shared" si="43"/>
        <v>0</v>
      </c>
      <c r="N173" s="1"/>
      <c r="O173" s="1"/>
      <c r="P173" s="1"/>
      <c r="Q173" s="59">
        <f t="shared" si="45"/>
        <v>0</v>
      </c>
      <c r="R173" s="59">
        <f t="shared" si="39"/>
        <v>0</v>
      </c>
    </row>
    <row r="174" spans="1:20" ht="15.75" customHeight="1" x14ac:dyDescent="0.3">
      <c r="A174" s="74" t="s">
        <v>155</v>
      </c>
      <c r="B174" s="1"/>
      <c r="C174" s="1"/>
      <c r="D174" s="1"/>
      <c r="E174" s="59">
        <f t="shared" si="46"/>
        <v>0</v>
      </c>
      <c r="F174" s="1"/>
      <c r="G174" s="1"/>
      <c r="H174" s="1"/>
      <c r="I174" s="59">
        <f t="shared" si="42"/>
        <v>0</v>
      </c>
      <c r="J174" s="1"/>
      <c r="K174" s="1"/>
      <c r="L174" s="1"/>
      <c r="M174" s="59">
        <f t="shared" si="43"/>
        <v>0</v>
      </c>
      <c r="N174" s="1"/>
      <c r="O174" s="1"/>
      <c r="P174" s="1"/>
      <c r="Q174" s="59">
        <f t="shared" si="45"/>
        <v>0</v>
      </c>
      <c r="R174" s="59">
        <f t="shared" si="39"/>
        <v>0</v>
      </c>
      <c r="S174" s="4" t="s">
        <v>136</v>
      </c>
      <c r="T174" s="4" t="s">
        <v>137</v>
      </c>
    </row>
    <row r="175" spans="1:20" s="98" customFormat="1" ht="15.75" customHeight="1" x14ac:dyDescent="0.3">
      <c r="A175" s="96" t="s">
        <v>156</v>
      </c>
      <c r="B175" s="92"/>
      <c r="C175" s="92"/>
      <c r="D175" s="92"/>
      <c r="E175" s="97">
        <f t="shared" si="46"/>
        <v>0</v>
      </c>
      <c r="F175" s="92"/>
      <c r="G175" s="92"/>
      <c r="H175" s="92"/>
      <c r="I175" s="97">
        <f t="shared" si="42"/>
        <v>0</v>
      </c>
      <c r="J175" s="92"/>
      <c r="K175" s="92"/>
      <c r="L175" s="92"/>
      <c r="M175" s="97">
        <f t="shared" si="43"/>
        <v>0</v>
      </c>
      <c r="N175" s="92"/>
      <c r="O175" s="92"/>
      <c r="P175" s="92"/>
      <c r="Q175" s="97">
        <f t="shared" si="45"/>
        <v>0</v>
      </c>
      <c r="R175" s="97">
        <f t="shared" si="39"/>
        <v>0</v>
      </c>
    </row>
    <row r="176" spans="1:20" ht="15.75" customHeight="1" x14ac:dyDescent="0.3">
      <c r="A176" s="74" t="s">
        <v>157</v>
      </c>
      <c r="B176" s="1"/>
      <c r="C176" s="1"/>
      <c r="D176" s="1"/>
      <c r="E176" s="59">
        <f t="shared" si="46"/>
        <v>0</v>
      </c>
      <c r="F176" s="1">
        <v>1125</v>
      </c>
      <c r="G176" s="1">
        <v>1889</v>
      </c>
      <c r="H176" s="1">
        <v>1841</v>
      </c>
      <c r="I176" s="59">
        <f t="shared" si="42"/>
        <v>4855</v>
      </c>
      <c r="J176" s="1">
        <v>2046</v>
      </c>
      <c r="K176" s="1">
        <v>2088</v>
      </c>
      <c r="L176" s="1">
        <v>1866</v>
      </c>
      <c r="M176" s="59">
        <f t="shared" si="43"/>
        <v>6000</v>
      </c>
      <c r="N176" s="1">
        <v>1914</v>
      </c>
      <c r="O176" s="1">
        <v>1660</v>
      </c>
      <c r="P176" s="1">
        <v>1520</v>
      </c>
      <c r="Q176" s="59">
        <f t="shared" si="45"/>
        <v>5094</v>
      </c>
      <c r="R176" s="59">
        <f>+E176+I176+M176+Q176</f>
        <v>15949</v>
      </c>
      <c r="T176" s="4" t="s">
        <v>158</v>
      </c>
    </row>
    <row r="177" spans="1:20" ht="15.75" customHeight="1" x14ac:dyDescent="0.3">
      <c r="A177" s="91" t="s">
        <v>159</v>
      </c>
      <c r="B177" s="1"/>
      <c r="C177" s="1"/>
      <c r="D177" s="1"/>
      <c r="E177" s="59">
        <f t="shared" si="46"/>
        <v>0</v>
      </c>
      <c r="F177" s="1"/>
      <c r="G177" s="1"/>
      <c r="H177" s="1"/>
      <c r="I177" s="59">
        <f t="shared" si="42"/>
        <v>0</v>
      </c>
      <c r="J177" s="1"/>
      <c r="K177" s="1"/>
      <c r="L177" s="1">
        <v>532</v>
      </c>
      <c r="M177" s="59">
        <f t="shared" si="43"/>
        <v>532</v>
      </c>
      <c r="N177" s="1"/>
      <c r="O177" s="1"/>
      <c r="P177" s="1"/>
      <c r="Q177" s="59">
        <f t="shared" si="45"/>
        <v>0</v>
      </c>
      <c r="R177" s="59">
        <f t="shared" ref="R177:R183" si="49">+E177+I177+M177+Q177</f>
        <v>532</v>
      </c>
      <c r="T177" s="4" t="s">
        <v>121</v>
      </c>
    </row>
    <row r="178" spans="1:20" ht="15.75" customHeight="1" x14ac:dyDescent="0.3">
      <c r="A178" s="91" t="s">
        <v>160</v>
      </c>
      <c r="B178" s="1"/>
      <c r="C178" s="1"/>
      <c r="D178" s="1"/>
      <c r="E178" s="59">
        <f t="shared" si="46"/>
        <v>0</v>
      </c>
      <c r="F178" s="1"/>
      <c r="G178" s="1"/>
      <c r="H178" s="1"/>
      <c r="I178" s="59">
        <f t="shared" si="42"/>
        <v>0</v>
      </c>
      <c r="J178" s="1"/>
      <c r="K178" s="1"/>
      <c r="L178" s="1"/>
      <c r="M178" s="59">
        <f t="shared" si="43"/>
        <v>0</v>
      </c>
      <c r="N178" s="1"/>
      <c r="O178" s="1"/>
      <c r="P178" s="1"/>
      <c r="Q178" s="59">
        <f t="shared" si="45"/>
        <v>0</v>
      </c>
      <c r="R178" s="59">
        <f t="shared" si="49"/>
        <v>0</v>
      </c>
      <c r="T178" s="4" t="s">
        <v>134</v>
      </c>
    </row>
    <row r="179" spans="1:20" ht="15.75" customHeight="1" x14ac:dyDescent="0.3">
      <c r="A179" s="74" t="s">
        <v>161</v>
      </c>
      <c r="B179" s="1"/>
      <c r="C179" s="1"/>
      <c r="D179" s="1"/>
      <c r="E179" s="59">
        <f t="shared" si="46"/>
        <v>0</v>
      </c>
      <c r="F179" s="1"/>
      <c r="G179" s="1">
        <v>362</v>
      </c>
      <c r="H179" s="1"/>
      <c r="I179" s="59">
        <f t="shared" si="42"/>
        <v>362</v>
      </c>
      <c r="J179" s="1"/>
      <c r="K179" s="1"/>
      <c r="L179" s="1"/>
      <c r="M179" s="59">
        <f t="shared" si="43"/>
        <v>0</v>
      </c>
      <c r="N179" s="1"/>
      <c r="O179" s="1"/>
      <c r="P179" s="1"/>
      <c r="Q179" s="59">
        <f t="shared" si="45"/>
        <v>0</v>
      </c>
      <c r="R179" s="59">
        <f t="shared" si="49"/>
        <v>362</v>
      </c>
      <c r="S179" s="94" t="s">
        <v>136</v>
      </c>
      <c r="T179" s="4" t="s">
        <v>162</v>
      </c>
    </row>
    <row r="180" spans="1:20" ht="15.75" customHeight="1" x14ac:dyDescent="0.3">
      <c r="A180" s="74" t="s">
        <v>163</v>
      </c>
      <c r="B180" s="1"/>
      <c r="C180" s="1"/>
      <c r="D180" s="1"/>
      <c r="E180" s="59">
        <f t="shared" si="46"/>
        <v>0</v>
      </c>
      <c r="F180" s="1"/>
      <c r="G180" s="1"/>
      <c r="H180" s="1"/>
      <c r="I180" s="59">
        <f t="shared" si="42"/>
        <v>0</v>
      </c>
      <c r="J180" s="1"/>
      <c r="K180" s="1"/>
      <c r="L180" s="1"/>
      <c r="M180" s="59">
        <f t="shared" si="43"/>
        <v>0</v>
      </c>
      <c r="N180" s="1"/>
      <c r="O180" s="1"/>
      <c r="P180" s="1"/>
      <c r="Q180" s="59">
        <f t="shared" ref="Q180" si="50">SUM(N180:P180)</f>
        <v>0</v>
      </c>
      <c r="R180" s="59">
        <f t="shared" si="49"/>
        <v>0</v>
      </c>
      <c r="S180" s="94"/>
    </row>
    <row r="181" spans="1:20" ht="15.75" customHeight="1" x14ac:dyDescent="0.3">
      <c r="A181" s="91" t="s">
        <v>164</v>
      </c>
      <c r="B181" s="1">
        <v>968</v>
      </c>
      <c r="C181" s="1">
        <v>249</v>
      </c>
      <c r="D181" s="1">
        <v>1151</v>
      </c>
      <c r="E181" s="59">
        <f t="shared" si="46"/>
        <v>2368</v>
      </c>
      <c r="F181" s="1"/>
      <c r="G181" s="1"/>
      <c r="H181" s="1"/>
      <c r="I181" s="59">
        <f t="shared" si="42"/>
        <v>0</v>
      </c>
      <c r="J181" s="1"/>
      <c r="K181" s="1"/>
      <c r="L181" s="1"/>
      <c r="M181" s="59">
        <f t="shared" si="43"/>
        <v>0</v>
      </c>
      <c r="N181" s="1"/>
      <c r="O181" s="1"/>
      <c r="P181" s="1"/>
      <c r="Q181" s="59">
        <f t="shared" si="45"/>
        <v>0</v>
      </c>
      <c r="R181" s="59">
        <f t="shared" si="49"/>
        <v>2368</v>
      </c>
      <c r="T181" s="4" t="s">
        <v>132</v>
      </c>
    </row>
    <row r="182" spans="1:20" ht="15.75" customHeight="1" x14ac:dyDescent="0.3">
      <c r="A182" s="91" t="s">
        <v>165</v>
      </c>
      <c r="B182" s="1">
        <v>3525</v>
      </c>
      <c r="C182" s="1">
        <v>3423</v>
      </c>
      <c r="D182" s="1">
        <v>1426</v>
      </c>
      <c r="E182" s="59">
        <f t="shared" si="46"/>
        <v>8374</v>
      </c>
      <c r="F182" s="1"/>
      <c r="G182" s="1"/>
      <c r="H182" s="1"/>
      <c r="I182" s="59">
        <f t="shared" si="42"/>
        <v>0</v>
      </c>
      <c r="J182" s="1"/>
      <c r="K182" s="1"/>
      <c r="L182" s="1"/>
      <c r="M182" s="59">
        <f t="shared" si="43"/>
        <v>0</v>
      </c>
      <c r="N182" s="1"/>
      <c r="O182" s="1"/>
      <c r="P182" s="1"/>
      <c r="Q182" s="59">
        <f t="shared" si="45"/>
        <v>0</v>
      </c>
      <c r="R182" s="59">
        <f t="shared" si="49"/>
        <v>8374</v>
      </c>
      <c r="T182" s="4" t="s">
        <v>134</v>
      </c>
    </row>
    <row r="183" spans="1:20" ht="15.75" customHeight="1" x14ac:dyDescent="0.3">
      <c r="A183" s="74" t="s">
        <v>166</v>
      </c>
      <c r="B183" s="1">
        <v>16</v>
      </c>
      <c r="C183" s="1">
        <v>18</v>
      </c>
      <c r="D183" s="1">
        <v>16</v>
      </c>
      <c r="E183" s="59">
        <f t="shared" si="46"/>
        <v>50</v>
      </c>
      <c r="F183" s="1">
        <v>50</v>
      </c>
      <c r="G183" s="1">
        <v>74</v>
      </c>
      <c r="H183" s="1">
        <v>54</v>
      </c>
      <c r="I183" s="59">
        <f t="shared" si="42"/>
        <v>178</v>
      </c>
      <c r="J183" s="1">
        <v>67</v>
      </c>
      <c r="K183" s="1"/>
      <c r="L183" s="1">
        <v>10</v>
      </c>
      <c r="M183" s="59">
        <f t="shared" si="43"/>
        <v>77</v>
      </c>
      <c r="N183" s="1">
        <v>83</v>
      </c>
      <c r="O183" s="1">
        <v>29</v>
      </c>
      <c r="P183" s="1">
        <v>20</v>
      </c>
      <c r="Q183" s="59">
        <f t="shared" si="45"/>
        <v>132</v>
      </c>
      <c r="R183" s="59">
        <f t="shared" si="49"/>
        <v>437</v>
      </c>
      <c r="T183" s="4" t="s">
        <v>127</v>
      </c>
    </row>
    <row r="184" spans="1:20" ht="15.75" customHeight="1" x14ac:dyDescent="0.3">
      <c r="A184" s="91" t="s">
        <v>167</v>
      </c>
      <c r="B184" s="1">
        <f>304+757</f>
        <v>1061</v>
      </c>
      <c r="C184" s="1"/>
      <c r="D184" s="1">
        <f>413+46</f>
        <v>459</v>
      </c>
      <c r="E184" s="59">
        <f t="shared" si="46"/>
        <v>1520</v>
      </c>
      <c r="F184" s="1">
        <f>1188+1196</f>
        <v>2384</v>
      </c>
      <c r="G184" s="1">
        <f>614+658</f>
        <v>1272</v>
      </c>
      <c r="H184" s="1"/>
      <c r="I184" s="59">
        <f t="shared" si="42"/>
        <v>3656</v>
      </c>
      <c r="J184" s="1">
        <v>1502</v>
      </c>
      <c r="K184" s="1">
        <f>118+1703</f>
        <v>1821</v>
      </c>
      <c r="L184" s="1">
        <f>301+727</f>
        <v>1028</v>
      </c>
      <c r="M184" s="59">
        <f t="shared" si="43"/>
        <v>4351</v>
      </c>
      <c r="N184" s="1">
        <f>172+1629</f>
        <v>1801</v>
      </c>
      <c r="O184" s="1">
        <f>588+646</f>
        <v>1234</v>
      </c>
      <c r="P184" s="1"/>
      <c r="Q184" s="59">
        <f t="shared" si="45"/>
        <v>3035</v>
      </c>
      <c r="R184" s="59">
        <f t="shared" si="39"/>
        <v>12562</v>
      </c>
      <c r="T184" s="4" t="s">
        <v>132</v>
      </c>
    </row>
    <row r="185" spans="1:20" ht="15.75" customHeight="1" x14ac:dyDescent="0.3">
      <c r="A185" s="91" t="s">
        <v>168</v>
      </c>
      <c r="B185" s="1">
        <v>130</v>
      </c>
      <c r="C185" s="1">
        <v>150</v>
      </c>
      <c r="D185" s="1">
        <v>200</v>
      </c>
      <c r="E185" s="59">
        <f t="shared" si="46"/>
        <v>480</v>
      </c>
      <c r="F185" s="1">
        <v>1300</v>
      </c>
      <c r="G185" s="1"/>
      <c r="H185" s="1">
        <v>477</v>
      </c>
      <c r="I185" s="59">
        <f t="shared" si="42"/>
        <v>1777</v>
      </c>
      <c r="J185" s="1"/>
      <c r="K185" s="1"/>
      <c r="L185" s="1">
        <v>1000</v>
      </c>
      <c r="M185" s="59">
        <f t="shared" si="43"/>
        <v>1000</v>
      </c>
      <c r="N185" s="1"/>
      <c r="O185" s="1"/>
      <c r="P185" s="1"/>
      <c r="Q185" s="59">
        <f t="shared" si="45"/>
        <v>0</v>
      </c>
      <c r="R185" s="59">
        <f t="shared" si="39"/>
        <v>3257</v>
      </c>
      <c r="T185" s="4" t="s">
        <v>134</v>
      </c>
    </row>
    <row r="186" spans="1:20" ht="15.75" customHeight="1" x14ac:dyDescent="0.3">
      <c r="A186" s="91" t="s">
        <v>169</v>
      </c>
      <c r="B186" s="1">
        <v>21</v>
      </c>
      <c r="C186" s="1">
        <v>22</v>
      </c>
      <c r="D186" s="1">
        <v>22</v>
      </c>
      <c r="E186" s="59">
        <f t="shared" si="46"/>
        <v>65</v>
      </c>
      <c r="F186" s="1">
        <v>53</v>
      </c>
      <c r="G186" s="1">
        <v>74</v>
      </c>
      <c r="H186" s="1">
        <v>87</v>
      </c>
      <c r="I186" s="59">
        <f>SUM(F186:H186)</f>
        <v>214</v>
      </c>
      <c r="J186" s="1">
        <v>86</v>
      </c>
      <c r="K186" s="1">
        <v>75</v>
      </c>
      <c r="L186" s="1">
        <v>64</v>
      </c>
      <c r="M186" s="59">
        <f t="shared" si="43"/>
        <v>225</v>
      </c>
      <c r="N186" s="1">
        <v>74</v>
      </c>
      <c r="O186" s="1">
        <v>40</v>
      </c>
      <c r="P186" s="1">
        <v>28</v>
      </c>
      <c r="Q186" s="59">
        <f t="shared" si="45"/>
        <v>142</v>
      </c>
      <c r="R186" s="59">
        <f t="shared" si="39"/>
        <v>646</v>
      </c>
      <c r="T186" s="4" t="s">
        <v>170</v>
      </c>
    </row>
    <row r="187" spans="1:20" ht="15.75" customHeight="1" x14ac:dyDescent="0.3">
      <c r="A187" s="91" t="s">
        <v>171</v>
      </c>
      <c r="B187" s="1">
        <v>1</v>
      </c>
      <c r="C187" s="1"/>
      <c r="D187" s="1">
        <v>1</v>
      </c>
      <c r="E187" s="59">
        <f t="shared" si="46"/>
        <v>2</v>
      </c>
      <c r="F187" s="1">
        <v>20</v>
      </c>
      <c r="G187" s="1">
        <v>84</v>
      </c>
      <c r="H187" s="1">
        <v>110</v>
      </c>
      <c r="I187" s="59">
        <f t="shared" si="42"/>
        <v>214</v>
      </c>
      <c r="J187" s="1">
        <v>114</v>
      </c>
      <c r="K187" s="1">
        <v>121</v>
      </c>
      <c r="L187" s="1">
        <v>93</v>
      </c>
      <c r="M187" s="59">
        <f t="shared" si="43"/>
        <v>328</v>
      </c>
      <c r="N187" s="1">
        <v>98</v>
      </c>
      <c r="O187" s="1">
        <v>11</v>
      </c>
      <c r="P187" s="1"/>
      <c r="Q187" s="59">
        <f t="shared" si="45"/>
        <v>109</v>
      </c>
      <c r="R187" s="59">
        <f t="shared" si="39"/>
        <v>653</v>
      </c>
      <c r="T187" s="4" t="s">
        <v>127</v>
      </c>
    </row>
    <row r="188" spans="1:20" ht="15.75" customHeight="1" x14ac:dyDescent="0.3">
      <c r="A188" s="91" t="s">
        <v>172</v>
      </c>
      <c r="B188" s="1"/>
      <c r="C188" s="1"/>
      <c r="D188" s="1">
        <v>1</v>
      </c>
      <c r="E188" s="59">
        <f t="shared" si="46"/>
        <v>1</v>
      </c>
      <c r="F188" s="1">
        <v>1</v>
      </c>
      <c r="G188" s="1">
        <v>1</v>
      </c>
      <c r="H188" s="1"/>
      <c r="I188" s="59">
        <f t="shared" si="42"/>
        <v>2</v>
      </c>
      <c r="J188" s="1">
        <v>1</v>
      </c>
      <c r="K188" s="1">
        <v>1</v>
      </c>
      <c r="L188" s="1">
        <v>2</v>
      </c>
      <c r="M188" s="59">
        <f t="shared" si="43"/>
        <v>4</v>
      </c>
      <c r="N188" s="1">
        <v>15</v>
      </c>
      <c r="O188" s="1">
        <v>1</v>
      </c>
      <c r="P188" s="1"/>
      <c r="Q188" s="59">
        <f t="shared" si="45"/>
        <v>16</v>
      </c>
      <c r="R188" s="59">
        <f t="shared" si="39"/>
        <v>23</v>
      </c>
      <c r="S188" s="50"/>
      <c r="T188" s="4" t="s">
        <v>121</v>
      </c>
    </row>
    <row r="189" spans="1:20" ht="15.75" customHeight="1" x14ac:dyDescent="0.3">
      <c r="A189" s="74" t="s">
        <v>173</v>
      </c>
      <c r="B189" s="1"/>
      <c r="C189" s="1"/>
      <c r="D189" s="1"/>
      <c r="E189" s="59">
        <f t="shared" si="46"/>
        <v>0</v>
      </c>
      <c r="F189" s="1"/>
      <c r="G189" s="1"/>
      <c r="H189" s="1">
        <v>931</v>
      </c>
      <c r="I189" s="59">
        <f t="shared" si="42"/>
        <v>931</v>
      </c>
      <c r="J189" s="1">
        <v>1064</v>
      </c>
      <c r="K189" s="1">
        <v>1046</v>
      </c>
      <c r="L189" s="1">
        <v>986</v>
      </c>
      <c r="M189" s="59">
        <f t="shared" si="43"/>
        <v>3096</v>
      </c>
      <c r="N189" s="1">
        <v>950</v>
      </c>
      <c r="O189" s="1">
        <v>901</v>
      </c>
      <c r="P189" s="1">
        <v>819</v>
      </c>
      <c r="Q189" s="59">
        <f t="shared" si="45"/>
        <v>2670</v>
      </c>
      <c r="R189" s="59">
        <f t="shared" si="39"/>
        <v>6697</v>
      </c>
      <c r="T189" s="4" t="s">
        <v>158</v>
      </c>
    </row>
    <row r="190" spans="1:20" ht="15.75" customHeight="1" x14ac:dyDescent="0.3">
      <c r="A190" s="74" t="s">
        <v>174</v>
      </c>
      <c r="B190" s="1"/>
      <c r="C190" s="1"/>
      <c r="D190" s="1"/>
      <c r="E190" s="59">
        <f t="shared" si="46"/>
        <v>0</v>
      </c>
      <c r="F190" s="1"/>
      <c r="G190" s="1"/>
      <c r="H190" s="1">
        <v>362</v>
      </c>
      <c r="I190" s="59">
        <f t="shared" si="42"/>
        <v>362</v>
      </c>
      <c r="J190" s="1"/>
      <c r="K190" s="1"/>
      <c r="L190" s="1"/>
      <c r="M190" s="59">
        <f t="shared" si="43"/>
        <v>0</v>
      </c>
      <c r="N190" s="1"/>
      <c r="O190" s="1"/>
      <c r="P190" s="1"/>
      <c r="Q190" s="59">
        <f t="shared" si="45"/>
        <v>0</v>
      </c>
      <c r="R190" s="59">
        <f t="shared" si="39"/>
        <v>362</v>
      </c>
      <c r="S190" s="94" t="s">
        <v>136</v>
      </c>
      <c r="T190" s="4" t="s">
        <v>137</v>
      </c>
    </row>
    <row r="191" spans="1:20" ht="15.75" customHeight="1" x14ac:dyDescent="0.3">
      <c r="A191" s="74" t="s">
        <v>175</v>
      </c>
      <c r="B191" s="1"/>
      <c r="C191" s="1"/>
      <c r="D191" s="1"/>
      <c r="E191" s="59">
        <f t="shared" si="46"/>
        <v>0</v>
      </c>
      <c r="F191" s="1"/>
      <c r="G191" s="1"/>
      <c r="H191" s="1"/>
      <c r="I191" s="59">
        <f t="shared" si="42"/>
        <v>0</v>
      </c>
      <c r="J191" s="1"/>
      <c r="K191" s="1"/>
      <c r="L191" s="1"/>
      <c r="M191" s="59">
        <f t="shared" si="43"/>
        <v>0</v>
      </c>
      <c r="N191" s="1"/>
      <c r="O191" s="1"/>
      <c r="P191" s="1"/>
      <c r="Q191" s="59">
        <f t="shared" si="45"/>
        <v>0</v>
      </c>
      <c r="R191" s="59">
        <f t="shared" si="39"/>
        <v>0</v>
      </c>
      <c r="T191" s="4" t="s">
        <v>137</v>
      </c>
    </row>
    <row r="192" spans="1:20" ht="15.75" customHeight="1" x14ac:dyDescent="0.3">
      <c r="A192" s="74" t="s">
        <v>176</v>
      </c>
      <c r="B192" s="1">
        <f>2541+17+1+1</f>
        <v>2560</v>
      </c>
      <c r="C192" s="1">
        <f>2373+10+1+1+14</f>
        <v>2399</v>
      </c>
      <c r="D192" s="1">
        <f>2499+5+1+1+2337</f>
        <v>4843</v>
      </c>
      <c r="E192" s="59">
        <f t="shared" si="46"/>
        <v>9802</v>
      </c>
      <c r="F192" s="1">
        <f>7960+2416+66+1+1</f>
        <v>10444</v>
      </c>
      <c r="G192" s="1">
        <f>1+1+100+2503+11035</f>
        <v>13640</v>
      </c>
      <c r="H192" s="1">
        <f>1+2+125+2625+10768+1000</f>
        <v>14521</v>
      </c>
      <c r="I192" s="59">
        <f t="shared" si="42"/>
        <v>38605</v>
      </c>
      <c r="J192" s="1">
        <f>1+2+2511+10296+109</f>
        <v>12919</v>
      </c>
      <c r="K192" s="1">
        <f>1+2+75+2533+9788</f>
        <v>12399</v>
      </c>
      <c r="L192" s="1">
        <f>1+2+79+2461+9174</f>
        <v>11717</v>
      </c>
      <c r="M192" s="59">
        <f t="shared" si="43"/>
        <v>37035</v>
      </c>
      <c r="N192" s="1">
        <f>1+3+66+2532+9799</f>
        <v>12401</v>
      </c>
      <c r="O192" s="1">
        <f>1+3+30+2469+2804</f>
        <v>5307</v>
      </c>
      <c r="P192" s="1">
        <f>1+1+18+2516+5978</f>
        <v>8514</v>
      </c>
      <c r="Q192" s="59">
        <f t="shared" si="45"/>
        <v>26222</v>
      </c>
      <c r="R192" s="59">
        <f t="shared" si="39"/>
        <v>111664</v>
      </c>
      <c r="S192" s="4" t="s">
        <v>136</v>
      </c>
    </row>
    <row r="193" spans="1:20" ht="15.75" customHeight="1" x14ac:dyDescent="0.3">
      <c r="A193" s="74" t="s">
        <v>177</v>
      </c>
      <c r="B193" s="1">
        <v>5000</v>
      </c>
      <c r="C193" s="1">
        <f>5000+213</f>
        <v>5213</v>
      </c>
      <c r="D193" s="1">
        <f>99+516</f>
        <v>615</v>
      </c>
      <c r="E193" s="59">
        <f t="shared" si="46"/>
        <v>10828</v>
      </c>
      <c r="F193" s="1">
        <v>632</v>
      </c>
      <c r="G193" s="1">
        <v>507</v>
      </c>
      <c r="H193" s="1">
        <f>458+147</f>
        <v>605</v>
      </c>
      <c r="I193" s="59">
        <f t="shared" si="42"/>
        <v>1744</v>
      </c>
      <c r="J193" s="1">
        <v>435</v>
      </c>
      <c r="K193" s="1"/>
      <c r="L193" s="1"/>
      <c r="M193" s="59">
        <f t="shared" si="43"/>
        <v>435</v>
      </c>
      <c r="N193" s="1"/>
      <c r="O193" s="1"/>
      <c r="P193" s="1"/>
      <c r="Q193" s="59">
        <f t="shared" si="45"/>
        <v>0</v>
      </c>
      <c r="R193" s="59">
        <f>+E193+I193+M193+Q193</f>
        <v>13007</v>
      </c>
      <c r="S193" s="94"/>
      <c r="T193" s="4" t="s">
        <v>137</v>
      </c>
    </row>
    <row r="194" spans="1:20" ht="15.75" customHeight="1" x14ac:dyDescent="0.3">
      <c r="A194" s="74" t="s">
        <v>178</v>
      </c>
      <c r="B194" s="1">
        <v>34</v>
      </c>
      <c r="C194" s="1">
        <v>61</v>
      </c>
      <c r="D194" s="1">
        <v>50</v>
      </c>
      <c r="E194" s="59">
        <f t="shared" si="46"/>
        <v>145</v>
      </c>
      <c r="F194" s="1">
        <v>55</v>
      </c>
      <c r="G194" s="1">
        <v>55</v>
      </c>
      <c r="H194" s="1">
        <v>55</v>
      </c>
      <c r="I194" s="59">
        <f t="shared" si="42"/>
        <v>165</v>
      </c>
      <c r="J194" s="1">
        <v>65</v>
      </c>
      <c r="K194" s="1">
        <v>65</v>
      </c>
      <c r="L194" s="1">
        <v>50</v>
      </c>
      <c r="M194" s="59">
        <f t="shared" si="43"/>
        <v>180</v>
      </c>
      <c r="N194" s="1">
        <v>50</v>
      </c>
      <c r="O194" s="1">
        <v>50</v>
      </c>
      <c r="P194" s="1">
        <v>50</v>
      </c>
      <c r="Q194" s="59">
        <f t="shared" si="45"/>
        <v>150</v>
      </c>
      <c r="R194" s="59">
        <f t="shared" si="39"/>
        <v>640</v>
      </c>
      <c r="S194" s="4" t="s">
        <v>136</v>
      </c>
      <c r="T194" s="4" t="s">
        <v>137</v>
      </c>
    </row>
    <row r="195" spans="1:20" ht="15.75" customHeight="1" x14ac:dyDescent="0.3">
      <c r="A195" s="91" t="s">
        <v>179</v>
      </c>
      <c r="B195" s="1"/>
      <c r="C195" s="1"/>
      <c r="D195" s="1"/>
      <c r="E195" s="59">
        <f t="shared" si="46"/>
        <v>0</v>
      </c>
      <c r="F195" s="1"/>
      <c r="G195" s="1"/>
      <c r="H195" s="1"/>
      <c r="I195" s="59">
        <f t="shared" si="42"/>
        <v>0</v>
      </c>
      <c r="J195" s="1">
        <v>779</v>
      </c>
      <c r="K195" s="1">
        <v>1079</v>
      </c>
      <c r="L195" s="1">
        <v>1963</v>
      </c>
      <c r="M195" s="59">
        <f t="shared" si="43"/>
        <v>3821</v>
      </c>
      <c r="N195" s="1">
        <v>537</v>
      </c>
      <c r="O195" s="1"/>
      <c r="P195" s="1"/>
      <c r="Q195" s="59">
        <f t="shared" ref="Q195" si="51">SUM(N195:P195)</f>
        <v>537</v>
      </c>
      <c r="R195" s="59">
        <f t="shared" si="39"/>
        <v>4358</v>
      </c>
    </row>
    <row r="196" spans="1:20" ht="15.75" customHeight="1" x14ac:dyDescent="0.3">
      <c r="A196" s="74" t="s">
        <v>180</v>
      </c>
      <c r="B196" s="1">
        <v>3283</v>
      </c>
      <c r="C196" s="1"/>
      <c r="D196" s="1"/>
      <c r="E196" s="59">
        <f t="shared" si="46"/>
        <v>3283</v>
      </c>
      <c r="F196" s="1"/>
      <c r="G196" s="1"/>
      <c r="H196" s="1">
        <v>2991</v>
      </c>
      <c r="I196" s="59">
        <f t="shared" si="42"/>
        <v>2991</v>
      </c>
      <c r="J196" s="1">
        <f>56+6235+1590+142</f>
        <v>8023</v>
      </c>
      <c r="K196" s="1">
        <f>51+6461+876+131</f>
        <v>7519</v>
      </c>
      <c r="L196" s="1">
        <f>34+5712+609+105</f>
        <v>6460</v>
      </c>
      <c r="M196" s="59">
        <f t="shared" si="43"/>
        <v>22002</v>
      </c>
      <c r="N196" s="1">
        <f>55+6118+730+115</f>
        <v>7018</v>
      </c>
      <c r="O196" s="1">
        <f>25+5242+177+109</f>
        <v>5553</v>
      </c>
      <c r="P196" s="1">
        <f>16+4761+244+110</f>
        <v>5131</v>
      </c>
      <c r="Q196" s="59">
        <f t="shared" si="45"/>
        <v>17702</v>
      </c>
      <c r="R196" s="59">
        <f>+E196+I196+M196+Q196</f>
        <v>45978</v>
      </c>
    </row>
    <row r="197" spans="1:20" ht="15.75" customHeight="1" x14ac:dyDescent="0.3">
      <c r="A197" s="74" t="s">
        <v>181</v>
      </c>
      <c r="B197" s="1"/>
      <c r="C197" s="1"/>
      <c r="D197" s="1"/>
      <c r="E197" s="59">
        <f t="shared" ref="E197" si="52">SUM(B197:D197)</f>
        <v>0</v>
      </c>
      <c r="F197" s="1"/>
      <c r="G197" s="1"/>
      <c r="H197" s="1">
        <v>500</v>
      </c>
      <c r="I197" s="59">
        <f t="shared" si="42"/>
        <v>500</v>
      </c>
      <c r="J197" s="1">
        <v>500</v>
      </c>
      <c r="K197" s="1">
        <f>500+362</f>
        <v>862</v>
      </c>
      <c r="L197" s="1">
        <v>500</v>
      </c>
      <c r="M197" s="59">
        <f t="shared" si="43"/>
        <v>1862</v>
      </c>
      <c r="N197" s="1"/>
      <c r="O197" s="1"/>
      <c r="P197" s="1"/>
      <c r="Q197" s="59">
        <f t="shared" si="45"/>
        <v>0</v>
      </c>
      <c r="R197" s="59">
        <f t="shared" si="39"/>
        <v>2362</v>
      </c>
      <c r="S197" s="4" t="s">
        <v>136</v>
      </c>
    </row>
    <row r="198" spans="1:20" ht="15.75" customHeight="1" x14ac:dyDescent="0.3">
      <c r="A198" s="91" t="s">
        <v>182</v>
      </c>
      <c r="B198" s="1"/>
      <c r="C198" s="1"/>
      <c r="D198" s="1"/>
      <c r="E198" s="59">
        <f t="shared" ref="E198:E203" si="53">SUM(B198:D198)</f>
        <v>0</v>
      </c>
      <c r="F198" s="1"/>
      <c r="G198" s="1"/>
      <c r="H198" s="1"/>
      <c r="I198" s="59">
        <f t="shared" ref="I198:I203" si="54">SUM(F198:H198)</f>
        <v>0</v>
      </c>
      <c r="J198" s="1"/>
      <c r="K198" s="1"/>
      <c r="L198" s="1"/>
      <c r="M198" s="59">
        <f t="shared" ref="M198:M203" si="55">SUM(J198:L198)</f>
        <v>0</v>
      </c>
      <c r="N198" s="1"/>
      <c r="O198" s="1"/>
      <c r="P198" s="1"/>
      <c r="Q198" s="59">
        <f t="shared" si="45"/>
        <v>0</v>
      </c>
      <c r="R198" s="59">
        <f t="shared" si="39"/>
        <v>0</v>
      </c>
      <c r="T198" s="4" t="s">
        <v>132</v>
      </c>
    </row>
    <row r="199" spans="1:20" ht="15.75" customHeight="1" x14ac:dyDescent="0.3">
      <c r="A199" s="91" t="s">
        <v>183</v>
      </c>
      <c r="B199" s="1"/>
      <c r="C199" s="1"/>
      <c r="D199" s="1"/>
      <c r="E199" s="59">
        <f t="shared" si="53"/>
        <v>0</v>
      </c>
      <c r="F199" s="1"/>
      <c r="G199" s="1"/>
      <c r="H199" s="1"/>
      <c r="I199" s="59">
        <f t="shared" si="54"/>
        <v>0</v>
      </c>
      <c r="J199" s="1"/>
      <c r="K199" s="1"/>
      <c r="L199" s="1"/>
      <c r="M199" s="59">
        <f t="shared" si="55"/>
        <v>0</v>
      </c>
      <c r="N199" s="1"/>
      <c r="O199" s="1"/>
      <c r="P199" s="1"/>
      <c r="Q199" s="59">
        <f t="shared" si="45"/>
        <v>0</v>
      </c>
      <c r="R199" s="59">
        <f>+E199+I199+M199+Q199</f>
        <v>0</v>
      </c>
    </row>
    <row r="200" spans="1:20" ht="15.75" customHeight="1" x14ac:dyDescent="0.3">
      <c r="A200" s="91" t="s">
        <v>184</v>
      </c>
      <c r="B200" s="1"/>
      <c r="C200" s="1"/>
      <c r="D200" s="1">
        <v>143</v>
      </c>
      <c r="E200" s="59">
        <f t="shared" si="53"/>
        <v>143</v>
      </c>
      <c r="F200" s="1">
        <v>1746</v>
      </c>
      <c r="G200" s="1">
        <v>2169</v>
      </c>
      <c r="H200" s="1">
        <v>751</v>
      </c>
      <c r="I200" s="59">
        <f t="shared" si="54"/>
        <v>4666</v>
      </c>
      <c r="J200" s="1">
        <v>500</v>
      </c>
      <c r="K200" s="1">
        <v>400</v>
      </c>
      <c r="L200" s="1">
        <v>450</v>
      </c>
      <c r="M200" s="59">
        <f t="shared" si="55"/>
        <v>1350</v>
      </c>
      <c r="N200" s="1">
        <v>450</v>
      </c>
      <c r="O200" s="1">
        <v>450</v>
      </c>
      <c r="P200" s="1"/>
      <c r="Q200" s="59">
        <f t="shared" si="45"/>
        <v>900</v>
      </c>
      <c r="R200" s="59">
        <f t="shared" si="39"/>
        <v>7059</v>
      </c>
    </row>
    <row r="201" spans="1:20" ht="15.75" customHeight="1" x14ac:dyDescent="0.3">
      <c r="A201" s="74" t="s">
        <v>185</v>
      </c>
      <c r="B201" s="1">
        <v>122</v>
      </c>
      <c r="C201" s="1">
        <v>300</v>
      </c>
      <c r="D201" s="1">
        <v>350</v>
      </c>
      <c r="E201" s="59">
        <f t="shared" si="53"/>
        <v>772</v>
      </c>
      <c r="F201" s="1">
        <v>350</v>
      </c>
      <c r="G201" s="1">
        <v>400</v>
      </c>
      <c r="H201" s="1">
        <v>450</v>
      </c>
      <c r="I201" s="59">
        <f t="shared" si="54"/>
        <v>1200</v>
      </c>
      <c r="J201" s="1">
        <v>493</v>
      </c>
      <c r="K201" s="1">
        <v>500</v>
      </c>
      <c r="L201" s="1">
        <v>400</v>
      </c>
      <c r="M201" s="59">
        <f t="shared" si="55"/>
        <v>1393</v>
      </c>
      <c r="N201" s="1">
        <v>400</v>
      </c>
      <c r="O201" s="1">
        <v>300</v>
      </c>
      <c r="P201" s="1">
        <v>250</v>
      </c>
      <c r="Q201" s="59">
        <f t="shared" si="45"/>
        <v>950</v>
      </c>
      <c r="R201" s="59">
        <f>+E201+I201+M201+Q201</f>
        <v>4315</v>
      </c>
      <c r="S201" s="4" t="s">
        <v>136</v>
      </c>
      <c r="T201" s="4" t="s">
        <v>137</v>
      </c>
    </row>
    <row r="202" spans="1:20" ht="15.75" customHeight="1" x14ac:dyDescent="0.3">
      <c r="A202" s="74" t="s">
        <v>186</v>
      </c>
      <c r="B202" s="1">
        <v>3</v>
      </c>
      <c r="C202" s="1">
        <v>2</v>
      </c>
      <c r="D202" s="1">
        <v>2</v>
      </c>
      <c r="E202" s="59">
        <f t="shared" si="53"/>
        <v>7</v>
      </c>
      <c r="F202" s="1">
        <v>3</v>
      </c>
      <c r="G202" s="1">
        <v>3</v>
      </c>
      <c r="H202" s="1">
        <v>4</v>
      </c>
      <c r="I202" s="59">
        <f t="shared" si="54"/>
        <v>10</v>
      </c>
      <c r="J202" s="1">
        <v>4</v>
      </c>
      <c r="K202" s="1">
        <v>4</v>
      </c>
      <c r="L202" s="1">
        <v>5</v>
      </c>
      <c r="M202" s="59">
        <f t="shared" si="55"/>
        <v>13</v>
      </c>
      <c r="N202" s="1">
        <v>3</v>
      </c>
      <c r="O202" s="1">
        <v>3</v>
      </c>
      <c r="P202" s="1">
        <v>4</v>
      </c>
      <c r="Q202" s="59">
        <f t="shared" si="45"/>
        <v>10</v>
      </c>
      <c r="R202" s="59">
        <f>+E202+I202+M202+Q202</f>
        <v>40</v>
      </c>
      <c r="S202" s="4">
        <f>SUM(R148:R202)</f>
        <v>300046</v>
      </c>
    </row>
    <row r="203" spans="1:20" ht="15.75" customHeight="1" x14ac:dyDescent="0.3">
      <c r="A203" s="74" t="s">
        <v>187</v>
      </c>
      <c r="B203" s="1"/>
      <c r="C203" s="1"/>
      <c r="D203" s="1"/>
      <c r="E203" s="59">
        <f t="shared" si="53"/>
        <v>0</v>
      </c>
      <c r="F203" s="1"/>
      <c r="G203" s="1"/>
      <c r="H203" s="1"/>
      <c r="I203" s="59">
        <f t="shared" si="54"/>
        <v>0</v>
      </c>
      <c r="J203" s="1"/>
      <c r="K203" s="1"/>
      <c r="L203" s="1"/>
      <c r="M203" s="59">
        <f t="shared" si="55"/>
        <v>0</v>
      </c>
      <c r="N203" s="1"/>
      <c r="O203" s="1"/>
      <c r="P203" s="1"/>
      <c r="Q203" s="59">
        <f t="shared" si="45"/>
        <v>0</v>
      </c>
      <c r="R203" s="59">
        <f>+E203+I203+M203+Q203</f>
        <v>0</v>
      </c>
      <c r="S203" s="94" t="s">
        <v>136</v>
      </c>
      <c r="T203" s="4" t="s">
        <v>137</v>
      </c>
    </row>
    <row r="204" spans="1:20" ht="15.75" customHeight="1" x14ac:dyDescent="0.3">
      <c r="A204" s="17" t="s">
        <v>47</v>
      </c>
      <c r="B204" s="1"/>
      <c r="C204" s="1"/>
      <c r="D204" s="1"/>
      <c r="E204" s="59" t="s">
        <v>7</v>
      </c>
      <c r="F204" s="1"/>
      <c r="G204" s="1"/>
      <c r="H204" s="1"/>
      <c r="I204" s="59" t="s">
        <v>7</v>
      </c>
      <c r="J204" s="1"/>
      <c r="K204" s="1"/>
      <c r="L204" s="1"/>
      <c r="M204" s="59" t="s">
        <v>7</v>
      </c>
      <c r="N204" s="1"/>
      <c r="O204" s="1"/>
      <c r="P204" s="1"/>
      <c r="Q204" s="59" t="s">
        <v>7</v>
      </c>
      <c r="R204" s="59" t="s">
        <v>7</v>
      </c>
    </row>
    <row r="205" spans="1:20" ht="15.75" customHeight="1" x14ac:dyDescent="0.3">
      <c r="A205" s="74" t="s">
        <v>188</v>
      </c>
      <c r="B205" s="1"/>
      <c r="C205" s="1"/>
      <c r="D205" s="1"/>
      <c r="E205" s="59">
        <f t="shared" ref="E205:E214" si="56">SUM(B205:D205)</f>
        <v>0</v>
      </c>
      <c r="F205" s="1"/>
      <c r="G205" s="1"/>
      <c r="H205" s="1"/>
      <c r="I205" s="59">
        <f t="shared" ref="I205:I214" si="57">SUM(F205:H205)</f>
        <v>0</v>
      </c>
      <c r="J205" s="1"/>
      <c r="K205" s="1"/>
      <c r="L205" s="1"/>
      <c r="M205" s="59">
        <f t="shared" ref="M205:M214" si="58">SUM(J205:L205)</f>
        <v>0</v>
      </c>
      <c r="N205" s="1"/>
      <c r="O205" s="1"/>
      <c r="P205" s="1"/>
      <c r="Q205" s="59">
        <f t="shared" ref="Q205:Q214" si="59">SUM(N205:P205)</f>
        <v>0</v>
      </c>
      <c r="R205" s="59">
        <f t="shared" ref="R205:R214" si="60">+E205+I205+M205+Q205</f>
        <v>0</v>
      </c>
    </row>
    <row r="206" spans="1:20" ht="15.75" customHeight="1" x14ac:dyDescent="0.3">
      <c r="A206" s="74" t="s">
        <v>189</v>
      </c>
      <c r="B206" s="1"/>
      <c r="C206" s="1"/>
      <c r="D206" s="1"/>
      <c r="E206" s="59">
        <f>SUM(B206:D206)</f>
        <v>0</v>
      </c>
      <c r="F206" s="1"/>
      <c r="G206" s="1"/>
      <c r="H206" s="1"/>
      <c r="I206" s="59">
        <f>SUM(F206:H206)</f>
        <v>0</v>
      </c>
      <c r="J206" s="1"/>
      <c r="K206" s="1"/>
      <c r="L206" s="1"/>
      <c r="M206" s="59">
        <f>SUM(J206:L206)</f>
        <v>0</v>
      </c>
      <c r="N206" s="1"/>
      <c r="O206" s="1"/>
      <c r="P206" s="1"/>
      <c r="Q206" s="59">
        <f>SUM(N206:P206)</f>
        <v>0</v>
      </c>
      <c r="R206" s="59">
        <f>+E206+I206+M206+Q206</f>
        <v>0</v>
      </c>
      <c r="T206" s="4" t="s">
        <v>127</v>
      </c>
    </row>
    <row r="207" spans="1:20" ht="15.75" customHeight="1" x14ac:dyDescent="0.3">
      <c r="A207" s="74" t="s">
        <v>190</v>
      </c>
      <c r="B207" s="1"/>
      <c r="C207" s="1"/>
      <c r="D207" s="1"/>
      <c r="E207" s="59">
        <f t="shared" si="56"/>
        <v>0</v>
      </c>
      <c r="F207" s="1"/>
      <c r="G207" s="1"/>
      <c r="H207" s="1"/>
      <c r="I207" s="59">
        <f t="shared" si="57"/>
        <v>0</v>
      </c>
      <c r="J207" s="1"/>
      <c r="K207" s="1"/>
      <c r="L207" s="1"/>
      <c r="M207" s="59">
        <f t="shared" si="58"/>
        <v>0</v>
      </c>
      <c r="N207" s="1"/>
      <c r="O207" s="1"/>
      <c r="P207" s="1"/>
      <c r="Q207" s="59">
        <f t="shared" si="59"/>
        <v>0</v>
      </c>
      <c r="R207" s="59">
        <f t="shared" si="60"/>
        <v>0</v>
      </c>
    </row>
    <row r="208" spans="1:20" ht="15.75" customHeight="1" x14ac:dyDescent="0.3">
      <c r="A208" s="74" t="s">
        <v>191</v>
      </c>
      <c r="B208" s="1"/>
      <c r="C208" s="1"/>
      <c r="D208" s="1"/>
      <c r="E208" s="59">
        <f t="shared" si="56"/>
        <v>0</v>
      </c>
      <c r="F208" s="1"/>
      <c r="G208" s="1"/>
      <c r="H208" s="1"/>
      <c r="I208" s="59">
        <f t="shared" si="57"/>
        <v>0</v>
      </c>
      <c r="J208" s="1"/>
      <c r="K208" s="1"/>
      <c r="L208" s="1"/>
      <c r="M208" s="59">
        <f t="shared" si="58"/>
        <v>0</v>
      </c>
      <c r="N208" s="1"/>
      <c r="O208" s="1"/>
      <c r="P208" s="1"/>
      <c r="Q208" s="59">
        <f t="shared" si="59"/>
        <v>0</v>
      </c>
      <c r="R208" s="59">
        <f t="shared" si="60"/>
        <v>0</v>
      </c>
      <c r="T208" s="4" t="s">
        <v>137</v>
      </c>
    </row>
    <row r="209" spans="1:20" ht="15.75" customHeight="1" x14ac:dyDescent="0.3">
      <c r="A209" s="74" t="s">
        <v>192</v>
      </c>
      <c r="B209" s="1"/>
      <c r="C209" s="1"/>
      <c r="D209" s="1"/>
      <c r="E209" s="59">
        <f t="shared" si="56"/>
        <v>0</v>
      </c>
      <c r="F209" s="1"/>
      <c r="G209" s="1"/>
      <c r="H209" s="1"/>
      <c r="I209" s="59">
        <f t="shared" si="57"/>
        <v>0</v>
      </c>
      <c r="J209" s="1"/>
      <c r="K209" s="1"/>
      <c r="L209" s="1"/>
      <c r="M209" s="59">
        <f t="shared" si="58"/>
        <v>0</v>
      </c>
      <c r="N209" s="1"/>
      <c r="O209" s="1"/>
      <c r="P209" s="1"/>
      <c r="Q209" s="59">
        <f t="shared" si="59"/>
        <v>0</v>
      </c>
      <c r="R209" s="59">
        <f t="shared" si="60"/>
        <v>0</v>
      </c>
    </row>
    <row r="210" spans="1:20" ht="15.75" customHeight="1" x14ac:dyDescent="0.3">
      <c r="A210" s="74" t="s">
        <v>193</v>
      </c>
      <c r="B210" s="1"/>
      <c r="C210" s="1"/>
      <c r="D210" s="1"/>
      <c r="E210" s="59">
        <f t="shared" si="56"/>
        <v>0</v>
      </c>
      <c r="F210" s="1"/>
      <c r="G210" s="1"/>
      <c r="H210" s="1"/>
      <c r="I210" s="59">
        <f t="shared" si="57"/>
        <v>0</v>
      </c>
      <c r="J210" s="1"/>
      <c r="K210" s="1"/>
      <c r="L210" s="1"/>
      <c r="M210" s="59">
        <f t="shared" si="58"/>
        <v>0</v>
      </c>
      <c r="N210" s="1"/>
      <c r="O210" s="1"/>
      <c r="P210" s="1"/>
      <c r="Q210" s="59">
        <f t="shared" si="59"/>
        <v>0</v>
      </c>
      <c r="R210" s="59">
        <f t="shared" si="60"/>
        <v>0</v>
      </c>
    </row>
    <row r="211" spans="1:20" ht="15.75" customHeight="1" x14ac:dyDescent="0.3">
      <c r="A211" s="91" t="s">
        <v>194</v>
      </c>
      <c r="B211" s="1"/>
      <c r="C211" s="1"/>
      <c r="D211" s="1"/>
      <c r="E211" s="59">
        <f t="shared" si="56"/>
        <v>0</v>
      </c>
      <c r="F211" s="1"/>
      <c r="G211" s="1"/>
      <c r="H211" s="1"/>
      <c r="I211" s="59">
        <f t="shared" si="57"/>
        <v>0</v>
      </c>
      <c r="J211" s="1"/>
      <c r="K211" s="1"/>
      <c r="L211" s="1"/>
      <c r="M211" s="59">
        <f t="shared" si="58"/>
        <v>0</v>
      </c>
      <c r="N211" s="1"/>
      <c r="O211" s="1"/>
      <c r="P211" s="1"/>
      <c r="Q211" s="59">
        <f t="shared" si="59"/>
        <v>0</v>
      </c>
      <c r="R211" s="59">
        <f t="shared" si="60"/>
        <v>0</v>
      </c>
      <c r="T211" s="4" t="s">
        <v>121</v>
      </c>
    </row>
    <row r="212" spans="1:20" ht="15.75" customHeight="1" x14ac:dyDescent="0.3">
      <c r="A212" s="74" t="s">
        <v>195</v>
      </c>
      <c r="B212" s="1"/>
      <c r="C212" s="1"/>
      <c r="D212" s="1"/>
      <c r="E212" s="59">
        <f t="shared" si="56"/>
        <v>0</v>
      </c>
      <c r="F212" s="1"/>
      <c r="G212" s="1"/>
      <c r="H212" s="1"/>
      <c r="I212" s="59">
        <f t="shared" si="57"/>
        <v>0</v>
      </c>
      <c r="J212" s="1"/>
      <c r="K212" s="1"/>
      <c r="L212" s="1"/>
      <c r="M212" s="59">
        <f t="shared" si="58"/>
        <v>0</v>
      </c>
      <c r="N212" s="1"/>
      <c r="O212" s="1"/>
      <c r="P212" s="1"/>
      <c r="Q212" s="59">
        <f t="shared" si="59"/>
        <v>0</v>
      </c>
      <c r="R212" s="59">
        <f t="shared" si="60"/>
        <v>0</v>
      </c>
      <c r="T212" s="4" t="s">
        <v>137</v>
      </c>
    </row>
    <row r="213" spans="1:20" ht="15.75" customHeight="1" x14ac:dyDescent="0.3">
      <c r="A213" s="74" t="s">
        <v>196</v>
      </c>
      <c r="B213" s="1"/>
      <c r="C213" s="1"/>
      <c r="D213" s="1"/>
      <c r="E213" s="59">
        <f t="shared" si="56"/>
        <v>0</v>
      </c>
      <c r="F213" s="1"/>
      <c r="G213" s="1"/>
      <c r="H213" s="1"/>
      <c r="I213" s="59">
        <f t="shared" si="57"/>
        <v>0</v>
      </c>
      <c r="J213" s="1"/>
      <c r="K213" s="1"/>
      <c r="L213" s="1"/>
      <c r="M213" s="59">
        <f t="shared" si="58"/>
        <v>0</v>
      </c>
      <c r="N213" s="1"/>
      <c r="O213" s="1"/>
      <c r="P213" s="1"/>
      <c r="Q213" s="59">
        <f t="shared" si="59"/>
        <v>0</v>
      </c>
      <c r="R213" s="59">
        <f t="shared" si="60"/>
        <v>0</v>
      </c>
      <c r="T213" s="4" t="s">
        <v>197</v>
      </c>
    </row>
    <row r="214" spans="1:20" ht="15.75" customHeight="1" x14ac:dyDescent="0.3">
      <c r="A214" s="91" t="s">
        <v>198</v>
      </c>
      <c r="B214" s="1"/>
      <c r="C214" s="1"/>
      <c r="D214" s="1"/>
      <c r="E214" s="59">
        <f t="shared" si="56"/>
        <v>0</v>
      </c>
      <c r="F214" s="1"/>
      <c r="G214" s="1"/>
      <c r="H214" s="1"/>
      <c r="I214" s="59">
        <f t="shared" si="57"/>
        <v>0</v>
      </c>
      <c r="J214" s="1"/>
      <c r="K214" s="1"/>
      <c r="L214" s="1"/>
      <c r="M214" s="59">
        <f t="shared" si="58"/>
        <v>0</v>
      </c>
      <c r="N214" s="1"/>
      <c r="O214" s="1"/>
      <c r="P214" s="1"/>
      <c r="Q214" s="59">
        <f t="shared" si="59"/>
        <v>0</v>
      </c>
      <c r="R214" s="59">
        <f t="shared" si="60"/>
        <v>0</v>
      </c>
    </row>
    <row r="215" spans="1:20" ht="15.75" customHeight="1" x14ac:dyDescent="0.3">
      <c r="A215" s="17" t="s">
        <v>49</v>
      </c>
      <c r="B215" s="1"/>
      <c r="C215" s="1"/>
      <c r="D215" s="1"/>
      <c r="E215" s="59" t="s">
        <v>7</v>
      </c>
      <c r="F215" s="1"/>
      <c r="G215" s="1"/>
      <c r="H215" s="1"/>
      <c r="I215" s="59" t="s">
        <v>7</v>
      </c>
      <c r="J215" s="1"/>
      <c r="K215" s="1"/>
      <c r="L215" s="1"/>
      <c r="M215" s="59" t="s">
        <v>7</v>
      </c>
      <c r="N215" s="1"/>
      <c r="O215" s="1"/>
      <c r="P215" s="1"/>
      <c r="Q215" s="59" t="s">
        <v>7</v>
      </c>
      <c r="R215" s="59" t="s">
        <v>7</v>
      </c>
    </row>
    <row r="216" spans="1:20" ht="15.75" customHeight="1" x14ac:dyDescent="0.3">
      <c r="A216" s="99" t="s">
        <v>199</v>
      </c>
      <c r="B216" s="1"/>
      <c r="C216" s="1"/>
      <c r="D216" s="1"/>
      <c r="E216" s="59">
        <f>SUM(B216:D216)</f>
        <v>0</v>
      </c>
      <c r="F216" s="1"/>
      <c r="G216" s="1"/>
      <c r="H216" s="1"/>
      <c r="I216" s="59">
        <f>SUM(F216:H216)</f>
        <v>0</v>
      </c>
      <c r="J216" s="1"/>
      <c r="K216" s="1"/>
      <c r="L216" s="1"/>
      <c r="M216" s="59">
        <f>SUM(J216:L216)</f>
        <v>0</v>
      </c>
      <c r="N216" s="1"/>
      <c r="O216" s="1"/>
      <c r="P216" s="1"/>
      <c r="Q216" s="59">
        <f>SUM(N216:P216)</f>
        <v>0</v>
      </c>
      <c r="R216" s="59">
        <f>+E216+I216+M216+Q216</f>
        <v>0</v>
      </c>
      <c r="S216" s="77" t="s">
        <v>90</v>
      </c>
      <c r="T216" s="4" t="s">
        <v>132</v>
      </c>
    </row>
    <row r="217" spans="1:20" ht="15.75" customHeight="1" x14ac:dyDescent="0.3">
      <c r="A217" s="99" t="s">
        <v>200</v>
      </c>
      <c r="B217" s="1"/>
      <c r="C217" s="1"/>
      <c r="D217" s="1"/>
      <c r="E217" s="59">
        <f>SUM(B217:D217)</f>
        <v>0</v>
      </c>
      <c r="F217" s="1"/>
      <c r="G217" s="1"/>
      <c r="H217" s="1"/>
      <c r="I217" s="59">
        <f>SUM(F217:H217)</f>
        <v>0</v>
      </c>
      <c r="J217" s="1"/>
      <c r="K217" s="1"/>
      <c r="L217" s="1"/>
      <c r="M217" s="59">
        <f>SUM(J217:L217)</f>
        <v>0</v>
      </c>
      <c r="N217" s="1"/>
      <c r="O217" s="1"/>
      <c r="P217" s="1"/>
      <c r="Q217" s="59">
        <f>SUM(N217:P217)</f>
        <v>0</v>
      </c>
      <c r="R217" s="59">
        <f>+E217+I217+M217+Q217</f>
        <v>0</v>
      </c>
      <c r="S217" s="77" t="s">
        <v>90</v>
      </c>
      <c r="T217" s="4" t="s">
        <v>134</v>
      </c>
    </row>
    <row r="218" spans="1:20" ht="15.75" customHeight="1" x14ac:dyDescent="0.3">
      <c r="A218" s="61" t="s">
        <v>201</v>
      </c>
      <c r="B218" s="1"/>
      <c r="C218" s="1"/>
      <c r="D218" s="1"/>
      <c r="E218" s="59">
        <f>SUM(B218:D218)</f>
        <v>0</v>
      </c>
      <c r="F218" s="1"/>
      <c r="G218" s="1"/>
      <c r="H218" s="1">
        <v>184</v>
      </c>
      <c r="I218" s="59">
        <f>SUM(F218:H218)</f>
        <v>184</v>
      </c>
      <c r="J218" s="1">
        <v>181</v>
      </c>
      <c r="K218" s="1">
        <v>192</v>
      </c>
      <c r="L218" s="1">
        <v>143</v>
      </c>
      <c r="M218" s="59">
        <f>SUM(J218:L218)</f>
        <v>516</v>
      </c>
      <c r="N218" s="1">
        <v>103</v>
      </c>
      <c r="O218" s="1">
        <v>47</v>
      </c>
      <c r="P218" s="1"/>
      <c r="Q218" s="59">
        <f>SUM(N218:P218)</f>
        <v>150</v>
      </c>
      <c r="R218" s="59">
        <f>+E218+I218+M218+Q218</f>
        <v>850</v>
      </c>
      <c r="S218" s="77" t="s">
        <v>90</v>
      </c>
      <c r="T218" s="4" t="s">
        <v>202</v>
      </c>
    </row>
    <row r="219" spans="1:20" ht="15.75" customHeight="1" thickBot="1" x14ac:dyDescent="0.35">
      <c r="A219" s="17" t="s">
        <v>51</v>
      </c>
      <c r="B219" s="1"/>
      <c r="C219" s="1"/>
      <c r="D219" s="1"/>
      <c r="E219" s="59" t="s">
        <v>7</v>
      </c>
      <c r="F219" s="1"/>
      <c r="G219" s="1"/>
      <c r="H219" s="1"/>
      <c r="I219" s="59" t="s">
        <v>7</v>
      </c>
      <c r="J219" s="1"/>
      <c r="K219" s="1"/>
      <c r="L219" s="1"/>
      <c r="M219" s="59" t="s">
        <v>7</v>
      </c>
      <c r="N219" s="1"/>
      <c r="O219" s="1"/>
      <c r="P219" s="1"/>
      <c r="Q219" s="59" t="s">
        <v>7</v>
      </c>
      <c r="R219" s="59" t="s">
        <v>7</v>
      </c>
    </row>
    <row r="220" spans="1:20" ht="16.5" customHeight="1" thickBot="1" x14ac:dyDescent="0.35">
      <c r="A220" s="62" t="s">
        <v>52</v>
      </c>
      <c r="B220" s="100">
        <f>SUM(B146:B219)</f>
        <v>17957</v>
      </c>
      <c r="C220" s="101">
        <f>SUM(C146:C219)</f>
        <v>13836</v>
      </c>
      <c r="D220" s="101">
        <f>SUM(D146:D219)</f>
        <v>12261</v>
      </c>
      <c r="E220" s="64">
        <f>SUM(B220:D220)</f>
        <v>44054</v>
      </c>
      <c r="F220" s="101">
        <f>SUM(F146:F219)</f>
        <v>23216</v>
      </c>
      <c r="G220" s="101">
        <f t="shared" ref="G220:H220" si="61">SUM(G146:G219)</f>
        <v>30596</v>
      </c>
      <c r="H220" s="101">
        <f t="shared" si="61"/>
        <v>35690</v>
      </c>
      <c r="I220" s="64">
        <f>SUM(F220:H220)</f>
        <v>89502</v>
      </c>
      <c r="J220" s="101">
        <f>SUM(J146:J219)</f>
        <v>36791</v>
      </c>
      <c r="K220" s="101">
        <f>SUM(K146:K219)</f>
        <v>37411</v>
      </c>
      <c r="L220" s="101">
        <f>SUM(L146:L219)</f>
        <v>30838</v>
      </c>
      <c r="M220" s="64">
        <f>SUM(J220:L220)</f>
        <v>105040</v>
      </c>
      <c r="N220" s="101">
        <f>SUM(N146:N219)</f>
        <v>27888</v>
      </c>
      <c r="O220" s="101">
        <f>SUM(O146:O219)</f>
        <v>17258</v>
      </c>
      <c r="P220" s="101">
        <f>SUM(P146:P219)</f>
        <v>17154</v>
      </c>
      <c r="Q220" s="64">
        <f>SUM(N220:P220)</f>
        <v>62300</v>
      </c>
      <c r="R220" s="64">
        <f>+E220+I220+M220+Q220</f>
        <v>300896</v>
      </c>
    </row>
    <row r="221" spans="1:20" ht="15.75" customHeight="1" x14ac:dyDescent="0.3">
      <c r="A221" s="17" t="s">
        <v>53</v>
      </c>
      <c r="B221" s="1"/>
      <c r="C221" s="1"/>
      <c r="D221" s="1"/>
      <c r="E221" s="59" t="s">
        <v>7</v>
      </c>
      <c r="F221" s="1"/>
      <c r="G221" s="1"/>
      <c r="H221" s="1"/>
      <c r="I221" s="59" t="s">
        <v>7</v>
      </c>
      <c r="J221" s="1"/>
      <c r="K221" s="1"/>
      <c r="L221" s="1"/>
      <c r="M221" s="59" t="s">
        <v>7</v>
      </c>
      <c r="N221" s="1"/>
      <c r="O221" s="1"/>
      <c r="P221" s="1"/>
      <c r="Q221" s="59" t="s">
        <v>7</v>
      </c>
      <c r="R221" s="59" t="s">
        <v>7</v>
      </c>
    </row>
    <row r="222" spans="1:20" ht="15.75" customHeight="1" x14ac:dyDescent="0.3">
      <c r="A222" s="17" t="s">
        <v>54</v>
      </c>
      <c r="B222" s="1"/>
      <c r="C222" s="1"/>
      <c r="D222" s="1"/>
      <c r="E222" s="59" t="s">
        <v>7</v>
      </c>
      <c r="F222" s="1"/>
      <c r="G222" s="1"/>
      <c r="H222" s="1"/>
      <c r="I222" s="59" t="s">
        <v>7</v>
      </c>
      <c r="J222" s="1"/>
      <c r="K222" s="1"/>
      <c r="L222" s="1"/>
      <c r="M222" s="59" t="s">
        <v>7</v>
      </c>
      <c r="N222" s="1"/>
      <c r="O222" s="1"/>
      <c r="P222" s="1"/>
      <c r="Q222" s="59" t="s">
        <v>7</v>
      </c>
      <c r="R222" s="59" t="s">
        <v>7</v>
      </c>
    </row>
    <row r="223" spans="1:20" ht="15.75" customHeight="1" x14ac:dyDescent="0.3">
      <c r="A223" s="17" t="s">
        <v>55</v>
      </c>
      <c r="B223" s="1"/>
      <c r="C223" s="1"/>
      <c r="D223" s="1"/>
      <c r="E223" s="59" t="s">
        <v>7</v>
      </c>
      <c r="F223" s="1"/>
      <c r="G223" s="1"/>
      <c r="H223" s="1"/>
      <c r="I223" s="59" t="s">
        <v>7</v>
      </c>
      <c r="J223" s="1"/>
      <c r="K223" s="1"/>
      <c r="L223" s="1"/>
      <c r="M223" s="59" t="s">
        <v>7</v>
      </c>
      <c r="N223" s="1"/>
      <c r="O223" s="1"/>
      <c r="P223" s="1"/>
      <c r="Q223" s="59" t="s">
        <v>7</v>
      </c>
      <c r="R223" s="59" t="s">
        <v>7</v>
      </c>
    </row>
    <row r="224" spans="1:20" ht="15.75" customHeight="1" x14ac:dyDescent="0.3">
      <c r="A224" s="99" t="s">
        <v>203</v>
      </c>
      <c r="B224" s="1"/>
      <c r="C224" s="1"/>
      <c r="D224" s="1"/>
      <c r="E224" s="59">
        <f>SUM(B224:D224)</f>
        <v>0</v>
      </c>
      <c r="F224" s="1"/>
      <c r="G224" s="1"/>
      <c r="H224" s="1"/>
      <c r="I224" s="59">
        <f>SUM(F224:H224)</f>
        <v>0</v>
      </c>
      <c r="J224" s="1"/>
      <c r="K224" s="1"/>
      <c r="L224" s="1"/>
      <c r="M224" s="59">
        <f>SUM(J224:L224)</f>
        <v>0</v>
      </c>
      <c r="N224" s="1"/>
      <c r="O224" s="1"/>
      <c r="P224" s="1"/>
      <c r="Q224" s="59">
        <f>SUM(N224:P224)</f>
        <v>0</v>
      </c>
      <c r="R224" s="59">
        <f>+E224+I224+M224+Q224</f>
        <v>0</v>
      </c>
      <c r="T224" s="4" t="s">
        <v>121</v>
      </c>
    </row>
    <row r="225" spans="1:20" ht="15.75" customHeight="1" x14ac:dyDescent="0.3">
      <c r="A225" s="76" t="s">
        <v>204</v>
      </c>
      <c r="B225" s="1"/>
      <c r="C225" s="1"/>
      <c r="D225" s="1"/>
      <c r="E225" s="59">
        <f>SUM(B225:D225)</f>
        <v>0</v>
      </c>
      <c r="F225" s="1"/>
      <c r="G225" s="1"/>
      <c r="H225" s="1"/>
      <c r="I225" s="59">
        <f>SUM(F225:H225)</f>
        <v>0</v>
      </c>
      <c r="J225" s="1"/>
      <c r="K225" s="1"/>
      <c r="L225" s="1"/>
      <c r="M225" s="59">
        <f>SUM(J225:L225)</f>
        <v>0</v>
      </c>
      <c r="N225" s="1"/>
      <c r="O225" s="1"/>
      <c r="P225" s="1"/>
      <c r="Q225" s="59">
        <f>SUM(N225:P225)</f>
        <v>0</v>
      </c>
      <c r="R225" s="59">
        <f>+E225+I225+M225+Q225</f>
        <v>0</v>
      </c>
      <c r="S225" s="4" t="s">
        <v>136</v>
      </c>
      <c r="T225" s="4" t="s">
        <v>137</v>
      </c>
    </row>
    <row r="226" spans="1:20" ht="15.75" customHeight="1" thickBot="1" x14ac:dyDescent="0.35">
      <c r="A226" s="17" t="s">
        <v>56</v>
      </c>
      <c r="B226" s="1"/>
      <c r="C226" s="1"/>
      <c r="D226" s="1"/>
      <c r="E226" s="59" t="s">
        <v>7</v>
      </c>
      <c r="F226" s="1"/>
      <c r="G226" s="1"/>
      <c r="H226" s="1"/>
      <c r="I226" s="59" t="s">
        <v>7</v>
      </c>
      <c r="J226" s="1"/>
      <c r="K226" s="1"/>
      <c r="L226" s="1"/>
      <c r="M226" s="59" t="s">
        <v>7</v>
      </c>
      <c r="N226" s="1"/>
      <c r="O226" s="1"/>
      <c r="P226" s="1"/>
      <c r="Q226" s="59" t="s">
        <v>7</v>
      </c>
      <c r="R226" s="59" t="s">
        <v>7</v>
      </c>
    </row>
    <row r="227" spans="1:20" ht="16.5" customHeight="1" thickBot="1" x14ac:dyDescent="0.35">
      <c r="A227" s="62" t="s">
        <v>57</v>
      </c>
      <c r="B227" s="100">
        <f>SUM(B221:B226)</f>
        <v>0</v>
      </c>
      <c r="C227" s="101">
        <f>SUM(C221:C226)</f>
        <v>0</v>
      </c>
      <c r="D227" s="101">
        <f>SUM(D221:D226)</f>
        <v>0</v>
      </c>
      <c r="E227" s="64">
        <f>SUM(B227:D227)</f>
        <v>0</v>
      </c>
      <c r="F227" s="101"/>
      <c r="G227" s="101"/>
      <c r="H227" s="101"/>
      <c r="I227" s="64">
        <f>SUM(F227:H227)</f>
        <v>0</v>
      </c>
      <c r="J227" s="101">
        <f>SUM(J221:J226)</f>
        <v>0</v>
      </c>
      <c r="K227" s="101">
        <f>SUM(K221:K226)</f>
        <v>0</v>
      </c>
      <c r="L227" s="101">
        <f>SUM(L221:L226)</f>
        <v>0</v>
      </c>
      <c r="M227" s="64">
        <f>SUM(J227:L227)</f>
        <v>0</v>
      </c>
      <c r="N227" s="101">
        <f>SUM(N221:N226)</f>
        <v>0</v>
      </c>
      <c r="O227" s="101">
        <f>SUM(O221:O226)</f>
        <v>0</v>
      </c>
      <c r="P227" s="101">
        <f>SUM(P221:P226)</f>
        <v>0</v>
      </c>
      <c r="Q227" s="64">
        <f>SUM(N227:P227)</f>
        <v>0</v>
      </c>
      <c r="R227" s="64">
        <f>+E227+I227+M227+Q227</f>
        <v>0</v>
      </c>
    </row>
    <row r="228" spans="1:20" ht="15.75" customHeight="1" x14ac:dyDescent="0.3">
      <c r="A228" s="17" t="s">
        <v>58</v>
      </c>
      <c r="B228" s="1"/>
      <c r="C228" s="1"/>
      <c r="D228" s="1"/>
      <c r="E228" s="59" t="s">
        <v>7</v>
      </c>
      <c r="F228" s="1"/>
      <c r="G228" s="1"/>
      <c r="H228" s="1"/>
      <c r="I228" s="59" t="s">
        <v>7</v>
      </c>
      <c r="J228" s="1"/>
      <c r="K228" s="1"/>
      <c r="L228" s="1"/>
      <c r="M228" s="59" t="s">
        <v>7</v>
      </c>
      <c r="N228" s="1"/>
      <c r="O228" s="1"/>
      <c r="P228" s="1"/>
      <c r="Q228" s="59" t="s">
        <v>7</v>
      </c>
      <c r="R228" s="59" t="s">
        <v>7</v>
      </c>
    </row>
    <row r="229" spans="1:20" ht="15.75" customHeight="1" x14ac:dyDescent="0.3">
      <c r="A229" s="17" t="s">
        <v>59</v>
      </c>
      <c r="B229" s="1"/>
      <c r="C229" s="1"/>
      <c r="D229" s="1"/>
      <c r="E229" s="59" t="s">
        <v>7</v>
      </c>
      <c r="F229" s="1"/>
      <c r="G229" s="1"/>
      <c r="H229" s="1"/>
      <c r="I229" s="59" t="s">
        <v>7</v>
      </c>
      <c r="J229" s="1"/>
      <c r="K229" s="1"/>
      <c r="L229" s="1"/>
      <c r="M229" s="59" t="s">
        <v>7</v>
      </c>
      <c r="N229" s="1"/>
      <c r="O229" s="1"/>
      <c r="P229" s="1"/>
      <c r="Q229" s="59" t="s">
        <v>7</v>
      </c>
      <c r="R229" s="59" t="s">
        <v>7</v>
      </c>
    </row>
    <row r="230" spans="1:20" ht="15.75" customHeight="1" x14ac:dyDescent="0.3">
      <c r="A230" s="17" t="s">
        <v>60</v>
      </c>
      <c r="B230" s="1"/>
      <c r="C230" s="1"/>
      <c r="D230" s="1"/>
      <c r="E230" s="59" t="s">
        <v>7</v>
      </c>
      <c r="F230" s="1"/>
      <c r="G230" s="1"/>
      <c r="H230" s="1"/>
      <c r="I230" s="59" t="s">
        <v>7</v>
      </c>
      <c r="J230" s="1"/>
      <c r="K230" s="1"/>
      <c r="L230" s="1"/>
      <c r="M230" s="59" t="s">
        <v>7</v>
      </c>
      <c r="N230" s="1"/>
      <c r="O230" s="1"/>
      <c r="P230" s="1"/>
      <c r="Q230" s="59" t="s">
        <v>7</v>
      </c>
      <c r="R230" s="59" t="s">
        <v>7</v>
      </c>
    </row>
    <row r="231" spans="1:20" ht="15.75" customHeight="1" x14ac:dyDescent="0.3">
      <c r="A231" s="102" t="s">
        <v>205</v>
      </c>
      <c r="B231" s="1">
        <v>274</v>
      </c>
      <c r="C231" s="1">
        <v>262</v>
      </c>
      <c r="D231" s="1">
        <v>288</v>
      </c>
      <c r="E231" s="59">
        <f t="shared" ref="E231:E238" si="62">SUM(B231:D231)</f>
        <v>824</v>
      </c>
      <c r="F231" s="1">
        <v>349</v>
      </c>
      <c r="G231" s="1">
        <v>497</v>
      </c>
      <c r="H231" s="1">
        <v>575</v>
      </c>
      <c r="I231" s="59">
        <f t="shared" ref="I231:I238" si="63">SUM(F231:H231)</f>
        <v>1421</v>
      </c>
      <c r="J231" s="1">
        <v>583</v>
      </c>
      <c r="K231" s="1">
        <v>603</v>
      </c>
      <c r="L231" s="1">
        <v>493</v>
      </c>
      <c r="M231" s="59">
        <f t="shared" ref="M231:M238" si="64">SUM(J231:L231)</f>
        <v>1679</v>
      </c>
      <c r="N231" s="1">
        <v>540</v>
      </c>
      <c r="O231" s="1">
        <v>443</v>
      </c>
      <c r="P231" s="1">
        <v>401</v>
      </c>
      <c r="Q231" s="59">
        <f t="shared" ref="Q231:Q237" si="65">SUM(N231:P231)</f>
        <v>1384</v>
      </c>
      <c r="R231" s="59">
        <f t="shared" ref="R231:R299" si="66">+E231+I231+M231+Q231</f>
        <v>5308</v>
      </c>
      <c r="T231" s="4" t="s">
        <v>206</v>
      </c>
    </row>
    <row r="232" spans="1:20" ht="15.75" customHeight="1" x14ac:dyDescent="0.3">
      <c r="A232" s="102" t="s">
        <v>207</v>
      </c>
      <c r="B232" s="1"/>
      <c r="C232" s="1"/>
      <c r="D232" s="1">
        <v>357</v>
      </c>
      <c r="E232" s="59">
        <f t="shared" si="62"/>
        <v>357</v>
      </c>
      <c r="F232" s="1"/>
      <c r="G232" s="1"/>
      <c r="H232" s="1"/>
      <c r="I232" s="59">
        <f t="shared" si="63"/>
        <v>0</v>
      </c>
      <c r="J232" s="1"/>
      <c r="K232" s="1"/>
      <c r="L232" s="1"/>
      <c r="M232" s="59">
        <f t="shared" si="64"/>
        <v>0</v>
      </c>
      <c r="N232" s="1"/>
      <c r="O232" s="1"/>
      <c r="P232" s="1"/>
      <c r="Q232" s="59">
        <f t="shared" si="65"/>
        <v>0</v>
      </c>
      <c r="R232" s="59">
        <f t="shared" si="66"/>
        <v>357</v>
      </c>
      <c r="T232" s="4" t="s">
        <v>121</v>
      </c>
    </row>
    <row r="233" spans="1:20" ht="15.75" customHeight="1" x14ac:dyDescent="0.3">
      <c r="A233" s="76" t="s">
        <v>208</v>
      </c>
      <c r="B233" s="1"/>
      <c r="C233" s="1"/>
      <c r="D233" s="1"/>
      <c r="E233" s="59">
        <f t="shared" si="62"/>
        <v>0</v>
      </c>
      <c r="F233" s="1"/>
      <c r="G233" s="1"/>
      <c r="H233" s="1"/>
      <c r="I233" s="59">
        <f t="shared" si="63"/>
        <v>0</v>
      </c>
      <c r="J233" s="1"/>
      <c r="K233" s="1"/>
      <c r="L233" s="1"/>
      <c r="M233" s="59">
        <f t="shared" si="64"/>
        <v>0</v>
      </c>
      <c r="N233" s="1"/>
      <c r="O233" s="1"/>
      <c r="P233" s="1"/>
      <c r="Q233" s="59">
        <f t="shared" si="65"/>
        <v>0</v>
      </c>
      <c r="R233" s="59">
        <f t="shared" si="66"/>
        <v>0</v>
      </c>
    </row>
    <row r="234" spans="1:20" ht="15.75" customHeight="1" x14ac:dyDescent="0.3">
      <c r="A234" s="102" t="s">
        <v>209</v>
      </c>
      <c r="B234" s="1">
        <v>2</v>
      </c>
      <c r="C234" s="1">
        <v>1</v>
      </c>
      <c r="D234" s="1"/>
      <c r="E234" s="59">
        <f t="shared" si="62"/>
        <v>3</v>
      </c>
      <c r="F234" s="1">
        <v>15</v>
      </c>
      <c r="G234" s="1">
        <v>46</v>
      </c>
      <c r="H234" s="1">
        <v>58</v>
      </c>
      <c r="I234" s="59">
        <f t="shared" si="63"/>
        <v>119</v>
      </c>
      <c r="J234" s="1">
        <v>66</v>
      </c>
      <c r="K234" s="1">
        <f>59+57</f>
        <v>116</v>
      </c>
      <c r="L234" s="1">
        <f>50+40</f>
        <v>90</v>
      </c>
      <c r="M234" s="59">
        <f t="shared" si="64"/>
        <v>272</v>
      </c>
      <c r="N234" s="1">
        <f>38+42</f>
        <v>80</v>
      </c>
      <c r="O234" s="1">
        <f>25+6</f>
        <v>31</v>
      </c>
      <c r="P234" s="1">
        <f>15+10</f>
        <v>25</v>
      </c>
      <c r="Q234" s="59">
        <f t="shared" si="65"/>
        <v>136</v>
      </c>
      <c r="R234" s="59">
        <f t="shared" si="66"/>
        <v>530</v>
      </c>
      <c r="T234" s="4" t="s">
        <v>127</v>
      </c>
    </row>
    <row r="235" spans="1:20" ht="15.75" customHeight="1" x14ac:dyDescent="0.3">
      <c r="A235" s="102" t="s">
        <v>210</v>
      </c>
      <c r="B235" s="1"/>
      <c r="C235" s="1"/>
      <c r="D235" s="1"/>
      <c r="E235" s="59">
        <f t="shared" si="62"/>
        <v>0</v>
      </c>
      <c r="F235" s="1"/>
      <c r="G235" s="1"/>
      <c r="H235" s="1"/>
      <c r="I235" s="59">
        <f t="shared" si="63"/>
        <v>0</v>
      </c>
      <c r="J235" s="1"/>
      <c r="K235" s="1"/>
      <c r="L235" s="1"/>
      <c r="M235" s="59">
        <f t="shared" si="64"/>
        <v>0</v>
      </c>
      <c r="N235" s="1"/>
      <c r="O235" s="1"/>
      <c r="P235" s="1"/>
      <c r="Q235" s="59">
        <f t="shared" si="65"/>
        <v>0</v>
      </c>
      <c r="R235" s="59">
        <f>+E235+I235+M235+Q235</f>
        <v>0</v>
      </c>
      <c r="T235" s="4" t="s">
        <v>134</v>
      </c>
    </row>
    <row r="236" spans="1:20" ht="15.75" customHeight="1" x14ac:dyDescent="0.3">
      <c r="A236" s="102" t="s">
        <v>211</v>
      </c>
      <c r="B236" s="1"/>
      <c r="C236" s="1"/>
      <c r="D236" s="1"/>
      <c r="E236" s="59">
        <f t="shared" si="62"/>
        <v>0</v>
      </c>
      <c r="F236" s="1"/>
      <c r="G236" s="1"/>
      <c r="H236" s="1"/>
      <c r="I236" s="59">
        <f t="shared" si="63"/>
        <v>0</v>
      </c>
      <c r="J236" s="1"/>
      <c r="K236" s="1"/>
      <c r="L236" s="1"/>
      <c r="M236" s="59">
        <f t="shared" si="64"/>
        <v>0</v>
      </c>
      <c r="N236" s="1"/>
      <c r="O236" s="1"/>
      <c r="P236" s="1"/>
      <c r="Q236" s="59">
        <f t="shared" si="65"/>
        <v>0</v>
      </c>
      <c r="R236" s="59">
        <f>+E236+I236+M236+Q236</f>
        <v>0</v>
      </c>
      <c r="T236" s="4" t="s">
        <v>134</v>
      </c>
    </row>
    <row r="237" spans="1:20" ht="15.75" customHeight="1" x14ac:dyDescent="0.3">
      <c r="A237" s="76" t="s">
        <v>212</v>
      </c>
      <c r="B237" s="1"/>
      <c r="C237" s="1"/>
      <c r="D237" s="1"/>
      <c r="E237" s="59">
        <f t="shared" si="62"/>
        <v>0</v>
      </c>
      <c r="F237" s="1"/>
      <c r="G237" s="1"/>
      <c r="H237" s="1"/>
      <c r="I237" s="59">
        <f t="shared" si="63"/>
        <v>0</v>
      </c>
      <c r="J237" s="1"/>
      <c r="K237" s="1"/>
      <c r="L237" s="1"/>
      <c r="M237" s="59">
        <f t="shared" si="64"/>
        <v>0</v>
      </c>
      <c r="N237" s="1"/>
      <c r="O237" s="1"/>
      <c r="P237" s="1"/>
      <c r="Q237" s="59">
        <f t="shared" si="65"/>
        <v>0</v>
      </c>
      <c r="R237" s="59">
        <f>+E237+I237+M237+Q237</f>
        <v>0</v>
      </c>
      <c r="S237" s="94"/>
      <c r="T237" s="4" t="s">
        <v>137</v>
      </c>
    </row>
    <row r="238" spans="1:20" ht="15.75" customHeight="1" x14ac:dyDescent="0.3">
      <c r="A238" s="76" t="s">
        <v>214</v>
      </c>
      <c r="B238" s="1"/>
      <c r="C238" s="1"/>
      <c r="D238" s="1"/>
      <c r="E238" s="59">
        <f t="shared" si="62"/>
        <v>0</v>
      </c>
      <c r="F238" s="1">
        <v>56</v>
      </c>
      <c r="G238" s="1"/>
      <c r="H238" s="1"/>
      <c r="I238" s="59">
        <f t="shared" si="63"/>
        <v>56</v>
      </c>
      <c r="J238" s="1"/>
      <c r="K238" s="1"/>
      <c r="L238" s="1"/>
      <c r="M238" s="59">
        <f t="shared" si="64"/>
        <v>0</v>
      </c>
      <c r="N238" s="1"/>
      <c r="O238" s="1"/>
      <c r="P238" s="1"/>
      <c r="Q238" s="59">
        <f t="shared" ref="Q238" si="67">SUM(N238:P238)</f>
        <v>0</v>
      </c>
      <c r="R238" s="59">
        <f>+E238+I238+M238+Q238</f>
        <v>56</v>
      </c>
      <c r="S238" s="94"/>
    </row>
    <row r="239" spans="1:20" ht="15.75" customHeight="1" x14ac:dyDescent="0.3">
      <c r="A239" s="76" t="s">
        <v>215</v>
      </c>
      <c r="B239" s="1">
        <v>800</v>
      </c>
      <c r="C239" s="1"/>
      <c r="D239" s="1"/>
      <c r="E239" s="59">
        <f>SUM(B239:D239)</f>
        <v>800</v>
      </c>
      <c r="F239" s="1"/>
      <c r="G239" s="1"/>
      <c r="H239" s="1"/>
      <c r="I239" s="59">
        <f t="shared" ref="I239:I297" si="68">SUM(F239:H239)</f>
        <v>0</v>
      </c>
      <c r="J239" s="1"/>
      <c r="K239" s="1"/>
      <c r="L239" s="1"/>
      <c r="M239" s="59">
        <f t="shared" ref="M239:M297" si="69">SUM(J239:L239)</f>
        <v>0</v>
      </c>
      <c r="N239" s="1"/>
      <c r="O239" s="1"/>
      <c r="P239" s="1"/>
      <c r="Q239" s="59">
        <f t="shared" ref="Q239:Q297" si="70">SUM(N239:P239)</f>
        <v>0</v>
      </c>
      <c r="R239" s="59">
        <f t="shared" si="66"/>
        <v>800</v>
      </c>
      <c r="S239" s="4" t="s">
        <v>136</v>
      </c>
    </row>
    <row r="240" spans="1:20" ht="15.75" customHeight="1" x14ac:dyDescent="0.3">
      <c r="A240" s="103" t="s">
        <v>216</v>
      </c>
      <c r="B240" s="1"/>
      <c r="C240" s="1"/>
      <c r="D240" s="1"/>
      <c r="E240" s="59">
        <f t="shared" ref="E240" si="71">SUM(B240:D240)</f>
        <v>0</v>
      </c>
      <c r="F240" s="1"/>
      <c r="G240" s="1"/>
      <c r="H240" s="1"/>
      <c r="I240" s="59">
        <f t="shared" si="68"/>
        <v>0</v>
      </c>
      <c r="J240" s="1"/>
      <c r="K240" s="1"/>
      <c r="L240" s="1"/>
      <c r="M240" s="59">
        <f t="shared" si="69"/>
        <v>0</v>
      </c>
      <c r="N240" s="1"/>
      <c r="O240" s="1"/>
      <c r="P240" s="1"/>
      <c r="Q240" s="59">
        <f t="shared" si="70"/>
        <v>0</v>
      </c>
      <c r="R240" s="59">
        <f>+E240+I240+M240+Q240</f>
        <v>0</v>
      </c>
      <c r="T240" s="4" t="s">
        <v>217</v>
      </c>
    </row>
    <row r="241" spans="1:20" ht="15.75" customHeight="1" x14ac:dyDescent="0.3">
      <c r="A241" s="76" t="s">
        <v>218</v>
      </c>
      <c r="B241" s="1">
        <v>682</v>
      </c>
      <c r="C241" s="1"/>
      <c r="D241" s="1"/>
      <c r="E241" s="59">
        <f>SUM(B241:D241)</f>
        <v>682</v>
      </c>
      <c r="F241" s="1"/>
      <c r="G241" s="1"/>
      <c r="H241" s="1"/>
      <c r="I241" s="59">
        <f>SUM(F241:H241)</f>
        <v>0</v>
      </c>
      <c r="J241" s="1"/>
      <c r="K241" s="1"/>
      <c r="L241" s="1"/>
      <c r="M241" s="59">
        <f>SUM(J241:L241)</f>
        <v>0</v>
      </c>
      <c r="N241" s="1"/>
      <c r="O241" s="1"/>
      <c r="P241" s="1"/>
      <c r="Q241" s="59">
        <f>SUM(N241:P241)</f>
        <v>0</v>
      </c>
      <c r="R241" s="59">
        <f t="shared" si="66"/>
        <v>682</v>
      </c>
      <c r="T241" s="4" t="s">
        <v>158</v>
      </c>
    </row>
    <row r="242" spans="1:20" ht="15.75" customHeight="1" x14ac:dyDescent="0.3">
      <c r="A242" s="102" t="s">
        <v>219</v>
      </c>
      <c r="B242" s="1"/>
      <c r="C242" s="1"/>
      <c r="D242" s="1"/>
      <c r="E242" s="59">
        <f>SUM(B242:D242)</f>
        <v>0</v>
      </c>
      <c r="F242" s="1"/>
      <c r="G242" s="1"/>
      <c r="H242" s="1"/>
      <c r="I242" s="59">
        <f>SUM(F242:H242)</f>
        <v>0</v>
      </c>
      <c r="J242" s="1"/>
      <c r="K242" s="1"/>
      <c r="L242" s="1"/>
      <c r="M242" s="59">
        <f>SUM(J242:L242)</f>
        <v>0</v>
      </c>
      <c r="N242" s="1"/>
      <c r="O242" s="1"/>
      <c r="P242" s="1"/>
      <c r="Q242" s="59">
        <f>SUM(N242:P242)</f>
        <v>0</v>
      </c>
      <c r="R242" s="59">
        <f t="shared" si="66"/>
        <v>0</v>
      </c>
    </row>
    <row r="243" spans="1:20" ht="15.75" customHeight="1" x14ac:dyDescent="0.3">
      <c r="A243" s="76" t="s">
        <v>220</v>
      </c>
      <c r="B243" s="1"/>
      <c r="C243" s="1"/>
      <c r="D243" s="1"/>
      <c r="E243" s="59">
        <f t="shared" ref="E243:E285" si="72">SUM(B243:D243)</f>
        <v>0</v>
      </c>
      <c r="F243" s="1"/>
      <c r="G243" s="1"/>
      <c r="H243" s="1"/>
      <c r="I243" s="59">
        <f t="shared" si="68"/>
        <v>0</v>
      </c>
      <c r="J243" s="1"/>
      <c r="K243" s="1"/>
      <c r="L243" s="1"/>
      <c r="M243" s="59">
        <f t="shared" si="69"/>
        <v>0</v>
      </c>
      <c r="N243" s="1"/>
      <c r="O243" s="1"/>
      <c r="P243" s="1"/>
      <c r="Q243" s="59">
        <f t="shared" si="70"/>
        <v>0</v>
      </c>
      <c r="R243" s="59">
        <f t="shared" si="66"/>
        <v>0</v>
      </c>
    </row>
    <row r="244" spans="1:20" ht="15.75" customHeight="1" x14ac:dyDescent="0.3">
      <c r="A244" s="76" t="s">
        <v>221</v>
      </c>
      <c r="B244" s="1">
        <v>23</v>
      </c>
      <c r="C244" s="1"/>
      <c r="D244" s="1"/>
      <c r="E244" s="59">
        <f t="shared" si="72"/>
        <v>23</v>
      </c>
      <c r="F244" s="1"/>
      <c r="G244" s="1"/>
      <c r="H244" s="1"/>
      <c r="I244" s="59">
        <f t="shared" si="68"/>
        <v>0</v>
      </c>
      <c r="J244" s="1"/>
      <c r="K244" s="1"/>
      <c r="L244" s="1"/>
      <c r="M244" s="59">
        <f t="shared" si="69"/>
        <v>0</v>
      </c>
      <c r="N244" s="1"/>
      <c r="O244" s="1"/>
      <c r="P244" s="1"/>
      <c r="Q244" s="59">
        <f t="shared" si="70"/>
        <v>0</v>
      </c>
      <c r="R244" s="59">
        <f t="shared" si="66"/>
        <v>23</v>
      </c>
    </row>
    <row r="245" spans="1:20" ht="15.75" customHeight="1" x14ac:dyDescent="0.3">
      <c r="A245" s="76" t="s">
        <v>222</v>
      </c>
      <c r="B245" s="1">
        <v>23</v>
      </c>
      <c r="C245" s="1"/>
      <c r="D245" s="1"/>
      <c r="E245" s="59">
        <f t="shared" si="72"/>
        <v>23</v>
      </c>
      <c r="F245" s="1"/>
      <c r="G245" s="1"/>
      <c r="H245" s="1"/>
      <c r="I245" s="59">
        <f t="shared" si="68"/>
        <v>0</v>
      </c>
      <c r="J245" s="1"/>
      <c r="K245" s="1"/>
      <c r="L245" s="1"/>
      <c r="M245" s="59">
        <f t="shared" si="69"/>
        <v>0</v>
      </c>
      <c r="N245" s="1"/>
      <c r="O245" s="1"/>
      <c r="P245" s="1"/>
      <c r="Q245" s="59">
        <f t="shared" si="70"/>
        <v>0</v>
      </c>
      <c r="R245" s="59">
        <f t="shared" si="66"/>
        <v>23</v>
      </c>
      <c r="S245" s="4" t="s">
        <v>136</v>
      </c>
      <c r="T245" s="4" t="s">
        <v>137</v>
      </c>
    </row>
    <row r="246" spans="1:20" ht="15.75" customHeight="1" x14ac:dyDescent="0.3">
      <c r="A246" s="76" t="s">
        <v>223</v>
      </c>
      <c r="B246" s="1"/>
      <c r="C246" s="1"/>
      <c r="D246" s="1"/>
      <c r="E246" s="59">
        <f t="shared" si="72"/>
        <v>0</v>
      </c>
      <c r="F246" s="1"/>
      <c r="G246" s="1"/>
      <c r="H246" s="1"/>
      <c r="I246" s="59">
        <f t="shared" si="68"/>
        <v>0</v>
      </c>
      <c r="J246" s="1"/>
      <c r="K246" s="1"/>
      <c r="L246" s="1"/>
      <c r="M246" s="59">
        <f t="shared" si="69"/>
        <v>0</v>
      </c>
      <c r="N246" s="1"/>
      <c r="O246" s="1"/>
      <c r="P246" s="1"/>
      <c r="Q246" s="59">
        <f t="shared" si="70"/>
        <v>0</v>
      </c>
      <c r="R246" s="59">
        <f t="shared" si="66"/>
        <v>0</v>
      </c>
      <c r="S246" s="4" t="s">
        <v>136</v>
      </c>
      <c r="T246" s="4" t="s">
        <v>137</v>
      </c>
    </row>
    <row r="247" spans="1:20" ht="15.75" customHeight="1" x14ac:dyDescent="0.3">
      <c r="A247" s="76" t="s">
        <v>224</v>
      </c>
      <c r="B247" s="1"/>
      <c r="C247" s="1"/>
      <c r="D247" s="1"/>
      <c r="E247" s="59">
        <f t="shared" si="72"/>
        <v>0</v>
      </c>
      <c r="F247" s="1"/>
      <c r="G247" s="1"/>
      <c r="H247" s="1"/>
      <c r="I247" s="59">
        <f t="shared" si="68"/>
        <v>0</v>
      </c>
      <c r="J247" s="1"/>
      <c r="K247" s="1"/>
      <c r="L247" s="1"/>
      <c r="M247" s="59">
        <f t="shared" si="69"/>
        <v>0</v>
      </c>
      <c r="N247" s="1"/>
      <c r="O247" s="1"/>
      <c r="P247" s="1">
        <v>263</v>
      </c>
      <c r="Q247" s="59">
        <f t="shared" si="70"/>
        <v>263</v>
      </c>
      <c r="R247" s="59">
        <f t="shared" si="66"/>
        <v>263</v>
      </c>
    </row>
    <row r="248" spans="1:20" ht="15.75" customHeight="1" x14ac:dyDescent="0.3">
      <c r="A248" s="76" t="s">
        <v>225</v>
      </c>
      <c r="B248" s="1"/>
      <c r="C248" s="1"/>
      <c r="D248" s="1"/>
      <c r="E248" s="59">
        <f t="shared" si="72"/>
        <v>0</v>
      </c>
      <c r="F248" s="1"/>
      <c r="H248" s="1"/>
      <c r="I248" s="59">
        <f t="shared" si="68"/>
        <v>0</v>
      </c>
      <c r="J248" s="1"/>
      <c r="K248" s="1"/>
      <c r="L248" s="1"/>
      <c r="M248" s="59">
        <f t="shared" si="69"/>
        <v>0</v>
      </c>
      <c r="N248" s="1"/>
      <c r="O248" s="1">
        <v>3690</v>
      </c>
      <c r="P248" s="1"/>
      <c r="Q248" s="59">
        <f t="shared" si="70"/>
        <v>3690</v>
      </c>
      <c r="R248" s="59">
        <f t="shared" si="66"/>
        <v>3690</v>
      </c>
    </row>
    <row r="249" spans="1:20" ht="15.75" customHeight="1" x14ac:dyDescent="0.3">
      <c r="A249" s="102" t="s">
        <v>226</v>
      </c>
      <c r="B249" s="1"/>
      <c r="C249" s="1"/>
      <c r="D249" s="1"/>
      <c r="E249" s="59">
        <f t="shared" si="72"/>
        <v>0</v>
      </c>
      <c r="F249" s="1"/>
      <c r="G249" s="1"/>
      <c r="H249" s="1"/>
      <c r="I249" s="59">
        <f t="shared" si="68"/>
        <v>0</v>
      </c>
      <c r="J249" s="1"/>
      <c r="K249" s="1"/>
      <c r="L249" s="1"/>
      <c r="M249" s="59">
        <f t="shared" si="69"/>
        <v>0</v>
      </c>
      <c r="N249" s="1"/>
      <c r="O249" s="1"/>
      <c r="P249" s="1"/>
      <c r="Q249" s="59">
        <f t="shared" si="70"/>
        <v>0</v>
      </c>
      <c r="R249" s="59">
        <f t="shared" si="66"/>
        <v>0</v>
      </c>
      <c r="T249" s="4" t="s">
        <v>121</v>
      </c>
    </row>
    <row r="250" spans="1:20" ht="15.75" customHeight="1" x14ac:dyDescent="0.3">
      <c r="A250" s="76" t="s">
        <v>227</v>
      </c>
      <c r="B250" s="1"/>
      <c r="C250" s="1"/>
      <c r="D250" s="1"/>
      <c r="E250" s="59">
        <f t="shared" si="72"/>
        <v>0</v>
      </c>
      <c r="F250" s="1"/>
      <c r="G250" s="1"/>
      <c r="H250" s="1"/>
      <c r="I250" s="59">
        <f t="shared" si="68"/>
        <v>0</v>
      </c>
      <c r="J250" s="1"/>
      <c r="K250" s="1"/>
      <c r="L250" s="1"/>
      <c r="M250" s="59">
        <f t="shared" si="69"/>
        <v>0</v>
      </c>
      <c r="N250" s="1"/>
      <c r="O250" s="1"/>
      <c r="P250" s="1"/>
      <c r="Q250" s="59">
        <f>SUM(N250:P250)</f>
        <v>0</v>
      </c>
      <c r="R250" s="59">
        <f>+E250+I250+M250+Q250</f>
        <v>0</v>
      </c>
      <c r="S250" s="94"/>
      <c r="T250" s="4" t="s">
        <v>137</v>
      </c>
    </row>
    <row r="251" spans="1:20" ht="15.75" customHeight="1" x14ac:dyDescent="0.3">
      <c r="A251" s="102" t="s">
        <v>228</v>
      </c>
      <c r="B251" s="1"/>
      <c r="C251" s="1"/>
      <c r="D251" s="1">
        <v>2949</v>
      </c>
      <c r="E251" s="59">
        <f>SUM(B251:D251)</f>
        <v>2949</v>
      </c>
      <c r="F251" s="1">
        <v>351</v>
      </c>
      <c r="G251" s="1"/>
      <c r="H251" s="1"/>
      <c r="I251" s="59">
        <f t="shared" si="68"/>
        <v>351</v>
      </c>
      <c r="J251" s="1"/>
      <c r="K251" s="1"/>
      <c r="L251" s="1"/>
      <c r="M251" s="59">
        <f t="shared" si="69"/>
        <v>0</v>
      </c>
      <c r="N251" s="1"/>
      <c r="O251" s="1"/>
      <c r="P251" s="1"/>
      <c r="Q251" s="59">
        <f t="shared" si="70"/>
        <v>0</v>
      </c>
      <c r="R251" s="59">
        <f t="shared" si="66"/>
        <v>3300</v>
      </c>
    </row>
    <row r="252" spans="1:20" ht="15.75" customHeight="1" x14ac:dyDescent="0.3">
      <c r="A252" s="102" t="s">
        <v>229</v>
      </c>
      <c r="B252" s="1"/>
      <c r="C252" s="1"/>
      <c r="D252" s="1"/>
      <c r="E252" s="59">
        <f t="shared" si="72"/>
        <v>0</v>
      </c>
      <c r="F252" s="1"/>
      <c r="G252" s="1"/>
      <c r="H252" s="1"/>
      <c r="I252" s="59">
        <f t="shared" si="68"/>
        <v>0</v>
      </c>
      <c r="J252" s="1"/>
      <c r="K252" s="1"/>
      <c r="L252" s="1"/>
      <c r="M252" s="59">
        <f t="shared" si="69"/>
        <v>0</v>
      </c>
      <c r="N252" s="1"/>
      <c r="O252" s="1"/>
      <c r="P252" s="1"/>
      <c r="Q252" s="59">
        <f t="shared" si="70"/>
        <v>0</v>
      </c>
      <c r="R252" s="59">
        <f t="shared" si="66"/>
        <v>0</v>
      </c>
    </row>
    <row r="253" spans="1:20" ht="15.75" customHeight="1" x14ac:dyDescent="0.3">
      <c r="A253" s="76" t="s">
        <v>230</v>
      </c>
      <c r="B253" s="1"/>
      <c r="C253" s="1"/>
      <c r="D253" s="1"/>
      <c r="E253" s="59">
        <f t="shared" si="72"/>
        <v>0</v>
      </c>
      <c r="F253" s="1"/>
      <c r="G253" s="1"/>
      <c r="H253" s="1"/>
      <c r="I253" s="59">
        <f t="shared" si="68"/>
        <v>0</v>
      </c>
      <c r="J253" s="1">
        <v>1323</v>
      </c>
      <c r="K253" s="1">
        <v>1343</v>
      </c>
      <c r="L253" s="1">
        <v>1034</v>
      </c>
      <c r="M253" s="59">
        <f t="shared" si="69"/>
        <v>3700</v>
      </c>
      <c r="N253" s="1"/>
      <c r="O253" s="1"/>
      <c r="P253" s="1"/>
      <c r="Q253" s="59">
        <f t="shared" ref="Q253" si="73">SUM(N253:P253)</f>
        <v>0</v>
      </c>
      <c r="R253" s="59">
        <f t="shared" si="66"/>
        <v>3700</v>
      </c>
    </row>
    <row r="254" spans="1:20" ht="15.75" customHeight="1" x14ac:dyDescent="0.3">
      <c r="A254" s="102" t="s">
        <v>231</v>
      </c>
      <c r="B254" s="1"/>
      <c r="C254" s="1">
        <f>606+136</f>
        <v>742</v>
      </c>
      <c r="D254" s="1"/>
      <c r="E254" s="59">
        <f t="shared" ref="E254:E255" si="74">SUM(B254:D254)</f>
        <v>742</v>
      </c>
      <c r="F254" s="1"/>
      <c r="G254" s="1"/>
      <c r="H254" s="1"/>
      <c r="I254" s="59">
        <f t="shared" si="68"/>
        <v>0</v>
      </c>
      <c r="J254" s="1"/>
      <c r="K254" s="1"/>
      <c r="L254" s="1"/>
      <c r="M254" s="59">
        <f t="shared" si="69"/>
        <v>0</v>
      </c>
      <c r="N254" s="1"/>
      <c r="O254" s="1">
        <v>670</v>
      </c>
      <c r="P254" s="1">
        <v>1324</v>
      </c>
      <c r="Q254" s="59">
        <f t="shared" si="70"/>
        <v>1994</v>
      </c>
      <c r="R254" s="59">
        <f t="shared" si="66"/>
        <v>2736</v>
      </c>
    </row>
    <row r="255" spans="1:20" ht="15.75" customHeight="1" x14ac:dyDescent="0.3">
      <c r="A255" s="102" t="s">
        <v>232</v>
      </c>
      <c r="B255" s="1"/>
      <c r="C255" s="1"/>
      <c r="D255" s="1"/>
      <c r="E255" s="59">
        <f t="shared" si="74"/>
        <v>0</v>
      </c>
      <c r="F255" s="1"/>
      <c r="G255" s="1"/>
      <c r="H255" s="1"/>
      <c r="I255" s="59">
        <f t="shared" si="68"/>
        <v>0</v>
      </c>
      <c r="J255" s="1"/>
      <c r="K255" s="1"/>
      <c r="L255" s="1"/>
      <c r="M255" s="59">
        <f t="shared" si="69"/>
        <v>0</v>
      </c>
      <c r="N255" s="1"/>
      <c r="O255" s="1"/>
      <c r="P255" s="1"/>
      <c r="Q255" s="59">
        <f t="shared" si="70"/>
        <v>0</v>
      </c>
      <c r="R255" s="59">
        <f t="shared" si="66"/>
        <v>0</v>
      </c>
    </row>
    <row r="256" spans="1:20" ht="15.75" customHeight="1" x14ac:dyDescent="0.3">
      <c r="A256" s="76" t="s">
        <v>233</v>
      </c>
      <c r="B256" s="1">
        <v>794</v>
      </c>
      <c r="C256" s="1">
        <v>745</v>
      </c>
      <c r="D256" s="1">
        <v>747</v>
      </c>
      <c r="E256" s="59">
        <f>SUM(B256:D256)</f>
        <v>2286</v>
      </c>
      <c r="F256" s="1">
        <v>827</v>
      </c>
      <c r="G256" s="1">
        <v>1051</v>
      </c>
      <c r="H256" s="1">
        <v>100</v>
      </c>
      <c r="I256" s="59">
        <f t="shared" ref="I256" si="75">SUM(F256:H256)</f>
        <v>1978</v>
      </c>
      <c r="J256" s="1"/>
      <c r="K256" s="1"/>
      <c r="L256" s="1"/>
      <c r="M256" s="59">
        <f t="shared" si="69"/>
        <v>0</v>
      </c>
      <c r="N256" s="1"/>
      <c r="O256" s="1"/>
      <c r="P256" s="1"/>
      <c r="Q256" s="59">
        <f t="shared" si="70"/>
        <v>0</v>
      </c>
      <c r="R256" s="59">
        <f t="shared" si="66"/>
        <v>4264</v>
      </c>
    </row>
    <row r="257" spans="1:21" ht="15.75" customHeight="1" x14ac:dyDescent="0.3">
      <c r="A257" s="91" t="s">
        <v>234</v>
      </c>
      <c r="B257" s="1"/>
      <c r="C257" s="1"/>
      <c r="D257" s="1"/>
      <c r="E257" s="59">
        <f>SUM(B257:D257)</f>
        <v>0</v>
      </c>
      <c r="F257" s="1"/>
      <c r="G257" s="1"/>
      <c r="H257" s="1"/>
      <c r="I257" s="59">
        <f t="shared" si="68"/>
        <v>0</v>
      </c>
      <c r="J257" s="1"/>
      <c r="K257" s="1"/>
      <c r="L257" s="1"/>
      <c r="M257" s="59">
        <f t="shared" si="69"/>
        <v>0</v>
      </c>
      <c r="N257" s="1"/>
      <c r="O257" s="1"/>
      <c r="P257" s="1"/>
      <c r="Q257" s="59">
        <f t="shared" si="70"/>
        <v>0</v>
      </c>
      <c r="R257" s="59">
        <f t="shared" si="66"/>
        <v>0</v>
      </c>
    </row>
    <row r="258" spans="1:21" ht="15.75" customHeight="1" x14ac:dyDescent="0.3">
      <c r="A258" s="91" t="s">
        <v>235</v>
      </c>
      <c r="B258" s="1"/>
      <c r="C258" s="1"/>
      <c r="D258" s="1"/>
      <c r="E258" s="59">
        <f>SUM(B258:D258)</f>
        <v>0</v>
      </c>
      <c r="F258" s="1"/>
      <c r="G258" s="1"/>
      <c r="H258" s="1"/>
      <c r="I258" s="59">
        <f t="shared" si="68"/>
        <v>0</v>
      </c>
      <c r="J258" s="1"/>
      <c r="K258" s="1"/>
      <c r="L258" s="1"/>
      <c r="M258" s="59">
        <f t="shared" si="69"/>
        <v>0</v>
      </c>
      <c r="N258" s="1"/>
      <c r="O258" s="1"/>
      <c r="P258" s="1"/>
      <c r="Q258" s="59">
        <f t="shared" si="70"/>
        <v>0</v>
      </c>
      <c r="R258" s="59">
        <f t="shared" si="66"/>
        <v>0</v>
      </c>
    </row>
    <row r="259" spans="1:21" ht="15.75" customHeight="1" x14ac:dyDescent="0.3">
      <c r="A259" s="91" t="s">
        <v>236</v>
      </c>
      <c r="B259" s="1"/>
      <c r="C259" s="1"/>
      <c r="D259" s="1"/>
      <c r="E259" s="59">
        <f>SUM(B259:D259)</f>
        <v>0</v>
      </c>
      <c r="F259" s="1"/>
      <c r="G259" s="1"/>
      <c r="H259" s="1"/>
      <c r="I259" s="59">
        <f t="shared" si="68"/>
        <v>0</v>
      </c>
      <c r="J259" s="1"/>
      <c r="K259" s="1"/>
      <c r="L259" s="1"/>
      <c r="M259" s="59">
        <f t="shared" si="69"/>
        <v>0</v>
      </c>
      <c r="N259" s="1"/>
      <c r="O259" s="1"/>
      <c r="P259" s="1"/>
      <c r="Q259" s="59">
        <f t="shared" si="70"/>
        <v>0</v>
      </c>
      <c r="R259" s="59">
        <f t="shared" si="66"/>
        <v>0</v>
      </c>
      <c r="T259" s="4" t="s">
        <v>121</v>
      </c>
    </row>
    <row r="260" spans="1:21" ht="15.75" customHeight="1" x14ac:dyDescent="0.3">
      <c r="A260" s="76" t="s">
        <v>237</v>
      </c>
      <c r="B260" s="1"/>
      <c r="C260" s="1"/>
      <c r="D260" s="1"/>
      <c r="E260" s="59">
        <f t="shared" ref="E260:E264" si="76">SUM(B260:D260)</f>
        <v>0</v>
      </c>
      <c r="F260" s="1"/>
      <c r="G260" s="1"/>
      <c r="H260" s="1"/>
      <c r="I260" s="59">
        <f>SUM(F260:H260)</f>
        <v>0</v>
      </c>
      <c r="J260" s="1"/>
      <c r="K260" s="1">
        <f>1200+448</f>
        <v>1648</v>
      </c>
      <c r="L260" s="1">
        <v>430</v>
      </c>
      <c r="M260" s="59">
        <f t="shared" ref="M260:M261" si="77">SUM(J260:L260)</f>
        <v>2078</v>
      </c>
      <c r="N260" s="1">
        <v>263</v>
      </c>
      <c r="O260" s="1"/>
      <c r="P260" s="1"/>
      <c r="Q260" s="59">
        <f t="shared" ref="Q260:Q261" si="78">SUM(N260:P260)</f>
        <v>263</v>
      </c>
      <c r="R260" s="59">
        <f t="shared" si="66"/>
        <v>2341</v>
      </c>
      <c r="S260" s="105" t="s">
        <v>136</v>
      </c>
    </row>
    <row r="261" spans="1:21" ht="15.75" customHeight="1" x14ac:dyDescent="0.3">
      <c r="A261" s="76" t="s">
        <v>238</v>
      </c>
      <c r="B261" s="1"/>
      <c r="C261" s="1"/>
      <c r="D261" s="1"/>
      <c r="E261" s="59">
        <f t="shared" si="76"/>
        <v>0</v>
      </c>
      <c r="F261" s="1"/>
      <c r="G261" s="1"/>
      <c r="H261" s="1"/>
      <c r="I261" s="59">
        <f>SUM(F261:H261)</f>
        <v>0</v>
      </c>
      <c r="J261" s="1"/>
      <c r="K261" s="1"/>
      <c r="L261" s="1"/>
      <c r="M261" s="59">
        <f t="shared" si="77"/>
        <v>0</v>
      </c>
      <c r="N261" s="1"/>
      <c r="O261" s="1"/>
      <c r="P261" s="1"/>
      <c r="Q261" s="59">
        <f t="shared" si="78"/>
        <v>0</v>
      </c>
      <c r="R261" s="59">
        <f t="shared" si="66"/>
        <v>0</v>
      </c>
      <c r="S261" s="4" t="s">
        <v>136</v>
      </c>
    </row>
    <row r="262" spans="1:21" ht="15.75" customHeight="1" x14ac:dyDescent="0.3">
      <c r="A262" s="76" t="s">
        <v>239</v>
      </c>
      <c r="B262" s="1"/>
      <c r="C262" s="1"/>
      <c r="D262" s="1"/>
      <c r="E262" s="59">
        <f t="shared" si="76"/>
        <v>0</v>
      </c>
      <c r="F262" s="1">
        <v>2485</v>
      </c>
      <c r="G262" s="1">
        <f>46+5213+675+157</f>
        <v>6091</v>
      </c>
      <c r="H262" s="1">
        <v>3424</v>
      </c>
      <c r="I262" s="59">
        <f t="shared" si="68"/>
        <v>12000</v>
      </c>
      <c r="J262" s="1"/>
      <c r="K262" s="1"/>
      <c r="L262" s="1"/>
      <c r="M262" s="59">
        <f t="shared" si="69"/>
        <v>0</v>
      </c>
      <c r="N262" s="1"/>
      <c r="O262" s="1"/>
      <c r="P262" s="1"/>
      <c r="Q262" s="59">
        <f t="shared" si="70"/>
        <v>0</v>
      </c>
      <c r="R262" s="59">
        <f t="shared" si="66"/>
        <v>12000</v>
      </c>
      <c r="S262" s="4" t="s">
        <v>136</v>
      </c>
    </row>
    <row r="263" spans="1:21" ht="15.75" customHeight="1" x14ac:dyDescent="0.3">
      <c r="A263" s="76" t="s">
        <v>240</v>
      </c>
      <c r="B263" s="1"/>
      <c r="C263" s="1"/>
      <c r="D263" s="1"/>
      <c r="E263" s="59">
        <f t="shared" si="76"/>
        <v>0</v>
      </c>
      <c r="F263" s="1"/>
      <c r="G263" s="1"/>
      <c r="H263" s="1"/>
      <c r="I263" s="59">
        <f t="shared" si="68"/>
        <v>0</v>
      </c>
      <c r="J263" s="1"/>
      <c r="K263" s="1"/>
      <c r="L263" s="1"/>
      <c r="M263" s="59">
        <f t="shared" si="69"/>
        <v>0</v>
      </c>
      <c r="N263" s="1"/>
      <c r="O263" s="1"/>
      <c r="P263" s="1"/>
      <c r="Q263" s="59">
        <f>SUM(N263:P263)</f>
        <v>0</v>
      </c>
      <c r="R263" s="59">
        <f t="shared" si="66"/>
        <v>0</v>
      </c>
    </row>
    <row r="264" spans="1:21" ht="15.75" customHeight="1" x14ac:dyDescent="0.3">
      <c r="A264" s="91" t="s">
        <v>995</v>
      </c>
      <c r="B264" s="1"/>
      <c r="C264" s="1"/>
      <c r="D264" s="1"/>
      <c r="E264" s="59">
        <f t="shared" si="76"/>
        <v>0</v>
      </c>
      <c r="F264" s="1">
        <v>400</v>
      </c>
      <c r="G264" s="1"/>
      <c r="H264" s="1"/>
      <c r="I264" s="59">
        <f t="shared" si="68"/>
        <v>400</v>
      </c>
      <c r="J264" s="1"/>
      <c r="K264" s="1"/>
      <c r="L264" s="1"/>
      <c r="M264" s="59">
        <f t="shared" si="69"/>
        <v>0</v>
      </c>
      <c r="N264" s="1"/>
      <c r="O264" s="1"/>
      <c r="P264" s="1"/>
      <c r="Q264" s="59">
        <f>SUM(N264:P264)</f>
        <v>0</v>
      </c>
      <c r="R264" s="59">
        <f t="shared" si="66"/>
        <v>400</v>
      </c>
    </row>
    <row r="265" spans="1:21" ht="15.75" customHeight="1" x14ac:dyDescent="0.3">
      <c r="A265" s="76" t="s">
        <v>241</v>
      </c>
      <c r="B265" s="1"/>
      <c r="C265" s="1"/>
      <c r="D265" s="1"/>
      <c r="E265" s="59">
        <f>SUM(B265:D265)</f>
        <v>0</v>
      </c>
      <c r="F265" s="1">
        <v>776</v>
      </c>
      <c r="G265" s="1">
        <v>410</v>
      </c>
      <c r="H265" s="1"/>
      <c r="I265" s="59">
        <f t="shared" si="68"/>
        <v>1186</v>
      </c>
      <c r="J265" s="1"/>
      <c r="K265" s="1"/>
      <c r="L265" s="1"/>
      <c r="M265" s="59">
        <f t="shared" si="69"/>
        <v>0</v>
      </c>
      <c r="N265" s="1"/>
      <c r="O265" s="1"/>
      <c r="P265" s="1"/>
      <c r="Q265" s="59">
        <f t="shared" si="70"/>
        <v>0</v>
      </c>
      <c r="R265" s="59">
        <f t="shared" si="66"/>
        <v>1186</v>
      </c>
      <c r="S265" s="4" t="s">
        <v>136</v>
      </c>
      <c r="T265" s="4" t="s">
        <v>137</v>
      </c>
    </row>
    <row r="266" spans="1:21" ht="15.75" customHeight="1" x14ac:dyDescent="0.3">
      <c r="A266" s="76" t="s">
        <v>242</v>
      </c>
      <c r="B266" s="1"/>
      <c r="C266" s="1"/>
      <c r="D266" s="1"/>
      <c r="E266" s="59">
        <f t="shared" ref="E266" si="79">SUM(B266:D266)</f>
        <v>0</v>
      </c>
      <c r="F266" s="1"/>
      <c r="G266" s="1"/>
      <c r="H266" s="1"/>
      <c r="I266" s="59">
        <f t="shared" si="68"/>
        <v>0</v>
      </c>
      <c r="J266" s="1"/>
      <c r="K266" s="1"/>
      <c r="L266" s="1"/>
      <c r="M266" s="59">
        <f t="shared" si="69"/>
        <v>0</v>
      </c>
      <c r="N266" s="1"/>
      <c r="O266" s="1"/>
      <c r="P266" s="1"/>
      <c r="Q266" s="59">
        <f t="shared" si="70"/>
        <v>0</v>
      </c>
      <c r="R266" s="59">
        <f t="shared" si="66"/>
        <v>0</v>
      </c>
      <c r="S266" s="106" t="s">
        <v>136</v>
      </c>
      <c r="T266" s="106" t="s">
        <v>137</v>
      </c>
      <c r="U266" s="106"/>
    </row>
    <row r="267" spans="1:21" ht="15.75" customHeight="1" x14ac:dyDescent="0.3">
      <c r="A267" s="76" t="s">
        <v>243</v>
      </c>
      <c r="B267" s="1"/>
      <c r="C267" s="1"/>
      <c r="D267" s="1">
        <v>1318</v>
      </c>
      <c r="E267" s="59">
        <f>SUM(B267:D267)</f>
        <v>1318</v>
      </c>
      <c r="F267" s="1">
        <v>496</v>
      </c>
      <c r="G267" s="1"/>
      <c r="H267" s="1"/>
      <c r="I267" s="59">
        <f>SUM(F267:H267)</f>
        <v>496</v>
      </c>
      <c r="J267" s="1"/>
      <c r="K267" s="1"/>
      <c r="L267" s="1"/>
      <c r="M267" s="59">
        <f t="shared" si="69"/>
        <v>0</v>
      </c>
      <c r="N267" s="1"/>
      <c r="O267" s="1"/>
      <c r="P267" s="1"/>
      <c r="Q267" s="59">
        <f t="shared" si="70"/>
        <v>0</v>
      </c>
      <c r="R267" s="59">
        <f t="shared" si="66"/>
        <v>1814</v>
      </c>
      <c r="T267" s="4" t="s">
        <v>244</v>
      </c>
    </row>
    <row r="268" spans="1:21" ht="15.75" customHeight="1" x14ac:dyDescent="0.3">
      <c r="A268" s="91" t="s">
        <v>245</v>
      </c>
      <c r="B268" s="1"/>
      <c r="C268" s="1"/>
      <c r="D268" s="1"/>
      <c r="E268" s="59">
        <f>SUM(B268:D268)</f>
        <v>0</v>
      </c>
      <c r="F268" s="1"/>
      <c r="G268" s="1"/>
      <c r="H268" s="1"/>
      <c r="I268" s="59">
        <f>SUM(F268:H268)</f>
        <v>0</v>
      </c>
      <c r="J268" s="1"/>
      <c r="K268" s="1"/>
      <c r="L268" s="1"/>
      <c r="M268" s="59">
        <f t="shared" si="69"/>
        <v>0</v>
      </c>
      <c r="N268" s="1"/>
      <c r="O268" s="1"/>
      <c r="P268" s="1"/>
      <c r="Q268" s="59">
        <f>SUM(N268:P268)</f>
        <v>0</v>
      </c>
      <c r="R268" s="59">
        <f>+E268+I268+M268+Q268</f>
        <v>0</v>
      </c>
      <c r="T268" s="4" t="s">
        <v>134</v>
      </c>
    </row>
    <row r="269" spans="1:21" ht="15.75" customHeight="1" x14ac:dyDescent="0.3">
      <c r="A269" s="76" t="s">
        <v>246</v>
      </c>
      <c r="B269" s="1"/>
      <c r="C269" s="1"/>
      <c r="D269" s="1"/>
      <c r="E269" s="59">
        <f t="shared" si="72"/>
        <v>0</v>
      </c>
      <c r="F269" s="1"/>
      <c r="G269" s="1"/>
      <c r="H269" s="1"/>
      <c r="I269" s="59">
        <f t="shared" si="68"/>
        <v>0</v>
      </c>
      <c r="J269" s="1"/>
      <c r="K269" s="1"/>
      <c r="L269" s="1"/>
      <c r="M269" s="59">
        <f t="shared" si="69"/>
        <v>0</v>
      </c>
      <c r="N269" s="1"/>
      <c r="O269" s="1">
        <v>1148</v>
      </c>
      <c r="P269" s="1"/>
      <c r="Q269" s="59">
        <f t="shared" si="70"/>
        <v>1148</v>
      </c>
      <c r="R269" s="59">
        <f t="shared" si="66"/>
        <v>1148</v>
      </c>
    </row>
    <row r="270" spans="1:21" ht="15.75" customHeight="1" x14ac:dyDescent="0.3">
      <c r="A270" s="76" t="s">
        <v>247</v>
      </c>
      <c r="B270" s="1"/>
      <c r="C270" s="1"/>
      <c r="D270" s="1"/>
      <c r="E270" s="59">
        <f t="shared" si="72"/>
        <v>0</v>
      </c>
      <c r="F270" s="1"/>
      <c r="G270" s="1"/>
      <c r="H270" s="1"/>
      <c r="I270" s="59">
        <f t="shared" si="68"/>
        <v>0</v>
      </c>
      <c r="J270" s="1"/>
      <c r="K270" s="1"/>
      <c r="L270" s="1"/>
      <c r="M270" s="59">
        <f t="shared" si="69"/>
        <v>0</v>
      </c>
      <c r="N270" s="1"/>
      <c r="O270" s="1">
        <v>263</v>
      </c>
      <c r="P270" s="1"/>
      <c r="Q270" s="59">
        <f t="shared" si="70"/>
        <v>263</v>
      </c>
      <c r="R270" s="59">
        <f t="shared" si="66"/>
        <v>263</v>
      </c>
    </row>
    <row r="271" spans="1:21" ht="15.75" customHeight="1" x14ac:dyDescent="0.3">
      <c r="A271" s="76" t="s">
        <v>248</v>
      </c>
      <c r="B271" s="1">
        <v>60</v>
      </c>
      <c r="C271" s="1"/>
      <c r="D271" s="1"/>
      <c r="E271" s="59">
        <f t="shared" si="72"/>
        <v>60</v>
      </c>
      <c r="F271" s="1"/>
      <c r="G271" s="1"/>
      <c r="H271" s="1"/>
      <c r="I271" s="59">
        <f t="shared" si="68"/>
        <v>0</v>
      </c>
      <c r="J271" s="1"/>
      <c r="K271" s="1"/>
      <c r="L271" s="1"/>
      <c r="M271" s="59">
        <f t="shared" si="69"/>
        <v>0</v>
      </c>
      <c r="N271" s="1"/>
      <c r="O271" s="1"/>
      <c r="P271" s="1"/>
      <c r="Q271" s="59">
        <f t="shared" si="70"/>
        <v>0</v>
      </c>
      <c r="R271" s="59">
        <f t="shared" si="66"/>
        <v>60</v>
      </c>
    </row>
    <row r="272" spans="1:21" ht="15.75" customHeight="1" x14ac:dyDescent="0.3">
      <c r="A272" s="76" t="s">
        <v>249</v>
      </c>
      <c r="B272" s="1">
        <v>60</v>
      </c>
      <c r="C272" s="1"/>
      <c r="D272" s="1"/>
      <c r="E272" s="59">
        <f t="shared" si="72"/>
        <v>60</v>
      </c>
      <c r="F272" s="1"/>
      <c r="G272" s="1"/>
      <c r="H272" s="1"/>
      <c r="I272" s="59">
        <f t="shared" si="68"/>
        <v>0</v>
      </c>
      <c r="J272" s="1"/>
      <c r="K272" s="1"/>
      <c r="L272" s="1"/>
      <c r="M272" s="59">
        <f t="shared" si="69"/>
        <v>0</v>
      </c>
      <c r="N272" s="1"/>
      <c r="O272" s="1"/>
      <c r="P272" s="1"/>
      <c r="Q272" s="59">
        <f t="shared" si="70"/>
        <v>0</v>
      </c>
      <c r="R272" s="59">
        <f t="shared" si="66"/>
        <v>60</v>
      </c>
      <c r="S272" s="4" t="s">
        <v>136</v>
      </c>
      <c r="T272" s="4" t="s">
        <v>137</v>
      </c>
    </row>
    <row r="273" spans="1:20" ht="15.75" customHeight="1" x14ac:dyDescent="0.3">
      <c r="A273" s="76" t="s">
        <v>250</v>
      </c>
      <c r="B273" s="1"/>
      <c r="C273" s="1"/>
      <c r="D273" s="1"/>
      <c r="E273" s="59">
        <f t="shared" si="72"/>
        <v>0</v>
      </c>
      <c r="F273" s="1"/>
      <c r="G273" s="1"/>
      <c r="H273" s="1"/>
      <c r="I273" s="59">
        <f t="shared" si="68"/>
        <v>0</v>
      </c>
      <c r="J273" s="1"/>
      <c r="K273" s="1"/>
      <c r="L273" s="1"/>
      <c r="M273" s="59">
        <f t="shared" si="69"/>
        <v>0</v>
      </c>
      <c r="N273" s="1"/>
      <c r="O273" s="1"/>
      <c r="P273" s="1"/>
      <c r="Q273" s="59">
        <f t="shared" si="70"/>
        <v>0</v>
      </c>
      <c r="R273" s="59">
        <f t="shared" si="66"/>
        <v>0</v>
      </c>
      <c r="T273" s="4" t="s">
        <v>137</v>
      </c>
    </row>
    <row r="274" spans="1:20" ht="15.75" customHeight="1" x14ac:dyDescent="0.3">
      <c r="A274" s="76" t="s">
        <v>251</v>
      </c>
      <c r="B274" s="1"/>
      <c r="C274" s="1"/>
      <c r="D274" s="1"/>
      <c r="E274" s="59">
        <f t="shared" ref="E274" si="80">SUM(B274:D274)</f>
        <v>0</v>
      </c>
      <c r="F274" s="1"/>
      <c r="G274" s="1"/>
      <c r="H274" s="1"/>
      <c r="I274" s="59">
        <f t="shared" ref="I274:I275" si="81">SUM(F274:H274)</f>
        <v>0</v>
      </c>
      <c r="J274" s="1"/>
      <c r="K274" s="1"/>
      <c r="L274" s="1"/>
      <c r="M274" s="59">
        <f t="shared" ref="M274:M275" si="82">SUM(J274:L274)</f>
        <v>0</v>
      </c>
      <c r="N274" s="1"/>
      <c r="O274" s="1"/>
      <c r="P274" s="1"/>
      <c r="Q274" s="59">
        <f t="shared" ref="Q274" si="83">SUM(N274:P274)</f>
        <v>0</v>
      </c>
      <c r="R274" s="59">
        <f t="shared" si="66"/>
        <v>0</v>
      </c>
      <c r="S274" s="4" t="s">
        <v>136</v>
      </c>
      <c r="T274" s="4" t="s">
        <v>137</v>
      </c>
    </row>
    <row r="275" spans="1:20" ht="15.75" customHeight="1" x14ac:dyDescent="0.3">
      <c r="A275" s="76" t="s">
        <v>252</v>
      </c>
      <c r="B275" s="1"/>
      <c r="C275" s="1"/>
      <c r="D275" s="1"/>
      <c r="E275" s="59">
        <f t="shared" si="72"/>
        <v>0</v>
      </c>
      <c r="F275" s="1"/>
      <c r="G275" s="1"/>
      <c r="H275" s="1"/>
      <c r="I275" s="59">
        <f t="shared" si="81"/>
        <v>0</v>
      </c>
      <c r="J275" s="1">
        <v>2800</v>
      </c>
      <c r="K275" s="1"/>
      <c r="L275" s="1"/>
      <c r="M275" s="59">
        <f t="shared" si="82"/>
        <v>2800</v>
      </c>
      <c r="N275" s="1"/>
      <c r="O275" s="1"/>
      <c r="P275" s="1"/>
      <c r="Q275" s="59">
        <f t="shared" si="70"/>
        <v>0</v>
      </c>
      <c r="R275" s="59">
        <f>+E275+I275+M275+Q275</f>
        <v>2800</v>
      </c>
      <c r="S275" s="94" t="s">
        <v>136</v>
      </c>
      <c r="T275" s="4" t="s">
        <v>137</v>
      </c>
    </row>
    <row r="276" spans="1:20" ht="15.75" customHeight="1" x14ac:dyDescent="0.3">
      <c r="A276" s="91" t="s">
        <v>253</v>
      </c>
      <c r="B276" s="1"/>
      <c r="C276" s="1"/>
      <c r="D276" s="1"/>
      <c r="E276" s="59">
        <f t="shared" si="72"/>
        <v>0</v>
      </c>
      <c r="F276" s="1"/>
      <c r="G276" s="1"/>
      <c r="H276" s="1"/>
      <c r="I276" s="59">
        <f t="shared" si="68"/>
        <v>0</v>
      </c>
      <c r="J276" s="1"/>
      <c r="K276" s="1"/>
      <c r="L276" s="1"/>
      <c r="M276" s="59">
        <f t="shared" si="69"/>
        <v>0</v>
      </c>
      <c r="N276" s="1"/>
      <c r="O276" s="1"/>
      <c r="P276" s="1"/>
      <c r="Q276" s="59">
        <f>SUM(N276:P276)</f>
        <v>0</v>
      </c>
      <c r="R276" s="59">
        <f t="shared" si="66"/>
        <v>0</v>
      </c>
      <c r="T276" s="4" t="s">
        <v>132</v>
      </c>
    </row>
    <row r="277" spans="1:20" ht="15.75" customHeight="1" x14ac:dyDescent="0.3">
      <c r="A277" s="91" t="s">
        <v>254</v>
      </c>
      <c r="B277" s="1"/>
      <c r="C277" s="1"/>
      <c r="D277" s="1"/>
      <c r="E277" s="59">
        <f>SUM(B277:D277)</f>
        <v>0</v>
      </c>
      <c r="F277" s="1">
        <v>2424</v>
      </c>
      <c r="G277" s="1"/>
      <c r="H277" s="1">
        <f>776+876</f>
        <v>1652</v>
      </c>
      <c r="I277" s="59">
        <f t="shared" ref="I277:I278" si="84">SUM(F277:H277)</f>
        <v>4076</v>
      </c>
      <c r="J277" s="1">
        <v>3000</v>
      </c>
      <c r="K277" s="1">
        <v>2392</v>
      </c>
      <c r="L277" s="1">
        <v>662</v>
      </c>
      <c r="M277" s="59">
        <f t="shared" ref="M277" si="85">SUM(J277:L277)</f>
        <v>6054</v>
      </c>
      <c r="N277" s="1"/>
      <c r="O277" s="1"/>
      <c r="P277" s="1"/>
      <c r="Q277" s="59">
        <f>SUM(N277:P277)</f>
        <v>0</v>
      </c>
      <c r="R277" s="59">
        <f t="shared" si="66"/>
        <v>10130</v>
      </c>
      <c r="T277" s="4" t="s">
        <v>134</v>
      </c>
    </row>
    <row r="278" spans="1:20" ht="15.75" customHeight="1" x14ac:dyDescent="0.3">
      <c r="A278" s="76" t="s">
        <v>255</v>
      </c>
      <c r="B278" s="1"/>
      <c r="C278" s="1"/>
      <c r="D278" s="1"/>
      <c r="E278" s="59">
        <f>SUM(B278:D278)</f>
        <v>0</v>
      </c>
      <c r="F278" s="1"/>
      <c r="G278" s="1">
        <v>590</v>
      </c>
      <c r="H278" s="1">
        <f>900+362</f>
        <v>1262</v>
      </c>
      <c r="I278" s="59">
        <f t="shared" si="84"/>
        <v>1852</v>
      </c>
      <c r="J278" s="1"/>
      <c r="K278" s="1"/>
      <c r="L278" s="1"/>
      <c r="M278" s="59">
        <f>SUM(J278:L278)</f>
        <v>0</v>
      </c>
      <c r="N278" s="1"/>
      <c r="O278" s="1"/>
      <c r="P278" s="1"/>
      <c r="Q278" s="59">
        <f t="shared" si="70"/>
        <v>0</v>
      </c>
      <c r="R278" s="59">
        <f t="shared" si="66"/>
        <v>1852</v>
      </c>
      <c r="S278" s="4" t="s">
        <v>136</v>
      </c>
      <c r="T278" s="4" t="s">
        <v>137</v>
      </c>
    </row>
    <row r="279" spans="1:20" ht="15.75" customHeight="1" x14ac:dyDescent="0.3">
      <c r="A279" s="76" t="s">
        <v>256</v>
      </c>
      <c r="B279" s="1"/>
      <c r="C279" s="1"/>
      <c r="D279" s="1"/>
      <c r="E279" s="59">
        <f t="shared" ref="E279:E280" si="86">SUM(B279:D279)</f>
        <v>0</v>
      </c>
      <c r="F279" s="1"/>
      <c r="G279" s="1"/>
      <c r="H279" s="1"/>
      <c r="I279" s="59">
        <f t="shared" si="68"/>
        <v>0</v>
      </c>
      <c r="J279" s="1"/>
      <c r="K279" s="1"/>
      <c r="L279" s="1"/>
      <c r="M279" s="59">
        <f t="shared" si="69"/>
        <v>0</v>
      </c>
      <c r="N279" s="1"/>
      <c r="O279" s="1"/>
      <c r="P279" s="1"/>
      <c r="Q279" s="59">
        <f t="shared" si="70"/>
        <v>0</v>
      </c>
      <c r="R279" s="59">
        <f t="shared" si="66"/>
        <v>0</v>
      </c>
      <c r="T279" s="4" t="s">
        <v>137</v>
      </c>
    </row>
    <row r="280" spans="1:20" ht="15.75" customHeight="1" x14ac:dyDescent="0.3">
      <c r="A280" s="91" t="s">
        <v>257</v>
      </c>
      <c r="B280" s="1"/>
      <c r="C280" s="1"/>
      <c r="D280" s="1"/>
      <c r="E280" s="59">
        <f t="shared" si="86"/>
        <v>0</v>
      </c>
      <c r="F280" s="1"/>
      <c r="G280" s="1"/>
      <c r="H280" s="1"/>
      <c r="I280" s="59">
        <f t="shared" si="68"/>
        <v>0</v>
      </c>
      <c r="J280" s="1"/>
      <c r="K280" s="1"/>
      <c r="L280" s="1"/>
      <c r="M280" s="59">
        <f t="shared" si="69"/>
        <v>0</v>
      </c>
      <c r="N280" s="1"/>
      <c r="O280" s="1"/>
      <c r="P280" s="1"/>
      <c r="Q280" s="59">
        <f t="shared" ref="Q280" si="87">SUM(N280:P280)</f>
        <v>0</v>
      </c>
      <c r="R280" s="59">
        <f t="shared" si="66"/>
        <v>0</v>
      </c>
    </row>
    <row r="281" spans="1:20" ht="15.75" customHeight="1" x14ac:dyDescent="0.3">
      <c r="A281" s="76" t="s">
        <v>258</v>
      </c>
      <c r="B281" s="1">
        <v>618</v>
      </c>
      <c r="C281" s="1">
        <v>1743</v>
      </c>
      <c r="D281" s="1">
        <v>489</v>
      </c>
      <c r="E281" s="59">
        <f t="shared" si="72"/>
        <v>2850</v>
      </c>
      <c r="F281" s="1"/>
      <c r="G281" s="1"/>
      <c r="H281" s="1"/>
      <c r="I281" s="59">
        <f t="shared" si="68"/>
        <v>0</v>
      </c>
      <c r="J281" s="1"/>
      <c r="K281" s="1"/>
      <c r="L281" s="1"/>
      <c r="M281" s="59">
        <f t="shared" si="69"/>
        <v>0</v>
      </c>
      <c r="N281" s="1"/>
      <c r="O281" s="1"/>
      <c r="P281" s="1"/>
      <c r="Q281" s="59">
        <f t="shared" si="70"/>
        <v>0</v>
      </c>
      <c r="R281" s="59">
        <f t="shared" si="66"/>
        <v>2850</v>
      </c>
      <c r="T281" s="4" t="s">
        <v>158</v>
      </c>
    </row>
    <row r="282" spans="1:20" ht="15.75" customHeight="1" x14ac:dyDescent="0.3">
      <c r="A282" s="76" t="s">
        <v>259</v>
      </c>
      <c r="B282" s="1"/>
      <c r="C282" s="1"/>
      <c r="D282" s="1"/>
      <c r="E282" s="59">
        <f t="shared" si="72"/>
        <v>0</v>
      </c>
      <c r="F282" s="1"/>
      <c r="G282" s="1"/>
      <c r="H282" s="1"/>
      <c r="I282" s="59">
        <f>SUM(F282:H282)</f>
        <v>0</v>
      </c>
      <c r="J282" s="1"/>
      <c r="K282" s="1"/>
      <c r="L282" s="1"/>
      <c r="M282" s="59">
        <f t="shared" si="69"/>
        <v>0</v>
      </c>
      <c r="N282" s="1"/>
      <c r="O282" s="1"/>
      <c r="P282" s="1"/>
      <c r="Q282" s="59">
        <f t="shared" si="70"/>
        <v>0</v>
      </c>
      <c r="R282" s="59">
        <f t="shared" si="66"/>
        <v>0</v>
      </c>
      <c r="S282" s="4" t="s">
        <v>136</v>
      </c>
    </row>
    <row r="283" spans="1:20" ht="15.75" customHeight="1" x14ac:dyDescent="0.3">
      <c r="A283" s="76" t="s">
        <v>260</v>
      </c>
      <c r="B283" s="1"/>
      <c r="C283" s="1"/>
      <c r="D283" s="1"/>
      <c r="E283" s="59">
        <f t="shared" si="72"/>
        <v>0</v>
      </c>
      <c r="F283" s="1"/>
      <c r="G283" s="1"/>
      <c r="H283" s="1"/>
      <c r="I283" s="59">
        <f>SUM(F283:H283)</f>
        <v>0</v>
      </c>
      <c r="J283" s="1"/>
      <c r="K283" s="1"/>
      <c r="L283" s="1"/>
      <c r="M283" s="59">
        <f t="shared" si="69"/>
        <v>0</v>
      </c>
      <c r="N283" s="1"/>
      <c r="O283" s="1"/>
      <c r="P283" s="1"/>
      <c r="Q283" s="59">
        <f t="shared" ref="Q283" si="88">SUM(N283:P283)</f>
        <v>0</v>
      </c>
      <c r="R283" s="59">
        <f t="shared" si="66"/>
        <v>0</v>
      </c>
    </row>
    <row r="284" spans="1:20" ht="15.75" customHeight="1" x14ac:dyDescent="0.3">
      <c r="A284" s="76" t="s">
        <v>261</v>
      </c>
      <c r="B284" s="1">
        <v>95</v>
      </c>
      <c r="C284" s="1"/>
      <c r="D284" s="1"/>
      <c r="E284" s="59">
        <f t="shared" si="72"/>
        <v>95</v>
      </c>
      <c r="F284" s="1"/>
      <c r="G284" s="1"/>
      <c r="H284" s="1"/>
      <c r="I284" s="59">
        <f t="shared" si="68"/>
        <v>0</v>
      </c>
      <c r="J284" s="1"/>
      <c r="K284" s="1"/>
      <c r="L284" s="1"/>
      <c r="M284" s="59">
        <f t="shared" si="69"/>
        <v>0</v>
      </c>
      <c r="N284" s="1"/>
      <c r="O284" s="1"/>
      <c r="P284" s="1"/>
      <c r="Q284" s="59">
        <f t="shared" si="70"/>
        <v>0</v>
      </c>
      <c r="R284" s="59">
        <f t="shared" si="66"/>
        <v>95</v>
      </c>
    </row>
    <row r="285" spans="1:20" ht="15.75" customHeight="1" x14ac:dyDescent="0.3">
      <c r="A285" s="76" t="s">
        <v>262</v>
      </c>
      <c r="B285" s="1">
        <v>95</v>
      </c>
      <c r="C285" s="1"/>
      <c r="D285" s="1"/>
      <c r="E285" s="59">
        <f t="shared" si="72"/>
        <v>95</v>
      </c>
      <c r="F285" s="1"/>
      <c r="G285" s="1"/>
      <c r="H285" s="1"/>
      <c r="I285" s="59">
        <f t="shared" si="68"/>
        <v>0</v>
      </c>
      <c r="J285" s="1"/>
      <c r="K285" s="1"/>
      <c r="L285" s="1"/>
      <c r="M285" s="59">
        <f t="shared" si="69"/>
        <v>0</v>
      </c>
      <c r="N285" s="1"/>
      <c r="O285" s="1"/>
      <c r="P285" s="1"/>
      <c r="Q285" s="59">
        <f t="shared" si="70"/>
        <v>0</v>
      </c>
      <c r="R285" s="59">
        <f t="shared" si="66"/>
        <v>95</v>
      </c>
      <c r="S285" s="4" t="s">
        <v>136</v>
      </c>
      <c r="T285" s="4" t="s">
        <v>137</v>
      </c>
    </row>
    <row r="286" spans="1:20" ht="15.75" customHeight="1" x14ac:dyDescent="0.3">
      <c r="A286" s="76" t="s">
        <v>263</v>
      </c>
      <c r="B286" s="1"/>
      <c r="C286" s="1">
        <v>494</v>
      </c>
      <c r="D286" s="1"/>
      <c r="E286" s="59">
        <f>SUM(B286:D286)</f>
        <v>494</v>
      </c>
      <c r="F286" s="1"/>
      <c r="G286" s="1">
        <v>3606</v>
      </c>
      <c r="H286" s="1">
        <v>600</v>
      </c>
      <c r="I286" s="59">
        <f>SUM(F286:H286)</f>
        <v>4206</v>
      </c>
      <c r="J286" s="1">
        <v>400</v>
      </c>
      <c r="K286" s="1">
        <v>1000</v>
      </c>
      <c r="L286" s="1">
        <v>600</v>
      </c>
      <c r="M286" s="59">
        <f>SUM(J286:L286)</f>
        <v>2000</v>
      </c>
      <c r="N286" s="1"/>
      <c r="O286" s="1"/>
      <c r="P286" s="1"/>
      <c r="Q286" s="59">
        <f>SUM(N286:P286)</f>
        <v>0</v>
      </c>
      <c r="R286" s="59">
        <f t="shared" si="66"/>
        <v>6700</v>
      </c>
      <c r="S286" s="4" t="s">
        <v>136</v>
      </c>
      <c r="T286" s="4" t="s">
        <v>137</v>
      </c>
    </row>
    <row r="287" spans="1:20" ht="15.75" customHeight="1" x14ac:dyDescent="0.3">
      <c r="A287" s="76" t="s">
        <v>264</v>
      </c>
      <c r="B287" s="1"/>
      <c r="C287" s="1"/>
      <c r="D287" s="1"/>
      <c r="E287" s="59">
        <f>SUM(B287:D287)</f>
        <v>0</v>
      </c>
      <c r="F287" s="1"/>
      <c r="G287" s="1"/>
      <c r="H287" s="1">
        <v>3600</v>
      </c>
      <c r="I287" s="59">
        <f>SUM(F287:H287)</f>
        <v>3600</v>
      </c>
      <c r="J287" s="1"/>
      <c r="K287" s="1"/>
      <c r="L287" s="1">
        <v>718</v>
      </c>
      <c r="M287" s="59">
        <f>SUM(J287:L287)</f>
        <v>718</v>
      </c>
      <c r="N287" s="1">
        <v>1282</v>
      </c>
      <c r="O287" s="1"/>
      <c r="P287" s="1"/>
      <c r="Q287" s="59">
        <f>SUM(N287:P287)</f>
        <v>1282</v>
      </c>
      <c r="R287" s="59">
        <f t="shared" si="66"/>
        <v>5600</v>
      </c>
    </row>
    <row r="288" spans="1:20" ht="15.75" customHeight="1" x14ac:dyDescent="0.3">
      <c r="A288" s="76" t="s">
        <v>265</v>
      </c>
      <c r="B288" s="1"/>
      <c r="C288" s="1"/>
      <c r="D288" s="1"/>
      <c r="E288" s="59">
        <f>SUM(B288:D288)</f>
        <v>0</v>
      </c>
      <c r="F288" s="1"/>
      <c r="G288" s="1"/>
      <c r="H288" s="1"/>
      <c r="I288" s="59">
        <f>SUM(F288:H288)</f>
        <v>0</v>
      </c>
      <c r="J288" s="1"/>
      <c r="K288" s="1"/>
      <c r="L288" s="1"/>
      <c r="M288" s="59">
        <f>SUM(J288:L288)</f>
        <v>0</v>
      </c>
      <c r="N288" s="1"/>
      <c r="O288" s="1"/>
      <c r="P288" s="1"/>
      <c r="Q288" s="59">
        <f t="shared" ref="Q288:Q291" si="89">SUM(N288:P288)</f>
        <v>0</v>
      </c>
      <c r="R288" s="59">
        <f t="shared" si="66"/>
        <v>0</v>
      </c>
      <c r="T288" s="4" t="s">
        <v>137</v>
      </c>
    </row>
    <row r="289" spans="1:20" ht="15.75" customHeight="1" x14ac:dyDescent="0.3">
      <c r="A289" s="76" t="s">
        <v>266</v>
      </c>
      <c r="B289" s="1"/>
      <c r="C289" s="1"/>
      <c r="D289" s="1"/>
      <c r="E289" s="59">
        <f t="shared" ref="E289:E292" si="90">SUM(B289:D289)</f>
        <v>0</v>
      </c>
      <c r="F289" s="1"/>
      <c r="G289" s="1"/>
      <c r="H289" s="1"/>
      <c r="I289" s="59">
        <f t="shared" ref="I289:I292" si="91">SUM(F289:H289)</f>
        <v>0</v>
      </c>
      <c r="J289" s="1"/>
      <c r="K289" s="1"/>
      <c r="L289" s="1"/>
      <c r="M289" s="59">
        <f t="shared" ref="M289:M292" si="92">SUM(J289:L289)</f>
        <v>0</v>
      </c>
      <c r="N289" s="1"/>
      <c r="O289" s="1"/>
      <c r="P289" s="1"/>
      <c r="Q289" s="59">
        <f t="shared" si="89"/>
        <v>0</v>
      </c>
      <c r="R289" s="59">
        <f t="shared" si="66"/>
        <v>0</v>
      </c>
      <c r="T289" s="4" t="s">
        <v>137</v>
      </c>
    </row>
    <row r="290" spans="1:20" ht="15.75" customHeight="1" x14ac:dyDescent="0.3">
      <c r="A290" s="91" t="s">
        <v>267</v>
      </c>
      <c r="B290" s="1"/>
      <c r="C290" s="1"/>
      <c r="D290" s="1"/>
      <c r="E290" s="59">
        <f t="shared" si="90"/>
        <v>0</v>
      </c>
      <c r="F290" s="1"/>
      <c r="G290" s="1"/>
      <c r="H290" s="1"/>
      <c r="I290" s="59">
        <f t="shared" si="91"/>
        <v>0</v>
      </c>
      <c r="J290" s="1"/>
      <c r="K290" s="1"/>
      <c r="L290" s="1"/>
      <c r="M290" s="59">
        <f t="shared" si="92"/>
        <v>0</v>
      </c>
      <c r="N290" s="1"/>
      <c r="O290" s="1"/>
      <c r="P290" s="1"/>
      <c r="Q290" s="59">
        <f t="shared" si="89"/>
        <v>0</v>
      </c>
      <c r="R290" s="59">
        <f t="shared" si="66"/>
        <v>0</v>
      </c>
    </row>
    <row r="291" spans="1:20" ht="15.75" customHeight="1" x14ac:dyDescent="0.3">
      <c r="A291" s="76" t="s">
        <v>268</v>
      </c>
      <c r="B291" s="1"/>
      <c r="C291" s="1"/>
      <c r="D291" s="1"/>
      <c r="E291" s="59">
        <f t="shared" si="90"/>
        <v>0</v>
      </c>
      <c r="F291" s="1"/>
      <c r="G291" s="1"/>
      <c r="H291" s="1"/>
      <c r="I291" s="59">
        <f t="shared" si="91"/>
        <v>0</v>
      </c>
      <c r="J291" s="1"/>
      <c r="K291" s="1"/>
      <c r="L291" s="1">
        <v>300</v>
      </c>
      <c r="M291" s="59">
        <f t="shared" si="92"/>
        <v>300</v>
      </c>
      <c r="N291" s="1">
        <v>200</v>
      </c>
      <c r="O291" s="1">
        <v>200</v>
      </c>
      <c r="P291" s="1"/>
      <c r="Q291" s="59">
        <f t="shared" si="89"/>
        <v>400</v>
      </c>
      <c r="R291" s="59">
        <f t="shared" si="66"/>
        <v>700</v>
      </c>
    </row>
    <row r="292" spans="1:20" ht="15.75" customHeight="1" x14ac:dyDescent="0.3">
      <c r="A292" s="76" t="s">
        <v>269</v>
      </c>
      <c r="B292" s="1"/>
      <c r="C292" s="1"/>
      <c r="D292" s="1">
        <v>184</v>
      </c>
      <c r="E292" s="59">
        <f t="shared" si="90"/>
        <v>184</v>
      </c>
      <c r="F292" s="1">
        <v>184</v>
      </c>
      <c r="G292" s="1">
        <v>276</v>
      </c>
      <c r="H292" s="1">
        <v>276</v>
      </c>
      <c r="I292" s="59">
        <f t="shared" si="91"/>
        <v>736</v>
      </c>
      <c r="J292" s="1">
        <v>276</v>
      </c>
      <c r="K292" s="1">
        <v>276</v>
      </c>
      <c r="L292" s="1">
        <v>184</v>
      </c>
      <c r="M292" s="59">
        <f t="shared" si="92"/>
        <v>736</v>
      </c>
      <c r="N292" s="1">
        <v>184</v>
      </c>
      <c r="O292" s="1">
        <v>92</v>
      </c>
      <c r="P292" s="1">
        <v>92</v>
      </c>
      <c r="Q292" s="59">
        <f t="shared" si="70"/>
        <v>368</v>
      </c>
      <c r="R292" s="59">
        <f t="shared" si="66"/>
        <v>2024</v>
      </c>
      <c r="S292" s="4" t="s">
        <v>136</v>
      </c>
    </row>
    <row r="293" spans="1:20" ht="15.75" customHeight="1" x14ac:dyDescent="0.3">
      <c r="A293" s="76" t="s">
        <v>270</v>
      </c>
      <c r="B293" s="1">
        <v>814</v>
      </c>
      <c r="C293" s="1">
        <f>16+3767+63+92</f>
        <v>3938</v>
      </c>
      <c r="D293" s="1">
        <f>15+3874+50+101</f>
        <v>4040</v>
      </c>
      <c r="E293" s="59">
        <f>SUM(B293:D293)</f>
        <v>8792</v>
      </c>
      <c r="F293" s="1">
        <v>2208</v>
      </c>
      <c r="G293" s="1"/>
      <c r="H293" s="1"/>
      <c r="I293" s="59">
        <f>SUM(F293:H293)</f>
        <v>2208</v>
      </c>
      <c r="J293" s="1"/>
      <c r="K293" s="1"/>
      <c r="L293" s="1"/>
      <c r="M293" s="59">
        <f>SUM(J293:L293)</f>
        <v>0</v>
      </c>
      <c r="N293" s="1"/>
      <c r="O293" s="1"/>
      <c r="P293" s="1"/>
      <c r="Q293" s="59">
        <f>SUM(N293:P293)</f>
        <v>0</v>
      </c>
      <c r="R293" s="59">
        <f>+E293+I293+M293+Q293</f>
        <v>11000</v>
      </c>
      <c r="S293" s="4" t="s">
        <v>136</v>
      </c>
    </row>
    <row r="294" spans="1:20" ht="15.75" customHeight="1" x14ac:dyDescent="0.3">
      <c r="A294" s="76" t="s">
        <v>271</v>
      </c>
      <c r="B294" s="1"/>
      <c r="C294" s="1"/>
      <c r="D294" s="1"/>
      <c r="E294" s="59">
        <f>SUM(B294:D294)</f>
        <v>0</v>
      </c>
      <c r="F294" s="1"/>
      <c r="G294" s="1"/>
      <c r="H294" s="1"/>
      <c r="I294" s="59">
        <f>SUM(F294:H294)</f>
        <v>0</v>
      </c>
      <c r="J294" s="1"/>
      <c r="K294" s="1"/>
      <c r="L294" s="1"/>
      <c r="M294" s="59">
        <f>SUM(J294:L294)</f>
        <v>0</v>
      </c>
      <c r="N294" s="1"/>
      <c r="O294" s="1"/>
      <c r="P294" s="1"/>
      <c r="Q294" s="59">
        <f>SUM(N294:P294)</f>
        <v>0</v>
      </c>
      <c r="R294" s="59">
        <f>+E294+I294+M294+Q294</f>
        <v>0</v>
      </c>
    </row>
    <row r="295" spans="1:20" ht="15.75" customHeight="1" x14ac:dyDescent="0.3">
      <c r="A295" s="76" t="s">
        <v>272</v>
      </c>
      <c r="B295" s="1"/>
      <c r="C295" s="1"/>
      <c r="D295" s="1"/>
      <c r="E295" s="59">
        <f t="shared" ref="E295" si="93">SUM(B295:D295)</f>
        <v>0</v>
      </c>
      <c r="F295" s="1"/>
      <c r="G295" s="1"/>
      <c r="H295" s="1"/>
      <c r="I295" s="59">
        <f t="shared" ref="I295" si="94">SUM(F295:H295)</f>
        <v>0</v>
      </c>
      <c r="J295" s="1"/>
      <c r="K295" s="1"/>
      <c r="L295" s="1"/>
      <c r="M295" s="59">
        <f t="shared" ref="M295" si="95">SUM(J295:L295)</f>
        <v>0</v>
      </c>
      <c r="N295" s="1"/>
      <c r="O295" s="1"/>
      <c r="P295" s="1"/>
      <c r="Q295" s="59">
        <f t="shared" ref="Q295" si="96">SUM(N295:P295)</f>
        <v>0</v>
      </c>
      <c r="R295" s="59">
        <f t="shared" ref="R295" si="97">+E295+I295+M295+Q295</f>
        <v>0</v>
      </c>
    </row>
    <row r="296" spans="1:20" ht="15.75" customHeight="1" x14ac:dyDescent="0.3">
      <c r="A296" s="76" t="s">
        <v>273</v>
      </c>
      <c r="B296" s="1">
        <v>500</v>
      </c>
      <c r="C296" s="1"/>
      <c r="D296" s="1"/>
      <c r="E296" s="59">
        <f t="shared" ref="E296:E297" si="98">SUM(B296:D296)</f>
        <v>500</v>
      </c>
      <c r="F296" s="1"/>
      <c r="G296" s="1"/>
      <c r="H296" s="1"/>
      <c r="I296" s="59">
        <f t="shared" si="68"/>
        <v>0</v>
      </c>
      <c r="J296" s="1"/>
      <c r="K296" s="1"/>
      <c r="L296" s="1"/>
      <c r="M296" s="59">
        <f t="shared" si="69"/>
        <v>0</v>
      </c>
      <c r="N296" s="1"/>
      <c r="O296" s="1"/>
      <c r="P296" s="1"/>
      <c r="Q296" s="59">
        <f t="shared" si="70"/>
        <v>0</v>
      </c>
      <c r="R296" s="59">
        <f t="shared" si="66"/>
        <v>500</v>
      </c>
    </row>
    <row r="297" spans="1:20" ht="15.75" customHeight="1" x14ac:dyDescent="0.3">
      <c r="A297" s="76" t="s">
        <v>274</v>
      </c>
      <c r="B297" s="1"/>
      <c r="C297" s="1"/>
      <c r="D297" s="1"/>
      <c r="E297" s="59">
        <f t="shared" si="98"/>
        <v>0</v>
      </c>
      <c r="F297" s="1"/>
      <c r="G297" s="1"/>
      <c r="H297" s="1">
        <f>410+1012</f>
        <v>1422</v>
      </c>
      <c r="I297" s="59">
        <f t="shared" si="68"/>
        <v>1422</v>
      </c>
      <c r="J297" s="1">
        <f>702+398</f>
        <v>1100</v>
      </c>
      <c r="K297" s="1">
        <v>1040</v>
      </c>
      <c r="L297" s="1">
        <v>469</v>
      </c>
      <c r="M297" s="59">
        <f t="shared" si="69"/>
        <v>2609</v>
      </c>
      <c r="N297" s="1">
        <v>269</v>
      </c>
      <c r="O297" s="1"/>
      <c r="P297" s="1">
        <v>200</v>
      </c>
      <c r="Q297" s="59">
        <f t="shared" si="70"/>
        <v>469</v>
      </c>
      <c r="R297" s="59">
        <f t="shared" si="66"/>
        <v>4500</v>
      </c>
    </row>
    <row r="298" spans="1:20" ht="15.75" customHeight="1" thickBot="1" x14ac:dyDescent="0.35">
      <c r="A298" s="76" t="s">
        <v>275</v>
      </c>
      <c r="B298" s="1"/>
      <c r="C298" s="1"/>
      <c r="D298" s="1"/>
      <c r="E298" s="59">
        <f>SUM(B298:D298)</f>
        <v>0</v>
      </c>
      <c r="F298" s="1"/>
      <c r="G298" s="1"/>
      <c r="H298" s="1"/>
      <c r="I298" s="59">
        <f>SUM(F298:H298)</f>
        <v>0</v>
      </c>
      <c r="J298" s="1"/>
      <c r="K298" s="1"/>
      <c r="L298" s="1"/>
      <c r="M298" s="59">
        <f>SUM(J298:L298)</f>
        <v>0</v>
      </c>
      <c r="N298" s="1"/>
      <c r="O298" s="1"/>
      <c r="P298" s="1"/>
      <c r="Q298" s="59">
        <f>SUM(N298:P298)</f>
        <v>0</v>
      </c>
      <c r="R298" s="59">
        <f t="shared" si="66"/>
        <v>0</v>
      </c>
      <c r="S298" s="94" t="s">
        <v>136</v>
      </c>
    </row>
    <row r="299" spans="1:20" ht="16.5" customHeight="1" thickBot="1" x14ac:dyDescent="0.35">
      <c r="A299" s="62" t="s">
        <v>61</v>
      </c>
      <c r="B299" s="100">
        <f>SUM(B228:B298)</f>
        <v>4840</v>
      </c>
      <c r="C299" s="101">
        <f>SUM(C228:C298)</f>
        <v>7925</v>
      </c>
      <c r="D299" s="101">
        <f>SUM(D228:D298)</f>
        <v>10372</v>
      </c>
      <c r="E299" s="64">
        <f t="shared" ref="E299" si="99">SUM(B299:D299)</f>
        <v>23137</v>
      </c>
      <c r="F299" s="101">
        <f>SUM(F228:F298)</f>
        <v>10571</v>
      </c>
      <c r="G299" s="101">
        <f>SUM(G228:G298)</f>
        <v>12567</v>
      </c>
      <c r="H299" s="101">
        <f>SUM(H228:H298)</f>
        <v>12969</v>
      </c>
      <c r="I299" s="64">
        <f t="shared" ref="I299" si="100">SUM(F299:H299)</f>
        <v>36107</v>
      </c>
      <c r="J299" s="101">
        <f>SUM(J228:J298)</f>
        <v>9548</v>
      </c>
      <c r="K299" s="101">
        <f>SUM(K228:K298)</f>
        <v>8418</v>
      </c>
      <c r="L299" s="101">
        <f>SUM(L228:L298)</f>
        <v>4980</v>
      </c>
      <c r="M299" s="64">
        <f t="shared" ref="M299" si="101">SUM(J299:L299)</f>
        <v>22946</v>
      </c>
      <c r="N299" s="101">
        <f>SUM(N228:N298)</f>
        <v>2818</v>
      </c>
      <c r="O299" s="101">
        <f>SUM(O228:O298)</f>
        <v>6537</v>
      </c>
      <c r="P299" s="101">
        <f>SUM(P228:P298)</f>
        <v>2305</v>
      </c>
      <c r="Q299" s="64">
        <f t="shared" ref="Q299" si="102">SUM(N299:P299)</f>
        <v>11660</v>
      </c>
      <c r="R299" s="64">
        <f t="shared" si="66"/>
        <v>93850</v>
      </c>
    </row>
    <row r="300" spans="1:20" ht="15.75" customHeight="1" x14ac:dyDescent="0.3">
      <c r="A300" s="17" t="s">
        <v>62</v>
      </c>
      <c r="B300" s="1"/>
      <c r="C300" s="1"/>
      <c r="D300" s="1"/>
      <c r="E300" s="59" t="s">
        <v>7</v>
      </c>
      <c r="F300" s="1"/>
      <c r="G300" s="1"/>
      <c r="H300" s="1"/>
      <c r="I300" s="59" t="s">
        <v>7</v>
      </c>
      <c r="J300" s="1"/>
      <c r="K300" s="1"/>
      <c r="L300" s="1"/>
      <c r="M300" s="59" t="s">
        <v>7</v>
      </c>
      <c r="N300" s="1"/>
      <c r="O300" s="1"/>
      <c r="P300" s="1"/>
      <c r="Q300" s="59" t="s">
        <v>7</v>
      </c>
      <c r="R300" s="59" t="s">
        <v>7</v>
      </c>
    </row>
    <row r="301" spans="1:20" ht="15.75" customHeight="1" x14ac:dyDescent="0.3">
      <c r="A301" s="17" t="s">
        <v>63</v>
      </c>
      <c r="B301" s="1"/>
      <c r="C301" s="1"/>
      <c r="D301" s="1"/>
      <c r="E301" s="59" t="s">
        <v>7</v>
      </c>
      <c r="F301" s="1"/>
      <c r="G301" s="1"/>
      <c r="H301" s="1"/>
      <c r="I301" s="59" t="s">
        <v>7</v>
      </c>
      <c r="J301" s="1"/>
      <c r="K301" s="1"/>
      <c r="L301" s="1"/>
      <c r="M301" s="59" t="s">
        <v>7</v>
      </c>
      <c r="N301" s="1"/>
      <c r="O301" s="1"/>
      <c r="P301" s="1"/>
      <c r="Q301" s="59" t="s">
        <v>7</v>
      </c>
      <c r="R301" s="59" t="s">
        <v>7</v>
      </c>
    </row>
    <row r="302" spans="1:20" ht="15.75" customHeight="1" x14ac:dyDescent="0.3">
      <c r="A302" s="78" t="s">
        <v>854</v>
      </c>
      <c r="B302" s="1"/>
      <c r="C302" s="1"/>
      <c r="D302" s="1"/>
      <c r="E302" s="59">
        <f>SUM(B302:D302)</f>
        <v>0</v>
      </c>
      <c r="F302" s="1"/>
      <c r="G302" s="1"/>
      <c r="H302" s="1"/>
      <c r="I302" s="59">
        <f>SUM(F302:H302)</f>
        <v>0</v>
      </c>
      <c r="J302" s="1"/>
      <c r="K302" s="1"/>
      <c r="L302" s="1"/>
      <c r="M302" s="59">
        <f>SUM(J302:L302)</f>
        <v>0</v>
      </c>
      <c r="N302" s="1"/>
      <c r="O302" s="1"/>
      <c r="P302" s="1"/>
      <c r="Q302" s="59">
        <f>SUM(N302:P302)</f>
        <v>0</v>
      </c>
      <c r="R302" s="59">
        <f>+E302+I302+M302+Q302</f>
        <v>0</v>
      </c>
      <c r="T302" s="4" t="s">
        <v>137</v>
      </c>
    </row>
    <row r="303" spans="1:20" ht="15.75" customHeight="1" x14ac:dyDescent="0.3">
      <c r="A303" s="99" t="s">
        <v>276</v>
      </c>
      <c r="B303" s="1"/>
      <c r="C303" s="1"/>
      <c r="D303" s="1"/>
      <c r="E303" s="59">
        <f>SUM(B303:D303)</f>
        <v>0</v>
      </c>
      <c r="F303" s="1"/>
      <c r="G303" s="1"/>
      <c r="H303" s="1"/>
      <c r="I303" s="59">
        <f>SUM(F303:H303)</f>
        <v>0</v>
      </c>
      <c r="J303" s="1"/>
      <c r="K303" s="1"/>
      <c r="L303" s="1"/>
      <c r="M303" s="59">
        <f>SUM(J303:L303)</f>
        <v>0</v>
      </c>
      <c r="N303" s="1"/>
      <c r="O303" s="1"/>
      <c r="P303" s="1"/>
      <c r="Q303" s="59">
        <f>SUM(N303:P303)</f>
        <v>0</v>
      </c>
      <c r="R303" s="59">
        <f>+E303+I303+M303+Q303</f>
        <v>0</v>
      </c>
      <c r="T303" s="4" t="s">
        <v>132</v>
      </c>
    </row>
    <row r="304" spans="1:20" ht="15.75" customHeight="1" x14ac:dyDescent="0.3">
      <c r="A304" s="99" t="s">
        <v>277</v>
      </c>
      <c r="B304" s="1"/>
      <c r="C304" s="1"/>
      <c r="D304" s="1"/>
      <c r="E304" s="59">
        <f>SUM(B304:D304)</f>
        <v>0</v>
      </c>
      <c r="F304" s="1"/>
      <c r="G304" s="1"/>
      <c r="H304" s="1"/>
      <c r="I304" s="59">
        <f>SUM(F304:H304)</f>
        <v>0</v>
      </c>
      <c r="J304" s="1"/>
      <c r="K304" s="1"/>
      <c r="L304" s="1"/>
      <c r="M304" s="59">
        <f>SUM(J304:L304)</f>
        <v>0</v>
      </c>
      <c r="N304" s="1"/>
      <c r="O304" s="1"/>
      <c r="P304" s="1"/>
      <c r="Q304" s="59">
        <f>SUM(N304:P304)</f>
        <v>0</v>
      </c>
      <c r="R304" s="59">
        <f>+E304+I304+M304+Q304</f>
        <v>0</v>
      </c>
      <c r="T304" s="4" t="s">
        <v>134</v>
      </c>
    </row>
    <row r="305" spans="1:20" ht="15.75" customHeight="1" x14ac:dyDescent="0.3">
      <c r="A305" s="17" t="s">
        <v>64</v>
      </c>
      <c r="B305" s="1"/>
      <c r="C305" s="1"/>
      <c r="D305" s="1"/>
      <c r="E305" s="59" t="s">
        <v>7</v>
      </c>
      <c r="F305" s="1"/>
      <c r="G305" s="1"/>
      <c r="H305" s="1"/>
      <c r="I305" s="59" t="s">
        <v>7</v>
      </c>
      <c r="J305" s="1"/>
      <c r="K305" s="1"/>
      <c r="L305" s="1"/>
      <c r="M305" s="59" t="s">
        <v>7</v>
      </c>
      <c r="N305" s="1"/>
      <c r="O305" s="1"/>
      <c r="P305" s="1"/>
      <c r="Q305" s="59" t="s">
        <v>7</v>
      </c>
      <c r="R305" s="59" t="s">
        <v>7</v>
      </c>
    </row>
    <row r="306" spans="1:20" ht="15.75" customHeight="1" x14ac:dyDescent="0.3">
      <c r="A306" s="99" t="s">
        <v>278</v>
      </c>
      <c r="B306" s="1"/>
      <c r="C306" s="1"/>
      <c r="D306" s="1"/>
      <c r="E306" s="59">
        <f>SUM(B306:D306)</f>
        <v>0</v>
      </c>
      <c r="F306" s="1"/>
      <c r="G306" s="1"/>
      <c r="H306" s="1"/>
      <c r="I306" s="59">
        <f>SUM(F306:H306)</f>
        <v>0</v>
      </c>
      <c r="J306" s="1"/>
      <c r="K306" s="1"/>
      <c r="L306" s="1"/>
      <c r="M306" s="59">
        <f>SUM(J306:L306)</f>
        <v>0</v>
      </c>
      <c r="N306" s="1"/>
      <c r="O306" s="1"/>
      <c r="P306" s="1"/>
      <c r="Q306" s="59">
        <f>SUM(N306:P306)</f>
        <v>0</v>
      </c>
      <c r="R306" s="59">
        <f>+E306+I306+M306+Q306</f>
        <v>0</v>
      </c>
    </row>
    <row r="307" spans="1:20" ht="15.75" customHeight="1" x14ac:dyDescent="0.3">
      <c r="A307" s="99" t="s">
        <v>279</v>
      </c>
      <c r="B307" s="1"/>
      <c r="C307" s="1"/>
      <c r="D307" s="1"/>
      <c r="E307" s="59">
        <f>SUM(B307:D307)</f>
        <v>0</v>
      </c>
      <c r="F307" s="1"/>
      <c r="G307" s="1"/>
      <c r="H307" s="1"/>
      <c r="I307" s="59">
        <f>SUM(F307:H307)</f>
        <v>0</v>
      </c>
      <c r="J307" s="1"/>
      <c r="K307" s="1"/>
      <c r="L307" s="1"/>
      <c r="M307" s="59">
        <f>SUM(J307:L307)</f>
        <v>0</v>
      </c>
      <c r="N307" s="1"/>
      <c r="O307" s="1"/>
      <c r="P307" s="1"/>
      <c r="Q307" s="59">
        <f>SUM(N307:P307)</f>
        <v>0</v>
      </c>
      <c r="R307" s="59">
        <f>+E307+I307+M307+Q307</f>
        <v>0</v>
      </c>
      <c r="T307" s="4">
        <f>24000-SUM(R157,R161,R181,R184,R198,R216,R252,R254,R276,R303,R306,R307)</f>
        <v>5441</v>
      </c>
    </row>
    <row r="308" spans="1:20" ht="15.75" customHeight="1" x14ac:dyDescent="0.3">
      <c r="A308" s="74" t="s">
        <v>280</v>
      </c>
      <c r="B308" s="1"/>
      <c r="C308" s="1"/>
      <c r="D308" s="1"/>
      <c r="E308" s="59">
        <f t="shared" ref="E308:E313" si="103">SUM(B308:D308)</f>
        <v>0</v>
      </c>
      <c r="F308" s="1"/>
      <c r="G308" s="1"/>
      <c r="H308" s="1"/>
      <c r="I308" s="59">
        <f t="shared" ref="I308:I313" si="104">SUM(F308:H308)</f>
        <v>0</v>
      </c>
      <c r="J308" s="1"/>
      <c r="K308" s="1"/>
      <c r="L308" s="1"/>
      <c r="M308" s="59">
        <f t="shared" ref="M308:M313" si="105">SUM(J308:L308)</f>
        <v>0</v>
      </c>
      <c r="N308" s="1"/>
      <c r="O308" s="1"/>
      <c r="P308" s="1"/>
      <c r="Q308" s="59">
        <f t="shared" ref="Q308:Q313" si="106">SUM(N308:P308)</f>
        <v>0</v>
      </c>
      <c r="R308" s="59">
        <f t="shared" ref="R308:R313" si="107">+E308+I308+M308+Q308</f>
        <v>0</v>
      </c>
      <c r="S308" s="4" t="s">
        <v>136</v>
      </c>
    </row>
    <row r="309" spans="1:20" ht="15.75" customHeight="1" x14ac:dyDescent="0.3">
      <c r="A309" s="74" t="s">
        <v>281</v>
      </c>
      <c r="B309" s="1"/>
      <c r="C309" s="1"/>
      <c r="D309" s="1"/>
      <c r="E309" s="59">
        <f t="shared" si="103"/>
        <v>0</v>
      </c>
      <c r="F309" s="1"/>
      <c r="G309" s="1"/>
      <c r="H309" s="1"/>
      <c r="I309" s="59">
        <f t="shared" si="104"/>
        <v>0</v>
      </c>
      <c r="J309" s="1"/>
      <c r="K309" s="1"/>
      <c r="L309" s="1"/>
      <c r="M309" s="59">
        <f t="shared" si="105"/>
        <v>0</v>
      </c>
      <c r="N309" s="1"/>
      <c r="O309" s="1"/>
      <c r="P309" s="1"/>
      <c r="Q309" s="59">
        <f t="shared" si="106"/>
        <v>0</v>
      </c>
      <c r="R309" s="59">
        <f t="shared" si="107"/>
        <v>0</v>
      </c>
    </row>
    <row r="310" spans="1:20" ht="15.75" customHeight="1" x14ac:dyDescent="0.3">
      <c r="A310" s="91" t="s">
        <v>282</v>
      </c>
      <c r="B310" s="1"/>
      <c r="C310" s="1"/>
      <c r="D310" s="1"/>
      <c r="E310" s="59">
        <f t="shared" si="103"/>
        <v>0</v>
      </c>
      <c r="F310" s="1"/>
      <c r="G310" s="1"/>
      <c r="H310" s="1"/>
      <c r="I310" s="59">
        <f t="shared" si="104"/>
        <v>0</v>
      </c>
      <c r="J310" s="1"/>
      <c r="K310" s="1"/>
      <c r="L310" s="1"/>
      <c r="M310" s="59">
        <f t="shared" si="105"/>
        <v>0</v>
      </c>
      <c r="N310" s="1"/>
      <c r="O310" s="1"/>
      <c r="P310" s="1"/>
      <c r="Q310" s="59">
        <f t="shared" si="106"/>
        <v>0</v>
      </c>
      <c r="R310" s="59">
        <f t="shared" si="107"/>
        <v>0</v>
      </c>
    </row>
    <row r="311" spans="1:20" ht="15.75" customHeight="1" x14ac:dyDescent="0.3">
      <c r="A311" s="91" t="s">
        <v>283</v>
      </c>
      <c r="B311" s="1"/>
      <c r="C311" s="1"/>
      <c r="D311" s="1"/>
      <c r="E311" s="59">
        <f t="shared" si="103"/>
        <v>0</v>
      </c>
      <c r="F311" s="1"/>
      <c r="G311" s="1"/>
      <c r="H311" s="1"/>
      <c r="I311" s="59">
        <f t="shared" si="104"/>
        <v>0</v>
      </c>
      <c r="J311" s="1"/>
      <c r="K311" s="1"/>
      <c r="L311" s="1"/>
      <c r="M311" s="59">
        <f t="shared" si="105"/>
        <v>0</v>
      </c>
      <c r="N311" s="1"/>
      <c r="O311" s="1"/>
      <c r="P311" s="1"/>
      <c r="Q311" s="59">
        <f t="shared" si="106"/>
        <v>0</v>
      </c>
      <c r="R311" s="59">
        <f t="shared" si="107"/>
        <v>0</v>
      </c>
    </row>
    <row r="312" spans="1:20" ht="15.75" customHeight="1" x14ac:dyDescent="0.3">
      <c r="A312" s="61" t="s">
        <v>284</v>
      </c>
      <c r="B312" s="1"/>
      <c r="C312" s="1"/>
      <c r="D312" s="1"/>
      <c r="E312" s="59">
        <f t="shared" si="103"/>
        <v>0</v>
      </c>
      <c r="F312" s="1"/>
      <c r="G312" s="1"/>
      <c r="H312" s="1"/>
      <c r="I312" s="59">
        <f t="shared" si="104"/>
        <v>0</v>
      </c>
      <c r="J312" s="1"/>
      <c r="K312" s="1"/>
      <c r="L312" s="1"/>
      <c r="M312" s="59">
        <f t="shared" si="105"/>
        <v>0</v>
      </c>
      <c r="N312" s="1"/>
      <c r="O312" s="1"/>
      <c r="P312" s="1"/>
      <c r="Q312" s="59">
        <f t="shared" si="106"/>
        <v>0</v>
      </c>
      <c r="R312" s="59">
        <f t="shared" si="107"/>
        <v>0</v>
      </c>
    </row>
    <row r="313" spans="1:20" ht="15.75" customHeight="1" x14ac:dyDescent="0.3">
      <c r="A313" s="61" t="s">
        <v>285</v>
      </c>
      <c r="B313" s="1"/>
      <c r="C313" s="1"/>
      <c r="D313" s="1"/>
      <c r="E313" s="59">
        <f t="shared" si="103"/>
        <v>0</v>
      </c>
      <c r="F313" s="1"/>
      <c r="G313" s="1"/>
      <c r="H313" s="1"/>
      <c r="I313" s="59">
        <f t="shared" si="104"/>
        <v>0</v>
      </c>
      <c r="J313" s="1"/>
      <c r="K313" s="1"/>
      <c r="L313" s="1"/>
      <c r="M313" s="59">
        <f t="shared" si="105"/>
        <v>0</v>
      </c>
      <c r="N313" s="1"/>
      <c r="O313" s="1"/>
      <c r="P313" s="1"/>
      <c r="Q313" s="59">
        <f t="shared" si="106"/>
        <v>0</v>
      </c>
      <c r="R313" s="59">
        <f t="shared" si="107"/>
        <v>0</v>
      </c>
    </row>
    <row r="314" spans="1:20" ht="15.75" customHeight="1" x14ac:dyDescent="0.3">
      <c r="A314" s="17" t="s">
        <v>66</v>
      </c>
      <c r="B314" s="1"/>
      <c r="C314" s="1"/>
      <c r="D314" s="1"/>
      <c r="E314" s="59" t="s">
        <v>7</v>
      </c>
      <c r="F314" s="1"/>
      <c r="G314" s="1"/>
      <c r="H314" s="1"/>
      <c r="I314" s="59" t="s">
        <v>7</v>
      </c>
      <c r="J314" s="1"/>
      <c r="K314" s="1"/>
      <c r="L314" s="1"/>
      <c r="M314" s="59" t="s">
        <v>7</v>
      </c>
      <c r="N314" s="1"/>
      <c r="O314" s="1"/>
      <c r="P314" s="1"/>
      <c r="Q314" s="59" t="s">
        <v>7</v>
      </c>
      <c r="R314" s="59" t="s">
        <v>7</v>
      </c>
    </row>
    <row r="315" spans="1:20" ht="15.75" customHeight="1" x14ac:dyDescent="0.3">
      <c r="A315" s="99" t="s">
        <v>286</v>
      </c>
      <c r="B315" s="1"/>
      <c r="C315" s="1"/>
      <c r="D315" s="1"/>
      <c r="E315" s="59">
        <f t="shared" ref="E315" si="108">SUM(B315:D315)</f>
        <v>0</v>
      </c>
      <c r="F315" s="1"/>
      <c r="G315" s="1"/>
      <c r="H315" s="1"/>
      <c r="I315" s="59">
        <f t="shared" ref="I315" si="109">SUM(F315:H315)</f>
        <v>0</v>
      </c>
      <c r="J315" s="1"/>
      <c r="K315" s="1"/>
      <c r="L315" s="1"/>
      <c r="M315" s="59">
        <f t="shared" ref="M315" si="110">SUM(J315:L315)</f>
        <v>0</v>
      </c>
      <c r="N315" s="1"/>
      <c r="O315" s="1"/>
      <c r="P315" s="1"/>
      <c r="Q315" s="59">
        <f t="shared" ref="Q315" si="111">SUM(N315:P315)</f>
        <v>0</v>
      </c>
      <c r="R315" s="59">
        <f t="shared" ref="R315" si="112">+E315+I315+M315+Q315</f>
        <v>0</v>
      </c>
    </row>
    <row r="316" spans="1:20" ht="15.75" customHeight="1" x14ac:dyDescent="0.3">
      <c r="A316" s="17" t="s">
        <v>67</v>
      </c>
      <c r="B316" s="1"/>
      <c r="C316" s="1"/>
      <c r="D316" s="1"/>
      <c r="E316" s="59" t="s">
        <v>7</v>
      </c>
      <c r="F316" s="1"/>
      <c r="G316" s="1"/>
      <c r="H316" s="1"/>
      <c r="I316" s="59" t="s">
        <v>7</v>
      </c>
      <c r="J316" s="1"/>
      <c r="K316" s="1"/>
      <c r="L316" s="1"/>
      <c r="M316" s="59" t="s">
        <v>7</v>
      </c>
      <c r="N316" s="1"/>
      <c r="O316" s="1"/>
      <c r="P316" s="1"/>
      <c r="Q316" s="59" t="s">
        <v>7</v>
      </c>
      <c r="R316" s="59" t="s">
        <v>7</v>
      </c>
    </row>
    <row r="317" spans="1:20" ht="15.75" customHeight="1" thickBot="1" x14ac:dyDescent="0.35">
      <c r="A317" s="74" t="s">
        <v>287</v>
      </c>
      <c r="B317" s="1"/>
      <c r="C317" s="1"/>
      <c r="D317" s="1"/>
      <c r="E317" s="59">
        <f t="shared" ref="E317" si="113">SUM(B317:D317)</f>
        <v>0</v>
      </c>
      <c r="F317" s="1"/>
      <c r="G317" s="1"/>
      <c r="H317" s="1"/>
      <c r="I317" s="59">
        <f t="shared" ref="I317:I326" si="114">SUM(F317:H317)</f>
        <v>0</v>
      </c>
      <c r="J317" s="1"/>
      <c r="K317" s="1"/>
      <c r="L317" s="1"/>
      <c r="M317" s="59">
        <f t="shared" ref="M317:M326" si="115">SUM(J317:L317)</f>
        <v>0</v>
      </c>
      <c r="N317" s="1"/>
      <c r="O317" s="1"/>
      <c r="P317" s="1"/>
      <c r="Q317" s="59">
        <f t="shared" ref="Q317:Q326" si="116">SUM(N317:P317)</f>
        <v>0</v>
      </c>
      <c r="R317" s="59">
        <f t="shared" ref="R317:R326" si="117">+E317+I317+M317+Q317</f>
        <v>0</v>
      </c>
      <c r="S317" s="4" t="s">
        <v>136</v>
      </c>
    </row>
    <row r="318" spans="1:20" ht="16.5" customHeight="1" thickBot="1" x14ac:dyDescent="0.35">
      <c r="A318" s="62" t="s">
        <v>68</v>
      </c>
      <c r="B318" s="63">
        <f>SUM(B314:B317)</f>
        <v>0</v>
      </c>
      <c r="C318" s="63">
        <f>SUM(C314:C317)</f>
        <v>0</v>
      </c>
      <c r="D318" s="63">
        <f>SUM(D314:D317)</f>
        <v>0</v>
      </c>
      <c r="E318" s="334">
        <f t="shared" ref="E318:E323" si="118">SUM(B318:D318)</f>
        <v>0</v>
      </c>
      <c r="F318" s="63">
        <f>SUM(F314:F317)</f>
        <v>0</v>
      </c>
      <c r="G318" s="63">
        <f>SUM(G314:G317)</f>
        <v>0</v>
      </c>
      <c r="H318" s="63">
        <f>SUM(H314:H317)</f>
        <v>0</v>
      </c>
      <c r="I318" s="334">
        <f t="shared" si="114"/>
        <v>0</v>
      </c>
      <c r="J318" s="63">
        <f>SUM(J314:J317)</f>
        <v>0</v>
      </c>
      <c r="K318" s="63">
        <f>SUM(K314:K317)</f>
        <v>0</v>
      </c>
      <c r="L318" s="63">
        <f>SUM(L314:L317)</f>
        <v>0</v>
      </c>
      <c r="M318" s="334">
        <f t="shared" si="115"/>
        <v>0</v>
      </c>
      <c r="N318" s="63">
        <f>SUM(N314:N317)</f>
        <v>0</v>
      </c>
      <c r="O318" s="63">
        <f>SUM(O314:O317)</f>
        <v>0</v>
      </c>
      <c r="P318" s="63">
        <f>SUM(P314:P317)</f>
        <v>0</v>
      </c>
      <c r="Q318" s="334">
        <f t="shared" si="116"/>
        <v>0</v>
      </c>
      <c r="R318" s="64">
        <f t="shared" si="117"/>
        <v>0</v>
      </c>
    </row>
    <row r="319" spans="1:20" ht="16.5" customHeight="1" thickBot="1" x14ac:dyDescent="0.35">
      <c r="A319" s="62" t="s">
        <v>69</v>
      </c>
      <c r="B319" s="100">
        <f>SUM(B300:B317)</f>
        <v>0</v>
      </c>
      <c r="C319" s="101">
        <f>SUM(C300:C317)</f>
        <v>0</v>
      </c>
      <c r="D319" s="101">
        <f>SUM(D300:D317)</f>
        <v>0</v>
      </c>
      <c r="E319" s="64">
        <f t="shared" si="118"/>
        <v>0</v>
      </c>
      <c r="F319" s="101">
        <f>SUM(F300:F317)</f>
        <v>0</v>
      </c>
      <c r="G319" s="101">
        <f>SUM(G300:G317)</f>
        <v>0</v>
      </c>
      <c r="H319" s="101">
        <f>SUM(H300:H317)</f>
        <v>0</v>
      </c>
      <c r="I319" s="64">
        <f t="shared" si="114"/>
        <v>0</v>
      </c>
      <c r="J319" s="101">
        <f>SUM(J300:J317)</f>
        <v>0</v>
      </c>
      <c r="K319" s="101">
        <f>SUM(K300:K317)</f>
        <v>0</v>
      </c>
      <c r="L319" s="101">
        <f>SUM(L300:L317)</f>
        <v>0</v>
      </c>
      <c r="M319" s="64">
        <f t="shared" si="115"/>
        <v>0</v>
      </c>
      <c r="N319" s="101">
        <f>SUM(N300:N317)</f>
        <v>0</v>
      </c>
      <c r="O319" s="101">
        <f>SUM(O300:O317)</f>
        <v>0</v>
      </c>
      <c r="P319" s="101">
        <f>SUM(P300:P317)</f>
        <v>0</v>
      </c>
      <c r="Q319" s="64">
        <f t="shared" si="116"/>
        <v>0</v>
      </c>
      <c r="R319" s="64">
        <f t="shared" si="117"/>
        <v>0</v>
      </c>
    </row>
    <row r="320" spans="1:20" ht="16.5" customHeight="1" thickBot="1" x14ac:dyDescent="0.35">
      <c r="A320" s="62" t="s">
        <v>70</v>
      </c>
      <c r="B320" s="107">
        <f>+B220+B227+B299+B319</f>
        <v>22797</v>
      </c>
      <c r="C320" s="63">
        <f>+C220+C227+C299+C319</f>
        <v>21761</v>
      </c>
      <c r="D320" s="63">
        <f>+D220+D227+D299+D319</f>
        <v>22633</v>
      </c>
      <c r="E320" s="88">
        <f t="shared" si="118"/>
        <v>67191</v>
      </c>
      <c r="F320" s="63">
        <f>+F220+F227+F299+F319</f>
        <v>33787</v>
      </c>
      <c r="G320" s="63">
        <f>+G220+G227+G299+G319</f>
        <v>43163</v>
      </c>
      <c r="H320" s="63">
        <f>+H220+H227+H299+H319</f>
        <v>48659</v>
      </c>
      <c r="I320" s="88">
        <f t="shared" si="114"/>
        <v>125609</v>
      </c>
      <c r="J320" s="63">
        <f>+J220+J227+J299+J319</f>
        <v>46339</v>
      </c>
      <c r="K320" s="63">
        <f>+K220+K227+K299+K319</f>
        <v>45829</v>
      </c>
      <c r="L320" s="63">
        <f>+L220+L227+L299+L319</f>
        <v>35818</v>
      </c>
      <c r="M320" s="88">
        <f t="shared" si="115"/>
        <v>127986</v>
      </c>
      <c r="N320" s="63">
        <f>+N220+N227+N299+N319</f>
        <v>30706</v>
      </c>
      <c r="O320" s="63">
        <f>+O220+O227+O299+O319</f>
        <v>23795</v>
      </c>
      <c r="P320" s="63">
        <f>+P220+P227+P299+P319</f>
        <v>19459</v>
      </c>
      <c r="Q320" s="88">
        <f t="shared" si="116"/>
        <v>73960</v>
      </c>
      <c r="R320" s="88">
        <f t="shared" si="117"/>
        <v>394746</v>
      </c>
    </row>
    <row r="321" spans="1:20" ht="15.75" customHeight="1" x14ac:dyDescent="0.3">
      <c r="A321" s="102" t="s">
        <v>288</v>
      </c>
      <c r="B321" s="1"/>
      <c r="C321" s="1">
        <v>883</v>
      </c>
      <c r="D321" s="1">
        <v>640</v>
      </c>
      <c r="E321" s="59">
        <f t="shared" si="118"/>
        <v>1523</v>
      </c>
      <c r="F321" s="1">
        <v>618</v>
      </c>
      <c r="G321" s="1">
        <v>1718</v>
      </c>
      <c r="H321" s="1">
        <v>2967</v>
      </c>
      <c r="I321" s="59">
        <f t="shared" si="114"/>
        <v>5303</v>
      </c>
      <c r="J321" s="1">
        <v>3280</v>
      </c>
      <c r="K321" s="1">
        <v>2626</v>
      </c>
      <c r="L321" s="1">
        <v>2888</v>
      </c>
      <c r="M321" s="59">
        <f t="shared" si="115"/>
        <v>8794</v>
      </c>
      <c r="N321" s="1">
        <v>6084</v>
      </c>
      <c r="O321" s="1">
        <v>4262</v>
      </c>
      <c r="P321" s="1">
        <v>1870</v>
      </c>
      <c r="Q321" s="59">
        <f t="shared" si="116"/>
        <v>12216</v>
      </c>
      <c r="R321" s="59">
        <f t="shared" si="117"/>
        <v>27836</v>
      </c>
      <c r="S321" s="50"/>
      <c r="T321" s="4" t="s">
        <v>121</v>
      </c>
    </row>
    <row r="322" spans="1:20" ht="15.75" customHeight="1" x14ac:dyDescent="0.3">
      <c r="A322" s="108" t="s">
        <v>289</v>
      </c>
      <c r="B322" s="1"/>
      <c r="C322" s="1"/>
      <c r="D322" s="1">
        <v>454</v>
      </c>
      <c r="E322" s="59">
        <f t="shared" si="118"/>
        <v>454</v>
      </c>
      <c r="F322" s="1">
        <v>2393</v>
      </c>
      <c r="G322" s="1">
        <v>12158</v>
      </c>
      <c r="H322" s="1">
        <v>-5139</v>
      </c>
      <c r="I322" s="59">
        <f t="shared" si="114"/>
        <v>9412</v>
      </c>
      <c r="J322" s="1">
        <v>-5004</v>
      </c>
      <c r="K322" s="1">
        <v>-1676</v>
      </c>
      <c r="L322" s="1"/>
      <c r="M322" s="59">
        <f t="shared" si="115"/>
        <v>-6680</v>
      </c>
      <c r="N322" s="1"/>
      <c r="O322" s="1"/>
      <c r="P322" s="1"/>
      <c r="Q322" s="59">
        <f t="shared" si="116"/>
        <v>0</v>
      </c>
      <c r="R322" s="59">
        <f t="shared" si="117"/>
        <v>3186</v>
      </c>
    </row>
    <row r="323" spans="1:20" ht="15.75" customHeight="1" x14ac:dyDescent="0.3">
      <c r="A323" s="74" t="s">
        <v>290</v>
      </c>
      <c r="B323" s="1"/>
      <c r="C323" s="1"/>
      <c r="D323" s="1"/>
      <c r="E323" s="59">
        <f t="shared" si="118"/>
        <v>0</v>
      </c>
      <c r="F323" s="1"/>
      <c r="G323" s="1"/>
      <c r="H323" s="1"/>
      <c r="I323" s="59">
        <f t="shared" si="114"/>
        <v>0</v>
      </c>
      <c r="J323" s="1"/>
      <c r="K323" s="1"/>
      <c r="L323" s="1"/>
      <c r="M323" s="59">
        <f t="shared" si="115"/>
        <v>0</v>
      </c>
      <c r="N323" s="1"/>
      <c r="O323" s="1"/>
      <c r="P323" s="1"/>
      <c r="Q323" s="59">
        <f t="shared" si="116"/>
        <v>0</v>
      </c>
      <c r="R323" s="59">
        <f t="shared" si="117"/>
        <v>0</v>
      </c>
    </row>
    <row r="324" spans="1:20" ht="15.75" customHeight="1" x14ac:dyDescent="0.3">
      <c r="A324" s="108" t="s">
        <v>291</v>
      </c>
      <c r="B324" s="1">
        <v>23</v>
      </c>
      <c r="C324" s="1">
        <v>67</v>
      </c>
      <c r="D324" s="1">
        <v>18</v>
      </c>
      <c r="E324" s="59">
        <f>SUM(B324:D324)</f>
        <v>108</v>
      </c>
      <c r="F324" s="1">
        <v>33</v>
      </c>
      <c r="G324" s="1">
        <v>45</v>
      </c>
      <c r="H324" s="1">
        <v>51</v>
      </c>
      <c r="I324" s="59">
        <f>SUM(F324:H324)</f>
        <v>129</v>
      </c>
      <c r="J324" s="1">
        <v>39</v>
      </c>
      <c r="K324" s="1">
        <v>21</v>
      </c>
      <c r="L324" s="1">
        <v>26</v>
      </c>
      <c r="M324" s="59">
        <f>SUM(J324:L324)</f>
        <v>86</v>
      </c>
      <c r="N324" s="1">
        <v>28</v>
      </c>
      <c r="O324" s="1">
        <v>41</v>
      </c>
      <c r="P324" s="1">
        <v>49</v>
      </c>
      <c r="Q324" s="59">
        <f>SUM(N324:P324)</f>
        <v>118</v>
      </c>
      <c r="R324" s="59">
        <f t="shared" si="117"/>
        <v>441</v>
      </c>
    </row>
    <row r="325" spans="1:20" ht="15.75" customHeight="1" x14ac:dyDescent="0.3">
      <c r="A325" s="91" t="s">
        <v>292</v>
      </c>
      <c r="B325" s="1">
        <v>20718</v>
      </c>
      <c r="C325" s="1">
        <v>2716</v>
      </c>
      <c r="D325" s="1">
        <v>23196</v>
      </c>
      <c r="E325" s="59">
        <f t="shared" ref="E325" si="119">SUM(B325:D325)</f>
        <v>46630</v>
      </c>
      <c r="F325" s="1">
        <v>3618</v>
      </c>
      <c r="G325" s="1"/>
      <c r="H325" s="1"/>
      <c r="I325" s="59">
        <f t="shared" ref="I325" si="120">SUM(F325:H325)</f>
        <v>3618</v>
      </c>
      <c r="J325" s="1"/>
      <c r="K325" s="1">
        <v>5</v>
      </c>
      <c r="L325" s="1">
        <v>33393</v>
      </c>
      <c r="M325" s="59">
        <f t="shared" ref="M325" si="121">SUM(J325:L325)</f>
        <v>33398</v>
      </c>
      <c r="N325" s="1">
        <v>61538</v>
      </c>
      <c r="O325" s="1">
        <v>65150</v>
      </c>
      <c r="P325" s="1">
        <v>77761</v>
      </c>
      <c r="Q325" s="59">
        <f t="shared" si="116"/>
        <v>204449</v>
      </c>
      <c r="R325" s="59">
        <f t="shared" si="117"/>
        <v>288095</v>
      </c>
    </row>
    <row r="326" spans="1:20" ht="16.5" customHeight="1" thickBot="1" x14ac:dyDescent="0.35">
      <c r="A326" s="40" t="s">
        <v>37</v>
      </c>
      <c r="B326" s="25">
        <v>104</v>
      </c>
      <c r="C326" s="25">
        <v>268</v>
      </c>
      <c r="D326" s="25">
        <v>474</v>
      </c>
      <c r="E326" s="59">
        <f>SUM(B326:D326)</f>
        <v>846</v>
      </c>
      <c r="F326" s="25">
        <v>647</v>
      </c>
      <c r="G326" s="25">
        <v>742</v>
      </c>
      <c r="H326" s="25">
        <v>781</v>
      </c>
      <c r="I326" s="59">
        <f t="shared" si="114"/>
        <v>2170</v>
      </c>
      <c r="J326" s="25">
        <v>774</v>
      </c>
      <c r="K326" s="25">
        <v>596</v>
      </c>
      <c r="L326" s="25">
        <v>546</v>
      </c>
      <c r="M326" s="59">
        <f t="shared" si="115"/>
        <v>1916</v>
      </c>
      <c r="N326" s="25">
        <v>517</v>
      </c>
      <c r="O326" s="25">
        <v>413</v>
      </c>
      <c r="P326" s="25">
        <v>302</v>
      </c>
      <c r="Q326" s="59">
        <f t="shared" si="116"/>
        <v>1232</v>
      </c>
      <c r="R326" s="59">
        <f t="shared" si="117"/>
        <v>6164</v>
      </c>
    </row>
    <row r="327" spans="1:20" ht="16.5" customHeight="1" thickBot="1" x14ac:dyDescent="0.35">
      <c r="A327" s="80"/>
      <c r="B327" s="81"/>
      <c r="C327" s="81"/>
      <c r="D327" s="81"/>
      <c r="E327" s="334"/>
      <c r="F327" s="81"/>
      <c r="G327" s="81"/>
      <c r="H327" s="81"/>
      <c r="I327" s="64"/>
      <c r="J327" s="81"/>
      <c r="K327" s="81"/>
      <c r="L327" s="81"/>
      <c r="M327" s="64"/>
      <c r="N327" s="81"/>
      <c r="O327" s="81"/>
      <c r="P327" s="81"/>
      <c r="Q327" s="64"/>
      <c r="R327" s="64" t="s">
        <v>7</v>
      </c>
    </row>
    <row r="328" spans="1:20" ht="15.75" customHeight="1" x14ac:dyDescent="0.3">
      <c r="A328" s="335" t="s">
        <v>38</v>
      </c>
      <c r="B328" s="336">
        <f>SUM(B320:B326)</f>
        <v>43642</v>
      </c>
      <c r="C328" s="336">
        <f>SUM(C320:C326)</f>
        <v>25695</v>
      </c>
      <c r="D328" s="336">
        <f>SUM(D320:D326)</f>
        <v>47415</v>
      </c>
      <c r="E328" s="334">
        <f>SUM(B328:D328)</f>
        <v>116752</v>
      </c>
      <c r="F328" s="336">
        <f>SUM(F320:F326)</f>
        <v>41096</v>
      </c>
      <c r="G328" s="336">
        <f>SUM(G320:G326)</f>
        <v>57826</v>
      </c>
      <c r="H328" s="336">
        <f>SUM(H320:H326)</f>
        <v>47319</v>
      </c>
      <c r="I328" s="334">
        <f>SUM(F328:H328)</f>
        <v>146241</v>
      </c>
      <c r="J328" s="336">
        <f>SUM(J320:J326)</f>
        <v>45428</v>
      </c>
      <c r="K328" s="336">
        <f>SUM(K320:K326)</f>
        <v>47401</v>
      </c>
      <c r="L328" s="336">
        <f>SUM(L320:L326)</f>
        <v>72671</v>
      </c>
      <c r="M328" s="334">
        <f>SUM(J328:L328)</f>
        <v>165500</v>
      </c>
      <c r="N328" s="336">
        <f>SUM(N320:N326)</f>
        <v>98873</v>
      </c>
      <c r="O328" s="336">
        <f>SUM(O320:O326)</f>
        <v>93661</v>
      </c>
      <c r="P328" s="336">
        <f>SUM(P320:P326)</f>
        <v>99441</v>
      </c>
      <c r="Q328" s="337">
        <f>SUM(N328:P328)</f>
        <v>291975</v>
      </c>
      <c r="R328" s="334">
        <f>+E328+I328+M328+Q328</f>
        <v>720468</v>
      </c>
    </row>
    <row r="329" spans="1:20" ht="15.75" customHeight="1" x14ac:dyDescent="0.3">
      <c r="A329" s="85" t="s">
        <v>39</v>
      </c>
      <c r="B329" s="1">
        <f>(B328/B10)/1.983</f>
        <v>709.93769622435855</v>
      </c>
      <c r="C329" s="1">
        <f>(C328/C10)/1.983</f>
        <v>446.81517032709058</v>
      </c>
      <c r="D329" s="1">
        <f>(D328/D10)/1.983</f>
        <v>771.31423551803221</v>
      </c>
      <c r="E329" s="59" t="s">
        <v>7</v>
      </c>
      <c r="F329" s="1">
        <f>(F328/F10)/1.983</f>
        <v>690.80517734072941</v>
      </c>
      <c r="G329" s="1">
        <f>(G328/G10)/1.983</f>
        <v>940.67314105379592</v>
      </c>
      <c r="H329" s="1">
        <f>(H328/H10)/1.983</f>
        <v>795.4109934442763</v>
      </c>
      <c r="I329" s="59" t="s">
        <v>7</v>
      </c>
      <c r="J329" s="1">
        <f>(J328/J10)/1.983</f>
        <v>738.99110178452327</v>
      </c>
      <c r="K329" s="1">
        <f>(K328/K10)/1.983</f>
        <v>771.08649325720228</v>
      </c>
      <c r="L329" s="1">
        <f>(L328/L10)/1.983</f>
        <v>1221.5666498571188</v>
      </c>
      <c r="M329" s="59" t="s">
        <v>7</v>
      </c>
      <c r="N329" s="1">
        <f>(N328/N10)/1.983</f>
        <v>1608.3971825028873</v>
      </c>
      <c r="O329" s="1">
        <f>(O328/O10)/1.983</f>
        <v>1574.3990586653217</v>
      </c>
      <c r="P329" s="1">
        <f>(P328/P10)/1.983</f>
        <v>1617.6370113708458</v>
      </c>
      <c r="Q329" s="110" t="s">
        <v>7</v>
      </c>
      <c r="R329" s="59" t="s">
        <v>7</v>
      </c>
    </row>
    <row r="330" spans="1:20" ht="15.75" customHeight="1" x14ac:dyDescent="0.3">
      <c r="A330" s="85" t="s">
        <v>293</v>
      </c>
      <c r="B330" s="1">
        <f>(+B328+B522)+B337</f>
        <v>73047</v>
      </c>
      <c r="C330" s="1">
        <f>(+C328+C522)+C337</f>
        <v>73220</v>
      </c>
      <c r="D330" s="1">
        <f>(+D328+D522)+D337</f>
        <v>93118</v>
      </c>
      <c r="E330" s="59">
        <f>SUM(B330:D330)</f>
        <v>239385</v>
      </c>
      <c r="F330" s="1">
        <f>(+F328+F522)+F337</f>
        <v>146655</v>
      </c>
      <c r="G330" s="1">
        <f>(+G328+G522)+G337</f>
        <v>171828</v>
      </c>
      <c r="H330" s="1">
        <f>(+H328+H522)+H337</f>
        <v>98377</v>
      </c>
      <c r="I330" s="59">
        <f>SUM(F330:H330)</f>
        <v>416860</v>
      </c>
      <c r="J330" s="1">
        <f>(+J328+J522)+J337</f>
        <v>62314</v>
      </c>
      <c r="K330" s="1">
        <f>(+K328+K522)+K337</f>
        <v>40585</v>
      </c>
      <c r="L330" s="1">
        <f>(+L328+L522)+L337</f>
        <v>144430</v>
      </c>
      <c r="M330" s="59">
        <f>SUM(J330:L330)</f>
        <v>247329</v>
      </c>
      <c r="N330" s="1">
        <f>(+N328+N522)+N337</f>
        <v>147583</v>
      </c>
      <c r="O330" s="1">
        <f>(+O328+O522)+O337</f>
        <v>112550</v>
      </c>
      <c r="P330" s="1">
        <f>(+P328+P522)+P337</f>
        <v>132271</v>
      </c>
      <c r="Q330" s="110">
        <f>SUM(N330:P330)</f>
        <v>392404</v>
      </c>
      <c r="R330" s="59">
        <f>+E330+I330+M330+Q330</f>
        <v>1295978</v>
      </c>
    </row>
    <row r="331" spans="1:20" ht="16.5" customHeight="1" thickBot="1" x14ac:dyDescent="0.35">
      <c r="A331" s="86" t="s">
        <v>294</v>
      </c>
      <c r="B331" s="87">
        <f>(B330/B10)/1.983</f>
        <v>1188.2777804889952</v>
      </c>
      <c r="C331" s="87">
        <f>(C330/C10)/1.983</f>
        <v>1273.2363016676231</v>
      </c>
      <c r="D331" s="87">
        <f>(D330/D10)/1.983</f>
        <v>1514.7788459974297</v>
      </c>
      <c r="E331" s="88" t="s">
        <v>7</v>
      </c>
      <c r="F331" s="87">
        <f>(F330/F10)/1.983</f>
        <v>2465.2042360060514</v>
      </c>
      <c r="G331" s="87">
        <f>(G330/G10)/1.983</f>
        <v>2795.1783709921428</v>
      </c>
      <c r="H331" s="87">
        <f>(H330/H10)/1.983</f>
        <v>1653.6728861993611</v>
      </c>
      <c r="I331" s="88" t="s">
        <v>7</v>
      </c>
      <c r="J331" s="87">
        <f>(J330/J10)/1.983</f>
        <v>1013.6808029541425</v>
      </c>
      <c r="K331" s="87">
        <f>(K330/K10)/1.983</f>
        <v>660.20854684170286</v>
      </c>
      <c r="L331" s="87">
        <f>(L330/L10)/1.983</f>
        <v>2427.8029920995123</v>
      </c>
      <c r="M331" s="88" t="s">
        <v>7</v>
      </c>
      <c r="N331" s="87">
        <f>(N330/N10)/1.983</f>
        <v>2400.7775771476909</v>
      </c>
      <c r="O331" s="87">
        <f>(O330/O10)/1.983</f>
        <v>1891.9146074970581</v>
      </c>
      <c r="P331" s="87">
        <f>(P330/P10)/1.983</f>
        <v>2151.6926130170968</v>
      </c>
      <c r="Q331" s="111" t="s">
        <v>7</v>
      </c>
      <c r="R331" s="88" t="s">
        <v>7</v>
      </c>
    </row>
    <row r="332" spans="1:20" ht="16.5" customHeight="1" thickBot="1" x14ac:dyDescent="0.35">
      <c r="A332" s="112" t="s">
        <v>295</v>
      </c>
      <c r="B332" s="113">
        <f>+(B330-(B148+B149+B150+B151+B152+B155+B157+B158+B161+B162+B163+B166+B168+B171++B177+B178+B181+B182+B184+B185+B186+B187+B188+B195+B198+B199+B200+B211+B214+B216+B217+B224+B231+B232+B234+B235+B236+B242+B249+B251+B252+B254+B255+B257+B258+B259+B264+B268+B276+B277+B280+B290+B303+B304+B306+B307+B310+B311+B315+B321+B325+B333)-B337)/(B10*1.983)</f>
        <v>699.59169066094046</v>
      </c>
      <c r="C332" s="113">
        <f>+(C330-(C148+C149+C150+C151+C152+C155+C157+C158+C161+C162+C163+C166+C168+C171++C177+C178+C181+C182+C184+C185+C186+C187+C188+C195+C198+C199+C200+C211+C214+C216+C217+C224+C231+C232+C234+C235+C236+C242+C249+C251+C252+C254+C255+C257+C258+C259+C264+C268+C276+C277+C280+C290+C303+C304+C306+C307+C310+C311+C315+C321+C325+C333)-C337)/(C10*1.983)</f>
        <v>1057.2452049315734</v>
      </c>
      <c r="D332" s="113">
        <f>+(D330-(D148+D149+D150+D151+D152+D155+D157+D158+D161+D162+D163+D166+D168+D171++D177+D178+D181+D182+D184+D185+D186+D187+D188+D195+D198+D199+D200+D211+D214+D216+D217+D224+D231+D232+D234+D235+D236+D242+D249+D251+D252+D254+D255+D257+D258+D259+D264+D268+D276+D277+D280+D290+D303+D304+D306+D307+D310+D311+D315+D321+D325+D333)-D337)/(D10*1.983)</f>
        <v>1248.271598913344</v>
      </c>
      <c r="E332" s="114"/>
      <c r="F332" s="113">
        <f>+(F330-(F148+F149+F150+F151+F152+F155+F157+F158+F161+F162+F163+F166+F168+F171++F177+F178+F181+F182+F184+F185+F186+F187+F188+F195+F198+F199+F200+F211+F214+F216+F217+F224+F231+F232+F234+F235+F236+F242+F249+F251+F252+F254+F255+F257+F258+F259+F264+F268+F276+F277+F280+F290+F303+F304+F306+F307+F310+F311+F315+F321+F325+F333)-F337)/(F10*1.983)</f>
        <v>2142.8139183055973</v>
      </c>
      <c r="G332" s="113">
        <f>+(G330-(G148+G149+G150+G151+G152+G155+G157+G158+G161+G162+G163+G166+G168+G171++G177+G178+G181+G182+G184+G185+G186+G187+G188+G195+G198+G199+G200+G211+G214+G216+G217+G224+G231+G232+G234+G235+G236+G242+G249+G251+G252+G254+G255+G257+G258+G259+G264+G268+G276+G277+G280+G290+G303+G304+G306+G307+G310+G311+G315+G321+G325+G333)-G337)/(G10*1.983)</f>
        <v>2796.5122899484322</v>
      </c>
      <c r="H332" s="113">
        <f>+(H330-(H148+H149+H150+H151+H152+H155+H157+H158+H161+H162+H163+H166+H168+H171++H177+H178+H181+H182+H184+H185+H186+H187+H188+H195+H198+H199+H200+H211+H214+H216+H217+H224+H231+H232+H234+H235+H236+H242+H249+H251+H252+H254+H255+H257+H258+H259+H264+H268+H276+H277+H280+H290+H303+H304+H306+H307+H310+H311+H315+H321+H325+H333)-H337)/(H10*1.983)</f>
        <v>2888.384602454194</v>
      </c>
      <c r="I332" s="114"/>
      <c r="J332" s="113">
        <f>+(J330-(J148+J149+J150+J151+J152+J155+J157+J158+J161+J162+J163+J166+J168+J171++J177+J178+J181+J182+J184+J185+J186+J187+J188+J195+J198+J199+J200+J211+J214+J216+J217+J224+J231+J232+J234+J235+J236+J242+J249+J251+J252+J254+J255+J257+J258+J259+J264+J268+J276+J277+J280+J290+J303+J304+J306+J307+J310+J311+J315+J321+J325+J333)-J337)/(J10*1.983)</f>
        <v>2579.2299058123076</v>
      </c>
      <c r="K332" s="113">
        <f>+(K330-(K148+K149+K150+K151+K152+K155+K157+K158+K161+K162+K163+K166+K168+K171++K177+K178+K181+K182+K184+K185+K186+K187+K188+K195+K198+K199+K200+K211+K214+K216+K217+K224+K231+K232+K234+K235+K236+K242+K249+K251+K252+K254+K255+K257+K258+K259+K264+K268+K276+K277+K280+K290+K303+K304+K306+K307+K310+K311+K315+K321+K325+K333)-K337)/(K10*1.983)</f>
        <v>2359.3122183722935</v>
      </c>
      <c r="L332" s="113">
        <f>+(L330-(L148+L149+L150+L151+L152+L155+L157+L158+L161+L162+L163+L166+L168+L171++L177+L178+L181+L182+L184+L185+L186+L187+L188+L195+L198+L199+L200+L211+L214+L216+L217+L224+L231+L232+L234+L235+L236+L242+L249+L251+L252+L254+L255+L257+L258+L259+L264+L268+L276+L277+L280+L290+L303+L304+L306+L307+L310+L311+L315+L321+L325+L333)-L337)/(L10*1.983)</f>
        <v>1679.4755421079171</v>
      </c>
      <c r="M332" s="114"/>
      <c r="N332" s="113">
        <f>+(N330-(N148+N149+N150+N151+N152+N155+N157+N158+N161+N162+N163+N166+N168+N171++N177+N178+N181+N182+N184+N185+N186+N187+N188+N195+N198+N199+N200+N211+N214+N216+N217+N224+N231+N232+N234+N235+N236+N242+N249+N251+N252+N254+N255+N257+N258+N259+N264+N268+N276+N277+N280+N290+N303+N304+N306+N307+N310+N311+N315+N321+N325+N333)-N337)/(N10*1.983)</f>
        <v>1179.4934361426967</v>
      </c>
      <c r="O332" s="113">
        <f>+(O330-(O148+O149+O150+O151+O152+O155+O157+O158+O161+O162+O163+O166+O168+O171++O177+O178+O181+O182+O184+O185+O186+O187+O188+O195+O198+O199+O200+O211+O214+O216+O217+O224+O231+O232+O234+O235+O236+O242+O249+O251+O252+O254+O255+O257+O258+O259+O264+O268+O276+O277+O280+O290+O303+O304+O306+O307+O310+O311+O315+O321+O325+O333)-O337)/(O10*1.983)</f>
        <v>718.25516893595557</v>
      </c>
      <c r="P332" s="113">
        <f>+(P330-(P148+P149+P150+P151+P152+P155+P157+P158+P161+P162+P163+P166+P168+P171++P177+P178+P181+P182+P184+P185+P186+P187+P188+P195+P198+P199+P200+P211+P214+P216+P217+P224+P231+P232+P234+P235+P236+P242+P249+P251+P252+P254+P255+P257+P258+P259+P264+P268+P276+P277+P280+P290+P303+P304+P306+P307+P310+P311+P315+P321+P325+P333)-P337)/(P10*1.983)</f>
        <v>786.45909586322443</v>
      </c>
      <c r="Q332" s="115"/>
      <c r="R332" s="114"/>
    </row>
    <row r="333" spans="1:20" ht="15.75" customHeight="1" x14ac:dyDescent="0.3">
      <c r="A333" s="116" t="s">
        <v>296</v>
      </c>
      <c r="B333" s="1">
        <v>2541</v>
      </c>
      <c r="C333" s="1">
        <v>2373</v>
      </c>
      <c r="D333" s="1">
        <v>2499</v>
      </c>
      <c r="E333" s="28">
        <f>SUM(B333:D333)</f>
        <v>7413</v>
      </c>
      <c r="F333" s="1">
        <v>2416</v>
      </c>
      <c r="G333" s="1">
        <v>2503</v>
      </c>
      <c r="H333" s="1">
        <v>2625</v>
      </c>
      <c r="I333" s="28">
        <f>SUM(F333:H333)</f>
        <v>7544</v>
      </c>
      <c r="J333" s="1">
        <v>2511</v>
      </c>
      <c r="K333" s="1">
        <v>2533</v>
      </c>
      <c r="L333" s="1">
        <v>2461</v>
      </c>
      <c r="M333" s="28">
        <f t="shared" ref="M333" si="122">SUM(J333:L333)</f>
        <v>7505</v>
      </c>
      <c r="N333" s="1">
        <v>2532</v>
      </c>
      <c r="O333" s="1">
        <v>2469</v>
      </c>
      <c r="P333" s="1">
        <v>2516</v>
      </c>
      <c r="Q333" s="28">
        <f t="shared" ref="Q333" si="123">SUM(N333:P333)</f>
        <v>7517</v>
      </c>
      <c r="R333" s="28">
        <f t="shared" ref="R333" si="124">+E333+I333+M333+Q333</f>
        <v>29979</v>
      </c>
    </row>
    <row r="334" spans="1:20" ht="15.75" customHeight="1" thickBot="1" x14ac:dyDescent="0.35">
      <c r="A334" s="30"/>
      <c r="B334" s="1"/>
      <c r="C334" s="1"/>
      <c r="D334" s="1"/>
      <c r="E334" s="1"/>
      <c r="F334" s="1"/>
      <c r="G334" s="1"/>
      <c r="H334" s="1"/>
      <c r="I334" s="1"/>
      <c r="J334" s="1"/>
      <c r="K334" s="1"/>
      <c r="L334" s="1"/>
      <c r="M334" s="1"/>
      <c r="N334" s="1"/>
      <c r="O334" s="1"/>
      <c r="P334" s="1"/>
      <c r="Q334" s="1"/>
      <c r="R334" s="28"/>
    </row>
    <row r="335" spans="1:20" ht="16.5" customHeight="1" thickBot="1" x14ac:dyDescent="0.35">
      <c r="A335" s="31" t="s">
        <v>297</v>
      </c>
      <c r="B335" s="323" t="s">
        <v>36</v>
      </c>
      <c r="C335" s="324" t="s">
        <v>9</v>
      </c>
      <c r="D335" s="324" t="s">
        <v>10</v>
      </c>
      <c r="E335" s="325" t="s">
        <v>11</v>
      </c>
      <c r="F335" s="324" t="s">
        <v>12</v>
      </c>
      <c r="G335" s="324" t="s">
        <v>13</v>
      </c>
      <c r="H335" s="324" t="s">
        <v>14</v>
      </c>
      <c r="I335" s="34" t="s">
        <v>15</v>
      </c>
      <c r="J335" s="324" t="s">
        <v>16</v>
      </c>
      <c r="K335" s="324" t="s">
        <v>17</v>
      </c>
      <c r="L335" s="324" t="s">
        <v>18</v>
      </c>
      <c r="M335" s="34" t="s">
        <v>19</v>
      </c>
      <c r="N335" s="324" t="s">
        <v>20</v>
      </c>
      <c r="O335" s="324" t="s">
        <v>21</v>
      </c>
      <c r="P335" s="324" t="s">
        <v>22</v>
      </c>
      <c r="Q335" s="34" t="s">
        <v>23</v>
      </c>
      <c r="R335" s="326" t="s">
        <v>24</v>
      </c>
    </row>
    <row r="336" spans="1:20" ht="16.5" customHeight="1" thickBot="1" x14ac:dyDescent="0.35">
      <c r="A336" s="80"/>
      <c r="B336" s="81"/>
      <c r="C336" s="81"/>
      <c r="D336" s="81"/>
      <c r="E336" s="89"/>
      <c r="F336" s="81"/>
      <c r="G336" s="81"/>
      <c r="H336" s="81"/>
      <c r="I336" s="89"/>
      <c r="J336" s="81"/>
      <c r="K336" s="81"/>
      <c r="L336" s="81"/>
      <c r="M336" s="89"/>
      <c r="N336" s="81"/>
      <c r="O336" s="81"/>
      <c r="P336" s="81"/>
      <c r="Q336" s="89"/>
      <c r="R336" s="117"/>
    </row>
    <row r="337" spans="1:20" ht="15.75" customHeight="1" thickBot="1" x14ac:dyDescent="0.35">
      <c r="A337" s="74" t="s">
        <v>298</v>
      </c>
      <c r="B337" s="1"/>
      <c r="C337" s="1"/>
      <c r="D337" s="1">
        <v>-19258</v>
      </c>
      <c r="E337" s="59">
        <f>SUM(B337:D337)</f>
        <v>-19258</v>
      </c>
      <c r="F337" s="1"/>
      <c r="G337" s="1">
        <v>-12620</v>
      </c>
      <c r="H337" s="1">
        <v>-87156</v>
      </c>
      <c r="I337" s="59">
        <f>SUM(F337:H337)</f>
        <v>-99776</v>
      </c>
      <c r="J337" s="1">
        <v>-112890</v>
      </c>
      <c r="K337" s="1">
        <v>-121200</v>
      </c>
      <c r="L337" s="1">
        <v>-3227</v>
      </c>
      <c r="M337" s="59">
        <f>SUM(J337:L337)</f>
        <v>-237317</v>
      </c>
      <c r="N337" s="1">
        <v>-23</v>
      </c>
      <c r="O337" s="1">
        <v>-5290</v>
      </c>
      <c r="P337" s="1"/>
      <c r="Q337" s="59">
        <f>SUM(N337:P337)</f>
        <v>-5313</v>
      </c>
      <c r="R337" s="59">
        <f>+E337+I337+M337+Q337</f>
        <v>-361664</v>
      </c>
    </row>
    <row r="338" spans="1:20" ht="16.5" customHeight="1" thickBot="1" x14ac:dyDescent="0.35">
      <c r="A338" s="338"/>
      <c r="B338" s="339"/>
      <c r="C338" s="339"/>
      <c r="D338" s="339"/>
      <c r="E338" s="340"/>
      <c r="F338" s="339"/>
      <c r="G338" s="339"/>
      <c r="H338" s="339"/>
      <c r="I338" s="340"/>
      <c r="J338" s="339"/>
      <c r="K338" s="339"/>
      <c r="L338" s="339"/>
      <c r="M338" s="340"/>
      <c r="N338" s="339"/>
      <c r="O338" s="339"/>
      <c r="P338" s="339"/>
      <c r="Q338" s="340"/>
      <c r="R338" s="341"/>
    </row>
    <row r="339" spans="1:20" ht="15.75" customHeight="1" x14ac:dyDescent="0.3">
      <c r="A339" s="17" t="s">
        <v>32</v>
      </c>
      <c r="B339" s="1">
        <f>B337</f>
        <v>0</v>
      </c>
      <c r="C339" s="1">
        <f>C337</f>
        <v>0</v>
      </c>
      <c r="D339" s="1">
        <f>D337</f>
        <v>-19258</v>
      </c>
      <c r="E339" s="59">
        <f>SUM(B339:D339)</f>
        <v>-19258</v>
      </c>
      <c r="F339" s="1">
        <f>F337</f>
        <v>0</v>
      </c>
      <c r="G339" s="1">
        <f>G337</f>
        <v>-12620</v>
      </c>
      <c r="H339" s="1">
        <f>H337</f>
        <v>-87156</v>
      </c>
      <c r="I339" s="59">
        <f>SUM(F339:H339)</f>
        <v>-99776</v>
      </c>
      <c r="J339" s="1">
        <f>J337</f>
        <v>-112890</v>
      </c>
      <c r="K339" s="1">
        <f>K337</f>
        <v>-121200</v>
      </c>
      <c r="L339" s="1">
        <f>L337</f>
        <v>-3227</v>
      </c>
      <c r="M339" s="59">
        <f>SUM(J339:L339)</f>
        <v>-237317</v>
      </c>
      <c r="N339" s="1">
        <f>N337</f>
        <v>-23</v>
      </c>
      <c r="O339" s="1">
        <f>O337</f>
        <v>-5290</v>
      </c>
      <c r="P339" s="1">
        <f>P337</f>
        <v>0</v>
      </c>
      <c r="Q339" s="59">
        <f>SUM(N339:P339)</f>
        <v>-5313</v>
      </c>
      <c r="R339" s="122">
        <f>R337</f>
        <v>-361664</v>
      </c>
    </row>
    <row r="340" spans="1:20" ht="16.5" customHeight="1" thickBot="1" x14ac:dyDescent="0.35">
      <c r="A340" s="24" t="s">
        <v>39</v>
      </c>
      <c r="B340" s="25">
        <f>(B339/B10)/1.983</f>
        <v>0</v>
      </c>
      <c r="C340" s="25">
        <f>(C339/C10)/1.983</f>
        <v>0</v>
      </c>
      <c r="D340" s="25">
        <f>(D339/D10)/1.983</f>
        <v>-313.27574707595204</v>
      </c>
      <c r="E340" s="88"/>
      <c r="F340" s="25">
        <f>(F339/F10)/1.983</f>
        <v>0</v>
      </c>
      <c r="G340" s="25">
        <f>(G339/G10)/1.983</f>
        <v>-205.29338083386202</v>
      </c>
      <c r="H340" s="25">
        <f>(H339/H10)/1.983</f>
        <v>-1465.0529500756429</v>
      </c>
      <c r="I340" s="88"/>
      <c r="J340" s="25">
        <f>(J339/J10)/1.983</f>
        <v>-1836.4159875067101</v>
      </c>
      <c r="K340" s="25">
        <f>(K339/K10)/1.983</f>
        <v>-1971.5972866136351</v>
      </c>
      <c r="L340" s="25">
        <f>(L339/L10)/1.983</f>
        <v>-54.244410825348794</v>
      </c>
      <c r="M340" s="88"/>
      <c r="N340" s="25">
        <f>(N339/N10)/1.983</f>
        <v>-0.37414799993493075</v>
      </c>
      <c r="O340" s="25">
        <f>(O339/O10)/1.983</f>
        <v>-88.922507984535216</v>
      </c>
      <c r="P340" s="25">
        <f>(P339/P10)/1.983</f>
        <v>0</v>
      </c>
      <c r="Q340" s="88"/>
      <c r="R340" s="117" t="s">
        <v>7</v>
      </c>
    </row>
    <row r="341" spans="1:20" ht="15.75" customHeight="1" x14ac:dyDescent="0.3">
      <c r="A341" s="28"/>
      <c r="B341" s="1"/>
      <c r="C341" s="1"/>
      <c r="D341" s="1"/>
      <c r="E341" s="1"/>
      <c r="F341" s="1"/>
      <c r="G341" s="1"/>
      <c r="H341" s="1"/>
      <c r="I341" s="1"/>
      <c r="J341" s="1"/>
      <c r="K341" s="1"/>
      <c r="L341" s="1"/>
      <c r="M341" s="1"/>
      <c r="N341" s="1"/>
      <c r="O341" s="1"/>
      <c r="P341" s="1"/>
      <c r="Q341" s="1"/>
      <c r="R341" s="28"/>
    </row>
    <row r="342" spans="1:20" ht="16.5" customHeight="1" thickBot="1" x14ac:dyDescent="0.35">
      <c r="A342" s="123"/>
      <c r="B342" s="25"/>
      <c r="C342" s="25"/>
      <c r="D342" s="25"/>
      <c r="E342" s="25"/>
      <c r="F342" s="25"/>
      <c r="G342" s="25"/>
      <c r="H342" s="25"/>
      <c r="I342" s="25"/>
      <c r="J342" s="25"/>
      <c r="K342" s="25"/>
      <c r="L342" s="25"/>
      <c r="M342" s="25"/>
      <c r="N342" s="25"/>
      <c r="O342" s="25"/>
      <c r="P342" s="25"/>
      <c r="Q342" s="25"/>
      <c r="R342" s="123"/>
    </row>
    <row r="343" spans="1:20" ht="16.5" customHeight="1" thickBot="1" x14ac:dyDescent="0.35">
      <c r="A343" s="342" t="s">
        <v>299</v>
      </c>
      <c r="B343" s="323" t="s">
        <v>36</v>
      </c>
      <c r="C343" s="324" t="s">
        <v>9</v>
      </c>
      <c r="D343" s="324" t="s">
        <v>10</v>
      </c>
      <c r="E343" s="325" t="s">
        <v>11</v>
      </c>
      <c r="F343" s="324" t="s">
        <v>12</v>
      </c>
      <c r="G343" s="324" t="s">
        <v>13</v>
      </c>
      <c r="H343" s="324" t="s">
        <v>14</v>
      </c>
      <c r="I343" s="34" t="s">
        <v>15</v>
      </c>
      <c r="J343" s="324" t="s">
        <v>16</v>
      </c>
      <c r="K343" s="324" t="s">
        <v>17</v>
      </c>
      <c r="L343" s="324" t="s">
        <v>18</v>
      </c>
      <c r="M343" s="34" t="s">
        <v>19</v>
      </c>
      <c r="N343" s="324" t="s">
        <v>20</v>
      </c>
      <c r="O343" s="324" t="s">
        <v>21</v>
      </c>
      <c r="P343" s="324" t="s">
        <v>22</v>
      </c>
      <c r="Q343" s="34" t="s">
        <v>23</v>
      </c>
      <c r="R343" s="326" t="s">
        <v>24</v>
      </c>
    </row>
    <row r="344" spans="1:20" ht="16.5" customHeight="1" thickBot="1" x14ac:dyDescent="0.35">
      <c r="A344" s="64"/>
      <c r="B344" s="81"/>
      <c r="C344" s="81"/>
      <c r="D344" s="81"/>
      <c r="E344" s="72"/>
      <c r="F344" s="81"/>
      <c r="G344" s="81"/>
      <c r="H344" s="81"/>
      <c r="I344" s="89"/>
      <c r="J344" s="81"/>
      <c r="K344" s="81"/>
      <c r="L344" s="81"/>
      <c r="M344" s="89"/>
      <c r="N344" s="81"/>
      <c r="O344" s="81"/>
      <c r="P344" s="81"/>
      <c r="Q344" s="89"/>
      <c r="R344" s="122"/>
    </row>
    <row r="345" spans="1:20" ht="15.75" customHeight="1" x14ac:dyDescent="0.3">
      <c r="A345" s="17" t="s">
        <v>45</v>
      </c>
      <c r="B345" s="1"/>
      <c r="C345" s="1"/>
      <c r="D345" s="1"/>
      <c r="E345" s="59" t="s">
        <v>7</v>
      </c>
      <c r="F345" s="1" t="s">
        <v>7</v>
      </c>
      <c r="G345" s="1" t="s">
        <v>7</v>
      </c>
      <c r="H345" s="1" t="s">
        <v>7</v>
      </c>
      <c r="I345" s="59" t="s">
        <v>7</v>
      </c>
      <c r="J345" s="1" t="s">
        <v>7</v>
      </c>
      <c r="K345" s="1" t="s">
        <v>7</v>
      </c>
      <c r="L345" s="1" t="s">
        <v>7</v>
      </c>
      <c r="M345" s="59" t="s">
        <v>7</v>
      </c>
      <c r="N345" s="1" t="s">
        <v>7</v>
      </c>
      <c r="O345" s="1" t="s">
        <v>7</v>
      </c>
      <c r="P345" s="1" t="s">
        <v>7</v>
      </c>
      <c r="Q345" s="59" t="s">
        <v>7</v>
      </c>
      <c r="R345" s="334" t="s">
        <v>7</v>
      </c>
    </row>
    <row r="346" spans="1:20" ht="15.75" customHeight="1" x14ac:dyDescent="0.3">
      <c r="A346" s="17" t="s">
        <v>46</v>
      </c>
      <c r="B346" s="1"/>
      <c r="C346" s="1"/>
      <c r="D346" s="1"/>
      <c r="E346" s="59" t="s">
        <v>7</v>
      </c>
      <c r="F346" s="1"/>
      <c r="G346" s="1"/>
      <c r="H346" s="1"/>
      <c r="I346" s="59" t="s">
        <v>7</v>
      </c>
      <c r="J346" s="1"/>
      <c r="K346" s="1"/>
      <c r="L346" s="1"/>
      <c r="M346" s="59" t="s">
        <v>7</v>
      </c>
      <c r="N346" s="1"/>
      <c r="O346" s="1"/>
      <c r="P346" s="1"/>
      <c r="Q346" s="59" t="s">
        <v>7</v>
      </c>
      <c r="R346" s="59" t="s">
        <v>7</v>
      </c>
    </row>
    <row r="347" spans="1:20" ht="15.75" customHeight="1" x14ac:dyDescent="0.3">
      <c r="A347" s="76" t="s">
        <v>300</v>
      </c>
      <c r="B347" s="1"/>
      <c r="C347" s="1"/>
      <c r="D347" s="1"/>
      <c r="E347" s="59">
        <f t="shared" ref="E347:E377" si="125">SUM(B347:D347)</f>
        <v>0</v>
      </c>
      <c r="F347" s="1"/>
      <c r="G347" s="1"/>
      <c r="H347" s="1"/>
      <c r="I347" s="59">
        <f t="shared" ref="I347:I377" si="126">SUM(F347:H347)</f>
        <v>0</v>
      </c>
      <c r="J347" s="1">
        <f>82</f>
        <v>82</v>
      </c>
      <c r="K347" s="1">
        <v>130</v>
      </c>
      <c r="L347" s="1">
        <v>820</v>
      </c>
      <c r="M347" s="59">
        <f t="shared" ref="M347:M377" si="127">SUM(J347:L347)</f>
        <v>1032</v>
      </c>
      <c r="N347" s="1">
        <v>129</v>
      </c>
      <c r="O347" s="1">
        <v>117</v>
      </c>
      <c r="P347" s="1">
        <v>124</v>
      </c>
      <c r="Q347" s="59">
        <f t="shared" ref="Q347:Q380" si="128">SUM(N347:P347)</f>
        <v>370</v>
      </c>
      <c r="R347" s="59">
        <f t="shared" ref="R347:R380" si="129">+E347+I347+M347+Q347</f>
        <v>1402</v>
      </c>
      <c r="T347" s="4" t="s">
        <v>301</v>
      </c>
    </row>
    <row r="348" spans="1:20" ht="15.75" customHeight="1" x14ac:dyDescent="0.3">
      <c r="A348" s="76" t="s">
        <v>302</v>
      </c>
      <c r="B348" s="1"/>
      <c r="C348" s="1"/>
      <c r="D348" s="1"/>
      <c r="E348" s="59">
        <f t="shared" si="125"/>
        <v>0</v>
      </c>
      <c r="F348" s="1"/>
      <c r="G348" s="1"/>
      <c r="H348" s="1"/>
      <c r="I348" s="59">
        <f t="shared" si="126"/>
        <v>0</v>
      </c>
      <c r="J348" s="1"/>
      <c r="K348" s="1"/>
      <c r="L348" s="1"/>
      <c r="M348" s="59">
        <f t="shared" si="127"/>
        <v>0</v>
      </c>
      <c r="N348" s="1"/>
      <c r="O348" s="1"/>
      <c r="P348" s="1"/>
      <c r="Q348" s="59">
        <f t="shared" si="128"/>
        <v>0</v>
      </c>
      <c r="R348" s="59">
        <f t="shared" si="129"/>
        <v>0</v>
      </c>
    </row>
    <row r="349" spans="1:20" ht="15.75" customHeight="1" x14ac:dyDescent="0.3">
      <c r="A349" s="76" t="s">
        <v>304</v>
      </c>
      <c r="B349" s="1">
        <v>54</v>
      </c>
      <c r="C349" s="1">
        <v>52</v>
      </c>
      <c r="D349" s="1">
        <v>78</v>
      </c>
      <c r="E349" s="59">
        <f t="shared" si="125"/>
        <v>184</v>
      </c>
      <c r="F349" s="1">
        <v>172</v>
      </c>
      <c r="G349" s="1">
        <v>201</v>
      </c>
      <c r="H349" s="1">
        <v>329</v>
      </c>
      <c r="I349" s="59">
        <f t="shared" si="126"/>
        <v>702</v>
      </c>
      <c r="J349" s="1">
        <v>288</v>
      </c>
      <c r="K349" s="1">
        <v>546</v>
      </c>
      <c r="L349" s="1">
        <v>289</v>
      </c>
      <c r="M349" s="59">
        <f t="shared" si="127"/>
        <v>1123</v>
      </c>
      <c r="N349" s="1">
        <v>205</v>
      </c>
      <c r="O349" s="1">
        <v>95</v>
      </c>
      <c r="P349" s="1">
        <v>69</v>
      </c>
      <c r="Q349" s="59">
        <f t="shared" si="128"/>
        <v>369</v>
      </c>
      <c r="R349" s="59">
        <f t="shared" si="129"/>
        <v>2378</v>
      </c>
      <c r="T349" s="4" t="s">
        <v>305</v>
      </c>
    </row>
    <row r="350" spans="1:20" ht="15.75" customHeight="1" x14ac:dyDescent="0.3">
      <c r="A350" s="76" t="s">
        <v>306</v>
      </c>
      <c r="B350" s="1"/>
      <c r="C350" s="1"/>
      <c r="D350" s="1"/>
      <c r="E350" s="59">
        <f>SUM(B350:D350)</f>
        <v>0</v>
      </c>
      <c r="F350" s="1">
        <v>16</v>
      </c>
      <c r="G350" s="1">
        <v>30</v>
      </c>
      <c r="H350" s="1">
        <v>50</v>
      </c>
      <c r="I350" s="59">
        <f t="shared" ref="I350" si="130">SUM(F350:H350)</f>
        <v>96</v>
      </c>
      <c r="J350" s="1">
        <v>130</v>
      </c>
      <c r="K350" s="1">
        <v>24</v>
      </c>
      <c r="L350" s="1"/>
      <c r="M350" s="59">
        <f t="shared" ref="M350" si="131">SUM(J350:L350)</f>
        <v>154</v>
      </c>
      <c r="N350" s="1"/>
      <c r="O350" s="1"/>
      <c r="P350" s="1">
        <v>1</v>
      </c>
      <c r="Q350" s="59">
        <f t="shared" ref="Q350" si="132">SUM(N350:P350)</f>
        <v>1</v>
      </c>
      <c r="R350" s="59">
        <f t="shared" si="129"/>
        <v>251</v>
      </c>
      <c r="T350" s="4" t="s">
        <v>307</v>
      </c>
    </row>
    <row r="351" spans="1:20" ht="15.75" customHeight="1" x14ac:dyDescent="0.3">
      <c r="A351" s="76" t="s">
        <v>308</v>
      </c>
      <c r="B351" s="1"/>
      <c r="C351" s="1"/>
      <c r="D351" s="1"/>
      <c r="E351" s="59">
        <f t="shared" si="125"/>
        <v>0</v>
      </c>
      <c r="F351" s="1"/>
      <c r="G351" s="1"/>
      <c r="H351" s="1"/>
      <c r="I351" s="59">
        <f t="shared" si="126"/>
        <v>0</v>
      </c>
      <c r="J351" s="1">
        <v>778</v>
      </c>
      <c r="K351" s="1"/>
      <c r="L351" s="1"/>
      <c r="M351" s="59">
        <f t="shared" si="127"/>
        <v>778</v>
      </c>
      <c r="N351" s="1"/>
      <c r="O351" s="1"/>
      <c r="P351" s="1"/>
      <c r="Q351" s="59">
        <f t="shared" si="128"/>
        <v>0</v>
      </c>
      <c r="R351" s="59">
        <f t="shared" si="129"/>
        <v>778</v>
      </c>
      <c r="T351" s="4" t="s">
        <v>307</v>
      </c>
    </row>
    <row r="352" spans="1:20" ht="15.75" customHeight="1" x14ac:dyDescent="0.3">
      <c r="A352" s="76" t="s">
        <v>309</v>
      </c>
      <c r="C352" s="1"/>
      <c r="D352" s="1"/>
      <c r="E352" s="59">
        <f>SUM(B352:D352)</f>
        <v>0</v>
      </c>
      <c r="F352" s="1"/>
      <c r="G352" s="1"/>
      <c r="H352" s="1">
        <v>2528</v>
      </c>
      <c r="I352" s="59">
        <f>SUM(F352:H352)</f>
        <v>2528</v>
      </c>
      <c r="J352" s="1"/>
      <c r="K352" s="1"/>
      <c r="L352" s="1"/>
      <c r="M352" s="59">
        <f t="shared" ref="M352:M359" si="133">SUM(J352:L352)</f>
        <v>0</v>
      </c>
      <c r="N352" s="1"/>
      <c r="O352" s="1"/>
      <c r="P352" s="1"/>
      <c r="Q352" s="59">
        <f t="shared" ref="Q352:Q357" si="134">SUM(N352:P352)</f>
        <v>0</v>
      </c>
      <c r="R352" s="59">
        <f t="shared" si="129"/>
        <v>2528</v>
      </c>
      <c r="T352" s="4" t="s">
        <v>305</v>
      </c>
    </row>
    <row r="353" spans="1:20" ht="15.75" customHeight="1" x14ac:dyDescent="0.3">
      <c r="A353" s="76" t="s">
        <v>996</v>
      </c>
      <c r="C353" s="1"/>
      <c r="D353" s="1"/>
      <c r="E353" s="59">
        <f>SUM(B353:D353)</f>
        <v>0</v>
      </c>
      <c r="F353" s="1"/>
      <c r="G353" s="1"/>
      <c r="H353" s="1"/>
      <c r="I353" s="59">
        <f>SUM(F353:H353)</f>
        <v>0</v>
      </c>
      <c r="J353" s="1"/>
      <c r="K353" s="1"/>
      <c r="L353" s="1">
        <v>274</v>
      </c>
      <c r="M353" s="59">
        <f t="shared" si="133"/>
        <v>274</v>
      </c>
      <c r="N353" s="1"/>
      <c r="O353" s="1"/>
      <c r="P353" s="1"/>
      <c r="Q353" s="59">
        <f t="shared" si="134"/>
        <v>0</v>
      </c>
      <c r="R353" s="59">
        <f t="shared" si="129"/>
        <v>274</v>
      </c>
      <c r="T353" s="4" t="s">
        <v>305</v>
      </c>
    </row>
    <row r="354" spans="1:20" ht="15.75" customHeight="1" x14ac:dyDescent="0.3">
      <c r="A354" s="76" t="s">
        <v>310</v>
      </c>
      <c r="B354" s="1"/>
      <c r="C354" s="1"/>
      <c r="D354" s="1"/>
      <c r="E354" s="59">
        <f t="shared" ref="E354:E359" si="135">SUM(B354:D354)</f>
        <v>0</v>
      </c>
      <c r="F354" s="1"/>
      <c r="G354" s="1"/>
      <c r="H354" s="1"/>
      <c r="I354" s="59">
        <f t="shared" ref="I354:I359" si="136">SUM(F354:H354)</f>
        <v>0</v>
      </c>
      <c r="J354" s="1">
        <f>469+1281</f>
        <v>1750</v>
      </c>
      <c r="K354" s="1"/>
      <c r="L354" s="1"/>
      <c r="M354" s="59">
        <f t="shared" si="133"/>
        <v>1750</v>
      </c>
      <c r="N354" s="1"/>
      <c r="O354" s="1"/>
      <c r="P354" s="1"/>
      <c r="Q354" s="59">
        <f t="shared" si="134"/>
        <v>0</v>
      </c>
      <c r="R354" s="59">
        <f t="shared" si="129"/>
        <v>1750</v>
      </c>
      <c r="T354" s="4" t="s">
        <v>307</v>
      </c>
    </row>
    <row r="355" spans="1:20" ht="15.75" customHeight="1" x14ac:dyDescent="0.3">
      <c r="A355" s="76" t="s">
        <v>311</v>
      </c>
      <c r="B355" s="1"/>
      <c r="C355" s="1"/>
      <c r="D355" s="1"/>
      <c r="E355" s="59">
        <f t="shared" si="135"/>
        <v>0</v>
      </c>
      <c r="F355" s="1"/>
      <c r="G355" s="1"/>
      <c r="H355" s="1"/>
      <c r="I355" s="59">
        <f t="shared" si="136"/>
        <v>0</v>
      </c>
      <c r="J355" s="1"/>
      <c r="K355" s="1">
        <v>48</v>
      </c>
      <c r="L355" s="1">
        <v>26</v>
      </c>
      <c r="M355" s="59">
        <f t="shared" si="133"/>
        <v>74</v>
      </c>
      <c r="N355" s="1">
        <v>118</v>
      </c>
      <c r="O355" s="1">
        <v>47</v>
      </c>
      <c r="P355" s="1">
        <v>11</v>
      </c>
      <c r="Q355" s="59">
        <f t="shared" si="134"/>
        <v>176</v>
      </c>
      <c r="R355" s="59">
        <f t="shared" si="129"/>
        <v>250</v>
      </c>
    </row>
    <row r="356" spans="1:20" ht="15.75" customHeight="1" x14ac:dyDescent="0.3">
      <c r="A356" s="76" t="s">
        <v>312</v>
      </c>
      <c r="B356" s="1">
        <f>27+58</f>
        <v>85</v>
      </c>
      <c r="C356" s="1">
        <f>22+85</f>
        <v>107</v>
      </c>
      <c r="D356" s="1">
        <f>7+83</f>
        <v>90</v>
      </c>
      <c r="E356" s="59">
        <f t="shared" si="135"/>
        <v>282</v>
      </c>
      <c r="F356" s="1">
        <f>37+223</f>
        <v>260</v>
      </c>
      <c r="G356" s="1">
        <f>61+289</f>
        <v>350</v>
      </c>
      <c r="H356" s="1">
        <f>65+327</f>
        <v>392</v>
      </c>
      <c r="I356" s="59">
        <f t="shared" si="136"/>
        <v>1002</v>
      </c>
      <c r="J356" s="1">
        <f>63+344</f>
        <v>407</v>
      </c>
      <c r="K356" s="1">
        <f>56+337</f>
        <v>393</v>
      </c>
      <c r="L356" s="1">
        <f>44+242</f>
        <v>286</v>
      </c>
      <c r="M356" s="59">
        <f t="shared" si="133"/>
        <v>1086</v>
      </c>
      <c r="N356" s="1">
        <f>38+337</f>
        <v>375</v>
      </c>
      <c r="O356" s="1">
        <f>25+160</f>
        <v>185</v>
      </c>
      <c r="P356" s="1">
        <v>120</v>
      </c>
      <c r="Q356" s="59">
        <f t="shared" si="134"/>
        <v>680</v>
      </c>
      <c r="R356" s="59">
        <f>+E356+I356+M356+Q356</f>
        <v>3050</v>
      </c>
      <c r="T356" s="4" t="s">
        <v>313</v>
      </c>
    </row>
    <row r="357" spans="1:20" ht="15.75" customHeight="1" x14ac:dyDescent="0.3">
      <c r="A357" s="76" t="s">
        <v>316</v>
      </c>
      <c r="B357" s="1"/>
      <c r="C357" s="1"/>
      <c r="D357" s="1"/>
      <c r="E357" s="59">
        <f t="shared" si="135"/>
        <v>0</v>
      </c>
      <c r="F357" s="1"/>
      <c r="G357" s="1"/>
      <c r="H357" s="1"/>
      <c r="I357" s="59">
        <f t="shared" si="136"/>
        <v>0</v>
      </c>
      <c r="J357" s="1">
        <v>99</v>
      </c>
      <c r="K357" s="1">
        <v>1644</v>
      </c>
      <c r="L357" s="1"/>
      <c r="M357" s="59">
        <f t="shared" si="133"/>
        <v>1743</v>
      </c>
      <c r="N357" s="1"/>
      <c r="O357" s="1"/>
      <c r="P357" s="1"/>
      <c r="Q357" s="59">
        <f t="shared" si="134"/>
        <v>0</v>
      </c>
      <c r="R357" s="59">
        <f>+E357+I357+M357+Q357</f>
        <v>1743</v>
      </c>
      <c r="T357" s="4" t="s">
        <v>317</v>
      </c>
    </row>
    <row r="358" spans="1:20" ht="15.75" customHeight="1" x14ac:dyDescent="0.3">
      <c r="A358" s="76" t="s">
        <v>318</v>
      </c>
      <c r="B358" s="1"/>
      <c r="C358" s="1"/>
      <c r="D358" s="1"/>
      <c r="E358" s="59">
        <f t="shared" si="135"/>
        <v>0</v>
      </c>
      <c r="F358" s="1"/>
      <c r="G358" s="1"/>
      <c r="H358" s="1"/>
      <c r="I358" s="59">
        <f t="shared" si="136"/>
        <v>0</v>
      </c>
      <c r="J358" s="1"/>
      <c r="K358" s="1">
        <v>3700</v>
      </c>
      <c r="L358" s="1"/>
      <c r="M358" s="59">
        <f t="shared" si="133"/>
        <v>3700</v>
      </c>
      <c r="N358" s="1"/>
      <c r="O358" s="1"/>
      <c r="P358" s="1"/>
      <c r="Q358" s="59">
        <f t="shared" ref="Q358" si="137">SUM(N358:P358)</f>
        <v>0</v>
      </c>
      <c r="R358" s="59">
        <f>+E358+I358+M358+Q358</f>
        <v>3700</v>
      </c>
    </row>
    <row r="359" spans="1:20" ht="15.75" customHeight="1" x14ac:dyDescent="0.3">
      <c r="A359" s="76" t="s">
        <v>319</v>
      </c>
      <c r="B359" s="1">
        <v>220</v>
      </c>
      <c r="C359" s="1">
        <f>253+41</f>
        <v>294</v>
      </c>
      <c r="D359" s="1">
        <v>1029</v>
      </c>
      <c r="E359" s="59">
        <f t="shared" si="135"/>
        <v>1543</v>
      </c>
      <c r="F359" s="1"/>
      <c r="G359" s="1"/>
      <c r="H359" s="1"/>
      <c r="I359" s="59">
        <f t="shared" si="136"/>
        <v>0</v>
      </c>
      <c r="J359" s="1"/>
      <c r="K359" s="1"/>
      <c r="L359" s="1"/>
      <c r="M359" s="59">
        <f t="shared" si="133"/>
        <v>0</v>
      </c>
      <c r="N359" s="1"/>
      <c r="O359" s="1"/>
      <c r="P359" s="1"/>
      <c r="Q359" s="59">
        <f>SUM(N359:P359)</f>
        <v>0</v>
      </c>
      <c r="R359" s="59">
        <f>+E359+I359+M359+Q359</f>
        <v>1543</v>
      </c>
      <c r="S359" s="75" t="s">
        <v>80</v>
      </c>
    </row>
    <row r="360" spans="1:20" ht="15.75" customHeight="1" x14ac:dyDescent="0.3">
      <c r="A360" s="76" t="s">
        <v>320</v>
      </c>
      <c r="B360" s="1"/>
      <c r="C360" s="1"/>
      <c r="D360" s="1"/>
      <c r="E360" s="59">
        <f>SUM(B360:D360)</f>
        <v>0</v>
      </c>
      <c r="F360" s="1"/>
      <c r="G360" s="1"/>
      <c r="H360" s="1"/>
      <c r="I360" s="59">
        <f t="shared" ref="I360:I361" si="138">SUM(F360:H360)</f>
        <v>0</v>
      </c>
      <c r="J360" s="1">
        <v>1788</v>
      </c>
      <c r="K360" s="1">
        <f>1574+226</f>
        <v>1800</v>
      </c>
      <c r="L360" s="1"/>
      <c r="M360" s="59">
        <f t="shared" ref="M360:M361" si="139">SUM(J360:L360)</f>
        <v>3588</v>
      </c>
      <c r="N360" s="1"/>
      <c r="O360" s="1"/>
      <c r="P360" s="1"/>
      <c r="Q360" s="59">
        <f t="shared" ref="Q360:Q361" si="140">SUM(N360:P360)</f>
        <v>0</v>
      </c>
      <c r="R360" s="59">
        <f t="shared" ref="R360:R361" si="141">+E360+I360+M360+Q360</f>
        <v>3588</v>
      </c>
    </row>
    <row r="361" spans="1:20" ht="15.75" customHeight="1" x14ac:dyDescent="0.3">
      <c r="A361" s="76" t="s">
        <v>321</v>
      </c>
      <c r="B361" s="1"/>
      <c r="C361" s="1">
        <v>2328</v>
      </c>
      <c r="D361" s="1"/>
      <c r="E361" s="59">
        <f>SUM(B361:D361)</f>
        <v>2328</v>
      </c>
      <c r="F361" s="1"/>
      <c r="G361" s="1"/>
      <c r="H361" s="1"/>
      <c r="I361" s="59">
        <f t="shared" si="138"/>
        <v>0</v>
      </c>
      <c r="J361" s="1"/>
      <c r="K361" s="1"/>
      <c r="L361" s="1"/>
      <c r="M361" s="59">
        <f t="shared" si="139"/>
        <v>0</v>
      </c>
      <c r="N361" s="1"/>
      <c r="O361" s="1"/>
      <c r="P361" s="1"/>
      <c r="Q361" s="59">
        <f t="shared" si="140"/>
        <v>0</v>
      </c>
      <c r="R361" s="59">
        <f t="shared" si="141"/>
        <v>2328</v>
      </c>
      <c r="T361" s="4" t="s">
        <v>315</v>
      </c>
    </row>
    <row r="362" spans="1:20" ht="15.75" customHeight="1" x14ac:dyDescent="0.3">
      <c r="A362" s="76" t="s">
        <v>322</v>
      </c>
      <c r="B362" s="1"/>
      <c r="C362" s="1"/>
      <c r="D362" s="1"/>
      <c r="E362" s="59">
        <f t="shared" ref="E362" si="142">SUM(B362:D362)</f>
        <v>0</v>
      </c>
      <c r="F362" s="1"/>
      <c r="G362" s="1"/>
      <c r="H362" s="1"/>
      <c r="I362" s="59">
        <f t="shared" ref="I362" si="143">SUM(F362:H362)</f>
        <v>0</v>
      </c>
      <c r="J362" s="1"/>
      <c r="K362" s="1"/>
      <c r="L362" s="1"/>
      <c r="M362" s="59">
        <f t="shared" ref="M362:M363" si="144">SUM(J362:L362)</f>
        <v>0</v>
      </c>
      <c r="N362" s="1">
        <v>276</v>
      </c>
      <c r="O362" s="1">
        <v>1111</v>
      </c>
      <c r="P362" s="1">
        <v>1348</v>
      </c>
      <c r="Q362" s="59">
        <f t="shared" si="128"/>
        <v>2735</v>
      </c>
      <c r="R362" s="59">
        <f t="shared" si="129"/>
        <v>2735</v>
      </c>
      <c r="T362" s="4" t="s">
        <v>217</v>
      </c>
    </row>
    <row r="363" spans="1:20" ht="15.75" customHeight="1" x14ac:dyDescent="0.3">
      <c r="A363" s="76" t="s">
        <v>324</v>
      </c>
      <c r="B363" s="1">
        <v>200</v>
      </c>
      <c r="C363" s="1">
        <v>200</v>
      </c>
      <c r="D363" s="1">
        <v>200</v>
      </c>
      <c r="E363" s="59">
        <f>SUM(B363:D363)</f>
        <v>600</v>
      </c>
      <c r="F363" s="1">
        <v>200</v>
      </c>
      <c r="G363" s="1">
        <v>200</v>
      </c>
      <c r="H363" s="1">
        <v>200</v>
      </c>
      <c r="I363" s="59">
        <f>SUM(F363:H363)</f>
        <v>600</v>
      </c>
      <c r="J363" s="1">
        <v>400</v>
      </c>
      <c r="K363" s="1">
        <v>210</v>
      </c>
      <c r="L363" s="1">
        <v>310</v>
      </c>
      <c r="M363" s="59">
        <f t="shared" si="144"/>
        <v>920</v>
      </c>
      <c r="N363" s="1"/>
      <c r="O363" s="1"/>
      <c r="P363" s="1"/>
      <c r="Q363" s="59">
        <f t="shared" si="128"/>
        <v>0</v>
      </c>
      <c r="R363" s="59">
        <f t="shared" si="129"/>
        <v>2120</v>
      </c>
    </row>
    <row r="364" spans="1:20" ht="15.75" customHeight="1" x14ac:dyDescent="0.3">
      <c r="A364" s="76" t="s">
        <v>325</v>
      </c>
      <c r="B364" s="1"/>
      <c r="C364" s="1"/>
      <c r="D364" s="1"/>
      <c r="E364" s="59">
        <f t="shared" si="125"/>
        <v>0</v>
      </c>
      <c r="F364" s="1"/>
      <c r="G364" s="1"/>
      <c r="H364" s="1"/>
      <c r="I364" s="59">
        <f t="shared" si="126"/>
        <v>0</v>
      </c>
      <c r="J364" s="1"/>
      <c r="K364" s="1"/>
      <c r="L364" s="1"/>
      <c r="M364" s="59">
        <f t="shared" si="127"/>
        <v>0</v>
      </c>
      <c r="N364" s="1"/>
      <c r="O364" s="1"/>
      <c r="P364" s="1"/>
      <c r="Q364" s="59">
        <f t="shared" si="128"/>
        <v>0</v>
      </c>
      <c r="R364" s="59">
        <f t="shared" si="129"/>
        <v>0</v>
      </c>
      <c r="T364" s="4" t="s">
        <v>305</v>
      </c>
    </row>
    <row r="365" spans="1:20" ht="15.75" customHeight="1" x14ac:dyDescent="0.3">
      <c r="A365" s="76" t="s">
        <v>326</v>
      </c>
      <c r="B365" s="1"/>
      <c r="C365" s="1"/>
      <c r="D365" s="1"/>
      <c r="E365" s="59">
        <f t="shared" si="125"/>
        <v>0</v>
      </c>
      <c r="F365" s="1"/>
      <c r="G365" s="1"/>
      <c r="H365" s="1">
        <v>165</v>
      </c>
      <c r="I365" s="59">
        <f t="shared" si="126"/>
        <v>165</v>
      </c>
      <c r="J365" s="1">
        <v>160</v>
      </c>
      <c r="K365" s="1"/>
      <c r="L365" s="1"/>
      <c r="M365" s="59">
        <f t="shared" si="127"/>
        <v>160</v>
      </c>
      <c r="N365" s="1">
        <v>193</v>
      </c>
      <c r="O365" s="1">
        <v>1100</v>
      </c>
      <c r="P365" s="1">
        <v>207</v>
      </c>
      <c r="Q365" s="59">
        <f t="shared" si="128"/>
        <v>1500</v>
      </c>
      <c r="R365" s="59">
        <f t="shared" si="129"/>
        <v>1825</v>
      </c>
    </row>
    <row r="366" spans="1:20" ht="15.75" customHeight="1" x14ac:dyDescent="0.3">
      <c r="A366" s="76" t="s">
        <v>327</v>
      </c>
      <c r="B366" s="1"/>
      <c r="C366" s="1"/>
      <c r="D366" s="1"/>
      <c r="E366" s="59">
        <f>SUM(B366:D366)</f>
        <v>0</v>
      </c>
      <c r="F366" s="1"/>
      <c r="G366" s="1"/>
      <c r="H366" s="1"/>
      <c r="I366" s="59">
        <f>SUM(F366:H366)</f>
        <v>0</v>
      </c>
      <c r="J366" s="1"/>
      <c r="K366" s="1"/>
      <c r="L366" s="1"/>
      <c r="M366" s="59">
        <f t="shared" si="127"/>
        <v>0</v>
      </c>
      <c r="N366" s="1"/>
      <c r="O366" s="1"/>
      <c r="P366" s="1"/>
      <c r="Q366" s="59">
        <f>SUM(N366:P366)</f>
        <v>0</v>
      </c>
      <c r="R366" s="59">
        <f t="shared" si="129"/>
        <v>0</v>
      </c>
      <c r="T366" s="4" t="s">
        <v>315</v>
      </c>
    </row>
    <row r="367" spans="1:20" ht="15.75" customHeight="1" x14ac:dyDescent="0.3">
      <c r="A367" s="76" t="s">
        <v>328</v>
      </c>
      <c r="B367" s="1"/>
      <c r="C367" s="1"/>
      <c r="D367" s="1"/>
      <c r="E367" s="59">
        <f t="shared" ref="E367" si="145">SUM(B367:D367)</f>
        <v>0</v>
      </c>
      <c r="F367" s="1"/>
      <c r="G367" s="1"/>
      <c r="H367" s="1"/>
      <c r="I367" s="59">
        <f t="shared" ref="I367" si="146">SUM(F367:H367)</f>
        <v>0</v>
      </c>
      <c r="J367" s="1"/>
      <c r="K367" s="1">
        <v>1990</v>
      </c>
      <c r="L367" s="1">
        <v>1478</v>
      </c>
      <c r="M367" s="59">
        <f t="shared" si="127"/>
        <v>3468</v>
      </c>
      <c r="N367" s="1">
        <v>1632</v>
      </c>
      <c r="O367" s="1">
        <v>1136</v>
      </c>
      <c r="P367" s="1">
        <v>999</v>
      </c>
      <c r="Q367" s="59">
        <f t="shared" si="128"/>
        <v>3767</v>
      </c>
      <c r="R367" s="59">
        <f t="shared" si="129"/>
        <v>7235</v>
      </c>
      <c r="T367" s="4" t="s">
        <v>217</v>
      </c>
    </row>
    <row r="368" spans="1:20" ht="15.75" customHeight="1" x14ac:dyDescent="0.3">
      <c r="A368" s="76" t="s">
        <v>329</v>
      </c>
      <c r="B368" s="1"/>
      <c r="C368" s="1"/>
      <c r="D368" s="1"/>
      <c r="E368" s="59">
        <f>SUM(B368:D368)</f>
        <v>0</v>
      </c>
      <c r="F368" s="1"/>
      <c r="G368" s="1"/>
      <c r="H368" s="1"/>
      <c r="I368" s="59">
        <f>SUM(F368:H368)</f>
        <v>0</v>
      </c>
      <c r="J368" s="1"/>
      <c r="K368" s="1"/>
      <c r="L368" s="1"/>
      <c r="M368" s="59">
        <f>SUM(J368:L368)</f>
        <v>0</v>
      </c>
      <c r="N368" s="1"/>
      <c r="O368" s="1"/>
      <c r="P368" s="1"/>
      <c r="Q368" s="59">
        <f>SUM(N368:P368)</f>
        <v>0</v>
      </c>
      <c r="R368" s="59">
        <f t="shared" si="129"/>
        <v>0</v>
      </c>
      <c r="T368" s="4" t="s">
        <v>315</v>
      </c>
    </row>
    <row r="369" spans="1:20" ht="15.75" customHeight="1" x14ac:dyDescent="0.3">
      <c r="A369" s="76" t="s">
        <v>330</v>
      </c>
      <c r="B369" s="1"/>
      <c r="C369" s="1"/>
      <c r="D369" s="1"/>
      <c r="E369" s="59">
        <f t="shared" si="125"/>
        <v>0</v>
      </c>
      <c r="F369" s="1"/>
      <c r="G369" s="1"/>
      <c r="H369" s="1"/>
      <c r="I369" s="59">
        <f t="shared" si="126"/>
        <v>0</v>
      </c>
      <c r="J369" s="1"/>
      <c r="K369" s="1"/>
      <c r="L369" s="1"/>
      <c r="M369" s="59">
        <f t="shared" si="127"/>
        <v>0</v>
      </c>
      <c r="N369" s="1"/>
      <c r="O369" s="1"/>
      <c r="P369" s="1"/>
      <c r="Q369" s="59">
        <f t="shared" si="128"/>
        <v>0</v>
      </c>
      <c r="R369" s="59">
        <f t="shared" si="129"/>
        <v>0</v>
      </c>
      <c r="S369" s="125"/>
      <c r="T369" s="4" t="s">
        <v>331</v>
      </c>
    </row>
    <row r="370" spans="1:20" ht="15.75" customHeight="1" x14ac:dyDescent="0.3">
      <c r="A370" s="76" t="s">
        <v>332</v>
      </c>
      <c r="B370" s="1">
        <v>9</v>
      </c>
      <c r="C370" s="1">
        <v>21</v>
      </c>
      <c r="D370" s="1">
        <v>11</v>
      </c>
      <c r="E370" s="59">
        <f t="shared" si="125"/>
        <v>41</v>
      </c>
      <c r="F370" s="1">
        <v>50</v>
      </c>
      <c r="G370" s="1"/>
      <c r="H370" s="1">
        <v>79</v>
      </c>
      <c r="I370" s="59">
        <f>SUM(F370:H370)</f>
        <v>129</v>
      </c>
      <c r="J370" s="1">
        <v>70</v>
      </c>
      <c r="K370" s="1">
        <v>84</v>
      </c>
      <c r="L370" s="1">
        <v>46</v>
      </c>
      <c r="M370" s="59">
        <f>SUM(J370:L370)</f>
        <v>200</v>
      </c>
      <c r="N370" s="1">
        <v>45</v>
      </c>
      <c r="O370" s="1">
        <v>32</v>
      </c>
      <c r="P370" s="1">
        <v>18</v>
      </c>
      <c r="Q370" s="59">
        <f>SUM(N370:P370)</f>
        <v>95</v>
      </c>
      <c r="R370" s="59">
        <f>+E370+I370+M370+Q370</f>
        <v>465</v>
      </c>
      <c r="T370" s="4" t="s">
        <v>127</v>
      </c>
    </row>
    <row r="371" spans="1:20" ht="15.75" customHeight="1" x14ac:dyDescent="0.3">
      <c r="A371" s="76" t="s">
        <v>333</v>
      </c>
      <c r="B371" s="1">
        <f>855+641</f>
        <v>1496</v>
      </c>
      <c r="C371" s="1">
        <f>841+525</f>
        <v>1366</v>
      </c>
      <c r="D371" s="1">
        <f>993+606</f>
        <v>1599</v>
      </c>
      <c r="E371" s="59">
        <f t="shared" ref="E371" si="147">SUM(B371:D371)</f>
        <v>4461</v>
      </c>
      <c r="F371" s="1">
        <v>231</v>
      </c>
      <c r="G371" s="1">
        <v>2175</v>
      </c>
      <c r="H371" s="1">
        <f>1442+3878</f>
        <v>5320</v>
      </c>
      <c r="I371" s="59">
        <f t="shared" ref="I371" si="148">SUM(F371:H371)</f>
        <v>7726</v>
      </c>
      <c r="J371" s="1">
        <f>2245+3387</f>
        <v>5632</v>
      </c>
      <c r="K371" s="1">
        <f>2124+3551</f>
        <v>5675</v>
      </c>
      <c r="L371" s="1">
        <f>1833+3014</f>
        <v>4847</v>
      </c>
      <c r="M371" s="59">
        <f t="shared" ref="M371" si="149">SUM(J371:L371)</f>
        <v>16154</v>
      </c>
      <c r="N371" s="1">
        <f>1819+4823</f>
        <v>6642</v>
      </c>
      <c r="O371" s="1">
        <f>1162+3679</f>
        <v>4841</v>
      </c>
      <c r="P371" s="1">
        <f>1934+109</f>
        <v>2043</v>
      </c>
      <c r="Q371" s="59">
        <f t="shared" si="128"/>
        <v>13526</v>
      </c>
      <c r="R371" s="59">
        <f t="shared" si="129"/>
        <v>41867</v>
      </c>
      <c r="T371" s="4" t="s">
        <v>334</v>
      </c>
    </row>
    <row r="372" spans="1:20" ht="15.75" customHeight="1" x14ac:dyDescent="0.3">
      <c r="A372" s="76" t="s">
        <v>335</v>
      </c>
      <c r="B372" s="1"/>
      <c r="C372" s="1"/>
      <c r="D372" s="1"/>
      <c r="E372" s="59">
        <f t="shared" si="125"/>
        <v>0</v>
      </c>
      <c r="F372" s="1"/>
      <c r="G372" s="1"/>
      <c r="H372" s="1"/>
      <c r="I372" s="59">
        <f t="shared" si="126"/>
        <v>0</v>
      </c>
      <c r="J372" s="1"/>
      <c r="K372" s="1"/>
      <c r="L372" s="1"/>
      <c r="M372" s="59">
        <f t="shared" si="127"/>
        <v>0</v>
      </c>
      <c r="N372" s="1"/>
      <c r="O372" s="1"/>
      <c r="P372" s="1"/>
      <c r="Q372" s="59">
        <f t="shared" si="128"/>
        <v>0</v>
      </c>
      <c r="R372" s="59">
        <f t="shared" si="129"/>
        <v>0</v>
      </c>
      <c r="T372" s="4" t="s">
        <v>336</v>
      </c>
    </row>
    <row r="373" spans="1:20" ht="15.75" customHeight="1" x14ac:dyDescent="0.3">
      <c r="A373" s="76" t="s">
        <v>337</v>
      </c>
      <c r="B373" s="1"/>
      <c r="C373" s="1"/>
      <c r="D373" s="1">
        <f>378+487</f>
        <v>865</v>
      </c>
      <c r="E373" s="59">
        <f t="shared" si="125"/>
        <v>865</v>
      </c>
      <c r="F373" s="1"/>
      <c r="G373" s="1"/>
      <c r="H373" s="1">
        <f>492+508</f>
        <v>1000</v>
      </c>
      <c r="I373" s="59">
        <f t="shared" si="126"/>
        <v>1000</v>
      </c>
      <c r="J373" s="1">
        <v>1000</v>
      </c>
      <c r="K373" s="1"/>
      <c r="L373" s="1"/>
      <c r="M373" s="59">
        <f t="shared" si="127"/>
        <v>1000</v>
      </c>
      <c r="N373" s="1"/>
      <c r="O373" s="1"/>
      <c r="P373" s="1"/>
      <c r="Q373" s="59">
        <f t="shared" ref="Q373" si="150">SUM(N373:P373)</f>
        <v>0</v>
      </c>
      <c r="R373" s="59">
        <f t="shared" si="129"/>
        <v>2865</v>
      </c>
    </row>
    <row r="374" spans="1:20" ht="15.75" customHeight="1" x14ac:dyDescent="0.3">
      <c r="A374" s="76" t="s">
        <v>338</v>
      </c>
      <c r="B374" s="1"/>
      <c r="C374" s="1"/>
      <c r="D374" s="1"/>
      <c r="E374" s="59">
        <f t="shared" si="125"/>
        <v>0</v>
      </c>
      <c r="F374" s="1"/>
      <c r="G374" s="1"/>
      <c r="H374" s="1"/>
      <c r="I374" s="59">
        <f t="shared" si="126"/>
        <v>0</v>
      </c>
      <c r="J374" s="1">
        <v>1056</v>
      </c>
      <c r="K374" s="1"/>
      <c r="L374" s="1"/>
      <c r="M374" s="59">
        <f t="shared" si="127"/>
        <v>1056</v>
      </c>
      <c r="N374" s="1"/>
      <c r="O374" s="1"/>
      <c r="P374" s="1">
        <v>21</v>
      </c>
      <c r="Q374" s="59">
        <f t="shared" ref="Q374" si="151">SUM(N374:P374)</f>
        <v>21</v>
      </c>
      <c r="R374" s="59">
        <f t="shared" si="129"/>
        <v>1077</v>
      </c>
    </row>
    <row r="375" spans="1:20" ht="15.75" customHeight="1" x14ac:dyDescent="0.3">
      <c r="A375" s="76" t="s">
        <v>339</v>
      </c>
      <c r="B375" s="1">
        <f>72+131+97</f>
        <v>300</v>
      </c>
      <c r="C375" s="1">
        <f>151+149</f>
        <v>300</v>
      </c>
      <c r="D375" s="1">
        <f>300</f>
        <v>300</v>
      </c>
      <c r="E375" s="59">
        <f t="shared" si="125"/>
        <v>900</v>
      </c>
      <c r="F375" s="1">
        <v>300</v>
      </c>
      <c r="G375" s="1">
        <v>300</v>
      </c>
      <c r="H375" s="1">
        <v>190</v>
      </c>
      <c r="I375" s="59">
        <f t="shared" si="126"/>
        <v>790</v>
      </c>
      <c r="J375" s="1">
        <v>600</v>
      </c>
      <c r="K375" s="1">
        <v>300</v>
      </c>
      <c r="L375" s="1">
        <f>320+280</f>
        <v>600</v>
      </c>
      <c r="M375" s="59">
        <f t="shared" si="127"/>
        <v>1500</v>
      </c>
      <c r="N375" s="1"/>
      <c r="O375" s="1"/>
      <c r="P375" s="1"/>
      <c r="Q375" s="59">
        <f t="shared" si="128"/>
        <v>0</v>
      </c>
      <c r="R375" s="59">
        <f t="shared" si="129"/>
        <v>3190</v>
      </c>
    </row>
    <row r="376" spans="1:20" ht="15.75" customHeight="1" x14ac:dyDescent="0.3">
      <c r="A376" s="76" t="s">
        <v>340</v>
      </c>
      <c r="B376" s="1"/>
      <c r="C376" s="1"/>
      <c r="D376" s="1"/>
      <c r="E376" s="59">
        <f t="shared" si="125"/>
        <v>0</v>
      </c>
      <c r="F376" s="1"/>
      <c r="G376" s="1"/>
      <c r="H376" s="1">
        <v>620</v>
      </c>
      <c r="I376" s="59">
        <f t="shared" si="126"/>
        <v>620</v>
      </c>
      <c r="J376" s="1"/>
      <c r="K376" s="1"/>
      <c r="L376" s="1"/>
      <c r="M376" s="59">
        <f t="shared" si="127"/>
        <v>0</v>
      </c>
      <c r="N376" s="1"/>
      <c r="O376" s="1"/>
      <c r="P376" s="1"/>
      <c r="Q376" s="59">
        <f t="shared" si="128"/>
        <v>0</v>
      </c>
      <c r="R376" s="59" t="s">
        <v>997</v>
      </c>
      <c r="S376" s="75" t="s">
        <v>80</v>
      </c>
    </row>
    <row r="377" spans="1:20" ht="15.75" customHeight="1" x14ac:dyDescent="0.3">
      <c r="A377" s="76" t="s">
        <v>341</v>
      </c>
      <c r="B377" s="1"/>
      <c r="C377" s="1"/>
      <c r="D377" s="1"/>
      <c r="E377" s="59">
        <f t="shared" si="125"/>
        <v>0</v>
      </c>
      <c r="F377" s="1"/>
      <c r="G377" s="1"/>
      <c r="H377" s="1"/>
      <c r="I377" s="59">
        <f t="shared" si="126"/>
        <v>0</v>
      </c>
      <c r="J377" s="1">
        <v>999</v>
      </c>
      <c r="K377" s="1"/>
      <c r="L377" s="1">
        <v>1</v>
      </c>
      <c r="M377" s="59">
        <f t="shared" si="127"/>
        <v>1000</v>
      </c>
      <c r="N377" s="1"/>
      <c r="O377" s="1"/>
      <c r="P377" s="1"/>
      <c r="Q377" s="59">
        <f>SUM(N377:P377)</f>
        <v>0</v>
      </c>
      <c r="R377" s="59">
        <f>+E377+I377+M377+Q377</f>
        <v>1000</v>
      </c>
      <c r="T377" s="4" t="s">
        <v>315</v>
      </c>
    </row>
    <row r="378" spans="1:20" ht="15.75" customHeight="1" x14ac:dyDescent="0.3">
      <c r="A378" s="76" t="s">
        <v>342</v>
      </c>
      <c r="B378" s="1">
        <v>28</v>
      </c>
      <c r="C378" s="1">
        <v>27</v>
      </c>
      <c r="D378" s="1">
        <v>21</v>
      </c>
      <c r="E378" s="59">
        <f>SUM(B378:D378)</f>
        <v>76</v>
      </c>
      <c r="F378" s="1">
        <v>54</v>
      </c>
      <c r="G378" s="1"/>
      <c r="H378" s="1">
        <v>17</v>
      </c>
      <c r="I378" s="59">
        <f>SUM(F378:H378)</f>
        <v>71</v>
      </c>
      <c r="J378" s="1">
        <v>1</v>
      </c>
      <c r="K378" s="1"/>
      <c r="L378" s="1"/>
      <c r="M378" s="59">
        <f>SUM(J378:L378)</f>
        <v>1</v>
      </c>
      <c r="N378" s="1"/>
      <c r="O378" s="1"/>
      <c r="P378" s="1"/>
      <c r="Q378" s="59">
        <f>SUM(N378:P378)</f>
        <v>0</v>
      </c>
      <c r="R378" s="59">
        <f>+E378+I378+M378+Q378</f>
        <v>148</v>
      </c>
      <c r="T378" s="4" t="s">
        <v>127</v>
      </c>
    </row>
    <row r="379" spans="1:20" ht="15.75" customHeight="1" x14ac:dyDescent="0.3">
      <c r="A379" s="74" t="s">
        <v>343</v>
      </c>
      <c r="B379" s="1"/>
      <c r="C379" s="1"/>
      <c r="D379" s="1"/>
      <c r="E379" s="59">
        <f>SUM(B379:D379)</f>
        <v>0</v>
      </c>
      <c r="F379" s="1"/>
      <c r="G379" s="1"/>
      <c r="H379" s="1"/>
      <c r="I379" s="59">
        <f>SUM(F379:H379)</f>
        <v>0</v>
      </c>
      <c r="J379" s="1">
        <v>27</v>
      </c>
      <c r="K379" s="1"/>
      <c r="L379" s="1"/>
      <c r="M379" s="59">
        <f>SUM(J379:L379)</f>
        <v>27</v>
      </c>
      <c r="N379" s="1"/>
      <c r="O379" s="1"/>
      <c r="P379" s="1"/>
      <c r="Q379" s="59">
        <f>SUM(N379:P379)</f>
        <v>0</v>
      </c>
      <c r="R379" s="59">
        <f t="shared" si="129"/>
        <v>27</v>
      </c>
    </row>
    <row r="380" spans="1:20" ht="15.75" customHeight="1" x14ac:dyDescent="0.3">
      <c r="A380" s="76" t="s">
        <v>344</v>
      </c>
      <c r="B380" s="1">
        <v>20</v>
      </c>
      <c r="C380" s="1">
        <v>20</v>
      </c>
      <c r="D380" s="1">
        <v>20</v>
      </c>
      <c r="E380" s="59">
        <f t="shared" ref="E380" si="152">SUM(B380:D380)</f>
        <v>60</v>
      </c>
      <c r="F380" s="1">
        <v>60</v>
      </c>
      <c r="G380" s="1">
        <v>76</v>
      </c>
      <c r="H380" s="1">
        <v>107</v>
      </c>
      <c r="I380" s="59">
        <f t="shared" ref="I380" si="153">SUM(F380:H380)</f>
        <v>243</v>
      </c>
      <c r="J380" s="1">
        <v>131</v>
      </c>
      <c r="K380" s="1">
        <v>61</v>
      </c>
      <c r="L380" s="1"/>
      <c r="M380" s="59">
        <f t="shared" ref="M380" si="154">SUM(J380:L380)</f>
        <v>192</v>
      </c>
      <c r="N380" s="1"/>
      <c r="O380" s="1"/>
      <c r="P380" s="1"/>
      <c r="Q380" s="59">
        <f t="shared" si="128"/>
        <v>0</v>
      </c>
      <c r="R380" s="59">
        <f t="shared" si="129"/>
        <v>495</v>
      </c>
      <c r="S380" s="4">
        <f>SUM(R347:R380)</f>
        <v>90612</v>
      </c>
      <c r="T380" s="4" t="s">
        <v>331</v>
      </c>
    </row>
    <row r="381" spans="1:20" ht="15.75" customHeight="1" x14ac:dyDescent="0.3">
      <c r="A381" s="76" t="s">
        <v>345</v>
      </c>
      <c r="B381" s="1">
        <v>1</v>
      </c>
      <c r="C381" s="1">
        <v>2</v>
      </c>
      <c r="D381" s="1">
        <v>2</v>
      </c>
      <c r="E381" s="59">
        <f>SUM(B381:D381)</f>
        <v>5</v>
      </c>
      <c r="F381" s="1">
        <v>6</v>
      </c>
      <c r="G381" s="1"/>
      <c r="H381" s="1">
        <v>10</v>
      </c>
      <c r="I381" s="59">
        <f>SUM(F381:H381)</f>
        <v>16</v>
      </c>
      <c r="J381" s="1">
        <v>9</v>
      </c>
      <c r="K381" s="1">
        <v>10</v>
      </c>
      <c r="L381" s="1">
        <v>6</v>
      </c>
      <c r="M381" s="59">
        <f>SUM(J381:L381)</f>
        <v>25</v>
      </c>
      <c r="N381" s="1">
        <v>8</v>
      </c>
      <c r="O381" s="1">
        <v>4</v>
      </c>
      <c r="P381" s="1">
        <v>2</v>
      </c>
      <c r="Q381" s="59">
        <f>SUM(N381:P381)</f>
        <v>14</v>
      </c>
      <c r="R381" s="59">
        <f>+E381+I381+M381+Q381</f>
        <v>60</v>
      </c>
      <c r="T381" s="4" t="s">
        <v>127</v>
      </c>
    </row>
    <row r="382" spans="1:20" ht="15.75" customHeight="1" x14ac:dyDescent="0.3">
      <c r="A382" s="17" t="s">
        <v>47</v>
      </c>
      <c r="B382" s="1"/>
      <c r="C382" s="1"/>
      <c r="D382" s="1"/>
      <c r="E382" s="59" t="s">
        <v>7</v>
      </c>
      <c r="F382" s="1"/>
      <c r="G382" s="1"/>
      <c r="H382" s="1"/>
      <c r="I382" s="59" t="s">
        <v>7</v>
      </c>
      <c r="J382" s="1"/>
      <c r="K382" s="1"/>
      <c r="L382" s="1"/>
      <c r="M382" s="59" t="s">
        <v>7</v>
      </c>
      <c r="N382" s="1"/>
      <c r="O382" s="1"/>
      <c r="P382" s="1"/>
      <c r="Q382" s="59" t="s">
        <v>7</v>
      </c>
      <c r="R382" s="59" t="s">
        <v>7</v>
      </c>
    </row>
    <row r="383" spans="1:20" ht="15.75" customHeight="1" x14ac:dyDescent="0.3">
      <c r="A383" s="76" t="s">
        <v>346</v>
      </c>
      <c r="B383" s="1"/>
      <c r="C383" s="1"/>
      <c r="D383" s="1"/>
      <c r="E383" s="59">
        <f t="shared" ref="E383:E393" si="155">SUM(B383:D383)</f>
        <v>0</v>
      </c>
      <c r="F383" s="1"/>
      <c r="G383" s="1"/>
      <c r="H383" s="1"/>
      <c r="I383" s="59">
        <f t="shared" ref="I383:I393" si="156">SUM(F383:H383)</f>
        <v>0</v>
      </c>
      <c r="J383" s="1"/>
      <c r="K383" s="1"/>
      <c r="L383" s="1"/>
      <c r="M383" s="59">
        <f t="shared" ref="M383:M393" si="157">SUM(J383:L383)</f>
        <v>0</v>
      </c>
      <c r="N383" s="1"/>
      <c r="O383" s="1"/>
      <c r="P383" s="1"/>
      <c r="Q383" s="59">
        <f t="shared" ref="Q383:Q393" si="158">SUM(N383:P383)</f>
        <v>0</v>
      </c>
      <c r="R383" s="59">
        <f t="shared" ref="R383:R393" si="159">+E383+I383+M383+Q383</f>
        <v>0</v>
      </c>
    </row>
    <row r="384" spans="1:20" ht="15.75" customHeight="1" x14ac:dyDescent="0.3">
      <c r="A384" s="76" t="s">
        <v>347</v>
      </c>
      <c r="B384" s="1"/>
      <c r="C384" s="1"/>
      <c r="D384" s="1"/>
      <c r="E384" s="59">
        <f>SUM(B384:D384)</f>
        <v>0</v>
      </c>
      <c r="F384" s="1"/>
      <c r="G384" s="1"/>
      <c r="H384" s="1"/>
      <c r="I384" s="59">
        <f>SUM(F384:H384)</f>
        <v>0</v>
      </c>
      <c r="J384" s="1"/>
      <c r="K384" s="1"/>
      <c r="L384" s="1"/>
      <c r="M384" s="59">
        <f>SUM(J384:L384)</f>
        <v>0</v>
      </c>
      <c r="N384" s="1"/>
      <c r="O384" s="1"/>
      <c r="P384" s="1"/>
      <c r="Q384" s="59">
        <f>SUM(N384:P384)</f>
        <v>0</v>
      </c>
      <c r="R384" s="59">
        <f>+E384+I384+M384+Q384</f>
        <v>0</v>
      </c>
      <c r="T384" s="4" t="s">
        <v>348</v>
      </c>
    </row>
    <row r="385" spans="1:23" ht="15.75" customHeight="1" x14ac:dyDescent="0.3">
      <c r="A385" s="76" t="s">
        <v>349</v>
      </c>
      <c r="B385" s="1"/>
      <c r="C385" s="1"/>
      <c r="D385" s="1"/>
      <c r="E385" s="59">
        <f>SUM(B385:D385)</f>
        <v>0</v>
      </c>
      <c r="F385" s="1"/>
      <c r="G385" s="1"/>
      <c r="H385" s="1"/>
      <c r="I385" s="59">
        <f>SUM(F385:H385)</f>
        <v>0</v>
      </c>
      <c r="J385" s="1"/>
      <c r="K385" s="1"/>
      <c r="L385" s="1"/>
      <c r="M385" s="59">
        <f>SUM(J385:L385)</f>
        <v>0</v>
      </c>
      <c r="N385" s="1"/>
      <c r="O385" s="1"/>
      <c r="P385" s="1"/>
      <c r="Q385" s="59">
        <f>SUM(N385:P385)</f>
        <v>0</v>
      </c>
      <c r="R385" s="59">
        <f>+E385+I385+M385+Q385</f>
        <v>0</v>
      </c>
      <c r="T385" s="4" t="s">
        <v>336</v>
      </c>
    </row>
    <row r="386" spans="1:23" ht="15.75" customHeight="1" x14ac:dyDescent="0.3">
      <c r="A386" s="76" t="s">
        <v>330</v>
      </c>
      <c r="B386" s="1"/>
      <c r="C386" s="1"/>
      <c r="D386" s="1"/>
      <c r="E386" s="59">
        <f t="shared" si="155"/>
        <v>0</v>
      </c>
      <c r="F386" s="1"/>
      <c r="G386" s="1"/>
      <c r="H386" s="1"/>
      <c r="I386" s="59">
        <f t="shared" si="156"/>
        <v>0</v>
      </c>
      <c r="J386" s="1"/>
      <c r="K386" s="1"/>
      <c r="L386" s="1"/>
      <c r="M386" s="59">
        <f t="shared" si="157"/>
        <v>0</v>
      </c>
      <c r="N386" s="1"/>
      <c r="O386" s="1"/>
      <c r="P386" s="1"/>
      <c r="Q386" s="59">
        <f t="shared" si="158"/>
        <v>0</v>
      </c>
      <c r="R386" s="59">
        <f>+E386+I386+M386+Q386</f>
        <v>0</v>
      </c>
      <c r="T386" s="4" t="s">
        <v>331</v>
      </c>
    </row>
    <row r="387" spans="1:23" ht="15.75" customHeight="1" x14ac:dyDescent="0.3">
      <c r="A387" s="76" t="s">
        <v>350</v>
      </c>
      <c r="B387" s="1"/>
      <c r="C387" s="1"/>
      <c r="D387" s="1"/>
      <c r="E387" s="59">
        <f>SUM(B387:D387)</f>
        <v>0</v>
      </c>
      <c r="F387" s="1"/>
      <c r="G387" s="1"/>
      <c r="H387" s="1"/>
      <c r="I387" s="59">
        <f>SUM(F387:H387)</f>
        <v>0</v>
      </c>
      <c r="J387" s="1"/>
      <c r="K387" s="1"/>
      <c r="L387" s="1"/>
      <c r="M387" s="59">
        <f>SUM(J387:L387)</f>
        <v>0</v>
      </c>
      <c r="N387" s="1"/>
      <c r="O387" s="1"/>
      <c r="P387" s="1"/>
      <c r="Q387" s="59">
        <f>SUM(N387:P387)</f>
        <v>0</v>
      </c>
      <c r="R387" s="59">
        <f>+E387+I387+M387+Q387</f>
        <v>0</v>
      </c>
      <c r="T387" s="4" t="s">
        <v>351</v>
      </c>
    </row>
    <row r="388" spans="1:23" ht="15.75" customHeight="1" x14ac:dyDescent="0.3">
      <c r="A388" s="76" t="s">
        <v>352</v>
      </c>
      <c r="B388" s="1"/>
      <c r="C388" s="1"/>
      <c r="D388" s="1"/>
      <c r="E388" s="59">
        <f t="shared" si="155"/>
        <v>0</v>
      </c>
      <c r="F388" s="1"/>
      <c r="G388" s="1"/>
      <c r="H388" s="1"/>
      <c r="I388" s="59">
        <f t="shared" si="156"/>
        <v>0</v>
      </c>
      <c r="J388" s="1"/>
      <c r="K388" s="1"/>
      <c r="L388" s="1"/>
      <c r="M388" s="59">
        <f t="shared" si="157"/>
        <v>0</v>
      </c>
      <c r="N388" s="1"/>
      <c r="O388" s="1"/>
      <c r="P388" s="1"/>
      <c r="Q388" s="59">
        <f t="shared" si="158"/>
        <v>0</v>
      </c>
      <c r="R388" s="59">
        <f t="shared" si="159"/>
        <v>0</v>
      </c>
    </row>
    <row r="389" spans="1:23" ht="15.75" customHeight="1" x14ac:dyDescent="0.3">
      <c r="A389" s="76" t="s">
        <v>353</v>
      </c>
      <c r="B389" s="1"/>
      <c r="C389" s="1"/>
      <c r="D389" s="1"/>
      <c r="E389" s="59">
        <f t="shared" si="155"/>
        <v>0</v>
      </c>
      <c r="F389" s="1"/>
      <c r="G389" s="1"/>
      <c r="H389" s="1"/>
      <c r="I389" s="59">
        <f t="shared" si="156"/>
        <v>0</v>
      </c>
      <c r="J389" s="1"/>
      <c r="K389" s="1"/>
      <c r="L389" s="1"/>
      <c r="M389" s="59">
        <f t="shared" si="157"/>
        <v>0</v>
      </c>
      <c r="N389" s="1"/>
      <c r="O389" s="1"/>
      <c r="P389" s="1"/>
      <c r="Q389" s="59">
        <f t="shared" si="158"/>
        <v>0</v>
      </c>
      <c r="R389" s="59">
        <f t="shared" si="159"/>
        <v>0</v>
      </c>
      <c r="T389" s="4" t="s">
        <v>354</v>
      </c>
    </row>
    <row r="390" spans="1:23" ht="15.75" customHeight="1" x14ac:dyDescent="0.3">
      <c r="A390" s="76" t="s">
        <v>355</v>
      </c>
      <c r="B390" s="1"/>
      <c r="C390" s="1"/>
      <c r="D390" s="1"/>
      <c r="E390" s="59">
        <f t="shared" si="155"/>
        <v>0</v>
      </c>
      <c r="F390" s="1"/>
      <c r="G390" s="1"/>
      <c r="H390" s="1"/>
      <c r="I390" s="59">
        <f t="shared" si="156"/>
        <v>0</v>
      </c>
      <c r="J390" s="1"/>
      <c r="K390" s="1"/>
      <c r="L390" s="1"/>
      <c r="M390" s="59">
        <f t="shared" si="157"/>
        <v>0</v>
      </c>
      <c r="N390" s="1"/>
      <c r="O390" s="1"/>
      <c r="P390" s="1"/>
      <c r="Q390" s="59">
        <f t="shared" si="158"/>
        <v>0</v>
      </c>
      <c r="R390" s="59">
        <f t="shared" si="159"/>
        <v>0</v>
      </c>
      <c r="T390" s="4" t="s">
        <v>354</v>
      </c>
    </row>
    <row r="391" spans="1:23" ht="15.75" customHeight="1" x14ac:dyDescent="0.3">
      <c r="A391" s="76" t="s">
        <v>356</v>
      </c>
      <c r="B391" s="1"/>
      <c r="C391" s="1"/>
      <c r="D391" s="1"/>
      <c r="E391" s="59">
        <f t="shared" si="155"/>
        <v>0</v>
      </c>
      <c r="F391" s="1"/>
      <c r="G391" s="1"/>
      <c r="H391" s="1"/>
      <c r="I391" s="59">
        <f t="shared" si="156"/>
        <v>0</v>
      </c>
      <c r="J391" s="1"/>
      <c r="K391" s="1"/>
      <c r="L391" s="1"/>
      <c r="M391" s="59">
        <f t="shared" si="157"/>
        <v>0</v>
      </c>
      <c r="N391" s="1"/>
      <c r="O391" s="1"/>
      <c r="P391" s="1"/>
      <c r="Q391" s="59">
        <f t="shared" si="158"/>
        <v>0</v>
      </c>
      <c r="R391" s="59">
        <f t="shared" si="159"/>
        <v>0</v>
      </c>
      <c r="T391" s="4" t="s">
        <v>127</v>
      </c>
    </row>
    <row r="392" spans="1:23" ht="15.75" customHeight="1" x14ac:dyDescent="0.3">
      <c r="A392" s="76" t="s">
        <v>357</v>
      </c>
      <c r="B392" s="1"/>
      <c r="C392" s="1"/>
      <c r="D392" s="1"/>
      <c r="E392" s="59">
        <f>SUM(B392:D392)</f>
        <v>0</v>
      </c>
      <c r="F392" s="1"/>
      <c r="G392" s="1"/>
      <c r="H392" s="1"/>
      <c r="I392" s="59">
        <f>SUM(F392:H392)</f>
        <v>0</v>
      </c>
      <c r="J392" s="1"/>
      <c r="K392" s="1"/>
      <c r="L392" s="1"/>
      <c r="M392" s="59">
        <f>SUM(J392:L392)</f>
        <v>0</v>
      </c>
      <c r="N392" s="1"/>
      <c r="O392" s="1"/>
      <c r="P392" s="1"/>
      <c r="Q392" s="59">
        <f>SUM(N392:P392)</f>
        <v>0</v>
      </c>
      <c r="R392" s="59">
        <f>+E392+I392+M392+Q392</f>
        <v>0</v>
      </c>
      <c r="T392" s="4" t="s">
        <v>127</v>
      </c>
    </row>
    <row r="393" spans="1:23" ht="15.75" customHeight="1" x14ac:dyDescent="0.3">
      <c r="A393" s="76" t="s">
        <v>358</v>
      </c>
      <c r="B393" s="1"/>
      <c r="C393" s="1"/>
      <c r="D393" s="1"/>
      <c r="E393" s="59">
        <f t="shared" si="155"/>
        <v>0</v>
      </c>
      <c r="F393" s="1"/>
      <c r="G393" s="1"/>
      <c r="H393" s="1"/>
      <c r="I393" s="59">
        <f t="shared" si="156"/>
        <v>0</v>
      </c>
      <c r="J393" s="1"/>
      <c r="K393" s="1"/>
      <c r="L393" s="1"/>
      <c r="M393" s="59">
        <f t="shared" si="157"/>
        <v>0</v>
      </c>
      <c r="N393" s="1"/>
      <c r="O393" s="1"/>
      <c r="P393" s="1"/>
      <c r="Q393" s="59">
        <f t="shared" si="158"/>
        <v>0</v>
      </c>
      <c r="R393" s="59">
        <f t="shared" si="159"/>
        <v>0</v>
      </c>
      <c r="T393" s="4" t="s">
        <v>359</v>
      </c>
    </row>
    <row r="394" spans="1:23" ht="15.75" customHeight="1" x14ac:dyDescent="0.3">
      <c r="A394" s="17" t="s">
        <v>49</v>
      </c>
      <c r="B394" s="1"/>
      <c r="C394" s="1"/>
      <c r="D394" s="1"/>
      <c r="E394" s="59" t="s">
        <v>7</v>
      </c>
      <c r="F394" s="1"/>
      <c r="G394" s="1"/>
      <c r="H394" s="1"/>
      <c r="I394" s="59" t="s">
        <v>7</v>
      </c>
      <c r="J394" s="1"/>
      <c r="K394" s="1"/>
      <c r="L394" s="1"/>
      <c r="M394" s="59" t="s">
        <v>7</v>
      </c>
      <c r="N394" s="1"/>
      <c r="O394" s="1"/>
      <c r="P394" s="1"/>
      <c r="Q394" s="59" t="s">
        <v>7</v>
      </c>
      <c r="R394" s="59" t="s">
        <v>7</v>
      </c>
    </row>
    <row r="395" spans="1:23" ht="15.75" customHeight="1" x14ac:dyDescent="0.3">
      <c r="A395" s="76" t="s">
        <v>360</v>
      </c>
      <c r="B395" s="1"/>
      <c r="C395" s="1"/>
      <c r="D395" s="1"/>
      <c r="E395" s="59">
        <f>SUM(B395:D395)</f>
        <v>0</v>
      </c>
      <c r="F395" s="1"/>
      <c r="G395" s="1"/>
      <c r="H395" s="1"/>
      <c r="I395" s="59">
        <f>SUM(F395:H395)</f>
        <v>0</v>
      </c>
      <c r="J395" s="1"/>
      <c r="K395" s="1"/>
      <c r="L395" s="1"/>
      <c r="M395" s="59">
        <f>SUM(J395:L395)</f>
        <v>0</v>
      </c>
      <c r="N395" s="1"/>
      <c r="O395" s="1"/>
      <c r="P395" s="1"/>
      <c r="Q395" s="59">
        <f>SUM(N395:P395)</f>
        <v>0</v>
      </c>
      <c r="R395" s="59">
        <f>+E395+I395+M395+Q395</f>
        <v>0</v>
      </c>
      <c r="S395" s="77" t="s">
        <v>90</v>
      </c>
      <c r="T395" s="4" t="s">
        <v>305</v>
      </c>
    </row>
    <row r="396" spans="1:23" ht="15.75" customHeight="1" x14ac:dyDescent="0.3">
      <c r="A396" s="76" t="s">
        <v>361</v>
      </c>
      <c r="B396" s="1"/>
      <c r="C396" s="1"/>
      <c r="D396" s="1"/>
      <c r="E396" s="59">
        <f>SUM(B396:D396)</f>
        <v>0</v>
      </c>
      <c r="F396" s="1"/>
      <c r="G396" s="1"/>
      <c r="H396" s="1"/>
      <c r="I396" s="59">
        <f>SUM(F396:H396)</f>
        <v>0</v>
      </c>
      <c r="J396" s="1"/>
      <c r="K396" s="1"/>
      <c r="L396" s="1"/>
      <c r="M396" s="59">
        <f>SUM(J396:L396)</f>
        <v>0</v>
      </c>
      <c r="N396" s="1"/>
      <c r="O396" s="1"/>
      <c r="P396" s="1"/>
      <c r="Q396" s="59">
        <f>SUM(N396:P396)</f>
        <v>0</v>
      </c>
      <c r="R396" s="59">
        <f>+E396+I396+M396+Q396</f>
        <v>0</v>
      </c>
      <c r="S396" s="77" t="s">
        <v>90</v>
      </c>
    </row>
    <row r="397" spans="1:23" ht="15.75" customHeight="1" x14ac:dyDescent="0.3">
      <c r="A397" s="76" t="s">
        <v>362</v>
      </c>
      <c r="B397" s="1"/>
      <c r="C397" s="1"/>
      <c r="D397" s="1"/>
      <c r="E397" s="59">
        <f>SUM(B397:D397)</f>
        <v>0</v>
      </c>
      <c r="F397" s="1"/>
      <c r="G397" s="1"/>
      <c r="H397" s="1"/>
      <c r="I397" s="59">
        <f>SUM(F397:H397)</f>
        <v>0</v>
      </c>
      <c r="J397" s="1"/>
      <c r="K397" s="1"/>
      <c r="L397" s="1"/>
      <c r="M397" s="59">
        <f>SUM(J397:L397)</f>
        <v>0</v>
      </c>
      <c r="N397" s="1"/>
      <c r="O397" s="1"/>
      <c r="P397" s="1"/>
      <c r="Q397" s="59">
        <f>SUM(N397:P397)</f>
        <v>0</v>
      </c>
      <c r="R397" s="59">
        <f>+E397+I397+M397+Q397</f>
        <v>0</v>
      </c>
      <c r="S397" s="77" t="s">
        <v>90</v>
      </c>
      <c r="T397" s="4" t="s">
        <v>331</v>
      </c>
    </row>
    <row r="398" spans="1:23" ht="15.75" customHeight="1" x14ac:dyDescent="0.3">
      <c r="A398" s="76" t="s">
        <v>363</v>
      </c>
      <c r="B398" s="1"/>
      <c r="C398" s="1"/>
      <c r="D398" s="1"/>
      <c r="E398" s="59">
        <f>SUM(B398:D398)</f>
        <v>0</v>
      </c>
      <c r="F398" s="1"/>
      <c r="G398" s="1"/>
      <c r="H398" s="1"/>
      <c r="I398" s="59">
        <f>SUM(F398:H398)</f>
        <v>0</v>
      </c>
      <c r="J398" s="1"/>
      <c r="K398" s="1"/>
      <c r="L398" s="1"/>
      <c r="M398" s="59">
        <f>SUM(J398:L398)</f>
        <v>0</v>
      </c>
      <c r="N398" s="1"/>
      <c r="O398" s="1"/>
      <c r="P398" s="1"/>
      <c r="Q398" s="59">
        <f>SUM(N398:P398)</f>
        <v>0</v>
      </c>
      <c r="R398" s="59">
        <f>+E398+I398+M398+Q398</f>
        <v>0</v>
      </c>
      <c r="S398" s="77" t="s">
        <v>90</v>
      </c>
      <c r="T398" s="4" t="s">
        <v>315</v>
      </c>
    </row>
    <row r="399" spans="1:23" ht="16.5" customHeight="1" thickBot="1" x14ac:dyDescent="0.35">
      <c r="A399" s="17" t="s">
        <v>51</v>
      </c>
      <c r="B399" s="1"/>
      <c r="C399" s="1"/>
      <c r="D399" s="1"/>
      <c r="E399" s="59" t="s">
        <v>7</v>
      </c>
      <c r="F399" s="1"/>
      <c r="G399" s="1"/>
      <c r="H399" s="1"/>
      <c r="I399" s="59" t="s">
        <v>7</v>
      </c>
      <c r="J399" s="1"/>
      <c r="K399" s="1"/>
      <c r="L399" s="1"/>
      <c r="M399" s="59" t="s">
        <v>7</v>
      </c>
      <c r="N399" s="1"/>
      <c r="O399" s="1"/>
      <c r="P399" s="1"/>
      <c r="Q399" s="59" t="s">
        <v>7</v>
      </c>
      <c r="R399" s="88" t="s">
        <v>7</v>
      </c>
      <c r="V399" s="4" t="s">
        <v>364</v>
      </c>
      <c r="W399" s="4" t="s">
        <v>365</v>
      </c>
    </row>
    <row r="400" spans="1:23" ht="16.5" customHeight="1" thickBot="1" x14ac:dyDescent="0.35">
      <c r="A400" s="126" t="s">
        <v>52</v>
      </c>
      <c r="B400" s="100">
        <f>SUM(B345:B399)</f>
        <v>2413</v>
      </c>
      <c r="C400" s="101">
        <f>SUM(C345:C399)</f>
        <v>4717</v>
      </c>
      <c r="D400" s="101">
        <f>SUM(D345:D399)</f>
        <v>4215</v>
      </c>
      <c r="E400" s="64">
        <f>SUM(B400:D400)</f>
        <v>11345</v>
      </c>
      <c r="F400" s="101">
        <f>SUM(F345:F399)</f>
        <v>1349</v>
      </c>
      <c r="G400" s="101">
        <f>SUM(G345:G399)</f>
        <v>3332</v>
      </c>
      <c r="H400" s="101">
        <f>SUM(H345:H399)</f>
        <v>11007</v>
      </c>
      <c r="I400" s="64">
        <f>SUM(F400:H400)</f>
        <v>15688</v>
      </c>
      <c r="J400" s="101">
        <f>SUM(J345:J399)</f>
        <v>15407</v>
      </c>
      <c r="K400" s="101">
        <f>SUM(K345:K399)</f>
        <v>16615</v>
      </c>
      <c r="L400" s="101">
        <f>SUM(L345:L399)</f>
        <v>8983</v>
      </c>
      <c r="M400" s="64">
        <f>SUM(J400:L400)</f>
        <v>41005</v>
      </c>
      <c r="N400" s="101">
        <f>SUM(N345:N399)</f>
        <v>9623</v>
      </c>
      <c r="O400" s="101">
        <f>SUM(O345:O399)</f>
        <v>8668</v>
      </c>
      <c r="P400" s="101">
        <f>SUM(P345:P399)</f>
        <v>4963</v>
      </c>
      <c r="Q400" s="64">
        <f>SUM(N400:P400)</f>
        <v>23254</v>
      </c>
      <c r="R400" s="64">
        <f>+E400+I400+M400+Q400</f>
        <v>91292</v>
      </c>
      <c r="T400" s="106"/>
      <c r="V400" s="4" t="s">
        <v>305</v>
      </c>
      <c r="W400" s="127">
        <v>0.18</v>
      </c>
    </row>
    <row r="401" spans="1:39" ht="15.75" customHeight="1" x14ac:dyDescent="0.3">
      <c r="A401" s="17" t="s">
        <v>53</v>
      </c>
      <c r="B401" s="1"/>
      <c r="C401" s="1"/>
      <c r="D401" s="1"/>
      <c r="E401" s="59" t="s">
        <v>7</v>
      </c>
      <c r="F401" s="1"/>
      <c r="G401" s="1"/>
      <c r="H401" s="1"/>
      <c r="I401" s="59" t="s">
        <v>7</v>
      </c>
      <c r="J401" s="1"/>
      <c r="K401" s="1"/>
      <c r="L401" s="1"/>
      <c r="M401" s="59" t="s">
        <v>7</v>
      </c>
      <c r="N401" s="1"/>
      <c r="O401" s="1"/>
      <c r="P401" s="1"/>
      <c r="Q401" s="59" t="s">
        <v>7</v>
      </c>
      <c r="R401" s="59" t="s">
        <v>7</v>
      </c>
      <c r="V401" s="4" t="s">
        <v>366</v>
      </c>
      <c r="W401" s="127">
        <v>0.52</v>
      </c>
    </row>
    <row r="402" spans="1:39" ht="15.75" customHeight="1" x14ac:dyDescent="0.3">
      <c r="A402" s="17" t="s">
        <v>367</v>
      </c>
      <c r="B402" s="1"/>
      <c r="C402" s="1"/>
      <c r="D402" s="1"/>
      <c r="E402" s="59"/>
      <c r="F402" s="1"/>
      <c r="G402" s="1"/>
      <c r="H402" s="1"/>
      <c r="I402" s="59"/>
      <c r="J402" s="1"/>
      <c r="K402" s="1"/>
      <c r="L402" s="1"/>
      <c r="M402" s="59"/>
      <c r="N402" s="1"/>
      <c r="O402" s="1"/>
      <c r="P402" s="1"/>
      <c r="Q402" s="59"/>
      <c r="R402" s="59"/>
      <c r="V402" s="4" t="s">
        <v>368</v>
      </c>
      <c r="W402" s="127">
        <v>0.3</v>
      </c>
    </row>
    <row r="403" spans="1:39" ht="15.75" customHeight="1" x14ac:dyDescent="0.3">
      <c r="A403" s="17" t="s">
        <v>55</v>
      </c>
      <c r="B403" s="1"/>
      <c r="C403" s="1"/>
      <c r="D403" s="1"/>
      <c r="E403" s="59" t="s">
        <v>7</v>
      </c>
      <c r="F403" s="1"/>
      <c r="G403" s="1"/>
      <c r="H403" s="1"/>
      <c r="I403" s="59" t="s">
        <v>7</v>
      </c>
      <c r="J403" s="1"/>
      <c r="K403" s="1"/>
      <c r="L403" s="1"/>
      <c r="M403" s="59" t="s">
        <v>7</v>
      </c>
      <c r="N403" s="1"/>
      <c r="O403" s="1"/>
      <c r="P403" s="1"/>
      <c r="Q403" s="59" t="s">
        <v>7</v>
      </c>
      <c r="R403" s="59" t="s">
        <v>7</v>
      </c>
      <c r="W403" s="128">
        <f>+SUM(W400:W402)</f>
        <v>1</v>
      </c>
    </row>
    <row r="404" spans="1:39" ht="15.75" customHeight="1" x14ac:dyDescent="0.3">
      <c r="A404" s="76" t="s">
        <v>369</v>
      </c>
      <c r="B404" s="1">
        <v>36</v>
      </c>
      <c r="C404" s="1">
        <v>154</v>
      </c>
      <c r="D404" s="1">
        <v>712</v>
      </c>
      <c r="E404" s="59">
        <f>SUM(B404:D404)</f>
        <v>902</v>
      </c>
      <c r="F404" s="1">
        <v>2134</v>
      </c>
      <c r="G404" s="1">
        <v>1497</v>
      </c>
      <c r="H404" s="1">
        <v>3080</v>
      </c>
      <c r="I404" s="59">
        <f>SUM(F404:H404)</f>
        <v>6711</v>
      </c>
      <c r="J404" s="1">
        <v>3065</v>
      </c>
      <c r="K404" s="1">
        <v>3683</v>
      </c>
      <c r="L404" s="1"/>
      <c r="M404" s="59">
        <f>SUM(J404:L404)</f>
        <v>6748</v>
      </c>
      <c r="N404" s="1">
        <v>1486</v>
      </c>
      <c r="O404" s="1">
        <v>860</v>
      </c>
      <c r="P404" s="1">
        <v>512</v>
      </c>
      <c r="Q404" s="59">
        <f>SUM(N404:P404)</f>
        <v>2858</v>
      </c>
      <c r="R404" s="59">
        <f t="shared" ref="R404:R412" si="160">+E404+I404+M404+Q404</f>
        <v>17219</v>
      </c>
      <c r="T404" s="4" t="s">
        <v>305</v>
      </c>
      <c r="V404" s="129" t="s">
        <v>370</v>
      </c>
      <c r="W404" s="30" t="s">
        <v>36</v>
      </c>
      <c r="X404" s="2" t="s">
        <v>9</v>
      </c>
      <c r="Y404" s="2" t="s">
        <v>10</v>
      </c>
      <c r="Z404" s="130" t="s">
        <v>11</v>
      </c>
      <c r="AA404" s="2" t="s">
        <v>12</v>
      </c>
      <c r="AB404" s="2" t="s">
        <v>13</v>
      </c>
      <c r="AC404" s="2" t="s">
        <v>14</v>
      </c>
      <c r="AD404" s="130" t="s">
        <v>15</v>
      </c>
      <c r="AE404" s="2" t="s">
        <v>16</v>
      </c>
      <c r="AF404" s="2" t="s">
        <v>17</v>
      </c>
      <c r="AG404" s="2" t="s">
        <v>18</v>
      </c>
      <c r="AH404" s="130" t="s">
        <v>19</v>
      </c>
      <c r="AI404" s="2" t="s">
        <v>20</v>
      </c>
      <c r="AJ404" s="2" t="s">
        <v>21</v>
      </c>
      <c r="AK404" s="2" t="s">
        <v>22</v>
      </c>
      <c r="AL404" s="130" t="s">
        <v>23</v>
      </c>
      <c r="AM404" s="131" t="s">
        <v>24</v>
      </c>
    </row>
    <row r="405" spans="1:39" ht="15.75" customHeight="1" x14ac:dyDescent="0.3">
      <c r="A405" s="76" t="s">
        <v>371</v>
      </c>
      <c r="B405" s="1"/>
      <c r="C405" s="1"/>
      <c r="D405" s="1"/>
      <c r="E405" s="59">
        <f>SUM(B405:D405)</f>
        <v>0</v>
      </c>
      <c r="F405" s="1">
        <v>36</v>
      </c>
      <c r="G405" s="1">
        <v>24</v>
      </c>
      <c r="H405" s="1">
        <v>24</v>
      </c>
      <c r="I405" s="59">
        <f>SUM(F405:H405)</f>
        <v>84</v>
      </c>
      <c r="J405" s="1">
        <v>36</v>
      </c>
      <c r="K405" s="1">
        <v>18</v>
      </c>
      <c r="L405" s="1">
        <v>12</v>
      </c>
      <c r="M405" s="59">
        <f>SUM(J405:L405)</f>
        <v>66</v>
      </c>
      <c r="N405" s="1">
        <v>17</v>
      </c>
      <c r="O405" s="1"/>
      <c r="P405" s="1"/>
      <c r="Q405" s="59">
        <f>SUM(N405:P405)</f>
        <v>17</v>
      </c>
      <c r="R405" s="59">
        <f t="shared" si="160"/>
        <v>167</v>
      </c>
      <c r="T405" s="4" t="s">
        <v>331</v>
      </c>
      <c r="V405" s="95" t="s">
        <v>372</v>
      </c>
      <c r="W405" s="132">
        <v>1500</v>
      </c>
      <c r="X405" s="132">
        <v>1500</v>
      </c>
      <c r="Y405" s="132">
        <v>6800</v>
      </c>
      <c r="Z405" s="4">
        <f>+SUM(W405:Y405)</f>
        <v>9800</v>
      </c>
      <c r="AA405" s="132">
        <f>8000+1500</f>
        <v>9500</v>
      </c>
      <c r="AB405" s="132">
        <f>10000+2000</f>
        <v>12000</v>
      </c>
      <c r="AC405" s="132">
        <f>12000+1500</f>
        <v>13500</v>
      </c>
      <c r="AD405" s="4">
        <f>+SUM(AA405:AC405)</f>
        <v>35000</v>
      </c>
      <c r="AE405" s="132">
        <v>25500</v>
      </c>
      <c r="AF405" s="132">
        <v>19000</v>
      </c>
      <c r="AG405" s="132">
        <v>4000</v>
      </c>
      <c r="AH405" s="4">
        <f>+SUM(AE405:AG405)</f>
        <v>48500</v>
      </c>
      <c r="AI405" s="132">
        <v>1500</v>
      </c>
      <c r="AJ405" s="132">
        <v>1000</v>
      </c>
      <c r="AK405" s="132">
        <v>1069</v>
      </c>
      <c r="AL405" s="4">
        <f>+SUM(AI405:AK405)</f>
        <v>3569</v>
      </c>
      <c r="AM405" s="133">
        <f>+Z405+AD405+AH405+AL405</f>
        <v>96869</v>
      </c>
    </row>
    <row r="406" spans="1:39" ht="15.75" customHeight="1" x14ac:dyDescent="0.3">
      <c r="A406" s="76" t="s">
        <v>373</v>
      </c>
      <c r="B406" s="1">
        <v>341</v>
      </c>
      <c r="C406" s="1">
        <v>650</v>
      </c>
      <c r="D406" s="1">
        <v>1135</v>
      </c>
      <c r="E406" s="59">
        <f t="shared" ref="E406:E407" si="161">SUM(B406:D406)</f>
        <v>2126</v>
      </c>
      <c r="F406" s="1">
        <v>5589</v>
      </c>
      <c r="G406" s="1">
        <v>7267</v>
      </c>
      <c r="H406" s="1">
        <v>8197</v>
      </c>
      <c r="I406" s="59">
        <f t="shared" ref="I406:I411" si="162">SUM(F406:H406)</f>
        <v>21053</v>
      </c>
      <c r="J406" s="1">
        <v>6277</v>
      </c>
      <c r="K406" s="1"/>
      <c r="L406" s="1"/>
      <c r="M406" s="59">
        <f t="shared" ref="M406:M411" si="163">SUM(J406:L406)</f>
        <v>6277</v>
      </c>
      <c r="N406" s="1"/>
      <c r="O406" s="1"/>
      <c r="P406" s="1"/>
      <c r="Q406" s="59">
        <f t="shared" ref="Q406:Q412" si="164">SUM(N406:P406)</f>
        <v>0</v>
      </c>
      <c r="R406" s="59">
        <f t="shared" si="160"/>
        <v>29456</v>
      </c>
      <c r="T406" s="4" t="s">
        <v>307</v>
      </c>
      <c r="V406" s="95" t="s">
        <v>305</v>
      </c>
      <c r="W406" s="4">
        <f>+$W$400*W405</f>
        <v>270</v>
      </c>
      <c r="X406" s="4">
        <f>+$W$400*X405</f>
        <v>270</v>
      </c>
      <c r="Y406" s="4">
        <f>+$W$400*Y405</f>
        <v>1224</v>
      </c>
      <c r="Z406" s="4">
        <f>+SUM(W406:Y406)</f>
        <v>1764</v>
      </c>
      <c r="AA406" s="4">
        <f>+$W$400*AA405</f>
        <v>1710</v>
      </c>
      <c r="AB406" s="4">
        <f>+$W$400*AB405</f>
        <v>2160</v>
      </c>
      <c r="AC406" s="4">
        <f>+$W$400*AC405</f>
        <v>2430</v>
      </c>
      <c r="AD406" s="4">
        <f>+SUM(AA406:AC406)</f>
        <v>6300</v>
      </c>
      <c r="AE406" s="4">
        <f>+$W$400*AE405</f>
        <v>4590</v>
      </c>
      <c r="AF406" s="4">
        <f>+$W$400*AF405</f>
        <v>3420</v>
      </c>
      <c r="AG406" s="4">
        <f>+$W$400*AG405</f>
        <v>720</v>
      </c>
      <c r="AH406" s="4">
        <f>+SUM(AE406:AG406)</f>
        <v>8730</v>
      </c>
      <c r="AI406" s="4">
        <f>+$W$400*AI405</f>
        <v>270</v>
      </c>
      <c r="AJ406" s="4">
        <f>+$W$400*AJ405</f>
        <v>180</v>
      </c>
      <c r="AK406" s="4">
        <f>+$W$400*AK405</f>
        <v>192.42</v>
      </c>
      <c r="AL406" s="4">
        <f>+SUM(AI406:AK406)</f>
        <v>642.41999999999996</v>
      </c>
      <c r="AM406" s="133">
        <f>+Z406+AD406+AH406+AL406</f>
        <v>17436.419999999998</v>
      </c>
    </row>
    <row r="407" spans="1:39" ht="15.75" customHeight="1" x14ac:dyDescent="0.3">
      <c r="A407" s="76" t="s">
        <v>374</v>
      </c>
      <c r="B407" s="1">
        <v>1332</v>
      </c>
      <c r="C407" s="1">
        <v>4587</v>
      </c>
      <c r="D407" s="1">
        <v>6726</v>
      </c>
      <c r="E407" s="59">
        <f t="shared" si="161"/>
        <v>12645</v>
      </c>
      <c r="F407" s="1">
        <v>14952</v>
      </c>
      <c r="G407" s="1">
        <v>21165</v>
      </c>
      <c r="H407" s="1">
        <v>23173</v>
      </c>
      <c r="I407" s="59">
        <f t="shared" ref="I407" si="165">SUM(F407:H407)</f>
        <v>59290</v>
      </c>
      <c r="J407" s="1">
        <v>14959</v>
      </c>
      <c r="K407" s="1">
        <v>5348</v>
      </c>
      <c r="L407" s="1">
        <v>385</v>
      </c>
      <c r="M407" s="59">
        <f t="shared" ref="M407" si="166">SUM(J407:L407)</f>
        <v>20692</v>
      </c>
      <c r="N407" s="1">
        <v>1798</v>
      </c>
      <c r="O407" s="1">
        <v>3030</v>
      </c>
      <c r="P407" s="1">
        <v>5201</v>
      </c>
      <c r="Q407" s="59">
        <f t="shared" si="164"/>
        <v>10029</v>
      </c>
      <c r="R407" s="59">
        <f t="shared" si="160"/>
        <v>102656</v>
      </c>
      <c r="T407" s="4" t="s">
        <v>305</v>
      </c>
      <c r="V407" s="95" t="s">
        <v>366</v>
      </c>
      <c r="W407" s="4">
        <f>+$W$401*W405</f>
        <v>780</v>
      </c>
      <c r="X407" s="4">
        <f>+$W$401*X405</f>
        <v>780</v>
      </c>
      <c r="Y407" s="4">
        <f>+$W$401*Y405</f>
        <v>3536</v>
      </c>
      <c r="Z407" s="4">
        <f>+SUM(W407:Y407)</f>
        <v>5096</v>
      </c>
      <c r="AA407" s="4">
        <f>+$W$401*AA405</f>
        <v>4940</v>
      </c>
      <c r="AB407" s="4">
        <f>+$W$401*AB405</f>
        <v>6240</v>
      </c>
      <c r="AC407" s="4">
        <f>+$W$401*AC405</f>
        <v>7020</v>
      </c>
      <c r="AD407" s="4">
        <f>+SUM(AA407:AC407)</f>
        <v>18200</v>
      </c>
      <c r="AE407" s="4">
        <f>+$W$401*AE405</f>
        <v>13260</v>
      </c>
      <c r="AF407" s="4">
        <f>+$W$401*AF405</f>
        <v>9880</v>
      </c>
      <c r="AG407" s="4">
        <f>+$W$401*AG405</f>
        <v>2080</v>
      </c>
      <c r="AH407" s="4">
        <f>+SUM(AE407:AG407)</f>
        <v>25220</v>
      </c>
      <c r="AI407" s="4">
        <f>+$W$401*AI405</f>
        <v>780</v>
      </c>
      <c r="AJ407" s="4">
        <f>+$W$401*AJ405</f>
        <v>520</v>
      </c>
      <c r="AK407" s="4">
        <f>+$W$401*AK405</f>
        <v>555.88</v>
      </c>
      <c r="AL407" s="4">
        <f>+SUM(AI407:AK407)</f>
        <v>1855.88</v>
      </c>
      <c r="AM407" s="133">
        <f>+Z407+AD407+AH407+AL407</f>
        <v>50371.88</v>
      </c>
    </row>
    <row r="408" spans="1:39" ht="15.75" customHeight="1" x14ac:dyDescent="0.3">
      <c r="A408" s="76" t="s">
        <v>375</v>
      </c>
      <c r="B408" s="1"/>
      <c r="C408" s="1"/>
      <c r="D408" s="1"/>
      <c r="E408" s="59">
        <f t="shared" ref="E408:E411" si="167">SUM(B408:D408)</f>
        <v>0</v>
      </c>
      <c r="F408" s="1"/>
      <c r="G408" s="1"/>
      <c r="H408" s="1"/>
      <c r="I408" s="59">
        <f t="shared" si="162"/>
        <v>0</v>
      </c>
      <c r="J408" s="1"/>
      <c r="K408" s="1"/>
      <c r="L408" s="1"/>
      <c r="M408" s="59">
        <f t="shared" si="163"/>
        <v>0</v>
      </c>
      <c r="N408" s="1"/>
      <c r="O408" s="1"/>
      <c r="P408" s="1"/>
      <c r="Q408" s="59">
        <f t="shared" si="164"/>
        <v>0</v>
      </c>
      <c r="R408" s="59">
        <f t="shared" si="160"/>
        <v>0</v>
      </c>
      <c r="T408" s="4" t="s">
        <v>376</v>
      </c>
      <c r="V408" s="95" t="s">
        <v>368</v>
      </c>
      <c r="W408" s="4">
        <f>+$W$402*W405</f>
        <v>450</v>
      </c>
      <c r="X408" s="4">
        <f>+$W$402*X405</f>
        <v>450</v>
      </c>
      <c r="Y408" s="4">
        <f>+$W$402*Y405</f>
        <v>2040</v>
      </c>
      <c r="Z408" s="4">
        <f>+SUM(W408:Y408)</f>
        <v>2940</v>
      </c>
      <c r="AA408" s="4">
        <f>+$W$402*AA405</f>
        <v>2850</v>
      </c>
      <c r="AB408" s="4">
        <f>+$W$402*AB405</f>
        <v>3600</v>
      </c>
      <c r="AC408" s="4">
        <f>+$W$402*AC405</f>
        <v>4050</v>
      </c>
      <c r="AD408" s="4">
        <f>+SUM(AA408:AC408)</f>
        <v>10500</v>
      </c>
      <c r="AE408" s="4">
        <f>+$W$402*AE405</f>
        <v>7650</v>
      </c>
      <c r="AF408" s="4">
        <f>+$W$402*AF405</f>
        <v>5700</v>
      </c>
      <c r="AG408" s="4">
        <f>+$W$402*AG405</f>
        <v>1200</v>
      </c>
      <c r="AH408" s="4">
        <f>+SUM(AE408:AG408)</f>
        <v>14550</v>
      </c>
      <c r="AI408" s="4">
        <f>+$W$402*AI405</f>
        <v>450</v>
      </c>
      <c r="AJ408" s="4">
        <f>+$W$402*AJ405</f>
        <v>300</v>
      </c>
      <c r="AK408" s="4">
        <f>+$W$402*AK405</f>
        <v>320.7</v>
      </c>
      <c r="AL408" s="4">
        <f>+$W$402*AL405</f>
        <v>1070.7</v>
      </c>
      <c r="AM408" s="133">
        <f>+Z408+AD408+AH408+AL408</f>
        <v>29060.7</v>
      </c>
    </row>
    <row r="409" spans="1:39" ht="15.75" customHeight="1" thickBot="1" x14ac:dyDescent="0.35">
      <c r="A409" s="76" t="s">
        <v>377</v>
      </c>
      <c r="B409" s="1"/>
      <c r="C409" s="1"/>
      <c r="D409" s="1"/>
      <c r="E409" s="59">
        <f t="shared" ref="E409" si="168">SUM(B409:D409)</f>
        <v>0</v>
      </c>
      <c r="F409" s="1"/>
      <c r="G409" s="1"/>
      <c r="H409" s="1"/>
      <c r="I409" s="59">
        <f t="shared" ref="I409" si="169">SUM(F409:H409)</f>
        <v>0</v>
      </c>
      <c r="J409" s="1"/>
      <c r="K409" s="1"/>
      <c r="L409" s="1"/>
      <c r="M409" s="59">
        <f t="shared" ref="M409" si="170">SUM(J409:L409)</f>
        <v>0</v>
      </c>
      <c r="N409" s="1"/>
      <c r="O409" s="1"/>
      <c r="P409" s="1"/>
      <c r="Q409" s="59">
        <f t="shared" si="164"/>
        <v>0</v>
      </c>
      <c r="R409" s="59">
        <f t="shared" si="160"/>
        <v>0</v>
      </c>
      <c r="T409" s="4" t="s">
        <v>331</v>
      </c>
      <c r="V409" s="134"/>
      <c r="W409" s="135"/>
      <c r="X409" s="135"/>
      <c r="Y409" s="135"/>
      <c r="Z409" s="135"/>
      <c r="AA409" s="135"/>
      <c r="AB409" s="135"/>
      <c r="AC409" s="135"/>
      <c r="AD409" s="135"/>
      <c r="AE409" s="135"/>
      <c r="AF409" s="135"/>
      <c r="AG409" s="135"/>
      <c r="AH409" s="135"/>
      <c r="AI409" s="135"/>
      <c r="AJ409" s="135"/>
      <c r="AK409" s="135"/>
      <c r="AL409" s="135"/>
      <c r="AM409" s="136"/>
    </row>
    <row r="410" spans="1:39" s="20" customFormat="1" ht="15.75" customHeight="1" x14ac:dyDescent="0.3">
      <c r="A410" s="104" t="s">
        <v>378</v>
      </c>
      <c r="B410" s="92"/>
      <c r="C410" s="92"/>
      <c r="D410" s="92"/>
      <c r="E410" s="93">
        <f t="shared" si="167"/>
        <v>0</v>
      </c>
      <c r="F410" s="92"/>
      <c r="G410" s="92"/>
      <c r="H410" s="92"/>
      <c r="I410" s="93">
        <f t="shared" si="162"/>
        <v>0</v>
      </c>
      <c r="J410" s="92"/>
      <c r="K410" s="92"/>
      <c r="L410" s="92"/>
      <c r="M410" s="93">
        <f t="shared" si="163"/>
        <v>0</v>
      </c>
      <c r="N410" s="92"/>
      <c r="O410" s="92"/>
      <c r="P410" s="92"/>
      <c r="Q410" s="93">
        <f t="shared" ref="Q410" si="171">SUM(N410:P410)</f>
        <v>0</v>
      </c>
      <c r="R410" s="93">
        <f t="shared" si="160"/>
        <v>0</v>
      </c>
    </row>
    <row r="411" spans="1:39" ht="15.75" customHeight="1" x14ac:dyDescent="0.3">
      <c r="A411" s="76" t="s">
        <v>379</v>
      </c>
      <c r="B411" s="1"/>
      <c r="C411" s="1"/>
      <c r="D411" s="1"/>
      <c r="E411" s="59">
        <f t="shared" si="167"/>
        <v>0</v>
      </c>
      <c r="F411" s="1"/>
      <c r="G411" s="1"/>
      <c r="H411" s="1"/>
      <c r="I411" s="59">
        <f t="shared" si="162"/>
        <v>0</v>
      </c>
      <c r="J411" s="1"/>
      <c r="K411" s="1"/>
      <c r="L411" s="1"/>
      <c r="M411" s="59">
        <f t="shared" si="163"/>
        <v>0</v>
      </c>
      <c r="N411" s="1"/>
      <c r="O411" s="1"/>
      <c r="P411" s="1"/>
      <c r="Q411" s="59">
        <f t="shared" si="164"/>
        <v>0</v>
      </c>
      <c r="R411" s="59">
        <f t="shared" si="160"/>
        <v>0</v>
      </c>
      <c r="T411" s="4" t="s">
        <v>317</v>
      </c>
    </row>
    <row r="412" spans="1:39" ht="15.75" customHeight="1" x14ac:dyDescent="0.3">
      <c r="A412" s="76" t="s">
        <v>380</v>
      </c>
      <c r="B412" s="1"/>
      <c r="C412" s="1"/>
      <c r="D412" s="1"/>
      <c r="E412" s="59">
        <f t="shared" ref="E412" si="172">SUM(B412:D412)</f>
        <v>0</v>
      </c>
      <c r="F412" s="1"/>
      <c r="G412" s="1"/>
      <c r="H412" s="1"/>
      <c r="I412" s="59">
        <f t="shared" ref="I412" si="173">SUM(F412:H412)</f>
        <v>0</v>
      </c>
      <c r="J412" s="1"/>
      <c r="K412" s="1"/>
      <c r="L412" s="1">
        <v>4</v>
      </c>
      <c r="M412" s="59">
        <f t="shared" ref="M412" si="174">SUM(J412:L412)</f>
        <v>4</v>
      </c>
      <c r="N412" s="1"/>
      <c r="O412" s="1">
        <v>37</v>
      </c>
      <c r="P412" s="1">
        <v>1384</v>
      </c>
      <c r="Q412" s="59">
        <f t="shared" si="164"/>
        <v>1421</v>
      </c>
      <c r="R412" s="59">
        <f t="shared" si="160"/>
        <v>1425</v>
      </c>
    </row>
    <row r="413" spans="1:39" ht="15.75" customHeight="1" thickBot="1" x14ac:dyDescent="0.35">
      <c r="A413" s="17" t="s">
        <v>56</v>
      </c>
      <c r="B413" s="1"/>
      <c r="C413" s="1"/>
      <c r="D413" s="1"/>
      <c r="E413" s="59" t="s">
        <v>7</v>
      </c>
      <c r="F413" s="1"/>
      <c r="G413" s="1"/>
      <c r="H413" s="1"/>
      <c r="I413" s="59" t="s">
        <v>7</v>
      </c>
      <c r="J413" s="1"/>
      <c r="K413" s="1"/>
      <c r="L413" s="1"/>
      <c r="M413" s="59" t="s">
        <v>7</v>
      </c>
      <c r="N413" s="1"/>
      <c r="O413" s="1"/>
      <c r="P413" s="1"/>
      <c r="Q413" s="59" t="s">
        <v>7</v>
      </c>
      <c r="R413" s="59" t="s">
        <v>7</v>
      </c>
    </row>
    <row r="414" spans="1:39" ht="16.5" customHeight="1" thickBot="1" x14ac:dyDescent="0.35">
      <c r="A414" s="62" t="s">
        <v>57</v>
      </c>
      <c r="B414" s="100">
        <f>SUM(B401:B413)</f>
        <v>1709</v>
      </c>
      <c r="C414" s="101">
        <f>SUM(C401:C413)</f>
        <v>5391</v>
      </c>
      <c r="D414" s="101">
        <f>SUM(D401:D413)</f>
        <v>8573</v>
      </c>
      <c r="E414" s="64">
        <f>SUM(B414:D414)</f>
        <v>15673</v>
      </c>
      <c r="F414" s="101">
        <f>SUM(F401:F413)</f>
        <v>22711</v>
      </c>
      <c r="G414" s="101">
        <f>SUM(G401:G413)</f>
        <v>29953</v>
      </c>
      <c r="H414" s="101">
        <f>SUM(H401:H413)</f>
        <v>34474</v>
      </c>
      <c r="I414" s="64">
        <f>SUM(F414:H414)</f>
        <v>87138</v>
      </c>
      <c r="J414" s="101">
        <f>SUM(J401:J413)</f>
        <v>24337</v>
      </c>
      <c r="K414" s="101">
        <f>SUM(K401:K413)</f>
        <v>9049</v>
      </c>
      <c r="L414" s="101">
        <f>SUM(L401:L413)</f>
        <v>401</v>
      </c>
      <c r="M414" s="64">
        <f>SUM(J414:L414)</f>
        <v>33787</v>
      </c>
      <c r="N414" s="101">
        <f>SUM(N401:N413)</f>
        <v>3301</v>
      </c>
      <c r="O414" s="101">
        <f>SUM(O401:O413)</f>
        <v>3927</v>
      </c>
      <c r="P414" s="101">
        <f>SUM(P401:P413)</f>
        <v>7097</v>
      </c>
      <c r="Q414" s="64">
        <f>SUM(N414:P414)</f>
        <v>14325</v>
      </c>
      <c r="R414" s="64">
        <f>+E414+I414+M414+Q414</f>
        <v>150923</v>
      </c>
    </row>
    <row r="415" spans="1:39" ht="15.75" customHeight="1" x14ac:dyDescent="0.3">
      <c r="A415" s="17" t="s">
        <v>58</v>
      </c>
      <c r="B415" s="1"/>
      <c r="C415" s="1"/>
      <c r="D415" s="1"/>
      <c r="E415" s="59" t="s">
        <v>7</v>
      </c>
      <c r="F415" s="1"/>
      <c r="G415" s="1"/>
      <c r="H415" s="1"/>
      <c r="I415" s="59" t="s">
        <v>7</v>
      </c>
      <c r="J415" s="1"/>
      <c r="K415" s="1"/>
      <c r="L415" s="1"/>
      <c r="M415" s="59" t="s">
        <v>7</v>
      </c>
      <c r="N415" s="1"/>
      <c r="O415" s="1"/>
      <c r="P415" s="1"/>
      <c r="Q415" s="59" t="s">
        <v>7</v>
      </c>
      <c r="R415" s="59" t="s">
        <v>7</v>
      </c>
    </row>
    <row r="416" spans="1:39" ht="15.75" customHeight="1" x14ac:dyDescent="0.3">
      <c r="A416" s="17" t="s">
        <v>59</v>
      </c>
      <c r="B416" s="1"/>
      <c r="C416" s="1"/>
      <c r="D416" s="1"/>
      <c r="E416" s="59" t="s">
        <v>7</v>
      </c>
      <c r="F416" s="1"/>
      <c r="G416" s="1"/>
      <c r="H416" s="1"/>
      <c r="I416" s="59" t="s">
        <v>7</v>
      </c>
      <c r="J416" s="1"/>
      <c r="K416" s="1"/>
      <c r="L416" s="1"/>
      <c r="M416" s="59" t="s">
        <v>7</v>
      </c>
      <c r="N416" s="1"/>
      <c r="O416" s="1"/>
      <c r="P416" s="1"/>
      <c r="Q416" s="59" t="s">
        <v>7</v>
      </c>
      <c r="R416" s="59" t="s">
        <v>7</v>
      </c>
    </row>
    <row r="417" spans="1:20" ht="15.75" customHeight="1" x14ac:dyDescent="0.3">
      <c r="A417" s="76" t="s">
        <v>381</v>
      </c>
      <c r="B417" s="1">
        <v>1279</v>
      </c>
      <c r="C417" s="1">
        <v>3284</v>
      </c>
      <c r="D417" s="1">
        <v>4938</v>
      </c>
      <c r="E417" s="59">
        <f>SUM(B417:D417)</f>
        <v>9501</v>
      </c>
      <c r="F417" s="1">
        <v>10340</v>
      </c>
      <c r="G417" s="1">
        <v>13617</v>
      </c>
      <c r="H417" s="1">
        <v>12748</v>
      </c>
      <c r="I417" s="59">
        <f>SUM(F417:H417)</f>
        <v>36705</v>
      </c>
      <c r="J417" s="1">
        <v>9489</v>
      </c>
      <c r="K417" s="1">
        <v>7284</v>
      </c>
      <c r="L417" s="1">
        <v>4085</v>
      </c>
      <c r="M417" s="59">
        <f>SUM(J417:L417)</f>
        <v>20858</v>
      </c>
      <c r="N417" s="1">
        <v>3390</v>
      </c>
      <c r="O417" s="1">
        <v>447</v>
      </c>
      <c r="P417" s="1">
        <v>1536</v>
      </c>
      <c r="Q417" s="59">
        <f>SUM(N417:P417)</f>
        <v>5373</v>
      </c>
      <c r="R417" s="59">
        <f>+E417+I417+M417+Q417</f>
        <v>72437</v>
      </c>
      <c r="T417" s="4" t="s">
        <v>305</v>
      </c>
    </row>
    <row r="418" spans="1:20" ht="15.75" customHeight="1" x14ac:dyDescent="0.3">
      <c r="A418" s="76" t="s">
        <v>382</v>
      </c>
      <c r="B418" s="1">
        <v>204</v>
      </c>
      <c r="C418" s="1">
        <v>206</v>
      </c>
      <c r="D418" s="1">
        <v>188</v>
      </c>
      <c r="E418" s="59">
        <f>SUM(B418:D418)</f>
        <v>598</v>
      </c>
      <c r="F418" s="1"/>
      <c r="G418" s="1">
        <v>280</v>
      </c>
      <c r="H418" s="1">
        <v>188</v>
      </c>
      <c r="I418" s="59">
        <f>SUM(F418:H418)</f>
        <v>468</v>
      </c>
      <c r="J418" s="1"/>
      <c r="K418" s="1">
        <v>23</v>
      </c>
      <c r="L418" s="1">
        <v>197</v>
      </c>
      <c r="M418" s="59">
        <f>SUM(J418:L418)</f>
        <v>220</v>
      </c>
      <c r="N418" s="1"/>
      <c r="O418" s="1">
        <v>29</v>
      </c>
      <c r="P418" s="1">
        <v>220</v>
      </c>
      <c r="Q418" s="59">
        <f>SUM(N418:P418)</f>
        <v>249</v>
      </c>
      <c r="R418" s="59">
        <f>+E418+I418+M418+Q418</f>
        <v>1535</v>
      </c>
    </row>
    <row r="419" spans="1:20" ht="15.75" customHeight="1" x14ac:dyDescent="0.3">
      <c r="A419" s="76" t="s">
        <v>998</v>
      </c>
      <c r="B419" s="1"/>
      <c r="C419" s="1"/>
      <c r="D419" s="1"/>
      <c r="E419" s="59">
        <f>SUM(B419:D419)</f>
        <v>0</v>
      </c>
      <c r="F419" s="1"/>
      <c r="G419" s="1"/>
      <c r="H419" s="1">
        <v>224</v>
      </c>
      <c r="I419" s="59">
        <f>SUM(F419:H419)</f>
        <v>224</v>
      </c>
      <c r="J419" s="1">
        <v>1574</v>
      </c>
      <c r="K419" s="1">
        <v>1410</v>
      </c>
      <c r="L419" s="1">
        <v>1456</v>
      </c>
      <c r="M419" s="59">
        <f>SUM(J419:L419)</f>
        <v>4440</v>
      </c>
      <c r="N419" s="1">
        <v>552</v>
      </c>
      <c r="O419" s="1">
        <v>777</v>
      </c>
      <c r="P419" s="1"/>
      <c r="Q419" s="59">
        <f>SUM(N419:P419)</f>
        <v>1329</v>
      </c>
      <c r="R419" s="59">
        <f>+E419+I419+M419+Q419</f>
        <v>5993</v>
      </c>
    </row>
    <row r="420" spans="1:20" ht="15.75" customHeight="1" x14ac:dyDescent="0.3">
      <c r="A420" s="76" t="s">
        <v>383</v>
      </c>
      <c r="B420" s="1">
        <v>235</v>
      </c>
      <c r="C420" s="1">
        <v>727</v>
      </c>
      <c r="D420" s="1">
        <v>1330</v>
      </c>
      <c r="E420" s="59">
        <f>SUM(B420:D420)</f>
        <v>2292</v>
      </c>
      <c r="F420" s="1">
        <v>238</v>
      </c>
      <c r="G420" s="1">
        <v>302</v>
      </c>
      <c r="H420" s="1">
        <v>530</v>
      </c>
      <c r="I420" s="59">
        <f>SUM(F420:H420)</f>
        <v>1070</v>
      </c>
      <c r="J420" s="1">
        <v>653</v>
      </c>
      <c r="K420" s="1">
        <v>985</v>
      </c>
      <c r="L420" s="1"/>
      <c r="M420" s="59">
        <f>SUM(J420:L420)</f>
        <v>1638</v>
      </c>
      <c r="N420" s="1">
        <v>689</v>
      </c>
      <c r="O420" s="1">
        <v>445</v>
      </c>
      <c r="P420" s="1"/>
      <c r="Q420" s="59">
        <f>SUM(N420:P420)</f>
        <v>1134</v>
      </c>
      <c r="R420" s="59">
        <f>+E420+I420+M420+Q420</f>
        <v>6134</v>
      </c>
    </row>
    <row r="421" spans="1:20" ht="15.75" customHeight="1" x14ac:dyDescent="0.3">
      <c r="A421" s="76" t="s">
        <v>384</v>
      </c>
      <c r="B421" s="1"/>
      <c r="C421" s="1"/>
      <c r="D421" s="1"/>
      <c r="E421" s="59">
        <f>SUM(B421:D421)</f>
        <v>0</v>
      </c>
      <c r="F421" s="1">
        <v>1875</v>
      </c>
      <c r="G421" s="1">
        <v>1875</v>
      </c>
      <c r="H421" s="1">
        <v>1875</v>
      </c>
      <c r="I421" s="59">
        <f>SUM(F421:H421)</f>
        <v>5625</v>
      </c>
      <c r="J421" s="1">
        <v>1875</v>
      </c>
      <c r="K421" s="1">
        <v>1644</v>
      </c>
      <c r="L421" s="1">
        <v>2495</v>
      </c>
      <c r="M421" s="59">
        <f>SUM(J421:L421)</f>
        <v>6014</v>
      </c>
      <c r="N421" s="1">
        <v>2559</v>
      </c>
      <c r="O421" s="1">
        <v>727</v>
      </c>
      <c r="P421" s="1">
        <v>75</v>
      </c>
      <c r="Q421" s="59">
        <f>SUM(N421:P421)</f>
        <v>3361</v>
      </c>
      <c r="R421" s="59">
        <f>+E421+I421+M421+Q421</f>
        <v>15000</v>
      </c>
      <c r="T421" s="4" t="s">
        <v>336</v>
      </c>
    </row>
    <row r="422" spans="1:20" ht="15.75" customHeight="1" x14ac:dyDescent="0.3">
      <c r="A422" s="17" t="s">
        <v>60</v>
      </c>
      <c r="B422" s="1"/>
      <c r="C422" s="1"/>
      <c r="D422" s="1"/>
      <c r="E422" s="59" t="s">
        <v>7</v>
      </c>
      <c r="F422" s="1"/>
      <c r="G422" s="1"/>
      <c r="H422" s="1"/>
      <c r="I422" s="59" t="s">
        <v>7</v>
      </c>
      <c r="J422" s="1"/>
      <c r="K422" s="1"/>
      <c r="L422" s="1"/>
      <c r="M422" s="59" t="s">
        <v>7</v>
      </c>
      <c r="N422" s="1"/>
      <c r="O422" s="1"/>
      <c r="P422" s="1"/>
      <c r="Q422" s="59" t="s">
        <v>7</v>
      </c>
      <c r="R422" s="59" t="s">
        <v>7</v>
      </c>
    </row>
    <row r="423" spans="1:20" ht="15.75" customHeight="1" x14ac:dyDescent="0.3">
      <c r="A423" s="76" t="s">
        <v>385</v>
      </c>
      <c r="B423" s="1"/>
      <c r="C423" s="1"/>
      <c r="D423" s="1"/>
      <c r="E423" s="59">
        <f>SUM(B423:D423)</f>
        <v>0</v>
      </c>
      <c r="F423" s="1"/>
      <c r="G423" s="1"/>
      <c r="H423" s="1"/>
      <c r="I423" s="59">
        <f t="shared" ref="I423:I424" si="175">SUM(F423:H423)</f>
        <v>0</v>
      </c>
      <c r="J423" s="1">
        <v>3500</v>
      </c>
      <c r="K423" s="1"/>
      <c r="L423" s="1"/>
      <c r="M423" s="59">
        <f>SUM(J423:L423)</f>
        <v>3500</v>
      </c>
      <c r="N423" s="1"/>
      <c r="O423" s="1"/>
      <c r="P423" s="1"/>
      <c r="Q423" s="59">
        <f>SUM(N423:P423)</f>
        <v>0</v>
      </c>
      <c r="R423" s="59">
        <f t="shared" ref="R423:R487" si="176">+E423+I423+M423+Q423</f>
        <v>3500</v>
      </c>
    </row>
    <row r="424" spans="1:20" ht="15.75" customHeight="1" x14ac:dyDescent="0.3">
      <c r="A424" s="76" t="s">
        <v>386</v>
      </c>
      <c r="B424" s="1"/>
      <c r="C424" s="1"/>
      <c r="D424" s="1"/>
      <c r="E424" s="59">
        <f>SUM(B424:D424)</f>
        <v>0</v>
      </c>
      <c r="F424" s="1"/>
      <c r="G424" s="1">
        <v>1114</v>
      </c>
      <c r="H424" s="1"/>
      <c r="I424" s="59">
        <f t="shared" si="175"/>
        <v>1114</v>
      </c>
      <c r="J424" s="1"/>
      <c r="K424" s="1"/>
      <c r="L424" s="1"/>
      <c r="M424" s="59">
        <f>SUM(J424:L424)</f>
        <v>0</v>
      </c>
      <c r="N424" s="1"/>
      <c r="O424" s="1">
        <v>130</v>
      </c>
      <c r="P424" s="1"/>
      <c r="Q424" s="59">
        <f>SUM(N424:P424)</f>
        <v>130</v>
      </c>
      <c r="R424" s="59">
        <f t="shared" si="176"/>
        <v>1244</v>
      </c>
    </row>
    <row r="425" spans="1:20" ht="15.75" customHeight="1" x14ac:dyDescent="0.3">
      <c r="A425" s="76" t="s">
        <v>387</v>
      </c>
      <c r="B425" s="1"/>
      <c r="C425" s="1"/>
      <c r="D425" s="1"/>
      <c r="E425" s="59">
        <f>SUM(B425:D425)</f>
        <v>0</v>
      </c>
      <c r="F425" s="1"/>
      <c r="G425" s="1">
        <v>3000</v>
      </c>
      <c r="H425" s="1">
        <v>933</v>
      </c>
      <c r="I425" s="59">
        <f>SUM(F425:H425)</f>
        <v>3933</v>
      </c>
      <c r="J425" s="1"/>
      <c r="K425" s="1"/>
      <c r="L425" s="1"/>
      <c r="M425" s="59">
        <f>SUM(J425:L425)</f>
        <v>0</v>
      </c>
      <c r="N425" s="1"/>
      <c r="O425" s="1"/>
      <c r="P425" s="1"/>
      <c r="Q425" s="59">
        <f>SUM(N425:P425)</f>
        <v>0</v>
      </c>
      <c r="R425" s="59">
        <f t="shared" si="176"/>
        <v>3933</v>
      </c>
    </row>
    <row r="426" spans="1:20" ht="15.75" customHeight="1" x14ac:dyDescent="0.3">
      <c r="A426" s="76" t="s">
        <v>388</v>
      </c>
      <c r="B426" s="1"/>
      <c r="C426" s="1"/>
      <c r="D426" s="1"/>
      <c r="E426" s="59">
        <f t="shared" ref="E426:E487" si="177">SUM(B426:D426)</f>
        <v>0</v>
      </c>
      <c r="F426" s="1"/>
      <c r="G426" s="1"/>
      <c r="H426" s="1"/>
      <c r="I426" s="59">
        <f t="shared" ref="I426:I487" si="178">SUM(F426:H426)</f>
        <v>0</v>
      </c>
      <c r="J426" s="1"/>
      <c r="K426" s="1"/>
      <c r="L426" s="1"/>
      <c r="M426" s="59">
        <f t="shared" ref="M426:M487" si="179">SUM(J426:L426)</f>
        <v>0</v>
      </c>
      <c r="N426" s="1"/>
      <c r="O426" s="1"/>
      <c r="P426" s="1"/>
      <c r="Q426" s="59">
        <f t="shared" ref="Q426:Q488" si="180">SUM(N426:P426)</f>
        <v>0</v>
      </c>
      <c r="R426" s="59">
        <f t="shared" si="176"/>
        <v>0</v>
      </c>
    </row>
    <row r="427" spans="1:20" ht="15.75" customHeight="1" x14ac:dyDescent="0.3">
      <c r="A427" s="76" t="s">
        <v>389</v>
      </c>
      <c r="B427" s="1"/>
      <c r="C427" s="1">
        <v>172</v>
      </c>
      <c r="D427" s="1"/>
      <c r="E427" s="59">
        <f t="shared" si="177"/>
        <v>172</v>
      </c>
      <c r="F427" s="1"/>
      <c r="G427" s="1"/>
      <c r="H427" s="1"/>
      <c r="I427" s="59">
        <f t="shared" si="178"/>
        <v>0</v>
      </c>
      <c r="J427" s="1"/>
      <c r="K427" s="1"/>
      <c r="L427" s="1"/>
      <c r="M427" s="59">
        <f t="shared" si="179"/>
        <v>0</v>
      </c>
      <c r="N427" s="1"/>
      <c r="O427" s="1"/>
      <c r="P427" s="1"/>
      <c r="Q427" s="59">
        <f t="shared" si="180"/>
        <v>0</v>
      </c>
      <c r="R427" s="59">
        <f t="shared" si="176"/>
        <v>172</v>
      </c>
      <c r="T427" s="4" t="s">
        <v>315</v>
      </c>
    </row>
    <row r="428" spans="1:20" ht="15.75" customHeight="1" x14ac:dyDescent="0.3">
      <c r="A428" s="76" t="s">
        <v>390</v>
      </c>
      <c r="B428" s="1"/>
      <c r="C428" s="1"/>
      <c r="D428" s="1"/>
      <c r="E428" s="59">
        <f t="shared" si="177"/>
        <v>0</v>
      </c>
      <c r="F428" s="1"/>
      <c r="G428" s="1"/>
      <c r="H428" s="1"/>
      <c r="I428" s="59">
        <f t="shared" si="178"/>
        <v>0</v>
      </c>
      <c r="J428" s="1"/>
      <c r="K428" s="1"/>
      <c r="L428" s="1">
        <v>1301</v>
      </c>
      <c r="M428" s="59">
        <f t="shared" si="179"/>
        <v>1301</v>
      </c>
      <c r="N428" s="1">
        <v>1149</v>
      </c>
      <c r="O428" s="1"/>
      <c r="P428" s="1"/>
      <c r="Q428" s="59">
        <f t="shared" si="180"/>
        <v>1149</v>
      </c>
      <c r="R428" s="59">
        <f t="shared" si="176"/>
        <v>2450</v>
      </c>
    </row>
    <row r="429" spans="1:20" ht="15.75" customHeight="1" x14ac:dyDescent="0.3">
      <c r="A429" s="76" t="s">
        <v>391</v>
      </c>
      <c r="B429" s="1">
        <v>1157</v>
      </c>
      <c r="C429" s="1">
        <v>380</v>
      </c>
      <c r="D429" s="1"/>
      <c r="E429" s="59">
        <f t="shared" si="177"/>
        <v>1537</v>
      </c>
      <c r="F429" s="1"/>
      <c r="G429" s="1"/>
      <c r="H429" s="1"/>
      <c r="I429" s="59">
        <f t="shared" si="178"/>
        <v>0</v>
      </c>
      <c r="J429" s="1"/>
      <c r="K429" s="1"/>
      <c r="L429" s="1"/>
      <c r="M429" s="59">
        <f t="shared" si="179"/>
        <v>0</v>
      </c>
      <c r="N429" s="1"/>
      <c r="O429" s="1"/>
      <c r="P429" s="1"/>
      <c r="Q429" s="59">
        <f t="shared" si="180"/>
        <v>0</v>
      </c>
      <c r="R429" s="59">
        <f t="shared" si="176"/>
        <v>1537</v>
      </c>
      <c r="T429" s="4" t="s">
        <v>217</v>
      </c>
    </row>
    <row r="430" spans="1:20" ht="15.75" customHeight="1" x14ac:dyDescent="0.3">
      <c r="A430" s="76" t="s">
        <v>392</v>
      </c>
      <c r="B430" s="1"/>
      <c r="C430" s="1"/>
      <c r="D430" s="1"/>
      <c r="E430" s="59">
        <f t="shared" si="177"/>
        <v>0</v>
      </c>
      <c r="F430" s="1"/>
      <c r="G430" s="1"/>
      <c r="H430" s="1"/>
      <c r="I430" s="59">
        <f t="shared" si="178"/>
        <v>0</v>
      </c>
      <c r="J430" s="1"/>
      <c r="K430" s="1"/>
      <c r="L430" s="1"/>
      <c r="M430" s="59">
        <f t="shared" si="179"/>
        <v>0</v>
      </c>
      <c r="N430" s="1"/>
      <c r="O430" s="1"/>
      <c r="P430" s="1"/>
      <c r="Q430" s="59">
        <f t="shared" si="180"/>
        <v>0</v>
      </c>
      <c r="R430" s="59">
        <f t="shared" si="176"/>
        <v>0</v>
      </c>
      <c r="T430" s="4" t="s">
        <v>315</v>
      </c>
    </row>
    <row r="431" spans="1:20" ht="15.75" customHeight="1" x14ac:dyDescent="0.3">
      <c r="A431" s="76" t="s">
        <v>393</v>
      </c>
      <c r="B431" s="1"/>
      <c r="C431" s="1"/>
      <c r="D431" s="1"/>
      <c r="E431" s="59">
        <f t="shared" si="177"/>
        <v>0</v>
      </c>
      <c r="F431" s="1">
        <v>627</v>
      </c>
      <c r="G431" s="1"/>
      <c r="H431" s="1"/>
      <c r="I431" s="59">
        <f t="shared" si="178"/>
        <v>627</v>
      </c>
      <c r="J431" s="1"/>
      <c r="K431" s="1"/>
      <c r="L431" s="1"/>
      <c r="M431" s="59">
        <f t="shared" si="179"/>
        <v>0</v>
      </c>
      <c r="N431" s="1"/>
      <c r="O431" s="1"/>
      <c r="P431" s="1"/>
      <c r="Q431" s="59">
        <f t="shared" si="180"/>
        <v>0</v>
      </c>
      <c r="R431" s="59">
        <f t="shared" si="176"/>
        <v>627</v>
      </c>
    </row>
    <row r="432" spans="1:20" ht="15.75" customHeight="1" x14ac:dyDescent="0.3">
      <c r="A432" s="76" t="s">
        <v>394</v>
      </c>
      <c r="B432" s="1"/>
      <c r="C432" s="1"/>
      <c r="D432" s="1"/>
      <c r="E432" s="59">
        <f t="shared" si="177"/>
        <v>0</v>
      </c>
      <c r="F432" s="1"/>
      <c r="G432" s="1"/>
      <c r="H432" s="1"/>
      <c r="I432" s="59">
        <f t="shared" si="178"/>
        <v>0</v>
      </c>
      <c r="J432" s="1"/>
      <c r="K432" s="1"/>
      <c r="L432" s="1"/>
      <c r="M432" s="59">
        <f t="shared" si="179"/>
        <v>0</v>
      </c>
      <c r="N432" s="1"/>
      <c r="O432" s="1"/>
      <c r="P432" s="1"/>
      <c r="Q432" s="59">
        <f t="shared" si="180"/>
        <v>0</v>
      </c>
      <c r="R432" s="59">
        <f t="shared" si="176"/>
        <v>0</v>
      </c>
    </row>
    <row r="433" spans="1:20" ht="15.75" customHeight="1" x14ac:dyDescent="0.3">
      <c r="A433" s="76" t="s">
        <v>395</v>
      </c>
      <c r="B433" s="1"/>
      <c r="C433" s="1"/>
      <c r="D433" s="1"/>
      <c r="E433" s="59">
        <f t="shared" si="177"/>
        <v>0</v>
      </c>
      <c r="F433" s="1"/>
      <c r="G433" s="1"/>
      <c r="H433" s="1"/>
      <c r="I433" s="59">
        <f t="shared" si="178"/>
        <v>0</v>
      </c>
      <c r="J433" s="1"/>
      <c r="K433" s="1"/>
      <c r="L433" s="1"/>
      <c r="M433" s="59">
        <f t="shared" si="179"/>
        <v>0</v>
      </c>
      <c r="N433" s="1"/>
      <c r="O433" s="1"/>
      <c r="P433" s="1"/>
      <c r="Q433" s="59">
        <f t="shared" si="180"/>
        <v>0</v>
      </c>
      <c r="R433" s="59">
        <f>+E433+I433+M433+Q433</f>
        <v>0</v>
      </c>
      <c r="T433" s="4" t="s">
        <v>317</v>
      </c>
    </row>
    <row r="434" spans="1:20" ht="15.75" customHeight="1" x14ac:dyDescent="0.3">
      <c r="A434" s="76" t="s">
        <v>396</v>
      </c>
      <c r="B434" s="1"/>
      <c r="C434" s="1"/>
      <c r="D434" s="1"/>
      <c r="E434" s="59">
        <f t="shared" si="177"/>
        <v>0</v>
      </c>
      <c r="F434" s="1"/>
      <c r="G434" s="1"/>
      <c r="H434" s="1"/>
      <c r="I434" s="59">
        <f t="shared" si="178"/>
        <v>0</v>
      </c>
      <c r="J434" s="1">
        <v>373</v>
      </c>
      <c r="K434" s="1"/>
      <c r="L434" s="1">
        <v>1277</v>
      </c>
      <c r="M434" s="59">
        <f t="shared" si="179"/>
        <v>1650</v>
      </c>
      <c r="N434" s="1"/>
      <c r="O434" s="1"/>
      <c r="P434" s="1"/>
      <c r="Q434" s="59">
        <f t="shared" si="180"/>
        <v>0</v>
      </c>
      <c r="R434" s="59">
        <f t="shared" si="176"/>
        <v>1650</v>
      </c>
      <c r="T434" s="4" t="s">
        <v>305</v>
      </c>
    </row>
    <row r="435" spans="1:20" ht="15.75" customHeight="1" x14ac:dyDescent="0.3">
      <c r="A435" s="76" t="s">
        <v>397</v>
      </c>
      <c r="B435" s="1">
        <f>36+44</f>
        <v>80</v>
      </c>
      <c r="C435" s="1">
        <f>245+258</f>
        <v>503</v>
      </c>
      <c r="D435" s="1">
        <f>708+305</f>
        <v>1013</v>
      </c>
      <c r="E435" s="59">
        <f t="shared" si="177"/>
        <v>1596</v>
      </c>
      <c r="F435" s="1">
        <f>1323+1081</f>
        <v>2404</v>
      </c>
      <c r="G435" s="1">
        <f>1000</f>
        <v>1000</v>
      </c>
      <c r="H435" s="1">
        <v>1000</v>
      </c>
      <c r="I435" s="59">
        <f t="shared" si="178"/>
        <v>4404</v>
      </c>
      <c r="J435" s="1">
        <v>1000</v>
      </c>
      <c r="K435" s="1">
        <f>688+312</f>
        <v>1000</v>
      </c>
      <c r="L435" s="1"/>
      <c r="M435" s="59">
        <f t="shared" si="179"/>
        <v>2000</v>
      </c>
      <c r="N435" s="1"/>
      <c r="O435" s="1"/>
      <c r="P435" s="1"/>
      <c r="Q435" s="59">
        <f t="shared" si="180"/>
        <v>0</v>
      </c>
      <c r="R435" s="59">
        <f t="shared" si="176"/>
        <v>8000</v>
      </c>
    </row>
    <row r="436" spans="1:20" ht="15.75" customHeight="1" x14ac:dyDescent="0.3">
      <c r="A436" s="76" t="s">
        <v>398</v>
      </c>
      <c r="B436" s="1"/>
      <c r="C436" s="1"/>
      <c r="D436" s="1">
        <v>400</v>
      </c>
      <c r="E436" s="59">
        <f t="shared" si="177"/>
        <v>400</v>
      </c>
      <c r="F436" s="1"/>
      <c r="G436" s="1">
        <v>5800</v>
      </c>
      <c r="H436" s="1">
        <v>7400</v>
      </c>
      <c r="I436" s="59">
        <f t="shared" si="178"/>
        <v>13200</v>
      </c>
      <c r="J436" s="1">
        <v>2400</v>
      </c>
      <c r="K436" s="1">
        <v>2825</v>
      </c>
      <c r="L436" s="1">
        <v>2825</v>
      </c>
      <c r="M436" s="59">
        <f t="shared" si="179"/>
        <v>8050</v>
      </c>
      <c r="N436" s="1"/>
      <c r="O436" s="1"/>
      <c r="P436" s="1">
        <v>1693</v>
      </c>
      <c r="Q436" s="59">
        <f t="shared" si="180"/>
        <v>1693</v>
      </c>
      <c r="R436" s="59">
        <f t="shared" si="176"/>
        <v>23343</v>
      </c>
      <c r="T436" s="4" t="s">
        <v>305</v>
      </c>
    </row>
    <row r="437" spans="1:20" ht="15.75" customHeight="1" x14ac:dyDescent="0.3">
      <c r="A437" s="76" t="s">
        <v>399</v>
      </c>
      <c r="B437" s="1"/>
      <c r="C437" s="1"/>
      <c r="D437" s="1"/>
      <c r="E437" s="59">
        <f t="shared" si="177"/>
        <v>0</v>
      </c>
      <c r="F437" s="1"/>
      <c r="G437" s="1"/>
      <c r="H437" s="1"/>
      <c r="I437" s="59">
        <f t="shared" si="178"/>
        <v>0</v>
      </c>
      <c r="J437" s="1"/>
      <c r="K437" s="1">
        <f>9275+1395</f>
        <v>10670</v>
      </c>
      <c r="L437" s="1">
        <f>4202+421</f>
        <v>4623</v>
      </c>
      <c r="M437" s="59">
        <f t="shared" si="179"/>
        <v>15293</v>
      </c>
      <c r="N437" s="1">
        <f>3008+33</f>
        <v>3041</v>
      </c>
      <c r="O437" s="1">
        <f>1373+15</f>
        <v>1388</v>
      </c>
      <c r="P437" s="1">
        <f>929+349</f>
        <v>1278</v>
      </c>
      <c r="Q437" s="59">
        <f t="shared" si="180"/>
        <v>5707</v>
      </c>
      <c r="R437" s="59">
        <f t="shared" si="176"/>
        <v>21000</v>
      </c>
    </row>
    <row r="438" spans="1:20" ht="15.75" customHeight="1" x14ac:dyDescent="0.3">
      <c r="A438" s="76" t="s">
        <v>400</v>
      </c>
      <c r="B438" s="1"/>
      <c r="C438" s="1"/>
      <c r="D438" s="1"/>
      <c r="E438" s="59">
        <f t="shared" si="177"/>
        <v>0</v>
      </c>
      <c r="F438" s="1">
        <v>1508</v>
      </c>
      <c r="G438" s="1">
        <f>144+1041</f>
        <v>1185</v>
      </c>
      <c r="H438" s="1">
        <v>2307</v>
      </c>
      <c r="I438" s="59">
        <f t="shared" si="178"/>
        <v>5000</v>
      </c>
      <c r="J438" s="1"/>
      <c r="K438" s="1"/>
      <c r="L438" s="1"/>
      <c r="M438" s="59">
        <f t="shared" si="179"/>
        <v>0</v>
      </c>
      <c r="N438" s="1"/>
      <c r="O438" s="1"/>
      <c r="P438" s="1"/>
      <c r="Q438" s="59">
        <f t="shared" ref="Q438" si="181">SUM(N438:P438)</f>
        <v>0</v>
      </c>
      <c r="R438" s="59">
        <f t="shared" si="176"/>
        <v>5000</v>
      </c>
    </row>
    <row r="439" spans="1:20" ht="15.75" customHeight="1" x14ac:dyDescent="0.3">
      <c r="A439" s="76" t="s">
        <v>401</v>
      </c>
      <c r="B439" s="1"/>
      <c r="C439" s="1"/>
      <c r="D439" s="1"/>
      <c r="E439" s="59">
        <f t="shared" si="177"/>
        <v>0</v>
      </c>
      <c r="F439" s="1"/>
      <c r="G439" s="1"/>
      <c r="H439" s="1">
        <v>1447</v>
      </c>
      <c r="I439" s="59">
        <f t="shared" si="178"/>
        <v>1447</v>
      </c>
      <c r="J439" s="1">
        <f>1994+6</f>
        <v>2000</v>
      </c>
      <c r="K439" s="1"/>
      <c r="L439" s="1"/>
      <c r="M439" s="59">
        <f t="shared" si="179"/>
        <v>2000</v>
      </c>
      <c r="N439" s="1">
        <f>53+160+1192+995</f>
        <v>2400</v>
      </c>
      <c r="O439" s="1">
        <f>373+263+350</f>
        <v>986</v>
      </c>
      <c r="P439" s="1">
        <v>14</v>
      </c>
      <c r="Q439" s="59">
        <f t="shared" ref="Q439" si="182">SUM(N439:P439)</f>
        <v>3400</v>
      </c>
      <c r="R439" s="59">
        <f t="shared" si="176"/>
        <v>6847</v>
      </c>
    </row>
    <row r="440" spans="1:20" ht="15.75" customHeight="1" x14ac:dyDescent="0.3">
      <c r="A440" s="76" t="s">
        <v>402</v>
      </c>
      <c r="B440" s="1"/>
      <c r="C440" s="1"/>
      <c r="D440" s="1"/>
      <c r="E440" s="59">
        <f t="shared" si="177"/>
        <v>0</v>
      </c>
      <c r="F440" s="1"/>
      <c r="G440" s="1"/>
      <c r="H440" s="1">
        <v>197</v>
      </c>
      <c r="I440" s="59">
        <f t="shared" si="178"/>
        <v>197</v>
      </c>
      <c r="J440" s="1"/>
      <c r="K440" s="1"/>
      <c r="L440" s="1"/>
      <c r="M440" s="59">
        <f t="shared" si="179"/>
        <v>0</v>
      </c>
      <c r="N440" s="1"/>
      <c r="O440" s="1"/>
      <c r="P440" s="1"/>
      <c r="Q440" s="59">
        <f t="shared" ref="Q440:Q442" si="183">SUM(N440:P440)</f>
        <v>0</v>
      </c>
      <c r="R440" s="59">
        <f t="shared" si="176"/>
        <v>197</v>
      </c>
    </row>
    <row r="441" spans="1:20" ht="15.75" customHeight="1" x14ac:dyDescent="0.3">
      <c r="A441" s="76" t="s">
        <v>404</v>
      </c>
      <c r="B441" s="1"/>
      <c r="C441" s="1">
        <v>1247</v>
      </c>
      <c r="D441" s="1">
        <v>1990</v>
      </c>
      <c r="E441" s="59">
        <f t="shared" si="177"/>
        <v>3237</v>
      </c>
      <c r="F441" s="1">
        <f>4250</f>
        <v>4250</v>
      </c>
      <c r="G441" s="1">
        <f>1740+4513</f>
        <v>6253</v>
      </c>
      <c r="H441" s="1">
        <f>2260</f>
        <v>2260</v>
      </c>
      <c r="I441" s="59">
        <f t="shared" si="178"/>
        <v>12763</v>
      </c>
      <c r="J441" s="1">
        <v>2000</v>
      </c>
      <c r="K441" s="1"/>
      <c r="L441" s="1">
        <v>600</v>
      </c>
      <c r="M441" s="59">
        <f t="shared" si="179"/>
        <v>2600</v>
      </c>
      <c r="N441" s="1"/>
      <c r="O441" s="1"/>
      <c r="P441" s="1"/>
      <c r="Q441" s="59">
        <f t="shared" si="183"/>
        <v>0</v>
      </c>
      <c r="R441" s="59">
        <f t="shared" si="176"/>
        <v>18600</v>
      </c>
    </row>
    <row r="442" spans="1:20" ht="15.75" customHeight="1" x14ac:dyDescent="0.3">
      <c r="A442" s="76" t="s">
        <v>999</v>
      </c>
      <c r="B442" s="1"/>
      <c r="C442" s="1"/>
      <c r="D442" s="1"/>
      <c r="E442" s="59">
        <f t="shared" si="177"/>
        <v>0</v>
      </c>
      <c r="F442" s="1"/>
      <c r="G442" s="1">
        <v>144</v>
      </c>
      <c r="H442" s="1"/>
      <c r="I442" s="59">
        <f t="shared" si="178"/>
        <v>144</v>
      </c>
      <c r="J442" s="1"/>
      <c r="K442" s="1"/>
      <c r="L442" s="1"/>
      <c r="M442" s="59">
        <f t="shared" si="179"/>
        <v>0</v>
      </c>
      <c r="N442" s="1"/>
      <c r="O442" s="1"/>
      <c r="P442" s="1"/>
      <c r="Q442" s="59">
        <f t="shared" si="183"/>
        <v>0</v>
      </c>
      <c r="R442" s="59">
        <f t="shared" si="176"/>
        <v>144</v>
      </c>
    </row>
    <row r="443" spans="1:20" ht="15.75" customHeight="1" x14ac:dyDescent="0.3">
      <c r="A443" s="76" t="s">
        <v>406</v>
      </c>
      <c r="B443" s="1">
        <v>120</v>
      </c>
      <c r="C443" s="1">
        <f>108+1</f>
        <v>109</v>
      </c>
      <c r="D443" s="1">
        <f>112+1+1</f>
        <v>114</v>
      </c>
      <c r="E443" s="59">
        <f t="shared" si="177"/>
        <v>343</v>
      </c>
      <c r="F443" s="1">
        <f>128+2</f>
        <v>130</v>
      </c>
      <c r="G443" s="1">
        <f>143+2</f>
        <v>145</v>
      </c>
      <c r="H443" s="1">
        <f>130+3+1</f>
        <v>134</v>
      </c>
      <c r="I443" s="59">
        <f t="shared" si="178"/>
        <v>409</v>
      </c>
      <c r="J443" s="1">
        <v>48</v>
      </c>
      <c r="K443" s="1"/>
      <c r="L443" s="1"/>
      <c r="M443" s="59">
        <f t="shared" si="179"/>
        <v>48</v>
      </c>
      <c r="N443" s="1"/>
      <c r="O443" s="1"/>
      <c r="P443" s="1"/>
      <c r="Q443" s="59">
        <f t="shared" si="180"/>
        <v>0</v>
      </c>
      <c r="R443" s="59">
        <f t="shared" si="176"/>
        <v>800</v>
      </c>
    </row>
    <row r="444" spans="1:20" ht="15.75" customHeight="1" x14ac:dyDescent="0.3">
      <c r="A444" s="76" t="s">
        <v>407</v>
      </c>
      <c r="B444" s="1">
        <v>4926</v>
      </c>
      <c r="C444" s="1">
        <v>2153</v>
      </c>
      <c r="D444" s="1">
        <v>4548</v>
      </c>
      <c r="E444" s="59">
        <f t="shared" si="177"/>
        <v>11627</v>
      </c>
      <c r="F444" s="1">
        <v>40</v>
      </c>
      <c r="G444" s="1">
        <v>2160</v>
      </c>
      <c r="H444" s="1">
        <v>1173</v>
      </c>
      <c r="I444" s="59">
        <f t="shared" si="178"/>
        <v>3373</v>
      </c>
      <c r="J444" s="1"/>
      <c r="K444" s="1"/>
      <c r="L444" s="1"/>
      <c r="M444" s="59">
        <f t="shared" si="179"/>
        <v>0</v>
      </c>
      <c r="N444" s="1"/>
      <c r="O444" s="1"/>
      <c r="P444" s="1"/>
      <c r="Q444" s="59">
        <f t="shared" si="180"/>
        <v>0</v>
      </c>
      <c r="R444" s="59">
        <f t="shared" si="176"/>
        <v>15000</v>
      </c>
      <c r="T444" s="4" t="s">
        <v>315</v>
      </c>
    </row>
    <row r="445" spans="1:20" ht="15.75" customHeight="1" x14ac:dyDescent="0.3">
      <c r="A445" s="76" t="s">
        <v>408</v>
      </c>
      <c r="B445" s="1">
        <v>18</v>
      </c>
      <c r="C445" s="1"/>
      <c r="D445" s="1">
        <v>18</v>
      </c>
      <c r="E445" s="59">
        <f t="shared" si="177"/>
        <v>36</v>
      </c>
      <c r="F445" s="1">
        <v>18</v>
      </c>
      <c r="G445" s="1">
        <v>4</v>
      </c>
      <c r="H445" s="1">
        <v>33</v>
      </c>
      <c r="I445" s="59">
        <f t="shared" si="178"/>
        <v>55</v>
      </c>
      <c r="J445" s="1">
        <v>18</v>
      </c>
      <c r="K445" s="1">
        <v>57</v>
      </c>
      <c r="L445" s="1">
        <v>23</v>
      </c>
      <c r="M445" s="59">
        <f t="shared" si="179"/>
        <v>98</v>
      </c>
      <c r="N445" s="1">
        <v>39</v>
      </c>
      <c r="O445" s="1">
        <v>36</v>
      </c>
      <c r="P445" s="1">
        <v>18</v>
      </c>
      <c r="Q445" s="59">
        <f t="shared" si="180"/>
        <v>93</v>
      </c>
      <c r="R445" s="59">
        <f t="shared" si="176"/>
        <v>282</v>
      </c>
      <c r="T445" s="4" t="s">
        <v>348</v>
      </c>
    </row>
    <row r="446" spans="1:20" ht="15.75" customHeight="1" x14ac:dyDescent="0.3">
      <c r="A446" s="76" t="s">
        <v>409</v>
      </c>
      <c r="B446" s="1">
        <v>1159</v>
      </c>
      <c r="C446" s="1">
        <v>927</v>
      </c>
      <c r="D446" s="1">
        <v>1469</v>
      </c>
      <c r="E446" s="59">
        <f t="shared" si="177"/>
        <v>3555</v>
      </c>
      <c r="F446" s="1">
        <v>1374</v>
      </c>
      <c r="G446" s="1">
        <v>1427</v>
      </c>
      <c r="H446" s="1">
        <v>1377</v>
      </c>
      <c r="I446" s="59">
        <f t="shared" si="178"/>
        <v>4178</v>
      </c>
      <c r="J446" s="1">
        <v>1423</v>
      </c>
      <c r="K446" s="1">
        <v>1429</v>
      </c>
      <c r="L446" s="1">
        <v>81</v>
      </c>
      <c r="M446" s="59">
        <f t="shared" si="179"/>
        <v>2933</v>
      </c>
      <c r="N446" s="1"/>
      <c r="O446" s="1"/>
      <c r="P446" s="1"/>
      <c r="Q446" s="59">
        <f t="shared" si="180"/>
        <v>0</v>
      </c>
      <c r="R446" s="59">
        <f t="shared" si="176"/>
        <v>10666</v>
      </c>
      <c r="T446" s="4" t="s">
        <v>217</v>
      </c>
    </row>
    <row r="447" spans="1:20" ht="15.75" customHeight="1" x14ac:dyDescent="0.3">
      <c r="A447" s="76" t="s">
        <v>410</v>
      </c>
      <c r="B447" s="1">
        <v>1731</v>
      </c>
      <c r="C447" s="1">
        <v>1731</v>
      </c>
      <c r="D447" s="1">
        <v>1731</v>
      </c>
      <c r="E447" s="59">
        <f t="shared" si="177"/>
        <v>5193</v>
      </c>
      <c r="F447" s="1">
        <v>1732</v>
      </c>
      <c r="G447" s="1"/>
      <c r="H447" s="1"/>
      <c r="I447" s="59">
        <f t="shared" si="178"/>
        <v>1732</v>
      </c>
      <c r="J447" s="1"/>
      <c r="K447" s="1"/>
      <c r="L447" s="1"/>
      <c r="M447" s="59">
        <f t="shared" si="179"/>
        <v>0</v>
      </c>
      <c r="N447" s="1"/>
      <c r="O447" s="1"/>
      <c r="P447" s="1"/>
      <c r="Q447" s="59">
        <f t="shared" si="180"/>
        <v>0</v>
      </c>
      <c r="R447" s="59">
        <f>+E447+I447+M447+Q447</f>
        <v>6925</v>
      </c>
    </row>
    <row r="448" spans="1:20" ht="15.75" customHeight="1" x14ac:dyDescent="0.3">
      <c r="A448" s="76" t="s">
        <v>411</v>
      </c>
      <c r="B448" s="1"/>
      <c r="C448" s="1"/>
      <c r="D448" s="1"/>
      <c r="E448" s="59">
        <f t="shared" si="177"/>
        <v>0</v>
      </c>
      <c r="F448" s="1"/>
      <c r="G448" s="1"/>
      <c r="H448" s="1"/>
      <c r="I448" s="59">
        <f t="shared" si="178"/>
        <v>0</v>
      </c>
      <c r="J448" s="1"/>
      <c r="K448" s="1"/>
      <c r="L448" s="1"/>
      <c r="M448" s="59">
        <f t="shared" si="179"/>
        <v>0</v>
      </c>
      <c r="N448" s="1"/>
      <c r="O448" s="1"/>
      <c r="P448" s="1"/>
      <c r="Q448" s="59">
        <f t="shared" si="180"/>
        <v>0</v>
      </c>
      <c r="R448" s="59">
        <f>+E448+I448+M448+Q448</f>
        <v>0</v>
      </c>
    </row>
    <row r="449" spans="1:20" ht="15.75" customHeight="1" x14ac:dyDescent="0.3">
      <c r="A449" s="76" t="s">
        <v>412</v>
      </c>
      <c r="B449" s="1"/>
      <c r="C449" s="1"/>
      <c r="D449" s="1"/>
      <c r="E449" s="59">
        <f t="shared" si="177"/>
        <v>0</v>
      </c>
      <c r="F449" s="1"/>
      <c r="G449" s="1"/>
      <c r="H449" s="1"/>
      <c r="I449" s="59">
        <f t="shared" si="178"/>
        <v>0</v>
      </c>
      <c r="J449" s="1"/>
      <c r="K449" s="1"/>
      <c r="L449" s="1"/>
      <c r="M449" s="59">
        <f t="shared" si="179"/>
        <v>0</v>
      </c>
      <c r="N449" s="1"/>
      <c r="O449" s="1"/>
      <c r="P449" s="1"/>
      <c r="Q449" s="59">
        <f t="shared" si="180"/>
        <v>0</v>
      </c>
      <c r="R449" s="59">
        <f>+E449+I449+M449+Q449</f>
        <v>0</v>
      </c>
    </row>
    <row r="450" spans="1:20" ht="15.75" customHeight="1" x14ac:dyDescent="0.3">
      <c r="A450" s="76" t="s">
        <v>413</v>
      </c>
      <c r="B450" s="1"/>
      <c r="C450" s="1"/>
      <c r="D450" s="1"/>
      <c r="E450" s="59">
        <f t="shared" si="177"/>
        <v>0</v>
      </c>
      <c r="F450" s="1"/>
      <c r="G450" s="1"/>
      <c r="H450" s="1"/>
      <c r="I450" s="59">
        <f t="shared" si="178"/>
        <v>0</v>
      </c>
      <c r="J450" s="1"/>
      <c r="K450" s="1"/>
      <c r="L450" s="1"/>
      <c r="M450" s="59">
        <f t="shared" si="179"/>
        <v>0</v>
      </c>
      <c r="N450" s="1"/>
      <c r="O450" s="1"/>
      <c r="P450" s="1"/>
      <c r="Q450" s="59">
        <f t="shared" si="180"/>
        <v>0</v>
      </c>
      <c r="R450" s="59">
        <f>+E450+I450+M450+Q450</f>
        <v>0</v>
      </c>
      <c r="T450" s="4" t="s">
        <v>315</v>
      </c>
    </row>
    <row r="451" spans="1:20" ht="15.75" customHeight="1" x14ac:dyDescent="0.3">
      <c r="A451" s="76" t="s">
        <v>414</v>
      </c>
      <c r="B451" s="1"/>
      <c r="C451" s="1"/>
      <c r="D451" s="1"/>
      <c r="E451" s="59">
        <f t="shared" ref="E451" si="184">SUM(B451:D451)</f>
        <v>0</v>
      </c>
      <c r="F451" s="1"/>
      <c r="G451" s="1"/>
      <c r="H451" s="1"/>
      <c r="I451" s="59">
        <f t="shared" ref="I451" si="185">SUM(F451:H451)</f>
        <v>0</v>
      </c>
      <c r="J451" s="1"/>
      <c r="K451" s="1"/>
      <c r="L451" s="1"/>
      <c r="M451" s="59">
        <f t="shared" ref="M451" si="186">SUM(J451:L451)</f>
        <v>0</v>
      </c>
      <c r="N451" s="1"/>
      <c r="O451" s="1"/>
      <c r="P451" s="1"/>
      <c r="Q451" s="59">
        <f t="shared" ref="Q451" si="187">SUM(N451:P451)</f>
        <v>0</v>
      </c>
      <c r="R451" s="59">
        <f t="shared" ref="R451:R452" si="188">+E451+I451+M451+Q451</f>
        <v>0</v>
      </c>
      <c r="T451" s="4" t="s">
        <v>317</v>
      </c>
    </row>
    <row r="452" spans="1:20" ht="16.5" customHeight="1" x14ac:dyDescent="0.3">
      <c r="A452" s="76" t="s">
        <v>415</v>
      </c>
      <c r="B452" s="1"/>
      <c r="C452" s="1"/>
      <c r="D452" s="1"/>
      <c r="E452" s="59">
        <f t="shared" si="177"/>
        <v>0</v>
      </c>
      <c r="F452" s="1"/>
      <c r="G452" s="1">
        <v>338</v>
      </c>
      <c r="H452" s="1">
        <v>1000</v>
      </c>
      <c r="I452" s="59">
        <f t="shared" si="178"/>
        <v>1338</v>
      </c>
      <c r="J452" s="1">
        <v>1746</v>
      </c>
      <c r="K452" s="1">
        <f>42+230+1982</f>
        <v>2254</v>
      </c>
      <c r="L452" s="1">
        <v>500</v>
      </c>
      <c r="M452" s="59">
        <f t="shared" si="179"/>
        <v>4500</v>
      </c>
      <c r="N452" s="1"/>
      <c r="O452" s="1"/>
      <c r="P452" s="1"/>
      <c r="Q452" s="59">
        <f t="shared" ref="Q452" si="189">SUM(N452:P452)</f>
        <v>0</v>
      </c>
      <c r="R452" s="59">
        <f t="shared" si="188"/>
        <v>5838</v>
      </c>
      <c r="T452" s="4" t="s">
        <v>376</v>
      </c>
    </row>
    <row r="453" spans="1:20" ht="15.75" customHeight="1" x14ac:dyDescent="0.3">
      <c r="A453" s="76" t="s">
        <v>416</v>
      </c>
      <c r="B453" s="1"/>
      <c r="C453" s="1"/>
      <c r="D453" s="1"/>
      <c r="E453" s="59">
        <f t="shared" si="177"/>
        <v>0</v>
      </c>
      <c r="F453" s="1"/>
      <c r="G453" s="1"/>
      <c r="H453" s="1"/>
      <c r="I453" s="59">
        <f t="shared" si="178"/>
        <v>0</v>
      </c>
      <c r="J453" s="1"/>
      <c r="K453" s="1"/>
      <c r="L453" s="1"/>
      <c r="M453" s="59">
        <f t="shared" si="179"/>
        <v>0</v>
      </c>
      <c r="N453" s="1"/>
      <c r="O453" s="1"/>
      <c r="P453" s="1"/>
      <c r="Q453" s="59">
        <f t="shared" ref="Q453" si="190">SUM(N453:P453)</f>
        <v>0</v>
      </c>
      <c r="R453" s="59">
        <f t="shared" si="176"/>
        <v>0</v>
      </c>
      <c r="T453" s="4" t="s">
        <v>331</v>
      </c>
    </row>
    <row r="454" spans="1:20" ht="15.75" customHeight="1" x14ac:dyDescent="0.3">
      <c r="A454" s="76" t="s">
        <v>417</v>
      </c>
      <c r="B454" s="1"/>
      <c r="C454" s="1"/>
      <c r="D454" s="1"/>
      <c r="E454" s="59">
        <f t="shared" si="177"/>
        <v>0</v>
      </c>
      <c r="F454" s="1"/>
      <c r="G454" s="1"/>
      <c r="H454" s="1">
        <v>166</v>
      </c>
      <c r="I454" s="59">
        <f t="shared" si="178"/>
        <v>166</v>
      </c>
      <c r="J454" s="1">
        <v>1469</v>
      </c>
      <c r="K454" s="1">
        <v>2095</v>
      </c>
      <c r="L454" s="1"/>
      <c r="M454" s="59">
        <f t="shared" si="179"/>
        <v>3564</v>
      </c>
      <c r="N454" s="1"/>
      <c r="O454" s="1"/>
      <c r="P454" s="1"/>
      <c r="Q454" s="59">
        <f t="shared" si="180"/>
        <v>0</v>
      </c>
      <c r="R454" s="59">
        <f t="shared" si="176"/>
        <v>3730</v>
      </c>
      <c r="T454" s="4" t="s">
        <v>331</v>
      </c>
    </row>
    <row r="455" spans="1:20" ht="15.75" customHeight="1" x14ac:dyDescent="0.3">
      <c r="A455" s="76" t="s">
        <v>418</v>
      </c>
      <c r="B455" s="1"/>
      <c r="C455" s="1"/>
      <c r="D455" s="1"/>
      <c r="E455" s="59">
        <f t="shared" si="177"/>
        <v>0</v>
      </c>
      <c r="F455" s="1">
        <v>92</v>
      </c>
      <c r="G455" s="1"/>
      <c r="H455" s="1">
        <v>276</v>
      </c>
      <c r="I455" s="59">
        <f t="shared" si="178"/>
        <v>368</v>
      </c>
      <c r="J455" s="1">
        <v>184</v>
      </c>
      <c r="K455" s="1">
        <v>92</v>
      </c>
      <c r="L455" s="1">
        <v>92</v>
      </c>
      <c r="M455" s="59">
        <f t="shared" si="179"/>
        <v>368</v>
      </c>
      <c r="N455" s="1">
        <v>92</v>
      </c>
      <c r="O455" s="1">
        <v>460</v>
      </c>
      <c r="P455" s="1">
        <v>629</v>
      </c>
      <c r="Q455" s="59">
        <f t="shared" si="180"/>
        <v>1181</v>
      </c>
      <c r="R455" s="59">
        <f t="shared" si="176"/>
        <v>1917</v>
      </c>
      <c r="T455" s="4" t="s">
        <v>217</v>
      </c>
    </row>
    <row r="456" spans="1:20" ht="15.75" customHeight="1" x14ac:dyDescent="0.3">
      <c r="A456" s="76" t="s">
        <v>855</v>
      </c>
      <c r="B456" s="1"/>
      <c r="C456" s="1"/>
      <c r="D456" s="1"/>
      <c r="E456" s="59">
        <f t="shared" si="177"/>
        <v>0</v>
      </c>
      <c r="F456" s="1">
        <v>1000</v>
      </c>
      <c r="G456" s="1">
        <v>662</v>
      </c>
      <c r="H456" s="1"/>
      <c r="I456" s="59">
        <f t="shared" si="178"/>
        <v>1662</v>
      </c>
      <c r="J456" s="1"/>
      <c r="K456" s="1"/>
      <c r="L456" s="1"/>
      <c r="M456" s="59">
        <f t="shared" si="179"/>
        <v>0</v>
      </c>
      <c r="N456" s="1"/>
      <c r="O456" s="1"/>
      <c r="P456" s="1"/>
      <c r="Q456" s="59">
        <f t="shared" si="180"/>
        <v>0</v>
      </c>
      <c r="R456" s="59">
        <f t="shared" si="176"/>
        <v>1662</v>
      </c>
    </row>
    <row r="457" spans="1:20" ht="15.75" customHeight="1" x14ac:dyDescent="0.3">
      <c r="A457" s="76" t="s">
        <v>420</v>
      </c>
      <c r="B457" s="1"/>
      <c r="C457" s="1">
        <v>600</v>
      </c>
      <c r="D457" s="1"/>
      <c r="E457" s="59">
        <f t="shared" si="177"/>
        <v>600</v>
      </c>
      <c r="F457" s="1"/>
      <c r="G457" s="1"/>
      <c r="H457" s="1">
        <v>1900</v>
      </c>
      <c r="I457" s="59">
        <f t="shared" si="178"/>
        <v>1900</v>
      </c>
      <c r="J457" s="1"/>
      <c r="K457" s="1"/>
      <c r="L457" s="1"/>
      <c r="M457" s="59">
        <f t="shared" si="179"/>
        <v>0</v>
      </c>
      <c r="N457" s="1"/>
      <c r="O457" s="1"/>
      <c r="P457" s="1"/>
      <c r="Q457" s="59">
        <f t="shared" si="180"/>
        <v>0</v>
      </c>
      <c r="R457" s="59">
        <f t="shared" si="176"/>
        <v>2500</v>
      </c>
      <c r="T457" s="4" t="s">
        <v>315</v>
      </c>
    </row>
    <row r="458" spans="1:20" ht="15.75" customHeight="1" x14ac:dyDescent="0.3">
      <c r="A458" s="76" t="s">
        <v>1000</v>
      </c>
      <c r="B458" s="1"/>
      <c r="C458" s="1"/>
      <c r="D458" s="1"/>
      <c r="E458" s="59">
        <f t="shared" si="177"/>
        <v>0</v>
      </c>
      <c r="F458" s="1"/>
      <c r="G458" s="1"/>
      <c r="H458" s="1"/>
      <c r="I458" s="59">
        <f t="shared" si="178"/>
        <v>0</v>
      </c>
      <c r="J458" s="1"/>
      <c r="K458" s="1"/>
      <c r="L458" s="1">
        <v>300</v>
      </c>
      <c r="M458" s="59">
        <f t="shared" si="179"/>
        <v>300</v>
      </c>
      <c r="N458" s="1"/>
      <c r="O458" s="1"/>
      <c r="P458" s="1"/>
      <c r="Q458" s="59">
        <f t="shared" si="180"/>
        <v>0</v>
      </c>
      <c r="R458" s="59">
        <f t="shared" si="176"/>
        <v>300</v>
      </c>
    </row>
    <row r="459" spans="1:20" ht="15.75" customHeight="1" x14ac:dyDescent="0.3">
      <c r="A459" s="76" t="s">
        <v>1001</v>
      </c>
      <c r="B459" s="1"/>
      <c r="C459" s="1"/>
      <c r="D459" s="1"/>
      <c r="E459" s="59">
        <f t="shared" si="177"/>
        <v>0</v>
      </c>
      <c r="F459" s="1"/>
      <c r="G459" s="1"/>
      <c r="H459" s="1"/>
      <c r="I459" s="59">
        <f t="shared" si="178"/>
        <v>0</v>
      </c>
      <c r="J459" s="1"/>
      <c r="K459" s="1"/>
      <c r="L459" s="1">
        <v>373</v>
      </c>
      <c r="M459" s="59">
        <f t="shared" si="179"/>
        <v>373</v>
      </c>
      <c r="N459" s="1">
        <f>284+193</f>
        <v>477</v>
      </c>
      <c r="O459" s="1"/>
      <c r="P459" s="1"/>
      <c r="Q459" s="59">
        <f t="shared" ref="Q459" si="191">SUM(N459:P459)</f>
        <v>477</v>
      </c>
      <c r="R459" s="59">
        <f t="shared" si="176"/>
        <v>850</v>
      </c>
    </row>
    <row r="460" spans="1:20" ht="15.75" customHeight="1" x14ac:dyDescent="0.3">
      <c r="A460" s="76" t="s">
        <v>1002</v>
      </c>
      <c r="B460" s="1"/>
      <c r="C460" s="1"/>
      <c r="D460" s="1"/>
      <c r="E460" s="59">
        <f t="shared" si="177"/>
        <v>0</v>
      </c>
      <c r="F460" s="1"/>
      <c r="G460" s="1"/>
      <c r="H460" s="1"/>
      <c r="I460" s="59">
        <f t="shared" si="178"/>
        <v>0</v>
      </c>
      <c r="J460" s="1"/>
      <c r="K460" s="1"/>
      <c r="L460" s="1"/>
      <c r="M460" s="59">
        <f t="shared" si="179"/>
        <v>0</v>
      </c>
      <c r="N460" s="1"/>
      <c r="O460" s="1">
        <v>500</v>
      </c>
      <c r="P460" s="1"/>
      <c r="Q460" s="59">
        <f t="shared" si="180"/>
        <v>500</v>
      </c>
      <c r="R460" s="59">
        <f t="shared" si="176"/>
        <v>500</v>
      </c>
    </row>
    <row r="461" spans="1:20" ht="15.75" customHeight="1" x14ac:dyDescent="0.3">
      <c r="A461" s="76" t="s">
        <v>422</v>
      </c>
      <c r="B461" s="1"/>
      <c r="C461" s="1"/>
      <c r="D461" s="1"/>
      <c r="E461" s="59">
        <f t="shared" si="177"/>
        <v>0</v>
      </c>
      <c r="F461" s="1"/>
      <c r="G461" s="1"/>
      <c r="H461" s="1"/>
      <c r="I461" s="59">
        <f t="shared" si="178"/>
        <v>0</v>
      </c>
      <c r="J461" s="1"/>
      <c r="K461" s="1"/>
      <c r="L461" s="1"/>
      <c r="M461" s="59">
        <f t="shared" si="179"/>
        <v>0</v>
      </c>
      <c r="N461" s="1"/>
      <c r="O461" s="1"/>
      <c r="P461" s="1"/>
      <c r="Q461" s="59">
        <f t="shared" ref="Q461:Q466" si="192">SUM(N461:P461)</f>
        <v>0</v>
      </c>
      <c r="R461" s="59">
        <f t="shared" si="176"/>
        <v>0</v>
      </c>
    </row>
    <row r="462" spans="1:20" ht="15.75" customHeight="1" x14ac:dyDescent="0.3">
      <c r="A462" s="76" t="s">
        <v>423</v>
      </c>
      <c r="B462" s="1"/>
      <c r="C462" s="1"/>
      <c r="D462" s="1"/>
      <c r="E462" s="59">
        <f t="shared" si="177"/>
        <v>0</v>
      </c>
      <c r="F462" s="1"/>
      <c r="G462" s="1"/>
      <c r="H462" s="1"/>
      <c r="I462" s="59">
        <f t="shared" si="178"/>
        <v>0</v>
      </c>
      <c r="J462" s="1"/>
      <c r="K462" s="1"/>
      <c r="L462" s="1"/>
      <c r="M462" s="59">
        <f t="shared" si="179"/>
        <v>0</v>
      </c>
      <c r="N462" s="1">
        <v>14</v>
      </c>
      <c r="O462" s="1"/>
      <c r="P462" s="1">
        <v>312</v>
      </c>
      <c r="Q462" s="59">
        <f t="shared" si="192"/>
        <v>326</v>
      </c>
      <c r="R462" s="59">
        <f t="shared" si="176"/>
        <v>326</v>
      </c>
    </row>
    <row r="463" spans="1:20" ht="15.75" customHeight="1" x14ac:dyDescent="0.3">
      <c r="A463" s="76" t="s">
        <v>424</v>
      </c>
      <c r="B463" s="1"/>
      <c r="C463" s="1"/>
      <c r="D463" s="1"/>
      <c r="E463" s="59">
        <f t="shared" si="177"/>
        <v>0</v>
      </c>
      <c r="F463" s="1"/>
      <c r="G463" s="1"/>
      <c r="H463" s="1"/>
      <c r="I463" s="59">
        <f t="shared" si="178"/>
        <v>0</v>
      </c>
      <c r="J463" s="1"/>
      <c r="K463" s="1">
        <f>862+441+197</f>
        <v>1500</v>
      </c>
      <c r="L463" s="1">
        <f>411+7+1082</f>
        <v>1500</v>
      </c>
      <c r="M463" s="59">
        <f t="shared" si="179"/>
        <v>3000</v>
      </c>
      <c r="N463" s="1"/>
      <c r="O463" s="1"/>
      <c r="P463" s="1"/>
      <c r="Q463" s="59">
        <f t="shared" si="192"/>
        <v>0</v>
      </c>
      <c r="R463" s="59">
        <f t="shared" si="176"/>
        <v>3000</v>
      </c>
    </row>
    <row r="464" spans="1:20" ht="15.75" customHeight="1" x14ac:dyDescent="0.3">
      <c r="A464" s="76" t="s">
        <v>425</v>
      </c>
      <c r="B464" s="1"/>
      <c r="C464" s="1"/>
      <c r="D464" s="1"/>
      <c r="E464" s="59">
        <f t="shared" si="177"/>
        <v>0</v>
      </c>
      <c r="F464" s="1"/>
      <c r="G464" s="1"/>
      <c r="H464" s="1"/>
      <c r="I464" s="59">
        <f t="shared" si="178"/>
        <v>0</v>
      </c>
      <c r="J464" s="1"/>
      <c r="K464" s="1">
        <f>3+228</f>
        <v>231</v>
      </c>
      <c r="L464" s="1">
        <f>1497+25</f>
        <v>1522</v>
      </c>
      <c r="M464" s="59">
        <f t="shared" si="179"/>
        <v>1753</v>
      </c>
      <c r="N464" s="1">
        <v>232</v>
      </c>
      <c r="O464" s="1"/>
      <c r="P464" s="1"/>
      <c r="Q464" s="59">
        <f t="shared" si="192"/>
        <v>232</v>
      </c>
      <c r="R464" s="59">
        <f t="shared" si="176"/>
        <v>1985</v>
      </c>
    </row>
    <row r="465" spans="1:20" ht="15.75" customHeight="1" x14ac:dyDescent="0.3">
      <c r="A465" s="76" t="s">
        <v>426</v>
      </c>
      <c r="B465" s="1"/>
      <c r="C465" s="1"/>
      <c r="D465" s="1"/>
      <c r="E465" s="59">
        <f t="shared" si="177"/>
        <v>0</v>
      </c>
      <c r="F465" s="1"/>
      <c r="G465" s="1"/>
      <c r="H465" s="1"/>
      <c r="I465" s="59">
        <f t="shared" si="178"/>
        <v>0</v>
      </c>
      <c r="J465" s="1"/>
      <c r="K465" s="1"/>
      <c r="L465" s="1"/>
      <c r="M465" s="59">
        <f t="shared" si="179"/>
        <v>0</v>
      </c>
      <c r="N465" s="1"/>
      <c r="O465" s="1"/>
      <c r="P465" s="1"/>
      <c r="Q465" s="59">
        <f t="shared" si="192"/>
        <v>0</v>
      </c>
      <c r="R465" s="59">
        <f t="shared" si="176"/>
        <v>0</v>
      </c>
    </row>
    <row r="466" spans="1:20" ht="15.75" customHeight="1" x14ac:dyDescent="0.3">
      <c r="A466" s="76" t="s">
        <v>427</v>
      </c>
      <c r="B466" s="1"/>
      <c r="C466" s="1"/>
      <c r="D466" s="1"/>
      <c r="E466" s="59">
        <f t="shared" si="177"/>
        <v>0</v>
      </c>
      <c r="F466" s="1"/>
      <c r="G466" s="1"/>
      <c r="H466" s="1"/>
      <c r="I466" s="59">
        <f t="shared" si="178"/>
        <v>0</v>
      </c>
      <c r="J466" s="1"/>
      <c r="K466" s="1"/>
      <c r="L466" s="1"/>
      <c r="M466" s="59">
        <f t="shared" si="179"/>
        <v>0</v>
      </c>
      <c r="N466" s="1">
        <v>1003</v>
      </c>
      <c r="O466" s="1">
        <f>603+6</f>
        <v>609</v>
      </c>
      <c r="P466" s="1"/>
      <c r="Q466" s="59">
        <f t="shared" si="192"/>
        <v>1612</v>
      </c>
      <c r="R466" s="59">
        <f t="shared" si="176"/>
        <v>1612</v>
      </c>
    </row>
    <row r="467" spans="1:20" ht="15.75" customHeight="1" x14ac:dyDescent="0.3">
      <c r="A467" s="76" t="s">
        <v>428</v>
      </c>
      <c r="B467" s="1"/>
      <c r="C467" s="1"/>
      <c r="D467" s="1"/>
      <c r="E467" s="59">
        <f t="shared" si="177"/>
        <v>0</v>
      </c>
      <c r="F467" s="1"/>
      <c r="G467" s="1"/>
      <c r="H467" s="1"/>
      <c r="I467" s="59">
        <f t="shared" si="178"/>
        <v>0</v>
      </c>
      <c r="J467" s="1"/>
      <c r="K467" s="1"/>
      <c r="L467" s="1"/>
      <c r="M467" s="59">
        <f t="shared" si="179"/>
        <v>0</v>
      </c>
      <c r="N467" s="1"/>
      <c r="O467" s="1"/>
      <c r="P467" s="1"/>
      <c r="Q467" s="59">
        <f>SUM(N467:P467)</f>
        <v>0</v>
      </c>
      <c r="R467" s="59">
        <f t="shared" si="176"/>
        <v>0</v>
      </c>
    </row>
    <row r="468" spans="1:20" ht="15.75" customHeight="1" x14ac:dyDescent="0.3">
      <c r="A468" s="76" t="s">
        <v>429</v>
      </c>
      <c r="B468" s="1"/>
      <c r="C468" s="1">
        <v>500</v>
      </c>
      <c r="D468" s="1">
        <v>1000</v>
      </c>
      <c r="E468" s="59">
        <f t="shared" si="177"/>
        <v>1500</v>
      </c>
      <c r="F468" s="1"/>
      <c r="G468" s="1"/>
      <c r="H468" s="1"/>
      <c r="I468" s="59">
        <f t="shared" si="178"/>
        <v>0</v>
      </c>
      <c r="J468" s="1"/>
      <c r="K468" s="1"/>
      <c r="L468" s="1"/>
      <c r="M468" s="59">
        <f t="shared" si="179"/>
        <v>0</v>
      </c>
      <c r="N468" s="1"/>
      <c r="O468" s="1"/>
      <c r="P468" s="1"/>
      <c r="Q468" s="59">
        <f t="shared" si="180"/>
        <v>0</v>
      </c>
      <c r="R468" s="59">
        <f t="shared" si="176"/>
        <v>1500</v>
      </c>
    </row>
    <row r="469" spans="1:20" ht="15.75" customHeight="1" x14ac:dyDescent="0.3">
      <c r="A469" s="76" t="s">
        <v>430</v>
      </c>
      <c r="B469" s="1"/>
      <c r="C469" s="1"/>
      <c r="D469" s="1"/>
      <c r="E469" s="59">
        <f t="shared" si="177"/>
        <v>0</v>
      </c>
      <c r="F469" s="1"/>
      <c r="G469" s="1"/>
      <c r="H469" s="1"/>
      <c r="I469" s="59">
        <f t="shared" si="178"/>
        <v>0</v>
      </c>
      <c r="J469" s="1"/>
      <c r="K469" s="1">
        <v>822</v>
      </c>
      <c r="L469" s="1">
        <v>2178</v>
      </c>
      <c r="M469" s="59">
        <f t="shared" si="179"/>
        <v>3000</v>
      </c>
      <c r="N469" s="1"/>
      <c r="O469" s="1"/>
      <c r="P469" s="1"/>
      <c r="Q469" s="59">
        <f t="shared" si="180"/>
        <v>0</v>
      </c>
      <c r="R469" s="59">
        <f t="shared" si="176"/>
        <v>3000</v>
      </c>
    </row>
    <row r="470" spans="1:20" ht="15.75" customHeight="1" x14ac:dyDescent="0.3">
      <c r="A470" s="76" t="s">
        <v>431</v>
      </c>
      <c r="B470" s="1"/>
      <c r="C470" s="1"/>
      <c r="D470" s="1"/>
      <c r="E470" s="59">
        <f t="shared" si="177"/>
        <v>0</v>
      </c>
      <c r="F470" s="1"/>
      <c r="G470" s="1"/>
      <c r="H470" s="1">
        <v>1642</v>
      </c>
      <c r="I470" s="59">
        <f t="shared" si="178"/>
        <v>1642</v>
      </c>
      <c r="J470" s="1">
        <v>858</v>
      </c>
      <c r="K470" s="1"/>
      <c r="L470" s="1"/>
      <c r="M470" s="59">
        <f t="shared" si="179"/>
        <v>858</v>
      </c>
      <c r="N470" s="1"/>
      <c r="O470" s="1"/>
      <c r="P470" s="1"/>
      <c r="Q470" s="59">
        <f t="shared" ref="Q470" si="193">SUM(N470:P470)</f>
        <v>0</v>
      </c>
      <c r="R470" s="59">
        <f t="shared" si="176"/>
        <v>2500</v>
      </c>
    </row>
    <row r="471" spans="1:20" ht="15.75" customHeight="1" x14ac:dyDescent="0.3">
      <c r="A471" s="76" t="s">
        <v>432</v>
      </c>
      <c r="B471" s="1"/>
      <c r="C471" s="1"/>
      <c r="D471" s="1"/>
      <c r="E471" s="59">
        <f t="shared" si="177"/>
        <v>0</v>
      </c>
      <c r="F471" s="1"/>
      <c r="G471" s="1"/>
      <c r="H471" s="1"/>
      <c r="I471" s="59">
        <f t="shared" si="178"/>
        <v>0</v>
      </c>
      <c r="J471" s="1"/>
      <c r="K471" s="1"/>
      <c r="L471" s="1"/>
      <c r="M471" s="59">
        <f t="shared" si="179"/>
        <v>0</v>
      </c>
      <c r="N471" s="1"/>
      <c r="O471" s="1"/>
      <c r="P471" s="1"/>
      <c r="Q471" s="59">
        <f t="shared" ref="Q471" si="194">SUM(N471:P471)</f>
        <v>0</v>
      </c>
      <c r="R471" s="59">
        <f t="shared" si="176"/>
        <v>0</v>
      </c>
      <c r="T471" s="4" t="s">
        <v>217</v>
      </c>
    </row>
    <row r="472" spans="1:20" ht="15.75" customHeight="1" x14ac:dyDescent="0.3">
      <c r="A472" s="76" t="s">
        <v>433</v>
      </c>
      <c r="B472" s="1"/>
      <c r="C472" s="1"/>
      <c r="D472" s="1"/>
      <c r="E472" s="59">
        <f t="shared" si="177"/>
        <v>0</v>
      </c>
      <c r="F472" s="1"/>
      <c r="G472" s="1"/>
      <c r="H472" s="1"/>
      <c r="I472" s="59">
        <f t="shared" si="178"/>
        <v>0</v>
      </c>
      <c r="J472" s="1"/>
      <c r="K472" s="1"/>
      <c r="L472" s="1"/>
      <c r="M472" s="59">
        <f t="shared" si="179"/>
        <v>0</v>
      </c>
      <c r="N472" s="1"/>
      <c r="O472" s="1"/>
      <c r="P472" s="1"/>
      <c r="Q472" s="59">
        <f t="shared" si="180"/>
        <v>0</v>
      </c>
      <c r="R472" s="59">
        <f t="shared" si="176"/>
        <v>0</v>
      </c>
      <c r="T472" s="4" t="s">
        <v>217</v>
      </c>
    </row>
    <row r="473" spans="1:20" ht="15.75" customHeight="1" x14ac:dyDescent="0.3">
      <c r="A473" s="76" t="s">
        <v>434</v>
      </c>
      <c r="B473" s="1"/>
      <c r="C473" s="1"/>
      <c r="D473" s="1"/>
      <c r="E473" s="59">
        <f t="shared" si="177"/>
        <v>0</v>
      </c>
      <c r="F473" s="1"/>
      <c r="G473" s="1"/>
      <c r="H473" s="1">
        <v>1782</v>
      </c>
      <c r="I473" s="59">
        <f t="shared" si="178"/>
        <v>1782</v>
      </c>
      <c r="J473" s="1">
        <v>2106</v>
      </c>
      <c r="K473" s="1">
        <v>200</v>
      </c>
      <c r="L473" s="1"/>
      <c r="M473" s="59">
        <f t="shared" si="179"/>
        <v>2306</v>
      </c>
      <c r="N473" s="1"/>
      <c r="O473" s="1"/>
      <c r="P473" s="1"/>
      <c r="Q473" s="59">
        <f t="shared" si="180"/>
        <v>0</v>
      </c>
      <c r="R473" s="59">
        <f t="shared" si="176"/>
        <v>4088</v>
      </c>
      <c r="T473" s="4" t="s">
        <v>217</v>
      </c>
    </row>
    <row r="474" spans="1:20" ht="15.75" customHeight="1" x14ac:dyDescent="0.3">
      <c r="A474" s="76" t="s">
        <v>435</v>
      </c>
      <c r="B474" s="1"/>
      <c r="C474" s="1"/>
      <c r="D474" s="1"/>
      <c r="E474" s="59">
        <f t="shared" si="177"/>
        <v>0</v>
      </c>
      <c r="F474" s="1"/>
      <c r="G474" s="1"/>
      <c r="H474" s="1"/>
      <c r="I474" s="59">
        <f t="shared" si="178"/>
        <v>0</v>
      </c>
      <c r="J474" s="1"/>
      <c r="K474" s="1"/>
      <c r="L474" s="1"/>
      <c r="M474" s="59">
        <f t="shared" si="179"/>
        <v>0</v>
      </c>
      <c r="N474" s="1"/>
      <c r="O474" s="1"/>
      <c r="P474" s="1"/>
      <c r="Q474" s="59">
        <f t="shared" si="180"/>
        <v>0</v>
      </c>
      <c r="R474" s="59">
        <f t="shared" si="176"/>
        <v>0</v>
      </c>
      <c r="T474" s="4" t="s">
        <v>315</v>
      </c>
    </row>
    <row r="475" spans="1:20" ht="15.75" customHeight="1" x14ac:dyDescent="0.3">
      <c r="A475" s="76" t="s">
        <v>436</v>
      </c>
      <c r="B475" s="1"/>
      <c r="C475" s="1"/>
      <c r="D475" s="1"/>
      <c r="E475" s="59">
        <f t="shared" si="177"/>
        <v>0</v>
      </c>
      <c r="F475" s="1">
        <v>1184</v>
      </c>
      <c r="G475" s="1">
        <v>320</v>
      </c>
      <c r="H475" s="1"/>
      <c r="I475" s="59">
        <f t="shared" si="178"/>
        <v>1504</v>
      </c>
      <c r="J475" s="1"/>
      <c r="K475" s="1"/>
      <c r="L475" s="1"/>
      <c r="M475" s="59">
        <f t="shared" si="179"/>
        <v>0</v>
      </c>
      <c r="N475" s="1"/>
      <c r="O475" s="1"/>
      <c r="P475" s="1"/>
      <c r="Q475" s="59">
        <f t="shared" si="180"/>
        <v>0</v>
      </c>
      <c r="R475" s="59">
        <f t="shared" si="176"/>
        <v>1504</v>
      </c>
    </row>
    <row r="476" spans="1:20" ht="15.75" customHeight="1" x14ac:dyDescent="0.3">
      <c r="A476" s="76" t="s">
        <v>438</v>
      </c>
      <c r="B476" s="1"/>
      <c r="C476" s="1"/>
      <c r="D476" s="1"/>
      <c r="E476" s="59">
        <f t="shared" si="177"/>
        <v>0</v>
      </c>
      <c r="F476" s="1"/>
      <c r="G476" s="1"/>
      <c r="H476" s="1"/>
      <c r="I476" s="59">
        <f t="shared" si="178"/>
        <v>0</v>
      </c>
      <c r="J476" s="1"/>
      <c r="K476" s="1"/>
      <c r="L476" s="1"/>
      <c r="M476" s="59">
        <f t="shared" si="179"/>
        <v>0</v>
      </c>
      <c r="N476" s="1"/>
      <c r="O476" s="1"/>
      <c r="P476" s="1"/>
      <c r="Q476" s="59">
        <f t="shared" si="180"/>
        <v>0</v>
      </c>
      <c r="R476" s="59">
        <f t="shared" si="176"/>
        <v>0</v>
      </c>
    </row>
    <row r="477" spans="1:20" ht="15.75" customHeight="1" x14ac:dyDescent="0.3">
      <c r="A477" s="76" t="s">
        <v>437</v>
      </c>
      <c r="B477" s="1"/>
      <c r="C477" s="1"/>
      <c r="D477" s="1"/>
      <c r="E477" s="59">
        <f t="shared" si="177"/>
        <v>0</v>
      </c>
      <c r="F477" s="1"/>
      <c r="G477" s="1">
        <v>1000</v>
      </c>
      <c r="H477" s="1"/>
      <c r="I477" s="59">
        <f t="shared" si="178"/>
        <v>1000</v>
      </c>
      <c r="J477" s="1"/>
      <c r="K477" s="1"/>
      <c r="L477" s="1"/>
      <c r="M477" s="59">
        <f t="shared" si="179"/>
        <v>0</v>
      </c>
      <c r="N477" s="1"/>
      <c r="O477" s="1"/>
      <c r="P477" s="1"/>
      <c r="Q477" s="59">
        <f t="shared" si="180"/>
        <v>0</v>
      </c>
      <c r="R477" s="59">
        <f t="shared" si="176"/>
        <v>1000</v>
      </c>
      <c r="T477" s="4" t="s">
        <v>315</v>
      </c>
    </row>
    <row r="478" spans="1:20" ht="15.75" customHeight="1" x14ac:dyDescent="0.3">
      <c r="A478" s="76" t="s">
        <v>439</v>
      </c>
      <c r="B478" s="1"/>
      <c r="C478" s="1"/>
      <c r="D478" s="1"/>
      <c r="E478" s="59">
        <f t="shared" si="177"/>
        <v>0</v>
      </c>
      <c r="F478" s="1"/>
      <c r="G478" s="1"/>
      <c r="H478" s="1"/>
      <c r="I478" s="59">
        <f t="shared" si="178"/>
        <v>0</v>
      </c>
      <c r="J478" s="1"/>
      <c r="K478" s="1"/>
      <c r="L478" s="1"/>
      <c r="M478" s="59">
        <f t="shared" si="179"/>
        <v>0</v>
      </c>
      <c r="N478" s="1"/>
      <c r="O478" s="1"/>
      <c r="P478" s="1"/>
      <c r="Q478" s="59">
        <f t="shared" si="180"/>
        <v>0</v>
      </c>
      <c r="R478" s="59">
        <f t="shared" si="176"/>
        <v>0</v>
      </c>
      <c r="T478" s="4" t="s">
        <v>217</v>
      </c>
    </row>
    <row r="479" spans="1:20" ht="15.75" customHeight="1" x14ac:dyDescent="0.3">
      <c r="A479" s="76" t="s">
        <v>440</v>
      </c>
      <c r="B479" s="1"/>
      <c r="C479" s="1"/>
      <c r="D479" s="1"/>
      <c r="E479" s="59">
        <f t="shared" si="177"/>
        <v>0</v>
      </c>
      <c r="F479" s="1"/>
      <c r="G479" s="1"/>
      <c r="H479" s="1">
        <v>1500</v>
      </c>
      <c r="I479" s="59">
        <f t="shared" si="178"/>
        <v>1500</v>
      </c>
      <c r="J479" s="1">
        <v>712</v>
      </c>
      <c r="K479" s="1"/>
      <c r="L479" s="1"/>
      <c r="M479" s="59">
        <f t="shared" si="179"/>
        <v>712</v>
      </c>
      <c r="N479" s="1"/>
      <c r="O479" s="1"/>
      <c r="P479" s="1"/>
      <c r="Q479" s="59">
        <f t="shared" si="180"/>
        <v>0</v>
      </c>
      <c r="R479" s="59">
        <f>+E479+I479+M479+Q479</f>
        <v>2212</v>
      </c>
    </row>
    <row r="480" spans="1:20" ht="15.75" customHeight="1" x14ac:dyDescent="0.3">
      <c r="A480" s="76" t="s">
        <v>441</v>
      </c>
      <c r="B480" s="1"/>
      <c r="C480" s="1"/>
      <c r="D480" s="1"/>
      <c r="E480" s="59">
        <f t="shared" si="177"/>
        <v>0</v>
      </c>
      <c r="F480" s="1"/>
      <c r="G480" s="1"/>
      <c r="H480" s="1"/>
      <c r="I480" s="59">
        <f t="shared" si="178"/>
        <v>0</v>
      </c>
      <c r="J480" s="1"/>
      <c r="K480" s="1"/>
      <c r="L480" s="1"/>
      <c r="M480" s="59">
        <f t="shared" si="179"/>
        <v>0</v>
      </c>
      <c r="N480" s="1"/>
      <c r="O480" s="1"/>
      <c r="P480" s="1"/>
      <c r="Q480" s="59">
        <f t="shared" si="180"/>
        <v>0</v>
      </c>
      <c r="R480" s="59">
        <f>+E480+I480+M480+Q480</f>
        <v>0</v>
      </c>
      <c r="T480" s="4" t="s">
        <v>315</v>
      </c>
    </row>
    <row r="481" spans="1:21" ht="15.75" customHeight="1" x14ac:dyDescent="0.3">
      <c r="A481" s="76" t="s">
        <v>442</v>
      </c>
      <c r="B481" s="1"/>
      <c r="C481" s="1">
        <v>1051</v>
      </c>
      <c r="D481" s="1">
        <v>1504</v>
      </c>
      <c r="E481" s="59">
        <f t="shared" si="177"/>
        <v>2555</v>
      </c>
      <c r="F481" s="1">
        <v>1803</v>
      </c>
      <c r="G481" s="1">
        <v>1910</v>
      </c>
      <c r="H481" s="1">
        <v>156</v>
      </c>
      <c r="I481" s="59">
        <f t="shared" si="178"/>
        <v>3869</v>
      </c>
      <c r="J481" s="1"/>
      <c r="K481" s="1"/>
      <c r="L481" s="1"/>
      <c r="M481" s="59">
        <f t="shared" si="179"/>
        <v>0</v>
      </c>
      <c r="N481" s="1"/>
      <c r="O481" s="1"/>
      <c r="P481" s="1"/>
      <c r="Q481" s="59">
        <f t="shared" si="180"/>
        <v>0</v>
      </c>
      <c r="R481" s="59">
        <f t="shared" si="176"/>
        <v>6424</v>
      </c>
      <c r="T481" s="4" t="s">
        <v>217</v>
      </c>
    </row>
    <row r="482" spans="1:21" ht="15.75" customHeight="1" x14ac:dyDescent="0.3">
      <c r="A482" s="76" t="s">
        <v>443</v>
      </c>
      <c r="B482" s="1"/>
      <c r="C482" s="1"/>
      <c r="D482" s="1"/>
      <c r="E482" s="59">
        <f t="shared" si="177"/>
        <v>0</v>
      </c>
      <c r="F482" s="1"/>
      <c r="G482" s="1"/>
      <c r="H482" s="1"/>
      <c r="I482" s="59">
        <f t="shared" si="178"/>
        <v>0</v>
      </c>
      <c r="J482" s="1"/>
      <c r="K482" s="1"/>
      <c r="L482" s="1"/>
      <c r="M482" s="59">
        <f t="shared" si="179"/>
        <v>0</v>
      </c>
      <c r="N482" s="1"/>
      <c r="O482" s="1"/>
      <c r="P482" s="1"/>
      <c r="Q482" s="59">
        <f t="shared" si="180"/>
        <v>0</v>
      </c>
      <c r="R482" s="59">
        <f t="shared" si="176"/>
        <v>0</v>
      </c>
      <c r="T482" s="4" t="s">
        <v>315</v>
      </c>
    </row>
    <row r="483" spans="1:21" ht="15.75" customHeight="1" x14ac:dyDescent="0.3">
      <c r="A483" s="76" t="s">
        <v>444</v>
      </c>
      <c r="B483" s="1"/>
      <c r="C483" s="1"/>
      <c r="D483" s="1"/>
      <c r="E483" s="59">
        <f t="shared" ref="E483:E484" si="195">SUM(B483:D483)</f>
        <v>0</v>
      </c>
      <c r="F483" s="1"/>
      <c r="G483" s="1">
        <v>9</v>
      </c>
      <c r="H483" s="1"/>
      <c r="I483" s="59">
        <f t="shared" ref="I483:I485" si="196">SUM(F483:H483)</f>
        <v>9</v>
      </c>
      <c r="J483" s="1"/>
      <c r="K483" s="1"/>
      <c r="L483" s="1"/>
      <c r="M483" s="59">
        <f t="shared" ref="M483:M485" si="197">SUM(J483:L483)</f>
        <v>0</v>
      </c>
      <c r="N483" s="1"/>
      <c r="O483" s="1"/>
      <c r="P483" s="1"/>
      <c r="Q483" s="59">
        <f t="shared" ref="Q483:Q485" si="198">SUM(N483:P483)</f>
        <v>0</v>
      </c>
      <c r="R483" s="59">
        <f t="shared" si="176"/>
        <v>9</v>
      </c>
    </row>
    <row r="484" spans="1:21" ht="15.75" customHeight="1" x14ac:dyDescent="0.3">
      <c r="A484" s="76" t="s">
        <v>445</v>
      </c>
      <c r="B484" s="1"/>
      <c r="C484" s="1"/>
      <c r="D484" s="1"/>
      <c r="E484" s="59">
        <f t="shared" si="195"/>
        <v>0</v>
      </c>
      <c r="F484" s="1"/>
      <c r="G484" s="1">
        <v>71</v>
      </c>
      <c r="H484" s="1"/>
      <c r="I484" s="59">
        <f t="shared" si="196"/>
        <v>71</v>
      </c>
      <c r="J484" s="1"/>
      <c r="K484" s="1"/>
      <c r="L484" s="1"/>
      <c r="M484" s="59">
        <f t="shared" si="197"/>
        <v>0</v>
      </c>
      <c r="N484" s="1"/>
      <c r="O484" s="1"/>
      <c r="P484" s="1"/>
      <c r="Q484" s="59">
        <f t="shared" si="198"/>
        <v>0</v>
      </c>
      <c r="R484" s="59">
        <f>+E484+I484+M484+Q484</f>
        <v>71</v>
      </c>
    </row>
    <row r="485" spans="1:21" ht="15.75" customHeight="1" x14ac:dyDescent="0.3">
      <c r="A485" s="76" t="s">
        <v>446</v>
      </c>
      <c r="B485" s="1"/>
      <c r="C485" s="1"/>
      <c r="D485" s="1"/>
      <c r="E485" s="59">
        <f>SUM(B485:D485)</f>
        <v>0</v>
      </c>
      <c r="F485" s="1"/>
      <c r="G485" s="1">
        <v>85</v>
      </c>
      <c r="H485" s="1"/>
      <c r="I485" s="59">
        <f t="shared" si="196"/>
        <v>85</v>
      </c>
      <c r="J485" s="1"/>
      <c r="K485" s="1"/>
      <c r="L485" s="1"/>
      <c r="M485" s="59">
        <f t="shared" si="197"/>
        <v>0</v>
      </c>
      <c r="N485" s="1"/>
      <c r="O485" s="1"/>
      <c r="P485" s="1"/>
      <c r="Q485" s="59">
        <f t="shared" si="198"/>
        <v>0</v>
      </c>
      <c r="R485" s="59">
        <f t="shared" si="176"/>
        <v>85</v>
      </c>
    </row>
    <row r="486" spans="1:21" ht="15.75" customHeight="1" x14ac:dyDescent="0.3">
      <c r="A486" s="76" t="s">
        <v>449</v>
      </c>
      <c r="B486" s="1"/>
      <c r="C486" s="1"/>
      <c r="D486" s="1"/>
      <c r="E486" s="59">
        <f t="shared" si="177"/>
        <v>0</v>
      </c>
      <c r="F486" s="1"/>
      <c r="G486" s="1">
        <v>2622</v>
      </c>
      <c r="H486" s="1"/>
      <c r="I486" s="59">
        <f t="shared" si="178"/>
        <v>2622</v>
      </c>
      <c r="J486" s="1"/>
      <c r="K486" s="1"/>
      <c r="L486" s="1"/>
      <c r="M486" s="59">
        <f t="shared" si="179"/>
        <v>0</v>
      </c>
      <c r="N486" s="1"/>
      <c r="O486" s="1"/>
      <c r="P486" s="1"/>
      <c r="Q486" s="59">
        <f t="shared" si="180"/>
        <v>0</v>
      </c>
      <c r="R486" s="59">
        <f t="shared" si="176"/>
        <v>2622</v>
      </c>
    </row>
    <row r="487" spans="1:21" ht="15.75" customHeight="1" thickBot="1" x14ac:dyDescent="0.35">
      <c r="A487" s="76" t="s">
        <v>450</v>
      </c>
      <c r="B487" s="1">
        <f>81</f>
        <v>81</v>
      </c>
      <c r="C487" s="1">
        <f>315+189</f>
        <v>504</v>
      </c>
      <c r="D487" s="1">
        <f>595+418</f>
        <v>1013</v>
      </c>
      <c r="E487" s="59">
        <f t="shared" si="177"/>
        <v>1598</v>
      </c>
      <c r="F487" s="1">
        <f>2607+845</f>
        <v>3452</v>
      </c>
      <c r="G487" s="1">
        <f>1227+102+2195</f>
        <v>3524</v>
      </c>
      <c r="H487" s="1">
        <f>601+722+1941</f>
        <v>3264</v>
      </c>
      <c r="I487" s="59">
        <f t="shared" si="178"/>
        <v>10240</v>
      </c>
      <c r="J487" s="1">
        <f>194+612+1356</f>
        <v>2162</v>
      </c>
      <c r="K487" s="1">
        <f>3000</f>
        <v>3000</v>
      </c>
      <c r="L487" s="1">
        <f>635+2257</f>
        <v>2892</v>
      </c>
      <c r="M487" s="59">
        <f t="shared" si="179"/>
        <v>8054</v>
      </c>
      <c r="N487" s="1">
        <f>891+486+229+895</f>
        <v>2501</v>
      </c>
      <c r="O487" s="1">
        <f>128+1002</f>
        <v>1130</v>
      </c>
      <c r="P487" s="1">
        <f>192+536+749</f>
        <v>1477</v>
      </c>
      <c r="Q487" s="59">
        <f t="shared" si="180"/>
        <v>5108</v>
      </c>
      <c r="R487" s="59">
        <f t="shared" si="176"/>
        <v>25000</v>
      </c>
    </row>
    <row r="488" spans="1:21" ht="16.5" customHeight="1" thickBot="1" x14ac:dyDescent="0.35">
      <c r="A488" s="137" t="s">
        <v>61</v>
      </c>
      <c r="B488" s="107">
        <f>SUM(B415:B487)</f>
        <v>10990</v>
      </c>
      <c r="C488" s="63">
        <f>SUM(C415:C487)</f>
        <v>14094</v>
      </c>
      <c r="D488" s="63">
        <f>SUM(D415:D487)</f>
        <v>21256</v>
      </c>
      <c r="E488" s="64">
        <f t="shared" ref="E488" si="199">SUM(B488:D488)</f>
        <v>46340</v>
      </c>
      <c r="F488" s="63">
        <f>SUM(F415:F487)</f>
        <v>32067</v>
      </c>
      <c r="G488" s="63">
        <f>SUM(G415:G487)</f>
        <v>48847</v>
      </c>
      <c r="H488" s="63">
        <f>SUM(H415:H487)</f>
        <v>45512</v>
      </c>
      <c r="I488" s="64">
        <f t="shared" ref="I488" si="200">SUM(F488:H488)</f>
        <v>126426</v>
      </c>
      <c r="J488" s="63">
        <f>SUM(J415:J487)</f>
        <v>35590</v>
      </c>
      <c r="K488" s="63">
        <f>SUM(K415:K487)</f>
        <v>37521</v>
      </c>
      <c r="L488" s="63">
        <f>SUM(L415:L487)</f>
        <v>28320</v>
      </c>
      <c r="M488" s="64">
        <f t="shared" ref="M488" si="201">SUM(J488:L488)</f>
        <v>101431</v>
      </c>
      <c r="N488" s="63">
        <f>SUM(N415:N487)</f>
        <v>18138</v>
      </c>
      <c r="O488" s="63">
        <f>SUM(O415:O487)</f>
        <v>7664</v>
      </c>
      <c r="P488" s="63">
        <f>SUM(P415:P487)</f>
        <v>7252</v>
      </c>
      <c r="Q488" s="64">
        <f t="shared" si="180"/>
        <v>33054</v>
      </c>
      <c r="R488" s="64">
        <f>+E488+I488+M488+Q488</f>
        <v>307251</v>
      </c>
      <c r="T488" s="106"/>
    </row>
    <row r="489" spans="1:21" ht="15.75" customHeight="1" x14ac:dyDescent="0.3">
      <c r="A489" s="17" t="s">
        <v>62</v>
      </c>
      <c r="B489" s="1"/>
      <c r="C489" s="1"/>
      <c r="D489" s="1"/>
      <c r="E489" s="59" t="s">
        <v>7</v>
      </c>
      <c r="F489" s="1"/>
      <c r="G489" s="1"/>
      <c r="H489" s="1"/>
      <c r="I489" s="59" t="s">
        <v>7</v>
      </c>
      <c r="J489" s="1"/>
      <c r="K489" s="1"/>
      <c r="L489" s="1"/>
      <c r="M489" s="59" t="s">
        <v>7</v>
      </c>
      <c r="N489" s="1"/>
      <c r="O489" s="1"/>
      <c r="P489" s="1"/>
      <c r="Q489" s="59" t="s">
        <v>7</v>
      </c>
      <c r="R489" s="59" t="s">
        <v>7</v>
      </c>
    </row>
    <row r="490" spans="1:21" ht="15.75" customHeight="1" x14ac:dyDescent="0.3">
      <c r="A490" s="17" t="s">
        <v>63</v>
      </c>
      <c r="B490" s="1"/>
      <c r="C490" s="1"/>
      <c r="D490" s="1"/>
      <c r="E490" s="59" t="s">
        <v>7</v>
      </c>
      <c r="F490" s="1"/>
      <c r="G490" s="1"/>
      <c r="H490" s="1"/>
      <c r="I490" s="59" t="s">
        <v>7</v>
      </c>
      <c r="J490" s="1"/>
      <c r="K490" s="1"/>
      <c r="L490" s="1"/>
      <c r="M490" s="59" t="s">
        <v>7</v>
      </c>
      <c r="N490" s="1"/>
      <c r="O490" s="1"/>
      <c r="P490" s="1"/>
      <c r="Q490" s="59" t="s">
        <v>7</v>
      </c>
      <c r="R490" s="59" t="s">
        <v>7</v>
      </c>
    </row>
    <row r="491" spans="1:21" ht="15.75" customHeight="1" x14ac:dyDescent="0.3">
      <c r="A491" s="76" t="s">
        <v>451</v>
      </c>
      <c r="B491" s="1"/>
      <c r="C491" s="1"/>
      <c r="D491" s="1"/>
      <c r="E491" s="59">
        <f>SUM(B491:D491)</f>
        <v>0</v>
      </c>
      <c r="F491" s="1"/>
      <c r="G491" s="1"/>
      <c r="H491" s="1"/>
      <c r="I491" s="59">
        <f>SUM(F491:H491)</f>
        <v>0</v>
      </c>
      <c r="J491" s="1"/>
      <c r="K491" s="1"/>
      <c r="L491" s="1"/>
      <c r="M491" s="59">
        <f>SUM(J491:L491)</f>
        <v>0</v>
      </c>
      <c r="N491" s="1"/>
      <c r="O491" s="1"/>
      <c r="P491" s="1"/>
      <c r="Q491" s="59">
        <f>SUM(N491:P491)</f>
        <v>0</v>
      </c>
      <c r="R491" s="59">
        <f>+E491+I491+M491+Q491</f>
        <v>0</v>
      </c>
      <c r="U491" s="20"/>
    </row>
    <row r="492" spans="1:21" ht="15.75" customHeight="1" x14ac:dyDescent="0.3">
      <c r="A492" s="17" t="s">
        <v>64</v>
      </c>
      <c r="B492" s="1"/>
      <c r="C492" s="1"/>
      <c r="D492" s="1"/>
      <c r="E492" s="59" t="s">
        <v>7</v>
      </c>
      <c r="F492" s="1"/>
      <c r="G492" s="1"/>
      <c r="H492" s="1"/>
      <c r="I492" s="59" t="s">
        <v>7</v>
      </c>
      <c r="J492" s="1"/>
      <c r="K492" s="1"/>
      <c r="L492" s="1"/>
      <c r="M492" s="59" t="s">
        <v>7</v>
      </c>
      <c r="N492" s="1"/>
      <c r="O492" s="1"/>
      <c r="P492" s="1"/>
      <c r="Q492" s="59" t="s">
        <v>7</v>
      </c>
      <c r="R492" s="59" t="s">
        <v>7</v>
      </c>
    </row>
    <row r="493" spans="1:21" ht="15.75" customHeight="1" x14ac:dyDescent="0.3">
      <c r="A493" s="76" t="s">
        <v>452</v>
      </c>
      <c r="B493" s="1"/>
      <c r="C493" s="1"/>
      <c r="D493" s="1"/>
      <c r="E493" s="59">
        <f>SUM(B493:D493)</f>
        <v>0</v>
      </c>
      <c r="F493" s="1"/>
      <c r="G493" s="1"/>
      <c r="H493" s="1"/>
      <c r="I493" s="59">
        <f>SUM(F493:H493)</f>
        <v>0</v>
      </c>
      <c r="J493" s="1"/>
      <c r="K493" s="1"/>
      <c r="L493" s="1"/>
      <c r="M493" s="59">
        <f>SUM(J493:L493)</f>
        <v>0</v>
      </c>
      <c r="N493" s="1"/>
      <c r="O493" s="1"/>
      <c r="P493" s="1"/>
      <c r="Q493" s="59">
        <f>SUM(N493:P493)</f>
        <v>0</v>
      </c>
      <c r="R493" s="59">
        <f>+E493+I493+M493+Q493</f>
        <v>0</v>
      </c>
    </row>
    <row r="494" spans="1:21" ht="15.75" customHeight="1" x14ac:dyDescent="0.3">
      <c r="A494" s="76" t="s">
        <v>453</v>
      </c>
      <c r="B494" s="1"/>
      <c r="C494" s="1"/>
      <c r="D494" s="1"/>
      <c r="E494" s="59">
        <f>SUM(B494:D494)</f>
        <v>0</v>
      </c>
      <c r="F494" s="1"/>
      <c r="G494" s="1"/>
      <c r="H494" s="1"/>
      <c r="I494" s="59">
        <f>SUM(F494:H494)</f>
        <v>0</v>
      </c>
      <c r="J494" s="1"/>
      <c r="K494" s="1"/>
      <c r="L494" s="1"/>
      <c r="M494" s="59">
        <f>SUM(J494:L494)</f>
        <v>0</v>
      </c>
      <c r="N494" s="1"/>
      <c r="O494" s="1"/>
      <c r="P494" s="1"/>
      <c r="Q494" s="59">
        <f>SUM(N494:P494)</f>
        <v>0</v>
      </c>
      <c r="R494" s="59">
        <f>+E494+I494+M494+Q494</f>
        <v>0</v>
      </c>
    </row>
    <row r="495" spans="1:21" ht="15.75" customHeight="1" x14ac:dyDescent="0.3">
      <c r="A495" s="17" t="s">
        <v>66</v>
      </c>
      <c r="B495" s="1"/>
      <c r="C495" s="1"/>
      <c r="D495" s="1"/>
      <c r="E495" s="59" t="s">
        <v>7</v>
      </c>
      <c r="F495" s="1"/>
      <c r="G495" s="1"/>
      <c r="H495" s="1"/>
      <c r="I495" s="59" t="s">
        <v>7</v>
      </c>
      <c r="J495" s="1"/>
      <c r="K495" s="1"/>
      <c r="L495" s="1"/>
      <c r="M495" s="59" t="s">
        <v>7</v>
      </c>
      <c r="N495" s="1"/>
      <c r="O495" s="1"/>
      <c r="P495" s="1"/>
      <c r="Q495" s="59" t="s">
        <v>7</v>
      </c>
      <c r="R495" s="59" t="s">
        <v>7</v>
      </c>
    </row>
    <row r="496" spans="1:21" ht="15.75" customHeight="1" x14ac:dyDescent="0.3">
      <c r="A496" s="76" t="s">
        <v>454</v>
      </c>
      <c r="B496" s="1"/>
      <c r="C496" s="1"/>
      <c r="D496" s="1"/>
      <c r="E496" s="59">
        <f t="shared" ref="E496:E501" si="202">SUM(B496:D496)</f>
        <v>0</v>
      </c>
      <c r="F496" s="1"/>
      <c r="G496" s="1"/>
      <c r="H496" s="1"/>
      <c r="I496" s="59">
        <f t="shared" ref="I496:I501" si="203">SUM(F496:H496)</f>
        <v>0</v>
      </c>
      <c r="J496" s="1"/>
      <c r="K496" s="1"/>
      <c r="L496" s="1"/>
      <c r="M496" s="59">
        <f t="shared" ref="M496:M501" si="204">SUM(J496:L496)</f>
        <v>0</v>
      </c>
      <c r="N496" s="1"/>
      <c r="O496" s="1"/>
      <c r="P496" s="1"/>
      <c r="Q496" s="59">
        <f t="shared" ref="Q496:Q501" si="205">SUM(N496:P496)</f>
        <v>0</v>
      </c>
      <c r="R496" s="59">
        <f t="shared" ref="R496:R501" si="206">+E496+I496+M496+Q496</f>
        <v>0</v>
      </c>
      <c r="T496" s="4" t="s">
        <v>317</v>
      </c>
    </row>
    <row r="497" spans="1:21" ht="15.75" customHeight="1" x14ac:dyDescent="0.3">
      <c r="A497" s="76" t="s">
        <v>455</v>
      </c>
      <c r="B497" s="1"/>
      <c r="C497" s="1"/>
      <c r="D497" s="1"/>
      <c r="E497" s="59">
        <f t="shared" ref="E497" si="207">SUM(B497:D497)</f>
        <v>0</v>
      </c>
      <c r="F497" s="1"/>
      <c r="G497" s="1"/>
      <c r="H497" s="1"/>
      <c r="I497" s="59">
        <f t="shared" si="203"/>
        <v>0</v>
      </c>
      <c r="J497" s="1"/>
      <c r="K497" s="1"/>
      <c r="L497" s="1"/>
      <c r="M497" s="59">
        <f t="shared" si="204"/>
        <v>0</v>
      </c>
      <c r="N497" s="1"/>
      <c r="O497" s="1"/>
      <c r="P497" s="1"/>
      <c r="Q497" s="59">
        <f t="shared" si="205"/>
        <v>0</v>
      </c>
      <c r="R497" s="59">
        <f t="shared" si="206"/>
        <v>0</v>
      </c>
      <c r="T497" s="4" t="s">
        <v>317</v>
      </c>
    </row>
    <row r="498" spans="1:21" ht="15.75" customHeight="1" x14ac:dyDescent="0.3">
      <c r="A498" s="76" t="s">
        <v>456</v>
      </c>
      <c r="B498" s="1"/>
      <c r="C498" s="1"/>
      <c r="D498" s="1"/>
      <c r="E498" s="59">
        <f t="shared" si="202"/>
        <v>0</v>
      </c>
      <c r="F498" s="1"/>
      <c r="G498" s="1"/>
      <c r="H498" s="1"/>
      <c r="I498" s="59">
        <f t="shared" si="203"/>
        <v>0</v>
      </c>
      <c r="J498" s="1"/>
      <c r="K498" s="1"/>
      <c r="L498" s="1"/>
      <c r="M498" s="59">
        <f t="shared" si="204"/>
        <v>0</v>
      </c>
      <c r="N498" s="1"/>
      <c r="O498" s="1"/>
      <c r="P498" s="1"/>
      <c r="Q498" s="59">
        <f t="shared" si="205"/>
        <v>0</v>
      </c>
      <c r="R498" s="59">
        <f t="shared" si="206"/>
        <v>0</v>
      </c>
      <c r="T498" s="4" t="s">
        <v>331</v>
      </c>
    </row>
    <row r="499" spans="1:21" ht="15.75" customHeight="1" x14ac:dyDescent="0.3">
      <c r="A499" s="76" t="s">
        <v>457</v>
      </c>
      <c r="B499" s="1"/>
      <c r="C499" s="1"/>
      <c r="D499" s="1"/>
      <c r="E499" s="59">
        <f t="shared" si="202"/>
        <v>0</v>
      </c>
      <c r="F499" s="1"/>
      <c r="G499" s="1"/>
      <c r="H499" s="1"/>
      <c r="I499" s="59">
        <f t="shared" si="203"/>
        <v>0</v>
      </c>
      <c r="J499" s="1"/>
      <c r="K499" s="1"/>
      <c r="L499" s="1"/>
      <c r="M499" s="59">
        <f t="shared" si="204"/>
        <v>0</v>
      </c>
      <c r="N499" s="1"/>
      <c r="O499" s="1"/>
      <c r="P499" s="1"/>
      <c r="Q499" s="59">
        <f t="shared" si="205"/>
        <v>0</v>
      </c>
      <c r="R499" s="59">
        <f t="shared" si="206"/>
        <v>0</v>
      </c>
    </row>
    <row r="500" spans="1:21" ht="15.75" customHeight="1" x14ac:dyDescent="0.3">
      <c r="A500" s="76" t="s">
        <v>458</v>
      </c>
      <c r="B500" s="1"/>
      <c r="C500" s="1"/>
      <c r="D500" s="1"/>
      <c r="E500" s="59">
        <f t="shared" si="202"/>
        <v>0</v>
      </c>
      <c r="F500" s="1"/>
      <c r="G500" s="1"/>
      <c r="H500" s="1"/>
      <c r="I500" s="59">
        <f t="shared" si="203"/>
        <v>0</v>
      </c>
      <c r="J500" s="1"/>
      <c r="K500" s="1"/>
      <c r="L500" s="1"/>
      <c r="M500" s="59">
        <f t="shared" si="204"/>
        <v>0</v>
      </c>
      <c r="N500" s="1"/>
      <c r="O500" s="1"/>
      <c r="P500" s="1"/>
      <c r="Q500" s="59">
        <f t="shared" si="205"/>
        <v>0</v>
      </c>
      <c r="R500" s="59">
        <f t="shared" si="206"/>
        <v>0</v>
      </c>
    </row>
    <row r="501" spans="1:21" ht="15.75" customHeight="1" x14ac:dyDescent="0.3">
      <c r="A501" s="76" t="s">
        <v>459</v>
      </c>
      <c r="B501" s="1"/>
      <c r="C501" s="1"/>
      <c r="D501" s="1"/>
      <c r="E501" s="59">
        <f t="shared" si="202"/>
        <v>0</v>
      </c>
      <c r="F501" s="1"/>
      <c r="G501" s="1"/>
      <c r="H501" s="1"/>
      <c r="I501" s="59">
        <f t="shared" si="203"/>
        <v>0</v>
      </c>
      <c r="J501" s="1"/>
      <c r="K501" s="1"/>
      <c r="L501" s="1"/>
      <c r="M501" s="59">
        <f t="shared" si="204"/>
        <v>0</v>
      </c>
      <c r="N501" s="1"/>
      <c r="O501" s="1"/>
      <c r="P501" s="1"/>
      <c r="Q501" s="59">
        <f t="shared" si="205"/>
        <v>0</v>
      </c>
      <c r="R501" s="59">
        <f t="shared" si="206"/>
        <v>0</v>
      </c>
      <c r="T501" s="4" t="s">
        <v>317</v>
      </c>
    </row>
    <row r="502" spans="1:21" ht="15.75" customHeight="1" x14ac:dyDescent="0.3">
      <c r="A502" s="17" t="s">
        <v>67</v>
      </c>
      <c r="B502" s="1"/>
      <c r="C502" s="1"/>
      <c r="D502" s="1"/>
      <c r="E502" s="59" t="s">
        <v>7</v>
      </c>
      <c r="F502" s="1"/>
      <c r="G502" s="1"/>
      <c r="H502" s="1"/>
      <c r="I502" s="59" t="s">
        <v>7</v>
      </c>
      <c r="J502" s="1"/>
      <c r="K502" s="1"/>
      <c r="L502" s="1"/>
      <c r="M502" s="59" t="s">
        <v>7</v>
      </c>
      <c r="N502" s="1"/>
      <c r="O502" s="1"/>
      <c r="P502" s="1"/>
      <c r="Q502" s="59" t="s">
        <v>7</v>
      </c>
      <c r="R502" s="59" t="s">
        <v>7</v>
      </c>
    </row>
    <row r="503" spans="1:21" ht="15.75" customHeight="1" x14ac:dyDescent="0.3">
      <c r="A503" s="76" t="s">
        <v>460</v>
      </c>
      <c r="B503" s="1"/>
      <c r="C503" s="1"/>
      <c r="D503" s="1"/>
      <c r="E503" s="59">
        <f>SUM(B503:D503)</f>
        <v>0</v>
      </c>
      <c r="F503" s="1"/>
      <c r="G503" s="1"/>
      <c r="H503" s="1"/>
      <c r="I503" s="59">
        <f>SUM(F503:H503)</f>
        <v>0</v>
      </c>
      <c r="J503" s="1"/>
      <c r="K503" s="1"/>
      <c r="L503" s="1"/>
      <c r="M503" s="59">
        <f>SUM(J503:L503)</f>
        <v>0</v>
      </c>
      <c r="N503" s="1"/>
      <c r="O503" s="1"/>
      <c r="P503" s="1"/>
      <c r="Q503" s="59">
        <f>SUM(N503:P503)</f>
        <v>0</v>
      </c>
      <c r="R503" s="59">
        <f>+E503+I503+M503+Q503</f>
        <v>0</v>
      </c>
      <c r="T503" s="4" t="s">
        <v>305</v>
      </c>
    </row>
    <row r="504" spans="1:21" ht="15.75" customHeight="1" x14ac:dyDescent="0.3">
      <c r="A504" s="76" t="s">
        <v>461</v>
      </c>
      <c r="B504" s="1"/>
      <c r="C504" s="1"/>
      <c r="D504" s="1"/>
      <c r="E504" s="59">
        <f>SUM(B504:D504)</f>
        <v>0</v>
      </c>
      <c r="F504" s="1"/>
      <c r="G504" s="1"/>
      <c r="H504" s="1"/>
      <c r="I504" s="59">
        <f>SUM(F504:H504)</f>
        <v>0</v>
      </c>
      <c r="J504" s="1"/>
      <c r="K504" s="1"/>
      <c r="L504" s="1"/>
      <c r="M504" s="59">
        <f>SUM(J504:L504)</f>
        <v>0</v>
      </c>
      <c r="N504" s="1"/>
      <c r="O504" s="1"/>
      <c r="P504" s="1"/>
      <c r="Q504" s="59">
        <f>SUM(N504:P504)</f>
        <v>0</v>
      </c>
      <c r="R504" s="59">
        <f>+E504+I504+M504+Q504</f>
        <v>0</v>
      </c>
      <c r="T504" s="4" t="s">
        <v>305</v>
      </c>
    </row>
    <row r="505" spans="1:21" ht="15.75" customHeight="1" x14ac:dyDescent="0.3">
      <c r="A505" s="76" t="s">
        <v>462</v>
      </c>
      <c r="B505" s="1"/>
      <c r="C505" s="1"/>
      <c r="D505" s="1"/>
      <c r="E505" s="59">
        <f>SUM(B505:D505)</f>
        <v>0</v>
      </c>
      <c r="F505" s="1"/>
      <c r="G505" s="1"/>
      <c r="H505" s="1"/>
      <c r="I505" s="59">
        <f>SUM(F505:H505)</f>
        <v>0</v>
      </c>
      <c r="J505" s="1"/>
      <c r="K505" s="1"/>
      <c r="L505" s="1"/>
      <c r="M505" s="59">
        <f>SUM(J505:L505)</f>
        <v>0</v>
      </c>
      <c r="N505" s="1"/>
      <c r="O505" s="1"/>
      <c r="P505" s="1"/>
      <c r="Q505" s="59">
        <f>SUM(N505:P505)</f>
        <v>0</v>
      </c>
      <c r="R505" s="59">
        <f>+E505+I505+M505+Q505</f>
        <v>0</v>
      </c>
    </row>
    <row r="506" spans="1:21" ht="15.75" customHeight="1" x14ac:dyDescent="0.3">
      <c r="A506" s="76" t="s">
        <v>463</v>
      </c>
      <c r="B506" s="1"/>
      <c r="C506" s="1"/>
      <c r="D506" s="1"/>
      <c r="E506" s="59">
        <f>SUM(B506:D506)</f>
        <v>0</v>
      </c>
      <c r="F506" s="1"/>
      <c r="G506" s="1"/>
      <c r="H506" s="1"/>
      <c r="I506" s="59">
        <f>SUM(F506:H506)</f>
        <v>0</v>
      </c>
      <c r="J506" s="1"/>
      <c r="K506" s="1"/>
      <c r="L506" s="1"/>
      <c r="M506" s="59">
        <f>SUM(J506:L506)</f>
        <v>0</v>
      </c>
      <c r="N506" s="1"/>
      <c r="O506" s="1"/>
      <c r="P506" s="1">
        <v>953</v>
      </c>
      <c r="Q506" s="59">
        <f>SUM(N506:P506)</f>
        <v>953</v>
      </c>
      <c r="R506" s="59">
        <f>+E506+I506+M506+Q506</f>
        <v>953</v>
      </c>
    </row>
    <row r="507" spans="1:21" ht="15.75" customHeight="1" x14ac:dyDescent="0.3">
      <c r="A507" s="76" t="s">
        <v>464</v>
      </c>
      <c r="B507" s="1"/>
      <c r="C507" s="1"/>
      <c r="D507" s="1"/>
      <c r="E507" s="59">
        <f t="shared" ref="E507" si="208">SUM(B507:D507)</f>
        <v>0</v>
      </c>
      <c r="F507" s="1"/>
      <c r="G507" s="1"/>
      <c r="H507" s="1"/>
      <c r="I507" s="59">
        <f t="shared" ref="I507" si="209">SUM(F507:H507)</f>
        <v>0</v>
      </c>
      <c r="J507" s="1">
        <f>1272+179</f>
        <v>1451</v>
      </c>
      <c r="K507" s="1">
        <v>332</v>
      </c>
      <c r="L507" s="1"/>
      <c r="M507" s="59">
        <f t="shared" ref="M507" si="210">SUM(J507:L507)</f>
        <v>1783</v>
      </c>
      <c r="N507" s="1"/>
      <c r="O507" s="1"/>
      <c r="P507" s="1">
        <v>1217</v>
      </c>
      <c r="Q507" s="59">
        <f t="shared" ref="Q507:Q518" si="211">SUM(N507:P507)</f>
        <v>1217</v>
      </c>
      <c r="R507" s="59">
        <f t="shared" ref="R507:R518" si="212">+E507+I507+M507+Q507</f>
        <v>3000</v>
      </c>
    </row>
    <row r="508" spans="1:21" ht="15.75" customHeight="1" x14ac:dyDescent="0.3">
      <c r="A508" s="76" t="s">
        <v>465</v>
      </c>
      <c r="B508" s="1"/>
      <c r="C508" s="1"/>
      <c r="D508" s="1"/>
      <c r="E508" s="59">
        <f>SUM(B508:D508)</f>
        <v>0</v>
      </c>
      <c r="F508" s="1"/>
      <c r="G508" s="1"/>
      <c r="H508" s="1"/>
      <c r="I508" s="59">
        <f>SUM(F508:H508)</f>
        <v>0</v>
      </c>
      <c r="J508" s="1"/>
      <c r="K508" s="1"/>
      <c r="L508" s="1"/>
      <c r="M508" s="59">
        <f>SUM(J508:L508)</f>
        <v>0</v>
      </c>
      <c r="N508" s="1"/>
      <c r="O508" s="1"/>
      <c r="P508" s="1"/>
      <c r="Q508" s="59">
        <f>SUM(N508:P508)</f>
        <v>0</v>
      </c>
      <c r="R508" s="59">
        <f>+E508+I508+M508+Q508</f>
        <v>0</v>
      </c>
    </row>
    <row r="509" spans="1:21" ht="15.75" customHeight="1" x14ac:dyDescent="0.3">
      <c r="A509" s="76" t="s">
        <v>466</v>
      </c>
      <c r="B509" s="1"/>
      <c r="C509" s="1"/>
      <c r="D509" s="1"/>
      <c r="E509" s="59">
        <f>SUM(B509:D509)</f>
        <v>0</v>
      </c>
      <c r="F509" s="1"/>
      <c r="G509" s="1"/>
      <c r="H509" s="1"/>
      <c r="I509" s="59">
        <f>SUM(F509:H509)</f>
        <v>0</v>
      </c>
      <c r="J509" s="1"/>
      <c r="K509" s="1">
        <v>1500</v>
      </c>
      <c r="L509" s="1">
        <v>1500</v>
      </c>
      <c r="M509" s="59">
        <f>SUM(J509:L509)</f>
        <v>3000</v>
      </c>
      <c r="N509" s="1">
        <v>1500</v>
      </c>
      <c r="O509" s="1"/>
      <c r="P509" s="1"/>
      <c r="Q509" s="59">
        <f>SUM(N509:P509)</f>
        <v>1500</v>
      </c>
      <c r="R509" s="59">
        <f>+E509+I509+M509+Q509</f>
        <v>4500</v>
      </c>
      <c r="T509" s="4" t="s">
        <v>305</v>
      </c>
      <c r="U509" s="20"/>
    </row>
    <row r="510" spans="1:21" ht="15.75" customHeight="1" x14ac:dyDescent="0.3">
      <c r="A510" s="76" t="s">
        <v>467</v>
      </c>
      <c r="B510" s="1"/>
      <c r="C510" s="1"/>
      <c r="D510" s="1"/>
      <c r="E510" s="59">
        <f>SUM(B510:D510)</f>
        <v>0</v>
      </c>
      <c r="F510" s="1"/>
      <c r="G510" s="1"/>
      <c r="H510" s="1"/>
      <c r="I510" s="59">
        <f>SUM(F510:H510)</f>
        <v>0</v>
      </c>
      <c r="J510" s="1"/>
      <c r="K510" s="1"/>
      <c r="L510" s="1"/>
      <c r="M510" s="59">
        <f>SUM(J510:L510)</f>
        <v>0</v>
      </c>
      <c r="N510" s="1"/>
      <c r="O510" s="1"/>
      <c r="P510" s="1"/>
      <c r="Q510" s="59">
        <f>SUM(N510:P510)</f>
        <v>0</v>
      </c>
      <c r="R510" s="59">
        <f>+E510+I510+M510+Q510</f>
        <v>0</v>
      </c>
    </row>
    <row r="511" spans="1:21" ht="15.75" customHeight="1" x14ac:dyDescent="0.3">
      <c r="A511" s="76" t="s">
        <v>468</v>
      </c>
      <c r="B511" s="1"/>
      <c r="C511" s="1"/>
      <c r="D511" s="1"/>
      <c r="E511" s="59">
        <f>SUM(B511:D511)</f>
        <v>0</v>
      </c>
      <c r="F511" s="1"/>
      <c r="G511" s="1"/>
      <c r="H511" s="1"/>
      <c r="I511" s="59">
        <f>SUM(F511:H511)</f>
        <v>0</v>
      </c>
      <c r="J511" s="1"/>
      <c r="K511" s="1"/>
      <c r="L511" s="1"/>
      <c r="M511" s="59">
        <f>SUM(J511:L511)</f>
        <v>0</v>
      </c>
      <c r="N511" s="1"/>
      <c r="O511" s="1"/>
      <c r="P511" s="1"/>
      <c r="Q511" s="59">
        <f>SUM(N511:P511)</f>
        <v>0</v>
      </c>
      <c r="R511" s="59">
        <f>+E511+I511+M511+Q511</f>
        <v>0</v>
      </c>
      <c r="T511" s="4" t="s">
        <v>331</v>
      </c>
    </row>
    <row r="512" spans="1:21" ht="15.75" customHeight="1" thickBot="1" x14ac:dyDescent="0.35">
      <c r="A512" s="76" t="s">
        <v>469</v>
      </c>
      <c r="B512" s="1"/>
      <c r="C512" s="1"/>
      <c r="D512" s="1"/>
      <c r="E512" s="59">
        <f>SUM(B512:D512)</f>
        <v>0</v>
      </c>
      <c r="F512" s="1"/>
      <c r="G512" s="1"/>
      <c r="H512" s="1"/>
      <c r="I512" s="59">
        <f>SUM(F512:H512)</f>
        <v>0</v>
      </c>
      <c r="J512" s="1"/>
      <c r="K512" s="1"/>
      <c r="L512" s="1"/>
      <c r="M512" s="59">
        <f>SUM(J512:L512)</f>
        <v>0</v>
      </c>
      <c r="N512" s="1"/>
      <c r="O512" s="1"/>
      <c r="P512" s="1">
        <v>35</v>
      </c>
      <c r="Q512" s="59">
        <f>SUM(N512:P512)</f>
        <v>35</v>
      </c>
      <c r="R512" s="59">
        <f>+E512+I512+M512+Q512</f>
        <v>35</v>
      </c>
      <c r="T512" s="4" t="s">
        <v>331</v>
      </c>
    </row>
    <row r="513" spans="1:18" ht="16.5" customHeight="1" thickBot="1" x14ac:dyDescent="0.35">
      <c r="A513" s="62" t="s">
        <v>68</v>
      </c>
      <c r="B513" s="63">
        <f>SUM(B495:B512)</f>
        <v>0</v>
      </c>
      <c r="C513" s="63">
        <f>SUM(C495:C512)</f>
        <v>0</v>
      </c>
      <c r="D513" s="63">
        <f>SUM(D495:D512)</f>
        <v>0</v>
      </c>
      <c r="E513" s="334">
        <f t="shared" ref="E513:E518" si="213">SUM(B513:D513)</f>
        <v>0</v>
      </c>
      <c r="F513" s="63">
        <f>SUM(F495:F512)</f>
        <v>0</v>
      </c>
      <c r="G513" s="63">
        <f>SUM(G495:G512)</f>
        <v>0</v>
      </c>
      <c r="H513" s="63">
        <f>SUM(H495:H512)</f>
        <v>0</v>
      </c>
      <c r="I513" s="334">
        <f t="shared" ref="I513:I518" si="214">SUM(F513:H513)</f>
        <v>0</v>
      </c>
      <c r="J513" s="63">
        <f>SUM(J495:J512)</f>
        <v>1451</v>
      </c>
      <c r="K513" s="63">
        <f>SUM(K495:K512)</f>
        <v>1832</v>
      </c>
      <c r="L513" s="63">
        <f>SUM(L495:L512)</f>
        <v>1500</v>
      </c>
      <c r="M513" s="334">
        <f t="shared" ref="M513:M518" si="215">SUM(J513:L513)</f>
        <v>4783</v>
      </c>
      <c r="N513" s="63">
        <f>SUM(N495:N512)</f>
        <v>1500</v>
      </c>
      <c r="O513" s="63">
        <f>SUM(O495:O512)</f>
        <v>0</v>
      </c>
      <c r="P513" s="63">
        <f>SUM(P495:P512)</f>
        <v>2205</v>
      </c>
      <c r="Q513" s="334">
        <f t="shared" si="211"/>
        <v>3705</v>
      </c>
      <c r="R513" s="64">
        <f t="shared" si="212"/>
        <v>8488</v>
      </c>
    </row>
    <row r="514" spans="1:18" ht="16.5" customHeight="1" thickBot="1" x14ac:dyDescent="0.35">
      <c r="A514" s="137" t="s">
        <v>69</v>
      </c>
      <c r="B514" s="100">
        <f>SUM(B489:B512)</f>
        <v>0</v>
      </c>
      <c r="C514" s="101">
        <f>SUM(C489:C512)</f>
        <v>0</v>
      </c>
      <c r="D514" s="138">
        <f>SUM(D489:D512)</f>
        <v>0</v>
      </c>
      <c r="E514" s="334">
        <f t="shared" si="213"/>
        <v>0</v>
      </c>
      <c r="F514" s="101">
        <f>SUM(F489:F512)</f>
        <v>0</v>
      </c>
      <c r="G514" s="101">
        <f>SUM(G489:G512)</f>
        <v>0</v>
      </c>
      <c r="H514" s="101">
        <f>SUM(H489:H512)</f>
        <v>0</v>
      </c>
      <c r="I514" s="334">
        <f t="shared" si="214"/>
        <v>0</v>
      </c>
      <c r="J514" s="101">
        <f>SUM(J489:J512)</f>
        <v>1451</v>
      </c>
      <c r="K514" s="101">
        <f>SUM(K489:K512)</f>
        <v>1832</v>
      </c>
      <c r="L514" s="101">
        <f>SUM(L489:L512)</f>
        <v>1500</v>
      </c>
      <c r="M514" s="334">
        <f t="shared" si="215"/>
        <v>4783</v>
      </c>
      <c r="N514" s="101">
        <f>SUM(N489:N512)</f>
        <v>1500</v>
      </c>
      <c r="O514" s="101">
        <f>SUM(O489:O512)</f>
        <v>0</v>
      </c>
      <c r="P514" s="101">
        <f>SUM(P489:P512)</f>
        <v>2205</v>
      </c>
      <c r="Q514" s="334">
        <f t="shared" si="211"/>
        <v>3705</v>
      </c>
      <c r="R514" s="64">
        <f t="shared" si="212"/>
        <v>8488</v>
      </c>
    </row>
    <row r="515" spans="1:18" ht="16.5" customHeight="1" thickBot="1" x14ac:dyDescent="0.35">
      <c r="A515" s="62" t="s">
        <v>70</v>
      </c>
      <c r="B515" s="107">
        <f>+B400+B414+B488+B514</f>
        <v>15112</v>
      </c>
      <c r="C515" s="63">
        <f>+C400+C414+C488+C514</f>
        <v>24202</v>
      </c>
      <c r="D515" s="63">
        <f>+D400+D414+D488+D514</f>
        <v>34044</v>
      </c>
      <c r="E515" s="64">
        <f t="shared" si="213"/>
        <v>73358</v>
      </c>
      <c r="F515" s="63">
        <f>+F400+F414+F488+F514</f>
        <v>56127</v>
      </c>
      <c r="G515" s="63">
        <f>+G400+G414+G488+G514</f>
        <v>82132</v>
      </c>
      <c r="H515" s="63">
        <f>+H400+H414+H488+H514</f>
        <v>90993</v>
      </c>
      <c r="I515" s="64">
        <f t="shared" si="214"/>
        <v>229252</v>
      </c>
      <c r="J515" s="63">
        <f>+J400+J414+J488+J514</f>
        <v>76785</v>
      </c>
      <c r="K515" s="63">
        <f>+K400+K414+K488+K514</f>
        <v>65017</v>
      </c>
      <c r="L515" s="63">
        <f>+L400+L414+L488+L514</f>
        <v>39204</v>
      </c>
      <c r="M515" s="64">
        <f t="shared" si="215"/>
        <v>181006</v>
      </c>
      <c r="N515" s="63">
        <f>+N400+N414+N488+N514</f>
        <v>32562</v>
      </c>
      <c r="O515" s="63">
        <f>+O400+O414+O488+O514</f>
        <v>20259</v>
      </c>
      <c r="P515" s="63">
        <f>+P400+P414+P488+P514</f>
        <v>21517</v>
      </c>
      <c r="Q515" s="64">
        <f t="shared" si="211"/>
        <v>74338</v>
      </c>
      <c r="R515" s="88">
        <f t="shared" si="212"/>
        <v>557954</v>
      </c>
    </row>
    <row r="516" spans="1:18" ht="15.75" customHeight="1" x14ac:dyDescent="0.3">
      <c r="A516" s="74" t="s">
        <v>470</v>
      </c>
      <c r="B516" s="1"/>
      <c r="C516" s="1"/>
      <c r="D516" s="1"/>
      <c r="E516" s="59">
        <f t="shared" si="213"/>
        <v>0</v>
      </c>
      <c r="F516" s="1"/>
      <c r="G516" s="1"/>
      <c r="H516" s="1"/>
      <c r="I516" s="59">
        <f t="shared" si="214"/>
        <v>0</v>
      </c>
      <c r="J516" s="1"/>
      <c r="K516" s="1"/>
      <c r="L516" s="1"/>
      <c r="M516" s="59">
        <f t="shared" si="215"/>
        <v>0</v>
      </c>
      <c r="N516" s="1"/>
      <c r="O516" s="1"/>
      <c r="P516" s="1"/>
      <c r="Q516" s="59">
        <f t="shared" si="211"/>
        <v>0</v>
      </c>
      <c r="R516" s="59">
        <f t="shared" si="212"/>
        <v>0</v>
      </c>
    </row>
    <row r="517" spans="1:18" ht="15.75" customHeight="1" x14ac:dyDescent="0.3">
      <c r="A517" s="74" t="s">
        <v>471</v>
      </c>
      <c r="B517" s="1"/>
      <c r="C517" s="1"/>
      <c r="D517" s="1"/>
      <c r="E517" s="59">
        <f t="shared" si="213"/>
        <v>0</v>
      </c>
      <c r="F517" s="1"/>
      <c r="G517" s="1"/>
      <c r="H517" s="1"/>
      <c r="I517" s="59">
        <f t="shared" si="214"/>
        <v>0</v>
      </c>
      <c r="J517" s="1"/>
      <c r="K517" s="1"/>
      <c r="L517" s="1"/>
      <c r="M517" s="59">
        <f t="shared" si="215"/>
        <v>0</v>
      </c>
      <c r="N517" s="1"/>
      <c r="O517" s="1"/>
      <c r="P517" s="1"/>
      <c r="Q517" s="59">
        <f t="shared" si="211"/>
        <v>0</v>
      </c>
      <c r="R517" s="59">
        <f t="shared" si="212"/>
        <v>0</v>
      </c>
    </row>
    <row r="518" spans="1:18" ht="16.5" customHeight="1" thickBot="1" x14ac:dyDescent="0.35">
      <c r="A518" s="79" t="s">
        <v>37</v>
      </c>
      <c r="B518" s="25">
        <v>155</v>
      </c>
      <c r="C518" s="25">
        <v>283</v>
      </c>
      <c r="D518" s="25">
        <v>435</v>
      </c>
      <c r="E518" s="88">
        <f t="shared" si="213"/>
        <v>873</v>
      </c>
      <c r="F518" s="25">
        <v>602</v>
      </c>
      <c r="G518" s="25">
        <v>711</v>
      </c>
      <c r="H518" s="25">
        <v>722</v>
      </c>
      <c r="I518" s="88">
        <f t="shared" si="214"/>
        <v>2035</v>
      </c>
      <c r="J518" s="25">
        <v>686</v>
      </c>
      <c r="K518" s="25">
        <v>519</v>
      </c>
      <c r="L518" s="25">
        <v>531</v>
      </c>
      <c r="M518" s="88">
        <f t="shared" si="215"/>
        <v>1736</v>
      </c>
      <c r="N518" s="25">
        <v>489</v>
      </c>
      <c r="O518" s="25">
        <v>389</v>
      </c>
      <c r="P518" s="25">
        <v>275</v>
      </c>
      <c r="Q518" s="88">
        <f t="shared" si="211"/>
        <v>1153</v>
      </c>
      <c r="R518" s="59">
        <f t="shared" si="212"/>
        <v>5797</v>
      </c>
    </row>
    <row r="519" spans="1:18" ht="16.5" customHeight="1" thickBot="1" x14ac:dyDescent="0.35">
      <c r="A519" s="80"/>
      <c r="B519" s="81"/>
      <c r="C519" s="81"/>
      <c r="D519" s="81"/>
      <c r="E519" s="64"/>
      <c r="F519" s="81"/>
      <c r="G519" s="81"/>
      <c r="H519" s="81"/>
      <c r="I519" s="64"/>
      <c r="J519" s="81"/>
      <c r="K519" s="81"/>
      <c r="L519" s="81"/>
      <c r="M519" s="64"/>
      <c r="N519" s="81"/>
      <c r="O519" s="81"/>
      <c r="P519" s="81"/>
      <c r="Q519" s="64"/>
      <c r="R519" s="64" t="s">
        <v>7</v>
      </c>
    </row>
    <row r="520" spans="1:18" ht="15.75" customHeight="1" x14ac:dyDescent="0.3">
      <c r="A520" s="335" t="s">
        <v>38</v>
      </c>
      <c r="B520" s="336">
        <f>SUM(B515:B518)</f>
        <v>15267</v>
      </c>
      <c r="C520" s="336">
        <f>SUM(C515:C518)</f>
        <v>24485</v>
      </c>
      <c r="D520" s="336">
        <f>SUM(D515:D518)</f>
        <v>34479</v>
      </c>
      <c r="E520" s="334">
        <f>SUM(B520:D520)</f>
        <v>74231</v>
      </c>
      <c r="F520" s="336">
        <f>SUM(F515:F518)</f>
        <v>56729</v>
      </c>
      <c r="G520" s="336">
        <f>SUM(G515:G518)</f>
        <v>82843</v>
      </c>
      <c r="H520" s="336">
        <f>SUM(H515:H518)</f>
        <v>91715</v>
      </c>
      <c r="I520" s="334">
        <f>SUM(F520:H520)</f>
        <v>231287</v>
      </c>
      <c r="J520" s="336">
        <f>SUM(J515:J518)</f>
        <v>77471</v>
      </c>
      <c r="K520" s="336">
        <f>SUM(K515:K518)</f>
        <v>65536</v>
      </c>
      <c r="L520" s="336">
        <f>SUM(L515:L518)</f>
        <v>39735</v>
      </c>
      <c r="M520" s="334">
        <f>SUM(J520:L520)</f>
        <v>182742</v>
      </c>
      <c r="N520" s="336">
        <f>SUM(N515:N518)</f>
        <v>33051</v>
      </c>
      <c r="O520" s="336">
        <f>SUM(O515:O518)</f>
        <v>20648</v>
      </c>
      <c r="P520" s="336">
        <f>SUM(P515:P518)</f>
        <v>21792</v>
      </c>
      <c r="Q520" s="334">
        <f>SUM(N520:P520)</f>
        <v>75491</v>
      </c>
      <c r="R520" s="334">
        <f>+E520+I520+M520+Q520</f>
        <v>563751</v>
      </c>
    </row>
    <row r="521" spans="1:18" ht="15.75" customHeight="1" x14ac:dyDescent="0.3">
      <c r="A521" s="85" t="s">
        <v>39</v>
      </c>
      <c r="B521" s="1">
        <f>(B520/B10)/1.983</f>
        <v>248.35293543506904</v>
      </c>
      <c r="C521" s="1">
        <f>(C520/C10)/1.983</f>
        <v>425.77425356913068</v>
      </c>
      <c r="D521" s="1">
        <f>(D520/D10)/1.983</f>
        <v>560.88038651115119</v>
      </c>
      <c r="E521" s="59" t="s">
        <v>7</v>
      </c>
      <c r="F521" s="1">
        <f>(F520/F10)/1.983</f>
        <v>953.58883846024537</v>
      </c>
      <c r="G521" s="1">
        <f>(G520/G10)/1.983</f>
        <v>1347.6322938525857</v>
      </c>
      <c r="H521" s="1">
        <f>(H520/H10)/1.983</f>
        <v>1541.6876786014454</v>
      </c>
      <c r="I521" s="59" t="s">
        <v>7</v>
      </c>
      <c r="J521" s="1">
        <f>(J520/J10)/1.983</f>
        <v>1260.2443349112618</v>
      </c>
      <c r="K521" s="1">
        <f>(K520/K10)/1.983</f>
        <v>1066.0940575537227</v>
      </c>
      <c r="L521" s="1">
        <f>(L520/L10)/1.983</f>
        <v>667.92738275340389</v>
      </c>
      <c r="M521" s="59" t="s">
        <v>7</v>
      </c>
      <c r="N521" s="1">
        <f>(N520/N10)/1.983</f>
        <v>537.65067590649551</v>
      </c>
      <c r="O521" s="1">
        <f>(O520/O10)/1.983</f>
        <v>347.08354345268111</v>
      </c>
      <c r="P521" s="1">
        <f>(P520/P10)/1.983</f>
        <v>354.49709628617444</v>
      </c>
      <c r="Q521" s="59" t="s">
        <v>7</v>
      </c>
      <c r="R521" s="59" t="s">
        <v>7</v>
      </c>
    </row>
    <row r="522" spans="1:18" ht="15.75" customHeight="1" x14ac:dyDescent="0.3">
      <c r="A522" s="85" t="s">
        <v>472</v>
      </c>
      <c r="B522" s="1">
        <f>B520+B573</f>
        <v>29405</v>
      </c>
      <c r="C522" s="1">
        <f>C520+C573</f>
        <v>47525</v>
      </c>
      <c r="D522" s="1">
        <f>D520+D573</f>
        <v>64961</v>
      </c>
      <c r="E522" s="59">
        <f>SUM(B522:D522)</f>
        <v>141891</v>
      </c>
      <c r="F522" s="1">
        <f>F520+F573</f>
        <v>105559</v>
      </c>
      <c r="G522" s="1">
        <f>G520+G573</f>
        <v>126622</v>
      </c>
      <c r="H522" s="1">
        <f>H520+H573</f>
        <v>138214</v>
      </c>
      <c r="I522" s="59">
        <f>SUM(F522:H522)</f>
        <v>370395</v>
      </c>
      <c r="J522" s="1">
        <f>J520+J573</f>
        <v>129776</v>
      </c>
      <c r="K522" s="1">
        <f>K520+K573</f>
        <v>114384</v>
      </c>
      <c r="L522" s="1">
        <f>L520+L573</f>
        <v>74986</v>
      </c>
      <c r="M522" s="59">
        <f>SUM(J522:L522)</f>
        <v>319146</v>
      </c>
      <c r="N522" s="1">
        <f>N520+N573</f>
        <v>48733</v>
      </c>
      <c r="O522" s="1">
        <f>O520+O573</f>
        <v>24179</v>
      </c>
      <c r="P522" s="1">
        <f>P520+P573</f>
        <v>32830</v>
      </c>
      <c r="Q522" s="59">
        <f>SUM(N522:P522)</f>
        <v>105742</v>
      </c>
      <c r="R522" s="59">
        <f>+E522+I522+M522+Q522</f>
        <v>937174</v>
      </c>
    </row>
    <row r="523" spans="1:18" s="50" customFormat="1" ht="16.5" customHeight="1" thickBot="1" x14ac:dyDescent="0.35">
      <c r="A523" s="139" t="s">
        <v>473</v>
      </c>
      <c r="B523" s="140">
        <f>(B522/B10)/1.983</f>
        <v>478.34008426463646</v>
      </c>
      <c r="C523" s="140">
        <f>(C522/C10)/1.983</f>
        <v>826.42113134053238</v>
      </c>
      <c r="D523" s="140">
        <f>(D522/D10)/1.983</f>
        <v>1056.7403575553494</v>
      </c>
      <c r="E523" s="141" t="s">
        <v>7</v>
      </c>
      <c r="F523" s="140">
        <f>(F522/F10)/1.983</f>
        <v>1774.3990586653217</v>
      </c>
      <c r="G523" s="140">
        <f>(G522/G10)/1.983</f>
        <v>2059.7986107722086</v>
      </c>
      <c r="H523" s="140">
        <f>(H522/H10)/1.983</f>
        <v>2323.3148428307277</v>
      </c>
      <c r="I523" s="141" t="s">
        <v>7</v>
      </c>
      <c r="J523" s="140">
        <f>(J522/J10)/1.983</f>
        <v>2111.105688676329</v>
      </c>
      <c r="K523" s="140">
        <f>(K522/K10)/1.983</f>
        <v>1860.7193401981358</v>
      </c>
      <c r="L523" s="140">
        <f>(L522/L10)/1.983</f>
        <v>1260.4807530677424</v>
      </c>
      <c r="M523" s="141" t="s">
        <v>7</v>
      </c>
      <c r="N523" s="140">
        <f>(N522/N10)/1.983</f>
        <v>792.75454264473831</v>
      </c>
      <c r="O523" s="140">
        <f>(O522/O10)/1.983</f>
        <v>406.43805681627163</v>
      </c>
      <c r="P523" s="140">
        <f>(P522/P10)/1.983</f>
        <v>534.05560164625115</v>
      </c>
      <c r="Q523" s="141" t="s">
        <v>7</v>
      </c>
      <c r="R523" s="141" t="s">
        <v>7</v>
      </c>
    </row>
    <row r="524" spans="1:18" ht="15.75" customHeight="1" x14ac:dyDescent="0.3">
      <c r="A524" s="142" t="s">
        <v>474</v>
      </c>
      <c r="B524" s="143">
        <f>B$525+(SUMIF($T$338:$T$499,"FLG",B$345:B$517)/B10/1.98)+(SUMIF($T$338:$T$499,"FCA",B$345:B$517)/B10/1.98)+(SUMIF($T$338:$T$499,"NSC",B$345:B$517)/B10/1.98)</f>
        <v>289.12693377580399</v>
      </c>
      <c r="C524" s="143">
        <f>C$525+(SUMIF($T$338:$T$499,"FLG",C$345:C$517)/C10/1.98)+(SUMIF($T$338:$T$499,"FCA",C$345:C$517)/C10/1.98)+(SUMIF($T$338:$T$499,"NSC",C$345:C$517)/C10/1.98)</f>
        <v>548.92273984036729</v>
      </c>
      <c r="D524" s="143">
        <f>D$525+(SUMIF($T$338:$T$499,"FLG",D$345:D$517)/D10/1.98)+(SUMIF($T$338:$T$499,"FCA",D$345:D$517)/D10/1.98)+(SUMIF($T$338:$T$499,"NSC",D$345:D$517)/D10/1.98)</f>
        <v>714.0906650813439</v>
      </c>
      <c r="E524" s="144"/>
      <c r="F524" s="143">
        <f>F$525+(SUMIF($T$338:$T$499,"FLG",F$345:F$517)/F10/1.98)+(SUMIF($T$338:$T$499,"FCA",F$345:F$517)/F10/1.98)+(SUMIF($T$338:$T$499,"NSC",F$345:F$517)/F10/1.98)</f>
        <v>1285.1536545485108</v>
      </c>
      <c r="G524" s="143">
        <f>G$525+(SUMIF($T$338:$T$499,"FLG",G$345:G$517)/G10/1.98)+(SUMIF($T$338:$T$499,"FCA",G$345:G$517)/G10/1.98)+(SUMIF($T$338:$T$499,"NSC",G$345:G$517)/G10/1.98)</f>
        <v>1369.1881481350026</v>
      </c>
      <c r="H524" s="143">
        <f>H$525+(SUMIF($T$338:$T$499,"FLG",H$345:H$517)/H10/1.98)+(SUMIF($T$338:$T$499,"FCA",H$345:H$517)/H10/1.98)+(SUMIF($T$338:$T$499,"NSC",H$345:H$517)/H10/1.98)</f>
        <v>1515.297197899316</v>
      </c>
      <c r="I524" s="52"/>
      <c r="J524" s="143">
        <f>J$525+(SUMIF($T$338:$T$499,"FLG",J$345:J$517)/J10/1.98)+(SUMIF($T$338:$T$499,"FCA",J$345:J$517)/J10/1.98)+(SUMIF($T$338:$T$499,"NSC",J$345:J$517)/J10/1.98)</f>
        <v>1437.127238418049</v>
      </c>
      <c r="K524" s="143">
        <f>K$525+(SUMIF($T$338:$T$499,"FLG",K$345:K$517)/K10/1.98)+(SUMIF($T$338:$T$499,"FCA",K$345:K$517)/K10/1.98)+(SUMIF($T$338:$T$499,"NSC",K$345:K$517)/K10/1.98)</f>
        <v>1106.9582901387109</v>
      </c>
      <c r="L524" s="143">
        <f>L$525+(SUMIF($T$338:$T$499,"FLG",L$345:L$517)/L10/1.98)+(SUMIF($T$338:$T$499,"FCA",L$345:L$517)/L10/1.98)+(SUMIF($T$338:$T$499,"NSC",L$345:L$517)/L10/1.98)</f>
        <v>726.13922890019717</v>
      </c>
      <c r="M524" s="52"/>
      <c r="N524" s="143">
        <f>N$525+(SUMIF($T$338:$T$499,"FLG",N$345:N$517)/N10/1.98)+(SUMIF($T$338:$T$499,"FCA",N$345:N$517)/N10/1.98)+(SUMIF($T$338:$T$499,"NSC",N$345:N$517)/N10/1.98)</f>
        <v>441.92367775160221</v>
      </c>
      <c r="O524" s="143">
        <f>O$525+(SUMIF($T$338:$T$499,"FLG",O$345:O$517)/O10/1.98)+(SUMIF($T$338:$T$499,"FCA",O$345:O$517)/O10/1.98)+(SUMIF($T$338:$T$499,"NSC",O$345:O$517)/O10/1.98)</f>
        <v>212.26697127604842</v>
      </c>
      <c r="P524" s="143">
        <f>P$525+(SUMIF($T$338:$T$499,"FLG",P$345:P$517)/P10/1.98)+(SUMIF($T$338:$T$499,"FCA",P$345:P$517)/P10/1.98)+(SUMIF($T$338:$T$499,"NSC",P$345:P$517)/P10/1.98)</f>
        <v>330.42197880419536</v>
      </c>
      <c r="Q524" s="52"/>
      <c r="R524" s="52"/>
    </row>
    <row r="525" spans="1:18" ht="15.75" customHeight="1" x14ac:dyDescent="0.3">
      <c r="A525" s="142" t="s">
        <v>475</v>
      </c>
      <c r="B525" s="143">
        <f>B$526+(SUMIF($T$338:$T$499,"FCI",B$345:B$517)/B10/1.98)+(SUMIF($T$338:$T$499,"FCC",B$345:B$517)/B10/1.98)</f>
        <v>289.12693377580399</v>
      </c>
      <c r="C525" s="143">
        <f>C$526+(SUMIF($T$338:$T$499,"FCI",C$345:C$517)/C10/1.98)+(SUMIF($T$338:$T$499,"FCC",C$345:C$517)/C10/1.98)</f>
        <v>548.92273984036729</v>
      </c>
      <c r="D525" s="143">
        <f>D$526+(SUMIF($T$338:$T$499,"FCI",D$345:D$517)/D10/1.98)+(SUMIF($T$338:$T$499,"FCC",D$345:D$517)/D10/1.98)</f>
        <v>714.0906650813439</v>
      </c>
      <c r="E525" s="144"/>
      <c r="F525" s="143">
        <f>F$526+(SUMIF($T$338:$T$499,"FCI",F$345:F$517)/F10/1.98)+(SUMIF($T$338:$T$499,"FCC",F$345:F$517)/F10/1.98)</f>
        <v>1285.1536545485108</v>
      </c>
      <c r="G525" s="143">
        <f>G$526+(SUMIF($T$338:$T$499,"FCI",G$345:G$517)/G10/1.98)+(SUMIF($T$338:$T$499,"FCC",G$345:G$517)/G10/1.98)</f>
        <v>1369.1881481350026</v>
      </c>
      <c r="H525" s="143">
        <f>H$526+(SUMIF($T$338:$T$499,"FCI",H$345:H$517)/H10/1.98)+(SUMIF($T$338:$T$499,"FCC",H$345:H$517)/H10/1.98)</f>
        <v>1515.297197899316</v>
      </c>
      <c r="I525" s="52"/>
      <c r="J525" s="143">
        <f>J$526+(SUMIF($T$338:$T$499,"FCI",J$345:J$517)/J10/1.98)+(SUMIF($T$338:$T$499,"FCC",J$345:J$517)/J10/1.98)</f>
        <v>1437.127238418049</v>
      </c>
      <c r="K525" s="143">
        <f>K$526+(SUMIF($T$338:$T$499,"FCI",K$345:K$517)/K10/1.98)+(SUMIF($T$338:$T$499,"FCC",K$345:K$517)/K10/1.98)</f>
        <v>1106.9582901387109</v>
      </c>
      <c r="L525" s="143">
        <f>L$526+(SUMIF($T$338:$T$499,"FCI",L$345:L$517)/L10/1.98)+(SUMIF($T$338:$T$499,"FCC",L$345:L$517)/L10/1.98)</f>
        <v>726.13922890019717</v>
      </c>
      <c r="M525" s="52"/>
      <c r="N525" s="143">
        <f>N$526+(SUMIF($T$338:$T$499,"FCI",N$345:N$517)/N10/1.98)+(SUMIF($T$338:$T$499,"FCC",N$345:N$517)/N10/1.98)</f>
        <v>441.92367775160221</v>
      </c>
      <c r="O525" s="143">
        <f>O$526+(SUMIF($T$338:$T$499,"FCI",O$345:O$517)/O10/1.98)+(SUMIF($T$338:$T$499,"FCC",O$345:O$517)/O10/1.98)</f>
        <v>212.26697127604842</v>
      </c>
      <c r="P525" s="143">
        <f>P$526+(SUMIF($T$338:$T$499,"FCI",P$345:P$517)/P10/1.98)+(SUMIF($T$338:$T$499,"FCC",P$345:P$517)/P10/1.98)</f>
        <v>330.42197880419536</v>
      </c>
      <c r="Q525" s="52"/>
      <c r="R525" s="52"/>
    </row>
    <row r="526" spans="1:18" ht="15.75" customHeight="1" x14ac:dyDescent="0.3">
      <c r="A526" s="142" t="s">
        <v>476</v>
      </c>
      <c r="B526" s="143">
        <f>B$527+(SUMIF($T$338:$T$499,"PIL",B$345:B$517)/B10/1.98)+(SUMIF($T$338:$T$499,"KLK",B$345:B$517)/B10/1.98)</f>
        <v>289.12693377580399</v>
      </c>
      <c r="C526" s="143">
        <f>C$527+(SUMIF($T$338:$T$499,"PIL",C$345:C$517)/C10/1.98)+(SUMIF($T$338:$T$499,"KLK",C$345:C$517)/C10/1.98)</f>
        <v>548.92273984036729</v>
      </c>
      <c r="D526" s="143">
        <f>D$527+(SUMIF($T$338:$T$499,"PIL",D$345:D$517)/D10/1.98)+(SUMIF($T$338:$T$499,"KLK",D$345:D$517)/D10/1.98)</f>
        <v>714.0906650813439</v>
      </c>
      <c r="E526" s="144"/>
      <c r="F526" s="143">
        <f>F$527+(SUMIF($T$338:$T$499,"PIL",F$345:F$517)/F10/1.98)+(SUMIF($T$338:$T$499,"KLK",F$345:F$517)/F10/1.98)</f>
        <v>1285.1536545485108</v>
      </c>
      <c r="G526" s="143">
        <f>G$527+(SUMIF($T$338:$T$499,"PIL",G$345:G$517)/G10/1.98)+(SUMIF($T$338:$T$499,"KLK",G$345:G$517)/G10/1.98)</f>
        <v>1369.1881481350026</v>
      </c>
      <c r="H526" s="143">
        <f>H$527+(SUMIF($T$338:$T$499,"PIL",H$345:H$517)/H10/1.98)+(SUMIF($T$338:$T$499,"KLK",H$345:H$517)/H10/1.98)</f>
        <v>1515.297197899316</v>
      </c>
      <c r="I526" s="52"/>
      <c r="J526" s="143">
        <f>J$527+(SUMIF($T$338:$T$499,"PIL",J$345:J$517)/J10/1.98)+(SUMIF($T$338:$T$499,"KLK",J$345:J$517)/J10/1.98)</f>
        <v>1437.127238418049</v>
      </c>
      <c r="K526" s="143">
        <f>K$527+(SUMIF($T$338:$T$499,"PIL",K$345:K$517)/K10/1.98)+(SUMIF($T$338:$T$499,"KLK",K$345:K$517)/K10/1.98)</f>
        <v>1106.9582901387109</v>
      </c>
      <c r="L526" s="143">
        <f>L$527+(SUMIF($T$338:$T$499,"PIL",L$345:L$517)/L10/1.98)+(SUMIF($T$338:$T$499,"KLK",L$345:L$517)/L10/1.98)</f>
        <v>726.13922890019717</v>
      </c>
      <c r="M526" s="52"/>
      <c r="N526" s="143">
        <f>N$527+(SUMIF($T$338:$T$499,"PIL",N$345:N$517)/N10/1.98)+(SUMIF($T$338:$T$499,"KLK",N$345:N$517)/N10/1.98)</f>
        <v>441.92367775160221</v>
      </c>
      <c r="O526" s="143">
        <f>O$527+(SUMIF($T$338:$T$499,"PIL",O$345:O$517)/O10/1.98)+(SUMIF($T$338:$T$499,"KLK",O$345:O$517)/O10/1.98)</f>
        <v>212.26697127604842</v>
      </c>
      <c r="P526" s="143">
        <f>P$527+(SUMIF($T$338:$T$499,"PIL",P$345:P$517)/P10/1.98)+(SUMIF($T$338:$T$499,"KLK",P$345:P$517)/P10/1.98)</f>
        <v>330.42197880419536</v>
      </c>
      <c r="Q526" s="52"/>
      <c r="R526" s="52"/>
    </row>
    <row r="527" spans="1:18" ht="15.75" customHeight="1" x14ac:dyDescent="0.3">
      <c r="A527" s="142" t="s">
        <v>477</v>
      </c>
      <c r="B527" s="143">
        <f>B$528+(SUMIF($T$338:$T$499,"CGE",B$345:B$517)/B10/1.98)</f>
        <v>289.12693377580399</v>
      </c>
      <c r="C527" s="143">
        <f>C$528+(SUMIF($T$338:$T$499,"CGE",C$345:C$517)/C10/1.98)</f>
        <v>548.92273984036729</v>
      </c>
      <c r="D527" s="143">
        <f>D$528+(SUMIF($T$338:$T$499,"CGE",D$345:D$517)/D10/1.98)</f>
        <v>714.0906650813439</v>
      </c>
      <c r="E527" s="144"/>
      <c r="F527" s="143">
        <f>F$528+(SUMIF($T$338:$T$499,"CGE",F$345:F$517)/F10/1.98)</f>
        <v>1285.1536545485108</v>
      </c>
      <c r="G527" s="143">
        <f>G$528+(SUMIF($T$338:$T$499,"CGE",G$345:G$517)/G10/1.98)</f>
        <v>1369.1881481350026</v>
      </c>
      <c r="H527" s="143">
        <f>H$528+(SUMIF($T$338:$T$499,"CGE",H$345:H$517)/H10/1.98)</f>
        <v>1515.297197899316</v>
      </c>
      <c r="I527" s="52"/>
      <c r="J527" s="143">
        <f>J$528+(SUMIF($T$338:$T$499,"CGE",J$345:J$517)/J10/1.98)</f>
        <v>1436.6873557201018</v>
      </c>
      <c r="K527" s="143">
        <f>K$528+(SUMIF($T$338:$T$499,"CGE",K$345:K$517)/K10/1.98)</f>
        <v>1106.9582901387109</v>
      </c>
      <c r="L527" s="143">
        <f>L$528+(SUMIF($T$338:$T$499,"CGE",L$345:L$517)/L10/1.98)</f>
        <v>704.23687199784024</v>
      </c>
      <c r="M527" s="52"/>
      <c r="N527" s="143">
        <f>N$528+(SUMIF($T$338:$T$499,"CGE",N$345:N$517)/N10/1.98)</f>
        <v>423.20422516118185</v>
      </c>
      <c r="O527" s="143">
        <f>O$528+(SUMIF($T$338:$T$499,"CGE",O$345:O$517)/O10/1.98)</f>
        <v>212.26697127604842</v>
      </c>
      <c r="P527" s="143">
        <f>P$528+(SUMIF($T$338:$T$499,"CGE",P$345:P$517)/P10/1.98)</f>
        <v>330.42197880419536</v>
      </c>
      <c r="Q527" s="52"/>
      <c r="R527" s="52"/>
    </row>
    <row r="528" spans="1:18" ht="15.75" customHeight="1" x14ac:dyDescent="0.3">
      <c r="A528" s="142" t="s">
        <v>478</v>
      </c>
      <c r="B528" s="143">
        <f>B$529+(SUMIF($T$338:$T$499,"SRO",B$345:B$517)/B10/1.98)</f>
        <v>289.12693377580399</v>
      </c>
      <c r="C528" s="143">
        <f>C$529+(SUMIF($T$338:$T$499,"SRO",C$345:C$517)/C10/1.98)</f>
        <v>548.92273984036729</v>
      </c>
      <c r="D528" s="143">
        <f>D$529+(SUMIF($T$338:$T$499,"SRO",D$345:D$517)/D10/1.98)</f>
        <v>714.0906650813439</v>
      </c>
      <c r="E528" s="144"/>
      <c r="F528" s="143">
        <f>F$529+(SUMIF($T$338:$T$499,"SRO",F$345:F$517)/F10/1.98)</f>
        <v>1285.1536545485108</v>
      </c>
      <c r="G528" s="143">
        <f>G$529+(SUMIF($T$338:$T$499,"SRO",G$345:G$517)/G10/1.98)</f>
        <v>1363.6814684347746</v>
      </c>
      <c r="H528" s="143">
        <f>H$529+(SUMIF($T$338:$T$499,"SRO",H$345:H$517)/H10/1.98)</f>
        <v>1498.4621810642991</v>
      </c>
      <c r="I528" s="52"/>
      <c r="J528" s="143">
        <f>J$529+(SUMIF($T$338:$T$499,"SRO",J$345:J$517)/J10/1.98)</f>
        <v>1408.2416079195152</v>
      </c>
      <c r="K528" s="143">
        <f>K$529+(SUMIF($T$338:$T$499,"SRO",K$345:K$517)/K10/1.98)</f>
        <v>1070.2362308360064</v>
      </c>
      <c r="L528" s="143">
        <f>L$529+(SUMIF($T$338:$T$499,"SRO",L$345:L$517)/L10/1.98)</f>
        <v>695.81936358033181</v>
      </c>
      <c r="M528" s="52"/>
      <c r="N528" s="143">
        <f>N$529+(SUMIF($T$338:$T$499,"SRO",N$345:N$517)/N10/1.98)</f>
        <v>423.20422516118185</v>
      </c>
      <c r="O528" s="143">
        <f>O$529+(SUMIF($T$338:$T$499,"SRO",O$345:O$517)/O10/1.98)</f>
        <v>212.26697127604842</v>
      </c>
      <c r="P528" s="143">
        <f>P$529+(SUMIF($T$338:$T$499,"SRO",P$345:P$517)/P10/1.98)</f>
        <v>330.42197880419536</v>
      </c>
      <c r="Q528" s="52"/>
      <c r="R528" s="52"/>
    </row>
    <row r="529" spans="1:20" ht="15.75" customHeight="1" x14ac:dyDescent="0.3">
      <c r="A529" s="142" t="s">
        <v>479</v>
      </c>
      <c r="B529" s="143">
        <f>B$573/B10/1.983</f>
        <v>229.98714882956745</v>
      </c>
      <c r="C529" s="143">
        <f>C$573/C10/1.983</f>
        <v>400.64687777140171</v>
      </c>
      <c r="D529" s="143">
        <f>D$573/D10/1.983</f>
        <v>495.85997104419823</v>
      </c>
      <c r="E529" s="98"/>
      <c r="F529" s="143">
        <f>F$573/F10/1.983</f>
        <v>820.81022020507646</v>
      </c>
      <c r="G529" s="143">
        <f>G$573/G10/1.983</f>
        <v>712.16631691962323</v>
      </c>
      <c r="H529" s="143">
        <f>H$573/H10/1.983</f>
        <v>781.62716422928224</v>
      </c>
      <c r="I529" s="1"/>
      <c r="J529" s="143">
        <f>J$573/J10/1.983</f>
        <v>850.86135376506752</v>
      </c>
      <c r="K529" s="143">
        <f>K$573/K10/1.983</f>
        <v>794.62528264441301</v>
      </c>
      <c r="L529" s="143">
        <f>L$573/L10/1.983</f>
        <v>592.55337031433851</v>
      </c>
      <c r="N529" s="143">
        <f>N$573/N10/1.983</f>
        <v>255.1038667382428</v>
      </c>
      <c r="O529" s="143">
        <f>O$573/O10/1.983</f>
        <v>59.35451336359052</v>
      </c>
      <c r="P529" s="143">
        <f>P$573/P10/1.983</f>
        <v>179.55850536007677</v>
      </c>
      <c r="R529" s="52"/>
    </row>
    <row r="530" spans="1:20" ht="15.75" customHeight="1" x14ac:dyDescent="0.3">
      <c r="A530" s="142"/>
      <c r="B530" s="143"/>
      <c r="C530" s="143"/>
      <c r="D530" s="143"/>
      <c r="E530" s="98"/>
      <c r="F530" s="143"/>
      <c r="G530" s="143"/>
      <c r="H530" s="143"/>
      <c r="I530" s="1"/>
      <c r="J530" s="143"/>
      <c r="K530" s="143"/>
      <c r="L530" s="143"/>
      <c r="N530" s="143"/>
      <c r="O530" s="143"/>
      <c r="P530" s="143"/>
      <c r="R530" s="52"/>
    </row>
    <row r="531" spans="1:20" ht="15.75" customHeight="1" thickBot="1" x14ac:dyDescent="0.35">
      <c r="A531" s="30"/>
      <c r="B531" s="1"/>
      <c r="C531" s="1"/>
      <c r="D531" s="1"/>
      <c r="E531" s="1"/>
      <c r="F531" s="1"/>
      <c r="G531" s="1"/>
      <c r="H531" s="1"/>
      <c r="I531" s="1"/>
      <c r="J531" s="1"/>
      <c r="K531" s="1"/>
      <c r="L531" s="1"/>
      <c r="M531" s="1"/>
      <c r="N531" s="1"/>
      <c r="O531" s="1"/>
      <c r="P531" s="1"/>
      <c r="Q531" s="1"/>
      <c r="R531" s="28"/>
    </row>
    <row r="532" spans="1:20" ht="16.5" customHeight="1" thickBot="1" x14ac:dyDescent="0.35">
      <c r="A532" s="31" t="s">
        <v>480</v>
      </c>
      <c r="B532" s="323" t="s">
        <v>36</v>
      </c>
      <c r="C532" s="324" t="s">
        <v>9</v>
      </c>
      <c r="D532" s="324" t="s">
        <v>10</v>
      </c>
      <c r="E532" s="325" t="s">
        <v>11</v>
      </c>
      <c r="F532" s="324" t="s">
        <v>12</v>
      </c>
      <c r="G532" s="324" t="s">
        <v>13</v>
      </c>
      <c r="H532" s="324" t="s">
        <v>14</v>
      </c>
      <c r="I532" s="34" t="s">
        <v>15</v>
      </c>
      <c r="J532" s="324" t="s">
        <v>16</v>
      </c>
      <c r="K532" s="324" t="s">
        <v>17</v>
      </c>
      <c r="L532" s="324" t="s">
        <v>18</v>
      </c>
      <c r="M532" s="34" t="s">
        <v>19</v>
      </c>
      <c r="N532" s="324" t="s">
        <v>20</v>
      </c>
      <c r="O532" s="324" t="s">
        <v>21</v>
      </c>
      <c r="P532" s="324" t="s">
        <v>22</v>
      </c>
      <c r="Q532" s="34" t="s">
        <v>23</v>
      </c>
      <c r="R532" s="326" t="s">
        <v>24</v>
      </c>
    </row>
    <row r="533" spans="1:20" ht="16.5" customHeight="1" thickBot="1" x14ac:dyDescent="0.35">
      <c r="A533" s="64"/>
      <c r="B533" s="81"/>
      <c r="C533" s="81"/>
      <c r="D533" s="81"/>
      <c r="E533" s="72"/>
      <c r="F533" s="81"/>
      <c r="G533" s="81"/>
      <c r="H533" s="81"/>
      <c r="I533" s="89"/>
      <c r="J533" s="81"/>
      <c r="K533" s="81"/>
      <c r="L533" s="81"/>
      <c r="M533" s="89"/>
      <c r="N533" s="81"/>
      <c r="O533" s="81"/>
      <c r="P533" s="81"/>
      <c r="Q533" s="89"/>
      <c r="R533" s="117"/>
    </row>
    <row r="534" spans="1:20" ht="15.75" customHeight="1" x14ac:dyDescent="0.3">
      <c r="A534" s="17" t="s">
        <v>45</v>
      </c>
      <c r="B534" s="1" t="s">
        <v>7</v>
      </c>
      <c r="C534" s="1" t="s">
        <v>7</v>
      </c>
      <c r="D534" s="1" t="s">
        <v>7</v>
      </c>
      <c r="E534" s="59" t="s">
        <v>7</v>
      </c>
      <c r="F534" s="1"/>
      <c r="G534" s="1"/>
      <c r="H534" s="1"/>
      <c r="I534" s="59" t="s">
        <v>7</v>
      </c>
      <c r="J534" s="1" t="s">
        <v>7</v>
      </c>
      <c r="K534" s="1" t="s">
        <v>7</v>
      </c>
      <c r="L534" s="1" t="s">
        <v>7</v>
      </c>
      <c r="M534" s="59" t="s">
        <v>7</v>
      </c>
      <c r="N534" s="1" t="s">
        <v>7</v>
      </c>
      <c r="O534" s="1" t="s">
        <v>7</v>
      </c>
      <c r="P534" s="1" t="s">
        <v>7</v>
      </c>
      <c r="Q534" s="59" t="s">
        <v>7</v>
      </c>
      <c r="R534" s="59" t="s">
        <v>7</v>
      </c>
    </row>
    <row r="535" spans="1:20" ht="15.75" customHeight="1" x14ac:dyDescent="0.3">
      <c r="A535" s="17" t="s">
        <v>46</v>
      </c>
      <c r="B535" s="1"/>
      <c r="C535" s="1"/>
      <c r="D535" s="1"/>
      <c r="E535" s="59" t="s">
        <v>7</v>
      </c>
      <c r="F535" s="1"/>
      <c r="G535" s="1"/>
      <c r="H535" s="1"/>
      <c r="I535" s="59" t="s">
        <v>7</v>
      </c>
      <c r="J535" s="1"/>
      <c r="K535" s="1"/>
      <c r="L535" s="1"/>
      <c r="M535" s="59" t="s">
        <v>7</v>
      </c>
      <c r="N535" s="1"/>
      <c r="O535" s="1"/>
      <c r="P535" s="1"/>
      <c r="Q535" s="59" t="s">
        <v>7</v>
      </c>
      <c r="R535" s="59" t="s">
        <v>7</v>
      </c>
    </row>
    <row r="536" spans="1:20" ht="15.75" customHeight="1" x14ac:dyDescent="0.3">
      <c r="A536" s="74" t="s">
        <v>481</v>
      </c>
      <c r="B536" s="1"/>
      <c r="C536" s="1"/>
      <c r="D536" s="1"/>
      <c r="E536" s="59">
        <f t="shared" ref="E536:E540" si="216">SUM(B536:D536)</f>
        <v>0</v>
      </c>
      <c r="F536" s="1"/>
      <c r="G536" s="1">
        <v>9</v>
      </c>
      <c r="H536" s="1">
        <v>5</v>
      </c>
      <c r="I536" s="59">
        <f t="shared" ref="I536:I540" si="217">SUM(F536:H536)</f>
        <v>14</v>
      </c>
      <c r="J536" s="1">
        <v>3</v>
      </c>
      <c r="K536" s="1">
        <v>9</v>
      </c>
      <c r="L536" s="1">
        <v>11</v>
      </c>
      <c r="M536" s="59">
        <f t="shared" ref="M536:M540" si="218">SUM(J536:L536)</f>
        <v>23</v>
      </c>
      <c r="N536" s="1">
        <v>8</v>
      </c>
      <c r="O536" s="1"/>
      <c r="P536" s="1"/>
      <c r="Q536" s="59">
        <f t="shared" ref="Q536:Q540" si="219">SUM(N536:P536)</f>
        <v>8</v>
      </c>
      <c r="R536" s="59">
        <f t="shared" ref="R536:R540" si="220">+E536+I536+M536+Q536</f>
        <v>45</v>
      </c>
      <c r="T536" s="4" t="s">
        <v>366</v>
      </c>
    </row>
    <row r="537" spans="1:20" ht="15.75" customHeight="1" x14ac:dyDescent="0.3">
      <c r="A537" s="74" t="s">
        <v>482</v>
      </c>
      <c r="B537" s="1"/>
      <c r="C537" s="1"/>
      <c r="D537" s="1"/>
      <c r="E537" s="59">
        <f>SUM(B537:D537)</f>
        <v>0</v>
      </c>
      <c r="F537" s="1"/>
      <c r="G537" s="1"/>
      <c r="H537" s="1"/>
      <c r="I537" s="59">
        <f>SUM(F537:H537)</f>
        <v>0</v>
      </c>
      <c r="J537" s="1"/>
      <c r="K537" s="1"/>
      <c r="L537" s="1"/>
      <c r="M537" s="59">
        <f t="shared" si="218"/>
        <v>0</v>
      </c>
      <c r="N537" s="1"/>
      <c r="O537" s="1"/>
      <c r="P537" s="1"/>
      <c r="Q537" s="59">
        <f t="shared" si="219"/>
        <v>0</v>
      </c>
      <c r="R537" s="59">
        <f t="shared" si="220"/>
        <v>0</v>
      </c>
      <c r="T537" s="4" t="s">
        <v>366</v>
      </c>
    </row>
    <row r="538" spans="1:20" ht="15.75" customHeight="1" x14ac:dyDescent="0.3">
      <c r="A538" s="74" t="s">
        <v>483</v>
      </c>
      <c r="B538" s="1"/>
      <c r="C538" s="1"/>
      <c r="D538" s="1"/>
      <c r="E538" s="59">
        <f t="shared" si="216"/>
        <v>0</v>
      </c>
      <c r="F538" s="1"/>
      <c r="G538" s="1"/>
      <c r="H538" s="1"/>
      <c r="I538" s="59">
        <f t="shared" si="217"/>
        <v>0</v>
      </c>
      <c r="J538" s="1"/>
      <c r="K538" s="1"/>
      <c r="L538" s="1"/>
      <c r="M538" s="59">
        <f t="shared" si="218"/>
        <v>0</v>
      </c>
      <c r="N538" s="1"/>
      <c r="O538" s="1"/>
      <c r="P538" s="1"/>
      <c r="Q538" s="59">
        <f t="shared" si="219"/>
        <v>0</v>
      </c>
      <c r="R538" s="59">
        <f t="shared" si="220"/>
        <v>0</v>
      </c>
    </row>
    <row r="539" spans="1:20" ht="15.75" customHeight="1" x14ac:dyDescent="0.3">
      <c r="A539" s="74" t="s">
        <v>484</v>
      </c>
      <c r="C539" s="1"/>
      <c r="D539" s="1"/>
      <c r="E539" s="59">
        <f t="shared" si="216"/>
        <v>0</v>
      </c>
      <c r="F539" s="1">
        <v>2528</v>
      </c>
      <c r="G539" s="1"/>
      <c r="H539" s="1"/>
      <c r="I539" s="59">
        <f t="shared" si="217"/>
        <v>2528</v>
      </c>
      <c r="J539" s="1"/>
      <c r="K539" s="1"/>
      <c r="L539" s="1"/>
      <c r="M539" s="59">
        <f t="shared" si="218"/>
        <v>0</v>
      </c>
      <c r="N539" s="1">
        <v>76</v>
      </c>
      <c r="O539" s="1"/>
      <c r="P539" s="1"/>
      <c r="Q539" s="59">
        <f t="shared" si="219"/>
        <v>76</v>
      </c>
      <c r="R539" s="59">
        <f t="shared" si="220"/>
        <v>2604</v>
      </c>
      <c r="T539" s="4" t="s">
        <v>366</v>
      </c>
    </row>
    <row r="540" spans="1:20" ht="15.75" customHeight="1" x14ac:dyDescent="0.3">
      <c r="A540" s="76" t="s">
        <v>485</v>
      </c>
      <c r="B540" s="1"/>
      <c r="C540" s="1"/>
      <c r="D540" s="1"/>
      <c r="E540" s="59">
        <f t="shared" si="216"/>
        <v>0</v>
      </c>
      <c r="F540" s="1"/>
      <c r="G540" s="1"/>
      <c r="H540" s="1"/>
      <c r="I540" s="59">
        <f t="shared" si="217"/>
        <v>0</v>
      </c>
      <c r="J540" s="1"/>
      <c r="K540" s="1"/>
      <c r="L540" s="1"/>
      <c r="M540" s="59">
        <f t="shared" si="218"/>
        <v>0</v>
      </c>
      <c r="N540" s="1"/>
      <c r="O540" s="1"/>
      <c r="P540" s="1"/>
      <c r="Q540" s="59">
        <f t="shared" si="219"/>
        <v>0</v>
      </c>
      <c r="R540" s="59">
        <f t="shared" si="220"/>
        <v>0</v>
      </c>
      <c r="T540" s="4" t="s">
        <v>366</v>
      </c>
    </row>
    <row r="541" spans="1:20" ht="15.75" customHeight="1" x14ac:dyDescent="0.3">
      <c r="A541" s="17" t="s">
        <v>47</v>
      </c>
      <c r="B541" s="1"/>
      <c r="C541" s="1"/>
      <c r="D541" s="1"/>
      <c r="E541" s="59" t="s">
        <v>7</v>
      </c>
      <c r="F541" s="1"/>
      <c r="G541" s="1"/>
      <c r="H541" s="1"/>
      <c r="I541" s="59" t="s">
        <v>7</v>
      </c>
      <c r="J541" s="1"/>
      <c r="K541" s="1"/>
      <c r="L541" s="1"/>
      <c r="M541" s="59" t="s">
        <v>7</v>
      </c>
      <c r="N541" s="1"/>
      <c r="O541" s="1"/>
      <c r="P541" s="1"/>
      <c r="Q541" s="59" t="s">
        <v>7</v>
      </c>
      <c r="R541" s="59" t="s">
        <v>7</v>
      </c>
    </row>
    <row r="542" spans="1:20" ht="15.75" customHeight="1" x14ac:dyDescent="0.3">
      <c r="A542" s="74" t="s">
        <v>486</v>
      </c>
      <c r="B542" s="1"/>
      <c r="C542" s="1"/>
      <c r="D542" s="1"/>
      <c r="E542" s="59">
        <f>SUM(B542:D542)</f>
        <v>0</v>
      </c>
      <c r="F542" s="1"/>
      <c r="G542" s="1"/>
      <c r="H542" s="1"/>
      <c r="I542" s="59">
        <f>SUM(F542:H542)</f>
        <v>0</v>
      </c>
      <c r="J542" s="1"/>
      <c r="K542" s="1"/>
      <c r="L542" s="1"/>
      <c r="M542" s="59">
        <f>SUM(J542:L542)</f>
        <v>0</v>
      </c>
      <c r="N542" s="1"/>
      <c r="O542" s="1"/>
      <c r="P542" s="1"/>
      <c r="Q542" s="59">
        <f>SUM(N542:P542)</f>
        <v>0</v>
      </c>
      <c r="R542" s="59">
        <f>+E542+I542+M542+Q542</f>
        <v>0</v>
      </c>
    </row>
    <row r="543" spans="1:20" ht="15.75" customHeight="1" x14ac:dyDescent="0.3">
      <c r="A543" s="74" t="s">
        <v>487</v>
      </c>
      <c r="B543" s="1"/>
      <c r="C543" s="1"/>
      <c r="D543" s="1"/>
      <c r="E543" s="59">
        <f>SUM(B543:D543)</f>
        <v>0</v>
      </c>
      <c r="F543" s="1"/>
      <c r="G543" s="1"/>
      <c r="H543" s="1"/>
      <c r="I543" s="59">
        <f>SUM(F543:H543)</f>
        <v>0</v>
      </c>
      <c r="J543" s="1"/>
      <c r="K543" s="1"/>
      <c r="L543" s="1"/>
      <c r="M543" s="59">
        <f>SUM(J543:L543)</f>
        <v>0</v>
      </c>
      <c r="N543" s="1"/>
      <c r="O543" s="1"/>
      <c r="P543" s="1"/>
      <c r="Q543" s="59">
        <f>SUM(N543:P543)</f>
        <v>0</v>
      </c>
      <c r="R543" s="59">
        <f>+E543+I543+M543+Q543</f>
        <v>0</v>
      </c>
    </row>
    <row r="544" spans="1:20" ht="15.75" customHeight="1" x14ac:dyDescent="0.3">
      <c r="A544" s="17" t="s">
        <v>49</v>
      </c>
      <c r="B544" s="1"/>
      <c r="C544" s="1"/>
      <c r="D544" s="1"/>
      <c r="E544" s="59" t="s">
        <v>7</v>
      </c>
      <c r="F544" s="1"/>
      <c r="G544" s="1"/>
      <c r="H544" s="1"/>
      <c r="I544" s="59" t="s">
        <v>7</v>
      </c>
      <c r="J544" s="1"/>
      <c r="K544" s="1"/>
      <c r="L544" s="1"/>
      <c r="M544" s="59" t="s">
        <v>7</v>
      </c>
      <c r="N544" s="1"/>
      <c r="O544" s="1"/>
      <c r="P544" s="1"/>
      <c r="Q544" s="59" t="s">
        <v>7</v>
      </c>
      <c r="R544" s="59" t="s">
        <v>7</v>
      </c>
    </row>
    <row r="545" spans="1:20" ht="15.75" customHeight="1" thickBot="1" x14ac:dyDescent="0.35">
      <c r="A545" s="17" t="s">
        <v>51</v>
      </c>
      <c r="B545" s="1"/>
      <c r="C545" s="1"/>
      <c r="D545" s="1"/>
      <c r="E545" s="59" t="s">
        <v>7</v>
      </c>
      <c r="F545" s="1"/>
      <c r="G545" s="1"/>
      <c r="H545" s="1"/>
      <c r="I545" s="59" t="s">
        <v>7</v>
      </c>
      <c r="J545" s="1"/>
      <c r="K545" s="1"/>
      <c r="L545" s="1"/>
      <c r="M545" s="59" t="s">
        <v>7</v>
      </c>
      <c r="N545" s="1"/>
      <c r="O545" s="1"/>
      <c r="P545" s="1"/>
      <c r="Q545" s="59" t="s">
        <v>7</v>
      </c>
      <c r="R545" s="59" t="s">
        <v>7</v>
      </c>
    </row>
    <row r="546" spans="1:20" ht="16.5" customHeight="1" thickBot="1" x14ac:dyDescent="0.35">
      <c r="A546" s="126" t="s">
        <v>52</v>
      </c>
      <c r="B546" s="100">
        <f>SUM(B534:B545)</f>
        <v>0</v>
      </c>
      <c r="C546" s="101">
        <f>SUM(C534:C545)</f>
        <v>0</v>
      </c>
      <c r="D546" s="101">
        <f>SUM(D534:D545)</f>
        <v>0</v>
      </c>
      <c r="E546" s="64">
        <f>SUM(B546:D546)</f>
        <v>0</v>
      </c>
      <c r="F546" s="101">
        <f>SUM(F534:F545)</f>
        <v>2528</v>
      </c>
      <c r="G546" s="101">
        <f>SUM(G534:G545)</f>
        <v>9</v>
      </c>
      <c r="H546" s="101">
        <f>SUM(H534:H545)</f>
        <v>5</v>
      </c>
      <c r="I546" s="64">
        <f>SUM(F546:H546)</f>
        <v>2542</v>
      </c>
      <c r="J546" s="101">
        <f>SUM(J534:J545)</f>
        <v>3</v>
      </c>
      <c r="K546" s="101">
        <f>SUM(K534:K545)</f>
        <v>9</v>
      </c>
      <c r="L546" s="101">
        <f>SUM(L534:L545)</f>
        <v>11</v>
      </c>
      <c r="M546" s="64">
        <f>SUM(J546:L546)</f>
        <v>23</v>
      </c>
      <c r="N546" s="101">
        <f>SUM(N534:N545)</f>
        <v>84</v>
      </c>
      <c r="O546" s="101">
        <f>SUM(O534:O545)</f>
        <v>0</v>
      </c>
      <c r="P546" s="101">
        <f>SUM(P534:P545)</f>
        <v>0</v>
      </c>
      <c r="Q546" s="64">
        <f>SUM(N546:P546)</f>
        <v>84</v>
      </c>
      <c r="R546" s="64">
        <f>+E546+I546+M546+Q546</f>
        <v>2649</v>
      </c>
    </row>
    <row r="547" spans="1:20" ht="15.75" customHeight="1" x14ac:dyDescent="0.3">
      <c r="A547" s="17" t="s">
        <v>53</v>
      </c>
      <c r="B547" s="1"/>
      <c r="C547" s="1"/>
      <c r="D547" s="1"/>
      <c r="E547" s="59" t="s">
        <v>7</v>
      </c>
      <c r="F547" s="1"/>
      <c r="G547" s="1"/>
      <c r="H547" s="1"/>
      <c r="I547" s="59" t="s">
        <v>7</v>
      </c>
      <c r="J547" s="1"/>
      <c r="K547" s="1"/>
      <c r="L547" s="1"/>
      <c r="M547" s="59" t="s">
        <v>7</v>
      </c>
      <c r="N547" s="1" t="s">
        <v>7</v>
      </c>
      <c r="O547" s="1"/>
      <c r="P547" s="1"/>
      <c r="Q547" s="59" t="s">
        <v>7</v>
      </c>
      <c r="R547" s="59" t="s">
        <v>7</v>
      </c>
    </row>
    <row r="548" spans="1:20" ht="15.75" customHeight="1" x14ac:dyDescent="0.3">
      <c r="A548" s="17" t="s">
        <v>55</v>
      </c>
      <c r="B548" s="1"/>
      <c r="C548" s="1"/>
      <c r="D548" s="1"/>
      <c r="E548" s="59" t="s">
        <v>7</v>
      </c>
      <c r="F548" s="1"/>
      <c r="G548" s="1"/>
      <c r="H548" s="1"/>
      <c r="I548" s="59" t="s">
        <v>7</v>
      </c>
      <c r="J548" s="1"/>
      <c r="K548" s="1"/>
      <c r="L548" s="1"/>
      <c r="M548" s="59" t="s">
        <v>7</v>
      </c>
      <c r="N548" s="1"/>
      <c r="O548" s="1"/>
      <c r="P548" s="1"/>
      <c r="Q548" s="59" t="s">
        <v>7</v>
      </c>
      <c r="R548" s="59" t="s">
        <v>7</v>
      </c>
    </row>
    <row r="549" spans="1:20" ht="15.75" customHeight="1" x14ac:dyDescent="0.3">
      <c r="A549" s="74" t="s">
        <v>488</v>
      </c>
      <c r="B549" s="1"/>
      <c r="C549" s="1">
        <v>244</v>
      </c>
      <c r="D549" s="1">
        <f>304+1878</f>
        <v>2182</v>
      </c>
      <c r="E549" s="59">
        <f>SUM(B549:D549)</f>
        <v>2426</v>
      </c>
      <c r="F549" s="1">
        <v>9200</v>
      </c>
      <c r="G549" s="1">
        <v>8411</v>
      </c>
      <c r="H549" s="1">
        <v>9834</v>
      </c>
      <c r="I549" s="59">
        <f>SUM(F549:H549)</f>
        <v>27445</v>
      </c>
      <c r="J549" s="1">
        <v>10444</v>
      </c>
      <c r="K549" s="1">
        <v>6480</v>
      </c>
      <c r="L549" s="1">
        <v>1247</v>
      </c>
      <c r="M549" s="59">
        <f>SUM(J549:L549)</f>
        <v>18171</v>
      </c>
      <c r="N549" s="1">
        <v>274</v>
      </c>
      <c r="O549" s="1"/>
      <c r="P549" s="1">
        <v>719</v>
      </c>
      <c r="Q549" s="59">
        <f>SUM(N549:P549)</f>
        <v>993</v>
      </c>
      <c r="R549" s="59">
        <f>+E549+I549+M549+Q549</f>
        <v>49035</v>
      </c>
    </row>
    <row r="550" spans="1:20" ht="15.75" customHeight="1" thickBot="1" x14ac:dyDescent="0.35">
      <c r="A550" s="17" t="s">
        <v>56</v>
      </c>
      <c r="B550" s="1"/>
      <c r="C550" s="1"/>
      <c r="D550" s="1"/>
      <c r="E550" s="59" t="s">
        <v>7</v>
      </c>
      <c r="F550" s="1"/>
      <c r="G550" s="1"/>
      <c r="H550" s="1"/>
      <c r="I550" s="59" t="s">
        <v>7</v>
      </c>
      <c r="J550" s="1"/>
      <c r="K550" s="1"/>
      <c r="L550" s="1"/>
      <c r="M550" s="59" t="s">
        <v>7</v>
      </c>
      <c r="N550" s="1"/>
      <c r="O550" s="1"/>
      <c r="P550" s="1"/>
      <c r="Q550" s="59" t="s">
        <v>7</v>
      </c>
      <c r="R550" s="59" t="s">
        <v>7</v>
      </c>
    </row>
    <row r="551" spans="1:20" ht="16.5" customHeight="1" thickBot="1" x14ac:dyDescent="0.35">
      <c r="A551" s="62" t="s">
        <v>57</v>
      </c>
      <c r="B551" s="100">
        <f>SUM(B547:B550)</f>
        <v>0</v>
      </c>
      <c r="C551" s="101">
        <f>SUM(C547:C550)</f>
        <v>244</v>
      </c>
      <c r="D551" s="101">
        <f>SUM(D547:D550)</f>
        <v>2182</v>
      </c>
      <c r="E551" s="64">
        <f>SUM(B551:D551)</f>
        <v>2426</v>
      </c>
      <c r="F551" s="101">
        <f>SUM(F547:F550)</f>
        <v>9200</v>
      </c>
      <c r="G551" s="101">
        <f>SUM(G547:G550)</f>
        <v>8411</v>
      </c>
      <c r="H551" s="101">
        <f>SUM(H547:H550)</f>
        <v>9834</v>
      </c>
      <c r="I551" s="64">
        <f>SUM(F551:H551)</f>
        <v>27445</v>
      </c>
      <c r="J551" s="101">
        <f>SUM(J547:J550)</f>
        <v>10444</v>
      </c>
      <c r="K551" s="101">
        <f>SUM(K547:K550)</f>
        <v>6480</v>
      </c>
      <c r="L551" s="101">
        <f>SUM(L547:L550)</f>
        <v>1247</v>
      </c>
      <c r="M551" s="64">
        <f>SUM(J551:L551)</f>
        <v>18171</v>
      </c>
      <c r="N551" s="101">
        <f>SUM(N547:N550)</f>
        <v>274</v>
      </c>
      <c r="O551" s="101">
        <f>SUM(O547:O550)</f>
        <v>0</v>
      </c>
      <c r="P551" s="101">
        <f>SUM(P547:P550)</f>
        <v>719</v>
      </c>
      <c r="Q551" s="64">
        <f>SUM(N551:P551)</f>
        <v>993</v>
      </c>
      <c r="R551" s="64">
        <f>+E551+I551+M551+Q551</f>
        <v>49035</v>
      </c>
    </row>
    <row r="552" spans="1:20" ht="15.75" customHeight="1" x14ac:dyDescent="0.3">
      <c r="A552" s="17" t="s">
        <v>58</v>
      </c>
      <c r="B552" s="1"/>
      <c r="C552" s="1"/>
      <c r="D552" s="1"/>
      <c r="E552" s="59" t="s">
        <v>7</v>
      </c>
      <c r="F552" s="1"/>
      <c r="G552" s="1"/>
      <c r="H552" s="1"/>
      <c r="I552" s="59" t="s">
        <v>7</v>
      </c>
      <c r="J552" s="1"/>
      <c r="K552" s="1"/>
      <c r="L552" s="1"/>
      <c r="M552" s="59" t="s">
        <v>7</v>
      </c>
      <c r="N552" s="1"/>
      <c r="O552" s="1"/>
      <c r="P552" s="1"/>
      <c r="Q552" s="59" t="s">
        <v>7</v>
      </c>
      <c r="R552" s="59" t="s">
        <v>7</v>
      </c>
    </row>
    <row r="553" spans="1:20" ht="15.75" customHeight="1" x14ac:dyDescent="0.3">
      <c r="A553" s="17" t="s">
        <v>59</v>
      </c>
      <c r="B553" s="1"/>
      <c r="C553" s="1"/>
      <c r="D553" s="1"/>
      <c r="E553" s="59" t="s">
        <v>7</v>
      </c>
      <c r="F553" s="1"/>
      <c r="G553" s="1"/>
      <c r="H553" s="1"/>
      <c r="I553" s="59" t="s">
        <v>7</v>
      </c>
      <c r="J553" s="1"/>
      <c r="K553" s="1"/>
      <c r="L553" s="1"/>
      <c r="M553" s="59" t="s">
        <v>7</v>
      </c>
      <c r="N553" s="1"/>
      <c r="O553" s="1"/>
      <c r="P553" s="1"/>
      <c r="Q553" s="59" t="s">
        <v>7</v>
      </c>
      <c r="R553" s="59" t="s">
        <v>7</v>
      </c>
    </row>
    <row r="554" spans="1:20" ht="15.75" customHeight="1" x14ac:dyDescent="0.3">
      <c r="A554" s="17" t="s">
        <v>60</v>
      </c>
      <c r="B554" s="1"/>
      <c r="C554" s="1"/>
      <c r="D554" s="1"/>
      <c r="E554" s="59" t="s">
        <v>7</v>
      </c>
      <c r="F554" s="1"/>
      <c r="G554" s="1"/>
      <c r="H554" s="1"/>
      <c r="I554" s="59" t="s">
        <v>7</v>
      </c>
      <c r="J554" s="1"/>
      <c r="K554" s="1"/>
      <c r="L554" s="1"/>
      <c r="M554" s="59" t="s">
        <v>7</v>
      </c>
      <c r="N554" s="1"/>
      <c r="O554" s="1"/>
      <c r="P554" s="1"/>
      <c r="Q554" s="59" t="s">
        <v>7</v>
      </c>
      <c r="R554" s="59" t="s">
        <v>7</v>
      </c>
    </row>
    <row r="555" spans="1:20" ht="15.75" customHeight="1" x14ac:dyDescent="0.3">
      <c r="A555" s="74" t="s">
        <v>489</v>
      </c>
      <c r="B555" s="1"/>
      <c r="C555" s="1"/>
      <c r="D555" s="1"/>
      <c r="E555" s="59">
        <f>SUM(B555:D555)</f>
        <v>0</v>
      </c>
      <c r="F555" s="1"/>
      <c r="G555" s="1"/>
      <c r="H555" s="1">
        <v>2000</v>
      </c>
      <c r="I555" s="59">
        <f>SUM(F555:H555)</f>
        <v>2000</v>
      </c>
      <c r="J555" s="1"/>
      <c r="K555" s="1"/>
      <c r="L555" s="1"/>
      <c r="M555" s="59">
        <f>SUM(J555:L555)</f>
        <v>0</v>
      </c>
      <c r="N555" s="1"/>
      <c r="O555" s="1"/>
      <c r="P555" s="1"/>
      <c r="Q555" s="59">
        <f>SUM(N555:P555)</f>
        <v>0</v>
      </c>
      <c r="R555" s="59">
        <f>+E555+I555+M555+Q555</f>
        <v>2000</v>
      </c>
      <c r="T555" s="4" t="s">
        <v>366</v>
      </c>
    </row>
    <row r="556" spans="1:20" ht="15.75" customHeight="1" x14ac:dyDescent="0.3">
      <c r="A556" s="29" t="s">
        <v>490</v>
      </c>
      <c r="B556" s="1"/>
      <c r="C556" s="1"/>
      <c r="D556" s="1"/>
      <c r="E556" s="59">
        <f>SUM(B556:D556)</f>
        <v>0</v>
      </c>
      <c r="F556" s="1"/>
      <c r="G556" s="1"/>
      <c r="H556" s="1"/>
      <c r="I556" s="59">
        <f>SUM(F556:H556)</f>
        <v>0</v>
      </c>
      <c r="J556" s="1"/>
      <c r="K556" s="1"/>
      <c r="L556" s="1"/>
      <c r="M556" s="59">
        <f>SUM(J556:L556)</f>
        <v>0</v>
      </c>
      <c r="N556" s="1">
        <v>850</v>
      </c>
      <c r="O556" s="1"/>
      <c r="P556" s="1"/>
      <c r="Q556" s="59">
        <f>SUM(N556:P556)</f>
        <v>850</v>
      </c>
      <c r="R556" s="59">
        <f>+E556+I556+M556+Q556</f>
        <v>850</v>
      </c>
    </row>
    <row r="557" spans="1:20" ht="15.75" customHeight="1" thickBot="1" x14ac:dyDescent="0.35">
      <c r="A557" s="103" t="s">
        <v>856</v>
      </c>
      <c r="B557" s="1"/>
      <c r="C557" s="1"/>
      <c r="E557" s="59">
        <f>SUM(B557:D557)</f>
        <v>0</v>
      </c>
      <c r="F557" s="1"/>
      <c r="G557" s="1"/>
      <c r="H557" s="1">
        <v>2000</v>
      </c>
      <c r="I557" s="59">
        <f>SUM(F557:H557)</f>
        <v>2000</v>
      </c>
      <c r="J557" s="1">
        <v>6000</v>
      </c>
      <c r="K557" s="1">
        <v>6000</v>
      </c>
      <c r="L557" s="1">
        <v>6000</v>
      </c>
      <c r="M557" s="59">
        <f>SUM(J557:L557)</f>
        <v>18000</v>
      </c>
      <c r="N557" s="1"/>
      <c r="O557" s="1"/>
      <c r="P557" s="1"/>
      <c r="Q557" s="59">
        <f>SUM(N557:P557)</f>
        <v>0</v>
      </c>
      <c r="R557" s="59">
        <f>+E557+I557+M557+Q557</f>
        <v>20000</v>
      </c>
      <c r="T557" s="4" t="s">
        <v>366</v>
      </c>
    </row>
    <row r="558" spans="1:20" ht="16.5" customHeight="1" thickBot="1" x14ac:dyDescent="0.35">
      <c r="A558" s="137" t="s">
        <v>61</v>
      </c>
      <c r="B558" s="100">
        <f>SUM(B552:B557)</f>
        <v>0</v>
      </c>
      <c r="C558" s="101">
        <f>SUM(C552:C557)</f>
        <v>0</v>
      </c>
      <c r="D558" s="101">
        <f>SUM(D552:D557)</f>
        <v>0</v>
      </c>
      <c r="E558" s="64">
        <f>SUM(B558:D558)</f>
        <v>0</v>
      </c>
      <c r="F558" s="101">
        <f>SUM(F552:F557)</f>
        <v>0</v>
      </c>
      <c r="G558" s="101">
        <f>SUM(G552:G557)</f>
        <v>0</v>
      </c>
      <c r="H558" s="101">
        <f>SUM(H552:H557)</f>
        <v>4000</v>
      </c>
      <c r="I558" s="64">
        <f>SUM(F558:H558)</f>
        <v>4000</v>
      </c>
      <c r="J558" s="101">
        <f>SUM(J552:J557)</f>
        <v>6000</v>
      </c>
      <c r="K558" s="101">
        <f>SUM(K552:K557)</f>
        <v>6000</v>
      </c>
      <c r="L558" s="101">
        <f>SUM(L552:L557)</f>
        <v>6000</v>
      </c>
      <c r="M558" s="64">
        <f>SUM(J558:L558)</f>
        <v>18000</v>
      </c>
      <c r="N558" s="101">
        <f>SUM(N552:N557)</f>
        <v>850</v>
      </c>
      <c r="O558" s="101">
        <f>SUM(O552:O557)</f>
        <v>0</v>
      </c>
      <c r="P558" s="101">
        <f>SUM(P552:P557)</f>
        <v>0</v>
      </c>
      <c r="Q558" s="64">
        <f>SUM(N558:P558)</f>
        <v>850</v>
      </c>
      <c r="R558" s="64">
        <f>+E558+I558+M558+Q558</f>
        <v>22850</v>
      </c>
    </row>
    <row r="559" spans="1:20" ht="15.75" customHeight="1" x14ac:dyDescent="0.3">
      <c r="A559" s="17" t="s">
        <v>62</v>
      </c>
      <c r="B559" s="1"/>
      <c r="C559" s="1"/>
      <c r="D559" s="1"/>
      <c r="E559" s="59" t="s">
        <v>7</v>
      </c>
      <c r="F559" s="1"/>
      <c r="G559" s="1"/>
      <c r="H559" s="1"/>
      <c r="I559" s="59" t="s">
        <v>7</v>
      </c>
      <c r="J559" s="1"/>
      <c r="K559" s="1"/>
      <c r="L559" s="1"/>
      <c r="M559" s="59" t="s">
        <v>7</v>
      </c>
      <c r="N559" s="1"/>
      <c r="O559" s="1"/>
      <c r="P559" s="1"/>
      <c r="Q559" s="59" t="s">
        <v>7</v>
      </c>
      <c r="R559" s="59" t="s">
        <v>7</v>
      </c>
    </row>
    <row r="560" spans="1:20" ht="15.75" customHeight="1" x14ac:dyDescent="0.3">
      <c r="A560" s="17" t="s">
        <v>63</v>
      </c>
      <c r="B560" s="1"/>
      <c r="C560" s="1"/>
      <c r="D560" s="1"/>
      <c r="E560" s="59" t="s">
        <v>7</v>
      </c>
      <c r="F560" s="1"/>
      <c r="G560" s="1"/>
      <c r="H560" s="1"/>
      <c r="I560" s="59" t="s">
        <v>7</v>
      </c>
      <c r="J560" s="1"/>
      <c r="K560" s="1"/>
      <c r="L560" s="1"/>
      <c r="M560" s="59" t="s">
        <v>7</v>
      </c>
      <c r="N560" s="1"/>
      <c r="O560" s="1"/>
      <c r="P560" s="1"/>
      <c r="Q560" s="59" t="s">
        <v>7</v>
      </c>
      <c r="R560" s="59" t="s">
        <v>7</v>
      </c>
    </row>
    <row r="561" spans="1:20" ht="15.75" customHeight="1" x14ac:dyDescent="0.3">
      <c r="A561" s="17" t="s">
        <v>64</v>
      </c>
      <c r="B561" s="1"/>
      <c r="C561" s="1"/>
      <c r="D561" s="1"/>
      <c r="E561" s="59" t="s">
        <v>7</v>
      </c>
      <c r="F561" s="1"/>
      <c r="G561" s="1"/>
      <c r="H561" s="1"/>
      <c r="I561" s="59" t="s">
        <v>7</v>
      </c>
      <c r="J561" s="1"/>
      <c r="K561" s="1"/>
      <c r="L561" s="1"/>
      <c r="M561" s="59" t="s">
        <v>7</v>
      </c>
      <c r="N561" s="1"/>
      <c r="O561" s="1"/>
      <c r="P561" s="1"/>
      <c r="Q561" s="59" t="s">
        <v>7</v>
      </c>
      <c r="R561" s="59" t="s">
        <v>7</v>
      </c>
    </row>
    <row r="562" spans="1:20" ht="15.75" customHeight="1" x14ac:dyDescent="0.3">
      <c r="A562" s="17" t="s">
        <v>66</v>
      </c>
      <c r="B562" s="1"/>
      <c r="C562" s="1"/>
      <c r="D562" s="1"/>
      <c r="E562" s="59" t="s">
        <v>7</v>
      </c>
      <c r="F562" s="1"/>
      <c r="G562" s="1"/>
      <c r="H562" s="1"/>
      <c r="I562" s="59" t="s">
        <v>7</v>
      </c>
      <c r="J562" s="1"/>
      <c r="K562" s="1"/>
      <c r="L562" s="1"/>
      <c r="M562" s="59" t="s">
        <v>7</v>
      </c>
      <c r="N562" s="1"/>
      <c r="O562" s="1"/>
      <c r="P562" s="1"/>
      <c r="Q562" s="59" t="s">
        <v>7</v>
      </c>
      <c r="R562" s="59" t="s">
        <v>7</v>
      </c>
    </row>
    <row r="563" spans="1:20" ht="15.75" customHeight="1" x14ac:dyDescent="0.3">
      <c r="A563" s="17" t="s">
        <v>67</v>
      </c>
      <c r="B563" s="1"/>
      <c r="C563" s="1"/>
      <c r="D563" s="1"/>
      <c r="E563" s="59" t="s">
        <v>7</v>
      </c>
      <c r="F563" s="1"/>
      <c r="G563" s="1"/>
      <c r="H563" s="1"/>
      <c r="I563" s="59" t="s">
        <v>7</v>
      </c>
      <c r="J563" s="1"/>
      <c r="K563" s="1"/>
      <c r="L563" s="1"/>
      <c r="M563" s="59" t="s">
        <v>7</v>
      </c>
      <c r="N563" s="1"/>
      <c r="O563" s="1"/>
      <c r="P563" s="1"/>
      <c r="Q563" s="59" t="s">
        <v>7</v>
      </c>
      <c r="R563" s="59" t="s">
        <v>7</v>
      </c>
    </row>
    <row r="564" spans="1:20" ht="15.75" customHeight="1" x14ac:dyDescent="0.3">
      <c r="A564" s="74" t="s">
        <v>460</v>
      </c>
      <c r="B564" s="1"/>
      <c r="C564" s="1"/>
      <c r="D564" s="1"/>
      <c r="E564" s="59">
        <f t="shared" ref="E564:E565" si="221">SUM(B564:D564)</f>
        <v>0</v>
      </c>
      <c r="F564" s="1"/>
      <c r="G564" s="1"/>
      <c r="H564" s="1"/>
      <c r="I564" s="59">
        <f t="shared" ref="I564:I565" si="222">SUM(F564:H564)</f>
        <v>0</v>
      </c>
      <c r="J564" s="1"/>
      <c r="K564" s="1">
        <v>1500</v>
      </c>
      <c r="L564" s="1">
        <v>3000</v>
      </c>
      <c r="M564" s="59">
        <f t="shared" ref="M564:M565" si="223">SUM(J564:L564)</f>
        <v>4500</v>
      </c>
      <c r="N564" s="1"/>
      <c r="O564" s="1"/>
      <c r="P564" s="1"/>
      <c r="Q564" s="59">
        <f t="shared" ref="Q564:Q565" si="224">SUM(N564:P564)</f>
        <v>0</v>
      </c>
      <c r="R564" s="59">
        <f t="shared" ref="R564:R569" si="225">+E564+I564+M564+Q564</f>
        <v>4500</v>
      </c>
      <c r="T564" s="4" t="s">
        <v>366</v>
      </c>
    </row>
    <row r="565" spans="1:20" ht="15.75" customHeight="1" thickBot="1" x14ac:dyDescent="0.35">
      <c r="A565" s="74" t="s">
        <v>491</v>
      </c>
      <c r="B565" s="1"/>
      <c r="C565" s="1"/>
      <c r="D565" s="1"/>
      <c r="E565" s="59">
        <f t="shared" si="221"/>
        <v>0</v>
      </c>
      <c r="F565" s="1"/>
      <c r="G565" s="1"/>
      <c r="H565" s="1"/>
      <c r="I565" s="59">
        <f t="shared" si="222"/>
        <v>0</v>
      </c>
      <c r="J565" s="1"/>
      <c r="K565" s="1"/>
      <c r="L565" s="1"/>
      <c r="M565" s="59">
        <f t="shared" si="223"/>
        <v>0</v>
      </c>
      <c r="N565" s="1"/>
      <c r="O565" s="1"/>
      <c r="P565" s="1"/>
      <c r="Q565" s="59">
        <f t="shared" si="224"/>
        <v>0</v>
      </c>
      <c r="R565" s="59">
        <f t="shared" si="225"/>
        <v>0</v>
      </c>
      <c r="T565" s="4" t="s">
        <v>366</v>
      </c>
    </row>
    <row r="566" spans="1:20" ht="16.5" customHeight="1" thickBot="1" x14ac:dyDescent="0.35">
      <c r="A566" s="62" t="s">
        <v>68</v>
      </c>
      <c r="B566" s="63">
        <f>SUM(B562:B565)</f>
        <v>0</v>
      </c>
      <c r="C566" s="63">
        <f>SUM(C562:C565)</f>
        <v>0</v>
      </c>
      <c r="D566" s="63">
        <f>SUM(D562:D565)</f>
        <v>0</v>
      </c>
      <c r="E566" s="334">
        <f t="shared" ref="E566:E569" si="226">SUM(B566:D566)</f>
        <v>0</v>
      </c>
      <c r="F566" s="63">
        <f>SUM(F562:F565)</f>
        <v>0</v>
      </c>
      <c r="G566" s="63">
        <f>SUM(G562:G565)</f>
        <v>0</v>
      </c>
      <c r="H566" s="63">
        <f>SUM(H562:H565)</f>
        <v>0</v>
      </c>
      <c r="I566" s="334">
        <f t="shared" ref="I566:I569" si="227">SUM(F566:H566)</f>
        <v>0</v>
      </c>
      <c r="J566" s="63">
        <f>SUM(J562:J565)</f>
        <v>0</v>
      </c>
      <c r="K566" s="63">
        <f>SUM(K562:K565)</f>
        <v>1500</v>
      </c>
      <c r="L566" s="63">
        <f>SUM(L562:L565)</f>
        <v>3000</v>
      </c>
      <c r="M566" s="334">
        <f t="shared" ref="M566:M569" si="228">SUM(J566:L566)</f>
        <v>4500</v>
      </c>
      <c r="N566" s="63">
        <f>SUM(N562:N565)</f>
        <v>0</v>
      </c>
      <c r="O566" s="63">
        <f>SUM(O562:O565)</f>
        <v>0</v>
      </c>
      <c r="P566" s="63">
        <f>SUM(P562:P565)</f>
        <v>0</v>
      </c>
      <c r="Q566" s="334">
        <f t="shared" ref="Q566:Q569" si="229">SUM(N566:P566)</f>
        <v>0</v>
      </c>
      <c r="R566" s="64">
        <f t="shared" si="225"/>
        <v>4500</v>
      </c>
    </row>
    <row r="567" spans="1:20" ht="16.5" customHeight="1" thickBot="1" x14ac:dyDescent="0.35">
      <c r="A567" s="137" t="s">
        <v>69</v>
      </c>
      <c r="B567" s="100">
        <f>SUM(B559:B565)</f>
        <v>0</v>
      </c>
      <c r="C567" s="101">
        <f>SUM(C559:C565)</f>
        <v>0</v>
      </c>
      <c r="D567" s="138">
        <f>SUM(D559:D565)</f>
        <v>0</v>
      </c>
      <c r="E567" s="334">
        <f t="shared" si="226"/>
        <v>0</v>
      </c>
      <c r="F567" s="101">
        <f>SUM(F559:F565)</f>
        <v>0</v>
      </c>
      <c r="G567" s="101">
        <f>SUM(G559:G565)</f>
        <v>0</v>
      </c>
      <c r="H567" s="101">
        <f>SUM(H559:H565)</f>
        <v>0</v>
      </c>
      <c r="I567" s="334">
        <f t="shared" si="227"/>
        <v>0</v>
      </c>
      <c r="J567" s="101">
        <f>SUM(J559:J565)</f>
        <v>0</v>
      </c>
      <c r="K567" s="101">
        <f>SUM(K559:K565)</f>
        <v>1500</v>
      </c>
      <c r="L567" s="101">
        <f>SUM(L559:L565)</f>
        <v>3000</v>
      </c>
      <c r="M567" s="334">
        <f t="shared" si="228"/>
        <v>4500</v>
      </c>
      <c r="N567" s="101">
        <f>SUM(N559:N565)</f>
        <v>0</v>
      </c>
      <c r="O567" s="101">
        <f>SUM(O559:O565)</f>
        <v>0</v>
      </c>
      <c r="P567" s="101">
        <f>SUM(P559:P565)</f>
        <v>0</v>
      </c>
      <c r="Q567" s="334">
        <f t="shared" si="229"/>
        <v>0</v>
      </c>
      <c r="R567" s="64">
        <f t="shared" si="225"/>
        <v>4500</v>
      </c>
    </row>
    <row r="568" spans="1:20" ht="16.5" customHeight="1" thickBot="1" x14ac:dyDescent="0.35">
      <c r="A568" s="62" t="s">
        <v>70</v>
      </c>
      <c r="B568" s="107">
        <f>+B546+B551+B558+B567</f>
        <v>0</v>
      </c>
      <c r="C568" s="63">
        <f>+C546+C551+C558+C567</f>
        <v>244</v>
      </c>
      <c r="D568" s="63">
        <f>+D546+D551+D558+D567</f>
        <v>2182</v>
      </c>
      <c r="E568" s="64">
        <f t="shared" si="226"/>
        <v>2426</v>
      </c>
      <c r="F568" s="63">
        <f>+F546+F551+F558+F567</f>
        <v>11728</v>
      </c>
      <c r="G568" s="63">
        <f>+G546+G551+G558+G567</f>
        <v>8420</v>
      </c>
      <c r="H568" s="63">
        <f>+H546+H551+H558+H567</f>
        <v>13839</v>
      </c>
      <c r="I568" s="64">
        <f t="shared" si="227"/>
        <v>33987</v>
      </c>
      <c r="J568" s="63">
        <f>+J546+J551+J558+J567</f>
        <v>16447</v>
      </c>
      <c r="K568" s="63">
        <f>+K546+K551+K558+K567</f>
        <v>13989</v>
      </c>
      <c r="L568" s="63">
        <f>+L546+L551+L558+L567</f>
        <v>10258</v>
      </c>
      <c r="M568" s="64">
        <f t="shared" si="228"/>
        <v>40694</v>
      </c>
      <c r="N568" s="63">
        <f>+N546+N551+N558+N567</f>
        <v>1208</v>
      </c>
      <c r="O568" s="63">
        <f>+O546+O551+O558+O567</f>
        <v>0</v>
      </c>
      <c r="P568" s="63">
        <f>+P546+P551+P558+P567</f>
        <v>719</v>
      </c>
      <c r="Q568" s="64">
        <f t="shared" si="229"/>
        <v>1927</v>
      </c>
      <c r="R568" s="88">
        <f>+E568+I568+M568+Q568</f>
        <v>79034</v>
      </c>
    </row>
    <row r="569" spans="1:20" ht="16.5" customHeight="1" thickBot="1" x14ac:dyDescent="0.35">
      <c r="A569" s="40" t="s">
        <v>37</v>
      </c>
      <c r="B569" s="25">
        <v>9</v>
      </c>
      <c r="C569" s="25">
        <v>16</v>
      </c>
      <c r="D569" s="25">
        <v>25</v>
      </c>
      <c r="E569" s="59">
        <f t="shared" si="226"/>
        <v>50</v>
      </c>
      <c r="F569" s="25">
        <v>34</v>
      </c>
      <c r="G569" s="25">
        <v>41</v>
      </c>
      <c r="H569" s="25">
        <v>41</v>
      </c>
      <c r="I569" s="59">
        <f t="shared" si="227"/>
        <v>116</v>
      </c>
      <c r="J569" s="25">
        <v>39</v>
      </c>
      <c r="K569" s="25">
        <v>30</v>
      </c>
      <c r="L569" s="25">
        <v>30</v>
      </c>
      <c r="M569" s="59">
        <f t="shared" si="228"/>
        <v>99</v>
      </c>
      <c r="N569" s="25">
        <v>28</v>
      </c>
      <c r="O569" s="25">
        <v>22</v>
      </c>
      <c r="P569" s="25">
        <v>16</v>
      </c>
      <c r="Q569" s="59">
        <f t="shared" si="229"/>
        <v>66</v>
      </c>
      <c r="R569" s="59">
        <f t="shared" si="225"/>
        <v>331</v>
      </c>
    </row>
    <row r="570" spans="1:20" ht="16.5" customHeight="1" thickBot="1" x14ac:dyDescent="0.35">
      <c r="A570" s="80"/>
      <c r="B570" s="81"/>
      <c r="C570" s="81"/>
      <c r="D570" s="81"/>
      <c r="E570" s="64"/>
      <c r="F570" s="81"/>
      <c r="G570" s="81"/>
      <c r="H570" s="81"/>
      <c r="I570" s="64"/>
      <c r="J570" s="81"/>
      <c r="K570" s="81"/>
      <c r="L570" s="81"/>
      <c r="M570" s="64"/>
      <c r="N570" s="81"/>
      <c r="O570" s="81"/>
      <c r="P570" s="81"/>
      <c r="Q570" s="64"/>
      <c r="R570" s="64" t="s">
        <v>7</v>
      </c>
    </row>
    <row r="571" spans="1:20" ht="15.75" customHeight="1" x14ac:dyDescent="0.3">
      <c r="A571" s="335" t="s">
        <v>38</v>
      </c>
      <c r="B571" s="336">
        <f>SUM(B568:B569)</f>
        <v>9</v>
      </c>
      <c r="C571" s="336">
        <f>SUM(C568:C569)</f>
        <v>260</v>
      </c>
      <c r="D571" s="336">
        <f>SUM(D568:D569)</f>
        <v>2207</v>
      </c>
      <c r="E571" s="334">
        <f>SUM(B571:D571)</f>
        <v>2476</v>
      </c>
      <c r="F571" s="336">
        <f>SUM(F568:F569)</f>
        <v>11762</v>
      </c>
      <c r="G571" s="336">
        <f>SUM(G568:G569)</f>
        <v>8461</v>
      </c>
      <c r="H571" s="336">
        <f>SUM(H568:H569)</f>
        <v>13880</v>
      </c>
      <c r="I571" s="334">
        <f>SUM(F571:H571)</f>
        <v>34103</v>
      </c>
      <c r="J571" s="336">
        <f>SUM(J568:J569)</f>
        <v>16486</v>
      </c>
      <c r="K571" s="336">
        <f>SUM(K568:K569)</f>
        <v>14019</v>
      </c>
      <c r="L571" s="336">
        <f>SUM(L568:L569)</f>
        <v>10288</v>
      </c>
      <c r="M571" s="334">
        <f>SUM(J571:L571)</f>
        <v>40793</v>
      </c>
      <c r="N571" s="336">
        <f>SUM(N568:N569)</f>
        <v>1236</v>
      </c>
      <c r="O571" s="336">
        <f>SUM(O568:O569)</f>
        <v>22</v>
      </c>
      <c r="P571" s="336">
        <f>SUM(P568:P569)</f>
        <v>735</v>
      </c>
      <c r="Q571" s="334">
        <f>SUM(N571:P571)</f>
        <v>1993</v>
      </c>
      <c r="R571" s="334">
        <f>+E571+I571+M571+Q571</f>
        <v>79365</v>
      </c>
    </row>
    <row r="572" spans="1:20" ht="15.75" customHeight="1" x14ac:dyDescent="0.3">
      <c r="A572" s="85" t="s">
        <v>39</v>
      </c>
      <c r="B572" s="1">
        <f>(B571/B10)/1.983</f>
        <v>0.14640573910497293</v>
      </c>
      <c r="C572" s="1">
        <f>(C571/C10)/1.983</f>
        <v>4.5211887248508873</v>
      </c>
      <c r="D572" s="1">
        <f>(D571/D10)/1.983</f>
        <v>35.901940689408356</v>
      </c>
      <c r="E572" s="59" t="s">
        <v>7</v>
      </c>
      <c r="F572" s="1">
        <f>(F571/F10)/1.983</f>
        <v>197.71390149604974</v>
      </c>
      <c r="G572" s="1">
        <f>(G571/G10)/1.983</f>
        <v>137.63766206301952</v>
      </c>
      <c r="H572" s="1">
        <f>(H571/H10)/1.983</f>
        <v>233.31652378551016</v>
      </c>
      <c r="I572" s="59" t="s">
        <v>7</v>
      </c>
      <c r="J572" s="1">
        <f>(J571/J10)/1.983</f>
        <v>268.18277943162036</v>
      </c>
      <c r="K572" s="1">
        <f>(K571/K10)/1.983</f>
        <v>228.05133961251281</v>
      </c>
      <c r="L572" s="1">
        <f>(L571/L10)/1.983</f>
        <v>172.93662800470668</v>
      </c>
      <c r="M572" s="59" t="s">
        <v>7</v>
      </c>
      <c r="N572" s="1">
        <f>(N571/N10)/1.983</f>
        <v>20.106388170416277</v>
      </c>
      <c r="O572" s="1">
        <f>(O571/O10)/1.983</f>
        <v>0.36981005210959822</v>
      </c>
      <c r="P572" s="1">
        <f>(P571/P10)/1.983</f>
        <v>11.956468693572788</v>
      </c>
      <c r="Q572" s="59" t="s">
        <v>7</v>
      </c>
      <c r="R572" s="59" t="s">
        <v>7</v>
      </c>
    </row>
    <row r="573" spans="1:20" ht="15.75" customHeight="1" x14ac:dyDescent="0.3">
      <c r="A573" s="85" t="s">
        <v>492</v>
      </c>
      <c r="B573" s="1">
        <f>B571+B618</f>
        <v>14138</v>
      </c>
      <c r="C573" s="1">
        <f>C571+C618</f>
        <v>23040</v>
      </c>
      <c r="D573" s="1">
        <f>D571+D618</f>
        <v>30482</v>
      </c>
      <c r="E573" s="59">
        <f>SUM(B573:D573)</f>
        <v>67660</v>
      </c>
      <c r="F573" s="1">
        <f>F571+F618</f>
        <v>48830</v>
      </c>
      <c r="G573" s="1">
        <f>G571+G618</f>
        <v>43779</v>
      </c>
      <c r="H573" s="1">
        <f>H571+H618</f>
        <v>46499</v>
      </c>
      <c r="I573" s="59">
        <f>SUM(F573:H573)</f>
        <v>139108</v>
      </c>
      <c r="J573" s="1">
        <f>J571+J618</f>
        <v>52305</v>
      </c>
      <c r="K573" s="1">
        <f>K571+K618</f>
        <v>48848</v>
      </c>
      <c r="L573" s="1">
        <f>L571+L618</f>
        <v>35251</v>
      </c>
      <c r="M573" s="59">
        <f>SUM(J573:L573)</f>
        <v>136404</v>
      </c>
      <c r="N573" s="1">
        <f>N571+N618</f>
        <v>15682</v>
      </c>
      <c r="O573" s="1">
        <f>O571+O618</f>
        <v>3531</v>
      </c>
      <c r="P573" s="1">
        <f>P571+P618</f>
        <v>11038</v>
      </c>
      <c r="Q573" s="59">
        <f>SUM(N573:P573)</f>
        <v>30251</v>
      </c>
      <c r="R573" s="59">
        <f>+E573+I573+M573+Q573</f>
        <v>373423</v>
      </c>
    </row>
    <row r="574" spans="1:20" ht="16.5" customHeight="1" thickBot="1" x14ac:dyDescent="0.35">
      <c r="A574" s="86" t="s">
        <v>493</v>
      </c>
      <c r="B574" s="87">
        <f>(B573/B10)/1.983</f>
        <v>229.98714882956745</v>
      </c>
      <c r="C574" s="87">
        <f>(C573/C10)/1.983</f>
        <v>400.64687777140171</v>
      </c>
      <c r="D574" s="87">
        <f>(D573/D10)/1.983</f>
        <v>495.85997104419823</v>
      </c>
      <c r="E574" s="88" t="s">
        <v>7</v>
      </c>
      <c r="F574" s="87">
        <f>(F573/F10)/1.983</f>
        <v>820.81022020507646</v>
      </c>
      <c r="G574" s="87">
        <f>(G573/G10)/1.983</f>
        <v>712.16631691962323</v>
      </c>
      <c r="H574" s="87">
        <f>(H573/H10)/1.983</f>
        <v>781.62716422928224</v>
      </c>
      <c r="I574" s="88" t="s">
        <v>7</v>
      </c>
      <c r="J574" s="87">
        <f>(J573/J10)/1.983</f>
        <v>850.86135376506752</v>
      </c>
      <c r="K574" s="87">
        <f>(K573/K10)/1.983</f>
        <v>794.62528264441301</v>
      </c>
      <c r="L574" s="87">
        <f>(L573/L10)/1.983</f>
        <v>592.55337031433851</v>
      </c>
      <c r="M574" s="88" t="s">
        <v>7</v>
      </c>
      <c r="N574" s="87">
        <f>(N573/N10)/1.983</f>
        <v>255.1038667382428</v>
      </c>
      <c r="O574" s="87">
        <f>(O573/O10)/1.983</f>
        <v>59.35451336359052</v>
      </c>
      <c r="P574" s="87">
        <f>(P573/P10)/1.983</f>
        <v>179.55850536007677</v>
      </c>
      <c r="Q574" s="88" t="s">
        <v>7</v>
      </c>
      <c r="R574" s="88" t="s">
        <v>7</v>
      </c>
    </row>
    <row r="575" spans="1:20" ht="15.75" customHeight="1" x14ac:dyDescent="0.3">
      <c r="A575" s="28"/>
      <c r="B575" s="1"/>
      <c r="C575" s="1"/>
      <c r="D575" s="1"/>
      <c r="E575" s="1"/>
      <c r="F575" s="1"/>
      <c r="G575" s="1"/>
      <c r="H575" s="1"/>
      <c r="I575" s="1"/>
      <c r="J575" s="1"/>
      <c r="K575" s="1"/>
      <c r="L575" s="1"/>
      <c r="M575" s="1"/>
      <c r="N575" s="1"/>
      <c r="O575" s="1"/>
      <c r="P575" s="1"/>
      <c r="Q575" s="1"/>
      <c r="R575" s="28"/>
    </row>
    <row r="576" spans="1:20" ht="15.75" customHeight="1" thickBot="1" x14ac:dyDescent="0.35">
      <c r="A576" s="28"/>
      <c r="B576" s="1"/>
      <c r="C576" s="1"/>
      <c r="D576" s="1"/>
      <c r="E576" s="1"/>
      <c r="F576" s="1"/>
      <c r="G576" s="1"/>
      <c r="H576" s="1"/>
      <c r="I576" s="1"/>
      <c r="J576" s="1"/>
      <c r="K576" s="1"/>
      <c r="L576" s="1"/>
      <c r="M576" s="1"/>
      <c r="N576" s="1"/>
      <c r="O576" s="1"/>
      <c r="P576" s="1"/>
      <c r="Q576" s="1"/>
      <c r="R576" s="28"/>
    </row>
    <row r="577" spans="1:20" ht="16.5" customHeight="1" thickBot="1" x14ac:dyDescent="0.35">
      <c r="A577" s="343" t="s">
        <v>494</v>
      </c>
      <c r="B577" s="323" t="s">
        <v>36</v>
      </c>
      <c r="C577" s="324" t="s">
        <v>9</v>
      </c>
      <c r="D577" s="324" t="s">
        <v>10</v>
      </c>
      <c r="E577" s="325" t="s">
        <v>11</v>
      </c>
      <c r="F577" s="324" t="s">
        <v>12</v>
      </c>
      <c r="G577" s="324" t="s">
        <v>13</v>
      </c>
      <c r="H577" s="324" t="s">
        <v>14</v>
      </c>
      <c r="I577" s="34" t="s">
        <v>15</v>
      </c>
      <c r="J577" s="324" t="s">
        <v>16</v>
      </c>
      <c r="K577" s="324" t="s">
        <v>17</v>
      </c>
      <c r="L577" s="324" t="s">
        <v>18</v>
      </c>
      <c r="M577" s="34" t="s">
        <v>19</v>
      </c>
      <c r="N577" s="324" t="s">
        <v>20</v>
      </c>
      <c r="O577" s="324" t="s">
        <v>21</v>
      </c>
      <c r="P577" s="324" t="s">
        <v>22</v>
      </c>
      <c r="Q577" s="34" t="s">
        <v>23</v>
      </c>
      <c r="R577" s="326" t="s">
        <v>24</v>
      </c>
    </row>
    <row r="578" spans="1:20" ht="16.5" customHeight="1" thickBot="1" x14ac:dyDescent="0.35">
      <c r="A578" s="64"/>
      <c r="B578" s="81"/>
      <c r="C578" s="81"/>
      <c r="D578" s="81"/>
      <c r="E578" s="72"/>
      <c r="F578" s="81"/>
      <c r="G578" s="81"/>
      <c r="H578" s="81"/>
      <c r="I578" s="89"/>
      <c r="J578" s="81"/>
      <c r="K578" s="81"/>
      <c r="L578" s="81"/>
      <c r="M578" s="89"/>
      <c r="N578" s="81"/>
      <c r="O578" s="81"/>
      <c r="P578" s="81"/>
      <c r="Q578" s="89"/>
      <c r="R578" s="117"/>
    </row>
    <row r="579" spans="1:20" ht="15.75" customHeight="1" x14ac:dyDescent="0.3">
      <c r="A579" s="17" t="s">
        <v>45</v>
      </c>
      <c r="B579" s="1" t="s">
        <v>7</v>
      </c>
      <c r="C579" s="1" t="s">
        <v>7</v>
      </c>
      <c r="D579" s="1" t="s">
        <v>7</v>
      </c>
      <c r="E579" s="59" t="s">
        <v>7</v>
      </c>
      <c r="F579" s="1"/>
      <c r="G579" s="1"/>
      <c r="H579" s="1"/>
      <c r="I579" s="59" t="s">
        <v>7</v>
      </c>
      <c r="J579" s="1" t="s">
        <v>7</v>
      </c>
      <c r="K579" s="1" t="s">
        <v>7</v>
      </c>
      <c r="L579" s="1" t="s">
        <v>7</v>
      </c>
      <c r="M579" s="59" t="s">
        <v>7</v>
      </c>
      <c r="N579" s="1" t="s">
        <v>7</v>
      </c>
      <c r="O579" s="1" t="s">
        <v>7</v>
      </c>
      <c r="P579" s="1" t="s">
        <v>7</v>
      </c>
      <c r="Q579" s="59" t="s">
        <v>7</v>
      </c>
      <c r="R579" s="59" t="s">
        <v>7</v>
      </c>
    </row>
    <row r="580" spans="1:20" ht="15.75" customHeight="1" x14ac:dyDescent="0.3">
      <c r="A580" s="17" t="s">
        <v>46</v>
      </c>
      <c r="B580" s="1"/>
      <c r="C580" s="1"/>
      <c r="D580" s="1"/>
      <c r="E580" s="59" t="s">
        <v>7</v>
      </c>
      <c r="F580" s="1"/>
      <c r="G580" s="1"/>
      <c r="H580" s="1"/>
      <c r="I580" s="59" t="s">
        <v>7</v>
      </c>
      <c r="J580" s="1"/>
      <c r="K580" s="1"/>
      <c r="L580" s="1"/>
      <c r="M580" s="59" t="s">
        <v>7</v>
      </c>
      <c r="N580" s="1"/>
      <c r="O580" s="1"/>
      <c r="P580" s="1"/>
      <c r="Q580" s="59" t="s">
        <v>7</v>
      </c>
      <c r="R580" s="59" t="s">
        <v>7</v>
      </c>
    </row>
    <row r="581" spans="1:20" ht="15.75" customHeight="1" x14ac:dyDescent="0.3">
      <c r="A581" s="17" t="s">
        <v>495</v>
      </c>
      <c r="C581" s="1"/>
      <c r="D581" s="1"/>
      <c r="E581" s="59">
        <f>SUM(B581:D581)</f>
        <v>0</v>
      </c>
      <c r="F581" s="1"/>
      <c r="G581" s="1"/>
      <c r="H581" s="1"/>
      <c r="I581" s="59">
        <f>SUM(F581:H581)</f>
        <v>0</v>
      </c>
      <c r="J581" s="1"/>
      <c r="K581" s="1"/>
      <c r="L581" s="1"/>
      <c r="M581" s="59">
        <f>SUM(J581:L581)</f>
        <v>0</v>
      </c>
      <c r="N581" s="1"/>
      <c r="O581" s="1"/>
      <c r="P581" s="1"/>
      <c r="Q581" s="59">
        <f>SUM(N581:P581)</f>
        <v>0</v>
      </c>
      <c r="R581" s="59">
        <f>+E581+I581+M581+Q581</f>
        <v>0</v>
      </c>
      <c r="T581" s="4" t="s">
        <v>368</v>
      </c>
    </row>
    <row r="582" spans="1:20" ht="15.75" customHeight="1" x14ac:dyDescent="0.3">
      <c r="A582" s="74" t="s">
        <v>496</v>
      </c>
      <c r="B582" s="1"/>
      <c r="C582" s="1"/>
      <c r="D582" s="1"/>
      <c r="E582" s="59">
        <f>SUM(B582:D582)</f>
        <v>0</v>
      </c>
      <c r="F582" s="1">
        <v>500</v>
      </c>
      <c r="G582" s="1">
        <v>500</v>
      </c>
      <c r="H582" s="1">
        <v>1000</v>
      </c>
      <c r="I582" s="59">
        <f>SUM(F582:H582)</f>
        <v>2000</v>
      </c>
      <c r="J582" s="1"/>
      <c r="K582" s="1"/>
      <c r="L582" s="1"/>
      <c r="M582" s="59">
        <f>SUM(J582:L582)</f>
        <v>0</v>
      </c>
      <c r="N582" s="1"/>
      <c r="O582" s="1"/>
      <c r="P582" s="1"/>
      <c r="Q582" s="59">
        <f>SUM(N582:P582)</f>
        <v>0</v>
      </c>
      <c r="R582" s="59">
        <f>+E582+I582+M582+Q582</f>
        <v>2000</v>
      </c>
    </row>
    <row r="583" spans="1:20" ht="15.75" customHeight="1" x14ac:dyDescent="0.3">
      <c r="A583" s="74" t="s">
        <v>497</v>
      </c>
      <c r="B583" s="1"/>
      <c r="C583" s="1"/>
      <c r="D583" s="1">
        <v>150</v>
      </c>
      <c r="E583" s="59">
        <f>SUM(B583:D583)</f>
        <v>150</v>
      </c>
      <c r="F583" s="1">
        <v>151</v>
      </c>
      <c r="G583" s="1">
        <v>780</v>
      </c>
      <c r="H583" s="1">
        <v>189</v>
      </c>
      <c r="I583" s="59">
        <f>SUM(F583:H583)</f>
        <v>1120</v>
      </c>
      <c r="J583" s="1">
        <v>1000</v>
      </c>
      <c r="K583" s="1">
        <v>1109</v>
      </c>
      <c r="L583" s="1">
        <v>621</v>
      </c>
      <c r="M583" s="59">
        <f>SUM(J583:L583)</f>
        <v>2730</v>
      </c>
      <c r="N583" s="1"/>
      <c r="O583" s="1"/>
      <c r="P583" s="1"/>
      <c r="Q583" s="59">
        <f>SUM(N583:P583)</f>
        <v>0</v>
      </c>
      <c r="R583" s="59">
        <f>+E583+I583+M583+Q583</f>
        <v>4000</v>
      </c>
    </row>
    <row r="584" spans="1:20" ht="15.75" customHeight="1" x14ac:dyDescent="0.3">
      <c r="A584" s="74" t="s">
        <v>498</v>
      </c>
      <c r="B584" s="1"/>
      <c r="C584" s="1"/>
      <c r="D584" s="1"/>
      <c r="E584" s="59">
        <f>SUM(B584:D584)</f>
        <v>0</v>
      </c>
      <c r="F584" s="1"/>
      <c r="G584" s="1"/>
      <c r="H584" s="1"/>
      <c r="I584" s="59">
        <f>SUM(F584:H584)</f>
        <v>0</v>
      </c>
      <c r="J584" s="1"/>
      <c r="K584" s="1">
        <v>500</v>
      </c>
      <c r="L584" s="1">
        <v>505</v>
      </c>
      <c r="M584" s="59">
        <f>SUM(J584:L584)</f>
        <v>1005</v>
      </c>
      <c r="N584" s="1">
        <v>294</v>
      </c>
      <c r="O584" s="1"/>
      <c r="P584" s="1"/>
      <c r="Q584" s="59">
        <f>SUM(N584:P584)</f>
        <v>294</v>
      </c>
      <c r="R584" s="59">
        <f>+E584+I584+M584+Q584</f>
        <v>1299</v>
      </c>
    </row>
    <row r="585" spans="1:20" ht="15.75" customHeight="1" x14ac:dyDescent="0.3">
      <c r="A585" s="74" t="s">
        <v>499</v>
      </c>
      <c r="B585" s="1"/>
      <c r="C585" s="1"/>
      <c r="D585" s="1"/>
      <c r="E585" s="59">
        <f>SUM(B585:D585)</f>
        <v>0</v>
      </c>
      <c r="F585" s="1"/>
      <c r="G585" s="1"/>
      <c r="H585" s="1"/>
      <c r="I585" s="59">
        <f>SUM(F585:H585)</f>
        <v>0</v>
      </c>
      <c r="J585" s="1">
        <v>232</v>
      </c>
      <c r="K585" s="1"/>
      <c r="L585" s="1">
        <v>305</v>
      </c>
      <c r="M585" s="59">
        <f>SUM(J585:L585)</f>
        <v>537</v>
      </c>
      <c r="N585" s="1"/>
      <c r="O585" s="1"/>
      <c r="P585" s="1"/>
      <c r="Q585" s="59">
        <f>SUM(N585:P585)</f>
        <v>0</v>
      </c>
      <c r="R585" s="59">
        <f>+E585+I585+M585+Q585</f>
        <v>537</v>
      </c>
    </row>
    <row r="586" spans="1:20" ht="15.75" customHeight="1" x14ac:dyDescent="0.3">
      <c r="A586" s="17" t="s">
        <v>47</v>
      </c>
      <c r="B586" s="1"/>
      <c r="C586" s="1"/>
      <c r="D586" s="1"/>
      <c r="E586" s="59" t="s">
        <v>7</v>
      </c>
      <c r="F586" s="1"/>
      <c r="G586" s="1"/>
      <c r="H586" s="1"/>
      <c r="I586" s="59" t="s">
        <v>7</v>
      </c>
      <c r="J586" s="1"/>
      <c r="K586" s="1"/>
      <c r="L586" s="1"/>
      <c r="M586" s="59" t="s">
        <v>7</v>
      </c>
      <c r="N586" s="1"/>
      <c r="O586" s="1"/>
      <c r="P586" s="1"/>
      <c r="Q586" s="59" t="s">
        <v>7</v>
      </c>
      <c r="R586" s="59" t="s">
        <v>7</v>
      </c>
    </row>
    <row r="587" spans="1:20" ht="15.75" customHeight="1" x14ac:dyDescent="0.3">
      <c r="A587" s="17" t="s">
        <v>49</v>
      </c>
      <c r="B587" s="1"/>
      <c r="C587" s="1"/>
      <c r="D587" s="1"/>
      <c r="E587" s="59" t="s">
        <v>7</v>
      </c>
      <c r="F587" s="1"/>
      <c r="G587" s="1"/>
      <c r="H587" s="1"/>
      <c r="I587" s="59" t="s">
        <v>7</v>
      </c>
      <c r="J587" s="1"/>
      <c r="K587" s="1"/>
      <c r="L587" s="1"/>
      <c r="M587" s="59" t="s">
        <v>7</v>
      </c>
      <c r="N587" s="1"/>
      <c r="O587" s="1"/>
      <c r="P587" s="1"/>
      <c r="Q587" s="59" t="s">
        <v>7</v>
      </c>
      <c r="R587" s="59" t="s">
        <v>7</v>
      </c>
    </row>
    <row r="588" spans="1:20" ht="15.75" customHeight="1" thickBot="1" x14ac:dyDescent="0.35">
      <c r="A588" s="17" t="s">
        <v>51</v>
      </c>
      <c r="B588" s="1"/>
      <c r="C588" s="1"/>
      <c r="D588" s="1"/>
      <c r="E588" s="59" t="s">
        <v>7</v>
      </c>
      <c r="F588" s="1"/>
      <c r="G588" s="1"/>
      <c r="H588" s="1"/>
      <c r="I588" s="59" t="s">
        <v>7</v>
      </c>
      <c r="J588" s="1"/>
      <c r="K588" s="1"/>
      <c r="L588" s="1"/>
      <c r="M588" s="59" t="s">
        <v>7</v>
      </c>
      <c r="N588" s="1"/>
      <c r="O588" s="1"/>
      <c r="P588" s="1"/>
      <c r="Q588" s="59" t="s">
        <v>7</v>
      </c>
      <c r="R588" s="59" t="s">
        <v>7</v>
      </c>
    </row>
    <row r="589" spans="1:20" ht="16.5" customHeight="1" thickBot="1" x14ac:dyDescent="0.35">
      <c r="A589" s="126" t="s">
        <v>52</v>
      </c>
      <c r="B589" s="100">
        <f>SUM(B579:B588)</f>
        <v>0</v>
      </c>
      <c r="C589" s="101">
        <f>SUM(C579:C588)</f>
        <v>0</v>
      </c>
      <c r="D589" s="101">
        <f>SUM(D579:D588)</f>
        <v>150</v>
      </c>
      <c r="E589" s="64">
        <f>SUM(B589:D589)</f>
        <v>150</v>
      </c>
      <c r="F589" s="101">
        <f>SUM(F579:F588)</f>
        <v>651</v>
      </c>
      <c r="G589" s="101">
        <f>SUM(G579:G588)</f>
        <v>1280</v>
      </c>
      <c r="H589" s="101">
        <f>SUM(H579:H588)</f>
        <v>1189</v>
      </c>
      <c r="I589" s="64">
        <f>SUM(F589:H589)</f>
        <v>3120</v>
      </c>
      <c r="J589" s="101">
        <f>SUM(J579:J588)</f>
        <v>1232</v>
      </c>
      <c r="K589" s="101">
        <f>SUM(K579:K588)</f>
        <v>1609</v>
      </c>
      <c r="L589" s="101">
        <f>SUM(L579:L588)</f>
        <v>1431</v>
      </c>
      <c r="M589" s="64">
        <f>SUM(J589:L589)</f>
        <v>4272</v>
      </c>
      <c r="N589" s="101">
        <f>SUM(N579:N588)</f>
        <v>294</v>
      </c>
      <c r="O589" s="101">
        <f>SUM(O579:O588)</f>
        <v>0</v>
      </c>
      <c r="P589" s="101">
        <f>SUM(P579:P588)</f>
        <v>0</v>
      </c>
      <c r="Q589" s="64">
        <f>SUM(N589:P589)</f>
        <v>294</v>
      </c>
      <c r="R589" s="64">
        <f>+E589+I589+M589+Q589</f>
        <v>7836</v>
      </c>
    </row>
    <row r="590" spans="1:20" ht="15.75" customHeight="1" x14ac:dyDescent="0.3">
      <c r="A590" s="17" t="s">
        <v>53</v>
      </c>
      <c r="B590" s="1"/>
      <c r="C590" s="1"/>
      <c r="D590" s="1"/>
      <c r="E590" s="334" t="s">
        <v>7</v>
      </c>
      <c r="F590" s="1"/>
      <c r="G590" s="1"/>
      <c r="H590" s="1"/>
      <c r="I590" s="334" t="s">
        <v>7</v>
      </c>
      <c r="J590" s="1"/>
      <c r="K590" s="1"/>
      <c r="L590" s="1"/>
      <c r="M590" s="334" t="s">
        <v>7</v>
      </c>
      <c r="N590" s="1"/>
      <c r="O590" s="1"/>
      <c r="P590" s="1"/>
      <c r="Q590" s="334" t="s">
        <v>7</v>
      </c>
      <c r="R590" s="146" t="s">
        <v>7</v>
      </c>
    </row>
    <row r="591" spans="1:20" ht="15.75" customHeight="1" x14ac:dyDescent="0.3">
      <c r="A591" s="17" t="s">
        <v>55</v>
      </c>
      <c r="B591" s="1"/>
      <c r="C591" s="1"/>
      <c r="D591" s="1"/>
      <c r="E591" s="59" t="s">
        <v>7</v>
      </c>
      <c r="F591" s="1"/>
      <c r="G591" s="1"/>
      <c r="H591" s="1"/>
      <c r="I591" s="59" t="s">
        <v>7</v>
      </c>
      <c r="J591" s="1"/>
      <c r="K591" s="1"/>
      <c r="L591" s="1"/>
      <c r="M591" s="59" t="s">
        <v>7</v>
      </c>
      <c r="N591" s="1"/>
      <c r="O591" s="1"/>
      <c r="P591" s="1"/>
      <c r="Q591" s="59" t="s">
        <v>7</v>
      </c>
      <c r="R591" s="146" t="s">
        <v>7</v>
      </c>
    </row>
    <row r="592" spans="1:20" ht="15.75" customHeight="1" x14ac:dyDescent="0.3">
      <c r="A592" s="74" t="s">
        <v>500</v>
      </c>
      <c r="B592" s="1">
        <v>81</v>
      </c>
      <c r="C592" s="1">
        <v>83</v>
      </c>
      <c r="D592" s="1">
        <v>538</v>
      </c>
      <c r="E592" s="59">
        <f>SUM(B592:D592)</f>
        <v>702</v>
      </c>
      <c r="F592" s="1">
        <v>5366</v>
      </c>
      <c r="G592" s="1">
        <v>3643</v>
      </c>
      <c r="H592" s="1">
        <v>4763</v>
      </c>
      <c r="I592" s="59">
        <f>SUM(F592:H592)</f>
        <v>13772</v>
      </c>
      <c r="J592" s="1">
        <v>4877</v>
      </c>
      <c r="K592" s="1">
        <f>2434+3000</f>
        <v>5434</v>
      </c>
      <c r="L592" s="1">
        <v>464</v>
      </c>
      <c r="M592" s="59">
        <f>SUM(J592:L592)</f>
        <v>10775</v>
      </c>
      <c r="N592" s="1">
        <v>373</v>
      </c>
      <c r="O592" s="1">
        <v>25</v>
      </c>
      <c r="P592" s="1">
        <v>63</v>
      </c>
      <c r="Q592" s="59">
        <f>SUM(N592:P592)</f>
        <v>461</v>
      </c>
      <c r="R592" s="59">
        <f>+E592+I592+M592+Q592</f>
        <v>25710</v>
      </c>
      <c r="S592" s="4">
        <f>+SUM(R592,R549,R404)</f>
        <v>91964</v>
      </c>
      <c r="T592" s="4" t="s">
        <v>501</v>
      </c>
    </row>
    <row r="593" spans="1:20" ht="15.75" customHeight="1" x14ac:dyDescent="0.3">
      <c r="A593" s="74" t="s">
        <v>502</v>
      </c>
      <c r="B593" s="1"/>
      <c r="C593" s="1"/>
      <c r="D593" s="1"/>
      <c r="E593" s="59">
        <f>SUM(B593:D593)</f>
        <v>0</v>
      </c>
      <c r="F593" s="1"/>
      <c r="G593" s="1"/>
      <c r="H593" s="1"/>
      <c r="I593" s="59">
        <f>SUM(F593:H593)</f>
        <v>0</v>
      </c>
      <c r="J593" s="1"/>
      <c r="K593" s="1"/>
      <c r="L593" s="1"/>
      <c r="M593" s="59">
        <f>SUM(J593:L593)</f>
        <v>0</v>
      </c>
      <c r="N593" s="1"/>
      <c r="O593" s="1"/>
      <c r="P593" s="1"/>
      <c r="Q593" s="59">
        <f>SUM(N593:P593)</f>
        <v>0</v>
      </c>
      <c r="R593" s="59">
        <f>+E593+I593+M593+Q593</f>
        <v>0</v>
      </c>
    </row>
    <row r="594" spans="1:20" ht="15.75" customHeight="1" thickBot="1" x14ac:dyDescent="0.35">
      <c r="A594" s="17" t="s">
        <v>56</v>
      </c>
      <c r="B594" s="1"/>
      <c r="C594" s="1"/>
      <c r="D594" s="1"/>
      <c r="E594" s="59" t="s">
        <v>7</v>
      </c>
      <c r="F594" s="1"/>
      <c r="G594" s="1"/>
      <c r="H594" s="1"/>
      <c r="I594" s="59" t="s">
        <v>7</v>
      </c>
      <c r="J594" s="1"/>
      <c r="K594" s="1"/>
      <c r="L594" s="1"/>
      <c r="M594" s="59" t="s">
        <v>7</v>
      </c>
      <c r="N594" s="1"/>
      <c r="O594" s="1"/>
      <c r="P594" s="1"/>
      <c r="Q594" s="59" t="s">
        <v>7</v>
      </c>
      <c r="R594" s="146" t="s">
        <v>7</v>
      </c>
    </row>
    <row r="595" spans="1:20" ht="16.5" customHeight="1" thickBot="1" x14ac:dyDescent="0.35">
      <c r="A595" s="62" t="s">
        <v>57</v>
      </c>
      <c r="B595" s="100">
        <f>SUM(B590:B594)</f>
        <v>81</v>
      </c>
      <c r="C595" s="101">
        <f>SUM(C590:C594)</f>
        <v>83</v>
      </c>
      <c r="D595" s="101">
        <f>SUM(D590:D594)</f>
        <v>538</v>
      </c>
      <c r="E595" s="64">
        <f>SUM(B595:D595)</f>
        <v>702</v>
      </c>
      <c r="F595" s="101">
        <f>SUM(F590:F594)</f>
        <v>5366</v>
      </c>
      <c r="G595" s="101">
        <f>SUM(G590:G594)</f>
        <v>3643</v>
      </c>
      <c r="H595" s="101">
        <f>SUM(H590:H594)</f>
        <v>4763</v>
      </c>
      <c r="I595" s="64">
        <f>SUM(F595:H595)</f>
        <v>13772</v>
      </c>
      <c r="J595" s="101">
        <f>SUM(J590:J594)</f>
        <v>4877</v>
      </c>
      <c r="K595" s="101">
        <f>SUM(K590:K594)</f>
        <v>5434</v>
      </c>
      <c r="L595" s="101">
        <f>SUM(L590:L594)</f>
        <v>464</v>
      </c>
      <c r="M595" s="64">
        <f>SUM(J595:L595)</f>
        <v>10775</v>
      </c>
      <c r="N595" s="101">
        <f>SUM(N590:N594)</f>
        <v>373</v>
      </c>
      <c r="O595" s="101">
        <f>SUM(O590:O594)</f>
        <v>25</v>
      </c>
      <c r="P595" s="101">
        <f>SUM(P590:P594)</f>
        <v>63</v>
      </c>
      <c r="Q595" s="64">
        <f>SUM(N595:P595)</f>
        <v>461</v>
      </c>
      <c r="R595" s="64">
        <f>+E595+I595+M595+Q595</f>
        <v>25710</v>
      </c>
    </row>
    <row r="596" spans="1:20" ht="15.75" customHeight="1" x14ac:dyDescent="0.3">
      <c r="A596" s="17" t="s">
        <v>58</v>
      </c>
      <c r="B596" s="1"/>
      <c r="C596" s="1"/>
      <c r="D596" s="1"/>
      <c r="E596" s="59" t="s">
        <v>7</v>
      </c>
      <c r="F596" s="1"/>
      <c r="G596" s="1"/>
      <c r="H596" s="1"/>
      <c r="I596" s="59" t="s">
        <v>7</v>
      </c>
      <c r="J596" s="1"/>
      <c r="K596" s="1"/>
      <c r="L596" s="1"/>
      <c r="M596" s="59" t="s">
        <v>7</v>
      </c>
      <c r="N596" s="1"/>
      <c r="O596" s="1"/>
      <c r="P596" s="1"/>
      <c r="Q596" s="59" t="s">
        <v>7</v>
      </c>
      <c r="R596" s="59" t="s">
        <v>7</v>
      </c>
    </row>
    <row r="597" spans="1:20" ht="15.75" customHeight="1" x14ac:dyDescent="0.3">
      <c r="A597" s="17" t="s">
        <v>59</v>
      </c>
      <c r="B597" s="1"/>
      <c r="C597" s="1"/>
      <c r="D597" s="1"/>
      <c r="E597" s="59" t="s">
        <v>7</v>
      </c>
      <c r="F597" s="1"/>
      <c r="G597" s="1"/>
      <c r="H597" s="1"/>
      <c r="I597" s="59" t="s">
        <v>7</v>
      </c>
      <c r="J597" s="1"/>
      <c r="K597" s="1"/>
      <c r="L597" s="1"/>
      <c r="M597" s="59" t="s">
        <v>7</v>
      </c>
      <c r="N597" s="1"/>
      <c r="O597" s="1"/>
      <c r="P597" s="1"/>
      <c r="Q597" s="59" t="s">
        <v>7</v>
      </c>
      <c r="R597" s="59" t="s">
        <v>7</v>
      </c>
    </row>
    <row r="598" spans="1:20" ht="15.75" customHeight="1" x14ac:dyDescent="0.3">
      <c r="A598" s="17" t="s">
        <v>60</v>
      </c>
      <c r="B598" s="1"/>
      <c r="C598" s="1"/>
      <c r="D598" s="1"/>
      <c r="E598" s="59" t="s">
        <v>7</v>
      </c>
      <c r="F598" s="1"/>
      <c r="G598" s="1"/>
      <c r="H598" s="1"/>
      <c r="I598" s="59" t="s">
        <v>7</v>
      </c>
      <c r="J598" s="1"/>
      <c r="K598" s="1"/>
      <c r="L598" s="1"/>
      <c r="M598" s="59" t="s">
        <v>7</v>
      </c>
      <c r="N598" s="1"/>
      <c r="O598" s="1"/>
      <c r="P598" s="1"/>
      <c r="Q598" s="59" t="s">
        <v>7</v>
      </c>
      <c r="R598" s="59" t="s">
        <v>7</v>
      </c>
    </row>
    <row r="599" spans="1:20" ht="15.75" customHeight="1" thickBot="1" x14ac:dyDescent="0.35">
      <c r="A599" s="103" t="s">
        <v>856</v>
      </c>
      <c r="B599" s="1"/>
      <c r="C599" s="1"/>
      <c r="D599" s="1"/>
      <c r="E599" s="59">
        <f>SUM(B599:D599)</f>
        <v>0</v>
      </c>
      <c r="F599" s="1"/>
      <c r="G599" s="1"/>
      <c r="H599" s="1"/>
      <c r="I599" s="59">
        <f>SUM(F599:H599)</f>
        <v>0</v>
      </c>
      <c r="J599" s="1"/>
      <c r="K599" s="1"/>
      <c r="L599" s="1"/>
      <c r="M599" s="59">
        <f>SUM(J599:L599)</f>
        <v>0</v>
      </c>
      <c r="N599" s="1"/>
      <c r="O599" s="1"/>
      <c r="P599" s="1"/>
      <c r="Q599" s="59">
        <f>SUM(N599:P599)</f>
        <v>0</v>
      </c>
      <c r="R599" s="59">
        <f>+E599+I599+M599+Q599</f>
        <v>0</v>
      </c>
      <c r="T599" s="4" t="s">
        <v>368</v>
      </c>
    </row>
    <row r="600" spans="1:20" ht="16.5" customHeight="1" thickBot="1" x14ac:dyDescent="0.35">
      <c r="A600" s="137" t="s">
        <v>61</v>
      </c>
      <c r="B600" s="100">
        <f>SUM(B596:B599)</f>
        <v>0</v>
      </c>
      <c r="C600" s="101">
        <f>SUM(C596:C599)</f>
        <v>0</v>
      </c>
      <c r="D600" s="101">
        <f>SUM(D596:D599)</f>
        <v>0</v>
      </c>
      <c r="E600" s="64">
        <f>SUM(B600:D600)</f>
        <v>0</v>
      </c>
      <c r="F600" s="101">
        <f>SUM(F596:F599)</f>
        <v>0</v>
      </c>
      <c r="G600" s="101">
        <f>SUM(G596:G599)</f>
        <v>0</v>
      </c>
      <c r="H600" s="101">
        <f>SUM(H596:H599)</f>
        <v>0</v>
      </c>
      <c r="I600" s="64">
        <f>SUM(F600:H600)</f>
        <v>0</v>
      </c>
      <c r="J600" s="101">
        <f>SUM(J596:J599)</f>
        <v>0</v>
      </c>
      <c r="K600" s="101">
        <f>SUM(K596:K599)</f>
        <v>0</v>
      </c>
      <c r="L600" s="101">
        <f>SUM(L596:L599)</f>
        <v>0</v>
      </c>
      <c r="M600" s="64">
        <f>SUM(J600:L600)</f>
        <v>0</v>
      </c>
      <c r="N600" s="101">
        <f>SUM(N596:N599)</f>
        <v>0</v>
      </c>
      <c r="O600" s="101">
        <f>SUM(O596:O599)</f>
        <v>0</v>
      </c>
      <c r="P600" s="101">
        <f>SUM(P596:P599)</f>
        <v>0</v>
      </c>
      <c r="Q600" s="64">
        <f>SUM(N600:P600)</f>
        <v>0</v>
      </c>
      <c r="R600" s="64">
        <f>+E600+I600+M600+Q600</f>
        <v>0</v>
      </c>
    </row>
    <row r="601" spans="1:20" ht="15.75" customHeight="1" x14ac:dyDescent="0.3">
      <c r="A601" s="17" t="s">
        <v>62</v>
      </c>
      <c r="B601" s="1"/>
      <c r="C601" s="1"/>
      <c r="D601" s="1"/>
      <c r="E601" s="59" t="s">
        <v>7</v>
      </c>
      <c r="F601" s="1"/>
      <c r="G601" s="1"/>
      <c r="H601" s="1"/>
      <c r="I601" s="59" t="s">
        <v>7</v>
      </c>
      <c r="J601" s="1"/>
      <c r="K601" s="1"/>
      <c r="L601" s="1"/>
      <c r="M601" s="59" t="s">
        <v>7</v>
      </c>
      <c r="N601" s="1"/>
      <c r="O601" s="1"/>
      <c r="P601" s="1"/>
      <c r="Q601" s="59" t="s">
        <v>7</v>
      </c>
      <c r="R601" s="59" t="s">
        <v>7</v>
      </c>
    </row>
    <row r="602" spans="1:20" ht="15.75" customHeight="1" x14ac:dyDescent="0.3">
      <c r="A602" s="17" t="s">
        <v>63</v>
      </c>
      <c r="B602" s="1"/>
      <c r="C602" s="1"/>
      <c r="D602" s="1"/>
      <c r="E602" s="59" t="s">
        <v>7</v>
      </c>
      <c r="F602" s="1"/>
      <c r="G602" s="1"/>
      <c r="H602" s="1"/>
      <c r="I602" s="59" t="s">
        <v>7</v>
      </c>
      <c r="J602" s="1"/>
      <c r="K602" s="1"/>
      <c r="L602" s="1"/>
      <c r="M602" s="59" t="s">
        <v>7</v>
      </c>
      <c r="N602" s="1"/>
      <c r="O602" s="1"/>
      <c r="P602" s="1"/>
      <c r="Q602" s="59" t="s">
        <v>7</v>
      </c>
      <c r="R602" s="59" t="s">
        <v>7</v>
      </c>
    </row>
    <row r="603" spans="1:20" ht="15.75" customHeight="1" x14ac:dyDescent="0.3">
      <c r="A603" s="17" t="s">
        <v>64</v>
      </c>
      <c r="B603" s="1"/>
      <c r="C603" s="1"/>
      <c r="D603" s="1"/>
      <c r="E603" s="59" t="s">
        <v>7</v>
      </c>
      <c r="F603" s="1"/>
      <c r="G603" s="1"/>
      <c r="H603" s="1"/>
      <c r="I603" s="59" t="s">
        <v>7</v>
      </c>
      <c r="J603" s="1"/>
      <c r="K603" s="1"/>
      <c r="L603" s="1"/>
      <c r="M603" s="59" t="s">
        <v>7</v>
      </c>
      <c r="N603" s="1"/>
      <c r="O603" s="1"/>
      <c r="P603" s="1"/>
      <c r="Q603" s="59" t="s">
        <v>7</v>
      </c>
      <c r="R603" s="59" t="s">
        <v>7</v>
      </c>
    </row>
    <row r="604" spans="1:20" ht="15.75" customHeight="1" x14ac:dyDescent="0.3">
      <c r="A604" s="17" t="s">
        <v>66</v>
      </c>
      <c r="B604" s="1"/>
      <c r="C604" s="1"/>
      <c r="D604" s="1"/>
      <c r="E604" s="59" t="s">
        <v>7</v>
      </c>
      <c r="F604" s="1"/>
      <c r="G604" s="1"/>
      <c r="H604" s="1"/>
      <c r="I604" s="59" t="s">
        <v>7</v>
      </c>
      <c r="J604" s="1"/>
      <c r="K604" s="1"/>
      <c r="L604" s="1"/>
      <c r="M604" s="59" t="s">
        <v>7</v>
      </c>
      <c r="N604" s="1"/>
      <c r="O604" s="1"/>
      <c r="P604" s="1"/>
      <c r="Q604" s="59" t="s">
        <v>7</v>
      </c>
      <c r="R604" s="59" t="s">
        <v>7</v>
      </c>
    </row>
    <row r="605" spans="1:20" ht="15.75" customHeight="1" x14ac:dyDescent="0.3">
      <c r="A605" s="74" t="s">
        <v>503</v>
      </c>
      <c r="B605" s="1"/>
      <c r="C605" s="1"/>
      <c r="D605" s="1"/>
      <c r="E605" s="59">
        <f>SUM(B605:D605)</f>
        <v>0</v>
      </c>
      <c r="F605" s="1"/>
      <c r="G605" s="1"/>
      <c r="H605" s="1"/>
      <c r="I605" s="59">
        <f>SUM(F605:H605)</f>
        <v>0</v>
      </c>
      <c r="J605" s="1"/>
      <c r="K605" s="1"/>
      <c r="L605" s="1"/>
      <c r="M605" s="59">
        <f>SUM(J605:L605)</f>
        <v>0</v>
      </c>
      <c r="N605" s="1"/>
      <c r="O605" s="1"/>
      <c r="P605" s="1"/>
      <c r="Q605" s="59">
        <f>SUM(N605:P605)</f>
        <v>0</v>
      </c>
      <c r="R605" s="59">
        <f>+E605+I605+M605+Q605</f>
        <v>0</v>
      </c>
    </row>
    <row r="606" spans="1:20" ht="15.75" customHeight="1" x14ac:dyDescent="0.3">
      <c r="A606" s="17" t="s">
        <v>67</v>
      </c>
      <c r="B606" s="1"/>
      <c r="C606" s="1"/>
      <c r="D606" s="1"/>
      <c r="E606" s="59"/>
      <c r="F606" s="1"/>
      <c r="G606" s="1"/>
      <c r="H606" s="1"/>
      <c r="I606" s="59"/>
      <c r="J606" s="1"/>
      <c r="K606" s="1"/>
      <c r="L606" s="1"/>
      <c r="M606" s="59"/>
      <c r="N606" s="1"/>
      <c r="O606" s="1"/>
      <c r="P606" s="1"/>
      <c r="Q606" s="59"/>
      <c r="R606" s="59" t="s">
        <v>7</v>
      </c>
    </row>
    <row r="607" spans="1:20" ht="15.75" customHeight="1" x14ac:dyDescent="0.3">
      <c r="A607" s="74" t="s">
        <v>460</v>
      </c>
      <c r="B607" s="1"/>
      <c r="C607" s="1"/>
      <c r="D607" s="1"/>
      <c r="E607" s="59">
        <f t="shared" ref="E607:E614" si="230">SUM(B607:D607)</f>
        <v>0</v>
      </c>
      <c r="F607" s="1"/>
      <c r="G607" s="1"/>
      <c r="H607" s="1"/>
      <c r="I607" s="59">
        <f t="shared" ref="I607:I614" si="231">SUM(F607:H607)</f>
        <v>0</v>
      </c>
      <c r="J607" s="1"/>
      <c r="K607" s="1"/>
      <c r="L607" s="1"/>
      <c r="M607" s="59">
        <f t="shared" ref="M607:M614" si="232">SUM(J607:L607)</f>
        <v>0</v>
      </c>
      <c r="N607" s="1"/>
      <c r="O607" s="1"/>
      <c r="P607" s="1"/>
      <c r="Q607" s="59">
        <f t="shared" ref="Q607:Q614" si="233">SUM(N607:P607)</f>
        <v>0</v>
      </c>
      <c r="R607" s="59">
        <f t="shared" ref="R607:R614" si="234">+E607+I607+M607+Q607</f>
        <v>0</v>
      </c>
      <c r="T607" s="4" t="s">
        <v>368</v>
      </c>
    </row>
    <row r="608" spans="1:20" ht="15.75" customHeight="1" x14ac:dyDescent="0.3">
      <c r="A608" s="74" t="s">
        <v>504</v>
      </c>
      <c r="B608" s="1"/>
      <c r="C608" s="1"/>
      <c r="D608" s="1"/>
      <c r="E608" s="59">
        <f>SUM(B608:D608)</f>
        <v>0</v>
      </c>
      <c r="F608" s="1"/>
      <c r="G608" s="1"/>
      <c r="H608" s="1"/>
      <c r="I608" s="59">
        <f>SUM(F608:H608)</f>
        <v>0</v>
      </c>
      <c r="J608" s="1"/>
      <c r="K608" s="1"/>
      <c r="L608" s="1"/>
      <c r="M608" s="59">
        <f>SUM(J608:L608)</f>
        <v>0</v>
      </c>
      <c r="N608" s="1"/>
      <c r="O608" s="1"/>
      <c r="P608" s="1"/>
      <c r="Q608" s="59">
        <f>SUM(N608:P608)</f>
        <v>0</v>
      </c>
      <c r="R608" s="59">
        <f>+E608+I608+M608+Q608</f>
        <v>0</v>
      </c>
      <c r="T608" s="4" t="s">
        <v>368</v>
      </c>
    </row>
    <row r="609" spans="1:18" ht="15.75" customHeight="1" x14ac:dyDescent="0.3">
      <c r="A609" s="74" t="s">
        <v>505</v>
      </c>
      <c r="B609" s="1"/>
      <c r="C609" s="1"/>
      <c r="D609" s="1"/>
      <c r="E609" s="59">
        <f t="shared" ref="E609" si="235">SUM(B609:D609)</f>
        <v>0</v>
      </c>
      <c r="F609" s="1"/>
      <c r="G609" s="1"/>
      <c r="H609" s="1"/>
      <c r="I609" s="59">
        <f t="shared" ref="I609" si="236">SUM(F609:H609)</f>
        <v>0</v>
      </c>
      <c r="J609" s="1"/>
      <c r="K609" s="1"/>
      <c r="L609" s="1"/>
      <c r="M609" s="59">
        <f t="shared" ref="M609" si="237">SUM(J609:L609)</f>
        <v>0</v>
      </c>
      <c r="N609" s="1"/>
      <c r="O609" s="1"/>
      <c r="P609" s="1"/>
      <c r="Q609" s="59">
        <f t="shared" ref="Q609" si="238">SUM(N609:P609)</f>
        <v>0</v>
      </c>
      <c r="R609" s="59">
        <f t="shared" ref="R609" si="239">+E609+I609+M609+Q609</f>
        <v>0</v>
      </c>
    </row>
    <row r="610" spans="1:18" ht="15.75" customHeight="1" thickBot="1" x14ac:dyDescent="0.35">
      <c r="A610" s="74" t="s">
        <v>506</v>
      </c>
      <c r="B610" s="1"/>
      <c r="C610" s="1"/>
      <c r="D610" s="1"/>
      <c r="E610" s="59">
        <f t="shared" si="230"/>
        <v>0</v>
      </c>
      <c r="F610" s="1"/>
      <c r="G610" s="1"/>
      <c r="H610" s="1"/>
      <c r="I610" s="59">
        <f t="shared" si="231"/>
        <v>0</v>
      </c>
      <c r="J610" s="1"/>
      <c r="K610" s="1"/>
      <c r="L610" s="1"/>
      <c r="M610" s="59">
        <f t="shared" si="232"/>
        <v>0</v>
      </c>
      <c r="N610" s="1"/>
      <c r="O610" s="1"/>
      <c r="P610" s="1"/>
      <c r="Q610" s="59">
        <f t="shared" si="233"/>
        <v>0</v>
      </c>
      <c r="R610" s="59">
        <f t="shared" si="234"/>
        <v>0</v>
      </c>
    </row>
    <row r="611" spans="1:18" ht="16.5" customHeight="1" thickBot="1" x14ac:dyDescent="0.35">
      <c r="A611" s="62" t="s">
        <v>68</v>
      </c>
      <c r="B611" s="63">
        <f>SUM(B604:B610)</f>
        <v>0</v>
      </c>
      <c r="C611" s="63">
        <f>SUM(C604:C610)</f>
        <v>0</v>
      </c>
      <c r="D611" s="63">
        <f>SUM(D604:D610)</f>
        <v>0</v>
      </c>
      <c r="E611" s="334">
        <f t="shared" si="230"/>
        <v>0</v>
      </c>
      <c r="F611" s="63">
        <f>SUM(F604:F610)</f>
        <v>0</v>
      </c>
      <c r="G611" s="63">
        <f>SUM(G604:G610)</f>
        <v>0</v>
      </c>
      <c r="H611" s="63">
        <f>SUM(H604:H610)</f>
        <v>0</v>
      </c>
      <c r="I611" s="334">
        <f t="shared" si="231"/>
        <v>0</v>
      </c>
      <c r="J611" s="63">
        <f>SUM(J604:J610)</f>
        <v>0</v>
      </c>
      <c r="K611" s="63">
        <f>SUM(K604:K610)</f>
        <v>0</v>
      </c>
      <c r="L611" s="63">
        <f>SUM(L604:L610)</f>
        <v>0</v>
      </c>
      <c r="M611" s="334">
        <f t="shared" si="232"/>
        <v>0</v>
      </c>
      <c r="N611" s="63">
        <f>SUM(N604:N610)</f>
        <v>0</v>
      </c>
      <c r="O611" s="63">
        <f>SUM(O604:O610)</f>
        <v>0</v>
      </c>
      <c r="P611" s="63">
        <f>SUM(P604:P610)</f>
        <v>0</v>
      </c>
      <c r="Q611" s="334">
        <f t="shared" si="233"/>
        <v>0</v>
      </c>
      <c r="R611" s="64">
        <f t="shared" si="234"/>
        <v>0</v>
      </c>
    </row>
    <row r="612" spans="1:18" ht="16.5" customHeight="1" thickBot="1" x14ac:dyDescent="0.35">
      <c r="A612" s="137" t="s">
        <v>69</v>
      </c>
      <c r="B612" s="100">
        <f>SUM(B601:B610)</f>
        <v>0</v>
      </c>
      <c r="C612" s="101">
        <f>SUM(C601:C610)</f>
        <v>0</v>
      </c>
      <c r="D612" s="138">
        <f>SUM(D601:D610)</f>
        <v>0</v>
      </c>
      <c r="E612" s="334">
        <f t="shared" si="230"/>
        <v>0</v>
      </c>
      <c r="F612" s="101">
        <f>SUM(F601:F610)</f>
        <v>0</v>
      </c>
      <c r="G612" s="101">
        <f>SUM(G601:G610)</f>
        <v>0</v>
      </c>
      <c r="H612" s="101">
        <f>SUM(H601:H610)</f>
        <v>0</v>
      </c>
      <c r="I612" s="334">
        <f t="shared" si="231"/>
        <v>0</v>
      </c>
      <c r="J612" s="101">
        <f>SUM(J601:J610)</f>
        <v>0</v>
      </c>
      <c r="K612" s="101">
        <f>SUM(K601:K610)</f>
        <v>0</v>
      </c>
      <c r="L612" s="101">
        <f>SUM(L601:L610)</f>
        <v>0</v>
      </c>
      <c r="M612" s="334">
        <f t="shared" si="232"/>
        <v>0</v>
      </c>
      <c r="N612" s="101">
        <f>SUM(N601:N610)</f>
        <v>0</v>
      </c>
      <c r="O612" s="101">
        <f>SUM(O601:O610)</f>
        <v>0</v>
      </c>
      <c r="P612" s="101">
        <f>SUM(P601:P610)</f>
        <v>0</v>
      </c>
      <c r="Q612" s="334">
        <f t="shared" si="233"/>
        <v>0</v>
      </c>
      <c r="R612" s="64">
        <f t="shared" si="234"/>
        <v>0</v>
      </c>
    </row>
    <row r="613" spans="1:18" ht="16.5" customHeight="1" thickBot="1" x14ac:dyDescent="0.35">
      <c r="A613" s="62" t="s">
        <v>70</v>
      </c>
      <c r="B613" s="107">
        <f>+B589+B595+B600+B612</f>
        <v>81</v>
      </c>
      <c r="C613" s="63">
        <f>+C589+C595+C600+C612</f>
        <v>83</v>
      </c>
      <c r="D613" s="63">
        <f>+D589+D595+D600+D612</f>
        <v>688</v>
      </c>
      <c r="E613" s="64">
        <f t="shared" si="230"/>
        <v>852</v>
      </c>
      <c r="F613" s="63">
        <f>+F589+F595+F600+F612</f>
        <v>6017</v>
      </c>
      <c r="G613" s="63">
        <f>+G589+G595+G600+G612</f>
        <v>4923</v>
      </c>
      <c r="H613" s="63">
        <f>+H589+H595+H600+H612</f>
        <v>5952</v>
      </c>
      <c r="I613" s="64">
        <f t="shared" si="231"/>
        <v>16892</v>
      </c>
      <c r="J613" s="63">
        <f>+J589+J595+J600+J612</f>
        <v>6109</v>
      </c>
      <c r="K613" s="63">
        <f>+K589+K595+K600+K612</f>
        <v>7043</v>
      </c>
      <c r="L613" s="63">
        <f>+L589+L595+L600+L612</f>
        <v>1895</v>
      </c>
      <c r="M613" s="64">
        <f t="shared" si="232"/>
        <v>15047</v>
      </c>
      <c r="N613" s="63">
        <f>+N589+N595+N600+N612</f>
        <v>667</v>
      </c>
      <c r="O613" s="63">
        <f>+O589+O595+O600+O612</f>
        <v>25</v>
      </c>
      <c r="P613" s="63">
        <f>+P589+P595+P600+P612</f>
        <v>63</v>
      </c>
      <c r="Q613" s="64">
        <f t="shared" si="233"/>
        <v>755</v>
      </c>
      <c r="R613" s="88">
        <f t="shared" si="234"/>
        <v>33546</v>
      </c>
    </row>
    <row r="614" spans="1:18" ht="16.5" customHeight="1" thickBot="1" x14ac:dyDescent="0.35">
      <c r="A614" s="40" t="s">
        <v>37</v>
      </c>
      <c r="B614" s="25">
        <v>23</v>
      </c>
      <c r="C614" s="25">
        <v>43</v>
      </c>
      <c r="D614" s="25">
        <v>66</v>
      </c>
      <c r="E614" s="88">
        <f t="shared" si="230"/>
        <v>132</v>
      </c>
      <c r="F614" s="25">
        <v>91</v>
      </c>
      <c r="G614" s="25">
        <v>108</v>
      </c>
      <c r="H614" s="25">
        <v>109</v>
      </c>
      <c r="I614" s="88">
        <f t="shared" si="231"/>
        <v>308</v>
      </c>
      <c r="J614" s="25">
        <v>104</v>
      </c>
      <c r="K614" s="25">
        <v>79</v>
      </c>
      <c r="L614" s="25">
        <v>80</v>
      </c>
      <c r="M614" s="88">
        <f t="shared" si="232"/>
        <v>263</v>
      </c>
      <c r="N614" s="25">
        <v>74</v>
      </c>
      <c r="O614" s="25">
        <v>58</v>
      </c>
      <c r="P614" s="25">
        <v>42</v>
      </c>
      <c r="Q614" s="88">
        <f t="shared" si="233"/>
        <v>174</v>
      </c>
      <c r="R614" s="59">
        <f t="shared" si="234"/>
        <v>877</v>
      </c>
    </row>
    <row r="615" spans="1:18" ht="16.5" customHeight="1" thickBot="1" x14ac:dyDescent="0.35">
      <c r="A615" s="42"/>
      <c r="B615" s="37"/>
      <c r="C615" s="37"/>
      <c r="D615" s="37"/>
      <c r="E615" s="43"/>
      <c r="F615" s="37"/>
      <c r="G615" s="37"/>
      <c r="H615" s="37"/>
      <c r="I615" s="147"/>
      <c r="J615" s="37"/>
      <c r="K615" s="37"/>
      <c r="L615" s="37"/>
      <c r="M615" s="147"/>
      <c r="N615" s="37"/>
      <c r="O615" s="37"/>
      <c r="P615" s="37"/>
      <c r="Q615" s="147"/>
      <c r="R615" s="43"/>
    </row>
    <row r="616" spans="1:18" ht="15.75" customHeight="1" x14ac:dyDescent="0.3">
      <c r="A616" s="17" t="s">
        <v>507</v>
      </c>
      <c r="B616" s="336">
        <f>SUM(B613:B614)</f>
        <v>104</v>
      </c>
      <c r="C616" s="336">
        <f>SUM(C613:C614)</f>
        <v>126</v>
      </c>
      <c r="D616" s="336">
        <f>SUM(D613:D614)</f>
        <v>754</v>
      </c>
      <c r="E616" s="334">
        <f>SUM(B616:D616)</f>
        <v>984</v>
      </c>
      <c r="F616" s="336">
        <f>SUM(F613:F614)</f>
        <v>6108</v>
      </c>
      <c r="G616" s="336">
        <f>SUM(G613:G614)</f>
        <v>5031</v>
      </c>
      <c r="H616" s="336">
        <f>SUM(H613:H614)</f>
        <v>6061</v>
      </c>
      <c r="I616" s="334">
        <f>SUM(F616:H616)</f>
        <v>17200</v>
      </c>
      <c r="J616" s="336">
        <f>SUM(J613:J614)</f>
        <v>6213</v>
      </c>
      <c r="K616" s="336">
        <f>SUM(K613:K614)</f>
        <v>7122</v>
      </c>
      <c r="L616" s="336">
        <f>SUM(L613:L614)</f>
        <v>1975</v>
      </c>
      <c r="M616" s="334">
        <f>SUM(J616:L616)</f>
        <v>15310</v>
      </c>
      <c r="N616" s="336">
        <f>SUM(N613:N614)</f>
        <v>741</v>
      </c>
      <c r="O616" s="336">
        <f>SUM(O613:O614)</f>
        <v>83</v>
      </c>
      <c r="P616" s="336">
        <f>SUM(P613:P614)</f>
        <v>105</v>
      </c>
      <c r="Q616" s="334">
        <f>SUM(N616:P616)</f>
        <v>929</v>
      </c>
      <c r="R616" s="334">
        <f>+E616+I616+M616+Q616</f>
        <v>34423</v>
      </c>
    </row>
    <row r="617" spans="1:18" ht="15.75" customHeight="1" x14ac:dyDescent="0.3">
      <c r="A617" s="17" t="s">
        <v>39</v>
      </c>
      <c r="B617" s="1">
        <f>(B616/B10)/1.983</f>
        <v>1.6917996518796869</v>
      </c>
      <c r="C617" s="1">
        <f>(C616/C10)/1.983</f>
        <v>2.1910376128123534</v>
      </c>
      <c r="D617" s="1">
        <f>(D616/D10)/1.983</f>
        <v>12.265547476127731</v>
      </c>
      <c r="E617" s="59" t="s">
        <v>7</v>
      </c>
      <c r="F617" s="1">
        <f>(F616/F10)/1.983</f>
        <v>102.672718103883</v>
      </c>
      <c r="G617" s="1">
        <f>(G616/G10)/1.983</f>
        <v>81.840808159679852</v>
      </c>
      <c r="H617" s="1">
        <f>(H616/H10)/1.983</f>
        <v>101.88266935619431</v>
      </c>
      <c r="I617" s="59" t="s">
        <v>7</v>
      </c>
      <c r="J617" s="1">
        <f>(J616/J10)/1.983</f>
        <v>101.0687618954663</v>
      </c>
      <c r="K617" s="1">
        <f>(K616/K10)/1.983</f>
        <v>115.85574154506857</v>
      </c>
      <c r="L617" s="1">
        <f>(L616/L10)/1.983</f>
        <v>33.198856950748024</v>
      </c>
      <c r="M617" s="59" t="s">
        <v>7</v>
      </c>
      <c r="N617" s="1">
        <f>(N616/N10)/1.983</f>
        <v>12.054072519642769</v>
      </c>
      <c r="O617" s="1">
        <f>(O616/O10)/1.983</f>
        <v>1.3951924693225752</v>
      </c>
      <c r="P617" s="1">
        <f>(P616/P10)/1.983</f>
        <v>1.708066956224684</v>
      </c>
      <c r="Q617" s="59" t="s">
        <v>7</v>
      </c>
      <c r="R617" s="59" t="s">
        <v>7</v>
      </c>
    </row>
    <row r="618" spans="1:18" ht="15.75" customHeight="1" x14ac:dyDescent="0.3">
      <c r="A618" s="17" t="s">
        <v>508</v>
      </c>
      <c r="B618" s="1">
        <f>B616+B684</f>
        <v>14129</v>
      </c>
      <c r="C618" s="1">
        <f>C616+C684</f>
        <v>22780</v>
      </c>
      <c r="D618" s="1">
        <f>D616+D684</f>
        <v>28275</v>
      </c>
      <c r="E618" s="59">
        <f>SUM(B618:D618)</f>
        <v>65184</v>
      </c>
      <c r="F618" s="1">
        <f>F616+F684</f>
        <v>37068</v>
      </c>
      <c r="G618" s="1">
        <f>G616+G684</f>
        <v>35318</v>
      </c>
      <c r="H618" s="1">
        <f>H616+H684</f>
        <v>32619</v>
      </c>
      <c r="I618" s="59">
        <f>SUM(F618:H618)</f>
        <v>105005</v>
      </c>
      <c r="J618" s="1">
        <f>J616+J684</f>
        <v>35819</v>
      </c>
      <c r="K618" s="1">
        <f>K616+K684</f>
        <v>34829</v>
      </c>
      <c r="L618" s="1">
        <f>L616+L684</f>
        <v>24963</v>
      </c>
      <c r="M618" s="59">
        <f>SUM(J618:L618)</f>
        <v>95611</v>
      </c>
      <c r="N618" s="1">
        <f>N616+N684</f>
        <v>14446</v>
      </c>
      <c r="O618" s="1">
        <f>O616+O684</f>
        <v>3509</v>
      </c>
      <c r="P618" s="1">
        <f>P616+P684</f>
        <v>10303</v>
      </c>
      <c r="Q618" s="59">
        <f>SUM(N618:P618)</f>
        <v>28258</v>
      </c>
      <c r="R618" s="59">
        <f>+E618+I618+M618+Q618</f>
        <v>294058</v>
      </c>
    </row>
    <row r="619" spans="1:18" ht="16.5" customHeight="1" thickBot="1" x14ac:dyDescent="0.35">
      <c r="A619" s="24" t="s">
        <v>509</v>
      </c>
      <c r="B619" s="87">
        <f>(B618/B10)/1.983</f>
        <v>229.84074309046247</v>
      </c>
      <c r="C619" s="87">
        <f>(C618/C10)/1.983</f>
        <v>396.12568904655086</v>
      </c>
      <c r="D619" s="87">
        <f>(D618/D10)/1.983</f>
        <v>459.95803035478991</v>
      </c>
      <c r="E619" s="88" t="s">
        <v>7</v>
      </c>
      <c r="F619" s="87">
        <f>(F618/F10)/1.983</f>
        <v>623.0963187090266</v>
      </c>
      <c r="G619" s="87">
        <f>(G618/G10)/1.983</f>
        <v>574.52865485660368</v>
      </c>
      <c r="H619" s="87">
        <f>(H618/H10)/1.983</f>
        <v>548.31064044377206</v>
      </c>
      <c r="I619" s="88" t="s">
        <v>7</v>
      </c>
      <c r="J619" s="87">
        <f>(J618/J10)/1.983</f>
        <v>582.67857433344716</v>
      </c>
      <c r="K619" s="87">
        <f>(K618/K10)/1.983</f>
        <v>566.57394303190017</v>
      </c>
      <c r="L619" s="87">
        <f>(L618/L10)/1.983</f>
        <v>419.61674230963189</v>
      </c>
      <c r="M619" s="88" t="s">
        <v>7</v>
      </c>
      <c r="N619" s="87">
        <f>(N618/N10)/1.983</f>
        <v>234.99747856782651</v>
      </c>
      <c r="O619" s="87">
        <f>(O618/O10)/1.983</f>
        <v>58.984703311480921</v>
      </c>
      <c r="P619" s="87">
        <f>(P618/P10)/1.983</f>
        <v>167.60203666650401</v>
      </c>
      <c r="Q619" s="88" t="s">
        <v>7</v>
      </c>
      <c r="R619" s="88" t="s">
        <v>7</v>
      </c>
    </row>
    <row r="620" spans="1:18" ht="15.75" customHeight="1" x14ac:dyDescent="0.3">
      <c r="A620" s="28"/>
      <c r="B620" s="1"/>
      <c r="C620" s="1"/>
      <c r="D620" s="1"/>
      <c r="E620" s="1"/>
      <c r="F620" s="1"/>
      <c r="G620" s="1"/>
      <c r="H620" s="1"/>
      <c r="I620" s="1"/>
      <c r="J620" s="1"/>
      <c r="K620" s="1"/>
      <c r="L620" s="1"/>
      <c r="M620" s="1"/>
      <c r="N620" s="1"/>
      <c r="O620" s="1"/>
      <c r="P620" s="1"/>
      <c r="Q620" s="1"/>
      <c r="R620" s="28"/>
    </row>
    <row r="621" spans="1:18" ht="15.75" customHeight="1" thickBot="1" x14ac:dyDescent="0.35">
      <c r="A621" s="28"/>
      <c r="B621" s="1"/>
      <c r="C621" s="1"/>
      <c r="D621" s="1"/>
      <c r="E621" s="1"/>
      <c r="F621" s="1"/>
      <c r="G621" s="1"/>
      <c r="H621" s="1"/>
      <c r="I621" s="1"/>
      <c r="J621" s="1"/>
      <c r="K621" s="1"/>
      <c r="L621" s="1"/>
      <c r="M621" s="1"/>
      <c r="N621" s="1"/>
      <c r="O621" s="1"/>
      <c r="P621" s="1"/>
      <c r="Q621" s="1"/>
      <c r="R621" s="28"/>
    </row>
    <row r="622" spans="1:18" ht="16.5" customHeight="1" thickBot="1" x14ac:dyDescent="0.35">
      <c r="A622" s="343" t="s">
        <v>510</v>
      </c>
      <c r="B622" s="323" t="s">
        <v>36</v>
      </c>
      <c r="C622" s="324" t="s">
        <v>9</v>
      </c>
      <c r="D622" s="324" t="s">
        <v>10</v>
      </c>
      <c r="E622" s="325" t="s">
        <v>11</v>
      </c>
      <c r="F622" s="324" t="s">
        <v>12</v>
      </c>
      <c r="G622" s="324" t="s">
        <v>13</v>
      </c>
      <c r="H622" s="324" t="s">
        <v>14</v>
      </c>
      <c r="I622" s="34" t="s">
        <v>15</v>
      </c>
      <c r="J622" s="324" t="s">
        <v>16</v>
      </c>
      <c r="K622" s="324" t="s">
        <v>17</v>
      </c>
      <c r="L622" s="324" t="s">
        <v>18</v>
      </c>
      <c r="M622" s="34" t="s">
        <v>19</v>
      </c>
      <c r="N622" s="324" t="s">
        <v>20</v>
      </c>
      <c r="O622" s="324" t="s">
        <v>21</v>
      </c>
      <c r="P622" s="324" t="s">
        <v>22</v>
      </c>
      <c r="Q622" s="34" t="s">
        <v>23</v>
      </c>
      <c r="R622" s="326" t="s">
        <v>24</v>
      </c>
    </row>
    <row r="623" spans="1:18" ht="16.5" customHeight="1" thickBot="1" x14ac:dyDescent="0.35">
      <c r="A623" s="64"/>
      <c r="B623" s="81"/>
      <c r="C623" s="81"/>
      <c r="D623" s="81"/>
      <c r="E623" s="72"/>
      <c r="F623" s="81"/>
      <c r="G623" s="81"/>
      <c r="H623" s="81"/>
      <c r="I623" s="89"/>
      <c r="J623" s="81"/>
      <c r="K623" s="81"/>
      <c r="L623" s="81"/>
      <c r="M623" s="89"/>
      <c r="N623" s="81"/>
      <c r="O623" s="81"/>
      <c r="P623" s="81"/>
      <c r="Q623" s="89"/>
      <c r="R623" s="117"/>
    </row>
    <row r="624" spans="1:18" ht="15.75" customHeight="1" x14ac:dyDescent="0.3">
      <c r="A624" s="17" t="s">
        <v>45</v>
      </c>
      <c r="B624" s="1"/>
      <c r="C624" s="1"/>
      <c r="D624" s="1"/>
      <c r="E624" s="59" t="s">
        <v>7</v>
      </c>
      <c r="F624" s="1"/>
      <c r="G624" s="1"/>
      <c r="H624" s="1"/>
      <c r="I624" s="59" t="s">
        <v>7</v>
      </c>
      <c r="J624" s="1" t="s">
        <v>7</v>
      </c>
      <c r="K624" s="1" t="s">
        <v>7</v>
      </c>
      <c r="L624" s="1" t="s">
        <v>7</v>
      </c>
      <c r="M624" s="59" t="s">
        <v>7</v>
      </c>
      <c r="N624" s="1" t="s">
        <v>7</v>
      </c>
      <c r="O624" s="1" t="s">
        <v>7</v>
      </c>
      <c r="P624" s="1" t="s">
        <v>7</v>
      </c>
      <c r="Q624" s="59" t="s">
        <v>7</v>
      </c>
      <c r="R624" s="59" t="s">
        <v>7</v>
      </c>
    </row>
    <row r="625" spans="1:20" ht="15.75" customHeight="1" x14ac:dyDescent="0.3">
      <c r="A625" s="17" t="s">
        <v>46</v>
      </c>
      <c r="B625" s="1"/>
      <c r="C625" s="1"/>
      <c r="D625" s="1"/>
      <c r="E625" s="59" t="s">
        <v>7</v>
      </c>
      <c r="F625" s="1"/>
      <c r="G625" s="1"/>
      <c r="H625" s="1"/>
      <c r="I625" s="59" t="s">
        <v>7</v>
      </c>
      <c r="J625" s="1"/>
      <c r="K625" s="1"/>
      <c r="L625" s="1"/>
      <c r="M625" s="59" t="s">
        <v>7</v>
      </c>
      <c r="N625" s="1"/>
      <c r="O625" s="1"/>
      <c r="P625" s="1"/>
      <c r="Q625" s="59" t="s">
        <v>7</v>
      </c>
      <c r="R625" s="59" t="s">
        <v>7</v>
      </c>
    </row>
    <row r="626" spans="1:20" ht="15.75" customHeight="1" x14ac:dyDescent="0.3">
      <c r="A626" s="74" t="s">
        <v>511</v>
      </c>
      <c r="B626" s="1"/>
      <c r="C626" s="1"/>
      <c r="D626" s="1"/>
      <c r="E626" s="59">
        <f t="shared" ref="E626" si="240">SUM(B626:D626)</f>
        <v>0</v>
      </c>
      <c r="F626" s="1"/>
      <c r="G626" s="1"/>
      <c r="H626" s="1"/>
      <c r="I626" s="59">
        <f t="shared" ref="I626" si="241">SUM(F626:H626)</f>
        <v>0</v>
      </c>
      <c r="J626" s="1"/>
      <c r="K626" s="1"/>
      <c r="L626" s="1">
        <v>500</v>
      </c>
      <c r="M626" s="59">
        <f t="shared" ref="M626" si="242">SUM(J626:L626)</f>
        <v>500</v>
      </c>
      <c r="N626" s="1">
        <v>498</v>
      </c>
      <c r="O626" s="1"/>
      <c r="P626" s="1"/>
      <c r="Q626" s="59">
        <f t="shared" ref="Q626:Q634" si="243">SUM(N626:P626)</f>
        <v>498</v>
      </c>
      <c r="R626" s="59">
        <f t="shared" ref="R626:R637" si="244">+E626+I626+M626+Q626</f>
        <v>998</v>
      </c>
    </row>
    <row r="627" spans="1:20" ht="15.75" customHeight="1" x14ac:dyDescent="0.3">
      <c r="A627" s="74" t="s">
        <v>512</v>
      </c>
      <c r="B627" s="1"/>
      <c r="C627" s="1"/>
      <c r="D627" s="1"/>
      <c r="E627" s="59">
        <f>SUM(B627:D627)</f>
        <v>0</v>
      </c>
      <c r="F627" s="1"/>
      <c r="G627" s="1"/>
      <c r="H627" s="1"/>
      <c r="I627" s="59">
        <f>SUM(F627:H627)</f>
        <v>0</v>
      </c>
      <c r="J627" s="1">
        <v>500</v>
      </c>
      <c r="K627" s="1"/>
      <c r="L627" s="1"/>
      <c r="M627" s="59">
        <f>SUM(J627:L627)</f>
        <v>500</v>
      </c>
      <c r="N627" s="1"/>
      <c r="O627" s="1"/>
      <c r="P627" s="1"/>
      <c r="Q627" s="59">
        <f>SUM(N627:P627)</f>
        <v>0</v>
      </c>
      <c r="R627" s="59">
        <f>+E627+I627+M627+Q627</f>
        <v>500</v>
      </c>
    </row>
    <row r="628" spans="1:20" ht="15.75" customHeight="1" x14ac:dyDescent="0.3">
      <c r="A628" s="74" t="s">
        <v>513</v>
      </c>
      <c r="B628" s="1"/>
      <c r="C628" s="1"/>
      <c r="D628" s="1">
        <v>424</v>
      </c>
      <c r="E628" s="59">
        <f t="shared" ref="E628" si="245">SUM(B628:D628)</f>
        <v>424</v>
      </c>
      <c r="F628" s="1">
        <v>1200</v>
      </c>
      <c r="G628" s="1">
        <v>658</v>
      </c>
      <c r="H628" s="1">
        <v>1754</v>
      </c>
      <c r="I628" s="59">
        <f t="shared" ref="I628" si="246">SUM(F628:H628)</f>
        <v>3612</v>
      </c>
      <c r="J628" s="1">
        <v>1212</v>
      </c>
      <c r="K628" s="1">
        <v>585</v>
      </c>
      <c r="L628" s="1">
        <v>617</v>
      </c>
      <c r="M628" s="59">
        <f t="shared" ref="M628" si="247">SUM(J628:L628)</f>
        <v>2414</v>
      </c>
      <c r="N628" s="1">
        <v>12</v>
      </c>
      <c r="O628" s="1"/>
      <c r="P628" s="1"/>
      <c r="Q628" s="59">
        <f t="shared" si="243"/>
        <v>12</v>
      </c>
      <c r="R628" s="59">
        <f t="shared" si="244"/>
        <v>6462</v>
      </c>
      <c r="T628" s="4" t="s">
        <v>514</v>
      </c>
    </row>
    <row r="629" spans="1:20" ht="15.75" customHeight="1" x14ac:dyDescent="0.3">
      <c r="A629" s="74" t="s">
        <v>515</v>
      </c>
      <c r="B629" s="1"/>
      <c r="C629" s="1"/>
      <c r="D629" s="1"/>
      <c r="E629" s="59">
        <f>SUM(B629:D629)</f>
        <v>0</v>
      </c>
      <c r="F629" s="1"/>
      <c r="G629" s="1"/>
      <c r="H629" s="1"/>
      <c r="I629" s="59">
        <f>SUM(F629:H629)</f>
        <v>0</v>
      </c>
      <c r="J629" s="1"/>
      <c r="K629" s="1"/>
      <c r="L629" s="1"/>
      <c r="M629" s="59">
        <f>SUM(J629:L629)</f>
        <v>0</v>
      </c>
      <c r="N629" s="1"/>
      <c r="O629" s="1"/>
      <c r="P629" s="1"/>
      <c r="Q629" s="59">
        <f>SUM(N629:P629)</f>
        <v>0</v>
      </c>
      <c r="R629" s="59">
        <f>+E629+I629+M629+Q629</f>
        <v>0</v>
      </c>
      <c r="T629" s="4" t="s">
        <v>516</v>
      </c>
    </row>
    <row r="630" spans="1:20" ht="15.75" customHeight="1" x14ac:dyDescent="0.3">
      <c r="A630" s="74" t="s">
        <v>517</v>
      </c>
      <c r="B630" s="1">
        <v>300</v>
      </c>
      <c r="C630" s="1">
        <v>300</v>
      </c>
      <c r="D630" s="1">
        <v>300</v>
      </c>
      <c r="E630" s="59">
        <f t="shared" ref="E630" si="248">SUM(B630:D630)</f>
        <v>900</v>
      </c>
      <c r="F630" s="1">
        <v>300</v>
      </c>
      <c r="G630" s="1">
        <v>300</v>
      </c>
      <c r="H630" s="1">
        <v>159</v>
      </c>
      <c r="I630" s="59">
        <f t="shared" ref="I630" si="249">SUM(F630:H630)</f>
        <v>759</v>
      </c>
      <c r="J630" s="1">
        <v>300</v>
      </c>
      <c r="K630" s="1">
        <v>396</v>
      </c>
      <c r="L630" s="1">
        <v>300</v>
      </c>
      <c r="M630" s="59">
        <f t="shared" ref="M630" si="250">SUM(J630:L630)</f>
        <v>996</v>
      </c>
      <c r="N630" s="1">
        <v>300</v>
      </c>
      <c r="O630" s="1">
        <v>350</v>
      </c>
      <c r="P630" s="1"/>
      <c r="Q630" s="59">
        <f t="shared" si="243"/>
        <v>650</v>
      </c>
      <c r="R630" s="59">
        <f t="shared" si="244"/>
        <v>3305</v>
      </c>
      <c r="T630" s="4" t="s">
        <v>516</v>
      </c>
    </row>
    <row r="631" spans="1:20" ht="15.75" customHeight="1" x14ac:dyDescent="0.3">
      <c r="A631" s="74" t="s">
        <v>518</v>
      </c>
      <c r="B631" s="1">
        <v>483</v>
      </c>
      <c r="C631" s="1">
        <v>795</v>
      </c>
      <c r="D631" s="1">
        <v>693</v>
      </c>
      <c r="E631" s="59">
        <f>SUM(B631:D631)</f>
        <v>1971</v>
      </c>
      <c r="F631" s="1">
        <f>404+240</f>
        <v>644</v>
      </c>
      <c r="G631" s="1">
        <v>691</v>
      </c>
      <c r="H631" s="1">
        <v>121</v>
      </c>
      <c r="I631" s="59">
        <f>SUM(F631:H631)</f>
        <v>1456</v>
      </c>
      <c r="J631" s="1">
        <v>73</v>
      </c>
      <c r="K631" s="1"/>
      <c r="L631" s="1"/>
      <c r="M631" s="59">
        <f>SUM(J631:L631)</f>
        <v>73</v>
      </c>
      <c r="N631" s="1"/>
      <c r="O631" s="1"/>
      <c r="P631" s="1"/>
      <c r="Q631" s="59">
        <f>SUM(N631:P631)</f>
        <v>0</v>
      </c>
      <c r="R631" s="59">
        <f t="shared" si="244"/>
        <v>3500</v>
      </c>
    </row>
    <row r="632" spans="1:20" ht="15.75" customHeight="1" x14ac:dyDescent="0.3">
      <c r="A632" s="74" t="s">
        <v>519</v>
      </c>
      <c r="B632" s="1"/>
      <c r="C632" s="1"/>
      <c r="D632" s="1"/>
      <c r="E632" s="59">
        <f t="shared" ref="E632:E637" si="251">SUM(B632:D632)</f>
        <v>0</v>
      </c>
      <c r="F632" s="1"/>
      <c r="G632" s="1"/>
      <c r="H632" s="1"/>
      <c r="I632" s="59">
        <f t="shared" ref="I632:I637" si="252">SUM(F632:H632)</f>
        <v>0</v>
      </c>
      <c r="J632" s="1">
        <v>2800</v>
      </c>
      <c r="K632" s="1"/>
      <c r="L632" s="1"/>
      <c r="M632" s="59">
        <f t="shared" ref="M632:M637" si="253">SUM(J632:L632)</f>
        <v>2800</v>
      </c>
      <c r="N632" s="1"/>
      <c r="O632" s="1"/>
      <c r="P632" s="1"/>
      <c r="Q632" s="59">
        <f t="shared" si="243"/>
        <v>0</v>
      </c>
      <c r="R632" s="59">
        <f t="shared" si="244"/>
        <v>2800</v>
      </c>
      <c r="T632" s="4" t="s">
        <v>516</v>
      </c>
    </row>
    <row r="633" spans="1:20" ht="15.75" customHeight="1" x14ac:dyDescent="0.3">
      <c r="A633" s="74" t="s">
        <v>520</v>
      </c>
      <c r="B633" s="1"/>
      <c r="C633" s="1"/>
      <c r="D633" s="1">
        <v>300</v>
      </c>
      <c r="E633" s="59">
        <f t="shared" si="251"/>
        <v>300</v>
      </c>
      <c r="F633" s="1">
        <v>436</v>
      </c>
      <c r="G633" s="1">
        <v>400</v>
      </c>
      <c r="H633" s="1"/>
      <c r="I633" s="59">
        <f t="shared" si="252"/>
        <v>836</v>
      </c>
      <c r="J633" s="1">
        <v>400</v>
      </c>
      <c r="K633" s="1">
        <v>300</v>
      </c>
      <c r="L633" s="1"/>
      <c r="M633" s="59">
        <f t="shared" si="253"/>
        <v>700</v>
      </c>
      <c r="N633" s="1"/>
      <c r="O633" s="1"/>
      <c r="P633" s="1"/>
      <c r="Q633" s="59">
        <f>SUM(N633:P633)</f>
        <v>0</v>
      </c>
      <c r="R633" s="59">
        <f>+E633+I633+M633+Q633</f>
        <v>1836</v>
      </c>
    </row>
    <row r="634" spans="1:20" ht="15.75" customHeight="1" x14ac:dyDescent="0.3">
      <c r="A634" s="74" t="s">
        <v>521</v>
      </c>
      <c r="B634" s="1"/>
      <c r="C634" s="1"/>
      <c r="D634" s="1"/>
      <c r="E634" s="59">
        <f t="shared" si="251"/>
        <v>0</v>
      </c>
      <c r="F634" s="1"/>
      <c r="G634" s="1"/>
      <c r="H634" s="1"/>
      <c r="I634" s="59">
        <f t="shared" si="252"/>
        <v>0</v>
      </c>
      <c r="J634" s="1"/>
      <c r="K634" s="1"/>
      <c r="L634" s="1"/>
      <c r="M634" s="59">
        <f t="shared" si="253"/>
        <v>0</v>
      </c>
      <c r="N634" s="1"/>
      <c r="O634" s="1"/>
      <c r="P634" s="1">
        <v>500</v>
      </c>
      <c r="Q634" s="59">
        <f t="shared" si="243"/>
        <v>500</v>
      </c>
      <c r="R634" s="59">
        <f t="shared" si="244"/>
        <v>500</v>
      </c>
      <c r="T634" s="4" t="s">
        <v>516</v>
      </c>
    </row>
    <row r="635" spans="1:20" ht="15.75" customHeight="1" x14ac:dyDescent="0.3">
      <c r="A635" s="74" t="s">
        <v>522</v>
      </c>
      <c r="B635" s="1">
        <v>7</v>
      </c>
      <c r="C635" s="1">
        <v>329</v>
      </c>
      <c r="D635" s="1">
        <v>314</v>
      </c>
      <c r="E635" s="59">
        <f t="shared" si="251"/>
        <v>650</v>
      </c>
      <c r="F635" s="1">
        <v>650</v>
      </c>
      <c r="G635" s="1">
        <v>700</v>
      </c>
      <c r="H635" s="1">
        <v>340</v>
      </c>
      <c r="I635" s="59">
        <f t="shared" si="252"/>
        <v>1690</v>
      </c>
      <c r="J635" s="1">
        <v>447</v>
      </c>
      <c r="K635" s="1"/>
      <c r="L635" s="1"/>
      <c r="M635" s="59">
        <f t="shared" si="253"/>
        <v>447</v>
      </c>
      <c r="N635" s="1"/>
      <c r="O635" s="1"/>
      <c r="P635" s="1"/>
      <c r="Q635" s="59">
        <f t="shared" ref="Q635" si="254">SUM(N635:P635)</f>
        <v>0</v>
      </c>
      <c r="R635" s="59">
        <f t="shared" si="244"/>
        <v>2787</v>
      </c>
    </row>
    <row r="636" spans="1:20" ht="15.75" customHeight="1" x14ac:dyDescent="0.3">
      <c r="A636" s="74" t="s">
        <v>1003</v>
      </c>
      <c r="B636" s="1"/>
      <c r="C636" s="1"/>
      <c r="D636" s="1"/>
      <c r="E636" s="59">
        <f t="shared" si="251"/>
        <v>0</v>
      </c>
      <c r="F636" s="1">
        <v>192</v>
      </c>
      <c r="G636" s="1">
        <v>172</v>
      </c>
      <c r="H636" s="1">
        <v>185</v>
      </c>
      <c r="I636" s="59">
        <f t="shared" si="252"/>
        <v>549</v>
      </c>
      <c r="J636" s="1">
        <v>369</v>
      </c>
      <c r="K636" s="1">
        <v>582</v>
      </c>
      <c r="L636" s="1">
        <v>213</v>
      </c>
      <c r="M636" s="59">
        <f t="shared" si="253"/>
        <v>1164</v>
      </c>
      <c r="N636" s="1">
        <v>62</v>
      </c>
      <c r="O636" s="1"/>
      <c r="P636" s="1"/>
      <c r="Q636" s="59">
        <f t="shared" ref="Q636:Q637" si="255">SUM(N636:P636)</f>
        <v>62</v>
      </c>
      <c r="R636" s="59">
        <f t="shared" si="244"/>
        <v>1775</v>
      </c>
    </row>
    <row r="637" spans="1:20" ht="15.75" customHeight="1" x14ac:dyDescent="0.3">
      <c r="A637" s="74" t="s">
        <v>523</v>
      </c>
      <c r="B637" s="1"/>
      <c r="C637" s="1"/>
      <c r="D637" s="1"/>
      <c r="E637" s="59">
        <f t="shared" si="251"/>
        <v>0</v>
      </c>
      <c r="F637" s="1"/>
      <c r="G637" s="1"/>
      <c r="H637" s="1">
        <v>500</v>
      </c>
      <c r="I637" s="59">
        <f t="shared" si="252"/>
        <v>500</v>
      </c>
      <c r="J637" s="1"/>
      <c r="K637" s="1">
        <v>1500</v>
      </c>
      <c r="L637" s="1"/>
      <c r="M637" s="59">
        <f t="shared" si="253"/>
        <v>1500</v>
      </c>
      <c r="N637" s="1"/>
      <c r="O637" s="1"/>
      <c r="P637" s="1"/>
      <c r="Q637" s="59">
        <f t="shared" si="255"/>
        <v>0</v>
      </c>
      <c r="R637" s="59">
        <f t="shared" si="244"/>
        <v>2000</v>
      </c>
    </row>
    <row r="638" spans="1:20" ht="15.75" customHeight="1" x14ac:dyDescent="0.3">
      <c r="A638" s="74" t="s">
        <v>524</v>
      </c>
      <c r="B638" s="1">
        <v>3655</v>
      </c>
      <c r="C638" s="1">
        <v>2515</v>
      </c>
      <c r="D638" s="1">
        <v>3837</v>
      </c>
      <c r="E638" s="59">
        <f>SUM(B638:D638)</f>
        <v>10007</v>
      </c>
      <c r="F638" s="1">
        <v>3493</v>
      </c>
      <c r="G638" s="1">
        <v>3561</v>
      </c>
      <c r="H638" s="1"/>
      <c r="I638" s="59">
        <f>SUM(F638:H638)</f>
        <v>7054</v>
      </c>
      <c r="J638" s="1">
        <v>643</v>
      </c>
      <c r="K638" s="1">
        <v>3296</v>
      </c>
      <c r="L638" s="1"/>
      <c r="M638" s="59">
        <f>SUM(J638:L638)</f>
        <v>3939</v>
      </c>
      <c r="N638" s="1"/>
      <c r="O638" s="1"/>
      <c r="P638" s="1"/>
      <c r="Q638" s="59">
        <f>SUM(N638:P638)</f>
        <v>0</v>
      </c>
      <c r="R638" s="59">
        <f>+E638+I638+M638+Q638</f>
        <v>21000</v>
      </c>
      <c r="T638" s="4" t="s">
        <v>514</v>
      </c>
    </row>
    <row r="639" spans="1:20" ht="15.75" customHeight="1" x14ac:dyDescent="0.3">
      <c r="A639" s="17" t="s">
        <v>47</v>
      </c>
      <c r="B639" s="1"/>
      <c r="C639" s="1"/>
      <c r="D639" s="1"/>
      <c r="E639" s="59" t="s">
        <v>7</v>
      </c>
      <c r="F639" s="1"/>
      <c r="G639" s="1"/>
      <c r="H639" s="1"/>
      <c r="I639" s="59" t="s">
        <v>7</v>
      </c>
      <c r="J639" s="1"/>
      <c r="K639" s="1"/>
      <c r="L639" s="1"/>
      <c r="M639" s="59" t="s">
        <v>7</v>
      </c>
      <c r="N639" s="1"/>
      <c r="O639" s="1"/>
      <c r="P639" s="1"/>
      <c r="Q639" s="59" t="s">
        <v>7</v>
      </c>
      <c r="R639" s="59" t="s">
        <v>7</v>
      </c>
    </row>
    <row r="640" spans="1:20" ht="15.75" customHeight="1" x14ac:dyDescent="0.3">
      <c r="A640" s="74" t="s">
        <v>521</v>
      </c>
      <c r="B640" s="1"/>
      <c r="C640" s="1"/>
      <c r="D640" s="1"/>
      <c r="E640" s="59">
        <f>SUM(B640:D640)</f>
        <v>0</v>
      </c>
      <c r="F640" s="1"/>
      <c r="G640" s="1"/>
      <c r="H640" s="1"/>
      <c r="I640" s="59">
        <f>SUM(F640:H640)</f>
        <v>0</v>
      </c>
      <c r="J640" s="1"/>
      <c r="K640" s="1"/>
      <c r="L640" s="1"/>
      <c r="M640" s="59">
        <f>SUM(J640:L640)</f>
        <v>0</v>
      </c>
      <c r="N640" s="1"/>
      <c r="O640" s="1"/>
      <c r="P640" s="1"/>
      <c r="Q640" s="59">
        <f>SUM(N640:P640)</f>
        <v>0</v>
      </c>
      <c r="R640" s="59">
        <f>+E640+I640+M640+Q640</f>
        <v>0</v>
      </c>
      <c r="T640" s="4" t="s">
        <v>516</v>
      </c>
    </row>
    <row r="641" spans="1:20" ht="15.75" customHeight="1" x14ac:dyDescent="0.3">
      <c r="A641" s="17" t="s">
        <v>49</v>
      </c>
      <c r="B641" s="1"/>
      <c r="C641" s="1"/>
      <c r="D641" s="1"/>
      <c r="E641" s="59" t="s">
        <v>7</v>
      </c>
      <c r="F641" s="1"/>
      <c r="G641" s="1"/>
      <c r="H641" s="1"/>
      <c r="I641" s="59" t="s">
        <v>7</v>
      </c>
      <c r="J641" s="1"/>
      <c r="K641" s="1"/>
      <c r="L641" s="1"/>
      <c r="M641" s="59" t="s">
        <v>7</v>
      </c>
      <c r="N641" s="1"/>
      <c r="O641" s="1"/>
      <c r="P641" s="1"/>
      <c r="Q641" s="59" t="s">
        <v>7</v>
      </c>
      <c r="R641" s="59" t="s">
        <v>7</v>
      </c>
    </row>
    <row r="642" spans="1:20" ht="15.75" customHeight="1" x14ac:dyDescent="0.3">
      <c r="A642" s="74" t="s">
        <v>525</v>
      </c>
      <c r="B642" s="1"/>
      <c r="C642" s="1"/>
      <c r="D642" s="1"/>
      <c r="E642" s="59">
        <f>SUM(B642:D642)</f>
        <v>0</v>
      </c>
      <c r="F642" s="1"/>
      <c r="G642" s="1"/>
      <c r="H642" s="1"/>
      <c r="I642" s="59">
        <f>SUM(F642:H642)</f>
        <v>0</v>
      </c>
      <c r="J642" s="1"/>
      <c r="K642" s="1"/>
      <c r="L642" s="1"/>
      <c r="M642" s="59">
        <f>SUM(J642:L642)</f>
        <v>0</v>
      </c>
      <c r="N642" s="1"/>
      <c r="O642" s="1"/>
      <c r="P642" s="1"/>
      <c r="Q642" s="59">
        <f>SUM(N642:P642)</f>
        <v>0</v>
      </c>
      <c r="R642" s="59">
        <f>+E642+I642+M642+Q642</f>
        <v>0</v>
      </c>
      <c r="S642" s="77" t="s">
        <v>90</v>
      </c>
      <c r="T642" s="4" t="s">
        <v>516</v>
      </c>
    </row>
    <row r="643" spans="1:20" ht="15.75" customHeight="1" thickBot="1" x14ac:dyDescent="0.35">
      <c r="A643" s="17" t="s">
        <v>51</v>
      </c>
      <c r="B643" s="1"/>
      <c r="C643" s="1"/>
      <c r="D643" s="1"/>
      <c r="E643" s="59" t="s">
        <v>7</v>
      </c>
      <c r="F643" s="1"/>
      <c r="G643" s="1"/>
      <c r="H643" s="1"/>
      <c r="I643" s="59" t="s">
        <v>7</v>
      </c>
      <c r="J643" s="1"/>
      <c r="K643" s="1"/>
      <c r="L643" s="1"/>
      <c r="M643" s="59" t="s">
        <v>7</v>
      </c>
      <c r="N643" s="1"/>
      <c r="O643" s="1"/>
      <c r="P643" s="1"/>
      <c r="Q643" s="59" t="s">
        <v>7</v>
      </c>
      <c r="R643" s="59" t="s">
        <v>7</v>
      </c>
    </row>
    <row r="644" spans="1:20" ht="16.5" customHeight="1" thickBot="1" x14ac:dyDescent="0.35">
      <c r="A644" s="126" t="s">
        <v>52</v>
      </c>
      <c r="B644" s="100">
        <f>SUM(B624:B643)</f>
        <v>4445</v>
      </c>
      <c r="C644" s="101">
        <f>SUM(C624:C643)</f>
        <v>3939</v>
      </c>
      <c r="D644" s="101">
        <f>SUM(D624:D643)</f>
        <v>5868</v>
      </c>
      <c r="E644" s="64">
        <f>SUM(B644:D644)</f>
        <v>14252</v>
      </c>
      <c r="F644" s="101">
        <f>SUM(F624:F643)</f>
        <v>6915</v>
      </c>
      <c r="G644" s="101">
        <f>SUM(G624:G643)</f>
        <v>6482</v>
      </c>
      <c r="H644" s="101">
        <f>SUM(H624:H643)</f>
        <v>3059</v>
      </c>
      <c r="I644" s="64">
        <f>SUM(F644:H644)</f>
        <v>16456</v>
      </c>
      <c r="J644" s="101">
        <f>SUM(J624:J643)</f>
        <v>6744</v>
      </c>
      <c r="K644" s="101">
        <f>SUM(K624:K643)</f>
        <v>6659</v>
      </c>
      <c r="L644" s="101">
        <f>SUM(L624:L643)</f>
        <v>1630</v>
      </c>
      <c r="M644" s="64">
        <f>SUM(J644:L644)</f>
        <v>15033</v>
      </c>
      <c r="N644" s="101">
        <f>SUM(N624:N643)</f>
        <v>872</v>
      </c>
      <c r="O644" s="101">
        <f>SUM(O624:O643)</f>
        <v>350</v>
      </c>
      <c r="P644" s="101">
        <f>SUM(P624:P643)</f>
        <v>500</v>
      </c>
      <c r="Q644" s="64">
        <f>SUM(N644:P644)</f>
        <v>1722</v>
      </c>
      <c r="R644" s="64">
        <f>+E644+I644+M644+Q644</f>
        <v>47463</v>
      </c>
    </row>
    <row r="645" spans="1:20" ht="15.75" customHeight="1" x14ac:dyDescent="0.3">
      <c r="A645" s="17" t="s">
        <v>53</v>
      </c>
      <c r="B645" s="1"/>
      <c r="C645" s="1"/>
      <c r="D645" s="1"/>
      <c r="E645" s="59" t="s">
        <v>7</v>
      </c>
      <c r="F645" s="1"/>
      <c r="G645" s="1"/>
      <c r="H645" s="1"/>
      <c r="I645" s="59" t="s">
        <v>7</v>
      </c>
      <c r="J645" s="1"/>
      <c r="K645" s="1"/>
      <c r="L645" s="1"/>
      <c r="M645" s="59" t="s">
        <v>7</v>
      </c>
      <c r="N645" s="1"/>
      <c r="O645" s="1"/>
      <c r="P645" s="1"/>
      <c r="Q645" s="59" t="s">
        <v>7</v>
      </c>
      <c r="R645" s="59" t="s">
        <v>7</v>
      </c>
    </row>
    <row r="646" spans="1:20" ht="15.75" customHeight="1" x14ac:dyDescent="0.3">
      <c r="A646" s="17" t="s">
        <v>55</v>
      </c>
      <c r="B646" s="1"/>
      <c r="C646" s="1"/>
      <c r="D646" s="1"/>
      <c r="E646" s="59" t="s">
        <v>7</v>
      </c>
      <c r="F646" s="1"/>
      <c r="G646" s="1"/>
      <c r="H646" s="1"/>
      <c r="I646" s="59" t="s">
        <v>7</v>
      </c>
      <c r="J646" s="1"/>
      <c r="K646" s="1"/>
      <c r="L646" s="1"/>
      <c r="M646" s="59" t="s">
        <v>7</v>
      </c>
      <c r="N646" s="1"/>
      <c r="O646" s="1"/>
      <c r="P646" s="1"/>
      <c r="Q646" s="59" t="s">
        <v>7</v>
      </c>
      <c r="R646" s="59" t="s">
        <v>7</v>
      </c>
    </row>
    <row r="647" spans="1:20" ht="15.75" customHeight="1" x14ac:dyDescent="0.3">
      <c r="A647" s="74" t="s">
        <v>526</v>
      </c>
      <c r="B647" s="1"/>
      <c r="C647" s="1"/>
      <c r="D647" s="1"/>
      <c r="E647" s="59">
        <f>SUM(B647:D647)</f>
        <v>0</v>
      </c>
      <c r="F647" s="1"/>
      <c r="G647" s="1"/>
      <c r="H647" s="1"/>
      <c r="I647" s="59">
        <f>SUM(F647:H647)</f>
        <v>0</v>
      </c>
      <c r="J647" s="1"/>
      <c r="K647" s="1"/>
      <c r="L647" s="1"/>
      <c r="M647" s="59">
        <f>SUM(J647:L647)</f>
        <v>0</v>
      </c>
      <c r="N647" s="1"/>
      <c r="O647" s="1"/>
      <c r="P647" s="1"/>
      <c r="Q647" s="59">
        <f>SUM(N647:P647)</f>
        <v>0</v>
      </c>
      <c r="R647" s="59">
        <f>+E647+I647+M647+Q647</f>
        <v>0</v>
      </c>
    </row>
    <row r="648" spans="1:20" ht="15.75" customHeight="1" x14ac:dyDescent="0.3">
      <c r="A648" s="74" t="s">
        <v>527</v>
      </c>
      <c r="B648" s="1"/>
      <c r="C648" s="1"/>
      <c r="D648" s="1"/>
      <c r="E648" s="59">
        <f>SUM(B648:D648)</f>
        <v>0</v>
      </c>
      <c r="F648" s="1"/>
      <c r="G648" s="1"/>
      <c r="H648" s="1"/>
      <c r="I648" s="59">
        <f>SUM(F648:H648)</f>
        <v>0</v>
      </c>
      <c r="J648" s="1"/>
      <c r="K648" s="1"/>
      <c r="L648" s="1"/>
      <c r="M648" s="59">
        <f>SUM(J648:L648)</f>
        <v>0</v>
      </c>
      <c r="N648" s="1"/>
      <c r="O648" s="1"/>
      <c r="P648" s="1"/>
      <c r="Q648" s="59">
        <f>SUM(N648:P648)</f>
        <v>0</v>
      </c>
      <c r="R648" s="59">
        <f>+E648+I648+M648+Q648</f>
        <v>0</v>
      </c>
    </row>
    <row r="649" spans="1:20" ht="15.75" customHeight="1" thickBot="1" x14ac:dyDescent="0.35">
      <c r="A649" s="17" t="s">
        <v>56</v>
      </c>
      <c r="B649" s="1"/>
      <c r="C649" s="1"/>
      <c r="D649" s="1"/>
      <c r="E649" s="59" t="s">
        <v>7</v>
      </c>
      <c r="F649" s="1"/>
      <c r="G649" s="1"/>
      <c r="H649" s="1"/>
      <c r="I649" s="59" t="s">
        <v>7</v>
      </c>
      <c r="J649" s="1"/>
      <c r="K649" s="1"/>
      <c r="L649" s="1"/>
      <c r="M649" s="59" t="s">
        <v>7</v>
      </c>
      <c r="N649" s="1"/>
      <c r="O649" s="1"/>
      <c r="P649" s="1"/>
      <c r="Q649" s="59" t="s">
        <v>7</v>
      </c>
      <c r="R649" s="59" t="s">
        <v>7</v>
      </c>
    </row>
    <row r="650" spans="1:20" ht="16.5" customHeight="1" thickBot="1" x14ac:dyDescent="0.35">
      <c r="A650" s="62" t="s">
        <v>57</v>
      </c>
      <c r="B650" s="100">
        <f>SUM(B645:B649)</f>
        <v>0</v>
      </c>
      <c r="C650" s="101">
        <f>SUM(C645:C649)</f>
        <v>0</v>
      </c>
      <c r="D650" s="101">
        <f>SUM(D645:D649)</f>
        <v>0</v>
      </c>
      <c r="E650" s="64">
        <f>SUM(B650:D650)</f>
        <v>0</v>
      </c>
      <c r="F650" s="101">
        <f>SUM(F645:F649)</f>
        <v>0</v>
      </c>
      <c r="G650" s="101">
        <f>SUM(G645:G649)</f>
        <v>0</v>
      </c>
      <c r="H650" s="101">
        <f>SUM(H645:H649)</f>
        <v>0</v>
      </c>
      <c r="I650" s="64">
        <f>SUM(F650:H650)</f>
        <v>0</v>
      </c>
      <c r="J650" s="101">
        <f>SUM(J645:J649)</f>
        <v>0</v>
      </c>
      <c r="K650" s="101">
        <f>SUM(K645:K649)</f>
        <v>0</v>
      </c>
      <c r="L650" s="101">
        <f>SUM(L645:L649)</f>
        <v>0</v>
      </c>
      <c r="M650" s="64">
        <f>SUM(J650:L650)</f>
        <v>0</v>
      </c>
      <c r="N650" s="101">
        <f>SUM(N645:N649)</f>
        <v>0</v>
      </c>
      <c r="O650" s="101">
        <f>SUM(O645:O649)</f>
        <v>0</v>
      </c>
      <c r="P650" s="101">
        <f>SUM(P645:P649)</f>
        <v>0</v>
      </c>
      <c r="Q650" s="64">
        <f>SUM(N650:P650)</f>
        <v>0</v>
      </c>
      <c r="R650" s="64">
        <f>+E650+I650+M650+Q650</f>
        <v>0</v>
      </c>
    </row>
    <row r="651" spans="1:20" ht="15.75" customHeight="1" x14ac:dyDescent="0.3">
      <c r="A651" s="17" t="s">
        <v>58</v>
      </c>
      <c r="B651" s="1"/>
      <c r="C651" s="1"/>
      <c r="D651" s="1"/>
      <c r="E651" s="59" t="s">
        <v>7</v>
      </c>
      <c r="F651" s="1"/>
      <c r="G651" s="1"/>
      <c r="H651" s="1"/>
      <c r="I651" s="59" t="s">
        <v>7</v>
      </c>
      <c r="J651" s="1"/>
      <c r="K651" s="1"/>
      <c r="L651" s="1"/>
      <c r="M651" s="59" t="s">
        <v>7</v>
      </c>
      <c r="N651" s="1"/>
      <c r="O651" s="1"/>
      <c r="P651" s="1"/>
      <c r="Q651" s="59" t="s">
        <v>7</v>
      </c>
      <c r="R651" s="59" t="s">
        <v>7</v>
      </c>
    </row>
    <row r="652" spans="1:20" ht="15.75" customHeight="1" x14ac:dyDescent="0.3">
      <c r="A652" s="17" t="s">
        <v>59</v>
      </c>
      <c r="B652" s="1"/>
      <c r="C652" s="1"/>
      <c r="D652" s="1"/>
      <c r="E652" s="59" t="s">
        <v>7</v>
      </c>
      <c r="F652" s="1"/>
      <c r="G652" s="1"/>
      <c r="H652" s="1"/>
      <c r="I652" s="59" t="s">
        <v>7</v>
      </c>
      <c r="J652" s="1"/>
      <c r="K652" s="1"/>
      <c r="L652" s="1"/>
      <c r="M652" s="59" t="s">
        <v>7</v>
      </c>
      <c r="N652" s="1"/>
      <c r="O652" s="1"/>
      <c r="P652" s="1"/>
      <c r="Q652" s="59" t="s">
        <v>7</v>
      </c>
      <c r="R652" s="59" t="s">
        <v>7</v>
      </c>
    </row>
    <row r="653" spans="1:20" ht="15.75" customHeight="1" x14ac:dyDescent="0.3">
      <c r="A653" s="17" t="s">
        <v>60</v>
      </c>
      <c r="B653" s="1"/>
      <c r="C653" s="1"/>
      <c r="D653" s="1"/>
      <c r="E653" s="59" t="s">
        <v>7</v>
      </c>
      <c r="F653" s="1"/>
      <c r="G653" s="1"/>
      <c r="H653" s="1"/>
      <c r="I653" s="59" t="s">
        <v>7</v>
      </c>
      <c r="J653" s="1"/>
      <c r="K653" s="1"/>
      <c r="L653" s="1"/>
      <c r="M653" s="59" t="s">
        <v>7</v>
      </c>
      <c r="N653" s="1"/>
      <c r="O653" s="1"/>
      <c r="P653" s="1"/>
      <c r="Q653" s="59" t="s">
        <v>7</v>
      </c>
      <c r="R653" s="59" t="s">
        <v>7</v>
      </c>
    </row>
    <row r="654" spans="1:20" ht="15.75" customHeight="1" x14ac:dyDescent="0.3">
      <c r="A654" s="74" t="s">
        <v>528</v>
      </c>
      <c r="B654" s="1"/>
      <c r="C654" s="1"/>
      <c r="D654" s="1"/>
      <c r="E654" s="59">
        <f t="shared" ref="E654:E656" si="256">SUM(B654:D654)</f>
        <v>0</v>
      </c>
      <c r="F654" s="1"/>
      <c r="G654" s="1"/>
      <c r="H654" s="1"/>
      <c r="I654" s="59">
        <f t="shared" ref="I654:I655" si="257">SUM(F654:H654)</f>
        <v>0</v>
      </c>
      <c r="J654" s="1"/>
      <c r="K654" s="1"/>
      <c r="L654" s="1"/>
      <c r="M654" s="59">
        <f t="shared" ref="M654:M656" si="258">SUM(J654:L654)</f>
        <v>0</v>
      </c>
      <c r="N654" s="1"/>
      <c r="O654" s="1"/>
      <c r="P654" s="1"/>
      <c r="Q654" s="59">
        <f>SUM(N654:P654)</f>
        <v>0</v>
      </c>
      <c r="R654" s="59">
        <f>+E654+I654+M654+Q654</f>
        <v>0</v>
      </c>
      <c r="T654" s="4" t="s">
        <v>516</v>
      </c>
    </row>
    <row r="655" spans="1:20" ht="15.75" customHeight="1" x14ac:dyDescent="0.3">
      <c r="A655" s="74" t="s">
        <v>529</v>
      </c>
      <c r="B655" s="1"/>
      <c r="C655" s="1"/>
      <c r="D655" s="1"/>
      <c r="E655" s="59">
        <f t="shared" si="256"/>
        <v>0</v>
      </c>
      <c r="F655" s="1"/>
      <c r="G655" s="1"/>
      <c r="H655" s="1"/>
      <c r="I655" s="59">
        <f t="shared" si="257"/>
        <v>0</v>
      </c>
      <c r="J655" s="1"/>
      <c r="K655" s="1"/>
      <c r="L655" s="1"/>
      <c r="M655" s="59">
        <f t="shared" si="258"/>
        <v>0</v>
      </c>
      <c r="N655" s="1"/>
      <c r="O655" s="1"/>
      <c r="P655" s="1"/>
      <c r="Q655" s="59">
        <f t="shared" ref="Q655" si="259">SUM(N655:P655)</f>
        <v>0</v>
      </c>
      <c r="R655" s="59">
        <f t="shared" ref="R655:R658" si="260">+E655+I655+M655+Q655</f>
        <v>0</v>
      </c>
    </row>
    <row r="656" spans="1:20" ht="15.75" customHeight="1" x14ac:dyDescent="0.3">
      <c r="A656" s="74" t="s">
        <v>530</v>
      </c>
      <c r="B656" s="1"/>
      <c r="C656" s="1"/>
      <c r="D656" s="1"/>
      <c r="E656" s="59">
        <f t="shared" si="256"/>
        <v>0</v>
      </c>
      <c r="F656" s="1"/>
      <c r="G656" s="1"/>
      <c r="H656" s="1"/>
      <c r="I656" s="59">
        <f t="shared" ref="I656" si="261">SUM(F656:H656)</f>
        <v>0</v>
      </c>
      <c r="J656" s="1"/>
      <c r="K656" s="1"/>
      <c r="L656" s="1"/>
      <c r="M656" s="59">
        <f t="shared" si="258"/>
        <v>0</v>
      </c>
      <c r="N656" s="1"/>
      <c r="O656" s="1">
        <v>70</v>
      </c>
      <c r="P656" s="1">
        <v>1130</v>
      </c>
      <c r="Q656" s="59">
        <f t="shared" ref="Q656:Q657" si="262">SUM(N656:P656)</f>
        <v>1200</v>
      </c>
      <c r="R656" s="59">
        <f t="shared" si="260"/>
        <v>1200</v>
      </c>
    </row>
    <row r="657" spans="1:20" ht="15.75" customHeight="1" x14ac:dyDescent="0.3">
      <c r="A657" s="74" t="s">
        <v>531</v>
      </c>
      <c r="B657" s="1"/>
      <c r="C657" s="1"/>
      <c r="D657" s="1"/>
      <c r="E657" s="59">
        <f>SUM(B657:D657)</f>
        <v>0</v>
      </c>
      <c r="F657" s="1"/>
      <c r="G657" s="1"/>
      <c r="H657" s="1"/>
      <c r="I657" s="59">
        <f>SUM(F657:H657)</f>
        <v>0</v>
      </c>
      <c r="J657" s="1"/>
      <c r="K657" s="1"/>
      <c r="L657" s="1"/>
      <c r="M657" s="59">
        <f>SUM(J657:L657)</f>
        <v>0</v>
      </c>
      <c r="N657" s="1"/>
      <c r="O657" s="1"/>
      <c r="P657" s="1"/>
      <c r="Q657" s="59">
        <f t="shared" si="262"/>
        <v>0</v>
      </c>
      <c r="R657" s="59">
        <f t="shared" si="260"/>
        <v>0</v>
      </c>
    </row>
    <row r="658" spans="1:20" ht="15.75" customHeight="1" x14ac:dyDescent="0.3">
      <c r="A658" s="74" t="s">
        <v>533</v>
      </c>
      <c r="B658" s="1"/>
      <c r="C658" s="1"/>
      <c r="D658" s="1"/>
      <c r="E658" s="59">
        <f>SUM(B658:D658)</f>
        <v>0</v>
      </c>
      <c r="F658" s="1"/>
      <c r="G658" s="1"/>
      <c r="H658" s="1"/>
      <c r="I658" s="59">
        <f>SUM(F658:H658)</f>
        <v>0</v>
      </c>
      <c r="J658" s="1"/>
      <c r="K658" s="1"/>
      <c r="L658" s="1"/>
      <c r="M658" s="59">
        <f>SUM(J658:L658)</f>
        <v>0</v>
      </c>
      <c r="N658" s="1"/>
      <c r="O658" s="1"/>
      <c r="P658" s="1"/>
      <c r="Q658" s="59">
        <f>SUM(N658:P658)</f>
        <v>0</v>
      </c>
      <c r="R658" s="59">
        <f t="shared" si="260"/>
        <v>0</v>
      </c>
    </row>
    <row r="659" spans="1:20" ht="15.75" customHeight="1" thickBot="1" x14ac:dyDescent="0.35">
      <c r="A659" s="74" t="s">
        <v>534</v>
      </c>
      <c r="B659" s="1"/>
      <c r="C659" s="1"/>
      <c r="D659" s="1"/>
      <c r="E659" s="59">
        <f>SUM(B659:D659)</f>
        <v>0</v>
      </c>
      <c r="F659" s="1"/>
      <c r="G659" s="1"/>
      <c r="H659" s="1"/>
      <c r="I659" s="59">
        <f>SUM(F659:H659)</f>
        <v>0</v>
      </c>
      <c r="J659" s="1"/>
      <c r="K659" s="1"/>
      <c r="L659" s="1"/>
      <c r="M659" s="59">
        <f>SUM(J659:L659)</f>
        <v>0</v>
      </c>
      <c r="N659" s="1"/>
      <c r="O659" s="1"/>
      <c r="P659" s="1"/>
      <c r="Q659" s="59">
        <f>SUM(N659:P659)</f>
        <v>0</v>
      </c>
      <c r="R659" s="59">
        <f>+E659+I659+M659+Q659</f>
        <v>0</v>
      </c>
      <c r="T659" s="4" t="s">
        <v>516</v>
      </c>
    </row>
    <row r="660" spans="1:20" ht="16.5" customHeight="1" thickBot="1" x14ac:dyDescent="0.35">
      <c r="A660" s="137" t="s">
        <v>61</v>
      </c>
      <c r="B660" s="100">
        <f>SUM(B651:B659)</f>
        <v>0</v>
      </c>
      <c r="C660" s="101">
        <f>SUM(C651:C659)</f>
        <v>0</v>
      </c>
      <c r="D660" s="101">
        <f>SUM(D651:D659)</f>
        <v>0</v>
      </c>
      <c r="E660" s="64">
        <f>SUM(B660:D660)</f>
        <v>0</v>
      </c>
      <c r="F660" s="101">
        <f>SUM(F651:F659)</f>
        <v>0</v>
      </c>
      <c r="G660" s="101">
        <f>SUM(G651:G659)</f>
        <v>0</v>
      </c>
      <c r="H660" s="101">
        <f>SUM(H651:H659)</f>
        <v>0</v>
      </c>
      <c r="I660" s="64">
        <f>SUM(F660:H660)</f>
        <v>0</v>
      </c>
      <c r="J660" s="101">
        <f>SUM(J651:J659)</f>
        <v>0</v>
      </c>
      <c r="K660" s="101">
        <f>SUM(K651:K659)</f>
        <v>0</v>
      </c>
      <c r="L660" s="101">
        <f>SUM(L651:L659)</f>
        <v>0</v>
      </c>
      <c r="M660" s="64">
        <f>SUM(J660:L660)</f>
        <v>0</v>
      </c>
      <c r="N660" s="101">
        <f>SUM(N651:N659)</f>
        <v>0</v>
      </c>
      <c r="O660" s="101">
        <f>SUM(O651:O659)</f>
        <v>70</v>
      </c>
      <c r="P660" s="101">
        <f>SUM(P651:P659)</f>
        <v>1130</v>
      </c>
      <c r="Q660" s="64">
        <f>SUM(N660:P660)</f>
        <v>1200</v>
      </c>
      <c r="R660" s="64">
        <f>+E660+I660+M660+Q660</f>
        <v>1200</v>
      </c>
    </row>
    <row r="661" spans="1:20" ht="15.75" customHeight="1" x14ac:dyDescent="0.3">
      <c r="A661" s="17" t="s">
        <v>62</v>
      </c>
      <c r="B661" s="1"/>
      <c r="C661" s="1"/>
      <c r="D661" s="1"/>
      <c r="E661" s="59" t="s">
        <v>7</v>
      </c>
      <c r="F661" s="1"/>
      <c r="G661" s="1"/>
      <c r="H661" s="1"/>
      <c r="I661" s="59" t="s">
        <v>7</v>
      </c>
      <c r="J661" s="1"/>
      <c r="K661" s="1"/>
      <c r="L661" s="1"/>
      <c r="M661" s="59" t="s">
        <v>7</v>
      </c>
      <c r="N661" s="1"/>
      <c r="O661" s="1"/>
      <c r="P661" s="1"/>
      <c r="Q661" s="59" t="s">
        <v>7</v>
      </c>
      <c r="R661" s="59" t="s">
        <v>7</v>
      </c>
    </row>
    <row r="662" spans="1:20" ht="15.75" customHeight="1" x14ac:dyDescent="0.3">
      <c r="A662" s="17" t="s">
        <v>63</v>
      </c>
      <c r="B662" s="1"/>
      <c r="C662" s="1"/>
      <c r="D662" s="1"/>
      <c r="E662" s="59" t="s">
        <v>7</v>
      </c>
      <c r="F662" s="1"/>
      <c r="G662" s="1"/>
      <c r="H662" s="1"/>
      <c r="I662" s="59" t="s">
        <v>7</v>
      </c>
      <c r="J662" s="1"/>
      <c r="K662" s="1"/>
      <c r="L662" s="1"/>
      <c r="M662" s="59" t="s">
        <v>7</v>
      </c>
      <c r="N662" s="1"/>
      <c r="O662" s="1"/>
      <c r="P662" s="1"/>
      <c r="Q662" s="59" t="s">
        <v>7</v>
      </c>
      <c r="R662" s="59" t="s">
        <v>7</v>
      </c>
    </row>
    <row r="663" spans="1:20" ht="15.75" customHeight="1" x14ac:dyDescent="0.3">
      <c r="A663" s="74" t="s">
        <v>535</v>
      </c>
      <c r="B663" s="1"/>
      <c r="C663" s="1"/>
      <c r="D663" s="1"/>
      <c r="E663" s="59">
        <f>SUM(B663:D663)</f>
        <v>0</v>
      </c>
      <c r="F663" s="1"/>
      <c r="G663" s="1"/>
      <c r="H663" s="1"/>
      <c r="I663" s="59">
        <f>SUM(F663:H663)</f>
        <v>0</v>
      </c>
      <c r="J663" s="1"/>
      <c r="K663" s="1"/>
      <c r="L663" s="1"/>
      <c r="M663" s="59">
        <f>SUM(J663:L663)</f>
        <v>0</v>
      </c>
      <c r="N663" s="1"/>
      <c r="O663" s="1"/>
      <c r="P663" s="1"/>
      <c r="Q663" s="59">
        <f>SUM(N663:P663)</f>
        <v>0</v>
      </c>
      <c r="R663" s="59">
        <f>+E663+I663+M663+Q663</f>
        <v>0</v>
      </c>
      <c r="T663" s="4" t="s">
        <v>516</v>
      </c>
    </row>
    <row r="664" spans="1:20" ht="15.75" customHeight="1" x14ac:dyDescent="0.3">
      <c r="A664" s="74" t="s">
        <v>536</v>
      </c>
      <c r="B664" s="1"/>
      <c r="C664" s="1"/>
      <c r="D664" s="1"/>
      <c r="E664" s="59">
        <f>SUM(B664:D664)</f>
        <v>0</v>
      </c>
      <c r="F664" s="1"/>
      <c r="G664" s="1"/>
      <c r="H664" s="1"/>
      <c r="I664" s="59">
        <f>SUM(F664:H664)</f>
        <v>0</v>
      </c>
      <c r="J664" s="1"/>
      <c r="K664" s="1"/>
      <c r="L664" s="1"/>
      <c r="M664" s="59">
        <f>SUM(J664:L664)</f>
        <v>0</v>
      </c>
      <c r="N664" s="1"/>
      <c r="O664" s="1"/>
      <c r="P664" s="1"/>
      <c r="Q664" s="59">
        <f>SUM(N664:P664)</f>
        <v>0</v>
      </c>
      <c r="R664" s="59">
        <f>+E664+I664+M664+Q664</f>
        <v>0</v>
      </c>
      <c r="T664" s="4" t="s">
        <v>516</v>
      </c>
    </row>
    <row r="665" spans="1:20" ht="15.75" customHeight="1" x14ac:dyDescent="0.3">
      <c r="A665" s="17" t="s">
        <v>64</v>
      </c>
      <c r="B665" s="1"/>
      <c r="C665" s="1"/>
      <c r="D665" s="1"/>
      <c r="E665" s="59" t="s">
        <v>7</v>
      </c>
      <c r="F665" s="1"/>
      <c r="G665" s="1"/>
      <c r="H665" s="1"/>
      <c r="I665" s="59" t="s">
        <v>7</v>
      </c>
      <c r="J665" s="1"/>
      <c r="K665" s="1"/>
      <c r="L665" s="1"/>
      <c r="M665" s="59" t="s">
        <v>7</v>
      </c>
      <c r="N665" s="1"/>
      <c r="O665" s="1"/>
      <c r="P665" s="1"/>
      <c r="Q665" s="59" t="s">
        <v>7</v>
      </c>
      <c r="R665" s="59" t="s">
        <v>7</v>
      </c>
    </row>
    <row r="666" spans="1:20" ht="15.75" customHeight="1" x14ac:dyDescent="0.3">
      <c r="A666" s="74" t="s">
        <v>537</v>
      </c>
      <c r="B666" s="1"/>
      <c r="C666" s="1"/>
      <c r="D666" s="1"/>
      <c r="E666" s="59">
        <f>SUM(B666:D666)</f>
        <v>0</v>
      </c>
      <c r="F666" s="1"/>
      <c r="G666" s="1"/>
      <c r="H666" s="1"/>
      <c r="I666" s="59">
        <f>SUM(F666:H666)</f>
        <v>0</v>
      </c>
      <c r="J666" s="1">
        <v>617</v>
      </c>
      <c r="K666" s="1">
        <v>877</v>
      </c>
      <c r="L666" s="1">
        <v>47</v>
      </c>
      <c r="M666" s="59">
        <f>SUM(J666:L666)</f>
        <v>1541</v>
      </c>
      <c r="N666" s="1">
        <v>126</v>
      </c>
      <c r="O666" s="1"/>
      <c r="P666" s="1">
        <v>333</v>
      </c>
      <c r="Q666" s="59">
        <f>SUM(N666:P666)</f>
        <v>459</v>
      </c>
      <c r="R666" s="59">
        <f>+E666+I666+M666+Q666</f>
        <v>2000</v>
      </c>
    </row>
    <row r="667" spans="1:20" ht="15.75" customHeight="1" x14ac:dyDescent="0.3">
      <c r="A667" s="74" t="s">
        <v>538</v>
      </c>
      <c r="B667" s="1"/>
      <c r="C667" s="1"/>
      <c r="D667" s="1"/>
      <c r="E667" s="59">
        <f>SUM(B667:D667)</f>
        <v>0</v>
      </c>
      <c r="F667" s="1"/>
      <c r="G667" s="1"/>
      <c r="H667" s="1"/>
      <c r="I667" s="59">
        <f>SUM(F667:H667)</f>
        <v>0</v>
      </c>
      <c r="J667" s="1"/>
      <c r="K667" s="1"/>
      <c r="L667" s="1"/>
      <c r="M667" s="59">
        <f>SUM(J667:L667)</f>
        <v>0</v>
      </c>
      <c r="N667" s="1"/>
      <c r="O667" s="1"/>
      <c r="P667" s="1"/>
      <c r="Q667" s="59">
        <f>SUM(N667:P667)</f>
        <v>0</v>
      </c>
      <c r="R667" s="59">
        <f>+E667+I667+M667+Q667</f>
        <v>0</v>
      </c>
    </row>
    <row r="668" spans="1:20" ht="15.75" customHeight="1" x14ac:dyDescent="0.3">
      <c r="A668" s="74" t="s">
        <v>539</v>
      </c>
      <c r="B668" s="1"/>
      <c r="C668" s="1"/>
      <c r="D668" s="1"/>
      <c r="E668" s="59">
        <f>SUM(B668:D668)</f>
        <v>0</v>
      </c>
      <c r="F668" s="1"/>
      <c r="G668" s="1"/>
      <c r="H668" s="1"/>
      <c r="I668" s="59">
        <f>SUM(F668:H668)</f>
        <v>0</v>
      </c>
      <c r="J668" s="1"/>
      <c r="K668" s="1"/>
      <c r="L668" s="1"/>
      <c r="M668" s="59">
        <f>SUM(J668:L668)</f>
        <v>0</v>
      </c>
      <c r="N668" s="1"/>
      <c r="O668" s="1"/>
      <c r="P668" s="1"/>
      <c r="Q668" s="59">
        <f>SUM(N668:P668)</f>
        <v>0</v>
      </c>
      <c r="R668" s="59">
        <f>+E668+I668+M668+Q668</f>
        <v>0</v>
      </c>
      <c r="T668" s="4" t="s">
        <v>516</v>
      </c>
    </row>
    <row r="669" spans="1:20" ht="15.75" customHeight="1" x14ac:dyDescent="0.3">
      <c r="A669" s="74" t="s">
        <v>540</v>
      </c>
      <c r="B669" s="1"/>
      <c r="C669" s="1"/>
      <c r="D669" s="1"/>
      <c r="E669" s="59">
        <f>SUM(B669:D669)</f>
        <v>0</v>
      </c>
      <c r="F669" s="1"/>
      <c r="G669" s="1"/>
      <c r="H669" s="1"/>
      <c r="I669" s="59">
        <f>SUM(F669:H669)</f>
        <v>0</v>
      </c>
      <c r="J669" s="1"/>
      <c r="K669" s="1"/>
      <c r="L669" s="1"/>
      <c r="M669" s="59">
        <f>SUM(J669:L669)</f>
        <v>0</v>
      </c>
      <c r="N669" s="1"/>
      <c r="O669" s="1"/>
      <c r="P669" s="1"/>
      <c r="Q669" s="59">
        <f>SUM(N669:P669)</f>
        <v>0</v>
      </c>
      <c r="R669" s="59">
        <f>+E669+I669+M669+Q669</f>
        <v>0</v>
      </c>
      <c r="T669" s="4" t="s">
        <v>516</v>
      </c>
    </row>
    <row r="670" spans="1:20" ht="15.75" customHeight="1" x14ac:dyDescent="0.3">
      <c r="A670" s="17" t="s">
        <v>66</v>
      </c>
      <c r="B670" s="1"/>
      <c r="C670" s="1"/>
      <c r="D670" s="1"/>
      <c r="E670" s="59" t="s">
        <v>7</v>
      </c>
      <c r="F670" s="1"/>
      <c r="G670" s="1"/>
      <c r="H670" s="1"/>
      <c r="I670" s="59" t="s">
        <v>7</v>
      </c>
      <c r="J670" s="1"/>
      <c r="K670" s="1"/>
      <c r="L670" s="1"/>
      <c r="M670" s="59" t="s">
        <v>7</v>
      </c>
      <c r="N670" s="1"/>
      <c r="O670" s="1"/>
      <c r="P670" s="1"/>
      <c r="Q670" s="59" t="s">
        <v>7</v>
      </c>
      <c r="R670" s="59" t="s">
        <v>7</v>
      </c>
    </row>
    <row r="671" spans="1:20" ht="15.75" customHeight="1" x14ac:dyDescent="0.3">
      <c r="A671" s="74" t="s">
        <v>541</v>
      </c>
      <c r="B671" s="1"/>
      <c r="C671" s="1"/>
      <c r="D671" s="1"/>
      <c r="E671" s="59">
        <f>SUM(B671:D671)</f>
        <v>0</v>
      </c>
      <c r="F671" s="1"/>
      <c r="G671" s="1"/>
      <c r="H671" s="1"/>
      <c r="I671" s="59">
        <f>SUM(F671:H671)</f>
        <v>0</v>
      </c>
      <c r="J671" s="1"/>
      <c r="K671" s="1"/>
      <c r="L671" s="1">
        <v>3495</v>
      </c>
      <c r="M671" s="59">
        <f>SUM(J671:L671)</f>
        <v>3495</v>
      </c>
      <c r="N671" s="1">
        <v>2381</v>
      </c>
      <c r="O671" s="1"/>
      <c r="P671" s="1">
        <v>819</v>
      </c>
      <c r="Q671" s="59">
        <f>SUM(N671:P671)</f>
        <v>3200</v>
      </c>
      <c r="R671" s="59">
        <f>+E671+I671+M671+Q671</f>
        <v>6695</v>
      </c>
    </row>
    <row r="672" spans="1:20" ht="15.75" customHeight="1" x14ac:dyDescent="0.3">
      <c r="A672" s="74" t="s">
        <v>542</v>
      </c>
      <c r="B672" s="1"/>
      <c r="C672" s="1"/>
      <c r="D672" s="1"/>
      <c r="E672" s="59">
        <f>SUM(B672:D672)</f>
        <v>0</v>
      </c>
      <c r="F672" s="1"/>
      <c r="G672" s="1"/>
      <c r="H672" s="1"/>
      <c r="I672" s="59">
        <f>SUM(F672:H672)</f>
        <v>0</v>
      </c>
      <c r="J672" s="1"/>
      <c r="K672" s="1"/>
      <c r="L672" s="1"/>
      <c r="M672" s="59">
        <f>SUM(J672:L672)</f>
        <v>0</v>
      </c>
      <c r="N672" s="1"/>
      <c r="O672" s="1"/>
      <c r="P672" s="1"/>
      <c r="Q672" s="59">
        <f>SUM(N672:P672)</f>
        <v>0</v>
      </c>
      <c r="R672" s="59">
        <f>+E672+I672+M672+Q672</f>
        <v>0</v>
      </c>
    </row>
    <row r="673" spans="1:18" ht="15.75" customHeight="1" x14ac:dyDescent="0.3">
      <c r="A673" s="17" t="s">
        <v>67</v>
      </c>
      <c r="B673" s="1"/>
      <c r="C673" s="1"/>
      <c r="D673" s="1"/>
      <c r="E673" s="59" t="s">
        <v>7</v>
      </c>
      <c r="F673" s="1"/>
      <c r="G673" s="1"/>
      <c r="H673" s="1"/>
      <c r="I673" s="59" t="s">
        <v>7</v>
      </c>
      <c r="J673" s="1"/>
      <c r="K673" s="1"/>
      <c r="L673" s="1"/>
      <c r="M673" s="59" t="s">
        <v>7</v>
      </c>
      <c r="N673" s="1"/>
      <c r="O673" s="1"/>
      <c r="P673" s="1"/>
      <c r="Q673" s="59" t="s">
        <v>7</v>
      </c>
      <c r="R673" s="59" t="s">
        <v>7</v>
      </c>
    </row>
    <row r="674" spans="1:18" ht="15.75" customHeight="1" x14ac:dyDescent="0.3">
      <c r="A674" s="74" t="s">
        <v>543</v>
      </c>
      <c r="B674" s="1"/>
      <c r="C674" s="1"/>
      <c r="D674" s="1"/>
      <c r="E674" s="59">
        <f t="shared" ref="E674:E676" si="263">SUM(B674:D674)</f>
        <v>0</v>
      </c>
      <c r="F674" s="1"/>
      <c r="G674" s="1"/>
      <c r="H674" s="1"/>
      <c r="I674" s="59">
        <f t="shared" ref="I674:I676" si="264">SUM(F674:H674)</f>
        <v>0</v>
      </c>
      <c r="J674" s="1"/>
      <c r="K674" s="1"/>
      <c r="L674" s="1"/>
      <c r="M674" s="59">
        <f t="shared" ref="M674:M676" si="265">SUM(J674:L674)</f>
        <v>0</v>
      </c>
      <c r="N674" s="1"/>
      <c r="O674" s="1"/>
      <c r="P674" s="1"/>
      <c r="Q674" s="59">
        <f t="shared" ref="Q674:Q680" si="266">SUM(N674:P674)</f>
        <v>0</v>
      </c>
      <c r="R674" s="59">
        <f t="shared" ref="R674:R680" si="267">+E674+I674+M674+Q674</f>
        <v>0</v>
      </c>
    </row>
    <row r="675" spans="1:18" ht="15.75" customHeight="1" x14ac:dyDescent="0.3">
      <c r="A675" s="74" t="s">
        <v>544</v>
      </c>
      <c r="B675" s="1"/>
      <c r="C675" s="1"/>
      <c r="D675" s="1"/>
      <c r="E675" s="59">
        <f t="shared" ref="E675" si="268">SUM(B675:D675)</f>
        <v>0</v>
      </c>
      <c r="F675" s="1"/>
      <c r="G675" s="1"/>
      <c r="H675" s="1"/>
      <c r="I675" s="59">
        <f t="shared" ref="I675" si="269">SUM(F675:H675)</f>
        <v>0</v>
      </c>
      <c r="J675" s="1"/>
      <c r="K675" s="1"/>
      <c r="L675" s="1"/>
      <c r="M675" s="59">
        <f t="shared" ref="M675" si="270">SUM(J675:L675)</f>
        <v>0</v>
      </c>
      <c r="N675" s="1"/>
      <c r="O675" s="1"/>
      <c r="P675" s="1"/>
      <c r="Q675" s="59">
        <f t="shared" ref="Q675" si="271">SUM(N675:P675)</f>
        <v>0</v>
      </c>
      <c r="R675" s="59">
        <f t="shared" si="267"/>
        <v>0</v>
      </c>
    </row>
    <row r="676" spans="1:18" ht="15.75" customHeight="1" thickBot="1" x14ac:dyDescent="0.35">
      <c r="A676" s="74" t="s">
        <v>545</v>
      </c>
      <c r="B676" s="1"/>
      <c r="C676" s="1"/>
      <c r="D676" s="1"/>
      <c r="E676" s="59">
        <f t="shared" si="263"/>
        <v>0</v>
      </c>
      <c r="F676" s="1"/>
      <c r="G676" s="1"/>
      <c r="H676" s="1"/>
      <c r="I676" s="59">
        <f t="shared" si="264"/>
        <v>0</v>
      </c>
      <c r="J676" s="1"/>
      <c r="K676" s="1"/>
      <c r="L676" s="1"/>
      <c r="M676" s="59">
        <f t="shared" si="265"/>
        <v>0</v>
      </c>
      <c r="N676" s="1"/>
      <c r="O676" s="1"/>
      <c r="P676" s="1"/>
      <c r="Q676" s="59">
        <f t="shared" si="266"/>
        <v>0</v>
      </c>
      <c r="R676" s="59">
        <f t="shared" si="267"/>
        <v>0</v>
      </c>
    </row>
    <row r="677" spans="1:18" ht="16.5" customHeight="1" thickBot="1" x14ac:dyDescent="0.35">
      <c r="A677" s="62" t="s">
        <v>68</v>
      </c>
      <c r="B677" s="344">
        <f>SUM(B670:B676)</f>
        <v>0</v>
      </c>
      <c r="C677" s="344">
        <f>SUM(C670:C676)</f>
        <v>0</v>
      </c>
      <c r="D677" s="344">
        <f>SUM(D670:D676)</f>
        <v>0</v>
      </c>
      <c r="E677" s="334">
        <f t="shared" ref="E677:E680" si="272">SUM(B677:D677)</f>
        <v>0</v>
      </c>
      <c r="F677" s="344">
        <f>SUM(F670:F676)</f>
        <v>0</v>
      </c>
      <c r="G677" s="344">
        <f>SUM(G670:G676)</f>
        <v>0</v>
      </c>
      <c r="H677" s="344">
        <f>SUM(H670:H676)</f>
        <v>0</v>
      </c>
      <c r="I677" s="334">
        <f t="shared" ref="I677:I680" si="273">SUM(F677:H677)</f>
        <v>0</v>
      </c>
      <c r="J677" s="344">
        <f>SUM(J670:J676)</f>
        <v>0</v>
      </c>
      <c r="K677" s="344">
        <f>SUM(K670:K676)</f>
        <v>0</v>
      </c>
      <c r="L677" s="344">
        <f>SUM(L670:L676)</f>
        <v>3495</v>
      </c>
      <c r="M677" s="334">
        <f t="shared" ref="M677:M680" si="274">SUM(J677:L677)</f>
        <v>3495</v>
      </c>
      <c r="N677" s="344">
        <f>SUM(N670:N676)</f>
        <v>2381</v>
      </c>
      <c r="O677" s="344">
        <f>SUM(O670:O676)</f>
        <v>0</v>
      </c>
      <c r="P677" s="344">
        <f>SUM(P670:P676)</f>
        <v>819</v>
      </c>
      <c r="Q677" s="334">
        <f t="shared" si="266"/>
        <v>3200</v>
      </c>
      <c r="R677" s="64">
        <f t="shared" si="267"/>
        <v>6695</v>
      </c>
    </row>
    <row r="678" spans="1:18" ht="16.5" customHeight="1" thickBot="1" x14ac:dyDescent="0.35">
      <c r="A678" s="137" t="s">
        <v>69</v>
      </c>
      <c r="B678" s="100">
        <f>SUM(B661:B676)</f>
        <v>0</v>
      </c>
      <c r="C678" s="101">
        <f>SUM(C661:C676)</f>
        <v>0</v>
      </c>
      <c r="D678" s="138">
        <f>SUM(D661:D676)</f>
        <v>0</v>
      </c>
      <c r="E678" s="334">
        <f t="shared" si="272"/>
        <v>0</v>
      </c>
      <c r="F678" s="100">
        <f>SUM(F661:F676)</f>
        <v>0</v>
      </c>
      <c r="G678" s="101">
        <f>SUM(G661:G676)</f>
        <v>0</v>
      </c>
      <c r="H678" s="138">
        <f>SUM(H661:H676)</f>
        <v>0</v>
      </c>
      <c r="I678" s="334">
        <f t="shared" si="273"/>
        <v>0</v>
      </c>
      <c r="J678" s="100">
        <f>SUM(J661:J676)</f>
        <v>617</v>
      </c>
      <c r="K678" s="101">
        <f>SUM(K661:K676)</f>
        <v>877</v>
      </c>
      <c r="L678" s="138">
        <f>SUM(L661:L676)</f>
        <v>3542</v>
      </c>
      <c r="M678" s="334">
        <f t="shared" si="274"/>
        <v>5036</v>
      </c>
      <c r="N678" s="100">
        <f>SUM(N661:N676)</f>
        <v>2507</v>
      </c>
      <c r="O678" s="101">
        <f>SUM(O661:O676)</f>
        <v>0</v>
      </c>
      <c r="P678" s="138">
        <f>SUM(P661:P676)</f>
        <v>1152</v>
      </c>
      <c r="Q678" s="334">
        <f t="shared" si="266"/>
        <v>3659</v>
      </c>
      <c r="R678" s="64">
        <f t="shared" si="267"/>
        <v>8695</v>
      </c>
    </row>
    <row r="679" spans="1:18" ht="16.5" customHeight="1" thickBot="1" x14ac:dyDescent="0.35">
      <c r="A679" s="62" t="s">
        <v>70</v>
      </c>
      <c r="B679" s="149">
        <f>+B644+B650+B660+B678</f>
        <v>4445</v>
      </c>
      <c r="C679" s="150">
        <f>+C644+C650+C660+C678</f>
        <v>3939</v>
      </c>
      <c r="D679" s="150">
        <f>+D644+D650+D660+D678</f>
        <v>5868</v>
      </c>
      <c r="E679" s="64">
        <f t="shared" si="272"/>
        <v>14252</v>
      </c>
      <c r="F679" s="63">
        <f>+F644+F650+F660+F678</f>
        <v>6915</v>
      </c>
      <c r="G679" s="63">
        <f>+G644+G650+G660+G678</f>
        <v>6482</v>
      </c>
      <c r="H679" s="63">
        <f>+H644+H650+H660+H678</f>
        <v>3059</v>
      </c>
      <c r="I679" s="64">
        <f t="shared" si="273"/>
        <v>16456</v>
      </c>
      <c r="J679" s="63">
        <f>+J644+J650+J660+J678</f>
        <v>7361</v>
      </c>
      <c r="K679" s="63">
        <f>+K644+K650+K660+K678</f>
        <v>7536</v>
      </c>
      <c r="L679" s="63">
        <f>+L644+L650+L660+L678</f>
        <v>5172</v>
      </c>
      <c r="M679" s="64">
        <f t="shared" si="274"/>
        <v>20069</v>
      </c>
      <c r="N679" s="63">
        <f>+N644+N650+N660+N678</f>
        <v>3379</v>
      </c>
      <c r="O679" s="63">
        <f>+O644+O650+O660+O678</f>
        <v>420</v>
      </c>
      <c r="P679" s="63">
        <f>+P644+P650+P660+P678</f>
        <v>2782</v>
      </c>
      <c r="Q679" s="64">
        <f t="shared" si="266"/>
        <v>6581</v>
      </c>
      <c r="R679" s="88">
        <f t="shared" si="267"/>
        <v>57358</v>
      </c>
    </row>
    <row r="680" spans="1:18" ht="16.5" customHeight="1" thickBot="1" x14ac:dyDescent="0.35">
      <c r="A680" s="40" t="s">
        <v>37</v>
      </c>
      <c r="B680" s="25">
        <v>17</v>
      </c>
      <c r="C680" s="25">
        <v>47</v>
      </c>
      <c r="D680" s="25">
        <v>84</v>
      </c>
      <c r="E680" s="59">
        <f t="shared" si="272"/>
        <v>148</v>
      </c>
      <c r="F680" s="25">
        <v>116</v>
      </c>
      <c r="G680" s="25">
        <v>132</v>
      </c>
      <c r="H680" s="25">
        <v>138</v>
      </c>
      <c r="I680" s="59">
        <f t="shared" si="273"/>
        <v>386</v>
      </c>
      <c r="J680" s="25">
        <v>126</v>
      </c>
      <c r="K680" s="25">
        <v>95</v>
      </c>
      <c r="L680" s="25">
        <v>99</v>
      </c>
      <c r="M680" s="59">
        <f t="shared" si="274"/>
        <v>320</v>
      </c>
      <c r="N680" s="25">
        <v>91</v>
      </c>
      <c r="O680" s="25">
        <v>67</v>
      </c>
      <c r="P680" s="25">
        <v>38</v>
      </c>
      <c r="Q680" s="59">
        <f t="shared" si="266"/>
        <v>196</v>
      </c>
      <c r="R680" s="59">
        <f t="shared" si="267"/>
        <v>1050</v>
      </c>
    </row>
    <row r="681" spans="1:18" ht="16.5" customHeight="1" thickBot="1" x14ac:dyDescent="0.35">
      <c r="A681" s="42"/>
      <c r="B681" s="37"/>
      <c r="C681" s="37"/>
      <c r="D681" s="37"/>
      <c r="E681" s="43"/>
      <c r="F681" s="37"/>
      <c r="G681" s="37"/>
      <c r="H681" s="37"/>
      <c r="I681" s="43"/>
      <c r="J681" s="37"/>
      <c r="K681" s="37"/>
      <c r="L681" s="37"/>
      <c r="M681" s="43"/>
      <c r="N681" s="37"/>
      <c r="O681" s="37"/>
      <c r="P681" s="37"/>
      <c r="Q681" s="43"/>
      <c r="R681" s="43"/>
    </row>
    <row r="682" spans="1:18" ht="15.75" customHeight="1" x14ac:dyDescent="0.3">
      <c r="A682" s="335" t="s">
        <v>507</v>
      </c>
      <c r="B682" s="336">
        <f>SUM(B679:B680)</f>
        <v>4462</v>
      </c>
      <c r="C682" s="336">
        <f>SUM(C679:C680)</f>
        <v>3986</v>
      </c>
      <c r="D682" s="336">
        <f>SUM(D679:D680)</f>
        <v>5952</v>
      </c>
      <c r="E682" s="334">
        <f>SUM(B682:D682)</f>
        <v>14400</v>
      </c>
      <c r="F682" s="336">
        <f>SUM(F679:F680)</f>
        <v>7031</v>
      </c>
      <c r="G682" s="336">
        <f>SUM(G679:G680)</f>
        <v>6614</v>
      </c>
      <c r="H682" s="336">
        <f>SUM(H679:H680)</f>
        <v>3197</v>
      </c>
      <c r="I682" s="334">
        <f>SUM(F682:H682)</f>
        <v>16842</v>
      </c>
      <c r="J682" s="336">
        <f>SUM(J679:J680)</f>
        <v>7487</v>
      </c>
      <c r="K682" s="336">
        <f>SUM(K679:K680)</f>
        <v>7631</v>
      </c>
      <c r="L682" s="336">
        <f>SUM(L679:L680)</f>
        <v>5271</v>
      </c>
      <c r="M682" s="334">
        <f>SUM(J682:L682)</f>
        <v>20389</v>
      </c>
      <c r="N682" s="336">
        <f>SUM(N679:N680)</f>
        <v>3470</v>
      </c>
      <c r="O682" s="336">
        <f>SUM(O679:O680)</f>
        <v>487</v>
      </c>
      <c r="P682" s="336">
        <f>SUM(P679:P680)</f>
        <v>2820</v>
      </c>
      <c r="Q682" s="334">
        <f>SUM(N682:P682)</f>
        <v>6777</v>
      </c>
      <c r="R682" s="334">
        <f>+E682+I682+M682+Q682</f>
        <v>58408</v>
      </c>
    </row>
    <row r="683" spans="1:18" ht="15.75" customHeight="1" x14ac:dyDescent="0.3">
      <c r="A683" s="85" t="s">
        <v>39</v>
      </c>
      <c r="B683" s="1">
        <f>(B682/B10)/1.983</f>
        <v>72.584711987376565</v>
      </c>
      <c r="C683" s="1">
        <f>(C682/C10)/1.983</f>
        <v>69.313300989444755</v>
      </c>
      <c r="D683" s="1">
        <f>(D682/D10)/1.983</f>
        <v>96.822995461422082</v>
      </c>
      <c r="E683" s="59" t="s">
        <v>7</v>
      </c>
      <c r="F683" s="1">
        <f>(F682/F10)/1.983</f>
        <v>118.18793074466296</v>
      </c>
      <c r="G683" s="1">
        <f>(G682/G10)/1.983</f>
        <v>107.59195093781008</v>
      </c>
      <c r="H683" s="1">
        <f>(H682/H10)/1.983</f>
        <v>53.740124390653889</v>
      </c>
      <c r="I683" s="59" t="s">
        <v>7</v>
      </c>
      <c r="J683" s="1">
        <f>(J682/J10)/1.983</f>
        <v>121.79330763099247</v>
      </c>
      <c r="K683" s="1">
        <f>(K682/K10)/1.983</f>
        <v>124.13579945667203</v>
      </c>
      <c r="L683" s="1">
        <f>(L682/L10)/1.983</f>
        <v>88.603126575895104</v>
      </c>
      <c r="M683" s="59" t="s">
        <v>7</v>
      </c>
      <c r="N683" s="1">
        <f>(N682/N10)/1.983</f>
        <v>56.447546077139556</v>
      </c>
      <c r="O683" s="1">
        <f>(O682/O10)/1.983</f>
        <v>8.1862497898806517</v>
      </c>
      <c r="P683" s="1">
        <f>(P682/P10)/1.983</f>
        <v>45.873798252891511</v>
      </c>
      <c r="Q683" s="59" t="s">
        <v>7</v>
      </c>
      <c r="R683" s="59" t="s">
        <v>7</v>
      </c>
    </row>
    <row r="684" spans="1:18" ht="15.75" customHeight="1" x14ac:dyDescent="0.3">
      <c r="A684" s="85" t="s">
        <v>546</v>
      </c>
      <c r="B684" s="1">
        <f>B682+B694</f>
        <v>14025</v>
      </c>
      <c r="C684" s="1">
        <f>C682+C694</f>
        <v>22654</v>
      </c>
      <c r="D684" s="1">
        <f>D682+D694</f>
        <v>27521</v>
      </c>
      <c r="E684" s="59">
        <f>SUM(B684:D684)</f>
        <v>64200</v>
      </c>
      <c r="F684" s="1">
        <f>F682+F694</f>
        <v>30960</v>
      </c>
      <c r="G684" s="1">
        <f>G682+G694</f>
        <v>30287</v>
      </c>
      <c r="H684" s="1">
        <f>H682+H694</f>
        <v>26558</v>
      </c>
      <c r="I684" s="59">
        <f>SUM(F684:H684)</f>
        <v>87805</v>
      </c>
      <c r="J684" s="1">
        <f>J682+J694</f>
        <v>29606</v>
      </c>
      <c r="K684" s="1">
        <f>K682+K694</f>
        <v>27707</v>
      </c>
      <c r="L684" s="1">
        <f>L682+L694</f>
        <v>22988</v>
      </c>
      <c r="M684" s="59">
        <f>SUM(J684:L684)</f>
        <v>80301</v>
      </c>
      <c r="N684" s="1">
        <f>N682+N694</f>
        <v>13705</v>
      </c>
      <c r="O684" s="1">
        <f>O682+O694</f>
        <v>3426</v>
      </c>
      <c r="P684" s="1">
        <f>P682+P694</f>
        <v>10198</v>
      </c>
      <c r="Q684" s="59">
        <f>SUM(N684:P684)</f>
        <v>27329</v>
      </c>
      <c r="R684" s="59">
        <f>+E684+I684+M684+Q684</f>
        <v>259635</v>
      </c>
    </row>
    <row r="685" spans="1:18" ht="16.5" customHeight="1" thickBot="1" x14ac:dyDescent="0.35">
      <c r="A685" s="86" t="s">
        <v>547</v>
      </c>
      <c r="B685" s="87">
        <f>(B684/B10)/1.983</f>
        <v>228.14894343858279</v>
      </c>
      <c r="C685" s="87">
        <f>(C684/C10)/1.983</f>
        <v>393.93465143373851</v>
      </c>
      <c r="D685" s="87">
        <f>(D684/D10)/1.983</f>
        <v>447.69248287866213</v>
      </c>
      <c r="E685" s="88" t="s">
        <v>7</v>
      </c>
      <c r="F685" s="87">
        <f>(F684/F10)/1.983</f>
        <v>520.42360060514375</v>
      </c>
      <c r="G685" s="87">
        <f>(G684/G10)/1.983</f>
        <v>492.68784669692383</v>
      </c>
      <c r="H685" s="87">
        <f>(H684/H10)/1.983</f>
        <v>446.4279710875777</v>
      </c>
      <c r="I685" s="88" t="s">
        <v>7</v>
      </c>
      <c r="J685" s="87">
        <f>(J684/J10)/1.983</f>
        <v>481.60981243798085</v>
      </c>
      <c r="K685" s="87">
        <f>(K684/K10)/1.983</f>
        <v>450.71820148683156</v>
      </c>
      <c r="L685" s="87">
        <f>(L684/L10)/1.983</f>
        <v>386.41788535888384</v>
      </c>
      <c r="M685" s="88" t="s">
        <v>7</v>
      </c>
      <c r="N685" s="87">
        <f>(N684/N10)/1.983</f>
        <v>222.94340604818376</v>
      </c>
      <c r="O685" s="87">
        <f>(O684/O10)/1.983</f>
        <v>57.589510842158347</v>
      </c>
      <c r="P685" s="87">
        <f>(P684/P10)/1.983</f>
        <v>165.89396971027929</v>
      </c>
      <c r="Q685" s="88" t="s">
        <v>7</v>
      </c>
      <c r="R685" s="88" t="s">
        <v>7</v>
      </c>
    </row>
    <row r="686" spans="1:18" ht="15.75" customHeight="1" x14ac:dyDescent="0.3">
      <c r="A686" s="28"/>
      <c r="B686" s="1"/>
      <c r="C686" s="1"/>
      <c r="D686" s="1"/>
      <c r="E686" s="1"/>
      <c r="F686" s="1"/>
      <c r="G686" s="1"/>
      <c r="H686" s="1"/>
      <c r="I686" s="1"/>
      <c r="J686" s="1"/>
      <c r="K686" s="1"/>
      <c r="L686" s="1"/>
      <c r="M686" s="1"/>
      <c r="N686" s="1"/>
      <c r="O686" s="1"/>
      <c r="P686" s="1"/>
      <c r="Q686" s="1"/>
      <c r="R686" s="28"/>
    </row>
    <row r="687" spans="1:18" ht="16.5" customHeight="1" thickBot="1" x14ac:dyDescent="0.35">
      <c r="A687" s="123"/>
      <c r="B687" s="25"/>
      <c r="C687" s="25"/>
      <c r="D687" s="25"/>
      <c r="E687" s="25"/>
      <c r="F687" s="25"/>
      <c r="G687" s="25"/>
      <c r="H687" s="25"/>
      <c r="I687" s="25"/>
      <c r="J687" s="25"/>
      <c r="K687" s="25"/>
      <c r="L687" s="25"/>
      <c r="M687" s="25"/>
      <c r="N687" s="25"/>
      <c r="O687" s="25"/>
      <c r="P687" s="25"/>
      <c r="Q687" s="25"/>
      <c r="R687" s="123"/>
    </row>
    <row r="688" spans="1:18" ht="16.5" customHeight="1" thickBot="1" x14ac:dyDescent="0.35">
      <c r="A688" s="343" t="s">
        <v>548</v>
      </c>
      <c r="B688" s="323" t="s">
        <v>36</v>
      </c>
      <c r="C688" s="324" t="s">
        <v>9</v>
      </c>
      <c r="D688" s="324" t="s">
        <v>10</v>
      </c>
      <c r="E688" s="325" t="s">
        <v>11</v>
      </c>
      <c r="F688" s="324" t="s">
        <v>12</v>
      </c>
      <c r="G688" s="324" t="s">
        <v>13</v>
      </c>
      <c r="H688" s="324" t="s">
        <v>14</v>
      </c>
      <c r="I688" s="34" t="s">
        <v>15</v>
      </c>
      <c r="J688" s="324" t="s">
        <v>16</v>
      </c>
      <c r="K688" s="324" t="s">
        <v>17</v>
      </c>
      <c r="L688" s="324" t="s">
        <v>18</v>
      </c>
      <c r="M688" s="34" t="s">
        <v>19</v>
      </c>
      <c r="N688" s="324" t="s">
        <v>20</v>
      </c>
      <c r="O688" s="324" t="s">
        <v>21</v>
      </c>
      <c r="P688" s="324" t="s">
        <v>22</v>
      </c>
      <c r="Q688" s="325" t="s">
        <v>23</v>
      </c>
      <c r="R688" s="332" t="s">
        <v>24</v>
      </c>
    </row>
    <row r="689" spans="1:18" ht="16.5" customHeight="1" thickBot="1" x14ac:dyDescent="0.35">
      <c r="A689" s="42"/>
      <c r="B689" s="37"/>
      <c r="C689" s="37"/>
      <c r="D689" s="37"/>
      <c r="E689" s="38"/>
      <c r="F689" s="37"/>
      <c r="G689" s="37"/>
      <c r="H689" s="37"/>
      <c r="I689" s="38"/>
      <c r="J689" s="37"/>
      <c r="K689" s="37"/>
      <c r="L689" s="37"/>
      <c r="M689" s="38"/>
      <c r="N689" s="37"/>
      <c r="O689" s="37"/>
      <c r="P689" s="37"/>
      <c r="Q689" s="151"/>
      <c r="R689" s="152"/>
    </row>
    <row r="690" spans="1:18" ht="16.5" customHeight="1" thickBot="1" x14ac:dyDescent="0.35">
      <c r="A690" s="40" t="s">
        <v>37</v>
      </c>
      <c r="B690" s="25">
        <v>20</v>
      </c>
      <c r="C690" s="25">
        <v>22</v>
      </c>
      <c r="D690" s="25">
        <v>28</v>
      </c>
      <c r="E690" s="59">
        <f>SUM(B690:D690)</f>
        <v>70</v>
      </c>
      <c r="F690" s="25">
        <v>37</v>
      </c>
      <c r="G690" s="25">
        <v>42</v>
      </c>
      <c r="H690" s="25">
        <v>44</v>
      </c>
      <c r="I690" s="59">
        <f>SUM(F690:H690)</f>
        <v>123</v>
      </c>
      <c r="J690" s="25">
        <v>39</v>
      </c>
      <c r="K690" s="25">
        <v>36</v>
      </c>
      <c r="L690" s="25">
        <v>34</v>
      </c>
      <c r="M690" s="59">
        <f>SUM(J690:L690)</f>
        <v>109</v>
      </c>
      <c r="N690" s="25">
        <v>29</v>
      </c>
      <c r="O690" s="25">
        <v>23</v>
      </c>
      <c r="P690" s="25">
        <v>19</v>
      </c>
      <c r="Q690" s="59">
        <f>SUM(N690:P690)</f>
        <v>71</v>
      </c>
      <c r="R690" s="59">
        <f>+E690+I690+M690+Q690</f>
        <v>373</v>
      </c>
    </row>
    <row r="691" spans="1:18" ht="16.5" customHeight="1" thickBot="1" x14ac:dyDescent="0.35">
      <c r="A691" s="42"/>
      <c r="B691" s="37"/>
      <c r="C691" s="37"/>
      <c r="D691" s="37"/>
      <c r="E691" s="16"/>
      <c r="F691" s="37"/>
      <c r="G691" s="37"/>
      <c r="H691" s="37"/>
      <c r="I691" s="16"/>
      <c r="J691" s="37"/>
      <c r="K691" s="37"/>
      <c r="L691" s="37"/>
      <c r="M691" s="16"/>
      <c r="N691" s="37"/>
      <c r="O691" s="37"/>
      <c r="P691" s="37"/>
      <c r="Q691" s="16"/>
      <c r="R691" s="43"/>
    </row>
    <row r="692" spans="1:18" ht="15.75" customHeight="1" x14ac:dyDescent="0.3">
      <c r="A692" s="335" t="s">
        <v>507</v>
      </c>
      <c r="B692" s="336">
        <f>B690</f>
        <v>20</v>
      </c>
      <c r="C692" s="336">
        <f>C690</f>
        <v>22</v>
      </c>
      <c r="D692" s="336">
        <f>D690</f>
        <v>28</v>
      </c>
      <c r="E692" s="334">
        <f>SUM(B692:D692)</f>
        <v>70</v>
      </c>
      <c r="F692" s="336">
        <f>F690</f>
        <v>37</v>
      </c>
      <c r="G692" s="336">
        <f>G690</f>
        <v>42</v>
      </c>
      <c r="H692" s="336">
        <f>H690</f>
        <v>44</v>
      </c>
      <c r="I692" s="334">
        <f>SUM(F692:H692)</f>
        <v>123</v>
      </c>
      <c r="J692" s="336">
        <f>J690</f>
        <v>39</v>
      </c>
      <c r="K692" s="336">
        <f>K690</f>
        <v>36</v>
      </c>
      <c r="L692" s="336">
        <f>L690</f>
        <v>34</v>
      </c>
      <c r="M692" s="334">
        <f>SUM(J692:L692)</f>
        <v>109</v>
      </c>
      <c r="N692" s="336">
        <f>N690</f>
        <v>29</v>
      </c>
      <c r="O692" s="336">
        <f>O690</f>
        <v>23</v>
      </c>
      <c r="P692" s="336">
        <f>P690</f>
        <v>19</v>
      </c>
      <c r="Q692" s="334">
        <f>SUM(N692:P692)</f>
        <v>71</v>
      </c>
      <c r="R692" s="334">
        <f>+E692+I692+M692+Q692</f>
        <v>373</v>
      </c>
    </row>
    <row r="693" spans="1:18" ht="15.75" customHeight="1" x14ac:dyDescent="0.3">
      <c r="A693" s="85" t="s">
        <v>39</v>
      </c>
      <c r="B693" s="1">
        <f>(B692/B10)/1.983</f>
        <v>0.32534608689993977</v>
      </c>
      <c r="C693" s="1">
        <f>(C692/C10)/1.983</f>
        <v>0.38256212287199814</v>
      </c>
      <c r="D693" s="1">
        <f>(D692/D10)/1.983</f>
        <v>0.45548452165991571</v>
      </c>
      <c r="E693" s="59" t="s">
        <v>7</v>
      </c>
      <c r="F693" s="1">
        <f>(F692/F10)/1.983</f>
        <v>0.62195326945705165</v>
      </c>
      <c r="G693" s="1">
        <f>(G692/G10)/1.983</f>
        <v>0.68322678248987356</v>
      </c>
      <c r="H693" s="1">
        <f>(H692/H10)/1.983</f>
        <v>0.73962010421919644</v>
      </c>
      <c r="I693" s="59" t="s">
        <v>7</v>
      </c>
      <c r="J693" s="1">
        <f>(J692/J10)/1.983</f>
        <v>0.63442486945488263</v>
      </c>
      <c r="K693" s="1">
        <f>(K692/K10)/1.983</f>
        <v>0.5856229564198917</v>
      </c>
      <c r="L693" s="1">
        <f>(L692/L10)/1.983</f>
        <v>0.57152462598756093</v>
      </c>
      <c r="M693" s="59" t="s">
        <v>7</v>
      </c>
      <c r="N693" s="1">
        <f>(N692/N10)/1.983</f>
        <v>0.47175182600491267</v>
      </c>
      <c r="O693" s="1">
        <f>(O692/O10)/1.983</f>
        <v>0.38661959993276179</v>
      </c>
      <c r="P693" s="1">
        <f>(P692/P10)/1.983</f>
        <v>0.30907878255494281</v>
      </c>
      <c r="Q693" s="59" t="s">
        <v>7</v>
      </c>
      <c r="R693" s="59" t="s">
        <v>7</v>
      </c>
    </row>
    <row r="694" spans="1:18" ht="15.75" customHeight="1" x14ac:dyDescent="0.3">
      <c r="A694" s="85" t="s">
        <v>549</v>
      </c>
      <c r="B694" s="1">
        <f>B692+B730</f>
        <v>9563</v>
      </c>
      <c r="C694" s="1">
        <f>C692+C730</f>
        <v>18668</v>
      </c>
      <c r="D694" s="1">
        <f>D692+D730</f>
        <v>21569</v>
      </c>
      <c r="E694" s="59">
        <f>SUM(B694:D694)</f>
        <v>49800</v>
      </c>
      <c r="F694" s="1">
        <f>F692+F730</f>
        <v>23929</v>
      </c>
      <c r="G694" s="1">
        <f>G692+G730</f>
        <v>23673</v>
      </c>
      <c r="H694" s="1">
        <f>H692+H730</f>
        <v>23361</v>
      </c>
      <c r="I694" s="59">
        <f>SUM(F694:H694)</f>
        <v>70963</v>
      </c>
      <c r="J694" s="1">
        <f>J692+J730</f>
        <v>22119</v>
      </c>
      <c r="K694" s="1">
        <f>K692+K730</f>
        <v>20076</v>
      </c>
      <c r="L694" s="1">
        <f>L692+L730</f>
        <v>17717</v>
      </c>
      <c r="M694" s="59">
        <f>SUM(J694:L694)</f>
        <v>59912</v>
      </c>
      <c r="N694" s="1">
        <f>N692+N730</f>
        <v>10235</v>
      </c>
      <c r="O694" s="1">
        <f>O692+O730</f>
        <v>2939</v>
      </c>
      <c r="P694" s="1">
        <f>P692+P730</f>
        <v>7378</v>
      </c>
      <c r="Q694" s="59">
        <f>SUM(N694:P694)</f>
        <v>20552</v>
      </c>
      <c r="R694" s="59">
        <f>+E694+I694+M694+Q694</f>
        <v>201227</v>
      </c>
    </row>
    <row r="695" spans="1:18" ht="16.5" customHeight="1" thickBot="1" x14ac:dyDescent="0.35">
      <c r="A695" s="86" t="s">
        <v>550</v>
      </c>
      <c r="B695" s="87">
        <f>(B694/B10)/1.983</f>
        <v>155.56423145120621</v>
      </c>
      <c r="C695" s="87">
        <f>(C694/C10)/1.983</f>
        <v>324.62135044429374</v>
      </c>
      <c r="D695" s="87">
        <f>(D694/D10)/1.983</f>
        <v>350.86948741724007</v>
      </c>
      <c r="E695" s="88" t="s">
        <v>7</v>
      </c>
      <c r="F695" s="87">
        <f>(F694/F10)/1.983</f>
        <v>402.23566986048075</v>
      </c>
      <c r="G695" s="87">
        <f>(G694/G10)/1.983</f>
        <v>385.09589575911372</v>
      </c>
      <c r="H695" s="87">
        <f>(H694/H10)/1.983</f>
        <v>392.68784669692388</v>
      </c>
      <c r="I695" s="88" t="s">
        <v>7</v>
      </c>
      <c r="J695" s="87">
        <f>(J694/J10)/1.983</f>
        <v>359.81650480698841</v>
      </c>
      <c r="K695" s="87">
        <f>(K694/K10)/1.983</f>
        <v>326.58240203015959</v>
      </c>
      <c r="L695" s="87">
        <f>(L694/L10)/1.983</f>
        <v>297.81475878298875</v>
      </c>
      <c r="M695" s="88" t="s">
        <v>7</v>
      </c>
      <c r="N695" s="87">
        <f>(N694/N10)/1.983</f>
        <v>166.49585997104421</v>
      </c>
      <c r="O695" s="87">
        <f>(O694/O10)/1.983</f>
        <v>49.403261052277692</v>
      </c>
      <c r="P695" s="87">
        <f>(P694/P10)/1.983</f>
        <v>120.02017145738779</v>
      </c>
      <c r="Q695" s="88" t="s">
        <v>7</v>
      </c>
      <c r="R695" s="88" t="s">
        <v>7</v>
      </c>
    </row>
    <row r="696" spans="1:18" ht="15.75" customHeight="1" x14ac:dyDescent="0.3">
      <c r="A696" s="30"/>
      <c r="B696" s="1"/>
      <c r="C696" s="1"/>
      <c r="D696" s="1"/>
      <c r="E696" s="1"/>
      <c r="F696" s="1"/>
      <c r="G696" s="1"/>
      <c r="H696" s="1"/>
      <c r="I696" s="1"/>
      <c r="J696" s="1"/>
      <c r="K696" s="1"/>
      <c r="L696" s="1"/>
      <c r="M696" s="1"/>
      <c r="N696" s="1"/>
      <c r="O696" s="1"/>
      <c r="P696" s="1"/>
      <c r="Q696" s="1"/>
      <c r="R696" s="28"/>
    </row>
    <row r="697" spans="1:18" ht="15.75" customHeight="1" thickBot="1" x14ac:dyDescent="0.35">
      <c r="A697" s="30"/>
      <c r="B697" s="1"/>
      <c r="C697" s="1"/>
      <c r="D697" s="1"/>
      <c r="E697" s="1"/>
      <c r="F697" s="1"/>
      <c r="G697" s="1"/>
      <c r="H697" s="1"/>
      <c r="I697" s="1"/>
      <c r="J697" s="1"/>
      <c r="K697" s="1"/>
      <c r="L697" s="1"/>
      <c r="M697" s="1"/>
      <c r="N697" s="1"/>
      <c r="O697" s="1"/>
      <c r="P697" s="1"/>
      <c r="Q697" s="1"/>
      <c r="R697" s="28"/>
    </row>
    <row r="698" spans="1:18" ht="16.5" customHeight="1" thickBot="1" x14ac:dyDescent="0.35">
      <c r="A698" s="31" t="s">
        <v>551</v>
      </c>
      <c r="B698" s="323" t="s">
        <v>36</v>
      </c>
      <c r="C698" s="324" t="s">
        <v>9</v>
      </c>
      <c r="D698" s="324" t="s">
        <v>10</v>
      </c>
      <c r="E698" s="325" t="s">
        <v>11</v>
      </c>
      <c r="F698" s="324" t="s">
        <v>12</v>
      </c>
      <c r="G698" s="324" t="s">
        <v>13</v>
      </c>
      <c r="H698" s="324" t="s">
        <v>14</v>
      </c>
      <c r="I698" s="34" t="s">
        <v>15</v>
      </c>
      <c r="J698" s="324" t="s">
        <v>16</v>
      </c>
      <c r="K698" s="324" t="s">
        <v>17</v>
      </c>
      <c r="L698" s="324" t="s">
        <v>18</v>
      </c>
      <c r="M698" s="34" t="s">
        <v>19</v>
      </c>
      <c r="N698" s="324" t="s">
        <v>20</v>
      </c>
      <c r="O698" s="324" t="s">
        <v>21</v>
      </c>
      <c r="P698" s="324" t="s">
        <v>22</v>
      </c>
      <c r="Q698" s="34" t="s">
        <v>23</v>
      </c>
      <c r="R698" s="326" t="s">
        <v>24</v>
      </c>
    </row>
    <row r="699" spans="1:18" ht="16.5" customHeight="1" thickBot="1" x14ac:dyDescent="0.35">
      <c r="A699" s="42"/>
      <c r="B699" s="37"/>
      <c r="C699" s="37"/>
      <c r="D699" s="37"/>
      <c r="E699" s="16"/>
      <c r="F699" s="37"/>
      <c r="G699" s="37"/>
      <c r="H699" s="37"/>
      <c r="I699" s="16"/>
      <c r="J699" s="37"/>
      <c r="K699" s="37"/>
      <c r="L699" s="37"/>
      <c r="M699" s="16"/>
      <c r="N699" s="37"/>
      <c r="O699" s="37"/>
      <c r="P699" s="37"/>
      <c r="Q699" s="16"/>
      <c r="R699" s="39"/>
    </row>
    <row r="700" spans="1:18" ht="15.75" customHeight="1" x14ac:dyDescent="0.3">
      <c r="A700" s="17" t="s">
        <v>45</v>
      </c>
      <c r="B700" s="1" t="s">
        <v>7</v>
      </c>
      <c r="C700" s="1" t="s">
        <v>7</v>
      </c>
      <c r="D700" s="1" t="s">
        <v>7</v>
      </c>
      <c r="E700" s="59" t="s">
        <v>7</v>
      </c>
      <c r="F700" s="1" t="s">
        <v>7</v>
      </c>
      <c r="G700" s="1" t="s">
        <v>7</v>
      </c>
      <c r="H700" s="1" t="s">
        <v>7</v>
      </c>
      <c r="I700" s="59" t="s">
        <v>7</v>
      </c>
      <c r="J700" s="1" t="s">
        <v>7</v>
      </c>
      <c r="K700" s="1" t="s">
        <v>7</v>
      </c>
      <c r="L700" s="1" t="s">
        <v>7</v>
      </c>
      <c r="M700" s="59" t="s">
        <v>7</v>
      </c>
      <c r="N700" s="1" t="s">
        <v>7</v>
      </c>
      <c r="O700" s="1" t="s">
        <v>7</v>
      </c>
      <c r="P700" s="1" t="s">
        <v>7</v>
      </c>
      <c r="Q700" s="59" t="s">
        <v>7</v>
      </c>
      <c r="R700" s="59" t="s">
        <v>7</v>
      </c>
    </row>
    <row r="701" spans="1:18" ht="15.75" customHeight="1" x14ac:dyDescent="0.3">
      <c r="A701" s="17" t="s">
        <v>46</v>
      </c>
      <c r="B701" s="1"/>
      <c r="C701" s="1"/>
      <c r="D701" s="1"/>
      <c r="E701" s="59" t="s">
        <v>7</v>
      </c>
      <c r="F701" s="1"/>
      <c r="G701" s="1"/>
      <c r="H701" s="1"/>
      <c r="I701" s="59" t="s">
        <v>7</v>
      </c>
      <c r="J701" s="1"/>
      <c r="K701" s="1"/>
      <c r="L701" s="1"/>
      <c r="M701" s="59" t="s">
        <v>7</v>
      </c>
      <c r="N701" s="1"/>
      <c r="O701" s="1"/>
      <c r="P701" s="1"/>
      <c r="Q701" s="59" t="s">
        <v>7</v>
      </c>
      <c r="R701" s="59" t="s">
        <v>7</v>
      </c>
    </row>
    <row r="702" spans="1:18" ht="15.75" customHeight="1" x14ac:dyDescent="0.3">
      <c r="A702" s="74" t="s">
        <v>552</v>
      </c>
      <c r="B702" s="1">
        <v>3</v>
      </c>
      <c r="C702" s="1">
        <v>823</v>
      </c>
      <c r="D702" s="1">
        <v>234</v>
      </c>
      <c r="E702" s="59">
        <f>SUM(B702:D702)</f>
        <v>1060</v>
      </c>
      <c r="F702" s="1">
        <v>1471</v>
      </c>
      <c r="G702" s="1">
        <v>1027</v>
      </c>
      <c r="H702" s="1">
        <v>1491</v>
      </c>
      <c r="I702" s="59">
        <f>SUM(F702:H702)</f>
        <v>3989</v>
      </c>
      <c r="J702" s="1">
        <v>183</v>
      </c>
      <c r="K702" s="1">
        <v>1280</v>
      </c>
      <c r="L702" s="1">
        <v>659</v>
      </c>
      <c r="M702" s="59">
        <f>SUM(J702:L702)</f>
        <v>2122</v>
      </c>
      <c r="N702" s="1">
        <v>175</v>
      </c>
      <c r="O702" s="1">
        <v>357</v>
      </c>
      <c r="P702" s="1">
        <v>607</v>
      </c>
      <c r="Q702" s="59">
        <f>SUM(N702:P702)</f>
        <v>1139</v>
      </c>
      <c r="R702" s="59">
        <f>+E702+I702+M702+Q702</f>
        <v>8310</v>
      </c>
    </row>
    <row r="703" spans="1:18" ht="15.75" customHeight="1" x14ac:dyDescent="0.3">
      <c r="A703" s="74" t="s">
        <v>553</v>
      </c>
      <c r="B703" s="1">
        <v>308</v>
      </c>
      <c r="C703" s="1">
        <v>690</v>
      </c>
      <c r="D703" s="1">
        <v>930</v>
      </c>
      <c r="E703" s="59">
        <f>SUM(B703:D703)</f>
        <v>1928</v>
      </c>
      <c r="F703" s="1">
        <v>955</v>
      </c>
      <c r="G703" s="1">
        <v>931</v>
      </c>
      <c r="H703" s="1">
        <v>1146</v>
      </c>
      <c r="I703" s="59">
        <f>SUM(F703:H703)</f>
        <v>3032</v>
      </c>
      <c r="J703" s="1">
        <v>720</v>
      </c>
      <c r="K703" s="1">
        <v>727</v>
      </c>
      <c r="L703" s="1">
        <v>30</v>
      </c>
      <c r="M703" s="59">
        <f>SUM(J703:L703)</f>
        <v>1477</v>
      </c>
      <c r="N703" s="1"/>
      <c r="O703" s="1"/>
      <c r="P703" s="1"/>
      <c r="Q703" s="59">
        <f>SUM(N703:P703)</f>
        <v>0</v>
      </c>
      <c r="R703" s="59">
        <f>+E703+I703+M703+Q703</f>
        <v>6437</v>
      </c>
    </row>
    <row r="704" spans="1:18" ht="15.75" customHeight="1" x14ac:dyDescent="0.3">
      <c r="A704" s="74" t="s">
        <v>554</v>
      </c>
      <c r="B704" s="1">
        <v>35</v>
      </c>
      <c r="C704" s="1">
        <v>28</v>
      </c>
      <c r="D704" s="1">
        <v>26</v>
      </c>
      <c r="E704" s="59">
        <f>SUM(B704:D704)</f>
        <v>89</v>
      </c>
      <c r="F704" s="1">
        <v>64</v>
      </c>
      <c r="G704" s="1">
        <v>36</v>
      </c>
      <c r="H704" s="1"/>
      <c r="I704" s="59">
        <f>SUM(F704:H704)</f>
        <v>100</v>
      </c>
      <c r="J704" s="1"/>
      <c r="K704" s="1"/>
      <c r="L704" s="1"/>
      <c r="M704" s="59">
        <f>SUM(J704:L704)</f>
        <v>0</v>
      </c>
      <c r="N704" s="1"/>
      <c r="O704" s="1"/>
      <c r="P704" s="1"/>
      <c r="Q704" s="59">
        <f>SUM(N704:P704)</f>
        <v>0</v>
      </c>
      <c r="R704" s="59">
        <f>+E704+I704+M704+Q704</f>
        <v>189</v>
      </c>
    </row>
    <row r="705" spans="1:18" ht="15.75" customHeight="1" x14ac:dyDescent="0.3">
      <c r="A705" s="17" t="s">
        <v>47</v>
      </c>
      <c r="B705" s="1"/>
      <c r="C705" s="1"/>
      <c r="D705" s="1"/>
      <c r="E705" s="59" t="s">
        <v>7</v>
      </c>
      <c r="F705" s="1"/>
      <c r="G705" s="1"/>
      <c r="H705" s="1"/>
      <c r="I705" s="59" t="s">
        <v>7</v>
      </c>
      <c r="J705" s="1"/>
      <c r="K705" s="1"/>
      <c r="L705" s="1"/>
      <c r="M705" s="59" t="s">
        <v>7</v>
      </c>
      <c r="N705" s="1"/>
      <c r="O705" s="1"/>
      <c r="P705" s="1"/>
      <c r="Q705" s="59" t="s">
        <v>7</v>
      </c>
      <c r="R705" s="59" t="s">
        <v>7</v>
      </c>
    </row>
    <row r="706" spans="1:18" ht="15.75" customHeight="1" x14ac:dyDescent="0.3">
      <c r="A706" s="17" t="s">
        <v>49</v>
      </c>
      <c r="B706" s="1"/>
      <c r="C706" s="1"/>
      <c r="D706" s="1"/>
      <c r="E706" s="59" t="s">
        <v>7</v>
      </c>
      <c r="F706" s="1"/>
      <c r="G706" s="1"/>
      <c r="H706" s="1"/>
      <c r="I706" s="59" t="s">
        <v>7</v>
      </c>
      <c r="J706" s="1"/>
      <c r="K706" s="1"/>
      <c r="L706" s="1"/>
      <c r="M706" s="59" t="s">
        <v>7</v>
      </c>
      <c r="N706" s="1"/>
      <c r="O706" s="1"/>
      <c r="P706" s="1"/>
      <c r="Q706" s="59" t="s">
        <v>7</v>
      </c>
      <c r="R706" s="59" t="s">
        <v>7</v>
      </c>
    </row>
    <row r="707" spans="1:18" ht="15.75" customHeight="1" thickBot="1" x14ac:dyDescent="0.35">
      <c r="A707" s="17" t="s">
        <v>51</v>
      </c>
      <c r="B707" s="1"/>
      <c r="C707" s="1"/>
      <c r="D707" s="1"/>
      <c r="E707" s="59" t="s">
        <v>7</v>
      </c>
      <c r="F707" s="1"/>
      <c r="G707" s="1"/>
      <c r="H707" s="1"/>
      <c r="I707" s="59" t="s">
        <v>7</v>
      </c>
      <c r="J707" s="1"/>
      <c r="K707" s="1"/>
      <c r="L707" s="1"/>
      <c r="M707" s="59" t="s">
        <v>7</v>
      </c>
      <c r="N707" s="1"/>
      <c r="O707" s="1"/>
      <c r="P707" s="1"/>
      <c r="Q707" s="59" t="s">
        <v>7</v>
      </c>
      <c r="R707" s="59" t="s">
        <v>7</v>
      </c>
    </row>
    <row r="708" spans="1:18" ht="16.5" customHeight="1" thickBot="1" x14ac:dyDescent="0.35">
      <c r="A708" s="126" t="s">
        <v>52</v>
      </c>
      <c r="B708" s="100">
        <f>SUM(B700:B707)</f>
        <v>346</v>
      </c>
      <c r="C708" s="101">
        <f>SUM(C700:C707)</f>
        <v>1541</v>
      </c>
      <c r="D708" s="101">
        <f>SUM(D700:D707)</f>
        <v>1190</v>
      </c>
      <c r="E708" s="64">
        <f>SUM(B708:D708)</f>
        <v>3077</v>
      </c>
      <c r="F708" s="101">
        <f>SUM(F700:F707)</f>
        <v>2490</v>
      </c>
      <c r="G708" s="101">
        <f>SUM(G700:G707)</f>
        <v>1994</v>
      </c>
      <c r="H708" s="101">
        <f>SUM(H700:H707)</f>
        <v>2637</v>
      </c>
      <c r="I708" s="64">
        <f>SUM(F708:H708)</f>
        <v>7121</v>
      </c>
      <c r="J708" s="101">
        <f>SUM(J700:J707)</f>
        <v>903</v>
      </c>
      <c r="K708" s="101">
        <f>SUM(K700:K707)</f>
        <v>2007</v>
      </c>
      <c r="L708" s="101">
        <f>SUM(L700:L707)</f>
        <v>689</v>
      </c>
      <c r="M708" s="64">
        <f>SUM(J708:L708)</f>
        <v>3599</v>
      </c>
      <c r="N708" s="101">
        <f>SUM(N700:N707)</f>
        <v>175</v>
      </c>
      <c r="O708" s="101">
        <f>SUM(O700:O707)</f>
        <v>357</v>
      </c>
      <c r="P708" s="101">
        <f>SUM(P700:P707)</f>
        <v>607</v>
      </c>
      <c r="Q708" s="64">
        <f>SUM(N708:P708)</f>
        <v>1139</v>
      </c>
      <c r="R708" s="64">
        <f>+E708+I708+M708+Q708</f>
        <v>14936</v>
      </c>
    </row>
    <row r="709" spans="1:18" ht="15.75" customHeight="1" x14ac:dyDescent="0.3">
      <c r="A709" s="17" t="s">
        <v>53</v>
      </c>
      <c r="B709" s="1"/>
      <c r="C709" s="1"/>
      <c r="D709" s="1"/>
      <c r="E709" s="59" t="s">
        <v>7</v>
      </c>
      <c r="F709" s="1"/>
      <c r="G709" s="1"/>
      <c r="H709" s="1"/>
      <c r="I709" s="59" t="s">
        <v>7</v>
      </c>
      <c r="J709" s="1"/>
      <c r="K709" s="1"/>
      <c r="L709" s="1"/>
      <c r="M709" s="59" t="s">
        <v>7</v>
      </c>
      <c r="N709" s="1"/>
      <c r="O709" s="1"/>
      <c r="P709" s="1"/>
      <c r="Q709" s="59" t="s">
        <v>7</v>
      </c>
      <c r="R709" s="59" t="s">
        <v>7</v>
      </c>
    </row>
    <row r="710" spans="1:18" ht="15.75" customHeight="1" x14ac:dyDescent="0.3">
      <c r="A710" s="17" t="s">
        <v>55</v>
      </c>
      <c r="B710" s="1"/>
      <c r="C710" s="1"/>
      <c r="D710" s="1"/>
      <c r="E710" s="59" t="s">
        <v>7</v>
      </c>
      <c r="F710" s="1"/>
      <c r="G710" s="1"/>
      <c r="H710" s="1"/>
      <c r="I710" s="59" t="s">
        <v>7</v>
      </c>
      <c r="J710" s="1"/>
      <c r="K710" s="1"/>
      <c r="L710" s="1"/>
      <c r="M710" s="59" t="s">
        <v>7</v>
      </c>
      <c r="N710" s="1"/>
      <c r="O710" s="1"/>
      <c r="P710" s="1"/>
      <c r="Q710" s="59" t="s">
        <v>7</v>
      </c>
      <c r="R710" s="59" t="s">
        <v>7</v>
      </c>
    </row>
    <row r="711" spans="1:18" ht="15.75" customHeight="1" thickBot="1" x14ac:dyDescent="0.35">
      <c r="A711" s="17" t="s">
        <v>56</v>
      </c>
      <c r="B711" s="1"/>
      <c r="C711" s="1"/>
      <c r="D711" s="1"/>
      <c r="E711" s="59" t="s">
        <v>7</v>
      </c>
      <c r="F711" s="1"/>
      <c r="G711" s="1"/>
      <c r="H711" s="1"/>
      <c r="I711" s="59" t="s">
        <v>7</v>
      </c>
      <c r="J711" s="1"/>
      <c r="K711" s="1"/>
      <c r="L711" s="1"/>
      <c r="M711" s="59" t="s">
        <v>7</v>
      </c>
      <c r="N711" s="1"/>
      <c r="O711" s="1"/>
      <c r="P711" s="1"/>
      <c r="Q711" s="59" t="s">
        <v>7</v>
      </c>
      <c r="R711" s="59" t="s">
        <v>7</v>
      </c>
    </row>
    <row r="712" spans="1:18" ht="16.5" customHeight="1" thickBot="1" x14ac:dyDescent="0.35">
      <c r="A712" s="62" t="s">
        <v>57</v>
      </c>
      <c r="B712" s="100">
        <f>SUM(B709:B711)</f>
        <v>0</v>
      </c>
      <c r="C712" s="101">
        <f>SUM(C709:C711)</f>
        <v>0</v>
      </c>
      <c r="D712" s="101">
        <f>SUM(D709:D711)</f>
        <v>0</v>
      </c>
      <c r="E712" s="64">
        <f>SUM(B712:D712)</f>
        <v>0</v>
      </c>
      <c r="F712" s="101">
        <f>SUM(F709:F711)</f>
        <v>0</v>
      </c>
      <c r="G712" s="101">
        <f>SUM(G709:G711)</f>
        <v>0</v>
      </c>
      <c r="H712" s="101">
        <f>SUM(H709:H711)</f>
        <v>0</v>
      </c>
      <c r="I712" s="64">
        <f>SUM(F712:H712)</f>
        <v>0</v>
      </c>
      <c r="J712" s="101">
        <f>SUM(J709:J711)</f>
        <v>0</v>
      </c>
      <c r="K712" s="101">
        <f>SUM(K709:K711)</f>
        <v>0</v>
      </c>
      <c r="L712" s="101">
        <f>SUM(L709:L711)</f>
        <v>0</v>
      </c>
      <c r="M712" s="64">
        <f>SUM(J712:L712)</f>
        <v>0</v>
      </c>
      <c r="N712" s="101">
        <f>SUM(N709:N711)</f>
        <v>0</v>
      </c>
      <c r="O712" s="101">
        <f>SUM(O709:O711)</f>
        <v>0</v>
      </c>
      <c r="P712" s="101">
        <f>SUM(P709:P711)</f>
        <v>0</v>
      </c>
      <c r="Q712" s="64">
        <f>SUM(N712:P712)</f>
        <v>0</v>
      </c>
      <c r="R712" s="64">
        <f>+E712+I712+M712+Q712</f>
        <v>0</v>
      </c>
    </row>
    <row r="713" spans="1:18" ht="15.75" customHeight="1" x14ac:dyDescent="0.3">
      <c r="A713" s="17" t="s">
        <v>58</v>
      </c>
      <c r="B713" s="1"/>
      <c r="C713" s="1"/>
      <c r="D713" s="1"/>
      <c r="E713" s="59" t="s">
        <v>7</v>
      </c>
      <c r="F713" s="1"/>
      <c r="G713" s="1"/>
      <c r="H713" s="1"/>
      <c r="I713" s="59" t="s">
        <v>7</v>
      </c>
      <c r="J713" s="1"/>
      <c r="K713" s="1"/>
      <c r="L713" s="1"/>
      <c r="M713" s="59" t="s">
        <v>7</v>
      </c>
      <c r="N713" s="1"/>
      <c r="O713" s="1"/>
      <c r="P713" s="1"/>
      <c r="Q713" s="59" t="s">
        <v>7</v>
      </c>
      <c r="R713" s="59" t="s">
        <v>7</v>
      </c>
    </row>
    <row r="714" spans="1:18" ht="15.75" customHeight="1" x14ac:dyDescent="0.3">
      <c r="A714" s="17" t="s">
        <v>59</v>
      </c>
      <c r="B714" s="1"/>
      <c r="C714" s="1"/>
      <c r="D714" s="1"/>
      <c r="E714" s="59" t="s">
        <v>7</v>
      </c>
      <c r="F714" s="1"/>
      <c r="G714" s="1"/>
      <c r="H714" s="1"/>
      <c r="I714" s="59" t="s">
        <v>7</v>
      </c>
      <c r="J714" s="1"/>
      <c r="K714" s="1"/>
      <c r="L714" s="1"/>
      <c r="M714" s="59" t="s">
        <v>7</v>
      </c>
      <c r="N714" s="1"/>
      <c r="O714" s="1"/>
      <c r="P714" s="1"/>
      <c r="Q714" s="59" t="s">
        <v>7</v>
      </c>
      <c r="R714" s="59" t="s">
        <v>7</v>
      </c>
    </row>
    <row r="715" spans="1:18" ht="15.75" customHeight="1" thickBot="1" x14ac:dyDescent="0.35">
      <c r="A715" s="17" t="s">
        <v>60</v>
      </c>
      <c r="B715" s="1"/>
      <c r="C715" s="1"/>
      <c r="D715" s="1"/>
      <c r="E715" s="59" t="s">
        <v>7</v>
      </c>
      <c r="F715" s="1"/>
      <c r="G715" s="1"/>
      <c r="H715" s="1"/>
      <c r="I715" s="59" t="s">
        <v>7</v>
      </c>
      <c r="J715" s="1"/>
      <c r="K715" s="1"/>
      <c r="L715" s="1"/>
      <c r="M715" s="59" t="s">
        <v>7</v>
      </c>
      <c r="N715" s="1"/>
      <c r="O715" s="1"/>
      <c r="P715" s="1"/>
      <c r="Q715" s="59" t="s">
        <v>7</v>
      </c>
      <c r="R715" s="59" t="s">
        <v>7</v>
      </c>
    </row>
    <row r="716" spans="1:18" ht="16.5" customHeight="1" thickBot="1" x14ac:dyDescent="0.35">
      <c r="A716" s="137" t="s">
        <v>61</v>
      </c>
      <c r="B716" s="100">
        <f>SUM(B713:B715)</f>
        <v>0</v>
      </c>
      <c r="C716" s="101">
        <f>SUM(C713:C715)</f>
        <v>0</v>
      </c>
      <c r="D716" s="101">
        <f>SUM(D713:D715)</f>
        <v>0</v>
      </c>
      <c r="E716" s="64">
        <f>SUM(B716:D716)</f>
        <v>0</v>
      </c>
      <c r="F716" s="101">
        <f>SUM(F713:F715)</f>
        <v>0</v>
      </c>
      <c r="G716" s="101">
        <f>SUM(G713:G715)</f>
        <v>0</v>
      </c>
      <c r="H716" s="101">
        <f>SUM(H713:H715)</f>
        <v>0</v>
      </c>
      <c r="I716" s="64">
        <f>SUM(F716:H716)</f>
        <v>0</v>
      </c>
      <c r="J716" s="101">
        <f>SUM(J713:J715)</f>
        <v>0</v>
      </c>
      <c r="K716" s="101">
        <f>SUM(K713:K715)</f>
        <v>0</v>
      </c>
      <c r="L716" s="101">
        <f>SUM(L713:L715)</f>
        <v>0</v>
      </c>
      <c r="M716" s="64">
        <f>SUM(J716:L716)</f>
        <v>0</v>
      </c>
      <c r="N716" s="101">
        <f>SUM(N713:N715)</f>
        <v>0</v>
      </c>
      <c r="O716" s="101">
        <f>SUM(O713:O715)</f>
        <v>0</v>
      </c>
      <c r="P716" s="101">
        <f>SUM(P713:P715)</f>
        <v>0</v>
      </c>
      <c r="Q716" s="64">
        <f>SUM(N716:P716)</f>
        <v>0</v>
      </c>
      <c r="R716" s="64">
        <f>+E716+I716+M716+Q716</f>
        <v>0</v>
      </c>
    </row>
    <row r="717" spans="1:18" ht="15.75" customHeight="1" x14ac:dyDescent="0.3">
      <c r="A717" s="17" t="s">
        <v>62</v>
      </c>
      <c r="B717" s="1"/>
      <c r="C717" s="1"/>
      <c r="D717" s="1"/>
      <c r="E717" s="59" t="s">
        <v>7</v>
      </c>
      <c r="F717" s="1"/>
      <c r="G717" s="1"/>
      <c r="H717" s="1"/>
      <c r="I717" s="59" t="s">
        <v>7</v>
      </c>
      <c r="J717" s="1"/>
      <c r="K717" s="1"/>
      <c r="L717" s="1"/>
      <c r="M717" s="59" t="s">
        <v>7</v>
      </c>
      <c r="N717" s="1"/>
      <c r="O717" s="1"/>
      <c r="P717" s="1"/>
      <c r="Q717" s="59" t="s">
        <v>7</v>
      </c>
      <c r="R717" s="59" t="s">
        <v>7</v>
      </c>
    </row>
    <row r="718" spans="1:18" ht="15.75" customHeight="1" x14ac:dyDescent="0.3">
      <c r="A718" s="17" t="s">
        <v>63</v>
      </c>
      <c r="B718" s="1"/>
      <c r="C718" s="1"/>
      <c r="D718" s="1"/>
      <c r="E718" s="59" t="s">
        <v>7</v>
      </c>
      <c r="F718" s="1"/>
      <c r="G718" s="1"/>
      <c r="H718" s="1"/>
      <c r="I718" s="59" t="s">
        <v>7</v>
      </c>
      <c r="J718" s="1"/>
      <c r="K718" s="1"/>
      <c r="L718" s="1"/>
      <c r="M718" s="59" t="s">
        <v>7</v>
      </c>
      <c r="N718" s="1"/>
      <c r="O718" s="1"/>
      <c r="P718" s="1"/>
      <c r="Q718" s="59" t="s">
        <v>7</v>
      </c>
      <c r="R718" s="59" t="s">
        <v>7</v>
      </c>
    </row>
    <row r="719" spans="1:18" ht="15.75" customHeight="1" x14ac:dyDescent="0.3">
      <c r="A719" s="17" t="s">
        <v>64</v>
      </c>
      <c r="B719" s="1"/>
      <c r="C719" s="1"/>
      <c r="D719" s="1"/>
      <c r="E719" s="59" t="s">
        <v>7</v>
      </c>
      <c r="F719" s="1"/>
      <c r="G719" s="1"/>
      <c r="H719" s="1"/>
      <c r="I719" s="59" t="s">
        <v>7</v>
      </c>
      <c r="J719" s="1"/>
      <c r="K719" s="1"/>
      <c r="L719" s="1"/>
      <c r="M719" s="59" t="s">
        <v>7</v>
      </c>
      <c r="N719" s="1"/>
      <c r="O719" s="1"/>
      <c r="P719" s="1"/>
      <c r="Q719" s="59" t="s">
        <v>7</v>
      </c>
      <c r="R719" s="59" t="s">
        <v>7</v>
      </c>
    </row>
    <row r="720" spans="1:18" ht="15.75" customHeight="1" x14ac:dyDescent="0.3">
      <c r="A720" s="74" t="s">
        <v>555</v>
      </c>
      <c r="B720" s="1"/>
      <c r="C720" s="1"/>
      <c r="D720" s="1"/>
      <c r="E720" s="59">
        <f>SUM(B720:D720)</f>
        <v>0</v>
      </c>
      <c r="F720" s="1"/>
      <c r="G720" s="1"/>
      <c r="H720" s="1"/>
      <c r="I720" s="59">
        <f>SUM(F720:H720)</f>
        <v>0</v>
      </c>
      <c r="J720" s="1"/>
      <c r="K720" s="1"/>
      <c r="L720" s="1"/>
      <c r="M720" s="59">
        <f>SUM(J720:L720)</f>
        <v>0</v>
      </c>
      <c r="N720" s="1"/>
      <c r="O720" s="1"/>
      <c r="P720" s="1"/>
      <c r="Q720" s="59">
        <f>SUM(N720:P720)</f>
        <v>0</v>
      </c>
      <c r="R720" s="59">
        <f>+E720+I720+M720+Q720</f>
        <v>0</v>
      </c>
    </row>
    <row r="721" spans="1:18" ht="15.75" customHeight="1" x14ac:dyDescent="0.3">
      <c r="A721" s="17" t="s">
        <v>66</v>
      </c>
      <c r="B721" s="1"/>
      <c r="C721" s="1"/>
      <c r="D721" s="1"/>
      <c r="E721" s="59" t="s">
        <v>7</v>
      </c>
      <c r="F721" s="1"/>
      <c r="G721" s="1"/>
      <c r="H721" s="1"/>
      <c r="I721" s="59" t="s">
        <v>7</v>
      </c>
      <c r="J721" s="1"/>
      <c r="K721" s="1"/>
      <c r="L721" s="1"/>
      <c r="M721" s="59" t="s">
        <v>7</v>
      </c>
      <c r="N721" s="1"/>
      <c r="O721" s="1"/>
      <c r="P721" s="1"/>
      <c r="Q721" s="59" t="s">
        <v>7</v>
      </c>
      <c r="R721" s="59" t="s">
        <v>7</v>
      </c>
    </row>
    <row r="722" spans="1:18" ht="15.75" customHeight="1" thickBot="1" x14ac:dyDescent="0.35">
      <c r="A722" s="17" t="s">
        <v>67</v>
      </c>
      <c r="B722" s="1"/>
      <c r="C722" s="1"/>
      <c r="D722" s="1"/>
      <c r="E722" s="59" t="s">
        <v>7</v>
      </c>
      <c r="F722" s="1"/>
      <c r="G722" s="1"/>
      <c r="H722" s="1"/>
      <c r="I722" s="59" t="s">
        <v>7</v>
      </c>
      <c r="J722" s="1"/>
      <c r="K722" s="1"/>
      <c r="L722" s="1"/>
      <c r="M722" s="59" t="s">
        <v>7</v>
      </c>
      <c r="N722" s="1"/>
      <c r="O722" s="1"/>
      <c r="P722" s="1"/>
      <c r="Q722" s="59" t="s">
        <v>7</v>
      </c>
      <c r="R722" s="59" t="s">
        <v>7</v>
      </c>
    </row>
    <row r="723" spans="1:18" ht="16.5" customHeight="1" thickBot="1" x14ac:dyDescent="0.35">
      <c r="A723" s="62" t="s">
        <v>68</v>
      </c>
      <c r="B723" s="63">
        <f>SUM(B721:B722)</f>
        <v>0</v>
      </c>
      <c r="C723" s="63">
        <f>SUM(C721:C722)</f>
        <v>0</v>
      </c>
      <c r="D723" s="63">
        <f>SUM(D721:D722)</f>
        <v>0</v>
      </c>
      <c r="E723" s="334">
        <f>SUM(B723:D723)</f>
        <v>0</v>
      </c>
      <c r="F723" s="63">
        <f>SUM(F721:F722)</f>
        <v>0</v>
      </c>
      <c r="G723" s="63">
        <f>SUM(G721:G722)</f>
        <v>0</v>
      </c>
      <c r="H723" s="63">
        <f>SUM(H721:H722)</f>
        <v>0</v>
      </c>
      <c r="I723" s="334">
        <f>SUM(F723:H723)</f>
        <v>0</v>
      </c>
      <c r="J723" s="63">
        <f>SUM(J721:J722)</f>
        <v>0</v>
      </c>
      <c r="K723" s="63">
        <f>SUM(K721:K722)</f>
        <v>0</v>
      </c>
      <c r="L723" s="63">
        <f>SUM(L721:L722)</f>
        <v>0</v>
      </c>
      <c r="M723" s="334">
        <f>SUM(J723:L723)</f>
        <v>0</v>
      </c>
      <c r="N723" s="63">
        <f>SUM(N721:N722)</f>
        <v>0</v>
      </c>
      <c r="O723" s="63">
        <f>SUM(O721:O722)</f>
        <v>0</v>
      </c>
      <c r="P723" s="63">
        <f>SUM(P721:P722)</f>
        <v>0</v>
      </c>
      <c r="Q723" s="334">
        <f>SUM(N723:P723)</f>
        <v>0</v>
      </c>
      <c r="R723" s="64">
        <f>+E723+I723+M723+Q723</f>
        <v>0</v>
      </c>
    </row>
    <row r="724" spans="1:18" ht="16.5" customHeight="1" thickBot="1" x14ac:dyDescent="0.35">
      <c r="A724" s="137" t="s">
        <v>69</v>
      </c>
      <c r="B724" s="100">
        <f>SUM(B717:B722)</f>
        <v>0</v>
      </c>
      <c r="C724" s="101">
        <f>SUM(C717:C722)</f>
        <v>0</v>
      </c>
      <c r="D724" s="138">
        <f>SUM(D717:D722)</f>
        <v>0</v>
      </c>
      <c r="E724" s="334">
        <f>SUM(B724:D724)</f>
        <v>0</v>
      </c>
      <c r="F724" s="101">
        <f>SUM(F717:F722)</f>
        <v>0</v>
      </c>
      <c r="G724" s="101">
        <f>SUM(G717:G722)</f>
        <v>0</v>
      </c>
      <c r="H724" s="101">
        <f>SUM(H717:H722)</f>
        <v>0</v>
      </c>
      <c r="I724" s="334">
        <f>SUM(F724:H724)</f>
        <v>0</v>
      </c>
      <c r="J724" s="101">
        <f>SUM(J717:J722)</f>
        <v>0</v>
      </c>
      <c r="K724" s="101">
        <f>SUM(K717:K722)</f>
        <v>0</v>
      </c>
      <c r="L724" s="101">
        <f>SUM(L717:L722)</f>
        <v>0</v>
      </c>
      <c r="M724" s="334">
        <f>SUM(J724:L724)</f>
        <v>0</v>
      </c>
      <c r="N724" s="101">
        <f>SUM(N717:N722)</f>
        <v>0</v>
      </c>
      <c r="O724" s="101">
        <f>SUM(O717:O722)</f>
        <v>0</v>
      </c>
      <c r="P724" s="101">
        <f>SUM(P717:P722)</f>
        <v>0</v>
      </c>
      <c r="Q724" s="334">
        <f>SUM(N724:P724)</f>
        <v>0</v>
      </c>
      <c r="R724" s="64">
        <f>+E724+I724+M724+Q724</f>
        <v>0</v>
      </c>
    </row>
    <row r="725" spans="1:18" ht="16.5" customHeight="1" thickBot="1" x14ac:dyDescent="0.35">
      <c r="A725" s="62" t="s">
        <v>70</v>
      </c>
      <c r="B725" s="107">
        <f>+B708+B712+B716+B724</f>
        <v>346</v>
      </c>
      <c r="C725" s="63">
        <f>+C708+C712+C716+C724</f>
        <v>1541</v>
      </c>
      <c r="D725" s="63">
        <f>+D708+D712+D716+D724</f>
        <v>1190</v>
      </c>
      <c r="E725" s="64">
        <f>SUM(B725:D725)</f>
        <v>3077</v>
      </c>
      <c r="F725" s="63">
        <f>+F708+F712+F716+F724</f>
        <v>2490</v>
      </c>
      <c r="G725" s="63">
        <f>+G708+G712+G716+G724</f>
        <v>1994</v>
      </c>
      <c r="H725" s="63">
        <f>+H708+H712+H716+H724</f>
        <v>2637</v>
      </c>
      <c r="I725" s="64">
        <f>SUM(F725:H725)</f>
        <v>7121</v>
      </c>
      <c r="J725" s="63">
        <f>+J708+J712+J716+J724</f>
        <v>903</v>
      </c>
      <c r="K725" s="63">
        <f>+K708+K712+K716+K724</f>
        <v>2007</v>
      </c>
      <c r="L725" s="63">
        <f>+L708+L712+L716+L724</f>
        <v>689</v>
      </c>
      <c r="M725" s="64">
        <f>SUM(J725:L725)</f>
        <v>3599</v>
      </c>
      <c r="N725" s="63">
        <f>+N708+N712+N716+N724</f>
        <v>175</v>
      </c>
      <c r="O725" s="63">
        <f>+O708+O712+O716+O724</f>
        <v>357</v>
      </c>
      <c r="P725" s="63">
        <f>+P708+P712+P716+P724</f>
        <v>607</v>
      </c>
      <c r="Q725" s="64">
        <f>SUM(N725:P725)</f>
        <v>1139</v>
      </c>
      <c r="R725" s="88">
        <f>+E725+I725+M725+Q725</f>
        <v>14936</v>
      </c>
    </row>
    <row r="726" spans="1:18" ht="16.5" customHeight="1" thickBot="1" x14ac:dyDescent="0.35">
      <c r="A726" s="40" t="s">
        <v>37</v>
      </c>
      <c r="B726" s="25">
        <v>10</v>
      </c>
      <c r="C726" s="25">
        <v>11</v>
      </c>
      <c r="D726" s="25">
        <v>14</v>
      </c>
      <c r="E726" s="59">
        <f>SUM(B726:D726)</f>
        <v>35</v>
      </c>
      <c r="F726" s="25">
        <v>18</v>
      </c>
      <c r="G726" s="25">
        <v>21</v>
      </c>
      <c r="H726" s="25">
        <v>22</v>
      </c>
      <c r="I726" s="59">
        <f>SUM(F726:H726)</f>
        <v>61</v>
      </c>
      <c r="J726" s="25">
        <v>19</v>
      </c>
      <c r="K726" s="25">
        <v>17</v>
      </c>
      <c r="L726" s="25">
        <v>17</v>
      </c>
      <c r="M726" s="59">
        <f>SUM(J726:L726)</f>
        <v>53</v>
      </c>
      <c r="N726" s="25">
        <v>14</v>
      </c>
      <c r="O726" s="25">
        <v>11</v>
      </c>
      <c r="P726" s="25">
        <v>9</v>
      </c>
      <c r="Q726" s="59">
        <f>SUM(N726:P726)</f>
        <v>34</v>
      </c>
      <c r="R726" s="59">
        <f>+E726+I726+M726+Q726</f>
        <v>183</v>
      </c>
    </row>
    <row r="727" spans="1:18" ht="16.5" customHeight="1" thickBot="1" x14ac:dyDescent="0.35">
      <c r="A727" s="42"/>
      <c r="B727" s="37"/>
      <c r="C727" s="37"/>
      <c r="D727" s="37"/>
      <c r="E727" s="16"/>
      <c r="F727" s="37"/>
      <c r="G727" s="37"/>
      <c r="H727" s="37"/>
      <c r="I727" s="16"/>
      <c r="J727" s="37"/>
      <c r="K727" s="37"/>
      <c r="L727" s="37"/>
      <c r="M727" s="345"/>
      <c r="N727" s="37"/>
      <c r="O727" s="37"/>
      <c r="P727" s="37"/>
      <c r="Q727" s="345"/>
      <c r="R727" s="327"/>
    </row>
    <row r="728" spans="1:18" ht="15.75" customHeight="1" x14ac:dyDescent="0.3">
      <c r="A728" s="17" t="s">
        <v>507</v>
      </c>
      <c r="B728" s="1">
        <f>SUM(B725:B726)</f>
        <v>356</v>
      </c>
      <c r="C728" s="1">
        <f>SUM(C725:C726)</f>
        <v>1552</v>
      </c>
      <c r="D728" s="1">
        <f>SUM(D725:D726)</f>
        <v>1204</v>
      </c>
      <c r="E728" s="59">
        <f>SUM(B728:D728)</f>
        <v>3112</v>
      </c>
      <c r="F728" s="1">
        <f>SUM(F725:F726)</f>
        <v>2508</v>
      </c>
      <c r="G728" s="1">
        <f>SUM(G725:G726)</f>
        <v>2015</v>
      </c>
      <c r="H728" s="1">
        <f>SUM(H725:H726)</f>
        <v>2659</v>
      </c>
      <c r="I728" s="334">
        <f>SUM(F728:H728)</f>
        <v>7182</v>
      </c>
      <c r="J728" s="1">
        <f>SUM(J725:J726)</f>
        <v>922</v>
      </c>
      <c r="K728" s="1">
        <f>SUM(K725:K726)</f>
        <v>2024</v>
      </c>
      <c r="L728" s="1">
        <f>SUM(L725:L726)</f>
        <v>706</v>
      </c>
      <c r="M728" s="334">
        <f>SUM(J728:L728)</f>
        <v>3652</v>
      </c>
      <c r="N728" s="1">
        <f>SUM(N725:N726)</f>
        <v>189</v>
      </c>
      <c r="O728" s="1">
        <f>SUM(O725:O726)</f>
        <v>368</v>
      </c>
      <c r="P728" s="1">
        <f>SUM(P725:P726)</f>
        <v>616</v>
      </c>
      <c r="Q728" s="334">
        <f>SUM(N728:P728)</f>
        <v>1173</v>
      </c>
      <c r="R728" s="334">
        <f>+E728+I728+M728+Q728</f>
        <v>15119</v>
      </c>
    </row>
    <row r="729" spans="1:18" ht="15.75" customHeight="1" x14ac:dyDescent="0.3">
      <c r="A729" s="17" t="s">
        <v>39</v>
      </c>
      <c r="B729" s="1">
        <f>(B728/B10)/1.983</f>
        <v>5.7911603468189288</v>
      </c>
      <c r="C729" s="1">
        <f>(C728/C10)/1.983</f>
        <v>26.988018849879143</v>
      </c>
      <c r="D729" s="1">
        <f>(D728/D10)/1.983</f>
        <v>19.585834431376373</v>
      </c>
      <c r="E729" s="59" t="s">
        <v>7</v>
      </c>
      <c r="F729" s="1">
        <f>(F728/F10)/1.983</f>
        <v>42.158345940494193</v>
      </c>
      <c r="G729" s="1">
        <f>(G728/G10)/1.983</f>
        <v>32.778618255168936</v>
      </c>
      <c r="H729" s="1">
        <f>(H728/H10)/1.983</f>
        <v>44.696587661791902</v>
      </c>
      <c r="I729" s="59" t="s">
        <v>7</v>
      </c>
      <c r="J729" s="1">
        <f>(J728/J10)/1.983</f>
        <v>14.998454606087225</v>
      </c>
      <c r="K729" s="1">
        <f>(K728/K10)/1.983</f>
        <v>32.925023994273907</v>
      </c>
      <c r="L729" s="1">
        <f>(L728/L10)/1.983</f>
        <v>11.867540763153471</v>
      </c>
      <c r="M729" s="59" t="s">
        <v>7</v>
      </c>
      <c r="N729" s="1">
        <f>(N728/N10)/1.983</f>
        <v>3.0745205212044309</v>
      </c>
      <c r="O729" s="1">
        <f>(O728/O10)/1.983</f>
        <v>6.1859135989241887</v>
      </c>
      <c r="P729" s="1">
        <f>(P728/P10)/1.983</f>
        <v>10.020659476518146</v>
      </c>
      <c r="Q729" s="59" t="s">
        <v>7</v>
      </c>
      <c r="R729" s="59" t="s">
        <v>7</v>
      </c>
    </row>
    <row r="730" spans="1:18" ht="15.75" customHeight="1" x14ac:dyDescent="0.3">
      <c r="A730" s="17" t="s">
        <v>556</v>
      </c>
      <c r="B730" s="1">
        <f>B728+B782</f>
        <v>9543</v>
      </c>
      <c r="C730" s="1">
        <f>C728+C782</f>
        <v>18646</v>
      </c>
      <c r="D730" s="1">
        <f>D728+D782</f>
        <v>21541</v>
      </c>
      <c r="E730" s="59">
        <f>SUM(B730:D730)</f>
        <v>49730</v>
      </c>
      <c r="F730" s="1">
        <f>F728+F782</f>
        <v>23892</v>
      </c>
      <c r="G730" s="1">
        <f>G728+G782</f>
        <v>23631</v>
      </c>
      <c r="H730" s="1">
        <f>H728+H782</f>
        <v>23317</v>
      </c>
      <c r="I730" s="59">
        <f>SUM(F730:H730)</f>
        <v>70840</v>
      </c>
      <c r="J730" s="1">
        <f>J728+J782</f>
        <v>22080</v>
      </c>
      <c r="K730" s="1">
        <f>K728+K782</f>
        <v>20040</v>
      </c>
      <c r="L730" s="1">
        <f>L728+L782</f>
        <v>17683</v>
      </c>
      <c r="M730" s="59">
        <f>SUM(J730:L730)</f>
        <v>59803</v>
      </c>
      <c r="N730" s="1">
        <f>N728+N782</f>
        <v>10206</v>
      </c>
      <c r="O730" s="1">
        <f>O728+O782</f>
        <v>2916</v>
      </c>
      <c r="P730" s="1">
        <f>P728+P782</f>
        <v>7359</v>
      </c>
      <c r="Q730" s="59">
        <f>SUM(N730:P730)</f>
        <v>20481</v>
      </c>
      <c r="R730" s="59">
        <f>+E730+I730+M730+Q730</f>
        <v>200854</v>
      </c>
    </row>
    <row r="731" spans="1:18" ht="16.5" customHeight="1" thickBot="1" x14ac:dyDescent="0.35">
      <c r="A731" s="24" t="s">
        <v>557</v>
      </c>
      <c r="B731" s="25">
        <f>(B730/B10)/1.983</f>
        <v>155.23888536430627</v>
      </c>
      <c r="C731" s="25">
        <f>(C730/C10)/1.983</f>
        <v>324.23878832142174</v>
      </c>
      <c r="D731" s="25">
        <f>(D730/D10)/1.983</f>
        <v>350.41400289558015</v>
      </c>
      <c r="E731" s="88" t="s">
        <v>7</v>
      </c>
      <c r="F731" s="25">
        <f>(F730/F10)/1.983</f>
        <v>401.61371659102366</v>
      </c>
      <c r="G731" s="25">
        <f>(G730/G10)/1.983</f>
        <v>384.41266897662382</v>
      </c>
      <c r="H731" s="25">
        <f>(H730/H10)/1.983</f>
        <v>391.94822659270466</v>
      </c>
      <c r="I731" s="88" t="s">
        <v>7</v>
      </c>
      <c r="J731" s="25">
        <f>(J730/J10)/1.983</f>
        <v>359.18207993753356</v>
      </c>
      <c r="K731" s="25">
        <f>(K730/K10)/1.983</f>
        <v>325.99677907373967</v>
      </c>
      <c r="L731" s="25">
        <f>(L730/L10)/1.983</f>
        <v>297.24323415700115</v>
      </c>
      <c r="M731" s="88" t="s">
        <v>7</v>
      </c>
      <c r="N731" s="25">
        <f>(N730/N10)/1.983</f>
        <v>166.02410814503929</v>
      </c>
      <c r="O731" s="25">
        <f>(O730/O10)/1.983</f>
        <v>49.016641452344928</v>
      </c>
      <c r="P731" s="25">
        <f>(P730/P10)/1.983</f>
        <v>119.71109267483284</v>
      </c>
      <c r="Q731" s="88" t="s">
        <v>7</v>
      </c>
      <c r="R731" s="88" t="s">
        <v>7</v>
      </c>
    </row>
    <row r="732" spans="1:18" ht="15.75" customHeight="1" x14ac:dyDescent="0.3">
      <c r="A732" s="28"/>
      <c r="B732" s="1"/>
      <c r="C732" s="1"/>
      <c r="D732" s="1"/>
      <c r="E732" s="1"/>
      <c r="F732" s="1"/>
      <c r="G732" s="1"/>
      <c r="H732" s="1"/>
      <c r="I732" s="1"/>
      <c r="J732" s="1"/>
      <c r="K732" s="1"/>
      <c r="L732" s="1"/>
      <c r="M732" s="1"/>
      <c r="N732" s="1"/>
      <c r="O732" s="1"/>
      <c r="P732" s="1"/>
      <c r="Q732" s="1"/>
      <c r="R732" s="28"/>
    </row>
    <row r="733" spans="1:18" ht="16.5" customHeight="1" thickBot="1" x14ac:dyDescent="0.35">
      <c r="A733" s="123"/>
      <c r="B733" s="25"/>
      <c r="C733" s="25"/>
      <c r="D733" s="25"/>
      <c r="E733" s="25"/>
      <c r="F733" s="25"/>
      <c r="G733" s="25"/>
      <c r="H733" s="25"/>
      <c r="I733" s="25"/>
      <c r="J733" s="25"/>
      <c r="K733" s="25"/>
      <c r="L733" s="25"/>
      <c r="M733" s="25"/>
      <c r="N733" s="25"/>
      <c r="O733" s="25"/>
      <c r="P733" s="25"/>
      <c r="Q733" s="25"/>
      <c r="R733" s="123"/>
    </row>
    <row r="734" spans="1:18" ht="15.75" customHeight="1" thickBot="1" x14ac:dyDescent="0.35">
      <c r="A734" s="342" t="s">
        <v>558</v>
      </c>
      <c r="B734" s="330" t="s">
        <v>36</v>
      </c>
      <c r="C734" s="331" t="s">
        <v>9</v>
      </c>
      <c r="D734" s="331" t="s">
        <v>10</v>
      </c>
      <c r="E734" s="325" t="s">
        <v>11</v>
      </c>
      <c r="F734" s="331" t="s">
        <v>12</v>
      </c>
      <c r="G734" s="331" t="s">
        <v>13</v>
      </c>
      <c r="H734" s="331" t="s">
        <v>14</v>
      </c>
      <c r="I734" s="325" t="s">
        <v>15</v>
      </c>
      <c r="J734" s="331" t="s">
        <v>16</v>
      </c>
      <c r="K734" s="331" t="s">
        <v>17</v>
      </c>
      <c r="L734" s="331" t="s">
        <v>18</v>
      </c>
      <c r="M734" s="325" t="s">
        <v>19</v>
      </c>
      <c r="N734" s="331" t="s">
        <v>20</v>
      </c>
      <c r="O734" s="331" t="s">
        <v>21</v>
      </c>
      <c r="P734" s="331" t="s">
        <v>22</v>
      </c>
      <c r="Q734" s="325" t="s">
        <v>23</v>
      </c>
      <c r="R734" s="332" t="s">
        <v>24</v>
      </c>
    </row>
    <row r="735" spans="1:18" ht="16.5" customHeight="1" thickBot="1" x14ac:dyDescent="0.35">
      <c r="A735" s="154"/>
      <c r="B735" s="56"/>
      <c r="C735" s="56"/>
      <c r="D735" s="56"/>
      <c r="E735" s="16"/>
      <c r="F735" s="56"/>
      <c r="G735" s="56"/>
      <c r="H735" s="56"/>
      <c r="I735" s="16"/>
      <c r="J735" s="56"/>
      <c r="K735" s="56"/>
      <c r="L735" s="56"/>
      <c r="M735" s="16"/>
      <c r="N735" s="56"/>
      <c r="O735" s="56"/>
      <c r="P735" s="56"/>
      <c r="Q735" s="16"/>
      <c r="R735" s="57"/>
    </row>
    <row r="736" spans="1:18" ht="15.75" customHeight="1" x14ac:dyDescent="0.3">
      <c r="A736" s="17" t="s">
        <v>45</v>
      </c>
      <c r="B736" s="1" t="s">
        <v>7</v>
      </c>
      <c r="C736" s="1" t="s">
        <v>7</v>
      </c>
      <c r="D736" s="1" t="s">
        <v>7</v>
      </c>
      <c r="E736" s="59" t="s">
        <v>7</v>
      </c>
      <c r="F736" s="1" t="s">
        <v>7</v>
      </c>
      <c r="G736" s="1" t="s">
        <v>7</v>
      </c>
      <c r="H736" s="1" t="s">
        <v>7</v>
      </c>
      <c r="I736" s="59" t="s">
        <v>7</v>
      </c>
      <c r="J736" s="1" t="s">
        <v>7</v>
      </c>
      <c r="K736" s="1" t="s">
        <v>7</v>
      </c>
      <c r="L736" s="1" t="s">
        <v>7</v>
      </c>
      <c r="M736" s="59" t="s">
        <v>7</v>
      </c>
      <c r="N736" s="1" t="s">
        <v>7</v>
      </c>
      <c r="O736" s="1" t="s">
        <v>7</v>
      </c>
      <c r="P736" s="1" t="s">
        <v>7</v>
      </c>
      <c r="Q736" s="59" t="s">
        <v>7</v>
      </c>
      <c r="R736" s="59" t="s">
        <v>7</v>
      </c>
    </row>
    <row r="737" spans="1:18" ht="15.75" customHeight="1" x14ac:dyDescent="0.3">
      <c r="A737" s="17" t="s">
        <v>46</v>
      </c>
      <c r="B737" s="1"/>
      <c r="C737" s="1"/>
      <c r="D737" s="1"/>
      <c r="E737" s="59" t="s">
        <v>7</v>
      </c>
      <c r="F737" s="1"/>
      <c r="G737" s="1"/>
      <c r="H737" s="1"/>
      <c r="I737" s="59" t="s">
        <v>7</v>
      </c>
      <c r="J737" s="1"/>
      <c r="K737" s="1"/>
      <c r="L737" s="1"/>
      <c r="M737" s="59" t="s">
        <v>7</v>
      </c>
      <c r="N737" s="1"/>
      <c r="O737" s="1"/>
      <c r="P737" s="1"/>
      <c r="Q737" s="59" t="s">
        <v>7</v>
      </c>
      <c r="R737" s="59" t="s">
        <v>7</v>
      </c>
    </row>
    <row r="738" spans="1:18" ht="15.75" customHeight="1" x14ac:dyDescent="0.3">
      <c r="A738" s="74" t="s">
        <v>559</v>
      </c>
      <c r="B738" s="1">
        <v>1886</v>
      </c>
      <c r="C738" s="1">
        <v>5258</v>
      </c>
      <c r="D738" s="1">
        <v>7449</v>
      </c>
      <c r="E738" s="59">
        <f t="shared" ref="E738:E739" si="275">SUM(B738:D738)</f>
        <v>14593</v>
      </c>
      <c r="F738" s="1">
        <v>7215</v>
      </c>
      <c r="G738" s="1">
        <v>7243</v>
      </c>
      <c r="H738" s="1">
        <v>7010</v>
      </c>
      <c r="I738" s="59">
        <f t="shared" ref="I738:I739" si="276">SUM(F738:H738)</f>
        <v>21468</v>
      </c>
      <c r="J738" s="1">
        <v>7420</v>
      </c>
      <c r="K738" s="1">
        <v>5712</v>
      </c>
      <c r="L738" s="1">
        <v>5230</v>
      </c>
      <c r="M738" s="59">
        <f t="shared" ref="M738:M739" si="277">SUM(J738:L738)</f>
        <v>18362</v>
      </c>
      <c r="N738" s="1">
        <v>2366</v>
      </c>
      <c r="O738" s="1">
        <v>474</v>
      </c>
      <c r="P738" s="1">
        <v>1419</v>
      </c>
      <c r="Q738" s="59">
        <f t="shared" ref="Q738:Q743" si="278">SUM(N738:P738)</f>
        <v>4259</v>
      </c>
      <c r="R738" s="59">
        <f>+E738+I738+M738+Q738</f>
        <v>58682</v>
      </c>
    </row>
    <row r="739" spans="1:18" ht="15.75" customHeight="1" x14ac:dyDescent="0.3">
      <c r="A739" s="74" t="s">
        <v>560</v>
      </c>
      <c r="B739" s="1">
        <v>1828</v>
      </c>
      <c r="C739" s="1">
        <v>3088</v>
      </c>
      <c r="D739" s="1">
        <v>5072</v>
      </c>
      <c r="E739" s="59">
        <f t="shared" si="275"/>
        <v>9988</v>
      </c>
      <c r="F739" s="1">
        <v>3467</v>
      </c>
      <c r="G739" s="1">
        <v>4959</v>
      </c>
      <c r="H739" s="1">
        <v>1591</v>
      </c>
      <c r="I739" s="59">
        <f t="shared" si="276"/>
        <v>10017</v>
      </c>
      <c r="J739" s="1">
        <v>1826</v>
      </c>
      <c r="K739" s="1">
        <v>93</v>
      </c>
      <c r="L739" s="1">
        <v>27</v>
      </c>
      <c r="M739" s="59">
        <f t="shared" si="277"/>
        <v>1946</v>
      </c>
      <c r="N739" s="1"/>
      <c r="O739" s="1">
        <v>288</v>
      </c>
      <c r="P739" s="1">
        <v>245</v>
      </c>
      <c r="Q739" s="59">
        <f t="shared" si="278"/>
        <v>533</v>
      </c>
      <c r="R739" s="59">
        <f t="shared" ref="R739:R743" si="279">+E739+I739+M739+Q739</f>
        <v>22484</v>
      </c>
    </row>
    <row r="740" spans="1:18" ht="15.75" customHeight="1" x14ac:dyDescent="0.3">
      <c r="A740" s="74" t="s">
        <v>561</v>
      </c>
      <c r="B740" s="1"/>
      <c r="C740" s="1"/>
      <c r="D740" s="1"/>
      <c r="E740" s="59">
        <f t="shared" ref="E740:E743" si="280">SUM(B740:D740)</f>
        <v>0</v>
      </c>
      <c r="F740" s="1"/>
      <c r="G740" s="1"/>
      <c r="H740" s="1"/>
      <c r="I740" s="59">
        <f t="shared" ref="I740:I743" si="281">SUM(F740:H740)</f>
        <v>0</v>
      </c>
      <c r="J740" s="1"/>
      <c r="K740" s="1"/>
      <c r="L740" s="1"/>
      <c r="M740" s="59">
        <f t="shared" ref="M740:M743" si="282">SUM(J740:L740)</f>
        <v>0</v>
      </c>
      <c r="N740" s="1"/>
      <c r="O740" s="1"/>
      <c r="P740" s="1"/>
      <c r="Q740" s="59">
        <f t="shared" si="278"/>
        <v>0</v>
      </c>
      <c r="R740" s="59">
        <f t="shared" si="279"/>
        <v>0</v>
      </c>
    </row>
    <row r="741" spans="1:18" ht="15.75" customHeight="1" x14ac:dyDescent="0.3">
      <c r="A741" s="74" t="s">
        <v>562</v>
      </c>
      <c r="B741" s="1">
        <v>264</v>
      </c>
      <c r="C741" s="1">
        <v>3500</v>
      </c>
      <c r="D741" s="1">
        <v>2800</v>
      </c>
      <c r="E741" s="59">
        <f t="shared" si="280"/>
        <v>6564</v>
      </c>
      <c r="F741" s="1">
        <v>4200</v>
      </c>
      <c r="G741" s="1">
        <v>3000</v>
      </c>
      <c r="H741" s="1">
        <v>6100</v>
      </c>
      <c r="I741" s="59">
        <f t="shared" si="281"/>
        <v>13300</v>
      </c>
      <c r="J741" s="1">
        <v>6076</v>
      </c>
      <c r="K741" s="1"/>
      <c r="L741" s="1"/>
      <c r="M741" s="59">
        <f t="shared" si="282"/>
        <v>6076</v>
      </c>
      <c r="N741" s="1"/>
      <c r="O741" s="1"/>
      <c r="P741" s="1"/>
      <c r="Q741" s="59">
        <f t="shared" si="278"/>
        <v>0</v>
      </c>
      <c r="R741" s="59">
        <f t="shared" si="279"/>
        <v>25940</v>
      </c>
    </row>
    <row r="742" spans="1:18" ht="15.75" customHeight="1" x14ac:dyDescent="0.3">
      <c r="A742" s="74" t="s">
        <v>563</v>
      </c>
      <c r="B742" s="1">
        <v>250</v>
      </c>
      <c r="C742" s="1"/>
      <c r="D742" s="1">
        <v>300</v>
      </c>
      <c r="E742" s="59">
        <f t="shared" si="280"/>
        <v>550</v>
      </c>
      <c r="F742" s="1">
        <v>300</v>
      </c>
      <c r="G742" s="1">
        <v>300</v>
      </c>
      <c r="H742" s="1">
        <v>300</v>
      </c>
      <c r="I742" s="59">
        <f t="shared" si="281"/>
        <v>900</v>
      </c>
      <c r="J742" s="1">
        <v>300</v>
      </c>
      <c r="K742" s="1">
        <v>300</v>
      </c>
      <c r="L742" s="1">
        <v>300</v>
      </c>
      <c r="M742" s="59">
        <f t="shared" si="282"/>
        <v>900</v>
      </c>
      <c r="N742" s="1">
        <v>300</v>
      </c>
      <c r="O742" s="1"/>
      <c r="P742" s="1">
        <v>350</v>
      </c>
      <c r="Q742" s="59">
        <f t="shared" si="278"/>
        <v>650</v>
      </c>
      <c r="R742" s="59">
        <f t="shared" si="279"/>
        <v>3000</v>
      </c>
    </row>
    <row r="743" spans="1:18" ht="15.75" customHeight="1" x14ac:dyDescent="0.3">
      <c r="A743" s="74" t="s">
        <v>564</v>
      </c>
      <c r="B743" s="1">
        <v>120</v>
      </c>
      <c r="C743" s="1">
        <v>120</v>
      </c>
      <c r="D743" s="1">
        <v>120</v>
      </c>
      <c r="E743" s="59">
        <f t="shared" si="280"/>
        <v>360</v>
      </c>
      <c r="F743" s="1">
        <v>120</v>
      </c>
      <c r="G743" s="1">
        <v>130</v>
      </c>
      <c r="H743" s="1">
        <v>130</v>
      </c>
      <c r="I743" s="59">
        <f t="shared" si="281"/>
        <v>380</v>
      </c>
      <c r="J743" s="1">
        <v>130</v>
      </c>
      <c r="K743" s="1">
        <v>130</v>
      </c>
      <c r="L743" s="1">
        <v>130</v>
      </c>
      <c r="M743" s="59">
        <f t="shared" si="282"/>
        <v>390</v>
      </c>
      <c r="N743" s="1">
        <v>130</v>
      </c>
      <c r="O743" s="1"/>
      <c r="P743" s="1">
        <v>60</v>
      </c>
      <c r="Q743" s="59">
        <f t="shared" si="278"/>
        <v>190</v>
      </c>
      <c r="R743" s="59">
        <f t="shared" si="279"/>
        <v>1320</v>
      </c>
    </row>
    <row r="744" spans="1:18" ht="15.75" customHeight="1" x14ac:dyDescent="0.3">
      <c r="A744" s="17" t="s">
        <v>47</v>
      </c>
      <c r="B744" s="1"/>
      <c r="C744" s="1"/>
      <c r="D744" s="1"/>
      <c r="E744" s="59" t="s">
        <v>7</v>
      </c>
      <c r="F744" s="1"/>
      <c r="G744" s="1"/>
      <c r="H744" s="1"/>
      <c r="I744" s="59" t="s">
        <v>7</v>
      </c>
      <c r="J744" s="1"/>
      <c r="K744" s="1"/>
      <c r="L744" s="1"/>
      <c r="M744" s="59" t="s">
        <v>7</v>
      </c>
      <c r="N744" s="1"/>
      <c r="O744" s="1"/>
      <c r="P744" s="1"/>
      <c r="Q744" s="59" t="s">
        <v>7</v>
      </c>
      <c r="R744" s="59" t="s">
        <v>7</v>
      </c>
    </row>
    <row r="745" spans="1:18" ht="15.75" customHeight="1" x14ac:dyDescent="0.3">
      <c r="A745" s="17" t="s">
        <v>49</v>
      </c>
      <c r="B745" s="1"/>
      <c r="C745" s="1"/>
      <c r="D745" s="1"/>
      <c r="E745" s="59" t="s">
        <v>7</v>
      </c>
      <c r="F745" s="1"/>
      <c r="G745" s="1"/>
      <c r="H745" s="1"/>
      <c r="I745" s="59" t="s">
        <v>7</v>
      </c>
      <c r="J745" s="1"/>
      <c r="K745" s="1"/>
      <c r="L745" s="1"/>
      <c r="M745" s="59" t="s">
        <v>7</v>
      </c>
      <c r="N745" s="1"/>
      <c r="O745" s="1"/>
      <c r="P745" s="1"/>
      <c r="Q745" s="59" t="s">
        <v>7</v>
      </c>
      <c r="R745" s="59" t="s">
        <v>7</v>
      </c>
    </row>
    <row r="746" spans="1:18" ht="15.75" customHeight="1" thickBot="1" x14ac:dyDescent="0.35">
      <c r="A746" s="17" t="s">
        <v>51</v>
      </c>
      <c r="B746" s="1"/>
      <c r="C746" s="1"/>
      <c r="D746" s="1"/>
      <c r="E746" s="59" t="s">
        <v>7</v>
      </c>
      <c r="F746" s="1"/>
      <c r="G746" s="1"/>
      <c r="H746" s="1"/>
      <c r="I746" s="59" t="s">
        <v>7</v>
      </c>
      <c r="J746" s="1"/>
      <c r="K746" s="1"/>
      <c r="L746" s="1"/>
      <c r="M746" s="59" t="s">
        <v>7</v>
      </c>
      <c r="N746" s="1"/>
      <c r="O746" s="1"/>
      <c r="P746" s="1"/>
      <c r="Q746" s="59" t="s">
        <v>7</v>
      </c>
      <c r="R746" s="59" t="s">
        <v>7</v>
      </c>
    </row>
    <row r="747" spans="1:18" ht="16.5" customHeight="1" thickBot="1" x14ac:dyDescent="0.35">
      <c r="A747" s="126" t="s">
        <v>52</v>
      </c>
      <c r="B747" s="100">
        <f>SUM(B736:B746)</f>
        <v>4348</v>
      </c>
      <c r="C747" s="101">
        <f>SUM(C736:C746)</f>
        <v>11966</v>
      </c>
      <c r="D747" s="101">
        <f>SUM(D736:D746)</f>
        <v>15741</v>
      </c>
      <c r="E747" s="64">
        <f>SUM(B747:D747)</f>
        <v>32055</v>
      </c>
      <c r="F747" s="101">
        <f>SUM(F736:F746)</f>
        <v>15302</v>
      </c>
      <c r="G747" s="101">
        <f>SUM(G736:G746)</f>
        <v>15632</v>
      </c>
      <c r="H747" s="101">
        <f>SUM(H736:H746)</f>
        <v>15131</v>
      </c>
      <c r="I747" s="64">
        <f>SUM(F747:H747)</f>
        <v>46065</v>
      </c>
      <c r="J747" s="101">
        <f>SUM(J736:J746)</f>
        <v>15752</v>
      </c>
      <c r="K747" s="101">
        <f>SUM(K736:K746)</f>
        <v>6235</v>
      </c>
      <c r="L747" s="101">
        <f>SUM(L736:L746)</f>
        <v>5687</v>
      </c>
      <c r="M747" s="64">
        <f>SUM(J747:L747)</f>
        <v>27674</v>
      </c>
      <c r="N747" s="101">
        <f>SUM(N736:N746)</f>
        <v>2796</v>
      </c>
      <c r="O747" s="101">
        <f>SUM(O736:O746)</f>
        <v>762</v>
      </c>
      <c r="P747" s="101">
        <f>SUM(P736:P746)</f>
        <v>2074</v>
      </c>
      <c r="Q747" s="64">
        <f>SUM(N747:P747)</f>
        <v>5632</v>
      </c>
      <c r="R747" s="64">
        <f>+E747+I747+M747+Q747</f>
        <v>111426</v>
      </c>
    </row>
    <row r="748" spans="1:18" ht="15.75" customHeight="1" x14ac:dyDescent="0.3">
      <c r="A748" s="17" t="s">
        <v>53</v>
      </c>
      <c r="B748" s="1"/>
      <c r="C748" s="1"/>
      <c r="D748" s="1"/>
      <c r="E748" s="59" t="s">
        <v>7</v>
      </c>
      <c r="F748" s="1"/>
      <c r="G748" s="1"/>
      <c r="H748" s="1"/>
      <c r="I748" s="59" t="s">
        <v>7</v>
      </c>
      <c r="J748" s="1"/>
      <c r="K748" s="1"/>
      <c r="L748" s="1"/>
      <c r="M748" s="59" t="s">
        <v>7</v>
      </c>
      <c r="N748" s="1"/>
      <c r="O748" s="1"/>
      <c r="P748" s="1"/>
      <c r="Q748" s="59" t="s">
        <v>7</v>
      </c>
      <c r="R748" s="59" t="s">
        <v>7</v>
      </c>
    </row>
    <row r="749" spans="1:18" ht="15.75" customHeight="1" x14ac:dyDescent="0.3">
      <c r="A749" s="17" t="s">
        <v>55</v>
      </c>
      <c r="B749" s="1"/>
      <c r="C749" s="1"/>
      <c r="D749" s="1"/>
      <c r="E749" s="59" t="s">
        <v>7</v>
      </c>
      <c r="F749" s="1"/>
      <c r="G749" s="1"/>
      <c r="H749" s="1"/>
      <c r="I749" s="59" t="s">
        <v>7</v>
      </c>
      <c r="J749" s="1"/>
      <c r="K749" s="1"/>
      <c r="L749" s="1"/>
      <c r="M749" s="59" t="s">
        <v>7</v>
      </c>
      <c r="N749" s="1"/>
      <c r="O749" s="1"/>
      <c r="P749" s="1"/>
      <c r="Q749" s="59" t="s">
        <v>7</v>
      </c>
      <c r="R749" s="59" t="s">
        <v>7</v>
      </c>
    </row>
    <row r="750" spans="1:18" ht="15.75" customHeight="1" thickBot="1" x14ac:dyDescent="0.35">
      <c r="A750" s="17" t="s">
        <v>56</v>
      </c>
      <c r="B750" s="1"/>
      <c r="C750" s="1"/>
      <c r="D750" s="1"/>
      <c r="E750" s="59" t="s">
        <v>7</v>
      </c>
      <c r="F750" s="1"/>
      <c r="G750" s="1"/>
      <c r="H750" s="1"/>
      <c r="I750" s="59" t="s">
        <v>7</v>
      </c>
      <c r="J750" s="1"/>
      <c r="K750" s="1"/>
      <c r="L750" s="1"/>
      <c r="M750" s="59" t="s">
        <v>7</v>
      </c>
      <c r="N750" s="1"/>
      <c r="O750" s="1"/>
      <c r="P750" s="1"/>
      <c r="Q750" s="59" t="s">
        <v>7</v>
      </c>
      <c r="R750" s="59" t="s">
        <v>7</v>
      </c>
    </row>
    <row r="751" spans="1:18" ht="16.5" customHeight="1" thickBot="1" x14ac:dyDescent="0.35">
      <c r="A751" s="62" t="s">
        <v>57</v>
      </c>
      <c r="B751" s="100">
        <f>SUM(B748:B750)</f>
        <v>0</v>
      </c>
      <c r="C751" s="101">
        <f>SUM(C748:C750)</f>
        <v>0</v>
      </c>
      <c r="D751" s="101">
        <f>SUM(D748:D750)</f>
        <v>0</v>
      </c>
      <c r="E751" s="64">
        <f>SUM(B751:D751)</f>
        <v>0</v>
      </c>
      <c r="F751" s="101">
        <f>SUM(F748:F750)</f>
        <v>0</v>
      </c>
      <c r="G751" s="101">
        <f>SUM(G748:G750)</f>
        <v>0</v>
      </c>
      <c r="H751" s="101">
        <f>SUM(H748:H750)</f>
        <v>0</v>
      </c>
      <c r="I751" s="64">
        <f>SUM(F751:H751)</f>
        <v>0</v>
      </c>
      <c r="J751" s="101">
        <f>SUM(J748:J750)</f>
        <v>0</v>
      </c>
      <c r="K751" s="101">
        <f>SUM(K748:K750)</f>
        <v>0</v>
      </c>
      <c r="L751" s="101">
        <f>SUM(L748:L750)</f>
        <v>0</v>
      </c>
      <c r="M751" s="64">
        <f>SUM(J751:L751)</f>
        <v>0</v>
      </c>
      <c r="N751" s="101">
        <f>SUM(N748:N750)</f>
        <v>0</v>
      </c>
      <c r="O751" s="101">
        <f>SUM(O748:O750)</f>
        <v>0</v>
      </c>
      <c r="P751" s="101">
        <f>SUM(P748:P750)</f>
        <v>0</v>
      </c>
      <c r="Q751" s="64">
        <f>SUM(N751:P751)</f>
        <v>0</v>
      </c>
      <c r="R751" s="64">
        <f>+E751+I751+M751+Q751</f>
        <v>0</v>
      </c>
    </row>
    <row r="752" spans="1:18" ht="15.75" customHeight="1" x14ac:dyDescent="0.3">
      <c r="A752" s="17" t="s">
        <v>58</v>
      </c>
      <c r="B752" s="1"/>
      <c r="C752" s="1"/>
      <c r="D752" s="1"/>
      <c r="E752" s="59" t="s">
        <v>7</v>
      </c>
      <c r="F752" s="1"/>
      <c r="G752" s="1"/>
      <c r="H752" s="1"/>
      <c r="I752" s="59" t="s">
        <v>7</v>
      </c>
      <c r="J752" s="1"/>
      <c r="K752" s="1"/>
      <c r="L752" s="1"/>
      <c r="M752" s="59" t="s">
        <v>7</v>
      </c>
      <c r="N752" s="1"/>
      <c r="O752" s="1"/>
      <c r="P752" s="1"/>
      <c r="Q752" s="59" t="s">
        <v>7</v>
      </c>
      <c r="R752" s="59" t="s">
        <v>7</v>
      </c>
    </row>
    <row r="753" spans="1:20" ht="15.75" customHeight="1" x14ac:dyDescent="0.3">
      <c r="A753" s="17" t="s">
        <v>59</v>
      </c>
      <c r="B753" s="1"/>
      <c r="C753" s="1"/>
      <c r="D753" s="1"/>
      <c r="E753" s="59" t="s">
        <v>7</v>
      </c>
      <c r="F753" s="1"/>
      <c r="G753" s="1"/>
      <c r="H753" s="1"/>
      <c r="I753" s="59" t="s">
        <v>7</v>
      </c>
      <c r="J753" s="1"/>
      <c r="K753" s="1"/>
      <c r="L753" s="1"/>
      <c r="M753" s="59" t="s">
        <v>7</v>
      </c>
      <c r="N753" s="1"/>
      <c r="O753" s="1"/>
      <c r="P753" s="1"/>
      <c r="Q753" s="59" t="s">
        <v>7</v>
      </c>
      <c r="R753" s="59" t="s">
        <v>7</v>
      </c>
    </row>
    <row r="754" spans="1:20" ht="15.75" customHeight="1" x14ac:dyDescent="0.3">
      <c r="A754" s="74" t="s">
        <v>565</v>
      </c>
      <c r="B754" s="1"/>
      <c r="C754" s="1">
        <v>1145</v>
      </c>
      <c r="D754" s="1">
        <v>528</v>
      </c>
      <c r="E754" s="59">
        <f>SUM(B754:D754)</f>
        <v>1673</v>
      </c>
      <c r="F754" s="1">
        <v>1640</v>
      </c>
      <c r="G754" s="1">
        <v>1856</v>
      </c>
      <c r="H754" s="1">
        <v>1060</v>
      </c>
      <c r="I754" s="59">
        <f>SUM(F754:H754)</f>
        <v>4556</v>
      </c>
      <c r="J754" s="1">
        <v>1117</v>
      </c>
      <c r="K754" s="1">
        <v>1497</v>
      </c>
      <c r="L754" s="1">
        <v>826</v>
      </c>
      <c r="M754" s="59">
        <f>SUM(J754:L754)</f>
        <v>3440</v>
      </c>
      <c r="N754" s="1">
        <v>295</v>
      </c>
      <c r="O754" s="1"/>
      <c r="P754" s="1">
        <v>163</v>
      </c>
      <c r="Q754" s="59">
        <f>SUM(N754:P754)</f>
        <v>458</v>
      </c>
      <c r="R754" s="59">
        <f>+E754+I754+M754+Q754</f>
        <v>10127</v>
      </c>
      <c r="T754" s="4" t="s">
        <v>566</v>
      </c>
    </row>
    <row r="755" spans="1:20" ht="15.75" customHeight="1" x14ac:dyDescent="0.3">
      <c r="A755" s="17" t="s">
        <v>60</v>
      </c>
      <c r="B755" s="1"/>
      <c r="C755" s="1"/>
      <c r="D755" s="1"/>
      <c r="E755" s="59" t="s">
        <v>7</v>
      </c>
      <c r="F755" s="1"/>
      <c r="G755" s="1"/>
      <c r="H755" s="1"/>
      <c r="I755" s="59" t="s">
        <v>7</v>
      </c>
      <c r="J755" s="1"/>
      <c r="K755" s="1"/>
      <c r="L755" s="1"/>
      <c r="M755" s="59" t="s">
        <v>7</v>
      </c>
      <c r="N755" s="1"/>
      <c r="O755" s="1"/>
      <c r="P755" s="1"/>
      <c r="Q755" s="59" t="s">
        <v>7</v>
      </c>
      <c r="R755" s="59" t="s">
        <v>7</v>
      </c>
    </row>
    <row r="756" spans="1:20" ht="15.75" customHeight="1" x14ac:dyDescent="0.3">
      <c r="A756" s="74" t="s">
        <v>567</v>
      </c>
      <c r="B756" s="1"/>
      <c r="C756" s="1"/>
      <c r="D756" s="1"/>
      <c r="E756" s="59">
        <f t="shared" ref="E756:E765" si="283">SUM(B756:D756)</f>
        <v>0</v>
      </c>
      <c r="F756" s="1"/>
      <c r="G756" s="1"/>
      <c r="H756" s="1"/>
      <c r="I756" s="59">
        <f t="shared" ref="I756:I765" si="284">SUM(F756:H756)</f>
        <v>0</v>
      </c>
      <c r="J756" s="1"/>
      <c r="K756" s="1"/>
      <c r="L756" s="1"/>
      <c r="M756" s="59">
        <f t="shared" ref="M756:M765" si="285">SUM(J756:L756)</f>
        <v>0</v>
      </c>
      <c r="N756" s="1"/>
      <c r="O756" s="1"/>
      <c r="P756" s="1"/>
      <c r="Q756" s="59">
        <f t="shared" ref="Q756:Q765" si="286">SUM(N756:P756)</f>
        <v>0</v>
      </c>
      <c r="R756" s="59">
        <f t="shared" ref="R756:R765" si="287">+E756+I756+M756+Q756</f>
        <v>0</v>
      </c>
      <c r="T756" s="4" t="s">
        <v>568</v>
      </c>
    </row>
    <row r="757" spans="1:20" ht="15.75" customHeight="1" x14ac:dyDescent="0.3">
      <c r="A757" s="74" t="s">
        <v>569</v>
      </c>
      <c r="B757" s="1"/>
      <c r="C757" s="1"/>
      <c r="D757" s="1"/>
      <c r="E757" s="59">
        <f t="shared" si="283"/>
        <v>0</v>
      </c>
      <c r="F757" s="1"/>
      <c r="G757" s="1"/>
      <c r="H757" s="1"/>
      <c r="I757" s="59">
        <f>SUM(F757:H757)</f>
        <v>0</v>
      </c>
      <c r="J757" s="1"/>
      <c r="K757" s="1"/>
      <c r="L757" s="1"/>
      <c r="M757" s="59">
        <f t="shared" si="285"/>
        <v>0</v>
      </c>
      <c r="N757" s="1"/>
      <c r="O757" s="1"/>
      <c r="P757" s="1"/>
      <c r="Q757" s="59">
        <f t="shared" si="286"/>
        <v>0</v>
      </c>
      <c r="R757" s="59">
        <f t="shared" si="287"/>
        <v>0</v>
      </c>
      <c r="T757" s="4" t="s">
        <v>568</v>
      </c>
    </row>
    <row r="758" spans="1:20" ht="15.75" customHeight="1" x14ac:dyDescent="0.3">
      <c r="A758" s="74" t="s">
        <v>570</v>
      </c>
      <c r="B758" s="1">
        <v>125</v>
      </c>
      <c r="C758" s="1">
        <v>125</v>
      </c>
      <c r="D758" s="1">
        <v>125</v>
      </c>
      <c r="E758" s="59">
        <f t="shared" si="283"/>
        <v>375</v>
      </c>
      <c r="F758" s="1">
        <v>125</v>
      </c>
      <c r="G758" s="1">
        <v>125</v>
      </c>
      <c r="H758" s="1">
        <v>125</v>
      </c>
      <c r="I758" s="59">
        <f t="shared" si="284"/>
        <v>375</v>
      </c>
      <c r="J758" s="1">
        <v>125</v>
      </c>
      <c r="K758" s="1">
        <v>125</v>
      </c>
      <c r="L758" s="1">
        <v>125</v>
      </c>
      <c r="M758" s="59">
        <f t="shared" si="285"/>
        <v>375</v>
      </c>
      <c r="N758" s="1">
        <v>250</v>
      </c>
      <c r="O758" s="1"/>
      <c r="P758" s="1">
        <v>145</v>
      </c>
      <c r="Q758" s="59">
        <f t="shared" si="286"/>
        <v>395</v>
      </c>
      <c r="R758" s="59">
        <f t="shared" si="287"/>
        <v>1520</v>
      </c>
      <c r="T758" s="4" t="s">
        <v>568</v>
      </c>
    </row>
    <row r="759" spans="1:20" ht="15.75" customHeight="1" x14ac:dyDescent="0.3">
      <c r="A759" s="74" t="s">
        <v>571</v>
      </c>
      <c r="B759" s="1">
        <v>1136</v>
      </c>
      <c r="C759" s="1"/>
      <c r="D759" s="1"/>
      <c r="E759" s="59">
        <f t="shared" si="283"/>
        <v>1136</v>
      </c>
      <c r="F759" s="1"/>
      <c r="G759" s="1"/>
      <c r="H759" s="1"/>
      <c r="I759" s="59">
        <f t="shared" si="284"/>
        <v>0</v>
      </c>
      <c r="J759" s="1"/>
      <c r="K759" s="1"/>
      <c r="L759" s="1"/>
      <c r="M759" s="59">
        <f t="shared" si="285"/>
        <v>0</v>
      </c>
      <c r="N759" s="1"/>
      <c r="O759" s="1"/>
      <c r="P759" s="1"/>
      <c r="Q759" s="59">
        <f t="shared" ref="Q759" si="288">SUM(N759:P759)</f>
        <v>0</v>
      </c>
      <c r="R759" s="59">
        <f t="shared" si="287"/>
        <v>1136</v>
      </c>
    </row>
    <row r="760" spans="1:20" ht="15.75" customHeight="1" x14ac:dyDescent="0.3">
      <c r="A760" s="74" t="s">
        <v>572</v>
      </c>
      <c r="B760" s="1"/>
      <c r="C760" s="1"/>
      <c r="D760" s="1"/>
      <c r="E760" s="59">
        <f t="shared" si="283"/>
        <v>0</v>
      </c>
      <c r="F760" s="1"/>
      <c r="G760" s="1"/>
      <c r="H760" s="1"/>
      <c r="I760" s="59">
        <f t="shared" si="284"/>
        <v>0</v>
      </c>
      <c r="J760" s="1">
        <v>24</v>
      </c>
      <c r="K760" s="1">
        <v>4726</v>
      </c>
      <c r="L760" s="1"/>
      <c r="M760" s="59">
        <f t="shared" si="285"/>
        <v>4750</v>
      </c>
      <c r="N760" s="1"/>
      <c r="O760" s="1"/>
      <c r="P760" s="1"/>
      <c r="Q760" s="59">
        <f t="shared" si="286"/>
        <v>0</v>
      </c>
      <c r="R760" s="59">
        <f t="shared" si="287"/>
        <v>4750</v>
      </c>
    </row>
    <row r="761" spans="1:20" ht="15.75" customHeight="1" x14ac:dyDescent="0.3">
      <c r="A761" s="74" t="s">
        <v>573</v>
      </c>
      <c r="B761" s="1"/>
      <c r="C761" s="1"/>
      <c r="D761" s="1"/>
      <c r="E761" s="59">
        <f t="shared" si="283"/>
        <v>0</v>
      </c>
      <c r="F761" s="1"/>
      <c r="G761" s="1"/>
      <c r="H761" s="1"/>
      <c r="I761" s="59">
        <f t="shared" si="284"/>
        <v>0</v>
      </c>
      <c r="J761" s="1"/>
      <c r="K761" s="1">
        <v>1474</v>
      </c>
      <c r="L761" s="1">
        <v>6200</v>
      </c>
      <c r="M761" s="59">
        <f t="shared" si="285"/>
        <v>7674</v>
      </c>
      <c r="N761" s="1"/>
      <c r="O761" s="1"/>
      <c r="P761" s="1"/>
      <c r="Q761" s="59">
        <f t="shared" si="286"/>
        <v>0</v>
      </c>
      <c r="R761" s="59">
        <f t="shared" si="287"/>
        <v>7674</v>
      </c>
    </row>
    <row r="762" spans="1:20" ht="15.75" customHeight="1" x14ac:dyDescent="0.3">
      <c r="A762" s="74" t="s">
        <v>574</v>
      </c>
      <c r="B762" s="1"/>
      <c r="C762" s="1"/>
      <c r="D762" s="1"/>
      <c r="E762" s="59">
        <f t="shared" si="283"/>
        <v>0</v>
      </c>
      <c r="F762" s="1"/>
      <c r="G762" s="1"/>
      <c r="H762" s="1"/>
      <c r="I762" s="59">
        <f t="shared" si="284"/>
        <v>0</v>
      </c>
      <c r="J762" s="1"/>
      <c r="K762" s="1"/>
      <c r="L762" s="1"/>
      <c r="M762" s="59">
        <f t="shared" si="285"/>
        <v>0</v>
      </c>
      <c r="N762" s="1"/>
      <c r="O762" s="1"/>
      <c r="P762" s="1"/>
      <c r="Q762" s="59">
        <f t="shared" si="286"/>
        <v>0</v>
      </c>
      <c r="R762" s="59">
        <f t="shared" si="287"/>
        <v>0</v>
      </c>
    </row>
    <row r="763" spans="1:20" ht="15.75" customHeight="1" x14ac:dyDescent="0.3">
      <c r="A763" s="74" t="s">
        <v>575</v>
      </c>
      <c r="B763" s="1"/>
      <c r="C763" s="1"/>
      <c r="D763" s="1"/>
      <c r="E763" s="59">
        <f t="shared" si="283"/>
        <v>0</v>
      </c>
      <c r="F763" s="1"/>
      <c r="G763" s="1"/>
      <c r="H763" s="1"/>
      <c r="I763" s="59">
        <f t="shared" si="284"/>
        <v>0</v>
      </c>
      <c r="J763" s="1"/>
      <c r="K763" s="1"/>
      <c r="L763" s="1"/>
      <c r="M763" s="59">
        <f t="shared" si="285"/>
        <v>0</v>
      </c>
      <c r="N763" s="1"/>
      <c r="O763" s="1"/>
      <c r="P763" s="1"/>
      <c r="Q763" s="59">
        <f t="shared" ref="Q763" si="289">SUM(N763:P763)</f>
        <v>0</v>
      </c>
      <c r="R763" s="59">
        <f t="shared" si="287"/>
        <v>0</v>
      </c>
    </row>
    <row r="764" spans="1:20" ht="15.75" customHeight="1" thickBot="1" x14ac:dyDescent="0.35">
      <c r="A764" s="74" t="s">
        <v>576</v>
      </c>
      <c r="B764" s="1"/>
      <c r="C764" s="1"/>
      <c r="D764" s="1"/>
      <c r="E764" s="59">
        <f t="shared" si="283"/>
        <v>0</v>
      </c>
      <c r="F764" s="1"/>
      <c r="G764" s="1"/>
      <c r="H764" s="1"/>
      <c r="I764" s="59">
        <f t="shared" si="284"/>
        <v>0</v>
      </c>
      <c r="J764" s="1"/>
      <c r="K764" s="1"/>
      <c r="L764" s="1"/>
      <c r="M764" s="59">
        <f t="shared" si="285"/>
        <v>0</v>
      </c>
      <c r="N764" s="1"/>
      <c r="O764" s="1"/>
      <c r="P764" s="1"/>
      <c r="Q764" s="59">
        <f t="shared" si="286"/>
        <v>0</v>
      </c>
      <c r="R764" s="59">
        <f t="shared" si="287"/>
        <v>0</v>
      </c>
      <c r="T764" s="4" t="s">
        <v>568</v>
      </c>
    </row>
    <row r="765" spans="1:20" ht="16.5" customHeight="1" thickBot="1" x14ac:dyDescent="0.35">
      <c r="A765" s="62" t="s">
        <v>61</v>
      </c>
      <c r="B765" s="100">
        <f>SUM(B752:B764)</f>
        <v>1261</v>
      </c>
      <c r="C765" s="101">
        <f>SUM(C752:C764)</f>
        <v>1270</v>
      </c>
      <c r="D765" s="101">
        <f>SUM(D752:D764)</f>
        <v>653</v>
      </c>
      <c r="E765" s="64">
        <f t="shared" si="283"/>
        <v>3184</v>
      </c>
      <c r="F765" s="101">
        <f>SUM(F752:F764)</f>
        <v>1765</v>
      </c>
      <c r="G765" s="101">
        <f>SUM(G752:G764)</f>
        <v>1981</v>
      </c>
      <c r="H765" s="101">
        <f>SUM(H752:H764)</f>
        <v>1185</v>
      </c>
      <c r="I765" s="64">
        <f t="shared" si="284"/>
        <v>4931</v>
      </c>
      <c r="J765" s="101">
        <f>SUM(J752:J764)</f>
        <v>1266</v>
      </c>
      <c r="K765" s="101">
        <f>SUM(K752:K764)</f>
        <v>7822</v>
      </c>
      <c r="L765" s="101">
        <f>SUM(L752:L764)</f>
        <v>7151</v>
      </c>
      <c r="M765" s="64">
        <f t="shared" si="285"/>
        <v>16239</v>
      </c>
      <c r="N765" s="101">
        <f>SUM(N752:N764)</f>
        <v>545</v>
      </c>
      <c r="O765" s="101">
        <f>SUM(O752:O764)</f>
        <v>0</v>
      </c>
      <c r="P765" s="101">
        <f>SUM(P752:P764)</f>
        <v>308</v>
      </c>
      <c r="Q765" s="64">
        <f t="shared" si="286"/>
        <v>853</v>
      </c>
      <c r="R765" s="138">
        <f t="shared" si="287"/>
        <v>25207</v>
      </c>
    </row>
    <row r="766" spans="1:20" ht="15.75" customHeight="1" x14ac:dyDescent="0.3">
      <c r="A766" s="17" t="s">
        <v>62</v>
      </c>
      <c r="B766" s="1"/>
      <c r="C766" s="1"/>
      <c r="D766" s="1"/>
      <c r="E766" s="59" t="s">
        <v>7</v>
      </c>
      <c r="F766" s="1"/>
      <c r="G766" s="1"/>
      <c r="H766" s="1"/>
      <c r="I766" s="59" t="s">
        <v>7</v>
      </c>
      <c r="J766" s="1"/>
      <c r="K766" s="1"/>
      <c r="L766" s="1"/>
      <c r="M766" s="59" t="s">
        <v>7</v>
      </c>
      <c r="N766" s="1"/>
      <c r="O766" s="1"/>
      <c r="P766" s="1"/>
      <c r="Q766" s="59" t="s">
        <v>7</v>
      </c>
      <c r="R766" s="59" t="s">
        <v>7</v>
      </c>
    </row>
    <row r="767" spans="1:20" ht="15.75" customHeight="1" x14ac:dyDescent="0.3">
      <c r="A767" s="17" t="s">
        <v>63</v>
      </c>
      <c r="B767" s="1"/>
      <c r="C767" s="1"/>
      <c r="D767" s="1"/>
      <c r="E767" s="59" t="s">
        <v>7</v>
      </c>
      <c r="F767" s="1"/>
      <c r="G767" s="1"/>
      <c r="H767" s="1"/>
      <c r="I767" s="59" t="s">
        <v>7</v>
      </c>
      <c r="J767" s="1"/>
      <c r="K767" s="1"/>
      <c r="L767" s="1"/>
      <c r="M767" s="59" t="s">
        <v>7</v>
      </c>
      <c r="N767" s="1"/>
      <c r="O767" s="1"/>
      <c r="P767" s="1"/>
      <c r="Q767" s="59" t="s">
        <v>7</v>
      </c>
      <c r="R767" s="59" t="s">
        <v>7</v>
      </c>
    </row>
    <row r="768" spans="1:20" ht="15.75" customHeight="1" x14ac:dyDescent="0.3">
      <c r="A768" s="17" t="s">
        <v>64</v>
      </c>
      <c r="B768" s="1"/>
      <c r="C768" s="1"/>
      <c r="D768" s="1"/>
      <c r="E768" s="59" t="s">
        <v>7</v>
      </c>
      <c r="F768" s="1"/>
      <c r="G768" s="1"/>
      <c r="H768" s="1"/>
      <c r="I768" s="59" t="s">
        <v>7</v>
      </c>
      <c r="J768" s="1"/>
      <c r="K768" s="1"/>
      <c r="L768" s="1"/>
      <c r="M768" s="59" t="s">
        <v>7</v>
      </c>
      <c r="N768" s="1"/>
      <c r="O768" s="1"/>
      <c r="P768" s="1"/>
      <c r="Q768" s="59" t="s">
        <v>7</v>
      </c>
      <c r="R768" s="59" t="s">
        <v>7</v>
      </c>
    </row>
    <row r="769" spans="1:18" ht="15.75" customHeight="1" x14ac:dyDescent="0.3">
      <c r="A769" s="74" t="s">
        <v>577</v>
      </c>
      <c r="B769" s="1"/>
      <c r="C769" s="1"/>
      <c r="D769" s="1"/>
      <c r="E769" s="59">
        <f>SUM(B769:D769)</f>
        <v>0</v>
      </c>
      <c r="F769" s="1"/>
      <c r="G769" s="1"/>
      <c r="H769" s="1"/>
      <c r="I769" s="59">
        <f>SUM(F769:H769)</f>
        <v>0</v>
      </c>
      <c r="J769" s="1"/>
      <c r="K769" s="1"/>
      <c r="L769" s="1"/>
      <c r="M769" s="59">
        <f>SUM(J769:L769)</f>
        <v>0</v>
      </c>
      <c r="N769" s="1"/>
      <c r="O769" s="1"/>
      <c r="P769" s="1"/>
      <c r="Q769" s="59">
        <f>SUM(N769:P769)</f>
        <v>0</v>
      </c>
      <c r="R769" s="59">
        <f>+E769+I769+M769+Q769</f>
        <v>0</v>
      </c>
    </row>
    <row r="770" spans="1:18" ht="15.75" customHeight="1" x14ac:dyDescent="0.3">
      <c r="A770" s="74" t="s">
        <v>578</v>
      </c>
      <c r="B770" s="1"/>
      <c r="C770" s="1"/>
      <c r="D770" s="1"/>
      <c r="E770" s="59">
        <f>SUM(B770:D770)</f>
        <v>0</v>
      </c>
      <c r="F770" s="1"/>
      <c r="G770" s="1"/>
      <c r="H770" s="1"/>
      <c r="I770" s="59">
        <f>SUM(F770:H770)</f>
        <v>0</v>
      </c>
      <c r="J770" s="1"/>
      <c r="K770" s="1"/>
      <c r="L770" s="1"/>
      <c r="M770" s="59">
        <f>SUM(J770:L770)</f>
        <v>0</v>
      </c>
      <c r="N770" s="1"/>
      <c r="O770" s="1"/>
      <c r="P770" s="1"/>
      <c r="Q770" s="59">
        <f>SUM(N770:P770)</f>
        <v>0</v>
      </c>
      <c r="R770" s="59">
        <f>+E770+I770+M770+Q770</f>
        <v>0</v>
      </c>
    </row>
    <row r="771" spans="1:18" ht="15.75" customHeight="1" x14ac:dyDescent="0.3">
      <c r="A771" s="74" t="s">
        <v>579</v>
      </c>
      <c r="B771" s="1"/>
      <c r="C771" s="1"/>
      <c r="D771" s="1"/>
      <c r="E771" s="59">
        <f>SUM(B771:D771)</f>
        <v>0</v>
      </c>
      <c r="F771" s="1"/>
      <c r="G771" s="1"/>
      <c r="H771" s="1"/>
      <c r="I771" s="59">
        <f>SUM(F771:H771)</f>
        <v>0</v>
      </c>
      <c r="J771" s="1"/>
      <c r="K771" s="1"/>
      <c r="L771" s="1"/>
      <c r="M771" s="59">
        <f>SUM(J771:L771)</f>
        <v>0</v>
      </c>
      <c r="N771" s="1">
        <v>2902</v>
      </c>
      <c r="O771" s="1">
        <v>98</v>
      </c>
      <c r="P771" s="1">
        <v>2400</v>
      </c>
      <c r="Q771" s="59">
        <f>SUM(N771:P771)</f>
        <v>5400</v>
      </c>
      <c r="R771" s="59">
        <f>+E771+I771+M771+Q771</f>
        <v>5400</v>
      </c>
    </row>
    <row r="772" spans="1:18" ht="15.75" customHeight="1" x14ac:dyDescent="0.3">
      <c r="A772" s="74" t="s">
        <v>580</v>
      </c>
      <c r="B772" s="1"/>
      <c r="C772" s="1"/>
      <c r="D772" s="1"/>
      <c r="E772" s="59">
        <f>SUM(B772:D772)</f>
        <v>0</v>
      </c>
      <c r="F772" s="1"/>
      <c r="G772" s="1"/>
      <c r="H772" s="1"/>
      <c r="I772" s="59">
        <f>SUM(F772:H772)</f>
        <v>0</v>
      </c>
      <c r="J772" s="1"/>
      <c r="K772" s="1"/>
      <c r="L772" s="1"/>
      <c r="M772" s="59">
        <f>SUM(J772:L772)</f>
        <v>0</v>
      </c>
      <c r="N772" s="1"/>
      <c r="O772" s="1"/>
      <c r="P772" s="1"/>
      <c r="Q772" s="59">
        <f>SUM(N772:P772)</f>
        <v>0</v>
      </c>
      <c r="R772" s="59">
        <f>+E772+I772+M772+Q772</f>
        <v>0</v>
      </c>
    </row>
    <row r="773" spans="1:18" ht="15.75" customHeight="1" x14ac:dyDescent="0.3">
      <c r="A773" s="17" t="s">
        <v>66</v>
      </c>
      <c r="B773" s="1"/>
      <c r="C773" s="1"/>
      <c r="D773" s="1"/>
      <c r="E773" s="59" t="s">
        <v>7</v>
      </c>
      <c r="F773" s="1"/>
      <c r="G773" s="1"/>
      <c r="H773" s="1"/>
      <c r="I773" s="59" t="s">
        <v>7</v>
      </c>
      <c r="J773" s="1"/>
      <c r="K773" s="1"/>
      <c r="L773" s="1"/>
      <c r="M773" s="59" t="s">
        <v>7</v>
      </c>
      <c r="N773" s="1"/>
      <c r="O773" s="1"/>
      <c r="P773" s="1"/>
      <c r="Q773" s="59" t="s">
        <v>7</v>
      </c>
      <c r="R773" s="59" t="s">
        <v>7</v>
      </c>
    </row>
    <row r="774" spans="1:18" ht="15.75" customHeight="1" thickBot="1" x14ac:dyDescent="0.35">
      <c r="A774" s="17" t="s">
        <v>67</v>
      </c>
      <c r="B774" s="1"/>
      <c r="C774" s="1"/>
      <c r="D774" s="1"/>
      <c r="E774" s="59" t="s">
        <v>7</v>
      </c>
      <c r="F774" s="1"/>
      <c r="G774" s="1"/>
      <c r="H774" s="1"/>
      <c r="I774" s="59" t="s">
        <v>7</v>
      </c>
      <c r="J774" s="1"/>
      <c r="K774" s="1"/>
      <c r="L774" s="1"/>
      <c r="M774" s="59" t="s">
        <v>7</v>
      </c>
      <c r="N774" s="1"/>
      <c r="O774" s="1"/>
      <c r="P774" s="1"/>
      <c r="Q774" s="59" t="s">
        <v>7</v>
      </c>
      <c r="R774" s="59" t="s">
        <v>7</v>
      </c>
    </row>
    <row r="775" spans="1:18" ht="16.5" customHeight="1" thickBot="1" x14ac:dyDescent="0.35">
      <c r="A775" s="62" t="s">
        <v>68</v>
      </c>
      <c r="B775" s="63">
        <f>SUM(B773:B774)</f>
        <v>0</v>
      </c>
      <c r="C775" s="63">
        <f>SUM(C773:C774)</f>
        <v>0</v>
      </c>
      <c r="D775" s="63">
        <f>SUM(D773:D774)</f>
        <v>0</v>
      </c>
      <c r="E775" s="334">
        <f>SUM(B775:D775)</f>
        <v>0</v>
      </c>
      <c r="F775" s="63">
        <f>SUM(F773:F774)</f>
        <v>0</v>
      </c>
      <c r="G775" s="63">
        <f>SUM(G773:G774)</f>
        <v>0</v>
      </c>
      <c r="H775" s="63">
        <f>SUM(H773:H774)</f>
        <v>0</v>
      </c>
      <c r="I775" s="334">
        <f>SUM(F775:H775)</f>
        <v>0</v>
      </c>
      <c r="J775" s="63">
        <f>SUM(J773:J774)</f>
        <v>0</v>
      </c>
      <c r="K775" s="63">
        <f>SUM(K773:K774)</f>
        <v>0</v>
      </c>
      <c r="L775" s="63">
        <f>SUM(L773:L774)</f>
        <v>0</v>
      </c>
      <c r="M775" s="334">
        <f>SUM(J775:L775)</f>
        <v>0</v>
      </c>
      <c r="N775" s="63">
        <f>SUM(N773:N774)</f>
        <v>0</v>
      </c>
      <c r="O775" s="63">
        <f>SUM(O773:O774)</f>
        <v>0</v>
      </c>
      <c r="P775" s="63">
        <f>SUM(P773:P774)</f>
        <v>0</v>
      </c>
      <c r="Q775" s="334">
        <f>SUM(N775:P775)</f>
        <v>0</v>
      </c>
      <c r="R775" s="64">
        <f>+E775+I775+M775+Q775</f>
        <v>0</v>
      </c>
    </row>
    <row r="776" spans="1:18" ht="16.5" customHeight="1" thickBot="1" x14ac:dyDescent="0.35">
      <c r="A776" s="137" t="s">
        <v>69</v>
      </c>
      <c r="B776" s="100">
        <f>SUM(B766:B774)</f>
        <v>0</v>
      </c>
      <c r="C776" s="101">
        <f>SUM(C766:C774)</f>
        <v>0</v>
      </c>
      <c r="D776" s="138">
        <f>SUM(D766:D774)</f>
        <v>0</v>
      </c>
      <c r="E776" s="334">
        <f>SUM(B776:D776)</f>
        <v>0</v>
      </c>
      <c r="F776" s="101">
        <f>SUM(F766:F774)</f>
        <v>0</v>
      </c>
      <c r="G776" s="101">
        <f>SUM(G766:G774)</f>
        <v>0</v>
      </c>
      <c r="H776" s="101">
        <f>SUM(H766:H774)</f>
        <v>0</v>
      </c>
      <c r="I776" s="334">
        <f>SUM(F776:H776)</f>
        <v>0</v>
      </c>
      <c r="J776" s="101">
        <f>SUM(J766:J774)</f>
        <v>0</v>
      </c>
      <c r="K776" s="101">
        <f>SUM(K766:K774)</f>
        <v>0</v>
      </c>
      <c r="L776" s="101">
        <f>SUM(L766:L774)</f>
        <v>0</v>
      </c>
      <c r="M776" s="334">
        <f>SUM(J776:L776)</f>
        <v>0</v>
      </c>
      <c r="N776" s="101">
        <f>SUM(N766:N774)</f>
        <v>2902</v>
      </c>
      <c r="O776" s="101">
        <f>SUM(O766:O774)</f>
        <v>98</v>
      </c>
      <c r="P776" s="101">
        <f>SUM(P766:P774)</f>
        <v>2400</v>
      </c>
      <c r="Q776" s="334">
        <f>SUM(N776:P776)</f>
        <v>5400</v>
      </c>
      <c r="R776" s="64">
        <f>+E776+I776+M776+Q776</f>
        <v>5400</v>
      </c>
    </row>
    <row r="777" spans="1:18" ht="16.5" customHeight="1" thickBot="1" x14ac:dyDescent="0.35">
      <c r="A777" s="62" t="s">
        <v>70</v>
      </c>
      <c r="B777" s="107">
        <f>+B747+B751+B765+B776</f>
        <v>5609</v>
      </c>
      <c r="C777" s="63">
        <f>+C747+C751+C765+C776</f>
        <v>13236</v>
      </c>
      <c r="D777" s="63">
        <f>+D747+D751+D765+D776</f>
        <v>16394</v>
      </c>
      <c r="E777" s="64">
        <f>SUM(B777:D777)</f>
        <v>35239</v>
      </c>
      <c r="F777" s="63">
        <f>+F747+F751+F765+F776</f>
        <v>17067</v>
      </c>
      <c r="G777" s="63">
        <f>+G747+G751+G765+G776</f>
        <v>17613</v>
      </c>
      <c r="H777" s="63">
        <f>+H747+H751+H765+H776</f>
        <v>16316</v>
      </c>
      <c r="I777" s="64">
        <f>SUM(F777:H777)</f>
        <v>50996</v>
      </c>
      <c r="J777" s="63">
        <f>+J747+J751+J765+J776</f>
        <v>17018</v>
      </c>
      <c r="K777" s="63">
        <f>+K747+K751+K765+K776</f>
        <v>14057</v>
      </c>
      <c r="L777" s="63">
        <f>+L747+L751+L765+L776</f>
        <v>12838</v>
      </c>
      <c r="M777" s="64">
        <f>SUM(J777:L777)</f>
        <v>43913</v>
      </c>
      <c r="N777" s="63">
        <f>+N747+N751+N765+N776</f>
        <v>6243</v>
      </c>
      <c r="O777" s="63">
        <f>+O747+O751+O765+O776</f>
        <v>860</v>
      </c>
      <c r="P777" s="63">
        <f>+P747+P751+P765+P776</f>
        <v>4782</v>
      </c>
      <c r="Q777" s="64">
        <f>SUM(N777:P777)</f>
        <v>11885</v>
      </c>
      <c r="R777" s="88">
        <f>+E777+I777+M777+Q777</f>
        <v>142033</v>
      </c>
    </row>
    <row r="778" spans="1:18" ht="16.5" customHeight="1" thickBot="1" x14ac:dyDescent="0.35">
      <c r="A778" s="66" t="s">
        <v>37</v>
      </c>
      <c r="B778" s="25">
        <v>22</v>
      </c>
      <c r="C778" s="25">
        <v>24</v>
      </c>
      <c r="D778" s="25">
        <v>31</v>
      </c>
      <c r="E778" s="64">
        <f>SUM(B778:D778)</f>
        <v>77</v>
      </c>
      <c r="F778" s="25">
        <v>40</v>
      </c>
      <c r="G778" s="25">
        <v>45</v>
      </c>
      <c r="H778" s="25">
        <v>48</v>
      </c>
      <c r="I778" s="64">
        <f>SUM(F778:H778)</f>
        <v>133</v>
      </c>
      <c r="J778" s="25">
        <v>42</v>
      </c>
      <c r="K778" s="25">
        <v>39</v>
      </c>
      <c r="L778" s="25">
        <v>38</v>
      </c>
      <c r="M778" s="64">
        <f>SUM(J778:L778)</f>
        <v>119</v>
      </c>
      <c r="N778" s="25">
        <v>32</v>
      </c>
      <c r="O778" s="25">
        <v>25</v>
      </c>
      <c r="P778" s="25">
        <v>21</v>
      </c>
      <c r="Q778" s="64">
        <f>SUM(N778:P778)</f>
        <v>78</v>
      </c>
      <c r="R778" s="334">
        <f>+E778+I778+M778+Q778</f>
        <v>407</v>
      </c>
    </row>
    <row r="779" spans="1:18" ht="16.5" customHeight="1" thickBot="1" x14ac:dyDescent="0.35">
      <c r="A779" s="42"/>
      <c r="B779" s="37"/>
      <c r="C779" s="37"/>
      <c r="D779" s="37"/>
      <c r="E779" s="16"/>
      <c r="F779" s="37"/>
      <c r="G779" s="37"/>
      <c r="H779" s="37"/>
      <c r="I779" s="16"/>
      <c r="J779" s="37"/>
      <c r="K779" s="37"/>
      <c r="L779" s="37"/>
      <c r="M779" s="16"/>
      <c r="N779" s="37"/>
      <c r="O779" s="37"/>
      <c r="P779" s="37"/>
      <c r="Q779" s="16"/>
      <c r="R779" s="43"/>
    </row>
    <row r="780" spans="1:18" ht="15.75" customHeight="1" x14ac:dyDescent="0.3">
      <c r="A780" s="17" t="s">
        <v>507</v>
      </c>
      <c r="B780" s="1">
        <f>+SUM(B777:B778)</f>
        <v>5631</v>
      </c>
      <c r="C780" s="1">
        <f>+SUM(C777:C778)</f>
        <v>13260</v>
      </c>
      <c r="D780" s="1">
        <f>+SUM(D777:D778)</f>
        <v>16425</v>
      </c>
      <c r="E780" s="334">
        <f>SUM(B780:D780)</f>
        <v>35316</v>
      </c>
      <c r="F780" s="1">
        <f>+SUM(F777:F778)</f>
        <v>17107</v>
      </c>
      <c r="G780" s="1">
        <f>+SUM(G777:G778)</f>
        <v>17658</v>
      </c>
      <c r="H780" s="1">
        <f>+SUM(H777:H778)</f>
        <v>16364</v>
      </c>
      <c r="I780" s="334">
        <f>SUM(F780:H780)</f>
        <v>51129</v>
      </c>
      <c r="J780" s="1">
        <f>+SUM(J777:J778)</f>
        <v>17060</v>
      </c>
      <c r="K780" s="1">
        <f>+SUM(K777:K778)</f>
        <v>14096</v>
      </c>
      <c r="L780" s="1">
        <f>+SUM(L777:L778)</f>
        <v>12876</v>
      </c>
      <c r="M780" s="334">
        <f>SUM(J780:L780)</f>
        <v>44032</v>
      </c>
      <c r="N780" s="1">
        <f>+SUM(N777:N778)</f>
        <v>6275</v>
      </c>
      <c r="O780" s="1">
        <f>+SUM(O777:O778)</f>
        <v>885</v>
      </c>
      <c r="P780" s="1">
        <f>+SUM(P777:P778)</f>
        <v>4803</v>
      </c>
      <c r="Q780" s="334">
        <f>SUM(N780:P780)</f>
        <v>11963</v>
      </c>
      <c r="R780" s="334">
        <f>+E780+I780+M780+Q780</f>
        <v>142440</v>
      </c>
    </row>
    <row r="781" spans="1:18" ht="15.75" customHeight="1" x14ac:dyDescent="0.3">
      <c r="A781" s="17" t="s">
        <v>39</v>
      </c>
      <c r="B781" s="1">
        <f>(B780/B10)/1.983</f>
        <v>91.601190766678059</v>
      </c>
      <c r="C781" s="1">
        <f>(C780/C10)/1.983</f>
        <v>230.58062496739527</v>
      </c>
      <c r="D781" s="1">
        <f>(D780/D10)/1.983</f>
        <v>267.19047386657559</v>
      </c>
      <c r="E781" s="59" t="s">
        <v>7</v>
      </c>
      <c r="F781" s="1">
        <f>(F780/F10)/1.983</f>
        <v>287.56093461085896</v>
      </c>
      <c r="G781" s="1">
        <f>(G780/G10)/1.983</f>
        <v>287.24806012395686</v>
      </c>
      <c r="H781" s="1">
        <f>(H780/H10)/1.983</f>
        <v>275.07144057824843</v>
      </c>
      <c r="I781" s="59" t="s">
        <v>7</v>
      </c>
      <c r="J781" s="1">
        <f>(J780/J10)/1.983</f>
        <v>277.5202121256487</v>
      </c>
      <c r="K781" s="1">
        <f>(K780/K10)/1.983</f>
        <v>229.30392204707755</v>
      </c>
      <c r="L781" s="1">
        <f>(L780/L10)/1.983</f>
        <v>216.43973777105396</v>
      </c>
      <c r="M781" s="59" t="s">
        <v>7</v>
      </c>
      <c r="N781" s="1">
        <f>(N780/N10)/1.983</f>
        <v>102.0773347648561</v>
      </c>
      <c r="O781" s="1">
        <f>(O780/O10)/1.983</f>
        <v>14.876449823499748</v>
      </c>
      <c r="P781" s="1">
        <f>(P780/P10)/1.983</f>
        <v>78.131862769020543</v>
      </c>
      <c r="Q781" s="59" t="s">
        <v>7</v>
      </c>
      <c r="R781" s="59" t="s">
        <v>7</v>
      </c>
    </row>
    <row r="782" spans="1:18" ht="15.75" customHeight="1" x14ac:dyDescent="0.3">
      <c r="A782" s="17" t="s">
        <v>581</v>
      </c>
      <c r="B782" s="1">
        <f>B780+B792</f>
        <v>9187</v>
      </c>
      <c r="C782" s="1">
        <f>C780+C792</f>
        <v>17094</v>
      </c>
      <c r="D782" s="1">
        <f>D780+D792</f>
        <v>20337</v>
      </c>
      <c r="E782" s="59">
        <f>SUM(B782:D782)</f>
        <v>46618</v>
      </c>
      <c r="F782" s="1">
        <f>F780+F792</f>
        <v>21384</v>
      </c>
      <c r="G782" s="1">
        <f>G780+G792</f>
        <v>21616</v>
      </c>
      <c r="H782" s="1">
        <f>H780+H792</f>
        <v>20658</v>
      </c>
      <c r="I782" s="59">
        <f>SUM(F782:H782)</f>
        <v>63658</v>
      </c>
      <c r="J782" s="1">
        <f>J780+J792</f>
        <v>21158</v>
      </c>
      <c r="K782" s="1">
        <f>K780+K792</f>
        <v>18016</v>
      </c>
      <c r="L782" s="1">
        <f>L780+L792</f>
        <v>16977</v>
      </c>
      <c r="M782" s="59">
        <f>SUM(J782:L782)</f>
        <v>56151</v>
      </c>
      <c r="N782" s="1">
        <f>N780+N792</f>
        <v>10017</v>
      </c>
      <c r="O782" s="1">
        <f>O780+O792</f>
        <v>2548</v>
      </c>
      <c r="P782" s="1">
        <f>P780+P792</f>
        <v>6743</v>
      </c>
      <c r="Q782" s="59">
        <f>SUM(N782:P782)</f>
        <v>19308</v>
      </c>
      <c r="R782" s="59">
        <f>+E782+I782+M782+Q782</f>
        <v>185735</v>
      </c>
    </row>
    <row r="783" spans="1:18" ht="16.5" customHeight="1" thickBot="1" x14ac:dyDescent="0.35">
      <c r="A783" s="24" t="s">
        <v>582</v>
      </c>
      <c r="B783" s="25">
        <f>(B782/B10)/1.983</f>
        <v>149.44772501748736</v>
      </c>
      <c r="C783" s="25">
        <f>(C782/C10)/1.983</f>
        <v>297.25076947154258</v>
      </c>
      <c r="D783" s="25">
        <f>(D782/D10)/1.983</f>
        <v>330.82816846420377</v>
      </c>
      <c r="E783" s="88" t="s">
        <v>7</v>
      </c>
      <c r="F783" s="25">
        <f>(F782/F10)/1.983</f>
        <v>359.45537065052946</v>
      </c>
      <c r="G783" s="25">
        <f>(G782/G10)/1.983</f>
        <v>351.63405072145491</v>
      </c>
      <c r="H783" s="25">
        <f>(H782/H10)/1.983</f>
        <v>347.25163893091275</v>
      </c>
      <c r="I783" s="88" t="s">
        <v>7</v>
      </c>
      <c r="J783" s="25">
        <f>(J782/J10)/1.983</f>
        <v>344.18362533144631</v>
      </c>
      <c r="K783" s="25">
        <f>(K782/K10)/1.983</f>
        <v>293.07175507946573</v>
      </c>
      <c r="L783" s="25">
        <f>(L782/L10)/1.983</f>
        <v>285.37569339384765</v>
      </c>
      <c r="M783" s="88" t="s">
        <v>7</v>
      </c>
      <c r="N783" s="25">
        <f>(N782/N10)/1.983</f>
        <v>162.94958762383484</v>
      </c>
      <c r="O783" s="25">
        <f>(O782/O10)/1.983</f>
        <v>42.83072785342074</v>
      </c>
      <c r="P783" s="25">
        <f>(P782/P10)/1.983</f>
        <v>109.69043319831471</v>
      </c>
      <c r="Q783" s="88" t="s">
        <v>7</v>
      </c>
      <c r="R783" s="88" t="s">
        <v>7</v>
      </c>
    </row>
    <row r="784" spans="1:18" ht="15.75" customHeight="1" x14ac:dyDescent="0.3">
      <c r="A784" s="28"/>
      <c r="B784" s="1"/>
      <c r="C784" s="1"/>
      <c r="D784" s="1"/>
      <c r="E784" s="1"/>
      <c r="F784" s="1"/>
      <c r="G784" s="1"/>
      <c r="H784" s="1"/>
      <c r="I784" s="1"/>
      <c r="J784" s="1"/>
      <c r="K784" s="1"/>
      <c r="L784" s="1"/>
      <c r="M784" s="1"/>
      <c r="N784" s="1"/>
      <c r="O784" s="1"/>
      <c r="P784" s="1"/>
      <c r="Q784" s="1"/>
      <c r="R784" s="28"/>
    </row>
    <row r="785" spans="1:18" ht="15.75" customHeight="1" thickBot="1" x14ac:dyDescent="0.35">
      <c r="A785" s="28"/>
      <c r="B785" s="1"/>
      <c r="C785" s="1"/>
      <c r="D785" s="1"/>
      <c r="E785" s="1"/>
      <c r="F785" s="1"/>
      <c r="G785" s="1"/>
      <c r="H785" s="1"/>
      <c r="I785" s="1"/>
      <c r="J785" s="1"/>
      <c r="K785" s="1"/>
      <c r="L785" s="1"/>
      <c r="M785" s="1"/>
      <c r="N785" s="1"/>
      <c r="O785" s="1"/>
      <c r="P785" s="1"/>
      <c r="Q785" s="1"/>
      <c r="R785" s="28"/>
    </row>
    <row r="786" spans="1:18" ht="16.5" customHeight="1" thickBot="1" x14ac:dyDescent="0.35">
      <c r="A786" s="343" t="s">
        <v>583</v>
      </c>
      <c r="B786" s="323" t="s">
        <v>36</v>
      </c>
      <c r="C786" s="324" t="s">
        <v>9</v>
      </c>
      <c r="D786" s="324" t="s">
        <v>10</v>
      </c>
      <c r="E786" s="325" t="s">
        <v>11</v>
      </c>
      <c r="F786" s="324" t="s">
        <v>12</v>
      </c>
      <c r="G786" s="324" t="s">
        <v>13</v>
      </c>
      <c r="H786" s="324" t="s">
        <v>14</v>
      </c>
      <c r="I786" s="34" t="s">
        <v>15</v>
      </c>
      <c r="J786" s="324" t="s">
        <v>16</v>
      </c>
      <c r="K786" s="324" t="s">
        <v>17</v>
      </c>
      <c r="L786" s="324" t="s">
        <v>18</v>
      </c>
      <c r="M786" s="34" t="s">
        <v>19</v>
      </c>
      <c r="N786" s="324" t="s">
        <v>20</v>
      </c>
      <c r="O786" s="324" t="s">
        <v>21</v>
      </c>
      <c r="P786" s="324" t="s">
        <v>22</v>
      </c>
      <c r="Q786" s="34" t="s">
        <v>23</v>
      </c>
      <c r="R786" s="326" t="s">
        <v>24</v>
      </c>
    </row>
    <row r="787" spans="1:18" ht="16.5" customHeight="1" thickBot="1" x14ac:dyDescent="0.35">
      <c r="A787" s="42"/>
      <c r="B787" s="37"/>
      <c r="C787" s="37"/>
      <c r="D787" s="37"/>
      <c r="E787" s="38"/>
      <c r="F787" s="37"/>
      <c r="G787" s="37"/>
      <c r="H787" s="37"/>
      <c r="I787" s="38"/>
      <c r="J787" s="37"/>
      <c r="K787" s="37"/>
      <c r="L787" s="37"/>
      <c r="M787" s="38"/>
      <c r="N787" s="37"/>
      <c r="O787" s="37"/>
      <c r="P787" s="37"/>
      <c r="Q787" s="38"/>
      <c r="R787" s="42"/>
    </row>
    <row r="788" spans="1:18" ht="16.5" customHeight="1" thickBot="1" x14ac:dyDescent="0.35">
      <c r="A788" s="40" t="s">
        <v>37</v>
      </c>
      <c r="B788" s="25">
        <v>2</v>
      </c>
      <c r="C788" s="25">
        <v>3</v>
      </c>
      <c r="D788" s="25">
        <v>5</v>
      </c>
      <c r="E788" s="59">
        <f>SUM(B788:D788)</f>
        <v>10</v>
      </c>
      <c r="F788" s="25">
        <v>7</v>
      </c>
      <c r="G788" s="25">
        <v>8</v>
      </c>
      <c r="H788" s="25">
        <v>9</v>
      </c>
      <c r="I788" s="59">
        <f>SUM(F788:H788)</f>
        <v>24</v>
      </c>
      <c r="J788" s="25">
        <v>7</v>
      </c>
      <c r="K788" s="25">
        <v>6</v>
      </c>
      <c r="L788" s="25">
        <v>6</v>
      </c>
      <c r="M788" s="59">
        <f>SUM(J788:L788)</f>
        <v>19</v>
      </c>
      <c r="N788" s="25">
        <v>5</v>
      </c>
      <c r="O788" s="25">
        <v>3</v>
      </c>
      <c r="P788" s="25">
        <v>2</v>
      </c>
      <c r="Q788" s="59">
        <f>SUM(N788:P788)</f>
        <v>10</v>
      </c>
      <c r="R788" s="334">
        <f>+E788+I788+M788+Q788</f>
        <v>63</v>
      </c>
    </row>
    <row r="789" spans="1:18" ht="16.5" customHeight="1" thickBot="1" x14ac:dyDescent="0.35">
      <c r="A789" s="42"/>
      <c r="B789" s="37"/>
      <c r="C789" s="37"/>
      <c r="D789" s="37"/>
      <c r="E789" s="16"/>
      <c r="F789" s="37"/>
      <c r="G789" s="37"/>
      <c r="H789" s="37"/>
      <c r="I789" s="16"/>
      <c r="J789" s="37"/>
      <c r="K789" s="37"/>
      <c r="L789" s="37"/>
      <c r="M789" s="16"/>
      <c r="N789" s="37"/>
      <c r="O789" s="37"/>
      <c r="P789" s="37"/>
      <c r="Q789" s="16"/>
      <c r="R789" s="43"/>
    </row>
    <row r="790" spans="1:18" ht="15.75" customHeight="1" x14ac:dyDescent="0.3">
      <c r="A790" s="17" t="s">
        <v>507</v>
      </c>
      <c r="B790" s="1">
        <f>B788</f>
        <v>2</v>
      </c>
      <c r="C790" s="1">
        <f>C788</f>
        <v>3</v>
      </c>
      <c r="D790" s="1">
        <f>D788</f>
        <v>5</v>
      </c>
      <c r="E790" s="334">
        <f>SUM(B790:D790)</f>
        <v>10</v>
      </c>
      <c r="F790" s="1">
        <f>F788</f>
        <v>7</v>
      </c>
      <c r="G790" s="1">
        <f>G788</f>
        <v>8</v>
      </c>
      <c r="H790" s="1">
        <f>H788</f>
        <v>9</v>
      </c>
      <c r="I790" s="334">
        <f>SUM(F790:H790)</f>
        <v>24</v>
      </c>
      <c r="J790" s="1">
        <f>J788</f>
        <v>7</v>
      </c>
      <c r="K790" s="1">
        <f>K788</f>
        <v>6</v>
      </c>
      <c r="L790" s="1">
        <f>L788</f>
        <v>6</v>
      </c>
      <c r="M790" s="334">
        <f>SUM(J790:L790)</f>
        <v>19</v>
      </c>
      <c r="N790" s="1">
        <f>N788</f>
        <v>5</v>
      </c>
      <c r="O790" s="1">
        <f>O788</f>
        <v>3</v>
      </c>
      <c r="P790" s="1">
        <f>P788</f>
        <v>2</v>
      </c>
      <c r="Q790" s="334">
        <f>SUM(N790:P790)</f>
        <v>10</v>
      </c>
      <c r="R790" s="334">
        <f>+E790+I790+M790+Q790</f>
        <v>63</v>
      </c>
    </row>
    <row r="791" spans="1:18" ht="15.75" customHeight="1" x14ac:dyDescent="0.3">
      <c r="A791" s="17" t="s">
        <v>39</v>
      </c>
      <c r="B791" s="1">
        <f>(B790/B10)/1.983</f>
        <v>3.2534608689993978E-2</v>
      </c>
      <c r="C791" s="1">
        <f>(C790/C10)/1.983</f>
        <v>5.2167562209817935E-2</v>
      </c>
      <c r="D791" s="1">
        <f>(D790/D10)/1.983</f>
        <v>8.1336521724984942E-2</v>
      </c>
      <c r="E791" s="59" t="s">
        <v>7</v>
      </c>
      <c r="F791" s="1">
        <f>(F790/F10)/1.983</f>
        <v>0.1176668347621449</v>
      </c>
      <c r="G791" s="1">
        <f>(G790/G10)/1.983</f>
        <v>0.13013843475997591</v>
      </c>
      <c r="H791" s="1">
        <f>(H790/H10)/1.983</f>
        <v>0.15128593040847199</v>
      </c>
      <c r="I791" s="59" t="s">
        <v>7</v>
      </c>
      <c r="J791" s="1">
        <f>(J790/J10)/1.983</f>
        <v>0.11387113041497893</v>
      </c>
      <c r="K791" s="1">
        <f>(K790/K10)/1.983</f>
        <v>9.7603826069981942E-2</v>
      </c>
      <c r="L791" s="1">
        <f>(L790/L10)/1.983</f>
        <v>0.10085728693898134</v>
      </c>
      <c r="M791" s="59" t="s">
        <v>7</v>
      </c>
      <c r="N791" s="1">
        <f>(N790/N10)/1.983</f>
        <v>8.1336521724984942E-2</v>
      </c>
      <c r="O791" s="1">
        <f>(O790/O10)/1.983</f>
        <v>5.0428643469490671E-2</v>
      </c>
      <c r="P791" s="1">
        <f>(P790/P10)/1.983</f>
        <v>3.2534608689993978E-2</v>
      </c>
      <c r="Q791" s="59" t="s">
        <v>7</v>
      </c>
      <c r="R791" s="59" t="s">
        <v>7</v>
      </c>
    </row>
    <row r="792" spans="1:18" ht="15.75" customHeight="1" x14ac:dyDescent="0.3">
      <c r="A792" s="17" t="s">
        <v>584</v>
      </c>
      <c r="B792" s="1">
        <f>B790+B826+B877-B821</f>
        <v>3556</v>
      </c>
      <c r="C792" s="1">
        <f>C790+C826+C877-C821</f>
        <v>3834</v>
      </c>
      <c r="D792" s="1">
        <f>D790+D826+D877-D821</f>
        <v>3912</v>
      </c>
      <c r="E792" s="59">
        <f>SUM(B792:D792)</f>
        <v>11302</v>
      </c>
      <c r="F792" s="1">
        <f>F790+F826+F877-F821</f>
        <v>4277</v>
      </c>
      <c r="G792" s="1">
        <f>G790+G826+G877-G821</f>
        <v>3958</v>
      </c>
      <c r="H792" s="1">
        <f>H790+H826+H877-H821</f>
        <v>4294</v>
      </c>
      <c r="I792" s="59">
        <f>SUM(F792:H792)</f>
        <v>12529</v>
      </c>
      <c r="J792" s="1">
        <f>J790+J826+J877-J821</f>
        <v>4098</v>
      </c>
      <c r="K792" s="1">
        <f>K790+K826+K877-K821</f>
        <v>3920</v>
      </c>
      <c r="L792" s="1">
        <f>L790+L826+L877-L821</f>
        <v>4101</v>
      </c>
      <c r="M792" s="59">
        <f>SUM(J792:L792)</f>
        <v>12119</v>
      </c>
      <c r="N792" s="1">
        <f>N790+N826+N877-N821</f>
        <v>3742</v>
      </c>
      <c r="O792" s="1">
        <f>O790+O826+O877-O821</f>
        <v>1663</v>
      </c>
      <c r="P792" s="1">
        <f>P790+P826+P877-P821</f>
        <v>1940</v>
      </c>
      <c r="Q792" s="59">
        <f>SUM(N792:P792)</f>
        <v>7345</v>
      </c>
      <c r="R792" s="59">
        <f>+E792+I792+M792+Q792</f>
        <v>43295</v>
      </c>
    </row>
    <row r="793" spans="1:18" ht="16.5" customHeight="1" thickBot="1" x14ac:dyDescent="0.35">
      <c r="A793" s="24" t="s">
        <v>585</v>
      </c>
      <c r="B793" s="25">
        <f>(B792/B10)/1.983</f>
        <v>57.846534250809292</v>
      </c>
      <c r="C793" s="25">
        <f>(C792/C10)/1.983</f>
        <v>66.670144504147316</v>
      </c>
      <c r="D793" s="25">
        <f>(D792/D10)/1.983</f>
        <v>63.637694597628219</v>
      </c>
      <c r="E793" s="88" t="s">
        <v>7</v>
      </c>
      <c r="F793" s="25">
        <f>(F792/F10)/1.983</f>
        <v>71.894436039670524</v>
      </c>
      <c r="G793" s="25">
        <f>(G792/G10)/1.983</f>
        <v>64.385990597498079</v>
      </c>
      <c r="H793" s="25">
        <f>(H792/H10)/1.983</f>
        <v>72.180198352664306</v>
      </c>
      <c r="I793" s="88" t="s">
        <v>7</v>
      </c>
      <c r="J793" s="25">
        <f>(J792/J10)/1.983</f>
        <v>66.663413205797667</v>
      </c>
      <c r="K793" s="25">
        <f>(K792/K10)/1.983</f>
        <v>63.767833032388204</v>
      </c>
      <c r="L793" s="25">
        <f>(L792/L10)/1.983</f>
        <v>68.935955622793742</v>
      </c>
      <c r="M793" s="88" t="s">
        <v>7</v>
      </c>
      <c r="N793" s="25">
        <f>(N792/N10)/1.983</f>
        <v>60.872252858978733</v>
      </c>
      <c r="O793" s="25">
        <f>(O792/O10)/1.983</f>
        <v>27.954278029920992</v>
      </c>
      <c r="P793" s="25">
        <f>(P792/P10)/1.983</f>
        <v>31.558570429294161</v>
      </c>
      <c r="Q793" s="88" t="s">
        <v>7</v>
      </c>
      <c r="R793" s="88" t="s">
        <v>7</v>
      </c>
    </row>
    <row r="794" spans="1:18" ht="15.75" customHeight="1" x14ac:dyDescent="0.3">
      <c r="A794" s="28"/>
      <c r="B794" s="1"/>
      <c r="C794" s="1"/>
      <c r="D794" s="1"/>
      <c r="E794" s="1"/>
      <c r="F794" s="1"/>
      <c r="G794" s="1"/>
      <c r="H794" s="1"/>
      <c r="I794" s="1"/>
      <c r="J794" s="1"/>
      <c r="K794" s="1"/>
      <c r="L794" s="1"/>
      <c r="M794" s="1"/>
      <c r="N794" s="1"/>
      <c r="O794" s="1"/>
      <c r="P794" s="1"/>
      <c r="Q794" s="1"/>
      <c r="R794" s="28"/>
    </row>
    <row r="795" spans="1:18" ht="15.75" customHeight="1" thickBot="1" x14ac:dyDescent="0.35">
      <c r="A795" s="28"/>
      <c r="B795" s="1"/>
      <c r="C795" s="1"/>
      <c r="D795" s="1"/>
      <c r="E795" s="1"/>
      <c r="F795" s="1"/>
      <c r="G795" s="1"/>
      <c r="H795" s="1"/>
      <c r="I795" s="1"/>
      <c r="J795" s="1"/>
      <c r="K795" s="1"/>
      <c r="L795" s="1"/>
      <c r="M795" s="1"/>
      <c r="N795" s="1"/>
      <c r="O795" s="1"/>
      <c r="P795" s="1"/>
      <c r="Q795" s="1"/>
      <c r="R795" s="28"/>
    </row>
    <row r="796" spans="1:18" ht="16.5" customHeight="1" thickBot="1" x14ac:dyDescent="0.35">
      <c r="A796" s="343" t="s">
        <v>586</v>
      </c>
      <c r="B796" s="323" t="s">
        <v>36</v>
      </c>
      <c r="C796" s="324" t="s">
        <v>9</v>
      </c>
      <c r="D796" s="324" t="s">
        <v>10</v>
      </c>
      <c r="E796" s="34" t="s">
        <v>11</v>
      </c>
      <c r="F796" s="324" t="s">
        <v>12</v>
      </c>
      <c r="G796" s="324" t="s">
        <v>13</v>
      </c>
      <c r="H796" s="324" t="s">
        <v>14</v>
      </c>
      <c r="I796" s="34" t="s">
        <v>15</v>
      </c>
      <c r="J796" s="324" t="s">
        <v>16</v>
      </c>
      <c r="K796" s="324" t="s">
        <v>17</v>
      </c>
      <c r="L796" s="324" t="s">
        <v>18</v>
      </c>
      <c r="M796" s="34" t="s">
        <v>19</v>
      </c>
      <c r="N796" s="324" t="s">
        <v>20</v>
      </c>
      <c r="O796" s="324" t="s">
        <v>21</v>
      </c>
      <c r="P796" s="324" t="s">
        <v>22</v>
      </c>
      <c r="Q796" s="34" t="s">
        <v>23</v>
      </c>
      <c r="R796" s="346" t="s">
        <v>24</v>
      </c>
    </row>
    <row r="797" spans="1:18" ht="16.5" customHeight="1" thickBot="1" x14ac:dyDescent="0.35">
      <c r="A797" s="42"/>
      <c r="B797" s="37"/>
      <c r="C797" s="37"/>
      <c r="D797" s="37"/>
      <c r="E797" s="156"/>
      <c r="F797" s="37"/>
      <c r="G797" s="37"/>
      <c r="H797" s="37"/>
      <c r="I797" s="156"/>
      <c r="J797" s="37"/>
      <c r="K797" s="37"/>
      <c r="L797" s="37"/>
      <c r="M797" s="156"/>
      <c r="N797" s="37"/>
      <c r="O797" s="37"/>
      <c r="P797" s="37"/>
      <c r="Q797" s="156"/>
      <c r="R797" s="39"/>
    </row>
    <row r="798" spans="1:18" ht="15.75" customHeight="1" x14ac:dyDescent="0.3">
      <c r="A798" s="17" t="s">
        <v>45</v>
      </c>
      <c r="B798" s="1" t="s">
        <v>7</v>
      </c>
      <c r="C798" s="1" t="s">
        <v>7</v>
      </c>
      <c r="D798" s="1" t="s">
        <v>7</v>
      </c>
      <c r="E798" s="59" t="s">
        <v>7</v>
      </c>
      <c r="F798" s="1" t="s">
        <v>7</v>
      </c>
      <c r="G798" s="1" t="s">
        <v>7</v>
      </c>
      <c r="H798" s="1" t="s">
        <v>7</v>
      </c>
      <c r="I798" s="59" t="s">
        <v>7</v>
      </c>
      <c r="J798" s="1" t="s">
        <v>7</v>
      </c>
      <c r="K798" s="1" t="s">
        <v>7</v>
      </c>
      <c r="L798" s="1" t="s">
        <v>7</v>
      </c>
      <c r="M798" s="59" t="s">
        <v>7</v>
      </c>
      <c r="N798" s="1" t="s">
        <v>7</v>
      </c>
      <c r="O798" s="1" t="s">
        <v>7</v>
      </c>
      <c r="P798" s="1" t="s">
        <v>7</v>
      </c>
      <c r="Q798" s="59" t="s">
        <v>7</v>
      </c>
      <c r="R798" s="59" t="s">
        <v>7</v>
      </c>
    </row>
    <row r="799" spans="1:18" ht="15.75" customHeight="1" x14ac:dyDescent="0.3">
      <c r="A799" s="17" t="s">
        <v>46</v>
      </c>
      <c r="B799" s="1"/>
      <c r="C799" s="1"/>
      <c r="D799" s="1"/>
      <c r="E799" s="59" t="s">
        <v>7</v>
      </c>
      <c r="F799" s="1"/>
      <c r="G799" s="1"/>
      <c r="H799" s="1"/>
      <c r="I799" s="59" t="s">
        <v>7</v>
      </c>
      <c r="J799" s="1"/>
      <c r="K799" s="1"/>
      <c r="L799" s="1"/>
      <c r="M799" s="59" t="s">
        <v>7</v>
      </c>
      <c r="N799" s="1"/>
      <c r="O799" s="1"/>
      <c r="P799" s="1"/>
      <c r="Q799" s="59" t="s">
        <v>7</v>
      </c>
      <c r="R799" s="59" t="s">
        <v>7</v>
      </c>
    </row>
    <row r="800" spans="1:18" ht="15.75" customHeight="1" x14ac:dyDescent="0.3">
      <c r="A800" s="74" t="s">
        <v>587</v>
      </c>
      <c r="B800" s="1"/>
      <c r="C800" s="1"/>
      <c r="D800" s="1"/>
      <c r="E800" s="59">
        <f>SUM(B800:D800)</f>
        <v>0</v>
      </c>
      <c r="F800" s="1"/>
      <c r="G800" s="1"/>
      <c r="H800" s="1">
        <v>11</v>
      </c>
      <c r="I800" s="59">
        <f>SUM(F800:H800)</f>
        <v>11</v>
      </c>
      <c r="J800" s="1"/>
      <c r="K800" s="1"/>
      <c r="L800" s="1"/>
      <c r="M800" s="59">
        <f>SUM(J800:L800)</f>
        <v>0</v>
      </c>
      <c r="N800" s="1"/>
      <c r="O800" s="1"/>
      <c r="P800" s="1"/>
      <c r="Q800" s="59">
        <f>SUM(N800:P800)</f>
        <v>0</v>
      </c>
      <c r="R800" s="59">
        <f>+E800+I800+M800+Q800</f>
        <v>11</v>
      </c>
    </row>
    <row r="801" spans="1:18" ht="15.75" customHeight="1" x14ac:dyDescent="0.3">
      <c r="A801" s="17" t="s">
        <v>47</v>
      </c>
      <c r="B801" s="1"/>
      <c r="C801" s="1"/>
      <c r="D801" s="1"/>
      <c r="E801" s="59" t="s">
        <v>7</v>
      </c>
      <c r="F801" s="1"/>
      <c r="G801" s="1"/>
      <c r="H801" s="1"/>
      <c r="I801" s="59" t="s">
        <v>7</v>
      </c>
      <c r="J801" s="1"/>
      <c r="K801" s="1"/>
      <c r="L801" s="1"/>
      <c r="M801" s="59" t="s">
        <v>7</v>
      </c>
      <c r="N801" s="1"/>
      <c r="O801" s="1"/>
      <c r="P801" s="1"/>
      <c r="Q801" s="59" t="s">
        <v>7</v>
      </c>
      <c r="R801" s="59" t="s">
        <v>7</v>
      </c>
    </row>
    <row r="802" spans="1:18" ht="15.75" customHeight="1" x14ac:dyDescent="0.3">
      <c r="A802" s="17" t="s">
        <v>49</v>
      </c>
      <c r="B802" s="1"/>
      <c r="C802" s="1"/>
      <c r="D802" s="1"/>
      <c r="E802" s="59" t="s">
        <v>7</v>
      </c>
      <c r="F802" s="1"/>
      <c r="G802" s="1"/>
      <c r="H802" s="1"/>
      <c r="I802" s="59" t="s">
        <v>7</v>
      </c>
      <c r="J802" s="1"/>
      <c r="K802" s="1"/>
      <c r="L802" s="1"/>
      <c r="M802" s="59" t="s">
        <v>7</v>
      </c>
      <c r="N802" s="1"/>
      <c r="O802" s="1"/>
      <c r="P802" s="1"/>
      <c r="Q802" s="59" t="s">
        <v>7</v>
      </c>
      <c r="R802" s="59" t="s">
        <v>7</v>
      </c>
    </row>
    <row r="803" spans="1:18" ht="15.75" customHeight="1" thickBot="1" x14ac:dyDescent="0.35">
      <c r="A803" s="17" t="s">
        <v>51</v>
      </c>
      <c r="B803" s="1"/>
      <c r="C803" s="1"/>
      <c r="D803" s="1"/>
      <c r="E803" s="59" t="s">
        <v>7</v>
      </c>
      <c r="F803" s="1"/>
      <c r="G803" s="1"/>
      <c r="H803" s="1"/>
      <c r="I803" s="59" t="s">
        <v>7</v>
      </c>
      <c r="J803" s="1"/>
      <c r="K803" s="1"/>
      <c r="L803" s="1"/>
      <c r="M803" s="59" t="s">
        <v>7</v>
      </c>
      <c r="N803" s="1"/>
      <c r="O803" s="1"/>
      <c r="P803" s="1"/>
      <c r="Q803" s="59" t="s">
        <v>7</v>
      </c>
      <c r="R803" s="59" t="s">
        <v>7</v>
      </c>
    </row>
    <row r="804" spans="1:18" ht="16.5" customHeight="1" thickBot="1" x14ac:dyDescent="0.35">
      <c r="A804" s="62" t="s">
        <v>52</v>
      </c>
      <c r="B804" s="100">
        <f>SUM(B798:B803)</f>
        <v>0</v>
      </c>
      <c r="C804" s="101">
        <f>SUM(C798:C803)</f>
        <v>0</v>
      </c>
      <c r="D804" s="101">
        <f>SUM(D798:D803)</f>
        <v>0</v>
      </c>
      <c r="E804" s="64">
        <f>SUM(B804:D804)</f>
        <v>0</v>
      </c>
      <c r="F804" s="101">
        <f>SUM(F798:F803)</f>
        <v>0</v>
      </c>
      <c r="G804" s="101">
        <f>SUM(G798:G803)</f>
        <v>0</v>
      </c>
      <c r="H804" s="101">
        <f>SUM(H798:H803)</f>
        <v>11</v>
      </c>
      <c r="I804" s="64">
        <f>SUM(F804:H804)</f>
        <v>11</v>
      </c>
      <c r="J804" s="101">
        <f>SUM(J798:J803)</f>
        <v>0</v>
      </c>
      <c r="K804" s="101">
        <f>SUM(K798:K803)</f>
        <v>0</v>
      </c>
      <c r="L804" s="101">
        <f>SUM(L798:L803)</f>
        <v>0</v>
      </c>
      <c r="M804" s="64">
        <f>SUM(J804:L804)</f>
        <v>0</v>
      </c>
      <c r="N804" s="101">
        <f>SUM(N798:N803)</f>
        <v>0</v>
      </c>
      <c r="O804" s="101">
        <f>SUM(O798:O803)</f>
        <v>0</v>
      </c>
      <c r="P804" s="101">
        <f>SUM(P798:P803)</f>
        <v>0</v>
      </c>
      <c r="Q804" s="64">
        <f>SUM(N804:P804)</f>
        <v>0</v>
      </c>
      <c r="R804" s="64">
        <f>+E804+I804+M804+Q804</f>
        <v>11</v>
      </c>
    </row>
    <row r="805" spans="1:18" ht="15.75" customHeight="1" x14ac:dyDescent="0.3">
      <c r="A805" s="17" t="s">
        <v>53</v>
      </c>
      <c r="B805" s="1"/>
      <c r="C805" s="1"/>
      <c r="D805" s="1"/>
      <c r="E805" s="59" t="s">
        <v>7</v>
      </c>
      <c r="F805" s="1"/>
      <c r="G805" s="1"/>
      <c r="H805" s="1"/>
      <c r="I805" s="59" t="s">
        <v>7</v>
      </c>
      <c r="J805" s="1"/>
      <c r="K805" s="1"/>
      <c r="L805" s="1"/>
      <c r="M805" s="59" t="s">
        <v>7</v>
      </c>
      <c r="N805" s="1"/>
      <c r="O805" s="1"/>
      <c r="P805" s="1"/>
      <c r="Q805" s="59" t="s">
        <v>7</v>
      </c>
      <c r="R805" s="59" t="s">
        <v>7</v>
      </c>
    </row>
    <row r="806" spans="1:18" ht="15.75" customHeight="1" x14ac:dyDescent="0.3">
      <c r="A806" s="17" t="s">
        <v>55</v>
      </c>
      <c r="B806" s="1"/>
      <c r="C806" s="1"/>
      <c r="D806" s="1"/>
      <c r="E806" s="59" t="s">
        <v>7</v>
      </c>
      <c r="F806" s="1"/>
      <c r="G806" s="1"/>
      <c r="H806" s="1"/>
      <c r="I806" s="59" t="s">
        <v>7</v>
      </c>
      <c r="J806" s="1"/>
      <c r="K806" s="1"/>
      <c r="L806" s="1"/>
      <c r="M806" s="59" t="s">
        <v>7</v>
      </c>
      <c r="N806" s="1"/>
      <c r="O806" s="1"/>
      <c r="P806" s="1"/>
      <c r="Q806" s="59" t="s">
        <v>7</v>
      </c>
      <c r="R806" s="59" t="s">
        <v>7</v>
      </c>
    </row>
    <row r="807" spans="1:18" ht="15.75" customHeight="1" thickBot="1" x14ac:dyDescent="0.35">
      <c r="A807" s="17" t="s">
        <v>56</v>
      </c>
      <c r="B807" s="1"/>
      <c r="C807" s="1"/>
      <c r="D807" s="1"/>
      <c r="E807" s="59" t="s">
        <v>7</v>
      </c>
      <c r="F807" s="1"/>
      <c r="G807" s="1"/>
      <c r="H807" s="1"/>
      <c r="I807" s="59" t="s">
        <v>7</v>
      </c>
      <c r="J807" s="1"/>
      <c r="K807" s="1"/>
      <c r="L807" s="1"/>
      <c r="M807" s="59" t="s">
        <v>7</v>
      </c>
      <c r="N807" s="1"/>
      <c r="O807" s="1"/>
      <c r="P807" s="1"/>
      <c r="Q807" s="59" t="s">
        <v>7</v>
      </c>
      <c r="R807" s="59" t="s">
        <v>7</v>
      </c>
    </row>
    <row r="808" spans="1:18" ht="16.5" customHeight="1" thickBot="1" x14ac:dyDescent="0.35">
      <c r="A808" s="62" t="s">
        <v>57</v>
      </c>
      <c r="B808" s="100">
        <f>SUM(B805:B807)</f>
        <v>0</v>
      </c>
      <c r="C808" s="101">
        <f>SUM(C805:C807)</f>
        <v>0</v>
      </c>
      <c r="D808" s="101">
        <f>SUM(D805:D807)</f>
        <v>0</v>
      </c>
      <c r="E808" s="64">
        <f>SUM(B808:D808)</f>
        <v>0</v>
      </c>
      <c r="F808" s="101">
        <f>SUM(F805:F807)</f>
        <v>0</v>
      </c>
      <c r="G808" s="101">
        <f>SUM(G805:G807)</f>
        <v>0</v>
      </c>
      <c r="H808" s="101">
        <f>SUM(H805:H807)</f>
        <v>0</v>
      </c>
      <c r="I808" s="64">
        <f>SUM(F808:H808)</f>
        <v>0</v>
      </c>
      <c r="J808" s="101">
        <f>SUM(J805:J807)</f>
        <v>0</v>
      </c>
      <c r="K808" s="101">
        <f>SUM(K805:K807)</f>
        <v>0</v>
      </c>
      <c r="L808" s="101">
        <f>SUM(L805:L807)</f>
        <v>0</v>
      </c>
      <c r="M808" s="64">
        <f>SUM(J808:L808)</f>
        <v>0</v>
      </c>
      <c r="N808" s="101">
        <f>SUM(N805:N807)</f>
        <v>0</v>
      </c>
      <c r="O808" s="101">
        <f>SUM(O805:O807)</f>
        <v>0</v>
      </c>
      <c r="P808" s="101">
        <f>SUM(P805:P807)</f>
        <v>0</v>
      </c>
      <c r="Q808" s="64">
        <f>SUM(N808:P808)</f>
        <v>0</v>
      </c>
      <c r="R808" s="64">
        <f>+E808+I808+M808+Q808</f>
        <v>0</v>
      </c>
    </row>
    <row r="809" spans="1:18" ht="15.75" customHeight="1" x14ac:dyDescent="0.3">
      <c r="A809" s="17" t="s">
        <v>58</v>
      </c>
      <c r="B809" s="1"/>
      <c r="C809" s="1"/>
      <c r="D809" s="1"/>
      <c r="E809" s="59" t="s">
        <v>7</v>
      </c>
      <c r="F809" s="1"/>
      <c r="G809" s="1"/>
      <c r="H809" s="1"/>
      <c r="I809" s="59" t="s">
        <v>7</v>
      </c>
      <c r="J809" s="1"/>
      <c r="K809" s="1"/>
      <c r="L809" s="1"/>
      <c r="M809" s="59" t="s">
        <v>7</v>
      </c>
      <c r="N809" s="1"/>
      <c r="O809" s="1"/>
      <c r="P809" s="1"/>
      <c r="Q809" s="59" t="s">
        <v>7</v>
      </c>
      <c r="R809" s="59" t="s">
        <v>7</v>
      </c>
    </row>
    <row r="810" spans="1:18" ht="15.75" customHeight="1" x14ac:dyDescent="0.3">
      <c r="A810" s="17" t="s">
        <v>59</v>
      </c>
      <c r="B810" s="1"/>
      <c r="C810" s="1"/>
      <c r="D810" s="1"/>
      <c r="E810" s="59" t="s">
        <v>7</v>
      </c>
      <c r="F810" s="1"/>
      <c r="G810" s="1"/>
      <c r="H810" s="1"/>
      <c r="I810" s="59" t="s">
        <v>7</v>
      </c>
      <c r="J810" s="1"/>
      <c r="K810" s="1"/>
      <c r="L810" s="1"/>
      <c r="M810" s="59" t="s">
        <v>7</v>
      </c>
      <c r="N810" s="1"/>
      <c r="O810" s="1"/>
      <c r="P810" s="1"/>
      <c r="Q810" s="59" t="s">
        <v>7</v>
      </c>
      <c r="R810" s="59" t="s">
        <v>7</v>
      </c>
    </row>
    <row r="811" spans="1:18" ht="15.75" customHeight="1" thickBot="1" x14ac:dyDescent="0.35">
      <c r="A811" s="17" t="s">
        <v>60</v>
      </c>
      <c r="B811" s="1"/>
      <c r="C811" s="1"/>
      <c r="D811" s="1"/>
      <c r="E811" s="59" t="s">
        <v>7</v>
      </c>
      <c r="F811" s="1"/>
      <c r="G811" s="1"/>
      <c r="H811" s="1"/>
      <c r="I811" s="59" t="s">
        <v>7</v>
      </c>
      <c r="J811" s="1"/>
      <c r="K811" s="1"/>
      <c r="L811" s="1"/>
      <c r="M811" s="59" t="s">
        <v>7</v>
      </c>
      <c r="N811" s="1"/>
      <c r="O811" s="1"/>
      <c r="P811" s="1"/>
      <c r="Q811" s="59" t="s">
        <v>7</v>
      </c>
      <c r="R811" s="59" t="s">
        <v>7</v>
      </c>
    </row>
    <row r="812" spans="1:18" ht="16.5" customHeight="1" thickBot="1" x14ac:dyDescent="0.35">
      <c r="A812" s="62" t="s">
        <v>61</v>
      </c>
      <c r="B812" s="100">
        <f>SUM(B809:B811)</f>
        <v>0</v>
      </c>
      <c r="C812" s="101">
        <f>SUM(C809:C811)</f>
        <v>0</v>
      </c>
      <c r="D812" s="101">
        <f>SUM(D809:D811)</f>
        <v>0</v>
      </c>
      <c r="E812" s="64">
        <f>SUM(B812:D812)</f>
        <v>0</v>
      </c>
      <c r="F812" s="101">
        <f>SUM(F809:F811)</f>
        <v>0</v>
      </c>
      <c r="G812" s="101">
        <f>SUM(G809:G811)</f>
        <v>0</v>
      </c>
      <c r="H812" s="101">
        <f>SUM(H809:H811)</f>
        <v>0</v>
      </c>
      <c r="I812" s="64">
        <f>SUM(F812:H812)</f>
        <v>0</v>
      </c>
      <c r="J812" s="101">
        <f>SUM(J809:J811)</f>
        <v>0</v>
      </c>
      <c r="K812" s="101">
        <f>SUM(K809:K811)</f>
        <v>0</v>
      </c>
      <c r="L812" s="101">
        <f>SUM(L809:L811)</f>
        <v>0</v>
      </c>
      <c r="M812" s="64">
        <f>SUM(J812:L812)</f>
        <v>0</v>
      </c>
      <c r="N812" s="101">
        <f>SUM(N809:N811)</f>
        <v>0</v>
      </c>
      <c r="O812" s="101">
        <f>SUM(O809:O811)</f>
        <v>0</v>
      </c>
      <c r="P812" s="101">
        <f>SUM(P809:P811)</f>
        <v>0</v>
      </c>
      <c r="Q812" s="64">
        <f>SUM(N812:P812)</f>
        <v>0</v>
      </c>
      <c r="R812" s="64">
        <f>+E812+I812+M812+Q812</f>
        <v>0</v>
      </c>
    </row>
    <row r="813" spans="1:18" ht="15.75" customHeight="1" x14ac:dyDescent="0.3">
      <c r="A813" s="17" t="s">
        <v>62</v>
      </c>
      <c r="B813" s="1"/>
      <c r="C813" s="1"/>
      <c r="D813" s="1"/>
      <c r="E813" s="59" t="s">
        <v>7</v>
      </c>
      <c r="F813" s="1"/>
      <c r="G813" s="1"/>
      <c r="H813" s="1"/>
      <c r="I813" s="59" t="s">
        <v>7</v>
      </c>
      <c r="J813" s="1"/>
      <c r="K813" s="1"/>
      <c r="L813" s="1"/>
      <c r="M813" s="59" t="s">
        <v>7</v>
      </c>
      <c r="N813" s="1"/>
      <c r="O813" s="1"/>
      <c r="P813" s="1"/>
      <c r="Q813" s="59" t="s">
        <v>7</v>
      </c>
      <c r="R813" s="59" t="s">
        <v>7</v>
      </c>
    </row>
    <row r="814" spans="1:18" ht="15.75" customHeight="1" x14ac:dyDescent="0.3">
      <c r="A814" s="17" t="s">
        <v>63</v>
      </c>
      <c r="B814" s="1"/>
      <c r="C814" s="1"/>
      <c r="D814" s="1"/>
      <c r="E814" s="59" t="s">
        <v>7</v>
      </c>
      <c r="F814" s="1"/>
      <c r="G814" s="1"/>
      <c r="H814" s="1"/>
      <c r="I814" s="59" t="s">
        <v>7</v>
      </c>
      <c r="J814" s="1"/>
      <c r="K814" s="1"/>
      <c r="L814" s="1"/>
      <c r="M814" s="59" t="s">
        <v>7</v>
      </c>
      <c r="N814" s="1"/>
      <c r="O814" s="1"/>
      <c r="P814" s="1"/>
      <c r="Q814" s="59" t="s">
        <v>7</v>
      </c>
      <c r="R814" s="59" t="s">
        <v>7</v>
      </c>
    </row>
    <row r="815" spans="1:18" ht="15.75" customHeight="1" x14ac:dyDescent="0.3">
      <c r="A815" s="17" t="s">
        <v>64</v>
      </c>
      <c r="B815" s="1"/>
      <c r="C815" s="1"/>
      <c r="D815" s="1"/>
      <c r="E815" s="59" t="s">
        <v>7</v>
      </c>
      <c r="F815" s="1"/>
      <c r="G815" s="1"/>
      <c r="H815" s="1"/>
      <c r="I815" s="59" t="s">
        <v>7</v>
      </c>
      <c r="J815" s="1"/>
      <c r="K815" s="1"/>
      <c r="L815" s="1"/>
      <c r="M815" s="59" t="s">
        <v>7</v>
      </c>
      <c r="N815" s="1"/>
      <c r="O815" s="1"/>
      <c r="P815" s="1"/>
      <c r="Q815" s="59" t="s">
        <v>7</v>
      </c>
      <c r="R815" s="59" t="s">
        <v>7</v>
      </c>
    </row>
    <row r="816" spans="1:18" ht="15.75" customHeight="1" x14ac:dyDescent="0.3">
      <c r="A816" s="17" t="s">
        <v>66</v>
      </c>
      <c r="B816" s="1"/>
      <c r="C816" s="1"/>
      <c r="D816" s="1"/>
      <c r="E816" s="59" t="s">
        <v>7</v>
      </c>
      <c r="F816" s="1"/>
      <c r="G816" s="1"/>
      <c r="H816" s="1"/>
      <c r="I816" s="59" t="s">
        <v>7</v>
      </c>
      <c r="J816" s="1"/>
      <c r="K816" s="1"/>
      <c r="L816" s="1"/>
      <c r="M816" s="59" t="s">
        <v>7</v>
      </c>
      <c r="N816" s="1"/>
      <c r="O816" s="1"/>
      <c r="P816" s="1"/>
      <c r="Q816" s="59" t="s">
        <v>7</v>
      </c>
      <c r="R816" s="59" t="s">
        <v>7</v>
      </c>
    </row>
    <row r="817" spans="1:18" ht="15.75" customHeight="1" thickBot="1" x14ac:dyDescent="0.35">
      <c r="A817" s="17" t="s">
        <v>67</v>
      </c>
      <c r="B817" s="1"/>
      <c r="C817" s="1"/>
      <c r="D817" s="1"/>
      <c r="E817" s="59" t="s">
        <v>7</v>
      </c>
      <c r="F817" s="1"/>
      <c r="G817" s="1"/>
      <c r="H817" s="1"/>
      <c r="I817" s="59" t="s">
        <v>7</v>
      </c>
      <c r="J817" s="1"/>
      <c r="K817" s="1"/>
      <c r="L817" s="1"/>
      <c r="M817" s="59" t="s">
        <v>7</v>
      </c>
      <c r="N817" s="1"/>
      <c r="O817" s="1"/>
      <c r="P817" s="1"/>
      <c r="Q817" s="59" t="s">
        <v>7</v>
      </c>
      <c r="R817" s="59" t="s">
        <v>7</v>
      </c>
    </row>
    <row r="818" spans="1:18" ht="16.5" customHeight="1" thickBot="1" x14ac:dyDescent="0.35">
      <c r="A818" s="62" t="s">
        <v>68</v>
      </c>
      <c r="B818" s="63">
        <f>SUM(B816:B817)</f>
        <v>0</v>
      </c>
      <c r="C818" s="63">
        <f>SUM(C816:C817)</f>
        <v>0</v>
      </c>
      <c r="D818" s="63">
        <f>SUM(D816:D817)</f>
        <v>0</v>
      </c>
      <c r="E818" s="334">
        <f>SUM(B818:D818)</f>
        <v>0</v>
      </c>
      <c r="F818" s="63">
        <f>SUM(F816:F817)</f>
        <v>0</v>
      </c>
      <c r="G818" s="63">
        <f>SUM(G816:G817)</f>
        <v>0</v>
      </c>
      <c r="H818" s="63">
        <f>SUM(H816:H817)</f>
        <v>0</v>
      </c>
      <c r="I818" s="334">
        <f>SUM(F818:H818)</f>
        <v>0</v>
      </c>
      <c r="J818" s="63">
        <f>SUM(J816:J817)</f>
        <v>0</v>
      </c>
      <c r="K818" s="63">
        <f>SUM(K816:K817)</f>
        <v>0</v>
      </c>
      <c r="L818" s="63">
        <f>SUM(L816:L817)</f>
        <v>0</v>
      </c>
      <c r="M818" s="334">
        <f>SUM(J818:L818)</f>
        <v>0</v>
      </c>
      <c r="N818" s="63">
        <f>SUM(N816:N817)</f>
        <v>0</v>
      </c>
      <c r="O818" s="63">
        <f>SUM(O816:O817)</f>
        <v>0</v>
      </c>
      <c r="P818" s="63">
        <f>SUM(P816:P817)</f>
        <v>0</v>
      </c>
      <c r="Q818" s="334">
        <f>SUM(N818:P818)</f>
        <v>0</v>
      </c>
      <c r="R818" s="64">
        <f>+E818+I818+M818+Q818</f>
        <v>0</v>
      </c>
    </row>
    <row r="819" spans="1:18" ht="16.5" customHeight="1" thickBot="1" x14ac:dyDescent="0.35">
      <c r="A819" s="62" t="s">
        <v>69</v>
      </c>
      <c r="B819" s="100">
        <f>SUM(B813:B817)</f>
        <v>0</v>
      </c>
      <c r="C819" s="101">
        <f>SUM(C813:C817)</f>
        <v>0</v>
      </c>
      <c r="D819" s="138">
        <f>SUM(D813:D817)</f>
        <v>0</v>
      </c>
      <c r="E819" s="334">
        <f>SUM(B819:D819)</f>
        <v>0</v>
      </c>
      <c r="F819" s="101">
        <f>SUM(F813:F817)</f>
        <v>0</v>
      </c>
      <c r="G819" s="101">
        <f>SUM(G813:G817)</f>
        <v>0</v>
      </c>
      <c r="H819" s="101">
        <f>SUM(H813:H817)</f>
        <v>0</v>
      </c>
      <c r="I819" s="334">
        <f>SUM(F819:H819)</f>
        <v>0</v>
      </c>
      <c r="J819" s="101">
        <f>SUM(J813:J817)</f>
        <v>0</v>
      </c>
      <c r="K819" s="101">
        <f>SUM(K813:K817)</f>
        <v>0</v>
      </c>
      <c r="L819" s="101">
        <f>SUM(L813:L817)</f>
        <v>0</v>
      </c>
      <c r="M819" s="334">
        <f>SUM(J819:L819)</f>
        <v>0</v>
      </c>
      <c r="N819" s="101">
        <f>SUM(N813:N817)</f>
        <v>0</v>
      </c>
      <c r="O819" s="101">
        <f>SUM(O813:O817)</f>
        <v>0</v>
      </c>
      <c r="P819" s="101">
        <f>SUM(P813:P817)</f>
        <v>0</v>
      </c>
      <c r="Q819" s="334">
        <f>SUM(N819:P819)</f>
        <v>0</v>
      </c>
      <c r="R819" s="64">
        <f>+E819+I819+M819+Q819</f>
        <v>0</v>
      </c>
    </row>
    <row r="820" spans="1:18" ht="16.5" customHeight="1" thickBot="1" x14ac:dyDescent="0.35">
      <c r="A820" s="62" t="s">
        <v>70</v>
      </c>
      <c r="B820" s="107">
        <f>+B804+B808+B812+B819</f>
        <v>0</v>
      </c>
      <c r="C820" s="63">
        <f>+C804+C808+C812+C819</f>
        <v>0</v>
      </c>
      <c r="D820" s="63">
        <f>+D804+D808+D812+D819</f>
        <v>0</v>
      </c>
      <c r="E820" s="64">
        <f>SUM(B820:D820)</f>
        <v>0</v>
      </c>
      <c r="F820" s="63">
        <f>+F804+F808+F812+F819</f>
        <v>0</v>
      </c>
      <c r="G820" s="63">
        <f>+G804+G808+G812+G819</f>
        <v>0</v>
      </c>
      <c r="H820" s="63">
        <f>+H804+H808+H812+H819</f>
        <v>11</v>
      </c>
      <c r="I820" s="64">
        <f>SUM(F820:H820)</f>
        <v>11</v>
      </c>
      <c r="J820" s="63">
        <f>+J804+J808+J812+J819</f>
        <v>0</v>
      </c>
      <c r="K820" s="63">
        <f>+K804+K808+K812+K819</f>
        <v>0</v>
      </c>
      <c r="L820" s="63">
        <f>+L804+L808+L812+L819</f>
        <v>0</v>
      </c>
      <c r="M820" s="64">
        <f>SUM(J820:L820)</f>
        <v>0</v>
      </c>
      <c r="N820" s="63">
        <f>+N804+N808+N812+N819</f>
        <v>0</v>
      </c>
      <c r="O820" s="63">
        <f>+O804+O808+O812+O819</f>
        <v>0</v>
      </c>
      <c r="P820" s="63">
        <f>+P804+P808+P812+P819</f>
        <v>0</v>
      </c>
      <c r="Q820" s="64">
        <f>SUM(N820:P820)</f>
        <v>0</v>
      </c>
      <c r="R820" s="88">
        <f>+E820+I820+M820+Q820</f>
        <v>11</v>
      </c>
    </row>
    <row r="821" spans="1:18" ht="15.75" customHeight="1" x14ac:dyDescent="0.3">
      <c r="A821" s="74" t="s">
        <v>588</v>
      </c>
      <c r="B821" s="1">
        <v>4124</v>
      </c>
      <c r="C821" s="1">
        <v>3931</v>
      </c>
      <c r="D821" s="1">
        <v>4341</v>
      </c>
      <c r="E821" s="59">
        <f>SUM(B821:D821)</f>
        <v>12396</v>
      </c>
      <c r="F821" s="1">
        <v>5208</v>
      </c>
      <c r="G821" s="1">
        <v>6866</v>
      </c>
      <c r="H821" s="1">
        <v>7005</v>
      </c>
      <c r="I821" s="59">
        <f>SUM(F821:H821)</f>
        <v>19079</v>
      </c>
      <c r="J821" s="1">
        <v>6711</v>
      </c>
      <c r="K821" s="1">
        <v>6644</v>
      </c>
      <c r="L821" s="1">
        <v>5051</v>
      </c>
      <c r="M821" s="59">
        <f>SUM(J821:L821)</f>
        <v>18406</v>
      </c>
      <c r="N821" s="1">
        <v>141</v>
      </c>
      <c r="O821" s="1">
        <v>4685</v>
      </c>
      <c r="P821" s="1">
        <v>4765</v>
      </c>
      <c r="Q821" s="59">
        <f>SUM(N821:P821)</f>
        <v>9591</v>
      </c>
      <c r="R821" s="59">
        <f>+E821+I821+M821+Q821</f>
        <v>59472</v>
      </c>
    </row>
    <row r="822" spans="1:18" ht="15.75" customHeight="1" thickBot="1" x14ac:dyDescent="0.35">
      <c r="A822" s="74" t="s">
        <v>37</v>
      </c>
      <c r="B822" s="1">
        <v>0</v>
      </c>
      <c r="C822" s="1">
        <v>0</v>
      </c>
      <c r="D822" s="1">
        <v>0</v>
      </c>
      <c r="E822" s="59">
        <f>SUM(B822:D822)</f>
        <v>0</v>
      </c>
      <c r="F822" s="1">
        <v>0</v>
      </c>
      <c r="G822" s="1">
        <v>0</v>
      </c>
      <c r="H822" s="1">
        <v>0</v>
      </c>
      <c r="I822" s="59">
        <f>SUM(F822:H822)</f>
        <v>0</v>
      </c>
      <c r="J822" s="1">
        <v>0</v>
      </c>
      <c r="K822" s="1">
        <v>0</v>
      </c>
      <c r="L822" s="1">
        <v>0</v>
      </c>
      <c r="M822" s="59">
        <f>SUM(J822:L822)</f>
        <v>0</v>
      </c>
      <c r="N822" s="1">
        <v>0</v>
      </c>
      <c r="O822" s="1">
        <v>0</v>
      </c>
      <c r="P822" s="1">
        <v>0</v>
      </c>
      <c r="Q822" s="59">
        <f>SUM(N822:P822)</f>
        <v>0</v>
      </c>
      <c r="R822" s="59">
        <f>+E822+I822+M822+Q822</f>
        <v>0</v>
      </c>
    </row>
    <row r="823" spans="1:18" ht="16.5" customHeight="1" thickBot="1" x14ac:dyDescent="0.35">
      <c r="A823" s="154"/>
      <c r="B823" s="56"/>
      <c r="C823" s="56"/>
      <c r="D823" s="56"/>
      <c r="E823" s="64" t="s">
        <v>7</v>
      </c>
      <c r="F823" s="56"/>
      <c r="G823" s="56"/>
      <c r="H823" s="56"/>
      <c r="I823" s="64" t="s">
        <v>7</v>
      </c>
      <c r="J823" s="56"/>
      <c r="K823" s="56"/>
      <c r="L823" s="56"/>
      <c r="M823" s="64" t="s">
        <v>7</v>
      </c>
      <c r="N823" s="56"/>
      <c r="O823" s="56"/>
      <c r="P823" s="56"/>
      <c r="Q823" s="64"/>
      <c r="R823" s="64"/>
    </row>
    <row r="824" spans="1:18" ht="15.75" customHeight="1" x14ac:dyDescent="0.3">
      <c r="A824" s="17" t="s">
        <v>38</v>
      </c>
      <c r="B824" s="1">
        <f>SUM(B820:B822)</f>
        <v>4124</v>
      </c>
      <c r="C824" s="1">
        <f>SUM(C820:C822)</f>
        <v>3931</v>
      </c>
      <c r="D824" s="1">
        <f>SUM(D820:D822)</f>
        <v>4341</v>
      </c>
      <c r="E824" s="334">
        <f>SUM(B824:D824)</f>
        <v>12396</v>
      </c>
      <c r="F824" s="1">
        <f>SUM(F820:F822)</f>
        <v>5208</v>
      </c>
      <c r="G824" s="1">
        <f>SUM(G820:G822)</f>
        <v>6866</v>
      </c>
      <c r="H824" s="1">
        <f>SUM(H820:H822)</f>
        <v>7016</v>
      </c>
      <c r="I824" s="334">
        <f>SUM(F824:H824)</f>
        <v>19090</v>
      </c>
      <c r="J824" s="1">
        <f>SUM(J820:J822)</f>
        <v>6711</v>
      </c>
      <c r="K824" s="1">
        <f>SUM(K820:K822)</f>
        <v>6644</v>
      </c>
      <c r="L824" s="1">
        <f>SUM(L820:L822)</f>
        <v>5051</v>
      </c>
      <c r="M824" s="334">
        <f>SUM(J824:L824)</f>
        <v>18406</v>
      </c>
      <c r="N824" s="1">
        <f>SUM(N820:N822)</f>
        <v>141</v>
      </c>
      <c r="O824" s="1">
        <f>SUM(O820:O822)</f>
        <v>4685</v>
      </c>
      <c r="P824" s="1">
        <f>SUM(P820:P822)</f>
        <v>4765</v>
      </c>
      <c r="Q824" s="334">
        <f>SUM(N824:P824)</f>
        <v>9591</v>
      </c>
      <c r="R824" s="334">
        <f>+E824+I824+M824+Q824</f>
        <v>59483</v>
      </c>
    </row>
    <row r="825" spans="1:18" ht="15.75" customHeight="1" x14ac:dyDescent="0.3">
      <c r="A825" s="17" t="s">
        <v>39</v>
      </c>
      <c r="B825" s="1">
        <f>(B824/B10)/1.983</f>
        <v>67.086363118767579</v>
      </c>
      <c r="C825" s="1">
        <f>(C824/C10)/1.983</f>
        <v>68.356895682264764</v>
      </c>
      <c r="D825" s="1">
        <f>(D824/D10)/1.983</f>
        <v>70.616368161631925</v>
      </c>
      <c r="E825" s="59" t="s">
        <v>7</v>
      </c>
      <c r="F825" s="1">
        <f>(F824/F10)/1.983</f>
        <v>87.544125063035793</v>
      </c>
      <c r="G825" s="1">
        <f>(G824/G10)/1.983</f>
        <v>111.69131163274932</v>
      </c>
      <c r="H825" s="1">
        <f>(H824/H10)/1.983</f>
        <v>117.93578752731551</v>
      </c>
      <c r="I825" s="59" t="s">
        <v>7</v>
      </c>
      <c r="J825" s="1">
        <f>(J824/J10)/1.983</f>
        <v>109.1698794592748</v>
      </c>
      <c r="K825" s="1">
        <f>(K824/K10)/1.983</f>
        <v>108.07997006815999</v>
      </c>
      <c r="L825" s="1">
        <f>(L824/L10)/1.983</f>
        <v>84.905026054799123</v>
      </c>
      <c r="M825" s="59" t="s">
        <v>7</v>
      </c>
      <c r="N825" s="1">
        <f>(N824/N10)/1.983</f>
        <v>2.2936899126445756</v>
      </c>
      <c r="O825" s="1">
        <f>(O824/O10)/1.983</f>
        <v>78.752731551521251</v>
      </c>
      <c r="P825" s="1">
        <f>(P824/P10)/1.983</f>
        <v>77.513705203910661</v>
      </c>
      <c r="Q825" s="59" t="s">
        <v>7</v>
      </c>
      <c r="R825" s="59" t="s">
        <v>7</v>
      </c>
    </row>
    <row r="826" spans="1:18" ht="15.75" customHeight="1" x14ac:dyDescent="0.3">
      <c r="A826" s="17" t="s">
        <v>589</v>
      </c>
      <c r="B826" s="1">
        <f>B824</f>
        <v>4124</v>
      </c>
      <c r="C826" s="1">
        <f>C824</f>
        <v>3931</v>
      </c>
      <c r="D826" s="1">
        <f>D824</f>
        <v>4341</v>
      </c>
      <c r="E826" s="59">
        <f>SUM(B826:D826)</f>
        <v>12396</v>
      </c>
      <c r="F826" s="1">
        <f>F824</f>
        <v>5208</v>
      </c>
      <c r="G826" s="1">
        <f>G824</f>
        <v>6866</v>
      </c>
      <c r="H826" s="1">
        <f>H824</f>
        <v>7016</v>
      </c>
      <c r="I826" s="59">
        <f>SUM(F826:H826)</f>
        <v>19090</v>
      </c>
      <c r="J826" s="1">
        <f>J824</f>
        <v>6711</v>
      </c>
      <c r="K826" s="1">
        <f>K824</f>
        <v>6644</v>
      </c>
      <c r="L826" s="1">
        <f>L824</f>
        <v>5051</v>
      </c>
      <c r="M826" s="59">
        <f>SUM(J826:L826)</f>
        <v>18406</v>
      </c>
      <c r="N826" s="1">
        <f>N824</f>
        <v>141</v>
      </c>
      <c r="O826" s="1">
        <f>O824</f>
        <v>4685</v>
      </c>
      <c r="P826" s="1">
        <f>P824</f>
        <v>4765</v>
      </c>
      <c r="Q826" s="59">
        <f>SUM(N826:P826)</f>
        <v>9591</v>
      </c>
      <c r="R826" s="59">
        <f>+E826+I826+M826+Q826</f>
        <v>59483</v>
      </c>
    </row>
    <row r="827" spans="1:18" ht="16.5" customHeight="1" thickBot="1" x14ac:dyDescent="0.35">
      <c r="A827" s="24" t="s">
        <v>590</v>
      </c>
      <c r="B827" s="25">
        <f>(B826/B10)/1.983</f>
        <v>67.086363118767579</v>
      </c>
      <c r="C827" s="25">
        <f>(C826/C10)/1.983</f>
        <v>68.356895682264764</v>
      </c>
      <c r="D827" s="25">
        <f>(D826/D10)/1.983</f>
        <v>70.616368161631925</v>
      </c>
      <c r="E827" s="88" t="s">
        <v>7</v>
      </c>
      <c r="F827" s="25">
        <f>(F826/F10)/1.983</f>
        <v>87.544125063035793</v>
      </c>
      <c r="G827" s="25">
        <f>(G826/G10)/1.983</f>
        <v>111.69131163274932</v>
      </c>
      <c r="H827" s="25">
        <f>(H826/H10)/1.983</f>
        <v>117.93578752731551</v>
      </c>
      <c r="I827" s="88" t="s">
        <v>7</v>
      </c>
      <c r="J827" s="25">
        <f>(J826/J10)/1.983</f>
        <v>109.1698794592748</v>
      </c>
      <c r="K827" s="25">
        <f>(K826/K10)/1.983</f>
        <v>108.07997006815999</v>
      </c>
      <c r="L827" s="25">
        <f>(L826/L10)/1.983</f>
        <v>84.905026054799123</v>
      </c>
      <c r="M827" s="88" t="s">
        <v>7</v>
      </c>
      <c r="N827" s="25">
        <f>(N826/N10)/1.983</f>
        <v>2.2936899126445756</v>
      </c>
      <c r="O827" s="25">
        <f>(O826/O10)/1.983</f>
        <v>78.752731551521251</v>
      </c>
      <c r="P827" s="25">
        <f>(P826/P10)/1.983</f>
        <v>77.513705203910661</v>
      </c>
      <c r="Q827" s="88" t="s">
        <v>7</v>
      </c>
      <c r="R827" s="88" t="s">
        <v>7</v>
      </c>
    </row>
    <row r="828" spans="1:18" ht="15.75" customHeight="1" x14ac:dyDescent="0.3">
      <c r="A828" s="28"/>
      <c r="B828" s="1"/>
      <c r="C828" s="1"/>
      <c r="D828" s="1"/>
      <c r="E828" s="1"/>
      <c r="F828" s="1"/>
      <c r="G828" s="1"/>
      <c r="H828" s="1"/>
      <c r="I828" s="1"/>
      <c r="J828" s="1"/>
      <c r="K828" s="1"/>
      <c r="L828" s="1"/>
      <c r="M828" s="1"/>
      <c r="N828" s="1"/>
      <c r="O828" s="1"/>
      <c r="P828" s="1"/>
      <c r="Q828" s="1"/>
      <c r="R828" s="28"/>
    </row>
    <row r="829" spans="1:18" ht="15.75" customHeight="1" thickBot="1" x14ac:dyDescent="0.35">
      <c r="A829" s="28"/>
      <c r="B829" s="1"/>
      <c r="C829" s="1"/>
      <c r="D829" s="1"/>
      <c r="E829" s="1"/>
      <c r="F829" s="1"/>
      <c r="G829" s="1"/>
      <c r="H829" s="1"/>
      <c r="I829" s="1"/>
      <c r="J829" s="1"/>
      <c r="K829" s="1"/>
      <c r="L829" s="1"/>
      <c r="M829" s="1"/>
      <c r="N829" s="1"/>
      <c r="O829" s="1"/>
      <c r="P829" s="1"/>
      <c r="Q829" s="1"/>
      <c r="R829" s="28"/>
    </row>
    <row r="830" spans="1:18" ht="16.5" customHeight="1" thickBot="1" x14ac:dyDescent="0.35">
      <c r="A830" s="343" t="s">
        <v>591</v>
      </c>
      <c r="B830" s="323" t="s">
        <v>36</v>
      </c>
      <c r="C830" s="324" t="s">
        <v>9</v>
      </c>
      <c r="D830" s="324" t="s">
        <v>10</v>
      </c>
      <c r="E830" s="325" t="s">
        <v>11</v>
      </c>
      <c r="F830" s="324" t="s">
        <v>12</v>
      </c>
      <c r="G830" s="324" t="s">
        <v>13</v>
      </c>
      <c r="H830" s="324" t="s">
        <v>14</v>
      </c>
      <c r="I830" s="34" t="s">
        <v>15</v>
      </c>
      <c r="J830" s="324" t="s">
        <v>16</v>
      </c>
      <c r="K830" s="324" t="s">
        <v>17</v>
      </c>
      <c r="L830" s="324" t="s">
        <v>18</v>
      </c>
      <c r="M830" s="34" t="s">
        <v>19</v>
      </c>
      <c r="N830" s="324" t="s">
        <v>20</v>
      </c>
      <c r="O830" s="324" t="s">
        <v>21</v>
      </c>
      <c r="P830" s="324" t="s">
        <v>22</v>
      </c>
      <c r="Q830" s="34" t="s">
        <v>23</v>
      </c>
      <c r="R830" s="157" t="s">
        <v>24</v>
      </c>
    </row>
    <row r="831" spans="1:18" ht="16.5" customHeight="1" thickBot="1" x14ac:dyDescent="0.35">
      <c r="A831" s="42"/>
      <c r="B831" s="37"/>
      <c r="C831" s="37"/>
      <c r="D831" s="37"/>
      <c r="E831" s="16"/>
      <c r="F831" s="37"/>
      <c r="G831" s="37"/>
      <c r="H831" s="37"/>
      <c r="I831" s="156"/>
      <c r="J831" s="37"/>
      <c r="K831" s="37"/>
      <c r="L831" s="37"/>
      <c r="M831" s="156"/>
      <c r="N831" s="37"/>
      <c r="O831" s="37"/>
      <c r="P831" s="37"/>
      <c r="Q831" s="158"/>
      <c r="R831" s="159"/>
    </row>
    <row r="832" spans="1:18" ht="15.75" customHeight="1" x14ac:dyDescent="0.3">
      <c r="A832" s="17" t="s">
        <v>45</v>
      </c>
      <c r="B832" s="1" t="s">
        <v>7</v>
      </c>
      <c r="C832" s="1" t="s">
        <v>7</v>
      </c>
      <c r="D832" s="1" t="s">
        <v>7</v>
      </c>
      <c r="E832" s="160"/>
      <c r="F832" s="1" t="s">
        <v>7</v>
      </c>
      <c r="G832" s="1" t="s">
        <v>7</v>
      </c>
      <c r="H832" s="1" t="s">
        <v>7</v>
      </c>
      <c r="I832" s="160"/>
      <c r="J832" s="1" t="s">
        <v>7</v>
      </c>
      <c r="K832" s="1" t="s">
        <v>7</v>
      </c>
      <c r="L832" s="1" t="s">
        <v>7</v>
      </c>
      <c r="M832" s="160"/>
      <c r="N832" s="1" t="s">
        <v>7</v>
      </c>
      <c r="O832" s="1" t="s">
        <v>7</v>
      </c>
      <c r="P832" s="1" t="s">
        <v>7</v>
      </c>
      <c r="Q832" s="161"/>
      <c r="R832" s="162" t="s">
        <v>7</v>
      </c>
    </row>
    <row r="833" spans="1:20" ht="15.75" customHeight="1" x14ac:dyDescent="0.3">
      <c r="A833" s="17" t="s">
        <v>46</v>
      </c>
      <c r="B833" s="1"/>
      <c r="C833" s="1"/>
      <c r="D833" s="1"/>
      <c r="E833" s="59" t="s">
        <v>7</v>
      </c>
      <c r="F833" s="1"/>
      <c r="G833" s="1"/>
      <c r="H833" s="1"/>
      <c r="I833" s="59" t="s">
        <v>7</v>
      </c>
      <c r="J833" s="1"/>
      <c r="K833" s="1"/>
      <c r="L833" s="1"/>
      <c r="M833" s="59" t="s">
        <v>7</v>
      </c>
      <c r="N833" s="1"/>
      <c r="O833" s="1"/>
      <c r="P833" s="1"/>
      <c r="Q833" s="59" t="s">
        <v>7</v>
      </c>
      <c r="R833" s="59" t="s">
        <v>7</v>
      </c>
    </row>
    <row r="834" spans="1:20" ht="15.75" customHeight="1" x14ac:dyDescent="0.3">
      <c r="A834" s="74" t="s">
        <v>592</v>
      </c>
      <c r="B834" s="1"/>
      <c r="C834" s="1"/>
      <c r="D834" s="1"/>
      <c r="E834" s="59">
        <f t="shared" ref="E834:E839" si="290">SUM(B834:D834)</f>
        <v>0</v>
      </c>
      <c r="F834" s="1"/>
      <c r="G834" s="1"/>
      <c r="H834" s="1"/>
      <c r="I834" s="59">
        <f t="shared" ref="I834:I839" si="291">SUM(F834:H834)</f>
        <v>0</v>
      </c>
      <c r="J834" s="1"/>
      <c r="K834" s="1"/>
      <c r="L834" s="1"/>
      <c r="M834" s="59">
        <f t="shared" ref="M834:M839" si="292">SUM(J834:L834)</f>
        <v>0</v>
      </c>
      <c r="N834" s="1"/>
      <c r="O834" s="1"/>
      <c r="P834" s="1"/>
      <c r="Q834" s="59">
        <f t="shared" ref="Q834:Q839" si="293">SUM(N834:P834)</f>
        <v>0</v>
      </c>
      <c r="R834" s="59">
        <f t="shared" ref="R834:R839" si="294">+E834+I834+M834+Q834</f>
        <v>0</v>
      </c>
      <c r="T834" s="4" t="s">
        <v>593</v>
      </c>
    </row>
    <row r="835" spans="1:20" ht="15.75" customHeight="1" x14ac:dyDescent="0.3">
      <c r="A835" s="74" t="s">
        <v>594</v>
      </c>
      <c r="B835" s="1"/>
      <c r="C835" s="1"/>
      <c r="D835" s="1"/>
      <c r="E835" s="59">
        <f t="shared" si="290"/>
        <v>0</v>
      </c>
      <c r="F835" s="1"/>
      <c r="G835" s="1"/>
      <c r="H835" s="1"/>
      <c r="I835" s="59">
        <f t="shared" si="291"/>
        <v>0</v>
      </c>
      <c r="J835" s="1"/>
      <c r="K835" s="1"/>
      <c r="L835" s="1"/>
      <c r="M835" s="59">
        <f t="shared" si="292"/>
        <v>0</v>
      </c>
      <c r="N835" s="1"/>
      <c r="O835" s="1"/>
      <c r="P835" s="1"/>
      <c r="Q835" s="59">
        <f t="shared" si="293"/>
        <v>0</v>
      </c>
      <c r="R835" s="59">
        <f t="shared" si="294"/>
        <v>0</v>
      </c>
    </row>
    <row r="836" spans="1:20" ht="15.75" customHeight="1" x14ac:dyDescent="0.3">
      <c r="A836" s="74" t="s">
        <v>595</v>
      </c>
      <c r="B836" s="1"/>
      <c r="C836" s="1"/>
      <c r="D836" s="1"/>
      <c r="E836" s="59">
        <f t="shared" si="290"/>
        <v>0</v>
      </c>
      <c r="F836" s="1"/>
      <c r="G836" s="1"/>
      <c r="H836" s="1"/>
      <c r="I836" s="59">
        <f t="shared" si="291"/>
        <v>0</v>
      </c>
      <c r="J836" s="1"/>
      <c r="K836" s="1"/>
      <c r="L836" s="1"/>
      <c r="M836" s="59">
        <f t="shared" si="292"/>
        <v>0</v>
      </c>
      <c r="N836" s="1"/>
      <c r="O836" s="1"/>
      <c r="P836" s="1"/>
      <c r="Q836" s="59">
        <f t="shared" si="293"/>
        <v>0</v>
      </c>
      <c r="R836" s="59">
        <f t="shared" si="294"/>
        <v>0</v>
      </c>
    </row>
    <row r="837" spans="1:20" ht="15.75" customHeight="1" x14ac:dyDescent="0.3">
      <c r="A837" s="74" t="s">
        <v>596</v>
      </c>
      <c r="B837" s="1">
        <v>250</v>
      </c>
      <c r="C837" s="1"/>
      <c r="D837" s="1"/>
      <c r="E837" s="59">
        <f t="shared" si="290"/>
        <v>250</v>
      </c>
      <c r="F837" s="1"/>
      <c r="G837" s="1"/>
      <c r="H837" s="1"/>
      <c r="I837" s="59">
        <f t="shared" si="291"/>
        <v>0</v>
      </c>
      <c r="J837" s="1"/>
      <c r="K837" s="1"/>
      <c r="L837" s="1"/>
      <c r="M837" s="59">
        <f t="shared" si="292"/>
        <v>0</v>
      </c>
      <c r="N837" s="1"/>
      <c r="O837" s="1"/>
      <c r="P837" s="1"/>
      <c r="Q837" s="59">
        <f t="shared" si="293"/>
        <v>0</v>
      </c>
      <c r="R837" s="59">
        <f t="shared" si="294"/>
        <v>250</v>
      </c>
    </row>
    <row r="838" spans="1:20" ht="15.75" customHeight="1" x14ac:dyDescent="0.3">
      <c r="A838" s="74" t="s">
        <v>597</v>
      </c>
      <c r="B838" s="1"/>
      <c r="C838" s="1"/>
      <c r="D838" s="1"/>
      <c r="E838" s="59">
        <f t="shared" si="290"/>
        <v>0</v>
      </c>
      <c r="F838" s="1"/>
      <c r="G838" s="1"/>
      <c r="H838" s="1"/>
      <c r="I838" s="59">
        <f t="shared" si="291"/>
        <v>0</v>
      </c>
      <c r="J838" s="1"/>
      <c r="K838" s="1"/>
      <c r="L838" s="1"/>
      <c r="M838" s="59">
        <f t="shared" si="292"/>
        <v>0</v>
      </c>
      <c r="N838" s="1"/>
      <c r="O838" s="1"/>
      <c r="P838" s="1"/>
      <c r="Q838" s="59">
        <f t="shared" si="293"/>
        <v>0</v>
      </c>
      <c r="R838" s="59">
        <f t="shared" si="294"/>
        <v>0</v>
      </c>
    </row>
    <row r="839" spans="1:20" ht="15.75" customHeight="1" x14ac:dyDescent="0.3">
      <c r="A839" s="74" t="s">
        <v>598</v>
      </c>
      <c r="B839" s="1">
        <v>2143</v>
      </c>
      <c r="C839" s="1">
        <v>2549</v>
      </c>
      <c r="D839" s="1">
        <v>2713</v>
      </c>
      <c r="E839" s="59">
        <f t="shared" si="290"/>
        <v>7405</v>
      </c>
      <c r="F839" s="1">
        <v>2536</v>
      </c>
      <c r="G839" s="1">
        <v>1947</v>
      </c>
      <c r="H839" s="1">
        <v>2509</v>
      </c>
      <c r="I839" s="59">
        <f t="shared" si="291"/>
        <v>6992</v>
      </c>
      <c r="J839" s="1">
        <v>2473</v>
      </c>
      <c r="K839" s="1">
        <v>2518</v>
      </c>
      <c r="L839" s="1">
        <v>2371</v>
      </c>
      <c r="M839" s="59">
        <f t="shared" si="292"/>
        <v>7362</v>
      </c>
      <c r="N839" s="1">
        <v>241</v>
      </c>
      <c r="O839" s="1"/>
      <c r="P839" s="1"/>
      <c r="Q839" s="59">
        <f t="shared" si="293"/>
        <v>241</v>
      </c>
      <c r="R839" s="59">
        <f t="shared" si="294"/>
        <v>22000</v>
      </c>
    </row>
    <row r="840" spans="1:20" ht="15.75" customHeight="1" x14ac:dyDescent="0.3">
      <c r="A840" s="17" t="s">
        <v>47</v>
      </c>
      <c r="B840" s="1"/>
      <c r="C840" s="1"/>
      <c r="D840" s="1"/>
      <c r="E840" s="59" t="s">
        <v>7</v>
      </c>
      <c r="F840" s="1"/>
      <c r="G840" s="1"/>
      <c r="H840" s="1"/>
      <c r="I840" s="59" t="s">
        <v>7</v>
      </c>
      <c r="J840" s="1"/>
      <c r="K840" s="1"/>
      <c r="L840" s="1"/>
      <c r="M840" s="59" t="s">
        <v>7</v>
      </c>
      <c r="N840" s="1"/>
      <c r="O840" s="1"/>
      <c r="P840" s="1"/>
      <c r="Q840" s="59" t="s">
        <v>7</v>
      </c>
      <c r="R840" s="59" t="s">
        <v>7</v>
      </c>
    </row>
    <row r="841" spans="1:20" ht="15.75" customHeight="1" x14ac:dyDescent="0.3">
      <c r="A841" s="17" t="s">
        <v>49</v>
      </c>
      <c r="B841" s="1"/>
      <c r="C841" s="1"/>
      <c r="D841" s="1"/>
      <c r="E841" s="59" t="s">
        <v>7</v>
      </c>
      <c r="F841" s="1"/>
      <c r="G841" s="1"/>
      <c r="H841" s="1"/>
      <c r="I841" s="59" t="s">
        <v>7</v>
      </c>
      <c r="J841" s="1"/>
      <c r="K841" s="1"/>
      <c r="L841" s="1"/>
      <c r="M841" s="59" t="s">
        <v>7</v>
      </c>
      <c r="N841" s="1"/>
      <c r="O841" s="1"/>
      <c r="P841" s="1"/>
      <c r="Q841" s="59" t="s">
        <v>7</v>
      </c>
      <c r="R841" s="59" t="s">
        <v>7</v>
      </c>
    </row>
    <row r="842" spans="1:20" ht="15.75" customHeight="1" x14ac:dyDescent="0.3">
      <c r="A842" s="74" t="s">
        <v>599</v>
      </c>
      <c r="B842" s="1"/>
      <c r="C842" s="1"/>
      <c r="D842" s="1"/>
      <c r="E842" s="59">
        <f>SUM(B842:D842)</f>
        <v>0</v>
      </c>
      <c r="F842" s="1"/>
      <c r="G842" s="1"/>
      <c r="H842" s="1"/>
      <c r="I842" s="59">
        <f>SUM(F842:H842)</f>
        <v>0</v>
      </c>
      <c r="J842" s="1"/>
      <c r="K842" s="1"/>
      <c r="L842" s="1"/>
      <c r="M842" s="59">
        <f>SUM(J842:L842)</f>
        <v>0</v>
      </c>
      <c r="N842" s="1"/>
      <c r="O842" s="1"/>
      <c r="P842" s="1"/>
      <c r="Q842" s="59">
        <f>SUM(N842:P842)</f>
        <v>0</v>
      </c>
      <c r="R842" s="59">
        <f>+E842+I842+M842+Q842</f>
        <v>0</v>
      </c>
      <c r="S842" s="77" t="s">
        <v>90</v>
      </c>
    </row>
    <row r="843" spans="1:20" ht="15.75" customHeight="1" thickBot="1" x14ac:dyDescent="0.35">
      <c r="A843" s="17" t="s">
        <v>51</v>
      </c>
      <c r="B843" s="1"/>
      <c r="C843" s="1"/>
      <c r="D843" s="1"/>
      <c r="E843" s="59" t="s">
        <v>7</v>
      </c>
      <c r="F843" s="1"/>
      <c r="G843" s="1"/>
      <c r="H843" s="1"/>
      <c r="I843" s="59" t="s">
        <v>7</v>
      </c>
      <c r="J843" s="1"/>
      <c r="K843" s="1"/>
      <c r="L843" s="1"/>
      <c r="M843" s="59" t="s">
        <v>7</v>
      </c>
      <c r="N843" s="1"/>
      <c r="O843" s="1"/>
      <c r="P843" s="1"/>
      <c r="Q843" s="59" t="s">
        <v>7</v>
      </c>
      <c r="R843" s="59" t="s">
        <v>7</v>
      </c>
    </row>
    <row r="844" spans="1:20" ht="16.5" customHeight="1" thickBot="1" x14ac:dyDescent="0.35">
      <c r="A844" s="62" t="s">
        <v>52</v>
      </c>
      <c r="B844" s="100">
        <f>SUM(B832:B843)</f>
        <v>2393</v>
      </c>
      <c r="C844" s="101">
        <f>SUM(C832:C843)</f>
        <v>2549</v>
      </c>
      <c r="D844" s="101">
        <f>SUM(D832:D843)</f>
        <v>2713</v>
      </c>
      <c r="E844" s="64">
        <f>SUM(B844:D844)</f>
        <v>7655</v>
      </c>
      <c r="F844" s="101">
        <f>SUM(F832:F843)</f>
        <v>2536</v>
      </c>
      <c r="G844" s="101">
        <f>SUM(G832:G843)</f>
        <v>1947</v>
      </c>
      <c r="H844" s="101">
        <f>SUM(H832:H843)</f>
        <v>2509</v>
      </c>
      <c r="I844" s="64">
        <f>SUM(F844:H844)</f>
        <v>6992</v>
      </c>
      <c r="J844" s="101">
        <f>SUM(J832:J843)</f>
        <v>2473</v>
      </c>
      <c r="K844" s="101">
        <f>SUM(K832:K843)</f>
        <v>2518</v>
      </c>
      <c r="L844" s="101">
        <f>SUM(L832:L843)</f>
        <v>2371</v>
      </c>
      <c r="M844" s="64">
        <f>SUM(J844:L844)</f>
        <v>7362</v>
      </c>
      <c r="N844" s="101">
        <f>SUM(N832:N843)</f>
        <v>241</v>
      </c>
      <c r="O844" s="101">
        <f>SUM(O832:O843)</f>
        <v>0</v>
      </c>
      <c r="P844" s="101">
        <f>SUM(P832:P843)</f>
        <v>0</v>
      </c>
      <c r="Q844" s="64">
        <f>SUM(N844:P844)</f>
        <v>241</v>
      </c>
      <c r="R844" s="64">
        <f>+E844+I844+M844+Q844</f>
        <v>22250</v>
      </c>
    </row>
    <row r="845" spans="1:20" ht="15.75" customHeight="1" x14ac:dyDescent="0.3">
      <c r="A845" s="17" t="s">
        <v>53</v>
      </c>
      <c r="B845" s="1"/>
      <c r="C845" s="1"/>
      <c r="D845" s="1"/>
      <c r="E845" s="59" t="s">
        <v>7</v>
      </c>
      <c r="F845" s="1"/>
      <c r="G845" s="1"/>
      <c r="H845" s="1"/>
      <c r="I845" s="59" t="s">
        <v>7</v>
      </c>
      <c r="J845" s="1"/>
      <c r="K845" s="1"/>
      <c r="L845" s="1"/>
      <c r="M845" s="59" t="s">
        <v>7</v>
      </c>
      <c r="N845" s="1"/>
      <c r="O845" s="1"/>
      <c r="P845" s="1"/>
      <c r="Q845" s="59" t="s">
        <v>7</v>
      </c>
      <c r="R845" s="59" t="s">
        <v>7</v>
      </c>
    </row>
    <row r="846" spans="1:20" ht="15.75" customHeight="1" x14ac:dyDescent="0.3">
      <c r="A846" s="17" t="s">
        <v>55</v>
      </c>
      <c r="B846" s="1"/>
      <c r="C846" s="1"/>
      <c r="D846" s="1"/>
      <c r="E846" s="59" t="s">
        <v>7</v>
      </c>
      <c r="F846" s="1"/>
      <c r="G846" s="1"/>
      <c r="H846" s="1"/>
      <c r="I846" s="59" t="s">
        <v>7</v>
      </c>
      <c r="J846" s="1"/>
      <c r="K846" s="1"/>
      <c r="L846" s="1"/>
      <c r="M846" s="59" t="s">
        <v>7</v>
      </c>
      <c r="N846" s="1"/>
      <c r="O846" s="1"/>
      <c r="P846" s="1"/>
      <c r="Q846" s="59" t="s">
        <v>7</v>
      </c>
      <c r="R846" s="59" t="s">
        <v>7</v>
      </c>
    </row>
    <row r="847" spans="1:20" ht="15.75" customHeight="1" x14ac:dyDescent="0.3">
      <c r="A847" s="74" t="s">
        <v>600</v>
      </c>
      <c r="B847" s="1"/>
      <c r="C847" s="1"/>
      <c r="D847" s="1"/>
      <c r="E847" s="59">
        <f>SUM(B847:D847)</f>
        <v>0</v>
      </c>
      <c r="F847" s="1"/>
      <c r="G847" s="1"/>
      <c r="H847" s="1"/>
      <c r="I847" s="59">
        <f>SUM(F847:H847)</f>
        <v>0</v>
      </c>
      <c r="J847" s="1"/>
      <c r="K847" s="1"/>
      <c r="L847" s="1"/>
      <c r="M847" s="59">
        <f>SUM(J847:L847)</f>
        <v>0</v>
      </c>
      <c r="N847" s="1"/>
      <c r="O847" s="1"/>
      <c r="P847" s="1"/>
      <c r="Q847" s="59">
        <f>SUM(N847:P847)</f>
        <v>0</v>
      </c>
      <c r="R847" s="59">
        <f>+E847+I847+M847+Q847</f>
        <v>0</v>
      </c>
    </row>
    <row r="848" spans="1:20" ht="15.75" customHeight="1" thickBot="1" x14ac:dyDescent="0.35">
      <c r="A848" s="17" t="s">
        <v>56</v>
      </c>
      <c r="B848" s="1"/>
      <c r="C848" s="1"/>
      <c r="D848" s="1"/>
      <c r="E848" s="59" t="s">
        <v>7</v>
      </c>
      <c r="F848" s="1"/>
      <c r="G848" s="1"/>
      <c r="H848" s="1"/>
      <c r="I848" s="59" t="s">
        <v>7</v>
      </c>
      <c r="J848" s="1"/>
      <c r="K848" s="1"/>
      <c r="L848" s="1"/>
      <c r="M848" s="59" t="s">
        <v>7</v>
      </c>
      <c r="N848" s="1"/>
      <c r="O848" s="1"/>
      <c r="P848" s="1"/>
      <c r="Q848" s="59" t="s">
        <v>7</v>
      </c>
      <c r="R848" s="59" t="s">
        <v>7</v>
      </c>
    </row>
    <row r="849" spans="1:20" ht="16.5" customHeight="1" thickBot="1" x14ac:dyDescent="0.35">
      <c r="A849" s="62" t="s">
        <v>57</v>
      </c>
      <c r="B849" s="100">
        <f>SUM(B845:B848)</f>
        <v>0</v>
      </c>
      <c r="C849" s="101">
        <f>SUM(C845:C848)</f>
        <v>0</v>
      </c>
      <c r="D849" s="101">
        <f>SUM(D845:D848)</f>
        <v>0</v>
      </c>
      <c r="E849" s="64">
        <f>SUM(B849:D849)</f>
        <v>0</v>
      </c>
      <c r="F849" s="101">
        <f>SUM(F845:F848)</f>
        <v>0</v>
      </c>
      <c r="G849" s="101">
        <f>SUM(G845:G848)</f>
        <v>0</v>
      </c>
      <c r="H849" s="101">
        <f>SUM(H845:H848)</f>
        <v>0</v>
      </c>
      <c r="I849" s="64">
        <f>SUM(F849:H849)</f>
        <v>0</v>
      </c>
      <c r="J849" s="101">
        <f>SUM(J845:J848)</f>
        <v>0</v>
      </c>
      <c r="K849" s="101">
        <f>SUM(K845:K848)</f>
        <v>0</v>
      </c>
      <c r="L849" s="101">
        <f>SUM(L845:L848)</f>
        <v>0</v>
      </c>
      <c r="M849" s="64">
        <f>SUM(J849:L849)</f>
        <v>0</v>
      </c>
      <c r="N849" s="101">
        <f>SUM(N845:N848)</f>
        <v>0</v>
      </c>
      <c r="O849" s="101">
        <f>SUM(O845:O848)</f>
        <v>0</v>
      </c>
      <c r="P849" s="101">
        <f>SUM(P845:P848)</f>
        <v>0</v>
      </c>
      <c r="Q849" s="64">
        <f>SUM(N849:P849)</f>
        <v>0</v>
      </c>
      <c r="R849" s="64">
        <f>+E849+I849+M849+Q849</f>
        <v>0</v>
      </c>
    </row>
    <row r="850" spans="1:20" ht="15.75" customHeight="1" x14ac:dyDescent="0.3">
      <c r="A850" s="17" t="s">
        <v>58</v>
      </c>
      <c r="B850" s="1"/>
      <c r="C850" s="1"/>
      <c r="D850" s="1"/>
      <c r="E850" s="59" t="s">
        <v>7</v>
      </c>
      <c r="F850" s="1"/>
      <c r="G850" s="1"/>
      <c r="H850" s="1"/>
      <c r="I850" s="59" t="s">
        <v>7</v>
      </c>
      <c r="J850" s="1" t="s">
        <v>7</v>
      </c>
      <c r="K850" s="1"/>
      <c r="L850" s="1"/>
      <c r="M850" s="59" t="s">
        <v>7</v>
      </c>
      <c r="N850" s="1"/>
      <c r="O850" s="1"/>
      <c r="P850" s="1"/>
      <c r="Q850" s="59" t="s">
        <v>7</v>
      </c>
      <c r="R850" s="59" t="s">
        <v>7</v>
      </c>
    </row>
    <row r="851" spans="1:20" ht="18" customHeight="1" x14ac:dyDescent="0.3">
      <c r="A851" s="17" t="s">
        <v>59</v>
      </c>
      <c r="B851" s="1"/>
      <c r="C851" s="1"/>
      <c r="D851" s="1"/>
      <c r="E851" s="59" t="s">
        <v>7</v>
      </c>
      <c r="F851" s="1"/>
      <c r="G851" s="1"/>
      <c r="H851" s="1"/>
      <c r="I851" s="59" t="s">
        <v>7</v>
      </c>
      <c r="J851" s="1"/>
      <c r="K851" s="1"/>
      <c r="L851" s="1"/>
      <c r="M851" s="59" t="s">
        <v>7</v>
      </c>
      <c r="N851" s="1"/>
      <c r="O851" s="1"/>
      <c r="P851" s="1"/>
      <c r="Q851" s="59" t="s">
        <v>7</v>
      </c>
      <c r="R851" s="59" t="s">
        <v>7</v>
      </c>
    </row>
    <row r="852" spans="1:20" ht="15.75" customHeight="1" x14ac:dyDescent="0.3">
      <c r="A852" s="74" t="s">
        <v>601</v>
      </c>
      <c r="B852" s="1">
        <v>504</v>
      </c>
      <c r="C852" s="1">
        <v>572</v>
      </c>
      <c r="D852" s="1">
        <v>500</v>
      </c>
      <c r="E852" s="59">
        <f>SUM(B852:D852)</f>
        <v>1576</v>
      </c>
      <c r="F852" s="1">
        <v>959</v>
      </c>
      <c r="G852" s="1">
        <f>1364+2</f>
        <v>1366</v>
      </c>
      <c r="H852" s="1">
        <v>1035</v>
      </c>
      <c r="I852" s="59">
        <f>SUM(F852:H852)</f>
        <v>3360</v>
      </c>
      <c r="J852" s="1">
        <f>767+3</f>
        <v>770</v>
      </c>
      <c r="K852" s="1">
        <v>563</v>
      </c>
      <c r="L852" s="1">
        <v>713</v>
      </c>
      <c r="M852" s="59">
        <f>SUM(J852:L852)</f>
        <v>2046</v>
      </c>
      <c r="N852" s="1">
        <v>422</v>
      </c>
      <c r="O852" s="1">
        <v>292</v>
      </c>
      <c r="P852" s="1">
        <v>264</v>
      </c>
      <c r="Q852" s="59">
        <f>SUM(N852:P852)</f>
        <v>978</v>
      </c>
      <c r="R852" s="59">
        <f>+E852+I852+M852+Q852</f>
        <v>7960</v>
      </c>
      <c r="T852" s="4" t="s">
        <v>602</v>
      </c>
    </row>
    <row r="853" spans="1:20" ht="15.75" customHeight="1" x14ac:dyDescent="0.3">
      <c r="A853" s="74" t="s">
        <v>603</v>
      </c>
      <c r="B853" s="1">
        <v>20</v>
      </c>
      <c r="C853" s="1">
        <v>21</v>
      </c>
      <c r="D853" s="1">
        <v>20</v>
      </c>
      <c r="E853" s="59">
        <f>SUM(B853:D853)</f>
        <v>61</v>
      </c>
      <c r="F853" s="1">
        <v>74</v>
      </c>
      <c r="G853" s="1">
        <v>86</v>
      </c>
      <c r="H853" s="1">
        <v>87</v>
      </c>
      <c r="I853" s="59">
        <f t="shared" ref="I853" si="295">SUM(F853:H853)</f>
        <v>247</v>
      </c>
      <c r="J853" s="1">
        <v>58</v>
      </c>
      <c r="K853" s="1">
        <v>89</v>
      </c>
      <c r="L853" s="1">
        <v>45</v>
      </c>
      <c r="M853" s="59">
        <f>SUM(J853:L853)</f>
        <v>192</v>
      </c>
      <c r="N853" s="1"/>
      <c r="O853" s="1"/>
      <c r="P853" s="1"/>
      <c r="Q853" s="59">
        <f>SUM(N853:P853)</f>
        <v>0</v>
      </c>
      <c r="R853" s="59">
        <f>+E853+I853+M853+Q853</f>
        <v>500</v>
      </c>
      <c r="T853" s="4" t="s">
        <v>604</v>
      </c>
    </row>
    <row r="854" spans="1:20" ht="15.75" customHeight="1" x14ac:dyDescent="0.3">
      <c r="A854" s="17" t="s">
        <v>60</v>
      </c>
      <c r="B854" s="1"/>
      <c r="C854" s="1"/>
      <c r="D854" s="1"/>
      <c r="E854" s="59" t="s">
        <v>7</v>
      </c>
      <c r="F854" s="1"/>
      <c r="G854" s="1"/>
      <c r="H854" s="1"/>
      <c r="I854" s="59" t="s">
        <v>7</v>
      </c>
      <c r="J854" s="1"/>
      <c r="K854" s="1"/>
      <c r="L854" s="1"/>
      <c r="M854" s="59" t="s">
        <v>7</v>
      </c>
      <c r="N854" s="1"/>
      <c r="O854" s="1"/>
      <c r="P854" s="1"/>
      <c r="Q854" s="59" t="s">
        <v>7</v>
      </c>
      <c r="R854" s="59" t="s">
        <v>7</v>
      </c>
    </row>
    <row r="855" spans="1:20" ht="15.75" customHeight="1" x14ac:dyDescent="0.3">
      <c r="A855" s="74" t="s">
        <v>605</v>
      </c>
      <c r="B855" s="1"/>
      <c r="C855" s="1"/>
      <c r="D855" s="1"/>
      <c r="E855" s="59">
        <f t="shared" ref="E855:E860" si="296">SUM(B855:D855)</f>
        <v>0</v>
      </c>
      <c r="F855" s="1"/>
      <c r="G855" s="1"/>
      <c r="H855" s="1"/>
      <c r="I855" s="59">
        <f t="shared" ref="I855:I860" si="297">SUM(F855:H855)</f>
        <v>0</v>
      </c>
      <c r="J855" s="1"/>
      <c r="K855" s="1"/>
      <c r="L855" s="1">
        <v>362</v>
      </c>
      <c r="M855" s="59">
        <f t="shared" ref="M855:M860" si="298">SUM(J855:L855)</f>
        <v>362</v>
      </c>
      <c r="N855" s="1">
        <v>536</v>
      </c>
      <c r="O855" s="1"/>
      <c r="P855" s="1"/>
      <c r="Q855" s="59">
        <f t="shared" ref="Q855:Q860" si="299">SUM(N855:P855)</f>
        <v>536</v>
      </c>
      <c r="R855" s="59">
        <f t="shared" ref="R855:R860" si="300">+E855+I855+M855+Q855</f>
        <v>898</v>
      </c>
      <c r="T855" s="4" t="s">
        <v>604</v>
      </c>
    </row>
    <row r="856" spans="1:20" ht="15.75" customHeight="1" x14ac:dyDescent="0.3">
      <c r="A856" s="74" t="s">
        <v>606</v>
      </c>
      <c r="B856" s="1"/>
      <c r="C856" s="1"/>
      <c r="D856" s="1"/>
      <c r="E856" s="59">
        <f t="shared" si="296"/>
        <v>0</v>
      </c>
      <c r="F856" s="1"/>
      <c r="G856" s="1"/>
      <c r="H856" s="1"/>
      <c r="I856" s="59">
        <f t="shared" si="297"/>
        <v>0</v>
      </c>
      <c r="J856" s="1"/>
      <c r="K856" s="1"/>
      <c r="L856" s="1"/>
      <c r="M856" s="59">
        <f t="shared" si="298"/>
        <v>0</v>
      </c>
      <c r="N856" s="1"/>
      <c r="O856" s="1"/>
      <c r="P856" s="1"/>
      <c r="Q856" s="59">
        <f t="shared" si="299"/>
        <v>0</v>
      </c>
      <c r="R856" s="59">
        <f t="shared" si="300"/>
        <v>0</v>
      </c>
    </row>
    <row r="857" spans="1:20" ht="15.75" customHeight="1" x14ac:dyDescent="0.3">
      <c r="A857" s="74" t="s">
        <v>607</v>
      </c>
      <c r="B857" s="1"/>
      <c r="C857" s="1"/>
      <c r="D857" s="1"/>
      <c r="E857" s="59">
        <f t="shared" si="296"/>
        <v>0</v>
      </c>
      <c r="F857" s="1"/>
      <c r="G857" s="1"/>
      <c r="H857" s="1"/>
      <c r="I857" s="59">
        <f t="shared" si="297"/>
        <v>0</v>
      </c>
      <c r="J857" s="1"/>
      <c r="K857" s="1"/>
      <c r="L857" s="1">
        <v>32</v>
      </c>
      <c r="M857" s="59">
        <f t="shared" si="298"/>
        <v>32</v>
      </c>
      <c r="N857" s="1">
        <v>102</v>
      </c>
      <c r="O857" s="1">
        <v>22</v>
      </c>
      <c r="P857" s="1">
        <v>25</v>
      </c>
      <c r="Q857" s="59">
        <f t="shared" si="299"/>
        <v>149</v>
      </c>
      <c r="R857" s="59">
        <f t="shared" si="300"/>
        <v>181</v>
      </c>
    </row>
    <row r="858" spans="1:20" ht="15.75" customHeight="1" x14ac:dyDescent="0.3">
      <c r="A858" s="74" t="s">
        <v>609</v>
      </c>
      <c r="B858" s="1"/>
      <c r="C858" s="1"/>
      <c r="D858" s="1"/>
      <c r="E858" s="59">
        <f t="shared" si="296"/>
        <v>0</v>
      </c>
      <c r="F858" s="1"/>
      <c r="G858" s="1"/>
      <c r="H858" s="1"/>
      <c r="I858" s="59">
        <f t="shared" si="297"/>
        <v>0</v>
      </c>
      <c r="J858" s="1"/>
      <c r="K858" s="1"/>
      <c r="L858" s="1"/>
      <c r="M858" s="59">
        <f t="shared" si="298"/>
        <v>0</v>
      </c>
      <c r="N858" s="1"/>
      <c r="O858" s="1"/>
      <c r="P858" s="1"/>
      <c r="Q858" s="59">
        <f t="shared" si="299"/>
        <v>0</v>
      </c>
      <c r="R858" s="59">
        <f t="shared" si="300"/>
        <v>0</v>
      </c>
      <c r="T858" s="4" t="s">
        <v>593</v>
      </c>
    </row>
    <row r="859" spans="1:20" ht="15.75" customHeight="1" thickBot="1" x14ac:dyDescent="0.35">
      <c r="A859" s="74" t="s">
        <v>610</v>
      </c>
      <c r="B859" s="1">
        <f>113+513</f>
        <v>626</v>
      </c>
      <c r="C859" s="1">
        <f>148+528</f>
        <v>676</v>
      </c>
      <c r="D859" s="1">
        <f>117+540</f>
        <v>657</v>
      </c>
      <c r="E859" s="59">
        <f t="shared" si="296"/>
        <v>1959</v>
      </c>
      <c r="F859" s="1">
        <f>125+555</f>
        <v>680</v>
      </c>
      <c r="G859" s="1">
        <f>149+379</f>
        <v>528</v>
      </c>
      <c r="H859" s="1">
        <f>149+469</f>
        <v>618</v>
      </c>
      <c r="I859" s="59">
        <f t="shared" si="297"/>
        <v>1826</v>
      </c>
      <c r="J859" s="1">
        <f>127+638</f>
        <v>765</v>
      </c>
      <c r="K859" s="1">
        <f>130+593</f>
        <v>723</v>
      </c>
      <c r="L859" s="1">
        <f>88+465</f>
        <v>553</v>
      </c>
      <c r="M859" s="59">
        <f t="shared" si="298"/>
        <v>2041</v>
      </c>
      <c r="N859" s="1">
        <f>132+237</f>
        <v>369</v>
      </c>
      <c r="O859" s="1">
        <f>23+163</f>
        <v>186</v>
      </c>
      <c r="P859" s="1">
        <f>86+449</f>
        <v>535</v>
      </c>
      <c r="Q859" s="59">
        <f t="shared" si="299"/>
        <v>1090</v>
      </c>
      <c r="R859" s="59">
        <f t="shared" si="300"/>
        <v>6916</v>
      </c>
      <c r="T859" s="4" t="s">
        <v>611</v>
      </c>
    </row>
    <row r="860" spans="1:20" ht="16.5" customHeight="1" thickBot="1" x14ac:dyDescent="0.35">
      <c r="A860" s="62" t="s">
        <v>61</v>
      </c>
      <c r="B860" s="100">
        <f>SUM(B850:B859)</f>
        <v>1150</v>
      </c>
      <c r="C860" s="101">
        <f>SUM(C850:C859)</f>
        <v>1269</v>
      </c>
      <c r="D860" s="101">
        <f>SUM(D850:D859)</f>
        <v>1177</v>
      </c>
      <c r="E860" s="64">
        <f t="shared" si="296"/>
        <v>3596</v>
      </c>
      <c r="F860" s="101">
        <f>SUM(F850:F859)</f>
        <v>1713</v>
      </c>
      <c r="G860" s="101">
        <f>SUM(G850:G859)</f>
        <v>1980</v>
      </c>
      <c r="H860" s="101">
        <f>SUM(H850:H859)</f>
        <v>1740</v>
      </c>
      <c r="I860" s="64">
        <f t="shared" si="297"/>
        <v>5433</v>
      </c>
      <c r="J860" s="101">
        <f>SUM(J850:J859)</f>
        <v>1593</v>
      </c>
      <c r="K860" s="101">
        <f>SUM(K850:K859)</f>
        <v>1375</v>
      </c>
      <c r="L860" s="101">
        <f>SUM(L850:L859)</f>
        <v>1705</v>
      </c>
      <c r="M860" s="64">
        <f t="shared" si="298"/>
        <v>4673</v>
      </c>
      <c r="N860" s="101">
        <f>SUM(N850:N859)</f>
        <v>1429</v>
      </c>
      <c r="O860" s="101">
        <f>SUM(O850:O859)</f>
        <v>500</v>
      </c>
      <c r="P860" s="101">
        <f>SUM(P850:P859)</f>
        <v>824</v>
      </c>
      <c r="Q860" s="64">
        <f t="shared" si="299"/>
        <v>2753</v>
      </c>
      <c r="R860" s="64">
        <f t="shared" si="300"/>
        <v>16455</v>
      </c>
    </row>
    <row r="861" spans="1:20" ht="15.75" customHeight="1" x14ac:dyDescent="0.3">
      <c r="A861" s="17" t="s">
        <v>62</v>
      </c>
      <c r="B861" s="1"/>
      <c r="C861" s="1"/>
      <c r="D861" s="1"/>
      <c r="E861" s="59" t="s">
        <v>7</v>
      </c>
      <c r="F861" s="1"/>
      <c r="G861" s="1"/>
      <c r="H861" s="1"/>
      <c r="I861" s="59" t="s">
        <v>7</v>
      </c>
      <c r="J861" s="1"/>
      <c r="K861" s="1"/>
      <c r="L861" s="1"/>
      <c r="M861" s="59" t="s">
        <v>7</v>
      </c>
      <c r="N861" s="1"/>
      <c r="O861" s="1"/>
      <c r="P861" s="1"/>
      <c r="Q861" s="59" t="s">
        <v>7</v>
      </c>
      <c r="R861" s="59" t="s">
        <v>7</v>
      </c>
    </row>
    <row r="862" spans="1:20" ht="15.75" customHeight="1" x14ac:dyDescent="0.3">
      <c r="A862" s="17" t="s">
        <v>63</v>
      </c>
      <c r="B862" s="1"/>
      <c r="C862" s="1"/>
      <c r="D862" s="1"/>
      <c r="E862" s="59" t="s">
        <v>7</v>
      </c>
      <c r="F862" s="1"/>
      <c r="G862" s="1"/>
      <c r="H862" s="1"/>
      <c r="I862" s="59" t="s">
        <v>7</v>
      </c>
      <c r="J862" s="1"/>
      <c r="K862" s="1"/>
      <c r="L862" s="1"/>
      <c r="M862" s="59" t="s">
        <v>7</v>
      </c>
      <c r="N862" s="1"/>
      <c r="O862" s="1"/>
      <c r="P862" s="1"/>
      <c r="Q862" s="59" t="s">
        <v>7</v>
      </c>
      <c r="R862" s="59" t="s">
        <v>7</v>
      </c>
    </row>
    <row r="863" spans="1:20" ht="15.75" customHeight="1" x14ac:dyDescent="0.3">
      <c r="A863" s="74" t="s">
        <v>612</v>
      </c>
      <c r="B863" s="1"/>
      <c r="C863" s="1"/>
      <c r="D863" s="1"/>
      <c r="E863" s="59">
        <f>SUM(B863:D863)</f>
        <v>0</v>
      </c>
      <c r="F863" s="1"/>
      <c r="G863" s="1"/>
      <c r="H863" s="1"/>
      <c r="I863" s="59">
        <f>SUM(F863:H863)</f>
        <v>0</v>
      </c>
      <c r="J863" s="1"/>
      <c r="K863" s="1"/>
      <c r="L863" s="1"/>
      <c r="M863" s="59">
        <f>SUM(J863:L863)</f>
        <v>0</v>
      </c>
      <c r="N863" s="1"/>
      <c r="O863" s="1"/>
      <c r="P863" s="1"/>
      <c r="Q863" s="59">
        <f>SUM(N863:P863)</f>
        <v>0</v>
      </c>
      <c r="R863" s="59">
        <f>+E863+I863+M863+Q863</f>
        <v>0</v>
      </c>
    </row>
    <row r="864" spans="1:20" ht="15.75" customHeight="1" x14ac:dyDescent="0.3">
      <c r="A864" s="74" t="s">
        <v>613</v>
      </c>
      <c r="B864" s="1"/>
      <c r="C864" s="1"/>
      <c r="D864" s="1"/>
      <c r="E864" s="59">
        <f>SUM(B864:D864)</f>
        <v>0</v>
      </c>
      <c r="F864" s="1"/>
      <c r="G864" s="1"/>
      <c r="H864" s="1"/>
      <c r="I864" s="59">
        <f>SUM(F864:H864)</f>
        <v>0</v>
      </c>
      <c r="J864" s="1"/>
      <c r="K864" s="1"/>
      <c r="L864" s="1"/>
      <c r="M864" s="59">
        <f>SUM(J864:L864)</f>
        <v>0</v>
      </c>
      <c r="N864" s="1"/>
      <c r="O864" s="1"/>
      <c r="P864" s="1"/>
      <c r="Q864" s="59">
        <f>SUM(N864:P864)</f>
        <v>0</v>
      </c>
      <c r="R864" s="59">
        <f>+E864+I864+M864+Q864</f>
        <v>0</v>
      </c>
    </row>
    <row r="865" spans="1:18" ht="15.75" customHeight="1" x14ac:dyDescent="0.3">
      <c r="A865" s="17" t="s">
        <v>64</v>
      </c>
      <c r="B865" s="1"/>
      <c r="C865" s="1"/>
      <c r="D865" s="1"/>
      <c r="E865" s="59" t="s">
        <v>7</v>
      </c>
      <c r="F865" s="1"/>
      <c r="G865" s="1"/>
      <c r="H865" s="1"/>
      <c r="I865" s="59" t="s">
        <v>7</v>
      </c>
      <c r="J865" s="1"/>
      <c r="K865" s="1"/>
      <c r="L865" s="1"/>
      <c r="M865" s="59" t="s">
        <v>7</v>
      </c>
      <c r="N865" s="1"/>
      <c r="O865" s="1"/>
      <c r="P865" s="1"/>
      <c r="Q865" s="59" t="s">
        <v>7</v>
      </c>
      <c r="R865" s="59" t="s">
        <v>7</v>
      </c>
    </row>
    <row r="866" spans="1:18" ht="15.75" customHeight="1" x14ac:dyDescent="0.3">
      <c r="A866" s="74" t="s">
        <v>614</v>
      </c>
      <c r="B866" s="1"/>
      <c r="C866" s="1"/>
      <c r="D866" s="1"/>
      <c r="E866" s="59">
        <f>SUM(B866:D866)</f>
        <v>0</v>
      </c>
      <c r="F866" s="1"/>
      <c r="G866" s="1"/>
      <c r="H866" s="1"/>
      <c r="I866" s="59">
        <f>SUM(F866:H866)</f>
        <v>0</v>
      </c>
      <c r="J866" s="1"/>
      <c r="K866" s="1"/>
      <c r="L866" s="1"/>
      <c r="M866" s="59">
        <f>SUM(J866:L866)</f>
        <v>0</v>
      </c>
      <c r="N866" s="1">
        <v>2050</v>
      </c>
      <c r="O866" s="1">
        <v>1147</v>
      </c>
      <c r="P866" s="1">
        <v>1103</v>
      </c>
      <c r="Q866" s="59">
        <f>SUM(N866:P866)</f>
        <v>4300</v>
      </c>
      <c r="R866" s="59">
        <f>+E866+I866+M866+Q866</f>
        <v>4300</v>
      </c>
    </row>
    <row r="867" spans="1:18" ht="15.75" customHeight="1" x14ac:dyDescent="0.3">
      <c r="A867" s="74" t="s">
        <v>615</v>
      </c>
      <c r="B867" s="1"/>
      <c r="C867" s="1"/>
      <c r="D867" s="1"/>
      <c r="E867" s="59">
        <f>SUM(B867:D867)</f>
        <v>0</v>
      </c>
      <c r="F867" s="1"/>
      <c r="G867" s="1"/>
      <c r="H867" s="1"/>
      <c r="I867" s="59">
        <f>SUM(F867:H867)</f>
        <v>0</v>
      </c>
      <c r="J867" s="1"/>
      <c r="K867" s="1"/>
      <c r="L867" s="1"/>
      <c r="M867" s="59">
        <f>SUM(J867:L867)</f>
        <v>0</v>
      </c>
      <c r="N867" s="1"/>
      <c r="O867" s="1"/>
      <c r="P867" s="1"/>
      <c r="Q867" s="59">
        <f>SUM(N867:P867)</f>
        <v>0</v>
      </c>
      <c r="R867" s="59">
        <f>+E867+I867+M867+Q867</f>
        <v>0</v>
      </c>
    </row>
    <row r="868" spans="1:18" ht="15.75" customHeight="1" x14ac:dyDescent="0.3">
      <c r="A868" s="17" t="s">
        <v>66</v>
      </c>
      <c r="B868" s="1"/>
      <c r="C868" s="1"/>
      <c r="D868" s="1"/>
      <c r="E868" s="59" t="s">
        <v>7</v>
      </c>
      <c r="F868" s="1"/>
      <c r="G868" s="1"/>
      <c r="H868" s="1"/>
      <c r="I868" s="59" t="s">
        <v>7</v>
      </c>
      <c r="J868" s="1"/>
      <c r="K868" s="1"/>
      <c r="L868" s="1"/>
      <c r="M868" s="59" t="s">
        <v>7</v>
      </c>
      <c r="N868" s="1"/>
      <c r="O868" s="1"/>
      <c r="P868" s="1"/>
      <c r="Q868" s="59" t="s">
        <v>7</v>
      </c>
      <c r="R868" s="59" t="s">
        <v>7</v>
      </c>
    </row>
    <row r="869" spans="1:18" ht="15.75" customHeight="1" thickBot="1" x14ac:dyDescent="0.35">
      <c r="A869" s="17" t="s">
        <v>67</v>
      </c>
      <c r="B869" s="1"/>
      <c r="C869" s="1"/>
      <c r="D869" s="1"/>
      <c r="E869" s="59" t="s">
        <v>7</v>
      </c>
      <c r="F869" s="1"/>
      <c r="G869" s="1"/>
      <c r="H869" s="1"/>
      <c r="I869" s="59" t="s">
        <v>7</v>
      </c>
      <c r="J869" s="1"/>
      <c r="K869" s="1"/>
      <c r="L869" s="1"/>
      <c r="M869" s="59" t="s">
        <v>7</v>
      </c>
      <c r="N869" s="1"/>
      <c r="O869" s="1"/>
      <c r="P869" s="1"/>
      <c r="Q869" s="59" t="s">
        <v>7</v>
      </c>
      <c r="R869" s="59" t="s">
        <v>7</v>
      </c>
    </row>
    <row r="870" spans="1:18" ht="16.5" customHeight="1" thickBot="1" x14ac:dyDescent="0.35">
      <c r="A870" s="62" t="s">
        <v>68</v>
      </c>
      <c r="B870" s="63">
        <f>SUM(B868:B869)</f>
        <v>0</v>
      </c>
      <c r="C870" s="63">
        <f>SUM(C868:C869)</f>
        <v>0</v>
      </c>
      <c r="D870" s="63">
        <f>SUM(D868:D869)</f>
        <v>0</v>
      </c>
      <c r="E870" s="334">
        <f>SUM(B870:D870)</f>
        <v>0</v>
      </c>
      <c r="F870" s="63">
        <f>SUM(F868:F869)</f>
        <v>0</v>
      </c>
      <c r="G870" s="63">
        <f>SUM(G868:G869)</f>
        <v>0</v>
      </c>
      <c r="H870" s="63">
        <f>SUM(H868:H869)</f>
        <v>0</v>
      </c>
      <c r="I870" s="334">
        <f>SUM(F870:H870)</f>
        <v>0</v>
      </c>
      <c r="J870" s="63">
        <f>SUM(J868:J869)</f>
        <v>0</v>
      </c>
      <c r="K870" s="63">
        <f>SUM(K868:K869)</f>
        <v>0</v>
      </c>
      <c r="L870" s="63">
        <f>SUM(L868:L869)</f>
        <v>0</v>
      </c>
      <c r="M870" s="334">
        <f>SUM(J870:L870)</f>
        <v>0</v>
      </c>
      <c r="N870" s="63">
        <f>SUM(N868:N869)</f>
        <v>0</v>
      </c>
      <c r="O870" s="63">
        <f>SUM(O868:O869)</f>
        <v>0</v>
      </c>
      <c r="P870" s="63">
        <f>SUM(P868:P869)</f>
        <v>0</v>
      </c>
      <c r="Q870" s="334">
        <f>SUM(N870:P870)</f>
        <v>0</v>
      </c>
      <c r="R870" s="64">
        <f>+E870+I870+M870+Q870</f>
        <v>0</v>
      </c>
    </row>
    <row r="871" spans="1:18" ht="16.5" customHeight="1" thickBot="1" x14ac:dyDescent="0.35">
      <c r="A871" s="62" t="s">
        <v>69</v>
      </c>
      <c r="B871" s="100">
        <f>SUM(B861:B869)</f>
        <v>0</v>
      </c>
      <c r="C871" s="101">
        <f>SUM(C861:C869)</f>
        <v>0</v>
      </c>
      <c r="D871" s="138">
        <f>SUM(D861:D869)</f>
        <v>0</v>
      </c>
      <c r="E871" s="334">
        <f>SUM(B871:D871)</f>
        <v>0</v>
      </c>
      <c r="F871" s="101">
        <f>SUM(F861:F869)</f>
        <v>0</v>
      </c>
      <c r="G871" s="101">
        <f>SUM(G861:G869)</f>
        <v>0</v>
      </c>
      <c r="H871" s="101">
        <f>SUM(H861:H869)</f>
        <v>0</v>
      </c>
      <c r="I871" s="334">
        <f>SUM(F871:H871)</f>
        <v>0</v>
      </c>
      <c r="J871" s="101">
        <f>SUM(J861:J869)</f>
        <v>0</v>
      </c>
      <c r="K871" s="101">
        <f>SUM(K861:K869)</f>
        <v>0</v>
      </c>
      <c r="L871" s="101">
        <f>SUM(L861:L869)</f>
        <v>0</v>
      </c>
      <c r="M871" s="334">
        <f>SUM(J871:L871)</f>
        <v>0</v>
      </c>
      <c r="N871" s="101">
        <f>SUM(N861:N869)</f>
        <v>2050</v>
      </c>
      <c r="O871" s="101">
        <f>SUM(O861:O869)</f>
        <v>1147</v>
      </c>
      <c r="P871" s="101">
        <f>SUM(P861:P869)</f>
        <v>1103</v>
      </c>
      <c r="Q871" s="334">
        <f>SUM(N871:P871)</f>
        <v>4300</v>
      </c>
      <c r="R871" s="64">
        <f>+E871+I871+M871+Q871</f>
        <v>4300</v>
      </c>
    </row>
    <row r="872" spans="1:18" ht="16.5" customHeight="1" thickBot="1" x14ac:dyDescent="0.35">
      <c r="A872" s="62" t="s">
        <v>70</v>
      </c>
      <c r="B872" s="107">
        <f>+B844+B849+B860+B871</f>
        <v>3543</v>
      </c>
      <c r="C872" s="63">
        <f>+C844+C849+C860+C871</f>
        <v>3818</v>
      </c>
      <c r="D872" s="63">
        <f>+D844+D849+D860+D871</f>
        <v>3890</v>
      </c>
      <c r="E872" s="64">
        <f>SUM(B872:D872)</f>
        <v>11251</v>
      </c>
      <c r="F872" s="63">
        <f>+F844+F849+F860+F871</f>
        <v>4249</v>
      </c>
      <c r="G872" s="63">
        <f>+G844+G849+G860+G871</f>
        <v>3927</v>
      </c>
      <c r="H872" s="63">
        <f>+H844+H849+H860+H871</f>
        <v>4249</v>
      </c>
      <c r="I872" s="64">
        <f>SUM(F872:H872)</f>
        <v>12425</v>
      </c>
      <c r="J872" s="63">
        <f>+J844+J849+J860+J871</f>
        <v>4066</v>
      </c>
      <c r="K872" s="63">
        <f>+K844+K849+K860+K871</f>
        <v>3893</v>
      </c>
      <c r="L872" s="63">
        <f>+L844+L849+L860+L871</f>
        <v>4076</v>
      </c>
      <c r="M872" s="64">
        <f>SUM(J872:L872)</f>
        <v>12035</v>
      </c>
      <c r="N872" s="63">
        <f>+N844+N849+N860+N871</f>
        <v>3720</v>
      </c>
      <c r="O872" s="63">
        <f>+O844+O849+O860+O871</f>
        <v>1647</v>
      </c>
      <c r="P872" s="63">
        <f>+P844+P849+P860+P871</f>
        <v>1927</v>
      </c>
      <c r="Q872" s="64">
        <f>SUM(N872:P872)</f>
        <v>7294</v>
      </c>
      <c r="R872" s="88">
        <f>+E872+I872+M872+Q872</f>
        <v>43005</v>
      </c>
    </row>
    <row r="873" spans="1:18" ht="16.5" customHeight="1" thickBot="1" x14ac:dyDescent="0.35">
      <c r="A873" s="40" t="s">
        <v>37</v>
      </c>
      <c r="B873" s="25">
        <v>11</v>
      </c>
      <c r="C873" s="25">
        <v>13</v>
      </c>
      <c r="D873" s="25">
        <v>17</v>
      </c>
      <c r="E873" s="59">
        <f>SUM(B873:D873)</f>
        <v>41</v>
      </c>
      <c r="F873" s="25">
        <v>21</v>
      </c>
      <c r="G873" s="25">
        <v>23</v>
      </c>
      <c r="H873" s="25">
        <v>25</v>
      </c>
      <c r="I873" s="59">
        <f>SUM(F873:H873)</f>
        <v>69</v>
      </c>
      <c r="J873" s="25">
        <v>25</v>
      </c>
      <c r="K873" s="25">
        <v>21</v>
      </c>
      <c r="L873" s="25">
        <v>19</v>
      </c>
      <c r="M873" s="59">
        <f>SUM(J873:L873)</f>
        <v>65</v>
      </c>
      <c r="N873" s="25">
        <v>17</v>
      </c>
      <c r="O873" s="25">
        <v>13</v>
      </c>
      <c r="P873" s="25">
        <v>11</v>
      </c>
      <c r="Q873" s="59">
        <f>SUM(N873:P873)</f>
        <v>41</v>
      </c>
      <c r="R873" s="59">
        <f>+E873+I873+M873+Q873</f>
        <v>216</v>
      </c>
    </row>
    <row r="874" spans="1:18" ht="16.5" customHeight="1" thickBot="1" x14ac:dyDescent="0.35">
      <c r="A874" s="42"/>
      <c r="B874" s="37"/>
      <c r="C874" s="37"/>
      <c r="D874" s="37"/>
      <c r="E874" s="64" t="s">
        <v>7</v>
      </c>
      <c r="F874" s="37"/>
      <c r="G874" s="37"/>
      <c r="H874" s="37"/>
      <c r="I874" s="64" t="s">
        <v>7</v>
      </c>
      <c r="J874" s="37"/>
      <c r="K874" s="37"/>
      <c r="L874" s="37"/>
      <c r="M874" s="64" t="s">
        <v>7</v>
      </c>
      <c r="N874" s="37"/>
      <c r="O874" s="37"/>
      <c r="P874" s="37"/>
      <c r="Q874" s="64" t="s">
        <v>7</v>
      </c>
      <c r="R874" s="64" t="s">
        <v>7</v>
      </c>
    </row>
    <row r="875" spans="1:18" ht="15.75" customHeight="1" x14ac:dyDescent="0.3">
      <c r="A875" s="17" t="s">
        <v>38</v>
      </c>
      <c r="B875" s="1">
        <f>SUM(B872:B873)</f>
        <v>3554</v>
      </c>
      <c r="C875" s="1">
        <f>SUM(C872:C873)</f>
        <v>3831</v>
      </c>
      <c r="D875" s="1">
        <f>SUM(D872:D873)</f>
        <v>3907</v>
      </c>
      <c r="E875" s="334">
        <f>SUM(B875:D875)</f>
        <v>11292</v>
      </c>
      <c r="F875" s="1">
        <f>SUM(F872:F873)</f>
        <v>4270</v>
      </c>
      <c r="G875" s="1">
        <f>SUM(G872:G873)</f>
        <v>3950</v>
      </c>
      <c r="H875" s="1">
        <f>SUM(H872:H873)</f>
        <v>4274</v>
      </c>
      <c r="I875" s="334">
        <f>SUM(F875:H875)</f>
        <v>12494</v>
      </c>
      <c r="J875" s="1">
        <f>SUM(J872:J873)</f>
        <v>4091</v>
      </c>
      <c r="K875" s="1">
        <f>SUM(K872:K873)</f>
        <v>3914</v>
      </c>
      <c r="L875" s="1">
        <f>SUM(L872:L873)</f>
        <v>4095</v>
      </c>
      <c r="M875" s="334">
        <f>SUM(J875:L875)</f>
        <v>12100</v>
      </c>
      <c r="N875" s="1">
        <f>SUM(N872:N873)</f>
        <v>3737</v>
      </c>
      <c r="O875" s="1">
        <f>SUM(O872:O873)</f>
        <v>1660</v>
      </c>
      <c r="P875" s="1">
        <f>SUM(P872:P873)</f>
        <v>1938</v>
      </c>
      <c r="Q875" s="334">
        <f>SUM(N875:P875)</f>
        <v>7335</v>
      </c>
      <c r="R875" s="334">
        <f>+E875+I875+M875+Q875</f>
        <v>43221</v>
      </c>
    </row>
    <row r="876" spans="1:18" ht="15.75" customHeight="1" x14ac:dyDescent="0.3">
      <c r="A876" s="17" t="s">
        <v>39</v>
      </c>
      <c r="B876" s="1">
        <f>(B875/B10)/1.983</f>
        <v>57.813999642119299</v>
      </c>
      <c r="C876" s="1">
        <f>(C875/C10)/1.983</f>
        <v>66.617976941937499</v>
      </c>
      <c r="D876" s="1">
        <f>(D875/D10)/1.983</f>
        <v>63.55635807590324</v>
      </c>
      <c r="E876" s="59" t="s">
        <v>7</v>
      </c>
      <c r="F876" s="1">
        <f>(F875/F10)/1.983</f>
        <v>71.776769204908391</v>
      </c>
      <c r="G876" s="1">
        <f>(G875/G10)/1.983</f>
        <v>64.255852162738108</v>
      </c>
      <c r="H876" s="1">
        <f>(H875/H10)/1.983</f>
        <v>71.844007396201036</v>
      </c>
      <c r="I876" s="59" t="s">
        <v>7</v>
      </c>
      <c r="J876" s="1">
        <f>(J875/J10)/1.983</f>
        <v>66.549542075382689</v>
      </c>
      <c r="K876" s="1">
        <f>(K875/K10)/1.983</f>
        <v>63.670229206318218</v>
      </c>
      <c r="L876" s="1">
        <f>(L875/L10)/1.983</f>
        <v>68.835098335854767</v>
      </c>
      <c r="M876" s="59" t="s">
        <v>7</v>
      </c>
      <c r="N876" s="1">
        <f>(N875/N10)/1.983</f>
        <v>60.790916337253748</v>
      </c>
      <c r="O876" s="1">
        <f>(O875/O10)/1.983</f>
        <v>27.903849386451505</v>
      </c>
      <c r="P876" s="1">
        <f>(P875/P10)/1.983</f>
        <v>31.526035820604164</v>
      </c>
      <c r="Q876" s="59" t="s">
        <v>7</v>
      </c>
      <c r="R876" s="59" t="s">
        <v>7</v>
      </c>
    </row>
    <row r="877" spans="1:18" ht="15.75" customHeight="1" x14ac:dyDescent="0.3">
      <c r="A877" s="17" t="s">
        <v>616</v>
      </c>
      <c r="B877" s="1">
        <f>B875</f>
        <v>3554</v>
      </c>
      <c r="C877" s="1">
        <f>C875</f>
        <v>3831</v>
      </c>
      <c r="D877" s="1">
        <f>D875</f>
        <v>3907</v>
      </c>
      <c r="E877" s="59">
        <f>SUM(B877:D877)</f>
        <v>11292</v>
      </c>
      <c r="F877" s="1">
        <f>F875</f>
        <v>4270</v>
      </c>
      <c r="G877" s="1">
        <f>G875</f>
        <v>3950</v>
      </c>
      <c r="H877" s="1">
        <f>H875</f>
        <v>4274</v>
      </c>
      <c r="I877" s="59">
        <f>SUM(F877:H877)</f>
        <v>12494</v>
      </c>
      <c r="J877" s="1">
        <f>J875</f>
        <v>4091</v>
      </c>
      <c r="K877" s="1">
        <f>K875</f>
        <v>3914</v>
      </c>
      <c r="L877" s="1">
        <f>L875</f>
        <v>4095</v>
      </c>
      <c r="M877" s="59">
        <f>SUM(J877:L877)</f>
        <v>12100</v>
      </c>
      <c r="N877" s="1">
        <f>N875</f>
        <v>3737</v>
      </c>
      <c r="O877" s="1">
        <f>O875</f>
        <v>1660</v>
      </c>
      <c r="P877" s="1">
        <f>P875</f>
        <v>1938</v>
      </c>
      <c r="Q877" s="59">
        <f>SUM(N877:P877)</f>
        <v>7335</v>
      </c>
      <c r="R877" s="59">
        <f>+E877+I877+M877+Q877</f>
        <v>43221</v>
      </c>
    </row>
    <row r="878" spans="1:18" ht="16.5" customHeight="1" thickBot="1" x14ac:dyDescent="0.35">
      <c r="A878" s="24" t="s">
        <v>617</v>
      </c>
      <c r="B878" s="25">
        <f>(B877/B10)/1.983</f>
        <v>57.813999642119299</v>
      </c>
      <c r="C878" s="25">
        <f>(C877/C10)/1.983</f>
        <v>66.617976941937499</v>
      </c>
      <c r="D878" s="25">
        <f>(D877/D10)/1.983</f>
        <v>63.55635807590324</v>
      </c>
      <c r="E878" s="88" t="s">
        <v>7</v>
      </c>
      <c r="F878" s="25">
        <f>(F877/F10)/1.983</f>
        <v>71.776769204908391</v>
      </c>
      <c r="G878" s="25">
        <f>(G877/G10)/1.983</f>
        <v>64.255852162738108</v>
      </c>
      <c r="H878" s="25">
        <f>(H877/H10)/1.983</f>
        <v>71.844007396201036</v>
      </c>
      <c r="I878" s="88" t="s">
        <v>7</v>
      </c>
      <c r="J878" s="25">
        <f>(J877/J10)/1.983</f>
        <v>66.549542075382689</v>
      </c>
      <c r="K878" s="25">
        <f>(K877/K10)/1.983</f>
        <v>63.670229206318218</v>
      </c>
      <c r="L878" s="25">
        <f>(L877/L10)/1.983</f>
        <v>68.835098335854767</v>
      </c>
      <c r="M878" s="88" t="s">
        <v>7</v>
      </c>
      <c r="N878" s="25">
        <f>(N877/N10)/1.983</f>
        <v>60.790916337253748</v>
      </c>
      <c r="O878" s="25">
        <f>(O877/O10)/1.983</f>
        <v>27.903849386451505</v>
      </c>
      <c r="P878" s="25">
        <f>(P877/P10)/1.983</f>
        <v>31.526035820604164</v>
      </c>
      <c r="Q878" s="88" t="s">
        <v>7</v>
      </c>
      <c r="R878" s="88" t="s">
        <v>7</v>
      </c>
    </row>
    <row r="879" spans="1:18" ht="15.75" customHeight="1" x14ac:dyDescent="0.3">
      <c r="A879" s="30"/>
      <c r="B879" s="1"/>
      <c r="C879" s="1"/>
      <c r="D879" s="1"/>
      <c r="E879" s="28"/>
      <c r="F879" s="1"/>
      <c r="G879" s="1"/>
      <c r="H879" s="1"/>
      <c r="I879" s="28"/>
      <c r="J879" s="1"/>
      <c r="K879" s="1"/>
      <c r="L879" s="1"/>
      <c r="M879" s="28"/>
      <c r="N879" s="1"/>
      <c r="O879" s="1"/>
      <c r="P879" s="1"/>
      <c r="Q879" s="28"/>
      <c r="R879" s="28"/>
    </row>
    <row r="880" spans="1:18" ht="15.75" customHeight="1" x14ac:dyDescent="0.3">
      <c r="A880" s="30"/>
      <c r="B880" s="1"/>
      <c r="C880" s="1"/>
      <c r="D880" s="1"/>
      <c r="E880" s="1"/>
      <c r="F880" s="1"/>
      <c r="G880" s="1"/>
      <c r="H880" s="1"/>
      <c r="I880" s="1"/>
      <c r="J880" s="1"/>
      <c r="K880" s="1"/>
      <c r="L880" s="1"/>
      <c r="M880" s="1"/>
      <c r="N880" s="1"/>
      <c r="O880" s="1"/>
      <c r="P880" s="1"/>
      <c r="Q880" s="2" t="str">
        <f>+Q1</f>
        <v xml:space="preserve">PRINTED:  </v>
      </c>
      <c r="R880" s="163">
        <f ca="1">+R1</f>
        <v>44894.658168402777</v>
      </c>
    </row>
    <row r="881" spans="1:18" ht="15.75" customHeight="1" x14ac:dyDescent="0.3">
      <c r="A881" s="383" t="s">
        <v>1</v>
      </c>
      <c r="B881" s="383"/>
      <c r="C881" s="383"/>
      <c r="D881" s="383"/>
      <c r="E881" s="383"/>
      <c r="F881" s="383"/>
      <c r="G881" s="383"/>
      <c r="H881" s="383"/>
      <c r="I881" s="383"/>
      <c r="J881" s="383"/>
      <c r="K881" s="383"/>
      <c r="L881" s="383"/>
      <c r="M881" s="383"/>
      <c r="N881" s="383"/>
      <c r="O881" s="383"/>
      <c r="P881" s="383"/>
      <c r="Q881" s="383"/>
      <c r="R881" s="383"/>
    </row>
    <row r="882" spans="1:18" ht="15.75" customHeight="1" x14ac:dyDescent="0.3">
      <c r="A882" s="383" t="s">
        <v>2</v>
      </c>
      <c r="B882" s="383"/>
      <c r="C882" s="383"/>
      <c r="D882" s="383"/>
      <c r="E882" s="383"/>
      <c r="F882" s="383"/>
      <c r="G882" s="383"/>
      <c r="H882" s="383"/>
      <c r="I882" s="383"/>
      <c r="J882" s="383"/>
      <c r="K882" s="383"/>
      <c r="L882" s="383"/>
      <c r="M882" s="383"/>
      <c r="N882" s="383"/>
      <c r="O882" s="383"/>
      <c r="P882" s="383"/>
      <c r="Q882" s="383"/>
      <c r="R882" s="383"/>
    </row>
    <row r="883" spans="1:18" ht="15.75" customHeight="1" x14ac:dyDescent="0.3">
      <c r="A883" s="383" t="s">
        <v>3</v>
      </c>
      <c r="B883" s="383"/>
      <c r="C883" s="383"/>
      <c r="D883" s="383"/>
      <c r="E883" s="383"/>
      <c r="F883" s="383"/>
      <c r="G883" s="383"/>
      <c r="H883" s="383"/>
      <c r="I883" s="383"/>
      <c r="J883" s="383"/>
      <c r="K883" s="383"/>
      <c r="L883" s="383"/>
      <c r="M883" s="383"/>
      <c r="N883" s="383"/>
      <c r="O883" s="383"/>
      <c r="P883" s="383"/>
      <c r="Q883" s="383"/>
      <c r="R883" s="383"/>
    </row>
    <row r="884" spans="1:18" ht="15.75" customHeight="1" x14ac:dyDescent="0.3">
      <c r="A884" s="391">
        <f>+A5</f>
        <v>2020</v>
      </c>
      <c r="B884" s="391"/>
      <c r="C884" s="391"/>
      <c r="D884" s="391"/>
      <c r="E884" s="391"/>
      <c r="F884" s="391"/>
      <c r="G884" s="391"/>
      <c r="H884" s="391"/>
      <c r="I884" s="391"/>
      <c r="J884" s="391"/>
      <c r="K884" s="391"/>
      <c r="L884" s="391"/>
      <c r="M884" s="391"/>
      <c r="N884" s="391"/>
      <c r="O884" s="391"/>
      <c r="P884" s="391"/>
      <c r="Q884" s="391"/>
      <c r="R884" s="391"/>
    </row>
    <row r="885" spans="1:18" ht="15.75" customHeight="1" x14ac:dyDescent="0.3">
      <c r="A885" s="1"/>
      <c r="B885" s="1"/>
      <c r="C885" s="1"/>
      <c r="D885" s="7"/>
      <c r="E885" s="7"/>
      <c r="F885" s="7"/>
      <c r="G885" s="8"/>
      <c r="H885" s="7"/>
      <c r="I885" s="7"/>
      <c r="J885" s="8"/>
      <c r="K885" s="8"/>
      <c r="L885" s="8"/>
      <c r="M885" s="8"/>
      <c r="N885" s="1"/>
      <c r="O885" s="8"/>
      <c r="P885" s="8"/>
      <c r="Q885" s="8"/>
      <c r="R885" s="8"/>
    </row>
    <row r="886" spans="1:18" ht="15.75" customHeight="1" x14ac:dyDescent="0.3">
      <c r="A886" s="383" t="str">
        <f>+A8</f>
        <v>Revised:  12/23/2020</v>
      </c>
      <c r="B886" s="383"/>
      <c r="C886" s="383"/>
      <c r="D886" s="383"/>
      <c r="E886" s="383"/>
      <c r="F886" s="383"/>
      <c r="G886" s="383"/>
      <c r="H886" s="383"/>
      <c r="I886" s="383"/>
      <c r="J886" s="383"/>
      <c r="K886" s="383"/>
      <c r="L886" s="383"/>
      <c r="M886" s="383"/>
      <c r="N886" s="383"/>
      <c r="O886" s="383"/>
      <c r="P886" s="383"/>
      <c r="Q886" s="383"/>
      <c r="R886" s="383"/>
    </row>
    <row r="887" spans="1:18" ht="15.75" customHeight="1" x14ac:dyDescent="0.3">
      <c r="A887" s="6"/>
      <c r="B887" s="6"/>
      <c r="C887" s="6"/>
      <c r="D887" s="6"/>
      <c r="E887" s="6"/>
      <c r="F887" s="6"/>
      <c r="G887" s="6"/>
      <c r="H887" s="6"/>
      <c r="I887" s="6"/>
      <c r="J887" s="6"/>
      <c r="K887" s="6"/>
      <c r="L887" s="6"/>
      <c r="M887" s="6"/>
      <c r="N887" s="6"/>
      <c r="O887" s="6"/>
      <c r="P887" s="6"/>
      <c r="Q887" s="6"/>
      <c r="R887" s="6"/>
    </row>
    <row r="888" spans="1:18" ht="15.75" customHeight="1" x14ac:dyDescent="0.3">
      <c r="A888" s="6"/>
      <c r="B888" s="6"/>
      <c r="C888" s="6"/>
      <c r="D888" s="6"/>
      <c r="E888" s="6"/>
      <c r="F888" s="6"/>
      <c r="G888" s="6"/>
      <c r="H888" s="6"/>
      <c r="I888" s="6"/>
      <c r="J888" s="6"/>
      <c r="K888" s="6"/>
      <c r="L888" s="6"/>
      <c r="M888" s="6"/>
      <c r="N888" s="6"/>
      <c r="O888" s="6"/>
      <c r="P888" s="6"/>
      <c r="Q888" s="6"/>
      <c r="R888" s="6"/>
    </row>
    <row r="889" spans="1:18" ht="15.75" customHeight="1" thickBot="1" x14ac:dyDescent="0.35">
      <c r="A889" s="30"/>
      <c r="B889" s="1"/>
      <c r="C889" s="1"/>
      <c r="D889" s="1"/>
      <c r="E889" s="1"/>
      <c r="F889" s="1"/>
      <c r="G889" s="1"/>
      <c r="H889" s="1"/>
      <c r="I889" s="1"/>
      <c r="J889" s="1"/>
      <c r="K889" s="1"/>
      <c r="L889" s="1"/>
      <c r="M889" s="1"/>
      <c r="N889" s="1"/>
      <c r="O889" s="1"/>
      <c r="P889" s="1"/>
      <c r="Q889" s="1"/>
      <c r="R889" s="28"/>
    </row>
    <row r="890" spans="1:18" ht="16.5" customHeight="1" thickBot="1" x14ac:dyDescent="0.35">
      <c r="A890" s="343" t="s">
        <v>618</v>
      </c>
      <c r="B890" s="323" t="s">
        <v>36</v>
      </c>
      <c r="C890" s="324" t="s">
        <v>9</v>
      </c>
      <c r="D890" s="324" t="s">
        <v>10</v>
      </c>
      <c r="E890" s="325" t="s">
        <v>11</v>
      </c>
      <c r="F890" s="324" t="s">
        <v>12</v>
      </c>
      <c r="G890" s="324" t="s">
        <v>13</v>
      </c>
      <c r="H890" s="324" t="s">
        <v>14</v>
      </c>
      <c r="I890" s="34" t="s">
        <v>15</v>
      </c>
      <c r="J890" s="324" t="s">
        <v>16</v>
      </c>
      <c r="K890" s="324" t="s">
        <v>17</v>
      </c>
      <c r="L890" s="324" t="s">
        <v>18</v>
      </c>
      <c r="M890" s="34" t="s">
        <v>19</v>
      </c>
      <c r="N890" s="324" t="s">
        <v>20</v>
      </c>
      <c r="O890" s="324" t="s">
        <v>21</v>
      </c>
      <c r="P890" s="324" t="s">
        <v>22</v>
      </c>
      <c r="Q890" s="34" t="s">
        <v>23</v>
      </c>
      <c r="R890" s="157" t="s">
        <v>24</v>
      </c>
    </row>
    <row r="891" spans="1:18" ht="16.5" customHeight="1" thickBot="1" x14ac:dyDescent="0.35">
      <c r="A891" s="42"/>
      <c r="B891" s="37"/>
      <c r="C891" s="37"/>
      <c r="D891" s="37"/>
      <c r="E891" s="16"/>
      <c r="F891" s="37"/>
      <c r="G891" s="37"/>
      <c r="H891" s="37"/>
      <c r="I891" s="156"/>
      <c r="J891" s="37"/>
      <c r="K891" s="37"/>
      <c r="L891" s="37"/>
      <c r="M891" s="156"/>
      <c r="N891" s="37"/>
      <c r="O891" s="37"/>
      <c r="P891" s="37"/>
      <c r="Q891" s="158"/>
      <c r="R891" s="159"/>
    </row>
    <row r="892" spans="1:18" ht="15.75" customHeight="1" x14ac:dyDescent="0.3">
      <c r="A892" s="17" t="s">
        <v>45</v>
      </c>
      <c r="B892" s="1" t="s">
        <v>7</v>
      </c>
      <c r="C892" s="1" t="s">
        <v>7</v>
      </c>
      <c r="D892" s="1" t="s">
        <v>7</v>
      </c>
      <c r="E892" s="160"/>
      <c r="F892" s="1" t="s">
        <v>7</v>
      </c>
      <c r="G892" s="1" t="s">
        <v>7</v>
      </c>
      <c r="H892" s="1" t="s">
        <v>7</v>
      </c>
      <c r="I892" s="160"/>
      <c r="J892" s="1" t="s">
        <v>7</v>
      </c>
      <c r="K892" s="1" t="s">
        <v>7</v>
      </c>
      <c r="L892" s="1" t="s">
        <v>7</v>
      </c>
      <c r="M892" s="160"/>
      <c r="N892" s="1" t="s">
        <v>7</v>
      </c>
      <c r="O892" s="1" t="s">
        <v>7</v>
      </c>
      <c r="P892" s="1" t="s">
        <v>7</v>
      </c>
      <c r="Q892" s="161"/>
      <c r="R892" s="162" t="s">
        <v>7</v>
      </c>
    </row>
    <row r="893" spans="1:18" ht="15.75" customHeight="1" x14ac:dyDescent="0.3">
      <c r="A893" s="164" t="s">
        <v>46</v>
      </c>
      <c r="B893" s="1">
        <f>+SUM(B71:B85)+SUM(B147:B203)+SUM(B346:B381)+SUM(B535:B540)+SUM(B580:B585)+SUM(B625:B638)+SUM(B701:B704)+SUM(B737:B743)+SUM(B799:B800)+SUM(B833:B839)</f>
        <v>32475</v>
      </c>
      <c r="C893" s="1">
        <f>+SUM(C71:C85)+SUM(C147:C203)+SUM(C346:C381)+SUM(C535:C540)+SUM(C580:C585)+SUM(C625:C638)+SUM(C701:C704)+SUM(C737:C743)+SUM(C799:C800)+SUM(C833:C839)</f>
        <v>38924</v>
      </c>
      <c r="D893" s="1">
        <f>+SUM(D71:D85)+SUM(D147:D203)+SUM(D346:D381)+SUM(D535:D540)+SUM(D580:D585)+SUM(D625:D638)+SUM(D701:D704)+SUM(D737:D743)+SUM(D799:D800)+SUM(D833:D839)</f>
        <v>42894</v>
      </c>
      <c r="E893" s="59">
        <f t="shared" ref="E893:E899" si="301">SUM(B893:D893)</f>
        <v>114293</v>
      </c>
      <c r="F893" s="1">
        <f>+SUM(F71:F85)+SUM(F147:F203)+SUM(F346:F381)+SUM(F535:F540)+SUM(F580:F585)+SUM(F625:F638)+SUM(F701:F704)+SUM(F737:F743)+SUM(F799:F800)+SUM(F833:F839)</f>
        <v>56405</v>
      </c>
      <c r="G893" s="1">
        <f>+SUM(G71:G85)+SUM(G147:G203)+SUM(G346:G381)+SUM(G535:G540)+SUM(G580:G585)+SUM(G625:G638)+SUM(G701:G704)+SUM(G737:G743)+SUM(G799:G800)+SUM(G833:G839)</f>
        <v>63283</v>
      </c>
      <c r="H893" s="1">
        <f>+SUM(H71:H85)+SUM(H147:H203)+SUM(H346:H381)+SUM(H535:H540)+SUM(H580:H585)+SUM(H625:H638)+SUM(H701:H704)+SUM(H737:H743)+SUM(H799:H800)+SUM(H833:H839)</f>
        <v>72042</v>
      </c>
      <c r="I893" s="59">
        <f t="shared" ref="I893:I899" si="302">SUM(F893:H893)</f>
        <v>191730</v>
      </c>
      <c r="J893" s="1">
        <f>+SUM(J71:J85)+SUM(J147:J203)+SUM(J346:J381)+SUM(J535:J540)+SUM(J580:J585)+SUM(J625:J638)+SUM(J701:J704)+SUM(J737:J743)+SUM(J799:J800)+SUM(J833:J839)</f>
        <v>80574</v>
      </c>
      <c r="K893" s="1">
        <f>+SUM(K71:K85)+SUM(K147:K203)+SUM(K346:K381)+SUM(K535:K540)+SUM(K580:K585)+SUM(K625:K638)+SUM(K701:K704)+SUM(K737:K743)+SUM(K799:K800)+SUM(K833:K839)</f>
        <v>73383</v>
      </c>
      <c r="L893" s="1">
        <f>+SUM(L71:L85)+SUM(L147:L203)+SUM(L346:L381)+SUM(L535:L540)+SUM(L580:L585)+SUM(L625:L638)+SUM(L701:L704)+SUM(L737:L743)+SUM(L799:L800)+SUM(L833:L839)</f>
        <v>51997</v>
      </c>
      <c r="M893" s="59">
        <f t="shared" ref="M893:M899" si="303">SUM(J893:L893)</f>
        <v>205954</v>
      </c>
      <c r="N893" s="1">
        <f>+SUM(N71:N85)+SUM(N147:N203)+SUM(N346:N381)+SUM(N535:N540)+SUM(N580:N585)+SUM(N625:N638)+SUM(N701:N704)+SUM(N737:N743)+SUM(N799:N800)+SUM(N833:N839)</f>
        <v>42370</v>
      </c>
      <c r="O893" s="1">
        <f>+SUM(O71:O85)+SUM(O147:O203)+SUM(O346:O381)+SUM(O535:O540)+SUM(O580:O585)+SUM(O625:O638)+SUM(O701:O704)+SUM(O737:O743)+SUM(O799:O800)+SUM(O833:O839)</f>
        <v>28271</v>
      </c>
      <c r="P893" s="1">
        <f>+SUM(P71:P85)+SUM(P147:P203)+SUM(P346:P381)+SUM(P535:P540)+SUM(P580:P585)+SUM(P625:P638)+SUM(P701:P704)+SUM(P737:P743)+SUM(P799:P800)+SUM(P833:P839)</f>
        <v>25498</v>
      </c>
      <c r="Q893" s="59">
        <f t="shared" ref="Q893:Q899" si="304">SUM(N893:P893)</f>
        <v>96139</v>
      </c>
      <c r="R893" s="59">
        <f t="shared" ref="R893:R899" si="305">+E893+I893+M893+Q893</f>
        <v>608116</v>
      </c>
    </row>
    <row r="894" spans="1:18" ht="15.75" customHeight="1" x14ac:dyDescent="0.3">
      <c r="A894" s="17" t="s">
        <v>619</v>
      </c>
      <c r="B894" s="1">
        <f>+B38+SUM(B86:B87)+SUM(B205:B214)+SUM(B383:B393)+SUM(B542:B543)+B586+SUM(B639:B640)+B705+B744+B801+SUM(B840:B840)</f>
        <v>0</v>
      </c>
      <c r="C894" s="1">
        <f>+C38+SUM(C86:C87)+SUM(C205:C214)+SUM(C383:C393)+SUM(C542:C543)+C586+SUM(C639:C640)+C705+C744+C801+SUM(C840:C840)</f>
        <v>0</v>
      </c>
      <c r="D894" s="1">
        <f>+D38+SUM(D86:D87)+SUM(D205:D214)+SUM(D383:D393)+SUM(D542:D543)+D586+SUM(D639:D640)+D705+D744+D801+SUM(D840:D840)</f>
        <v>0</v>
      </c>
      <c r="E894" s="59">
        <f t="shared" si="301"/>
        <v>0</v>
      </c>
      <c r="F894" s="1">
        <f>+F38+SUM(F86:F87)+SUM(F205:F214)+SUM(F383:F393)+SUM(F542:F543)+F586+SUM(F639:F640)+F705+F744+F801+SUM(F840:F840)</f>
        <v>0</v>
      </c>
      <c r="G894" s="1">
        <f>+G38+SUM(G86:G87)+SUM(G205:G214)+SUM(G383:G393)+SUM(G542:G543)+G586+SUM(G639:G640)+G705+G744+G801+SUM(G840:G840)</f>
        <v>0</v>
      </c>
      <c r="H894" s="1">
        <f>+H38+SUM(H86:H87)+SUM(H205:H214)+SUM(H383:H393)+SUM(H542:H543)+H586+SUM(H639:H640)+H705+H744+H801+SUM(H840:H840)</f>
        <v>0</v>
      </c>
      <c r="I894" s="59">
        <f t="shared" si="302"/>
        <v>0</v>
      </c>
      <c r="J894" s="1">
        <f>+J38+SUM(J86:J87)+SUM(J205:J214)+SUM(J383:J393)+SUM(J542:J543)+J586+SUM(J639:J640)+J705+J744+J801+SUM(J840:J840)</f>
        <v>0</v>
      </c>
      <c r="K894" s="1">
        <f>+K38+SUM(K86:K87)+SUM(K205:K214)+SUM(K383:K393)+SUM(K542:K543)+K586+SUM(K639:K640)+K705+K744+K801+SUM(K840:K840)</f>
        <v>0</v>
      </c>
      <c r="L894" s="1">
        <f>+L38+SUM(L86:L87)+SUM(L205:L214)+SUM(L383:L393)+SUM(L542:L543)+L586+SUM(L639:L640)+L705+L744+L801+SUM(L840:L840)</f>
        <v>0</v>
      </c>
      <c r="M894" s="59">
        <f t="shared" si="303"/>
        <v>0</v>
      </c>
      <c r="N894" s="1">
        <f>+N38+SUM(N86:N87)+SUM(N205:N214)+SUM(N383:N393)+SUM(N542:N543)+N586+SUM(N639:N640)+N705+N744+N801+SUM(N840:N840)</f>
        <v>0</v>
      </c>
      <c r="O894" s="1">
        <f>+O38+SUM(O86:O87)+SUM(O205:O214)+SUM(O383:O393)+SUM(O542:O543)+O586+SUM(O639:O640)+O705+O744+O801+SUM(O840:O840)</f>
        <v>0</v>
      </c>
      <c r="P894" s="1">
        <f>+P38+SUM(P86:P87)+SUM(P205:P214)+SUM(P383:P393)+SUM(P542:P543)+P586+SUM(P639:P640)+P705+P744+P801+SUM(P840:P840)</f>
        <v>0</v>
      </c>
      <c r="Q894" s="59">
        <f t="shared" si="304"/>
        <v>0</v>
      </c>
      <c r="R894" s="59">
        <f t="shared" si="305"/>
        <v>0</v>
      </c>
    </row>
    <row r="895" spans="1:18" ht="15.75" customHeight="1" x14ac:dyDescent="0.3">
      <c r="A895" s="164" t="s">
        <v>620</v>
      </c>
      <c r="B895" s="1">
        <f>+SUM(B88:B90)+SUM(B215:B218)+SUM(B394:B398)+B544+B587+SUM(B641:B642)+B706+B745+B802+SUM(B841:B842)</f>
        <v>0</v>
      </c>
      <c r="C895" s="1">
        <f>+SUM(C88:C90)+SUM(C215:C218)+SUM(C394:C398)+C544+C587+SUM(C641:C642)+C706+C745+C802+SUM(C841:C842)</f>
        <v>0</v>
      </c>
      <c r="D895" s="1">
        <f>+SUM(D88:D90)+SUM(D215:D218)+SUM(D394:D398)+D544+D587+SUM(D641:D642)+D706+D745+D802+SUM(D841:D842)</f>
        <v>0</v>
      </c>
      <c r="E895" s="59">
        <f t="shared" si="301"/>
        <v>0</v>
      </c>
      <c r="F895" s="1">
        <f>+SUM(F88:F90)+SUM(F215:F218)+SUM(F394:F398)+F544+F587+SUM(F641:F642)+F706+F745+F802+SUM(F841:F842)</f>
        <v>0</v>
      </c>
      <c r="G895" s="1">
        <f>+SUM(G88:G90)+SUM(G215:G218)+SUM(G394:G398)+G544+G587+SUM(G641:G642)+G706+G745+G802+SUM(G841:G842)</f>
        <v>0</v>
      </c>
      <c r="H895" s="1">
        <f>+SUM(H88:H90)+SUM(H215:H218)+SUM(H394:H398)+H544+H587+SUM(H641:H642)+H706+H745+H802+SUM(H841:H842)</f>
        <v>184</v>
      </c>
      <c r="I895" s="59">
        <f t="shared" si="302"/>
        <v>184</v>
      </c>
      <c r="J895" s="1">
        <f>+SUM(J88:J90)+SUM(J215:J218)+SUM(J394:J398)+J544+J587+SUM(J641:J642)+J706+J745+J802+SUM(J841:J842)</f>
        <v>181</v>
      </c>
      <c r="K895" s="1">
        <f>+SUM(K88:K90)+SUM(K215:K218)+SUM(K394:K398)+K544+K587+SUM(K641:K642)+K706+K745+K802+SUM(K841:K842)</f>
        <v>192</v>
      </c>
      <c r="L895" s="1">
        <f>+SUM(L88:L90)+SUM(L215:L218)+SUM(L394:L398)+L544+L587+SUM(L641:L642)+L706+L745+L802+SUM(L841:L842)</f>
        <v>143</v>
      </c>
      <c r="M895" s="59">
        <f t="shared" si="303"/>
        <v>516</v>
      </c>
      <c r="N895" s="1">
        <f>+SUM(N88:N90)+SUM(N215:N218)+SUM(N394:N398)+N544+N587+SUM(N641:N642)+N706+N745+N802+SUM(N841:N842)</f>
        <v>103</v>
      </c>
      <c r="O895" s="1">
        <f>+SUM(O88:O90)+SUM(O215:O218)+SUM(O394:O398)+O544+O587+SUM(O641:O642)+O706+O745+O802+SUM(O841:O842)</f>
        <v>47</v>
      </c>
      <c r="P895" s="1">
        <f>+SUM(P88:P90)+SUM(P215:P218)+SUM(P394:P398)+P544+P587+SUM(P641:P642)+P706+P745+P802+SUM(P841:P842)</f>
        <v>0</v>
      </c>
      <c r="Q895" s="59">
        <f t="shared" si="304"/>
        <v>150</v>
      </c>
      <c r="R895" s="59">
        <f>+E895+I895+M895+Q895</f>
        <v>850</v>
      </c>
    </row>
    <row r="896" spans="1:18" ht="15.75" customHeight="1" x14ac:dyDescent="0.3">
      <c r="A896" s="17" t="s">
        <v>621</v>
      </c>
      <c r="B896" s="1">
        <f>+B323+B516+B517</f>
        <v>0</v>
      </c>
      <c r="C896" s="1">
        <f>+C323+C516+C517</f>
        <v>0</v>
      </c>
      <c r="D896" s="1">
        <f>+D323+D516+D517</f>
        <v>0</v>
      </c>
      <c r="E896" s="59">
        <f t="shared" si="301"/>
        <v>0</v>
      </c>
      <c r="F896" s="1">
        <f>+F323+F516+F517</f>
        <v>0</v>
      </c>
      <c r="G896" s="1">
        <f>+G323+G516+G517</f>
        <v>0</v>
      </c>
      <c r="H896" s="1">
        <f>+H323+H516+H517</f>
        <v>0</v>
      </c>
      <c r="I896" s="59">
        <f t="shared" si="302"/>
        <v>0</v>
      </c>
      <c r="J896" s="1">
        <f>+J323+J516+J517</f>
        <v>0</v>
      </c>
      <c r="K896" s="1">
        <f>+K323+K516+K517</f>
        <v>0</v>
      </c>
      <c r="L896" s="1">
        <f>+L323+L516+L517</f>
        <v>0</v>
      </c>
      <c r="M896" s="59">
        <f t="shared" si="303"/>
        <v>0</v>
      </c>
      <c r="N896" s="1">
        <f>+N323+N516+N517</f>
        <v>0</v>
      </c>
      <c r="O896" s="1">
        <f>+O323+O516+O517</f>
        <v>0</v>
      </c>
      <c r="P896" s="1">
        <f>+P323+P516+P517</f>
        <v>0</v>
      </c>
      <c r="Q896" s="59">
        <f t="shared" si="304"/>
        <v>0</v>
      </c>
      <c r="R896" s="59">
        <f t="shared" si="305"/>
        <v>0</v>
      </c>
    </row>
    <row r="897" spans="1:20" ht="15.75" customHeight="1" x14ac:dyDescent="0.3">
      <c r="A897" s="164" t="s">
        <v>622</v>
      </c>
      <c r="B897" s="1">
        <f>+B324</f>
        <v>23</v>
      </c>
      <c r="C897" s="1">
        <f>+C324</f>
        <v>67</v>
      </c>
      <c r="D897" s="1">
        <f>+D324</f>
        <v>18</v>
      </c>
      <c r="E897" s="59">
        <f>SUM(B897:D897)</f>
        <v>108</v>
      </c>
      <c r="F897" s="1">
        <f>+F324</f>
        <v>33</v>
      </c>
      <c r="G897" s="1">
        <f>+G324</f>
        <v>45</v>
      </c>
      <c r="H897" s="1">
        <f>+H324</f>
        <v>51</v>
      </c>
      <c r="I897" s="59">
        <f>SUM(F897:H897)</f>
        <v>129</v>
      </c>
      <c r="J897" s="1">
        <f>+J324</f>
        <v>39</v>
      </c>
      <c r="K897" s="1">
        <f>+K324</f>
        <v>21</v>
      </c>
      <c r="L897" s="1">
        <f>+L324</f>
        <v>26</v>
      </c>
      <c r="M897" s="59">
        <f>SUM(J897:L897)</f>
        <v>86</v>
      </c>
      <c r="N897" s="1">
        <f>+N324</f>
        <v>28</v>
      </c>
      <c r="O897" s="1">
        <f>+O324</f>
        <v>41</v>
      </c>
      <c r="P897" s="1">
        <f>+P324</f>
        <v>49</v>
      </c>
      <c r="Q897" s="59">
        <f t="shared" si="304"/>
        <v>118</v>
      </c>
      <c r="R897" s="59">
        <f>+E897+I897+M897+Q897</f>
        <v>441</v>
      </c>
    </row>
    <row r="898" spans="1:20" ht="15.75" customHeight="1" thickBot="1" x14ac:dyDescent="0.35">
      <c r="A898" s="17" t="s">
        <v>51</v>
      </c>
      <c r="B898" s="1">
        <f>+B91+B545+B588+B643+B707+B746+B803+B843</f>
        <v>0</v>
      </c>
      <c r="C898" s="1">
        <f>+C91+C545+C588+C643+C707+C746+C803+C843</f>
        <v>0</v>
      </c>
      <c r="D898" s="1">
        <f>+D91+D545+D588+D643+D707+D746+D803+D843</f>
        <v>0</v>
      </c>
      <c r="E898" s="59">
        <f t="shared" si="301"/>
        <v>0</v>
      </c>
      <c r="F898" s="1">
        <f>+F91+F545+F588+F643+F707+F746+F803+F843</f>
        <v>0</v>
      </c>
      <c r="G898" s="1">
        <f>+G91+G545+G588+G643+G707+G746+G803+G843</f>
        <v>0</v>
      </c>
      <c r="H898" s="1">
        <f>+H91+H545+H588+H643+H707+H746+H803+H843</f>
        <v>0</v>
      </c>
      <c r="I898" s="59">
        <f t="shared" si="302"/>
        <v>0</v>
      </c>
      <c r="J898" s="1">
        <f>+J91+J545+J588+J643+J707+J746+J803+J843</f>
        <v>0</v>
      </c>
      <c r="K898" s="1">
        <f>+K91+K545+K588+K643+K707+K746+K803+K843</f>
        <v>0</v>
      </c>
      <c r="L898" s="1">
        <f>+L91+L545+L588+L643+L707+L746+L803+L843</f>
        <v>0</v>
      </c>
      <c r="M898" s="59">
        <f t="shared" si="303"/>
        <v>0</v>
      </c>
      <c r="N898" s="1">
        <f>+N91+N545+N588+N643+N707+N746+N803+N843</f>
        <v>0</v>
      </c>
      <c r="O898" s="1">
        <f>+O91+O545+O588+O643+O707+O746+O803+O843</f>
        <v>0</v>
      </c>
      <c r="P898" s="1">
        <f>+P91+P545+P588+P643+P707+P746+P803+P843</f>
        <v>0</v>
      </c>
      <c r="Q898" s="59">
        <f t="shared" si="304"/>
        <v>0</v>
      </c>
      <c r="R898" s="59">
        <f t="shared" si="305"/>
        <v>0</v>
      </c>
    </row>
    <row r="899" spans="1:20" ht="16.5" customHeight="1" thickBot="1" x14ac:dyDescent="0.35">
      <c r="A899" s="62" t="s">
        <v>52</v>
      </c>
      <c r="B899" s="100">
        <f>SUM(B892:B898)</f>
        <v>32498</v>
      </c>
      <c r="C899" s="101">
        <f>SUM(C892:C898)</f>
        <v>38991</v>
      </c>
      <c r="D899" s="101">
        <f>SUM(D892:D898)</f>
        <v>42912</v>
      </c>
      <c r="E899" s="64">
        <f t="shared" si="301"/>
        <v>114401</v>
      </c>
      <c r="F899" s="101">
        <f>SUM(F892:F898)</f>
        <v>56438</v>
      </c>
      <c r="G899" s="101">
        <f>SUM(G892:G898)</f>
        <v>63328</v>
      </c>
      <c r="H899" s="101">
        <f>SUM(H892:H898)</f>
        <v>72277</v>
      </c>
      <c r="I899" s="64">
        <f t="shared" si="302"/>
        <v>192043</v>
      </c>
      <c r="J899" s="101">
        <f>SUM(J892:J898)</f>
        <v>80794</v>
      </c>
      <c r="K899" s="101">
        <f>SUM(K892:K898)</f>
        <v>73596</v>
      </c>
      <c r="L899" s="101">
        <f>SUM(L892:L898)</f>
        <v>52166</v>
      </c>
      <c r="M899" s="64">
        <f t="shared" si="303"/>
        <v>206556</v>
      </c>
      <c r="N899" s="101">
        <f>SUM(N892:N898)</f>
        <v>42501</v>
      </c>
      <c r="O899" s="101">
        <f>SUM(O892:O898)</f>
        <v>28359</v>
      </c>
      <c r="P899" s="101">
        <f>SUM(P892:P898)</f>
        <v>25547</v>
      </c>
      <c r="Q899" s="64">
        <f t="shared" si="304"/>
        <v>96407</v>
      </c>
      <c r="R899" s="64">
        <f t="shared" si="305"/>
        <v>609407</v>
      </c>
      <c r="T899" s="4">
        <f>+R899-R896-R895</f>
        <v>608557</v>
      </c>
    </row>
    <row r="900" spans="1:20" ht="15.75" customHeight="1" x14ac:dyDescent="0.3">
      <c r="A900" s="17" t="s">
        <v>53</v>
      </c>
      <c r="B900" s="1"/>
      <c r="C900" s="1"/>
      <c r="D900" s="1"/>
      <c r="E900" s="59" t="s">
        <v>7</v>
      </c>
      <c r="F900" s="1"/>
      <c r="G900" s="1"/>
      <c r="H900" s="1"/>
      <c r="I900" s="59" t="s">
        <v>7</v>
      </c>
      <c r="J900" s="1"/>
      <c r="K900" s="1"/>
      <c r="L900" s="1"/>
      <c r="M900" s="59" t="s">
        <v>7</v>
      </c>
      <c r="N900" s="1"/>
      <c r="O900" s="1"/>
      <c r="P900" s="1"/>
      <c r="Q900" s="59" t="s">
        <v>7</v>
      </c>
      <c r="R900" s="59" t="s">
        <v>7</v>
      </c>
    </row>
    <row r="901" spans="1:20" ht="15.75" customHeight="1" x14ac:dyDescent="0.3">
      <c r="A901" s="17" t="s">
        <v>54</v>
      </c>
      <c r="B901" s="1">
        <f>SUM(B43:B43)+SUM(B222:B222)+SUM(B94:B94)+SUM(B402:B402)</f>
        <v>0</v>
      </c>
      <c r="C901" s="1">
        <f>SUM(C43:C43)+SUM(C222:C222)+SUM(C94:C94)+SUM(C402:C402)</f>
        <v>0</v>
      </c>
      <c r="D901" s="1">
        <f>SUM(D43:D43)+SUM(D222:D222)+SUM(D94:D94)+SUM(D402:D402)</f>
        <v>0</v>
      </c>
      <c r="E901" s="59">
        <f>SUM(B901:D901)</f>
        <v>0</v>
      </c>
      <c r="F901" s="1">
        <f>SUM(F43:F43)+SUM(F222:F222)+SUM(F94:F94)+SUM(F402:F402)</f>
        <v>0</v>
      </c>
      <c r="G901" s="1">
        <f>SUM(G43:G43)+SUM(G222:G222)+SUM(G94:G94)+SUM(G402:G402)</f>
        <v>0</v>
      </c>
      <c r="H901" s="1">
        <f>SUM(H43:H43)+SUM(H222:H222)+SUM(H94:H94)+SUM(H402:H402)</f>
        <v>0</v>
      </c>
      <c r="I901" s="59">
        <f>SUM(F901:H901)</f>
        <v>0</v>
      </c>
      <c r="J901" s="1">
        <f>SUM(J43:J43)+SUM(J222:J222)+SUM(J94:J94)+SUM(J402:J402)</f>
        <v>0</v>
      </c>
      <c r="K901" s="1">
        <f>SUM(K43:K43)+SUM(K222:K222)+SUM(K94:K94)+SUM(K402:K402)</f>
        <v>0</v>
      </c>
      <c r="L901" s="1">
        <f>SUM(L43:L43)+SUM(L222:L222)+SUM(L94:L94)+SUM(L402:L402)</f>
        <v>0</v>
      </c>
      <c r="M901" s="59">
        <f>SUM(J901:L901)</f>
        <v>0</v>
      </c>
      <c r="N901" s="1">
        <f>SUM(N43:N43)+SUM(N222:N222)+SUM(N94:N94)+SUM(N402:N402)</f>
        <v>0</v>
      </c>
      <c r="O901" s="1">
        <f>SUM(O43:O43)+SUM(O222:O222)+SUM(O94:O94)+SUM(O402:O402)</f>
        <v>0</v>
      </c>
      <c r="P901" s="1">
        <f>SUM(P43:P43)+SUM(P222:P222)+SUM(P94:P94)+SUM(P402:P402)</f>
        <v>0</v>
      </c>
      <c r="Q901" s="59">
        <f>SUM(N901:P901)</f>
        <v>0</v>
      </c>
      <c r="R901" s="59">
        <f>+E901+I901+M901+Q901</f>
        <v>0</v>
      </c>
    </row>
    <row r="902" spans="1:20" ht="15.75" customHeight="1" x14ac:dyDescent="0.3">
      <c r="A902" s="164" t="s">
        <v>55</v>
      </c>
      <c r="B902" s="1">
        <f>+SUM(B96:B97)+SUM(B223:B225)+SUM(B403:B412)+B549+SUM(B591:B593)+SUM(B646:B648)+SUM(B710:B710)+B749+B806+SUM(B846:B847)</f>
        <v>2068</v>
      </c>
      <c r="C902" s="1">
        <f>+SUM(C96:C97)+SUM(C223:C225)+SUM(C403:C412)+C549+SUM(C591:C593)+SUM(C646:C648)+SUM(C710:C710)+C749+C806+SUM(C846:C847)</f>
        <v>5849</v>
      </c>
      <c r="D902" s="1">
        <f>+SUM(D96:D97)+SUM(D223:D225)+SUM(D403:D412)+D549+SUM(D591:D593)+SUM(D646:D648)+SUM(D710:D710)+D749+D806+SUM(D846:D847)</f>
        <v>11643</v>
      </c>
      <c r="E902" s="59">
        <f>SUM(B902:D902)</f>
        <v>19560</v>
      </c>
      <c r="F902" s="1">
        <f>+SUM(F96:F97)+SUM(F223:F225)+SUM(F403:F412)+F549+SUM(F591:F593)+SUM(F646:F648)+SUM(F710:F710)+F749+F806+SUM(F846:F847)</f>
        <v>39157</v>
      </c>
      <c r="G902" s="1">
        <f>+SUM(G96:G97)+SUM(G223:G225)+SUM(G403:G412)+G549+SUM(G591:G593)+SUM(G646:G648)+SUM(G710:G710)+G749+G806+SUM(G846:G847)</f>
        <v>45754</v>
      </c>
      <c r="H902" s="1">
        <f>+SUM(H96:H97)+SUM(H223:H225)+SUM(H403:H412)+H549+SUM(H591:H593)+SUM(H646:H648)+SUM(H710:H710)+H749+H806+SUM(H846:H847)</f>
        <v>54158</v>
      </c>
      <c r="I902" s="59">
        <f>SUM(F902:H902)</f>
        <v>139069</v>
      </c>
      <c r="J902" s="1">
        <f>+SUM(J96:J97)+SUM(J223:J225)+SUM(J403:J412)+J549+SUM(J591:J593)+SUM(J646:J648)+SUM(J710:J710)+J749+J806+SUM(J846:J847)</f>
        <v>44542</v>
      </c>
      <c r="K902" s="1">
        <f>+SUM(K96:K97)+SUM(K223:K225)+SUM(K403:K412)+K549+SUM(K591:K593)+SUM(K646:K648)+SUM(K710:K710)+K749+K806+SUM(K846:K847)</f>
        <v>26171</v>
      </c>
      <c r="L902" s="1">
        <f>+SUM(L96:L97)+SUM(L223:L225)+SUM(L403:L412)+L549+SUM(L591:L593)+SUM(L646:L648)+SUM(L710:L710)+L749+L806+SUM(L846:L847)</f>
        <v>5757</v>
      </c>
      <c r="M902" s="59">
        <f>SUM(J902:L902)</f>
        <v>76470</v>
      </c>
      <c r="N902" s="1">
        <f>+SUM(N96:N97)+SUM(N223:N225)+SUM(N403:N412)+N549+SUM(N591:N593)+SUM(N646:N648)+SUM(N710:N710)+N749+N806+SUM(N846:N847)</f>
        <v>5636</v>
      </c>
      <c r="O902" s="1">
        <f>+SUM(O96:O97)+SUM(O223:O225)+SUM(O403:O412)+O549+SUM(O591:O593)+SUM(O646:O648)+SUM(O710:O710)+O749+O806+SUM(O846:O847)</f>
        <v>4856</v>
      </c>
      <c r="P902" s="1">
        <f>+SUM(P96:P97)+SUM(P223:P225)+SUM(P403:P412)+P549+SUM(P591:P593)+SUM(P646:P648)+SUM(P710:P710)+P749+P806+SUM(P846:P847)</f>
        <v>9824</v>
      </c>
      <c r="Q902" s="59">
        <f>SUM(N902:P902)</f>
        <v>20316</v>
      </c>
      <c r="R902" s="59">
        <f>+E902+I902+M902+Q902</f>
        <v>255415</v>
      </c>
    </row>
    <row r="903" spans="1:20" ht="15.75" customHeight="1" thickBot="1" x14ac:dyDescent="0.35">
      <c r="A903" s="17" t="s">
        <v>56</v>
      </c>
      <c r="B903" s="1">
        <f>+B98+B550+B594+B649+B711+B750+B807+B848+B413+B226+B45</f>
        <v>0</v>
      </c>
      <c r="C903" s="1">
        <f>+C98+C550+C594+C649+C711+C750+C807+C848+C413+C226+C45</f>
        <v>0</v>
      </c>
      <c r="D903" s="1">
        <f>+D98+D550+D594+D649+D711+D750+D807+D848+D413+D226+D45</f>
        <v>0</v>
      </c>
      <c r="E903" s="59">
        <f>SUM(B903:D903)</f>
        <v>0</v>
      </c>
      <c r="F903" s="1">
        <f>+F98+F550+F594+F649+F711+F750+F807+F848+F413+F226+F45</f>
        <v>0</v>
      </c>
      <c r="G903" s="1">
        <f>+G98+G550+G594+G649+G711+G750+G807+G848+G413+G226+G45</f>
        <v>0</v>
      </c>
      <c r="H903" s="1">
        <f>+H98+H550+H594+H649+H711+H750+H807+H848+H413+H226+H45</f>
        <v>0</v>
      </c>
      <c r="I903" s="59">
        <f>SUM(F903:H903)</f>
        <v>0</v>
      </c>
      <c r="J903" s="1">
        <f>+J98+J550+J594+J649+J711+J750+J807+J848+J413+J226+J45</f>
        <v>0</v>
      </c>
      <c r="K903" s="1">
        <f>+K98+K550+K594+K649+K711+K750+K807+K848+K413+K226+K45</f>
        <v>0</v>
      </c>
      <c r="L903" s="1">
        <f>+L98+L550+L594+L649+L711+L750+L807+L848+L413+L226+L45</f>
        <v>0</v>
      </c>
      <c r="M903" s="59">
        <f>SUM(J903:L903)</f>
        <v>0</v>
      </c>
      <c r="N903" s="1">
        <f>+N98+N550+N594+N649+N711+N750+N807+N848+N413+N226+N45</f>
        <v>0</v>
      </c>
      <c r="O903" s="1">
        <f>+O98+O550+O594+O649+O711+O750+O807+O848+O413+O226+O45</f>
        <v>0</v>
      </c>
      <c r="P903" s="1">
        <f>+P98+P550+P594+P649+P711+P750+P807+P848+P413+P226+P45</f>
        <v>0</v>
      </c>
      <c r="Q903" s="59">
        <f>SUM(N903:P903)</f>
        <v>0</v>
      </c>
      <c r="R903" s="59">
        <f>+E903+I903+M903+Q903</f>
        <v>0</v>
      </c>
    </row>
    <row r="904" spans="1:20" ht="16.5" customHeight="1" thickBot="1" x14ac:dyDescent="0.35">
      <c r="A904" s="62" t="s">
        <v>57</v>
      </c>
      <c r="B904" s="100">
        <f>SUM(B900:B903)</f>
        <v>2068</v>
      </c>
      <c r="C904" s="101">
        <f>SUM(C900:C903)</f>
        <v>5849</v>
      </c>
      <c r="D904" s="101">
        <f>SUM(D900:D903)</f>
        <v>11643</v>
      </c>
      <c r="E904" s="64">
        <f>SUM(B904:D904)</f>
        <v>19560</v>
      </c>
      <c r="F904" s="101">
        <f>SUM(F900:F903)</f>
        <v>39157</v>
      </c>
      <c r="G904" s="101">
        <f>SUM(G900:G903)</f>
        <v>45754</v>
      </c>
      <c r="H904" s="101">
        <f>SUM(H900:H903)</f>
        <v>54158</v>
      </c>
      <c r="I904" s="64">
        <f>SUM(F904:H904)</f>
        <v>139069</v>
      </c>
      <c r="J904" s="101">
        <f>SUM(J900:J903)</f>
        <v>44542</v>
      </c>
      <c r="K904" s="101">
        <f>SUM(K900:K903)</f>
        <v>26171</v>
      </c>
      <c r="L904" s="101">
        <f>SUM(L900:L903)</f>
        <v>5757</v>
      </c>
      <c r="M904" s="64">
        <f>SUM(J904:L904)</f>
        <v>76470</v>
      </c>
      <c r="N904" s="101">
        <f>SUM(N900:N903)</f>
        <v>5636</v>
      </c>
      <c r="O904" s="101">
        <f>SUM(O900:O903)</f>
        <v>4856</v>
      </c>
      <c r="P904" s="101">
        <f>SUM(P900:P903)</f>
        <v>9824</v>
      </c>
      <c r="Q904" s="64">
        <f>SUM(N904:P904)</f>
        <v>20316</v>
      </c>
      <c r="R904" s="64">
        <f>+E904+I904+M904+Q904</f>
        <v>255415</v>
      </c>
    </row>
    <row r="905" spans="1:20" ht="15.75" customHeight="1" x14ac:dyDescent="0.3">
      <c r="A905" s="17" t="s">
        <v>58</v>
      </c>
      <c r="B905" s="1"/>
      <c r="C905" s="1"/>
      <c r="D905" s="1"/>
      <c r="E905" s="59" t="s">
        <v>7</v>
      </c>
      <c r="F905" s="1"/>
      <c r="G905" s="1"/>
      <c r="H905" s="1"/>
      <c r="I905" s="59" t="s">
        <v>7</v>
      </c>
      <c r="J905" s="1"/>
      <c r="K905" s="1"/>
      <c r="L905" s="1"/>
      <c r="M905" s="59" t="s">
        <v>7</v>
      </c>
      <c r="N905" s="1"/>
      <c r="O905" s="1"/>
      <c r="P905" s="1"/>
      <c r="Q905" s="59" t="s">
        <v>7</v>
      </c>
      <c r="R905" s="59" t="s">
        <v>7</v>
      </c>
    </row>
    <row r="906" spans="1:20" ht="15.75" customHeight="1" x14ac:dyDescent="0.3">
      <c r="A906" s="164" t="s">
        <v>59</v>
      </c>
      <c r="B906" s="1">
        <f>+B48+B101+B229+SUM(B416:B421)+B553+B597+B652+B714+SUM(B753:B754)+B810+SUM(B851:B853)</f>
        <v>2242</v>
      </c>
      <c r="C906" s="1">
        <f>+C48+C101+C229+SUM(C416:C421)+C553+C597+C652+C714+SUM(C753:C754)+C810+SUM(C851:C853)</f>
        <v>5955</v>
      </c>
      <c r="D906" s="1">
        <f>+D48+D101+D229+SUM(D416:D421)+D553+D597+D652+D714+SUM(D753:D754)+D810+SUM(D851:D853)</f>
        <v>7504</v>
      </c>
      <c r="E906" s="59">
        <f>SUM(B906:D906)</f>
        <v>15701</v>
      </c>
      <c r="F906" s="1">
        <f>+F48+F101+F229+SUM(F416:F421)+F553+F597+F652+F714+SUM(F753:F754)+F810+SUM(F851:F853)</f>
        <v>15126</v>
      </c>
      <c r="G906" s="1">
        <f>+G48+G101+G229+SUM(G416:G421)+G553+G597+G652+G714+SUM(G753:G754)+G810+SUM(G851:G853)</f>
        <v>19382</v>
      </c>
      <c r="H906" s="1">
        <f>+H48+H101+H229+SUM(H416:H421)+H553+H597+H652+H714+SUM(H753:H754)+H810+SUM(H851:H853)</f>
        <v>17747</v>
      </c>
      <c r="I906" s="59">
        <f>SUM(F906:H906)</f>
        <v>52255</v>
      </c>
      <c r="J906" s="1">
        <f>+J48+J101+J229+SUM(J416:J421)+J553+J597+J652+J714+SUM(J753:J754)+J810+SUM(J851:J853)</f>
        <v>15536</v>
      </c>
      <c r="K906" s="1">
        <f>+K48+K101+K229+SUM(K416:K421)+K553+K597+K652+K714+SUM(K753:K754)+K810+SUM(K851:K853)</f>
        <v>13495</v>
      </c>
      <c r="L906" s="1">
        <f>+L48+L101+L229+SUM(L416:L421)+L553+L597+L652+L714+SUM(L753:L754)+L810+SUM(L851:L853)</f>
        <v>9817</v>
      </c>
      <c r="M906" s="59">
        <f>SUM(J906:L906)</f>
        <v>38848</v>
      </c>
      <c r="N906" s="1">
        <f>+N48+N101+N229+SUM(N416:N421)+N553+N597+N652+N714+SUM(N753:N754)+N810+SUM(N851:N853)</f>
        <v>7907</v>
      </c>
      <c r="O906" s="1">
        <f>+O48+O101+O229+SUM(O416:O421)+O553+O597+O652+O714+SUM(O753:O754)+O810+SUM(O851:O853)</f>
        <v>2717</v>
      </c>
      <c r="P906" s="1">
        <f>+P48+P101+P229+SUM(P416:P421)+P553+P597+P652+P714+SUM(P753:P754)+P810+SUM(P851:P853)</f>
        <v>2258</v>
      </c>
      <c r="Q906" s="59">
        <f>SUM(N906:P906)</f>
        <v>12882</v>
      </c>
      <c r="R906" s="59">
        <f>+E906+I906+M906+Q906</f>
        <v>119686</v>
      </c>
    </row>
    <row r="907" spans="1:20" ht="15.75" customHeight="1" thickBot="1" x14ac:dyDescent="0.35">
      <c r="A907" s="164" t="s">
        <v>60</v>
      </c>
      <c r="B907" s="1">
        <f>+B49+SUM(B102:B113)+SUM(B230:B298)+SUM(B422:B487)+SUM(B554:B557)+SUM(B598:B599)+SUM(B653:B659)+B715+SUM(B755:B764)+B811+SUM(B854:B859)</f>
        <v>15999</v>
      </c>
      <c r="C907" s="1">
        <f>+C49+SUM(C102:C113)+SUM(C230:C298)+SUM(C422:C487)+SUM(C554:C557)+SUM(C598:C599)+SUM(C653:C659)+C715+SUM(C755:C764)+C811+SUM(C854:C859)</f>
        <v>18603</v>
      </c>
      <c r="D907" s="1">
        <f>+D49+SUM(D102:D113)+SUM(D230:D298)+SUM(D422:D487)+SUM(D554:D557)+SUM(D598:D599)+SUM(D653:D659)+D715+SUM(D755:D764)+D811+SUM(D854:D859)</f>
        <v>25954</v>
      </c>
      <c r="E907" s="59">
        <f>SUM(B907:D907)</f>
        <v>60556</v>
      </c>
      <c r="F907" s="1">
        <f>+F49+SUM(F102:F113)+SUM(F230:F298)+SUM(F422:F487)+SUM(F554:F557)+SUM(F598:F599)+SUM(F653:F659)+F715+SUM(F755:F764)+F811+SUM(F854:F859)</f>
        <v>30990</v>
      </c>
      <c r="G907" s="1">
        <f>+G49+SUM(G102:G113)+SUM(G230:G298)+SUM(G422:G487)+SUM(G554:G557)+SUM(G598:G599)+SUM(G653:G659)+G715+SUM(G755:G764)+G811+SUM(G854:G859)</f>
        <v>45993</v>
      </c>
      <c r="H907" s="1">
        <f>+H49+SUM(H102:H113)+SUM(H230:H298)+SUM(H422:H487)+SUM(H554:H557)+SUM(H598:H599)+SUM(H653:H659)+H715+SUM(H755:H764)+H811+SUM(H854:H859)</f>
        <v>48518</v>
      </c>
      <c r="I907" s="59">
        <f>SUM(F907:H907)</f>
        <v>125501</v>
      </c>
      <c r="J907" s="1">
        <f>+J49+SUM(J102:J113)+SUM(J230:J298)+SUM(J422:J487)+SUM(J554:J557)+SUM(J598:J599)+SUM(J653:J659)+J715+SUM(J755:J764)+J811+SUM(J854:J859)</f>
        <v>42484</v>
      </c>
      <c r="K907" s="1">
        <f>+K49+SUM(K102:K113)+SUM(K230:K298)+SUM(K422:K487)+SUM(K554:K557)+SUM(K598:K599)+SUM(K653:K659)+K715+SUM(K755:K764)+K811+SUM(K854:K859)</f>
        <v>53207</v>
      </c>
      <c r="L907" s="1">
        <f>+L49+SUM(L102:L113)+SUM(L230:L298)+SUM(L422:L487)+SUM(L554:L557)+SUM(L598:L599)+SUM(L653:L659)+L715+SUM(L755:L764)+L811+SUM(L854:L859)</f>
        <v>40383</v>
      </c>
      <c r="M907" s="59">
        <f>SUM(J907:L907)</f>
        <v>136074</v>
      </c>
      <c r="N907" s="1">
        <f>+N49+SUM(N102:N113)+SUM(N230:N298)+SUM(N422:N487)+SUM(N554:N557)+SUM(N598:N599)+SUM(N653:N659)+N715+SUM(N755:N764)+N811+SUM(N854:N859)</f>
        <v>16832</v>
      </c>
      <c r="O907" s="1">
        <f>+O49+SUM(O102:O113)+SUM(O230:O298)+SUM(O422:O487)+SUM(O554:O557)+SUM(O598:O599)+SUM(O653:O659)+O715+SUM(O755:O764)+O811+SUM(O854:O859)</f>
        <v>12544</v>
      </c>
      <c r="P907" s="1">
        <f>+P49+SUM(P102:P113)+SUM(P230:P298)+SUM(P422:P487)+SUM(P554:P557)+SUM(P598:P599)+SUM(P653:P659)+P715+SUM(P755:P764)+P811+SUM(P854:P859)</f>
        <v>11256</v>
      </c>
      <c r="Q907" s="59">
        <f>SUM(N907:P907)</f>
        <v>40632</v>
      </c>
      <c r="R907" s="59">
        <f>+E907+I907+M907+Q907</f>
        <v>362763</v>
      </c>
    </row>
    <row r="908" spans="1:20" ht="16.5" customHeight="1" thickBot="1" x14ac:dyDescent="0.35">
      <c r="A908" s="62" t="s">
        <v>61</v>
      </c>
      <c r="B908" s="100">
        <f>SUM(B905:B907)</f>
        <v>18241</v>
      </c>
      <c r="C908" s="101">
        <f>SUM(C905:C907)</f>
        <v>24558</v>
      </c>
      <c r="D908" s="138">
        <f>SUM(D905:D907)</f>
        <v>33458</v>
      </c>
      <c r="E908" s="64">
        <f>SUM(B908:D908)</f>
        <v>76257</v>
      </c>
      <c r="F908" s="101">
        <f>SUM(F905:F907)</f>
        <v>46116</v>
      </c>
      <c r="G908" s="101">
        <f>SUM(G905:G907)</f>
        <v>65375</v>
      </c>
      <c r="H908" s="101">
        <f>SUM(H905:H907)</f>
        <v>66265</v>
      </c>
      <c r="I908" s="64">
        <f>SUM(F908:H908)</f>
        <v>177756</v>
      </c>
      <c r="J908" s="101">
        <f>SUM(J905:J907)</f>
        <v>58020</v>
      </c>
      <c r="K908" s="101">
        <f>SUM(K905:K907)</f>
        <v>66702</v>
      </c>
      <c r="L908" s="101">
        <f>SUM(L905:L907)</f>
        <v>50200</v>
      </c>
      <c r="M908" s="64">
        <f>SUM(J908:L908)</f>
        <v>174922</v>
      </c>
      <c r="N908" s="101">
        <f>SUM(N905:N907)</f>
        <v>24739</v>
      </c>
      <c r="O908" s="101">
        <f>SUM(O905:O907)</f>
        <v>15261</v>
      </c>
      <c r="P908" s="101">
        <f>SUM(P905:P907)</f>
        <v>13514</v>
      </c>
      <c r="Q908" s="64">
        <f>SUM(N908:P908)</f>
        <v>53514</v>
      </c>
      <c r="R908" s="64">
        <f>+E908+I908+M908+Q908</f>
        <v>482449</v>
      </c>
      <c r="T908" s="4">
        <v>1600000</v>
      </c>
    </row>
    <row r="909" spans="1:20" ht="20.25" customHeight="1" x14ac:dyDescent="0.3">
      <c r="A909" s="17" t="s">
        <v>623</v>
      </c>
      <c r="B909" s="1"/>
      <c r="C909" s="1"/>
      <c r="D909" s="1"/>
      <c r="E909" s="59" t="s">
        <v>7</v>
      </c>
      <c r="F909" s="1"/>
      <c r="G909" s="1"/>
      <c r="H909" s="1"/>
      <c r="I909" s="59" t="s">
        <v>7</v>
      </c>
      <c r="J909" s="1"/>
      <c r="K909" s="1"/>
      <c r="L909" s="1"/>
      <c r="M909" s="59" t="s">
        <v>7</v>
      </c>
      <c r="N909" s="1"/>
      <c r="O909" s="1"/>
      <c r="P909" s="1"/>
      <c r="Q909" s="59" t="s">
        <v>7</v>
      </c>
      <c r="R909" s="59" t="s">
        <v>7</v>
      </c>
      <c r="T909" s="4">
        <f>+T908-28000-R893-R894-400000-R906-R907+12000</f>
        <v>93435</v>
      </c>
    </row>
    <row r="910" spans="1:20" ht="15.75" customHeight="1" x14ac:dyDescent="0.3">
      <c r="A910" s="17" t="s">
        <v>624</v>
      </c>
      <c r="B910" s="1">
        <f>SUM(B52:B52)+SUM(B116:B124)+SUM(B301:B304)+SUM(B490:B491)+SUM(B560:B560)+B602+SUM(B662:B664)+B718+B767+B814+SUM(B862:B864)</f>
        <v>0</v>
      </c>
      <c r="C910" s="1">
        <f>SUM(C52:C52)+SUM(C116:C124)+SUM(C301:C304)+SUM(C490:C491)+SUM(C560:C560)+C602+SUM(C662:C664)+C718+C767+C814+SUM(C862:C864)</f>
        <v>0</v>
      </c>
      <c r="D910" s="1">
        <f>SUM(D52:D52)+SUM(D116:D124)+SUM(D301:D304)+SUM(D490:D491)+SUM(D560:D560)+D602+SUM(D662:D664)+D718+D767+D814+SUM(D862:D864)</f>
        <v>0</v>
      </c>
      <c r="E910" s="59">
        <f t="shared" ref="E910:E918" si="306">SUM(B910:D910)</f>
        <v>0</v>
      </c>
      <c r="F910" s="1">
        <f>SUM(F52:F52)+SUM(F116:F124)+SUM(F301:F304)+SUM(F490:F491)+SUM(F560:F560)+F602+SUM(F662:F664)+F718+F767+F814+SUM(F862:F864)</f>
        <v>0</v>
      </c>
      <c r="G910" s="1">
        <f>SUM(G52:G52)+SUM(G116:G124)+SUM(G301:G304)+SUM(G490:G491)+SUM(G560:G560)+G602+SUM(G662:G664)+G718+G767+G814+SUM(G862:G864)</f>
        <v>0</v>
      </c>
      <c r="H910" s="1">
        <f>SUM(H52:H52)+SUM(H116:H124)+SUM(H301:H304)+SUM(H490:H491)+SUM(H560:H560)+H602+SUM(H662:H664)+H718+H767+H814+SUM(H862:H864)</f>
        <v>0</v>
      </c>
      <c r="I910" s="59">
        <f t="shared" ref="I910:I918" si="307">SUM(F910:H910)</f>
        <v>0</v>
      </c>
      <c r="J910" s="1">
        <f>SUM(J52:J52)+SUM(J116:J124)+SUM(J301:J304)+SUM(J490:J491)+SUM(J560:J560)+J602+SUM(J662:J664)+J718+J767+J814+SUM(J862:J864)</f>
        <v>512</v>
      </c>
      <c r="K910" s="1">
        <f>SUM(K52:K52)+SUM(K116:K124)+SUM(K301:K304)+SUM(K490:K491)+SUM(K560:K560)+K602+SUM(K662:K664)+K718+K767+K814+SUM(K862:K864)</f>
        <v>3000</v>
      </c>
      <c r="L910" s="1">
        <f>SUM(L52:L52)+SUM(L116:L124)+SUM(L301:L304)+SUM(L490:L491)+SUM(L560:L560)+L602+SUM(L662:L664)+L718+L767+L814+SUM(L862:L864)</f>
        <v>5188</v>
      </c>
      <c r="M910" s="59">
        <f t="shared" ref="M910:M918" si="308">SUM(J910:L910)</f>
        <v>8700</v>
      </c>
      <c r="N910" s="1">
        <f>SUM(N52:N52)+SUM(N116:N124)+SUM(N301:N304)+SUM(N490:N491)+SUM(N560:N560)+N602+SUM(N662:N664)+N718+N767+N814+SUM(N862:N864)</f>
        <v>2632</v>
      </c>
      <c r="O910" s="1">
        <f>SUM(O52:O52)+SUM(O116:O124)+SUM(O301:O304)+SUM(O490:O491)+SUM(O560:O560)+O602+SUM(O662:O664)+O718+O767+O814+SUM(O862:O864)</f>
        <v>0</v>
      </c>
      <c r="P910" s="1">
        <f>SUM(P52:P52)+SUM(P116:P124)+SUM(P301:P304)+SUM(P490:P491)+SUM(P560:P560)+P602+SUM(P662:P664)+P718+P767+P814+SUM(P862:P864)</f>
        <v>0</v>
      </c>
      <c r="Q910" s="59">
        <f t="shared" ref="Q910:Q918" si="309">SUM(N910:P910)</f>
        <v>2632</v>
      </c>
      <c r="R910" s="59">
        <f>+E910+I910+M910+Q910</f>
        <v>11332</v>
      </c>
    </row>
    <row r="911" spans="1:20" ht="15.75" customHeight="1" x14ac:dyDescent="0.3">
      <c r="A911" s="17" t="s">
        <v>64</v>
      </c>
      <c r="B911" s="1">
        <f>SUM(B53:B54)+SUM(B125:B126)+SUM(B305:B306)+B308+B310+B312+B313+SUM(B492:B494)+B561+B603+SUM(B665:B666)+B668+SUM(B719:B720)+B769+B771+B815+SUM(B865:B866)</f>
        <v>0</v>
      </c>
      <c r="C911" s="1">
        <f>SUM(C53:C54)+SUM(C125:C126)+SUM(C305:C306)+C308+C310+C312+C313+SUM(C492:C494)+C561+C603+SUM(C665:C666)+C668+SUM(C719:C720)+C769+C771+C815+SUM(C865:C866)</f>
        <v>0</v>
      </c>
      <c r="D911" s="1">
        <f>SUM(D53:D54)+SUM(D125:D126)+SUM(D305:D306)+D308+D310+D312+D313+SUM(D492:D494)+D561+D603+SUM(D665:D666)+D668+SUM(D719:D720)+D769+D771+D815+SUM(D865:D866)</f>
        <v>0</v>
      </c>
      <c r="E911" s="59">
        <f t="shared" si="306"/>
        <v>0</v>
      </c>
      <c r="F911" s="1">
        <f>SUM(F53:F54)+SUM(F125:F126)+SUM(F305:F306)+F308+F310+F312+F313+SUM(F492:F494)+F561+F603+SUM(F665:F666)+F668+SUM(F719:F720)+F769+F771+F815+SUM(F865:F866)</f>
        <v>0</v>
      </c>
      <c r="G911" s="1">
        <f>SUM(G53:G54)+SUM(G125:G126)+SUM(G305:G306)+G308+G310+G312+G313+SUM(G492:G494)+G561+G603+SUM(G665:G666)+G668+SUM(G719:G720)+G769+G771+G815+SUM(G865:G866)</f>
        <v>0</v>
      </c>
      <c r="H911" s="1">
        <f>SUM(H53:H54)+SUM(H125:H126)+SUM(H305:H306)+H308+H310+H312+H313+SUM(H492:H494)+H561+H603+SUM(H665:H666)+H668+SUM(H719:H720)+H769+H771+H815+SUM(H865:H866)</f>
        <v>0</v>
      </c>
      <c r="I911" s="59">
        <f t="shared" si="307"/>
        <v>0</v>
      </c>
      <c r="J911" s="1">
        <f>SUM(J53:J54)+SUM(J125:J126)+SUM(J305:J306)+J308+J310+J312+J313+SUM(J492:J494)+J561+J603+SUM(J665:J666)+J668+SUM(J719:J720)+J769+J771+J815+SUM(J865:J866)</f>
        <v>617</v>
      </c>
      <c r="K911" s="1">
        <f>SUM(K53:K54)+SUM(K125:K126)+SUM(K305:K306)+K308+K310+K312+K313+SUM(K492:K494)+K561+K603+SUM(K665:K666)+K668+SUM(K719:K720)+K769+K771+K815+SUM(K865:K866)</f>
        <v>7905</v>
      </c>
      <c r="L911" s="1">
        <f>SUM(L53:L54)+SUM(L125:L126)+SUM(L305:L306)+L308+L310+L312+L313+SUM(L492:L494)+L561+L603+SUM(L665:L666)+L668+SUM(L719:L720)+L769+L771+L815+SUM(L865:L866)</f>
        <v>8047</v>
      </c>
      <c r="M911" s="59">
        <f t="shared" si="308"/>
        <v>16569</v>
      </c>
      <c r="N911" s="1">
        <f>SUM(N53:N54)+SUM(N125:N126)+SUM(N305:N306)+N308+N310+N312+N313+SUM(N492:N494)+N561+N603+SUM(N665:N666)+N668+SUM(N719:N720)+N769+N771+N815+SUM(N865:N866)</f>
        <v>13514</v>
      </c>
      <c r="O911" s="1">
        <f>SUM(O53:O54)+SUM(O125:O126)+SUM(O305:O306)+O308+O310+O312+O313+SUM(O492:O494)+O561+O603+SUM(O665:O666)+O668+SUM(O719:O720)+O769+O771+O815+SUM(O865:O866)</f>
        <v>8248</v>
      </c>
      <c r="P911" s="1">
        <f>SUM(P53:P54)+SUM(P125:P126)+SUM(P305:P306)+P308+P310+P312+P313+SUM(P492:P494)+P561+P603+SUM(P665:P666)+P668+SUM(P719:P720)+P769+P771+P815+SUM(P865:P866)</f>
        <v>7824</v>
      </c>
      <c r="Q911" s="59">
        <f t="shared" si="309"/>
        <v>29586</v>
      </c>
      <c r="R911" s="59">
        <f t="shared" ref="R911:R918" si="310">+E911+I911+M911+Q911</f>
        <v>46155</v>
      </c>
    </row>
    <row r="912" spans="1:20" ht="18" customHeight="1" x14ac:dyDescent="0.3">
      <c r="A912" s="74" t="s">
        <v>625</v>
      </c>
      <c r="B912" s="1">
        <f>B127+B307+B309+B311+B667+B669+B770+B772+B867</f>
        <v>0</v>
      </c>
      <c r="C912" s="1">
        <f>C127+C307+C309+C311+C667+C669+C770+C772+C867</f>
        <v>0</v>
      </c>
      <c r="D912" s="1">
        <f>D127+D307+D309+D311+D667+D669+D770+D772+D867</f>
        <v>0</v>
      </c>
      <c r="E912" s="59">
        <f t="shared" si="306"/>
        <v>0</v>
      </c>
      <c r="F912" s="1">
        <f>F127+F307+F309+F311+F667+F669+F770+F772+F867</f>
        <v>0</v>
      </c>
      <c r="G912" s="1">
        <f>G127+G307+G309+G311+G667+G669+G770+G772+G867</f>
        <v>0</v>
      </c>
      <c r="H912" s="1">
        <f>H127+H307+H309+H311+H667+H669+H770+H772+H867</f>
        <v>0</v>
      </c>
      <c r="I912" s="59">
        <f t="shared" si="307"/>
        <v>0</v>
      </c>
      <c r="J912" s="1">
        <f>J127+J307+J309+J311+J667+J669+J770+J772+J867</f>
        <v>0</v>
      </c>
      <c r="K912" s="1">
        <f>K127+K307+K309+K311+K667+K669+K770+K772+K867</f>
        <v>0</v>
      </c>
      <c r="L912" s="1">
        <f>L127+L307+L309+L311+L667+L669+L770+L772+L867</f>
        <v>0</v>
      </c>
      <c r="M912" s="59">
        <f t="shared" si="308"/>
        <v>0</v>
      </c>
      <c r="N912" s="1">
        <f>N127+N307+N309+N311+N667+N669+N770+N772+N867</f>
        <v>0</v>
      </c>
      <c r="O912" s="1">
        <f>O127+O307+O309+O311+O667+O669+O770+O772+O867</f>
        <v>0</v>
      </c>
      <c r="P912" s="1">
        <f>P127+P307+P309+P311+P667+P669+P770+P772+P867</f>
        <v>0</v>
      </c>
      <c r="Q912" s="59">
        <f t="shared" si="309"/>
        <v>0</v>
      </c>
      <c r="R912" s="59">
        <f t="shared" si="310"/>
        <v>0</v>
      </c>
    </row>
    <row r="913" spans="1:18" ht="15.75" customHeight="1" x14ac:dyDescent="0.3">
      <c r="A913" s="17" t="s">
        <v>626</v>
      </c>
      <c r="B913" s="1">
        <f>+B55+SUM(B128:B129)+SUM(B314:B315)+SUM(B495:B501)+SUM(B562:B562)+SUM(B604:B605)+SUM(B670:B672)+B721+B773+B868+B868+B816</f>
        <v>0</v>
      </c>
      <c r="C913" s="1">
        <f>+C55+SUM(C128:C129)+SUM(C314:C315)+SUM(C495:C501)+SUM(C562:C562)+SUM(C604:C605)+SUM(C670:C672)+C721+C773+C868+C868+C816</f>
        <v>0</v>
      </c>
      <c r="D913" s="1">
        <f>+D55+SUM(D128:D129)+SUM(D314:D315)+SUM(D495:D501)+SUM(D562:D562)+SUM(D604:D605)+SUM(D670:D672)+D721+D773+D868+D868+D816</f>
        <v>0</v>
      </c>
      <c r="E913" s="59">
        <f t="shared" si="306"/>
        <v>0</v>
      </c>
      <c r="F913" s="1">
        <f>+F55+SUM(F128:F129)+SUM(F314:F315)+SUM(F495:F501)+SUM(F562:F562)+SUM(F604:F605)+SUM(F670:F672)+F721+F773+F868+F868+F816</f>
        <v>0</v>
      </c>
      <c r="G913" s="1">
        <f>+G55+SUM(G128:G129)+SUM(G314:G315)+SUM(G495:G501)+SUM(G562:G562)+SUM(G604:G605)+SUM(G670:G672)+G721+G773+G868+G868+G816</f>
        <v>0</v>
      </c>
      <c r="H913" s="1">
        <f>+H55+SUM(H128:H129)+SUM(H314:H315)+SUM(H495:H501)+SUM(H562:H562)+SUM(H604:H605)+SUM(H670:H672)+H721+H773+H868+H868+H816</f>
        <v>0</v>
      </c>
      <c r="I913" s="59">
        <f t="shared" si="307"/>
        <v>0</v>
      </c>
      <c r="J913" s="1">
        <f>+J55+SUM(J128:J129)+SUM(J314:J315)+SUM(J495:J501)+SUM(J562:J562)+SUM(J604:J605)+SUM(J670:J672)+J721+J773+J868+J868+J816</f>
        <v>0</v>
      </c>
      <c r="K913" s="1">
        <f>+K55+SUM(K128:K129)+SUM(K314:K315)+SUM(K495:K501)+SUM(K562:K562)+SUM(K604:K605)+SUM(K670:K672)+K721+K773+K868+K868+K816</f>
        <v>0</v>
      </c>
      <c r="L913" s="1">
        <f>+L55+SUM(L128:L129)+SUM(L314:L315)+SUM(L495:L501)+SUM(L562:L562)+SUM(L604:L605)+SUM(L670:L672)+L721+L773+L868+L868+L816</f>
        <v>3495</v>
      </c>
      <c r="M913" s="59">
        <f t="shared" si="308"/>
        <v>3495</v>
      </c>
      <c r="N913" s="1">
        <f>+N55+SUM(N128:N129)+SUM(N314:N315)+SUM(N495:N501)+SUM(N562:N562)+SUM(N604:N605)+SUM(N670:N672)+N721+N773+N868+N868+N816</f>
        <v>2381</v>
      </c>
      <c r="O913" s="1">
        <f>+O55+SUM(O128:O129)+SUM(O314:O315)+SUM(O495:O501)+SUM(O562:O562)+SUM(O604:O605)+SUM(O670:O672)+O721+O773+O868+O868+O816</f>
        <v>0</v>
      </c>
      <c r="P913" s="1">
        <f>+P55+SUM(P128:P129)+SUM(P314:P315)+SUM(P495:P501)+SUM(P562:P562)+SUM(P604:P605)+SUM(P670:P672)+P721+P773+P868+P868+P816</f>
        <v>819</v>
      </c>
      <c r="Q913" s="59">
        <f t="shared" si="309"/>
        <v>3200</v>
      </c>
      <c r="R913" s="59">
        <f>+E913+I913+M913+Q913</f>
        <v>6695</v>
      </c>
    </row>
    <row r="914" spans="1:18" ht="22.5" customHeight="1" x14ac:dyDescent="0.3">
      <c r="A914" s="17" t="s">
        <v>67</v>
      </c>
      <c r="B914" s="1">
        <f>SUM(B132:B132)+SUM(B316:B317)+B503+B506+B507+B509+B512+SUM(B563:B564)+B607+B610+B673+B674+B676+B722+B774+B817+B869</f>
        <v>0</v>
      </c>
      <c r="C914" s="1">
        <f>SUM(C132:C132)+SUM(C316:C317)+C503+C506+C507+C509+C512+SUM(C563:C564)+C607+C610+C673+C674+C676+C722+C774+C817+C869</f>
        <v>0</v>
      </c>
      <c r="D914" s="1">
        <f>SUM(D132:D132)+SUM(D316:D317)+D503+D506+D507+D509+D512+SUM(D563:D564)+D607+D610+D673+D674+D676+D722+D774+D817+D869</f>
        <v>0</v>
      </c>
      <c r="E914" s="59">
        <f t="shared" si="306"/>
        <v>0</v>
      </c>
      <c r="F914" s="1">
        <f>SUM(F132:F132)+SUM(F316:F317)+F503+F506+F507+F509+F512+SUM(F563:F564)+F607+F610+F673+F674+F676+F722+F774+F817+F869</f>
        <v>0</v>
      </c>
      <c r="G914" s="1">
        <f>SUM(G132:G132)+SUM(G316:G317)+G503+G506+G507+G509+G512+SUM(G563:G564)+G607+G610+G673+G674+G676+G722+G774+G817+G869</f>
        <v>0</v>
      </c>
      <c r="H914" s="1">
        <f>SUM(H132:H132)+SUM(H316:H317)+H503+H506+H507+H509+H512+SUM(H563:H564)+H607+H610+H673+H674+H676+H722+H774+H817+H869</f>
        <v>0</v>
      </c>
      <c r="I914" s="59">
        <f t="shared" si="307"/>
        <v>0</v>
      </c>
      <c r="J914" s="1">
        <f>SUM(J132:J132)+SUM(J316:J317)+J503+J506+J507+J509+J512+SUM(J563:J564)+J607+J610+J673+J674+J676+J722+J774+J817+J869</f>
        <v>1451</v>
      </c>
      <c r="K914" s="1">
        <f>SUM(K132:K132)+SUM(K316:K317)+K503+K506+K507+K509+K512+SUM(K563:K564)+K607+K610+K673+K674+K676+K722+K774+K817+K869</f>
        <v>3332</v>
      </c>
      <c r="L914" s="1">
        <f>SUM(L132:L132)+SUM(L316:L317)+L503+L506+L507+L509+L512+SUM(L563:L564)+L607+L610+L673+L674+L676+L722+L774+L817+L869</f>
        <v>4500</v>
      </c>
      <c r="M914" s="59">
        <f t="shared" si="308"/>
        <v>9283</v>
      </c>
      <c r="N914" s="1">
        <f>SUM(N132:N132)+SUM(N316:N317)+N503+N506+N507+N509+N512+SUM(N563:N564)+N607+N610+N673+N674+N676+N722+N774+N817+N869</f>
        <v>1500</v>
      </c>
      <c r="O914" s="1">
        <f>SUM(O132:O132)+SUM(O316:O317)+O503+O506+O507+O509+O512+SUM(O563:O564)+O607+O610+O673+O674+O676+O722+O774+O817+O869</f>
        <v>74</v>
      </c>
      <c r="P914" s="1">
        <f>SUM(P132:P132)+SUM(P316:P317)+P503+P506+P507+P509+P512+SUM(P563:P564)+P607+P610+P673+P674+P676+P722+P774+P817+P869</f>
        <v>2531</v>
      </c>
      <c r="Q914" s="59">
        <f t="shared" si="309"/>
        <v>4105</v>
      </c>
      <c r="R914" s="59">
        <f>+E914+I914+M914+Q914</f>
        <v>13388</v>
      </c>
    </row>
    <row r="915" spans="1:18" ht="18" customHeight="1" thickBot="1" x14ac:dyDescent="0.35">
      <c r="A915" s="74" t="s">
        <v>627</v>
      </c>
      <c r="B915" s="1">
        <f>+B504+B508+B510+B565+B131+B505+B511+B608+B609+B675</f>
        <v>0</v>
      </c>
      <c r="C915" s="1">
        <f>+C504+C508+C510+C565+C131+C505+C511+C608+C609+C675</f>
        <v>0</v>
      </c>
      <c r="D915" s="1">
        <f>+D504+D508+D510+D565+D131+D505+D511+D608+D609+D675</f>
        <v>0</v>
      </c>
      <c r="E915" s="59">
        <f>SUM(B915:D915)</f>
        <v>0</v>
      </c>
      <c r="F915" s="1">
        <f>+F504+F508+F510+F565+F131+F505+F511+F608+F609+F675</f>
        <v>0</v>
      </c>
      <c r="G915" s="1">
        <f>+G504+G508+G510+G565+G131+G505+G511+G608+G609+G675</f>
        <v>0</v>
      </c>
      <c r="H915" s="1">
        <f>+H504+H508+H510+H565+H131+H505+H511+H608+H609+H675</f>
        <v>0</v>
      </c>
      <c r="I915" s="59">
        <f>SUM(F915:H915)</f>
        <v>0</v>
      </c>
      <c r="J915" s="1">
        <f>+J504+J508+J510+J565+J131+J505+J511+J608+J609+J675</f>
        <v>0</v>
      </c>
      <c r="K915" s="1">
        <f>+K504+K508+K510+K565+K131+K505+K511+K608+K609+K675</f>
        <v>0</v>
      </c>
      <c r="L915" s="1">
        <f>+L504+L508+L510+L565+L131+L505+L511+L608+L609+L675</f>
        <v>0</v>
      </c>
      <c r="M915" s="59">
        <f>SUM(J915:L915)</f>
        <v>0</v>
      </c>
      <c r="N915" s="1">
        <f>+N504+N508+N510+N565+N131+N505+N511+N608+N609+N675</f>
        <v>0</v>
      </c>
      <c r="O915" s="1">
        <f>+O504+O508+O510+O565+O131+O505+O511+O608+O609+O675</f>
        <v>0</v>
      </c>
      <c r="P915" s="1">
        <f>+P504+P508+P510+P565+P131+P505+P511+P608+P609+P675</f>
        <v>0</v>
      </c>
      <c r="Q915" s="59">
        <f>SUM(N915:P915)</f>
        <v>0</v>
      </c>
      <c r="R915" s="59">
        <f>+E915+I915+M915+Q915</f>
        <v>0</v>
      </c>
    </row>
    <row r="916" spans="1:18" ht="16.5" customHeight="1" thickBot="1" x14ac:dyDescent="0.35">
      <c r="A916" s="62" t="s">
        <v>68</v>
      </c>
      <c r="B916" s="344">
        <f>SUM(B913:B915)</f>
        <v>0</v>
      </c>
      <c r="C916" s="344">
        <f>SUM(C913:C915)</f>
        <v>0</v>
      </c>
      <c r="D916" s="344">
        <f>SUM(D913:D915)</f>
        <v>0</v>
      </c>
      <c r="E916" s="334">
        <f t="shared" si="306"/>
        <v>0</v>
      </c>
      <c r="F916" s="344">
        <f>SUM(F913:F915)</f>
        <v>0</v>
      </c>
      <c r="G916" s="344">
        <f>SUM(G913:G915)</f>
        <v>0</v>
      </c>
      <c r="H916" s="344">
        <f>SUM(H913:H915)</f>
        <v>0</v>
      </c>
      <c r="I916" s="334">
        <f t="shared" si="307"/>
        <v>0</v>
      </c>
      <c r="J916" s="344">
        <f>SUM(J913:J915)</f>
        <v>1451</v>
      </c>
      <c r="K916" s="344">
        <f>SUM(K913:K915)</f>
        <v>3332</v>
      </c>
      <c r="L916" s="344">
        <f>SUM(L913:L915)</f>
        <v>7995</v>
      </c>
      <c r="M916" s="334">
        <f t="shared" si="308"/>
        <v>12778</v>
      </c>
      <c r="N916" s="344">
        <f>SUM(N913:N915)</f>
        <v>3881</v>
      </c>
      <c r="O916" s="344">
        <f>SUM(O913:O915)</f>
        <v>74</v>
      </c>
      <c r="P916" s="344">
        <f>SUM(P913:P915)</f>
        <v>3350</v>
      </c>
      <c r="Q916" s="334">
        <f t="shared" si="309"/>
        <v>7305</v>
      </c>
      <c r="R916" s="64">
        <f t="shared" si="310"/>
        <v>20083</v>
      </c>
    </row>
    <row r="917" spans="1:18" ht="16.5" customHeight="1" thickBot="1" x14ac:dyDescent="0.35">
      <c r="A917" s="137" t="s">
        <v>69</v>
      </c>
      <c r="B917" s="100">
        <f>SUM(B909:B915)</f>
        <v>0</v>
      </c>
      <c r="C917" s="101">
        <f>SUM(C909:C915)</f>
        <v>0</v>
      </c>
      <c r="D917" s="138">
        <f>SUM(D909:D915)</f>
        <v>0</v>
      </c>
      <c r="E917" s="347">
        <f t="shared" si="306"/>
        <v>0</v>
      </c>
      <c r="F917" s="100">
        <f>SUM(F909:F915)</f>
        <v>0</v>
      </c>
      <c r="G917" s="101">
        <f>SUM(G909:G915)</f>
        <v>0</v>
      </c>
      <c r="H917" s="138">
        <f>SUM(H909:H915)</f>
        <v>0</v>
      </c>
      <c r="I917" s="334">
        <f t="shared" si="307"/>
        <v>0</v>
      </c>
      <c r="J917" s="100">
        <f>SUM(J909:J915)</f>
        <v>2580</v>
      </c>
      <c r="K917" s="101">
        <f>SUM(K909:K915)</f>
        <v>14237</v>
      </c>
      <c r="L917" s="138">
        <f>SUM(L909:L915)</f>
        <v>21230</v>
      </c>
      <c r="M917" s="334">
        <f t="shared" si="308"/>
        <v>38047</v>
      </c>
      <c r="N917" s="100">
        <f>SUM(N909:N915)</f>
        <v>20027</v>
      </c>
      <c r="O917" s="101">
        <f>SUM(O909:O915)</f>
        <v>8322</v>
      </c>
      <c r="P917" s="138">
        <f>SUM(P909:P915)</f>
        <v>11174</v>
      </c>
      <c r="Q917" s="334">
        <f t="shared" si="309"/>
        <v>39523</v>
      </c>
      <c r="R917" s="64">
        <f t="shared" si="310"/>
        <v>77570</v>
      </c>
    </row>
    <row r="918" spans="1:18" ht="16.5" customHeight="1" thickBot="1" x14ac:dyDescent="0.35">
      <c r="A918" s="62" t="s">
        <v>70</v>
      </c>
      <c r="B918" s="149">
        <f>+B899+B904+B908+B917</f>
        <v>52807</v>
      </c>
      <c r="C918" s="150">
        <f>+C899+C904+C908+C917</f>
        <v>69398</v>
      </c>
      <c r="D918" s="150">
        <f>+D899+D904+D908+D917</f>
        <v>88013</v>
      </c>
      <c r="E918" s="64">
        <f t="shared" si="306"/>
        <v>210218</v>
      </c>
      <c r="F918" s="63">
        <f>+F899+F904+F908+F917</f>
        <v>141711</v>
      </c>
      <c r="G918" s="63">
        <f>+G899+G904+G908+G917</f>
        <v>174457</v>
      </c>
      <c r="H918" s="63">
        <f>+H899+H904+H908+H917</f>
        <v>192700</v>
      </c>
      <c r="I918" s="64">
        <f t="shared" si="307"/>
        <v>508868</v>
      </c>
      <c r="J918" s="63">
        <f>+J899+J904+J908+J917</f>
        <v>185936</v>
      </c>
      <c r="K918" s="63">
        <f>+K899+K904+K908+K917</f>
        <v>180706</v>
      </c>
      <c r="L918" s="63">
        <f>+L899+L904+L908+L917</f>
        <v>129353</v>
      </c>
      <c r="M918" s="64">
        <f t="shared" si="308"/>
        <v>495995</v>
      </c>
      <c r="N918" s="63">
        <f>+N899+N904+N908+N917</f>
        <v>92903</v>
      </c>
      <c r="O918" s="63">
        <f>+O899+O904+O908+O917</f>
        <v>56798</v>
      </c>
      <c r="P918" s="63">
        <f>+P899+P904+P908+P917</f>
        <v>60059</v>
      </c>
      <c r="Q918" s="64">
        <f t="shared" si="309"/>
        <v>209760</v>
      </c>
      <c r="R918" s="88">
        <f t="shared" si="310"/>
        <v>1424841</v>
      </c>
    </row>
    <row r="919" spans="1:18" ht="15.75" customHeight="1" x14ac:dyDescent="0.3">
      <c r="A919" s="1" t="s">
        <v>628</v>
      </c>
      <c r="B919" s="1"/>
      <c r="C919" s="1"/>
      <c r="D919" s="1"/>
      <c r="E919" s="1"/>
      <c r="F919" s="1"/>
      <c r="G919" s="1"/>
      <c r="H919" s="1"/>
      <c r="I919" s="1"/>
      <c r="J919" s="1"/>
      <c r="K919" s="1"/>
      <c r="L919" s="1"/>
      <c r="M919" s="1"/>
      <c r="N919" s="1"/>
      <c r="O919" s="166"/>
      <c r="P919" s="1"/>
      <c r="Q919" s="1"/>
      <c r="R919" s="28"/>
    </row>
    <row r="920" spans="1:18" ht="15.75" customHeight="1" x14ac:dyDescent="0.3">
      <c r="A920" s="1" t="s">
        <v>629</v>
      </c>
      <c r="B920" s="1"/>
      <c r="C920" s="1"/>
      <c r="D920" s="1"/>
      <c r="E920" s="1"/>
      <c r="F920" s="1"/>
      <c r="G920" s="1"/>
      <c r="H920" s="1"/>
      <c r="I920" s="1"/>
      <c r="J920" s="1"/>
      <c r="K920" s="1"/>
      <c r="L920" s="1"/>
      <c r="M920" s="1"/>
      <c r="N920" s="1"/>
      <c r="O920" s="166"/>
      <c r="P920" s="1"/>
      <c r="Q920" s="1"/>
      <c r="R920" s="28"/>
    </row>
    <row r="921" spans="1:18" ht="15.75" customHeight="1" x14ac:dyDescent="0.3">
      <c r="A921" s="1"/>
      <c r="B921" s="1"/>
      <c r="C921" s="1"/>
      <c r="D921" s="1"/>
      <c r="E921" s="1"/>
      <c r="F921" s="1"/>
      <c r="G921" s="1"/>
      <c r="H921" s="1"/>
      <c r="I921" s="1"/>
      <c r="J921" s="1"/>
      <c r="K921" s="1"/>
      <c r="L921" s="1"/>
      <c r="M921" s="1"/>
      <c r="N921" s="1"/>
      <c r="O921" s="166"/>
      <c r="P921" s="1"/>
      <c r="Q921" s="2" t="str">
        <f>+Q1</f>
        <v xml:space="preserve">PRINTED:  </v>
      </c>
      <c r="R921" s="163">
        <f ca="1">+R1</f>
        <v>44894.658168402777</v>
      </c>
    </row>
    <row r="922" spans="1:18" ht="15.75" customHeight="1" x14ac:dyDescent="0.3">
      <c r="A922" s="383" t="s">
        <v>1</v>
      </c>
      <c r="B922" s="383"/>
      <c r="C922" s="383"/>
      <c r="D922" s="383"/>
      <c r="E922" s="383"/>
      <c r="F922" s="383"/>
      <c r="G922" s="383"/>
      <c r="H922" s="383"/>
      <c r="I922" s="383"/>
      <c r="J922" s="383"/>
      <c r="K922" s="383"/>
      <c r="L922" s="383"/>
      <c r="M922" s="383"/>
      <c r="N922" s="383"/>
      <c r="O922" s="383"/>
      <c r="P922" s="383"/>
      <c r="Q922" s="383"/>
      <c r="R922" s="383"/>
    </row>
    <row r="923" spans="1:18" ht="15.75" customHeight="1" x14ac:dyDescent="0.3">
      <c r="A923" s="383" t="s">
        <v>2</v>
      </c>
      <c r="B923" s="383"/>
      <c r="C923" s="383"/>
      <c r="D923" s="383"/>
      <c r="E923" s="383"/>
      <c r="F923" s="383"/>
      <c r="G923" s="383"/>
      <c r="H923" s="383"/>
      <c r="I923" s="383"/>
      <c r="J923" s="383"/>
      <c r="K923" s="383"/>
      <c r="L923" s="383"/>
      <c r="M923" s="383"/>
      <c r="N923" s="383"/>
      <c r="O923" s="383"/>
      <c r="P923" s="383"/>
      <c r="Q923" s="383"/>
      <c r="R923" s="383"/>
    </row>
    <row r="924" spans="1:18" ht="15.75" customHeight="1" x14ac:dyDescent="0.3">
      <c r="A924" s="383" t="s">
        <v>3</v>
      </c>
      <c r="B924" s="383"/>
      <c r="C924" s="383"/>
      <c r="D924" s="383"/>
      <c r="E924" s="383"/>
      <c r="F924" s="383"/>
      <c r="G924" s="383"/>
      <c r="H924" s="383"/>
      <c r="I924" s="383"/>
      <c r="J924" s="383"/>
      <c r="K924" s="383"/>
      <c r="L924" s="383"/>
      <c r="M924" s="383"/>
      <c r="N924" s="383"/>
      <c r="O924" s="383"/>
      <c r="P924" s="383"/>
      <c r="Q924" s="383"/>
      <c r="R924" s="383"/>
    </row>
    <row r="925" spans="1:18" ht="15.75" customHeight="1" x14ac:dyDescent="0.3">
      <c r="A925" s="392">
        <f>+A5</f>
        <v>2020</v>
      </c>
      <c r="B925" s="392"/>
      <c r="C925" s="392"/>
      <c r="D925" s="392"/>
      <c r="E925" s="392"/>
      <c r="F925" s="392"/>
      <c r="G925" s="392"/>
      <c r="H925" s="392"/>
      <c r="I925" s="392"/>
      <c r="J925" s="392"/>
      <c r="K925" s="392"/>
      <c r="L925" s="392"/>
      <c r="M925" s="392"/>
      <c r="N925" s="392"/>
      <c r="O925" s="392"/>
      <c r="P925" s="392"/>
      <c r="Q925" s="392"/>
      <c r="R925" s="392"/>
    </row>
    <row r="926" spans="1:18" ht="15.75" customHeight="1" x14ac:dyDescent="0.3">
      <c r="A926" s="1"/>
      <c r="B926" s="1"/>
      <c r="C926" s="1"/>
      <c r="D926" s="7"/>
      <c r="E926" s="7"/>
      <c r="F926" s="7"/>
      <c r="G926" s="8"/>
      <c r="H926" s="7"/>
      <c r="I926" s="7"/>
      <c r="J926" s="8"/>
      <c r="K926" s="8"/>
      <c r="L926" s="8"/>
      <c r="M926" s="8"/>
      <c r="N926" s="1"/>
      <c r="O926" s="8"/>
      <c r="P926" s="8"/>
      <c r="Q926" s="8"/>
      <c r="R926" s="8"/>
    </row>
    <row r="927" spans="1:18" ht="15.75" customHeight="1" x14ac:dyDescent="0.3">
      <c r="A927" s="383" t="str">
        <f>+A8</f>
        <v>Revised:  12/23/2020</v>
      </c>
      <c r="B927" s="383"/>
      <c r="C927" s="383"/>
      <c r="D927" s="383"/>
      <c r="E927" s="383"/>
      <c r="F927" s="383"/>
      <c r="G927" s="383"/>
      <c r="H927" s="383"/>
      <c r="I927" s="383"/>
      <c r="J927" s="383"/>
      <c r="K927" s="383"/>
      <c r="L927" s="383"/>
      <c r="M927" s="383"/>
      <c r="N927" s="383"/>
      <c r="O927" s="383"/>
      <c r="P927" s="383"/>
      <c r="Q927" s="383"/>
      <c r="R927" s="383"/>
    </row>
    <row r="928" spans="1:18" ht="15.75" customHeight="1" x14ac:dyDescent="0.3">
      <c r="A928" s="6"/>
      <c r="B928" s="6"/>
      <c r="C928" s="6"/>
      <c r="D928" s="6"/>
      <c r="E928" s="6"/>
      <c r="F928" s="6"/>
      <c r="G928" s="6"/>
      <c r="H928" s="6"/>
      <c r="I928" s="6"/>
      <c r="J928" s="6"/>
      <c r="K928" s="6"/>
      <c r="L928" s="6"/>
      <c r="M928" s="6"/>
      <c r="N928" s="6"/>
      <c r="O928" s="6"/>
      <c r="P928" s="6"/>
      <c r="Q928" s="6"/>
      <c r="R928" s="6"/>
    </row>
    <row r="929" spans="1:46" ht="15.75" customHeight="1" x14ac:dyDescent="0.3">
      <c r="A929" s="30"/>
      <c r="B929" s="1"/>
      <c r="C929" s="1"/>
      <c r="D929" s="1"/>
      <c r="E929" s="1"/>
      <c r="F929" s="1"/>
      <c r="G929" s="1"/>
      <c r="H929" s="1"/>
      <c r="I929" s="1"/>
      <c r="J929" s="1"/>
      <c r="K929" s="1"/>
      <c r="L929" s="1"/>
      <c r="M929" s="1"/>
      <c r="N929" s="1"/>
      <c r="O929" s="1"/>
      <c r="P929" s="1"/>
      <c r="Q929" s="1"/>
      <c r="R929" s="28"/>
    </row>
    <row r="930" spans="1:46" ht="15.75" customHeight="1" thickBot="1" x14ac:dyDescent="0.35">
      <c r="A930" s="1"/>
      <c r="B930" s="1"/>
      <c r="C930" s="1"/>
      <c r="D930" s="1"/>
      <c r="E930" s="1"/>
      <c r="F930" s="1"/>
      <c r="G930" s="1"/>
      <c r="H930" s="1"/>
      <c r="I930" s="1"/>
      <c r="J930" s="1"/>
      <c r="K930" s="1"/>
      <c r="L930" s="1"/>
      <c r="M930" s="1"/>
      <c r="N930" s="1"/>
      <c r="O930" s="166"/>
      <c r="P930" s="1"/>
      <c r="Q930" s="1"/>
      <c r="R930" s="28"/>
    </row>
    <row r="931" spans="1:46" ht="15.75" customHeight="1" thickBot="1" x14ac:dyDescent="0.35">
      <c r="A931" s="342" t="s">
        <v>630</v>
      </c>
      <c r="B931" s="330" t="s">
        <v>36</v>
      </c>
      <c r="C931" s="331" t="s">
        <v>9</v>
      </c>
      <c r="D931" s="331" t="s">
        <v>10</v>
      </c>
      <c r="E931" s="325" t="s">
        <v>11</v>
      </c>
      <c r="F931" s="331" t="s">
        <v>12</v>
      </c>
      <c r="G931" s="331" t="s">
        <v>13</v>
      </c>
      <c r="H931" s="331" t="s">
        <v>14</v>
      </c>
      <c r="I931" s="325" t="s">
        <v>15</v>
      </c>
      <c r="J931" s="331" t="s">
        <v>16</v>
      </c>
      <c r="K931" s="331" t="s">
        <v>17</v>
      </c>
      <c r="L931" s="331" t="s">
        <v>18</v>
      </c>
      <c r="M931" s="325" t="s">
        <v>19</v>
      </c>
      <c r="N931" s="331" t="s">
        <v>20</v>
      </c>
      <c r="O931" s="331" t="s">
        <v>21</v>
      </c>
      <c r="P931" s="331" t="s">
        <v>22</v>
      </c>
      <c r="Q931" s="325" t="s">
        <v>23</v>
      </c>
      <c r="R931" s="348" t="s">
        <v>24</v>
      </c>
    </row>
    <row r="932" spans="1:46" ht="16.5" customHeight="1" thickBot="1" x14ac:dyDescent="0.35">
      <c r="A932" s="168"/>
      <c r="B932" s="169"/>
      <c r="C932" s="169"/>
      <c r="D932" s="169"/>
      <c r="E932" s="16"/>
      <c r="F932" s="169"/>
      <c r="G932" s="169"/>
      <c r="H932" s="169"/>
      <c r="I932" s="38"/>
      <c r="J932" s="169"/>
      <c r="K932" s="169"/>
      <c r="L932" s="169"/>
      <c r="M932" s="38"/>
      <c r="N932" s="169"/>
      <c r="O932" s="169"/>
      <c r="P932" s="169"/>
      <c r="Q932" s="151"/>
      <c r="R932" s="349"/>
    </row>
    <row r="933" spans="1:46" ht="16.5" customHeight="1" thickBot="1" x14ac:dyDescent="0.35">
      <c r="A933" s="171" t="s">
        <v>26</v>
      </c>
      <c r="B933" s="172">
        <f>+B899</f>
        <v>32498</v>
      </c>
      <c r="C933" s="172">
        <f>+C899</f>
        <v>38991</v>
      </c>
      <c r="D933" s="172">
        <f>+D899</f>
        <v>42912</v>
      </c>
      <c r="E933" s="100">
        <f>+SUM(B933:D933)</f>
        <v>114401</v>
      </c>
      <c r="F933" s="172">
        <f>+F899</f>
        <v>56438</v>
      </c>
      <c r="G933" s="172">
        <f>+G899</f>
        <v>63328</v>
      </c>
      <c r="H933" s="172">
        <f>+H899</f>
        <v>72277</v>
      </c>
      <c r="I933" s="100">
        <f>+SUM(F933:H933)</f>
        <v>192043</v>
      </c>
      <c r="J933" s="172">
        <f>+J899</f>
        <v>80794</v>
      </c>
      <c r="K933" s="172">
        <f>+K899</f>
        <v>73596</v>
      </c>
      <c r="L933" s="172">
        <f>+L899</f>
        <v>52166</v>
      </c>
      <c r="M933" s="100">
        <f>+SUM(J933:L933)</f>
        <v>206556</v>
      </c>
      <c r="N933" s="172">
        <f>+N899</f>
        <v>42501</v>
      </c>
      <c r="O933" s="172">
        <f>+O899</f>
        <v>28359</v>
      </c>
      <c r="P933" s="172">
        <f>+P899</f>
        <v>25547</v>
      </c>
      <c r="Q933" s="100">
        <f>+SUM(N933:P933)</f>
        <v>96407</v>
      </c>
      <c r="R933" s="64">
        <f>+E933+I933+M933+Q933</f>
        <v>609407</v>
      </c>
    </row>
    <row r="934" spans="1:46" ht="16.5" customHeight="1" thickBot="1" x14ac:dyDescent="0.35">
      <c r="A934" s="34"/>
      <c r="B934" s="100"/>
      <c r="C934" s="100"/>
      <c r="D934" s="100"/>
      <c r="E934" s="100"/>
      <c r="F934" s="100"/>
      <c r="G934" s="100"/>
      <c r="H934" s="100"/>
      <c r="I934" s="100"/>
      <c r="J934" s="100"/>
      <c r="K934" s="100"/>
      <c r="L934" s="100"/>
      <c r="M934" s="100"/>
      <c r="N934" s="100"/>
      <c r="O934" s="100"/>
      <c r="P934" s="100"/>
      <c r="Q934" s="100"/>
      <c r="R934" s="64"/>
    </row>
    <row r="935" spans="1:46" ht="16.5" customHeight="1" thickBot="1" x14ac:dyDescent="0.35">
      <c r="A935" s="171" t="s">
        <v>631</v>
      </c>
      <c r="B935" s="172">
        <f>+B904</f>
        <v>2068</v>
      </c>
      <c r="C935" s="172">
        <f>+C904</f>
        <v>5849</v>
      </c>
      <c r="D935" s="172">
        <f>+D904</f>
        <v>11643</v>
      </c>
      <c r="E935" s="100">
        <f>+SUM(B935:D935)</f>
        <v>19560</v>
      </c>
      <c r="F935" s="172">
        <f>+F904</f>
        <v>39157</v>
      </c>
      <c r="G935" s="172">
        <f>+G904</f>
        <v>45754</v>
      </c>
      <c r="H935" s="172">
        <f>+H904</f>
        <v>54158</v>
      </c>
      <c r="I935" s="100">
        <f>+SUM(F935:H935)</f>
        <v>139069</v>
      </c>
      <c r="J935" s="172">
        <f>+J904</f>
        <v>44542</v>
      </c>
      <c r="K935" s="172">
        <f>+K904</f>
        <v>26171</v>
      </c>
      <c r="L935" s="172">
        <f>+L904</f>
        <v>5757</v>
      </c>
      <c r="M935" s="100">
        <f>+SUM(J935:L935)</f>
        <v>76470</v>
      </c>
      <c r="N935" s="172">
        <f>+N904</f>
        <v>5636</v>
      </c>
      <c r="O935" s="172">
        <f>+O904</f>
        <v>4856</v>
      </c>
      <c r="P935" s="172">
        <f>+P904</f>
        <v>9824</v>
      </c>
      <c r="Q935" s="100">
        <f>+SUM(N935:P935)</f>
        <v>20316</v>
      </c>
      <c r="R935" s="64">
        <f>+E935+I935+M935+Q935</f>
        <v>255415</v>
      </c>
    </row>
    <row r="936" spans="1:46" ht="16.5" customHeight="1" thickBot="1" x14ac:dyDescent="0.35">
      <c r="A936" s="34"/>
      <c r="B936" s="100"/>
      <c r="C936" s="100"/>
      <c r="D936" s="100"/>
      <c r="E936" s="100"/>
      <c r="F936" s="100"/>
      <c r="G936" s="100"/>
      <c r="H936" s="100"/>
      <c r="I936" s="100"/>
      <c r="J936" s="100"/>
      <c r="K936" s="100"/>
      <c r="L936" s="100"/>
      <c r="M936" s="100"/>
      <c r="N936" s="100"/>
      <c r="O936" s="100"/>
      <c r="P936" s="100"/>
      <c r="Q936" s="100"/>
      <c r="R936" s="64"/>
      <c r="AC936" s="350"/>
      <c r="AD936" s="351"/>
      <c r="AE936" s="352" t="s">
        <v>632</v>
      </c>
      <c r="AF936" s="351"/>
      <c r="AG936" s="351"/>
      <c r="AH936" s="351"/>
      <c r="AI936" s="351"/>
      <c r="AJ936" s="351"/>
      <c r="AK936" s="351" t="s">
        <v>633</v>
      </c>
      <c r="AL936" s="351"/>
      <c r="AM936" s="351" t="s">
        <v>7</v>
      </c>
      <c r="AN936" s="353" t="str">
        <f>+A8</f>
        <v>Revised:  12/23/2020</v>
      </c>
      <c r="AO936" s="351"/>
      <c r="AP936" s="351"/>
      <c r="AQ936" s="351"/>
      <c r="AR936" s="351"/>
      <c r="AS936" s="354" t="str">
        <f>+Q1</f>
        <v xml:space="preserve">PRINTED:  </v>
      </c>
      <c r="AT936" s="355">
        <f ca="1">+R1</f>
        <v>44894.658168402777</v>
      </c>
    </row>
    <row r="937" spans="1:46" ht="16.5" customHeight="1" thickBot="1" x14ac:dyDescent="0.35">
      <c r="A937" s="171" t="s">
        <v>28</v>
      </c>
      <c r="B937" s="172">
        <f>+B908</f>
        <v>18241</v>
      </c>
      <c r="C937" s="172">
        <f>+C908</f>
        <v>24558</v>
      </c>
      <c r="D937" s="172">
        <f>+D908</f>
        <v>33458</v>
      </c>
      <c r="E937" s="100">
        <f>+SUM(B937:D937)</f>
        <v>76257</v>
      </c>
      <c r="F937" s="172">
        <f>+F908</f>
        <v>46116</v>
      </c>
      <c r="G937" s="172">
        <f>+G908</f>
        <v>65375</v>
      </c>
      <c r="H937" s="172">
        <f>+H908</f>
        <v>66265</v>
      </c>
      <c r="I937" s="100">
        <f>+SUM(F937:H937)</f>
        <v>177756</v>
      </c>
      <c r="J937" s="172">
        <f>+J908</f>
        <v>58020</v>
      </c>
      <c r="K937" s="172">
        <f>+K908</f>
        <v>66702</v>
      </c>
      <c r="L937" s="172">
        <f>+L908</f>
        <v>50200</v>
      </c>
      <c r="M937" s="100">
        <f>+SUM(J937:L937)</f>
        <v>174922</v>
      </c>
      <c r="N937" s="172">
        <f>+N908</f>
        <v>24739</v>
      </c>
      <c r="O937" s="172">
        <f>+O908</f>
        <v>15261</v>
      </c>
      <c r="P937" s="172">
        <f>+P908</f>
        <v>13514</v>
      </c>
      <c r="Q937" s="100">
        <f>+SUM(N937:P937)</f>
        <v>53514</v>
      </c>
      <c r="R937" s="64">
        <f>+E937+I937+M937+Q937</f>
        <v>482449</v>
      </c>
      <c r="AC937" s="179"/>
      <c r="AD937" s="180"/>
      <c r="AE937" s="180"/>
      <c r="AF937" s="180">
        <f>++A5</f>
        <v>2020</v>
      </c>
      <c r="AG937" s="180"/>
      <c r="AH937" s="180"/>
      <c r="AI937" s="180"/>
      <c r="AJ937" s="180"/>
      <c r="AK937" s="180"/>
      <c r="AL937" s="180"/>
      <c r="AM937" s="180"/>
      <c r="AN937" s="180"/>
      <c r="AO937" s="180"/>
      <c r="AP937" s="180"/>
      <c r="AQ937" s="180"/>
      <c r="AR937" s="180"/>
      <c r="AS937" s="180"/>
      <c r="AT937" s="181"/>
    </row>
    <row r="938" spans="1:46" ht="16.5" customHeight="1" thickBot="1" x14ac:dyDescent="0.35">
      <c r="A938" s="34"/>
      <c r="B938" s="100"/>
      <c r="C938" s="100"/>
      <c r="D938" s="100"/>
      <c r="E938" s="100"/>
      <c r="F938" s="100"/>
      <c r="G938" s="100"/>
      <c r="H938" s="100"/>
      <c r="I938" s="100"/>
      <c r="J938" s="100"/>
      <c r="K938" s="100"/>
      <c r="L938" s="100"/>
      <c r="M938" s="100"/>
      <c r="N938" s="100"/>
      <c r="O938" s="100"/>
      <c r="P938" s="100"/>
      <c r="Q938" s="100"/>
      <c r="R938" s="64"/>
      <c r="AC938" s="179"/>
      <c r="AD938" s="180"/>
      <c r="AE938" s="180"/>
      <c r="AF938" s="180"/>
      <c r="AG938" s="180"/>
      <c r="AH938" s="180"/>
      <c r="AI938" s="180"/>
      <c r="AJ938" s="180"/>
      <c r="AK938" s="180"/>
      <c r="AL938" s="180"/>
      <c r="AM938" s="180"/>
      <c r="AN938" s="180"/>
      <c r="AO938" s="180"/>
      <c r="AP938" s="180"/>
      <c r="AQ938" s="180"/>
      <c r="AR938" s="180"/>
      <c r="AS938" s="180"/>
      <c r="AT938" s="181"/>
    </row>
    <row r="939" spans="1:46" ht="16.5" customHeight="1" thickBot="1" x14ac:dyDescent="0.35">
      <c r="A939" s="171" t="s">
        <v>634</v>
      </c>
      <c r="B939" s="172">
        <f>+B917</f>
        <v>0</v>
      </c>
      <c r="C939" s="172">
        <f>+C917</f>
        <v>0</v>
      </c>
      <c r="D939" s="172">
        <f>+D917</f>
        <v>0</v>
      </c>
      <c r="E939" s="100">
        <f>+SUM(B939:D939)</f>
        <v>0</v>
      </c>
      <c r="F939" s="172">
        <f>+F917</f>
        <v>0</v>
      </c>
      <c r="G939" s="172">
        <f>+G917</f>
        <v>0</v>
      </c>
      <c r="H939" s="172">
        <f>+H917</f>
        <v>0</v>
      </c>
      <c r="I939" s="100">
        <f>+SUM(F939:H939)</f>
        <v>0</v>
      </c>
      <c r="J939" s="172">
        <f>+J917</f>
        <v>2580</v>
      </c>
      <c r="K939" s="172">
        <f>+K917</f>
        <v>14237</v>
      </c>
      <c r="L939" s="172">
        <f>+L917</f>
        <v>21230</v>
      </c>
      <c r="M939" s="100">
        <f>+SUM(J939:L939)</f>
        <v>38047</v>
      </c>
      <c r="N939" s="172">
        <f>+N917</f>
        <v>20027</v>
      </c>
      <c r="O939" s="172">
        <f>+O917</f>
        <v>8322</v>
      </c>
      <c r="P939" s="172">
        <f>+P917</f>
        <v>11174</v>
      </c>
      <c r="Q939" s="100">
        <f>+SUM(N939:P939)</f>
        <v>39523</v>
      </c>
      <c r="R939" s="64">
        <f>+E939+I939+M939+Q939</f>
        <v>77570</v>
      </c>
      <c r="AC939" s="179"/>
      <c r="AD939" s="180"/>
      <c r="AE939" s="180"/>
      <c r="AF939" s="180"/>
      <c r="AG939" s="180"/>
      <c r="AH939" s="180"/>
      <c r="AI939" s="182" t="s">
        <v>635</v>
      </c>
      <c r="AJ939" s="180"/>
      <c r="AK939" s="180"/>
      <c r="AL939" s="180"/>
      <c r="AM939" s="180"/>
      <c r="AN939" s="180"/>
      <c r="AO939" s="180"/>
      <c r="AP939" s="180"/>
      <c r="AQ939" s="180"/>
      <c r="AR939" s="180"/>
      <c r="AS939" s="180"/>
      <c r="AT939" s="181"/>
    </row>
    <row r="940" spans="1:46" ht="16.5" customHeight="1" thickBot="1" x14ac:dyDescent="0.35">
      <c r="A940" s="34"/>
      <c r="B940" s="100"/>
      <c r="C940" s="100"/>
      <c r="D940" s="100"/>
      <c r="E940" s="100"/>
      <c r="F940" s="100"/>
      <c r="G940" s="100"/>
      <c r="H940" s="100"/>
      <c r="I940" s="100"/>
      <c r="J940" s="100"/>
      <c r="K940" s="100"/>
      <c r="L940" s="100"/>
      <c r="M940" s="100"/>
      <c r="N940" s="100"/>
      <c r="O940" s="100"/>
      <c r="P940" s="100"/>
      <c r="Q940" s="100"/>
      <c r="R940" s="64"/>
      <c r="AC940" s="179"/>
      <c r="AD940" s="180" t="s">
        <v>633</v>
      </c>
      <c r="AE940" s="180"/>
      <c r="AF940" s="182" t="s">
        <v>636</v>
      </c>
      <c r="AG940" s="182" t="s">
        <v>636</v>
      </c>
      <c r="AH940" s="182" t="s">
        <v>637</v>
      </c>
      <c r="AI940" s="182" t="s">
        <v>638</v>
      </c>
      <c r="AJ940" s="182" t="s">
        <v>639</v>
      </c>
      <c r="AK940" s="182" t="s">
        <v>640</v>
      </c>
      <c r="AL940" s="182" t="s">
        <v>641</v>
      </c>
      <c r="AM940" s="180" t="s">
        <v>633</v>
      </c>
      <c r="AN940" s="182" t="s">
        <v>642</v>
      </c>
      <c r="AO940" s="182" t="s">
        <v>642</v>
      </c>
      <c r="AP940" s="182" t="s">
        <v>642</v>
      </c>
      <c r="AQ940" s="180"/>
      <c r="AR940" s="180"/>
      <c r="AS940" s="180"/>
      <c r="AT940" s="181"/>
    </row>
    <row r="941" spans="1:46" ht="16.5" customHeight="1" thickBot="1" x14ac:dyDescent="0.4">
      <c r="A941" s="34" t="s">
        <v>643</v>
      </c>
      <c r="B941" s="107">
        <f t="shared" ref="B941:Q941" si="311">+SUM(B933:B939)</f>
        <v>52807</v>
      </c>
      <c r="C941" s="107">
        <f t="shared" si="311"/>
        <v>69398</v>
      </c>
      <c r="D941" s="107">
        <f t="shared" si="311"/>
        <v>88013</v>
      </c>
      <c r="E941" s="107">
        <f t="shared" si="311"/>
        <v>210218</v>
      </c>
      <c r="F941" s="107">
        <f t="shared" si="311"/>
        <v>141711</v>
      </c>
      <c r="G941" s="107">
        <f t="shared" si="311"/>
        <v>174457</v>
      </c>
      <c r="H941" s="107">
        <f t="shared" si="311"/>
        <v>192700</v>
      </c>
      <c r="I941" s="107">
        <f t="shared" si="311"/>
        <v>508868</v>
      </c>
      <c r="J941" s="107">
        <f t="shared" si="311"/>
        <v>185936</v>
      </c>
      <c r="K941" s="107">
        <f t="shared" si="311"/>
        <v>180706</v>
      </c>
      <c r="L941" s="107">
        <f t="shared" si="311"/>
        <v>129353</v>
      </c>
      <c r="M941" s="107">
        <f t="shared" si="311"/>
        <v>495995</v>
      </c>
      <c r="N941" s="107">
        <f t="shared" si="311"/>
        <v>92903</v>
      </c>
      <c r="O941" s="107">
        <f t="shared" si="311"/>
        <v>56798</v>
      </c>
      <c r="P941" s="107">
        <f t="shared" si="311"/>
        <v>60059</v>
      </c>
      <c r="Q941" s="107">
        <f t="shared" si="311"/>
        <v>209760</v>
      </c>
      <c r="R941" s="183">
        <f>+SUM(R933:R939)</f>
        <v>1424841</v>
      </c>
      <c r="AC941" s="179"/>
      <c r="AD941" s="182" t="s">
        <v>644</v>
      </c>
      <c r="AE941" s="182" t="s">
        <v>645</v>
      </c>
      <c r="AF941" s="182" t="s">
        <v>646</v>
      </c>
      <c r="AG941" s="182" t="s">
        <v>646</v>
      </c>
      <c r="AH941" s="182" t="s">
        <v>647</v>
      </c>
      <c r="AI941" s="184" t="s">
        <v>648</v>
      </c>
      <c r="AJ941" s="182" t="s">
        <v>649</v>
      </c>
      <c r="AK941" s="182" t="s">
        <v>650</v>
      </c>
      <c r="AL941" s="182" t="s">
        <v>651</v>
      </c>
      <c r="AM941" s="180" t="s">
        <v>633</v>
      </c>
      <c r="AN941" s="182" t="s">
        <v>652</v>
      </c>
      <c r="AO941" s="182" t="s">
        <v>648</v>
      </c>
      <c r="AP941" s="182" t="s">
        <v>653</v>
      </c>
      <c r="AQ941" s="180"/>
      <c r="AR941" s="180"/>
      <c r="AS941" s="180"/>
      <c r="AT941" s="181"/>
    </row>
    <row r="942" spans="1:46" ht="15.75" customHeight="1" x14ac:dyDescent="0.35">
      <c r="A942" s="185"/>
      <c r="B942" s="186"/>
      <c r="C942" s="186"/>
      <c r="D942" s="186"/>
      <c r="E942" s="186"/>
      <c r="F942" s="186"/>
      <c r="G942" s="186"/>
      <c r="H942" s="187" t="s">
        <v>654</v>
      </c>
      <c r="I942" s="186"/>
      <c r="J942" s="186"/>
      <c r="K942" s="186"/>
      <c r="L942" s="186"/>
      <c r="M942" s="186"/>
      <c r="N942" s="186"/>
      <c r="O942" s="186"/>
      <c r="P942" s="186"/>
      <c r="Q942" s="186"/>
      <c r="R942" s="186"/>
      <c r="AC942" s="179"/>
      <c r="AD942" s="182" t="s">
        <v>127</v>
      </c>
      <c r="AE942" s="182" t="s">
        <v>655</v>
      </c>
      <c r="AF942" s="182" t="s">
        <v>656</v>
      </c>
      <c r="AG942" s="182" t="s">
        <v>657</v>
      </c>
      <c r="AH942" s="182" t="s">
        <v>658</v>
      </c>
      <c r="AI942" s="182" t="s">
        <v>658</v>
      </c>
      <c r="AJ942" s="182" t="s">
        <v>658</v>
      </c>
      <c r="AK942" s="182" t="s">
        <v>658</v>
      </c>
      <c r="AL942" s="182" t="s">
        <v>659</v>
      </c>
      <c r="AM942" s="180" t="s">
        <v>633</v>
      </c>
      <c r="AN942" s="182" t="s">
        <v>660</v>
      </c>
      <c r="AO942" s="182" t="s">
        <v>661</v>
      </c>
      <c r="AP942" s="182" t="s">
        <v>661</v>
      </c>
      <c r="AQ942" s="180"/>
      <c r="AR942" s="180"/>
      <c r="AS942" s="180"/>
      <c r="AT942" s="181"/>
    </row>
    <row r="943" spans="1:46" ht="15.75" customHeight="1" x14ac:dyDescent="0.35">
      <c r="A943" s="185"/>
      <c r="B943" s="186"/>
      <c r="C943" s="186"/>
      <c r="D943" s="186"/>
      <c r="E943" s="186"/>
      <c r="F943" s="186"/>
      <c r="G943" s="186"/>
      <c r="H943" s="186"/>
      <c r="I943" s="186"/>
      <c r="J943" s="186"/>
      <c r="K943" s="186"/>
      <c r="L943" s="186"/>
      <c r="M943" s="186"/>
      <c r="N943" s="186"/>
      <c r="O943" s="186"/>
      <c r="P943" s="186"/>
      <c r="Q943" s="186"/>
      <c r="R943" s="186"/>
      <c r="AC943" s="179"/>
      <c r="AD943" s="182" t="s">
        <v>662</v>
      </c>
      <c r="AE943" s="182" t="s">
        <v>663</v>
      </c>
      <c r="AF943" s="182" t="s">
        <v>664</v>
      </c>
      <c r="AG943" s="182" t="s">
        <v>664</v>
      </c>
      <c r="AH943" s="182" t="s">
        <v>664</v>
      </c>
      <c r="AI943" s="182" t="s">
        <v>664</v>
      </c>
      <c r="AJ943" s="182" t="s">
        <v>664</v>
      </c>
      <c r="AK943" s="182" t="s">
        <v>664</v>
      </c>
      <c r="AL943" s="182" t="s">
        <v>664</v>
      </c>
      <c r="AM943" s="180" t="s">
        <v>633</v>
      </c>
      <c r="AN943" s="182" t="s">
        <v>665</v>
      </c>
      <c r="AO943" s="182" t="s">
        <v>665</v>
      </c>
      <c r="AP943" s="182" t="s">
        <v>665</v>
      </c>
      <c r="AQ943" s="180"/>
      <c r="AR943" s="180"/>
      <c r="AS943" s="180"/>
      <c r="AT943" s="181"/>
    </row>
    <row r="944" spans="1:46" ht="15.75" customHeight="1" thickBot="1" x14ac:dyDescent="0.4">
      <c r="A944" s="185"/>
      <c r="B944" s="186"/>
      <c r="C944" s="186"/>
      <c r="D944" s="186"/>
      <c r="E944" s="186"/>
      <c r="F944" s="186"/>
      <c r="G944" s="186"/>
      <c r="H944" s="187"/>
      <c r="I944" s="186"/>
      <c r="J944" s="186"/>
      <c r="K944" s="186"/>
      <c r="L944" s="186"/>
      <c r="M944" s="186"/>
      <c r="N944" s="186"/>
      <c r="O944" s="186"/>
      <c r="P944" s="186"/>
      <c r="Q944" s="186"/>
      <c r="R944" s="186"/>
      <c r="AC944" s="179"/>
      <c r="AD944" s="180" t="s">
        <v>666</v>
      </c>
      <c r="AE944" s="180" t="s">
        <v>666</v>
      </c>
      <c r="AF944" s="180" t="s">
        <v>666</v>
      </c>
      <c r="AG944" s="180" t="s">
        <v>666</v>
      </c>
      <c r="AH944" s="180" t="s">
        <v>666</v>
      </c>
      <c r="AI944" s="180" t="s">
        <v>666</v>
      </c>
      <c r="AJ944" s="180" t="s">
        <v>666</v>
      </c>
      <c r="AK944" s="180" t="s">
        <v>666</v>
      </c>
      <c r="AL944" s="180" t="s">
        <v>666</v>
      </c>
      <c r="AM944" s="180" t="s">
        <v>633</v>
      </c>
      <c r="AN944" s="180" t="s">
        <v>666</v>
      </c>
      <c r="AO944" s="180" t="s">
        <v>666</v>
      </c>
      <c r="AP944" s="180" t="s">
        <v>666</v>
      </c>
      <c r="AQ944" s="180"/>
      <c r="AR944" s="180"/>
      <c r="AS944" s="180"/>
      <c r="AT944" s="181"/>
    </row>
    <row r="945" spans="1:46" ht="15.75" customHeight="1" x14ac:dyDescent="0.3">
      <c r="A945" s="356"/>
      <c r="B945" s="423" t="s">
        <v>667</v>
      </c>
      <c r="C945" s="423"/>
      <c r="D945" s="423"/>
      <c r="E945" s="423"/>
      <c r="F945" s="423"/>
      <c r="G945" s="423"/>
      <c r="H945" s="423"/>
      <c r="I945" s="423"/>
      <c r="J945" s="423"/>
      <c r="K945" s="423"/>
      <c r="L945" s="423"/>
      <c r="M945" s="423"/>
      <c r="N945" s="423"/>
      <c r="O945" s="423"/>
      <c r="P945" s="423"/>
      <c r="Q945" s="354" t="str">
        <f>+Q1</f>
        <v xml:space="preserve">PRINTED:  </v>
      </c>
      <c r="R945" s="355">
        <f ca="1">+R1</f>
        <v>44894.658168402777</v>
      </c>
      <c r="AC945" s="189" t="s">
        <v>668</v>
      </c>
      <c r="AD945" s="180">
        <f t="shared" ref="AD945:AD956" si="312">(F954)</f>
        <v>20718</v>
      </c>
      <c r="AE945" s="180">
        <f t="shared" ref="AE945:AE956" si="313">SUM($B$1009:$E$1009)+(T954-1526.8)/0.7702</f>
        <v>1638.1524430019012</v>
      </c>
      <c r="AF945" s="180">
        <f>(AD945*AE945/1000)</f>
        <v>33939.242314113391</v>
      </c>
      <c r="AG945" s="180">
        <f t="shared" ref="AG945:AG956" si="314">(((B954-F954)*B$1009)+((C954-F954)*C$1009)+((D954-F954)*D$1009)+((E954-F954)*E$1009))/1000</f>
        <v>76053.535000000003</v>
      </c>
      <c r="AH945" s="180">
        <f>(AF945+AG945)</f>
        <v>109992.77731411339</v>
      </c>
      <c r="AI945" s="180">
        <f t="shared" ref="AI945:AI956" si="315">SUM(H1011:Q1011)</f>
        <v>20349</v>
      </c>
      <c r="AJ945" s="180">
        <f>+AH945+AI945</f>
        <v>130341.77731411339</v>
      </c>
      <c r="AK945" s="180">
        <f t="shared" ref="AK945:AK952" si="316">(G1039)</f>
        <v>0</v>
      </c>
      <c r="AL945" s="180">
        <f t="shared" ref="AL945:AL956" si="317">(AJ945-AK945)</f>
        <v>130341.77731411339</v>
      </c>
      <c r="AM945" s="180" t="s">
        <v>633</v>
      </c>
      <c r="AN945" s="180">
        <f>+B954/31/1.98</f>
        <v>1209.9055066797002</v>
      </c>
      <c r="AO945" s="180">
        <f>(AD945*43560/31/24/3600)</f>
        <v>336.94596774193548</v>
      </c>
      <c r="AP945" s="180">
        <f>+B340</f>
        <v>0</v>
      </c>
      <c r="AQ945" s="180"/>
      <c r="AR945" s="180"/>
      <c r="AS945" s="180"/>
      <c r="AT945" s="181"/>
    </row>
    <row r="946" spans="1:46" ht="15.75" customHeight="1" x14ac:dyDescent="0.3">
      <c r="A946" s="189"/>
      <c r="B946" s="394" t="str">
        <f>+A8</f>
        <v>Revised:  12/23/2020</v>
      </c>
      <c r="C946" s="394"/>
      <c r="D946" s="394"/>
      <c r="E946" s="394"/>
      <c r="F946" s="394"/>
      <c r="G946" s="394"/>
      <c r="H946" s="394"/>
      <c r="I946" s="394"/>
      <c r="J946" s="394"/>
      <c r="K946" s="394"/>
      <c r="L946" s="394"/>
      <c r="M946" s="394"/>
      <c r="N946" s="394"/>
      <c r="O946" s="394"/>
      <c r="P946" s="394"/>
      <c r="Q946" s="180"/>
      <c r="R946" s="181"/>
      <c r="AC946" s="189" t="s">
        <v>669</v>
      </c>
      <c r="AD946" s="180">
        <f t="shared" si="312"/>
        <v>2716</v>
      </c>
      <c r="AE946" s="180">
        <f t="shared" si="313"/>
        <v>1642.6450272656455</v>
      </c>
      <c r="AF946" s="180">
        <f>(AD946*AE946/1000)</f>
        <v>4461.4238940534924</v>
      </c>
      <c r="AG946" s="180">
        <f t="shared" si="314"/>
        <v>101762.564</v>
      </c>
      <c r="AH946" s="180">
        <f t="shared" ref="AH946:AH956" si="318">(AF946+AG946)</f>
        <v>106223.98789405348</v>
      </c>
      <c r="AI946" s="180">
        <f t="shared" si="315"/>
        <v>32011</v>
      </c>
      <c r="AJ946" s="180">
        <f t="shared" ref="AJ946:AJ956" si="319">+AH946+AI946</f>
        <v>138234.98789405348</v>
      </c>
      <c r="AK946" s="180">
        <f t="shared" si="316"/>
        <v>0</v>
      </c>
      <c r="AL946" s="180">
        <f t="shared" si="317"/>
        <v>138234.98789405348</v>
      </c>
      <c r="AM946" s="180" t="s">
        <v>633</v>
      </c>
      <c r="AN946" s="180">
        <f>+B955/28/1.98</f>
        <v>1339.8268398268397</v>
      </c>
      <c r="AO946" s="180">
        <f>(AD946*43560/29/24/3600)</f>
        <v>47.21781609195402</v>
      </c>
      <c r="AP946" s="180">
        <f>+C340</f>
        <v>0</v>
      </c>
      <c r="AQ946" s="180"/>
      <c r="AR946" s="180"/>
      <c r="AS946" s="180"/>
      <c r="AT946" s="181"/>
    </row>
    <row r="947" spans="1:46" ht="15.75" customHeight="1" x14ac:dyDescent="0.3">
      <c r="A947" s="189"/>
      <c r="B947" s="394" t="s">
        <v>670</v>
      </c>
      <c r="C947" s="394"/>
      <c r="D947" s="394"/>
      <c r="E947" s="394"/>
      <c r="F947" s="394"/>
      <c r="G947" s="394"/>
      <c r="H947" s="394"/>
      <c r="I947" s="394"/>
      <c r="J947" s="394"/>
      <c r="K947" s="394"/>
      <c r="L947" s="394"/>
      <c r="M947" s="394"/>
      <c r="N947" s="394"/>
      <c r="O947" s="394"/>
      <c r="P947" s="394"/>
      <c r="Q947" s="180"/>
      <c r="R947" s="181"/>
      <c r="AC947" s="189" t="s">
        <v>671</v>
      </c>
      <c r="AD947" s="180">
        <f t="shared" si="312"/>
        <v>23196</v>
      </c>
      <c r="AE947" s="180">
        <f t="shared" si="313"/>
        <v>1646.592054011945</v>
      </c>
      <c r="AF947" s="180">
        <f t="shared" ref="AF947:AF956" si="320">(AD947*AE947/1000)</f>
        <v>38194.349284861077</v>
      </c>
      <c r="AG947" s="180">
        <f t="shared" si="314"/>
        <v>102156.048</v>
      </c>
      <c r="AH947" s="180">
        <f t="shared" si="318"/>
        <v>140350.39728486107</v>
      </c>
      <c r="AI947" s="180">
        <f t="shared" si="315"/>
        <v>39162</v>
      </c>
      <c r="AJ947" s="180">
        <f t="shared" si="319"/>
        <v>179512.39728486107</v>
      </c>
      <c r="AK947" s="180">
        <f t="shared" si="316"/>
        <v>3056.318613413714</v>
      </c>
      <c r="AL947" s="180">
        <f t="shared" si="317"/>
        <v>176456.07867144735</v>
      </c>
      <c r="AM947" s="180" t="s">
        <v>633</v>
      </c>
      <c r="AN947" s="180">
        <f>+B956/31/1.98</f>
        <v>1551.4825676116</v>
      </c>
      <c r="AO947" s="180">
        <f>(AD947*43560/31/24/3600)</f>
        <v>377.24677419354833</v>
      </c>
      <c r="AP947" s="180">
        <f>+D340</f>
        <v>-313.27574707595204</v>
      </c>
      <c r="AQ947" s="180"/>
      <c r="AR947" s="180"/>
      <c r="AS947" s="180"/>
      <c r="AT947" s="181"/>
    </row>
    <row r="948" spans="1:46" ht="15.75" customHeight="1" x14ac:dyDescent="0.3">
      <c r="A948" s="189"/>
      <c r="B948" s="394"/>
      <c r="C948" s="394"/>
      <c r="D948" s="394"/>
      <c r="E948" s="394"/>
      <c r="F948" s="394"/>
      <c r="G948" s="394"/>
      <c r="H948" s="394"/>
      <c r="I948" s="394"/>
      <c r="J948" s="394"/>
      <c r="K948" s="394"/>
      <c r="L948" s="394"/>
      <c r="M948" s="394"/>
      <c r="N948" s="394"/>
      <c r="O948" s="394"/>
      <c r="P948" s="394"/>
      <c r="Q948" s="180"/>
      <c r="R948" s="181"/>
      <c r="AC948" s="189" t="s">
        <v>672</v>
      </c>
      <c r="AD948" s="180">
        <f t="shared" si="312"/>
        <v>3618</v>
      </c>
      <c r="AE948" s="180">
        <f t="shared" si="313"/>
        <v>1645.8271291131655</v>
      </c>
      <c r="AF948" s="180">
        <f t="shared" si="320"/>
        <v>5954.6025531314326</v>
      </c>
      <c r="AG948" s="180">
        <f t="shared" si="314"/>
        <v>209439.52</v>
      </c>
      <c r="AH948" s="180">
        <f t="shared" si="318"/>
        <v>215394.12255313143</v>
      </c>
      <c r="AI948" s="180">
        <f t="shared" si="315"/>
        <v>50433</v>
      </c>
      <c r="AJ948" s="180">
        <f t="shared" si="319"/>
        <v>265827.12255313143</v>
      </c>
      <c r="AK948" s="180">
        <f t="shared" si="316"/>
        <v>0</v>
      </c>
      <c r="AL948" s="180">
        <f t="shared" si="317"/>
        <v>265827.12255313143</v>
      </c>
      <c r="AM948" s="180" t="s">
        <v>633</v>
      </c>
      <c r="AN948" s="180">
        <f>+B957/30/1.98</f>
        <v>2547.121212121212</v>
      </c>
      <c r="AO948" s="180">
        <f>(AD948*43560/30/24/3600)</f>
        <v>60.802500000000002</v>
      </c>
      <c r="AP948" s="180">
        <f>+F340</f>
        <v>0</v>
      </c>
      <c r="AQ948" s="180"/>
      <c r="AR948" s="180"/>
      <c r="AS948" s="180"/>
      <c r="AT948" s="181"/>
    </row>
    <row r="949" spans="1:46" ht="15.75" customHeight="1" x14ac:dyDescent="0.3">
      <c r="A949" s="189"/>
      <c r="B949" s="395">
        <f>+A5</f>
        <v>2020</v>
      </c>
      <c r="C949" s="395"/>
      <c r="D949" s="395"/>
      <c r="E949" s="395"/>
      <c r="F949" s="395"/>
      <c r="G949" s="395"/>
      <c r="H949" s="395"/>
      <c r="I949" s="395"/>
      <c r="J949" s="395"/>
      <c r="K949" s="395"/>
      <c r="L949" s="395"/>
      <c r="M949" s="395"/>
      <c r="N949" s="395"/>
      <c r="O949" s="395"/>
      <c r="P949" s="395"/>
      <c r="Q949" s="180"/>
      <c r="R949" s="181"/>
      <c r="AC949" s="189" t="s">
        <v>673</v>
      </c>
      <c r="AD949" s="180">
        <f t="shared" si="312"/>
        <v>0</v>
      </c>
      <c r="AE949" s="180">
        <f t="shared" si="313"/>
        <v>1642.8008309529996</v>
      </c>
      <c r="AF949" s="180">
        <f t="shared" si="320"/>
        <v>0</v>
      </c>
      <c r="AG949" s="180">
        <f t="shared" si="314"/>
        <v>253692.19200000001</v>
      </c>
      <c r="AH949" s="180">
        <f t="shared" si="318"/>
        <v>253692.19200000001</v>
      </c>
      <c r="AI949" s="180">
        <f t="shared" si="315"/>
        <v>51415</v>
      </c>
      <c r="AJ949" s="180">
        <f t="shared" si="319"/>
        <v>305107.19200000004</v>
      </c>
      <c r="AK949" s="180">
        <f t="shared" si="316"/>
        <v>1947.3030896759628</v>
      </c>
      <c r="AL949" s="180">
        <f t="shared" si="317"/>
        <v>303159.88891032408</v>
      </c>
      <c r="AM949" s="180" t="s">
        <v>633</v>
      </c>
      <c r="AN949" s="180">
        <f>+B958/31/1.98</f>
        <v>2918.5076572173348</v>
      </c>
      <c r="AO949" s="180">
        <f>(AD949*43560/31/24/3600)</f>
        <v>0</v>
      </c>
      <c r="AP949" s="180">
        <f>+G340</f>
        <v>-205.29338083386202</v>
      </c>
      <c r="AQ949" s="180"/>
      <c r="AR949" s="180"/>
      <c r="AS949" s="180"/>
      <c r="AT949" s="181"/>
    </row>
    <row r="950" spans="1:46" ht="15.75" customHeight="1" x14ac:dyDescent="0.3">
      <c r="A950" s="189"/>
      <c r="B950" s="394" t="s">
        <v>674</v>
      </c>
      <c r="C950" s="394"/>
      <c r="D950" s="394"/>
      <c r="E950" s="394"/>
      <c r="F950" s="394"/>
      <c r="G950" s="394"/>
      <c r="H950" s="394"/>
      <c r="I950" s="394"/>
      <c r="J950" s="394"/>
      <c r="K950" s="394"/>
      <c r="L950" s="394"/>
      <c r="M950" s="394"/>
      <c r="N950" s="394"/>
      <c r="O950" s="394"/>
      <c r="P950" s="394"/>
      <c r="Q950" s="180"/>
      <c r="R950" s="181"/>
      <c r="AC950" s="189" t="s">
        <v>675</v>
      </c>
      <c r="AD950" s="180">
        <f t="shared" si="312"/>
        <v>0</v>
      </c>
      <c r="AE950" s="180">
        <f t="shared" si="313"/>
        <v>1626.3375746559338</v>
      </c>
      <c r="AF950" s="180">
        <f t="shared" si="320"/>
        <v>0</v>
      </c>
      <c r="AG950" s="180">
        <f t="shared" si="314"/>
        <v>150340.677</v>
      </c>
      <c r="AH950" s="180">
        <f t="shared" si="318"/>
        <v>150340.677</v>
      </c>
      <c r="AI950" s="180">
        <f t="shared" si="315"/>
        <v>51283</v>
      </c>
      <c r="AJ950" s="180">
        <f t="shared" si="319"/>
        <v>201623.677</v>
      </c>
      <c r="AK950" s="180">
        <f t="shared" si="316"/>
        <v>11782.808138658635</v>
      </c>
      <c r="AL950" s="180">
        <f t="shared" si="317"/>
        <v>189840.86886134135</v>
      </c>
      <c r="AM950" s="180" t="s">
        <v>633</v>
      </c>
      <c r="AN950" s="180">
        <f>+B959/30/1.98</f>
        <v>1798.5858585858584</v>
      </c>
      <c r="AO950" s="180">
        <f t="shared" ref="AO950:AO955" si="321">(AD950*43560/30/24/3600)</f>
        <v>0</v>
      </c>
      <c r="AP950" s="180">
        <f>+H340</f>
        <v>-1465.0529500756429</v>
      </c>
      <c r="AQ950" s="180"/>
      <c r="AR950" s="180"/>
      <c r="AS950" s="180"/>
      <c r="AT950" s="181"/>
    </row>
    <row r="951" spans="1:46" ht="15.75" customHeight="1" x14ac:dyDescent="0.3">
      <c r="A951" s="189"/>
      <c r="B951" s="180"/>
      <c r="C951" s="180"/>
      <c r="D951" s="180"/>
      <c r="E951" s="180"/>
      <c r="F951" s="180"/>
      <c r="G951" s="180"/>
      <c r="H951" s="180"/>
      <c r="I951" s="180"/>
      <c r="J951" s="180"/>
      <c r="K951" s="180"/>
      <c r="L951" s="180"/>
      <c r="M951" s="180"/>
      <c r="N951" s="180"/>
      <c r="O951" s="180"/>
      <c r="P951" s="180"/>
      <c r="Q951" s="180"/>
      <c r="R951" s="181"/>
      <c r="AC951" s="189" t="s">
        <v>676</v>
      </c>
      <c r="AD951" s="180">
        <f t="shared" si="312"/>
        <v>0</v>
      </c>
      <c r="AE951" s="180">
        <f t="shared" si="313"/>
        <v>1614.093965893418</v>
      </c>
      <c r="AF951" s="180">
        <f t="shared" si="320"/>
        <v>0</v>
      </c>
      <c r="AG951" s="180">
        <f t="shared" si="314"/>
        <v>103660.06200000001</v>
      </c>
      <c r="AH951" s="180">
        <f t="shared" si="318"/>
        <v>103660.06200000001</v>
      </c>
      <c r="AI951" s="180">
        <f t="shared" si="315"/>
        <v>52619</v>
      </c>
      <c r="AJ951" s="180">
        <f t="shared" si="319"/>
        <v>156279.06200000001</v>
      </c>
      <c r="AK951" s="180">
        <f t="shared" si="316"/>
        <v>13657.388393424346</v>
      </c>
      <c r="AL951" s="180">
        <f t="shared" si="317"/>
        <v>142621.67360657567</v>
      </c>
      <c r="AM951" s="180" t="s">
        <v>633</v>
      </c>
      <c r="AN951" s="180">
        <f>+B960/31/1.98</f>
        <v>1217.0739654610622</v>
      </c>
      <c r="AO951" s="180">
        <f t="shared" si="321"/>
        <v>0</v>
      </c>
      <c r="AP951" s="180">
        <f>+J340</f>
        <v>-1836.4159875067101</v>
      </c>
      <c r="AQ951" s="180"/>
      <c r="AR951" s="180"/>
      <c r="AS951" s="180"/>
      <c r="AT951" s="181"/>
    </row>
    <row r="952" spans="1:46" ht="15.75" customHeight="1" thickBot="1" x14ac:dyDescent="0.35">
      <c r="A952" s="189" t="s">
        <v>647</v>
      </c>
      <c r="B952" s="191" t="s">
        <v>677</v>
      </c>
      <c r="C952" s="191" t="s">
        <v>678</v>
      </c>
      <c r="D952" s="191" t="s">
        <v>679</v>
      </c>
      <c r="E952" s="191" t="s">
        <v>680</v>
      </c>
      <c r="F952" s="191" t="s">
        <v>644</v>
      </c>
      <c r="G952" s="191" t="s">
        <v>644</v>
      </c>
      <c r="H952" s="191" t="s">
        <v>681</v>
      </c>
      <c r="I952" s="191" t="s">
        <v>682</v>
      </c>
      <c r="J952" s="191" t="s">
        <v>683</v>
      </c>
      <c r="K952" s="191" t="s">
        <v>684</v>
      </c>
      <c r="L952" s="191" t="s">
        <v>685</v>
      </c>
      <c r="M952" s="191" t="s">
        <v>686</v>
      </c>
      <c r="N952" s="191" t="s">
        <v>687</v>
      </c>
      <c r="O952" s="191" t="s">
        <v>688</v>
      </c>
      <c r="P952" s="191" t="s">
        <v>689</v>
      </c>
      <c r="Q952" s="191" t="s">
        <v>638</v>
      </c>
      <c r="R952" s="181"/>
      <c r="T952" s="52" t="s">
        <v>690</v>
      </c>
      <c r="AC952" s="189" t="s">
        <v>691</v>
      </c>
      <c r="AD952" s="180">
        <f t="shared" si="312"/>
        <v>5</v>
      </c>
      <c r="AE952" s="180">
        <f t="shared" si="313"/>
        <v>1600.6037637565339</v>
      </c>
      <c r="AF952" s="180">
        <f t="shared" si="320"/>
        <v>8.0030188187826692</v>
      </c>
      <c r="AG952" s="180">
        <f t="shared" si="314"/>
        <v>84947.448999999993</v>
      </c>
      <c r="AH952" s="180">
        <f t="shared" si="318"/>
        <v>84955.452018818774</v>
      </c>
      <c r="AI952" s="180">
        <f t="shared" si="315"/>
        <v>48464</v>
      </c>
      <c r="AJ952" s="180">
        <f t="shared" si="319"/>
        <v>133419.45201881876</v>
      </c>
      <c r="AK952" s="180">
        <f t="shared" si="316"/>
        <v>12764.783789070392</v>
      </c>
      <c r="AL952" s="180">
        <f t="shared" si="317"/>
        <v>120654.66822974836</v>
      </c>
      <c r="AM952" s="180" t="s">
        <v>633</v>
      </c>
      <c r="AN952" s="180">
        <f>+B961/31/1.98</f>
        <v>1028.4131638970348</v>
      </c>
      <c r="AO952" s="180">
        <f t="shared" si="321"/>
        <v>8.4027777777777785E-2</v>
      </c>
      <c r="AP952" s="180">
        <f>+K340</f>
        <v>-1971.5972866136351</v>
      </c>
      <c r="AQ952" s="180"/>
      <c r="AR952" s="180"/>
      <c r="AS952" s="180"/>
      <c r="AT952" s="181"/>
    </row>
    <row r="953" spans="1:46" ht="15.75" customHeight="1" x14ac:dyDescent="0.3">
      <c r="A953" s="189"/>
      <c r="B953" s="180"/>
      <c r="C953" s="180"/>
      <c r="D953" s="180"/>
      <c r="E953" s="180"/>
      <c r="F953" s="182" t="s">
        <v>127</v>
      </c>
      <c r="G953" s="182" t="s">
        <v>653</v>
      </c>
      <c r="H953" s="180"/>
      <c r="I953" s="180"/>
      <c r="J953" s="180"/>
      <c r="K953" s="180"/>
      <c r="L953" s="180"/>
      <c r="M953" s="180"/>
      <c r="N953" s="180"/>
      <c r="O953" s="180"/>
      <c r="P953" s="180"/>
      <c r="Q953" s="180"/>
      <c r="R953" s="181"/>
      <c r="AC953" s="189" t="s">
        <v>692</v>
      </c>
      <c r="AD953" s="180">
        <f t="shared" si="312"/>
        <v>33393</v>
      </c>
      <c r="AE953" s="180">
        <f t="shared" si="313"/>
        <v>1598.5266164632565</v>
      </c>
      <c r="AF953" s="180">
        <f t="shared" si="320"/>
        <v>53379.599303557523</v>
      </c>
      <c r="AG953" s="180">
        <f t="shared" si="314"/>
        <v>183008.18599999999</v>
      </c>
      <c r="AH953" s="180">
        <f t="shared" si="318"/>
        <v>236387.78530355752</v>
      </c>
      <c r="AI953" s="180">
        <f t="shared" si="315"/>
        <v>37574</v>
      </c>
      <c r="AJ953" s="180">
        <f t="shared" si="319"/>
        <v>273961.78530355752</v>
      </c>
      <c r="AK953" s="180">
        <v>0</v>
      </c>
      <c r="AL953" s="180">
        <f t="shared" si="317"/>
        <v>273961.78530355752</v>
      </c>
      <c r="AM953" s="180" t="s">
        <v>633</v>
      </c>
      <c r="AN953" s="180">
        <f>+B962/30/1.98</f>
        <v>2777.2053872053871</v>
      </c>
      <c r="AO953" s="180">
        <f t="shared" si="321"/>
        <v>561.18791666666664</v>
      </c>
      <c r="AP953" s="180">
        <f>+L340</f>
        <v>-54.244410825348794</v>
      </c>
      <c r="AQ953" s="180"/>
      <c r="AR953" s="180"/>
      <c r="AS953" s="180"/>
      <c r="AT953" s="181"/>
    </row>
    <row r="954" spans="1:46" ht="15.75" customHeight="1" x14ac:dyDescent="0.3">
      <c r="A954" s="192" t="s">
        <v>8</v>
      </c>
      <c r="B954" s="180">
        <f>+B29</f>
        <v>74264</v>
      </c>
      <c r="C954" s="180">
        <f>+B64</f>
        <v>74167</v>
      </c>
      <c r="D954" s="180">
        <f>+B140</f>
        <v>74071</v>
      </c>
      <c r="E954" s="180">
        <f>+B330</f>
        <v>73047</v>
      </c>
      <c r="F954" s="180">
        <f>+B325</f>
        <v>20718</v>
      </c>
      <c r="G954" s="180">
        <f>+B337</f>
        <v>0</v>
      </c>
      <c r="H954" s="180">
        <f>+B522</f>
        <v>29405</v>
      </c>
      <c r="I954" s="180">
        <f>+B573</f>
        <v>14138</v>
      </c>
      <c r="J954" s="180">
        <f>+B618</f>
        <v>14129</v>
      </c>
      <c r="K954" s="180">
        <f>+B684</f>
        <v>14025</v>
      </c>
      <c r="L954" s="180">
        <f>+B694</f>
        <v>9563</v>
      </c>
      <c r="M954" s="180">
        <f>+B730</f>
        <v>9543</v>
      </c>
      <c r="N954" s="180">
        <f>+B782</f>
        <v>9187</v>
      </c>
      <c r="O954" s="180">
        <f>+B792</f>
        <v>3556</v>
      </c>
      <c r="P954" s="180">
        <f>+B826</f>
        <v>4124</v>
      </c>
      <c r="Q954" s="180">
        <f>+B877</f>
        <v>3554</v>
      </c>
      <c r="R954" s="181"/>
      <c r="T954" s="193">
        <f>'[2]Lake Pleasant Forecast'!B35</f>
        <v>1690.1998116000643</v>
      </c>
      <c r="AC954" s="189" t="s">
        <v>693</v>
      </c>
      <c r="AD954" s="180">
        <f t="shared" si="312"/>
        <v>61538</v>
      </c>
      <c r="AE954" s="180">
        <f t="shared" si="313"/>
        <v>1607.0828356271095</v>
      </c>
      <c r="AF954" s="180">
        <f t="shared" si="320"/>
        <v>98896.663538821056</v>
      </c>
      <c r="AG954" s="180">
        <f t="shared" si="314"/>
        <v>141015.33799999999</v>
      </c>
      <c r="AH954" s="180">
        <f t="shared" si="318"/>
        <v>239912.00153882103</v>
      </c>
      <c r="AI954" s="180">
        <f t="shared" si="315"/>
        <v>21584</v>
      </c>
      <c r="AJ954" s="180">
        <f t="shared" si="319"/>
        <v>261496.00153882103</v>
      </c>
      <c r="AK954" s="180">
        <v>0</v>
      </c>
      <c r="AL954" s="180">
        <f t="shared" si="317"/>
        <v>261496.00153882103</v>
      </c>
      <c r="AM954" s="180" t="s">
        <v>633</v>
      </c>
      <c r="AN954" s="180">
        <f>+B963/31/1.98</f>
        <v>2653.0628869338548</v>
      </c>
      <c r="AO954" s="180">
        <f t="shared" si="321"/>
        <v>1034.1802777777777</v>
      </c>
      <c r="AP954" s="180">
        <f>+N340</f>
        <v>-0.37414799993493075</v>
      </c>
      <c r="AQ954" s="180"/>
      <c r="AR954" s="180"/>
      <c r="AS954" s="180"/>
      <c r="AT954" s="181"/>
    </row>
    <row r="955" spans="1:46" ht="15.75" customHeight="1" x14ac:dyDescent="0.3">
      <c r="A955" s="192" t="s">
        <v>9</v>
      </c>
      <c r="B955" s="180">
        <f>+C29</f>
        <v>74280</v>
      </c>
      <c r="C955" s="180">
        <f>+C64</f>
        <v>74132</v>
      </c>
      <c r="D955" s="180">
        <f>+C140</f>
        <v>73987</v>
      </c>
      <c r="E955" s="180">
        <f>+C330</f>
        <v>73220</v>
      </c>
      <c r="F955" s="180">
        <f>+C325</f>
        <v>2716</v>
      </c>
      <c r="G955" s="180">
        <f>+C337</f>
        <v>0</v>
      </c>
      <c r="H955" s="180">
        <f>+C522</f>
        <v>47525</v>
      </c>
      <c r="I955" s="180">
        <f>+C573</f>
        <v>23040</v>
      </c>
      <c r="J955" s="180">
        <f>+C618</f>
        <v>22780</v>
      </c>
      <c r="K955" s="180">
        <f>+C684</f>
        <v>22654</v>
      </c>
      <c r="L955" s="180">
        <f>+C694</f>
        <v>18668</v>
      </c>
      <c r="M955" s="180">
        <f>+C730</f>
        <v>18646</v>
      </c>
      <c r="N955" s="180">
        <f>+C782</f>
        <v>17094</v>
      </c>
      <c r="O955" s="180">
        <f>+C792</f>
        <v>3834</v>
      </c>
      <c r="P955" s="180">
        <f>+C826</f>
        <v>3931</v>
      </c>
      <c r="Q955" s="180">
        <f>+C877</f>
        <v>3831</v>
      </c>
      <c r="R955" s="181"/>
      <c r="T955" s="193">
        <f>'[2]Lake Pleasant Forecast'!B37</f>
        <v>1693.66</v>
      </c>
      <c r="AC955" s="189" t="s">
        <v>694</v>
      </c>
      <c r="AD955" s="180">
        <f t="shared" si="312"/>
        <v>65150</v>
      </c>
      <c r="AE955" s="180">
        <f t="shared" si="313"/>
        <v>1617.5216826798235</v>
      </c>
      <c r="AF955" s="180">
        <f t="shared" si="320"/>
        <v>105381.53762659051</v>
      </c>
      <c r="AG955" s="180">
        <f t="shared" si="314"/>
        <v>79890.956000000006</v>
      </c>
      <c r="AH955" s="180">
        <f t="shared" si="318"/>
        <v>185272.49362659053</v>
      </c>
      <c r="AI955" s="180">
        <f t="shared" si="315"/>
        <v>8609</v>
      </c>
      <c r="AJ955" s="180">
        <f t="shared" si="319"/>
        <v>193881.49362659053</v>
      </c>
      <c r="AK955" s="180">
        <f>(G1049)</f>
        <v>661.03074604370647</v>
      </c>
      <c r="AL955" s="180">
        <f t="shared" si="317"/>
        <v>193220.46288054681</v>
      </c>
      <c r="AM955" s="180" t="s">
        <v>633</v>
      </c>
      <c r="AN955" s="180">
        <f>+B964/30/1.98</f>
        <v>2067.5420875420873</v>
      </c>
      <c r="AO955" s="180">
        <f t="shared" si="321"/>
        <v>1094.8819444444443</v>
      </c>
      <c r="AP955" s="180">
        <f>+O340</f>
        <v>-88.922507984535216</v>
      </c>
      <c r="AQ955" s="180"/>
      <c r="AR955" s="180"/>
      <c r="AS955" s="180"/>
      <c r="AT955" s="181"/>
    </row>
    <row r="956" spans="1:46" ht="15.75" customHeight="1" x14ac:dyDescent="0.3">
      <c r="A956" s="192" t="s">
        <v>10</v>
      </c>
      <c r="B956" s="180">
        <f>+D29</f>
        <v>95230</v>
      </c>
      <c r="C956" s="180">
        <f>+D64</f>
        <v>94956</v>
      </c>
      <c r="D956" s="180">
        <f>+D140</f>
        <v>94695</v>
      </c>
      <c r="E956" s="180">
        <f>+D330</f>
        <v>93118</v>
      </c>
      <c r="F956" s="180">
        <f>+D325</f>
        <v>23196</v>
      </c>
      <c r="G956" s="180">
        <f>+D337</f>
        <v>-19258</v>
      </c>
      <c r="H956" s="180">
        <f>+D522</f>
        <v>64961</v>
      </c>
      <c r="I956" s="180">
        <f>+D573</f>
        <v>30482</v>
      </c>
      <c r="J956" s="180">
        <f>+D618</f>
        <v>28275</v>
      </c>
      <c r="K956" s="180">
        <f>+D684</f>
        <v>27521</v>
      </c>
      <c r="L956" s="180">
        <f>+D694</f>
        <v>21569</v>
      </c>
      <c r="M956" s="180">
        <f>+D730</f>
        <v>21541</v>
      </c>
      <c r="N956" s="180">
        <f>+D782</f>
        <v>20337</v>
      </c>
      <c r="O956" s="180">
        <f>+D792</f>
        <v>3912</v>
      </c>
      <c r="P956" s="180">
        <f>+D826</f>
        <v>4341</v>
      </c>
      <c r="Q956" s="180">
        <f>+D877</f>
        <v>3907</v>
      </c>
      <c r="R956" s="181"/>
      <c r="T956" s="193">
        <f>'[2]Lake Pleasant Forecast'!B39</f>
        <v>1696.7</v>
      </c>
      <c r="AC956" s="189" t="s">
        <v>695</v>
      </c>
      <c r="AD956" s="180">
        <f t="shared" si="312"/>
        <v>77761</v>
      </c>
      <c r="AE956" s="180">
        <f t="shared" si="313"/>
        <v>1621.0530797648637</v>
      </c>
      <c r="AF956" s="180">
        <f t="shared" si="320"/>
        <v>126054.70853559556</v>
      </c>
      <c r="AG956" s="180">
        <f t="shared" si="314"/>
        <v>88334.142000000007</v>
      </c>
      <c r="AH956" s="180">
        <f t="shared" si="318"/>
        <v>214388.85053559556</v>
      </c>
      <c r="AI956" s="180">
        <f t="shared" si="315"/>
        <v>16331</v>
      </c>
      <c r="AJ956" s="180">
        <f t="shared" si="319"/>
        <v>230719.85053559556</v>
      </c>
      <c r="AK956" s="180">
        <f>(G1050)</f>
        <v>0</v>
      </c>
      <c r="AL956" s="180">
        <f t="shared" si="317"/>
        <v>230719.85053559556</v>
      </c>
      <c r="AM956" s="180" t="s">
        <v>633</v>
      </c>
      <c r="AN956" s="180">
        <f>+B965/31/1.98</f>
        <v>2299.006190941675</v>
      </c>
      <c r="AO956" s="180">
        <f>(AD956*43560/31/24/3600)</f>
        <v>1264.6614247311827</v>
      </c>
      <c r="AP956" s="180">
        <f>+P340</f>
        <v>0</v>
      </c>
      <c r="AQ956" s="180"/>
      <c r="AR956" s="180"/>
      <c r="AS956" s="180"/>
      <c r="AT956" s="181"/>
    </row>
    <row r="957" spans="1:46" ht="15.75" customHeight="1" x14ac:dyDescent="0.3">
      <c r="A957" s="192" t="s">
        <v>12</v>
      </c>
      <c r="B957" s="180">
        <f>+F29</f>
        <v>151299</v>
      </c>
      <c r="C957" s="180">
        <f>+F64</f>
        <v>150932</v>
      </c>
      <c r="D957" s="180">
        <f>+F140</f>
        <v>150582</v>
      </c>
      <c r="E957" s="180">
        <f>+F330</f>
        <v>146655</v>
      </c>
      <c r="F957" s="180">
        <f>+F325</f>
        <v>3618</v>
      </c>
      <c r="G957" s="180">
        <f>+F337</f>
        <v>0</v>
      </c>
      <c r="H957" s="180">
        <f>+F522</f>
        <v>105559</v>
      </c>
      <c r="I957" s="180">
        <f>+F573</f>
        <v>48830</v>
      </c>
      <c r="J957" s="180">
        <f>+F618</f>
        <v>37068</v>
      </c>
      <c r="K957" s="180">
        <f>+F684</f>
        <v>30960</v>
      </c>
      <c r="L957" s="180">
        <f>+F694</f>
        <v>23929</v>
      </c>
      <c r="M957" s="180">
        <f>+F730</f>
        <v>23892</v>
      </c>
      <c r="N957" s="180">
        <f>+F782</f>
        <v>21384</v>
      </c>
      <c r="O957" s="180">
        <f>+F792</f>
        <v>4277</v>
      </c>
      <c r="P957" s="180">
        <f>+F826</f>
        <v>5208</v>
      </c>
      <c r="Q957" s="180">
        <f>+F877</f>
        <v>4270</v>
      </c>
      <c r="R957" s="181"/>
      <c r="T957" s="193">
        <f>'[2]Lake Pleasant Forecast'!B41</f>
        <v>1696.11085484296</v>
      </c>
      <c r="AC957" s="179"/>
      <c r="AD957" s="180"/>
      <c r="AE957" s="180"/>
      <c r="AF957" s="180"/>
      <c r="AG957" s="180"/>
      <c r="AH957" s="180"/>
      <c r="AI957" s="180"/>
      <c r="AJ957" s="180"/>
      <c r="AK957" s="180"/>
      <c r="AL957" s="180"/>
      <c r="AM957" s="180" t="s">
        <v>633</v>
      </c>
      <c r="AN957" s="180"/>
      <c r="AO957" s="180"/>
      <c r="AP957" s="180"/>
      <c r="AQ957" s="180"/>
      <c r="AR957" s="180"/>
      <c r="AS957" s="180"/>
      <c r="AT957" s="181"/>
    </row>
    <row r="958" spans="1:46" ht="15.75" customHeight="1" x14ac:dyDescent="0.3">
      <c r="A958" s="192" t="s">
        <v>13</v>
      </c>
      <c r="B958" s="180">
        <f>+G29</f>
        <v>179138</v>
      </c>
      <c r="C958" s="180">
        <f>+G64</f>
        <v>178713</v>
      </c>
      <c r="D958" s="180">
        <f>+G140</f>
        <v>178311</v>
      </c>
      <c r="E958" s="180">
        <f>+G330</f>
        <v>171828</v>
      </c>
      <c r="F958" s="180">
        <f>+G325</f>
        <v>0</v>
      </c>
      <c r="G958" s="180">
        <f>+G337</f>
        <v>-12620</v>
      </c>
      <c r="H958" s="180">
        <f>+G522</f>
        <v>126622</v>
      </c>
      <c r="I958" s="180">
        <f>+G573</f>
        <v>43779</v>
      </c>
      <c r="J958" s="180">
        <f>+G618</f>
        <v>35318</v>
      </c>
      <c r="K958" s="180">
        <f>+G684</f>
        <v>30287</v>
      </c>
      <c r="L958" s="180">
        <f>+G694</f>
        <v>23673</v>
      </c>
      <c r="M958" s="180">
        <f>+G730</f>
        <v>23631</v>
      </c>
      <c r="N958" s="180">
        <f>+G782</f>
        <v>21616</v>
      </c>
      <c r="O958" s="180">
        <f>+G792</f>
        <v>3958</v>
      </c>
      <c r="P958" s="180">
        <f>+G826</f>
        <v>6866</v>
      </c>
      <c r="Q958" s="180">
        <f>+G877</f>
        <v>3950</v>
      </c>
      <c r="R958" s="181"/>
      <c r="T958" s="193">
        <f>'[2]Lake Pleasant Forecast'!B43</f>
        <v>1693.7800000000002</v>
      </c>
      <c r="AC958" s="179" t="s">
        <v>641</v>
      </c>
      <c r="AD958" s="180">
        <f>SUM(AD945:AD956)</f>
        <v>288095</v>
      </c>
      <c r="AE958" s="180"/>
      <c r="AF958" s="180">
        <f t="shared" ref="AF958:AL958" si="322">SUM(AF945:AF956)</f>
        <v>466270.13006954285</v>
      </c>
      <c r="AG958" s="180">
        <f t="shared" si="322"/>
        <v>1574300.669</v>
      </c>
      <c r="AH958" s="180">
        <f t="shared" si="322"/>
        <v>2040570.7990695429</v>
      </c>
      <c r="AI958" s="180">
        <f t="shared" si="322"/>
        <v>429834</v>
      </c>
      <c r="AJ958" s="180">
        <f t="shared" si="322"/>
        <v>2470404.7990695424</v>
      </c>
      <c r="AK958" s="180">
        <f t="shared" si="322"/>
        <v>43869.632770286757</v>
      </c>
      <c r="AL958" s="180">
        <f t="shared" si="322"/>
        <v>2426535.1662992556</v>
      </c>
      <c r="AM958" s="180"/>
      <c r="AN958" s="180"/>
      <c r="AO958" s="180"/>
      <c r="AP958" s="180"/>
      <c r="AQ958" s="180"/>
      <c r="AR958" s="180"/>
      <c r="AS958" s="180"/>
      <c r="AT958" s="181"/>
    </row>
    <row r="959" spans="1:46" ht="15.75" customHeight="1" x14ac:dyDescent="0.3">
      <c r="A959" s="192" t="s">
        <v>14</v>
      </c>
      <c r="B959" s="180">
        <f>+H29</f>
        <v>106836</v>
      </c>
      <c r="C959" s="180">
        <f>+H64</f>
        <v>106419</v>
      </c>
      <c r="D959" s="180">
        <f>+H140</f>
        <v>106023</v>
      </c>
      <c r="E959" s="180">
        <f>+H330</f>
        <v>98377</v>
      </c>
      <c r="F959" s="180">
        <f>+H325</f>
        <v>0</v>
      </c>
      <c r="G959" s="180">
        <f>+H337</f>
        <v>-87156</v>
      </c>
      <c r="H959" s="180">
        <f>+H522</f>
        <v>138214</v>
      </c>
      <c r="I959" s="180">
        <f>+H573</f>
        <v>46499</v>
      </c>
      <c r="J959" s="180">
        <f>+H618</f>
        <v>32619</v>
      </c>
      <c r="K959" s="180">
        <f>+H684</f>
        <v>26558</v>
      </c>
      <c r="L959" s="180">
        <f>+H694</f>
        <v>23361</v>
      </c>
      <c r="M959" s="180">
        <f>+H730</f>
        <v>23317</v>
      </c>
      <c r="N959" s="180">
        <f>+H782</f>
        <v>20658</v>
      </c>
      <c r="O959" s="180">
        <f>+H792</f>
        <v>4294</v>
      </c>
      <c r="P959" s="180">
        <f>+H826</f>
        <v>7016</v>
      </c>
      <c r="Q959" s="180">
        <f>+H877</f>
        <v>4274</v>
      </c>
      <c r="R959" s="181"/>
      <c r="T959" s="193">
        <f>'[2]Lake Pleasant Forecast'!B45</f>
        <v>1681.1000000000001</v>
      </c>
      <c r="AC959" s="179"/>
      <c r="AD959" s="180"/>
      <c r="AE959" s="180"/>
      <c r="AF959" s="180"/>
      <c r="AG959" s="180"/>
      <c r="AH959" s="180"/>
      <c r="AI959" s="180"/>
      <c r="AJ959" s="180"/>
      <c r="AK959" s="180"/>
      <c r="AL959" s="180"/>
      <c r="AM959" s="180"/>
      <c r="AN959" s="180"/>
      <c r="AO959" s="180"/>
      <c r="AP959" s="180"/>
      <c r="AQ959" s="180"/>
      <c r="AR959" s="180"/>
      <c r="AS959" s="180"/>
      <c r="AT959" s="181"/>
    </row>
    <row r="960" spans="1:46" ht="15.75" customHeight="1" x14ac:dyDescent="0.3">
      <c r="A960" s="192" t="s">
        <v>16</v>
      </c>
      <c r="B960" s="180">
        <f>+J29</f>
        <v>74704</v>
      </c>
      <c r="C960" s="180">
        <f>+J64</f>
        <v>74288</v>
      </c>
      <c r="D960" s="180">
        <f>+J140</f>
        <v>73894</v>
      </c>
      <c r="E960" s="180">
        <f>+J330</f>
        <v>62314</v>
      </c>
      <c r="F960" s="180">
        <f>+J325</f>
        <v>0</v>
      </c>
      <c r="G960" s="180">
        <f>+J337</f>
        <v>-112890</v>
      </c>
      <c r="H960" s="180">
        <f>+J522</f>
        <v>129776</v>
      </c>
      <c r="I960" s="180">
        <f>+J573</f>
        <v>52305</v>
      </c>
      <c r="J960" s="180">
        <f>+J618</f>
        <v>35819</v>
      </c>
      <c r="K960" s="180">
        <f>+J684</f>
        <v>29606</v>
      </c>
      <c r="L960" s="180">
        <f>+J694</f>
        <v>22119</v>
      </c>
      <c r="M960" s="180">
        <f>+J730</f>
        <v>22080</v>
      </c>
      <c r="N960" s="180">
        <f>+J782</f>
        <v>21158</v>
      </c>
      <c r="O960" s="180">
        <f>+J792</f>
        <v>4098</v>
      </c>
      <c r="P960" s="180">
        <f>+J826</f>
        <v>6711</v>
      </c>
      <c r="Q960" s="180">
        <f>+J877</f>
        <v>4091</v>
      </c>
      <c r="R960" s="181"/>
      <c r="T960" s="193">
        <f>'[2]Lake Pleasant Forecast'!B47</f>
        <v>1671.6699725311105</v>
      </c>
      <c r="AC960" s="179" t="s">
        <v>696</v>
      </c>
      <c r="AD960" s="180"/>
      <c r="AE960" s="180"/>
      <c r="AF960" s="180"/>
      <c r="AG960" s="180"/>
      <c r="AH960" s="180"/>
      <c r="AI960" s="180"/>
      <c r="AJ960" s="180"/>
      <c r="AK960" s="180"/>
      <c r="AL960" s="180"/>
      <c r="AM960" s="180"/>
      <c r="AN960" s="180"/>
      <c r="AO960" s="180"/>
      <c r="AP960" s="180"/>
      <c r="AQ960" s="180"/>
      <c r="AR960" s="180"/>
      <c r="AS960" s="180"/>
      <c r="AT960" s="181"/>
    </row>
    <row r="961" spans="1:50" ht="15.75" customHeight="1" x14ac:dyDescent="0.3">
      <c r="A961" s="192" t="s">
        <v>17</v>
      </c>
      <c r="B961" s="180">
        <f>+K29</f>
        <v>63124</v>
      </c>
      <c r="C961" s="180">
        <f>+K64</f>
        <v>62790</v>
      </c>
      <c r="D961" s="180">
        <f>+K140</f>
        <v>62472</v>
      </c>
      <c r="E961" s="180">
        <f>+K330</f>
        <v>40585</v>
      </c>
      <c r="F961" s="180">
        <f>+K325</f>
        <v>5</v>
      </c>
      <c r="G961" s="180">
        <f>+K337</f>
        <v>-121200</v>
      </c>
      <c r="H961" s="180">
        <f>+K522</f>
        <v>114384</v>
      </c>
      <c r="I961" s="180">
        <f>+K573</f>
        <v>48848</v>
      </c>
      <c r="J961" s="180">
        <f>+K618</f>
        <v>34829</v>
      </c>
      <c r="K961" s="180">
        <f>+K684</f>
        <v>27707</v>
      </c>
      <c r="L961" s="180">
        <f>+K694</f>
        <v>20076</v>
      </c>
      <c r="M961" s="180">
        <f>+K730</f>
        <v>20040</v>
      </c>
      <c r="N961" s="180">
        <f>+K782</f>
        <v>18016</v>
      </c>
      <c r="O961" s="180">
        <f>+K792</f>
        <v>3920</v>
      </c>
      <c r="P961" s="180">
        <f>+K826</f>
        <v>6644</v>
      </c>
      <c r="Q961" s="180">
        <f>+K877</f>
        <v>3914</v>
      </c>
      <c r="R961" s="181"/>
      <c r="T961" s="193">
        <f>'[2]Lake Pleasant Forecast'!B49</f>
        <v>1661.2798188452823</v>
      </c>
      <c r="AC961" s="179" t="s">
        <v>697</v>
      </c>
      <c r="AD961" s="180"/>
      <c r="AE961" s="180"/>
      <c r="AF961" s="180"/>
      <c r="AG961" s="180"/>
      <c r="AH961" s="180"/>
      <c r="AI961" s="180"/>
      <c r="AJ961" s="180"/>
      <c r="AK961" s="180"/>
      <c r="AL961" s="180"/>
      <c r="AM961" s="180"/>
      <c r="AN961" s="180"/>
      <c r="AO961" s="180"/>
      <c r="AP961" s="180"/>
      <c r="AQ961" s="180"/>
      <c r="AR961" s="180"/>
      <c r="AS961" s="180"/>
      <c r="AT961" s="181"/>
    </row>
    <row r="962" spans="1:50" ht="15.75" customHeight="1" x14ac:dyDescent="0.3">
      <c r="A962" s="192" t="s">
        <v>18</v>
      </c>
      <c r="B962" s="180">
        <f>+L29</f>
        <v>164966</v>
      </c>
      <c r="C962" s="180">
        <f>+L64</f>
        <v>164650</v>
      </c>
      <c r="D962" s="180">
        <f>+L140</f>
        <v>164349</v>
      </c>
      <c r="E962" s="180">
        <f>+L330</f>
        <v>144430</v>
      </c>
      <c r="F962" s="180">
        <f>+L325</f>
        <v>33393</v>
      </c>
      <c r="G962" s="180">
        <f>+L337</f>
        <v>-3227</v>
      </c>
      <c r="H962" s="180">
        <f>+L522</f>
        <v>74986</v>
      </c>
      <c r="I962" s="180">
        <f>+L573</f>
        <v>35251</v>
      </c>
      <c r="J962" s="180">
        <f>+L618</f>
        <v>24963</v>
      </c>
      <c r="K962" s="180">
        <f>+L684</f>
        <v>22988</v>
      </c>
      <c r="L962" s="180">
        <f>+L694</f>
        <v>17717</v>
      </c>
      <c r="M962" s="180">
        <f>+L730</f>
        <v>17683</v>
      </c>
      <c r="N962" s="180">
        <f>+L782</f>
        <v>16977</v>
      </c>
      <c r="O962" s="180">
        <f>+L792</f>
        <v>4101</v>
      </c>
      <c r="P962" s="180">
        <f>+L826</f>
        <v>5051</v>
      </c>
      <c r="Q962" s="180">
        <f>+L877</f>
        <v>4095</v>
      </c>
      <c r="R962" s="181"/>
      <c r="T962" s="193">
        <f>'[2]Lake Pleasant Forecast'!B51</f>
        <v>1659.68</v>
      </c>
      <c r="AC962" s="179"/>
      <c r="AD962" s="180"/>
      <c r="AE962" s="180"/>
      <c r="AF962" s="180"/>
      <c r="AG962" s="180"/>
      <c r="AH962" s="180"/>
      <c r="AI962" s="180"/>
      <c r="AJ962" s="180"/>
      <c r="AK962" s="180"/>
      <c r="AL962" s="180"/>
      <c r="AM962" s="180"/>
      <c r="AN962" s="180"/>
      <c r="AO962" s="180"/>
      <c r="AP962" s="180"/>
      <c r="AQ962" s="180"/>
      <c r="AR962" s="180"/>
      <c r="AS962" s="180"/>
      <c r="AT962" s="181"/>
    </row>
    <row r="963" spans="1:50" ht="15.75" customHeight="1" x14ac:dyDescent="0.3">
      <c r="A963" s="192" t="s">
        <v>20</v>
      </c>
      <c r="B963" s="180">
        <f>+N29</f>
        <v>162845</v>
      </c>
      <c r="C963" s="180">
        <f>+N64</f>
        <v>162560</v>
      </c>
      <c r="D963" s="180">
        <f>+N140</f>
        <v>162288</v>
      </c>
      <c r="E963" s="180">
        <f>+N330</f>
        <v>147583</v>
      </c>
      <c r="F963" s="180">
        <f>+N325</f>
        <v>61538</v>
      </c>
      <c r="G963" s="180">
        <f>+N337</f>
        <v>-23</v>
      </c>
      <c r="H963" s="180">
        <f>+N522</f>
        <v>48733</v>
      </c>
      <c r="I963" s="180">
        <f>+N573</f>
        <v>15682</v>
      </c>
      <c r="J963" s="180">
        <f>+N618</f>
        <v>14446</v>
      </c>
      <c r="K963" s="180">
        <f>+N684</f>
        <v>13705</v>
      </c>
      <c r="L963" s="180">
        <f>+N694</f>
        <v>10235</v>
      </c>
      <c r="M963" s="180">
        <f>+N730</f>
        <v>10206</v>
      </c>
      <c r="N963" s="180">
        <f>+N782</f>
        <v>10017</v>
      </c>
      <c r="O963" s="180">
        <f>+N792</f>
        <v>3742</v>
      </c>
      <c r="P963" s="180">
        <f>+N826</f>
        <v>141</v>
      </c>
      <c r="Q963" s="180">
        <f>+N877</f>
        <v>3737</v>
      </c>
      <c r="R963" s="181"/>
      <c r="T963" s="193">
        <f>'[2]Lake Pleasant Forecast'!B53</f>
        <v>1666.2699999999998</v>
      </c>
      <c r="AC963" s="179" t="s">
        <v>698</v>
      </c>
      <c r="AD963" s="180"/>
      <c r="AE963" s="180"/>
      <c r="AF963" s="180"/>
      <c r="AG963" s="180"/>
      <c r="AH963" s="180"/>
      <c r="AI963" s="180"/>
      <c r="AJ963" s="180"/>
      <c r="AK963" s="180"/>
      <c r="AL963" s="180"/>
      <c r="AM963" s="180"/>
      <c r="AN963" s="180"/>
      <c r="AO963" s="180"/>
      <c r="AP963" s="180"/>
      <c r="AQ963" s="180"/>
      <c r="AR963" s="180"/>
      <c r="AS963" s="180"/>
      <c r="AT963" s="181"/>
    </row>
    <row r="964" spans="1:50" ht="15.75" customHeight="1" x14ac:dyDescent="0.3">
      <c r="A964" s="192" t="s">
        <v>21</v>
      </c>
      <c r="B964" s="180">
        <f>+O29</f>
        <v>122812</v>
      </c>
      <c r="C964" s="180">
        <f>+O64</f>
        <v>122577</v>
      </c>
      <c r="D964" s="180">
        <f>+O140</f>
        <v>122351</v>
      </c>
      <c r="E964" s="180">
        <f>+O330</f>
        <v>112550</v>
      </c>
      <c r="F964" s="180">
        <f>+O325</f>
        <v>65150</v>
      </c>
      <c r="G964" s="180">
        <f>+O337</f>
        <v>-5290</v>
      </c>
      <c r="H964" s="180">
        <f>+O522</f>
        <v>24179</v>
      </c>
      <c r="I964" s="180">
        <f>+O573</f>
        <v>3531</v>
      </c>
      <c r="J964" s="180">
        <f>+O618</f>
        <v>3509</v>
      </c>
      <c r="K964" s="180">
        <f>+O684</f>
        <v>3426</v>
      </c>
      <c r="L964" s="180">
        <f>+O694</f>
        <v>2939</v>
      </c>
      <c r="M964" s="180">
        <f>+O730</f>
        <v>2916</v>
      </c>
      <c r="N964" s="180">
        <f>+O782</f>
        <v>2548</v>
      </c>
      <c r="O964" s="180">
        <f>+O792</f>
        <v>1663</v>
      </c>
      <c r="P964" s="180">
        <f>+O826</f>
        <v>4685</v>
      </c>
      <c r="Q964" s="180">
        <f>+O877</f>
        <v>1660</v>
      </c>
      <c r="R964" s="181"/>
      <c r="T964" s="193">
        <f>'[2]Lake Pleasant Forecast'!B55</f>
        <v>1674.31</v>
      </c>
      <c r="AC964" s="179"/>
      <c r="AD964" s="180"/>
      <c r="AE964" s="180"/>
      <c r="AF964" s="180"/>
      <c r="AG964" s="180"/>
      <c r="AH964" s="180"/>
      <c r="AI964" s="180"/>
      <c r="AJ964" s="180"/>
      <c r="AK964" s="180"/>
      <c r="AL964" s="180"/>
      <c r="AM964" s="180"/>
      <c r="AN964" s="180"/>
      <c r="AO964" s="180"/>
      <c r="AP964" s="180"/>
      <c r="AQ964" s="180"/>
      <c r="AR964" s="180"/>
      <c r="AS964" s="180"/>
      <c r="AT964" s="181"/>
    </row>
    <row r="965" spans="1:50" ht="15.75" customHeight="1" thickBot="1" x14ac:dyDescent="0.35">
      <c r="A965" s="192" t="s">
        <v>22</v>
      </c>
      <c r="B965" s="180">
        <f>+P29</f>
        <v>141113</v>
      </c>
      <c r="C965" s="180">
        <f>+P64</f>
        <v>140927</v>
      </c>
      <c r="D965" s="180">
        <f>+P140</f>
        <v>140748</v>
      </c>
      <c r="E965" s="180">
        <f>+P330</f>
        <v>132271</v>
      </c>
      <c r="F965" s="180">
        <f>+P325</f>
        <v>77761</v>
      </c>
      <c r="G965" s="180">
        <f>+P337</f>
        <v>0</v>
      </c>
      <c r="H965" s="180">
        <f>+P522</f>
        <v>32830</v>
      </c>
      <c r="I965" s="180">
        <f>+P573</f>
        <v>11038</v>
      </c>
      <c r="J965" s="180">
        <f>+P618</f>
        <v>10303</v>
      </c>
      <c r="K965" s="180">
        <f>+P684</f>
        <v>10198</v>
      </c>
      <c r="L965" s="180">
        <f>+P694</f>
        <v>7378</v>
      </c>
      <c r="M965" s="180">
        <f>+P730</f>
        <v>7359</v>
      </c>
      <c r="N965" s="180">
        <f>+P782</f>
        <v>6743</v>
      </c>
      <c r="O965" s="180">
        <f>+P792</f>
        <v>1940</v>
      </c>
      <c r="P965" s="180">
        <f>+P826</f>
        <v>4765</v>
      </c>
      <c r="Q965" s="180">
        <f>+P877</f>
        <v>1938</v>
      </c>
      <c r="R965" s="181"/>
      <c r="T965" s="193">
        <f>'[2]Lake Pleasant Forecast'!B57</f>
        <v>1677.029882034898</v>
      </c>
      <c r="AC965" s="194" t="s">
        <v>699</v>
      </c>
      <c r="AD965" s="195"/>
      <c r="AE965" s="195"/>
      <c r="AF965" s="195"/>
      <c r="AG965" s="195"/>
      <c r="AH965" s="195"/>
      <c r="AI965" s="195"/>
      <c r="AJ965" s="195"/>
      <c r="AK965" s="195"/>
      <c r="AL965" s="195"/>
      <c r="AM965" s="195"/>
      <c r="AN965" s="195"/>
      <c r="AO965" s="195"/>
      <c r="AP965" s="195"/>
      <c r="AQ965" s="195"/>
      <c r="AR965" s="195"/>
      <c r="AS965" s="195"/>
      <c r="AT965" s="196"/>
    </row>
    <row r="966" spans="1:50" ht="15.75" customHeight="1" x14ac:dyDescent="0.3">
      <c r="A966" s="189"/>
      <c r="B966" s="180"/>
      <c r="C966" s="180"/>
      <c r="D966" s="180"/>
      <c r="E966" s="180"/>
      <c r="F966" s="180"/>
      <c r="G966" s="180"/>
      <c r="H966" s="180"/>
      <c r="I966" s="180"/>
      <c r="J966" s="180"/>
      <c r="K966" s="180"/>
      <c r="L966" s="180"/>
      <c r="M966" s="180"/>
      <c r="N966" s="180"/>
      <c r="O966" s="180"/>
      <c r="P966" s="180"/>
      <c r="Q966" s="180"/>
      <c r="R966" s="181"/>
    </row>
    <row r="967" spans="1:50" ht="15.75" customHeight="1" thickBot="1" x14ac:dyDescent="0.35">
      <c r="A967" s="189" t="s">
        <v>641</v>
      </c>
      <c r="B967" s="180">
        <f>SUM(B954:B965)</f>
        <v>1410611</v>
      </c>
      <c r="C967" s="180">
        <f t="shared" ref="C967:Q967" si="323">SUM(C954:C965)</f>
        <v>1407111</v>
      </c>
      <c r="D967" s="180">
        <f t="shared" si="323"/>
        <v>1403771</v>
      </c>
      <c r="E967" s="180">
        <f t="shared" si="323"/>
        <v>1295978</v>
      </c>
      <c r="F967" s="180">
        <f t="shared" si="323"/>
        <v>288095</v>
      </c>
      <c r="G967" s="180">
        <f t="shared" si="323"/>
        <v>-361664</v>
      </c>
      <c r="H967" s="180">
        <f t="shared" si="323"/>
        <v>937174</v>
      </c>
      <c r="I967" s="180">
        <f t="shared" si="323"/>
        <v>373423</v>
      </c>
      <c r="J967" s="180">
        <f t="shared" si="323"/>
        <v>294058</v>
      </c>
      <c r="K967" s="180">
        <f t="shared" si="323"/>
        <v>259635</v>
      </c>
      <c r="L967" s="180">
        <f t="shared" si="323"/>
        <v>201227</v>
      </c>
      <c r="M967" s="180">
        <f t="shared" si="323"/>
        <v>200854</v>
      </c>
      <c r="N967" s="180">
        <f t="shared" si="323"/>
        <v>185735</v>
      </c>
      <c r="O967" s="180">
        <f t="shared" si="323"/>
        <v>43295</v>
      </c>
      <c r="P967" s="180">
        <f t="shared" si="323"/>
        <v>59483</v>
      </c>
      <c r="Q967" s="180">
        <f t="shared" si="323"/>
        <v>43221</v>
      </c>
      <c r="R967" s="181"/>
    </row>
    <row r="968" spans="1:50" ht="15.75" customHeight="1" thickBot="1" x14ac:dyDescent="0.35">
      <c r="A968" s="135"/>
      <c r="B968" s="135"/>
      <c r="C968" s="135"/>
      <c r="D968" s="135"/>
      <c r="E968" s="135"/>
      <c r="F968" s="135"/>
      <c r="G968" s="135"/>
      <c r="H968" s="135"/>
      <c r="I968" s="135"/>
      <c r="J968" s="135"/>
      <c r="K968" s="135"/>
      <c r="L968" s="135"/>
      <c r="M968" s="135"/>
      <c r="N968" s="135"/>
      <c r="O968" s="135"/>
      <c r="P968" s="135"/>
      <c r="Q968" s="135"/>
      <c r="R968" s="196"/>
      <c r="AC968" s="350"/>
      <c r="AD968" s="351"/>
      <c r="AE968" s="351"/>
      <c r="AF968" s="351"/>
      <c r="AG968" s="351"/>
      <c r="AH968" s="351"/>
      <c r="AI968" s="351"/>
      <c r="AJ968" s="351"/>
      <c r="AK968" s="351"/>
      <c r="AL968" s="351"/>
      <c r="AM968" s="351"/>
      <c r="AN968" s="351"/>
      <c r="AO968" s="351"/>
      <c r="AP968" s="351"/>
      <c r="AQ968" s="351"/>
      <c r="AR968" s="351"/>
      <c r="AS968" s="354" t="str">
        <f>+Q1</f>
        <v xml:space="preserve">PRINTED:  </v>
      </c>
      <c r="AT968" s="357">
        <f ca="1">+R1</f>
        <v>44894.658168402777</v>
      </c>
      <c r="AU968" s="358"/>
      <c r="AW968" s="199" t="s">
        <v>700</v>
      </c>
      <c r="AX968" s="180"/>
    </row>
    <row r="969" spans="1:50" ht="15.75" customHeight="1" x14ac:dyDescent="0.35">
      <c r="A969" s="359"/>
      <c r="B969" s="359"/>
      <c r="C969" s="359"/>
      <c r="D969" s="359"/>
      <c r="E969" s="359"/>
      <c r="F969" s="359"/>
      <c r="G969" s="359"/>
      <c r="H969" s="359"/>
      <c r="I969" s="359"/>
      <c r="J969" s="359"/>
      <c r="K969" s="359"/>
      <c r="L969" s="359"/>
      <c r="M969" s="359"/>
      <c r="N969" s="359"/>
      <c r="O969" s="359"/>
      <c r="P969" s="359"/>
      <c r="Q969" s="359"/>
      <c r="R969" s="351"/>
      <c r="AC969" s="179"/>
      <c r="AD969" s="180"/>
      <c r="AE969" s="199" t="s">
        <v>701</v>
      </c>
      <c r="AF969" s="180"/>
      <c r="AG969" s="180"/>
      <c r="AH969" s="180"/>
      <c r="AI969" s="180"/>
      <c r="AJ969" s="180"/>
      <c r="AK969" s="180"/>
      <c r="AL969" s="180"/>
      <c r="AM969" s="180"/>
      <c r="AN969" s="201"/>
      <c r="AO969" s="199" t="s">
        <v>702</v>
      </c>
      <c r="AP969" s="180"/>
      <c r="AQ969" s="180"/>
      <c r="AR969" s="180"/>
      <c r="AS969" s="180"/>
      <c r="AT969" s="180"/>
      <c r="AU969" s="133"/>
      <c r="AW969" s="180" t="s">
        <v>703</v>
      </c>
      <c r="AX969" s="180"/>
    </row>
    <row r="970" spans="1:50" ht="16.5" customHeight="1" x14ac:dyDescent="0.3">
      <c r="A970" s="189" t="s">
        <v>7</v>
      </c>
      <c r="B970" s="180"/>
      <c r="C970" s="180"/>
      <c r="D970" s="180"/>
      <c r="E970" s="180"/>
      <c r="F970" s="180"/>
      <c r="G970" s="180"/>
      <c r="H970" s="180"/>
      <c r="I970" s="180"/>
      <c r="J970" s="180"/>
      <c r="K970" s="180"/>
      <c r="L970" s="180"/>
      <c r="M970" s="180"/>
      <c r="N970" s="180"/>
      <c r="O970" s="180"/>
      <c r="P970" s="180"/>
      <c r="Q970" s="180"/>
      <c r="R970" s="180"/>
      <c r="AC970" s="179"/>
      <c r="AD970" s="180"/>
      <c r="AE970" s="180"/>
      <c r="AF970" s="180"/>
      <c r="AG970" s="180" t="s">
        <v>7</v>
      </c>
      <c r="AH970" s="202" t="str">
        <f>+A8</f>
        <v>Revised:  12/23/2020</v>
      </c>
      <c r="AI970" s="180"/>
      <c r="AJ970" s="180"/>
      <c r="AK970" s="180"/>
      <c r="AL970" s="180"/>
      <c r="AM970" s="180"/>
      <c r="AN970" s="180"/>
      <c r="AO970" s="180"/>
      <c r="AP970" s="180"/>
      <c r="AQ970" s="180"/>
      <c r="AR970" s="180" t="s">
        <v>7</v>
      </c>
      <c r="AS970" s="202" t="str">
        <f>+A8</f>
        <v>Revised:  12/23/2020</v>
      </c>
      <c r="AT970" s="180"/>
      <c r="AU970" s="133"/>
      <c r="AW970" s="180"/>
      <c r="AX970" s="180"/>
    </row>
    <row r="971" spans="1:50" ht="15.75" customHeight="1" x14ac:dyDescent="0.3">
      <c r="A971" s="182"/>
      <c r="B971" s="180"/>
      <c r="C971" s="180"/>
      <c r="D971" s="180"/>
      <c r="E971" s="180"/>
      <c r="F971" s="180"/>
      <c r="G971" s="180"/>
      <c r="H971" s="180"/>
      <c r="I971" s="180"/>
      <c r="J971" s="180"/>
      <c r="K971" s="180"/>
      <c r="L971" s="180"/>
      <c r="M971" s="180"/>
      <c r="N971" s="180"/>
      <c r="O971" s="180"/>
      <c r="P971" s="180"/>
      <c r="Q971" s="180"/>
      <c r="R971" s="180"/>
      <c r="AC971" s="179"/>
      <c r="AD971" s="180"/>
      <c r="AE971" s="180"/>
      <c r="AF971" s="180" t="s">
        <v>704</v>
      </c>
      <c r="AG971" s="180"/>
      <c r="AH971" s="180"/>
      <c r="AI971" s="180"/>
      <c r="AJ971" s="180"/>
      <c r="AK971" s="180"/>
      <c r="AL971" s="180"/>
      <c r="AM971" s="180"/>
      <c r="AN971" s="180"/>
      <c r="AO971" s="180"/>
      <c r="AP971" s="180" t="s">
        <v>704</v>
      </c>
      <c r="AQ971" s="180"/>
      <c r="AR971" s="180"/>
      <c r="AS971" s="180"/>
      <c r="AT971" s="180"/>
      <c r="AU971" s="133"/>
      <c r="AW971" s="180" t="s">
        <v>633</v>
      </c>
      <c r="AX971" s="182" t="s">
        <v>658</v>
      </c>
    </row>
    <row r="972" spans="1:50" ht="15.75" customHeight="1" x14ac:dyDescent="0.3">
      <c r="A972" s="192"/>
      <c r="AC972" s="179"/>
      <c r="AD972" s="180"/>
      <c r="AE972" s="180"/>
      <c r="AF972" s="180"/>
      <c r="AG972" s="180"/>
      <c r="AH972" s="180"/>
      <c r="AI972" s="180"/>
      <c r="AJ972" s="180"/>
      <c r="AK972" s="180"/>
      <c r="AL972" s="180"/>
      <c r="AM972" s="180"/>
      <c r="AN972" s="180"/>
      <c r="AO972" s="180"/>
      <c r="AP972" s="180"/>
      <c r="AQ972" s="180"/>
      <c r="AR972" s="180"/>
      <c r="AS972" s="180"/>
      <c r="AT972" s="180"/>
      <c r="AU972" s="133"/>
      <c r="AW972" s="182" t="s">
        <v>658</v>
      </c>
      <c r="AX972" s="182" t="s">
        <v>655</v>
      </c>
    </row>
    <row r="973" spans="1:50" ht="15.75" customHeight="1" thickBot="1" x14ac:dyDescent="0.35">
      <c r="A973" s="192"/>
      <c r="AC973" s="179"/>
      <c r="AD973" s="180"/>
      <c r="AE973" s="180"/>
      <c r="AF973" s="180"/>
      <c r="AG973" s="180">
        <f>+A5</f>
        <v>2020</v>
      </c>
      <c r="AH973" s="180"/>
      <c r="AI973" s="180"/>
      <c r="AJ973" s="180"/>
      <c r="AK973" s="180"/>
      <c r="AL973" s="180"/>
      <c r="AM973" s="180"/>
      <c r="AN973" s="180"/>
      <c r="AO973" s="180"/>
      <c r="AP973" s="180"/>
      <c r="AQ973" s="180"/>
      <c r="AR973" s="180">
        <f>+A5</f>
        <v>2020</v>
      </c>
      <c r="AS973" s="180"/>
      <c r="AT973" s="180"/>
      <c r="AU973" s="133"/>
      <c r="AW973" s="182" t="s">
        <v>705</v>
      </c>
      <c r="AX973" s="182" t="s">
        <v>706</v>
      </c>
    </row>
    <row r="974" spans="1:50" ht="15.75" customHeight="1" x14ac:dyDescent="0.3">
      <c r="A974" s="356"/>
      <c r="B974" s="423" t="s">
        <v>707</v>
      </c>
      <c r="C974" s="423"/>
      <c r="D974" s="423"/>
      <c r="E974" s="423"/>
      <c r="F974" s="423"/>
      <c r="G974" s="423"/>
      <c r="H974" s="423"/>
      <c r="I974" s="423"/>
      <c r="J974" s="423"/>
      <c r="K974" s="423"/>
      <c r="L974" s="423"/>
      <c r="M974" s="423"/>
      <c r="N974" s="423"/>
      <c r="O974" s="423"/>
      <c r="P974" s="423"/>
      <c r="Q974" s="354" t="str">
        <f>+Q1</f>
        <v xml:space="preserve">PRINTED:  </v>
      </c>
      <c r="R974" s="355">
        <f ca="1">+R1</f>
        <v>44894.658168402777</v>
      </c>
      <c r="AC974" s="179"/>
      <c r="AD974" s="180"/>
      <c r="AE974" s="180"/>
      <c r="AF974" s="180"/>
      <c r="AG974" s="180" t="s">
        <v>708</v>
      </c>
      <c r="AH974" s="180"/>
      <c r="AI974" s="180"/>
      <c r="AJ974" s="180"/>
      <c r="AK974" s="180"/>
      <c r="AL974" s="180"/>
      <c r="AM974" s="180"/>
      <c r="AN974" s="180"/>
      <c r="AO974" s="180"/>
      <c r="AP974" s="180"/>
      <c r="AQ974" s="180"/>
      <c r="AR974" s="180" t="s">
        <v>708</v>
      </c>
      <c r="AS974" s="180"/>
      <c r="AT974" s="180"/>
      <c r="AU974" s="133"/>
      <c r="AW974" s="182" t="s">
        <v>666</v>
      </c>
      <c r="AX974" s="182" t="s">
        <v>666</v>
      </c>
    </row>
    <row r="975" spans="1:50" ht="15.75" customHeight="1" x14ac:dyDescent="0.3">
      <c r="A975" s="189"/>
      <c r="B975" s="394" t="str">
        <f>+A8</f>
        <v>Revised:  12/23/2020</v>
      </c>
      <c r="C975" s="394"/>
      <c r="D975" s="394"/>
      <c r="E975" s="394"/>
      <c r="F975" s="394"/>
      <c r="G975" s="394"/>
      <c r="H975" s="394"/>
      <c r="I975" s="394"/>
      <c r="J975" s="394"/>
      <c r="K975" s="394"/>
      <c r="L975" s="394"/>
      <c r="M975" s="394"/>
      <c r="N975" s="394"/>
      <c r="O975" s="394"/>
      <c r="P975" s="394"/>
      <c r="Q975" s="180"/>
      <c r="R975" s="181"/>
      <c r="AC975" s="179"/>
      <c r="AD975" s="180"/>
      <c r="AE975" s="180"/>
      <c r="AF975" s="180"/>
      <c r="AG975" s="180"/>
      <c r="AH975" s="180"/>
      <c r="AI975" s="180"/>
      <c r="AJ975" s="180"/>
      <c r="AK975" s="180"/>
      <c r="AL975" s="180"/>
      <c r="AM975" s="180"/>
      <c r="AN975" s="180"/>
      <c r="AO975" s="180"/>
      <c r="AP975" s="180"/>
      <c r="AQ975" s="180"/>
      <c r="AR975" s="180"/>
      <c r="AS975" s="180"/>
      <c r="AT975" s="180"/>
      <c r="AU975" s="133"/>
      <c r="AW975" s="180">
        <f t="shared" ref="AW975:AW986" si="324">SUM(L1011:Q1011)</f>
        <v>8056</v>
      </c>
      <c r="AX975" s="203">
        <v>2.4700000000000002</v>
      </c>
    </row>
    <row r="976" spans="1:50" ht="15.75" customHeight="1" x14ac:dyDescent="0.3">
      <c r="A976" s="189"/>
      <c r="B976" s="394" t="s">
        <v>670</v>
      </c>
      <c r="C976" s="394"/>
      <c r="D976" s="394"/>
      <c r="E976" s="394"/>
      <c r="F976" s="394"/>
      <c r="G976" s="394"/>
      <c r="H976" s="394"/>
      <c r="I976" s="394"/>
      <c r="J976" s="394"/>
      <c r="K976" s="394"/>
      <c r="L976" s="394"/>
      <c r="M976" s="394"/>
      <c r="N976" s="394"/>
      <c r="O976" s="394"/>
      <c r="P976" s="394"/>
      <c r="Q976" s="180"/>
      <c r="R976" s="181"/>
      <c r="AC976" s="179" t="s">
        <v>709</v>
      </c>
      <c r="AD976" s="182" t="s">
        <v>677</v>
      </c>
      <c r="AE976" s="182" t="s">
        <v>678</v>
      </c>
      <c r="AF976" s="182" t="s">
        <v>679</v>
      </c>
      <c r="AG976" s="182" t="s">
        <v>680</v>
      </c>
      <c r="AH976" s="182" t="s">
        <v>644</v>
      </c>
      <c r="AI976" s="180"/>
      <c r="AJ976" s="182" t="s">
        <v>641</v>
      </c>
      <c r="AK976" s="180"/>
      <c r="AL976" s="180"/>
      <c r="AM976" s="180"/>
      <c r="AN976" s="180" t="s">
        <v>709</v>
      </c>
      <c r="AO976" s="182" t="s">
        <v>677</v>
      </c>
      <c r="AP976" s="182" t="s">
        <v>678</v>
      </c>
      <c r="AQ976" s="182" t="s">
        <v>679</v>
      </c>
      <c r="AR976" s="182" t="s">
        <v>680</v>
      </c>
      <c r="AS976" s="182" t="s">
        <v>644</v>
      </c>
      <c r="AT976" s="182" t="s">
        <v>641</v>
      </c>
      <c r="AU976" s="133"/>
      <c r="AW976" s="180">
        <f t="shared" si="324"/>
        <v>12130</v>
      </c>
      <c r="AX976" s="203">
        <v>2.4700000000000002</v>
      </c>
    </row>
    <row r="977" spans="1:50" ht="15.75" customHeight="1" x14ac:dyDescent="0.3">
      <c r="A977" s="189"/>
      <c r="B977" s="394"/>
      <c r="C977" s="394"/>
      <c r="D977" s="394"/>
      <c r="E977" s="394"/>
      <c r="F977" s="394"/>
      <c r="G977" s="394"/>
      <c r="H977" s="394"/>
      <c r="I977" s="394"/>
      <c r="J977" s="394"/>
      <c r="K977" s="394"/>
      <c r="L977" s="394"/>
      <c r="M977" s="394"/>
      <c r="N977" s="394"/>
      <c r="O977" s="394"/>
      <c r="P977" s="394"/>
      <c r="Q977" s="180"/>
      <c r="R977" s="181"/>
      <c r="AC977" s="179" t="s">
        <v>710</v>
      </c>
      <c r="AD977" s="180"/>
      <c r="AE977" s="180"/>
      <c r="AF977" s="180"/>
      <c r="AG977" s="180"/>
      <c r="AH977" s="182" t="s">
        <v>127</v>
      </c>
      <c r="AI977" s="180"/>
      <c r="AJ977" s="182" t="s">
        <v>711</v>
      </c>
      <c r="AK977" s="180"/>
      <c r="AL977" s="180"/>
      <c r="AM977" s="180"/>
      <c r="AN977" s="180" t="s">
        <v>710</v>
      </c>
      <c r="AO977" s="180"/>
      <c r="AP977" s="180"/>
      <c r="AQ977" s="180"/>
      <c r="AR977" s="180"/>
      <c r="AS977" s="182" t="s">
        <v>127</v>
      </c>
      <c r="AT977" s="182" t="s">
        <v>711</v>
      </c>
      <c r="AU977" s="133"/>
      <c r="AW977" s="180">
        <f t="shared" si="324"/>
        <v>13760</v>
      </c>
      <c r="AX977" s="203">
        <v>2.4700000000000002</v>
      </c>
    </row>
    <row r="978" spans="1:50" ht="15.75" customHeight="1" x14ac:dyDescent="0.3">
      <c r="A978" s="189"/>
      <c r="B978" s="395">
        <f>+A5</f>
        <v>2020</v>
      </c>
      <c r="C978" s="395"/>
      <c r="D978" s="395"/>
      <c r="E978" s="395"/>
      <c r="F978" s="395"/>
      <c r="G978" s="395"/>
      <c r="H978" s="395"/>
      <c r="I978" s="395"/>
      <c r="J978" s="395"/>
      <c r="K978" s="395"/>
      <c r="L978" s="395"/>
      <c r="M978" s="395"/>
      <c r="N978" s="395"/>
      <c r="O978" s="395"/>
      <c r="P978" s="395"/>
      <c r="Q978" s="180"/>
      <c r="R978" s="181"/>
      <c r="AC978" s="179" t="s">
        <v>712</v>
      </c>
      <c r="AD978" s="180">
        <f>+$B$1009</f>
        <v>957</v>
      </c>
      <c r="AE978" s="180">
        <f>+C$1009</f>
        <v>122</v>
      </c>
      <c r="AF978" s="180">
        <f>+D$1009</f>
        <v>128</v>
      </c>
      <c r="AG978" s="180">
        <f>+E$1009</f>
        <v>219</v>
      </c>
      <c r="AH978" s="180"/>
      <c r="AI978" s="180"/>
      <c r="AJ978" s="182" t="s">
        <v>658</v>
      </c>
      <c r="AK978" s="180"/>
      <c r="AL978" s="180"/>
      <c r="AM978" s="180"/>
      <c r="AN978" s="180" t="s">
        <v>712</v>
      </c>
      <c r="AO978" s="180">
        <f>+$B$1009</f>
        <v>957</v>
      </c>
      <c r="AP978" s="180">
        <f>+C$1009</f>
        <v>122</v>
      </c>
      <c r="AQ978" s="180">
        <f>+D$1009</f>
        <v>128</v>
      </c>
      <c r="AR978" s="180">
        <f>+E$1009</f>
        <v>219</v>
      </c>
      <c r="AS978" s="180"/>
      <c r="AT978" s="182" t="s">
        <v>658</v>
      </c>
      <c r="AU978" s="133"/>
      <c r="AW978" s="180">
        <f t="shared" si="324"/>
        <v>15064</v>
      </c>
      <c r="AX978" s="203">
        <v>2.4700000000000002</v>
      </c>
    </row>
    <row r="979" spans="1:50" ht="15.75" customHeight="1" x14ac:dyDescent="0.3">
      <c r="A979" s="189"/>
      <c r="B979" s="394" t="s">
        <v>713</v>
      </c>
      <c r="C979" s="394"/>
      <c r="D979" s="394"/>
      <c r="E979" s="394"/>
      <c r="F979" s="394"/>
      <c r="G979" s="394"/>
      <c r="H979" s="394"/>
      <c r="I979" s="394"/>
      <c r="J979" s="394"/>
      <c r="K979" s="394"/>
      <c r="L979" s="394"/>
      <c r="M979" s="394"/>
      <c r="N979" s="394"/>
      <c r="O979" s="394"/>
      <c r="P979" s="394"/>
      <c r="Q979" s="180"/>
      <c r="R979" s="181"/>
      <c r="AC979" s="179"/>
      <c r="AD979" s="180" t="s">
        <v>666</v>
      </c>
      <c r="AE979" s="180" t="s">
        <v>666</v>
      </c>
      <c r="AF979" s="180" t="s">
        <v>666</v>
      </c>
      <c r="AG979" s="180" t="s">
        <v>666</v>
      </c>
      <c r="AH979" s="180" t="s">
        <v>666</v>
      </c>
      <c r="AI979" s="180"/>
      <c r="AJ979" s="180" t="s">
        <v>714</v>
      </c>
      <c r="AK979" s="180"/>
      <c r="AL979" s="180"/>
      <c r="AM979" s="180"/>
      <c r="AN979" s="180"/>
      <c r="AO979" s="180" t="s">
        <v>666</v>
      </c>
      <c r="AP979" s="180" t="s">
        <v>666</v>
      </c>
      <c r="AQ979" s="180" t="s">
        <v>666</v>
      </c>
      <c r="AR979" s="180" t="s">
        <v>666</v>
      </c>
      <c r="AS979" s="180" t="s">
        <v>666</v>
      </c>
      <c r="AT979" s="180" t="s">
        <v>714</v>
      </c>
      <c r="AU979" s="133"/>
      <c r="AW979" s="180">
        <f t="shared" si="324"/>
        <v>15423</v>
      </c>
      <c r="AX979" s="203">
        <v>2.4700000000000002</v>
      </c>
    </row>
    <row r="980" spans="1:50" ht="15.75" customHeight="1" x14ac:dyDescent="0.3">
      <c r="A980" s="189"/>
      <c r="B980" s="180"/>
      <c r="C980" s="180"/>
      <c r="D980" s="180"/>
      <c r="E980" s="180"/>
      <c r="F980" s="180"/>
      <c r="G980" s="180"/>
      <c r="H980" s="180"/>
      <c r="I980" s="180"/>
      <c r="J980" s="180"/>
      <c r="K980" s="180"/>
      <c r="L980" s="180"/>
      <c r="M980" s="180"/>
      <c r="N980" s="180"/>
      <c r="O980" s="180"/>
      <c r="P980" s="180"/>
      <c r="Q980" s="180"/>
      <c r="R980" s="181"/>
      <c r="AC980" s="189" t="s">
        <v>668</v>
      </c>
      <c r="AD980" s="180">
        <f t="shared" ref="AD980:AD991" si="325">ROUND($F954*$AD$978/1000,0)</f>
        <v>19827</v>
      </c>
      <c r="AE980" s="180">
        <f t="shared" ref="AE980:AE991" si="326">ROUND($F954*$AE$978/1000,0)</f>
        <v>2528</v>
      </c>
      <c r="AF980" s="180">
        <f t="shared" ref="AF980:AF991" si="327">ROUND($F954*$AF$978/1000,0)</f>
        <v>2652</v>
      </c>
      <c r="AG980" s="180">
        <f t="shared" ref="AG980:AG991" si="328">ROUND($F954*$AG$978/1000,0)</f>
        <v>4537</v>
      </c>
      <c r="AH980" s="180">
        <f>(F954*((T954-1526.8)/0.7702))/1000</f>
        <v>4395.3743141133909</v>
      </c>
      <c r="AI980" s="180"/>
      <c r="AJ980" s="180">
        <f t="shared" ref="AJ980:AJ991" si="329">SUM(AD980:AH980)</f>
        <v>33939.374314113389</v>
      </c>
      <c r="AK980" s="180"/>
      <c r="AL980" s="180"/>
      <c r="AM980" s="180"/>
      <c r="AN980" s="182" t="s">
        <v>668</v>
      </c>
      <c r="AO980" s="180">
        <f t="shared" ref="AO980:AO991" si="330">ROUND((B954-$F954)*$AO$978/1000,0)</f>
        <v>51244</v>
      </c>
      <c r="AP980" s="180">
        <f t="shared" ref="AP980:AP991" si="331">ROUND((C954-$F954)*$AP$978/1000,0)</f>
        <v>6521</v>
      </c>
      <c r="AQ980" s="180">
        <f t="shared" ref="AQ980:AQ991" si="332">ROUND((D954-$F954)*$AQ$978/1000,0)</f>
        <v>6829</v>
      </c>
      <c r="AR980" s="180">
        <f t="shared" ref="AR980:AR991" si="333">ROUND((E954-$F954)*$AR$978/1000,0)</f>
        <v>11460</v>
      </c>
      <c r="AS980" s="180">
        <f>((F954-$F954)*((T954-1526.8)/0.7702))/1000</f>
        <v>0</v>
      </c>
      <c r="AT980" s="180">
        <f t="shared" ref="AT980:AT991" si="334">SUM(AN980:AR980)</f>
        <v>76054</v>
      </c>
      <c r="AU980" s="133"/>
      <c r="AW980" s="180">
        <f t="shared" si="324"/>
        <v>15376</v>
      </c>
      <c r="AX980" s="203">
        <v>2.4700000000000002</v>
      </c>
    </row>
    <row r="981" spans="1:50" ht="15.75" customHeight="1" thickBot="1" x14ac:dyDescent="0.35">
      <c r="A981" s="189" t="s">
        <v>647</v>
      </c>
      <c r="B981" s="191" t="s">
        <v>677</v>
      </c>
      <c r="C981" s="191" t="s">
        <v>678</v>
      </c>
      <c r="D981" s="191" t="s">
        <v>679</v>
      </c>
      <c r="E981" s="191" t="s">
        <v>680</v>
      </c>
      <c r="F981" s="191" t="s">
        <v>644</v>
      </c>
      <c r="G981" s="191" t="s">
        <v>644</v>
      </c>
      <c r="H981" s="191" t="s">
        <v>681</v>
      </c>
      <c r="I981" s="191" t="s">
        <v>682</v>
      </c>
      <c r="J981" s="191" t="s">
        <v>683</v>
      </c>
      <c r="K981" s="191" t="s">
        <v>684</v>
      </c>
      <c r="L981" s="191" t="s">
        <v>685</v>
      </c>
      <c r="M981" s="191" t="s">
        <v>686</v>
      </c>
      <c r="N981" s="191" t="s">
        <v>687</v>
      </c>
      <c r="O981" s="191" t="s">
        <v>688</v>
      </c>
      <c r="P981" s="191" t="s">
        <v>689</v>
      </c>
      <c r="Q981" s="191" t="s">
        <v>638</v>
      </c>
      <c r="R981" s="181"/>
      <c r="AC981" s="189" t="s">
        <v>669</v>
      </c>
      <c r="AD981" s="180">
        <f t="shared" si="325"/>
        <v>2599</v>
      </c>
      <c r="AE981" s="180">
        <f t="shared" si="326"/>
        <v>331</v>
      </c>
      <c r="AF981" s="180">
        <f t="shared" si="327"/>
        <v>348</v>
      </c>
      <c r="AG981" s="180">
        <f t="shared" si="328"/>
        <v>595</v>
      </c>
      <c r="AH981" s="180">
        <f t="shared" ref="AH980:AH991" si="335">(F955*((T955-1526.8)/0.7702))/1000</f>
        <v>588.40789405349301</v>
      </c>
      <c r="AI981" s="180"/>
      <c r="AJ981" s="180">
        <f t="shared" si="329"/>
        <v>4461.4078940534928</v>
      </c>
      <c r="AK981" s="180"/>
      <c r="AL981" s="180"/>
      <c r="AM981" s="180"/>
      <c r="AN981" s="182" t="s">
        <v>669</v>
      </c>
      <c r="AO981" s="180">
        <f t="shared" si="330"/>
        <v>68487</v>
      </c>
      <c r="AP981" s="180">
        <f t="shared" si="331"/>
        <v>8713</v>
      </c>
      <c r="AQ981" s="180">
        <f t="shared" si="332"/>
        <v>9123</v>
      </c>
      <c r="AR981" s="180">
        <f t="shared" si="333"/>
        <v>15440</v>
      </c>
      <c r="AS981" s="180">
        <f t="shared" ref="AS981:AS991" si="336">((F955-$F955)*((T955-1526.8)/0.7702))/1000</f>
        <v>0</v>
      </c>
      <c r="AT981" s="180">
        <f t="shared" si="334"/>
        <v>101763</v>
      </c>
      <c r="AU981" s="133"/>
      <c r="AW981" s="180">
        <f t="shared" si="324"/>
        <v>15009</v>
      </c>
      <c r="AX981" s="203">
        <v>2.4700000000000002</v>
      </c>
    </row>
    <row r="982" spans="1:50" ht="15.75" customHeight="1" x14ac:dyDescent="0.3">
      <c r="A982" s="189"/>
      <c r="B982" s="180"/>
      <c r="C982" s="180"/>
      <c r="D982" s="180"/>
      <c r="E982" s="180"/>
      <c r="F982" s="182" t="s">
        <v>127</v>
      </c>
      <c r="G982" s="182" t="s">
        <v>653</v>
      </c>
      <c r="H982" s="180"/>
      <c r="I982" s="180"/>
      <c r="J982" s="180"/>
      <c r="K982" s="180"/>
      <c r="L982" s="180"/>
      <c r="M982" s="180"/>
      <c r="N982" s="180"/>
      <c r="O982" s="180"/>
      <c r="P982" s="180"/>
      <c r="Q982" s="180"/>
      <c r="R982" s="181"/>
      <c r="AC982" s="189" t="s">
        <v>671</v>
      </c>
      <c r="AD982" s="180">
        <f t="shared" si="325"/>
        <v>22199</v>
      </c>
      <c r="AE982" s="180">
        <f t="shared" si="326"/>
        <v>2830</v>
      </c>
      <c r="AF982" s="180">
        <f t="shared" si="327"/>
        <v>2969</v>
      </c>
      <c r="AG982" s="180">
        <f t="shared" si="328"/>
        <v>5080</v>
      </c>
      <c r="AH982" s="180">
        <f t="shared" si="335"/>
        <v>5116.8532848610776</v>
      </c>
      <c r="AI982" s="180"/>
      <c r="AJ982" s="180">
        <f t="shared" si="329"/>
        <v>38194.853284861078</v>
      </c>
      <c r="AK982" s="180"/>
      <c r="AL982" s="180"/>
      <c r="AM982" s="180"/>
      <c r="AN982" s="182" t="s">
        <v>671</v>
      </c>
      <c r="AO982" s="180">
        <f t="shared" si="330"/>
        <v>68937</v>
      </c>
      <c r="AP982" s="180">
        <f t="shared" si="331"/>
        <v>8755</v>
      </c>
      <c r="AQ982" s="180">
        <f t="shared" si="332"/>
        <v>9152</v>
      </c>
      <c r="AR982" s="180">
        <f t="shared" si="333"/>
        <v>15313</v>
      </c>
      <c r="AS982" s="180">
        <f t="shared" si="336"/>
        <v>0</v>
      </c>
      <c r="AT982" s="180">
        <f t="shared" si="334"/>
        <v>102157</v>
      </c>
      <c r="AU982" s="133"/>
      <c r="AW982" s="180">
        <f t="shared" si="324"/>
        <v>13642</v>
      </c>
      <c r="AX982" s="203">
        <v>2.4700000000000002</v>
      </c>
    </row>
    <row r="983" spans="1:50" ht="15.75" customHeight="1" x14ac:dyDescent="0.3">
      <c r="A983" s="192" t="s">
        <v>8</v>
      </c>
      <c r="B983" s="180">
        <f t="shared" ref="B983:Q983" si="337">(B954/$B$10/1.983)</f>
        <v>1208.0750898768565</v>
      </c>
      <c r="C983" s="180">
        <f t="shared" si="337"/>
        <v>1206.4971613553917</v>
      </c>
      <c r="D983" s="180">
        <f t="shared" si="337"/>
        <v>1204.9355001382721</v>
      </c>
      <c r="E983" s="180">
        <f t="shared" si="337"/>
        <v>1188.2777804889952</v>
      </c>
      <c r="F983" s="180">
        <f t="shared" si="337"/>
        <v>337.02601141964766</v>
      </c>
      <c r="G983" s="180">
        <f t="shared" si="337"/>
        <v>0</v>
      </c>
      <c r="H983" s="180">
        <f t="shared" si="337"/>
        <v>478.34008426463646</v>
      </c>
      <c r="I983" s="180">
        <f t="shared" si="337"/>
        <v>229.98714882956745</v>
      </c>
      <c r="J983" s="180">
        <f t="shared" si="337"/>
        <v>229.84074309046247</v>
      </c>
      <c r="K983" s="180">
        <f t="shared" si="337"/>
        <v>228.14894343858279</v>
      </c>
      <c r="L983" s="180">
        <f t="shared" si="337"/>
        <v>155.56423145120621</v>
      </c>
      <c r="M983" s="180">
        <f t="shared" si="337"/>
        <v>155.23888536430627</v>
      </c>
      <c r="N983" s="180">
        <f t="shared" si="337"/>
        <v>149.44772501748736</v>
      </c>
      <c r="O983" s="180">
        <f t="shared" si="337"/>
        <v>57.846534250809292</v>
      </c>
      <c r="P983" s="180">
        <f t="shared" si="337"/>
        <v>67.086363118767579</v>
      </c>
      <c r="Q983" s="180">
        <f t="shared" si="337"/>
        <v>57.813999642119299</v>
      </c>
      <c r="R983" s="181"/>
      <c r="AC983" s="189" t="s">
        <v>672</v>
      </c>
      <c r="AD983" s="180">
        <f t="shared" si="325"/>
        <v>3462</v>
      </c>
      <c r="AE983" s="180">
        <f t="shared" si="326"/>
        <v>441</v>
      </c>
      <c r="AF983" s="180">
        <f t="shared" si="327"/>
        <v>463</v>
      </c>
      <c r="AG983" s="180">
        <f t="shared" si="328"/>
        <v>792</v>
      </c>
      <c r="AH983" s="180">
        <f t="shared" si="335"/>
        <v>795.33455313143236</v>
      </c>
      <c r="AI983" s="180"/>
      <c r="AJ983" s="180">
        <f t="shared" si="329"/>
        <v>5953.3345531314326</v>
      </c>
      <c r="AK983" s="180"/>
      <c r="AL983" s="180"/>
      <c r="AM983" s="180"/>
      <c r="AN983" s="182" t="s">
        <v>672</v>
      </c>
      <c r="AO983" s="180">
        <f t="shared" si="330"/>
        <v>141331</v>
      </c>
      <c r="AP983" s="180">
        <f t="shared" si="331"/>
        <v>17972</v>
      </c>
      <c r="AQ983" s="180">
        <f t="shared" si="332"/>
        <v>18811</v>
      </c>
      <c r="AR983" s="180">
        <f t="shared" si="333"/>
        <v>31325</v>
      </c>
      <c r="AS983" s="180">
        <f t="shared" si="336"/>
        <v>0</v>
      </c>
      <c r="AT983" s="180">
        <f t="shared" si="334"/>
        <v>209439</v>
      </c>
      <c r="AU983" s="133"/>
      <c r="AW983" s="180">
        <f t="shared" si="324"/>
        <v>12442</v>
      </c>
      <c r="AX983" s="203">
        <v>2.4700000000000002</v>
      </c>
    </row>
    <row r="984" spans="1:50" ht="15.75" customHeight="1" x14ac:dyDescent="0.3">
      <c r="A984" s="192" t="s">
        <v>9</v>
      </c>
      <c r="B984" s="180">
        <f t="shared" ref="B984:Q984" si="338">(B955/$C$10/1.983)</f>
        <v>1291.668840315092</v>
      </c>
      <c r="C984" s="180">
        <f t="shared" si="338"/>
        <v>1289.0952405794078</v>
      </c>
      <c r="D984" s="180">
        <f t="shared" si="338"/>
        <v>1286.5738084059331</v>
      </c>
      <c r="E984" s="180">
        <f t="shared" si="338"/>
        <v>1273.2363016676231</v>
      </c>
      <c r="F984" s="180">
        <f t="shared" si="338"/>
        <v>47.229032987288505</v>
      </c>
      <c r="G984" s="180">
        <f t="shared" si="338"/>
        <v>0</v>
      </c>
      <c r="H984" s="180">
        <f t="shared" si="338"/>
        <v>826.42113134053238</v>
      </c>
      <c r="I984" s="180">
        <f t="shared" si="338"/>
        <v>400.64687777140171</v>
      </c>
      <c r="J984" s="180">
        <f t="shared" si="338"/>
        <v>396.12568904655086</v>
      </c>
      <c r="K984" s="180">
        <f t="shared" si="338"/>
        <v>393.93465143373851</v>
      </c>
      <c r="L984" s="180">
        <f t="shared" si="338"/>
        <v>324.62135044429374</v>
      </c>
      <c r="M984" s="180">
        <f t="shared" si="338"/>
        <v>324.23878832142174</v>
      </c>
      <c r="N984" s="180">
        <f t="shared" si="338"/>
        <v>297.25076947154258</v>
      </c>
      <c r="O984" s="180">
        <f t="shared" si="338"/>
        <v>66.670144504147316</v>
      </c>
      <c r="P984" s="180">
        <f t="shared" si="338"/>
        <v>68.356895682264764</v>
      </c>
      <c r="Q984" s="180">
        <f t="shared" si="338"/>
        <v>66.617976941937499</v>
      </c>
      <c r="R984" s="181"/>
      <c r="AC984" s="189" t="s">
        <v>673</v>
      </c>
      <c r="AD984" s="180">
        <f t="shared" si="325"/>
        <v>0</v>
      </c>
      <c r="AE984" s="180">
        <f t="shared" si="326"/>
        <v>0</v>
      </c>
      <c r="AF984" s="180">
        <f t="shared" si="327"/>
        <v>0</v>
      </c>
      <c r="AG984" s="180">
        <f t="shared" si="328"/>
        <v>0</v>
      </c>
      <c r="AH984" s="180">
        <f t="shared" si="335"/>
        <v>0</v>
      </c>
      <c r="AI984" s="180"/>
      <c r="AJ984" s="180">
        <f t="shared" si="329"/>
        <v>0</v>
      </c>
      <c r="AK984" s="180"/>
      <c r="AL984" s="180"/>
      <c r="AM984" s="180"/>
      <c r="AN984" s="182" t="s">
        <v>673</v>
      </c>
      <c r="AO984" s="180">
        <f t="shared" si="330"/>
        <v>171435</v>
      </c>
      <c r="AP984" s="180">
        <f t="shared" si="331"/>
        <v>21803</v>
      </c>
      <c r="AQ984" s="180">
        <f t="shared" si="332"/>
        <v>22824</v>
      </c>
      <c r="AR984" s="180">
        <f t="shared" si="333"/>
        <v>37630</v>
      </c>
      <c r="AS984" s="180">
        <f t="shared" si="336"/>
        <v>0</v>
      </c>
      <c r="AT984" s="180">
        <f t="shared" si="334"/>
        <v>253692</v>
      </c>
      <c r="AU984" s="133"/>
      <c r="AW984" s="180">
        <f t="shared" si="324"/>
        <v>7173</v>
      </c>
      <c r="AX984" s="203">
        <v>2.4700000000000002</v>
      </c>
    </row>
    <row r="985" spans="1:50" ht="15.75" customHeight="1" x14ac:dyDescent="0.3">
      <c r="A985" s="192" t="s">
        <v>10</v>
      </c>
      <c r="B985" s="180">
        <f t="shared" ref="B985:Q985" si="339">(B956/$D$10/1.983)</f>
        <v>1549.1353927740633</v>
      </c>
      <c r="C985" s="180">
        <f t="shared" si="339"/>
        <v>1544.6781513835342</v>
      </c>
      <c r="D985" s="180">
        <f t="shared" si="339"/>
        <v>1540.4323849494899</v>
      </c>
      <c r="E985" s="180">
        <f t="shared" si="339"/>
        <v>1514.7788459974297</v>
      </c>
      <c r="F985" s="180">
        <f t="shared" si="339"/>
        <v>377.33639158655018</v>
      </c>
      <c r="G985" s="180">
        <f t="shared" si="339"/>
        <v>-313.27574707595204</v>
      </c>
      <c r="H985" s="180">
        <f t="shared" si="339"/>
        <v>1056.7403575553494</v>
      </c>
      <c r="I985" s="180">
        <f t="shared" si="339"/>
        <v>495.85997104419823</v>
      </c>
      <c r="J985" s="180">
        <f t="shared" si="339"/>
        <v>459.95803035478991</v>
      </c>
      <c r="K985" s="180">
        <f t="shared" si="339"/>
        <v>447.69248287866213</v>
      </c>
      <c r="L985" s="180">
        <f t="shared" si="339"/>
        <v>350.86948741724007</v>
      </c>
      <c r="M985" s="180">
        <f t="shared" si="339"/>
        <v>350.41400289558015</v>
      </c>
      <c r="N985" s="180">
        <f t="shared" si="339"/>
        <v>330.82816846420377</v>
      </c>
      <c r="O985" s="180">
        <f t="shared" si="339"/>
        <v>63.637694597628219</v>
      </c>
      <c r="P985" s="180">
        <f t="shared" si="339"/>
        <v>70.616368161631925</v>
      </c>
      <c r="Q985" s="180">
        <f t="shared" si="339"/>
        <v>63.55635807590324</v>
      </c>
      <c r="R985" s="181"/>
      <c r="AC985" s="189" t="s">
        <v>675</v>
      </c>
      <c r="AD985" s="180">
        <f t="shared" si="325"/>
        <v>0</v>
      </c>
      <c r="AE985" s="180">
        <f t="shared" si="326"/>
        <v>0</v>
      </c>
      <c r="AF985" s="180">
        <f t="shared" si="327"/>
        <v>0</v>
      </c>
      <c r="AG985" s="180">
        <f t="shared" si="328"/>
        <v>0</v>
      </c>
      <c r="AH985" s="180">
        <f t="shared" si="335"/>
        <v>0</v>
      </c>
      <c r="AI985" s="180"/>
      <c r="AJ985" s="180">
        <f t="shared" si="329"/>
        <v>0</v>
      </c>
      <c r="AK985" s="180"/>
      <c r="AL985" s="180"/>
      <c r="AM985" s="180"/>
      <c r="AN985" s="182" t="s">
        <v>675</v>
      </c>
      <c r="AO985" s="180">
        <f t="shared" si="330"/>
        <v>102242</v>
      </c>
      <c r="AP985" s="180">
        <f t="shared" si="331"/>
        <v>12983</v>
      </c>
      <c r="AQ985" s="180">
        <f t="shared" si="332"/>
        <v>13571</v>
      </c>
      <c r="AR985" s="180">
        <f t="shared" si="333"/>
        <v>21545</v>
      </c>
      <c r="AS985" s="180">
        <f t="shared" si="336"/>
        <v>0</v>
      </c>
      <c r="AT985" s="180">
        <f t="shared" si="334"/>
        <v>150341</v>
      </c>
      <c r="AU985" s="133"/>
      <c r="AW985" s="180">
        <f t="shared" si="324"/>
        <v>3931</v>
      </c>
      <c r="AX985" s="203">
        <v>2.4700000000000002</v>
      </c>
    </row>
    <row r="986" spans="1:50" ht="15.75" customHeight="1" x14ac:dyDescent="0.3">
      <c r="A986" s="192" t="s">
        <v>12</v>
      </c>
      <c r="B986" s="180">
        <f t="shared" ref="B986:Q986" si="340">(B957/$F$10/1.983)</f>
        <v>2543.2677760968231</v>
      </c>
      <c r="C986" s="180">
        <f t="shared" si="340"/>
        <v>2537.0986720457217</v>
      </c>
      <c r="D986" s="180">
        <f t="shared" si="340"/>
        <v>2531.2153303076143</v>
      </c>
      <c r="E986" s="180">
        <f t="shared" si="340"/>
        <v>2465.2042360060514</v>
      </c>
      <c r="F986" s="180">
        <f t="shared" si="340"/>
        <v>60.816944024205746</v>
      </c>
      <c r="G986" s="180">
        <f t="shared" si="340"/>
        <v>0</v>
      </c>
      <c r="H986" s="180">
        <f t="shared" si="340"/>
        <v>1774.3990586653217</v>
      </c>
      <c r="I986" s="180">
        <f t="shared" si="340"/>
        <v>820.81022020507646</v>
      </c>
      <c r="J986" s="180">
        <f t="shared" si="340"/>
        <v>623.0963187090266</v>
      </c>
      <c r="K986" s="180">
        <f t="shared" si="340"/>
        <v>520.42360060514375</v>
      </c>
      <c r="L986" s="180">
        <f t="shared" si="340"/>
        <v>402.23566986048075</v>
      </c>
      <c r="M986" s="180">
        <f t="shared" si="340"/>
        <v>401.61371659102366</v>
      </c>
      <c r="N986" s="180">
        <f t="shared" si="340"/>
        <v>359.45537065052946</v>
      </c>
      <c r="O986" s="180">
        <f t="shared" si="340"/>
        <v>71.894436039670524</v>
      </c>
      <c r="P986" s="180">
        <f t="shared" si="340"/>
        <v>87.544125063035793</v>
      </c>
      <c r="Q986" s="180">
        <f t="shared" si="340"/>
        <v>71.776769204908391</v>
      </c>
      <c r="R986" s="181"/>
      <c r="AC986" s="189" t="s">
        <v>676</v>
      </c>
      <c r="AD986" s="180">
        <f t="shared" si="325"/>
        <v>0</v>
      </c>
      <c r="AE986" s="180">
        <f t="shared" si="326"/>
        <v>0</v>
      </c>
      <c r="AF986" s="180">
        <f t="shared" si="327"/>
        <v>0</v>
      </c>
      <c r="AG986" s="180">
        <f t="shared" si="328"/>
        <v>0</v>
      </c>
      <c r="AH986" s="180">
        <f t="shared" si="335"/>
        <v>0</v>
      </c>
      <c r="AI986" s="180"/>
      <c r="AJ986" s="180">
        <f t="shared" si="329"/>
        <v>0</v>
      </c>
      <c r="AK986" s="180"/>
      <c r="AL986" s="180"/>
      <c r="AM986" s="180"/>
      <c r="AN986" s="182" t="s">
        <v>676</v>
      </c>
      <c r="AO986" s="180">
        <f t="shared" si="330"/>
        <v>71492</v>
      </c>
      <c r="AP986" s="180">
        <f t="shared" si="331"/>
        <v>9063</v>
      </c>
      <c r="AQ986" s="180">
        <f t="shared" si="332"/>
        <v>9458</v>
      </c>
      <c r="AR986" s="180">
        <f t="shared" si="333"/>
        <v>13647</v>
      </c>
      <c r="AS986" s="180">
        <f t="shared" si="336"/>
        <v>0</v>
      </c>
      <c r="AT986" s="180">
        <f t="shared" si="334"/>
        <v>103660</v>
      </c>
      <c r="AU986" s="133"/>
      <c r="AW986" s="180">
        <f t="shared" si="324"/>
        <v>6153</v>
      </c>
      <c r="AX986" s="203">
        <v>2.4700000000000002</v>
      </c>
    </row>
    <row r="987" spans="1:50" ht="15.75" customHeight="1" x14ac:dyDescent="0.3">
      <c r="A987" s="192" t="s">
        <v>13</v>
      </c>
      <c r="B987" s="180">
        <f t="shared" ref="B987:Q987" si="341">(B958/$G$10/1.983)</f>
        <v>2914.0923657540711</v>
      </c>
      <c r="C987" s="180">
        <f t="shared" si="341"/>
        <v>2907.1787614074469</v>
      </c>
      <c r="D987" s="180">
        <f t="shared" si="341"/>
        <v>2900.639305060758</v>
      </c>
      <c r="E987" s="180">
        <f t="shared" si="341"/>
        <v>2795.1783709921428</v>
      </c>
      <c r="F987" s="180">
        <f t="shared" si="341"/>
        <v>0</v>
      </c>
      <c r="G987" s="180">
        <f>(G958/$G$10/1.983)</f>
        <v>-205.29338083386202</v>
      </c>
      <c r="H987" s="180">
        <f t="shared" si="341"/>
        <v>2059.7986107722086</v>
      </c>
      <c r="I987" s="180">
        <f t="shared" si="341"/>
        <v>712.16631691962323</v>
      </c>
      <c r="J987" s="180">
        <f t="shared" si="341"/>
        <v>574.52865485660368</v>
      </c>
      <c r="K987" s="180">
        <f t="shared" si="341"/>
        <v>492.68784669692383</v>
      </c>
      <c r="L987" s="180">
        <f t="shared" si="341"/>
        <v>385.09589575911372</v>
      </c>
      <c r="M987" s="180">
        <f t="shared" si="341"/>
        <v>384.41266897662382</v>
      </c>
      <c r="N987" s="180">
        <f t="shared" si="341"/>
        <v>351.63405072145491</v>
      </c>
      <c r="O987" s="180">
        <f t="shared" si="341"/>
        <v>64.385990597498079</v>
      </c>
      <c r="P987" s="180">
        <f t="shared" si="341"/>
        <v>111.69131163274932</v>
      </c>
      <c r="Q987" s="180">
        <f t="shared" si="341"/>
        <v>64.255852162738108</v>
      </c>
      <c r="R987" s="181"/>
      <c r="AC987" s="189" t="s">
        <v>691</v>
      </c>
      <c r="AD987" s="180">
        <f t="shared" si="325"/>
        <v>5</v>
      </c>
      <c r="AE987" s="180">
        <f t="shared" si="326"/>
        <v>1</v>
      </c>
      <c r="AF987" s="180">
        <f t="shared" si="327"/>
        <v>1</v>
      </c>
      <c r="AG987" s="180">
        <f t="shared" si="328"/>
        <v>1</v>
      </c>
      <c r="AH987" s="180">
        <f t="shared" si="335"/>
        <v>0.87301881878266907</v>
      </c>
      <c r="AI987" s="180"/>
      <c r="AJ987" s="180">
        <f t="shared" si="329"/>
        <v>8.8730188187826684</v>
      </c>
      <c r="AK987" s="180"/>
      <c r="AL987" s="180"/>
      <c r="AM987" s="180"/>
      <c r="AN987" s="182" t="s">
        <v>691</v>
      </c>
      <c r="AO987" s="180">
        <f t="shared" si="330"/>
        <v>60405</v>
      </c>
      <c r="AP987" s="180">
        <f t="shared" si="331"/>
        <v>7660</v>
      </c>
      <c r="AQ987" s="180">
        <f t="shared" si="332"/>
        <v>7996</v>
      </c>
      <c r="AR987" s="180">
        <f t="shared" si="333"/>
        <v>8887</v>
      </c>
      <c r="AS987" s="180">
        <f t="shared" si="336"/>
        <v>0</v>
      </c>
      <c r="AT987" s="180">
        <f t="shared" si="334"/>
        <v>84948</v>
      </c>
      <c r="AU987" s="133"/>
      <c r="AW987" s="180"/>
      <c r="AX987" s="203"/>
    </row>
    <row r="988" spans="1:50" ht="15.75" customHeight="1" x14ac:dyDescent="0.3">
      <c r="A988" s="192" t="s">
        <v>14</v>
      </c>
      <c r="B988" s="180">
        <f t="shared" ref="B988:Q988" si="342">(B959/$H$10/1.983)</f>
        <v>1795.8648512355016</v>
      </c>
      <c r="C988" s="180">
        <f t="shared" si="342"/>
        <v>1788.8552697932425</v>
      </c>
      <c r="D988" s="180">
        <f t="shared" si="342"/>
        <v>1782.1986888552697</v>
      </c>
      <c r="E988" s="180">
        <f t="shared" si="342"/>
        <v>1653.6728861993611</v>
      </c>
      <c r="F988" s="180">
        <f t="shared" si="342"/>
        <v>0</v>
      </c>
      <c r="G988" s="180">
        <f t="shared" si="342"/>
        <v>-1465.0529500756429</v>
      </c>
      <c r="H988" s="180">
        <f t="shared" si="342"/>
        <v>2323.3148428307277</v>
      </c>
      <c r="I988" s="180">
        <f t="shared" si="342"/>
        <v>781.62716422928224</v>
      </c>
      <c r="J988" s="180">
        <f t="shared" si="342"/>
        <v>548.31064044377206</v>
      </c>
      <c r="K988" s="180">
        <f t="shared" si="342"/>
        <v>446.4279710875777</v>
      </c>
      <c r="L988" s="180">
        <f t="shared" si="342"/>
        <v>392.68784669692388</v>
      </c>
      <c r="M988" s="180">
        <f t="shared" si="342"/>
        <v>391.94822659270466</v>
      </c>
      <c r="N988" s="180">
        <f t="shared" si="342"/>
        <v>347.25163893091275</v>
      </c>
      <c r="O988" s="180">
        <f t="shared" si="342"/>
        <v>72.180198352664306</v>
      </c>
      <c r="P988" s="180">
        <f t="shared" si="342"/>
        <v>117.93578752731551</v>
      </c>
      <c r="Q988" s="180">
        <f t="shared" si="342"/>
        <v>71.844007396201036</v>
      </c>
      <c r="R988" s="181"/>
      <c r="AC988" s="189" t="s">
        <v>692</v>
      </c>
      <c r="AD988" s="180">
        <f t="shared" si="325"/>
        <v>31957</v>
      </c>
      <c r="AE988" s="180">
        <f t="shared" si="326"/>
        <v>4074</v>
      </c>
      <c r="AF988" s="180">
        <f t="shared" si="327"/>
        <v>4274</v>
      </c>
      <c r="AG988" s="180">
        <f t="shared" si="328"/>
        <v>7313</v>
      </c>
      <c r="AH988" s="180">
        <f t="shared" si="335"/>
        <v>5761.1813035575215</v>
      </c>
      <c r="AI988" s="180"/>
      <c r="AJ988" s="180">
        <f t="shared" si="329"/>
        <v>53379.181303557518</v>
      </c>
      <c r="AK988" s="180"/>
      <c r="AL988" s="180"/>
      <c r="AM988" s="180"/>
      <c r="AN988" s="182" t="s">
        <v>692</v>
      </c>
      <c r="AO988" s="180">
        <f t="shared" si="330"/>
        <v>125915</v>
      </c>
      <c r="AP988" s="180">
        <f t="shared" si="331"/>
        <v>16013</v>
      </c>
      <c r="AQ988" s="180">
        <f t="shared" si="332"/>
        <v>16762</v>
      </c>
      <c r="AR988" s="180">
        <f t="shared" si="333"/>
        <v>24317</v>
      </c>
      <c r="AS988" s="180">
        <f t="shared" si="336"/>
        <v>0</v>
      </c>
      <c r="AT988" s="180">
        <f t="shared" si="334"/>
        <v>183007</v>
      </c>
      <c r="AU988" s="133"/>
      <c r="AW988" s="180">
        <f>(SUM(AW975:AW986))</f>
        <v>138159</v>
      </c>
      <c r="AX988" s="203"/>
    </row>
    <row r="989" spans="1:50" ht="15.75" customHeight="1" x14ac:dyDescent="0.3">
      <c r="A989" s="192" t="s">
        <v>16</v>
      </c>
      <c r="B989" s="180">
        <f t="shared" ref="B989:Q989" si="343">(B960/$J$10/1.983)</f>
        <v>1215.2327037886553</v>
      </c>
      <c r="C989" s="180">
        <f t="shared" si="343"/>
        <v>1208.4655051811365</v>
      </c>
      <c r="D989" s="180">
        <f t="shared" si="343"/>
        <v>1202.0561872692074</v>
      </c>
      <c r="E989" s="180">
        <f t="shared" si="343"/>
        <v>1013.6808029541425</v>
      </c>
      <c r="F989" s="180">
        <f t="shared" si="343"/>
        <v>0</v>
      </c>
      <c r="G989" s="180">
        <f t="shared" si="343"/>
        <v>-1836.4159875067101</v>
      </c>
      <c r="H989" s="180">
        <f t="shared" si="343"/>
        <v>2111.105688676329</v>
      </c>
      <c r="I989" s="180">
        <f t="shared" si="343"/>
        <v>850.86135376506752</v>
      </c>
      <c r="J989" s="180">
        <f t="shared" si="343"/>
        <v>582.67857433344716</v>
      </c>
      <c r="K989" s="180">
        <f t="shared" si="343"/>
        <v>481.60981243798085</v>
      </c>
      <c r="L989" s="180">
        <f t="shared" si="343"/>
        <v>359.81650480698841</v>
      </c>
      <c r="M989" s="180">
        <f t="shared" si="343"/>
        <v>359.18207993753356</v>
      </c>
      <c r="N989" s="180">
        <f t="shared" si="343"/>
        <v>344.18362533144631</v>
      </c>
      <c r="O989" s="180">
        <f t="shared" si="343"/>
        <v>66.663413205797667</v>
      </c>
      <c r="P989" s="180">
        <f t="shared" si="343"/>
        <v>109.1698794592748</v>
      </c>
      <c r="Q989" s="180">
        <f t="shared" si="343"/>
        <v>66.549542075382689</v>
      </c>
      <c r="R989" s="181"/>
      <c r="AC989" s="189" t="s">
        <v>693</v>
      </c>
      <c r="AD989" s="180">
        <f t="shared" si="325"/>
        <v>58892</v>
      </c>
      <c r="AE989" s="180">
        <f t="shared" si="326"/>
        <v>7508</v>
      </c>
      <c r="AF989" s="180">
        <f t="shared" si="327"/>
        <v>7877</v>
      </c>
      <c r="AG989" s="180">
        <f t="shared" si="328"/>
        <v>13477</v>
      </c>
      <c r="AH989" s="180">
        <f t="shared" si="335"/>
        <v>11143.475538821069</v>
      </c>
      <c r="AI989" s="180"/>
      <c r="AJ989" s="180">
        <f t="shared" si="329"/>
        <v>98897.475538821076</v>
      </c>
      <c r="AK989" s="180"/>
      <c r="AL989" s="180"/>
      <c r="AM989" s="180"/>
      <c r="AN989" s="182" t="s">
        <v>693</v>
      </c>
      <c r="AO989" s="180">
        <f t="shared" si="330"/>
        <v>96951</v>
      </c>
      <c r="AP989" s="180">
        <f t="shared" si="331"/>
        <v>12325</v>
      </c>
      <c r="AQ989" s="180">
        <f t="shared" si="332"/>
        <v>12896</v>
      </c>
      <c r="AR989" s="180">
        <f t="shared" si="333"/>
        <v>18844</v>
      </c>
      <c r="AS989" s="180">
        <f t="shared" si="336"/>
        <v>0</v>
      </c>
      <c r="AT989" s="180">
        <f t="shared" si="334"/>
        <v>141016</v>
      </c>
      <c r="AU989" s="133"/>
    </row>
    <row r="990" spans="1:50" ht="15.75" customHeight="1" x14ac:dyDescent="0.3">
      <c r="A990" s="192" t="s">
        <v>17</v>
      </c>
      <c r="B990" s="180">
        <f t="shared" ref="B990:Q990" si="344">(B961/$K$10/1.983)</f>
        <v>1026.85731947359</v>
      </c>
      <c r="C990" s="180">
        <f t="shared" si="344"/>
        <v>1021.424039822361</v>
      </c>
      <c r="D990" s="180">
        <f t="shared" si="344"/>
        <v>1016.2510370406519</v>
      </c>
      <c r="E990" s="180">
        <f t="shared" si="344"/>
        <v>660.20854684170286</v>
      </c>
      <c r="F990" s="180">
        <f t="shared" si="344"/>
        <v>8.1336521724984942E-2</v>
      </c>
      <c r="G990" s="180">
        <f t="shared" si="344"/>
        <v>-1971.5972866136351</v>
      </c>
      <c r="H990" s="180">
        <f t="shared" si="344"/>
        <v>1860.7193401981358</v>
      </c>
      <c r="I990" s="180">
        <f t="shared" si="344"/>
        <v>794.62528264441301</v>
      </c>
      <c r="J990" s="180">
        <f t="shared" si="344"/>
        <v>566.57394303190017</v>
      </c>
      <c r="K990" s="180">
        <f t="shared" si="344"/>
        <v>450.71820148683156</v>
      </c>
      <c r="L990" s="180">
        <f t="shared" si="344"/>
        <v>326.58240203015959</v>
      </c>
      <c r="M990" s="180">
        <f t="shared" si="344"/>
        <v>325.99677907373967</v>
      </c>
      <c r="N990" s="180">
        <f t="shared" si="344"/>
        <v>293.07175507946573</v>
      </c>
      <c r="O990" s="180">
        <f t="shared" si="344"/>
        <v>63.767833032388204</v>
      </c>
      <c r="P990" s="180">
        <f t="shared" si="344"/>
        <v>108.07997006815999</v>
      </c>
      <c r="Q990" s="180">
        <f t="shared" si="344"/>
        <v>63.670229206318218</v>
      </c>
      <c r="R990" s="181"/>
      <c r="AC990" s="189" t="s">
        <v>694</v>
      </c>
      <c r="AD990" s="180">
        <f t="shared" si="325"/>
        <v>62349</v>
      </c>
      <c r="AE990" s="180">
        <f t="shared" si="326"/>
        <v>7948</v>
      </c>
      <c r="AF990" s="180">
        <f t="shared" si="327"/>
        <v>8339</v>
      </c>
      <c r="AG990" s="180">
        <f t="shared" si="328"/>
        <v>14268</v>
      </c>
      <c r="AH990" s="180">
        <f t="shared" si="335"/>
        <v>12477.637626590496</v>
      </c>
      <c r="AI990" s="180"/>
      <c r="AJ990" s="180">
        <f t="shared" si="329"/>
        <v>105381.6376265905</v>
      </c>
      <c r="AK990" s="180"/>
      <c r="AL990" s="180"/>
      <c r="AM990" s="180"/>
      <c r="AN990" s="182" t="s">
        <v>694</v>
      </c>
      <c r="AO990" s="180">
        <f t="shared" si="330"/>
        <v>55183</v>
      </c>
      <c r="AP990" s="180">
        <f t="shared" si="331"/>
        <v>7006</v>
      </c>
      <c r="AQ990" s="180">
        <f t="shared" si="332"/>
        <v>7322</v>
      </c>
      <c r="AR990" s="180">
        <f t="shared" si="333"/>
        <v>10381</v>
      </c>
      <c r="AS990" s="180">
        <f t="shared" si="336"/>
        <v>0</v>
      </c>
      <c r="AT990" s="180">
        <f t="shared" si="334"/>
        <v>79892</v>
      </c>
      <c r="AU990" s="133"/>
    </row>
    <row r="991" spans="1:50" ht="15.75" customHeight="1" x14ac:dyDescent="0.3">
      <c r="A991" s="192" t="s">
        <v>18</v>
      </c>
      <c r="B991" s="180">
        <f t="shared" ref="B991:Q991" si="345">(B962/$L$10/1.983)</f>
        <v>2773.0038661959993</v>
      </c>
      <c r="C991" s="180">
        <f t="shared" si="345"/>
        <v>2767.6920490838793</v>
      </c>
      <c r="D991" s="180">
        <f t="shared" si="345"/>
        <v>2762.6323751891073</v>
      </c>
      <c r="E991" s="180">
        <f t="shared" si="345"/>
        <v>2427.8029920995123</v>
      </c>
      <c r="F991" s="180">
        <f t="shared" si="345"/>
        <v>561.32123045890057</v>
      </c>
      <c r="G991" s="180">
        <f t="shared" si="345"/>
        <v>-54.244410825348794</v>
      </c>
      <c r="H991" s="180">
        <f t="shared" si="345"/>
        <v>1260.4807530677424</v>
      </c>
      <c r="I991" s="180">
        <f t="shared" si="345"/>
        <v>592.55337031433851</v>
      </c>
      <c r="J991" s="180">
        <f t="shared" si="345"/>
        <v>419.61674230963189</v>
      </c>
      <c r="K991" s="180">
        <f t="shared" si="345"/>
        <v>386.41788535888384</v>
      </c>
      <c r="L991" s="180">
        <f t="shared" si="345"/>
        <v>297.81475878298875</v>
      </c>
      <c r="M991" s="180">
        <f t="shared" si="345"/>
        <v>297.24323415700115</v>
      </c>
      <c r="N991" s="180">
        <f t="shared" si="345"/>
        <v>285.37569339384765</v>
      </c>
      <c r="O991" s="180">
        <f t="shared" si="345"/>
        <v>68.935955622793742</v>
      </c>
      <c r="P991" s="180">
        <f t="shared" si="345"/>
        <v>84.905026054799123</v>
      </c>
      <c r="Q991" s="180">
        <f t="shared" si="345"/>
        <v>68.835098335854767</v>
      </c>
      <c r="R991" s="181"/>
      <c r="AC991" s="189" t="s">
        <v>695</v>
      </c>
      <c r="AD991" s="180">
        <f t="shared" si="325"/>
        <v>74417</v>
      </c>
      <c r="AE991" s="180">
        <f t="shared" si="326"/>
        <v>9487</v>
      </c>
      <c r="AF991" s="180">
        <f t="shared" si="327"/>
        <v>9953</v>
      </c>
      <c r="AG991" s="180">
        <f t="shared" si="328"/>
        <v>17030</v>
      </c>
      <c r="AH991" s="180">
        <f t="shared" si="335"/>
        <v>15167.522535595572</v>
      </c>
      <c r="AI991" s="180"/>
      <c r="AJ991" s="180">
        <f t="shared" si="329"/>
        <v>126054.52253559558</v>
      </c>
      <c r="AK991" s="180"/>
      <c r="AL991" s="180"/>
      <c r="AM991" s="180"/>
      <c r="AN991" s="182" t="s">
        <v>695</v>
      </c>
      <c r="AO991" s="180">
        <f t="shared" si="330"/>
        <v>60628</v>
      </c>
      <c r="AP991" s="180">
        <f t="shared" si="331"/>
        <v>7706</v>
      </c>
      <c r="AQ991" s="180">
        <f t="shared" si="332"/>
        <v>8062</v>
      </c>
      <c r="AR991" s="180">
        <f t="shared" si="333"/>
        <v>11938</v>
      </c>
      <c r="AS991" s="180">
        <f t="shared" si="336"/>
        <v>0</v>
      </c>
      <c r="AT991" s="180">
        <f t="shared" si="334"/>
        <v>88334</v>
      </c>
      <c r="AU991" s="133"/>
    </row>
    <row r="992" spans="1:50" ht="15.75" customHeight="1" x14ac:dyDescent="0.3">
      <c r="A992" s="192" t="s">
        <v>20</v>
      </c>
      <c r="B992" s="180">
        <f t="shared" ref="B992:Q992" si="346">(B963/$N$10/1.983)</f>
        <v>2649.0491760610348</v>
      </c>
      <c r="C992" s="180">
        <f t="shared" si="346"/>
        <v>2644.4129943227108</v>
      </c>
      <c r="D992" s="180">
        <f t="shared" si="346"/>
        <v>2639.9882875408716</v>
      </c>
      <c r="E992" s="180">
        <f t="shared" si="346"/>
        <v>2400.7775771476909</v>
      </c>
      <c r="F992" s="180">
        <f t="shared" si="346"/>
        <v>1001.0573747824247</v>
      </c>
      <c r="G992" s="180">
        <f t="shared" si="346"/>
        <v>-0.37414799993493075</v>
      </c>
      <c r="H992" s="180">
        <f t="shared" si="346"/>
        <v>792.75454264473831</v>
      </c>
      <c r="I992" s="180">
        <f t="shared" si="346"/>
        <v>255.1038667382428</v>
      </c>
      <c r="J992" s="180">
        <f t="shared" si="346"/>
        <v>234.99747856782651</v>
      </c>
      <c r="K992" s="180">
        <f t="shared" si="346"/>
        <v>222.94340604818376</v>
      </c>
      <c r="L992" s="180">
        <f t="shared" si="346"/>
        <v>166.49585997104421</v>
      </c>
      <c r="M992" s="180">
        <f t="shared" si="346"/>
        <v>166.02410814503929</v>
      </c>
      <c r="N992" s="180">
        <f t="shared" si="346"/>
        <v>162.94958762383484</v>
      </c>
      <c r="O992" s="180">
        <f t="shared" si="346"/>
        <v>60.872252858978733</v>
      </c>
      <c r="P992" s="180">
        <f t="shared" si="346"/>
        <v>2.2936899126445756</v>
      </c>
      <c r="Q992" s="180">
        <f t="shared" si="346"/>
        <v>60.790916337253748</v>
      </c>
      <c r="R992" s="181"/>
      <c r="AC992" s="179"/>
      <c r="AD992" s="180"/>
      <c r="AE992" s="180"/>
      <c r="AF992" s="180"/>
      <c r="AG992" s="180"/>
      <c r="AH992" s="180"/>
      <c r="AI992" s="180"/>
      <c r="AJ992" s="180"/>
      <c r="AK992" s="180"/>
      <c r="AL992" s="180"/>
      <c r="AM992" s="180"/>
      <c r="AN992" s="180"/>
      <c r="AO992" s="180"/>
      <c r="AP992" s="180"/>
      <c r="AQ992" s="180"/>
      <c r="AR992" s="180"/>
      <c r="AS992" s="180"/>
      <c r="AT992" s="180"/>
      <c r="AU992" s="133"/>
    </row>
    <row r="993" spans="1:47" ht="15.75" customHeight="1" thickBot="1" x14ac:dyDescent="0.35">
      <c r="A993" s="192" t="s">
        <v>21</v>
      </c>
      <c r="B993" s="180">
        <f t="shared" ref="B993:Q993" si="347">(B964/$O$10/1.983)</f>
        <v>2064.4141872583627</v>
      </c>
      <c r="C993" s="180">
        <f t="shared" si="347"/>
        <v>2060.4639435199192</v>
      </c>
      <c r="D993" s="180">
        <f t="shared" si="347"/>
        <v>2056.6649857118841</v>
      </c>
      <c r="E993" s="180">
        <f t="shared" si="347"/>
        <v>1891.9146074970581</v>
      </c>
      <c r="F993" s="180">
        <f t="shared" si="347"/>
        <v>1095.1420406791055</v>
      </c>
      <c r="G993" s="180">
        <f t="shared" si="347"/>
        <v>-88.922507984535216</v>
      </c>
      <c r="H993" s="180">
        <f t="shared" si="347"/>
        <v>406.43805681627163</v>
      </c>
      <c r="I993" s="180">
        <f t="shared" si="347"/>
        <v>59.35451336359052</v>
      </c>
      <c r="J993" s="180">
        <f t="shared" si="347"/>
        <v>58.984703311480921</v>
      </c>
      <c r="K993" s="180">
        <f t="shared" si="347"/>
        <v>57.589510842158347</v>
      </c>
      <c r="L993" s="180">
        <f t="shared" si="347"/>
        <v>49.403261052277692</v>
      </c>
      <c r="M993" s="180">
        <f t="shared" si="347"/>
        <v>49.016641452344928</v>
      </c>
      <c r="N993" s="180">
        <f t="shared" si="347"/>
        <v>42.83072785342074</v>
      </c>
      <c r="O993" s="180">
        <f t="shared" si="347"/>
        <v>27.954278029920992</v>
      </c>
      <c r="P993" s="180">
        <f t="shared" si="347"/>
        <v>78.752731551521251</v>
      </c>
      <c r="Q993" s="180">
        <f t="shared" si="347"/>
        <v>27.903849386451505</v>
      </c>
      <c r="R993" s="181"/>
      <c r="AC993" s="204" t="s">
        <v>641</v>
      </c>
      <c r="AD993" s="195">
        <f>SUM(AD980:AD991)</f>
        <v>275707</v>
      </c>
      <c r="AE993" s="195">
        <f>SUM(AE980:AE991)</f>
        <v>35148</v>
      </c>
      <c r="AF993" s="195">
        <f>SUM(AF980:AF991)</f>
        <v>36876</v>
      </c>
      <c r="AG993" s="195">
        <f>SUM(AG980:AG991)</f>
        <v>63093</v>
      </c>
      <c r="AH993" s="195">
        <f>SUM(AH980:AH991)</f>
        <v>55446.660069542835</v>
      </c>
      <c r="AI993" s="195"/>
      <c r="AJ993" s="195">
        <f>SUM(AJ980:AJ991)</f>
        <v>466270.66006954282</v>
      </c>
      <c r="AK993" s="195"/>
      <c r="AL993" s="195"/>
      <c r="AM993" s="195"/>
      <c r="AN993" s="205" t="s">
        <v>641</v>
      </c>
      <c r="AO993" s="195">
        <f t="shared" ref="AO993:AT993" si="348">SUM(AO980:AO991)</f>
        <v>1074250</v>
      </c>
      <c r="AP993" s="195">
        <f t="shared" si="348"/>
        <v>136520</v>
      </c>
      <c r="AQ993" s="195">
        <f t="shared" si="348"/>
        <v>142806</v>
      </c>
      <c r="AR993" s="195">
        <f t="shared" si="348"/>
        <v>220727</v>
      </c>
      <c r="AS993" s="195">
        <f t="shared" si="348"/>
        <v>0</v>
      </c>
      <c r="AT993" s="195">
        <f t="shared" si="348"/>
        <v>1574303</v>
      </c>
      <c r="AU993" s="136"/>
    </row>
    <row r="994" spans="1:47" ht="15.75" customHeight="1" thickBot="1" x14ac:dyDescent="0.35">
      <c r="A994" s="206" t="s">
        <v>22</v>
      </c>
      <c r="B994" s="195">
        <f t="shared" ref="B994:Q994" si="349">(B965/$P$10/1.983)</f>
        <v>2295.5281180355601</v>
      </c>
      <c r="C994" s="195">
        <f t="shared" si="349"/>
        <v>2292.5023994273906</v>
      </c>
      <c r="D994" s="195">
        <f t="shared" si="349"/>
        <v>2289.5905519496364</v>
      </c>
      <c r="E994" s="195">
        <f t="shared" si="349"/>
        <v>2151.6926130170968</v>
      </c>
      <c r="F994" s="195">
        <f t="shared" si="349"/>
        <v>1264.9618531713108</v>
      </c>
      <c r="G994" s="195">
        <f t="shared" si="349"/>
        <v>0</v>
      </c>
      <c r="H994" s="195">
        <f t="shared" si="349"/>
        <v>534.05560164625115</v>
      </c>
      <c r="I994" s="195">
        <f t="shared" si="349"/>
        <v>179.55850536007677</v>
      </c>
      <c r="J994" s="195">
        <f t="shared" si="349"/>
        <v>167.60203666650401</v>
      </c>
      <c r="K994" s="195">
        <f t="shared" si="349"/>
        <v>165.89396971027929</v>
      </c>
      <c r="L994" s="195">
        <f t="shared" si="349"/>
        <v>120.02017145738779</v>
      </c>
      <c r="M994" s="195">
        <f t="shared" si="349"/>
        <v>119.71109267483284</v>
      </c>
      <c r="N994" s="195">
        <f t="shared" si="349"/>
        <v>109.69043319831471</v>
      </c>
      <c r="O994" s="195">
        <f t="shared" si="349"/>
        <v>31.558570429294161</v>
      </c>
      <c r="P994" s="195">
        <f t="shared" si="349"/>
        <v>77.513705203910661</v>
      </c>
      <c r="Q994" s="195">
        <f t="shared" si="349"/>
        <v>31.526035820604164</v>
      </c>
      <c r="R994" s="196"/>
    </row>
    <row r="995" spans="1:47" ht="15.75" customHeight="1" x14ac:dyDescent="0.3">
      <c r="R995" s="351"/>
      <c r="AC995" s="360"/>
      <c r="AD995" s="423" t="s">
        <v>715</v>
      </c>
      <c r="AE995" s="427"/>
      <c r="AF995" s="427"/>
      <c r="AG995" s="427"/>
      <c r="AH995" s="427"/>
      <c r="AI995" s="427"/>
      <c r="AJ995" s="427"/>
      <c r="AK995" s="427"/>
      <c r="AL995" s="427"/>
      <c r="AM995" s="427"/>
      <c r="AN995" s="427"/>
      <c r="AO995" s="427"/>
      <c r="AP995" s="427"/>
      <c r="AQ995" s="427"/>
      <c r="AR995" s="354" t="str">
        <f>$Q$1</f>
        <v xml:space="preserve">PRINTED:  </v>
      </c>
      <c r="AS995" s="361">
        <f ca="1">$R$1</f>
        <v>44894.658168402777</v>
      </c>
    </row>
    <row r="996" spans="1:47" ht="15.75" customHeight="1" x14ac:dyDescent="0.3">
      <c r="R996" s="180"/>
      <c r="AC996" s="95"/>
      <c r="AD996" s="394" t="str">
        <f>+$A$8</f>
        <v>Revised:  12/23/2020</v>
      </c>
      <c r="AE996" s="396"/>
      <c r="AF996" s="396"/>
      <c r="AG996" s="396"/>
      <c r="AH996" s="396"/>
      <c r="AI996" s="396"/>
      <c r="AJ996" s="396"/>
      <c r="AK996" s="396"/>
      <c r="AL996" s="396"/>
      <c r="AM996" s="396"/>
      <c r="AN996" s="396"/>
      <c r="AO996" s="396"/>
      <c r="AP996" s="396"/>
      <c r="AQ996" s="396"/>
      <c r="AR996" s="192"/>
      <c r="AS996" s="133"/>
    </row>
    <row r="997" spans="1:47" ht="15.75" customHeight="1" x14ac:dyDescent="0.3">
      <c r="A997" s="192"/>
      <c r="AC997" s="95"/>
      <c r="AD997" s="394" t="s">
        <v>670</v>
      </c>
      <c r="AE997" s="397"/>
      <c r="AF997" s="397"/>
      <c r="AG997" s="397"/>
      <c r="AH997" s="397"/>
      <c r="AI997" s="397"/>
      <c r="AJ997" s="397"/>
      <c r="AK997" s="397"/>
      <c r="AL997" s="397"/>
      <c r="AM997" s="397"/>
      <c r="AN997" s="397"/>
      <c r="AO997" s="397"/>
      <c r="AP997" s="397"/>
      <c r="AQ997" s="397"/>
      <c r="AS997" s="133"/>
    </row>
    <row r="998" spans="1:47" ht="15.75" customHeight="1" x14ac:dyDescent="0.3">
      <c r="A998" s="192"/>
      <c r="AC998" s="95"/>
      <c r="AS998" s="133"/>
    </row>
    <row r="999" spans="1:47" ht="15.75" customHeight="1" thickBot="1" x14ac:dyDescent="0.35">
      <c r="A999" s="192"/>
      <c r="AC999" s="95"/>
      <c r="AD999" s="395">
        <f>$A$5</f>
        <v>2020</v>
      </c>
      <c r="AE999" s="397"/>
      <c r="AF999" s="397"/>
      <c r="AG999" s="397"/>
      <c r="AH999" s="397"/>
      <c r="AI999" s="397"/>
      <c r="AJ999" s="397"/>
      <c r="AK999" s="397"/>
      <c r="AL999" s="397"/>
      <c r="AM999" s="397"/>
      <c r="AN999" s="397"/>
      <c r="AO999" s="397"/>
      <c r="AP999" s="397"/>
      <c r="AQ999" s="397"/>
      <c r="AS999" s="133"/>
    </row>
    <row r="1000" spans="1:47" ht="15.75" customHeight="1" x14ac:dyDescent="0.3">
      <c r="A1000" s="356"/>
      <c r="B1000" s="423" t="s">
        <v>716</v>
      </c>
      <c r="C1000" s="423"/>
      <c r="D1000" s="423"/>
      <c r="E1000" s="423"/>
      <c r="F1000" s="423"/>
      <c r="G1000" s="423"/>
      <c r="H1000" s="423"/>
      <c r="I1000" s="423"/>
      <c r="J1000" s="423"/>
      <c r="K1000" s="423"/>
      <c r="L1000" s="423"/>
      <c r="M1000" s="423"/>
      <c r="N1000" s="423"/>
      <c r="O1000" s="423"/>
      <c r="P1000" s="423"/>
      <c r="Q1000" s="354" t="str">
        <f>+Q1</f>
        <v xml:space="preserve">PRINTED:  </v>
      </c>
      <c r="R1000" s="355">
        <f ca="1">+R1</f>
        <v>44894.658168402777</v>
      </c>
      <c r="AC1000" s="95"/>
      <c r="AD1000" s="394" t="s">
        <v>717</v>
      </c>
      <c r="AE1000" s="396"/>
      <c r="AF1000" s="396"/>
      <c r="AG1000" s="396"/>
      <c r="AH1000" s="396"/>
      <c r="AI1000" s="396"/>
      <c r="AJ1000" s="396"/>
      <c r="AK1000" s="396"/>
      <c r="AL1000" s="396"/>
      <c r="AM1000" s="396"/>
      <c r="AN1000" s="396"/>
      <c r="AO1000" s="396"/>
      <c r="AP1000" s="396"/>
      <c r="AQ1000" s="396"/>
      <c r="AR1000" s="182"/>
      <c r="AS1000" s="133"/>
    </row>
    <row r="1001" spans="1:47" ht="16.5" customHeight="1" x14ac:dyDescent="0.3">
      <c r="A1001" s="189"/>
      <c r="B1001" s="394" t="str">
        <f>+A8</f>
        <v>Revised:  12/23/2020</v>
      </c>
      <c r="C1001" s="394"/>
      <c r="D1001" s="394"/>
      <c r="E1001" s="394"/>
      <c r="F1001" s="394"/>
      <c r="G1001" s="394"/>
      <c r="H1001" s="394"/>
      <c r="I1001" s="394"/>
      <c r="J1001" s="394"/>
      <c r="K1001" s="394"/>
      <c r="L1001" s="394"/>
      <c r="M1001" s="394"/>
      <c r="N1001" s="394"/>
      <c r="O1001" s="394"/>
      <c r="P1001" s="394"/>
      <c r="Q1001" s="180"/>
      <c r="R1001" s="181"/>
      <c r="AC1001" s="95"/>
      <c r="AK1001" s="190"/>
      <c r="AS1001" s="133"/>
    </row>
    <row r="1002" spans="1:47" ht="15.75" customHeight="1" thickBot="1" x14ac:dyDescent="0.35">
      <c r="A1002" s="189"/>
      <c r="B1002" s="394" t="s">
        <v>670</v>
      </c>
      <c r="C1002" s="394"/>
      <c r="D1002" s="394"/>
      <c r="E1002" s="394"/>
      <c r="F1002" s="394"/>
      <c r="G1002" s="394"/>
      <c r="H1002" s="394"/>
      <c r="I1002" s="394"/>
      <c r="J1002" s="394"/>
      <c r="K1002" s="394"/>
      <c r="L1002" s="394"/>
      <c r="M1002" s="394"/>
      <c r="N1002" s="394"/>
      <c r="O1002" s="394"/>
      <c r="P1002" s="394"/>
      <c r="Q1002" s="180"/>
      <c r="R1002" s="181"/>
      <c r="AC1002" s="95"/>
      <c r="AD1002" s="191" t="s">
        <v>677</v>
      </c>
      <c r="AE1002" s="191" t="s">
        <v>678</v>
      </c>
      <c r="AF1002" s="191" t="s">
        <v>679</v>
      </c>
      <c r="AG1002" s="191" t="s">
        <v>680</v>
      </c>
      <c r="AH1002" s="191" t="s">
        <v>644</v>
      </c>
      <c r="AI1002" s="191" t="s">
        <v>681</v>
      </c>
      <c r="AJ1002" s="191" t="s">
        <v>682</v>
      </c>
      <c r="AK1002" s="191" t="s">
        <v>683</v>
      </c>
      <c r="AL1002" s="191" t="s">
        <v>684</v>
      </c>
      <c r="AM1002" s="191" t="s">
        <v>685</v>
      </c>
      <c r="AN1002" s="191" t="s">
        <v>686</v>
      </c>
      <c r="AO1002" s="191" t="s">
        <v>687</v>
      </c>
      <c r="AP1002" s="191" t="s">
        <v>688</v>
      </c>
      <c r="AQ1002" s="191" t="s">
        <v>689</v>
      </c>
      <c r="AR1002" s="191" t="s">
        <v>638</v>
      </c>
      <c r="AS1002" s="209" t="s">
        <v>641</v>
      </c>
    </row>
    <row r="1003" spans="1:47" ht="15.75" customHeight="1" x14ac:dyDescent="0.3">
      <c r="A1003" s="189"/>
      <c r="B1003" s="180"/>
      <c r="C1003" s="180"/>
      <c r="D1003" s="180"/>
      <c r="E1003" s="180"/>
      <c r="F1003" s="180"/>
      <c r="G1003" s="180"/>
      <c r="H1003" s="180"/>
      <c r="I1003" s="180"/>
      <c r="J1003" s="180"/>
      <c r="K1003" s="180"/>
      <c r="L1003" s="180"/>
      <c r="M1003" s="180"/>
      <c r="N1003" s="180"/>
      <c r="O1003" s="180"/>
      <c r="P1003" s="180"/>
      <c r="Q1003" s="180"/>
      <c r="R1003" s="181"/>
      <c r="AC1003" s="95"/>
      <c r="AD1003" s="180"/>
      <c r="AE1003" s="180"/>
      <c r="AF1003" s="180"/>
      <c r="AG1003" s="180"/>
      <c r="AH1003" s="182" t="s">
        <v>718</v>
      </c>
      <c r="AI1003" s="180"/>
      <c r="AJ1003" s="180"/>
      <c r="AK1003" s="180"/>
      <c r="AL1003" s="180"/>
      <c r="AM1003" s="180"/>
      <c r="AN1003" s="180"/>
      <c r="AO1003" s="180"/>
      <c r="AP1003" s="180"/>
      <c r="AQ1003" s="180"/>
      <c r="AR1003" s="180"/>
      <c r="AS1003" s="210"/>
    </row>
    <row r="1004" spans="1:47" ht="15.75" customHeight="1" x14ac:dyDescent="0.3">
      <c r="A1004" s="189"/>
      <c r="B1004" s="395">
        <f>A5</f>
        <v>2020</v>
      </c>
      <c r="C1004" s="395"/>
      <c r="D1004" s="395"/>
      <c r="E1004" s="395"/>
      <c r="F1004" s="395"/>
      <c r="G1004" s="395"/>
      <c r="H1004" s="395"/>
      <c r="I1004" s="395"/>
      <c r="J1004" s="395"/>
      <c r="K1004" s="395"/>
      <c r="L1004" s="395"/>
      <c r="M1004" s="395"/>
      <c r="N1004" s="395"/>
      <c r="O1004" s="395"/>
      <c r="P1004" s="395"/>
      <c r="Q1004" s="180"/>
      <c r="R1004" s="181"/>
      <c r="S1004" s="180"/>
      <c r="AC1004" s="211" t="s">
        <v>719</v>
      </c>
      <c r="AD1004" s="212">
        <v>1.7000000000000001E-2</v>
      </c>
      <c r="AE1004" s="212">
        <v>1.7000000000000001E-2</v>
      </c>
      <c r="AF1004" s="212">
        <v>1.7000000000000001E-2</v>
      </c>
      <c r="AG1004" s="212">
        <v>1.7000000000000001E-2</v>
      </c>
      <c r="AH1004" s="212"/>
      <c r="AI1004" s="212"/>
      <c r="AJ1004" s="212"/>
      <c r="AK1004" s="212"/>
      <c r="AL1004" s="212"/>
      <c r="AM1004" s="212"/>
      <c r="AN1004" s="212"/>
      <c r="AO1004" s="212"/>
      <c r="AP1004" s="212"/>
      <c r="AQ1004" s="212"/>
      <c r="AR1004" s="212"/>
      <c r="AS1004" s="213"/>
    </row>
    <row r="1005" spans="1:47" ht="15.75" customHeight="1" x14ac:dyDescent="0.3">
      <c r="A1005" s="189"/>
      <c r="B1005" s="394" t="s">
        <v>717</v>
      </c>
      <c r="C1005" s="394"/>
      <c r="D1005" s="394"/>
      <c r="E1005" s="394"/>
      <c r="F1005" s="394"/>
      <c r="G1005" s="394"/>
      <c r="H1005" s="394"/>
      <c r="I1005" s="394"/>
      <c r="J1005" s="394"/>
      <c r="K1005" s="394"/>
      <c r="L1005" s="394"/>
      <c r="M1005" s="394"/>
      <c r="N1005" s="394"/>
      <c r="O1005" s="394"/>
      <c r="P1005" s="394"/>
      <c r="Q1005" s="180"/>
      <c r="R1005" s="181"/>
      <c r="S1005" s="180"/>
      <c r="AC1005" s="211" t="s">
        <v>720</v>
      </c>
      <c r="AD1005" s="212"/>
      <c r="AE1005" s="212">
        <v>0.03</v>
      </c>
      <c r="AF1005" s="212"/>
      <c r="AG1005" s="212"/>
      <c r="AH1005" s="212"/>
      <c r="AI1005" s="212"/>
      <c r="AJ1005" s="212"/>
      <c r="AK1005" s="212"/>
      <c r="AL1005" s="212"/>
      <c r="AM1005" s="212">
        <v>0.03</v>
      </c>
      <c r="AN1005" s="212">
        <v>0.03</v>
      </c>
      <c r="AO1005" s="212">
        <v>0.03</v>
      </c>
      <c r="AP1005" s="212">
        <v>0.03</v>
      </c>
      <c r="AQ1005" s="212">
        <v>0.03</v>
      </c>
      <c r="AR1005" s="212">
        <v>0.03</v>
      </c>
      <c r="AS1005" s="213"/>
    </row>
    <row r="1006" spans="1:47" ht="15.75" customHeight="1" x14ac:dyDescent="0.3">
      <c r="A1006" s="189"/>
      <c r="B1006" s="180"/>
      <c r="C1006" s="180"/>
      <c r="D1006" s="180"/>
      <c r="E1006" s="180"/>
      <c r="F1006" s="180"/>
      <c r="G1006" s="180"/>
      <c r="H1006" s="180"/>
      <c r="I1006" s="180"/>
      <c r="J1006" s="180"/>
      <c r="K1006" s="180"/>
      <c r="L1006" s="180"/>
      <c r="M1006" s="180"/>
      <c r="N1006" s="180"/>
      <c r="O1006" s="180"/>
      <c r="P1006" s="180"/>
      <c r="Q1006" s="180"/>
      <c r="R1006" s="181"/>
      <c r="S1006" s="180"/>
      <c r="AC1006" s="211" t="s">
        <v>721</v>
      </c>
      <c r="AD1006" s="212"/>
      <c r="AE1006" s="212"/>
      <c r="AF1006" s="212">
        <v>0.03</v>
      </c>
      <c r="AG1006" s="212">
        <v>0.03</v>
      </c>
      <c r="AH1006" s="212"/>
      <c r="AI1006" s="212"/>
      <c r="AJ1006" s="212"/>
      <c r="AK1006" s="212"/>
      <c r="AL1006" s="212"/>
      <c r="AM1006" s="212"/>
      <c r="AN1006" s="212"/>
      <c r="AO1006" s="212"/>
      <c r="AP1006" s="212"/>
      <c r="AQ1006" s="212"/>
      <c r="AR1006" s="212"/>
      <c r="AS1006" s="213"/>
    </row>
    <row r="1007" spans="1:47" ht="15.75" customHeight="1" thickBot="1" x14ac:dyDescent="0.35">
      <c r="A1007" s="189" t="s">
        <v>647</v>
      </c>
      <c r="B1007" s="191" t="s">
        <v>677</v>
      </c>
      <c r="C1007" s="191" t="s">
        <v>678</v>
      </c>
      <c r="D1007" s="191" t="s">
        <v>679</v>
      </c>
      <c r="E1007" s="191" t="s">
        <v>680</v>
      </c>
      <c r="F1007" s="191" t="s">
        <v>644</v>
      </c>
      <c r="G1007" s="191" t="s">
        <v>644</v>
      </c>
      <c r="H1007" s="191" t="s">
        <v>681</v>
      </c>
      <c r="I1007" s="191" t="s">
        <v>682</v>
      </c>
      <c r="J1007" s="191" t="s">
        <v>683</v>
      </c>
      <c r="K1007" s="191" t="s">
        <v>684</v>
      </c>
      <c r="L1007" s="191" t="s">
        <v>685</v>
      </c>
      <c r="M1007" s="191" t="s">
        <v>686</v>
      </c>
      <c r="N1007" s="191" t="s">
        <v>687</v>
      </c>
      <c r="O1007" s="191" t="s">
        <v>688</v>
      </c>
      <c r="P1007" s="191" t="s">
        <v>689</v>
      </c>
      <c r="Q1007" s="191" t="s">
        <v>638</v>
      </c>
      <c r="R1007" s="209" t="s">
        <v>641</v>
      </c>
      <c r="S1007" s="182"/>
      <c r="AC1007" s="211" t="s">
        <v>137</v>
      </c>
      <c r="AD1007" s="212"/>
      <c r="AE1007" s="212"/>
      <c r="AF1007" s="212"/>
      <c r="AG1007" s="212"/>
      <c r="AH1007" s="212"/>
      <c r="AI1007" s="212">
        <v>0.03</v>
      </c>
      <c r="AJ1007" s="212"/>
      <c r="AK1007" s="212"/>
      <c r="AL1007" s="212"/>
      <c r="AM1007" s="212"/>
      <c r="AN1007" s="212"/>
      <c r="AO1007" s="212"/>
      <c r="AP1007" s="212"/>
      <c r="AQ1007" s="212"/>
      <c r="AR1007" s="212"/>
      <c r="AS1007" s="213"/>
    </row>
    <row r="1008" spans="1:47" ht="15.75" customHeight="1" x14ac:dyDescent="0.3">
      <c r="A1008" s="189"/>
      <c r="B1008" s="180"/>
      <c r="C1008" s="180"/>
      <c r="D1008" s="180"/>
      <c r="E1008" s="180"/>
      <c r="F1008" s="182" t="s">
        <v>127</v>
      </c>
      <c r="G1008" s="182" t="s">
        <v>653</v>
      </c>
      <c r="H1008" s="180"/>
      <c r="I1008" s="180"/>
      <c r="J1008" s="180"/>
      <c r="K1008" s="180"/>
      <c r="L1008" s="180"/>
      <c r="M1008" s="180"/>
      <c r="N1008" s="180"/>
      <c r="O1008" s="180"/>
      <c r="P1008" s="180"/>
      <c r="Q1008" s="180"/>
      <c r="R1008" s="213" t="s">
        <v>722</v>
      </c>
      <c r="S1008" s="182"/>
      <c r="AC1008" s="211" t="s">
        <v>723</v>
      </c>
      <c r="AD1008" s="212">
        <v>0.03</v>
      </c>
      <c r="AE1008" s="212"/>
      <c r="AF1008" s="212"/>
      <c r="AG1008" s="212"/>
      <c r="AH1008" s="212"/>
      <c r="AI1008" s="212"/>
      <c r="AJ1008" s="212">
        <v>0.03</v>
      </c>
      <c r="AK1008" s="212">
        <v>0.03</v>
      </c>
      <c r="AL1008" s="212">
        <v>0.03</v>
      </c>
      <c r="AM1008" s="212"/>
      <c r="AN1008" s="212"/>
      <c r="AO1008" s="212"/>
      <c r="AP1008" s="212"/>
      <c r="AQ1008" s="212"/>
      <c r="AR1008" s="212"/>
      <c r="AS1008" s="213"/>
    </row>
    <row r="1009" spans="1:48" ht="15.75" customHeight="1" x14ac:dyDescent="0.3">
      <c r="A1009" s="189" t="s">
        <v>724</v>
      </c>
      <c r="B1009" s="214">
        <v>957</v>
      </c>
      <c r="C1009" s="214">
        <v>122</v>
      </c>
      <c r="D1009" s="214">
        <v>128</v>
      </c>
      <c r="E1009" s="214">
        <v>219</v>
      </c>
      <c r="F1009" s="214"/>
      <c r="G1009" s="214"/>
      <c r="H1009" s="214">
        <v>97</v>
      </c>
      <c r="I1009" s="214">
        <v>160</v>
      </c>
      <c r="J1009" s="214">
        <v>250</v>
      </c>
      <c r="K1009" s="214">
        <v>260</v>
      </c>
      <c r="L1009" s="214">
        <v>100</v>
      </c>
      <c r="M1009" s="214">
        <v>118</v>
      </c>
      <c r="N1009" s="214">
        <v>250</v>
      </c>
      <c r="O1009" s="214">
        <v>190</v>
      </c>
      <c r="P1009" s="214">
        <v>340</v>
      </c>
      <c r="Q1009" s="214">
        <v>450</v>
      </c>
      <c r="R1009" s="213" t="s">
        <v>658</v>
      </c>
      <c r="S1009" s="182"/>
      <c r="AC1009" s="211" t="s">
        <v>641</v>
      </c>
      <c r="AD1009" s="215">
        <f>SUM(AD1004:AD1008)</f>
        <v>4.7E-2</v>
      </c>
      <c r="AE1009" s="215">
        <f t="shared" ref="AE1009:AR1009" si="350">SUM(AE1004:AE1008)</f>
        <v>4.7E-2</v>
      </c>
      <c r="AF1009" s="215">
        <f t="shared" si="350"/>
        <v>4.7E-2</v>
      </c>
      <c r="AG1009" s="215">
        <f t="shared" si="350"/>
        <v>4.7E-2</v>
      </c>
      <c r="AH1009" s="215">
        <f t="shared" si="350"/>
        <v>0</v>
      </c>
      <c r="AI1009" s="215">
        <f t="shared" si="350"/>
        <v>0.03</v>
      </c>
      <c r="AJ1009" s="215">
        <f t="shared" si="350"/>
        <v>0.03</v>
      </c>
      <c r="AK1009" s="215">
        <f t="shared" si="350"/>
        <v>0.03</v>
      </c>
      <c r="AL1009" s="215">
        <f t="shared" si="350"/>
        <v>0.03</v>
      </c>
      <c r="AM1009" s="215">
        <f t="shared" si="350"/>
        <v>0.03</v>
      </c>
      <c r="AN1009" s="215">
        <f t="shared" si="350"/>
        <v>0.03</v>
      </c>
      <c r="AO1009" s="215">
        <f t="shared" si="350"/>
        <v>0.03</v>
      </c>
      <c r="AP1009" s="215">
        <f t="shared" si="350"/>
        <v>0.03</v>
      </c>
      <c r="AQ1009" s="215">
        <f t="shared" si="350"/>
        <v>0.03</v>
      </c>
      <c r="AR1009" s="215">
        <f t="shared" si="350"/>
        <v>0.03</v>
      </c>
      <c r="AS1009" s="213"/>
      <c r="AU1009" s="192" t="s">
        <v>725</v>
      </c>
      <c r="AV1009" s="4" t="s">
        <v>726</v>
      </c>
    </row>
    <row r="1010" spans="1:48" ht="15.75" customHeight="1" x14ac:dyDescent="0.3">
      <c r="A1010" s="189"/>
      <c r="B1010" s="182" t="s">
        <v>666</v>
      </c>
      <c r="C1010" s="182" t="s">
        <v>666</v>
      </c>
      <c r="D1010" s="182" t="s">
        <v>666</v>
      </c>
      <c r="E1010" s="182" t="s">
        <v>666</v>
      </c>
      <c r="F1010" s="182" t="s">
        <v>666</v>
      </c>
      <c r="G1010" s="182" t="s">
        <v>666</v>
      </c>
      <c r="H1010" s="182" t="s">
        <v>666</v>
      </c>
      <c r="I1010" s="182" t="s">
        <v>666</v>
      </c>
      <c r="J1010" s="182" t="s">
        <v>666</v>
      </c>
      <c r="K1010" s="182" t="s">
        <v>666</v>
      </c>
      <c r="L1010" s="182" t="s">
        <v>666</v>
      </c>
      <c r="M1010" s="182" t="s">
        <v>666</v>
      </c>
      <c r="N1010" s="182" t="s">
        <v>666</v>
      </c>
      <c r="O1010" s="182" t="s">
        <v>666</v>
      </c>
      <c r="P1010" s="182" t="s">
        <v>666</v>
      </c>
      <c r="Q1010" s="182" t="s">
        <v>666</v>
      </c>
      <c r="R1010" s="213" t="s">
        <v>714</v>
      </c>
      <c r="S1010" s="182"/>
      <c r="T1010" s="182"/>
      <c r="AC1010" s="189" t="s">
        <v>666</v>
      </c>
      <c r="AD1010" s="182" t="s">
        <v>666</v>
      </c>
      <c r="AE1010" s="182" t="s">
        <v>666</v>
      </c>
      <c r="AF1010" s="182" t="s">
        <v>666</v>
      </c>
      <c r="AG1010" s="182" t="s">
        <v>666</v>
      </c>
      <c r="AH1010" s="182" t="s">
        <v>666</v>
      </c>
      <c r="AI1010" s="182" t="s">
        <v>666</v>
      </c>
      <c r="AJ1010" s="182" t="s">
        <v>666</v>
      </c>
      <c r="AK1010" s="182" t="s">
        <v>666</v>
      </c>
      <c r="AL1010" s="182" t="s">
        <v>666</v>
      </c>
      <c r="AM1010" s="182" t="s">
        <v>666</v>
      </c>
      <c r="AN1010" s="182" t="s">
        <v>666</v>
      </c>
      <c r="AO1010" s="182" t="s">
        <v>666</v>
      </c>
      <c r="AP1010" s="182" t="s">
        <v>666</v>
      </c>
      <c r="AQ1010" s="182" t="s">
        <v>666</v>
      </c>
      <c r="AR1010" s="182" t="s">
        <v>666</v>
      </c>
      <c r="AS1010" s="213" t="s">
        <v>666</v>
      </c>
    </row>
    <row r="1011" spans="1:48" ht="15.75" customHeight="1" x14ac:dyDescent="0.3">
      <c r="A1011" s="192" t="s">
        <v>8</v>
      </c>
      <c r="B1011" s="180">
        <f>ROUND((B954*$B$1009)/1000,0)</f>
        <v>71071</v>
      </c>
      <c r="C1011" s="180">
        <f t="shared" ref="C1011:C1022" si="351">ROUND((C954*$C$1009)/1000,0)</f>
        <v>9048</v>
      </c>
      <c r="D1011" s="180">
        <f t="shared" ref="D1011:D1022" si="352">ROUND((D954*$D$1009)/1000,0)</f>
        <v>9481</v>
      </c>
      <c r="E1011" s="180">
        <f t="shared" ref="E1011:E1022" si="353">ROUND((E954*$E$1009)/1000,0)</f>
        <v>15997</v>
      </c>
      <c r="F1011" s="180">
        <f>(F954*((T954-1526.8)/0.7702))/1000</f>
        <v>4395.3743141133909</v>
      </c>
      <c r="G1011" s="180">
        <f t="shared" ref="G1011:G1022" si="354">(G954*((T954-1591.4)/0.6635))/1000</f>
        <v>0</v>
      </c>
      <c r="H1011" s="180">
        <f t="shared" ref="H1011:H1022" si="355">ROUND((H954*$H$1009)/1000,0)</f>
        <v>2852</v>
      </c>
      <c r="I1011" s="180">
        <f t="shared" ref="I1011:I1022" si="356">ROUND((I954*$I$1009)/1000,0)</f>
        <v>2262</v>
      </c>
      <c r="J1011" s="180">
        <f t="shared" ref="J1011:J1022" si="357">ROUND((J954*$J$1009)/1000,0)</f>
        <v>3532</v>
      </c>
      <c r="K1011" s="180">
        <f t="shared" ref="K1011:K1022" si="358">ROUND((K954*$K$1009)/1000,0)</f>
        <v>3647</v>
      </c>
      <c r="L1011" s="180">
        <f t="shared" ref="L1011:L1022" si="359">ROUND((L954*$L$1009)/1000,0)</f>
        <v>956</v>
      </c>
      <c r="M1011" s="180">
        <f t="shared" ref="M1011:M1022" si="360">ROUND((M954*$M$1009)/1000,0)</f>
        <v>1126</v>
      </c>
      <c r="N1011" s="180">
        <f t="shared" ref="N1011:N1022" si="361">ROUND((N954*$N$1009)/1000,0)</f>
        <v>2297</v>
      </c>
      <c r="O1011" s="180">
        <f t="shared" ref="O1011:O1022" si="362">ROUND((O954*$O$1009)/1000,0)</f>
        <v>676</v>
      </c>
      <c r="P1011" s="180">
        <f t="shared" ref="P1011:P1022" si="363">ROUND((P954*$P$1009)/1000,0)</f>
        <v>1402</v>
      </c>
      <c r="Q1011" s="180">
        <f t="shared" ref="Q1011:Q1022" si="364">ROUND((Q954*$Q$1009)/1000,0)</f>
        <v>1599</v>
      </c>
      <c r="R1011" s="216">
        <f>(SUM(B1011:Q1011))</f>
        <v>130341.37431411339</v>
      </c>
      <c r="S1011" s="217"/>
      <c r="AC1011" s="211" t="s">
        <v>8</v>
      </c>
      <c r="AD1011" s="180">
        <f>ROUND(B1011*$AD$1009, 0)</f>
        <v>3340</v>
      </c>
      <c r="AE1011" s="180">
        <f>ROUND(C1011*$AE$1009,0)</f>
        <v>425</v>
      </c>
      <c r="AF1011" s="180">
        <f>ROUND(D1011*$AF$1009,0)</f>
        <v>446</v>
      </c>
      <c r="AG1011" s="180">
        <f>ROUND(E1011*$AG$1009,0)</f>
        <v>752</v>
      </c>
      <c r="AH1011" s="180">
        <f>ROUND(F1011*$AH$1009,0)</f>
        <v>0</v>
      </c>
      <c r="AI1011" s="180">
        <f>ROUND(H1011*$AI$1009,0)</f>
        <v>86</v>
      </c>
      <c r="AJ1011" s="180">
        <f>ROUND(I1011*$AJ$1009,0)</f>
        <v>68</v>
      </c>
      <c r="AK1011" s="180">
        <f>ROUND(J1011*$AK$1009,0)</f>
        <v>106</v>
      </c>
      <c r="AL1011" s="180">
        <f>ROUND(K1011*$AL$1009,0)</f>
        <v>109</v>
      </c>
      <c r="AM1011" s="180">
        <f>ROUND(L1011*$AM$1009,0)</f>
        <v>29</v>
      </c>
      <c r="AN1011" s="180">
        <f>ROUND(M1011*$AN$1009,0)</f>
        <v>34</v>
      </c>
      <c r="AO1011" s="180">
        <f>ROUND(N1011*$AO$1009,0)</f>
        <v>69</v>
      </c>
      <c r="AP1011" s="180">
        <f>ROUND(O1011*$AP$1009,0)</f>
        <v>20</v>
      </c>
      <c r="AQ1011" s="180">
        <f>ROUND(P1011*$AQ$1009,0)</f>
        <v>42</v>
      </c>
      <c r="AR1011" s="180">
        <f>ROUND(Q1011*$AR$1009,0)</f>
        <v>48</v>
      </c>
      <c r="AS1011" s="210">
        <f>SUM(AD1011:AR1011)</f>
        <v>5574</v>
      </c>
      <c r="AU1011" s="218">
        <f>AS1011/R1011</f>
        <v>4.276462504198443E-2</v>
      </c>
    </row>
    <row r="1012" spans="1:48" ht="15.75" customHeight="1" x14ac:dyDescent="0.3">
      <c r="A1012" s="192" t="s">
        <v>9</v>
      </c>
      <c r="B1012" s="180">
        <f t="shared" ref="B1012:B1022" si="365">ROUND((B955*$B$1009)/1000,0)</f>
        <v>71086</v>
      </c>
      <c r="C1012" s="180">
        <f t="shared" si="351"/>
        <v>9044</v>
      </c>
      <c r="D1012" s="180">
        <f t="shared" si="352"/>
        <v>9470</v>
      </c>
      <c r="E1012" s="180">
        <f t="shared" si="353"/>
        <v>16035</v>
      </c>
      <c r="F1012" s="180">
        <f t="shared" ref="F1012:F1022" si="366">(F955*((T955-1526.8)/0.7702))/1000</f>
        <v>588.40789405349301</v>
      </c>
      <c r="G1012" s="180">
        <f>(G955*((T955-1591.4)/0.6635))/1000</f>
        <v>0</v>
      </c>
      <c r="H1012" s="180">
        <f t="shared" si="355"/>
        <v>4610</v>
      </c>
      <c r="I1012" s="180">
        <f t="shared" si="356"/>
        <v>3686</v>
      </c>
      <c r="J1012" s="180">
        <f t="shared" si="357"/>
        <v>5695</v>
      </c>
      <c r="K1012" s="180">
        <f t="shared" si="358"/>
        <v>5890</v>
      </c>
      <c r="L1012" s="180">
        <f t="shared" si="359"/>
        <v>1867</v>
      </c>
      <c r="M1012" s="180">
        <f t="shared" si="360"/>
        <v>2200</v>
      </c>
      <c r="N1012" s="180">
        <f t="shared" si="361"/>
        <v>4274</v>
      </c>
      <c r="O1012" s="180">
        <f t="shared" si="362"/>
        <v>728</v>
      </c>
      <c r="P1012" s="180">
        <f t="shared" si="363"/>
        <v>1337</v>
      </c>
      <c r="Q1012" s="180">
        <f t="shared" si="364"/>
        <v>1724</v>
      </c>
      <c r="R1012" s="216">
        <f>(SUM(B1012:Q1012))</f>
        <v>138234.4078940535</v>
      </c>
      <c r="S1012" s="217"/>
      <c r="AC1012" s="211" t="s">
        <v>9</v>
      </c>
      <c r="AD1012" s="180">
        <f t="shared" ref="AD1012:AD1022" si="367">ROUND(B1012*$AD$1009, 0)</f>
        <v>3341</v>
      </c>
      <c r="AE1012" s="180">
        <f t="shared" ref="AE1012:AE1022" si="368">ROUND(C1012*$AE$1009,0)</f>
        <v>425</v>
      </c>
      <c r="AF1012" s="180">
        <f t="shared" ref="AF1012:AF1022" si="369">ROUND(D1012*$AF$1009,0)</f>
        <v>445</v>
      </c>
      <c r="AG1012" s="180">
        <f t="shared" ref="AG1012:AG1022" si="370">ROUND(E1012*$AG$1009,0)</f>
        <v>754</v>
      </c>
      <c r="AH1012" s="180">
        <f t="shared" ref="AH1012:AH1022" si="371">ROUND(F1012*$AH$1009,0)</f>
        <v>0</v>
      </c>
      <c r="AI1012" s="180">
        <f t="shared" ref="AI1012:AI1022" si="372">ROUND(H1012*$AI$1009,0)</f>
        <v>138</v>
      </c>
      <c r="AJ1012" s="180">
        <f t="shared" ref="AJ1012:AJ1022" si="373">ROUND(I1012*$AJ$1009,0)</f>
        <v>111</v>
      </c>
      <c r="AK1012" s="180">
        <f t="shared" ref="AK1012:AK1022" si="374">ROUND(J1012*$AK$1009,0)</f>
        <v>171</v>
      </c>
      <c r="AL1012" s="180">
        <f t="shared" ref="AL1012:AL1022" si="375">ROUND(K1012*$AL$1009,0)</f>
        <v>177</v>
      </c>
      <c r="AM1012" s="180">
        <f t="shared" ref="AM1012:AM1022" si="376">ROUND(L1012*$AM$1009,0)</f>
        <v>56</v>
      </c>
      <c r="AN1012" s="180">
        <f t="shared" ref="AN1012:AN1022" si="377">ROUND(M1012*$AN$1009,0)</f>
        <v>66</v>
      </c>
      <c r="AO1012" s="180">
        <f t="shared" ref="AO1012:AO1022" si="378">ROUND(N1012*$AO$1009,0)</f>
        <v>128</v>
      </c>
      <c r="AP1012" s="180">
        <f t="shared" ref="AP1012:AP1022" si="379">ROUND(O1012*$AP$1009,0)</f>
        <v>22</v>
      </c>
      <c r="AQ1012" s="180">
        <f t="shared" ref="AQ1012:AQ1022" si="380">ROUND(P1012*$AQ$1009,0)</f>
        <v>40</v>
      </c>
      <c r="AR1012" s="180">
        <f t="shared" ref="AR1012:AR1022" si="381">ROUND(Q1012*$AR$1009,0)</f>
        <v>52</v>
      </c>
      <c r="AS1012" s="210">
        <f t="shared" ref="AS1012:AS1022" si="382">SUM(AD1012:AR1012)</f>
        <v>5926</v>
      </c>
      <c r="AU1012" s="218">
        <f t="shared" ref="AU1012:AU1024" si="383">AS1012/R1012</f>
        <v>4.2869211003832293E-2</v>
      </c>
    </row>
    <row r="1013" spans="1:48" ht="15.75" customHeight="1" x14ac:dyDescent="0.3">
      <c r="A1013" s="192" t="s">
        <v>10</v>
      </c>
      <c r="B1013" s="180">
        <f t="shared" si="365"/>
        <v>91135</v>
      </c>
      <c r="C1013" s="180">
        <f t="shared" si="351"/>
        <v>11585</v>
      </c>
      <c r="D1013" s="180">
        <f t="shared" si="352"/>
        <v>12121</v>
      </c>
      <c r="E1013" s="180">
        <f t="shared" si="353"/>
        <v>20393</v>
      </c>
      <c r="F1013" s="180">
        <f t="shared" si="366"/>
        <v>5116.8532848610776</v>
      </c>
      <c r="G1013" s="180">
        <f t="shared" si="354"/>
        <v>-3056.318613413714</v>
      </c>
      <c r="H1013" s="180">
        <f t="shared" si="355"/>
        <v>6301</v>
      </c>
      <c r="I1013" s="180">
        <f t="shared" si="356"/>
        <v>4877</v>
      </c>
      <c r="J1013" s="180">
        <f t="shared" si="357"/>
        <v>7069</v>
      </c>
      <c r="K1013" s="180">
        <f t="shared" si="358"/>
        <v>7155</v>
      </c>
      <c r="L1013" s="180">
        <f t="shared" si="359"/>
        <v>2157</v>
      </c>
      <c r="M1013" s="180">
        <f t="shared" si="360"/>
        <v>2542</v>
      </c>
      <c r="N1013" s="180">
        <f t="shared" si="361"/>
        <v>5084</v>
      </c>
      <c r="O1013" s="180">
        <f t="shared" si="362"/>
        <v>743</v>
      </c>
      <c r="P1013" s="180">
        <f t="shared" si="363"/>
        <v>1476</v>
      </c>
      <c r="Q1013" s="180">
        <f t="shared" si="364"/>
        <v>1758</v>
      </c>
      <c r="R1013" s="216">
        <f t="shared" ref="R1013:R1022" si="384">(SUM(B1013:Q1013))</f>
        <v>176456.53467144736</v>
      </c>
      <c r="S1013" s="217"/>
      <c r="AC1013" s="211" t="s">
        <v>10</v>
      </c>
      <c r="AD1013" s="180">
        <f t="shared" si="367"/>
        <v>4283</v>
      </c>
      <c r="AE1013" s="180">
        <f t="shared" si="368"/>
        <v>544</v>
      </c>
      <c r="AF1013" s="180">
        <f t="shared" si="369"/>
        <v>570</v>
      </c>
      <c r="AG1013" s="180">
        <f t="shared" si="370"/>
        <v>958</v>
      </c>
      <c r="AH1013" s="180">
        <f t="shared" si="371"/>
        <v>0</v>
      </c>
      <c r="AI1013" s="180">
        <f t="shared" si="372"/>
        <v>189</v>
      </c>
      <c r="AJ1013" s="180">
        <f t="shared" si="373"/>
        <v>146</v>
      </c>
      <c r="AK1013" s="180">
        <f t="shared" si="374"/>
        <v>212</v>
      </c>
      <c r="AL1013" s="180">
        <f t="shared" si="375"/>
        <v>215</v>
      </c>
      <c r="AM1013" s="180">
        <f t="shared" si="376"/>
        <v>65</v>
      </c>
      <c r="AN1013" s="180">
        <f t="shared" si="377"/>
        <v>76</v>
      </c>
      <c r="AO1013" s="180">
        <f t="shared" si="378"/>
        <v>153</v>
      </c>
      <c r="AP1013" s="180">
        <f t="shared" si="379"/>
        <v>22</v>
      </c>
      <c r="AQ1013" s="180">
        <f t="shared" si="380"/>
        <v>44</v>
      </c>
      <c r="AR1013" s="180">
        <f t="shared" si="381"/>
        <v>53</v>
      </c>
      <c r="AS1013" s="210">
        <f t="shared" si="382"/>
        <v>7530</v>
      </c>
      <c r="AU1013" s="218">
        <f t="shared" si="383"/>
        <v>4.2673398375528894E-2</v>
      </c>
    </row>
    <row r="1014" spans="1:48" ht="15.75" customHeight="1" x14ac:dyDescent="0.3">
      <c r="A1014" s="192" t="s">
        <v>12</v>
      </c>
      <c r="B1014" s="180">
        <f t="shared" si="365"/>
        <v>144793</v>
      </c>
      <c r="C1014" s="180">
        <f t="shared" si="351"/>
        <v>18414</v>
      </c>
      <c r="D1014" s="180">
        <f t="shared" si="352"/>
        <v>19274</v>
      </c>
      <c r="E1014" s="180">
        <f t="shared" si="353"/>
        <v>32117</v>
      </c>
      <c r="F1014" s="180">
        <f t="shared" si="366"/>
        <v>795.33455313143236</v>
      </c>
      <c r="G1014" s="180">
        <f t="shared" si="354"/>
        <v>0</v>
      </c>
      <c r="H1014" s="180">
        <f t="shared" si="355"/>
        <v>10239</v>
      </c>
      <c r="I1014" s="180">
        <f t="shared" si="356"/>
        <v>7813</v>
      </c>
      <c r="J1014" s="180">
        <f t="shared" si="357"/>
        <v>9267</v>
      </c>
      <c r="K1014" s="180">
        <f t="shared" si="358"/>
        <v>8050</v>
      </c>
      <c r="L1014" s="180">
        <f t="shared" si="359"/>
        <v>2393</v>
      </c>
      <c r="M1014" s="180">
        <f t="shared" si="360"/>
        <v>2819</v>
      </c>
      <c r="N1014" s="180">
        <f t="shared" si="361"/>
        <v>5346</v>
      </c>
      <c r="O1014" s="180">
        <f t="shared" si="362"/>
        <v>813</v>
      </c>
      <c r="P1014" s="180">
        <f t="shared" si="363"/>
        <v>1771</v>
      </c>
      <c r="Q1014" s="180">
        <f t="shared" si="364"/>
        <v>1922</v>
      </c>
      <c r="R1014" s="216">
        <f t="shared" si="384"/>
        <v>265826.33455313143</v>
      </c>
      <c r="S1014" s="217"/>
      <c r="AC1014" s="211" t="s">
        <v>12</v>
      </c>
      <c r="AD1014" s="180">
        <f t="shared" si="367"/>
        <v>6805</v>
      </c>
      <c r="AE1014" s="180">
        <f t="shared" si="368"/>
        <v>865</v>
      </c>
      <c r="AF1014" s="180">
        <f t="shared" si="369"/>
        <v>906</v>
      </c>
      <c r="AG1014" s="180">
        <f t="shared" si="370"/>
        <v>1509</v>
      </c>
      <c r="AH1014" s="180">
        <f t="shared" si="371"/>
        <v>0</v>
      </c>
      <c r="AI1014" s="180">
        <f t="shared" si="372"/>
        <v>307</v>
      </c>
      <c r="AJ1014" s="180">
        <f t="shared" si="373"/>
        <v>234</v>
      </c>
      <c r="AK1014" s="180">
        <f t="shared" si="374"/>
        <v>278</v>
      </c>
      <c r="AL1014" s="180">
        <f t="shared" si="375"/>
        <v>242</v>
      </c>
      <c r="AM1014" s="180">
        <f t="shared" si="376"/>
        <v>72</v>
      </c>
      <c r="AN1014" s="180">
        <f t="shared" si="377"/>
        <v>85</v>
      </c>
      <c r="AO1014" s="180">
        <f t="shared" si="378"/>
        <v>160</v>
      </c>
      <c r="AP1014" s="180">
        <f t="shared" si="379"/>
        <v>24</v>
      </c>
      <c r="AQ1014" s="180">
        <f t="shared" si="380"/>
        <v>53</v>
      </c>
      <c r="AR1014" s="180">
        <f t="shared" si="381"/>
        <v>58</v>
      </c>
      <c r="AS1014" s="210">
        <f t="shared" si="382"/>
        <v>11598</v>
      </c>
      <c r="AU1014" s="218">
        <f t="shared" si="383"/>
        <v>4.3629988802640157E-2</v>
      </c>
    </row>
    <row r="1015" spans="1:48" ht="15.75" customHeight="1" x14ac:dyDescent="0.3">
      <c r="A1015" s="192" t="s">
        <v>13</v>
      </c>
      <c r="B1015" s="180">
        <f t="shared" si="365"/>
        <v>171435</v>
      </c>
      <c r="C1015" s="180">
        <f t="shared" si="351"/>
        <v>21803</v>
      </c>
      <c r="D1015" s="180">
        <f t="shared" si="352"/>
        <v>22824</v>
      </c>
      <c r="E1015" s="180">
        <f t="shared" si="353"/>
        <v>37630</v>
      </c>
      <c r="F1015" s="180">
        <f t="shared" si="366"/>
        <v>0</v>
      </c>
      <c r="G1015" s="180">
        <f t="shared" si="354"/>
        <v>-1947.3030896759628</v>
      </c>
      <c r="H1015" s="180">
        <f t="shared" si="355"/>
        <v>12282</v>
      </c>
      <c r="I1015" s="180">
        <f t="shared" si="356"/>
        <v>7005</v>
      </c>
      <c r="J1015" s="180">
        <f t="shared" si="357"/>
        <v>8830</v>
      </c>
      <c r="K1015" s="180">
        <f t="shared" si="358"/>
        <v>7875</v>
      </c>
      <c r="L1015" s="180">
        <f t="shared" si="359"/>
        <v>2367</v>
      </c>
      <c r="M1015" s="180">
        <f t="shared" si="360"/>
        <v>2788</v>
      </c>
      <c r="N1015" s="180">
        <f t="shared" si="361"/>
        <v>5404</v>
      </c>
      <c r="O1015" s="180">
        <f t="shared" si="362"/>
        <v>752</v>
      </c>
      <c r="P1015" s="180">
        <f t="shared" si="363"/>
        <v>2334</v>
      </c>
      <c r="Q1015" s="180">
        <f t="shared" si="364"/>
        <v>1778</v>
      </c>
      <c r="R1015" s="216">
        <f t="shared" si="384"/>
        <v>303159.69691032404</v>
      </c>
      <c r="S1015" s="217"/>
      <c r="AC1015" s="211" t="s">
        <v>13</v>
      </c>
      <c r="AD1015" s="180">
        <f t="shared" si="367"/>
        <v>8057</v>
      </c>
      <c r="AE1015" s="180">
        <f t="shared" si="368"/>
        <v>1025</v>
      </c>
      <c r="AF1015" s="180">
        <f t="shared" si="369"/>
        <v>1073</v>
      </c>
      <c r="AG1015" s="180">
        <f t="shared" si="370"/>
        <v>1769</v>
      </c>
      <c r="AH1015" s="180">
        <f t="shared" si="371"/>
        <v>0</v>
      </c>
      <c r="AI1015" s="180">
        <f t="shared" si="372"/>
        <v>368</v>
      </c>
      <c r="AJ1015" s="180">
        <f t="shared" si="373"/>
        <v>210</v>
      </c>
      <c r="AK1015" s="180">
        <f t="shared" si="374"/>
        <v>265</v>
      </c>
      <c r="AL1015" s="180">
        <f t="shared" si="375"/>
        <v>236</v>
      </c>
      <c r="AM1015" s="180">
        <f t="shared" si="376"/>
        <v>71</v>
      </c>
      <c r="AN1015" s="180">
        <f t="shared" si="377"/>
        <v>84</v>
      </c>
      <c r="AO1015" s="180">
        <f t="shared" si="378"/>
        <v>162</v>
      </c>
      <c r="AP1015" s="180">
        <f t="shared" si="379"/>
        <v>23</v>
      </c>
      <c r="AQ1015" s="180">
        <f t="shared" si="380"/>
        <v>70</v>
      </c>
      <c r="AR1015" s="180">
        <f t="shared" si="381"/>
        <v>53</v>
      </c>
      <c r="AS1015" s="210">
        <f t="shared" si="382"/>
        <v>13466</v>
      </c>
      <c r="AU1015" s="218">
        <f t="shared" si="383"/>
        <v>4.441883316694073E-2</v>
      </c>
    </row>
    <row r="1016" spans="1:48" ht="15.75" customHeight="1" x14ac:dyDescent="0.3">
      <c r="A1016" s="192" t="s">
        <v>14</v>
      </c>
      <c r="B1016" s="180">
        <f t="shared" si="365"/>
        <v>102242</v>
      </c>
      <c r="C1016" s="180">
        <f t="shared" si="351"/>
        <v>12983</v>
      </c>
      <c r="D1016" s="180">
        <f t="shared" si="352"/>
        <v>13571</v>
      </c>
      <c r="E1016" s="180">
        <f t="shared" si="353"/>
        <v>21545</v>
      </c>
      <c r="F1016" s="180">
        <f t="shared" si="366"/>
        <v>0</v>
      </c>
      <c r="G1016" s="180">
        <f t="shared" si="354"/>
        <v>-11782.808138658635</v>
      </c>
      <c r="H1016" s="180">
        <f t="shared" si="355"/>
        <v>13407</v>
      </c>
      <c r="I1016" s="180">
        <f t="shared" si="356"/>
        <v>7440</v>
      </c>
      <c r="J1016" s="180">
        <f t="shared" si="357"/>
        <v>8155</v>
      </c>
      <c r="K1016" s="180">
        <f t="shared" si="358"/>
        <v>6905</v>
      </c>
      <c r="L1016" s="180">
        <f t="shared" si="359"/>
        <v>2336</v>
      </c>
      <c r="M1016" s="180">
        <f t="shared" si="360"/>
        <v>2751</v>
      </c>
      <c r="N1016" s="180">
        <f t="shared" si="361"/>
        <v>5165</v>
      </c>
      <c r="O1016" s="180">
        <f t="shared" si="362"/>
        <v>816</v>
      </c>
      <c r="P1016" s="180">
        <f t="shared" si="363"/>
        <v>2385</v>
      </c>
      <c r="Q1016" s="180">
        <f t="shared" si="364"/>
        <v>1923</v>
      </c>
      <c r="R1016" s="216">
        <f>(SUM(B1016:Q1016))</f>
        <v>189841.19186134136</v>
      </c>
      <c r="S1016" s="217"/>
      <c r="AC1016" s="211" t="s">
        <v>14</v>
      </c>
      <c r="AD1016" s="180">
        <f t="shared" si="367"/>
        <v>4805</v>
      </c>
      <c r="AE1016" s="180">
        <f t="shared" si="368"/>
        <v>610</v>
      </c>
      <c r="AF1016" s="180">
        <f t="shared" si="369"/>
        <v>638</v>
      </c>
      <c r="AG1016" s="180">
        <f t="shared" si="370"/>
        <v>1013</v>
      </c>
      <c r="AH1016" s="180">
        <f t="shared" si="371"/>
        <v>0</v>
      </c>
      <c r="AI1016" s="180">
        <f t="shared" si="372"/>
        <v>402</v>
      </c>
      <c r="AJ1016" s="180">
        <f t="shared" si="373"/>
        <v>223</v>
      </c>
      <c r="AK1016" s="180">
        <f t="shared" si="374"/>
        <v>245</v>
      </c>
      <c r="AL1016" s="180">
        <f t="shared" si="375"/>
        <v>207</v>
      </c>
      <c r="AM1016" s="180">
        <f t="shared" si="376"/>
        <v>70</v>
      </c>
      <c r="AN1016" s="180">
        <f t="shared" si="377"/>
        <v>83</v>
      </c>
      <c r="AO1016" s="180">
        <f t="shared" si="378"/>
        <v>155</v>
      </c>
      <c r="AP1016" s="180">
        <f t="shared" si="379"/>
        <v>24</v>
      </c>
      <c r="AQ1016" s="180">
        <f t="shared" si="380"/>
        <v>72</v>
      </c>
      <c r="AR1016" s="180">
        <f t="shared" si="381"/>
        <v>58</v>
      </c>
      <c r="AS1016" s="210">
        <f t="shared" si="382"/>
        <v>8605</v>
      </c>
      <c r="AU1016" s="218">
        <f t="shared" si="383"/>
        <v>4.5327359755963977E-2</v>
      </c>
    </row>
    <row r="1017" spans="1:48" ht="15.75" customHeight="1" x14ac:dyDescent="0.3">
      <c r="A1017" s="192" t="s">
        <v>16</v>
      </c>
      <c r="B1017" s="180">
        <f t="shared" si="365"/>
        <v>71492</v>
      </c>
      <c r="C1017" s="180">
        <f t="shared" si="351"/>
        <v>9063</v>
      </c>
      <c r="D1017" s="180">
        <f t="shared" si="352"/>
        <v>9458</v>
      </c>
      <c r="E1017" s="180">
        <f t="shared" si="353"/>
        <v>13647</v>
      </c>
      <c r="F1017" s="180">
        <f t="shared" si="366"/>
        <v>0</v>
      </c>
      <c r="G1017" s="180">
        <f t="shared" si="354"/>
        <v>-13657.388393424346</v>
      </c>
      <c r="H1017" s="180">
        <f t="shared" si="355"/>
        <v>12588</v>
      </c>
      <c r="I1017" s="180">
        <f t="shared" si="356"/>
        <v>8369</v>
      </c>
      <c r="J1017" s="180">
        <f t="shared" si="357"/>
        <v>8955</v>
      </c>
      <c r="K1017" s="180">
        <f t="shared" si="358"/>
        <v>7698</v>
      </c>
      <c r="L1017" s="180">
        <f t="shared" si="359"/>
        <v>2212</v>
      </c>
      <c r="M1017" s="180">
        <f t="shared" si="360"/>
        <v>2605</v>
      </c>
      <c r="N1017" s="180">
        <f t="shared" si="361"/>
        <v>5290</v>
      </c>
      <c r="O1017" s="180">
        <f t="shared" si="362"/>
        <v>779</v>
      </c>
      <c r="P1017" s="180">
        <f t="shared" si="363"/>
        <v>2282</v>
      </c>
      <c r="Q1017" s="180">
        <f t="shared" si="364"/>
        <v>1841</v>
      </c>
      <c r="R1017" s="216">
        <f t="shared" si="384"/>
        <v>142621.61160657567</v>
      </c>
      <c r="S1017" s="217"/>
      <c r="AC1017" s="211" t="s">
        <v>16</v>
      </c>
      <c r="AD1017" s="180">
        <f t="shared" si="367"/>
        <v>3360</v>
      </c>
      <c r="AE1017" s="180">
        <f t="shared" si="368"/>
        <v>426</v>
      </c>
      <c r="AF1017" s="180">
        <f t="shared" si="369"/>
        <v>445</v>
      </c>
      <c r="AG1017" s="180">
        <f t="shared" si="370"/>
        <v>641</v>
      </c>
      <c r="AH1017" s="180">
        <f t="shared" si="371"/>
        <v>0</v>
      </c>
      <c r="AI1017" s="180">
        <f t="shared" si="372"/>
        <v>378</v>
      </c>
      <c r="AJ1017" s="180">
        <f t="shared" si="373"/>
        <v>251</v>
      </c>
      <c r="AK1017" s="180">
        <f t="shared" si="374"/>
        <v>269</v>
      </c>
      <c r="AL1017" s="180">
        <f t="shared" si="375"/>
        <v>231</v>
      </c>
      <c r="AM1017" s="180">
        <f t="shared" si="376"/>
        <v>66</v>
      </c>
      <c r="AN1017" s="180">
        <f t="shared" si="377"/>
        <v>78</v>
      </c>
      <c r="AO1017" s="180">
        <f t="shared" si="378"/>
        <v>159</v>
      </c>
      <c r="AP1017" s="180">
        <f t="shared" si="379"/>
        <v>23</v>
      </c>
      <c r="AQ1017" s="180">
        <f t="shared" si="380"/>
        <v>68</v>
      </c>
      <c r="AR1017" s="180">
        <f t="shared" si="381"/>
        <v>55</v>
      </c>
      <c r="AS1017" s="210">
        <f t="shared" si="382"/>
        <v>6450</v>
      </c>
      <c r="AU1017" s="218">
        <f t="shared" si="383"/>
        <v>4.5224562584473126E-2</v>
      </c>
    </row>
    <row r="1018" spans="1:48" ht="15.75" customHeight="1" x14ac:dyDescent="0.3">
      <c r="A1018" s="192" t="s">
        <v>17</v>
      </c>
      <c r="B1018" s="180">
        <f t="shared" si="365"/>
        <v>60410</v>
      </c>
      <c r="C1018" s="180">
        <f t="shared" si="351"/>
        <v>7660</v>
      </c>
      <c r="D1018" s="180">
        <f t="shared" si="352"/>
        <v>7996</v>
      </c>
      <c r="E1018" s="180">
        <f t="shared" si="353"/>
        <v>8888</v>
      </c>
      <c r="F1018" s="180">
        <f t="shared" si="366"/>
        <v>0.87301881878266907</v>
      </c>
      <c r="G1018" s="180">
        <f t="shared" si="354"/>
        <v>-12764.783789070392</v>
      </c>
      <c r="H1018" s="180">
        <f t="shared" si="355"/>
        <v>11095</v>
      </c>
      <c r="I1018" s="180">
        <f t="shared" si="356"/>
        <v>7816</v>
      </c>
      <c r="J1018" s="180">
        <f t="shared" si="357"/>
        <v>8707</v>
      </c>
      <c r="K1018" s="180">
        <f t="shared" si="358"/>
        <v>7204</v>
      </c>
      <c r="L1018" s="180">
        <f t="shared" si="359"/>
        <v>2008</v>
      </c>
      <c r="M1018" s="180">
        <f t="shared" si="360"/>
        <v>2365</v>
      </c>
      <c r="N1018" s="180">
        <f t="shared" si="361"/>
        <v>4504</v>
      </c>
      <c r="O1018" s="180">
        <f t="shared" si="362"/>
        <v>745</v>
      </c>
      <c r="P1018" s="180">
        <f t="shared" si="363"/>
        <v>2259</v>
      </c>
      <c r="Q1018" s="180">
        <f t="shared" si="364"/>
        <v>1761</v>
      </c>
      <c r="R1018" s="216">
        <f t="shared" si="384"/>
        <v>120654.08922974838</v>
      </c>
      <c r="S1018" s="217"/>
      <c r="AC1018" s="211" t="s">
        <v>17</v>
      </c>
      <c r="AD1018" s="180">
        <f t="shared" si="367"/>
        <v>2839</v>
      </c>
      <c r="AE1018" s="180">
        <f t="shared" si="368"/>
        <v>360</v>
      </c>
      <c r="AF1018" s="180">
        <f t="shared" si="369"/>
        <v>376</v>
      </c>
      <c r="AG1018" s="180">
        <f t="shared" si="370"/>
        <v>418</v>
      </c>
      <c r="AH1018" s="180">
        <f t="shared" si="371"/>
        <v>0</v>
      </c>
      <c r="AI1018" s="180">
        <f t="shared" si="372"/>
        <v>333</v>
      </c>
      <c r="AJ1018" s="180">
        <f t="shared" si="373"/>
        <v>234</v>
      </c>
      <c r="AK1018" s="180">
        <f t="shared" si="374"/>
        <v>261</v>
      </c>
      <c r="AL1018" s="180">
        <f t="shared" si="375"/>
        <v>216</v>
      </c>
      <c r="AM1018" s="180">
        <f t="shared" si="376"/>
        <v>60</v>
      </c>
      <c r="AN1018" s="180">
        <f t="shared" si="377"/>
        <v>71</v>
      </c>
      <c r="AO1018" s="180">
        <f t="shared" si="378"/>
        <v>135</v>
      </c>
      <c r="AP1018" s="180">
        <f t="shared" si="379"/>
        <v>22</v>
      </c>
      <c r="AQ1018" s="180">
        <f t="shared" si="380"/>
        <v>68</v>
      </c>
      <c r="AR1018" s="180">
        <f t="shared" si="381"/>
        <v>53</v>
      </c>
      <c r="AS1018" s="210">
        <f t="shared" si="382"/>
        <v>5446</v>
      </c>
      <c r="AU1018" s="218">
        <f t="shared" si="383"/>
        <v>4.5137301477033057E-2</v>
      </c>
    </row>
    <row r="1019" spans="1:48" ht="15.75" customHeight="1" x14ac:dyDescent="0.3">
      <c r="A1019" s="192" t="s">
        <v>18</v>
      </c>
      <c r="B1019" s="180">
        <f t="shared" si="365"/>
        <v>157872</v>
      </c>
      <c r="C1019" s="180">
        <f t="shared" si="351"/>
        <v>20087</v>
      </c>
      <c r="D1019" s="180">
        <f t="shared" si="352"/>
        <v>21037</v>
      </c>
      <c r="E1019" s="180">
        <f t="shared" si="353"/>
        <v>31630</v>
      </c>
      <c r="F1019" s="180">
        <f t="shared" si="366"/>
        <v>5761.1813035575215</v>
      </c>
      <c r="G1019" s="180">
        <f t="shared" si="354"/>
        <v>-332.08675207234347</v>
      </c>
      <c r="H1019" s="180">
        <f t="shared" si="355"/>
        <v>7274</v>
      </c>
      <c r="I1019" s="180">
        <f t="shared" si="356"/>
        <v>5640</v>
      </c>
      <c r="J1019" s="180">
        <f t="shared" si="357"/>
        <v>6241</v>
      </c>
      <c r="K1019" s="180">
        <f t="shared" si="358"/>
        <v>5977</v>
      </c>
      <c r="L1019" s="180">
        <f t="shared" si="359"/>
        <v>1772</v>
      </c>
      <c r="M1019" s="180">
        <f t="shared" si="360"/>
        <v>2087</v>
      </c>
      <c r="N1019" s="180">
        <f t="shared" si="361"/>
        <v>4244</v>
      </c>
      <c r="O1019" s="180">
        <f t="shared" si="362"/>
        <v>779</v>
      </c>
      <c r="P1019" s="180">
        <f t="shared" si="363"/>
        <v>1717</v>
      </c>
      <c r="Q1019" s="180">
        <f t="shared" si="364"/>
        <v>1843</v>
      </c>
      <c r="R1019" s="216">
        <f t="shared" si="384"/>
        <v>273629.09455148515</v>
      </c>
      <c r="S1019" s="217"/>
      <c r="AC1019" s="211" t="s">
        <v>18</v>
      </c>
      <c r="AD1019" s="180">
        <f t="shared" si="367"/>
        <v>7420</v>
      </c>
      <c r="AE1019" s="180">
        <f t="shared" si="368"/>
        <v>944</v>
      </c>
      <c r="AF1019" s="180">
        <f t="shared" si="369"/>
        <v>989</v>
      </c>
      <c r="AG1019" s="180">
        <f t="shared" si="370"/>
        <v>1487</v>
      </c>
      <c r="AH1019" s="180">
        <f t="shared" si="371"/>
        <v>0</v>
      </c>
      <c r="AI1019" s="180">
        <f t="shared" si="372"/>
        <v>218</v>
      </c>
      <c r="AJ1019" s="180">
        <f t="shared" si="373"/>
        <v>169</v>
      </c>
      <c r="AK1019" s="180">
        <f t="shared" si="374"/>
        <v>187</v>
      </c>
      <c r="AL1019" s="180">
        <f t="shared" si="375"/>
        <v>179</v>
      </c>
      <c r="AM1019" s="180">
        <f t="shared" si="376"/>
        <v>53</v>
      </c>
      <c r="AN1019" s="180">
        <f t="shared" si="377"/>
        <v>63</v>
      </c>
      <c r="AO1019" s="180">
        <f t="shared" si="378"/>
        <v>127</v>
      </c>
      <c r="AP1019" s="180">
        <f t="shared" si="379"/>
        <v>23</v>
      </c>
      <c r="AQ1019" s="180">
        <f t="shared" si="380"/>
        <v>52</v>
      </c>
      <c r="AR1019" s="180">
        <f t="shared" si="381"/>
        <v>55</v>
      </c>
      <c r="AS1019" s="210">
        <f t="shared" si="382"/>
        <v>11966</v>
      </c>
      <c r="AU1019" s="218">
        <f t="shared" si="383"/>
        <v>4.3730729802742216E-2</v>
      </c>
    </row>
    <row r="1020" spans="1:48" ht="15.75" customHeight="1" x14ac:dyDescent="0.3">
      <c r="A1020" s="192" t="s">
        <v>20</v>
      </c>
      <c r="B1020" s="180">
        <f t="shared" si="365"/>
        <v>155843</v>
      </c>
      <c r="C1020" s="180">
        <f t="shared" si="351"/>
        <v>19832</v>
      </c>
      <c r="D1020" s="180">
        <f t="shared" si="352"/>
        <v>20773</v>
      </c>
      <c r="E1020" s="180">
        <f t="shared" si="353"/>
        <v>32321</v>
      </c>
      <c r="F1020" s="180">
        <f t="shared" si="366"/>
        <v>11143.475538821069</v>
      </c>
      <c r="G1020" s="180">
        <f t="shared" si="354"/>
        <v>-2.5953428786736885</v>
      </c>
      <c r="H1020" s="180">
        <f t="shared" si="355"/>
        <v>4727</v>
      </c>
      <c r="I1020" s="180">
        <f t="shared" si="356"/>
        <v>2509</v>
      </c>
      <c r="J1020" s="180">
        <f t="shared" si="357"/>
        <v>3612</v>
      </c>
      <c r="K1020" s="180">
        <f t="shared" si="358"/>
        <v>3563</v>
      </c>
      <c r="L1020" s="180">
        <f t="shared" si="359"/>
        <v>1024</v>
      </c>
      <c r="M1020" s="180">
        <f t="shared" si="360"/>
        <v>1204</v>
      </c>
      <c r="N1020" s="180">
        <f t="shared" si="361"/>
        <v>2504</v>
      </c>
      <c r="O1020" s="180">
        <f t="shared" si="362"/>
        <v>711</v>
      </c>
      <c r="P1020" s="180">
        <f t="shared" si="363"/>
        <v>48</v>
      </c>
      <c r="Q1020" s="180">
        <f t="shared" si="364"/>
        <v>1682</v>
      </c>
      <c r="R1020" s="216">
        <f t="shared" si="384"/>
        <v>261493.88019594242</v>
      </c>
      <c r="S1020" s="217"/>
      <c r="AC1020" s="211" t="s">
        <v>20</v>
      </c>
      <c r="AD1020" s="180">
        <f t="shared" si="367"/>
        <v>7325</v>
      </c>
      <c r="AE1020" s="180">
        <f t="shared" si="368"/>
        <v>932</v>
      </c>
      <c r="AF1020" s="180">
        <f t="shared" si="369"/>
        <v>976</v>
      </c>
      <c r="AG1020" s="180">
        <f t="shared" si="370"/>
        <v>1519</v>
      </c>
      <c r="AH1020" s="180">
        <f t="shared" si="371"/>
        <v>0</v>
      </c>
      <c r="AI1020" s="180">
        <f t="shared" si="372"/>
        <v>142</v>
      </c>
      <c r="AJ1020" s="180">
        <f t="shared" si="373"/>
        <v>75</v>
      </c>
      <c r="AK1020" s="180">
        <f t="shared" si="374"/>
        <v>108</v>
      </c>
      <c r="AL1020" s="180">
        <f t="shared" si="375"/>
        <v>107</v>
      </c>
      <c r="AM1020" s="180">
        <f t="shared" si="376"/>
        <v>31</v>
      </c>
      <c r="AN1020" s="180">
        <f t="shared" si="377"/>
        <v>36</v>
      </c>
      <c r="AO1020" s="180">
        <f t="shared" si="378"/>
        <v>75</v>
      </c>
      <c r="AP1020" s="180">
        <f t="shared" si="379"/>
        <v>21</v>
      </c>
      <c r="AQ1020" s="180">
        <f t="shared" si="380"/>
        <v>1</v>
      </c>
      <c r="AR1020" s="180">
        <f t="shared" si="381"/>
        <v>50</v>
      </c>
      <c r="AS1020" s="210">
        <f t="shared" si="382"/>
        <v>11398</v>
      </c>
      <c r="AU1020" s="218">
        <f t="shared" si="383"/>
        <v>4.3588018164934711E-2</v>
      </c>
    </row>
    <row r="1021" spans="1:48" ht="15.75" customHeight="1" x14ac:dyDescent="0.3">
      <c r="A1021" s="192" t="s">
        <v>21</v>
      </c>
      <c r="B1021" s="180">
        <f t="shared" si="365"/>
        <v>117531</v>
      </c>
      <c r="C1021" s="180">
        <f t="shared" si="351"/>
        <v>14954</v>
      </c>
      <c r="D1021" s="180">
        <f t="shared" si="352"/>
        <v>15661</v>
      </c>
      <c r="E1021" s="180">
        <f t="shared" si="353"/>
        <v>24648</v>
      </c>
      <c r="F1021" s="180">
        <f t="shared" si="366"/>
        <v>12477.637626590496</v>
      </c>
      <c r="G1021" s="180">
        <f t="shared" si="354"/>
        <v>-661.03074604370647</v>
      </c>
      <c r="H1021" s="180">
        <f t="shared" si="355"/>
        <v>2345</v>
      </c>
      <c r="I1021" s="180">
        <f t="shared" si="356"/>
        <v>565</v>
      </c>
      <c r="J1021" s="180">
        <f t="shared" si="357"/>
        <v>877</v>
      </c>
      <c r="K1021" s="180">
        <f t="shared" si="358"/>
        <v>891</v>
      </c>
      <c r="L1021" s="180">
        <f t="shared" si="359"/>
        <v>294</v>
      </c>
      <c r="M1021" s="180">
        <f t="shared" si="360"/>
        <v>344</v>
      </c>
      <c r="N1021" s="180">
        <f t="shared" si="361"/>
        <v>637</v>
      </c>
      <c r="O1021" s="180">
        <f t="shared" si="362"/>
        <v>316</v>
      </c>
      <c r="P1021" s="180">
        <f t="shared" si="363"/>
        <v>1593</v>
      </c>
      <c r="Q1021" s="180">
        <f t="shared" si="364"/>
        <v>747</v>
      </c>
      <c r="R1021" s="216">
        <f t="shared" si="384"/>
        <v>193219.60688054678</v>
      </c>
      <c r="S1021" s="217"/>
      <c r="AC1021" s="211" t="s">
        <v>21</v>
      </c>
      <c r="AD1021" s="180">
        <f t="shared" si="367"/>
        <v>5524</v>
      </c>
      <c r="AE1021" s="180">
        <f t="shared" si="368"/>
        <v>703</v>
      </c>
      <c r="AF1021" s="180">
        <f t="shared" si="369"/>
        <v>736</v>
      </c>
      <c r="AG1021" s="180">
        <f t="shared" si="370"/>
        <v>1158</v>
      </c>
      <c r="AH1021" s="180">
        <f t="shared" si="371"/>
        <v>0</v>
      </c>
      <c r="AI1021" s="180">
        <f t="shared" si="372"/>
        <v>70</v>
      </c>
      <c r="AJ1021" s="180">
        <f t="shared" si="373"/>
        <v>17</v>
      </c>
      <c r="AK1021" s="180">
        <f t="shared" si="374"/>
        <v>26</v>
      </c>
      <c r="AL1021" s="180">
        <f t="shared" si="375"/>
        <v>27</v>
      </c>
      <c r="AM1021" s="180">
        <f t="shared" si="376"/>
        <v>9</v>
      </c>
      <c r="AN1021" s="180">
        <f t="shared" si="377"/>
        <v>10</v>
      </c>
      <c r="AO1021" s="180">
        <f t="shared" si="378"/>
        <v>19</v>
      </c>
      <c r="AP1021" s="180">
        <f t="shared" si="379"/>
        <v>9</v>
      </c>
      <c r="AQ1021" s="180">
        <f t="shared" si="380"/>
        <v>48</v>
      </c>
      <c r="AR1021" s="180">
        <f t="shared" si="381"/>
        <v>22</v>
      </c>
      <c r="AS1021" s="210">
        <f t="shared" si="382"/>
        <v>8378</v>
      </c>
      <c r="AU1021" s="218">
        <f t="shared" si="383"/>
        <v>4.3359988850300735E-2</v>
      </c>
    </row>
    <row r="1022" spans="1:48" ht="15.75" customHeight="1" x14ac:dyDescent="0.3">
      <c r="A1022" s="192" t="s">
        <v>22</v>
      </c>
      <c r="B1022" s="180">
        <f t="shared" si="365"/>
        <v>135045</v>
      </c>
      <c r="C1022" s="180">
        <f t="shared" si="351"/>
        <v>17193</v>
      </c>
      <c r="D1022" s="180">
        <f t="shared" si="352"/>
        <v>18016</v>
      </c>
      <c r="E1022" s="180">
        <f t="shared" si="353"/>
        <v>28967</v>
      </c>
      <c r="F1022" s="180">
        <f t="shared" si="366"/>
        <v>15167.522535595572</v>
      </c>
      <c r="G1022" s="180">
        <f t="shared" si="354"/>
        <v>0</v>
      </c>
      <c r="H1022" s="180">
        <f t="shared" si="355"/>
        <v>3185</v>
      </c>
      <c r="I1022" s="180">
        <f t="shared" si="356"/>
        <v>1766</v>
      </c>
      <c r="J1022" s="180">
        <f t="shared" si="357"/>
        <v>2576</v>
      </c>
      <c r="K1022" s="180">
        <f t="shared" si="358"/>
        <v>2651</v>
      </c>
      <c r="L1022" s="180">
        <f t="shared" si="359"/>
        <v>738</v>
      </c>
      <c r="M1022" s="180">
        <f t="shared" si="360"/>
        <v>868</v>
      </c>
      <c r="N1022" s="180">
        <f t="shared" si="361"/>
        <v>1686</v>
      </c>
      <c r="O1022" s="180">
        <f t="shared" si="362"/>
        <v>369</v>
      </c>
      <c r="P1022" s="180">
        <f t="shared" si="363"/>
        <v>1620</v>
      </c>
      <c r="Q1022" s="180">
        <f t="shared" si="364"/>
        <v>872</v>
      </c>
      <c r="R1022" s="216">
        <f t="shared" si="384"/>
        <v>230719.52253559558</v>
      </c>
      <c r="S1022" s="217"/>
      <c r="AC1022" s="211" t="s">
        <v>22</v>
      </c>
      <c r="AD1022" s="180">
        <f t="shared" si="367"/>
        <v>6347</v>
      </c>
      <c r="AE1022" s="180">
        <f t="shared" si="368"/>
        <v>808</v>
      </c>
      <c r="AF1022" s="180">
        <f t="shared" si="369"/>
        <v>847</v>
      </c>
      <c r="AG1022" s="180">
        <f t="shared" si="370"/>
        <v>1361</v>
      </c>
      <c r="AH1022" s="180">
        <f t="shared" si="371"/>
        <v>0</v>
      </c>
      <c r="AI1022" s="180">
        <f t="shared" si="372"/>
        <v>96</v>
      </c>
      <c r="AJ1022" s="180">
        <f t="shared" si="373"/>
        <v>53</v>
      </c>
      <c r="AK1022" s="180">
        <f t="shared" si="374"/>
        <v>77</v>
      </c>
      <c r="AL1022" s="180">
        <f t="shared" si="375"/>
        <v>80</v>
      </c>
      <c r="AM1022" s="180">
        <f t="shared" si="376"/>
        <v>22</v>
      </c>
      <c r="AN1022" s="180">
        <f t="shared" si="377"/>
        <v>26</v>
      </c>
      <c r="AO1022" s="180">
        <f t="shared" si="378"/>
        <v>51</v>
      </c>
      <c r="AP1022" s="180">
        <f t="shared" si="379"/>
        <v>11</v>
      </c>
      <c r="AQ1022" s="180">
        <f t="shared" si="380"/>
        <v>49</v>
      </c>
      <c r="AR1022" s="180">
        <f t="shared" si="381"/>
        <v>26</v>
      </c>
      <c r="AS1022" s="210">
        <f t="shared" si="382"/>
        <v>9854</v>
      </c>
      <c r="AU1022" s="218">
        <f t="shared" si="383"/>
        <v>4.2709866472091532E-2</v>
      </c>
    </row>
    <row r="1023" spans="1:48" ht="15.75" customHeight="1" x14ac:dyDescent="0.3">
      <c r="A1023" s="189"/>
      <c r="B1023" s="180"/>
      <c r="C1023" s="180"/>
      <c r="D1023" s="180"/>
      <c r="E1023" s="180"/>
      <c r="F1023" s="180"/>
      <c r="G1023" s="180"/>
      <c r="H1023" s="180"/>
      <c r="I1023" s="180"/>
      <c r="J1023" s="180"/>
      <c r="K1023" s="180"/>
      <c r="L1023" s="180"/>
      <c r="M1023" s="180"/>
      <c r="N1023" s="180"/>
      <c r="O1023" s="180"/>
      <c r="P1023" s="180"/>
      <c r="Q1023" s="180"/>
      <c r="R1023" s="210"/>
      <c r="S1023" s="217"/>
      <c r="AC1023" s="95"/>
      <c r="AD1023" s="180"/>
      <c r="AE1023" s="180"/>
      <c r="AF1023" s="180"/>
      <c r="AG1023" s="180"/>
      <c r="AH1023" s="180"/>
      <c r="AI1023" s="180"/>
      <c r="AJ1023" s="180"/>
      <c r="AK1023" s="180"/>
      <c r="AL1023" s="180"/>
      <c r="AM1023" s="180"/>
      <c r="AN1023" s="180"/>
      <c r="AO1023" s="180"/>
      <c r="AP1023" s="180"/>
      <c r="AQ1023" s="180"/>
      <c r="AR1023" s="180"/>
      <c r="AS1023" s="210"/>
    </row>
    <row r="1024" spans="1:48" ht="15.75" customHeight="1" thickBot="1" x14ac:dyDescent="0.35">
      <c r="A1024" s="189" t="s">
        <v>641</v>
      </c>
      <c r="B1024" s="180">
        <f>SUM(B1011:B1022)</f>
        <v>1349955</v>
      </c>
      <c r="C1024" s="180">
        <f t="shared" ref="C1024:Q1024" si="385">SUM(C1011:C1022)</f>
        <v>171666</v>
      </c>
      <c r="D1024" s="180">
        <f t="shared" si="385"/>
        <v>179682</v>
      </c>
      <c r="E1024" s="180">
        <f t="shared" si="385"/>
        <v>283818</v>
      </c>
      <c r="F1024" s="180">
        <f t="shared" si="385"/>
        <v>55446.660069542835</v>
      </c>
      <c r="G1024" s="180">
        <f t="shared" si="385"/>
        <v>-44204.314865237771</v>
      </c>
      <c r="H1024" s="180">
        <f t="shared" si="385"/>
        <v>90905</v>
      </c>
      <c r="I1024" s="180">
        <f t="shared" si="385"/>
        <v>59748</v>
      </c>
      <c r="J1024" s="180">
        <f t="shared" si="385"/>
        <v>73516</v>
      </c>
      <c r="K1024" s="180">
        <f t="shared" si="385"/>
        <v>67506</v>
      </c>
      <c r="L1024" s="180">
        <f t="shared" si="385"/>
        <v>20124</v>
      </c>
      <c r="M1024" s="180">
        <f t="shared" si="385"/>
        <v>23699</v>
      </c>
      <c r="N1024" s="180">
        <f t="shared" si="385"/>
        <v>46435</v>
      </c>
      <c r="O1024" s="180">
        <f t="shared" si="385"/>
        <v>8227</v>
      </c>
      <c r="P1024" s="180">
        <f t="shared" si="385"/>
        <v>20224</v>
      </c>
      <c r="Q1024" s="180">
        <f t="shared" si="385"/>
        <v>19450</v>
      </c>
      <c r="R1024" s="219">
        <f>SUM(R1011:R1022)</f>
        <v>2426197.3452043049</v>
      </c>
      <c r="S1024" s="217"/>
      <c r="AC1024" s="220" t="s">
        <v>641</v>
      </c>
      <c r="AD1024" s="195">
        <f>SUM(AD1011:AD1022)</f>
        <v>63446</v>
      </c>
      <c r="AE1024" s="195">
        <f t="shared" ref="AE1024:AS1024" si="386">SUM(AE1011:AE1022)</f>
        <v>8067</v>
      </c>
      <c r="AF1024" s="195">
        <f t="shared" si="386"/>
        <v>8447</v>
      </c>
      <c r="AG1024" s="195">
        <f t="shared" si="386"/>
        <v>13339</v>
      </c>
      <c r="AH1024" s="195">
        <f t="shared" si="386"/>
        <v>0</v>
      </c>
      <c r="AI1024" s="195">
        <f t="shared" si="386"/>
        <v>2727</v>
      </c>
      <c r="AJ1024" s="195">
        <f t="shared" si="386"/>
        <v>1791</v>
      </c>
      <c r="AK1024" s="195">
        <f t="shared" si="386"/>
        <v>2205</v>
      </c>
      <c r="AL1024" s="195">
        <f t="shared" si="386"/>
        <v>2026</v>
      </c>
      <c r="AM1024" s="195">
        <f t="shared" si="386"/>
        <v>604</v>
      </c>
      <c r="AN1024" s="195">
        <f t="shared" si="386"/>
        <v>712</v>
      </c>
      <c r="AO1024" s="195">
        <f t="shared" si="386"/>
        <v>1393</v>
      </c>
      <c r="AP1024" s="195">
        <f t="shared" si="386"/>
        <v>244</v>
      </c>
      <c r="AQ1024" s="195">
        <f t="shared" si="386"/>
        <v>607</v>
      </c>
      <c r="AR1024" s="195">
        <f t="shared" si="386"/>
        <v>583</v>
      </c>
      <c r="AS1024" s="221">
        <f t="shared" si="386"/>
        <v>106191</v>
      </c>
      <c r="AU1024" s="218">
        <f t="shared" si="383"/>
        <v>4.3768492373425574E-2</v>
      </c>
    </row>
    <row r="1025" spans="1:45" ht="16.5" customHeight="1" thickBot="1" x14ac:dyDescent="0.35">
      <c r="A1025" s="204" t="s">
        <v>7</v>
      </c>
      <c r="B1025" s="195"/>
      <c r="C1025" s="195"/>
      <c r="D1025" s="195"/>
      <c r="E1025" s="195"/>
      <c r="F1025" s="195"/>
      <c r="G1025" s="195"/>
      <c r="H1025" s="195"/>
      <c r="I1025" s="195"/>
      <c r="J1025" s="195"/>
      <c r="K1025" s="195"/>
      <c r="L1025" s="195"/>
      <c r="M1025" s="195"/>
      <c r="N1025" s="195"/>
      <c r="O1025" s="195"/>
      <c r="P1025" s="195"/>
      <c r="Q1025" s="195"/>
      <c r="R1025" s="221"/>
      <c r="S1025" s="180"/>
    </row>
    <row r="1026" spans="1:45" ht="15.75" customHeight="1" x14ac:dyDescent="0.3">
      <c r="A1026" s="180"/>
      <c r="B1026" s="180"/>
      <c r="C1026" s="180"/>
      <c r="D1026" s="180"/>
      <c r="E1026" s="180"/>
      <c r="F1026" s="180"/>
      <c r="G1026" s="180"/>
      <c r="H1026" s="180"/>
      <c r="I1026" s="180"/>
      <c r="J1026" s="180"/>
      <c r="K1026" s="180"/>
      <c r="L1026" s="180"/>
      <c r="M1026" s="180"/>
      <c r="N1026" s="180"/>
      <c r="O1026" s="180"/>
      <c r="P1026" s="180"/>
      <c r="Q1026" s="180"/>
      <c r="R1026" s="180"/>
    </row>
    <row r="1027" spans="1:45" ht="15.75" customHeight="1" x14ac:dyDescent="0.3"/>
    <row r="1028" spans="1:45" ht="15.75" customHeight="1" thickBot="1" x14ac:dyDescent="0.35"/>
    <row r="1029" spans="1:45" ht="15.75" customHeight="1" thickBot="1" x14ac:dyDescent="0.35">
      <c r="B1029" s="428" t="s">
        <v>727</v>
      </c>
      <c r="C1029" s="423"/>
      <c r="D1029" s="423"/>
      <c r="E1029" s="423"/>
      <c r="F1029" s="423"/>
      <c r="G1029" s="423"/>
      <c r="H1029" s="423"/>
      <c r="I1029" s="423"/>
      <c r="J1029" s="423"/>
      <c r="K1029" s="423"/>
      <c r="L1029" s="423"/>
      <c r="M1029" s="423"/>
      <c r="N1029" s="423"/>
      <c r="O1029" s="423"/>
      <c r="P1029" s="423"/>
      <c r="Q1029" s="354" t="str">
        <f>+Q1</f>
        <v xml:space="preserve">PRINTED:  </v>
      </c>
      <c r="R1029" s="357">
        <f ca="1">+R1</f>
        <v>44894.658168402777</v>
      </c>
      <c r="S1029" s="351"/>
      <c r="T1029" s="359"/>
      <c r="U1029" s="359"/>
      <c r="V1029" s="358"/>
    </row>
    <row r="1030" spans="1:45" ht="15.75" customHeight="1" x14ac:dyDescent="0.3">
      <c r="B1030" s="399">
        <f>+A5</f>
        <v>2020</v>
      </c>
      <c r="C1030" s="395"/>
      <c r="D1030" s="395"/>
      <c r="E1030" s="395"/>
      <c r="F1030" s="395"/>
      <c r="G1030" s="395"/>
      <c r="H1030" s="395"/>
      <c r="I1030" s="395"/>
      <c r="J1030" s="395"/>
      <c r="K1030" s="395"/>
      <c r="L1030" s="395"/>
      <c r="M1030" s="395"/>
      <c r="N1030" s="395"/>
      <c r="O1030" s="395"/>
      <c r="P1030" s="395"/>
      <c r="Q1030" s="180"/>
      <c r="R1030" s="180"/>
      <c r="S1030" s="180"/>
      <c r="V1030" s="133"/>
      <c r="AC1030" s="360"/>
      <c r="AD1030" s="423" t="s">
        <v>728</v>
      </c>
      <c r="AE1030" s="427"/>
      <c r="AF1030" s="427"/>
      <c r="AG1030" s="427"/>
      <c r="AH1030" s="427"/>
      <c r="AI1030" s="427"/>
      <c r="AJ1030" s="427"/>
      <c r="AK1030" s="427"/>
      <c r="AL1030" s="427"/>
      <c r="AM1030" s="427"/>
      <c r="AN1030" s="427"/>
      <c r="AO1030" s="427"/>
      <c r="AP1030" s="427"/>
      <c r="AQ1030" s="427"/>
      <c r="AR1030" s="354" t="str">
        <f>$Q$1</f>
        <v xml:space="preserve">PRINTED:  </v>
      </c>
      <c r="AS1030" s="361">
        <f ca="1">$R$1</f>
        <v>44894.658168402777</v>
      </c>
    </row>
    <row r="1031" spans="1:45" ht="15.75" customHeight="1" x14ac:dyDescent="0.3">
      <c r="B1031" s="400" t="str">
        <f>+A8</f>
        <v>Revised:  12/23/2020</v>
      </c>
      <c r="C1031" s="394"/>
      <c r="D1031" s="394"/>
      <c r="E1031" s="394"/>
      <c r="F1031" s="394"/>
      <c r="G1031" s="394"/>
      <c r="H1031" s="394"/>
      <c r="I1031" s="394"/>
      <c r="J1031" s="394"/>
      <c r="K1031" s="394"/>
      <c r="L1031" s="394"/>
      <c r="M1031" s="394"/>
      <c r="N1031" s="394"/>
      <c r="O1031" s="394"/>
      <c r="P1031" s="394"/>
      <c r="Q1031" s="180"/>
      <c r="R1031" s="180"/>
      <c r="S1031" s="180"/>
      <c r="V1031" s="133"/>
      <c r="AC1031" s="95"/>
      <c r="AD1031" s="394" t="str">
        <f>+$A$8</f>
        <v>Revised:  12/23/2020</v>
      </c>
      <c r="AE1031" s="396"/>
      <c r="AF1031" s="396"/>
      <c r="AG1031" s="396"/>
      <c r="AH1031" s="396"/>
      <c r="AI1031" s="396"/>
      <c r="AJ1031" s="396"/>
      <c r="AK1031" s="396"/>
      <c r="AL1031" s="396"/>
      <c r="AM1031" s="396"/>
      <c r="AN1031" s="396"/>
      <c r="AO1031" s="396"/>
      <c r="AP1031" s="396"/>
      <c r="AQ1031" s="396"/>
      <c r="AR1031" s="192"/>
      <c r="AS1031" s="133"/>
    </row>
    <row r="1032" spans="1:45" ht="15.75" customHeight="1" thickBot="1" x14ac:dyDescent="0.35">
      <c r="B1032" s="401" t="s">
        <v>729</v>
      </c>
      <c r="C1032" s="402"/>
      <c r="D1032" s="402"/>
      <c r="E1032" s="402"/>
      <c r="F1032" s="402"/>
      <c r="G1032" s="402"/>
      <c r="H1032" s="402"/>
      <c r="I1032" s="402"/>
      <c r="J1032" s="402"/>
      <c r="K1032" s="402"/>
      <c r="L1032" s="402"/>
      <c r="M1032" s="402"/>
      <c r="N1032" s="402"/>
      <c r="O1032" s="402"/>
      <c r="P1032" s="402"/>
      <c r="Q1032" s="180"/>
      <c r="R1032" s="180"/>
      <c r="S1032" s="195"/>
      <c r="V1032" s="133"/>
      <c r="AC1032" s="95"/>
      <c r="AD1032" s="394" t="s">
        <v>670</v>
      </c>
      <c r="AE1032" s="397"/>
      <c r="AF1032" s="397"/>
      <c r="AG1032" s="397"/>
      <c r="AH1032" s="397"/>
      <c r="AI1032" s="397"/>
      <c r="AJ1032" s="397"/>
      <c r="AK1032" s="397"/>
      <c r="AL1032" s="397"/>
      <c r="AM1032" s="397"/>
      <c r="AN1032" s="397"/>
      <c r="AO1032" s="397"/>
      <c r="AP1032" s="397"/>
      <c r="AQ1032" s="397"/>
      <c r="AS1032" s="133"/>
    </row>
    <row r="1033" spans="1:45" ht="15.75" customHeight="1" thickBot="1" x14ac:dyDescent="0.35">
      <c r="A1033" s="222"/>
      <c r="B1033" s="403" t="s">
        <v>730</v>
      </c>
      <c r="C1033" s="404"/>
      <c r="D1033" s="404"/>
      <c r="E1033" s="404"/>
      <c r="F1033" s="405"/>
      <c r="G1033" s="403" t="s">
        <v>731</v>
      </c>
      <c r="H1033" s="404"/>
      <c r="I1033" s="404"/>
      <c r="J1033" s="404"/>
      <c r="K1033" s="404"/>
      <c r="L1033" s="404"/>
      <c r="M1033" s="406" t="s">
        <v>732</v>
      </c>
      <c r="N1033" s="429"/>
      <c r="O1033" s="429"/>
      <c r="P1033" s="429"/>
      <c r="Q1033" s="429"/>
      <c r="R1033" s="430"/>
      <c r="S1033" s="403" t="s">
        <v>733</v>
      </c>
      <c r="T1033" s="431"/>
      <c r="U1033" s="432"/>
      <c r="V1033" s="133"/>
      <c r="AC1033" s="95"/>
      <c r="AS1033" s="133"/>
    </row>
    <row r="1034" spans="1:45" ht="15.75" customHeight="1" x14ac:dyDescent="0.3">
      <c r="A1034" s="222"/>
      <c r="B1034" s="189" t="s">
        <v>639</v>
      </c>
      <c r="C1034" s="182"/>
      <c r="D1034" s="182" t="s">
        <v>734</v>
      </c>
      <c r="E1034" s="182" t="s">
        <v>735</v>
      </c>
      <c r="F1034" s="224" t="s">
        <v>736</v>
      </c>
      <c r="G1034" s="189" t="s">
        <v>737</v>
      </c>
      <c r="H1034" s="182"/>
      <c r="I1034" s="182"/>
      <c r="J1034" s="182" t="s">
        <v>738</v>
      </c>
      <c r="K1034" s="182" t="s">
        <v>739</v>
      </c>
      <c r="L1034" s="182" t="s">
        <v>740</v>
      </c>
      <c r="M1034" s="433" t="s">
        <v>741</v>
      </c>
      <c r="N1034" s="442"/>
      <c r="O1034" s="443"/>
      <c r="P1034" s="226"/>
      <c r="Q1034" s="227"/>
      <c r="R1034" s="362"/>
      <c r="S1034" s="182" t="s">
        <v>742</v>
      </c>
      <c r="T1034" s="228" t="s">
        <v>743</v>
      </c>
      <c r="U1034" s="229" t="s">
        <v>744</v>
      </c>
      <c r="V1034" s="133"/>
      <c r="AC1034" s="95"/>
      <c r="AD1034" s="395">
        <f>$A$5</f>
        <v>2020</v>
      </c>
      <c r="AE1034" s="397"/>
      <c r="AF1034" s="397"/>
      <c r="AG1034" s="397"/>
      <c r="AH1034" s="397"/>
      <c r="AI1034" s="397"/>
      <c r="AJ1034" s="397"/>
      <c r="AK1034" s="397"/>
      <c r="AL1034" s="397"/>
      <c r="AM1034" s="397"/>
      <c r="AN1034" s="397"/>
      <c r="AO1034" s="397"/>
      <c r="AP1034" s="397"/>
      <c r="AQ1034" s="397"/>
      <c r="AS1034" s="133"/>
    </row>
    <row r="1035" spans="1:45" ht="15.75" customHeight="1" x14ac:dyDescent="0.3">
      <c r="A1035" s="222"/>
      <c r="B1035" s="230" t="s">
        <v>745</v>
      </c>
      <c r="C1035" s="231" t="s">
        <v>746</v>
      </c>
      <c r="D1035" s="231" t="s">
        <v>747</v>
      </c>
      <c r="E1035" s="182" t="s">
        <v>658</v>
      </c>
      <c r="F1035" s="232" t="s">
        <v>748</v>
      </c>
      <c r="G1035" s="189" t="s">
        <v>640</v>
      </c>
      <c r="H1035" s="182" t="s">
        <v>749</v>
      </c>
      <c r="I1035" s="182" t="s">
        <v>750</v>
      </c>
      <c r="J1035" s="231" t="s">
        <v>751</v>
      </c>
      <c r="K1035" s="182" t="s">
        <v>723</v>
      </c>
      <c r="L1035" s="231" t="s">
        <v>752</v>
      </c>
      <c r="M1035" s="233" t="s">
        <v>753</v>
      </c>
      <c r="N1035" s="226" t="s">
        <v>754</v>
      </c>
      <c r="O1035" s="234" t="s">
        <v>641</v>
      </c>
      <c r="P1035" s="226" t="s">
        <v>755</v>
      </c>
      <c r="Q1035" s="226" t="s">
        <v>755</v>
      </c>
      <c r="R1035" s="234" t="s">
        <v>756</v>
      </c>
      <c r="S1035" s="182" t="s">
        <v>757</v>
      </c>
      <c r="T1035" s="182" t="s">
        <v>758</v>
      </c>
      <c r="U1035" s="224" t="s">
        <v>759</v>
      </c>
      <c r="V1035" s="133"/>
      <c r="AC1035" s="95"/>
      <c r="AD1035" s="394" t="s">
        <v>717</v>
      </c>
      <c r="AE1035" s="396"/>
      <c r="AF1035" s="396"/>
      <c r="AG1035" s="396"/>
      <c r="AH1035" s="396"/>
      <c r="AI1035" s="396"/>
      <c r="AJ1035" s="396"/>
      <c r="AK1035" s="396"/>
      <c r="AL1035" s="396"/>
      <c r="AM1035" s="396"/>
      <c r="AN1035" s="396"/>
      <c r="AO1035" s="396"/>
      <c r="AP1035" s="396"/>
      <c r="AQ1035" s="396"/>
      <c r="AR1035" s="182"/>
      <c r="AS1035" s="133"/>
    </row>
    <row r="1036" spans="1:45" ht="15.75" customHeight="1" x14ac:dyDescent="0.3">
      <c r="A1036" s="222"/>
      <c r="B1036" s="235" t="s">
        <v>760</v>
      </c>
      <c r="C1036" s="215">
        <v>0</v>
      </c>
      <c r="D1036" s="215"/>
      <c r="E1036" s="182" t="s">
        <v>761</v>
      </c>
      <c r="F1036" s="236" t="s">
        <v>762</v>
      </c>
      <c r="G1036" s="189" t="s">
        <v>763</v>
      </c>
      <c r="H1036" s="182" t="s">
        <v>658</v>
      </c>
      <c r="I1036" s="182" t="s">
        <v>658</v>
      </c>
      <c r="J1036" s="182" t="s">
        <v>658</v>
      </c>
      <c r="K1036" s="182" t="s">
        <v>743</v>
      </c>
      <c r="L1036" s="182" t="s">
        <v>764</v>
      </c>
      <c r="M1036" s="237" t="s">
        <v>648</v>
      </c>
      <c r="N1036" s="227" t="s">
        <v>765</v>
      </c>
      <c r="O1036" s="234" t="s">
        <v>766</v>
      </c>
      <c r="P1036" s="227" t="s">
        <v>767</v>
      </c>
      <c r="Q1036" s="226" t="s">
        <v>767</v>
      </c>
      <c r="R1036" s="234" t="s">
        <v>766</v>
      </c>
      <c r="S1036" s="182" t="s">
        <v>658</v>
      </c>
      <c r="T1036" s="182" t="s">
        <v>658</v>
      </c>
      <c r="U1036" s="224" t="s">
        <v>658</v>
      </c>
      <c r="V1036" s="133"/>
      <c r="AC1036" s="95"/>
      <c r="AK1036" s="190"/>
      <c r="AS1036" s="133"/>
    </row>
    <row r="1037" spans="1:45" ht="15.75" customHeight="1" thickBot="1" x14ac:dyDescent="0.35">
      <c r="A1037" s="213" t="s">
        <v>768</v>
      </c>
      <c r="B1037" s="189" t="s">
        <v>705</v>
      </c>
      <c r="C1037" s="182" t="s">
        <v>705</v>
      </c>
      <c r="D1037" s="182" t="s">
        <v>705</v>
      </c>
      <c r="E1037" s="182" t="s">
        <v>705</v>
      </c>
      <c r="F1037" s="224" t="s">
        <v>705</v>
      </c>
      <c r="G1037" s="189" t="s">
        <v>705</v>
      </c>
      <c r="H1037" s="182" t="s">
        <v>705</v>
      </c>
      <c r="I1037" s="182" t="s">
        <v>705</v>
      </c>
      <c r="J1037" s="182" t="s">
        <v>705</v>
      </c>
      <c r="K1037" s="182" t="s">
        <v>705</v>
      </c>
      <c r="L1037" s="182" t="s">
        <v>705</v>
      </c>
      <c r="M1037" s="237" t="s">
        <v>705</v>
      </c>
      <c r="N1037" s="227" t="s">
        <v>705</v>
      </c>
      <c r="O1037" s="234" t="s">
        <v>705</v>
      </c>
      <c r="P1037" s="227" t="s">
        <v>365</v>
      </c>
      <c r="Q1037" s="226" t="s">
        <v>705</v>
      </c>
      <c r="R1037" s="234" t="s">
        <v>705</v>
      </c>
      <c r="S1037" s="182" t="s">
        <v>705</v>
      </c>
      <c r="T1037" s="182" t="s">
        <v>705</v>
      </c>
      <c r="U1037" s="224" t="s">
        <v>705</v>
      </c>
      <c r="V1037" s="133"/>
      <c r="AC1037" s="95"/>
      <c r="AD1037" s="191" t="s">
        <v>677</v>
      </c>
      <c r="AE1037" s="191" t="s">
        <v>678</v>
      </c>
      <c r="AF1037" s="191" t="s">
        <v>679</v>
      </c>
      <c r="AG1037" s="191" t="s">
        <v>680</v>
      </c>
      <c r="AH1037" s="191" t="s">
        <v>644</v>
      </c>
      <c r="AI1037" s="191" t="s">
        <v>681</v>
      </c>
      <c r="AJ1037" s="191" t="s">
        <v>682</v>
      </c>
      <c r="AK1037" s="191" t="s">
        <v>683</v>
      </c>
      <c r="AL1037" s="191" t="s">
        <v>684</v>
      </c>
      <c r="AM1037" s="191" t="s">
        <v>685</v>
      </c>
      <c r="AN1037" s="191" t="s">
        <v>686</v>
      </c>
      <c r="AO1037" s="191" t="s">
        <v>687</v>
      </c>
      <c r="AP1037" s="191" t="s">
        <v>688</v>
      </c>
      <c r="AQ1037" s="191" t="s">
        <v>689</v>
      </c>
      <c r="AR1037" s="191" t="s">
        <v>638</v>
      </c>
      <c r="AS1037" s="209" t="s">
        <v>641</v>
      </c>
    </row>
    <row r="1038" spans="1:45" ht="15.75" customHeight="1" x14ac:dyDescent="0.3">
      <c r="A1038" s="213" t="s">
        <v>666</v>
      </c>
      <c r="B1038" s="189" t="s">
        <v>666</v>
      </c>
      <c r="C1038" s="182" t="s">
        <v>666</v>
      </c>
      <c r="D1038" s="182" t="s">
        <v>666</v>
      </c>
      <c r="E1038" s="182" t="s">
        <v>769</v>
      </c>
      <c r="F1038" s="224" t="s">
        <v>666</v>
      </c>
      <c r="G1038" s="189" t="s">
        <v>666</v>
      </c>
      <c r="H1038" s="182" t="s">
        <v>770</v>
      </c>
      <c r="I1038" s="182" t="s">
        <v>770</v>
      </c>
      <c r="J1038" s="182" t="s">
        <v>666</v>
      </c>
      <c r="K1038" s="182" t="s">
        <v>666</v>
      </c>
      <c r="L1038" s="182" t="s">
        <v>666</v>
      </c>
      <c r="M1038" s="237" t="s">
        <v>666</v>
      </c>
      <c r="N1038" s="227" t="s">
        <v>666</v>
      </c>
      <c r="O1038" s="234" t="s">
        <v>666</v>
      </c>
      <c r="P1038" s="237" t="s">
        <v>666</v>
      </c>
      <c r="Q1038" s="227" t="s">
        <v>666</v>
      </c>
      <c r="R1038" s="234" t="s">
        <v>666</v>
      </c>
      <c r="S1038" s="182" t="s">
        <v>666</v>
      </c>
      <c r="T1038" s="182" t="s">
        <v>666</v>
      </c>
      <c r="U1038" s="224" t="s">
        <v>666</v>
      </c>
      <c r="V1038" s="133"/>
      <c r="AC1038" s="95"/>
      <c r="AD1038" s="180"/>
      <c r="AE1038" s="180"/>
      <c r="AF1038" s="180"/>
      <c r="AG1038" s="180"/>
      <c r="AH1038" s="182" t="s">
        <v>718</v>
      </c>
      <c r="AI1038" s="180"/>
      <c r="AJ1038" s="180"/>
      <c r="AK1038" s="180"/>
      <c r="AL1038" s="180"/>
      <c r="AM1038" s="180"/>
      <c r="AN1038" s="180"/>
      <c r="AO1038" s="180"/>
      <c r="AP1038" s="180"/>
      <c r="AQ1038" s="180"/>
      <c r="AR1038" s="180"/>
      <c r="AS1038" s="210"/>
    </row>
    <row r="1039" spans="1:45" ht="15.75" customHeight="1" x14ac:dyDescent="0.3">
      <c r="A1039" s="192" t="s">
        <v>8</v>
      </c>
      <c r="B1039" s="189">
        <f>ROUND(R1011-G1011,0)</f>
        <v>130341</v>
      </c>
      <c r="C1039" s="182">
        <f>+ROUND(B1039*$C$1036,0)</f>
        <v>0</v>
      </c>
      <c r="D1039" s="182">
        <f>AS1011</f>
        <v>5574</v>
      </c>
      <c r="E1039" s="182">
        <f>+B1039+C1039</f>
        <v>130341</v>
      </c>
      <c r="F1039" s="224">
        <f>(D1039+E1039)</f>
        <v>135915</v>
      </c>
      <c r="G1039" s="189">
        <f>ABS(G1011)</f>
        <v>0</v>
      </c>
      <c r="H1039" s="238">
        <v>9026</v>
      </c>
      <c r="I1039" s="238">
        <v>0</v>
      </c>
      <c r="J1039" s="182">
        <f>(H1039+I1039)</f>
        <v>9026</v>
      </c>
      <c r="K1039" s="238">
        <v>0</v>
      </c>
      <c r="L1039" s="238">
        <v>0</v>
      </c>
      <c r="M1039" s="239">
        <f>D1039+E1039-G1039-J1039-K1039-L1039</f>
        <v>126889</v>
      </c>
      <c r="N1039" s="240">
        <v>0</v>
      </c>
      <c r="O1039" s="234">
        <f>M1039+N1039</f>
        <v>126889</v>
      </c>
      <c r="P1039" s="241">
        <v>0.2</v>
      </c>
      <c r="Q1039" s="227">
        <f>-O1039*P1039</f>
        <v>-25377.800000000003</v>
      </c>
      <c r="R1039" s="234">
        <f>O1039+Q1039</f>
        <v>101511.2</v>
      </c>
      <c r="S1039" s="242">
        <f t="shared" ref="S1039:S1050" si="387">(F1039-G1039-J1039-K1039-L1039-R1039)</f>
        <v>25377.800000000003</v>
      </c>
      <c r="T1039" s="182">
        <f>+IF(S1039&gt;=0,ABS(S1039),"")</f>
        <v>25377.800000000003</v>
      </c>
      <c r="U1039" s="224" t="str">
        <f>+IF(S1039&lt;=0,ABS(S1039),"")</f>
        <v/>
      </c>
      <c r="V1039" s="133"/>
      <c r="AC1039" s="211" t="s">
        <v>771</v>
      </c>
      <c r="AD1039" s="212"/>
      <c r="AE1039" s="212"/>
      <c r="AF1039" s="212"/>
      <c r="AG1039" s="212"/>
      <c r="AH1039" s="212">
        <v>1.6E-2</v>
      </c>
      <c r="AI1039" s="212">
        <v>1.6E-2</v>
      </c>
      <c r="AJ1039" s="212">
        <v>1.6E-2</v>
      </c>
      <c r="AK1039" s="212">
        <v>1.6E-2</v>
      </c>
      <c r="AL1039" s="212">
        <v>1.6E-2</v>
      </c>
      <c r="AM1039" s="212">
        <v>1.6E-2</v>
      </c>
      <c r="AN1039" s="212">
        <v>1.6E-2</v>
      </c>
      <c r="AO1039" s="212">
        <v>1.6E-2</v>
      </c>
      <c r="AP1039" s="212">
        <v>1.6E-2</v>
      </c>
      <c r="AQ1039" s="212">
        <v>1.6E-2</v>
      </c>
      <c r="AR1039" s="212">
        <v>1.6E-2</v>
      </c>
      <c r="AS1039" s="213"/>
    </row>
    <row r="1040" spans="1:45" ht="15.75" customHeight="1" x14ac:dyDescent="0.3">
      <c r="A1040" s="192" t="s">
        <v>9</v>
      </c>
      <c r="B1040" s="189">
        <f>ROUND(R1012-G1012,0)</f>
        <v>138234</v>
      </c>
      <c r="C1040" s="182">
        <f t="shared" ref="C1040:C1050" si="388">+ROUND(B1040*$C$1036,0)</f>
        <v>0</v>
      </c>
      <c r="D1040" s="182">
        <f t="shared" ref="D1040:D1050" si="389">AS1012</f>
        <v>5926</v>
      </c>
      <c r="E1040" s="182">
        <f t="shared" ref="E1040:E1052" si="390">+B1040+C1040</f>
        <v>138234</v>
      </c>
      <c r="F1040" s="224">
        <f t="shared" ref="F1040:F1050" si="391">(D1040+E1040)</f>
        <v>144160</v>
      </c>
      <c r="G1040" s="189">
        <f t="shared" ref="G1040:G1050" si="392">ABS(G1012)</f>
        <v>0</v>
      </c>
      <c r="H1040" s="238">
        <v>10267</v>
      </c>
      <c r="I1040" s="238">
        <v>0</v>
      </c>
      <c r="J1040" s="182">
        <f t="shared" ref="J1040:J1049" si="393">(H1040+I1040)</f>
        <v>10267</v>
      </c>
      <c r="K1040" s="238">
        <v>0</v>
      </c>
      <c r="L1040" s="238">
        <v>0</v>
      </c>
      <c r="M1040" s="239">
        <f t="shared" ref="M1040:M1050" si="394">D1040+E1040-G1040-J1040-K1040-L1040</f>
        <v>133893</v>
      </c>
      <c r="N1040" s="240">
        <v>0</v>
      </c>
      <c r="O1040" s="234">
        <f t="shared" ref="O1040:O1050" si="395">M1040+N1040</f>
        <v>133893</v>
      </c>
      <c r="P1040" s="241">
        <v>0.25</v>
      </c>
      <c r="Q1040" s="227">
        <f t="shared" ref="Q1040:Q1050" si="396">-O1040*P1040</f>
        <v>-33473.25</v>
      </c>
      <c r="R1040" s="234">
        <f t="shared" ref="R1040:R1050" si="397">O1040+Q1040</f>
        <v>100419.75</v>
      </c>
      <c r="S1040" s="242">
        <f t="shared" si="387"/>
        <v>33473.25</v>
      </c>
      <c r="T1040" s="182">
        <f t="shared" ref="T1040:T1050" si="398">+IF(S1040&gt;=0,ABS(S1040),"")</f>
        <v>33473.25</v>
      </c>
      <c r="U1040" s="224" t="str">
        <f t="shared" ref="U1040:U1050" si="399">+IF(S1040&lt;=0,ABS(S1040),"")</f>
        <v/>
      </c>
      <c r="V1040" s="133"/>
      <c r="AC1040" s="211" t="s">
        <v>720</v>
      </c>
      <c r="AD1040" s="212"/>
      <c r="AE1040" s="212"/>
      <c r="AF1040" s="212"/>
      <c r="AG1040" s="212"/>
      <c r="AH1040" s="212"/>
      <c r="AI1040" s="212"/>
      <c r="AJ1040" s="212"/>
      <c r="AK1040" s="212"/>
      <c r="AL1040" s="212"/>
      <c r="AM1040" s="212"/>
      <c r="AN1040" s="212"/>
      <c r="AO1040" s="212"/>
      <c r="AP1040" s="212"/>
      <c r="AQ1040" s="212"/>
      <c r="AR1040" s="212"/>
      <c r="AS1040" s="213"/>
    </row>
    <row r="1041" spans="1:45" ht="15.75" customHeight="1" x14ac:dyDescent="0.3">
      <c r="A1041" s="192" t="s">
        <v>10</v>
      </c>
      <c r="B1041" s="189">
        <f t="shared" ref="B1041:B1050" si="400">ROUND(R1013-G1013,0)</f>
        <v>179513</v>
      </c>
      <c r="C1041" s="182">
        <f t="shared" si="388"/>
        <v>0</v>
      </c>
      <c r="D1041" s="182">
        <f t="shared" si="389"/>
        <v>7530</v>
      </c>
      <c r="E1041" s="182">
        <f t="shared" si="390"/>
        <v>179513</v>
      </c>
      <c r="F1041" s="224">
        <f t="shared" si="391"/>
        <v>187043</v>
      </c>
      <c r="G1041" s="189">
        <f t="shared" si="392"/>
        <v>3056.318613413714</v>
      </c>
      <c r="H1041" s="238">
        <v>15833</v>
      </c>
      <c r="I1041" s="238">
        <v>0</v>
      </c>
      <c r="J1041" s="182">
        <f t="shared" si="393"/>
        <v>15833</v>
      </c>
      <c r="K1041" s="238">
        <v>0</v>
      </c>
      <c r="L1041" s="238">
        <v>0</v>
      </c>
      <c r="M1041" s="239">
        <f t="shared" si="394"/>
        <v>168153.68138658628</v>
      </c>
      <c r="N1041" s="240">
        <v>0</v>
      </c>
      <c r="O1041" s="234">
        <f t="shared" si="395"/>
        <v>168153.68138658628</v>
      </c>
      <c r="P1041" s="241">
        <v>0.3</v>
      </c>
      <c r="Q1041" s="227">
        <f t="shared" si="396"/>
        <v>-50446.104415975882</v>
      </c>
      <c r="R1041" s="234">
        <f t="shared" si="397"/>
        <v>117707.57697061039</v>
      </c>
      <c r="S1041" s="242">
        <f t="shared" si="387"/>
        <v>50446.104415975889</v>
      </c>
      <c r="T1041" s="182">
        <f t="shared" si="398"/>
        <v>50446.104415975889</v>
      </c>
      <c r="U1041" s="224" t="str">
        <f t="shared" si="399"/>
        <v/>
      </c>
      <c r="V1041" s="133"/>
      <c r="AC1041" s="211" t="s">
        <v>721</v>
      </c>
      <c r="AD1041" s="212"/>
      <c r="AE1041" s="212"/>
      <c r="AF1041" s="212"/>
      <c r="AG1041" s="212"/>
      <c r="AH1041" s="212"/>
      <c r="AI1041" s="212"/>
      <c r="AJ1041" s="212"/>
      <c r="AK1041" s="212"/>
      <c r="AL1041" s="212"/>
      <c r="AM1041" s="212"/>
      <c r="AN1041" s="212"/>
      <c r="AO1041" s="212"/>
      <c r="AP1041" s="212"/>
      <c r="AQ1041" s="212"/>
      <c r="AR1041" s="212"/>
      <c r="AS1041" s="213"/>
    </row>
    <row r="1042" spans="1:45" ht="15.75" customHeight="1" x14ac:dyDescent="0.3">
      <c r="A1042" s="192" t="s">
        <v>12</v>
      </c>
      <c r="B1042" s="189">
        <f t="shared" si="400"/>
        <v>265826</v>
      </c>
      <c r="C1042" s="182">
        <f t="shared" si="388"/>
        <v>0</v>
      </c>
      <c r="D1042" s="182">
        <f t="shared" si="389"/>
        <v>11598</v>
      </c>
      <c r="E1042" s="182">
        <f t="shared" si="390"/>
        <v>265826</v>
      </c>
      <c r="F1042" s="224">
        <f t="shared" si="391"/>
        <v>277424</v>
      </c>
      <c r="G1042" s="189">
        <f t="shared" si="392"/>
        <v>0</v>
      </c>
      <c r="H1042" s="238">
        <v>15927</v>
      </c>
      <c r="I1042" s="238">
        <v>0</v>
      </c>
      <c r="J1042" s="182">
        <f t="shared" si="393"/>
        <v>15927</v>
      </c>
      <c r="K1042" s="238">
        <v>0</v>
      </c>
      <c r="L1042" s="238">
        <v>0</v>
      </c>
      <c r="M1042" s="239">
        <f t="shared" si="394"/>
        <v>261497</v>
      </c>
      <c r="N1042" s="240">
        <v>-22320</v>
      </c>
      <c r="O1042" s="234">
        <f t="shared" si="395"/>
        <v>239177</v>
      </c>
      <c r="P1042" s="241">
        <v>0.35</v>
      </c>
      <c r="Q1042" s="227">
        <f t="shared" si="396"/>
        <v>-83711.95</v>
      </c>
      <c r="R1042" s="234">
        <f t="shared" si="397"/>
        <v>155465.04999999999</v>
      </c>
      <c r="S1042" s="242">
        <f t="shared" si="387"/>
        <v>106031.95000000001</v>
      </c>
      <c r="T1042" s="182">
        <f t="shared" si="398"/>
        <v>106031.95000000001</v>
      </c>
      <c r="U1042" s="224" t="str">
        <f t="shared" si="399"/>
        <v/>
      </c>
      <c r="V1042" s="133"/>
      <c r="AC1042" s="211" t="s">
        <v>137</v>
      </c>
      <c r="AD1042" s="212"/>
      <c r="AE1042" s="212"/>
      <c r="AF1042" s="212"/>
      <c r="AG1042" s="212"/>
      <c r="AH1042" s="212"/>
      <c r="AI1042" s="212"/>
      <c r="AJ1042" s="212"/>
      <c r="AK1042" s="212"/>
      <c r="AL1042" s="212"/>
      <c r="AM1042" s="212"/>
      <c r="AN1042" s="212"/>
      <c r="AO1042" s="212"/>
      <c r="AP1042" s="212"/>
      <c r="AQ1042" s="212"/>
      <c r="AR1042" s="212"/>
      <c r="AS1042" s="213"/>
    </row>
    <row r="1043" spans="1:45" ht="15.75" customHeight="1" x14ac:dyDescent="0.3">
      <c r="A1043" s="192" t="s">
        <v>13</v>
      </c>
      <c r="B1043" s="189">
        <f t="shared" si="400"/>
        <v>305107</v>
      </c>
      <c r="C1043" s="182">
        <f t="shared" si="388"/>
        <v>0</v>
      </c>
      <c r="D1043" s="182">
        <f t="shared" si="389"/>
        <v>13466</v>
      </c>
      <c r="E1043" s="182">
        <f t="shared" si="390"/>
        <v>305107</v>
      </c>
      <c r="F1043" s="224">
        <f t="shared" si="391"/>
        <v>318573</v>
      </c>
      <c r="G1043" s="189">
        <f t="shared" si="392"/>
        <v>1947.3030896759628</v>
      </c>
      <c r="H1043" s="238">
        <v>14250</v>
      </c>
      <c r="I1043" s="238">
        <v>0</v>
      </c>
      <c r="J1043" s="182">
        <f t="shared" si="393"/>
        <v>14250</v>
      </c>
      <c r="K1043" s="238">
        <v>0</v>
      </c>
      <c r="L1043" s="238">
        <v>0</v>
      </c>
      <c r="M1043" s="239">
        <f t="shared" si="394"/>
        <v>302375.69691032404</v>
      </c>
      <c r="N1043" s="240">
        <v>0</v>
      </c>
      <c r="O1043" s="234">
        <f t="shared" si="395"/>
        <v>302375.69691032404</v>
      </c>
      <c r="P1043" s="241">
        <v>0.35</v>
      </c>
      <c r="Q1043" s="227">
        <f t="shared" si="396"/>
        <v>-105831.49391861341</v>
      </c>
      <c r="R1043" s="234">
        <f t="shared" si="397"/>
        <v>196544.20299171063</v>
      </c>
      <c r="S1043" s="242">
        <f t="shared" si="387"/>
        <v>105831.49391861341</v>
      </c>
      <c r="T1043" s="182">
        <f t="shared" si="398"/>
        <v>105831.49391861341</v>
      </c>
      <c r="U1043" s="224" t="str">
        <f t="shared" si="399"/>
        <v/>
      </c>
      <c r="V1043" s="133"/>
      <c r="AC1043" s="211" t="s">
        <v>772</v>
      </c>
      <c r="AD1043" s="212"/>
      <c r="AE1043" s="212"/>
      <c r="AF1043" s="212"/>
      <c r="AG1043" s="212"/>
      <c r="AH1043" s="212"/>
      <c r="AI1043" s="212"/>
      <c r="AJ1043" s="212">
        <v>2.5000000000000001E-2</v>
      </c>
      <c r="AK1043" s="212">
        <v>2.5000000000000001E-2</v>
      </c>
      <c r="AL1043" s="212">
        <v>2.5000000000000001E-2</v>
      </c>
      <c r="AM1043" s="212">
        <v>2.5000000000000001E-2</v>
      </c>
      <c r="AN1043" s="212">
        <v>2.5000000000000001E-2</v>
      </c>
      <c r="AO1043" s="212">
        <v>2.5000000000000001E-2</v>
      </c>
      <c r="AP1043" s="212">
        <v>2.5000000000000001E-2</v>
      </c>
      <c r="AQ1043" s="212">
        <v>2.5000000000000001E-2</v>
      </c>
      <c r="AR1043" s="212">
        <v>2.5000000000000001E-2</v>
      </c>
      <c r="AS1043" s="213"/>
    </row>
    <row r="1044" spans="1:45" ht="15.75" customHeight="1" x14ac:dyDescent="0.3">
      <c r="A1044" s="192" t="s">
        <v>14</v>
      </c>
      <c r="B1044" s="189">
        <f>ROUND(R1016-G1016,0)</f>
        <v>201624</v>
      </c>
      <c r="C1044" s="182">
        <f t="shared" si="388"/>
        <v>0</v>
      </c>
      <c r="D1044" s="182">
        <f t="shared" si="389"/>
        <v>8605</v>
      </c>
      <c r="E1044" s="182">
        <f t="shared" si="390"/>
        <v>201624</v>
      </c>
      <c r="F1044" s="224">
        <f t="shared" si="391"/>
        <v>210229</v>
      </c>
      <c r="G1044" s="189">
        <f t="shared" si="392"/>
        <v>11782.808138658635</v>
      </c>
      <c r="H1044" s="238">
        <v>12696</v>
      </c>
      <c r="I1044" s="238">
        <v>0</v>
      </c>
      <c r="J1044" s="182">
        <f t="shared" si="393"/>
        <v>12696</v>
      </c>
      <c r="K1044" s="238">
        <v>0</v>
      </c>
      <c r="L1044" s="238">
        <v>0</v>
      </c>
      <c r="M1044" s="239">
        <f t="shared" si="394"/>
        <v>185750.19186134136</v>
      </c>
      <c r="N1044" s="240">
        <v>47280</v>
      </c>
      <c r="O1044" s="234">
        <f t="shared" si="395"/>
        <v>233030.19186134136</v>
      </c>
      <c r="P1044" s="241">
        <v>7.4999999999999997E-2</v>
      </c>
      <c r="Q1044" s="227">
        <f t="shared" si="396"/>
        <v>-17477.264389600601</v>
      </c>
      <c r="R1044" s="234">
        <f t="shared" si="397"/>
        <v>215552.92747174075</v>
      </c>
      <c r="S1044" s="242">
        <f t="shared" si="387"/>
        <v>-29802.735610399395</v>
      </c>
      <c r="T1044" s="182" t="str">
        <f t="shared" si="398"/>
        <v/>
      </c>
      <c r="U1044" s="224">
        <f t="shared" si="399"/>
        <v>29802.735610399395</v>
      </c>
      <c r="V1044" s="133"/>
      <c r="AC1044" s="211" t="s">
        <v>641</v>
      </c>
      <c r="AD1044" s="215">
        <f>SUM(AD1039:AD1043)</f>
        <v>0</v>
      </c>
      <c r="AE1044" s="215">
        <f t="shared" ref="AE1044:AR1044" si="401">SUM(AE1039:AE1043)</f>
        <v>0</v>
      </c>
      <c r="AF1044" s="215">
        <f t="shared" si="401"/>
        <v>0</v>
      </c>
      <c r="AG1044" s="215">
        <f t="shared" si="401"/>
        <v>0</v>
      </c>
      <c r="AH1044" s="215">
        <f t="shared" si="401"/>
        <v>1.6E-2</v>
      </c>
      <c r="AI1044" s="215">
        <f t="shared" si="401"/>
        <v>1.6E-2</v>
      </c>
      <c r="AJ1044" s="215">
        <f t="shared" si="401"/>
        <v>4.1000000000000002E-2</v>
      </c>
      <c r="AK1044" s="215">
        <f t="shared" si="401"/>
        <v>4.1000000000000002E-2</v>
      </c>
      <c r="AL1044" s="215">
        <f t="shared" si="401"/>
        <v>4.1000000000000002E-2</v>
      </c>
      <c r="AM1044" s="215">
        <f t="shared" si="401"/>
        <v>4.1000000000000002E-2</v>
      </c>
      <c r="AN1044" s="215">
        <f t="shared" si="401"/>
        <v>4.1000000000000002E-2</v>
      </c>
      <c r="AO1044" s="215">
        <f t="shared" si="401"/>
        <v>4.1000000000000002E-2</v>
      </c>
      <c r="AP1044" s="215">
        <f t="shared" si="401"/>
        <v>4.1000000000000002E-2</v>
      </c>
      <c r="AQ1044" s="215">
        <f t="shared" si="401"/>
        <v>4.1000000000000002E-2</v>
      </c>
      <c r="AR1044" s="215">
        <f t="shared" si="401"/>
        <v>4.1000000000000002E-2</v>
      </c>
      <c r="AS1044" s="213"/>
    </row>
    <row r="1045" spans="1:45" ht="15.75" customHeight="1" x14ac:dyDescent="0.3">
      <c r="A1045" s="192" t="s">
        <v>16</v>
      </c>
      <c r="B1045" s="189">
        <f t="shared" si="400"/>
        <v>156279</v>
      </c>
      <c r="C1045" s="182">
        <f t="shared" si="388"/>
        <v>0</v>
      </c>
      <c r="D1045" s="182">
        <f t="shared" si="389"/>
        <v>6450</v>
      </c>
      <c r="E1045" s="182">
        <f t="shared" si="390"/>
        <v>156279</v>
      </c>
      <c r="F1045" s="224">
        <f t="shared" si="391"/>
        <v>162729</v>
      </c>
      <c r="G1045" s="189">
        <f t="shared" si="392"/>
        <v>13657.388393424346</v>
      </c>
      <c r="H1045" s="238">
        <v>11620</v>
      </c>
      <c r="I1045" s="238">
        <v>0</v>
      </c>
      <c r="J1045" s="182">
        <f t="shared" si="393"/>
        <v>11620</v>
      </c>
      <c r="K1045" s="238">
        <v>0</v>
      </c>
      <c r="L1045" s="238">
        <v>0</v>
      </c>
      <c r="M1045" s="239">
        <f t="shared" si="394"/>
        <v>137451.61160657567</v>
      </c>
      <c r="N1045" s="240">
        <v>47120</v>
      </c>
      <c r="O1045" s="234">
        <f t="shared" si="395"/>
        <v>184571.61160657567</v>
      </c>
      <c r="P1045" s="241">
        <v>0.05</v>
      </c>
      <c r="Q1045" s="227">
        <f t="shared" si="396"/>
        <v>-9228.580580328784</v>
      </c>
      <c r="R1045" s="234">
        <f t="shared" si="397"/>
        <v>175343.03102624687</v>
      </c>
      <c r="S1045" s="242">
        <f t="shared" si="387"/>
        <v>-37891.419419671205</v>
      </c>
      <c r="T1045" s="182" t="str">
        <f t="shared" si="398"/>
        <v/>
      </c>
      <c r="U1045" s="224">
        <f t="shared" si="399"/>
        <v>37891.419419671205</v>
      </c>
      <c r="V1045" s="133"/>
      <c r="AC1045" s="189" t="s">
        <v>666</v>
      </c>
      <c r="AD1045" s="182" t="s">
        <v>666</v>
      </c>
      <c r="AE1045" s="182" t="s">
        <v>666</v>
      </c>
      <c r="AF1045" s="182" t="s">
        <v>666</v>
      </c>
      <c r="AG1045" s="182" t="s">
        <v>666</v>
      </c>
      <c r="AH1045" s="182" t="s">
        <v>666</v>
      </c>
      <c r="AI1045" s="182" t="s">
        <v>666</v>
      </c>
      <c r="AJ1045" s="182" t="s">
        <v>666</v>
      </c>
      <c r="AK1045" s="182" t="s">
        <v>666</v>
      </c>
      <c r="AL1045" s="182" t="s">
        <v>666</v>
      </c>
      <c r="AM1045" s="182" t="s">
        <v>666</v>
      </c>
      <c r="AN1045" s="182" t="s">
        <v>666</v>
      </c>
      <c r="AO1045" s="182" t="s">
        <v>666</v>
      </c>
      <c r="AP1045" s="182" t="s">
        <v>666</v>
      </c>
      <c r="AQ1045" s="182" t="s">
        <v>666</v>
      </c>
      <c r="AR1045" s="182" t="s">
        <v>666</v>
      </c>
      <c r="AS1045" s="213" t="s">
        <v>666</v>
      </c>
    </row>
    <row r="1046" spans="1:45" ht="15.75" customHeight="1" x14ac:dyDescent="0.3">
      <c r="A1046" s="192" t="s">
        <v>17</v>
      </c>
      <c r="B1046" s="189">
        <f t="shared" si="400"/>
        <v>133419</v>
      </c>
      <c r="C1046" s="182">
        <f t="shared" si="388"/>
        <v>0</v>
      </c>
      <c r="D1046" s="182">
        <f t="shared" si="389"/>
        <v>5446</v>
      </c>
      <c r="E1046" s="182">
        <f t="shared" si="390"/>
        <v>133419</v>
      </c>
      <c r="F1046" s="224">
        <f t="shared" si="391"/>
        <v>138865</v>
      </c>
      <c r="G1046" s="189">
        <f t="shared" si="392"/>
        <v>12764.783789070392</v>
      </c>
      <c r="H1046" s="238">
        <v>10241</v>
      </c>
      <c r="I1046" s="238">
        <v>0</v>
      </c>
      <c r="J1046" s="182">
        <f t="shared" si="393"/>
        <v>10241</v>
      </c>
      <c r="K1046" s="238">
        <v>0</v>
      </c>
      <c r="L1046" s="238">
        <v>0</v>
      </c>
      <c r="M1046" s="239">
        <f t="shared" si="394"/>
        <v>115859.2162109296</v>
      </c>
      <c r="N1046" s="240">
        <v>58776</v>
      </c>
      <c r="O1046" s="234">
        <f t="shared" si="395"/>
        <v>174635.21621092962</v>
      </c>
      <c r="P1046" s="241">
        <v>0</v>
      </c>
      <c r="Q1046" s="227">
        <f t="shared" si="396"/>
        <v>0</v>
      </c>
      <c r="R1046" s="234">
        <f t="shared" si="397"/>
        <v>174635.21621092962</v>
      </c>
      <c r="S1046" s="242">
        <f t="shared" si="387"/>
        <v>-58776.000000000015</v>
      </c>
      <c r="T1046" s="182" t="str">
        <f t="shared" si="398"/>
        <v/>
      </c>
      <c r="U1046" s="224">
        <f t="shared" si="399"/>
        <v>58776.000000000015</v>
      </c>
      <c r="V1046" s="133"/>
      <c r="AC1046" s="211" t="s">
        <v>8</v>
      </c>
      <c r="AD1046" s="180">
        <f>ROUND(B1011*$AD$1044, 0)</f>
        <v>0</v>
      </c>
      <c r="AE1046" s="180">
        <f>ROUND(C1011*$AE$1044,0)</f>
        <v>0</v>
      </c>
      <c r="AF1046" s="180">
        <f>ROUND(D1011*$AF$1044,0)</f>
        <v>0</v>
      </c>
      <c r="AG1046" s="180">
        <f>ROUND(E1011*$AG$1044,0)</f>
        <v>0</v>
      </c>
      <c r="AH1046" s="180">
        <f>ROUND(F1011*$AH$1044,0)</f>
        <v>70</v>
      </c>
      <c r="AI1046" s="180">
        <f>ROUND(H1011*$AI$1044,0)</f>
        <v>46</v>
      </c>
      <c r="AJ1046" s="180">
        <f>ROUND(I1011*$AJ$1044,0)</f>
        <v>93</v>
      </c>
      <c r="AK1046" s="180">
        <f>ROUND(J1011*$AK$1044,0)</f>
        <v>145</v>
      </c>
      <c r="AL1046" s="180">
        <f>ROUND(K1011*$AL$1044,0)</f>
        <v>150</v>
      </c>
      <c r="AM1046" s="180">
        <f>ROUND(L1011*$AM$1044,0)</f>
        <v>39</v>
      </c>
      <c r="AN1046" s="180">
        <f>ROUND(M1011*$AN$1044,0)</f>
        <v>46</v>
      </c>
      <c r="AO1046" s="180">
        <f>ROUND(N1011*$AO$1044,0)</f>
        <v>94</v>
      </c>
      <c r="AP1046" s="180">
        <f>ROUND(O1011*$AP$1044,0)</f>
        <v>28</v>
      </c>
      <c r="AQ1046" s="180">
        <f>ROUND(P1011*$AQ$1044,0)</f>
        <v>57</v>
      </c>
      <c r="AR1046" s="180">
        <f>ROUND(Q1011*$AR$1044,0)</f>
        <v>66</v>
      </c>
      <c r="AS1046" s="210">
        <f>SUM(AD1046:AR1046)</f>
        <v>834</v>
      </c>
    </row>
    <row r="1047" spans="1:45" ht="15.75" customHeight="1" x14ac:dyDescent="0.3">
      <c r="A1047" s="192" t="s">
        <v>18</v>
      </c>
      <c r="B1047" s="189">
        <f t="shared" si="400"/>
        <v>273961</v>
      </c>
      <c r="C1047" s="182">
        <f t="shared" si="388"/>
        <v>0</v>
      </c>
      <c r="D1047" s="182">
        <f t="shared" si="389"/>
        <v>11966</v>
      </c>
      <c r="E1047" s="182">
        <f t="shared" si="390"/>
        <v>273961</v>
      </c>
      <c r="F1047" s="224">
        <f t="shared" si="391"/>
        <v>285927</v>
      </c>
      <c r="G1047" s="189">
        <f t="shared" si="392"/>
        <v>332.08675207234347</v>
      </c>
      <c r="H1047" s="238">
        <v>10229</v>
      </c>
      <c r="I1047" s="238">
        <v>0</v>
      </c>
      <c r="J1047" s="182">
        <f t="shared" si="393"/>
        <v>10229</v>
      </c>
      <c r="K1047" s="238">
        <v>0</v>
      </c>
      <c r="L1047" s="238">
        <v>0</v>
      </c>
      <c r="M1047" s="239">
        <f t="shared" si="394"/>
        <v>275365.91324792767</v>
      </c>
      <c r="N1047" s="240">
        <v>0</v>
      </c>
      <c r="O1047" s="234">
        <f t="shared" si="395"/>
        <v>275365.91324792767</v>
      </c>
      <c r="P1047" s="241">
        <v>0.05</v>
      </c>
      <c r="Q1047" s="227">
        <f t="shared" si="396"/>
        <v>-13768.295662396384</v>
      </c>
      <c r="R1047" s="234">
        <f t="shared" si="397"/>
        <v>261597.61758553129</v>
      </c>
      <c r="S1047" s="242">
        <f t="shared" si="387"/>
        <v>13768.295662396384</v>
      </c>
      <c r="T1047" s="182">
        <f t="shared" si="398"/>
        <v>13768.295662396384</v>
      </c>
      <c r="U1047" s="224" t="str">
        <f t="shared" si="399"/>
        <v/>
      </c>
      <c r="V1047" s="133"/>
      <c r="AC1047" s="211" t="s">
        <v>9</v>
      </c>
      <c r="AD1047" s="180">
        <f t="shared" ref="AD1047:AD1057" si="402">ROUND(B1012*$AD$1044, 0)</f>
        <v>0</v>
      </c>
      <c r="AE1047" s="180">
        <f t="shared" ref="AE1047:AE1057" si="403">ROUND(C1012*$AE$1044,0)</f>
        <v>0</v>
      </c>
      <c r="AF1047" s="180">
        <f t="shared" ref="AF1047:AF1057" si="404">ROUND(D1012*$AF$1044,0)</f>
        <v>0</v>
      </c>
      <c r="AG1047" s="180">
        <f t="shared" ref="AG1047:AG1057" si="405">ROUND(E1012*$AG$1044,0)</f>
        <v>0</v>
      </c>
      <c r="AH1047" s="180">
        <f t="shared" ref="AH1047:AH1057" si="406">ROUND(F1012*$AH$1044,0)</f>
        <v>9</v>
      </c>
      <c r="AI1047" s="180">
        <f t="shared" ref="AI1047:AI1057" si="407">ROUND(H1012*$AI$1044,0)</f>
        <v>74</v>
      </c>
      <c r="AJ1047" s="180">
        <f t="shared" ref="AJ1047:AJ1057" si="408">ROUND(I1012*$AJ$1044,0)</f>
        <v>151</v>
      </c>
      <c r="AK1047" s="180">
        <f t="shared" ref="AK1047:AK1057" si="409">ROUND(J1012*$AK$1044,0)</f>
        <v>233</v>
      </c>
      <c r="AL1047" s="180">
        <f t="shared" ref="AL1047:AL1057" si="410">ROUND(K1012*$AL$1044,0)</f>
        <v>241</v>
      </c>
      <c r="AM1047" s="180">
        <f t="shared" ref="AM1047:AM1057" si="411">ROUND(L1012*$AM$1044,0)</f>
        <v>77</v>
      </c>
      <c r="AN1047" s="180">
        <f t="shared" ref="AN1047:AN1057" si="412">ROUND(M1012*$AN$1044,0)</f>
        <v>90</v>
      </c>
      <c r="AO1047" s="180">
        <f t="shared" ref="AO1047:AO1057" si="413">ROUND(N1012*$AO$1044,0)</f>
        <v>175</v>
      </c>
      <c r="AP1047" s="180">
        <f t="shared" ref="AP1047:AP1057" si="414">ROUND(O1012*$AP$1044,0)</f>
        <v>30</v>
      </c>
      <c r="AQ1047" s="180">
        <f t="shared" ref="AQ1047:AQ1057" si="415">ROUND(P1012*$AQ$1044,0)</f>
        <v>55</v>
      </c>
      <c r="AR1047" s="180">
        <f t="shared" ref="AR1047:AR1057" si="416">ROUND(Q1012*$AR$1044,0)</f>
        <v>71</v>
      </c>
      <c r="AS1047" s="210">
        <f t="shared" ref="AS1047:AS1057" si="417">SUM(AD1047:AR1047)</f>
        <v>1206</v>
      </c>
    </row>
    <row r="1048" spans="1:45" ht="15.75" customHeight="1" x14ac:dyDescent="0.3">
      <c r="A1048" s="192" t="s">
        <v>20</v>
      </c>
      <c r="B1048" s="189">
        <f t="shared" si="400"/>
        <v>261496</v>
      </c>
      <c r="C1048" s="182">
        <f t="shared" si="388"/>
        <v>0</v>
      </c>
      <c r="D1048" s="182">
        <f t="shared" si="389"/>
        <v>11398</v>
      </c>
      <c r="E1048" s="182">
        <f t="shared" si="390"/>
        <v>261496</v>
      </c>
      <c r="F1048" s="224">
        <f t="shared" si="391"/>
        <v>272894</v>
      </c>
      <c r="G1048" s="189">
        <f t="shared" si="392"/>
        <v>2.5953428786736885</v>
      </c>
      <c r="H1048" s="238">
        <v>10104</v>
      </c>
      <c r="I1048" s="238">
        <v>0</v>
      </c>
      <c r="J1048" s="182">
        <f t="shared" si="393"/>
        <v>10104</v>
      </c>
      <c r="K1048" s="238">
        <v>0</v>
      </c>
      <c r="L1048" s="238">
        <v>0</v>
      </c>
      <c r="M1048" s="239">
        <f t="shared" si="394"/>
        <v>262787.40465712134</v>
      </c>
      <c r="N1048" s="240">
        <v>0</v>
      </c>
      <c r="O1048" s="234">
        <f t="shared" si="395"/>
        <v>262787.40465712134</v>
      </c>
      <c r="P1048" s="241">
        <v>0.2</v>
      </c>
      <c r="Q1048" s="227">
        <f t="shared" si="396"/>
        <v>-52557.480931424274</v>
      </c>
      <c r="R1048" s="234">
        <f t="shared" si="397"/>
        <v>210229.92372569707</v>
      </c>
      <c r="S1048" s="242">
        <f t="shared" si="387"/>
        <v>52557.480931424274</v>
      </c>
      <c r="T1048" s="182">
        <f t="shared" si="398"/>
        <v>52557.480931424274</v>
      </c>
      <c r="U1048" s="224" t="str">
        <f t="shared" si="399"/>
        <v/>
      </c>
      <c r="V1048" s="133"/>
      <c r="AC1048" s="211" t="s">
        <v>10</v>
      </c>
      <c r="AD1048" s="180">
        <f t="shared" si="402"/>
        <v>0</v>
      </c>
      <c r="AE1048" s="180">
        <f t="shared" si="403"/>
        <v>0</v>
      </c>
      <c r="AF1048" s="180">
        <f t="shared" si="404"/>
        <v>0</v>
      </c>
      <c r="AG1048" s="180">
        <f t="shared" si="405"/>
        <v>0</v>
      </c>
      <c r="AH1048" s="180">
        <f t="shared" si="406"/>
        <v>82</v>
      </c>
      <c r="AI1048" s="180">
        <f t="shared" si="407"/>
        <v>101</v>
      </c>
      <c r="AJ1048" s="180">
        <f t="shared" si="408"/>
        <v>200</v>
      </c>
      <c r="AK1048" s="180">
        <f t="shared" si="409"/>
        <v>290</v>
      </c>
      <c r="AL1048" s="180">
        <f t="shared" si="410"/>
        <v>293</v>
      </c>
      <c r="AM1048" s="180">
        <f t="shared" si="411"/>
        <v>88</v>
      </c>
      <c r="AN1048" s="180">
        <f t="shared" si="412"/>
        <v>104</v>
      </c>
      <c r="AO1048" s="180">
        <f t="shared" si="413"/>
        <v>208</v>
      </c>
      <c r="AP1048" s="180">
        <f t="shared" si="414"/>
        <v>30</v>
      </c>
      <c r="AQ1048" s="180">
        <f t="shared" si="415"/>
        <v>61</v>
      </c>
      <c r="AR1048" s="180">
        <f t="shared" si="416"/>
        <v>72</v>
      </c>
      <c r="AS1048" s="210">
        <f t="shared" si="417"/>
        <v>1529</v>
      </c>
    </row>
    <row r="1049" spans="1:45" ht="15.75" customHeight="1" x14ac:dyDescent="0.3">
      <c r="A1049" s="192" t="s">
        <v>21</v>
      </c>
      <c r="B1049" s="189">
        <f t="shared" si="400"/>
        <v>193881</v>
      </c>
      <c r="C1049" s="182">
        <f t="shared" si="388"/>
        <v>0</v>
      </c>
      <c r="D1049" s="182">
        <f t="shared" si="389"/>
        <v>8378</v>
      </c>
      <c r="E1049" s="182">
        <f t="shared" si="390"/>
        <v>193881</v>
      </c>
      <c r="F1049" s="224">
        <f t="shared" si="391"/>
        <v>202259</v>
      </c>
      <c r="G1049" s="189">
        <f t="shared" si="392"/>
        <v>661.03074604370647</v>
      </c>
      <c r="H1049" s="238">
        <v>10826</v>
      </c>
      <c r="I1049" s="238">
        <v>0</v>
      </c>
      <c r="J1049" s="182">
        <f t="shared" si="393"/>
        <v>10826</v>
      </c>
      <c r="K1049" s="238">
        <v>0</v>
      </c>
      <c r="L1049" s="238">
        <v>0</v>
      </c>
      <c r="M1049" s="239">
        <f t="shared" si="394"/>
        <v>190771.96925395628</v>
      </c>
      <c r="N1049" s="240">
        <v>0</v>
      </c>
      <c r="O1049" s="234">
        <f t="shared" si="395"/>
        <v>190771.96925395628</v>
      </c>
      <c r="P1049" s="241">
        <v>0.2</v>
      </c>
      <c r="Q1049" s="227">
        <f t="shared" si="396"/>
        <v>-38154.393850791261</v>
      </c>
      <c r="R1049" s="234">
        <f t="shared" si="397"/>
        <v>152617.57540316501</v>
      </c>
      <c r="S1049" s="242">
        <f t="shared" si="387"/>
        <v>38154.393850791268</v>
      </c>
      <c r="T1049" s="182">
        <f t="shared" si="398"/>
        <v>38154.393850791268</v>
      </c>
      <c r="U1049" s="224" t="str">
        <f t="shared" si="399"/>
        <v/>
      </c>
      <c r="V1049" s="133"/>
      <c r="AC1049" s="211" t="s">
        <v>12</v>
      </c>
      <c r="AD1049" s="180">
        <f t="shared" si="402"/>
        <v>0</v>
      </c>
      <c r="AE1049" s="180">
        <f t="shared" si="403"/>
        <v>0</v>
      </c>
      <c r="AF1049" s="180">
        <f t="shared" si="404"/>
        <v>0</v>
      </c>
      <c r="AG1049" s="180">
        <f t="shared" si="405"/>
        <v>0</v>
      </c>
      <c r="AH1049" s="180">
        <f t="shared" si="406"/>
        <v>13</v>
      </c>
      <c r="AI1049" s="180">
        <f t="shared" si="407"/>
        <v>164</v>
      </c>
      <c r="AJ1049" s="180">
        <f t="shared" si="408"/>
        <v>320</v>
      </c>
      <c r="AK1049" s="180">
        <f t="shared" si="409"/>
        <v>380</v>
      </c>
      <c r="AL1049" s="180">
        <f t="shared" si="410"/>
        <v>330</v>
      </c>
      <c r="AM1049" s="180">
        <f t="shared" si="411"/>
        <v>98</v>
      </c>
      <c r="AN1049" s="180">
        <f t="shared" si="412"/>
        <v>116</v>
      </c>
      <c r="AO1049" s="180">
        <f t="shared" si="413"/>
        <v>219</v>
      </c>
      <c r="AP1049" s="180">
        <f t="shared" si="414"/>
        <v>33</v>
      </c>
      <c r="AQ1049" s="180">
        <f t="shared" si="415"/>
        <v>73</v>
      </c>
      <c r="AR1049" s="180">
        <f t="shared" si="416"/>
        <v>79</v>
      </c>
      <c r="AS1049" s="210">
        <f t="shared" si="417"/>
        <v>1825</v>
      </c>
    </row>
    <row r="1050" spans="1:45" ht="15.75" customHeight="1" x14ac:dyDescent="0.3">
      <c r="A1050" s="192" t="s">
        <v>22</v>
      </c>
      <c r="B1050" s="189">
        <f t="shared" si="400"/>
        <v>230720</v>
      </c>
      <c r="C1050" s="182">
        <f t="shared" si="388"/>
        <v>0</v>
      </c>
      <c r="D1050" s="182">
        <f t="shared" si="389"/>
        <v>9854</v>
      </c>
      <c r="E1050" s="182">
        <f t="shared" si="390"/>
        <v>230720</v>
      </c>
      <c r="F1050" s="224">
        <f t="shared" si="391"/>
        <v>240574</v>
      </c>
      <c r="G1050" s="189">
        <f t="shared" si="392"/>
        <v>0</v>
      </c>
      <c r="H1050" s="238">
        <v>6676</v>
      </c>
      <c r="I1050" s="238">
        <v>0</v>
      </c>
      <c r="J1050" s="182">
        <f>(H1050+I1050)</f>
        <v>6676</v>
      </c>
      <c r="K1050" s="238">
        <v>0</v>
      </c>
      <c r="L1050" s="238">
        <v>0</v>
      </c>
      <c r="M1050" s="239">
        <f t="shared" si="394"/>
        <v>233898</v>
      </c>
      <c r="N1050" s="240">
        <v>0</v>
      </c>
      <c r="O1050" s="234">
        <f t="shared" si="395"/>
        <v>233898</v>
      </c>
      <c r="P1050" s="241">
        <v>0.2</v>
      </c>
      <c r="Q1050" s="227">
        <f t="shared" si="396"/>
        <v>-46779.600000000006</v>
      </c>
      <c r="R1050" s="234">
        <f t="shared" si="397"/>
        <v>187118.4</v>
      </c>
      <c r="S1050" s="242">
        <f t="shared" si="387"/>
        <v>46779.600000000006</v>
      </c>
      <c r="T1050" s="182">
        <f t="shared" si="398"/>
        <v>46779.600000000006</v>
      </c>
      <c r="U1050" s="224" t="str">
        <f t="shared" si="399"/>
        <v/>
      </c>
      <c r="V1050" s="133"/>
      <c r="AC1050" s="211" t="s">
        <v>13</v>
      </c>
      <c r="AD1050" s="180">
        <f t="shared" si="402"/>
        <v>0</v>
      </c>
      <c r="AE1050" s="180">
        <f t="shared" si="403"/>
        <v>0</v>
      </c>
      <c r="AF1050" s="180">
        <f t="shared" si="404"/>
        <v>0</v>
      </c>
      <c r="AG1050" s="180">
        <f t="shared" si="405"/>
        <v>0</v>
      </c>
      <c r="AH1050" s="180">
        <f t="shared" si="406"/>
        <v>0</v>
      </c>
      <c r="AI1050" s="180">
        <f t="shared" si="407"/>
        <v>197</v>
      </c>
      <c r="AJ1050" s="180">
        <f t="shared" si="408"/>
        <v>287</v>
      </c>
      <c r="AK1050" s="180">
        <f t="shared" si="409"/>
        <v>362</v>
      </c>
      <c r="AL1050" s="180">
        <f t="shared" si="410"/>
        <v>323</v>
      </c>
      <c r="AM1050" s="180">
        <f t="shared" si="411"/>
        <v>97</v>
      </c>
      <c r="AN1050" s="180">
        <f t="shared" si="412"/>
        <v>114</v>
      </c>
      <c r="AO1050" s="180">
        <f t="shared" si="413"/>
        <v>222</v>
      </c>
      <c r="AP1050" s="180">
        <f t="shared" si="414"/>
        <v>31</v>
      </c>
      <c r="AQ1050" s="180">
        <f t="shared" si="415"/>
        <v>96</v>
      </c>
      <c r="AR1050" s="180">
        <f t="shared" si="416"/>
        <v>73</v>
      </c>
      <c r="AS1050" s="210">
        <f t="shared" si="417"/>
        <v>1802</v>
      </c>
    </row>
    <row r="1051" spans="1:45" ht="15.75" customHeight="1" x14ac:dyDescent="0.3">
      <c r="A1051" s="213" t="s">
        <v>633</v>
      </c>
      <c r="B1051" s="189" t="s">
        <v>633</v>
      </c>
      <c r="C1051" s="182"/>
      <c r="D1051" s="182"/>
      <c r="E1051" s="182" t="s">
        <v>7</v>
      </c>
      <c r="F1051" s="224"/>
      <c r="G1051" s="189"/>
      <c r="H1051" s="182"/>
      <c r="I1051" s="182" t="s">
        <v>7</v>
      </c>
      <c r="J1051" s="182" t="s">
        <v>7</v>
      </c>
      <c r="K1051" s="243"/>
      <c r="L1051" s="182"/>
      <c r="M1051" s="239"/>
      <c r="N1051" s="240"/>
      <c r="O1051" s="234"/>
      <c r="P1051" s="241"/>
      <c r="Q1051" s="240"/>
      <c r="R1051" s="234"/>
      <c r="S1051" s="242"/>
      <c r="T1051" s="182"/>
      <c r="U1051" s="224"/>
      <c r="V1051" s="133"/>
      <c r="AC1051" s="211" t="s">
        <v>14</v>
      </c>
      <c r="AD1051" s="180">
        <f t="shared" si="402"/>
        <v>0</v>
      </c>
      <c r="AE1051" s="180">
        <f t="shared" si="403"/>
        <v>0</v>
      </c>
      <c r="AF1051" s="180">
        <f t="shared" si="404"/>
        <v>0</v>
      </c>
      <c r="AG1051" s="180">
        <f t="shared" si="405"/>
        <v>0</v>
      </c>
      <c r="AH1051" s="180">
        <f t="shared" si="406"/>
        <v>0</v>
      </c>
      <c r="AI1051" s="180">
        <f t="shared" si="407"/>
        <v>215</v>
      </c>
      <c r="AJ1051" s="180">
        <f t="shared" si="408"/>
        <v>305</v>
      </c>
      <c r="AK1051" s="180">
        <f t="shared" si="409"/>
        <v>334</v>
      </c>
      <c r="AL1051" s="180">
        <f t="shared" si="410"/>
        <v>283</v>
      </c>
      <c r="AM1051" s="180">
        <f t="shared" si="411"/>
        <v>96</v>
      </c>
      <c r="AN1051" s="180">
        <f t="shared" si="412"/>
        <v>113</v>
      </c>
      <c r="AO1051" s="180">
        <f t="shared" si="413"/>
        <v>212</v>
      </c>
      <c r="AP1051" s="180">
        <f t="shared" si="414"/>
        <v>33</v>
      </c>
      <c r="AQ1051" s="180">
        <f t="shared" si="415"/>
        <v>98</v>
      </c>
      <c r="AR1051" s="180">
        <f t="shared" si="416"/>
        <v>79</v>
      </c>
      <c r="AS1051" s="210">
        <f t="shared" si="417"/>
        <v>1768</v>
      </c>
    </row>
    <row r="1052" spans="1:45" ht="16.5" customHeight="1" thickBot="1" x14ac:dyDescent="0.35">
      <c r="A1052" s="244" t="s">
        <v>641</v>
      </c>
      <c r="B1052" s="204">
        <f>SUM(B1039:B1050)</f>
        <v>2470401</v>
      </c>
      <c r="C1052" s="205">
        <f>+SUM(C1039:C1050)</f>
        <v>0</v>
      </c>
      <c r="D1052" s="205">
        <f>SUM(D1039:D1050)</f>
        <v>106191</v>
      </c>
      <c r="E1052" s="205">
        <f t="shared" si="390"/>
        <v>2470401</v>
      </c>
      <c r="F1052" s="245">
        <f>SUM(F1039:F1050)</f>
        <v>2576592</v>
      </c>
      <c r="G1052" s="204">
        <f>SUM(G1039:G1050)</f>
        <v>44204.314865237771</v>
      </c>
      <c r="H1052" s="205">
        <f>SUM(H1039:H1050)</f>
        <v>137695</v>
      </c>
      <c r="I1052" s="205">
        <f>SUM(I1039:I1050)</f>
        <v>0</v>
      </c>
      <c r="J1052" s="205">
        <f>(H1052+I1052)</f>
        <v>137695</v>
      </c>
      <c r="K1052" s="205">
        <f>SUM(K1039:K1050)</f>
        <v>0</v>
      </c>
      <c r="L1052" s="205">
        <f>SUM(L1039:L1050)</f>
        <v>0</v>
      </c>
      <c r="M1052" s="246">
        <f>SUM(M1039:M1050)</f>
        <v>2394692.685134762</v>
      </c>
      <c r="N1052" s="247">
        <f>SUM(N1039:N1050)</f>
        <v>130856</v>
      </c>
      <c r="O1052" s="248">
        <f>+M1052+N1052</f>
        <v>2525548.685134762</v>
      </c>
      <c r="P1052" s="249">
        <f>Q1052/O1052</f>
        <v>-0.18879311911727747</v>
      </c>
      <c r="Q1052" s="250">
        <f>SUM(Q1039:Q1050)</f>
        <v>-476806.21374913061</v>
      </c>
      <c r="R1052" s="248">
        <f>SUM(R1039:R1050)</f>
        <v>2048742.4713856315</v>
      </c>
      <c r="S1052" s="251">
        <f>(F1052-G1052-J1052-K1052-L1052-R1052)</f>
        <v>345950.21374913095</v>
      </c>
      <c r="T1052" s="205">
        <f>+SUM(T1039:T1050)</f>
        <v>472420.36877920129</v>
      </c>
      <c r="U1052" s="245">
        <f>+SUM(U1039:U1050)</f>
        <v>126470.15503007061</v>
      </c>
      <c r="V1052" s="133"/>
      <c r="AC1052" s="211" t="s">
        <v>16</v>
      </c>
      <c r="AD1052" s="180">
        <f t="shared" si="402"/>
        <v>0</v>
      </c>
      <c r="AE1052" s="180">
        <f t="shared" si="403"/>
        <v>0</v>
      </c>
      <c r="AF1052" s="180">
        <f t="shared" si="404"/>
        <v>0</v>
      </c>
      <c r="AG1052" s="180">
        <f t="shared" si="405"/>
        <v>0</v>
      </c>
      <c r="AH1052" s="180">
        <f t="shared" si="406"/>
        <v>0</v>
      </c>
      <c r="AI1052" s="180">
        <f t="shared" si="407"/>
        <v>201</v>
      </c>
      <c r="AJ1052" s="180">
        <f t="shared" si="408"/>
        <v>343</v>
      </c>
      <c r="AK1052" s="180">
        <f t="shared" si="409"/>
        <v>367</v>
      </c>
      <c r="AL1052" s="180">
        <f t="shared" si="410"/>
        <v>316</v>
      </c>
      <c r="AM1052" s="180">
        <f t="shared" si="411"/>
        <v>91</v>
      </c>
      <c r="AN1052" s="180">
        <f t="shared" si="412"/>
        <v>107</v>
      </c>
      <c r="AO1052" s="180">
        <f t="shared" si="413"/>
        <v>217</v>
      </c>
      <c r="AP1052" s="180">
        <f t="shared" si="414"/>
        <v>32</v>
      </c>
      <c r="AQ1052" s="180">
        <f t="shared" si="415"/>
        <v>94</v>
      </c>
      <c r="AR1052" s="180">
        <f t="shared" si="416"/>
        <v>75</v>
      </c>
      <c r="AS1052" s="210">
        <f t="shared" si="417"/>
        <v>1843</v>
      </c>
    </row>
    <row r="1053" spans="1:45" ht="15.75" customHeight="1" x14ac:dyDescent="0.3">
      <c r="A1053" s="95"/>
      <c r="B1053" s="180"/>
      <c r="C1053" s="180"/>
      <c r="D1053" s="180"/>
      <c r="E1053" s="180"/>
      <c r="F1053" s="180" t="s">
        <v>633</v>
      </c>
      <c r="G1053" s="180"/>
      <c r="H1053" s="180"/>
      <c r="I1053" s="180"/>
      <c r="K1053" s="180"/>
      <c r="L1053" s="180"/>
      <c r="M1053" s="252"/>
      <c r="O1053" s="359"/>
      <c r="P1053" s="351"/>
      <c r="V1053" s="133"/>
      <c r="AC1053" s="211" t="s">
        <v>17</v>
      </c>
      <c r="AD1053" s="180">
        <f t="shared" si="402"/>
        <v>0</v>
      </c>
      <c r="AE1053" s="180">
        <f t="shared" si="403"/>
        <v>0</v>
      </c>
      <c r="AF1053" s="180">
        <f t="shared" si="404"/>
        <v>0</v>
      </c>
      <c r="AG1053" s="180">
        <f t="shared" si="405"/>
        <v>0</v>
      </c>
      <c r="AH1053" s="180">
        <f t="shared" si="406"/>
        <v>0</v>
      </c>
      <c r="AI1053" s="180">
        <f t="shared" si="407"/>
        <v>178</v>
      </c>
      <c r="AJ1053" s="180">
        <f t="shared" si="408"/>
        <v>320</v>
      </c>
      <c r="AK1053" s="180">
        <f t="shared" si="409"/>
        <v>357</v>
      </c>
      <c r="AL1053" s="180">
        <f t="shared" si="410"/>
        <v>295</v>
      </c>
      <c r="AM1053" s="180">
        <f t="shared" si="411"/>
        <v>82</v>
      </c>
      <c r="AN1053" s="180">
        <f t="shared" si="412"/>
        <v>97</v>
      </c>
      <c r="AO1053" s="180">
        <f t="shared" si="413"/>
        <v>185</v>
      </c>
      <c r="AP1053" s="180">
        <f t="shared" si="414"/>
        <v>31</v>
      </c>
      <c r="AQ1053" s="180">
        <f t="shared" si="415"/>
        <v>93</v>
      </c>
      <c r="AR1053" s="180">
        <f t="shared" si="416"/>
        <v>72</v>
      </c>
      <c r="AS1053" s="210">
        <f t="shared" si="417"/>
        <v>1710</v>
      </c>
    </row>
    <row r="1054" spans="1:45" ht="15.75" customHeight="1" x14ac:dyDescent="0.3">
      <c r="A1054" s="179" t="s">
        <v>773</v>
      </c>
      <c r="P1054" s="180"/>
      <c r="Q1054" s="180"/>
      <c r="R1054" s="180"/>
      <c r="V1054" s="133"/>
      <c r="AC1054" s="211" t="s">
        <v>18</v>
      </c>
      <c r="AD1054" s="180">
        <f t="shared" si="402"/>
        <v>0</v>
      </c>
      <c r="AE1054" s="180">
        <f t="shared" si="403"/>
        <v>0</v>
      </c>
      <c r="AF1054" s="180">
        <f t="shared" si="404"/>
        <v>0</v>
      </c>
      <c r="AG1054" s="180">
        <f t="shared" si="405"/>
        <v>0</v>
      </c>
      <c r="AH1054" s="180">
        <f t="shared" si="406"/>
        <v>92</v>
      </c>
      <c r="AI1054" s="180">
        <f t="shared" si="407"/>
        <v>116</v>
      </c>
      <c r="AJ1054" s="180">
        <f t="shared" si="408"/>
        <v>231</v>
      </c>
      <c r="AK1054" s="180">
        <f t="shared" si="409"/>
        <v>256</v>
      </c>
      <c r="AL1054" s="180">
        <f t="shared" si="410"/>
        <v>245</v>
      </c>
      <c r="AM1054" s="180">
        <f t="shared" si="411"/>
        <v>73</v>
      </c>
      <c r="AN1054" s="180">
        <f t="shared" si="412"/>
        <v>86</v>
      </c>
      <c r="AO1054" s="180">
        <f t="shared" si="413"/>
        <v>174</v>
      </c>
      <c r="AP1054" s="180">
        <f t="shared" si="414"/>
        <v>32</v>
      </c>
      <c r="AQ1054" s="180">
        <f t="shared" si="415"/>
        <v>70</v>
      </c>
      <c r="AR1054" s="180">
        <f t="shared" si="416"/>
        <v>76</v>
      </c>
      <c r="AS1054" s="210">
        <f t="shared" si="417"/>
        <v>1451</v>
      </c>
    </row>
    <row r="1055" spans="1:45" ht="15.75" customHeight="1" x14ac:dyDescent="0.3">
      <c r="A1055" s="179" t="s">
        <v>774</v>
      </c>
      <c r="D1055" s="180"/>
      <c r="E1055" s="180"/>
      <c r="F1055" s="180"/>
      <c r="G1055" s="180"/>
      <c r="H1055" s="180"/>
      <c r="I1055" s="180"/>
      <c r="J1055" s="180"/>
      <c r="K1055" s="180"/>
      <c r="L1055" s="180"/>
      <c r="M1055" s="180"/>
      <c r="N1055" s="180"/>
      <c r="O1055" s="180"/>
      <c r="P1055" s="180"/>
      <c r="Q1055" s="180"/>
      <c r="R1055" s="180"/>
      <c r="V1055" s="133"/>
      <c r="AC1055" s="211" t="s">
        <v>20</v>
      </c>
      <c r="AD1055" s="180">
        <f t="shared" si="402"/>
        <v>0</v>
      </c>
      <c r="AE1055" s="180">
        <f t="shared" si="403"/>
        <v>0</v>
      </c>
      <c r="AF1055" s="180">
        <f t="shared" si="404"/>
        <v>0</v>
      </c>
      <c r="AG1055" s="180">
        <f t="shared" si="405"/>
        <v>0</v>
      </c>
      <c r="AH1055" s="180">
        <f t="shared" si="406"/>
        <v>178</v>
      </c>
      <c r="AI1055" s="180">
        <f t="shared" si="407"/>
        <v>76</v>
      </c>
      <c r="AJ1055" s="180">
        <f t="shared" si="408"/>
        <v>103</v>
      </c>
      <c r="AK1055" s="180">
        <f t="shared" si="409"/>
        <v>148</v>
      </c>
      <c r="AL1055" s="180">
        <f t="shared" si="410"/>
        <v>146</v>
      </c>
      <c r="AM1055" s="180">
        <f t="shared" si="411"/>
        <v>42</v>
      </c>
      <c r="AN1055" s="180">
        <f t="shared" si="412"/>
        <v>49</v>
      </c>
      <c r="AO1055" s="180">
        <f t="shared" si="413"/>
        <v>103</v>
      </c>
      <c r="AP1055" s="180">
        <f t="shared" si="414"/>
        <v>29</v>
      </c>
      <c r="AQ1055" s="180">
        <f t="shared" si="415"/>
        <v>2</v>
      </c>
      <c r="AR1055" s="180">
        <f t="shared" si="416"/>
        <v>69</v>
      </c>
      <c r="AS1055" s="210">
        <f t="shared" si="417"/>
        <v>945</v>
      </c>
    </row>
    <row r="1056" spans="1:45" ht="15.75" customHeight="1" x14ac:dyDescent="0.3">
      <c r="A1056" s="179" t="s">
        <v>775</v>
      </c>
      <c r="D1056" s="180"/>
      <c r="E1056" s="180"/>
      <c r="F1056" s="180"/>
      <c r="G1056" s="180"/>
      <c r="H1056" s="180"/>
      <c r="I1056" s="180"/>
      <c r="J1056" s="180"/>
      <c r="K1056" s="180"/>
      <c r="L1056" s="180"/>
      <c r="M1056" s="180"/>
      <c r="N1056" s="180"/>
      <c r="O1056" s="180"/>
      <c r="P1056" s="180"/>
      <c r="Q1056" s="180"/>
      <c r="R1056" s="180"/>
      <c r="V1056" s="133"/>
      <c r="AC1056" s="211" t="s">
        <v>21</v>
      </c>
      <c r="AD1056" s="180">
        <f t="shared" si="402"/>
        <v>0</v>
      </c>
      <c r="AE1056" s="180">
        <f t="shared" si="403"/>
        <v>0</v>
      </c>
      <c r="AF1056" s="180">
        <f t="shared" si="404"/>
        <v>0</v>
      </c>
      <c r="AG1056" s="180">
        <f t="shared" si="405"/>
        <v>0</v>
      </c>
      <c r="AH1056" s="180">
        <f t="shared" si="406"/>
        <v>200</v>
      </c>
      <c r="AI1056" s="180">
        <f t="shared" si="407"/>
        <v>38</v>
      </c>
      <c r="AJ1056" s="180">
        <f t="shared" si="408"/>
        <v>23</v>
      </c>
      <c r="AK1056" s="180">
        <f t="shared" si="409"/>
        <v>36</v>
      </c>
      <c r="AL1056" s="180">
        <f t="shared" si="410"/>
        <v>37</v>
      </c>
      <c r="AM1056" s="180">
        <f t="shared" si="411"/>
        <v>12</v>
      </c>
      <c r="AN1056" s="180">
        <f t="shared" si="412"/>
        <v>14</v>
      </c>
      <c r="AO1056" s="180">
        <f t="shared" si="413"/>
        <v>26</v>
      </c>
      <c r="AP1056" s="180">
        <f t="shared" si="414"/>
        <v>13</v>
      </c>
      <c r="AQ1056" s="180">
        <f t="shared" si="415"/>
        <v>65</v>
      </c>
      <c r="AR1056" s="180">
        <f t="shared" si="416"/>
        <v>31</v>
      </c>
      <c r="AS1056" s="210">
        <f t="shared" si="417"/>
        <v>495</v>
      </c>
    </row>
    <row r="1057" spans="1:45" ht="15.75" customHeight="1" thickBot="1" x14ac:dyDescent="0.35">
      <c r="A1057" s="194" t="s">
        <v>776</v>
      </c>
      <c r="B1057" s="135"/>
      <c r="C1057" s="135"/>
      <c r="D1057" s="195"/>
      <c r="E1057" s="195"/>
      <c r="F1057" s="195"/>
      <c r="G1057" s="195"/>
      <c r="H1057" s="195"/>
      <c r="I1057" s="195"/>
      <c r="J1057" s="195"/>
      <c r="K1057" s="195"/>
      <c r="L1057" s="195"/>
      <c r="M1057" s="195"/>
      <c r="N1057" s="195"/>
      <c r="O1057" s="195"/>
      <c r="P1057" s="195"/>
      <c r="Q1057" s="195"/>
      <c r="R1057" s="195"/>
      <c r="S1057" s="135"/>
      <c r="T1057" s="135"/>
      <c r="U1057" s="135"/>
      <c r="V1057" s="136"/>
      <c r="AC1057" s="211" t="s">
        <v>22</v>
      </c>
      <c r="AD1057" s="180">
        <f t="shared" si="402"/>
        <v>0</v>
      </c>
      <c r="AE1057" s="180">
        <f t="shared" si="403"/>
        <v>0</v>
      </c>
      <c r="AF1057" s="180">
        <f t="shared" si="404"/>
        <v>0</v>
      </c>
      <c r="AG1057" s="180">
        <f t="shared" si="405"/>
        <v>0</v>
      </c>
      <c r="AH1057" s="180">
        <f t="shared" si="406"/>
        <v>243</v>
      </c>
      <c r="AI1057" s="180">
        <f t="shared" si="407"/>
        <v>51</v>
      </c>
      <c r="AJ1057" s="180">
        <f t="shared" si="408"/>
        <v>72</v>
      </c>
      <c r="AK1057" s="180">
        <f t="shared" si="409"/>
        <v>106</v>
      </c>
      <c r="AL1057" s="180">
        <f t="shared" si="410"/>
        <v>109</v>
      </c>
      <c r="AM1057" s="180">
        <f t="shared" si="411"/>
        <v>30</v>
      </c>
      <c r="AN1057" s="180">
        <f t="shared" si="412"/>
        <v>36</v>
      </c>
      <c r="AO1057" s="180">
        <f t="shared" si="413"/>
        <v>69</v>
      </c>
      <c r="AP1057" s="180">
        <f t="shared" si="414"/>
        <v>15</v>
      </c>
      <c r="AQ1057" s="180">
        <f t="shared" si="415"/>
        <v>66</v>
      </c>
      <c r="AR1057" s="180">
        <f t="shared" si="416"/>
        <v>36</v>
      </c>
      <c r="AS1057" s="210">
        <f t="shared" si="417"/>
        <v>833</v>
      </c>
    </row>
    <row r="1058" spans="1:45" ht="15.75" customHeight="1" thickBot="1" x14ac:dyDescent="0.35">
      <c r="A1058" s="179"/>
      <c r="D1058" s="180"/>
      <c r="E1058" s="180"/>
      <c r="F1058" s="180"/>
      <c r="G1058" s="180"/>
      <c r="H1058" s="180"/>
      <c r="I1058" s="180"/>
      <c r="J1058" s="180"/>
      <c r="K1058" s="180"/>
      <c r="L1058" s="180"/>
      <c r="M1058" s="180"/>
      <c r="N1058" s="180"/>
      <c r="O1058" s="180"/>
      <c r="P1058" s="180"/>
      <c r="Q1058" s="180"/>
      <c r="R1058" s="180"/>
      <c r="S1058" s="359"/>
      <c r="V1058" s="223"/>
      <c r="AC1058" s="95"/>
      <c r="AD1058" s="180"/>
      <c r="AE1058" s="180"/>
      <c r="AF1058" s="180"/>
      <c r="AG1058" s="180"/>
      <c r="AH1058" s="180"/>
      <c r="AI1058" s="180"/>
      <c r="AJ1058" s="180"/>
      <c r="AK1058" s="180"/>
      <c r="AL1058" s="180"/>
      <c r="AM1058" s="180"/>
      <c r="AN1058" s="180"/>
      <c r="AO1058" s="180"/>
      <c r="AP1058" s="180"/>
      <c r="AQ1058" s="180"/>
      <c r="AR1058" s="180"/>
      <c r="AS1058" s="210"/>
    </row>
    <row r="1059" spans="1:45" ht="15.75" customHeight="1" thickBot="1" x14ac:dyDescent="0.35">
      <c r="A1059" s="192"/>
      <c r="B1059" s="412" t="s">
        <v>777</v>
      </c>
      <c r="C1059" s="413"/>
      <c r="D1059" s="413"/>
      <c r="E1059" s="413"/>
      <c r="F1059" s="413"/>
      <c r="G1059" s="413"/>
      <c r="H1059" s="413"/>
      <c r="I1059" s="413"/>
      <c r="J1059" s="413"/>
      <c r="K1059" s="413"/>
      <c r="L1059" s="413"/>
      <c r="M1059" s="413"/>
      <c r="N1059" s="413"/>
      <c r="O1059" s="413"/>
      <c r="P1059" s="413"/>
      <c r="Q1059" s="351"/>
      <c r="R1059" s="351"/>
      <c r="S1059" s="223"/>
      <c r="T1059" s="359"/>
      <c r="U1059" s="359"/>
      <c r="V1059" s="358"/>
      <c r="AC1059" s="220" t="s">
        <v>641</v>
      </c>
      <c r="AD1059" s="195">
        <f>SUM(AD1046:AD1057)</f>
        <v>0</v>
      </c>
      <c r="AE1059" s="195">
        <f t="shared" ref="AE1059:AS1059" si="418">SUM(AE1046:AE1057)</f>
        <v>0</v>
      </c>
      <c r="AF1059" s="195">
        <f t="shared" si="418"/>
        <v>0</v>
      </c>
      <c r="AG1059" s="195">
        <f t="shared" si="418"/>
        <v>0</v>
      </c>
      <c r="AH1059" s="195">
        <f t="shared" si="418"/>
        <v>887</v>
      </c>
      <c r="AI1059" s="195">
        <f t="shared" si="418"/>
        <v>1457</v>
      </c>
      <c r="AJ1059" s="195">
        <f t="shared" si="418"/>
        <v>2448</v>
      </c>
      <c r="AK1059" s="195">
        <f t="shared" si="418"/>
        <v>3014</v>
      </c>
      <c r="AL1059" s="195">
        <f t="shared" si="418"/>
        <v>2768</v>
      </c>
      <c r="AM1059" s="195">
        <f t="shared" si="418"/>
        <v>825</v>
      </c>
      <c r="AN1059" s="195">
        <f t="shared" si="418"/>
        <v>972</v>
      </c>
      <c r="AO1059" s="195">
        <f t="shared" si="418"/>
        <v>1904</v>
      </c>
      <c r="AP1059" s="195">
        <f t="shared" si="418"/>
        <v>337</v>
      </c>
      <c r="AQ1059" s="195">
        <f t="shared" si="418"/>
        <v>830</v>
      </c>
      <c r="AR1059" s="195">
        <f t="shared" si="418"/>
        <v>799</v>
      </c>
      <c r="AS1059" s="221">
        <f t="shared" si="418"/>
        <v>16241</v>
      </c>
    </row>
    <row r="1060" spans="1:45" ht="15.75" customHeight="1" thickBot="1" x14ac:dyDescent="0.35">
      <c r="A1060" s="192"/>
      <c r="B1060" s="403" t="s">
        <v>730</v>
      </c>
      <c r="C1060" s="404"/>
      <c r="D1060" s="404"/>
      <c r="E1060" s="404"/>
      <c r="F1060" s="405"/>
      <c r="G1060" s="403" t="s">
        <v>731</v>
      </c>
      <c r="H1060" s="404"/>
      <c r="I1060" s="404"/>
      <c r="J1060" s="404"/>
      <c r="K1060" s="404"/>
      <c r="L1060" s="404"/>
      <c r="M1060" s="406" t="s">
        <v>732</v>
      </c>
      <c r="N1060" s="407"/>
      <c r="O1060" s="407"/>
      <c r="P1060" s="429"/>
      <c r="Q1060" s="429"/>
      <c r="R1060" s="430"/>
      <c r="S1060" s="403" t="s">
        <v>733</v>
      </c>
      <c r="T1060" s="431"/>
      <c r="U1060" s="432"/>
      <c r="V1060" s="133"/>
    </row>
    <row r="1061" spans="1:45" ht="15.75" customHeight="1" x14ac:dyDescent="0.3">
      <c r="A1061" s="213"/>
      <c r="B1061" s="189" t="s">
        <v>639</v>
      </c>
      <c r="C1061" s="182"/>
      <c r="D1061" s="182" t="s">
        <v>734</v>
      </c>
      <c r="E1061" s="182" t="s">
        <v>735</v>
      </c>
      <c r="F1061" s="224" t="s">
        <v>736</v>
      </c>
      <c r="G1061" s="189" t="s">
        <v>737</v>
      </c>
      <c r="H1061" s="182"/>
      <c r="I1061" s="182"/>
      <c r="J1061" s="182" t="s">
        <v>738</v>
      </c>
      <c r="K1061" s="182" t="s">
        <v>739</v>
      </c>
      <c r="L1061" s="182" t="s">
        <v>740</v>
      </c>
      <c r="M1061" s="409" t="str">
        <f>+M1034</f>
        <v>(NE)* per WAPA</v>
      </c>
      <c r="N1061" s="410"/>
      <c r="O1061" s="410"/>
      <c r="P1061" s="363"/>
      <c r="Q1061" s="227"/>
      <c r="R1061" s="234"/>
      <c r="S1061" s="189" t="s">
        <v>742</v>
      </c>
      <c r="T1061" s="228" t="s">
        <v>743</v>
      </c>
      <c r="U1061" s="229" t="s">
        <v>744</v>
      </c>
      <c r="V1061" s="133"/>
    </row>
    <row r="1062" spans="1:45" ht="15.75" customHeight="1" x14ac:dyDescent="0.3">
      <c r="A1062" s="213"/>
      <c r="B1062" s="230" t="s">
        <v>745</v>
      </c>
      <c r="C1062" s="231" t="s">
        <v>746</v>
      </c>
      <c r="D1062" s="231" t="s">
        <v>747</v>
      </c>
      <c r="E1062" s="182" t="s">
        <v>658</v>
      </c>
      <c r="F1062" s="232" t="s">
        <v>748</v>
      </c>
      <c r="G1062" s="189" t="s">
        <v>640</v>
      </c>
      <c r="H1062" s="182" t="s">
        <v>749</v>
      </c>
      <c r="I1062" s="182" t="s">
        <v>750</v>
      </c>
      <c r="J1062" s="231" t="s">
        <v>751</v>
      </c>
      <c r="K1062" s="182" t="s">
        <v>723</v>
      </c>
      <c r="L1062" s="231" t="s">
        <v>752</v>
      </c>
      <c r="M1062" s="233" t="s">
        <v>753</v>
      </c>
      <c r="N1062" s="226" t="s">
        <v>754</v>
      </c>
      <c r="O1062" s="227" t="s">
        <v>641</v>
      </c>
      <c r="P1062" s="233" t="s">
        <v>755</v>
      </c>
      <c r="Q1062" s="226" t="s">
        <v>755</v>
      </c>
      <c r="R1062" s="234" t="s">
        <v>756</v>
      </c>
      <c r="S1062" s="189" t="s">
        <v>757</v>
      </c>
      <c r="T1062" s="182" t="s">
        <v>758</v>
      </c>
      <c r="U1062" s="224" t="s">
        <v>759</v>
      </c>
      <c r="V1062" s="133"/>
    </row>
    <row r="1063" spans="1:45" ht="15.75" customHeight="1" x14ac:dyDescent="0.3">
      <c r="A1063" s="213"/>
      <c r="B1063" s="235" t="s">
        <v>760</v>
      </c>
      <c r="C1063" s="215">
        <v>5.0000000000000001E-3</v>
      </c>
      <c r="D1063" s="215">
        <v>4.2999999999999997E-2</v>
      </c>
      <c r="E1063" s="182" t="s">
        <v>761</v>
      </c>
      <c r="F1063" s="236" t="s">
        <v>762</v>
      </c>
      <c r="G1063" s="189" t="s">
        <v>763</v>
      </c>
      <c r="H1063" s="182" t="s">
        <v>658</v>
      </c>
      <c r="I1063" s="182" t="s">
        <v>658</v>
      </c>
      <c r="J1063" s="182" t="s">
        <v>658</v>
      </c>
      <c r="K1063" s="182" t="s">
        <v>743</v>
      </c>
      <c r="L1063" s="182" t="s">
        <v>764</v>
      </c>
      <c r="M1063" s="237" t="s">
        <v>648</v>
      </c>
      <c r="N1063" s="227" t="s">
        <v>765</v>
      </c>
      <c r="O1063" s="227" t="s">
        <v>766</v>
      </c>
      <c r="P1063" s="237" t="s">
        <v>767</v>
      </c>
      <c r="Q1063" s="226" t="s">
        <v>767</v>
      </c>
      <c r="R1063" s="234" t="s">
        <v>766</v>
      </c>
      <c r="S1063" s="189" t="s">
        <v>658</v>
      </c>
      <c r="T1063" s="182" t="s">
        <v>658</v>
      </c>
      <c r="U1063" s="224" t="s">
        <v>658</v>
      </c>
      <c r="V1063" s="133"/>
    </row>
    <row r="1064" spans="1:45" ht="15.75" customHeight="1" x14ac:dyDescent="0.3">
      <c r="A1064" s="213" t="s">
        <v>768</v>
      </c>
      <c r="B1064" s="189" t="s">
        <v>778</v>
      </c>
      <c r="C1064" s="182" t="s">
        <v>778</v>
      </c>
      <c r="D1064" s="182" t="s">
        <v>778</v>
      </c>
      <c r="E1064" s="182" t="s">
        <v>778</v>
      </c>
      <c r="F1064" s="182" t="s">
        <v>778</v>
      </c>
      <c r="G1064" s="189" t="s">
        <v>778</v>
      </c>
      <c r="H1064" s="182" t="s">
        <v>778</v>
      </c>
      <c r="I1064" s="182" t="s">
        <v>778</v>
      </c>
      <c r="J1064" s="182" t="s">
        <v>778</v>
      </c>
      <c r="K1064" s="182" t="s">
        <v>778</v>
      </c>
      <c r="L1064" s="182" t="s">
        <v>778</v>
      </c>
      <c r="M1064" s="237" t="s">
        <v>778</v>
      </c>
      <c r="N1064" s="227" t="s">
        <v>779</v>
      </c>
      <c r="O1064" s="227" t="s">
        <v>778</v>
      </c>
      <c r="P1064" s="237" t="s">
        <v>365</v>
      </c>
      <c r="Q1064" s="226" t="s">
        <v>705</v>
      </c>
      <c r="R1064" s="234" t="s">
        <v>705</v>
      </c>
      <c r="S1064" s="189" t="s">
        <v>778</v>
      </c>
      <c r="T1064" s="182" t="s">
        <v>778</v>
      </c>
      <c r="U1064" s="224" t="s">
        <v>778</v>
      </c>
      <c r="V1064" s="133"/>
    </row>
    <row r="1065" spans="1:45" ht="15.75" customHeight="1" x14ac:dyDescent="0.3">
      <c r="A1065" s="213" t="s">
        <v>666</v>
      </c>
      <c r="B1065" s="189" t="s">
        <v>666</v>
      </c>
      <c r="C1065" s="182" t="s">
        <v>666</v>
      </c>
      <c r="D1065" s="182" t="s">
        <v>666</v>
      </c>
      <c r="E1065" s="182" t="s">
        <v>769</v>
      </c>
      <c r="F1065" s="224" t="s">
        <v>666</v>
      </c>
      <c r="G1065" s="189" t="s">
        <v>666</v>
      </c>
      <c r="H1065" s="182" t="s">
        <v>770</v>
      </c>
      <c r="I1065" s="182" t="s">
        <v>770</v>
      </c>
      <c r="J1065" s="182" t="s">
        <v>666</v>
      </c>
      <c r="K1065" s="182" t="s">
        <v>666</v>
      </c>
      <c r="L1065" s="182" t="s">
        <v>666</v>
      </c>
      <c r="M1065" s="237" t="s">
        <v>666</v>
      </c>
      <c r="N1065" s="227" t="s">
        <v>666</v>
      </c>
      <c r="O1065" s="227" t="s">
        <v>666</v>
      </c>
      <c r="P1065" s="237" t="s">
        <v>666</v>
      </c>
      <c r="Q1065" s="227" t="s">
        <v>666</v>
      </c>
      <c r="R1065" s="234" t="s">
        <v>666</v>
      </c>
      <c r="S1065" s="189" t="s">
        <v>666</v>
      </c>
      <c r="T1065" s="182" t="s">
        <v>666</v>
      </c>
      <c r="U1065" s="224" t="s">
        <v>666</v>
      </c>
      <c r="V1065" s="133"/>
    </row>
    <row r="1066" spans="1:45" ht="15.75" customHeight="1" x14ac:dyDescent="0.3">
      <c r="A1066" s="192" t="s">
        <v>8</v>
      </c>
      <c r="B1066" s="189">
        <f>+B1039/($B$10*24)</f>
        <v>175.18951612903226</v>
      </c>
      <c r="C1066" s="182">
        <f t="shared" ref="C1066:L1066" si="419">+C1039/($B$10*24)</f>
        <v>0</v>
      </c>
      <c r="D1066" s="182">
        <f t="shared" si="419"/>
        <v>7.491935483870968</v>
      </c>
      <c r="E1066" s="182">
        <f t="shared" si="419"/>
        <v>175.18951612903226</v>
      </c>
      <c r="F1066" s="224">
        <f t="shared" si="419"/>
        <v>182.68145161290323</v>
      </c>
      <c r="G1066" s="182">
        <f t="shared" si="419"/>
        <v>0</v>
      </c>
      <c r="H1066" s="182">
        <f t="shared" si="419"/>
        <v>12.131720430107526</v>
      </c>
      <c r="I1066" s="182">
        <f t="shared" si="419"/>
        <v>0</v>
      </c>
      <c r="J1066" s="182">
        <f t="shared" si="419"/>
        <v>12.131720430107526</v>
      </c>
      <c r="K1066" s="182">
        <f t="shared" si="419"/>
        <v>0</v>
      </c>
      <c r="L1066" s="182">
        <f t="shared" si="419"/>
        <v>0</v>
      </c>
      <c r="M1066" s="237">
        <f>+M1039/($B$10*24)</f>
        <v>170.54973118279571</v>
      </c>
      <c r="N1066" s="227">
        <f t="shared" ref="N1066" si="420">+N1039/($B$10*24)</f>
        <v>0</v>
      </c>
      <c r="O1066" s="227">
        <f>+O1039/($B$10*24)</f>
        <v>170.54973118279571</v>
      </c>
      <c r="P1066" s="254">
        <f>P1039</f>
        <v>0.2</v>
      </c>
      <c r="Q1066" s="227">
        <f>-O1066*P1066</f>
        <v>-34.109946236559146</v>
      </c>
      <c r="R1066" s="234">
        <f>O1066+Q1066</f>
        <v>136.43978494623656</v>
      </c>
      <c r="S1066" s="255">
        <f>+S1039/($B$10*24)</f>
        <v>34.109946236559146</v>
      </c>
      <c r="T1066" s="182">
        <f>+IF(S1066&gt;=0,ABS(S1066),"")</f>
        <v>34.109946236559146</v>
      </c>
      <c r="U1066" s="224" t="str">
        <f>+IF(S1066&lt;=0,ABS(S1066),"")</f>
        <v/>
      </c>
      <c r="V1066" s="133"/>
    </row>
    <row r="1067" spans="1:45" ht="15.75" customHeight="1" x14ac:dyDescent="0.3">
      <c r="A1067" s="192" t="s">
        <v>9</v>
      </c>
      <c r="B1067" s="189">
        <f>+B1040/($C$10*24)</f>
        <v>198.61206896551724</v>
      </c>
      <c r="C1067" s="182">
        <f t="shared" ref="C1067:N1067" si="421">+C1040/($C$10*24)</f>
        <v>0</v>
      </c>
      <c r="D1067" s="182">
        <f t="shared" si="421"/>
        <v>8.5143678160919531</v>
      </c>
      <c r="E1067" s="182">
        <f t="shared" si="421"/>
        <v>198.61206896551724</v>
      </c>
      <c r="F1067" s="224">
        <f t="shared" si="421"/>
        <v>207.12643678160919</v>
      </c>
      <c r="G1067" s="182">
        <f t="shared" si="421"/>
        <v>0</v>
      </c>
      <c r="H1067" s="182">
        <f t="shared" si="421"/>
        <v>14.751436781609195</v>
      </c>
      <c r="I1067" s="182">
        <f t="shared" si="421"/>
        <v>0</v>
      </c>
      <c r="J1067" s="182">
        <f t="shared" si="421"/>
        <v>14.751436781609195</v>
      </c>
      <c r="K1067" s="182">
        <f t="shared" si="421"/>
        <v>0</v>
      </c>
      <c r="L1067" s="182">
        <f t="shared" si="421"/>
        <v>0</v>
      </c>
      <c r="M1067" s="237">
        <f t="shared" si="421"/>
        <v>192.375</v>
      </c>
      <c r="N1067" s="227">
        <f t="shared" si="421"/>
        <v>0</v>
      </c>
      <c r="O1067" s="227">
        <f t="shared" ref="O1067:O1077" si="422">+O1040/($B$10*24)</f>
        <v>179.96370967741936</v>
      </c>
      <c r="P1067" s="254">
        <f t="shared" ref="P1067:P1077" si="423">P1040</f>
        <v>0.25</v>
      </c>
      <c r="Q1067" s="227">
        <f t="shared" ref="Q1067:Q1077" si="424">-O1067*P1067</f>
        <v>-44.99092741935484</v>
      </c>
      <c r="R1067" s="234">
        <f t="shared" ref="R1067:R1077" si="425">O1067+Q1067</f>
        <v>134.97278225806451</v>
      </c>
      <c r="S1067" s="255">
        <f>+S1040/($C$10*24)</f>
        <v>48.09375</v>
      </c>
      <c r="T1067" s="182">
        <f t="shared" ref="T1067:T1077" si="426">+IF(S1067&gt;=0,ABS(S1067),"")</f>
        <v>48.09375</v>
      </c>
      <c r="U1067" s="224" t="str">
        <f t="shared" ref="U1067:U1077" si="427">+IF(S1067&lt;=0,ABS(S1067),"")</f>
        <v/>
      </c>
      <c r="V1067" s="133"/>
    </row>
    <row r="1068" spans="1:45" ht="15.75" customHeight="1" x14ac:dyDescent="0.3">
      <c r="A1068" s="192" t="s">
        <v>10</v>
      </c>
      <c r="B1068" s="189">
        <f>+B1041/($D$10*24)</f>
        <v>241.28091397849462</v>
      </c>
      <c r="C1068" s="182">
        <f t="shared" ref="C1068:N1068" si="428">+C1041/($D$10*24)</f>
        <v>0</v>
      </c>
      <c r="D1068" s="182">
        <f t="shared" si="428"/>
        <v>10.120967741935484</v>
      </c>
      <c r="E1068" s="182">
        <f t="shared" si="428"/>
        <v>241.28091397849462</v>
      </c>
      <c r="F1068" s="224">
        <f t="shared" si="428"/>
        <v>251.40188172043011</v>
      </c>
      <c r="G1068" s="182">
        <f t="shared" si="428"/>
        <v>4.1079551255560673</v>
      </c>
      <c r="H1068" s="182">
        <f>+H1041/($D$10*24)</f>
        <v>21.280913978494624</v>
      </c>
      <c r="I1068" s="182">
        <f t="shared" si="428"/>
        <v>0</v>
      </c>
      <c r="J1068" s="182">
        <f t="shared" si="428"/>
        <v>21.280913978494624</v>
      </c>
      <c r="K1068" s="182">
        <f t="shared" si="428"/>
        <v>0</v>
      </c>
      <c r="L1068" s="182">
        <f t="shared" si="428"/>
        <v>0</v>
      </c>
      <c r="M1068" s="237">
        <f t="shared" si="428"/>
        <v>226.0130126163794</v>
      </c>
      <c r="N1068" s="227">
        <f t="shared" si="428"/>
        <v>0</v>
      </c>
      <c r="O1068" s="227">
        <f t="shared" si="422"/>
        <v>226.0130126163794</v>
      </c>
      <c r="P1068" s="254">
        <f t="shared" si="423"/>
        <v>0.3</v>
      </c>
      <c r="Q1068" s="227">
        <f t="shared" si="424"/>
        <v>-67.803903784913814</v>
      </c>
      <c r="R1068" s="234">
        <f t="shared" si="425"/>
        <v>158.20910883146558</v>
      </c>
      <c r="S1068" s="255">
        <f>+S1041/($D$10*24)</f>
        <v>67.803903784913828</v>
      </c>
      <c r="T1068" s="182">
        <f t="shared" si="426"/>
        <v>67.803903784913828</v>
      </c>
      <c r="U1068" s="224" t="str">
        <f t="shared" si="427"/>
        <v/>
      </c>
      <c r="V1068" s="133"/>
    </row>
    <row r="1069" spans="1:45" ht="15.75" customHeight="1" x14ac:dyDescent="0.3">
      <c r="A1069" s="192" t="s">
        <v>12</v>
      </c>
      <c r="B1069" s="189">
        <f>+B1042/($F$10*24)</f>
        <v>369.20277777777778</v>
      </c>
      <c r="C1069" s="182">
        <f t="shared" ref="C1069:N1069" si="429">+C1042/($F$10*24)</f>
        <v>0</v>
      </c>
      <c r="D1069" s="182">
        <f t="shared" si="429"/>
        <v>16.108333333333334</v>
      </c>
      <c r="E1069" s="182">
        <f t="shared" si="429"/>
        <v>369.20277777777778</v>
      </c>
      <c r="F1069" s="224">
        <f t="shared" si="429"/>
        <v>385.31111111111113</v>
      </c>
      <c r="G1069" s="182">
        <f t="shared" si="429"/>
        <v>0</v>
      </c>
      <c r="H1069" s="182">
        <f t="shared" si="429"/>
        <v>22.120833333333334</v>
      </c>
      <c r="I1069" s="182">
        <f t="shared" si="429"/>
        <v>0</v>
      </c>
      <c r="J1069" s="182">
        <f t="shared" si="429"/>
        <v>22.120833333333334</v>
      </c>
      <c r="K1069" s="182">
        <f t="shared" si="429"/>
        <v>0</v>
      </c>
      <c r="L1069" s="182">
        <f t="shared" si="429"/>
        <v>0</v>
      </c>
      <c r="M1069" s="237">
        <f t="shared" si="429"/>
        <v>363.19027777777779</v>
      </c>
      <c r="N1069" s="227">
        <f t="shared" si="429"/>
        <v>-31</v>
      </c>
      <c r="O1069" s="227">
        <f t="shared" si="422"/>
        <v>321.47446236559142</v>
      </c>
      <c r="P1069" s="254">
        <f t="shared" si="423"/>
        <v>0.35</v>
      </c>
      <c r="Q1069" s="227">
        <f t="shared" si="424"/>
        <v>-112.51606182795699</v>
      </c>
      <c r="R1069" s="234">
        <f t="shared" si="425"/>
        <v>208.95840053763442</v>
      </c>
      <c r="S1069" s="255">
        <f>+S1042/($F$10*24)</f>
        <v>147.26659722222223</v>
      </c>
      <c r="T1069" s="182">
        <f t="shared" si="426"/>
        <v>147.26659722222223</v>
      </c>
      <c r="U1069" s="224" t="str">
        <f t="shared" si="427"/>
        <v/>
      </c>
      <c r="V1069" s="133"/>
    </row>
    <row r="1070" spans="1:45" ht="15.75" customHeight="1" x14ac:dyDescent="0.3">
      <c r="A1070" s="192" t="s">
        <v>13</v>
      </c>
      <c r="B1070" s="189">
        <f>+B1043/($G$10*24)</f>
        <v>410.09005376344084</v>
      </c>
      <c r="C1070" s="182">
        <f t="shared" ref="C1070:N1070" si="430">+C1043/($G$10*24)</f>
        <v>0</v>
      </c>
      <c r="D1070" s="182">
        <f t="shared" si="430"/>
        <v>18.099462365591396</v>
      </c>
      <c r="E1070" s="182">
        <f t="shared" si="430"/>
        <v>410.09005376344084</v>
      </c>
      <c r="F1070" s="224">
        <f t="shared" si="430"/>
        <v>428.18951612903226</v>
      </c>
      <c r="G1070" s="182">
        <f t="shared" si="430"/>
        <v>2.6173428624676918</v>
      </c>
      <c r="H1070" s="182">
        <f t="shared" si="430"/>
        <v>19.153225806451612</v>
      </c>
      <c r="I1070" s="182">
        <f t="shared" si="430"/>
        <v>0</v>
      </c>
      <c r="J1070" s="182">
        <f t="shared" si="430"/>
        <v>19.153225806451612</v>
      </c>
      <c r="K1070" s="182">
        <f t="shared" si="430"/>
        <v>0</v>
      </c>
      <c r="L1070" s="182">
        <f t="shared" si="430"/>
        <v>0</v>
      </c>
      <c r="M1070" s="237">
        <f t="shared" si="430"/>
        <v>406.41894746011297</v>
      </c>
      <c r="N1070" s="227">
        <f t="shared" si="430"/>
        <v>0</v>
      </c>
      <c r="O1070" s="227">
        <f t="shared" si="422"/>
        <v>406.41894746011297</v>
      </c>
      <c r="P1070" s="254">
        <f t="shared" si="423"/>
        <v>0.35</v>
      </c>
      <c r="Q1070" s="227">
        <f t="shared" si="424"/>
        <v>-142.24663161103953</v>
      </c>
      <c r="R1070" s="234">
        <f t="shared" si="425"/>
        <v>264.17231584907347</v>
      </c>
      <c r="S1070" s="255">
        <f>+S1043/($G$10*24)</f>
        <v>142.24663161103953</v>
      </c>
      <c r="T1070" s="182">
        <f t="shared" si="426"/>
        <v>142.24663161103953</v>
      </c>
      <c r="U1070" s="224" t="str">
        <f t="shared" si="427"/>
        <v/>
      </c>
      <c r="V1070" s="133"/>
    </row>
    <row r="1071" spans="1:45" ht="15.75" customHeight="1" x14ac:dyDescent="0.3">
      <c r="A1071" s="192" t="s">
        <v>14</v>
      </c>
      <c r="B1071" s="189">
        <f>+B1044/($H$10*24)</f>
        <v>280.03333333333336</v>
      </c>
      <c r="C1071" s="182">
        <f t="shared" ref="C1071:N1071" si="431">+C1044/($H$10*24)</f>
        <v>0</v>
      </c>
      <c r="D1071" s="182">
        <f t="shared" si="431"/>
        <v>11.951388888888889</v>
      </c>
      <c r="E1071" s="182">
        <f t="shared" si="431"/>
        <v>280.03333333333336</v>
      </c>
      <c r="F1071" s="224">
        <f t="shared" si="431"/>
        <v>291.98472222222222</v>
      </c>
      <c r="G1071" s="182">
        <f t="shared" si="431"/>
        <v>16.365011303692548</v>
      </c>
      <c r="H1071" s="182">
        <f t="shared" si="431"/>
        <v>17.633333333333333</v>
      </c>
      <c r="I1071" s="182">
        <f t="shared" si="431"/>
        <v>0</v>
      </c>
      <c r="J1071" s="182">
        <f t="shared" si="431"/>
        <v>17.633333333333333</v>
      </c>
      <c r="K1071" s="182">
        <f t="shared" si="431"/>
        <v>0</v>
      </c>
      <c r="L1071" s="182">
        <f t="shared" si="431"/>
        <v>0</v>
      </c>
      <c r="M1071" s="237">
        <f t="shared" si="431"/>
        <v>257.98637758519635</v>
      </c>
      <c r="N1071" s="227">
        <f t="shared" si="431"/>
        <v>65.666666666666671</v>
      </c>
      <c r="O1071" s="227">
        <f t="shared" si="422"/>
        <v>313.21262346954484</v>
      </c>
      <c r="P1071" s="254">
        <f t="shared" si="423"/>
        <v>7.4999999999999997E-2</v>
      </c>
      <c r="Q1071" s="227">
        <f t="shared" si="424"/>
        <v>-23.490946760215863</v>
      </c>
      <c r="R1071" s="234">
        <f t="shared" si="425"/>
        <v>289.72167670932896</v>
      </c>
      <c r="S1071" s="255">
        <f>+S1044/($H$10*24)</f>
        <v>-41.392688347776939</v>
      </c>
      <c r="T1071" s="182" t="str">
        <f t="shared" si="426"/>
        <v/>
      </c>
      <c r="U1071" s="224">
        <f t="shared" si="427"/>
        <v>41.392688347776939</v>
      </c>
      <c r="V1071" s="133"/>
    </row>
    <row r="1072" spans="1:45" ht="15.75" customHeight="1" x14ac:dyDescent="0.3">
      <c r="A1072" s="192" t="s">
        <v>16</v>
      </c>
      <c r="B1072" s="189">
        <f>+B1045/($J$10*24)</f>
        <v>210.05241935483872</v>
      </c>
      <c r="C1072" s="182">
        <f t="shared" ref="C1072:N1072" si="432">+C1045/($J$10*24)</f>
        <v>0</v>
      </c>
      <c r="D1072" s="182">
        <f t="shared" si="432"/>
        <v>8.6693548387096779</v>
      </c>
      <c r="E1072" s="182">
        <f t="shared" si="432"/>
        <v>210.05241935483872</v>
      </c>
      <c r="F1072" s="224">
        <f t="shared" si="432"/>
        <v>218.72177419354838</v>
      </c>
      <c r="G1072" s="182">
        <f t="shared" si="432"/>
        <v>18.356704829871433</v>
      </c>
      <c r="H1072" s="182">
        <f t="shared" si="432"/>
        <v>15.618279569892474</v>
      </c>
      <c r="I1072" s="182">
        <f t="shared" si="432"/>
        <v>0</v>
      </c>
      <c r="J1072" s="182">
        <f t="shared" si="432"/>
        <v>15.618279569892474</v>
      </c>
      <c r="K1072" s="182">
        <f t="shared" si="432"/>
        <v>0</v>
      </c>
      <c r="L1072" s="182">
        <f t="shared" si="432"/>
        <v>0</v>
      </c>
      <c r="M1072" s="237">
        <f t="shared" si="432"/>
        <v>184.7467897937845</v>
      </c>
      <c r="N1072" s="227">
        <f t="shared" si="432"/>
        <v>63.333333333333336</v>
      </c>
      <c r="O1072" s="227">
        <f t="shared" si="422"/>
        <v>248.08012312711782</v>
      </c>
      <c r="P1072" s="254">
        <f t="shared" si="423"/>
        <v>0.05</v>
      </c>
      <c r="Q1072" s="227">
        <f t="shared" si="424"/>
        <v>-12.404006156355891</v>
      </c>
      <c r="R1072" s="234">
        <f t="shared" si="425"/>
        <v>235.67611697076194</v>
      </c>
      <c r="S1072" s="255">
        <f>+S1045/($J$10*24)</f>
        <v>-50.929327176977424</v>
      </c>
      <c r="T1072" s="182" t="str">
        <f t="shared" si="426"/>
        <v/>
      </c>
      <c r="U1072" s="224">
        <f t="shared" si="427"/>
        <v>50.929327176977424</v>
      </c>
      <c r="V1072" s="133"/>
    </row>
    <row r="1073" spans="1:36" ht="15.75" customHeight="1" x14ac:dyDescent="0.3">
      <c r="A1073" s="192" t="s">
        <v>17</v>
      </c>
      <c r="B1073" s="189">
        <f>+B1046/($K$10*24)</f>
        <v>179.32661290322579</v>
      </c>
      <c r="C1073" s="182">
        <f t="shared" ref="C1073:N1073" si="433">+C1046/($K$10*24)</f>
        <v>0</v>
      </c>
      <c r="D1073" s="182">
        <f t="shared" si="433"/>
        <v>7.31989247311828</v>
      </c>
      <c r="E1073" s="182">
        <f t="shared" si="433"/>
        <v>179.32661290322579</v>
      </c>
      <c r="F1073" s="224">
        <f t="shared" si="433"/>
        <v>186.64650537634409</v>
      </c>
      <c r="G1073" s="182">
        <f t="shared" si="433"/>
        <v>17.156967458427946</v>
      </c>
      <c r="H1073" s="182">
        <f t="shared" si="433"/>
        <v>13.76478494623656</v>
      </c>
      <c r="I1073" s="182">
        <f t="shared" si="433"/>
        <v>0</v>
      </c>
      <c r="J1073" s="182">
        <f t="shared" si="433"/>
        <v>13.76478494623656</v>
      </c>
      <c r="K1073" s="182">
        <f t="shared" si="433"/>
        <v>0</v>
      </c>
      <c r="L1073" s="182">
        <f t="shared" si="433"/>
        <v>0</v>
      </c>
      <c r="M1073" s="237">
        <f t="shared" si="433"/>
        <v>155.72475297167958</v>
      </c>
      <c r="N1073" s="227">
        <f t="shared" si="433"/>
        <v>79</v>
      </c>
      <c r="O1073" s="227">
        <f t="shared" si="422"/>
        <v>234.72475297167961</v>
      </c>
      <c r="P1073" s="254">
        <f t="shared" si="423"/>
        <v>0</v>
      </c>
      <c r="Q1073" s="227">
        <f t="shared" si="424"/>
        <v>0</v>
      </c>
      <c r="R1073" s="234">
        <f t="shared" si="425"/>
        <v>234.72475297167961</v>
      </c>
      <c r="S1073" s="255">
        <f>+S1046/($K$10*24)</f>
        <v>-79.000000000000014</v>
      </c>
      <c r="T1073" s="182" t="str">
        <f t="shared" si="426"/>
        <v/>
      </c>
      <c r="U1073" s="224">
        <f t="shared" si="427"/>
        <v>79.000000000000014</v>
      </c>
      <c r="V1073" s="133"/>
    </row>
    <row r="1074" spans="1:36" ht="15.75" customHeight="1" x14ac:dyDescent="0.3">
      <c r="A1074" s="192" t="s">
        <v>18</v>
      </c>
      <c r="B1074" s="189">
        <f>+B1047/($L$10*24)</f>
        <v>380.50138888888887</v>
      </c>
      <c r="C1074" s="182">
        <f t="shared" ref="C1074:N1074" si="434">+C1047/($L$10*24)</f>
        <v>0</v>
      </c>
      <c r="D1074" s="182">
        <f t="shared" si="434"/>
        <v>16.619444444444444</v>
      </c>
      <c r="E1074" s="182">
        <f t="shared" si="434"/>
        <v>380.50138888888887</v>
      </c>
      <c r="F1074" s="224">
        <f t="shared" si="434"/>
        <v>397.12083333333334</v>
      </c>
      <c r="G1074" s="182">
        <f t="shared" si="434"/>
        <v>0.46123160010047703</v>
      </c>
      <c r="H1074" s="182">
        <f t="shared" si="434"/>
        <v>14.206944444444444</v>
      </c>
      <c r="I1074" s="182">
        <f t="shared" si="434"/>
        <v>0</v>
      </c>
      <c r="J1074" s="182">
        <f t="shared" si="434"/>
        <v>14.206944444444444</v>
      </c>
      <c r="K1074" s="182">
        <f t="shared" si="434"/>
        <v>0</v>
      </c>
      <c r="L1074" s="182">
        <f t="shared" si="434"/>
        <v>0</v>
      </c>
      <c r="M1074" s="237">
        <f t="shared" si="434"/>
        <v>382.45265728878843</v>
      </c>
      <c r="N1074" s="227">
        <f t="shared" si="434"/>
        <v>0</v>
      </c>
      <c r="O1074" s="227">
        <f t="shared" si="422"/>
        <v>370.1154747956017</v>
      </c>
      <c r="P1074" s="254">
        <f t="shared" si="423"/>
        <v>0.05</v>
      </c>
      <c r="Q1074" s="227">
        <f t="shared" si="424"/>
        <v>-18.505773739780086</v>
      </c>
      <c r="R1074" s="234">
        <f t="shared" si="425"/>
        <v>351.60970105582163</v>
      </c>
      <c r="S1074" s="255">
        <f>+S1047/($L$10*24)</f>
        <v>19.122632864439421</v>
      </c>
      <c r="T1074" s="182">
        <f t="shared" si="426"/>
        <v>19.122632864439421</v>
      </c>
      <c r="U1074" s="224" t="str">
        <f t="shared" si="427"/>
        <v/>
      </c>
      <c r="V1074" s="133"/>
    </row>
    <row r="1075" spans="1:36" ht="15.75" customHeight="1" x14ac:dyDescent="0.3">
      <c r="A1075" s="192" t="s">
        <v>20</v>
      </c>
      <c r="B1075" s="189">
        <f>+B1048/($N$10*24)</f>
        <v>351.47311827956992</v>
      </c>
      <c r="C1075" s="182">
        <f t="shared" ref="C1075:N1075" si="435">+C1048/($N$10*24)</f>
        <v>0</v>
      </c>
      <c r="D1075" s="182">
        <f t="shared" si="435"/>
        <v>15.31989247311828</v>
      </c>
      <c r="E1075" s="182">
        <f t="shared" si="435"/>
        <v>351.47311827956992</v>
      </c>
      <c r="F1075" s="224">
        <f t="shared" si="435"/>
        <v>366.79301075268819</v>
      </c>
      <c r="G1075" s="182">
        <f t="shared" si="435"/>
        <v>3.4883640842388285E-3</v>
      </c>
      <c r="H1075" s="182">
        <f t="shared" si="435"/>
        <v>13.580645161290322</v>
      </c>
      <c r="I1075" s="182">
        <f t="shared" si="435"/>
        <v>0</v>
      </c>
      <c r="J1075" s="182">
        <f t="shared" si="435"/>
        <v>13.580645161290322</v>
      </c>
      <c r="K1075" s="182">
        <f t="shared" si="435"/>
        <v>0</v>
      </c>
      <c r="L1075" s="182">
        <f t="shared" si="435"/>
        <v>0</v>
      </c>
      <c r="M1075" s="237">
        <f t="shared" si="435"/>
        <v>353.20887722731362</v>
      </c>
      <c r="N1075" s="227">
        <f t="shared" si="435"/>
        <v>0</v>
      </c>
      <c r="O1075" s="227">
        <f t="shared" si="422"/>
        <v>353.20887722731362</v>
      </c>
      <c r="P1075" s="254">
        <f t="shared" si="423"/>
        <v>0.2</v>
      </c>
      <c r="Q1075" s="227">
        <f t="shared" si="424"/>
        <v>-70.641775445462727</v>
      </c>
      <c r="R1075" s="234">
        <f t="shared" si="425"/>
        <v>282.56710178185091</v>
      </c>
      <c r="S1075" s="255">
        <f>+S1048/($N$10*24)</f>
        <v>70.641775445462727</v>
      </c>
      <c r="T1075" s="182">
        <f t="shared" si="426"/>
        <v>70.641775445462727</v>
      </c>
      <c r="U1075" s="224" t="str">
        <f t="shared" si="427"/>
        <v/>
      </c>
      <c r="V1075" s="133"/>
    </row>
    <row r="1076" spans="1:36" ht="15.75" customHeight="1" x14ac:dyDescent="0.3">
      <c r="A1076" s="192" t="s">
        <v>21</v>
      </c>
      <c r="B1076" s="189">
        <f>+B1049/($O$10*24)</f>
        <v>269.27916666666664</v>
      </c>
      <c r="C1076" s="182">
        <f t="shared" ref="C1076:N1076" si="436">+C1049/($O$10*24)</f>
        <v>0</v>
      </c>
      <c r="D1076" s="182">
        <f t="shared" si="436"/>
        <v>11.636111111111111</v>
      </c>
      <c r="E1076" s="182">
        <f t="shared" si="436"/>
        <v>269.27916666666664</v>
      </c>
      <c r="F1076" s="224">
        <f t="shared" si="436"/>
        <v>280.91527777777776</v>
      </c>
      <c r="G1076" s="182">
        <f t="shared" si="436"/>
        <v>0.9180982583940368</v>
      </c>
      <c r="H1076" s="182">
        <f t="shared" si="436"/>
        <v>15.036111111111111</v>
      </c>
      <c r="I1076" s="182">
        <f t="shared" si="436"/>
        <v>0</v>
      </c>
      <c r="J1076" s="182">
        <f t="shared" si="436"/>
        <v>15.036111111111111</v>
      </c>
      <c r="K1076" s="182">
        <f t="shared" si="436"/>
        <v>0</v>
      </c>
      <c r="L1076" s="182">
        <f t="shared" si="436"/>
        <v>0</v>
      </c>
      <c r="M1076" s="237">
        <f t="shared" si="436"/>
        <v>264.96106840827264</v>
      </c>
      <c r="N1076" s="227">
        <f t="shared" si="436"/>
        <v>0</v>
      </c>
      <c r="O1076" s="227">
        <f t="shared" si="422"/>
        <v>256.4139371692961</v>
      </c>
      <c r="P1076" s="254">
        <f t="shared" si="423"/>
        <v>0.2</v>
      </c>
      <c r="Q1076" s="227">
        <f t="shared" si="424"/>
        <v>-51.282787433859227</v>
      </c>
      <c r="R1076" s="234">
        <f t="shared" si="425"/>
        <v>205.13114973543688</v>
      </c>
      <c r="S1076" s="255">
        <f>+S1049/($O$10*24)</f>
        <v>52.99221368165454</v>
      </c>
      <c r="T1076" s="182">
        <f t="shared" si="426"/>
        <v>52.99221368165454</v>
      </c>
      <c r="U1076" s="224" t="str">
        <f t="shared" si="427"/>
        <v/>
      </c>
      <c r="V1076" s="133"/>
    </row>
    <row r="1077" spans="1:36" ht="15.75" customHeight="1" thickBot="1" x14ac:dyDescent="0.35">
      <c r="A1077" s="192" t="s">
        <v>22</v>
      </c>
      <c r="B1077" s="204">
        <f>+B1050/($P$10*24)</f>
        <v>310.10752688172045</v>
      </c>
      <c r="C1077" s="205">
        <f t="shared" ref="C1077:N1077" si="437">+C1050/($P$10*24)</f>
        <v>0</v>
      </c>
      <c r="D1077" s="205">
        <f t="shared" si="437"/>
        <v>13.244623655913978</v>
      </c>
      <c r="E1077" s="205">
        <f t="shared" si="437"/>
        <v>310.10752688172045</v>
      </c>
      <c r="F1077" s="245">
        <f t="shared" si="437"/>
        <v>323.35215053763443</v>
      </c>
      <c r="G1077" s="205">
        <f t="shared" si="437"/>
        <v>0</v>
      </c>
      <c r="H1077" s="205">
        <f t="shared" si="437"/>
        <v>8.9731182795698921</v>
      </c>
      <c r="I1077" s="205">
        <f t="shared" si="437"/>
        <v>0</v>
      </c>
      <c r="J1077" s="205">
        <f t="shared" si="437"/>
        <v>8.9731182795698921</v>
      </c>
      <c r="K1077" s="205">
        <f t="shared" si="437"/>
        <v>0</v>
      </c>
      <c r="L1077" s="205">
        <f t="shared" si="437"/>
        <v>0</v>
      </c>
      <c r="M1077" s="246">
        <f t="shared" si="437"/>
        <v>314.37903225806451</v>
      </c>
      <c r="N1077" s="247">
        <f t="shared" si="437"/>
        <v>0</v>
      </c>
      <c r="O1077" s="248">
        <f t="shared" si="422"/>
        <v>314.37903225806451</v>
      </c>
      <c r="P1077" s="249">
        <f t="shared" si="423"/>
        <v>0.2</v>
      </c>
      <c r="Q1077" s="247">
        <f t="shared" si="424"/>
        <v>-62.875806451612902</v>
      </c>
      <c r="R1077" s="248">
        <f t="shared" si="425"/>
        <v>251.50322580645161</v>
      </c>
      <c r="S1077" s="256">
        <f>+S1050/($P$10*24)</f>
        <v>62.87580645161291</v>
      </c>
      <c r="T1077" s="205">
        <f t="shared" si="426"/>
        <v>62.87580645161291</v>
      </c>
      <c r="U1077" s="245" t="str">
        <f t="shared" si="427"/>
        <v/>
      </c>
      <c r="V1077" s="133"/>
    </row>
    <row r="1078" spans="1:36" ht="15.75" customHeight="1" x14ac:dyDescent="0.3">
      <c r="A1078" s="257"/>
      <c r="V1078" s="133"/>
    </row>
    <row r="1079" spans="1:36" ht="16.5" customHeight="1" thickBot="1" x14ac:dyDescent="0.35">
      <c r="A1079" s="258"/>
      <c r="B1079" s="135"/>
      <c r="C1079" s="135"/>
      <c r="D1079" s="135"/>
      <c r="E1079" s="135"/>
      <c r="F1079" s="135"/>
      <c r="G1079" s="135"/>
      <c r="H1079" s="135"/>
      <c r="I1079" s="135"/>
      <c r="J1079" s="135"/>
      <c r="K1079" s="135"/>
      <c r="L1079" s="135"/>
      <c r="M1079" s="135"/>
      <c r="N1079" s="135"/>
      <c r="O1079" s="135"/>
      <c r="P1079" s="135"/>
      <c r="Q1079" s="135"/>
      <c r="R1079" s="135"/>
      <c r="S1079" s="135"/>
      <c r="T1079" s="135"/>
      <c r="U1079" s="135"/>
      <c r="V1079" s="136"/>
    </row>
    <row r="1080" spans="1:36" ht="15.75" customHeight="1" x14ac:dyDescent="0.3">
      <c r="A1080" s="259"/>
      <c r="B1080" s="180"/>
      <c r="C1080" s="180"/>
      <c r="D1080" s="180"/>
      <c r="E1080" s="180"/>
      <c r="F1080" s="180"/>
      <c r="G1080" s="180"/>
      <c r="H1080" s="180"/>
      <c r="I1080" s="180"/>
      <c r="J1080" s="180"/>
      <c r="K1080" s="180"/>
      <c r="L1080" s="180"/>
      <c r="M1080" s="180"/>
      <c r="N1080" s="180"/>
      <c r="O1080" s="180"/>
      <c r="P1080" s="180"/>
      <c r="Q1080" s="180"/>
      <c r="R1080" s="180"/>
    </row>
    <row r="1081" spans="1:36" ht="15.75" customHeight="1" x14ac:dyDescent="0.3">
      <c r="A1081" s="260"/>
    </row>
    <row r="1082" spans="1:36" ht="15.75" customHeight="1" thickBot="1" x14ac:dyDescent="0.35">
      <c r="A1082" s="260"/>
    </row>
    <row r="1083" spans="1:36" ht="15.75" customHeight="1" x14ac:dyDescent="0.3">
      <c r="A1083" s="364"/>
      <c r="B1083" s="423" t="s">
        <v>780</v>
      </c>
      <c r="C1083" s="423"/>
      <c r="D1083" s="423"/>
      <c r="E1083" s="423"/>
      <c r="F1083" s="423"/>
      <c r="G1083" s="423"/>
      <c r="H1083" s="423"/>
      <c r="I1083" s="423"/>
      <c r="J1083" s="423"/>
      <c r="K1083" s="423"/>
      <c r="L1083" s="423"/>
      <c r="M1083" s="423"/>
      <c r="N1083" s="423"/>
      <c r="O1083" s="423"/>
      <c r="P1083" s="423"/>
      <c r="Q1083" s="354" t="str">
        <f>+Q1</f>
        <v xml:space="preserve">PRINTED:  </v>
      </c>
      <c r="R1083" s="357">
        <f ca="1">+R1</f>
        <v>44894.658168402777</v>
      </c>
      <c r="S1083" s="358"/>
    </row>
    <row r="1084" spans="1:36" ht="15.75" customHeight="1" x14ac:dyDescent="0.3">
      <c r="A1084" s="262"/>
      <c r="B1084" s="394" t="str">
        <f>+A8</f>
        <v>Revised:  12/23/2020</v>
      </c>
      <c r="C1084" s="394"/>
      <c r="D1084" s="394"/>
      <c r="E1084" s="394"/>
      <c r="F1084" s="394"/>
      <c r="G1084" s="394"/>
      <c r="H1084" s="394"/>
      <c r="I1084" s="394"/>
      <c r="J1084" s="394"/>
      <c r="K1084" s="394"/>
      <c r="L1084" s="394"/>
      <c r="M1084" s="394"/>
      <c r="N1084" s="394"/>
      <c r="O1084" s="394"/>
      <c r="P1084" s="394"/>
      <c r="Q1084" s="180"/>
      <c r="R1084" s="180"/>
      <c r="S1084" s="133"/>
    </row>
    <row r="1085" spans="1:36" ht="16.5" customHeight="1" x14ac:dyDescent="0.3">
      <c r="A1085" s="262"/>
      <c r="B1085" s="394" t="s">
        <v>670</v>
      </c>
      <c r="C1085" s="394"/>
      <c r="D1085" s="394"/>
      <c r="E1085" s="394"/>
      <c r="F1085" s="394"/>
      <c r="G1085" s="394"/>
      <c r="H1085" s="394"/>
      <c r="I1085" s="394"/>
      <c r="J1085" s="394"/>
      <c r="K1085" s="394"/>
      <c r="L1085" s="394"/>
      <c r="M1085" s="394"/>
      <c r="N1085" s="394"/>
      <c r="O1085" s="394"/>
      <c r="P1085" s="394"/>
      <c r="Q1085" s="180"/>
      <c r="R1085" s="180"/>
      <c r="S1085" s="133"/>
    </row>
    <row r="1086" spans="1:36" ht="15.75" customHeight="1" x14ac:dyDescent="0.3">
      <c r="A1086" s="262"/>
      <c r="B1086" s="180"/>
      <c r="C1086" s="180"/>
      <c r="D1086" s="180"/>
      <c r="E1086" s="180"/>
      <c r="F1086" s="180"/>
      <c r="G1086" s="180"/>
      <c r="H1086" s="180"/>
      <c r="I1086" s="180"/>
      <c r="J1086" s="180"/>
      <c r="K1086" s="180"/>
      <c r="L1086" s="180"/>
      <c r="M1086" s="180"/>
      <c r="N1086" s="180"/>
      <c r="O1086" s="180"/>
      <c r="P1086" s="180"/>
      <c r="Q1086" s="180"/>
      <c r="R1086" s="180"/>
      <c r="S1086" s="133"/>
      <c r="AG1086" s="192"/>
    </row>
    <row r="1087" spans="1:36" ht="15.75" customHeight="1" x14ac:dyDescent="0.3">
      <c r="A1087" s="262"/>
      <c r="B1087" s="415">
        <f>+A5</f>
        <v>2020</v>
      </c>
      <c r="C1087" s="395"/>
      <c r="D1087" s="395"/>
      <c r="E1087" s="395"/>
      <c r="F1087" s="395"/>
      <c r="G1087" s="395"/>
      <c r="H1087" s="395"/>
      <c r="I1087" s="395"/>
      <c r="J1087" s="395"/>
      <c r="K1087" s="395"/>
      <c r="L1087" s="395"/>
      <c r="M1087" s="395"/>
      <c r="N1087" s="395"/>
      <c r="O1087" s="395"/>
      <c r="P1087" s="395"/>
      <c r="Q1087" s="180"/>
      <c r="R1087" s="180"/>
      <c r="S1087" s="133"/>
      <c r="AE1087" s="4" t="s">
        <v>781</v>
      </c>
      <c r="AF1087" s="4" t="s">
        <v>782</v>
      </c>
    </row>
    <row r="1088" spans="1:36" ht="15.75" customHeight="1" thickBot="1" x14ac:dyDescent="0.35">
      <c r="A1088" s="262"/>
      <c r="B1088" s="394" t="s">
        <v>708</v>
      </c>
      <c r="C1088" s="394"/>
      <c r="D1088" s="394"/>
      <c r="E1088" s="394"/>
      <c r="F1088" s="394"/>
      <c r="G1088" s="394"/>
      <c r="H1088" s="394"/>
      <c r="I1088" s="394"/>
      <c r="J1088" s="394"/>
      <c r="K1088" s="394"/>
      <c r="L1088" s="394"/>
      <c r="M1088" s="394"/>
      <c r="N1088" s="394"/>
      <c r="O1088" s="394"/>
      <c r="P1088" s="394"/>
      <c r="Q1088" s="180"/>
      <c r="R1088" s="180"/>
      <c r="S1088" s="133"/>
      <c r="V1088" s="4" t="s">
        <v>783</v>
      </c>
      <c r="AC1088" s="4" t="s">
        <v>784</v>
      </c>
      <c r="AD1088" s="263" t="s">
        <v>785</v>
      </c>
      <c r="AE1088" s="4">
        <f>DAY(DATE($A$5,MONTH(CONCATENATE(1,"-",AD1088,"-",$A$5))+1,1)-1)</f>
        <v>29</v>
      </c>
      <c r="AI1088" s="264"/>
      <c r="AJ1088" s="264"/>
    </row>
    <row r="1089" spans="1:50" ht="15.75" customHeight="1" x14ac:dyDescent="0.3">
      <c r="A1089" s="262"/>
      <c r="B1089" s="439" t="s">
        <v>786</v>
      </c>
      <c r="C1089" s="440"/>
      <c r="D1089" s="441"/>
      <c r="E1089" s="182"/>
      <c r="F1089" s="182"/>
      <c r="G1089" s="182"/>
      <c r="H1089" s="182"/>
      <c r="I1089" s="182"/>
      <c r="J1089" s="182"/>
      <c r="K1089" s="182"/>
      <c r="L1089" s="182"/>
      <c r="M1089" s="182"/>
      <c r="N1089" s="182"/>
      <c r="O1089" s="182"/>
      <c r="P1089" s="182"/>
      <c r="Q1089" s="180"/>
      <c r="R1089" s="180"/>
      <c r="S1089" s="265"/>
      <c r="T1089" s="444" t="s">
        <v>787</v>
      </c>
      <c r="U1089" s="445"/>
      <c r="V1089" s="445" t="s">
        <v>788</v>
      </c>
      <c r="W1089" s="445"/>
      <c r="X1089" s="266" t="s">
        <v>640</v>
      </c>
      <c r="Y1089" s="266" t="s">
        <v>789</v>
      </c>
      <c r="Z1089" s="266" t="s">
        <v>790</v>
      </c>
    </row>
    <row r="1090" spans="1:50" ht="15.75" customHeight="1" thickBot="1" x14ac:dyDescent="0.35">
      <c r="A1090" s="191" t="s">
        <v>768</v>
      </c>
      <c r="B1090" s="267" t="s">
        <v>791</v>
      </c>
      <c r="C1090" s="268" t="s">
        <v>792</v>
      </c>
      <c r="D1090" s="269" t="s">
        <v>793</v>
      </c>
      <c r="E1090" s="268" t="s">
        <v>678</v>
      </c>
      <c r="F1090" s="268" t="s">
        <v>679</v>
      </c>
      <c r="G1090" s="268" t="s">
        <v>680</v>
      </c>
      <c r="H1090" s="268" t="s">
        <v>794</v>
      </c>
      <c r="I1090" s="268" t="s">
        <v>795</v>
      </c>
      <c r="J1090" s="268" t="s">
        <v>681</v>
      </c>
      <c r="K1090" s="268" t="s">
        <v>682</v>
      </c>
      <c r="L1090" s="268" t="s">
        <v>683</v>
      </c>
      <c r="M1090" s="268" t="s">
        <v>684</v>
      </c>
      <c r="N1090" s="268" t="s">
        <v>685</v>
      </c>
      <c r="O1090" s="268" t="s">
        <v>686</v>
      </c>
      <c r="P1090" s="268" t="s">
        <v>687</v>
      </c>
      <c r="Q1090" s="268" t="s">
        <v>688</v>
      </c>
      <c r="R1090" s="268" t="s">
        <v>689</v>
      </c>
      <c r="S1090" s="269" t="s">
        <v>638</v>
      </c>
      <c r="T1090" s="268" t="s">
        <v>796</v>
      </c>
      <c r="U1090" s="268" t="s">
        <v>792</v>
      </c>
      <c r="V1090" s="268" t="s">
        <v>797</v>
      </c>
      <c r="W1090" s="268" t="s">
        <v>792</v>
      </c>
      <c r="X1090" s="268" t="s">
        <v>127</v>
      </c>
      <c r="Y1090" s="268" t="s">
        <v>798</v>
      </c>
      <c r="Z1090" s="268" t="s">
        <v>799</v>
      </c>
      <c r="AD1090" s="191" t="s">
        <v>677</v>
      </c>
      <c r="AE1090" s="191" t="s">
        <v>678</v>
      </c>
      <c r="AF1090" s="191" t="s">
        <v>679</v>
      </c>
      <c r="AG1090" s="191" t="s">
        <v>680</v>
      </c>
      <c r="AH1090" s="191" t="s">
        <v>644</v>
      </c>
      <c r="AI1090" s="191" t="s">
        <v>681</v>
      </c>
      <c r="AJ1090" s="191" t="s">
        <v>682</v>
      </c>
      <c r="AK1090" s="191" t="s">
        <v>683</v>
      </c>
      <c r="AL1090" s="191" t="s">
        <v>684</v>
      </c>
      <c r="AM1090" s="191" t="s">
        <v>685</v>
      </c>
      <c r="AN1090" s="191" t="s">
        <v>686</v>
      </c>
      <c r="AO1090" s="191" t="s">
        <v>687</v>
      </c>
      <c r="AP1090" s="191" t="s">
        <v>688</v>
      </c>
      <c r="AQ1090" s="191" t="s">
        <v>689</v>
      </c>
      <c r="AR1090" s="191" t="s">
        <v>638</v>
      </c>
      <c r="AS1090" s="191" t="s">
        <v>641</v>
      </c>
      <c r="AT1090" s="191" t="s">
        <v>800</v>
      </c>
      <c r="AU1090" s="191" t="s">
        <v>641</v>
      </c>
      <c r="AW1090" s="270" t="s">
        <v>801</v>
      </c>
      <c r="AX1090" s="270" t="s">
        <v>802</v>
      </c>
    </row>
    <row r="1091" spans="1:50" ht="15.75" customHeight="1" x14ac:dyDescent="0.3">
      <c r="A1091" s="211" t="s">
        <v>8</v>
      </c>
      <c r="B1091" s="211">
        <f>+F1118</f>
        <v>196</v>
      </c>
      <c r="C1091" s="192">
        <f t="shared" ref="B1091:C1102" si="438">+G1118</f>
        <v>0</v>
      </c>
      <c r="D1091" s="271" t="s">
        <v>803</v>
      </c>
      <c r="E1091" s="192">
        <f>+C1011/$B$10/24</f>
        <v>12.161290322580646</v>
      </c>
      <c r="F1091" s="192">
        <f t="shared" ref="F1091:S1091" si="439">+D1011/$B$10/24</f>
        <v>12.743279569892472</v>
      </c>
      <c r="G1091" s="192">
        <f t="shared" si="439"/>
        <v>21.501344086021504</v>
      </c>
      <c r="H1091" s="192">
        <f t="shared" si="439"/>
        <v>5.9077611748835901</v>
      </c>
      <c r="I1091" s="192">
        <f t="shared" si="439"/>
        <v>0</v>
      </c>
      <c r="J1091" s="192">
        <f t="shared" si="439"/>
        <v>3.8333333333333335</v>
      </c>
      <c r="K1091" s="192">
        <f t="shared" si="439"/>
        <v>3.0403225806451615</v>
      </c>
      <c r="L1091" s="192">
        <f t="shared" si="439"/>
        <v>4.747311827956989</v>
      </c>
      <c r="M1091" s="192">
        <f t="shared" si="439"/>
        <v>4.9018817204301071</v>
      </c>
      <c r="N1091" s="192">
        <f t="shared" si="439"/>
        <v>1.2849462365591398</v>
      </c>
      <c r="O1091" s="192">
        <f t="shared" si="439"/>
        <v>1.5134408602150538</v>
      </c>
      <c r="P1091" s="192">
        <f t="shared" si="439"/>
        <v>3.0873655913978495</v>
      </c>
      <c r="Q1091" s="192">
        <f t="shared" si="439"/>
        <v>0.90860215053763438</v>
      </c>
      <c r="R1091" s="192">
        <f t="shared" si="439"/>
        <v>1.8844086021505377</v>
      </c>
      <c r="S1091" s="271">
        <f t="shared" si="439"/>
        <v>2.1491935483870965</v>
      </c>
      <c r="T1091" s="192">
        <f>+B1091+SUM(E1091:S1091)</f>
        <v>275.66448160499112</v>
      </c>
      <c r="U1091" s="192">
        <f t="shared" ref="U1091:U1102" si="440">+C1091+SUM(E1091:S1091)</f>
        <v>79.664481604991138</v>
      </c>
      <c r="V1091" s="192">
        <f>+B1091+SUM(E1091:G1091)</f>
        <v>242.40591397849462</v>
      </c>
      <c r="W1091" s="192">
        <f>+C1091+SUM(E1091:G1091)</f>
        <v>46.405913978494624</v>
      </c>
      <c r="X1091" s="192">
        <f>+H1091</f>
        <v>5.9077611748835901</v>
      </c>
      <c r="Y1091" s="192">
        <f>+I1091</f>
        <v>0</v>
      </c>
      <c r="Z1091" s="192">
        <f>+SUM(J1091:S1091)</f>
        <v>27.3508064516129</v>
      </c>
      <c r="AC1091" s="4">
        <v>1</v>
      </c>
      <c r="AD1091" s="192">
        <f>IF($AF$1088=1,VLOOKUP($AD$1088,$A$1118:$P$1129,12,FALSE),VLOOKUP($AD$1088,$A$1091:$S$1102,2,FALSE))</f>
        <v>98</v>
      </c>
      <c r="AE1091" s="192">
        <f>VLOOKUP($AD$1088,$A$1091:$S$1102,5,FALSE)</f>
        <v>12.994252873563219</v>
      </c>
      <c r="AF1091" s="192">
        <f>VLOOKUP($AD$1088,$A$1091:$S$1102,6,FALSE)</f>
        <v>13.60632183908046</v>
      </c>
      <c r="AG1091" s="192">
        <f>VLOOKUP($AD$1088,$A$1091:$S$1102,7,FALSE)</f>
        <v>23.038793103448274</v>
      </c>
      <c r="AH1091" s="192">
        <f>VLOOKUP($AD$1088,$A$1091:$S$1102,8,FALSE)</f>
        <v>0.84541364088145554</v>
      </c>
      <c r="AI1091" s="192">
        <f>VLOOKUP($AD$1088,$A$1091:$S$1102,10,FALSE)</f>
        <v>6.623563218390804</v>
      </c>
      <c r="AJ1091" s="192">
        <f>VLOOKUP($AD$1088,$A$1091:$S$1102,11,FALSE)</f>
        <v>5.2959770114942524</v>
      </c>
      <c r="AK1091" s="192">
        <f>VLOOKUP($AD$1088,$A$1091:$S$1102,12,FALSE)</f>
        <v>8.1824712643678161</v>
      </c>
      <c r="AL1091" s="192">
        <f>VLOOKUP($AD$1088,$A$1091:$S$1102,13,FALSE)</f>
        <v>8.4626436781609193</v>
      </c>
      <c r="AM1091" s="192">
        <f>VLOOKUP($AD$1088,$A$1091:$S$1102,14,FALSE)</f>
        <v>2.6824712643678161</v>
      </c>
      <c r="AN1091" s="192">
        <f>VLOOKUP($AD$1088,$A$1091:$S$1102,15,FALSE)</f>
        <v>3.1609195402298851</v>
      </c>
      <c r="AO1091" s="192">
        <f>VLOOKUP($AD$1088,$A$1091:$S$1102,16,FALSE)</f>
        <v>6.1408045977011492</v>
      </c>
      <c r="AP1091" s="192">
        <f>VLOOKUP($AD$1088,$A$1091:$S$1102,17,FALSE)</f>
        <v>1.0459770114942528</v>
      </c>
      <c r="AQ1091" s="192">
        <f>VLOOKUP($AD$1088,$A$1091:$S$1102,18,FALSE)</f>
        <v>1.920977011494253</v>
      </c>
      <c r="AR1091" s="192">
        <f>VLOOKUP($AD$1088,$A$1091:$S$1102,19,FALSE)</f>
        <v>2.4770114942528738</v>
      </c>
      <c r="AS1091" s="192">
        <f>SUM(AD1091:AR1091)</f>
        <v>194.47759754892746</v>
      </c>
      <c r="AT1091" s="192">
        <f>VLOOKUP($AD$1088,$AC$1011:$AS$1022,17,FALSE)/$AE$1088*(AS1091/$AS$1115)</f>
        <v>12.821737051807277</v>
      </c>
      <c r="AU1091" s="192">
        <f>AS1091+AT1091</f>
        <v>207.29933460073474</v>
      </c>
      <c r="AW1091" s="192">
        <f>VLOOKUP($AD$1088,$A$1039:$O$1052,15,FALSE)/$AE$1088/24</f>
        <v>192.375</v>
      </c>
      <c r="AX1091" s="192">
        <f>AU1091-AW1091</f>
        <v>14.924334600734738</v>
      </c>
    </row>
    <row r="1092" spans="1:50" ht="15.75" customHeight="1" x14ac:dyDescent="0.3">
      <c r="A1092" s="211" t="s">
        <v>9</v>
      </c>
      <c r="B1092" s="211">
        <f t="shared" si="438"/>
        <v>98</v>
      </c>
      <c r="C1092" s="192">
        <f t="shared" si="438"/>
        <v>0</v>
      </c>
      <c r="D1092" s="271" t="s">
        <v>803</v>
      </c>
      <c r="E1092" s="192">
        <f t="shared" ref="E1092:S1092" si="441">+C1012/$C$10/24</f>
        <v>12.994252873563219</v>
      </c>
      <c r="F1092" s="192">
        <f t="shared" si="441"/>
        <v>13.60632183908046</v>
      </c>
      <c r="G1092" s="192">
        <f t="shared" si="441"/>
        <v>23.038793103448274</v>
      </c>
      <c r="H1092" s="192">
        <f t="shared" si="441"/>
        <v>0.84541364088145554</v>
      </c>
      <c r="I1092" s="192">
        <f t="shared" si="441"/>
        <v>0</v>
      </c>
      <c r="J1092" s="192">
        <f t="shared" si="441"/>
        <v>6.623563218390804</v>
      </c>
      <c r="K1092" s="192">
        <f t="shared" si="441"/>
        <v>5.2959770114942524</v>
      </c>
      <c r="L1092" s="192">
        <f t="shared" si="441"/>
        <v>8.1824712643678161</v>
      </c>
      <c r="M1092" s="192">
        <f t="shared" si="441"/>
        <v>8.4626436781609193</v>
      </c>
      <c r="N1092" s="192">
        <f t="shared" si="441"/>
        <v>2.6824712643678161</v>
      </c>
      <c r="O1092" s="192">
        <f t="shared" si="441"/>
        <v>3.1609195402298851</v>
      </c>
      <c r="P1092" s="192">
        <f t="shared" si="441"/>
        <v>6.1408045977011492</v>
      </c>
      <c r="Q1092" s="192">
        <f t="shared" si="441"/>
        <v>1.0459770114942528</v>
      </c>
      <c r="R1092" s="192">
        <f t="shared" si="441"/>
        <v>1.920977011494253</v>
      </c>
      <c r="S1092" s="271">
        <f t="shared" si="441"/>
        <v>2.4770114942528738</v>
      </c>
      <c r="T1092" s="192">
        <f t="shared" ref="T1092:T1102" si="442">+B1092+SUM(E1092:S1092)</f>
        <v>194.47759754892743</v>
      </c>
      <c r="U1092" s="192">
        <f t="shared" si="440"/>
        <v>96.477597548927434</v>
      </c>
      <c r="V1092" s="192">
        <f t="shared" ref="V1092:V1102" si="443">+B1092+SUM(E1092:G1092)</f>
        <v>147.63936781609195</v>
      </c>
      <c r="W1092" s="192">
        <f t="shared" ref="W1092:W1102" si="444">+C1092+SUM(E1092:G1092)</f>
        <v>49.639367816091948</v>
      </c>
      <c r="X1092" s="192">
        <f t="shared" ref="X1092:Y1102" si="445">+H1092</f>
        <v>0.84541364088145554</v>
      </c>
      <c r="Y1092" s="192">
        <f t="shared" si="445"/>
        <v>0</v>
      </c>
      <c r="Z1092" s="192">
        <f t="shared" ref="Z1092:Z1102" si="446">+SUM(J1092:S1092)</f>
        <v>45.992816091954012</v>
      </c>
      <c r="AC1092" s="4">
        <v>2</v>
      </c>
      <c r="AD1092" s="192">
        <f t="shared" ref="AD1092:AD1096" si="447">IF($AF$1088=1,VLOOKUP($AD$1088,$A$1118:$P$1129,12,FALSE),VLOOKUP($AD$1088,$A$1091:$S$1102,2,FALSE))</f>
        <v>98</v>
      </c>
      <c r="AE1092" s="192">
        <f t="shared" ref="AE1092:AE1114" si="448">VLOOKUP($AD$1088,$A$1091:$S$1102,5,FALSE)</f>
        <v>12.994252873563219</v>
      </c>
      <c r="AF1092" s="192">
        <f t="shared" ref="AF1092:AF1114" si="449">VLOOKUP($AD$1088,$A$1091:$S$1102,6,FALSE)</f>
        <v>13.60632183908046</v>
      </c>
      <c r="AG1092" s="192">
        <f t="shared" ref="AG1092:AG1114" si="450">VLOOKUP($AD$1088,$A$1091:$S$1102,7,FALSE)</f>
        <v>23.038793103448274</v>
      </c>
      <c r="AH1092" s="192">
        <f t="shared" ref="AH1092:AH1114" si="451">VLOOKUP($AD$1088,$A$1091:$S$1102,8,FALSE)</f>
        <v>0.84541364088145554</v>
      </c>
      <c r="AI1092" s="192">
        <f t="shared" ref="AI1092:AI1114" si="452">VLOOKUP($AD$1088,$A$1091:$S$1102,10,FALSE)</f>
        <v>6.623563218390804</v>
      </c>
      <c r="AJ1092" s="192">
        <f t="shared" ref="AJ1092:AJ1114" si="453">VLOOKUP($AD$1088,$A$1091:$S$1102,11,FALSE)</f>
        <v>5.2959770114942524</v>
      </c>
      <c r="AK1092" s="192">
        <f t="shared" ref="AK1092:AK1114" si="454">VLOOKUP($AD$1088,$A$1091:$S$1102,12,FALSE)</f>
        <v>8.1824712643678161</v>
      </c>
      <c r="AL1092" s="192">
        <f t="shared" ref="AL1092:AL1114" si="455">VLOOKUP($AD$1088,$A$1091:$S$1102,13,FALSE)</f>
        <v>8.4626436781609193</v>
      </c>
      <c r="AM1092" s="192">
        <f t="shared" ref="AM1092:AM1114" si="456">VLOOKUP($AD$1088,$A$1091:$S$1102,14,FALSE)</f>
        <v>2.6824712643678161</v>
      </c>
      <c r="AN1092" s="192">
        <f t="shared" ref="AN1092:AN1114" si="457">VLOOKUP($AD$1088,$A$1091:$S$1102,15,FALSE)</f>
        <v>3.1609195402298851</v>
      </c>
      <c r="AO1092" s="192">
        <f t="shared" ref="AO1092:AO1114" si="458">VLOOKUP($AD$1088,$A$1091:$S$1102,16,FALSE)</f>
        <v>6.1408045977011492</v>
      </c>
      <c r="AP1092" s="192">
        <f t="shared" ref="AP1092:AP1114" si="459">VLOOKUP($AD$1088,$A$1091:$S$1102,17,FALSE)</f>
        <v>1.0459770114942528</v>
      </c>
      <c r="AQ1092" s="192">
        <f t="shared" ref="AQ1092:AQ1114" si="460">VLOOKUP($AD$1088,$A$1091:$S$1102,18,FALSE)</f>
        <v>1.920977011494253</v>
      </c>
      <c r="AR1092" s="192">
        <f t="shared" ref="AR1092:AR1114" si="461">VLOOKUP($AD$1088,$A$1091:$S$1102,19,FALSE)</f>
        <v>2.4770114942528738</v>
      </c>
      <c r="AS1092" s="192">
        <f t="shared" ref="AS1092:AS1114" si="462">SUM(AD1092:AR1092)</f>
        <v>194.47759754892746</v>
      </c>
      <c r="AT1092" s="192">
        <f t="shared" ref="AT1092:AT1114" si="463">VLOOKUP($AD$1088,$AC$1011:$AS$1022,17,FALSE)/$AE$1088*(AS1092/$AS$1115)</f>
        <v>12.821737051807277</v>
      </c>
      <c r="AU1092" s="192">
        <f t="shared" ref="AU1092:AU1114" si="464">AS1092+AT1092</f>
        <v>207.29933460073474</v>
      </c>
      <c r="AW1092" s="192">
        <f t="shared" ref="AW1092:AW1114" si="465">VLOOKUP($AD$1088,$A$1039:$O$1052,15,FALSE)/$AE$1088/24</f>
        <v>192.375</v>
      </c>
      <c r="AX1092" s="192">
        <f t="shared" ref="AX1092:AX1114" si="466">AU1092-AW1092</f>
        <v>14.924334600734738</v>
      </c>
    </row>
    <row r="1093" spans="1:50" ht="15.75" customHeight="1" x14ac:dyDescent="0.3">
      <c r="A1093" s="211" t="s">
        <v>10</v>
      </c>
      <c r="B1093" s="211">
        <f t="shared" si="438"/>
        <v>294</v>
      </c>
      <c r="C1093" s="192">
        <f t="shared" si="438"/>
        <v>0</v>
      </c>
      <c r="D1093" s="271" t="s">
        <v>803</v>
      </c>
      <c r="E1093" s="192">
        <f t="shared" ref="E1093:S1093" si="467">+C1013/$D$10/24</f>
        <v>15.571236559139784</v>
      </c>
      <c r="F1093" s="192">
        <f t="shared" si="467"/>
        <v>16.291666666666668</v>
      </c>
      <c r="G1093" s="192">
        <f t="shared" si="467"/>
        <v>27.40994623655914</v>
      </c>
      <c r="H1093" s="192">
        <f t="shared" si="467"/>
        <v>6.8774909742756414</v>
      </c>
      <c r="I1093" s="192">
        <f t="shared" si="467"/>
        <v>-4.1079551255560673</v>
      </c>
      <c r="J1093" s="192">
        <f t="shared" si="467"/>
        <v>8.469086021505376</v>
      </c>
      <c r="K1093" s="192">
        <f t="shared" si="467"/>
        <v>6.55510752688172</v>
      </c>
      <c r="L1093" s="192">
        <f t="shared" si="467"/>
        <v>9.5013440860215059</v>
      </c>
      <c r="M1093" s="192">
        <f t="shared" si="467"/>
        <v>9.616935483870968</v>
      </c>
      <c r="N1093" s="192">
        <f t="shared" si="467"/>
        <v>2.8991935483870965</v>
      </c>
      <c r="O1093" s="192">
        <f t="shared" si="467"/>
        <v>3.4166666666666665</v>
      </c>
      <c r="P1093" s="192">
        <f t="shared" si="467"/>
        <v>6.833333333333333</v>
      </c>
      <c r="Q1093" s="192">
        <f t="shared" si="467"/>
        <v>0.99865591397849462</v>
      </c>
      <c r="R1093" s="192">
        <f t="shared" si="467"/>
        <v>1.9838709677419353</v>
      </c>
      <c r="S1093" s="271">
        <f t="shared" si="467"/>
        <v>2.3629032258064515</v>
      </c>
      <c r="T1093" s="192">
        <f t="shared" si="442"/>
        <v>408.67948208527872</v>
      </c>
      <c r="U1093" s="192">
        <f t="shared" si="440"/>
        <v>114.67948208527872</v>
      </c>
      <c r="V1093" s="192">
        <f t="shared" si="443"/>
        <v>353.27284946236557</v>
      </c>
      <c r="W1093" s="192">
        <f t="shared" si="444"/>
        <v>59.272849462365592</v>
      </c>
      <c r="X1093" s="192">
        <f t="shared" si="445"/>
        <v>6.8774909742756414</v>
      </c>
      <c r="Y1093" s="192">
        <f t="shared" si="445"/>
        <v>-4.1079551255560673</v>
      </c>
      <c r="Z1093" s="192">
        <f t="shared" si="446"/>
        <v>52.637096774193544</v>
      </c>
      <c r="AC1093" s="4">
        <v>3</v>
      </c>
      <c r="AD1093" s="192">
        <f t="shared" si="447"/>
        <v>98</v>
      </c>
      <c r="AE1093" s="192">
        <f t="shared" si="448"/>
        <v>12.994252873563219</v>
      </c>
      <c r="AF1093" s="192">
        <f t="shared" si="449"/>
        <v>13.60632183908046</v>
      </c>
      <c r="AG1093" s="192">
        <f t="shared" si="450"/>
        <v>23.038793103448274</v>
      </c>
      <c r="AH1093" s="192">
        <f t="shared" si="451"/>
        <v>0.84541364088145554</v>
      </c>
      <c r="AI1093" s="192">
        <f t="shared" si="452"/>
        <v>6.623563218390804</v>
      </c>
      <c r="AJ1093" s="192">
        <f t="shared" si="453"/>
        <v>5.2959770114942524</v>
      </c>
      <c r="AK1093" s="192">
        <f t="shared" si="454"/>
        <v>8.1824712643678161</v>
      </c>
      <c r="AL1093" s="192">
        <f t="shared" si="455"/>
        <v>8.4626436781609193</v>
      </c>
      <c r="AM1093" s="192">
        <f t="shared" si="456"/>
        <v>2.6824712643678161</v>
      </c>
      <c r="AN1093" s="192">
        <f t="shared" si="457"/>
        <v>3.1609195402298851</v>
      </c>
      <c r="AO1093" s="192">
        <f t="shared" si="458"/>
        <v>6.1408045977011492</v>
      </c>
      <c r="AP1093" s="192">
        <f t="shared" si="459"/>
        <v>1.0459770114942528</v>
      </c>
      <c r="AQ1093" s="192">
        <f t="shared" si="460"/>
        <v>1.920977011494253</v>
      </c>
      <c r="AR1093" s="192">
        <f t="shared" si="461"/>
        <v>2.4770114942528738</v>
      </c>
      <c r="AS1093" s="192">
        <f t="shared" si="462"/>
        <v>194.47759754892746</v>
      </c>
      <c r="AT1093" s="192">
        <f t="shared" si="463"/>
        <v>12.821737051807277</v>
      </c>
      <c r="AU1093" s="192">
        <f t="shared" si="464"/>
        <v>207.29933460073474</v>
      </c>
      <c r="AW1093" s="192">
        <f t="shared" si="465"/>
        <v>192.375</v>
      </c>
      <c r="AX1093" s="192">
        <f t="shared" si="466"/>
        <v>14.924334600734738</v>
      </c>
    </row>
    <row r="1094" spans="1:50" ht="15.75" customHeight="1" x14ac:dyDescent="0.3">
      <c r="A1094" s="211" t="s">
        <v>12</v>
      </c>
      <c r="B1094" s="211">
        <f t="shared" si="438"/>
        <v>294</v>
      </c>
      <c r="C1094" s="192">
        <f t="shared" si="438"/>
        <v>0</v>
      </c>
      <c r="D1094" s="271" t="s">
        <v>803</v>
      </c>
      <c r="E1094" s="192">
        <f t="shared" ref="E1094:S1094" si="468">+C1014/$F$10/24</f>
        <v>25.574999999999999</v>
      </c>
      <c r="F1094" s="192">
        <f t="shared" si="468"/>
        <v>26.769444444444446</v>
      </c>
      <c r="G1094" s="192">
        <f t="shared" si="468"/>
        <v>44.606944444444444</v>
      </c>
      <c r="H1094" s="192">
        <f t="shared" si="468"/>
        <v>1.104631323793656</v>
      </c>
      <c r="I1094" s="192">
        <f t="shared" si="468"/>
        <v>0</v>
      </c>
      <c r="J1094" s="192">
        <f t="shared" si="468"/>
        <v>14.220833333333333</v>
      </c>
      <c r="K1094" s="192">
        <f t="shared" si="468"/>
        <v>10.85138888888889</v>
      </c>
      <c r="L1094" s="192">
        <f t="shared" si="468"/>
        <v>12.870833333333332</v>
      </c>
      <c r="M1094" s="192">
        <f t="shared" si="468"/>
        <v>11.180555555555555</v>
      </c>
      <c r="N1094" s="192">
        <f t="shared" si="468"/>
        <v>3.3236111111111111</v>
      </c>
      <c r="O1094" s="192">
        <f t="shared" si="468"/>
        <v>3.9152777777777779</v>
      </c>
      <c r="P1094" s="192">
        <f t="shared" si="468"/>
        <v>7.4249999999999998</v>
      </c>
      <c r="Q1094" s="192">
        <f t="shared" si="468"/>
        <v>1.1291666666666667</v>
      </c>
      <c r="R1094" s="192">
        <f t="shared" si="468"/>
        <v>2.4597222222222221</v>
      </c>
      <c r="S1094" s="271">
        <f t="shared" si="468"/>
        <v>2.6694444444444443</v>
      </c>
      <c r="T1094" s="192">
        <f t="shared" si="442"/>
        <v>462.10185354601589</v>
      </c>
      <c r="U1094" s="192">
        <f t="shared" si="440"/>
        <v>168.10185354601589</v>
      </c>
      <c r="V1094" s="192">
        <f t="shared" si="443"/>
        <v>390.95138888888891</v>
      </c>
      <c r="W1094" s="192">
        <f t="shared" si="444"/>
        <v>96.951388888888886</v>
      </c>
      <c r="X1094" s="192">
        <f t="shared" si="445"/>
        <v>1.104631323793656</v>
      </c>
      <c r="Y1094" s="192">
        <f t="shared" si="445"/>
        <v>0</v>
      </c>
      <c r="Z1094" s="192">
        <f t="shared" si="446"/>
        <v>70.04583333333332</v>
      </c>
      <c r="AC1094" s="4">
        <v>4</v>
      </c>
      <c r="AD1094" s="192">
        <f t="shared" si="447"/>
        <v>98</v>
      </c>
      <c r="AE1094" s="192">
        <f t="shared" si="448"/>
        <v>12.994252873563219</v>
      </c>
      <c r="AF1094" s="192">
        <f t="shared" si="449"/>
        <v>13.60632183908046</v>
      </c>
      <c r="AG1094" s="192">
        <f t="shared" si="450"/>
        <v>23.038793103448274</v>
      </c>
      <c r="AH1094" s="192">
        <f t="shared" si="451"/>
        <v>0.84541364088145554</v>
      </c>
      <c r="AI1094" s="192">
        <f t="shared" si="452"/>
        <v>6.623563218390804</v>
      </c>
      <c r="AJ1094" s="192">
        <f t="shared" si="453"/>
        <v>5.2959770114942524</v>
      </c>
      <c r="AK1094" s="192">
        <f t="shared" si="454"/>
        <v>8.1824712643678161</v>
      </c>
      <c r="AL1094" s="192">
        <f t="shared" si="455"/>
        <v>8.4626436781609193</v>
      </c>
      <c r="AM1094" s="192">
        <f t="shared" si="456"/>
        <v>2.6824712643678161</v>
      </c>
      <c r="AN1094" s="192">
        <f t="shared" si="457"/>
        <v>3.1609195402298851</v>
      </c>
      <c r="AO1094" s="192">
        <f t="shared" si="458"/>
        <v>6.1408045977011492</v>
      </c>
      <c r="AP1094" s="192">
        <f t="shared" si="459"/>
        <v>1.0459770114942528</v>
      </c>
      <c r="AQ1094" s="192">
        <f t="shared" si="460"/>
        <v>1.920977011494253</v>
      </c>
      <c r="AR1094" s="192">
        <f t="shared" si="461"/>
        <v>2.4770114942528738</v>
      </c>
      <c r="AS1094" s="192">
        <f t="shared" si="462"/>
        <v>194.47759754892746</v>
      </c>
      <c r="AT1094" s="192">
        <f t="shared" si="463"/>
        <v>12.821737051807277</v>
      </c>
      <c r="AU1094" s="192">
        <f t="shared" si="464"/>
        <v>207.29933460073474</v>
      </c>
      <c r="AW1094" s="192">
        <f t="shared" si="465"/>
        <v>192.375</v>
      </c>
      <c r="AX1094" s="192">
        <f t="shared" si="466"/>
        <v>14.924334600734738</v>
      </c>
    </row>
    <row r="1095" spans="1:50" ht="15.75" customHeight="1" x14ac:dyDescent="0.3">
      <c r="A1095" s="211" t="s">
        <v>13</v>
      </c>
      <c r="B1095" s="211">
        <f t="shared" si="438"/>
        <v>294</v>
      </c>
      <c r="C1095" s="192">
        <f t="shared" si="438"/>
        <v>0</v>
      </c>
      <c r="D1095" s="271" t="s">
        <v>803</v>
      </c>
      <c r="E1095" s="192">
        <f t="shared" ref="E1095:S1095" si="469">+C1015/$G$10/24</f>
        <v>29.305107526881724</v>
      </c>
      <c r="F1095" s="192">
        <f t="shared" si="469"/>
        <v>30.677419354838708</v>
      </c>
      <c r="G1095" s="192">
        <f t="shared" si="469"/>
        <v>50.577956989247305</v>
      </c>
      <c r="H1095" s="192">
        <f t="shared" si="469"/>
        <v>0</v>
      </c>
      <c r="I1095" s="192">
        <f t="shared" si="469"/>
        <v>-2.6173428624676922</v>
      </c>
      <c r="J1095" s="192">
        <f t="shared" si="469"/>
        <v>16.508064516129032</v>
      </c>
      <c r="K1095" s="192">
        <f t="shared" si="469"/>
        <v>9.4153225806451619</v>
      </c>
      <c r="L1095" s="192">
        <f t="shared" si="469"/>
        <v>11.868279569892472</v>
      </c>
      <c r="M1095" s="192">
        <f t="shared" si="469"/>
        <v>10.584677419354838</v>
      </c>
      <c r="N1095" s="192">
        <f t="shared" si="469"/>
        <v>3.181451612903226</v>
      </c>
      <c r="O1095" s="192">
        <f t="shared" si="469"/>
        <v>3.7473118279569895</v>
      </c>
      <c r="P1095" s="192">
        <f t="shared" si="469"/>
        <v>7.2634408602150531</v>
      </c>
      <c r="Q1095" s="192">
        <f t="shared" si="469"/>
        <v>1.010752688172043</v>
      </c>
      <c r="R1095" s="192">
        <f t="shared" si="469"/>
        <v>3.1370967741935485</v>
      </c>
      <c r="S1095" s="271">
        <f t="shared" si="469"/>
        <v>2.389784946236559</v>
      </c>
      <c r="T1095" s="192">
        <f t="shared" si="442"/>
        <v>471.04932380419893</v>
      </c>
      <c r="U1095" s="192">
        <f t="shared" si="440"/>
        <v>177.04932380419893</v>
      </c>
      <c r="V1095" s="192">
        <f t="shared" si="443"/>
        <v>404.56048387096774</v>
      </c>
      <c r="W1095" s="192">
        <f t="shared" si="444"/>
        <v>110.56048387096774</v>
      </c>
      <c r="X1095" s="192">
        <f t="shared" si="445"/>
        <v>0</v>
      </c>
      <c r="Y1095" s="192">
        <f t="shared" si="445"/>
        <v>-2.6173428624676922</v>
      </c>
      <c r="Z1095" s="192">
        <f t="shared" si="446"/>
        <v>69.106182795698928</v>
      </c>
      <c r="AC1095" s="4">
        <v>5</v>
      </c>
      <c r="AD1095" s="192">
        <f t="shared" si="447"/>
        <v>98</v>
      </c>
      <c r="AE1095" s="192">
        <f t="shared" si="448"/>
        <v>12.994252873563219</v>
      </c>
      <c r="AF1095" s="192">
        <f t="shared" si="449"/>
        <v>13.60632183908046</v>
      </c>
      <c r="AG1095" s="192">
        <f t="shared" si="450"/>
        <v>23.038793103448274</v>
      </c>
      <c r="AH1095" s="192">
        <f t="shared" si="451"/>
        <v>0.84541364088145554</v>
      </c>
      <c r="AI1095" s="192">
        <f t="shared" si="452"/>
        <v>6.623563218390804</v>
      </c>
      <c r="AJ1095" s="192">
        <f t="shared" si="453"/>
        <v>5.2959770114942524</v>
      </c>
      <c r="AK1095" s="192">
        <f t="shared" si="454"/>
        <v>8.1824712643678161</v>
      </c>
      <c r="AL1095" s="192">
        <f t="shared" si="455"/>
        <v>8.4626436781609193</v>
      </c>
      <c r="AM1095" s="192">
        <f t="shared" si="456"/>
        <v>2.6824712643678161</v>
      </c>
      <c r="AN1095" s="192">
        <f t="shared" si="457"/>
        <v>3.1609195402298851</v>
      </c>
      <c r="AO1095" s="192">
        <f t="shared" si="458"/>
        <v>6.1408045977011492</v>
      </c>
      <c r="AP1095" s="192">
        <f t="shared" si="459"/>
        <v>1.0459770114942528</v>
      </c>
      <c r="AQ1095" s="192">
        <f t="shared" si="460"/>
        <v>1.920977011494253</v>
      </c>
      <c r="AR1095" s="192">
        <f t="shared" si="461"/>
        <v>2.4770114942528738</v>
      </c>
      <c r="AS1095" s="192">
        <f t="shared" si="462"/>
        <v>194.47759754892746</v>
      </c>
      <c r="AT1095" s="192">
        <f t="shared" si="463"/>
        <v>12.821737051807277</v>
      </c>
      <c r="AU1095" s="192">
        <f t="shared" si="464"/>
        <v>207.29933460073474</v>
      </c>
      <c r="AW1095" s="192">
        <f t="shared" si="465"/>
        <v>192.375</v>
      </c>
      <c r="AX1095" s="192">
        <f t="shared" si="466"/>
        <v>14.924334600734738</v>
      </c>
    </row>
    <row r="1096" spans="1:50" ht="15.75" customHeight="1" x14ac:dyDescent="0.3">
      <c r="A1096" s="211" t="s">
        <v>14</v>
      </c>
      <c r="B1096" s="211">
        <f t="shared" si="438"/>
        <v>147</v>
      </c>
      <c r="C1096" s="192">
        <f t="shared" si="438"/>
        <v>0</v>
      </c>
      <c r="D1096" s="271" t="str">
        <f>H1123</f>
        <v>n/a</v>
      </c>
      <c r="E1096" s="192">
        <f t="shared" ref="E1096:S1096" si="470">+C1016/$H$10/24</f>
        <v>18.031944444444445</v>
      </c>
      <c r="F1096" s="192">
        <f t="shared" si="470"/>
        <v>18.848611111111111</v>
      </c>
      <c r="G1096" s="192">
        <f t="shared" si="470"/>
        <v>29.923611111111111</v>
      </c>
      <c r="H1096" s="192">
        <f t="shared" si="470"/>
        <v>0</v>
      </c>
      <c r="I1096" s="192">
        <f t="shared" si="470"/>
        <v>-16.365011303692548</v>
      </c>
      <c r="J1096" s="192">
        <f t="shared" si="470"/>
        <v>18.620833333333334</v>
      </c>
      <c r="K1096" s="192">
        <f t="shared" si="470"/>
        <v>10.333333333333334</v>
      </c>
      <c r="L1096" s="192">
        <f t="shared" si="470"/>
        <v>11.326388888888888</v>
      </c>
      <c r="M1096" s="192">
        <f t="shared" si="470"/>
        <v>9.5902777777777768</v>
      </c>
      <c r="N1096" s="192">
        <f t="shared" si="470"/>
        <v>3.244444444444444</v>
      </c>
      <c r="O1096" s="192">
        <f t="shared" si="470"/>
        <v>3.8208333333333333</v>
      </c>
      <c r="P1096" s="192">
        <f t="shared" si="470"/>
        <v>7.1736111111111107</v>
      </c>
      <c r="Q1096" s="192">
        <f t="shared" si="470"/>
        <v>1.1333333333333333</v>
      </c>
      <c r="R1096" s="192">
        <f t="shared" si="470"/>
        <v>3.3125</v>
      </c>
      <c r="S1096" s="271">
        <f t="shared" si="470"/>
        <v>2.6708333333333329</v>
      </c>
      <c r="T1096" s="192">
        <f t="shared" si="442"/>
        <v>268.66554425186303</v>
      </c>
      <c r="U1096" s="192">
        <f t="shared" si="440"/>
        <v>121.66554425186301</v>
      </c>
      <c r="V1096" s="192">
        <f t="shared" si="443"/>
        <v>213.80416666666667</v>
      </c>
      <c r="W1096" s="192">
        <f t="shared" si="444"/>
        <v>66.804166666666674</v>
      </c>
      <c r="X1096" s="192">
        <f t="shared" si="445"/>
        <v>0</v>
      </c>
      <c r="Y1096" s="192">
        <f t="shared" si="445"/>
        <v>-16.365011303692548</v>
      </c>
      <c r="Z1096" s="192">
        <f t="shared" si="446"/>
        <v>71.226388888888891</v>
      </c>
      <c r="AC1096" s="4">
        <v>6</v>
      </c>
      <c r="AD1096" s="192">
        <f t="shared" si="447"/>
        <v>98</v>
      </c>
      <c r="AE1096" s="192">
        <f t="shared" si="448"/>
        <v>12.994252873563219</v>
      </c>
      <c r="AF1096" s="192">
        <f t="shared" si="449"/>
        <v>13.60632183908046</v>
      </c>
      <c r="AG1096" s="192">
        <f t="shared" si="450"/>
        <v>23.038793103448274</v>
      </c>
      <c r="AH1096" s="192">
        <f t="shared" si="451"/>
        <v>0.84541364088145554</v>
      </c>
      <c r="AI1096" s="192">
        <f t="shared" si="452"/>
        <v>6.623563218390804</v>
      </c>
      <c r="AJ1096" s="192">
        <f t="shared" si="453"/>
        <v>5.2959770114942524</v>
      </c>
      <c r="AK1096" s="192">
        <f t="shared" si="454"/>
        <v>8.1824712643678161</v>
      </c>
      <c r="AL1096" s="192">
        <f t="shared" si="455"/>
        <v>8.4626436781609193</v>
      </c>
      <c r="AM1096" s="192">
        <f t="shared" si="456"/>
        <v>2.6824712643678161</v>
      </c>
      <c r="AN1096" s="192">
        <f t="shared" si="457"/>
        <v>3.1609195402298851</v>
      </c>
      <c r="AO1096" s="192">
        <f t="shared" si="458"/>
        <v>6.1408045977011492</v>
      </c>
      <c r="AP1096" s="192">
        <f t="shared" si="459"/>
        <v>1.0459770114942528</v>
      </c>
      <c r="AQ1096" s="192">
        <f t="shared" si="460"/>
        <v>1.920977011494253</v>
      </c>
      <c r="AR1096" s="192">
        <f t="shared" si="461"/>
        <v>2.4770114942528738</v>
      </c>
      <c r="AS1096" s="192">
        <f t="shared" si="462"/>
        <v>194.47759754892746</v>
      </c>
      <c r="AT1096" s="192">
        <f t="shared" si="463"/>
        <v>12.821737051807277</v>
      </c>
      <c r="AU1096" s="192">
        <f t="shared" si="464"/>
        <v>207.29933460073474</v>
      </c>
      <c r="AW1096" s="192">
        <f t="shared" si="465"/>
        <v>192.375</v>
      </c>
      <c r="AX1096" s="192">
        <f t="shared" si="466"/>
        <v>14.924334600734738</v>
      </c>
    </row>
    <row r="1097" spans="1:50" ht="15.75" customHeight="1" x14ac:dyDescent="0.3">
      <c r="A1097" s="211" t="s">
        <v>16</v>
      </c>
      <c r="B1097" s="211">
        <f t="shared" si="438"/>
        <v>147</v>
      </c>
      <c r="C1097" s="192">
        <f t="shared" si="438"/>
        <v>0</v>
      </c>
      <c r="D1097" s="271" t="str">
        <f>H1124</f>
        <v>n/a</v>
      </c>
      <c r="E1097" s="192">
        <f t="shared" ref="E1097:S1097" si="471">+C1017/$J$10/24</f>
        <v>12.181451612903226</v>
      </c>
      <c r="F1097" s="192">
        <f t="shared" si="471"/>
        <v>12.71236559139785</v>
      </c>
      <c r="G1097" s="192">
        <f t="shared" si="471"/>
        <v>18.342741935483872</v>
      </c>
      <c r="H1097" s="192">
        <f t="shared" si="471"/>
        <v>0</v>
      </c>
      <c r="I1097" s="192">
        <f t="shared" si="471"/>
        <v>-18.356704829871433</v>
      </c>
      <c r="J1097" s="192">
        <f t="shared" si="471"/>
        <v>16.919354838709676</v>
      </c>
      <c r="K1097" s="192">
        <f t="shared" si="471"/>
        <v>11.248655913978494</v>
      </c>
      <c r="L1097" s="192">
        <f t="shared" si="471"/>
        <v>12.036290322580646</v>
      </c>
      <c r="M1097" s="192">
        <f t="shared" si="471"/>
        <v>10.346774193548386</v>
      </c>
      <c r="N1097" s="192">
        <f t="shared" si="471"/>
        <v>2.9731182795698925</v>
      </c>
      <c r="O1097" s="192">
        <f t="shared" si="471"/>
        <v>3.5013440860215055</v>
      </c>
      <c r="P1097" s="192">
        <f t="shared" si="471"/>
        <v>7.110215053763441</v>
      </c>
      <c r="Q1097" s="192">
        <f t="shared" si="471"/>
        <v>1.0470430107526882</v>
      </c>
      <c r="R1097" s="192">
        <f t="shared" si="471"/>
        <v>3.0672043010752685</v>
      </c>
      <c r="S1097" s="271">
        <f t="shared" si="471"/>
        <v>2.474462365591398</v>
      </c>
      <c r="T1097" s="192">
        <f t="shared" si="442"/>
        <v>242.60431667550489</v>
      </c>
      <c r="U1097" s="192">
        <f t="shared" si="440"/>
        <v>95.60431667550489</v>
      </c>
      <c r="V1097" s="192">
        <f t="shared" si="443"/>
        <v>190.23655913978496</v>
      </c>
      <c r="W1097" s="192">
        <f t="shared" si="444"/>
        <v>43.236559139784944</v>
      </c>
      <c r="X1097" s="192">
        <f t="shared" si="445"/>
        <v>0</v>
      </c>
      <c r="Y1097" s="192">
        <f t="shared" si="445"/>
        <v>-18.356704829871433</v>
      </c>
      <c r="Z1097" s="192">
        <f t="shared" si="446"/>
        <v>70.724462365591393</v>
      </c>
      <c r="AC1097" s="4">
        <v>7</v>
      </c>
      <c r="AD1097" s="192">
        <f>IF($AF$1088=1,VLOOKUP($AD$1088,$A$1118:$P$1129,12,FALSE),IF(OR($AD$1088="JAN",$AD$1088="FEB",$AD$1088="NOV",$AD$1088="DEC"),VLOOKUP($AD$1088,$A$1091:$S$1102,2,FALSE),VLOOKUP($AD$1088,$A$1091:$S$1102,3,FALSE)))</f>
        <v>98</v>
      </c>
      <c r="AE1097" s="192">
        <f t="shared" si="448"/>
        <v>12.994252873563219</v>
      </c>
      <c r="AF1097" s="192">
        <f t="shared" si="449"/>
        <v>13.60632183908046</v>
      </c>
      <c r="AG1097" s="192">
        <f t="shared" si="450"/>
        <v>23.038793103448274</v>
      </c>
      <c r="AH1097" s="192">
        <f t="shared" si="451"/>
        <v>0.84541364088145554</v>
      </c>
      <c r="AI1097" s="192">
        <f t="shared" si="452"/>
        <v>6.623563218390804</v>
      </c>
      <c r="AJ1097" s="192">
        <f t="shared" si="453"/>
        <v>5.2959770114942524</v>
      </c>
      <c r="AK1097" s="192">
        <f t="shared" si="454"/>
        <v>8.1824712643678161</v>
      </c>
      <c r="AL1097" s="192">
        <f t="shared" si="455"/>
        <v>8.4626436781609193</v>
      </c>
      <c r="AM1097" s="192">
        <f t="shared" si="456"/>
        <v>2.6824712643678161</v>
      </c>
      <c r="AN1097" s="192">
        <f t="shared" si="457"/>
        <v>3.1609195402298851</v>
      </c>
      <c r="AO1097" s="192">
        <f t="shared" si="458"/>
        <v>6.1408045977011492</v>
      </c>
      <c r="AP1097" s="192">
        <f t="shared" si="459"/>
        <v>1.0459770114942528</v>
      </c>
      <c r="AQ1097" s="192">
        <f t="shared" si="460"/>
        <v>1.920977011494253</v>
      </c>
      <c r="AR1097" s="192">
        <f t="shared" si="461"/>
        <v>2.4770114942528738</v>
      </c>
      <c r="AS1097" s="192">
        <f t="shared" si="462"/>
        <v>194.47759754892746</v>
      </c>
      <c r="AT1097" s="192">
        <f t="shared" si="463"/>
        <v>12.821737051807277</v>
      </c>
      <c r="AU1097" s="192">
        <f t="shared" si="464"/>
        <v>207.29933460073474</v>
      </c>
      <c r="AW1097" s="192">
        <f t="shared" si="465"/>
        <v>192.375</v>
      </c>
      <c r="AX1097" s="192">
        <f t="shared" si="466"/>
        <v>14.924334600734738</v>
      </c>
    </row>
    <row r="1098" spans="1:50" ht="15.75" customHeight="1" x14ac:dyDescent="0.3">
      <c r="A1098" s="211" t="s">
        <v>17</v>
      </c>
      <c r="B1098" s="211">
        <f t="shared" si="438"/>
        <v>147</v>
      </c>
      <c r="C1098" s="192">
        <f t="shared" si="438"/>
        <v>0</v>
      </c>
      <c r="D1098" s="271" t="str">
        <f>H1125</f>
        <v>n/a</v>
      </c>
      <c r="E1098" s="192">
        <f t="shared" ref="E1098:S1098" si="472">+C1018/$K$10/24</f>
        <v>10.295698924731182</v>
      </c>
      <c r="F1098" s="192">
        <f t="shared" si="472"/>
        <v>10.74731182795699</v>
      </c>
      <c r="G1098" s="192">
        <f t="shared" si="472"/>
        <v>11.946236559139784</v>
      </c>
      <c r="H1098" s="192">
        <f t="shared" si="472"/>
        <v>1.1734123908369207E-3</v>
      </c>
      <c r="I1098" s="192">
        <f t="shared" si="472"/>
        <v>-17.156967458427946</v>
      </c>
      <c r="J1098" s="192">
        <f t="shared" si="472"/>
        <v>14.91263440860215</v>
      </c>
      <c r="K1098" s="192">
        <f t="shared" si="472"/>
        <v>10.505376344086022</v>
      </c>
      <c r="L1098" s="192">
        <f t="shared" si="472"/>
        <v>11.702956989247312</v>
      </c>
      <c r="M1098" s="192">
        <f t="shared" si="472"/>
        <v>9.6827956989247301</v>
      </c>
      <c r="N1098" s="192">
        <f t="shared" si="472"/>
        <v>2.698924731182796</v>
      </c>
      <c r="O1098" s="192">
        <f t="shared" si="472"/>
        <v>3.1787634408602155</v>
      </c>
      <c r="P1098" s="192">
        <f t="shared" si="472"/>
        <v>6.053763440860215</v>
      </c>
      <c r="Q1098" s="192">
        <f t="shared" si="472"/>
        <v>1.0013440860215053</v>
      </c>
      <c r="R1098" s="192">
        <f t="shared" si="472"/>
        <v>3.0362903225806455</v>
      </c>
      <c r="S1098" s="271">
        <f t="shared" si="472"/>
        <v>2.3669354838709675</v>
      </c>
      <c r="T1098" s="192">
        <f t="shared" si="442"/>
        <v>227.97323821202735</v>
      </c>
      <c r="U1098" s="192">
        <f t="shared" si="440"/>
        <v>80.973238212027368</v>
      </c>
      <c r="V1098" s="192">
        <f t="shared" si="443"/>
        <v>179.98924731182797</v>
      </c>
      <c r="W1098" s="192">
        <f t="shared" si="444"/>
        <v>32.989247311827953</v>
      </c>
      <c r="X1098" s="192">
        <f t="shared" si="445"/>
        <v>1.1734123908369207E-3</v>
      </c>
      <c r="Y1098" s="192">
        <f t="shared" si="445"/>
        <v>-17.156967458427946</v>
      </c>
      <c r="Z1098" s="192">
        <f t="shared" si="446"/>
        <v>65.13978494623656</v>
      </c>
      <c r="AC1098" s="4">
        <v>8</v>
      </c>
      <c r="AD1098" s="192">
        <f>IF($AF$1088=1,VLOOKUP($AD$1088,$A$1118:$P$1129,12,FALSE),VLOOKUP($AD$1088,$A$1091:$S$1102,3,FALSE))</f>
        <v>0</v>
      </c>
      <c r="AE1098" s="192">
        <f t="shared" si="448"/>
        <v>12.994252873563219</v>
      </c>
      <c r="AF1098" s="192">
        <f t="shared" si="449"/>
        <v>13.60632183908046</v>
      </c>
      <c r="AG1098" s="192">
        <f t="shared" si="450"/>
        <v>23.038793103448274</v>
      </c>
      <c r="AH1098" s="192">
        <f t="shared" si="451"/>
        <v>0.84541364088145554</v>
      </c>
      <c r="AI1098" s="192">
        <f t="shared" si="452"/>
        <v>6.623563218390804</v>
      </c>
      <c r="AJ1098" s="192">
        <f t="shared" si="453"/>
        <v>5.2959770114942524</v>
      </c>
      <c r="AK1098" s="192">
        <f t="shared" si="454"/>
        <v>8.1824712643678161</v>
      </c>
      <c r="AL1098" s="192">
        <f t="shared" si="455"/>
        <v>8.4626436781609193</v>
      </c>
      <c r="AM1098" s="192">
        <f t="shared" si="456"/>
        <v>2.6824712643678161</v>
      </c>
      <c r="AN1098" s="192">
        <f t="shared" si="457"/>
        <v>3.1609195402298851</v>
      </c>
      <c r="AO1098" s="192">
        <f t="shared" si="458"/>
        <v>6.1408045977011492</v>
      </c>
      <c r="AP1098" s="192">
        <f t="shared" si="459"/>
        <v>1.0459770114942528</v>
      </c>
      <c r="AQ1098" s="192">
        <f t="shared" si="460"/>
        <v>1.920977011494253</v>
      </c>
      <c r="AR1098" s="192">
        <f t="shared" si="461"/>
        <v>2.4770114942528738</v>
      </c>
      <c r="AS1098" s="192">
        <f t="shared" si="462"/>
        <v>96.477597548927434</v>
      </c>
      <c r="AT1098" s="192">
        <f t="shared" si="463"/>
        <v>6.3606831982342937</v>
      </c>
      <c r="AU1098" s="192">
        <f t="shared" si="464"/>
        <v>102.83828074716173</v>
      </c>
      <c r="AW1098" s="192">
        <f t="shared" si="465"/>
        <v>192.375</v>
      </c>
      <c r="AX1098" s="192">
        <f t="shared" si="466"/>
        <v>-89.536719252838267</v>
      </c>
    </row>
    <row r="1099" spans="1:50" ht="15.75" customHeight="1" x14ac:dyDescent="0.3">
      <c r="A1099" s="211" t="s">
        <v>18</v>
      </c>
      <c r="B1099" s="211">
        <f t="shared" si="438"/>
        <v>245</v>
      </c>
      <c r="C1099" s="192">
        <f t="shared" si="438"/>
        <v>0</v>
      </c>
      <c r="D1099" s="271" t="s">
        <v>803</v>
      </c>
      <c r="E1099" s="192">
        <f t="shared" ref="E1099:S1099" si="473">+C1019/$L$10/24</f>
        <v>27.898611111111112</v>
      </c>
      <c r="F1099" s="192">
        <f t="shared" si="473"/>
        <v>29.218055555555555</v>
      </c>
      <c r="G1099" s="192">
        <f t="shared" si="473"/>
        <v>43.93055555555555</v>
      </c>
      <c r="H1099" s="192">
        <f t="shared" si="473"/>
        <v>8.0016406993854456</v>
      </c>
      <c r="I1099" s="192">
        <f t="shared" si="473"/>
        <v>-0.46123160010047703</v>
      </c>
      <c r="J1099" s="192">
        <f t="shared" si="473"/>
        <v>10.102777777777778</v>
      </c>
      <c r="K1099" s="192">
        <f t="shared" si="473"/>
        <v>7.833333333333333</v>
      </c>
      <c r="L1099" s="192">
        <f t="shared" si="473"/>
        <v>8.6680555555555561</v>
      </c>
      <c r="M1099" s="192">
        <f t="shared" si="473"/>
        <v>8.3013888888888889</v>
      </c>
      <c r="N1099" s="192">
        <f t="shared" si="473"/>
        <v>2.4611111111111112</v>
      </c>
      <c r="O1099" s="192">
        <f t="shared" si="473"/>
        <v>2.8986111111111108</v>
      </c>
      <c r="P1099" s="192">
        <f t="shared" si="473"/>
        <v>5.8944444444444448</v>
      </c>
      <c r="Q1099" s="192">
        <f t="shared" si="473"/>
        <v>1.0819444444444444</v>
      </c>
      <c r="R1099" s="192">
        <f t="shared" si="473"/>
        <v>2.3847222222222224</v>
      </c>
      <c r="S1099" s="271">
        <f t="shared" si="473"/>
        <v>2.5597222222222222</v>
      </c>
      <c r="T1099" s="192">
        <f t="shared" si="442"/>
        <v>405.77374243261829</v>
      </c>
      <c r="U1099" s="192">
        <f t="shared" si="440"/>
        <v>160.77374243261829</v>
      </c>
      <c r="V1099" s="192">
        <f t="shared" si="443"/>
        <v>346.04722222222222</v>
      </c>
      <c r="W1099" s="192">
        <f t="shared" si="444"/>
        <v>101.04722222222222</v>
      </c>
      <c r="X1099" s="192">
        <f t="shared" si="445"/>
        <v>8.0016406993854456</v>
      </c>
      <c r="Y1099" s="192">
        <f t="shared" si="445"/>
        <v>-0.46123160010047703</v>
      </c>
      <c r="Z1099" s="192">
        <f t="shared" si="446"/>
        <v>52.186111111111103</v>
      </c>
      <c r="AC1099" s="4">
        <v>9</v>
      </c>
      <c r="AD1099" s="192">
        <f>IF($AF$1088=1,VLOOKUP($AD$1088,$A$1118:$P$1129,12,FALSE),VLOOKUP($AD$1088,$A$1091:$S$1102,3,FALSE))</f>
        <v>0</v>
      </c>
      <c r="AE1099" s="192">
        <f t="shared" si="448"/>
        <v>12.994252873563219</v>
      </c>
      <c r="AF1099" s="192">
        <f t="shared" si="449"/>
        <v>13.60632183908046</v>
      </c>
      <c r="AG1099" s="192">
        <f t="shared" si="450"/>
        <v>23.038793103448274</v>
      </c>
      <c r="AH1099" s="192">
        <f t="shared" si="451"/>
        <v>0.84541364088145554</v>
      </c>
      <c r="AI1099" s="192">
        <f t="shared" si="452"/>
        <v>6.623563218390804</v>
      </c>
      <c r="AJ1099" s="192">
        <f t="shared" si="453"/>
        <v>5.2959770114942524</v>
      </c>
      <c r="AK1099" s="192">
        <f t="shared" si="454"/>
        <v>8.1824712643678161</v>
      </c>
      <c r="AL1099" s="192">
        <f t="shared" si="455"/>
        <v>8.4626436781609193</v>
      </c>
      <c r="AM1099" s="192">
        <f t="shared" si="456"/>
        <v>2.6824712643678161</v>
      </c>
      <c r="AN1099" s="192">
        <f t="shared" si="457"/>
        <v>3.1609195402298851</v>
      </c>
      <c r="AO1099" s="192">
        <f t="shared" si="458"/>
        <v>6.1408045977011492</v>
      </c>
      <c r="AP1099" s="192">
        <f t="shared" si="459"/>
        <v>1.0459770114942528</v>
      </c>
      <c r="AQ1099" s="192">
        <f t="shared" si="460"/>
        <v>1.920977011494253</v>
      </c>
      <c r="AR1099" s="192">
        <f t="shared" si="461"/>
        <v>2.4770114942528738</v>
      </c>
      <c r="AS1099" s="192">
        <f t="shared" si="462"/>
        <v>96.477597548927434</v>
      </c>
      <c r="AT1099" s="192">
        <f t="shared" si="463"/>
        <v>6.3606831982342937</v>
      </c>
      <c r="AU1099" s="192">
        <f t="shared" si="464"/>
        <v>102.83828074716173</v>
      </c>
      <c r="AW1099" s="192">
        <f t="shared" si="465"/>
        <v>192.375</v>
      </c>
      <c r="AX1099" s="192">
        <f t="shared" si="466"/>
        <v>-89.536719252838267</v>
      </c>
    </row>
    <row r="1100" spans="1:50" ht="15.75" customHeight="1" x14ac:dyDescent="0.3">
      <c r="A1100" s="211" t="s">
        <v>20</v>
      </c>
      <c r="B1100" s="211">
        <f t="shared" si="438"/>
        <v>245</v>
      </c>
      <c r="C1100" s="192">
        <f t="shared" si="438"/>
        <v>0</v>
      </c>
      <c r="D1100" s="271" t="s">
        <v>803</v>
      </c>
      <c r="E1100" s="192">
        <f t="shared" ref="E1100:S1100" si="474">+C1020/$N$10/24</f>
        <v>26.655913978494624</v>
      </c>
      <c r="F1100" s="192">
        <f t="shared" si="474"/>
        <v>27.920698924731184</v>
      </c>
      <c r="G1100" s="192">
        <f t="shared" si="474"/>
        <v>43.442204301075265</v>
      </c>
      <c r="H1100" s="192">
        <f t="shared" si="474"/>
        <v>14.977789702716491</v>
      </c>
      <c r="I1100" s="192">
        <f t="shared" si="474"/>
        <v>-3.4883640842388285E-3</v>
      </c>
      <c r="J1100" s="192">
        <f t="shared" si="474"/>
        <v>6.3534946236559131</v>
      </c>
      <c r="K1100" s="192">
        <f t="shared" si="474"/>
        <v>3.3723118279569895</v>
      </c>
      <c r="L1100" s="192">
        <f t="shared" si="474"/>
        <v>4.854838709677419</v>
      </c>
      <c r="M1100" s="192">
        <f t="shared" si="474"/>
        <v>4.788978494623656</v>
      </c>
      <c r="N1100" s="192">
        <f t="shared" si="474"/>
        <v>1.3763440860215053</v>
      </c>
      <c r="O1100" s="192">
        <f t="shared" si="474"/>
        <v>1.618279569892473</v>
      </c>
      <c r="P1100" s="192">
        <f t="shared" si="474"/>
        <v>3.3655913978494625</v>
      </c>
      <c r="Q1100" s="192">
        <f t="shared" si="474"/>
        <v>0.95564516129032251</v>
      </c>
      <c r="R1100" s="192">
        <f t="shared" si="474"/>
        <v>6.4516129032258063E-2</v>
      </c>
      <c r="S1100" s="271">
        <f t="shared" si="474"/>
        <v>2.260752688172043</v>
      </c>
      <c r="T1100" s="192">
        <f t="shared" si="442"/>
        <v>387.00387123110539</v>
      </c>
      <c r="U1100" s="192">
        <f t="shared" si="440"/>
        <v>142.00387123110539</v>
      </c>
      <c r="V1100" s="192">
        <f t="shared" si="443"/>
        <v>343.01881720430106</v>
      </c>
      <c r="W1100" s="192">
        <f t="shared" si="444"/>
        <v>98.018817204301072</v>
      </c>
      <c r="X1100" s="192">
        <f t="shared" si="445"/>
        <v>14.977789702716491</v>
      </c>
      <c r="Y1100" s="192">
        <f t="shared" si="445"/>
        <v>-3.4883640842388285E-3</v>
      </c>
      <c r="Z1100" s="192">
        <f t="shared" si="446"/>
        <v>29.010752688172044</v>
      </c>
      <c r="AC1100" s="4">
        <v>10</v>
      </c>
      <c r="AD1100" s="192">
        <f>IF($AF$1088=1,VLOOKUP($AD$1088,$A$1118:$P$1129,12,FALSE),VLOOKUP($AD$1088,$A$1091:$S$1102,3,FALSE))</f>
        <v>0</v>
      </c>
      <c r="AE1100" s="192">
        <f t="shared" si="448"/>
        <v>12.994252873563219</v>
      </c>
      <c r="AF1100" s="192">
        <f t="shared" si="449"/>
        <v>13.60632183908046</v>
      </c>
      <c r="AG1100" s="192">
        <f t="shared" si="450"/>
        <v>23.038793103448274</v>
      </c>
      <c r="AH1100" s="192">
        <f t="shared" si="451"/>
        <v>0.84541364088145554</v>
      </c>
      <c r="AI1100" s="192">
        <f t="shared" si="452"/>
        <v>6.623563218390804</v>
      </c>
      <c r="AJ1100" s="192">
        <f t="shared" si="453"/>
        <v>5.2959770114942524</v>
      </c>
      <c r="AK1100" s="192">
        <f t="shared" si="454"/>
        <v>8.1824712643678161</v>
      </c>
      <c r="AL1100" s="192">
        <f t="shared" si="455"/>
        <v>8.4626436781609193</v>
      </c>
      <c r="AM1100" s="192">
        <f t="shared" si="456"/>
        <v>2.6824712643678161</v>
      </c>
      <c r="AN1100" s="192">
        <f t="shared" si="457"/>
        <v>3.1609195402298851</v>
      </c>
      <c r="AO1100" s="192">
        <f t="shared" si="458"/>
        <v>6.1408045977011492</v>
      </c>
      <c r="AP1100" s="192">
        <f t="shared" si="459"/>
        <v>1.0459770114942528</v>
      </c>
      <c r="AQ1100" s="192">
        <f t="shared" si="460"/>
        <v>1.920977011494253</v>
      </c>
      <c r="AR1100" s="192">
        <f t="shared" si="461"/>
        <v>2.4770114942528738</v>
      </c>
      <c r="AS1100" s="192">
        <f t="shared" si="462"/>
        <v>96.477597548927434</v>
      </c>
      <c r="AT1100" s="192">
        <f t="shared" si="463"/>
        <v>6.3606831982342937</v>
      </c>
      <c r="AU1100" s="192">
        <f t="shared" si="464"/>
        <v>102.83828074716173</v>
      </c>
      <c r="AW1100" s="192">
        <f t="shared" si="465"/>
        <v>192.375</v>
      </c>
      <c r="AX1100" s="192">
        <f t="shared" si="466"/>
        <v>-89.536719252838267</v>
      </c>
    </row>
    <row r="1101" spans="1:50" ht="15.75" customHeight="1" x14ac:dyDescent="0.3">
      <c r="A1101" s="211" t="s">
        <v>21</v>
      </c>
      <c r="B1101" s="211">
        <f t="shared" si="438"/>
        <v>245</v>
      </c>
      <c r="C1101" s="192">
        <f t="shared" si="438"/>
        <v>0</v>
      </c>
      <c r="D1101" s="271" t="s">
        <v>803</v>
      </c>
      <c r="E1101" s="192">
        <f t="shared" ref="E1101:S1101" si="475">+C1021/$O$10/24</f>
        <v>20.769444444444442</v>
      </c>
      <c r="F1101" s="192">
        <f t="shared" si="475"/>
        <v>21.751388888888886</v>
      </c>
      <c r="G1101" s="192">
        <f t="shared" si="475"/>
        <v>34.233333333333334</v>
      </c>
      <c r="H1101" s="192">
        <f t="shared" si="475"/>
        <v>17.330052259153465</v>
      </c>
      <c r="I1101" s="192">
        <f t="shared" si="475"/>
        <v>-0.9180982583940368</v>
      </c>
      <c r="J1101" s="192">
        <f t="shared" si="475"/>
        <v>3.2569444444444446</v>
      </c>
      <c r="K1101" s="192">
        <f t="shared" si="475"/>
        <v>0.78472222222222221</v>
      </c>
      <c r="L1101" s="192">
        <f t="shared" si="475"/>
        <v>1.2180555555555557</v>
      </c>
      <c r="M1101" s="192">
        <f t="shared" si="475"/>
        <v>1.2375</v>
      </c>
      <c r="N1101" s="192">
        <f t="shared" si="475"/>
        <v>0.40833333333333338</v>
      </c>
      <c r="O1101" s="192">
        <f t="shared" si="475"/>
        <v>0.4777777777777778</v>
      </c>
      <c r="P1101" s="192">
        <f t="shared" si="475"/>
        <v>0.8847222222222223</v>
      </c>
      <c r="Q1101" s="192">
        <f t="shared" si="475"/>
        <v>0.43888888888888888</v>
      </c>
      <c r="R1101" s="192">
        <f t="shared" si="475"/>
        <v>2.2124999999999999</v>
      </c>
      <c r="S1101" s="271">
        <f t="shared" si="475"/>
        <v>1.0374999999999999</v>
      </c>
      <c r="T1101" s="192">
        <f t="shared" si="442"/>
        <v>350.12306511187052</v>
      </c>
      <c r="U1101" s="192">
        <f t="shared" si="440"/>
        <v>105.12306511187052</v>
      </c>
      <c r="V1101" s="192">
        <f t="shared" si="443"/>
        <v>321.75416666666666</v>
      </c>
      <c r="W1101" s="192">
        <f t="shared" si="444"/>
        <v>76.754166666666663</v>
      </c>
      <c r="X1101" s="192">
        <f t="shared" si="445"/>
        <v>17.330052259153465</v>
      </c>
      <c r="Y1101" s="192">
        <f t="shared" si="445"/>
        <v>-0.9180982583940368</v>
      </c>
      <c r="Z1101" s="192">
        <f t="shared" si="446"/>
        <v>11.956944444444444</v>
      </c>
      <c r="AC1101" s="4">
        <v>11</v>
      </c>
      <c r="AD1101" s="192">
        <f>IF($AF$1088=1,VLOOKUP($AD$1088,$A$1118:$P$1129,12,FALSE),VLOOKUP($AD$1088,$A$1091:$S$1102,3,FALSE))</f>
        <v>0</v>
      </c>
      <c r="AE1101" s="192">
        <f t="shared" si="448"/>
        <v>12.994252873563219</v>
      </c>
      <c r="AF1101" s="192">
        <f t="shared" si="449"/>
        <v>13.60632183908046</v>
      </c>
      <c r="AG1101" s="192">
        <f t="shared" si="450"/>
        <v>23.038793103448274</v>
      </c>
      <c r="AH1101" s="192">
        <f t="shared" si="451"/>
        <v>0.84541364088145554</v>
      </c>
      <c r="AI1101" s="192">
        <f t="shared" si="452"/>
        <v>6.623563218390804</v>
      </c>
      <c r="AJ1101" s="192">
        <f t="shared" si="453"/>
        <v>5.2959770114942524</v>
      </c>
      <c r="AK1101" s="192">
        <f t="shared" si="454"/>
        <v>8.1824712643678161</v>
      </c>
      <c r="AL1101" s="192">
        <f t="shared" si="455"/>
        <v>8.4626436781609193</v>
      </c>
      <c r="AM1101" s="192">
        <f t="shared" si="456"/>
        <v>2.6824712643678161</v>
      </c>
      <c r="AN1101" s="192">
        <f t="shared" si="457"/>
        <v>3.1609195402298851</v>
      </c>
      <c r="AO1101" s="192">
        <f t="shared" si="458"/>
        <v>6.1408045977011492</v>
      </c>
      <c r="AP1101" s="192">
        <f t="shared" si="459"/>
        <v>1.0459770114942528</v>
      </c>
      <c r="AQ1101" s="192">
        <f t="shared" si="460"/>
        <v>1.920977011494253</v>
      </c>
      <c r="AR1101" s="192">
        <f t="shared" si="461"/>
        <v>2.4770114942528738</v>
      </c>
      <c r="AS1101" s="192">
        <f t="shared" si="462"/>
        <v>96.477597548927434</v>
      </c>
      <c r="AT1101" s="192">
        <f t="shared" si="463"/>
        <v>6.3606831982342937</v>
      </c>
      <c r="AU1101" s="192">
        <f t="shared" si="464"/>
        <v>102.83828074716173</v>
      </c>
      <c r="AW1101" s="192">
        <f t="shared" si="465"/>
        <v>192.375</v>
      </c>
      <c r="AX1101" s="192">
        <f t="shared" si="466"/>
        <v>-89.536719252838267</v>
      </c>
    </row>
    <row r="1102" spans="1:50" ht="15.75" customHeight="1" thickBot="1" x14ac:dyDescent="0.35">
      <c r="A1102" s="220" t="s">
        <v>22</v>
      </c>
      <c r="B1102" s="220">
        <f t="shared" si="438"/>
        <v>245</v>
      </c>
      <c r="C1102" s="206">
        <f t="shared" si="438"/>
        <v>0</v>
      </c>
      <c r="D1102" s="272" t="s">
        <v>803</v>
      </c>
      <c r="E1102" s="206">
        <f t="shared" ref="E1102:S1102" si="476">+C1022/$P$10/24</f>
        <v>23.108870967741936</v>
      </c>
      <c r="F1102" s="206">
        <f t="shared" si="476"/>
        <v>24.21505376344086</v>
      </c>
      <c r="G1102" s="206">
        <f t="shared" si="476"/>
        <v>38.934139784946233</v>
      </c>
      <c r="H1102" s="206">
        <f t="shared" si="476"/>
        <v>20.38645502096179</v>
      </c>
      <c r="I1102" s="206">
        <f t="shared" si="476"/>
        <v>0</v>
      </c>
      <c r="J1102" s="206">
        <f t="shared" si="476"/>
        <v>4.2809139784946231</v>
      </c>
      <c r="K1102" s="206">
        <f t="shared" si="476"/>
        <v>2.3736559139784945</v>
      </c>
      <c r="L1102" s="206">
        <f t="shared" si="476"/>
        <v>3.4623655913978495</v>
      </c>
      <c r="M1102" s="206">
        <f t="shared" si="476"/>
        <v>3.5631720430107525</v>
      </c>
      <c r="N1102" s="206">
        <f t="shared" si="476"/>
        <v>0.99193548387096764</v>
      </c>
      <c r="O1102" s="206">
        <f t="shared" si="476"/>
        <v>1.1666666666666667</v>
      </c>
      <c r="P1102" s="206">
        <f t="shared" si="476"/>
        <v>2.2661290322580645</v>
      </c>
      <c r="Q1102" s="206">
        <f t="shared" si="476"/>
        <v>0.49596774193548382</v>
      </c>
      <c r="R1102" s="206">
        <f t="shared" si="476"/>
        <v>2.1774193548387095</v>
      </c>
      <c r="S1102" s="272">
        <f t="shared" si="476"/>
        <v>1.1720430107526882</v>
      </c>
      <c r="T1102" s="192">
        <f t="shared" si="442"/>
        <v>373.59478835429513</v>
      </c>
      <c r="U1102" s="192">
        <f t="shared" si="440"/>
        <v>128.59478835429513</v>
      </c>
      <c r="V1102" s="192">
        <f t="shared" si="443"/>
        <v>331.25806451612902</v>
      </c>
      <c r="W1102" s="192">
        <f t="shared" si="444"/>
        <v>86.258064516129025</v>
      </c>
      <c r="X1102" s="192">
        <f t="shared" si="445"/>
        <v>20.38645502096179</v>
      </c>
      <c r="Y1102" s="192">
        <f t="shared" si="445"/>
        <v>0</v>
      </c>
      <c r="Z1102" s="192">
        <f t="shared" si="446"/>
        <v>21.9502688172043</v>
      </c>
      <c r="AC1102" s="4">
        <v>12</v>
      </c>
      <c r="AD1102" s="192">
        <f>IF($AF$1088=1,VLOOKUP($AD$1088,$A$1118:$P$1129,12,FALSE),VLOOKUP($AD$1088,$A$1091:$S$1102,3,FALSE))</f>
        <v>0</v>
      </c>
      <c r="AE1102" s="192">
        <f t="shared" si="448"/>
        <v>12.994252873563219</v>
      </c>
      <c r="AF1102" s="192">
        <f t="shared" si="449"/>
        <v>13.60632183908046</v>
      </c>
      <c r="AG1102" s="192">
        <f t="shared" si="450"/>
        <v>23.038793103448274</v>
      </c>
      <c r="AH1102" s="192">
        <f t="shared" si="451"/>
        <v>0.84541364088145554</v>
      </c>
      <c r="AI1102" s="192">
        <f t="shared" si="452"/>
        <v>6.623563218390804</v>
      </c>
      <c r="AJ1102" s="192">
        <f t="shared" si="453"/>
        <v>5.2959770114942524</v>
      </c>
      <c r="AK1102" s="192">
        <f t="shared" si="454"/>
        <v>8.1824712643678161</v>
      </c>
      <c r="AL1102" s="192">
        <f t="shared" si="455"/>
        <v>8.4626436781609193</v>
      </c>
      <c r="AM1102" s="192">
        <f t="shared" si="456"/>
        <v>2.6824712643678161</v>
      </c>
      <c r="AN1102" s="192">
        <f t="shared" si="457"/>
        <v>3.1609195402298851</v>
      </c>
      <c r="AO1102" s="192">
        <f t="shared" si="458"/>
        <v>6.1408045977011492</v>
      </c>
      <c r="AP1102" s="192">
        <f t="shared" si="459"/>
        <v>1.0459770114942528</v>
      </c>
      <c r="AQ1102" s="192">
        <f t="shared" si="460"/>
        <v>1.920977011494253</v>
      </c>
      <c r="AR1102" s="192">
        <f t="shared" si="461"/>
        <v>2.4770114942528738</v>
      </c>
      <c r="AS1102" s="192">
        <f t="shared" si="462"/>
        <v>96.477597548927434</v>
      </c>
      <c r="AT1102" s="192">
        <f t="shared" si="463"/>
        <v>6.3606831982342937</v>
      </c>
      <c r="AU1102" s="192">
        <f t="shared" si="464"/>
        <v>102.83828074716173</v>
      </c>
      <c r="AW1102" s="192">
        <f t="shared" si="465"/>
        <v>192.375</v>
      </c>
      <c r="AX1102" s="192">
        <f t="shared" si="466"/>
        <v>-89.536719252838267</v>
      </c>
    </row>
    <row r="1103" spans="1:50" ht="15.75" customHeight="1" x14ac:dyDescent="0.3">
      <c r="A1103" s="260"/>
      <c r="AC1103" s="4">
        <v>13</v>
      </c>
      <c r="AD1103" s="192">
        <f>IF($AF$1088=1,VLOOKUP($AD$1088,$A$1118:$P$1129,12,FALSE),IF(OR($AD$1088="JUN",$AD$1088="JUL",$AD$1088="AUG"),VLOOKUP($AD$1088,$A$1091:$S$1102,4,FALSE),VLOOKUP($AD$1088,$A$1091:$S$1102,3,FALSE)))</f>
        <v>0</v>
      </c>
      <c r="AE1103" s="192">
        <f t="shared" si="448"/>
        <v>12.994252873563219</v>
      </c>
      <c r="AF1103" s="192">
        <f t="shared" si="449"/>
        <v>13.60632183908046</v>
      </c>
      <c r="AG1103" s="192">
        <f t="shared" si="450"/>
        <v>23.038793103448274</v>
      </c>
      <c r="AH1103" s="192">
        <f t="shared" si="451"/>
        <v>0.84541364088145554</v>
      </c>
      <c r="AI1103" s="192">
        <f t="shared" si="452"/>
        <v>6.623563218390804</v>
      </c>
      <c r="AJ1103" s="192">
        <f t="shared" si="453"/>
        <v>5.2959770114942524</v>
      </c>
      <c r="AK1103" s="192">
        <f t="shared" si="454"/>
        <v>8.1824712643678161</v>
      </c>
      <c r="AL1103" s="192">
        <f t="shared" si="455"/>
        <v>8.4626436781609193</v>
      </c>
      <c r="AM1103" s="192">
        <f t="shared" si="456"/>
        <v>2.6824712643678161</v>
      </c>
      <c r="AN1103" s="192">
        <f t="shared" si="457"/>
        <v>3.1609195402298851</v>
      </c>
      <c r="AO1103" s="192">
        <f t="shared" si="458"/>
        <v>6.1408045977011492</v>
      </c>
      <c r="AP1103" s="192">
        <f t="shared" si="459"/>
        <v>1.0459770114942528</v>
      </c>
      <c r="AQ1103" s="192">
        <f t="shared" si="460"/>
        <v>1.920977011494253</v>
      </c>
      <c r="AR1103" s="192">
        <f t="shared" si="461"/>
        <v>2.4770114942528738</v>
      </c>
      <c r="AS1103" s="192">
        <f t="shared" si="462"/>
        <v>96.477597548927434</v>
      </c>
      <c r="AT1103" s="192">
        <f t="shared" si="463"/>
        <v>6.3606831982342937</v>
      </c>
      <c r="AU1103" s="192">
        <f t="shared" si="464"/>
        <v>102.83828074716173</v>
      </c>
      <c r="AW1103" s="192">
        <f t="shared" si="465"/>
        <v>192.375</v>
      </c>
      <c r="AX1103" s="192">
        <f t="shared" si="466"/>
        <v>-89.536719252838267</v>
      </c>
    </row>
    <row r="1104" spans="1:50" ht="27.75" customHeight="1" x14ac:dyDescent="0.3">
      <c r="A1104" s="260" t="s">
        <v>804</v>
      </c>
      <c r="AC1104" s="4">
        <v>14</v>
      </c>
      <c r="AD1104" s="192">
        <f t="shared" ref="AD1104:AD1110" si="477">IF($AF$1088=1,VLOOKUP($AD$1088,$A$1118:$P$1129,12,FALSE),IF(OR($AD$1088="JUN",$AD$1088="JUL",$AD$1088="AUG"),VLOOKUP($AD$1088,$A$1091:$S$1102,4,FALSE),VLOOKUP($AD$1088,$A$1091:$S$1102,3,FALSE)))</f>
        <v>0</v>
      </c>
      <c r="AE1104" s="192">
        <f t="shared" si="448"/>
        <v>12.994252873563219</v>
      </c>
      <c r="AF1104" s="192">
        <f t="shared" si="449"/>
        <v>13.60632183908046</v>
      </c>
      <c r="AG1104" s="192">
        <f t="shared" si="450"/>
        <v>23.038793103448274</v>
      </c>
      <c r="AH1104" s="192">
        <f t="shared" si="451"/>
        <v>0.84541364088145554</v>
      </c>
      <c r="AI1104" s="192">
        <f t="shared" si="452"/>
        <v>6.623563218390804</v>
      </c>
      <c r="AJ1104" s="192">
        <f t="shared" si="453"/>
        <v>5.2959770114942524</v>
      </c>
      <c r="AK1104" s="192">
        <f t="shared" si="454"/>
        <v>8.1824712643678161</v>
      </c>
      <c r="AL1104" s="192">
        <f t="shared" si="455"/>
        <v>8.4626436781609193</v>
      </c>
      <c r="AM1104" s="192">
        <f t="shared" si="456"/>
        <v>2.6824712643678161</v>
      </c>
      <c r="AN1104" s="192">
        <f t="shared" si="457"/>
        <v>3.1609195402298851</v>
      </c>
      <c r="AO1104" s="192">
        <f t="shared" si="458"/>
        <v>6.1408045977011492</v>
      </c>
      <c r="AP1104" s="192">
        <f t="shared" si="459"/>
        <v>1.0459770114942528</v>
      </c>
      <c r="AQ1104" s="192">
        <f t="shared" si="460"/>
        <v>1.920977011494253</v>
      </c>
      <c r="AR1104" s="192">
        <f t="shared" si="461"/>
        <v>2.4770114942528738</v>
      </c>
      <c r="AS1104" s="192">
        <f t="shared" si="462"/>
        <v>96.477597548927434</v>
      </c>
      <c r="AT1104" s="192">
        <f t="shared" si="463"/>
        <v>6.3606831982342937</v>
      </c>
      <c r="AU1104" s="192">
        <f t="shared" si="464"/>
        <v>102.83828074716173</v>
      </c>
      <c r="AW1104" s="192">
        <f t="shared" si="465"/>
        <v>192.375</v>
      </c>
      <c r="AX1104" s="192">
        <f t="shared" si="466"/>
        <v>-89.536719252838267</v>
      </c>
    </row>
    <row r="1105" spans="1:50" ht="15.75" customHeight="1" x14ac:dyDescent="0.3">
      <c r="A1105" s="260"/>
      <c r="AC1105" s="4">
        <v>15</v>
      </c>
      <c r="AD1105" s="192">
        <f t="shared" si="477"/>
        <v>0</v>
      </c>
      <c r="AE1105" s="192">
        <f t="shared" si="448"/>
        <v>12.994252873563219</v>
      </c>
      <c r="AF1105" s="192">
        <f t="shared" si="449"/>
        <v>13.60632183908046</v>
      </c>
      <c r="AG1105" s="192">
        <f t="shared" si="450"/>
        <v>23.038793103448274</v>
      </c>
      <c r="AH1105" s="192">
        <f t="shared" si="451"/>
        <v>0.84541364088145554</v>
      </c>
      <c r="AI1105" s="192">
        <f t="shared" si="452"/>
        <v>6.623563218390804</v>
      </c>
      <c r="AJ1105" s="192">
        <f t="shared" si="453"/>
        <v>5.2959770114942524</v>
      </c>
      <c r="AK1105" s="192">
        <f t="shared" si="454"/>
        <v>8.1824712643678161</v>
      </c>
      <c r="AL1105" s="192">
        <f t="shared" si="455"/>
        <v>8.4626436781609193</v>
      </c>
      <c r="AM1105" s="192">
        <f t="shared" si="456"/>
        <v>2.6824712643678161</v>
      </c>
      <c r="AN1105" s="192">
        <f t="shared" si="457"/>
        <v>3.1609195402298851</v>
      </c>
      <c r="AO1105" s="192">
        <f t="shared" si="458"/>
        <v>6.1408045977011492</v>
      </c>
      <c r="AP1105" s="192">
        <f t="shared" si="459"/>
        <v>1.0459770114942528</v>
      </c>
      <c r="AQ1105" s="192">
        <f t="shared" si="460"/>
        <v>1.920977011494253</v>
      </c>
      <c r="AR1105" s="192">
        <f t="shared" si="461"/>
        <v>2.4770114942528738</v>
      </c>
      <c r="AS1105" s="192">
        <f t="shared" si="462"/>
        <v>96.477597548927434</v>
      </c>
      <c r="AT1105" s="192">
        <f t="shared" si="463"/>
        <v>6.3606831982342937</v>
      </c>
      <c r="AU1105" s="192">
        <f t="shared" si="464"/>
        <v>102.83828074716173</v>
      </c>
      <c r="AW1105" s="192">
        <f t="shared" si="465"/>
        <v>192.375</v>
      </c>
      <c r="AX1105" s="192">
        <f t="shared" si="466"/>
        <v>-89.536719252838267</v>
      </c>
    </row>
    <row r="1106" spans="1:50" ht="15.75" customHeight="1" x14ac:dyDescent="0.3">
      <c r="A1106" s="260"/>
      <c r="AC1106" s="4">
        <v>16</v>
      </c>
      <c r="AD1106" s="192">
        <f t="shared" si="477"/>
        <v>0</v>
      </c>
      <c r="AE1106" s="192">
        <f t="shared" si="448"/>
        <v>12.994252873563219</v>
      </c>
      <c r="AF1106" s="192">
        <f t="shared" si="449"/>
        <v>13.60632183908046</v>
      </c>
      <c r="AG1106" s="192">
        <f t="shared" si="450"/>
        <v>23.038793103448274</v>
      </c>
      <c r="AH1106" s="192">
        <f t="shared" si="451"/>
        <v>0.84541364088145554</v>
      </c>
      <c r="AI1106" s="192">
        <f t="shared" si="452"/>
        <v>6.623563218390804</v>
      </c>
      <c r="AJ1106" s="192">
        <f t="shared" si="453"/>
        <v>5.2959770114942524</v>
      </c>
      <c r="AK1106" s="192">
        <f t="shared" si="454"/>
        <v>8.1824712643678161</v>
      </c>
      <c r="AL1106" s="192">
        <f t="shared" si="455"/>
        <v>8.4626436781609193</v>
      </c>
      <c r="AM1106" s="192">
        <f t="shared" si="456"/>
        <v>2.6824712643678161</v>
      </c>
      <c r="AN1106" s="192">
        <f t="shared" si="457"/>
        <v>3.1609195402298851</v>
      </c>
      <c r="AO1106" s="192">
        <f t="shared" si="458"/>
        <v>6.1408045977011492</v>
      </c>
      <c r="AP1106" s="192">
        <f t="shared" si="459"/>
        <v>1.0459770114942528</v>
      </c>
      <c r="AQ1106" s="192">
        <f t="shared" si="460"/>
        <v>1.920977011494253</v>
      </c>
      <c r="AR1106" s="192">
        <f t="shared" si="461"/>
        <v>2.4770114942528738</v>
      </c>
      <c r="AS1106" s="192">
        <f t="shared" si="462"/>
        <v>96.477597548927434</v>
      </c>
      <c r="AT1106" s="192">
        <f t="shared" si="463"/>
        <v>6.3606831982342937</v>
      </c>
      <c r="AU1106" s="192">
        <f t="shared" si="464"/>
        <v>102.83828074716173</v>
      </c>
      <c r="AW1106" s="192">
        <f t="shared" si="465"/>
        <v>192.375</v>
      </c>
      <c r="AX1106" s="192">
        <f t="shared" si="466"/>
        <v>-89.536719252838267</v>
      </c>
    </row>
    <row r="1107" spans="1:50" ht="15.75" customHeight="1" thickBot="1" x14ac:dyDescent="0.35">
      <c r="A1107" s="260"/>
      <c r="AC1107" s="4">
        <v>17</v>
      </c>
      <c r="AD1107" s="192">
        <f t="shared" si="477"/>
        <v>0</v>
      </c>
      <c r="AE1107" s="192">
        <f t="shared" si="448"/>
        <v>12.994252873563219</v>
      </c>
      <c r="AF1107" s="192">
        <f t="shared" si="449"/>
        <v>13.60632183908046</v>
      </c>
      <c r="AG1107" s="192">
        <f t="shared" si="450"/>
        <v>23.038793103448274</v>
      </c>
      <c r="AH1107" s="192">
        <f t="shared" si="451"/>
        <v>0.84541364088145554</v>
      </c>
      <c r="AI1107" s="192">
        <f t="shared" si="452"/>
        <v>6.623563218390804</v>
      </c>
      <c r="AJ1107" s="192">
        <f t="shared" si="453"/>
        <v>5.2959770114942524</v>
      </c>
      <c r="AK1107" s="192">
        <f t="shared" si="454"/>
        <v>8.1824712643678161</v>
      </c>
      <c r="AL1107" s="192">
        <f t="shared" si="455"/>
        <v>8.4626436781609193</v>
      </c>
      <c r="AM1107" s="192">
        <f t="shared" si="456"/>
        <v>2.6824712643678161</v>
      </c>
      <c r="AN1107" s="192">
        <f t="shared" si="457"/>
        <v>3.1609195402298851</v>
      </c>
      <c r="AO1107" s="192">
        <f t="shared" si="458"/>
        <v>6.1408045977011492</v>
      </c>
      <c r="AP1107" s="192">
        <f t="shared" si="459"/>
        <v>1.0459770114942528</v>
      </c>
      <c r="AQ1107" s="192">
        <f t="shared" si="460"/>
        <v>1.920977011494253</v>
      </c>
      <c r="AR1107" s="192">
        <f t="shared" si="461"/>
        <v>2.4770114942528738</v>
      </c>
      <c r="AS1107" s="192">
        <f t="shared" si="462"/>
        <v>96.477597548927434</v>
      </c>
      <c r="AT1107" s="192">
        <f t="shared" si="463"/>
        <v>6.3606831982342937</v>
      </c>
      <c r="AU1107" s="192">
        <f t="shared" si="464"/>
        <v>102.83828074716173</v>
      </c>
      <c r="AW1107" s="192">
        <f t="shared" si="465"/>
        <v>192.375</v>
      </c>
      <c r="AX1107" s="192">
        <f t="shared" si="466"/>
        <v>-89.536719252838267</v>
      </c>
    </row>
    <row r="1108" spans="1:50" ht="15.75" customHeight="1" x14ac:dyDescent="0.3">
      <c r="A1108" s="365"/>
      <c r="B1108" s="423" t="s">
        <v>805</v>
      </c>
      <c r="C1108" s="423"/>
      <c r="D1108" s="423"/>
      <c r="E1108" s="423"/>
      <c r="F1108" s="423"/>
      <c r="G1108" s="423"/>
      <c r="H1108" s="423"/>
      <c r="I1108" s="423"/>
      <c r="J1108" s="423"/>
      <c r="K1108" s="423"/>
      <c r="L1108" s="423"/>
      <c r="M1108" s="423"/>
      <c r="N1108" s="423"/>
      <c r="O1108" s="423"/>
      <c r="P1108" s="423"/>
      <c r="Q1108" s="354" t="str">
        <f>+Q1</f>
        <v xml:space="preserve">PRINTED:  </v>
      </c>
      <c r="R1108" s="355">
        <f ca="1">+R1</f>
        <v>44894.658168402777</v>
      </c>
      <c r="AC1108" s="4">
        <v>18</v>
      </c>
      <c r="AD1108" s="192">
        <f t="shared" si="477"/>
        <v>0</v>
      </c>
      <c r="AE1108" s="192">
        <f t="shared" si="448"/>
        <v>12.994252873563219</v>
      </c>
      <c r="AF1108" s="192">
        <f t="shared" si="449"/>
        <v>13.60632183908046</v>
      </c>
      <c r="AG1108" s="192">
        <f t="shared" si="450"/>
        <v>23.038793103448274</v>
      </c>
      <c r="AH1108" s="192">
        <f t="shared" si="451"/>
        <v>0.84541364088145554</v>
      </c>
      <c r="AI1108" s="192">
        <f t="shared" si="452"/>
        <v>6.623563218390804</v>
      </c>
      <c r="AJ1108" s="192">
        <f t="shared" si="453"/>
        <v>5.2959770114942524</v>
      </c>
      <c r="AK1108" s="192">
        <f t="shared" si="454"/>
        <v>8.1824712643678161</v>
      </c>
      <c r="AL1108" s="192">
        <f t="shared" si="455"/>
        <v>8.4626436781609193</v>
      </c>
      <c r="AM1108" s="192">
        <f t="shared" si="456"/>
        <v>2.6824712643678161</v>
      </c>
      <c r="AN1108" s="192">
        <f t="shared" si="457"/>
        <v>3.1609195402298851</v>
      </c>
      <c r="AO1108" s="192">
        <f t="shared" si="458"/>
        <v>6.1408045977011492</v>
      </c>
      <c r="AP1108" s="192">
        <f t="shared" si="459"/>
        <v>1.0459770114942528</v>
      </c>
      <c r="AQ1108" s="192">
        <f t="shared" si="460"/>
        <v>1.920977011494253</v>
      </c>
      <c r="AR1108" s="192">
        <f t="shared" si="461"/>
        <v>2.4770114942528738</v>
      </c>
      <c r="AS1108" s="192">
        <f t="shared" si="462"/>
        <v>96.477597548927434</v>
      </c>
      <c r="AT1108" s="192">
        <f t="shared" si="463"/>
        <v>6.3606831982342937</v>
      </c>
      <c r="AU1108" s="192">
        <f t="shared" si="464"/>
        <v>102.83828074716173</v>
      </c>
      <c r="AW1108" s="192">
        <f t="shared" si="465"/>
        <v>192.375</v>
      </c>
      <c r="AX1108" s="192">
        <f t="shared" si="466"/>
        <v>-89.536719252838267</v>
      </c>
    </row>
    <row r="1109" spans="1:50" ht="16.5" customHeight="1" x14ac:dyDescent="0.3">
      <c r="A1109" s="257"/>
      <c r="B1109" s="394" t="str">
        <f>+A8</f>
        <v>Revised:  12/23/2020</v>
      </c>
      <c r="C1109" s="394"/>
      <c r="D1109" s="394"/>
      <c r="E1109" s="394"/>
      <c r="F1109" s="394"/>
      <c r="G1109" s="394"/>
      <c r="H1109" s="394"/>
      <c r="I1109" s="394"/>
      <c r="J1109" s="394"/>
      <c r="K1109" s="394"/>
      <c r="L1109" s="394"/>
      <c r="M1109" s="394"/>
      <c r="N1109" s="394"/>
      <c r="O1109" s="394"/>
      <c r="P1109" s="394"/>
      <c r="R1109" s="133"/>
      <c r="AC1109" s="4">
        <v>19</v>
      </c>
      <c r="AD1109" s="192">
        <f t="shared" si="477"/>
        <v>0</v>
      </c>
      <c r="AE1109" s="192">
        <f t="shared" si="448"/>
        <v>12.994252873563219</v>
      </c>
      <c r="AF1109" s="192">
        <f t="shared" si="449"/>
        <v>13.60632183908046</v>
      </c>
      <c r="AG1109" s="192">
        <f t="shared" si="450"/>
        <v>23.038793103448274</v>
      </c>
      <c r="AH1109" s="192">
        <f t="shared" si="451"/>
        <v>0.84541364088145554</v>
      </c>
      <c r="AI1109" s="192">
        <f t="shared" si="452"/>
        <v>6.623563218390804</v>
      </c>
      <c r="AJ1109" s="192">
        <f t="shared" si="453"/>
        <v>5.2959770114942524</v>
      </c>
      <c r="AK1109" s="192">
        <f t="shared" si="454"/>
        <v>8.1824712643678161</v>
      </c>
      <c r="AL1109" s="192">
        <f t="shared" si="455"/>
        <v>8.4626436781609193</v>
      </c>
      <c r="AM1109" s="192">
        <f t="shared" si="456"/>
        <v>2.6824712643678161</v>
      </c>
      <c r="AN1109" s="192">
        <f t="shared" si="457"/>
        <v>3.1609195402298851</v>
      </c>
      <c r="AO1109" s="192">
        <f t="shared" si="458"/>
        <v>6.1408045977011492</v>
      </c>
      <c r="AP1109" s="192">
        <f t="shared" si="459"/>
        <v>1.0459770114942528</v>
      </c>
      <c r="AQ1109" s="192">
        <f t="shared" si="460"/>
        <v>1.920977011494253</v>
      </c>
      <c r="AR1109" s="192">
        <f t="shared" si="461"/>
        <v>2.4770114942528738</v>
      </c>
      <c r="AS1109" s="192">
        <f t="shared" si="462"/>
        <v>96.477597548927434</v>
      </c>
      <c r="AT1109" s="192">
        <f t="shared" si="463"/>
        <v>6.3606831982342937</v>
      </c>
      <c r="AU1109" s="192">
        <f t="shared" si="464"/>
        <v>102.83828074716173</v>
      </c>
      <c r="AW1109" s="192">
        <f t="shared" si="465"/>
        <v>192.375</v>
      </c>
      <c r="AX1109" s="192">
        <f t="shared" si="466"/>
        <v>-89.536719252838267</v>
      </c>
    </row>
    <row r="1110" spans="1:50" ht="16.5" customHeight="1" x14ac:dyDescent="0.3">
      <c r="A1110" s="257"/>
      <c r="B1110" s="394" t="s">
        <v>670</v>
      </c>
      <c r="C1110" s="394"/>
      <c r="D1110" s="394"/>
      <c r="E1110" s="394"/>
      <c r="F1110" s="394"/>
      <c r="G1110" s="394"/>
      <c r="H1110" s="394"/>
      <c r="I1110" s="394"/>
      <c r="J1110" s="394"/>
      <c r="K1110" s="394"/>
      <c r="L1110" s="394"/>
      <c r="M1110" s="394"/>
      <c r="N1110" s="394"/>
      <c r="O1110" s="394"/>
      <c r="P1110" s="394"/>
      <c r="R1110" s="133"/>
      <c r="AC1110" s="4">
        <v>20</v>
      </c>
      <c r="AD1110" s="192">
        <f t="shared" si="477"/>
        <v>0</v>
      </c>
      <c r="AE1110" s="192">
        <f t="shared" si="448"/>
        <v>12.994252873563219</v>
      </c>
      <c r="AF1110" s="192">
        <f t="shared" si="449"/>
        <v>13.60632183908046</v>
      </c>
      <c r="AG1110" s="192">
        <f t="shared" si="450"/>
        <v>23.038793103448274</v>
      </c>
      <c r="AH1110" s="192">
        <f t="shared" si="451"/>
        <v>0.84541364088145554</v>
      </c>
      <c r="AI1110" s="192">
        <f t="shared" si="452"/>
        <v>6.623563218390804</v>
      </c>
      <c r="AJ1110" s="192">
        <f t="shared" si="453"/>
        <v>5.2959770114942524</v>
      </c>
      <c r="AK1110" s="192">
        <f t="shared" si="454"/>
        <v>8.1824712643678161</v>
      </c>
      <c r="AL1110" s="192">
        <f t="shared" si="455"/>
        <v>8.4626436781609193</v>
      </c>
      <c r="AM1110" s="192">
        <f t="shared" si="456"/>
        <v>2.6824712643678161</v>
      </c>
      <c r="AN1110" s="192">
        <f t="shared" si="457"/>
        <v>3.1609195402298851</v>
      </c>
      <c r="AO1110" s="192">
        <f t="shared" si="458"/>
        <v>6.1408045977011492</v>
      </c>
      <c r="AP1110" s="192">
        <f t="shared" si="459"/>
        <v>1.0459770114942528</v>
      </c>
      <c r="AQ1110" s="192">
        <f t="shared" si="460"/>
        <v>1.920977011494253</v>
      </c>
      <c r="AR1110" s="192">
        <f t="shared" si="461"/>
        <v>2.4770114942528738</v>
      </c>
      <c r="AS1110" s="192">
        <f t="shared" si="462"/>
        <v>96.477597548927434</v>
      </c>
      <c r="AT1110" s="192">
        <f t="shared" si="463"/>
        <v>6.3606831982342937</v>
      </c>
      <c r="AU1110" s="192">
        <f t="shared" si="464"/>
        <v>102.83828074716173</v>
      </c>
      <c r="AW1110" s="192">
        <f t="shared" si="465"/>
        <v>192.375</v>
      </c>
      <c r="AX1110" s="192">
        <f t="shared" si="466"/>
        <v>-89.536719252838267</v>
      </c>
    </row>
    <row r="1111" spans="1:50" ht="16.5" customHeight="1" x14ac:dyDescent="0.3">
      <c r="A1111" s="257"/>
      <c r="B1111" s="180"/>
      <c r="C1111" s="180"/>
      <c r="D1111" s="180"/>
      <c r="E1111" s="180"/>
      <c r="F1111" s="180"/>
      <c r="G1111" s="180"/>
      <c r="H1111" s="180"/>
      <c r="I1111" s="180"/>
      <c r="J1111" s="180"/>
      <c r="K1111" s="180"/>
      <c r="L1111" s="180"/>
      <c r="M1111" s="180"/>
      <c r="N1111" s="180"/>
      <c r="O1111" s="180"/>
      <c r="P1111" s="180"/>
      <c r="R1111" s="133"/>
      <c r="AC1111" s="4">
        <v>21</v>
      </c>
      <c r="AD1111" s="192">
        <f>IF($AF$1088=1,VLOOKUP($AD$1088,$A$1118:$P$1129,12,FALSE),VLOOKUP($AD$1088,$A$1091:$S$1102,3,FALSE))</f>
        <v>0</v>
      </c>
      <c r="AE1111" s="192">
        <f t="shared" si="448"/>
        <v>12.994252873563219</v>
      </c>
      <c r="AF1111" s="192">
        <f t="shared" si="449"/>
        <v>13.60632183908046</v>
      </c>
      <c r="AG1111" s="192">
        <f t="shared" si="450"/>
        <v>23.038793103448274</v>
      </c>
      <c r="AH1111" s="192">
        <f t="shared" si="451"/>
        <v>0.84541364088145554</v>
      </c>
      <c r="AI1111" s="192">
        <f t="shared" si="452"/>
        <v>6.623563218390804</v>
      </c>
      <c r="AJ1111" s="192">
        <f t="shared" si="453"/>
        <v>5.2959770114942524</v>
      </c>
      <c r="AK1111" s="192">
        <f t="shared" si="454"/>
        <v>8.1824712643678161</v>
      </c>
      <c r="AL1111" s="192">
        <f t="shared" si="455"/>
        <v>8.4626436781609193</v>
      </c>
      <c r="AM1111" s="192">
        <f t="shared" si="456"/>
        <v>2.6824712643678161</v>
      </c>
      <c r="AN1111" s="192">
        <f t="shared" si="457"/>
        <v>3.1609195402298851</v>
      </c>
      <c r="AO1111" s="192">
        <f t="shared" si="458"/>
        <v>6.1408045977011492</v>
      </c>
      <c r="AP1111" s="192">
        <f t="shared" si="459"/>
        <v>1.0459770114942528</v>
      </c>
      <c r="AQ1111" s="192">
        <f t="shared" si="460"/>
        <v>1.920977011494253</v>
      </c>
      <c r="AR1111" s="192">
        <f t="shared" si="461"/>
        <v>2.4770114942528738</v>
      </c>
      <c r="AS1111" s="192">
        <f t="shared" si="462"/>
        <v>96.477597548927434</v>
      </c>
      <c r="AT1111" s="192">
        <f t="shared" si="463"/>
        <v>6.3606831982342937</v>
      </c>
      <c r="AU1111" s="192">
        <f t="shared" si="464"/>
        <v>102.83828074716173</v>
      </c>
      <c r="AW1111" s="192">
        <f t="shared" si="465"/>
        <v>192.375</v>
      </c>
      <c r="AX1111" s="192">
        <f t="shared" si="466"/>
        <v>-89.536719252838267</v>
      </c>
    </row>
    <row r="1112" spans="1:50" ht="16.5" customHeight="1" x14ac:dyDescent="0.3">
      <c r="A1112" s="257"/>
      <c r="B1112" s="415">
        <f>+A5</f>
        <v>2020</v>
      </c>
      <c r="C1112" s="395"/>
      <c r="D1112" s="395"/>
      <c r="E1112" s="395"/>
      <c r="F1112" s="395"/>
      <c r="G1112" s="395"/>
      <c r="H1112" s="395"/>
      <c r="I1112" s="395"/>
      <c r="J1112" s="395"/>
      <c r="K1112" s="395"/>
      <c r="L1112" s="395"/>
      <c r="M1112" s="395"/>
      <c r="N1112" s="395"/>
      <c r="O1112" s="395"/>
      <c r="P1112" s="395"/>
      <c r="R1112" s="133"/>
      <c r="AC1112" s="4">
        <v>22</v>
      </c>
      <c r="AD1112" s="192">
        <f>IF($AF$1088=1,VLOOKUP($AD$1088,$A$1118:$P$1129,12,FALSE),VLOOKUP($AD$1088,$A$1091:$S$1102,3,FALSE))</f>
        <v>0</v>
      </c>
      <c r="AE1112" s="192">
        <f t="shared" si="448"/>
        <v>12.994252873563219</v>
      </c>
      <c r="AF1112" s="192">
        <f t="shared" si="449"/>
        <v>13.60632183908046</v>
      </c>
      <c r="AG1112" s="192">
        <f t="shared" si="450"/>
        <v>23.038793103448274</v>
      </c>
      <c r="AH1112" s="192">
        <f t="shared" si="451"/>
        <v>0.84541364088145554</v>
      </c>
      <c r="AI1112" s="192">
        <f t="shared" si="452"/>
        <v>6.623563218390804</v>
      </c>
      <c r="AJ1112" s="192">
        <f t="shared" si="453"/>
        <v>5.2959770114942524</v>
      </c>
      <c r="AK1112" s="192">
        <f t="shared" si="454"/>
        <v>8.1824712643678161</v>
      </c>
      <c r="AL1112" s="192">
        <f t="shared" si="455"/>
        <v>8.4626436781609193</v>
      </c>
      <c r="AM1112" s="192">
        <f t="shared" si="456"/>
        <v>2.6824712643678161</v>
      </c>
      <c r="AN1112" s="192">
        <f t="shared" si="457"/>
        <v>3.1609195402298851</v>
      </c>
      <c r="AO1112" s="192">
        <f t="shared" si="458"/>
        <v>6.1408045977011492</v>
      </c>
      <c r="AP1112" s="192">
        <f t="shared" si="459"/>
        <v>1.0459770114942528</v>
      </c>
      <c r="AQ1112" s="192">
        <f t="shared" si="460"/>
        <v>1.920977011494253</v>
      </c>
      <c r="AR1112" s="192">
        <f t="shared" si="461"/>
        <v>2.4770114942528738</v>
      </c>
      <c r="AS1112" s="192">
        <f t="shared" si="462"/>
        <v>96.477597548927434</v>
      </c>
      <c r="AT1112" s="192">
        <f t="shared" si="463"/>
        <v>6.3606831982342937</v>
      </c>
      <c r="AU1112" s="192">
        <f t="shared" si="464"/>
        <v>102.83828074716173</v>
      </c>
      <c r="AW1112" s="192">
        <f t="shared" si="465"/>
        <v>192.375</v>
      </c>
      <c r="AX1112" s="192">
        <f t="shared" si="466"/>
        <v>-89.536719252838267</v>
      </c>
    </row>
    <row r="1113" spans="1:50" ht="15.75" customHeight="1" x14ac:dyDescent="0.3">
      <c r="A1113" s="257"/>
      <c r="B1113" s="394" t="s">
        <v>708</v>
      </c>
      <c r="C1113" s="394"/>
      <c r="D1113" s="394"/>
      <c r="E1113" s="394"/>
      <c r="F1113" s="394"/>
      <c r="G1113" s="394"/>
      <c r="H1113" s="394"/>
      <c r="I1113" s="394"/>
      <c r="J1113" s="394"/>
      <c r="K1113" s="394"/>
      <c r="L1113" s="394"/>
      <c r="M1113" s="394"/>
      <c r="N1113" s="394"/>
      <c r="O1113" s="394"/>
      <c r="P1113" s="394"/>
      <c r="R1113" s="133"/>
      <c r="AC1113" s="4">
        <v>23</v>
      </c>
      <c r="AD1113" s="192">
        <f>IF($AF$1088=1,VLOOKUP($AD$1088,$A$1118:$P$1129,12,FALSE),IF(OR($AD$1088="JAN",$AD$1088="FEB",$AD$1088="NOV",$AD$1088="DEC"),VLOOKUP($AD$1088,$A$1091:$S$1102,3,FALSE),VLOOKUP($AD$1088,$A$1091:$S$1102,2,FALSE)))</f>
        <v>0</v>
      </c>
      <c r="AE1113" s="192">
        <f t="shared" si="448"/>
        <v>12.994252873563219</v>
      </c>
      <c r="AF1113" s="192">
        <f t="shared" si="449"/>
        <v>13.60632183908046</v>
      </c>
      <c r="AG1113" s="192">
        <f t="shared" si="450"/>
        <v>23.038793103448274</v>
      </c>
      <c r="AH1113" s="192">
        <f t="shared" si="451"/>
        <v>0.84541364088145554</v>
      </c>
      <c r="AI1113" s="192">
        <f t="shared" si="452"/>
        <v>6.623563218390804</v>
      </c>
      <c r="AJ1113" s="192">
        <f t="shared" si="453"/>
        <v>5.2959770114942524</v>
      </c>
      <c r="AK1113" s="192">
        <f t="shared" si="454"/>
        <v>8.1824712643678161</v>
      </c>
      <c r="AL1113" s="192">
        <f t="shared" si="455"/>
        <v>8.4626436781609193</v>
      </c>
      <c r="AM1113" s="192">
        <f t="shared" si="456"/>
        <v>2.6824712643678161</v>
      </c>
      <c r="AN1113" s="192">
        <f t="shared" si="457"/>
        <v>3.1609195402298851</v>
      </c>
      <c r="AO1113" s="192">
        <f t="shared" si="458"/>
        <v>6.1408045977011492</v>
      </c>
      <c r="AP1113" s="192">
        <f t="shared" si="459"/>
        <v>1.0459770114942528</v>
      </c>
      <c r="AQ1113" s="192">
        <f t="shared" si="460"/>
        <v>1.920977011494253</v>
      </c>
      <c r="AR1113" s="192">
        <f t="shared" si="461"/>
        <v>2.4770114942528738</v>
      </c>
      <c r="AS1113" s="192">
        <f t="shared" si="462"/>
        <v>96.477597548927434</v>
      </c>
      <c r="AT1113" s="192">
        <f t="shared" si="463"/>
        <v>6.3606831982342937</v>
      </c>
      <c r="AU1113" s="192">
        <f t="shared" si="464"/>
        <v>102.83828074716173</v>
      </c>
      <c r="AW1113" s="192">
        <f t="shared" si="465"/>
        <v>192.375</v>
      </c>
      <c r="AX1113" s="192">
        <f t="shared" si="466"/>
        <v>-89.536719252838267</v>
      </c>
    </row>
    <row r="1114" spans="1:50" ht="15.75" customHeight="1" thickBot="1" x14ac:dyDescent="0.35">
      <c r="A1114" s="257"/>
      <c r="R1114" s="133"/>
      <c r="AC1114" s="4">
        <v>24</v>
      </c>
      <c r="AD1114" s="192">
        <f>IF($AF$1088=1,VLOOKUP($AD$1088,$A$1118:$P$1129,12,FALSE),VLOOKUP($AD$1088,$A$1091:$S$1102,2,FALSE))</f>
        <v>98</v>
      </c>
      <c r="AE1114" s="192">
        <f t="shared" si="448"/>
        <v>12.994252873563219</v>
      </c>
      <c r="AF1114" s="192">
        <f t="shared" si="449"/>
        <v>13.60632183908046</v>
      </c>
      <c r="AG1114" s="192">
        <f t="shared" si="450"/>
        <v>23.038793103448274</v>
      </c>
      <c r="AH1114" s="192">
        <f t="shared" si="451"/>
        <v>0.84541364088145554</v>
      </c>
      <c r="AI1114" s="192">
        <f t="shared" si="452"/>
        <v>6.623563218390804</v>
      </c>
      <c r="AJ1114" s="192">
        <f t="shared" si="453"/>
        <v>5.2959770114942524</v>
      </c>
      <c r="AK1114" s="192">
        <f t="shared" si="454"/>
        <v>8.1824712643678161</v>
      </c>
      <c r="AL1114" s="192">
        <f t="shared" si="455"/>
        <v>8.4626436781609193</v>
      </c>
      <c r="AM1114" s="192">
        <f t="shared" si="456"/>
        <v>2.6824712643678161</v>
      </c>
      <c r="AN1114" s="192">
        <f t="shared" si="457"/>
        <v>3.1609195402298851</v>
      </c>
      <c r="AO1114" s="192">
        <f t="shared" si="458"/>
        <v>6.1408045977011492</v>
      </c>
      <c r="AP1114" s="192">
        <f t="shared" si="459"/>
        <v>1.0459770114942528</v>
      </c>
      <c r="AQ1114" s="192">
        <f t="shared" si="460"/>
        <v>1.920977011494253</v>
      </c>
      <c r="AR1114" s="192">
        <f t="shared" si="461"/>
        <v>2.4770114942528738</v>
      </c>
      <c r="AS1114" s="192">
        <f t="shared" si="462"/>
        <v>194.47759754892746</v>
      </c>
      <c r="AT1114" s="192">
        <f t="shared" si="463"/>
        <v>12.821737051807277</v>
      </c>
      <c r="AU1114" s="192">
        <f t="shared" si="464"/>
        <v>207.29933460073474</v>
      </c>
      <c r="AW1114" s="192">
        <f t="shared" si="465"/>
        <v>192.375</v>
      </c>
      <c r="AX1114" s="192">
        <f t="shared" si="466"/>
        <v>14.924334600734738</v>
      </c>
    </row>
    <row r="1115" spans="1:50" ht="15.75" customHeight="1" x14ac:dyDescent="0.3">
      <c r="A1115" s="257"/>
      <c r="B1115" s="435" t="s">
        <v>806</v>
      </c>
      <c r="C1115" s="436"/>
      <c r="D1115" s="436"/>
      <c r="E1115" s="436"/>
      <c r="F1115" s="436"/>
      <c r="G1115" s="436"/>
      <c r="H1115" s="436"/>
      <c r="I1115" s="436"/>
      <c r="J1115" s="436"/>
      <c r="K1115" s="436"/>
      <c r="L1115" s="437"/>
      <c r="M1115" s="438" t="s">
        <v>807</v>
      </c>
      <c r="N1115" s="436"/>
      <c r="O1115" s="436"/>
      <c r="P1115" s="436"/>
      <c r="Q1115" s="192" t="s">
        <v>808</v>
      </c>
      <c r="R1115" s="271" t="s">
        <v>809</v>
      </c>
      <c r="S1115" s="192" t="s">
        <v>810</v>
      </c>
      <c r="T1115" s="192" t="s">
        <v>782</v>
      </c>
      <c r="AC1115" s="4" t="s">
        <v>641</v>
      </c>
      <c r="AD1115" s="192">
        <f>SUM(AD1091:AD1114)</f>
        <v>784</v>
      </c>
      <c r="AE1115" s="192">
        <f>SUM(AE1091:AE1114)</f>
        <v>311.86206896551727</v>
      </c>
      <c r="AF1115" s="192">
        <f t="shared" ref="AF1115:AW1115" si="478">SUM(AF1091:AF1114)</f>
        <v>326.5517241379311</v>
      </c>
      <c r="AG1115" s="192">
        <f t="shared" si="478"/>
        <v>552.93103448275849</v>
      </c>
      <c r="AH1115" s="192">
        <f t="shared" si="478"/>
        <v>20.289927381154936</v>
      </c>
      <c r="AI1115" s="192">
        <f t="shared" si="478"/>
        <v>158.9655172413793</v>
      </c>
      <c r="AJ1115" s="192">
        <f t="shared" si="478"/>
        <v>127.10344827586212</v>
      </c>
      <c r="AK1115" s="192">
        <f t="shared" si="478"/>
        <v>196.37931034482764</v>
      </c>
      <c r="AL1115" s="192">
        <f t="shared" si="478"/>
        <v>203.10344827586212</v>
      </c>
      <c r="AM1115" s="192">
        <f t="shared" si="478"/>
        <v>64.37931034482763</v>
      </c>
      <c r="AN1115" s="192">
        <f t="shared" si="478"/>
        <v>75.862068965517224</v>
      </c>
      <c r="AO1115" s="192">
        <f t="shared" si="478"/>
        <v>147.37931034482762</v>
      </c>
      <c r="AP1115" s="192">
        <f t="shared" si="478"/>
        <v>25.103448275862061</v>
      </c>
      <c r="AQ1115" s="192">
        <f t="shared" si="478"/>
        <v>46.10344827586205</v>
      </c>
      <c r="AR1115" s="192">
        <f t="shared" si="478"/>
        <v>59.44827586206894</v>
      </c>
      <c r="AS1115" s="192">
        <f t="shared" si="478"/>
        <v>3099.4623411742582</v>
      </c>
      <c r="AT1115" s="192">
        <f t="shared" si="478"/>
        <v>204.34482758620686</v>
      </c>
      <c r="AU1115" s="192">
        <f t="shared" si="478"/>
        <v>3303.8071687604647</v>
      </c>
      <c r="AW1115" s="192">
        <f t="shared" si="478"/>
        <v>4617</v>
      </c>
      <c r="AX1115" s="192">
        <f>SUMIF(AX1091:AX1114,"&gt;0")</f>
        <v>119.39467680587791</v>
      </c>
    </row>
    <row r="1116" spans="1:50" ht="15.75" customHeight="1" thickBot="1" x14ac:dyDescent="0.35">
      <c r="A1116" s="257" t="s">
        <v>768</v>
      </c>
      <c r="B1116" s="274" t="s">
        <v>811</v>
      </c>
      <c r="C1116" s="275" t="s">
        <v>791</v>
      </c>
      <c r="D1116" s="275" t="s">
        <v>792</v>
      </c>
      <c r="E1116" s="275" t="s">
        <v>812</v>
      </c>
      <c r="F1116" s="275" t="s">
        <v>791</v>
      </c>
      <c r="G1116" s="275" t="s">
        <v>792</v>
      </c>
      <c r="H1116" s="275" t="s">
        <v>793</v>
      </c>
      <c r="I1116" s="275" t="s">
        <v>791</v>
      </c>
      <c r="J1116" s="275" t="s">
        <v>792</v>
      </c>
      <c r="K1116" s="275" t="s">
        <v>793</v>
      </c>
      <c r="L1116" s="276" t="s">
        <v>813</v>
      </c>
      <c r="M1116" s="274" t="s">
        <v>814</v>
      </c>
      <c r="N1116" s="275" t="s">
        <v>791</v>
      </c>
      <c r="O1116" s="275" t="s">
        <v>791</v>
      </c>
      <c r="P1116" s="276" t="s">
        <v>813</v>
      </c>
      <c r="Q1116" s="277" t="s">
        <v>641</v>
      </c>
      <c r="R1116" s="278" t="s">
        <v>815</v>
      </c>
      <c r="S1116" s="275" t="s">
        <v>816</v>
      </c>
      <c r="T1116" s="275" t="s">
        <v>816</v>
      </c>
      <c r="AU1116" s="192"/>
      <c r="AW1116" s="192"/>
      <c r="AX1116" s="192"/>
    </row>
    <row r="1117" spans="1:50" ht="15.75" customHeight="1" thickTop="1" thickBot="1" x14ac:dyDescent="0.35">
      <c r="A1117" s="257"/>
      <c r="B1117" s="279"/>
      <c r="C1117" s="280" t="s">
        <v>817</v>
      </c>
      <c r="D1117" s="280" t="s">
        <v>817</v>
      </c>
      <c r="E1117" s="280" t="s">
        <v>817</v>
      </c>
      <c r="F1117" s="281" t="s">
        <v>779</v>
      </c>
      <c r="G1117" s="281" t="s">
        <v>779</v>
      </c>
      <c r="H1117" s="281" t="s">
        <v>779</v>
      </c>
      <c r="I1117" s="281" t="s">
        <v>818</v>
      </c>
      <c r="J1117" s="281" t="s">
        <v>818</v>
      </c>
      <c r="K1117" s="281" t="s">
        <v>818</v>
      </c>
      <c r="L1117" s="282" t="s">
        <v>819</v>
      </c>
      <c r="M1117" s="283"/>
      <c r="N1117" s="280" t="s">
        <v>817</v>
      </c>
      <c r="O1117" s="281" t="s">
        <v>779</v>
      </c>
      <c r="P1117" s="282" t="s">
        <v>818</v>
      </c>
      <c r="Q1117" s="277" t="s">
        <v>818</v>
      </c>
      <c r="R1117" s="278" t="s">
        <v>818</v>
      </c>
      <c r="S1117" s="281" t="s">
        <v>820</v>
      </c>
      <c r="T1117" s="281" t="s">
        <v>820</v>
      </c>
    </row>
    <row r="1118" spans="1:50" ht="15.75" customHeight="1" x14ac:dyDescent="0.3">
      <c r="A1118" s="257" t="s">
        <v>8</v>
      </c>
      <c r="B1118" s="211" t="e">
        <f ca="1">+$B$10-M1118</f>
        <v>#NAME?</v>
      </c>
      <c r="C1118" s="284">
        <v>4</v>
      </c>
      <c r="D1118" s="284">
        <v>0</v>
      </c>
      <c r="E1118" s="284" t="s">
        <v>803</v>
      </c>
      <c r="F1118" s="192">
        <f>+I1118/(24-S1118)</f>
        <v>196</v>
      </c>
      <c r="G1118" s="192">
        <f>+J1118/S1118</f>
        <v>0</v>
      </c>
      <c r="H1118" s="192" t="s">
        <v>803</v>
      </c>
      <c r="I1118" s="192">
        <f>+C1118*49*(24-S1118)</f>
        <v>3724</v>
      </c>
      <c r="J1118" s="192">
        <f>+D1118*49*S1118</f>
        <v>0</v>
      </c>
      <c r="K1118" s="192" t="s">
        <v>803</v>
      </c>
      <c r="L1118" s="271">
        <f>+J1118+I1118</f>
        <v>3724</v>
      </c>
      <c r="M1118" s="211" t="e">
        <f ca="1">SUMPRODUCT(--(WEEKDAY(ROW(INDIRECT(DATE($B$1112,MonthFromText(A1118),1)&amp;":"&amp;DATE($B$1112,MonthFromText(A1118),$B$10))),1)=1))</f>
        <v>#NAME?</v>
      </c>
      <c r="N1118" s="284">
        <v>4</v>
      </c>
      <c r="O1118" s="4">
        <f>+P1118/(24-T1118)</f>
        <v>196</v>
      </c>
      <c r="P1118" s="271">
        <f>+N1118*49*(24-T1118)</f>
        <v>3724</v>
      </c>
      <c r="Q1118" s="192" t="e">
        <f ca="1">+(L1118*B1118)+(M1118*P1118)</f>
        <v>#NAME?</v>
      </c>
      <c r="R1118" s="271" t="e">
        <f ca="1">+Q1118-B1011</f>
        <v>#NAME?</v>
      </c>
      <c r="S1118" s="285">
        <v>5</v>
      </c>
      <c r="T1118" s="285">
        <v>5</v>
      </c>
      <c r="AD1118" s="360"/>
      <c r="AE1118" s="359"/>
      <c r="AF1118" s="366" t="s">
        <v>821</v>
      </c>
      <c r="AG1118" s="367" t="s">
        <v>822</v>
      </c>
      <c r="AH1118" s="367" t="s">
        <v>823</v>
      </c>
      <c r="AI1118" s="367" t="s">
        <v>824</v>
      </c>
      <c r="AJ1118" s="358"/>
    </row>
    <row r="1119" spans="1:50" ht="15.75" customHeight="1" x14ac:dyDescent="0.3">
      <c r="A1119" s="257" t="s">
        <v>9</v>
      </c>
      <c r="B1119" s="211" t="e">
        <f ca="1">+$C$10-M1119</f>
        <v>#NAME?</v>
      </c>
      <c r="C1119" s="284">
        <v>2</v>
      </c>
      <c r="D1119" s="284">
        <v>0</v>
      </c>
      <c r="E1119" s="284" t="s">
        <v>803</v>
      </c>
      <c r="F1119" s="192">
        <f t="shared" ref="F1119:F1129" si="479">+I1119/(24-S1119)</f>
        <v>98</v>
      </c>
      <c r="G1119" s="192">
        <f t="shared" ref="G1119:G1129" si="480">+J1119/S1119</f>
        <v>0</v>
      </c>
      <c r="H1119" s="192" t="s">
        <v>803</v>
      </c>
      <c r="I1119" s="192">
        <f t="shared" ref="I1119:I1129" si="481">+C1119*49*(24-S1119)</f>
        <v>1862</v>
      </c>
      <c r="J1119" s="192">
        <f t="shared" ref="J1119:J1129" si="482">+D1119*49*S1119</f>
        <v>0</v>
      </c>
      <c r="K1119" s="192" t="s">
        <v>803</v>
      </c>
      <c r="L1119" s="271">
        <f t="shared" ref="L1119:L1129" si="483">+J1119+I1119</f>
        <v>1862</v>
      </c>
      <c r="M1119" s="211" t="e">
        <f ca="1">SUMPRODUCT(--(WEEKDAY(ROW(INDIRECT(DATE($B$1112,MonthFromText(A1119),1)&amp;":"&amp;DATE($B$1112,MonthFromText(A1119),$C$10))),1)=1))</f>
        <v>#NAME?</v>
      </c>
      <c r="N1119" s="284">
        <f t="shared" ref="N1119:N1127" si="484">+C1119</f>
        <v>2</v>
      </c>
      <c r="O1119" s="4">
        <f t="shared" ref="O1119:O1129" si="485">+P1119/24</f>
        <v>98</v>
      </c>
      <c r="P1119" s="271">
        <f t="shared" ref="P1119:P1129" si="486">+N1119*49*24</f>
        <v>2352</v>
      </c>
      <c r="Q1119" s="192" t="e">
        <f ca="1">+(L1119*B1119)+(M1119*P1119)</f>
        <v>#NAME?</v>
      </c>
      <c r="R1119" s="271" t="e">
        <f t="shared" ref="R1119:R1129" ca="1" si="487">+Q1119-B1012</f>
        <v>#NAME?</v>
      </c>
      <c r="S1119" s="285">
        <v>5</v>
      </c>
      <c r="T1119" s="285">
        <v>5</v>
      </c>
      <c r="AD1119" s="288" t="s">
        <v>668</v>
      </c>
      <c r="AE1119" s="289" t="s">
        <v>825</v>
      </c>
      <c r="AF1119" s="4">
        <f>V1091</f>
        <v>242.40591397849462</v>
      </c>
      <c r="AG1119" s="4">
        <f>X1091</f>
        <v>5.9077611748835901</v>
      </c>
      <c r="AH1119" s="4">
        <f>Y1091</f>
        <v>0</v>
      </c>
      <c r="AI1119" s="4">
        <f>Z1091</f>
        <v>27.3508064516129</v>
      </c>
      <c r="AJ1119" s="133"/>
    </row>
    <row r="1120" spans="1:50" ht="16.5" customHeight="1" x14ac:dyDescent="0.3">
      <c r="A1120" s="257" t="s">
        <v>10</v>
      </c>
      <c r="B1120" s="211" t="e">
        <f ca="1">+$D$10-M1120</f>
        <v>#NAME?</v>
      </c>
      <c r="C1120" s="284">
        <v>6</v>
      </c>
      <c r="D1120" s="284">
        <v>0</v>
      </c>
      <c r="E1120" s="284" t="s">
        <v>803</v>
      </c>
      <c r="F1120" s="192">
        <f t="shared" si="479"/>
        <v>294</v>
      </c>
      <c r="G1120" s="192">
        <f t="shared" si="480"/>
        <v>0</v>
      </c>
      <c r="H1120" s="192" t="s">
        <v>803</v>
      </c>
      <c r="I1120" s="192">
        <f t="shared" si="481"/>
        <v>5586</v>
      </c>
      <c r="J1120" s="192">
        <f t="shared" si="482"/>
        <v>0</v>
      </c>
      <c r="K1120" s="192" t="s">
        <v>803</v>
      </c>
      <c r="L1120" s="271">
        <f t="shared" si="483"/>
        <v>5586</v>
      </c>
      <c r="M1120" s="211" t="e">
        <f ca="1">SUMPRODUCT(--(WEEKDAY(ROW(INDIRECT(DATE($B$1112,MonthFromText(A1120),1)&amp;":"&amp;DATE($B$1112,MonthFromText(A1120),$D$10))),1)=1))</f>
        <v>#NAME?</v>
      </c>
      <c r="N1120" s="284">
        <v>3</v>
      </c>
      <c r="O1120" s="4">
        <f t="shared" si="485"/>
        <v>147</v>
      </c>
      <c r="P1120" s="271">
        <f t="shared" si="486"/>
        <v>3528</v>
      </c>
      <c r="Q1120" s="192" t="e">
        <f t="shared" ref="Q1120:Q1129" ca="1" si="488">+(L1120*B1120)+(M1120*P1120)</f>
        <v>#NAME?</v>
      </c>
      <c r="R1120" s="271" t="e">
        <f t="shared" ca="1" si="487"/>
        <v>#NAME?</v>
      </c>
      <c r="S1120" s="285">
        <v>5</v>
      </c>
      <c r="T1120" s="285">
        <v>5</v>
      </c>
      <c r="AD1120" s="288"/>
      <c r="AE1120" s="289" t="s">
        <v>816</v>
      </c>
      <c r="AF1120" s="4">
        <f>W1091</f>
        <v>46.405913978494624</v>
      </c>
      <c r="AG1120" s="4">
        <f>X1091</f>
        <v>5.9077611748835901</v>
      </c>
      <c r="AH1120" s="4">
        <f>Y1091</f>
        <v>0</v>
      </c>
      <c r="AI1120" s="4">
        <f>Z1091</f>
        <v>27.3508064516129</v>
      </c>
      <c r="AJ1120" s="133"/>
    </row>
    <row r="1121" spans="1:36" ht="16.5" customHeight="1" x14ac:dyDescent="0.3">
      <c r="A1121" s="257" t="s">
        <v>12</v>
      </c>
      <c r="B1121" s="211" t="e">
        <f ca="1">+$F$10-M1121</f>
        <v>#NAME?</v>
      </c>
      <c r="C1121" s="284">
        <v>6</v>
      </c>
      <c r="D1121" s="284">
        <v>0</v>
      </c>
      <c r="E1121" s="284" t="s">
        <v>803</v>
      </c>
      <c r="F1121" s="192">
        <f t="shared" si="479"/>
        <v>294</v>
      </c>
      <c r="G1121" s="192">
        <f t="shared" si="480"/>
        <v>0</v>
      </c>
      <c r="H1121" s="192" t="s">
        <v>803</v>
      </c>
      <c r="I1121" s="192">
        <f t="shared" si="481"/>
        <v>5586</v>
      </c>
      <c r="J1121" s="192">
        <f t="shared" si="482"/>
        <v>0</v>
      </c>
      <c r="K1121" s="192" t="s">
        <v>803</v>
      </c>
      <c r="L1121" s="271">
        <f t="shared" si="483"/>
        <v>5586</v>
      </c>
      <c r="M1121" s="211" t="e">
        <f ca="1">SUMPRODUCT(--(WEEKDAY(ROW(INDIRECT(DATE($B$1112,MonthFromText(A1121),1)&amp;":"&amp;DATE($B$1112,MonthFromText(A1121),$F$10))),1)=1))</f>
        <v>#NAME?</v>
      </c>
      <c r="N1121" s="284">
        <v>5</v>
      </c>
      <c r="O1121" s="4">
        <f t="shared" si="485"/>
        <v>245</v>
      </c>
      <c r="P1121" s="271">
        <f t="shared" si="486"/>
        <v>5880</v>
      </c>
      <c r="Q1121" s="192" t="e">
        <f t="shared" ca="1" si="488"/>
        <v>#NAME?</v>
      </c>
      <c r="R1121" s="271" t="e">
        <f t="shared" ca="1" si="487"/>
        <v>#NAME?</v>
      </c>
      <c r="S1121" s="285">
        <v>5</v>
      </c>
      <c r="T1121" s="285">
        <v>5</v>
      </c>
      <c r="AD1121" s="288" t="s">
        <v>826</v>
      </c>
      <c r="AE1121" s="289" t="s">
        <v>7</v>
      </c>
      <c r="AJ1121" s="133"/>
    </row>
    <row r="1122" spans="1:36" ht="15.75" customHeight="1" x14ac:dyDescent="0.3">
      <c r="A1122" s="257" t="s">
        <v>13</v>
      </c>
      <c r="B1122" s="211" t="e">
        <f ca="1">+$G$10-M1122</f>
        <v>#NAME?</v>
      </c>
      <c r="C1122" s="284">
        <v>6</v>
      </c>
      <c r="D1122" s="284">
        <v>0</v>
      </c>
      <c r="E1122" s="284" t="s">
        <v>803</v>
      </c>
      <c r="F1122" s="192">
        <f t="shared" si="479"/>
        <v>294</v>
      </c>
      <c r="G1122" s="192">
        <f t="shared" si="480"/>
        <v>0</v>
      </c>
      <c r="H1122" s="192" t="s">
        <v>803</v>
      </c>
      <c r="I1122" s="192">
        <f t="shared" si="481"/>
        <v>5586</v>
      </c>
      <c r="J1122" s="192">
        <f t="shared" si="482"/>
        <v>0</v>
      </c>
      <c r="K1122" s="192" t="s">
        <v>803</v>
      </c>
      <c r="L1122" s="271">
        <f t="shared" si="483"/>
        <v>5586</v>
      </c>
      <c r="M1122" s="211" t="e">
        <f ca="1">SUMPRODUCT(--(WEEKDAY(ROW(INDIRECT(DATE($B$1112,MonthFromText(A1122),1)&amp;":"&amp;DATE($B$1112,MonthFromText(A1122),$G$10))),1)=1))</f>
        <v>#NAME?</v>
      </c>
      <c r="N1122" s="284">
        <f t="shared" si="484"/>
        <v>6</v>
      </c>
      <c r="O1122" s="4">
        <f t="shared" si="485"/>
        <v>294</v>
      </c>
      <c r="P1122" s="271">
        <f t="shared" si="486"/>
        <v>7056</v>
      </c>
      <c r="Q1122" s="192" t="e">
        <f t="shared" ca="1" si="488"/>
        <v>#NAME?</v>
      </c>
      <c r="R1122" s="271" t="e">
        <f t="shared" ca="1" si="487"/>
        <v>#NAME?</v>
      </c>
      <c r="S1122" s="285">
        <v>5</v>
      </c>
      <c r="T1122" s="285">
        <v>5</v>
      </c>
      <c r="AD1122" s="288" t="s">
        <v>669</v>
      </c>
      <c r="AE1122" s="289" t="s">
        <v>825</v>
      </c>
      <c r="AF1122" s="4">
        <f>V1092</f>
        <v>147.63936781609195</v>
      </c>
      <c r="AG1122" s="4">
        <f>X1092</f>
        <v>0.84541364088145554</v>
      </c>
      <c r="AH1122" s="4">
        <f>Y1092</f>
        <v>0</v>
      </c>
      <c r="AI1122" s="4">
        <f>Z1092</f>
        <v>45.992816091954012</v>
      </c>
      <c r="AJ1122" s="133"/>
    </row>
    <row r="1123" spans="1:36" ht="15.75" customHeight="1" x14ac:dyDescent="0.3">
      <c r="A1123" s="257" t="s">
        <v>14</v>
      </c>
      <c r="B1123" s="211" t="e">
        <f ca="1">+$H$10-M1123</f>
        <v>#NAME?</v>
      </c>
      <c r="C1123" s="284">
        <v>3</v>
      </c>
      <c r="D1123" s="284">
        <v>0</v>
      </c>
      <c r="E1123" s="284">
        <v>0</v>
      </c>
      <c r="F1123" s="192">
        <f t="shared" si="479"/>
        <v>147</v>
      </c>
      <c r="G1123" s="192">
        <f t="shared" si="480"/>
        <v>0</v>
      </c>
      <c r="H1123" s="192" t="s">
        <v>803</v>
      </c>
      <c r="I1123" s="192">
        <f t="shared" si="481"/>
        <v>2205</v>
      </c>
      <c r="J1123" s="192">
        <f t="shared" si="482"/>
        <v>0</v>
      </c>
      <c r="K1123" s="192" t="s">
        <v>803</v>
      </c>
      <c r="L1123" s="271">
        <f t="shared" si="483"/>
        <v>2205</v>
      </c>
      <c r="M1123" s="211" t="e">
        <f ca="1">SUMPRODUCT(--(WEEKDAY(ROW(INDIRECT(DATE($B$1112,MonthFromText(A1123),1)&amp;":"&amp;DATE($B$1112,MonthFromText(A1123),$H$10))),1)=1))</f>
        <v>#NAME?</v>
      </c>
      <c r="N1123" s="284">
        <f t="shared" si="484"/>
        <v>3</v>
      </c>
      <c r="O1123" s="4">
        <f t="shared" si="485"/>
        <v>147</v>
      </c>
      <c r="P1123" s="271">
        <f t="shared" si="486"/>
        <v>3528</v>
      </c>
      <c r="Q1123" s="192" t="e">
        <f ca="1">+(L1123*B1123)+(M1123*P1123)</f>
        <v>#NAME?</v>
      </c>
      <c r="R1123" s="271" t="e">
        <f t="shared" ca="1" si="487"/>
        <v>#NAME?</v>
      </c>
      <c r="S1123" s="285">
        <v>9</v>
      </c>
      <c r="T1123" s="285">
        <v>9</v>
      </c>
      <c r="AD1123" s="288"/>
      <c r="AE1123" s="289" t="s">
        <v>816</v>
      </c>
      <c r="AF1123" s="4">
        <f>W1092</f>
        <v>49.639367816091948</v>
      </c>
      <c r="AG1123" s="4">
        <f>X1092</f>
        <v>0.84541364088145554</v>
      </c>
      <c r="AH1123" s="4">
        <f>Y1092</f>
        <v>0</v>
      </c>
      <c r="AI1123" s="4">
        <f>Z1092</f>
        <v>45.992816091954012</v>
      </c>
      <c r="AJ1123" s="133"/>
    </row>
    <row r="1124" spans="1:36" ht="15.75" customHeight="1" x14ac:dyDescent="0.3">
      <c r="A1124" s="257" t="s">
        <v>16</v>
      </c>
      <c r="B1124" s="211" t="e">
        <f ca="1">+$J$10-M1124</f>
        <v>#NAME?</v>
      </c>
      <c r="C1124" s="284">
        <v>3</v>
      </c>
      <c r="D1124" s="284">
        <v>0</v>
      </c>
      <c r="E1124" s="284">
        <v>0</v>
      </c>
      <c r="F1124" s="192">
        <f t="shared" si="479"/>
        <v>147</v>
      </c>
      <c r="G1124" s="192">
        <f t="shared" si="480"/>
        <v>0</v>
      </c>
      <c r="H1124" s="192" t="s">
        <v>803</v>
      </c>
      <c r="I1124" s="192">
        <f t="shared" si="481"/>
        <v>2205</v>
      </c>
      <c r="J1124" s="192">
        <f t="shared" si="482"/>
        <v>0</v>
      </c>
      <c r="K1124" s="192" t="s">
        <v>803</v>
      </c>
      <c r="L1124" s="271">
        <f t="shared" si="483"/>
        <v>2205</v>
      </c>
      <c r="M1124" s="211" t="e">
        <f ca="1">SUMPRODUCT(--(WEEKDAY(ROW(INDIRECT(DATE($B$1112,MonthFromText(A1124),1)&amp;":"&amp;DATE($B$1112,MonthFromText(A1124),$J$10))),1)=1))</f>
        <v>#NAME?</v>
      </c>
      <c r="N1124" s="284">
        <f t="shared" si="484"/>
        <v>3</v>
      </c>
      <c r="O1124" s="4">
        <f t="shared" si="485"/>
        <v>147</v>
      </c>
      <c r="P1124" s="271">
        <f t="shared" si="486"/>
        <v>3528</v>
      </c>
      <c r="Q1124" s="192" t="e">
        <f t="shared" ca="1" si="488"/>
        <v>#NAME?</v>
      </c>
      <c r="R1124" s="271" t="e">
        <f t="shared" ca="1" si="487"/>
        <v>#NAME?</v>
      </c>
      <c r="S1124" s="285">
        <v>9</v>
      </c>
      <c r="T1124" s="285">
        <v>9</v>
      </c>
      <c r="AD1124" s="288" t="s">
        <v>826</v>
      </c>
      <c r="AE1124" s="289" t="s">
        <v>7</v>
      </c>
      <c r="AJ1124" s="133"/>
    </row>
    <row r="1125" spans="1:36" ht="15.75" customHeight="1" x14ac:dyDescent="0.3">
      <c r="A1125" s="257" t="s">
        <v>17</v>
      </c>
      <c r="B1125" s="211" t="e">
        <f ca="1">+$K$10-M1125</f>
        <v>#NAME?</v>
      </c>
      <c r="C1125" s="284">
        <v>3</v>
      </c>
      <c r="D1125" s="284">
        <v>0</v>
      </c>
      <c r="E1125" s="284">
        <v>0</v>
      </c>
      <c r="F1125" s="192">
        <f t="shared" si="479"/>
        <v>147</v>
      </c>
      <c r="G1125" s="192">
        <f t="shared" si="480"/>
        <v>0</v>
      </c>
      <c r="H1125" s="192" t="s">
        <v>803</v>
      </c>
      <c r="I1125" s="192">
        <f t="shared" si="481"/>
        <v>2205</v>
      </c>
      <c r="J1125" s="192">
        <f t="shared" si="482"/>
        <v>0</v>
      </c>
      <c r="K1125" s="192" t="s">
        <v>803</v>
      </c>
      <c r="L1125" s="271">
        <f t="shared" si="483"/>
        <v>2205</v>
      </c>
      <c r="M1125" s="211" t="e">
        <f ca="1">SUMPRODUCT(--(WEEKDAY(ROW(INDIRECT(DATE($B$1112,MonthFromText(A1125),1)&amp;":"&amp;DATE($B$1112,MonthFromText(A1125),$K$10))),1)=1))</f>
        <v>#NAME?</v>
      </c>
      <c r="N1125" s="284">
        <f t="shared" si="484"/>
        <v>3</v>
      </c>
      <c r="O1125" s="4">
        <f t="shared" si="485"/>
        <v>147</v>
      </c>
      <c r="P1125" s="271">
        <f t="shared" si="486"/>
        <v>3528</v>
      </c>
      <c r="Q1125" s="192" t="e">
        <f t="shared" ca="1" si="488"/>
        <v>#NAME?</v>
      </c>
      <c r="R1125" s="271" t="e">
        <f t="shared" ca="1" si="487"/>
        <v>#NAME?</v>
      </c>
      <c r="S1125" s="285">
        <v>9</v>
      </c>
      <c r="T1125" s="285">
        <v>9</v>
      </c>
      <c r="AD1125" s="288" t="s">
        <v>671</v>
      </c>
      <c r="AE1125" s="289" t="s">
        <v>825</v>
      </c>
      <c r="AF1125" s="4">
        <f>V1093</f>
        <v>353.27284946236557</v>
      </c>
      <c r="AG1125" s="4">
        <f>X1093</f>
        <v>6.8774909742756414</v>
      </c>
      <c r="AH1125" s="4">
        <f>Y1093</f>
        <v>-4.1079551255560673</v>
      </c>
      <c r="AI1125" s="4">
        <f>Z1093</f>
        <v>52.637096774193544</v>
      </c>
      <c r="AJ1125" s="133"/>
    </row>
    <row r="1126" spans="1:36" ht="15.75" customHeight="1" x14ac:dyDescent="0.3">
      <c r="A1126" s="257" t="s">
        <v>18</v>
      </c>
      <c r="B1126" s="211" t="e">
        <f ca="1">+$L$10-M1126</f>
        <v>#NAME?</v>
      </c>
      <c r="C1126" s="284">
        <v>5</v>
      </c>
      <c r="D1126" s="284">
        <v>0</v>
      </c>
      <c r="E1126" s="284" t="s">
        <v>803</v>
      </c>
      <c r="F1126" s="192">
        <f t="shared" si="479"/>
        <v>245</v>
      </c>
      <c r="G1126" s="192">
        <f t="shared" si="480"/>
        <v>0</v>
      </c>
      <c r="H1126" s="192" t="s">
        <v>803</v>
      </c>
      <c r="I1126" s="192">
        <f t="shared" si="481"/>
        <v>4410</v>
      </c>
      <c r="J1126" s="192">
        <f t="shared" si="482"/>
        <v>0</v>
      </c>
      <c r="K1126" s="192" t="s">
        <v>803</v>
      </c>
      <c r="L1126" s="271">
        <f t="shared" si="483"/>
        <v>4410</v>
      </c>
      <c r="M1126" s="211" t="e">
        <f ca="1">SUMPRODUCT(--(WEEKDAY(ROW(INDIRECT(DATE($B$1112,MonthFromText(A1126),1)&amp;":"&amp;DATE($B$1112,MonthFromText(A1126),$L$10))),1)=1))</f>
        <v>#NAME?</v>
      </c>
      <c r="N1126" s="284">
        <f t="shared" si="484"/>
        <v>5</v>
      </c>
      <c r="O1126" s="4">
        <f t="shared" si="485"/>
        <v>245</v>
      </c>
      <c r="P1126" s="271">
        <f t="shared" si="486"/>
        <v>5880</v>
      </c>
      <c r="Q1126" s="192" t="e">
        <f t="shared" ca="1" si="488"/>
        <v>#NAME?</v>
      </c>
      <c r="R1126" s="271" t="e">
        <f t="shared" ca="1" si="487"/>
        <v>#NAME?</v>
      </c>
      <c r="S1126" s="285">
        <v>6</v>
      </c>
      <c r="T1126" s="285">
        <v>4</v>
      </c>
      <c r="AD1126" s="288"/>
      <c r="AE1126" s="289" t="s">
        <v>816</v>
      </c>
      <c r="AF1126" s="4">
        <f>W1093</f>
        <v>59.272849462365592</v>
      </c>
      <c r="AG1126" s="4">
        <f>X1093</f>
        <v>6.8774909742756414</v>
      </c>
      <c r="AH1126" s="4">
        <f>Y1093</f>
        <v>-4.1079551255560673</v>
      </c>
      <c r="AI1126" s="4">
        <f>Z1093</f>
        <v>52.637096774193544</v>
      </c>
      <c r="AJ1126" s="133"/>
    </row>
    <row r="1127" spans="1:36" ht="15.75" customHeight="1" x14ac:dyDescent="0.3">
      <c r="A1127" s="257" t="s">
        <v>20</v>
      </c>
      <c r="B1127" s="211" t="e">
        <f ca="1">+$N$10-M1127</f>
        <v>#NAME?</v>
      </c>
      <c r="C1127" s="284">
        <v>5</v>
      </c>
      <c r="D1127" s="284">
        <v>0</v>
      </c>
      <c r="E1127" s="284" t="s">
        <v>803</v>
      </c>
      <c r="F1127" s="192">
        <f t="shared" si="479"/>
        <v>245</v>
      </c>
      <c r="G1127" s="192">
        <f t="shared" si="480"/>
        <v>0</v>
      </c>
      <c r="H1127" s="192" t="s">
        <v>803</v>
      </c>
      <c r="I1127" s="192">
        <f t="shared" si="481"/>
        <v>4410</v>
      </c>
      <c r="J1127" s="192">
        <f t="shared" si="482"/>
        <v>0</v>
      </c>
      <c r="K1127" s="192" t="s">
        <v>803</v>
      </c>
      <c r="L1127" s="271">
        <f t="shared" si="483"/>
        <v>4410</v>
      </c>
      <c r="M1127" s="211" t="e">
        <f ca="1">SUMPRODUCT(--(WEEKDAY(ROW(INDIRECT(DATE($B$1112,MonthFromText(A1127),1)&amp;":"&amp;DATE($B$1112,MonthFromText(A1127),$N$10))),1)=1))</f>
        <v>#NAME?</v>
      </c>
      <c r="N1127" s="284">
        <f t="shared" si="484"/>
        <v>5</v>
      </c>
      <c r="O1127" s="4">
        <f t="shared" si="485"/>
        <v>245</v>
      </c>
      <c r="P1127" s="271">
        <f t="shared" si="486"/>
        <v>5880</v>
      </c>
      <c r="Q1127" s="192" t="e">
        <f t="shared" ca="1" si="488"/>
        <v>#NAME?</v>
      </c>
      <c r="R1127" s="271" t="e">
        <f t="shared" ca="1" si="487"/>
        <v>#NAME?</v>
      </c>
      <c r="S1127" s="285">
        <v>6</v>
      </c>
      <c r="T1127" s="285">
        <v>4</v>
      </c>
      <c r="AD1127" s="288" t="s">
        <v>826</v>
      </c>
      <c r="AE1127" s="289" t="s">
        <v>7</v>
      </c>
      <c r="AJ1127" s="133"/>
    </row>
    <row r="1128" spans="1:36" ht="15.75" customHeight="1" x14ac:dyDescent="0.3">
      <c r="A1128" s="257" t="s">
        <v>21</v>
      </c>
      <c r="B1128" s="211" t="e">
        <f ca="1">+$O$10-M1128</f>
        <v>#NAME?</v>
      </c>
      <c r="C1128" s="284">
        <v>5</v>
      </c>
      <c r="D1128" s="284">
        <v>0</v>
      </c>
      <c r="E1128" s="284" t="s">
        <v>803</v>
      </c>
      <c r="F1128" s="192">
        <f t="shared" si="479"/>
        <v>245</v>
      </c>
      <c r="G1128" s="192">
        <f t="shared" si="480"/>
        <v>0</v>
      </c>
      <c r="H1128" s="192" t="s">
        <v>803</v>
      </c>
      <c r="I1128" s="192">
        <f t="shared" si="481"/>
        <v>4410</v>
      </c>
      <c r="J1128" s="192">
        <f t="shared" si="482"/>
        <v>0</v>
      </c>
      <c r="K1128" s="192" t="s">
        <v>803</v>
      </c>
      <c r="L1128" s="271">
        <f t="shared" si="483"/>
        <v>4410</v>
      </c>
      <c r="M1128" s="211" t="e">
        <f ca="1">SUMPRODUCT(--(WEEKDAY(ROW(INDIRECT(DATE($B$1112,MonthFromText(A1128),1)&amp;":"&amp;DATE($B$1112,MonthFromText(A1128),$O$10))),1)=1))</f>
        <v>#NAME?</v>
      </c>
      <c r="N1128" s="284">
        <v>3</v>
      </c>
      <c r="O1128" s="4">
        <f t="shared" si="485"/>
        <v>147</v>
      </c>
      <c r="P1128" s="271">
        <f t="shared" si="486"/>
        <v>3528</v>
      </c>
      <c r="Q1128" s="192" t="e">
        <f t="shared" ca="1" si="488"/>
        <v>#NAME?</v>
      </c>
      <c r="R1128" s="271" t="e">
        <f t="shared" ca="1" si="487"/>
        <v>#NAME?</v>
      </c>
      <c r="S1128" s="285">
        <v>6</v>
      </c>
      <c r="T1128" s="285">
        <v>4</v>
      </c>
      <c r="AD1128" s="288" t="s">
        <v>672</v>
      </c>
      <c r="AE1128" s="289" t="s">
        <v>825</v>
      </c>
      <c r="AF1128" s="4">
        <f>V1094</f>
        <v>390.95138888888891</v>
      </c>
      <c r="AG1128" s="4">
        <f>X1094</f>
        <v>1.104631323793656</v>
      </c>
      <c r="AH1128" s="4">
        <f>Y1094</f>
        <v>0</v>
      </c>
      <c r="AI1128" s="4">
        <f>Z1094</f>
        <v>70.04583333333332</v>
      </c>
      <c r="AJ1128" s="133"/>
    </row>
    <row r="1129" spans="1:36" ht="15.75" customHeight="1" thickBot="1" x14ac:dyDescent="0.35">
      <c r="A1129" s="257" t="s">
        <v>22</v>
      </c>
      <c r="B1129" s="220" t="e">
        <f ca="1">+$P$10-M1129</f>
        <v>#NAME?</v>
      </c>
      <c r="C1129" s="290">
        <v>5</v>
      </c>
      <c r="D1129" s="290">
        <v>0</v>
      </c>
      <c r="E1129" s="284" t="s">
        <v>803</v>
      </c>
      <c r="F1129" s="192">
        <f t="shared" si="479"/>
        <v>245</v>
      </c>
      <c r="G1129" s="192">
        <f t="shared" si="480"/>
        <v>0</v>
      </c>
      <c r="H1129" s="192" t="s">
        <v>803</v>
      </c>
      <c r="I1129" s="192">
        <f t="shared" si="481"/>
        <v>4410</v>
      </c>
      <c r="J1129" s="192">
        <f t="shared" si="482"/>
        <v>0</v>
      </c>
      <c r="K1129" s="192" t="s">
        <v>803</v>
      </c>
      <c r="L1129" s="271">
        <f t="shared" si="483"/>
        <v>4410</v>
      </c>
      <c r="M1129" s="220" t="e">
        <f ca="1">SUMPRODUCT(--(WEEKDAY(ROW(INDIRECT(DATE($B$1112,MonthFromText(A1129),1)&amp;":"&amp;DATE($B$1112,MonthFromText(A1129),$P$10))),1)=1))</f>
        <v>#NAME?</v>
      </c>
      <c r="N1129" s="284">
        <v>3</v>
      </c>
      <c r="O1129" s="135">
        <f t="shared" si="485"/>
        <v>147</v>
      </c>
      <c r="P1129" s="272">
        <f t="shared" si="486"/>
        <v>3528</v>
      </c>
      <c r="Q1129" s="291" t="e">
        <f t="shared" ca="1" si="488"/>
        <v>#NAME?</v>
      </c>
      <c r="R1129" s="292" t="e">
        <f t="shared" ca="1" si="487"/>
        <v>#NAME?</v>
      </c>
      <c r="S1129" s="285">
        <v>6</v>
      </c>
      <c r="T1129" s="285">
        <v>4</v>
      </c>
      <c r="AD1129" s="288"/>
      <c r="AE1129" s="289" t="s">
        <v>816</v>
      </c>
      <c r="AF1129" s="4">
        <f>W1094</f>
        <v>96.951388888888886</v>
      </c>
      <c r="AG1129" s="4">
        <f>X1094</f>
        <v>1.104631323793656</v>
      </c>
      <c r="AH1129" s="4">
        <f>Y1094</f>
        <v>0</v>
      </c>
      <c r="AI1129" s="4">
        <f>Z1094</f>
        <v>70.04583333333332</v>
      </c>
      <c r="AJ1129" s="133"/>
    </row>
    <row r="1130" spans="1:36" ht="15.75" customHeight="1" thickBot="1" x14ac:dyDescent="0.35">
      <c r="A1130" s="134"/>
      <c r="B1130" s="135"/>
      <c r="C1130" s="135"/>
      <c r="D1130" s="135"/>
      <c r="E1130" s="223"/>
      <c r="F1130" s="223"/>
      <c r="G1130" s="223"/>
      <c r="H1130" s="223"/>
      <c r="I1130" s="223"/>
      <c r="J1130" s="223"/>
      <c r="K1130" s="223"/>
      <c r="L1130" s="223"/>
      <c r="M1130" s="135"/>
      <c r="N1130" s="135"/>
      <c r="O1130" s="135"/>
      <c r="P1130" s="135"/>
      <c r="Q1130" s="206" t="e">
        <f ca="1">+SUM(Q1118:Q1129)</f>
        <v>#NAME?</v>
      </c>
      <c r="R1130" s="272" t="e">
        <f ca="1">+Q1130-B1024</f>
        <v>#NAME?</v>
      </c>
      <c r="AD1130" s="288" t="s">
        <v>826</v>
      </c>
      <c r="AE1130" s="289" t="s">
        <v>7</v>
      </c>
      <c r="AJ1130" s="133"/>
    </row>
    <row r="1131" spans="1:36" ht="15.75" customHeight="1" x14ac:dyDescent="0.3">
      <c r="A1131" s="260" t="s">
        <v>827</v>
      </c>
      <c r="J1131" s="192"/>
      <c r="AD1131" s="288" t="s">
        <v>673</v>
      </c>
      <c r="AE1131" s="289" t="s">
        <v>825</v>
      </c>
      <c r="AF1131" s="4">
        <f>V1095</f>
        <v>404.56048387096774</v>
      </c>
      <c r="AG1131" s="4">
        <f>X1095</f>
        <v>0</v>
      </c>
      <c r="AH1131" s="4">
        <f>Y1095</f>
        <v>-2.6173428624676922</v>
      </c>
      <c r="AI1131" s="4">
        <f>Z1095</f>
        <v>69.106182795698928</v>
      </c>
      <c r="AJ1131" s="133"/>
    </row>
    <row r="1132" spans="1:36" ht="15.75" customHeight="1" x14ac:dyDescent="0.3">
      <c r="A1132" s="260" t="s">
        <v>828</v>
      </c>
      <c r="AD1132" s="288"/>
      <c r="AE1132" s="289" t="s">
        <v>816</v>
      </c>
      <c r="AF1132" s="4">
        <f>W1095</f>
        <v>110.56048387096774</v>
      </c>
      <c r="AG1132" s="4">
        <f>X1095</f>
        <v>0</v>
      </c>
      <c r="AH1132" s="4">
        <f>Y1095</f>
        <v>-2.6173428624676922</v>
      </c>
      <c r="AI1132" s="4">
        <f>Z1095</f>
        <v>69.106182795698928</v>
      </c>
      <c r="AJ1132" s="133"/>
    </row>
    <row r="1133" spans="1:36" ht="15.75" customHeight="1" x14ac:dyDescent="0.3">
      <c r="A1133" s="260" t="s">
        <v>829</v>
      </c>
      <c r="AD1133" s="288" t="s">
        <v>826</v>
      </c>
      <c r="AE1133" s="289" t="s">
        <v>7</v>
      </c>
      <c r="AJ1133" s="133"/>
    </row>
    <row r="1134" spans="1:36" ht="15.75" customHeight="1" x14ac:dyDescent="0.3">
      <c r="AD1134" s="288" t="s">
        <v>675</v>
      </c>
      <c r="AE1134" s="289" t="s">
        <v>825</v>
      </c>
      <c r="AF1134" s="4">
        <f>V1096</f>
        <v>213.80416666666667</v>
      </c>
      <c r="AG1134" s="4">
        <f>X1096</f>
        <v>0</v>
      </c>
      <c r="AH1134" s="4">
        <f>Y1096</f>
        <v>-16.365011303692548</v>
      </c>
      <c r="AI1134" s="4">
        <f>Z1096</f>
        <v>71.226388888888891</v>
      </c>
      <c r="AJ1134" s="133"/>
    </row>
    <row r="1135" spans="1:36" ht="15.75" customHeight="1" x14ac:dyDescent="0.3">
      <c r="A1135" s="4" t="s">
        <v>830</v>
      </c>
      <c r="AD1135" s="288"/>
      <c r="AE1135" s="289" t="s">
        <v>816</v>
      </c>
      <c r="AF1135" s="4">
        <f>W1096</f>
        <v>66.804166666666674</v>
      </c>
      <c r="AG1135" s="4">
        <f>X1096</f>
        <v>0</v>
      </c>
      <c r="AH1135" s="4">
        <f>Y1096</f>
        <v>-16.365011303692548</v>
      </c>
      <c r="AI1135" s="4">
        <f>Z1096</f>
        <v>71.226388888888891</v>
      </c>
      <c r="AJ1135" s="133"/>
    </row>
    <row r="1136" spans="1:36" ht="15.75" customHeight="1" x14ac:dyDescent="0.3">
      <c r="AD1136" s="288" t="s">
        <v>826</v>
      </c>
      <c r="AE1136" s="289" t="s">
        <v>7</v>
      </c>
      <c r="AJ1136" s="133"/>
    </row>
    <row r="1137" spans="9:36" ht="15.75" customHeight="1" x14ac:dyDescent="0.3">
      <c r="AD1137" s="288" t="s">
        <v>676</v>
      </c>
      <c r="AE1137" s="289" t="s">
        <v>825</v>
      </c>
      <c r="AF1137" s="4">
        <f>V1097</f>
        <v>190.23655913978496</v>
      </c>
      <c r="AG1137" s="4">
        <f>X1097</f>
        <v>0</v>
      </c>
      <c r="AH1137" s="4">
        <f>Y1097</f>
        <v>-18.356704829871433</v>
      </c>
      <c r="AI1137" s="4">
        <f>Z1097</f>
        <v>70.724462365591393</v>
      </c>
      <c r="AJ1137" s="133"/>
    </row>
    <row r="1138" spans="9:36" ht="16.5" customHeight="1" x14ac:dyDescent="0.3">
      <c r="AD1138" s="288"/>
      <c r="AE1138" s="289" t="s">
        <v>816</v>
      </c>
      <c r="AF1138" s="4">
        <f>W1097</f>
        <v>43.236559139784944</v>
      </c>
      <c r="AG1138" s="4">
        <f>X1097</f>
        <v>0</v>
      </c>
      <c r="AH1138" s="4">
        <f>Y1097</f>
        <v>-18.356704829871433</v>
      </c>
      <c r="AI1138" s="4">
        <f>Z1097</f>
        <v>70.724462365591393</v>
      </c>
      <c r="AJ1138" s="133"/>
    </row>
    <row r="1139" spans="9:36" ht="15.75" customHeight="1" x14ac:dyDescent="0.3">
      <c r="AD1139" s="288" t="s">
        <v>826</v>
      </c>
      <c r="AE1139" s="289" t="s">
        <v>7</v>
      </c>
      <c r="AJ1139" s="133"/>
    </row>
    <row r="1140" spans="9:36" ht="16.5" customHeight="1" x14ac:dyDescent="0.3">
      <c r="AD1140" s="288" t="s">
        <v>691</v>
      </c>
      <c r="AE1140" s="289" t="s">
        <v>825</v>
      </c>
      <c r="AF1140" s="4">
        <f>V1098</f>
        <v>179.98924731182797</v>
      </c>
      <c r="AG1140" s="4">
        <f>X1098</f>
        <v>1.1734123908369207E-3</v>
      </c>
      <c r="AH1140" s="4">
        <f>Y1098</f>
        <v>-17.156967458427946</v>
      </c>
      <c r="AI1140" s="4">
        <f>Z1098</f>
        <v>65.13978494623656</v>
      </c>
      <c r="AJ1140" s="133"/>
    </row>
    <row r="1141" spans="9:36" ht="15.75" customHeight="1" x14ac:dyDescent="0.3">
      <c r="AD1141" s="288"/>
      <c r="AE1141" s="289" t="s">
        <v>816</v>
      </c>
      <c r="AF1141" s="4">
        <f>W1098</f>
        <v>32.989247311827953</v>
      </c>
      <c r="AG1141" s="4">
        <f>X1098</f>
        <v>1.1734123908369207E-3</v>
      </c>
      <c r="AH1141" s="4">
        <f>Y1098</f>
        <v>-17.156967458427946</v>
      </c>
      <c r="AI1141" s="4">
        <f>Z1098</f>
        <v>65.13978494623656</v>
      </c>
      <c r="AJ1141" s="133"/>
    </row>
    <row r="1142" spans="9:36" ht="15.75" customHeight="1" x14ac:dyDescent="0.3">
      <c r="AD1142" s="288" t="s">
        <v>826</v>
      </c>
      <c r="AE1142" s="289" t="s">
        <v>7</v>
      </c>
      <c r="AJ1142" s="133"/>
    </row>
    <row r="1143" spans="9:36" ht="15.75" customHeight="1" x14ac:dyDescent="0.3">
      <c r="AD1143" s="288" t="s">
        <v>831</v>
      </c>
      <c r="AE1143" s="289" t="s">
        <v>825</v>
      </c>
      <c r="AF1143" s="4">
        <f>V1099</f>
        <v>346.04722222222222</v>
      </c>
      <c r="AG1143" s="4">
        <f>X1099</f>
        <v>8.0016406993854456</v>
      </c>
      <c r="AH1143" s="4">
        <f>Y1099</f>
        <v>-0.46123160010047703</v>
      </c>
      <c r="AI1143" s="4">
        <f>Z1099</f>
        <v>52.186111111111103</v>
      </c>
      <c r="AJ1143" s="133"/>
    </row>
    <row r="1144" spans="9:36" ht="15.75" customHeight="1" x14ac:dyDescent="0.3">
      <c r="AD1144" s="288"/>
      <c r="AE1144" s="289" t="s">
        <v>816</v>
      </c>
      <c r="AF1144" s="4">
        <f>W1099</f>
        <v>101.04722222222222</v>
      </c>
      <c r="AG1144" s="4">
        <f>X1099</f>
        <v>8.0016406993854456</v>
      </c>
      <c r="AH1144" s="4">
        <f>Y1099</f>
        <v>-0.46123160010047703</v>
      </c>
      <c r="AI1144" s="4">
        <f>Z1099</f>
        <v>52.186111111111103</v>
      </c>
      <c r="AJ1144" s="133"/>
    </row>
    <row r="1145" spans="9:36" ht="15.75" customHeight="1" x14ac:dyDescent="0.3">
      <c r="I1145" s="192"/>
      <c r="J1145" s="192"/>
      <c r="AD1145" s="288" t="s">
        <v>826</v>
      </c>
      <c r="AE1145" s="289" t="s">
        <v>7</v>
      </c>
      <c r="AJ1145" s="133"/>
    </row>
    <row r="1146" spans="9:36" ht="15.75" customHeight="1" x14ac:dyDescent="0.3">
      <c r="AD1146" s="288" t="s">
        <v>693</v>
      </c>
      <c r="AE1146" s="289" t="s">
        <v>825</v>
      </c>
      <c r="AF1146" s="4">
        <f>V1100</f>
        <v>343.01881720430106</v>
      </c>
      <c r="AG1146" s="4">
        <f>X1100</f>
        <v>14.977789702716491</v>
      </c>
      <c r="AH1146" s="4">
        <f>Y1100</f>
        <v>-3.4883640842388285E-3</v>
      </c>
      <c r="AI1146" s="4">
        <f>Z1100</f>
        <v>29.010752688172044</v>
      </c>
      <c r="AJ1146" s="133"/>
    </row>
    <row r="1147" spans="9:36" ht="15.75" customHeight="1" x14ac:dyDescent="0.3">
      <c r="AD1147" s="288"/>
      <c r="AE1147" s="289" t="s">
        <v>816</v>
      </c>
      <c r="AF1147" s="4">
        <f>W1100</f>
        <v>98.018817204301072</v>
      </c>
      <c r="AG1147" s="4">
        <f>X1100</f>
        <v>14.977789702716491</v>
      </c>
      <c r="AH1147" s="4">
        <f>Y1100</f>
        <v>-3.4883640842388285E-3</v>
      </c>
      <c r="AI1147" s="4">
        <f>Z1100</f>
        <v>29.010752688172044</v>
      </c>
      <c r="AJ1147" s="133"/>
    </row>
    <row r="1148" spans="9:36" ht="15.75" customHeight="1" x14ac:dyDescent="0.3">
      <c r="AD1148" s="288" t="s">
        <v>826</v>
      </c>
      <c r="AE1148" s="289" t="s">
        <v>7</v>
      </c>
      <c r="AJ1148" s="133"/>
    </row>
    <row r="1149" spans="9:36" ht="15.75" customHeight="1" x14ac:dyDescent="0.3">
      <c r="AD1149" s="288" t="s">
        <v>694</v>
      </c>
      <c r="AE1149" s="289" t="s">
        <v>825</v>
      </c>
      <c r="AF1149" s="4">
        <f>V1101</f>
        <v>321.75416666666666</v>
      </c>
      <c r="AG1149" s="4">
        <f>X1101</f>
        <v>17.330052259153465</v>
      </c>
      <c r="AH1149" s="4">
        <f>Y1101</f>
        <v>-0.9180982583940368</v>
      </c>
      <c r="AI1149" s="4">
        <f>Z1101</f>
        <v>11.956944444444444</v>
      </c>
      <c r="AJ1149" s="133"/>
    </row>
    <row r="1150" spans="9:36" ht="15.75" customHeight="1" x14ac:dyDescent="0.3">
      <c r="AD1150" s="288"/>
      <c r="AE1150" s="289" t="s">
        <v>816</v>
      </c>
      <c r="AF1150" s="4">
        <f>W1101</f>
        <v>76.754166666666663</v>
      </c>
      <c r="AG1150" s="4">
        <f>X1101</f>
        <v>17.330052259153465</v>
      </c>
      <c r="AH1150" s="4">
        <f>Y1101</f>
        <v>-0.9180982583940368</v>
      </c>
      <c r="AI1150" s="4">
        <f>Z1101</f>
        <v>11.956944444444444</v>
      </c>
      <c r="AJ1150" s="133"/>
    </row>
    <row r="1151" spans="9:36" ht="15.75" customHeight="1" x14ac:dyDescent="0.3">
      <c r="AD1151" s="288" t="s">
        <v>826</v>
      </c>
      <c r="AE1151" s="289" t="s">
        <v>7</v>
      </c>
      <c r="AJ1151" s="133"/>
    </row>
    <row r="1152" spans="9:36" ht="15.75" customHeight="1" thickBot="1" x14ac:dyDescent="0.35">
      <c r="AD1152" s="288" t="s">
        <v>695</v>
      </c>
      <c r="AE1152" s="289" t="s">
        <v>825</v>
      </c>
      <c r="AF1152" s="4">
        <f>V1102</f>
        <v>331.25806451612902</v>
      </c>
      <c r="AG1152" s="4">
        <f>X1102</f>
        <v>20.38645502096179</v>
      </c>
      <c r="AH1152" s="4">
        <f>Y1102</f>
        <v>0</v>
      </c>
      <c r="AI1152" s="4">
        <f>Z1102</f>
        <v>21.9502688172043</v>
      </c>
      <c r="AJ1152" s="133"/>
    </row>
    <row r="1153" spans="1:36" ht="15.75" customHeight="1" x14ac:dyDescent="0.35">
      <c r="A1153" s="350"/>
      <c r="B1153" s="351"/>
      <c r="C1153" s="369"/>
      <c r="D1153" s="369"/>
      <c r="E1153" s="369"/>
      <c r="F1153" s="369"/>
      <c r="G1153" s="369"/>
      <c r="H1153" s="352" t="s">
        <v>832</v>
      </c>
      <c r="I1153" s="351"/>
      <c r="J1153" s="351"/>
      <c r="K1153" s="351"/>
      <c r="L1153" s="351"/>
      <c r="M1153" s="351"/>
      <c r="N1153" s="351"/>
      <c r="O1153" s="351"/>
      <c r="P1153" s="351"/>
      <c r="Q1153" s="354" t="str">
        <f>+Q1</f>
        <v xml:space="preserve">PRINTED:  </v>
      </c>
      <c r="R1153" s="357">
        <f ca="1">+R1</f>
        <v>44894.658168402777</v>
      </c>
      <c r="S1153" s="358"/>
      <c r="AD1153" s="288"/>
      <c r="AE1153" s="289" t="s">
        <v>816</v>
      </c>
      <c r="AF1153" s="4">
        <f>W1102</f>
        <v>86.258064516129025</v>
      </c>
      <c r="AG1153" s="4">
        <f>X1102</f>
        <v>20.38645502096179</v>
      </c>
      <c r="AH1153" s="4">
        <f>Y1102</f>
        <v>0</v>
      </c>
      <c r="AI1153" s="4">
        <f>Z1102</f>
        <v>21.9502688172043</v>
      </c>
      <c r="AJ1153" s="133"/>
    </row>
    <row r="1154" spans="1:36" ht="15.75" customHeight="1" thickBot="1" x14ac:dyDescent="0.4">
      <c r="A1154" s="179"/>
      <c r="B1154" s="180"/>
      <c r="C1154" s="201"/>
      <c r="D1154" s="201"/>
      <c r="E1154" s="201"/>
      <c r="F1154" s="201"/>
      <c r="G1154" s="201"/>
      <c r="H1154" s="180" t="s">
        <v>633</v>
      </c>
      <c r="I1154" s="180" t="s">
        <v>7</v>
      </c>
      <c r="J1154" s="202" t="str">
        <f>+A8</f>
        <v>Revised:  12/23/2020</v>
      </c>
      <c r="K1154" s="180"/>
      <c r="L1154" s="180"/>
      <c r="M1154" s="180"/>
      <c r="N1154" s="180"/>
      <c r="O1154" s="180"/>
      <c r="P1154" s="180"/>
      <c r="Q1154" s="180"/>
      <c r="R1154" s="180"/>
      <c r="S1154" s="133"/>
      <c r="AD1154" s="295" t="s">
        <v>826</v>
      </c>
      <c r="AE1154" s="296" t="s">
        <v>7</v>
      </c>
      <c r="AF1154" s="135"/>
      <c r="AG1154" s="135"/>
      <c r="AH1154" s="135"/>
      <c r="AI1154" s="135"/>
      <c r="AJ1154" s="136"/>
    </row>
    <row r="1155" spans="1:36" ht="15.75" customHeight="1" x14ac:dyDescent="0.35">
      <c r="A1155" s="179"/>
      <c r="B1155" s="180"/>
      <c r="C1155" s="201"/>
      <c r="D1155" s="201"/>
      <c r="E1155" s="201"/>
      <c r="F1155" s="201"/>
      <c r="G1155" s="201"/>
      <c r="H1155" s="180" t="s">
        <v>833</v>
      </c>
      <c r="I1155" s="180"/>
      <c r="J1155" s="180"/>
      <c r="K1155" s="180"/>
      <c r="L1155" s="180"/>
      <c r="M1155" s="180"/>
      <c r="N1155" s="180"/>
      <c r="O1155" s="180"/>
      <c r="P1155" s="180"/>
      <c r="Q1155" s="180"/>
      <c r="R1155" s="180"/>
      <c r="S1155" s="133"/>
    </row>
    <row r="1156" spans="1:36" ht="15.75" customHeight="1" x14ac:dyDescent="0.35">
      <c r="A1156" s="179"/>
      <c r="B1156" s="180"/>
      <c r="C1156" s="201"/>
      <c r="D1156" s="201"/>
      <c r="E1156" s="201"/>
      <c r="F1156" s="201"/>
      <c r="G1156" s="201"/>
      <c r="H1156" s="180"/>
      <c r="I1156" s="180"/>
      <c r="J1156" s="180"/>
      <c r="K1156" s="180"/>
      <c r="L1156" s="180"/>
      <c r="M1156" s="180"/>
      <c r="N1156" s="180"/>
      <c r="O1156" s="180"/>
      <c r="P1156" s="180"/>
      <c r="Q1156" s="180"/>
      <c r="R1156" s="180"/>
      <c r="S1156" s="133"/>
    </row>
    <row r="1157" spans="1:36" ht="15.75" customHeight="1" x14ac:dyDescent="0.35">
      <c r="A1157" s="179"/>
      <c r="B1157" s="180"/>
      <c r="C1157" s="201"/>
      <c r="D1157" s="201"/>
      <c r="E1157" s="201"/>
      <c r="F1157" s="201"/>
      <c r="G1157" s="201"/>
      <c r="H1157" s="180" t="s">
        <v>633</v>
      </c>
      <c r="I1157" s="297">
        <f>+A5</f>
        <v>2020</v>
      </c>
      <c r="J1157" s="180"/>
      <c r="K1157" s="180"/>
      <c r="L1157" s="180"/>
      <c r="M1157" s="180"/>
      <c r="N1157" s="180"/>
      <c r="O1157" s="180"/>
      <c r="P1157" s="180"/>
      <c r="Q1157" s="180"/>
      <c r="R1157" s="180"/>
      <c r="S1157" s="133"/>
    </row>
    <row r="1158" spans="1:36" ht="15.75" customHeight="1" x14ac:dyDescent="0.3">
      <c r="A1158" s="179"/>
      <c r="B1158" s="180"/>
      <c r="C1158" s="180"/>
      <c r="D1158" s="180"/>
      <c r="E1158" s="180"/>
      <c r="F1158" s="180"/>
      <c r="G1158" s="180"/>
      <c r="H1158" s="180"/>
      <c r="I1158" s="180"/>
      <c r="J1158" s="180"/>
      <c r="K1158" s="180"/>
      <c r="L1158" s="180"/>
      <c r="M1158" s="180"/>
      <c r="N1158" s="180"/>
      <c r="O1158" s="180"/>
      <c r="P1158" s="180"/>
      <c r="Q1158" s="180"/>
      <c r="R1158" s="180"/>
      <c r="S1158" s="133"/>
    </row>
    <row r="1159" spans="1:36" ht="15.75" customHeight="1" x14ac:dyDescent="0.3">
      <c r="A1159" s="179"/>
      <c r="B1159" s="180"/>
      <c r="C1159" s="199" t="s">
        <v>834</v>
      </c>
      <c r="D1159" s="180"/>
      <c r="E1159" s="180"/>
      <c r="F1159" s="180"/>
      <c r="G1159" s="199" t="s">
        <v>835</v>
      </c>
      <c r="H1159" s="180"/>
      <c r="I1159" s="180"/>
      <c r="J1159" s="180"/>
      <c r="K1159" s="298" t="s">
        <v>836</v>
      </c>
      <c r="L1159" s="180"/>
      <c r="M1159" s="180"/>
      <c r="N1159" s="180"/>
      <c r="O1159" s="298" t="s">
        <v>837</v>
      </c>
      <c r="P1159" s="180"/>
      <c r="Q1159" s="180"/>
      <c r="R1159" s="180"/>
      <c r="S1159" s="133"/>
    </row>
    <row r="1160" spans="1:36" ht="15.75" customHeight="1" x14ac:dyDescent="0.3">
      <c r="A1160" s="179"/>
      <c r="B1160" s="180"/>
      <c r="C1160" s="180">
        <f>+A5</f>
        <v>2020</v>
      </c>
      <c r="D1160" s="180"/>
      <c r="E1160" s="180"/>
      <c r="F1160" s="180" t="s">
        <v>838</v>
      </c>
      <c r="G1160" s="180"/>
      <c r="H1160" s="180"/>
      <c r="I1160" s="180"/>
      <c r="J1160" s="180"/>
      <c r="K1160" s="180">
        <f>+A5</f>
        <v>2020</v>
      </c>
      <c r="L1160" s="180"/>
      <c r="M1160" s="180"/>
      <c r="N1160" s="180"/>
      <c r="O1160" s="180">
        <f>+A5</f>
        <v>2020</v>
      </c>
      <c r="P1160" s="180"/>
      <c r="Q1160" s="180"/>
      <c r="R1160" s="180"/>
      <c r="S1160" s="133"/>
    </row>
    <row r="1161" spans="1:36" ht="15.75" customHeight="1" x14ac:dyDescent="0.3">
      <c r="A1161" s="179"/>
      <c r="B1161" s="180"/>
      <c r="C1161" s="180"/>
      <c r="D1161" s="180"/>
      <c r="E1161" s="180"/>
      <c r="F1161" s="180"/>
      <c r="G1161" s="180">
        <f>+A5</f>
        <v>2020</v>
      </c>
      <c r="H1161" s="180"/>
      <c r="I1161" s="180"/>
      <c r="J1161" s="180"/>
      <c r="K1161" s="180"/>
      <c r="L1161" s="180"/>
      <c r="M1161" s="180"/>
      <c r="N1161" s="180"/>
      <c r="O1161" s="180"/>
      <c r="P1161" s="180"/>
      <c r="Q1161" s="180"/>
      <c r="R1161" s="180"/>
      <c r="S1161" s="133"/>
    </row>
    <row r="1162" spans="1:36" ht="15.75" customHeight="1" x14ac:dyDescent="0.3">
      <c r="A1162" s="179"/>
      <c r="B1162" s="180"/>
      <c r="C1162" s="182" t="s">
        <v>839</v>
      </c>
      <c r="D1162" s="182" t="s">
        <v>840</v>
      </c>
      <c r="E1162" s="182" t="s">
        <v>841</v>
      </c>
      <c r="F1162" s="180"/>
      <c r="G1162" s="182" t="s">
        <v>842</v>
      </c>
      <c r="H1162" s="182" t="s">
        <v>840</v>
      </c>
      <c r="I1162" s="182" t="s">
        <v>843</v>
      </c>
      <c r="J1162" s="180"/>
      <c r="K1162" s="182" t="s">
        <v>738</v>
      </c>
      <c r="L1162" s="182" t="s">
        <v>840</v>
      </c>
      <c r="M1162" s="182" t="s">
        <v>844</v>
      </c>
      <c r="N1162" s="180"/>
      <c r="O1162" s="182" t="s">
        <v>738</v>
      </c>
      <c r="P1162" s="182" t="s">
        <v>840</v>
      </c>
      <c r="Q1162" s="182" t="s">
        <v>844</v>
      </c>
      <c r="R1162" s="180"/>
      <c r="S1162" s="133"/>
    </row>
    <row r="1163" spans="1:36" ht="15.75" customHeight="1" x14ac:dyDescent="0.3">
      <c r="A1163" s="179"/>
      <c r="B1163" s="180"/>
      <c r="C1163" s="182" t="s">
        <v>845</v>
      </c>
      <c r="D1163" s="182" t="s">
        <v>658</v>
      </c>
      <c r="E1163" s="182" t="s">
        <v>846</v>
      </c>
      <c r="F1163" s="180"/>
      <c r="G1163" s="182" t="s">
        <v>847</v>
      </c>
      <c r="H1163" s="182" t="s">
        <v>658</v>
      </c>
      <c r="I1163" s="182" t="s">
        <v>846</v>
      </c>
      <c r="J1163" s="180"/>
      <c r="K1163" s="182" t="s">
        <v>848</v>
      </c>
      <c r="L1163" s="182" t="s">
        <v>658</v>
      </c>
      <c r="M1163" s="182" t="s">
        <v>846</v>
      </c>
      <c r="N1163" s="180"/>
      <c r="O1163" s="182" t="s">
        <v>848</v>
      </c>
      <c r="P1163" s="182" t="s">
        <v>658</v>
      </c>
      <c r="Q1163" s="182" t="s">
        <v>846</v>
      </c>
      <c r="R1163" s="180"/>
      <c r="S1163" s="133"/>
    </row>
    <row r="1164" spans="1:36" ht="15.75" customHeight="1" x14ac:dyDescent="0.3">
      <c r="A1164" s="179"/>
      <c r="B1164" s="180"/>
      <c r="C1164" s="182" t="s">
        <v>658</v>
      </c>
      <c r="D1164" s="182" t="s">
        <v>655</v>
      </c>
      <c r="E1164" s="182" t="s">
        <v>849</v>
      </c>
      <c r="F1164" s="180"/>
      <c r="G1164" s="182" t="s">
        <v>743</v>
      </c>
      <c r="H1164" s="182" t="s">
        <v>655</v>
      </c>
      <c r="I1164" s="182" t="s">
        <v>849</v>
      </c>
      <c r="J1164" s="180"/>
      <c r="K1164" s="182" t="s">
        <v>658</v>
      </c>
      <c r="L1164" s="182" t="s">
        <v>655</v>
      </c>
      <c r="M1164" s="182" t="s">
        <v>849</v>
      </c>
      <c r="N1164" s="180"/>
      <c r="O1164" s="182" t="s">
        <v>658</v>
      </c>
      <c r="P1164" s="182" t="s">
        <v>655</v>
      </c>
      <c r="Q1164" s="182" t="s">
        <v>849</v>
      </c>
      <c r="R1164" s="180"/>
      <c r="S1164" s="133"/>
    </row>
    <row r="1165" spans="1:36" ht="15.75" customHeight="1" x14ac:dyDescent="0.3">
      <c r="A1165" s="179"/>
      <c r="B1165" s="180"/>
      <c r="C1165" s="182" t="s">
        <v>664</v>
      </c>
      <c r="D1165" s="182" t="s">
        <v>850</v>
      </c>
      <c r="E1165" s="182" t="s">
        <v>851</v>
      </c>
      <c r="F1165" s="180"/>
      <c r="G1165" s="182" t="s">
        <v>664</v>
      </c>
      <c r="H1165" s="182" t="s">
        <v>850</v>
      </c>
      <c r="I1165" s="182" t="s">
        <v>851</v>
      </c>
      <c r="J1165" s="180"/>
      <c r="K1165" s="182" t="s">
        <v>664</v>
      </c>
      <c r="L1165" s="182" t="s">
        <v>850</v>
      </c>
      <c r="M1165" s="182" t="s">
        <v>851</v>
      </c>
      <c r="N1165" s="180"/>
      <c r="O1165" s="182" t="s">
        <v>664</v>
      </c>
      <c r="P1165" s="182" t="s">
        <v>850</v>
      </c>
      <c r="Q1165" s="182" t="s">
        <v>851</v>
      </c>
      <c r="R1165" s="180"/>
      <c r="S1165" s="133"/>
    </row>
    <row r="1166" spans="1:36" ht="15.75" customHeight="1" x14ac:dyDescent="0.3">
      <c r="A1166" s="179"/>
      <c r="B1166" s="180"/>
      <c r="C1166" s="180" t="s">
        <v>666</v>
      </c>
      <c r="D1166" s="180" t="s">
        <v>666</v>
      </c>
      <c r="E1166" s="180" t="s">
        <v>666</v>
      </c>
      <c r="F1166" s="180"/>
      <c r="G1166" s="182" t="s">
        <v>666</v>
      </c>
      <c r="H1166" s="182" t="s">
        <v>666</v>
      </c>
      <c r="I1166" s="182" t="s">
        <v>666</v>
      </c>
      <c r="J1166" s="180"/>
      <c r="K1166" s="180" t="s">
        <v>666</v>
      </c>
      <c r="L1166" s="180" t="s">
        <v>666</v>
      </c>
      <c r="M1166" s="180" t="s">
        <v>666</v>
      </c>
      <c r="N1166" s="180"/>
      <c r="O1166" s="180" t="s">
        <v>666</v>
      </c>
      <c r="P1166" s="180" t="s">
        <v>666</v>
      </c>
      <c r="Q1166" s="180" t="s">
        <v>666</v>
      </c>
      <c r="R1166" s="180"/>
      <c r="S1166" s="133"/>
    </row>
    <row r="1167" spans="1:36" ht="15.75" customHeight="1" x14ac:dyDescent="0.3">
      <c r="A1167" s="189" t="s">
        <v>668</v>
      </c>
      <c r="B1167" s="180"/>
      <c r="C1167" s="180">
        <f t="shared" ref="C1167:C1178" si="489">(P1039)</f>
        <v>0.2</v>
      </c>
      <c r="D1167" s="203">
        <v>0</v>
      </c>
      <c r="E1167" s="217">
        <f t="shared" ref="E1167:E1178" si="490">(P1039*D1167/1000)</f>
        <v>0</v>
      </c>
      <c r="F1167" s="180"/>
      <c r="G1167" s="180">
        <v>0</v>
      </c>
      <c r="H1167" s="203">
        <v>0</v>
      </c>
      <c r="I1167" s="217">
        <f t="shared" ref="I1167:I1178" si="491">(G1167*H1167/1000)</f>
        <v>0</v>
      </c>
      <c r="J1167" s="180"/>
      <c r="K1167" s="299">
        <v>11848</v>
      </c>
      <c r="L1167" s="300">
        <v>0</v>
      </c>
      <c r="M1167" s="217">
        <f t="shared" ref="M1167:M1178" si="492">(K1167*L1167/1000)</f>
        <v>0</v>
      </c>
      <c r="N1167" s="180"/>
      <c r="O1167" s="299">
        <v>0</v>
      </c>
      <c r="P1167" s="203">
        <v>0</v>
      </c>
      <c r="Q1167" s="217">
        <f t="shared" ref="Q1167:Q1178" si="493">(O1167*P1167/1000)</f>
        <v>0</v>
      </c>
      <c r="R1167" s="180"/>
      <c r="S1167" s="133"/>
    </row>
    <row r="1168" spans="1:36" ht="15.75" customHeight="1" x14ac:dyDescent="0.3">
      <c r="A1168" s="189" t="s">
        <v>669</v>
      </c>
      <c r="B1168" s="180"/>
      <c r="C1168" s="180">
        <f t="shared" si="489"/>
        <v>0.25</v>
      </c>
      <c r="D1168" s="203">
        <v>0</v>
      </c>
      <c r="E1168" s="217">
        <f t="shared" si="490"/>
        <v>0</v>
      </c>
      <c r="F1168" s="180"/>
      <c r="G1168" s="180" t="e">
        <f>#REF!</f>
        <v>#REF!</v>
      </c>
      <c r="H1168" s="203">
        <v>0</v>
      </c>
      <c r="I1168" s="217" t="e">
        <f t="shared" si="491"/>
        <v>#REF!</v>
      </c>
      <c r="J1168" s="180"/>
      <c r="K1168" s="299">
        <v>11489</v>
      </c>
      <c r="L1168" s="300">
        <v>0</v>
      </c>
      <c r="M1168" s="217">
        <f t="shared" si="492"/>
        <v>0</v>
      </c>
      <c r="N1168" s="180"/>
      <c r="O1168" s="299">
        <v>0</v>
      </c>
      <c r="P1168" s="203">
        <v>0</v>
      </c>
      <c r="Q1168" s="217">
        <f t="shared" si="493"/>
        <v>0</v>
      </c>
      <c r="R1168" s="180"/>
      <c r="S1168" s="133"/>
    </row>
    <row r="1169" spans="1:19" ht="15.75" customHeight="1" x14ac:dyDescent="0.3">
      <c r="A1169" s="189" t="s">
        <v>671</v>
      </c>
      <c r="B1169" s="180"/>
      <c r="C1169" s="180">
        <f t="shared" si="489"/>
        <v>0.3</v>
      </c>
      <c r="D1169" s="203">
        <v>0</v>
      </c>
      <c r="E1169" s="217">
        <f t="shared" si="490"/>
        <v>0</v>
      </c>
      <c r="F1169" s="180">
        <f>SUM(E1167:E1169)</f>
        <v>0</v>
      </c>
      <c r="G1169" s="180" t="e">
        <f>#REF!</f>
        <v>#REF!</v>
      </c>
      <c r="H1169" s="203">
        <v>0</v>
      </c>
      <c r="I1169" s="217" t="e">
        <f t="shared" si="491"/>
        <v>#REF!</v>
      </c>
      <c r="J1169" s="180" t="e">
        <f>SUM(I1167:I1169)</f>
        <v>#REF!</v>
      </c>
      <c r="K1169" s="299">
        <v>16247</v>
      </c>
      <c r="L1169" s="300">
        <v>0</v>
      </c>
      <c r="M1169" s="217">
        <f t="shared" si="492"/>
        <v>0</v>
      </c>
      <c r="N1169" s="180">
        <f>SUM(M1167:M1169)</f>
        <v>0</v>
      </c>
      <c r="O1169" s="299">
        <v>0</v>
      </c>
      <c r="P1169" s="203">
        <v>0</v>
      </c>
      <c r="Q1169" s="217">
        <f t="shared" si="493"/>
        <v>0</v>
      </c>
      <c r="R1169" s="180">
        <f>SUM(Q1167:Q1169)</f>
        <v>0</v>
      </c>
      <c r="S1169" s="133"/>
    </row>
    <row r="1170" spans="1:19" ht="15.75" customHeight="1" x14ac:dyDescent="0.3">
      <c r="A1170" s="189" t="s">
        <v>672</v>
      </c>
      <c r="B1170" s="180"/>
      <c r="C1170" s="180">
        <f t="shared" si="489"/>
        <v>0.35</v>
      </c>
      <c r="D1170" s="203">
        <v>0</v>
      </c>
      <c r="E1170" s="217">
        <f t="shared" si="490"/>
        <v>0</v>
      </c>
      <c r="F1170" s="180"/>
      <c r="G1170" s="180" t="e">
        <f>#REF!</f>
        <v>#REF!</v>
      </c>
      <c r="H1170" s="203">
        <v>0</v>
      </c>
      <c r="I1170" s="217" t="e">
        <f t="shared" si="491"/>
        <v>#REF!</v>
      </c>
      <c r="J1170" s="180"/>
      <c r="K1170" s="299">
        <v>17740</v>
      </c>
      <c r="L1170" s="300">
        <v>0</v>
      </c>
      <c r="M1170" s="217">
        <f t="shared" si="492"/>
        <v>0</v>
      </c>
      <c r="N1170" s="180"/>
      <c r="O1170" s="299">
        <v>0</v>
      </c>
      <c r="P1170" s="203">
        <v>0</v>
      </c>
      <c r="Q1170" s="217">
        <f t="shared" si="493"/>
        <v>0</v>
      </c>
      <c r="R1170" s="180"/>
      <c r="S1170" s="133"/>
    </row>
    <row r="1171" spans="1:19" ht="15.75" customHeight="1" x14ac:dyDescent="0.3">
      <c r="A1171" s="189" t="s">
        <v>673</v>
      </c>
      <c r="B1171" s="180"/>
      <c r="C1171" s="180">
        <f t="shared" si="489"/>
        <v>0.35</v>
      </c>
      <c r="D1171" s="203">
        <v>0</v>
      </c>
      <c r="E1171" s="217">
        <f t="shared" si="490"/>
        <v>0</v>
      </c>
      <c r="F1171" s="180"/>
      <c r="G1171" s="180" t="e">
        <f>#REF!</f>
        <v>#REF!</v>
      </c>
      <c r="H1171" s="203">
        <v>0</v>
      </c>
      <c r="I1171" s="217" t="e">
        <f t="shared" si="491"/>
        <v>#REF!</v>
      </c>
      <c r="J1171" s="180"/>
      <c r="K1171" s="299">
        <v>15434</v>
      </c>
      <c r="L1171" s="300">
        <v>0</v>
      </c>
      <c r="M1171" s="217">
        <f t="shared" si="492"/>
        <v>0</v>
      </c>
      <c r="N1171" s="180"/>
      <c r="O1171" s="299">
        <v>0</v>
      </c>
      <c r="P1171" s="203">
        <v>0</v>
      </c>
      <c r="Q1171" s="217">
        <f t="shared" si="493"/>
        <v>0</v>
      </c>
      <c r="R1171" s="180"/>
      <c r="S1171" s="133"/>
    </row>
    <row r="1172" spans="1:19" ht="15.75" customHeight="1" x14ac:dyDescent="0.3">
      <c r="A1172" s="189" t="s">
        <v>675</v>
      </c>
      <c r="B1172" s="180"/>
      <c r="C1172" s="180">
        <f t="shared" si="489"/>
        <v>7.4999999999999997E-2</v>
      </c>
      <c r="D1172" s="203">
        <v>0</v>
      </c>
      <c r="E1172" s="217">
        <f t="shared" si="490"/>
        <v>0</v>
      </c>
      <c r="F1172" s="180">
        <f>SUM(E1170:E1172)</f>
        <v>0</v>
      </c>
      <c r="G1172" s="180" t="e">
        <f>#REF!</f>
        <v>#REF!</v>
      </c>
      <c r="H1172" s="203">
        <v>0</v>
      </c>
      <c r="I1172" s="217" t="e">
        <f t="shared" si="491"/>
        <v>#REF!</v>
      </c>
      <c r="J1172" s="180" t="e">
        <f>SUM(I1170:I1172)</f>
        <v>#REF!</v>
      </c>
      <c r="K1172" s="299">
        <v>14355</v>
      </c>
      <c r="L1172" s="300">
        <v>0</v>
      </c>
      <c r="M1172" s="217">
        <f t="shared" si="492"/>
        <v>0</v>
      </c>
      <c r="N1172" s="180">
        <f>SUM(M1170:M1172)</f>
        <v>0</v>
      </c>
      <c r="O1172" s="299">
        <v>0</v>
      </c>
      <c r="P1172" s="203">
        <v>0</v>
      </c>
      <c r="Q1172" s="217">
        <f t="shared" si="493"/>
        <v>0</v>
      </c>
      <c r="R1172" s="180">
        <f>SUM(Q1170:Q1172)</f>
        <v>0</v>
      </c>
      <c r="S1172" s="133"/>
    </row>
    <row r="1173" spans="1:19" ht="15.75" customHeight="1" x14ac:dyDescent="0.3">
      <c r="A1173" s="189" t="s">
        <v>676</v>
      </c>
      <c r="B1173" s="180"/>
      <c r="C1173" s="180">
        <f t="shared" si="489"/>
        <v>0.05</v>
      </c>
      <c r="D1173" s="203">
        <v>0</v>
      </c>
      <c r="E1173" s="217">
        <f t="shared" si="490"/>
        <v>0</v>
      </c>
      <c r="F1173" s="180"/>
      <c r="G1173" s="180" t="e">
        <f>#REF!</f>
        <v>#REF!</v>
      </c>
      <c r="H1173" s="203">
        <v>0</v>
      </c>
      <c r="I1173" s="217" t="e">
        <f t="shared" si="491"/>
        <v>#REF!</v>
      </c>
      <c r="J1173" s="180"/>
      <c r="K1173" s="299">
        <v>13129</v>
      </c>
      <c r="L1173" s="300">
        <v>0</v>
      </c>
      <c r="M1173" s="217">
        <f t="shared" si="492"/>
        <v>0</v>
      </c>
      <c r="N1173" s="180"/>
      <c r="O1173" s="299">
        <v>0</v>
      </c>
      <c r="P1173" s="203">
        <v>0</v>
      </c>
      <c r="Q1173" s="217">
        <f t="shared" si="493"/>
        <v>0</v>
      </c>
      <c r="R1173" s="180"/>
      <c r="S1173" s="133"/>
    </row>
    <row r="1174" spans="1:19" ht="15.75" customHeight="1" x14ac:dyDescent="0.3">
      <c r="A1174" s="189" t="s">
        <v>691</v>
      </c>
      <c r="B1174" s="180"/>
      <c r="C1174" s="180">
        <f t="shared" si="489"/>
        <v>0</v>
      </c>
      <c r="D1174" s="203">
        <v>0</v>
      </c>
      <c r="E1174" s="217">
        <f t="shared" si="490"/>
        <v>0</v>
      </c>
      <c r="F1174" s="180"/>
      <c r="G1174" s="180" t="e">
        <f>#REF!</f>
        <v>#REF!</v>
      </c>
      <c r="H1174" s="203">
        <v>0</v>
      </c>
      <c r="I1174" s="217" t="e">
        <f t="shared" si="491"/>
        <v>#REF!</v>
      </c>
      <c r="J1174" s="180"/>
      <c r="K1174" s="299">
        <v>12545</v>
      </c>
      <c r="L1174" s="300">
        <v>0</v>
      </c>
      <c r="M1174" s="217">
        <f t="shared" si="492"/>
        <v>0</v>
      </c>
      <c r="N1174" s="180"/>
      <c r="O1174" s="299">
        <v>0</v>
      </c>
      <c r="P1174" s="203">
        <v>0</v>
      </c>
      <c r="Q1174" s="217">
        <f t="shared" si="493"/>
        <v>0</v>
      </c>
      <c r="R1174" s="180"/>
      <c r="S1174" s="133"/>
    </row>
    <row r="1175" spans="1:19" ht="15.75" customHeight="1" x14ac:dyDescent="0.3">
      <c r="A1175" s="189" t="s">
        <v>692</v>
      </c>
      <c r="B1175" s="180"/>
      <c r="C1175" s="180">
        <f t="shared" si="489"/>
        <v>0.05</v>
      </c>
      <c r="D1175" s="203">
        <v>0</v>
      </c>
      <c r="E1175" s="217">
        <f t="shared" si="490"/>
        <v>0</v>
      </c>
      <c r="F1175" s="180">
        <f>SUM(E1173:E1175)</f>
        <v>0</v>
      </c>
      <c r="G1175" s="180" t="e">
        <f>#REF!</f>
        <v>#REF!</v>
      </c>
      <c r="H1175" s="203">
        <v>0</v>
      </c>
      <c r="I1175" s="217" t="e">
        <f t="shared" si="491"/>
        <v>#REF!</v>
      </c>
      <c r="J1175" s="180" t="e">
        <f>SUM(I1173:I1175)</f>
        <v>#REF!</v>
      </c>
      <c r="K1175" s="299">
        <v>9350</v>
      </c>
      <c r="L1175" s="300">
        <v>0</v>
      </c>
      <c r="M1175" s="217">
        <f t="shared" si="492"/>
        <v>0</v>
      </c>
      <c r="N1175" s="180">
        <f>SUM(M1173:M1175)</f>
        <v>0</v>
      </c>
      <c r="O1175" s="299">
        <v>0</v>
      </c>
      <c r="P1175" s="203">
        <v>0</v>
      </c>
      <c r="Q1175" s="217">
        <f t="shared" si="493"/>
        <v>0</v>
      </c>
      <c r="R1175" s="180">
        <f>SUM(Q1173:Q1175)</f>
        <v>0</v>
      </c>
      <c r="S1175" s="133"/>
    </row>
    <row r="1176" spans="1:19" ht="15.75" customHeight="1" x14ac:dyDescent="0.3">
      <c r="A1176" s="189" t="s">
        <v>693</v>
      </c>
      <c r="B1176" s="180"/>
      <c r="C1176" s="180">
        <f t="shared" si="489"/>
        <v>0.2</v>
      </c>
      <c r="D1176" s="203">
        <v>0</v>
      </c>
      <c r="E1176" s="217">
        <f t="shared" si="490"/>
        <v>0</v>
      </c>
      <c r="F1176" s="180"/>
      <c r="G1176" s="180" t="e">
        <f>#REF!</f>
        <v>#REF!</v>
      </c>
      <c r="H1176" s="203">
        <v>0</v>
      </c>
      <c r="I1176" s="217" t="e">
        <f t="shared" si="491"/>
        <v>#REF!</v>
      </c>
      <c r="J1176" s="180"/>
      <c r="K1176" s="299">
        <v>11649</v>
      </c>
      <c r="L1176" s="300">
        <v>0</v>
      </c>
      <c r="M1176" s="217">
        <f t="shared" si="492"/>
        <v>0</v>
      </c>
      <c r="N1176" s="180"/>
      <c r="O1176" s="299">
        <v>0</v>
      </c>
      <c r="P1176" s="203">
        <v>0</v>
      </c>
      <c r="Q1176" s="217">
        <f t="shared" si="493"/>
        <v>0</v>
      </c>
      <c r="R1176" s="180"/>
      <c r="S1176" s="133"/>
    </row>
    <row r="1177" spans="1:19" ht="15.75" customHeight="1" x14ac:dyDescent="0.3">
      <c r="A1177" s="189" t="s">
        <v>694</v>
      </c>
      <c r="B1177" s="180"/>
      <c r="C1177" s="180">
        <f t="shared" si="489"/>
        <v>0.2</v>
      </c>
      <c r="D1177" s="203">
        <v>0</v>
      </c>
      <c r="E1177" s="217">
        <f t="shared" si="490"/>
        <v>0</v>
      </c>
      <c r="F1177" s="180"/>
      <c r="G1177" s="180" t="e">
        <f>#REF!</f>
        <v>#REF!</v>
      </c>
      <c r="H1177" s="203">
        <v>0</v>
      </c>
      <c r="I1177" s="217" t="e">
        <f t="shared" si="491"/>
        <v>#REF!</v>
      </c>
      <c r="J1177" s="180"/>
      <c r="K1177" s="299">
        <v>8035</v>
      </c>
      <c r="L1177" s="300">
        <v>0</v>
      </c>
      <c r="M1177" s="217">
        <f t="shared" si="492"/>
        <v>0</v>
      </c>
      <c r="N1177" s="180"/>
      <c r="O1177" s="299">
        <v>0</v>
      </c>
      <c r="P1177" s="203">
        <v>0</v>
      </c>
      <c r="Q1177" s="217">
        <f t="shared" si="493"/>
        <v>0</v>
      </c>
      <c r="R1177" s="180"/>
      <c r="S1177" s="133"/>
    </row>
    <row r="1178" spans="1:19" ht="15.75" customHeight="1" x14ac:dyDescent="0.3">
      <c r="A1178" s="189" t="s">
        <v>695</v>
      </c>
      <c r="B1178" s="180"/>
      <c r="C1178" s="180">
        <f t="shared" si="489"/>
        <v>0.2</v>
      </c>
      <c r="D1178" s="203">
        <v>0</v>
      </c>
      <c r="E1178" s="217">
        <f t="shared" si="490"/>
        <v>0</v>
      </c>
      <c r="F1178" s="180">
        <f>SUM(E1176:E1178)</f>
        <v>0</v>
      </c>
      <c r="G1178" s="180" t="e">
        <f>#REF!</f>
        <v>#REF!</v>
      </c>
      <c r="H1178" s="203">
        <v>0</v>
      </c>
      <c r="I1178" s="217" t="e">
        <f t="shared" si="491"/>
        <v>#REF!</v>
      </c>
      <c r="J1178" s="180" t="e">
        <f>SUM(I1176:I1178)</f>
        <v>#REF!</v>
      </c>
      <c r="K1178" s="299">
        <v>8092</v>
      </c>
      <c r="L1178" s="300">
        <v>0</v>
      </c>
      <c r="M1178" s="217">
        <f t="shared" si="492"/>
        <v>0</v>
      </c>
      <c r="N1178" s="180">
        <f>SUM(M1176:M1178)</f>
        <v>0</v>
      </c>
      <c r="O1178" s="299">
        <v>0</v>
      </c>
      <c r="P1178" s="203">
        <v>0</v>
      </c>
      <c r="Q1178" s="217">
        <f t="shared" si="493"/>
        <v>0</v>
      </c>
      <c r="R1178" s="180">
        <f>SUM(Q1176:Q1178)</f>
        <v>0</v>
      </c>
      <c r="S1178" s="133"/>
    </row>
    <row r="1179" spans="1:19" ht="15.75" customHeight="1" x14ac:dyDescent="0.3">
      <c r="A1179" s="179"/>
      <c r="B1179" s="180"/>
      <c r="C1179" s="180"/>
      <c r="D1179" s="180"/>
      <c r="E1179" s="180"/>
      <c r="F1179" s="180"/>
      <c r="G1179" s="180"/>
      <c r="H1179" s="180"/>
      <c r="I1179" s="180"/>
      <c r="J1179" s="180"/>
      <c r="K1179" s="180"/>
      <c r="L1179" s="180"/>
      <c r="M1179" s="180"/>
      <c r="N1179" s="180"/>
      <c r="O1179" s="180"/>
      <c r="P1179" s="180"/>
      <c r="Q1179" s="180"/>
      <c r="R1179" s="180"/>
      <c r="S1179" s="133"/>
    </row>
    <row r="1180" spans="1:19" ht="15.75" customHeight="1" x14ac:dyDescent="0.3">
      <c r="A1180" s="179"/>
      <c r="B1180" s="180"/>
      <c r="C1180" s="180"/>
      <c r="D1180" s="180"/>
      <c r="E1180" s="180"/>
      <c r="F1180" s="180"/>
      <c r="G1180" s="180"/>
      <c r="H1180" s="180"/>
      <c r="I1180" s="180"/>
      <c r="J1180" s="180"/>
      <c r="K1180" s="180"/>
      <c r="L1180" s="180"/>
      <c r="M1180" s="180"/>
      <c r="N1180" s="180"/>
      <c r="O1180" s="180"/>
      <c r="P1180" s="180"/>
      <c r="Q1180" s="180"/>
      <c r="R1180" s="180"/>
      <c r="S1180" s="133"/>
    </row>
    <row r="1181" spans="1:19" ht="16.5" customHeight="1" thickBot="1" x14ac:dyDescent="0.35">
      <c r="A1181" s="194" t="s">
        <v>641</v>
      </c>
      <c r="B1181" s="195"/>
      <c r="C1181" s="195">
        <f>SUM(C1167:C1178)</f>
        <v>2.2250000000000005</v>
      </c>
      <c r="D1181" s="195"/>
      <c r="E1181" s="301">
        <f>SUM(E1167:E1178)</f>
        <v>0</v>
      </c>
      <c r="F1181" s="195"/>
      <c r="G1181" s="195" t="e">
        <f>SUM(G1167:G1178)</f>
        <v>#REF!</v>
      </c>
      <c r="H1181" s="195" t="s">
        <v>633</v>
      </c>
      <c r="I1181" s="301" t="e">
        <f>SUM(I1167:I1178)</f>
        <v>#REF!</v>
      </c>
      <c r="J1181" s="195"/>
      <c r="K1181" s="195">
        <f>SUM(K1167:K1178)</f>
        <v>149913</v>
      </c>
      <c r="L1181" s="195" t="s">
        <v>633</v>
      </c>
      <c r="M1181" s="301">
        <f>SUM(M1167:M1178)</f>
        <v>0</v>
      </c>
      <c r="N1181" s="195"/>
      <c r="O1181" s="195">
        <f>(SUM(O1167:O1178))</f>
        <v>0</v>
      </c>
      <c r="P1181" s="195" t="s">
        <v>633</v>
      </c>
      <c r="Q1181" s="301">
        <f>SUM(Q1167:Q1178)</f>
        <v>0</v>
      </c>
      <c r="R1181" s="195"/>
      <c r="S1181" s="136"/>
    </row>
  </sheetData>
  <scenarios current="0">
    <scenario name="Jan" count="1" user="Windows User" comment="Created by Windows User on 4/11/2013">
      <inputCells r="B325" val="57771.3688407242" numFmtId="37"/>
    </scenario>
  </scenarios>
  <autoFilter ref="A31:R965" xr:uid="{00000000-0009-0000-0000-000003000000}"/>
  <mergeCells count="73">
    <mergeCell ref="B1112:P1112"/>
    <mergeCell ref="B1113:P1113"/>
    <mergeCell ref="B1115:L1115"/>
    <mergeCell ref="M1115:P1115"/>
    <mergeCell ref="B1089:D1089"/>
    <mergeCell ref="T1089:U1089"/>
    <mergeCell ref="V1089:W1089"/>
    <mergeCell ref="B1108:P1108"/>
    <mergeCell ref="B1109:P1109"/>
    <mergeCell ref="B1110:P1110"/>
    <mergeCell ref="B1088:P1088"/>
    <mergeCell ref="M1034:O1034"/>
    <mergeCell ref="AD1034:AQ1034"/>
    <mergeCell ref="AD1035:AQ1035"/>
    <mergeCell ref="B1059:P1059"/>
    <mergeCell ref="B1060:F1060"/>
    <mergeCell ref="G1060:L1060"/>
    <mergeCell ref="M1060:R1060"/>
    <mergeCell ref="S1060:U1060"/>
    <mergeCell ref="M1061:O1061"/>
    <mergeCell ref="B1083:P1083"/>
    <mergeCell ref="B1084:P1084"/>
    <mergeCell ref="B1085:P1085"/>
    <mergeCell ref="B1087:P1087"/>
    <mergeCell ref="B1032:P1032"/>
    <mergeCell ref="AD1032:AQ1032"/>
    <mergeCell ref="B1033:F1033"/>
    <mergeCell ref="G1033:L1033"/>
    <mergeCell ref="M1033:R1033"/>
    <mergeCell ref="S1033:U1033"/>
    <mergeCell ref="B1031:P1031"/>
    <mergeCell ref="AD1031:AQ1031"/>
    <mergeCell ref="AD997:AQ997"/>
    <mergeCell ref="AD999:AQ999"/>
    <mergeCell ref="B1000:P1000"/>
    <mergeCell ref="AD1000:AQ1000"/>
    <mergeCell ref="B1001:P1001"/>
    <mergeCell ref="B1002:P1002"/>
    <mergeCell ref="B1004:P1004"/>
    <mergeCell ref="B1005:P1005"/>
    <mergeCell ref="B1029:P1029"/>
    <mergeCell ref="B1030:P1030"/>
    <mergeCell ref="AD1030:AQ1030"/>
    <mergeCell ref="AD996:AQ996"/>
    <mergeCell ref="B947:P947"/>
    <mergeCell ref="B948:P948"/>
    <mergeCell ref="B949:P949"/>
    <mergeCell ref="B950:P950"/>
    <mergeCell ref="B974:P974"/>
    <mergeCell ref="B975:P975"/>
    <mergeCell ref="B976:P976"/>
    <mergeCell ref="B977:P977"/>
    <mergeCell ref="B978:P978"/>
    <mergeCell ref="B979:P979"/>
    <mergeCell ref="AD995:AQ995"/>
    <mergeCell ref="B946:P946"/>
    <mergeCell ref="A881:R881"/>
    <mergeCell ref="A882:R882"/>
    <mergeCell ref="A883:R883"/>
    <mergeCell ref="A884:R884"/>
    <mergeCell ref="A886:R886"/>
    <mergeCell ref="A922:R922"/>
    <mergeCell ref="A923:R923"/>
    <mergeCell ref="A924:R924"/>
    <mergeCell ref="A925:R925"/>
    <mergeCell ref="A927:R927"/>
    <mergeCell ref="B945:P945"/>
    <mergeCell ref="A8:R8"/>
    <mergeCell ref="A2:R2"/>
    <mergeCell ref="A3:R3"/>
    <mergeCell ref="A4:R4"/>
    <mergeCell ref="A5:R5"/>
    <mergeCell ref="A6:R6"/>
  </mergeCells>
  <conditionalFormatting sqref="S1039:S1050 S1052">
    <cfRule type="cellIs" dxfId="11" priority="3" operator="lessThan">
      <formula>0</formula>
    </cfRule>
    <cfRule type="cellIs" dxfId="10" priority="4" operator="greaterThan">
      <formula>0</formula>
    </cfRule>
  </conditionalFormatting>
  <conditionalFormatting sqref="S1066:S1077">
    <cfRule type="cellIs" dxfId="9" priority="1" operator="lessThan">
      <formula>0</formula>
    </cfRule>
    <cfRule type="cellIs" dxfId="8" priority="2" operator="greaterThan">
      <formula>0</formula>
    </cfRule>
  </conditionalFormatting>
  <printOptions horizontalCentered="1"/>
  <pageMargins left="0.25" right="0.25" top="0.25" bottom="0.25" header="0" footer="0"/>
  <pageSetup paperSize="3" scale="10" orientation="landscape" r:id="rId1"/>
  <headerFooter alignWithMargins="0"/>
  <rowBreaks count="5" manualBreakCount="5">
    <brk id="891" max="17" man="1"/>
    <brk id="931" max="17" man="1"/>
    <brk id="984" max="18" man="1"/>
    <brk id="1012" max="18" man="1"/>
    <brk id="980" min="28" max="46"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B3E6A-1E49-44B3-A3AC-30C4A0ED584B}">
  <sheetPr codeName="Sheet34">
    <pageSetUpPr fitToPage="1"/>
  </sheetPr>
  <dimension ref="A1:AX1164"/>
  <sheetViews>
    <sheetView topLeftCell="A10" zoomScale="66" zoomScaleNormal="66" workbookViewId="0">
      <pane ySplit="22" topLeftCell="A32" activePane="bottomLeft" state="frozen"/>
      <selection activeCell="A11" sqref="A11"/>
      <selection pane="bottomLeft" activeCell="B10" sqref="B10:P10"/>
    </sheetView>
  </sheetViews>
  <sheetFormatPr defaultColWidth="8.77734375" defaultRowHeight="15.6" x14ac:dyDescent="0.3"/>
  <cols>
    <col min="1" max="1" width="48.21875" style="4" customWidth="1"/>
    <col min="2" max="3" width="11.21875" style="4" customWidth="1"/>
    <col min="4" max="4" width="12.44140625" style="4" customWidth="1"/>
    <col min="5" max="5" width="13.88671875" style="4" customWidth="1"/>
    <col min="6" max="7" width="11.21875" style="4" customWidth="1"/>
    <col min="8" max="8" width="11.77734375" style="4" bestFit="1" customWidth="1"/>
    <col min="9" max="9" width="13.109375" style="4" customWidth="1"/>
    <col min="10" max="10" width="11.77734375" style="4" bestFit="1" customWidth="1"/>
    <col min="11" max="12" width="11.21875" style="4" bestFit="1" customWidth="1"/>
    <col min="13" max="13" width="15" style="4" customWidth="1"/>
    <col min="14" max="14" width="11.21875" style="4" bestFit="1" customWidth="1"/>
    <col min="15" max="15" width="11.77734375" style="4" bestFit="1" customWidth="1"/>
    <col min="16" max="16" width="11.21875" style="4" bestFit="1" customWidth="1"/>
    <col min="17" max="17" width="13" style="4" customWidth="1"/>
    <col min="18" max="18" width="14.21875" style="4" customWidth="1"/>
    <col min="19" max="19" width="15.109375" style="4" customWidth="1"/>
    <col min="20" max="20" width="11.21875" style="4" bestFit="1" customWidth="1"/>
    <col min="21" max="21" width="8.77734375" style="4"/>
    <col min="22" max="22" width="11.6640625" style="4" customWidth="1"/>
    <col min="23" max="23" width="13.6640625" style="4" customWidth="1"/>
    <col min="24" max="24" width="12.44140625" style="4" customWidth="1"/>
    <col min="25" max="25" width="13.21875" style="4" customWidth="1"/>
    <col min="26" max="26" width="12.33203125" style="4" bestFit="1" customWidth="1"/>
    <col min="27" max="28" width="8.77734375" style="4"/>
    <col min="29" max="29" width="13.6640625" style="4" customWidth="1"/>
    <col min="30" max="34" width="8.77734375" style="4"/>
    <col min="35" max="35" width="11.6640625" style="4" customWidth="1"/>
    <col min="36" max="48" width="8.77734375" style="4"/>
    <col min="49" max="49" width="21.5546875" style="4" customWidth="1"/>
    <col min="50" max="50" width="20.88671875" style="4" bestFit="1" customWidth="1"/>
    <col min="51" max="16384" width="8.77734375" style="4"/>
  </cols>
  <sheetData>
    <row r="1" spans="1:36" x14ac:dyDescent="0.3">
      <c r="A1" s="1"/>
      <c r="B1" s="1"/>
      <c r="C1" s="1"/>
      <c r="D1" s="1"/>
      <c r="E1" s="1"/>
      <c r="F1" s="1"/>
      <c r="G1" s="1"/>
      <c r="H1" s="1"/>
      <c r="I1" s="1"/>
      <c r="J1" s="1"/>
      <c r="K1" s="1"/>
      <c r="L1" s="1"/>
      <c r="M1" s="1"/>
      <c r="N1" s="1"/>
      <c r="O1" s="1"/>
      <c r="P1" s="1"/>
      <c r="Q1" s="2" t="s">
        <v>0</v>
      </c>
      <c r="R1" s="3">
        <f ca="1">NOW()</f>
        <v>44894.658168518516</v>
      </c>
    </row>
    <row r="2" spans="1:36" ht="19.5" customHeight="1" x14ac:dyDescent="0.35">
      <c r="A2" s="384" t="s">
        <v>1</v>
      </c>
      <c r="B2" s="384"/>
      <c r="C2" s="384"/>
      <c r="D2" s="384"/>
      <c r="E2" s="384"/>
      <c r="F2" s="384"/>
      <c r="G2" s="384"/>
      <c r="H2" s="384"/>
      <c r="I2" s="384"/>
      <c r="J2" s="384"/>
      <c r="K2" s="384"/>
      <c r="L2" s="384"/>
      <c r="M2" s="384"/>
      <c r="N2" s="384"/>
      <c r="O2" s="384"/>
      <c r="P2" s="384"/>
      <c r="Q2" s="384"/>
      <c r="R2" s="384"/>
    </row>
    <row r="3" spans="1:36" ht="19.5" customHeight="1" x14ac:dyDescent="0.35">
      <c r="A3" s="384" t="s">
        <v>2</v>
      </c>
      <c r="B3" s="384"/>
      <c r="C3" s="384"/>
      <c r="D3" s="384"/>
      <c r="E3" s="384"/>
      <c r="F3" s="384"/>
      <c r="G3" s="384"/>
      <c r="H3" s="384"/>
      <c r="I3" s="384"/>
      <c r="J3" s="384"/>
      <c r="K3" s="384"/>
      <c r="L3" s="384"/>
      <c r="M3" s="384"/>
      <c r="N3" s="384"/>
      <c r="O3" s="384"/>
      <c r="P3" s="384"/>
      <c r="Q3" s="384"/>
      <c r="R3" s="384"/>
    </row>
    <row r="4" spans="1:36" ht="19.5" customHeight="1" x14ac:dyDescent="0.35">
      <c r="A4" s="385" t="s">
        <v>3</v>
      </c>
      <c r="B4" s="385"/>
      <c r="C4" s="385"/>
      <c r="D4" s="385"/>
      <c r="E4" s="385"/>
      <c r="F4" s="385"/>
      <c r="G4" s="385"/>
      <c r="H4" s="385"/>
      <c r="I4" s="385"/>
      <c r="J4" s="385"/>
      <c r="K4" s="385"/>
      <c r="L4" s="385"/>
      <c r="M4" s="385"/>
      <c r="N4" s="385"/>
      <c r="O4" s="385"/>
      <c r="P4" s="385"/>
      <c r="Q4" s="385"/>
      <c r="R4" s="385"/>
    </row>
    <row r="5" spans="1:36" ht="19.5" customHeight="1" x14ac:dyDescent="0.35">
      <c r="A5" s="386">
        <v>2020</v>
      </c>
      <c r="B5" s="386"/>
      <c r="C5" s="386"/>
      <c r="D5" s="386"/>
      <c r="E5" s="386"/>
      <c r="F5" s="386"/>
      <c r="G5" s="386"/>
      <c r="H5" s="386"/>
      <c r="I5" s="386"/>
      <c r="J5" s="386"/>
      <c r="K5" s="386"/>
      <c r="L5" s="386"/>
      <c r="M5" s="386"/>
      <c r="N5" s="386"/>
      <c r="O5" s="386"/>
      <c r="P5" s="386"/>
      <c r="Q5" s="386"/>
      <c r="R5" s="386"/>
    </row>
    <row r="6" spans="1:36" ht="19.5" customHeight="1" x14ac:dyDescent="0.35">
      <c r="A6" s="385" t="s">
        <v>4</v>
      </c>
      <c r="B6" s="385"/>
      <c r="C6" s="385"/>
      <c r="D6" s="385"/>
      <c r="E6" s="385"/>
      <c r="F6" s="385"/>
      <c r="G6" s="385"/>
      <c r="H6" s="385"/>
      <c r="I6" s="385"/>
      <c r="J6" s="385"/>
      <c r="K6" s="385"/>
      <c r="L6" s="385"/>
      <c r="M6" s="385"/>
      <c r="N6" s="385"/>
      <c r="O6" s="385"/>
      <c r="P6" s="385"/>
      <c r="Q6" s="385"/>
      <c r="R6" s="385"/>
    </row>
    <row r="7" spans="1:36" ht="19.5" customHeight="1" x14ac:dyDescent="0.35">
      <c r="A7" s="5"/>
      <c r="B7" s="5"/>
      <c r="C7" s="5"/>
      <c r="D7" s="5"/>
      <c r="E7" s="5"/>
      <c r="F7" s="5"/>
      <c r="G7" s="5"/>
      <c r="H7" s="5"/>
      <c r="I7" s="5"/>
      <c r="J7" s="5"/>
      <c r="K7" s="5"/>
      <c r="L7" s="5"/>
      <c r="M7" s="5"/>
      <c r="N7" s="5"/>
      <c r="O7" s="5"/>
      <c r="P7" s="5"/>
      <c r="Q7" s="5"/>
      <c r="R7" s="5"/>
    </row>
    <row r="8" spans="1:36" ht="15.75" customHeight="1" x14ac:dyDescent="0.3">
      <c r="A8" s="383" t="s">
        <v>852</v>
      </c>
      <c r="B8" s="383"/>
      <c r="C8" s="383"/>
      <c r="D8" s="383"/>
      <c r="E8" s="383"/>
      <c r="F8" s="383"/>
      <c r="G8" s="383"/>
      <c r="H8" s="383"/>
      <c r="I8" s="383"/>
      <c r="J8" s="383"/>
      <c r="K8" s="383"/>
      <c r="L8" s="383"/>
      <c r="M8" s="383"/>
      <c r="N8" s="383"/>
      <c r="O8" s="383"/>
      <c r="P8" s="383"/>
      <c r="Q8" s="383"/>
      <c r="R8" s="383"/>
    </row>
    <row r="9" spans="1:36" ht="15.75" customHeight="1" x14ac:dyDescent="0.3">
      <c r="A9" s="7"/>
      <c r="B9" s="8"/>
      <c r="C9" s="8"/>
      <c r="D9" s="8"/>
      <c r="E9" s="8"/>
      <c r="F9" s="8"/>
      <c r="G9" s="8"/>
      <c r="H9" s="8"/>
      <c r="I9" s="8"/>
      <c r="J9" s="8"/>
      <c r="K9" s="8"/>
      <c r="L9" s="8"/>
      <c r="M9" s="8"/>
      <c r="N9" s="8"/>
      <c r="O9" s="8"/>
      <c r="P9" s="8"/>
      <c r="Q9" s="8"/>
      <c r="R9" s="8"/>
    </row>
    <row r="10" spans="1:36" ht="16.2" thickBot="1" x14ac:dyDescent="0.35">
      <c r="A10" s="1" t="s">
        <v>6</v>
      </c>
      <c r="B10" s="1">
        <v>31</v>
      </c>
      <c r="C10" s="1">
        <v>29</v>
      </c>
      <c r="D10" s="1">
        <v>31</v>
      </c>
      <c r="E10" s="1"/>
      <c r="F10" s="1">
        <v>30</v>
      </c>
      <c r="G10" s="1">
        <v>31</v>
      </c>
      <c r="H10" s="1">
        <v>30</v>
      </c>
      <c r="I10" s="1"/>
      <c r="J10" s="1">
        <v>31</v>
      </c>
      <c r="K10" s="1">
        <v>31</v>
      </c>
      <c r="L10" s="1">
        <v>30</v>
      </c>
      <c r="M10" s="1"/>
      <c r="N10" s="1">
        <v>31</v>
      </c>
      <c r="O10" s="1">
        <v>30</v>
      </c>
      <c r="P10" s="1">
        <v>31</v>
      </c>
      <c r="Q10" s="1"/>
      <c r="R10" s="1"/>
    </row>
    <row r="11" spans="1:36" ht="15.75" customHeight="1" thickBot="1" x14ac:dyDescent="0.35">
      <c r="A11" s="9" t="s">
        <v>7</v>
      </c>
      <c r="B11" s="10" t="s">
        <v>8</v>
      </c>
      <c r="C11" s="11" t="s">
        <v>9</v>
      </c>
      <c r="D11" s="11" t="s">
        <v>10</v>
      </c>
      <c r="E11" s="12" t="s">
        <v>11</v>
      </c>
      <c r="F11" s="11" t="s">
        <v>12</v>
      </c>
      <c r="G11" s="11" t="s">
        <v>13</v>
      </c>
      <c r="H11" s="11" t="s">
        <v>14</v>
      </c>
      <c r="I11" s="12" t="s">
        <v>15</v>
      </c>
      <c r="J11" s="11" t="s">
        <v>16</v>
      </c>
      <c r="K11" s="11" t="s">
        <v>17</v>
      </c>
      <c r="L11" s="11" t="s">
        <v>18</v>
      </c>
      <c r="M11" s="12" t="s">
        <v>19</v>
      </c>
      <c r="N11" s="11" t="s">
        <v>20</v>
      </c>
      <c r="O11" s="11" t="s">
        <v>21</v>
      </c>
      <c r="P11" s="11" t="s">
        <v>22</v>
      </c>
      <c r="Q11" s="12" t="s">
        <v>23</v>
      </c>
      <c r="R11" s="13" t="s">
        <v>24</v>
      </c>
    </row>
    <row r="12" spans="1:36" ht="16.5" customHeight="1" thickBot="1" x14ac:dyDescent="0.35">
      <c r="A12" s="14"/>
      <c r="B12" s="302"/>
      <c r="C12" s="302"/>
      <c r="D12" s="302"/>
      <c r="E12" s="16"/>
      <c r="F12" s="302"/>
      <c r="G12" s="302"/>
      <c r="H12" s="302"/>
      <c r="I12" s="16"/>
      <c r="J12" s="302"/>
      <c r="K12" s="302"/>
      <c r="L12" s="302"/>
      <c r="M12" s="16"/>
      <c r="N12" s="302"/>
      <c r="O12" s="302"/>
      <c r="P12" s="302"/>
      <c r="Q12" s="16"/>
      <c r="R12" s="16"/>
    </row>
    <row r="13" spans="1:36" ht="15.75" customHeight="1" x14ac:dyDescent="0.3">
      <c r="A13" s="17" t="s">
        <v>25</v>
      </c>
      <c r="B13" s="1">
        <f>+B924</f>
        <v>64506</v>
      </c>
      <c r="C13" s="1">
        <f>+C924</f>
        <v>75796</v>
      </c>
      <c r="D13" s="1">
        <f>+D924</f>
        <v>113580</v>
      </c>
      <c r="E13" s="18">
        <f>SUM(B13:D13)</f>
        <v>253882</v>
      </c>
      <c r="F13" s="1">
        <f>+F924</f>
        <v>144633</v>
      </c>
      <c r="G13" s="1">
        <f>+G924</f>
        <v>156579</v>
      </c>
      <c r="H13" s="1">
        <f>+H924</f>
        <v>196832</v>
      </c>
      <c r="I13" s="18">
        <f t="shared" ref="I13:I19" si="0">SUM(F13:H13)</f>
        <v>498044</v>
      </c>
      <c r="J13" s="1">
        <f>+J924</f>
        <v>162554</v>
      </c>
      <c r="K13" s="1">
        <f>+K924</f>
        <v>147517</v>
      </c>
      <c r="L13" s="1">
        <f>+L924</f>
        <v>108094</v>
      </c>
      <c r="M13" s="18">
        <f t="shared" ref="M13:M20" si="1">SUM(J13:L13)</f>
        <v>418165</v>
      </c>
      <c r="N13" s="1">
        <f>+N924</f>
        <v>85913</v>
      </c>
      <c r="O13" s="1">
        <f>+O924</f>
        <v>61750</v>
      </c>
      <c r="P13" s="1">
        <f>+P924</f>
        <v>42871</v>
      </c>
      <c r="Q13" s="19">
        <f t="shared" ref="Q13:Q19" si="2">SUM(N13:P13)</f>
        <v>190534</v>
      </c>
      <c r="R13" s="18">
        <f t="shared" ref="R13:R20" si="3">+E13+I13+M13+Q13</f>
        <v>1360625</v>
      </c>
      <c r="V13" s="21"/>
      <c r="W13" s="21"/>
      <c r="X13" s="21"/>
      <c r="Z13" s="21"/>
      <c r="AA13" s="21"/>
      <c r="AB13" s="21"/>
      <c r="AD13" s="21"/>
      <c r="AE13" s="21"/>
      <c r="AF13" s="21"/>
      <c r="AH13" s="21"/>
      <c r="AI13" s="21"/>
      <c r="AJ13" s="21"/>
    </row>
    <row r="14" spans="1:36" ht="15.75" customHeight="1" x14ac:dyDescent="0.3">
      <c r="A14" s="17" t="s">
        <v>27</v>
      </c>
      <c r="B14" s="1">
        <f>B25+B60+B130+B317+B503+B553+B598+B663+B673+B709+B761+B771+B805+B856</f>
        <v>739</v>
      </c>
      <c r="C14" s="1">
        <f>C25+C60+C130+C317+C503+C553+C598+C663+C673+C709+C761+C771+C805+C856</f>
        <v>1283</v>
      </c>
      <c r="D14" s="1">
        <f>D25+D60+D130+D317+D503+D553+D598+D663+D673+D709+D761+D771+D805+D856</f>
        <v>2185</v>
      </c>
      <c r="E14" s="18">
        <f t="shared" ref="E14:E19" si="4">SUM(B14:D14)</f>
        <v>4207</v>
      </c>
      <c r="F14" s="1">
        <f>F25+F60+F130+F317+F503+F553+F598+F663+F673+F709+F761+F771+F805+F856</f>
        <v>2959</v>
      </c>
      <c r="G14" s="1">
        <f>G25+G60+G130+G317+G503+G553+G598+G663+G673+G709+G761+G771+G805+G856</f>
        <v>3425</v>
      </c>
      <c r="H14" s="1">
        <f>H25+H60+H130+H317+H503+H553+H598+H663+H673+H709+H761+H771+H805+H856</f>
        <v>3464</v>
      </c>
      <c r="I14" s="18">
        <f t="shared" si="0"/>
        <v>9848</v>
      </c>
      <c r="J14" s="1">
        <f>J25+J60+J130+J317+J503+J553+J598+J663+J673+J709+J761+J771+J805+J856</f>
        <v>3382</v>
      </c>
      <c r="K14" s="1">
        <f>K25+K60+K130+K317+K503+K553+K598+K663+K673+K709+K761+K771+K805+K856</f>
        <v>2663</v>
      </c>
      <c r="L14" s="1">
        <f>L25+L60+L130+L317+L503+L553+L598+L663+L673+L709+L761+L771+L805+L856</f>
        <v>2559</v>
      </c>
      <c r="M14" s="18">
        <f t="shared" si="1"/>
        <v>8604</v>
      </c>
      <c r="N14" s="1">
        <f>N25+N60+N130+N317+N503+N553+N598+N663+N673+N709+N761+N771+N805+N856</f>
        <v>2343</v>
      </c>
      <c r="O14" s="1">
        <f>O25+O60+O130+O317+O503+O553+O598+O663+O673+O709+O761+O771+O805+O856</f>
        <v>1892</v>
      </c>
      <c r="P14" s="1">
        <f>P25+P60+P130+P317+P503+P553+P598+P663+P673+P709+P761+P771+P805+P856</f>
        <v>1423</v>
      </c>
      <c r="Q14" s="19">
        <f t="shared" si="2"/>
        <v>5658</v>
      </c>
      <c r="R14" s="18">
        <f t="shared" si="3"/>
        <v>28317</v>
      </c>
    </row>
    <row r="15" spans="1:36" ht="15.75" customHeight="1" x14ac:dyDescent="0.3">
      <c r="A15" s="17" t="s">
        <v>29</v>
      </c>
      <c r="B15" s="1">
        <f>B312</f>
        <v>470</v>
      </c>
      <c r="C15" s="1">
        <f>C312</f>
        <v>635</v>
      </c>
      <c r="D15" s="1">
        <f>D312</f>
        <v>2235</v>
      </c>
      <c r="E15" s="18">
        <f t="shared" si="4"/>
        <v>3340</v>
      </c>
      <c r="F15" s="1">
        <f>F312</f>
        <v>3411</v>
      </c>
      <c r="G15" s="1">
        <f>G312</f>
        <v>3529</v>
      </c>
      <c r="H15" s="1">
        <f>H312</f>
        <v>2765</v>
      </c>
      <c r="I15" s="18">
        <f t="shared" si="0"/>
        <v>9705</v>
      </c>
      <c r="J15" s="1">
        <f>J312</f>
        <v>3117</v>
      </c>
      <c r="K15" s="1">
        <f>K312</f>
        <v>1529</v>
      </c>
      <c r="L15" s="1">
        <f>L312</f>
        <v>2588</v>
      </c>
      <c r="M15" s="18">
        <f t="shared" si="1"/>
        <v>7234</v>
      </c>
      <c r="N15" s="1">
        <f>N312</f>
        <v>3764</v>
      </c>
      <c r="O15" s="1">
        <f>O312</f>
        <v>941</v>
      </c>
      <c r="P15" s="1">
        <f>P312</f>
        <v>0</v>
      </c>
      <c r="Q15" s="19">
        <f t="shared" si="2"/>
        <v>4705</v>
      </c>
      <c r="R15" s="18">
        <f t="shared" si="3"/>
        <v>24984</v>
      </c>
    </row>
    <row r="16" spans="1:36" ht="15.75" customHeight="1" x14ac:dyDescent="0.3">
      <c r="A16" s="22" t="s">
        <v>30</v>
      </c>
      <c r="B16" s="1">
        <f>+B313</f>
        <v>0</v>
      </c>
      <c r="C16" s="1">
        <f>+C313</f>
        <v>0</v>
      </c>
      <c r="D16" s="1">
        <f>+D313</f>
        <v>0</v>
      </c>
      <c r="E16" s="18">
        <f t="shared" si="4"/>
        <v>0</v>
      </c>
      <c r="F16" s="1">
        <f>+F313</f>
        <v>5000</v>
      </c>
      <c r="G16" s="1">
        <f>+G313</f>
        <v>7800</v>
      </c>
      <c r="H16" s="1">
        <f>+H313</f>
        <v>-10000</v>
      </c>
      <c r="I16" s="18">
        <f t="shared" si="0"/>
        <v>2800</v>
      </c>
      <c r="J16" s="1">
        <f>+J313</f>
        <v>0</v>
      </c>
      <c r="K16" s="1">
        <f>+K313</f>
        <v>0</v>
      </c>
      <c r="L16" s="1">
        <f>+L313</f>
        <v>0</v>
      </c>
      <c r="M16" s="18">
        <f t="shared" si="1"/>
        <v>0</v>
      </c>
      <c r="N16" s="1">
        <f>+N313</f>
        <v>0</v>
      </c>
      <c r="O16" s="1">
        <f>+O313</f>
        <v>0</v>
      </c>
      <c r="P16" s="1">
        <f>+P313</f>
        <v>0</v>
      </c>
      <c r="Q16" s="19">
        <f t="shared" si="2"/>
        <v>0</v>
      </c>
      <c r="R16" s="18">
        <f t="shared" si="3"/>
        <v>2800</v>
      </c>
    </row>
    <row r="17" spans="1:20" ht="15.75" customHeight="1" x14ac:dyDescent="0.3">
      <c r="A17" s="23" t="s">
        <v>31</v>
      </c>
      <c r="B17" s="1">
        <f>B316</f>
        <v>8000</v>
      </c>
      <c r="C17" s="1">
        <f>C316</f>
        <v>0</v>
      </c>
      <c r="D17" s="1">
        <f>D316</f>
        <v>45000</v>
      </c>
      <c r="E17" s="18">
        <f t="shared" si="4"/>
        <v>53000</v>
      </c>
      <c r="F17" s="1">
        <f>F316</f>
        <v>0</v>
      </c>
      <c r="G17" s="1">
        <f>G316</f>
        <v>0</v>
      </c>
      <c r="H17" s="1">
        <f>H316</f>
        <v>0</v>
      </c>
      <c r="I17" s="18">
        <f t="shared" si="0"/>
        <v>0</v>
      </c>
      <c r="J17" s="1">
        <f>J316</f>
        <v>0</v>
      </c>
      <c r="K17" s="1">
        <f>K316</f>
        <v>0</v>
      </c>
      <c r="L17" s="1">
        <f>L316</f>
        <v>18000</v>
      </c>
      <c r="M17" s="18">
        <f t="shared" si="1"/>
        <v>18000</v>
      </c>
      <c r="N17" s="1">
        <f>N316</f>
        <v>72000</v>
      </c>
      <c r="O17" s="1">
        <f>O316</f>
        <v>94000</v>
      </c>
      <c r="P17" s="1">
        <f>P316</f>
        <v>54000</v>
      </c>
      <c r="Q17" s="19">
        <f t="shared" si="2"/>
        <v>220000</v>
      </c>
      <c r="R17" s="18">
        <f t="shared" si="3"/>
        <v>291000</v>
      </c>
    </row>
    <row r="18" spans="1:20" ht="15.75" customHeight="1" x14ac:dyDescent="0.3">
      <c r="A18" s="23" t="s">
        <v>32</v>
      </c>
      <c r="B18" s="1">
        <f>B328</f>
        <v>0</v>
      </c>
      <c r="C18" s="1">
        <f>C328</f>
        <v>0</v>
      </c>
      <c r="D18" s="1">
        <f>D328</f>
        <v>0</v>
      </c>
      <c r="E18" s="18">
        <f t="shared" si="4"/>
        <v>0</v>
      </c>
      <c r="F18" s="1">
        <f>F328</f>
        <v>0</v>
      </c>
      <c r="G18" s="1">
        <f>G328</f>
        <v>-10000</v>
      </c>
      <c r="H18" s="1">
        <f>H328</f>
        <v>-96000</v>
      </c>
      <c r="I18" s="18">
        <f t="shared" si="0"/>
        <v>-106000</v>
      </c>
      <c r="J18" s="1">
        <f>J328</f>
        <v>-117000</v>
      </c>
      <c r="K18" s="1">
        <f>K328</f>
        <v>-100000</v>
      </c>
      <c r="L18" s="1">
        <f>L328</f>
        <v>0</v>
      </c>
      <c r="M18" s="18">
        <f t="shared" si="1"/>
        <v>-217000</v>
      </c>
      <c r="N18" s="1">
        <f>N328</f>
        <v>0</v>
      </c>
      <c r="O18" s="1">
        <f>O328</f>
        <v>0</v>
      </c>
      <c r="P18" s="1">
        <f>P328</f>
        <v>0</v>
      </c>
      <c r="Q18" s="19">
        <f t="shared" si="2"/>
        <v>0</v>
      </c>
      <c r="R18" s="18">
        <f t="shared" si="3"/>
        <v>-323000</v>
      </c>
    </row>
    <row r="19" spans="1:20" ht="16.5" customHeight="1" thickBot="1" x14ac:dyDescent="0.35">
      <c r="A19" s="24" t="s">
        <v>33</v>
      </c>
      <c r="B19" s="25">
        <f>(B29)</f>
        <v>73715</v>
      </c>
      <c r="C19" s="25">
        <f>(C29)</f>
        <v>77714</v>
      </c>
      <c r="D19" s="25">
        <f>(D29)</f>
        <v>163000</v>
      </c>
      <c r="E19" s="26">
        <f t="shared" si="4"/>
        <v>314429</v>
      </c>
      <c r="F19" s="25">
        <f>(F29)</f>
        <v>156003</v>
      </c>
      <c r="G19" s="25">
        <f>(G29)</f>
        <v>161333</v>
      </c>
      <c r="H19" s="25">
        <f>(H29)</f>
        <v>97061</v>
      </c>
      <c r="I19" s="26">
        <f t="shared" si="0"/>
        <v>414397</v>
      </c>
      <c r="J19" s="25">
        <f>(J29)</f>
        <v>52053</v>
      </c>
      <c r="K19" s="25">
        <f>(K29)</f>
        <v>51709</v>
      </c>
      <c r="L19" s="25">
        <f>(L29)</f>
        <v>131241</v>
      </c>
      <c r="M19" s="26">
        <f t="shared" si="1"/>
        <v>235003</v>
      </c>
      <c r="N19" s="25">
        <f>(N29)</f>
        <v>164020</v>
      </c>
      <c r="O19" s="25">
        <f>(O29)</f>
        <v>158583</v>
      </c>
      <c r="P19" s="25">
        <f>(P29)</f>
        <v>98294</v>
      </c>
      <c r="Q19" s="27">
        <f t="shared" si="2"/>
        <v>420897</v>
      </c>
      <c r="R19" s="26">
        <f t="shared" si="3"/>
        <v>1384726</v>
      </c>
    </row>
    <row r="20" spans="1:20" ht="16.5" customHeight="1" thickBot="1" x14ac:dyDescent="0.35">
      <c r="A20" s="24" t="s">
        <v>34</v>
      </c>
      <c r="B20" s="25">
        <f>+B19</f>
        <v>73715</v>
      </c>
      <c r="C20" s="25">
        <f>+C19</f>
        <v>77714</v>
      </c>
      <c r="D20" s="25">
        <f>+D19</f>
        <v>163000</v>
      </c>
      <c r="E20" s="26">
        <f>SUM(B20:D20)</f>
        <v>314429</v>
      </c>
      <c r="F20" s="25">
        <f>+F19</f>
        <v>156003</v>
      </c>
      <c r="G20" s="25">
        <f>+G19</f>
        <v>161333</v>
      </c>
      <c r="H20" s="25">
        <f>+H19</f>
        <v>97061</v>
      </c>
      <c r="I20" s="26">
        <f>SUM(F20:H20)</f>
        <v>414397</v>
      </c>
      <c r="J20" s="25">
        <f>+J19</f>
        <v>52053</v>
      </c>
      <c r="K20" s="25">
        <f>+K19</f>
        <v>51709</v>
      </c>
      <c r="L20" s="25">
        <f>+L19</f>
        <v>131241</v>
      </c>
      <c r="M20" s="26">
        <f t="shared" si="1"/>
        <v>235003</v>
      </c>
      <c r="N20" s="25">
        <f>+N19</f>
        <v>164020</v>
      </c>
      <c r="O20" s="25">
        <f>+O19</f>
        <v>158583</v>
      </c>
      <c r="P20" s="25">
        <f>+P19</f>
        <v>98294</v>
      </c>
      <c r="Q20" s="27">
        <f>SUM(N20:P20)</f>
        <v>420897</v>
      </c>
      <c r="R20" s="26">
        <f t="shared" si="3"/>
        <v>1384726</v>
      </c>
    </row>
    <row r="21" spans="1:20" ht="15.75" customHeight="1" x14ac:dyDescent="0.3">
      <c r="A21" s="1"/>
      <c r="B21" s="1"/>
      <c r="C21" s="1"/>
      <c r="D21" s="1"/>
      <c r="E21" s="1"/>
      <c r="F21" s="1"/>
      <c r="G21" s="1"/>
      <c r="H21" s="1"/>
      <c r="I21" s="1"/>
      <c r="J21" s="1"/>
      <c r="K21" s="1"/>
      <c r="L21" s="1"/>
      <c r="M21" s="1"/>
      <c r="N21" s="1"/>
      <c r="O21" s="1"/>
      <c r="P21" s="1"/>
      <c r="Q21" s="1"/>
      <c r="R21" s="28"/>
    </row>
    <row r="22" spans="1:20" ht="15.75" customHeight="1" thickBot="1" x14ac:dyDescent="0.35">
      <c r="A22" s="1"/>
      <c r="B22" s="1"/>
      <c r="C22" s="1"/>
      <c r="D22" s="1"/>
      <c r="E22" s="1"/>
      <c r="F22" s="29" t="s">
        <v>7</v>
      </c>
      <c r="G22" s="29" t="s">
        <v>7</v>
      </c>
      <c r="H22" s="1"/>
      <c r="I22" s="1"/>
      <c r="J22" s="1"/>
      <c r="K22" s="1"/>
      <c r="L22" s="1"/>
      <c r="M22" s="1"/>
      <c r="N22" s="29" t="s">
        <v>7</v>
      </c>
      <c r="O22" s="29" t="s">
        <v>7</v>
      </c>
      <c r="P22" s="29" t="s">
        <v>7</v>
      </c>
      <c r="Q22" s="29"/>
      <c r="R22" s="30" t="s">
        <v>7</v>
      </c>
    </row>
    <row r="23" spans="1:20" ht="16.5" customHeight="1" thickBot="1" x14ac:dyDescent="0.35">
      <c r="A23" s="31" t="s">
        <v>35</v>
      </c>
      <c r="B23" s="32" t="s">
        <v>36</v>
      </c>
      <c r="C23" s="33" t="s">
        <v>9</v>
      </c>
      <c r="D23" s="33" t="s">
        <v>10</v>
      </c>
      <c r="E23" s="12" t="s">
        <v>11</v>
      </c>
      <c r="F23" s="33" t="s">
        <v>12</v>
      </c>
      <c r="G23" s="33" t="s">
        <v>13</v>
      </c>
      <c r="H23" s="33" t="s">
        <v>14</v>
      </c>
      <c r="I23" s="34" t="s">
        <v>15</v>
      </c>
      <c r="J23" s="33" t="s">
        <v>16</v>
      </c>
      <c r="K23" s="33" t="s">
        <v>17</v>
      </c>
      <c r="L23" s="33" t="s">
        <v>18</v>
      </c>
      <c r="M23" s="34" t="s">
        <v>19</v>
      </c>
      <c r="N23" s="33" t="s">
        <v>20</v>
      </c>
      <c r="O23" s="33" t="s">
        <v>21</v>
      </c>
      <c r="P23" s="33" t="s">
        <v>22</v>
      </c>
      <c r="Q23" s="34" t="s">
        <v>23</v>
      </c>
      <c r="R23" s="35" t="s">
        <v>24</v>
      </c>
    </row>
    <row r="24" spans="1:20" ht="16.5" customHeight="1" thickBot="1" x14ac:dyDescent="0.35">
      <c r="A24" s="36"/>
      <c r="B24" s="37"/>
      <c r="C24" s="37"/>
      <c r="D24" s="37"/>
      <c r="E24" s="38"/>
      <c r="F24" s="37"/>
      <c r="G24" s="37"/>
      <c r="H24" s="37"/>
      <c r="I24" s="38"/>
      <c r="J24" s="37"/>
      <c r="K24" s="37"/>
      <c r="L24" s="37"/>
      <c r="M24" s="38"/>
      <c r="N24" s="37"/>
      <c r="O24" s="37"/>
      <c r="P24" s="37"/>
      <c r="Q24" s="38"/>
      <c r="R24" s="39"/>
    </row>
    <row r="25" spans="1:20" ht="16.5" customHeight="1" thickBot="1" x14ac:dyDescent="0.35">
      <c r="A25" s="40" t="s">
        <v>37</v>
      </c>
      <c r="B25" s="25">
        <v>97</v>
      </c>
      <c r="C25" s="25">
        <v>148</v>
      </c>
      <c r="D25" s="25">
        <v>274</v>
      </c>
      <c r="E25" s="41">
        <f>SUM(B25:D25)</f>
        <v>519</v>
      </c>
      <c r="F25" s="25">
        <v>367</v>
      </c>
      <c r="G25" s="25">
        <v>425</v>
      </c>
      <c r="H25" s="25">
        <v>417</v>
      </c>
      <c r="I25" s="41">
        <f>SUM(F25:H25)</f>
        <v>1209</v>
      </c>
      <c r="J25" s="25">
        <v>416</v>
      </c>
      <c r="K25" s="25">
        <v>334</v>
      </c>
      <c r="L25" s="25">
        <v>316</v>
      </c>
      <c r="M25" s="41">
        <f>SUM(J25:L25)</f>
        <v>1066</v>
      </c>
      <c r="N25" s="25">
        <v>285</v>
      </c>
      <c r="O25" s="25">
        <v>235</v>
      </c>
      <c r="P25" s="25">
        <v>186</v>
      </c>
      <c r="Q25" s="41">
        <f>SUM(N25:P25)</f>
        <v>706</v>
      </c>
      <c r="R25" s="26">
        <f>+E25+I25+M25+Q25</f>
        <v>3500</v>
      </c>
    </row>
    <row r="26" spans="1:20" ht="17.25" customHeight="1" thickBot="1" x14ac:dyDescent="0.35">
      <c r="A26" s="42"/>
      <c r="B26" s="37"/>
      <c r="C26" s="37"/>
      <c r="D26" s="37"/>
      <c r="E26" s="43"/>
      <c r="F26" s="37"/>
      <c r="G26" s="37"/>
      <c r="H26" s="37"/>
      <c r="I26" s="43"/>
      <c r="J26" s="37"/>
      <c r="K26" s="37"/>
      <c r="L26" s="37"/>
      <c r="M26" s="43"/>
      <c r="N26" s="37"/>
      <c r="O26" s="37"/>
      <c r="P26" s="37"/>
      <c r="Q26" s="43"/>
      <c r="R26" s="44"/>
    </row>
    <row r="27" spans="1:20" ht="15.75" customHeight="1" x14ac:dyDescent="0.3">
      <c r="A27" s="17" t="s">
        <v>38</v>
      </c>
      <c r="B27" s="1">
        <f>B25</f>
        <v>97</v>
      </c>
      <c r="C27" s="1">
        <f>C25</f>
        <v>148</v>
      </c>
      <c r="D27" s="1">
        <f>D25</f>
        <v>274</v>
      </c>
      <c r="E27" s="41">
        <f>SUM(B27:D27)</f>
        <v>519</v>
      </c>
      <c r="F27" s="1">
        <f>F25</f>
        <v>367</v>
      </c>
      <c r="G27" s="1">
        <f>G25</f>
        <v>425</v>
      </c>
      <c r="H27" s="1">
        <f>H25</f>
        <v>417</v>
      </c>
      <c r="I27" s="41">
        <f>SUM(F27:H27)</f>
        <v>1209</v>
      </c>
      <c r="J27" s="1">
        <f>J25</f>
        <v>416</v>
      </c>
      <c r="K27" s="1">
        <f>K25</f>
        <v>334</v>
      </c>
      <c r="L27" s="1">
        <f>L25</f>
        <v>316</v>
      </c>
      <c r="M27" s="41">
        <f>SUM(J27:L27)</f>
        <v>1066</v>
      </c>
      <c r="N27" s="1">
        <f>N25</f>
        <v>285</v>
      </c>
      <c r="O27" s="1">
        <f>O25</f>
        <v>235</v>
      </c>
      <c r="P27" s="1">
        <f>P25</f>
        <v>186</v>
      </c>
      <c r="Q27" s="45">
        <f>SUM(N27:P27)</f>
        <v>706</v>
      </c>
      <c r="R27" s="41">
        <f>+E27+I27+M27+Q27</f>
        <v>3500</v>
      </c>
    </row>
    <row r="28" spans="1:20" ht="15.75" customHeight="1" x14ac:dyDescent="0.3">
      <c r="A28" s="17" t="s">
        <v>39</v>
      </c>
      <c r="B28" s="1">
        <f>(B27/B10)/1.983</f>
        <v>1.5779285214647079</v>
      </c>
      <c r="C28" s="1">
        <f>(C27/C10)/1.983</f>
        <v>2.5735997356843514</v>
      </c>
      <c r="D28" s="1">
        <f>(D27/D10)/1.983</f>
        <v>4.457241390529175</v>
      </c>
      <c r="E28" s="18"/>
      <c r="F28" s="1">
        <f>(F27/F10)/1.983</f>
        <v>6.1691040511010247</v>
      </c>
      <c r="G28" s="1">
        <f>(G27/G10)/1.983</f>
        <v>6.9136043466237203</v>
      </c>
      <c r="H28" s="1">
        <f>(H27/H10)/1.983</f>
        <v>7.0095814422592033</v>
      </c>
      <c r="I28" s="18"/>
      <c r="J28" s="1">
        <f>(J27/J10)/1.983</f>
        <v>6.7671986075187478</v>
      </c>
      <c r="K28" s="1">
        <f>(K27/K10)/1.983</f>
        <v>5.433279651228994</v>
      </c>
      <c r="L28" s="1">
        <f>(L27/L10)/1.983</f>
        <v>5.3118171121196838</v>
      </c>
      <c r="M28" s="18"/>
      <c r="N28" s="1">
        <f>(N27/N10)/1.983</f>
        <v>4.6361817383241419</v>
      </c>
      <c r="O28" s="1">
        <f>(O27/O10)/1.983</f>
        <v>3.9502437384434357</v>
      </c>
      <c r="P28" s="1">
        <f>(P27/P10)/1.983</f>
        <v>3.02571860816944</v>
      </c>
      <c r="Q28" s="19"/>
      <c r="R28" s="18"/>
    </row>
    <row r="29" spans="1:20" ht="15.75" customHeight="1" x14ac:dyDescent="0.3">
      <c r="A29" s="17" t="s">
        <v>40</v>
      </c>
      <c r="B29" s="1">
        <f>B27+B64</f>
        <v>73715</v>
      </c>
      <c r="C29" s="1">
        <f>C27+C64</f>
        <v>77714</v>
      </c>
      <c r="D29" s="1">
        <f>D27+D64</f>
        <v>163000</v>
      </c>
      <c r="E29" s="18">
        <f>SUM(B29:D29)</f>
        <v>314429</v>
      </c>
      <c r="F29" s="1">
        <f>F27+F64</f>
        <v>156003</v>
      </c>
      <c r="G29" s="1">
        <f>G27+G64</f>
        <v>161333</v>
      </c>
      <c r="H29" s="1">
        <f>H27+H64</f>
        <v>97061</v>
      </c>
      <c r="I29" s="18">
        <f>SUM(F29:H29)</f>
        <v>414397</v>
      </c>
      <c r="J29" s="1">
        <f>J27+J64</f>
        <v>52053</v>
      </c>
      <c r="K29" s="1">
        <f>K27+K64</f>
        <v>51709</v>
      </c>
      <c r="L29" s="1">
        <f>L27+L64</f>
        <v>131241</v>
      </c>
      <c r="M29" s="18">
        <f>SUM(J29:L29)</f>
        <v>235003</v>
      </c>
      <c r="N29" s="1">
        <f>N27+N64</f>
        <v>164020</v>
      </c>
      <c r="O29" s="1">
        <f>O27+O64</f>
        <v>158583</v>
      </c>
      <c r="P29" s="1">
        <f>P27+P64</f>
        <v>98294</v>
      </c>
      <c r="Q29" s="19">
        <f>SUM(N29:P29)</f>
        <v>420897</v>
      </c>
      <c r="R29" s="18">
        <f>+E29+I29+M29+Q29</f>
        <v>1384726</v>
      </c>
    </row>
    <row r="30" spans="1:20" s="50" customFormat="1" ht="16.5" customHeight="1" thickBot="1" x14ac:dyDescent="0.35">
      <c r="A30" s="46" t="s">
        <v>41</v>
      </c>
      <c r="B30" s="47">
        <f>(B29/B10)/1.983</f>
        <v>1199.1443397914531</v>
      </c>
      <c r="C30" s="47">
        <f>(C29/C10)/1.983</f>
        <v>1351.3833098579303</v>
      </c>
      <c r="D30" s="47">
        <f>(D29/D10)/1.983</f>
        <v>2651.5706082345091</v>
      </c>
      <c r="E30" s="48"/>
      <c r="F30" s="47">
        <f>(F29/F10)/1.983</f>
        <v>2622.3398890569842</v>
      </c>
      <c r="G30" s="47">
        <f>(G29/G10)/1.983</f>
        <v>2624.453011891399</v>
      </c>
      <c r="H30" s="47">
        <f>(H29/H10)/1.983</f>
        <v>1631.551521264078</v>
      </c>
      <c r="I30" s="48"/>
      <c r="J30" s="47">
        <f>(J29/J10)/1.983</f>
        <v>846.76199307012837</v>
      </c>
      <c r="K30" s="47">
        <f>(K29/K10)/1.983</f>
        <v>841.16604037544937</v>
      </c>
      <c r="L30" s="47">
        <f>(L29/L10)/1.983</f>
        <v>2206.1018658598082</v>
      </c>
      <c r="M30" s="48"/>
      <c r="N30" s="47">
        <f>(N29/N10)/1.983</f>
        <v>2668.1632586664064</v>
      </c>
      <c r="O30" s="47">
        <f>(O29/O10)/1.983</f>
        <v>2665.7085224407465</v>
      </c>
      <c r="P30" s="47">
        <f>(P29/P10)/1.983</f>
        <v>1598.9784132871341</v>
      </c>
      <c r="Q30" s="49"/>
      <c r="R30" s="48"/>
      <c r="T30" s="51" t="s">
        <v>42</v>
      </c>
    </row>
    <row r="31" spans="1:20" ht="15.75" customHeight="1" x14ac:dyDescent="0.3">
      <c r="A31" s="28"/>
      <c r="B31" s="1"/>
      <c r="C31" s="1"/>
      <c r="D31" s="1"/>
      <c r="E31" s="1"/>
      <c r="F31" s="1"/>
      <c r="G31" s="1"/>
      <c r="H31" s="1"/>
      <c r="I31" s="1"/>
      <c r="J31" s="1"/>
      <c r="K31" s="1"/>
      <c r="L31" s="1"/>
      <c r="M31" s="1"/>
      <c r="N31" s="1"/>
      <c r="O31" s="1"/>
      <c r="P31" s="1"/>
      <c r="Q31" s="1"/>
      <c r="R31" s="28"/>
      <c r="T31" s="52" t="s">
        <v>43</v>
      </c>
    </row>
    <row r="32" spans="1:20" ht="15.75" customHeight="1" thickBot="1" x14ac:dyDescent="0.35">
      <c r="A32" s="28"/>
      <c r="B32" s="1"/>
      <c r="C32" s="1"/>
      <c r="D32" s="1"/>
      <c r="E32" s="1"/>
      <c r="F32" s="1"/>
      <c r="G32" s="1"/>
      <c r="H32" s="1"/>
      <c r="I32" s="1"/>
      <c r="J32" s="1"/>
      <c r="K32" s="1"/>
      <c r="L32" s="1"/>
      <c r="M32" s="1"/>
      <c r="N32" s="1"/>
      <c r="O32" s="1"/>
      <c r="P32" s="1"/>
      <c r="Q32" s="1"/>
      <c r="R32" s="28"/>
    </row>
    <row r="33" spans="1:18" ht="15.75" customHeight="1" thickBot="1" x14ac:dyDescent="0.35">
      <c r="A33" s="53" t="s">
        <v>44</v>
      </c>
      <c r="B33" s="54" t="s">
        <v>36</v>
      </c>
      <c r="C33" s="11" t="s">
        <v>9</v>
      </c>
      <c r="D33" s="11" t="s">
        <v>10</v>
      </c>
      <c r="E33" s="12" t="s">
        <v>11</v>
      </c>
      <c r="F33" s="11" t="s">
        <v>12</v>
      </c>
      <c r="G33" s="11" t="s">
        <v>13</v>
      </c>
      <c r="H33" s="11" t="s">
        <v>14</v>
      </c>
      <c r="I33" s="12" t="s">
        <v>15</v>
      </c>
      <c r="J33" s="11" t="s">
        <v>16</v>
      </c>
      <c r="K33" s="11" t="s">
        <v>17</v>
      </c>
      <c r="L33" s="11" t="s">
        <v>18</v>
      </c>
      <c r="M33" s="12" t="s">
        <v>19</v>
      </c>
      <c r="N33" s="11" t="s">
        <v>20</v>
      </c>
      <c r="O33" s="11" t="s">
        <v>21</v>
      </c>
      <c r="P33" s="11" t="s">
        <v>22</v>
      </c>
      <c r="Q33" s="12" t="s">
        <v>23</v>
      </c>
      <c r="R33" s="13" t="s">
        <v>24</v>
      </c>
    </row>
    <row r="34" spans="1:18" ht="16.5" customHeight="1" thickBot="1" x14ac:dyDescent="0.35">
      <c r="A34" s="43"/>
      <c r="B34" s="55"/>
      <c r="C34" s="56"/>
      <c r="D34" s="56"/>
      <c r="E34" s="16"/>
      <c r="F34" s="56"/>
      <c r="G34" s="56"/>
      <c r="H34" s="56"/>
      <c r="I34" s="16"/>
      <c r="J34" s="56"/>
      <c r="K34" s="56"/>
      <c r="L34" s="56"/>
      <c r="M34" s="16"/>
      <c r="N34" s="56"/>
      <c r="O34" s="56"/>
      <c r="P34" s="56"/>
      <c r="Q34" s="16"/>
      <c r="R34" s="57"/>
    </row>
    <row r="35" spans="1:18" ht="15.75" customHeight="1" x14ac:dyDescent="0.3">
      <c r="A35" s="58" t="s">
        <v>45</v>
      </c>
      <c r="B35" s="30"/>
      <c r="C35" s="30"/>
      <c r="D35" s="30"/>
      <c r="E35" s="59" t="s">
        <v>7</v>
      </c>
      <c r="F35" s="30"/>
      <c r="G35" s="30"/>
      <c r="H35" s="30"/>
      <c r="I35" s="59" t="s">
        <v>7</v>
      </c>
      <c r="J35" s="30"/>
      <c r="K35" s="30"/>
      <c r="L35" s="30"/>
      <c r="M35" s="59" t="s">
        <v>7</v>
      </c>
      <c r="N35" s="30"/>
      <c r="O35" s="30"/>
      <c r="P35" s="30"/>
      <c r="Q35" s="59" t="s">
        <v>7</v>
      </c>
      <c r="R35" s="59" t="s">
        <v>7</v>
      </c>
    </row>
    <row r="36" spans="1:18" ht="15.75" customHeight="1" x14ac:dyDescent="0.3">
      <c r="A36" s="22" t="s">
        <v>46</v>
      </c>
      <c r="B36" s="30" t="s">
        <v>7</v>
      </c>
      <c r="C36" s="60"/>
      <c r="D36" s="60"/>
      <c r="E36" s="59" t="s">
        <v>7</v>
      </c>
      <c r="F36" s="60"/>
      <c r="G36" s="60"/>
      <c r="H36" s="60"/>
      <c r="I36" s="59" t="s">
        <v>7</v>
      </c>
      <c r="J36" s="60"/>
      <c r="K36" s="60"/>
      <c r="L36" s="60"/>
      <c r="M36" s="59" t="s">
        <v>7</v>
      </c>
      <c r="N36" s="60"/>
      <c r="O36" s="60"/>
      <c r="P36" s="60"/>
      <c r="Q36" s="59" t="s">
        <v>7</v>
      </c>
      <c r="R36" s="59" t="s">
        <v>7</v>
      </c>
    </row>
    <row r="37" spans="1:18" ht="15.75" customHeight="1" x14ac:dyDescent="0.3">
      <c r="A37" s="22" t="s">
        <v>47</v>
      </c>
      <c r="B37" s="30"/>
      <c r="C37" s="30"/>
      <c r="D37" s="30"/>
      <c r="E37" s="59" t="s">
        <v>7</v>
      </c>
      <c r="F37" s="30"/>
      <c r="G37" s="30"/>
      <c r="H37" s="30"/>
      <c r="I37" s="59" t="s">
        <v>7</v>
      </c>
      <c r="J37" s="30"/>
      <c r="K37" s="30"/>
      <c r="L37" s="30"/>
      <c r="M37" s="59" t="s">
        <v>7</v>
      </c>
      <c r="N37" s="30"/>
      <c r="O37" s="30"/>
      <c r="P37" s="30"/>
      <c r="Q37" s="59" t="s">
        <v>7</v>
      </c>
      <c r="R37" s="59" t="s">
        <v>7</v>
      </c>
    </row>
    <row r="38" spans="1:18" ht="15.75" customHeight="1" x14ac:dyDescent="0.3">
      <c r="A38" s="61" t="s">
        <v>48</v>
      </c>
      <c r="B38" s="1"/>
      <c r="C38" s="1"/>
      <c r="D38" s="1"/>
      <c r="E38" s="59">
        <f>SUM(B38:D38)</f>
        <v>0</v>
      </c>
      <c r="F38" s="1"/>
      <c r="G38" s="1"/>
      <c r="H38" s="1"/>
      <c r="I38" s="59">
        <f>SUM(F38:H38)</f>
        <v>0</v>
      </c>
      <c r="J38" s="1"/>
      <c r="K38" s="1"/>
      <c r="L38" s="1"/>
      <c r="M38" s="59">
        <f>SUM(J38:L38)</f>
        <v>0</v>
      </c>
      <c r="N38" s="1"/>
      <c r="O38" s="1"/>
      <c r="P38" s="1"/>
      <c r="Q38" s="59">
        <f>SUM(N38:P38)</f>
        <v>0</v>
      </c>
      <c r="R38" s="59">
        <f>+E38+I38+M38+Q38</f>
        <v>0</v>
      </c>
    </row>
    <row r="39" spans="1:18" ht="15.75" customHeight="1" x14ac:dyDescent="0.3">
      <c r="A39" s="22" t="s">
        <v>49</v>
      </c>
      <c r="B39" s="30"/>
      <c r="C39" s="30"/>
      <c r="D39" s="30"/>
      <c r="E39" s="59" t="s">
        <v>50</v>
      </c>
      <c r="F39" s="30"/>
      <c r="G39" s="30"/>
      <c r="H39" s="30"/>
      <c r="I39" s="59" t="s">
        <v>50</v>
      </c>
      <c r="J39" s="30"/>
      <c r="K39" s="30"/>
      <c r="L39" s="30"/>
      <c r="M39" s="59" t="s">
        <v>50</v>
      </c>
      <c r="N39" s="30"/>
      <c r="O39" s="30"/>
      <c r="P39" s="30"/>
      <c r="Q39" s="59" t="s">
        <v>50</v>
      </c>
      <c r="R39" s="59" t="s">
        <v>50</v>
      </c>
    </row>
    <row r="40" spans="1:18" ht="15.75" customHeight="1" thickBot="1" x14ac:dyDescent="0.35">
      <c r="A40" s="22" t="s">
        <v>51</v>
      </c>
      <c r="B40" s="60"/>
      <c r="C40" s="60"/>
      <c r="D40" s="60"/>
      <c r="E40" s="59" t="s">
        <v>7</v>
      </c>
      <c r="F40" s="60"/>
      <c r="G40" s="60"/>
      <c r="H40" s="60"/>
      <c r="I40" s="59" t="s">
        <v>7</v>
      </c>
      <c r="J40" s="60"/>
      <c r="K40" s="60"/>
      <c r="L40" s="60"/>
      <c r="M40" s="59" t="s">
        <v>7</v>
      </c>
      <c r="N40" s="60"/>
      <c r="O40" s="60"/>
      <c r="P40" s="60"/>
      <c r="Q40" s="59" t="s">
        <v>7</v>
      </c>
      <c r="R40" s="59" t="s">
        <v>7</v>
      </c>
    </row>
    <row r="41" spans="1:18" ht="16.5" customHeight="1" thickBot="1" x14ac:dyDescent="0.35">
      <c r="A41" s="62" t="s">
        <v>52</v>
      </c>
      <c r="B41" s="63">
        <f>SUM(B35:B40)</f>
        <v>0</v>
      </c>
      <c r="C41" s="63">
        <f>SUM(C35:C40)</f>
        <v>0</v>
      </c>
      <c r="D41" s="63">
        <f>SUM(D35:D40)</f>
        <v>0</v>
      </c>
      <c r="E41" s="64">
        <f>SUM(B41:D41)</f>
        <v>0</v>
      </c>
      <c r="F41" s="63">
        <f>SUM(F35:F40)</f>
        <v>0</v>
      </c>
      <c r="G41" s="63">
        <f>SUM(G35:G40)</f>
        <v>0</v>
      </c>
      <c r="H41" s="63">
        <f>SUM(H35:H40)</f>
        <v>0</v>
      </c>
      <c r="I41" s="64">
        <f>SUM(F41:H41)</f>
        <v>0</v>
      </c>
      <c r="J41" s="63">
        <f>SUM(J35:J40)</f>
        <v>0</v>
      </c>
      <c r="K41" s="63">
        <f>SUM(K35:K40)</f>
        <v>0</v>
      </c>
      <c r="L41" s="63">
        <f>SUM(L35:L40)</f>
        <v>0</v>
      </c>
      <c r="M41" s="64">
        <f>SUM(J41:L41)</f>
        <v>0</v>
      </c>
      <c r="N41" s="63">
        <f>SUM(N35:N40)</f>
        <v>0</v>
      </c>
      <c r="O41" s="63">
        <f>SUM(O35:O40)</f>
        <v>0</v>
      </c>
      <c r="P41" s="63">
        <f>SUM(P35:P40)</f>
        <v>0</v>
      </c>
      <c r="Q41" s="64">
        <f>SUM(N41:P41)</f>
        <v>0</v>
      </c>
      <c r="R41" s="64">
        <f>+E41+I41+M41+Q41</f>
        <v>0</v>
      </c>
    </row>
    <row r="42" spans="1:18" ht="15.75" customHeight="1" x14ac:dyDescent="0.3">
      <c r="A42" s="22" t="s">
        <v>53</v>
      </c>
      <c r="B42" s="60"/>
      <c r="C42" s="60"/>
      <c r="D42" s="60"/>
      <c r="E42" s="59" t="s">
        <v>7</v>
      </c>
      <c r="F42" s="60"/>
      <c r="G42" s="60"/>
      <c r="H42" s="60"/>
      <c r="I42" s="59" t="s">
        <v>7</v>
      </c>
      <c r="J42" s="60"/>
      <c r="K42" s="60"/>
      <c r="L42" s="60"/>
      <c r="M42" s="59" t="s">
        <v>7</v>
      </c>
      <c r="N42" s="60"/>
      <c r="O42" s="60"/>
      <c r="P42" s="60"/>
      <c r="Q42" s="59" t="s">
        <v>7</v>
      </c>
      <c r="R42" s="65" t="s">
        <v>7</v>
      </c>
    </row>
    <row r="43" spans="1:18" ht="15.75" customHeight="1" x14ac:dyDescent="0.3">
      <c r="A43" s="22" t="s">
        <v>54</v>
      </c>
      <c r="B43" s="60"/>
      <c r="C43" s="60"/>
      <c r="D43" s="60"/>
      <c r="E43" s="59"/>
      <c r="F43" s="60"/>
      <c r="G43" s="60"/>
      <c r="H43" s="60"/>
      <c r="I43" s="59"/>
      <c r="J43" s="60"/>
      <c r="K43" s="60"/>
      <c r="L43" s="60"/>
      <c r="M43" s="59"/>
      <c r="N43" s="60"/>
      <c r="O43" s="60"/>
      <c r="P43" s="60"/>
      <c r="Q43" s="59"/>
      <c r="R43" s="59"/>
    </row>
    <row r="44" spans="1:18" ht="15.75" customHeight="1" x14ac:dyDescent="0.3">
      <c r="A44" s="22" t="s">
        <v>55</v>
      </c>
      <c r="B44" s="60"/>
      <c r="C44" s="60"/>
      <c r="D44" s="60"/>
      <c r="E44" s="59" t="s">
        <v>7</v>
      </c>
      <c r="F44" s="60"/>
      <c r="G44" s="60"/>
      <c r="H44" s="60"/>
      <c r="I44" s="59" t="s">
        <v>7</v>
      </c>
      <c r="J44" s="60"/>
      <c r="K44" s="60"/>
      <c r="L44" s="60"/>
      <c r="M44" s="59" t="s">
        <v>7</v>
      </c>
      <c r="N44" s="60"/>
      <c r="O44" s="60"/>
      <c r="P44" s="60"/>
      <c r="Q44" s="59" t="s">
        <v>7</v>
      </c>
      <c r="R44" s="59" t="s">
        <v>7</v>
      </c>
    </row>
    <row r="45" spans="1:18" ht="15.75" customHeight="1" thickBot="1" x14ac:dyDescent="0.35">
      <c r="A45" s="22" t="s">
        <v>56</v>
      </c>
      <c r="B45" s="60"/>
      <c r="C45" s="60"/>
      <c r="D45" s="60"/>
      <c r="E45" s="59" t="s">
        <v>7</v>
      </c>
      <c r="F45" s="60"/>
      <c r="G45" s="60"/>
      <c r="H45" s="60"/>
      <c r="I45" s="59" t="s">
        <v>7</v>
      </c>
      <c r="J45" s="60"/>
      <c r="K45" s="60"/>
      <c r="L45" s="60"/>
      <c r="M45" s="59" t="s">
        <v>7</v>
      </c>
      <c r="N45" s="60"/>
      <c r="O45" s="60"/>
      <c r="P45" s="60"/>
      <c r="Q45" s="59" t="s">
        <v>7</v>
      </c>
      <c r="R45" s="59" t="s">
        <v>7</v>
      </c>
    </row>
    <row r="46" spans="1:18" ht="16.5" customHeight="1" thickBot="1" x14ac:dyDescent="0.35">
      <c r="A46" s="62" t="s">
        <v>57</v>
      </c>
      <c r="B46" s="63">
        <f>SUM(B42:B45)</f>
        <v>0</v>
      </c>
      <c r="C46" s="63">
        <f>SUM(C42:C45)</f>
        <v>0</v>
      </c>
      <c r="D46" s="63">
        <f>SUM(D42:D45)</f>
        <v>0</v>
      </c>
      <c r="E46" s="64">
        <f>SUM(B46:D46)</f>
        <v>0</v>
      </c>
      <c r="F46" s="63">
        <f>SUM(F42:F45)</f>
        <v>0</v>
      </c>
      <c r="G46" s="63">
        <f>SUM(G42:G45)</f>
        <v>0</v>
      </c>
      <c r="H46" s="63">
        <f>SUM(H42:H45)</f>
        <v>0</v>
      </c>
      <c r="I46" s="64">
        <f>SUM(F46:H46)</f>
        <v>0</v>
      </c>
      <c r="J46" s="63">
        <f>SUM(J42:J45)</f>
        <v>0</v>
      </c>
      <c r="K46" s="63">
        <f>SUM(K42:K45)</f>
        <v>0</v>
      </c>
      <c r="L46" s="63">
        <f>SUM(L42:L45)</f>
        <v>0</v>
      </c>
      <c r="M46" s="64">
        <f>SUM(J46:L46)</f>
        <v>0</v>
      </c>
      <c r="N46" s="63">
        <f>SUM(N42:N45)</f>
        <v>0</v>
      </c>
      <c r="O46" s="63">
        <f>SUM(O42:O45)</f>
        <v>0</v>
      </c>
      <c r="P46" s="63">
        <f>SUM(P42:P45)</f>
        <v>0</v>
      </c>
      <c r="Q46" s="64">
        <f>SUM(N46:P46)</f>
        <v>0</v>
      </c>
      <c r="R46" s="64">
        <f>+E46+I46+M46+Q46</f>
        <v>0</v>
      </c>
    </row>
    <row r="47" spans="1:18" ht="15.75" customHeight="1" x14ac:dyDescent="0.3">
      <c r="A47" s="22" t="s">
        <v>58</v>
      </c>
      <c r="B47" s="60"/>
      <c r="C47" s="60"/>
      <c r="D47" s="60"/>
      <c r="E47" s="59" t="s">
        <v>7</v>
      </c>
      <c r="F47" s="60"/>
      <c r="G47" s="60"/>
      <c r="H47" s="60"/>
      <c r="I47" s="59" t="s">
        <v>7</v>
      </c>
      <c r="J47" s="60"/>
      <c r="K47" s="60"/>
      <c r="L47" s="60"/>
      <c r="M47" s="59" t="s">
        <v>7</v>
      </c>
      <c r="N47" s="60"/>
      <c r="O47" s="60"/>
      <c r="P47" s="60"/>
      <c r="Q47" s="59" t="s">
        <v>7</v>
      </c>
      <c r="R47" s="59" t="s">
        <v>7</v>
      </c>
    </row>
    <row r="48" spans="1:18" ht="15.75" customHeight="1" x14ac:dyDescent="0.3">
      <c r="A48" s="22" t="s">
        <v>59</v>
      </c>
      <c r="B48" s="60"/>
      <c r="C48" s="60"/>
      <c r="D48" s="60"/>
      <c r="E48" s="59" t="s">
        <v>7</v>
      </c>
      <c r="F48" s="60"/>
      <c r="G48" s="60"/>
      <c r="H48" s="60"/>
      <c r="I48" s="59" t="s">
        <v>7</v>
      </c>
      <c r="J48" s="60"/>
      <c r="K48" s="60"/>
      <c r="L48" s="60"/>
      <c r="M48" s="59" t="s">
        <v>7</v>
      </c>
      <c r="N48" s="60"/>
      <c r="O48" s="60"/>
      <c r="P48" s="60"/>
      <c r="Q48" s="59" t="s">
        <v>7</v>
      </c>
      <c r="R48" s="59" t="s">
        <v>7</v>
      </c>
    </row>
    <row r="49" spans="1:18" ht="15.75" customHeight="1" thickBot="1" x14ac:dyDescent="0.35">
      <c r="A49" s="22" t="s">
        <v>60</v>
      </c>
      <c r="B49" s="60"/>
      <c r="C49" s="60"/>
      <c r="D49" s="60"/>
      <c r="E49" s="59"/>
      <c r="F49" s="60"/>
      <c r="G49" s="60"/>
      <c r="H49" s="60"/>
      <c r="I49" s="59"/>
      <c r="J49" s="60"/>
      <c r="K49" s="60"/>
      <c r="L49" s="60"/>
      <c r="M49" s="59"/>
      <c r="N49" s="60"/>
      <c r="O49" s="60"/>
      <c r="P49" s="60"/>
      <c r="Q49" s="59"/>
      <c r="R49" s="59"/>
    </row>
    <row r="50" spans="1:18" ht="16.5" customHeight="1" thickBot="1" x14ac:dyDescent="0.35">
      <c r="A50" s="62" t="s">
        <v>61</v>
      </c>
      <c r="B50" s="63">
        <f>SUM(B47:B49)</f>
        <v>0</v>
      </c>
      <c r="C50" s="63">
        <f>SUM(C47:C49)</f>
        <v>0</v>
      </c>
      <c r="D50" s="63">
        <f>SUM(D47:D49)</f>
        <v>0</v>
      </c>
      <c r="E50" s="64">
        <f>SUM(B50:D50)</f>
        <v>0</v>
      </c>
      <c r="F50" s="63">
        <f>SUM(F47:F49)</f>
        <v>0</v>
      </c>
      <c r="G50" s="63">
        <f>SUM(G47:G49)</f>
        <v>0</v>
      </c>
      <c r="H50" s="63">
        <f>SUM(H47:H49)</f>
        <v>0</v>
      </c>
      <c r="I50" s="64">
        <f>SUM(F50:H50)</f>
        <v>0</v>
      </c>
      <c r="J50" s="63">
        <f>SUM(J47:J49)</f>
        <v>0</v>
      </c>
      <c r="K50" s="63">
        <f>SUM(K47:K49)</f>
        <v>0</v>
      </c>
      <c r="L50" s="63">
        <f>SUM(L47:L49)</f>
        <v>0</v>
      </c>
      <c r="M50" s="64">
        <f>SUM(J50:L50)</f>
        <v>0</v>
      </c>
      <c r="N50" s="63">
        <f>SUM(N47:N49)</f>
        <v>0</v>
      </c>
      <c r="O50" s="63">
        <f>SUM(O47:O49)</f>
        <v>0</v>
      </c>
      <c r="P50" s="63">
        <f>SUM(P47:P49)</f>
        <v>0</v>
      </c>
      <c r="Q50" s="64">
        <f>SUM(N50:P50)</f>
        <v>0</v>
      </c>
      <c r="R50" s="64">
        <f>+E50+I50+M50+Q50</f>
        <v>0</v>
      </c>
    </row>
    <row r="51" spans="1:18" ht="15.75" customHeight="1" x14ac:dyDescent="0.3">
      <c r="A51" s="22" t="s">
        <v>62</v>
      </c>
      <c r="B51" s="60"/>
      <c r="C51" s="60"/>
      <c r="D51" s="60"/>
      <c r="E51" s="59" t="s">
        <v>7</v>
      </c>
      <c r="F51" s="60"/>
      <c r="G51" s="60"/>
      <c r="H51" s="60"/>
      <c r="I51" s="59" t="s">
        <v>7</v>
      </c>
      <c r="J51" s="60"/>
      <c r="K51" s="60"/>
      <c r="L51" s="60"/>
      <c r="M51" s="59" t="s">
        <v>7</v>
      </c>
      <c r="N51" s="60"/>
      <c r="O51" s="60"/>
      <c r="P51" s="60"/>
      <c r="Q51" s="59" t="s">
        <v>7</v>
      </c>
      <c r="R51" s="59" t="s">
        <v>7</v>
      </c>
    </row>
    <row r="52" spans="1:18" ht="15.75" customHeight="1" x14ac:dyDescent="0.3">
      <c r="A52" s="22" t="s">
        <v>63</v>
      </c>
      <c r="B52" s="60"/>
      <c r="C52" s="60"/>
      <c r="D52" s="60"/>
      <c r="E52" s="59" t="s">
        <v>7</v>
      </c>
      <c r="F52" s="60"/>
      <c r="G52" s="60"/>
      <c r="H52" s="60"/>
      <c r="I52" s="59" t="s">
        <v>7</v>
      </c>
      <c r="J52" s="60"/>
      <c r="K52" s="60"/>
      <c r="L52" s="60"/>
      <c r="M52" s="59" t="s">
        <v>7</v>
      </c>
      <c r="N52" s="60"/>
      <c r="O52" s="60"/>
      <c r="P52" s="60"/>
      <c r="Q52" s="59" t="s">
        <v>7</v>
      </c>
      <c r="R52" s="59" t="s">
        <v>7</v>
      </c>
    </row>
    <row r="53" spans="1:18" ht="15.75" customHeight="1" x14ac:dyDescent="0.3">
      <c r="A53" s="22" t="s">
        <v>64</v>
      </c>
      <c r="B53" s="60"/>
      <c r="C53" s="60"/>
      <c r="D53" s="60"/>
      <c r="E53" s="59" t="s">
        <v>7</v>
      </c>
      <c r="F53" s="60"/>
      <c r="G53" s="60"/>
      <c r="H53" s="60"/>
      <c r="I53" s="59" t="s">
        <v>7</v>
      </c>
      <c r="J53" s="60"/>
      <c r="K53" s="60"/>
      <c r="L53" s="60"/>
      <c r="M53" s="59" t="s">
        <v>7</v>
      </c>
      <c r="N53" s="60"/>
      <c r="O53" s="60"/>
      <c r="P53" s="60"/>
      <c r="Q53" s="59" t="s">
        <v>7</v>
      </c>
      <c r="R53" s="59" t="s">
        <v>7</v>
      </c>
    </row>
    <row r="54" spans="1:18" ht="15.75" customHeight="1" x14ac:dyDescent="0.3">
      <c r="A54" s="61" t="s">
        <v>65</v>
      </c>
      <c r="B54" s="1"/>
      <c r="C54" s="1"/>
      <c r="D54" s="1"/>
      <c r="E54" s="59">
        <f>SUM(B54:D54)</f>
        <v>0</v>
      </c>
      <c r="F54" s="1"/>
      <c r="G54" s="1"/>
      <c r="H54" s="1"/>
      <c r="I54" s="59">
        <f>SUM(F54:H54)</f>
        <v>0</v>
      </c>
      <c r="J54" s="1"/>
      <c r="K54" s="1"/>
      <c r="L54" s="1"/>
      <c r="M54" s="59">
        <f>SUM(J54:L54)</f>
        <v>0</v>
      </c>
      <c r="N54" s="1"/>
      <c r="O54" s="1"/>
      <c r="P54" s="1"/>
      <c r="Q54" s="59">
        <f>SUM(N54:P54)</f>
        <v>0</v>
      </c>
      <c r="R54" s="59">
        <f>+E54+I54+M54+Q54</f>
        <v>0</v>
      </c>
    </row>
    <row r="55" spans="1:18" ht="15.75" customHeight="1" x14ac:dyDescent="0.3">
      <c r="A55" s="22" t="s">
        <v>66</v>
      </c>
      <c r="B55" s="60"/>
      <c r="C55" s="60"/>
      <c r="D55" s="60"/>
      <c r="E55" s="59" t="s">
        <v>7</v>
      </c>
      <c r="F55" s="60"/>
      <c r="G55" s="60"/>
      <c r="H55" s="60"/>
      <c r="I55" s="59" t="s">
        <v>7</v>
      </c>
      <c r="J55" s="60"/>
      <c r="K55" s="60"/>
      <c r="L55" s="60"/>
      <c r="M55" s="59" t="s">
        <v>7</v>
      </c>
      <c r="N55" s="60"/>
      <c r="O55" s="60"/>
      <c r="P55" s="60"/>
      <c r="Q55" s="59" t="s">
        <v>7</v>
      </c>
      <c r="R55" s="59" t="s">
        <v>7</v>
      </c>
    </row>
    <row r="56" spans="1:18" ht="15.75" customHeight="1" thickBot="1" x14ac:dyDescent="0.35">
      <c r="A56" s="22" t="s">
        <v>67</v>
      </c>
      <c r="B56" s="60"/>
      <c r="C56" s="60"/>
      <c r="D56" s="60"/>
      <c r="E56" s="59" t="s">
        <v>7</v>
      </c>
      <c r="F56" s="60"/>
      <c r="G56" s="60"/>
      <c r="H56" s="60"/>
      <c r="I56" s="59" t="s">
        <v>7</v>
      </c>
      <c r="J56" s="60"/>
      <c r="K56" s="60"/>
      <c r="L56" s="60"/>
      <c r="M56" s="59" t="s">
        <v>7</v>
      </c>
      <c r="N56" s="60"/>
      <c r="O56" s="60"/>
      <c r="P56" s="60"/>
      <c r="Q56" s="59" t="s">
        <v>7</v>
      </c>
      <c r="R56" s="59" t="s">
        <v>7</v>
      </c>
    </row>
    <row r="57" spans="1:18" ht="16.5" customHeight="1" thickBot="1" x14ac:dyDescent="0.35">
      <c r="A57" s="62" t="s">
        <v>68</v>
      </c>
      <c r="B57" s="63">
        <f>SUM(B55:B56)</f>
        <v>0</v>
      </c>
      <c r="C57" s="63">
        <f>SUM(C55:C56)</f>
        <v>0</v>
      </c>
      <c r="D57" s="63">
        <f>SUM(D55:D56)</f>
        <v>0</v>
      </c>
      <c r="E57" s="65">
        <f>SUM(B57:D57)</f>
        <v>0</v>
      </c>
      <c r="F57" s="63">
        <f>SUM(F55:F56)</f>
        <v>0</v>
      </c>
      <c r="G57" s="63">
        <f>SUM(G55:G56)</f>
        <v>0</v>
      </c>
      <c r="H57" s="63">
        <f>SUM(H55:H56)</f>
        <v>0</v>
      </c>
      <c r="I57" s="65">
        <f>SUM(F57:H57)</f>
        <v>0</v>
      </c>
      <c r="J57" s="63">
        <f>SUM(J55:J56)</f>
        <v>0</v>
      </c>
      <c r="K57" s="63">
        <f>SUM(K55:K56)</f>
        <v>0</v>
      </c>
      <c r="L57" s="63">
        <f>SUM(L55:L56)</f>
        <v>0</v>
      </c>
      <c r="M57" s="65">
        <f>SUM(J57:L57)</f>
        <v>0</v>
      </c>
      <c r="N57" s="63">
        <f>SUM(N55:N56)</f>
        <v>0</v>
      </c>
      <c r="O57" s="63">
        <f>SUM(O55:O56)</f>
        <v>0</v>
      </c>
      <c r="P57" s="63">
        <f>SUM(P55:P56)</f>
        <v>0</v>
      </c>
      <c r="Q57" s="65">
        <f>SUM(N57:P57)</f>
        <v>0</v>
      </c>
      <c r="R57" s="64">
        <f>+E57+I57+M57+Q57</f>
        <v>0</v>
      </c>
    </row>
    <row r="58" spans="1:18" ht="16.5" customHeight="1" thickBot="1" x14ac:dyDescent="0.35">
      <c r="A58" s="62" t="s">
        <v>69</v>
      </c>
      <c r="B58" s="63">
        <f>SUM(B51:B56)</f>
        <v>0</v>
      </c>
      <c r="C58" s="63">
        <f>SUM(C51:C56)</f>
        <v>0</v>
      </c>
      <c r="D58" s="63">
        <f>SUM(D51:D56)</f>
        <v>0</v>
      </c>
      <c r="E58" s="65">
        <f>SUM(B58:D58)</f>
        <v>0</v>
      </c>
      <c r="F58" s="63">
        <f>SUM(F51:F56)</f>
        <v>0</v>
      </c>
      <c r="G58" s="63">
        <f>SUM(G51:G56)</f>
        <v>0</v>
      </c>
      <c r="H58" s="63">
        <f>SUM(H51:H56)</f>
        <v>0</v>
      </c>
      <c r="I58" s="65">
        <f>SUM(F58:H58)</f>
        <v>0</v>
      </c>
      <c r="J58" s="63">
        <f>SUM(J51:J56)</f>
        <v>0</v>
      </c>
      <c r="K58" s="63">
        <f>SUM(K51:K56)</f>
        <v>0</v>
      </c>
      <c r="L58" s="63">
        <f>SUM(L51:L56)</f>
        <v>0</v>
      </c>
      <c r="M58" s="65">
        <f>SUM(J58:L58)</f>
        <v>0</v>
      </c>
      <c r="N58" s="63">
        <f>SUM(N51:N56)</f>
        <v>0</v>
      </c>
      <c r="O58" s="63">
        <f>SUM(O51:O56)</f>
        <v>0</v>
      </c>
      <c r="P58" s="63">
        <f>SUM(P51:P56)</f>
        <v>0</v>
      </c>
      <c r="Q58" s="65">
        <f>SUM(N58:P58)</f>
        <v>0</v>
      </c>
      <c r="R58" s="64">
        <f>+E58+I58+M58+Q58</f>
        <v>0</v>
      </c>
    </row>
    <row r="59" spans="1:18" ht="16.5" customHeight="1" thickBot="1" x14ac:dyDescent="0.35">
      <c r="A59" s="62" t="s">
        <v>70</v>
      </c>
      <c r="B59" s="63">
        <f>+B41+B46+B50+B58</f>
        <v>0</v>
      </c>
      <c r="C59" s="63">
        <f>+C41+C46+C50+C58</f>
        <v>0</v>
      </c>
      <c r="D59" s="63">
        <f>+D41+D46+D50+D58</f>
        <v>0</v>
      </c>
      <c r="E59" s="64">
        <f>SUM(B59:D59)</f>
        <v>0</v>
      </c>
      <c r="F59" s="63">
        <f>+F41+F46+F50+F58</f>
        <v>0</v>
      </c>
      <c r="G59" s="63">
        <f>+G41+G46+G50+G58</f>
        <v>0</v>
      </c>
      <c r="H59" s="63">
        <f>+H41+H46+H50+H58</f>
        <v>0</v>
      </c>
      <c r="I59" s="64">
        <f>SUM(F59:H59)</f>
        <v>0</v>
      </c>
      <c r="J59" s="63">
        <f>+J41+J46+J50+J58</f>
        <v>0</v>
      </c>
      <c r="K59" s="63">
        <f>+K41+K46+K50+K58</f>
        <v>0</v>
      </c>
      <c r="L59" s="63">
        <f>+L41+L46+L50+L58</f>
        <v>0</v>
      </c>
      <c r="M59" s="64">
        <f>SUM(J59:L59)</f>
        <v>0</v>
      </c>
      <c r="N59" s="63">
        <f>+N41+N46+N50+N58</f>
        <v>0</v>
      </c>
      <c r="O59" s="63">
        <f>+O41+O46+O50+O58</f>
        <v>0</v>
      </c>
      <c r="P59" s="63">
        <f>+P41+P46+P50+P58</f>
        <v>0</v>
      </c>
      <c r="Q59" s="64">
        <f>SUM(N59:P59)</f>
        <v>0</v>
      </c>
      <c r="R59" s="64">
        <f>+E59+I59+M59+Q59</f>
        <v>0</v>
      </c>
    </row>
    <row r="60" spans="1:18" ht="16.5" customHeight="1" thickBot="1" x14ac:dyDescent="0.35">
      <c r="A60" s="66" t="s">
        <v>37</v>
      </c>
      <c r="B60" s="67">
        <v>96</v>
      </c>
      <c r="C60" s="67">
        <v>145</v>
      </c>
      <c r="D60" s="67">
        <v>261</v>
      </c>
      <c r="E60" s="43">
        <f>SUM(B60:D60)</f>
        <v>502</v>
      </c>
      <c r="F60" s="67">
        <v>350</v>
      </c>
      <c r="G60" s="67">
        <v>402</v>
      </c>
      <c r="H60" s="67">
        <v>396</v>
      </c>
      <c r="I60" s="43">
        <f>SUM(F60:H60)</f>
        <v>1148</v>
      </c>
      <c r="J60" s="67">
        <v>394</v>
      </c>
      <c r="K60" s="67">
        <v>318</v>
      </c>
      <c r="L60" s="67">
        <v>301</v>
      </c>
      <c r="M60" s="43">
        <f>SUM(J60:L60)</f>
        <v>1013</v>
      </c>
      <c r="N60" s="67">
        <v>272</v>
      </c>
      <c r="O60" s="67">
        <v>226</v>
      </c>
      <c r="P60" s="67">
        <v>179</v>
      </c>
      <c r="Q60" s="43">
        <f>SUM(N60:P60)</f>
        <v>677</v>
      </c>
      <c r="R60" s="43">
        <f>+E60+I60+M60+Q60</f>
        <v>3340</v>
      </c>
    </row>
    <row r="61" spans="1:18" ht="16.5" customHeight="1" thickBot="1" x14ac:dyDescent="0.35">
      <c r="A61" s="42"/>
      <c r="B61" s="37"/>
      <c r="C61" s="37"/>
      <c r="D61" s="37"/>
      <c r="E61" s="26"/>
      <c r="F61" s="37"/>
      <c r="G61" s="37"/>
      <c r="H61" s="37"/>
      <c r="I61" s="26"/>
      <c r="J61" s="37"/>
      <c r="K61" s="37"/>
      <c r="L61" s="37"/>
      <c r="M61" s="26"/>
      <c r="N61" s="37"/>
      <c r="O61" s="37"/>
      <c r="P61" s="37"/>
      <c r="Q61" s="26"/>
      <c r="R61" s="42"/>
    </row>
    <row r="62" spans="1:18" ht="15.75" customHeight="1" x14ac:dyDescent="0.3">
      <c r="A62" s="17" t="s">
        <v>38</v>
      </c>
      <c r="B62" s="1">
        <f>+B59+B60</f>
        <v>96</v>
      </c>
      <c r="C62" s="1">
        <f>+C59+C60</f>
        <v>145</v>
      </c>
      <c r="D62" s="1">
        <f>+D59+D60</f>
        <v>261</v>
      </c>
      <c r="E62" s="41">
        <f>SUM(B62:D62)</f>
        <v>502</v>
      </c>
      <c r="F62" s="1">
        <f>+F59+F60</f>
        <v>350</v>
      </c>
      <c r="G62" s="1">
        <f>+G59+G60</f>
        <v>402</v>
      </c>
      <c r="H62" s="1">
        <f>+H59+H60</f>
        <v>396</v>
      </c>
      <c r="I62" s="41">
        <f>SUM(F62:H62)</f>
        <v>1148</v>
      </c>
      <c r="J62" s="1">
        <f>+J59+J60</f>
        <v>394</v>
      </c>
      <c r="K62" s="1">
        <f>+K59+K60</f>
        <v>318</v>
      </c>
      <c r="L62" s="1">
        <f>+L59+L60</f>
        <v>301</v>
      </c>
      <c r="M62" s="41">
        <f>SUM(J62:L62)</f>
        <v>1013</v>
      </c>
      <c r="N62" s="1">
        <f>+N59+N60</f>
        <v>272</v>
      </c>
      <c r="O62" s="1">
        <f>+O59+O60</f>
        <v>226</v>
      </c>
      <c r="P62" s="1">
        <f>+P59+P60</f>
        <v>179</v>
      </c>
      <c r="Q62" s="45">
        <f>SUM(N62:P62)</f>
        <v>677</v>
      </c>
      <c r="R62" s="18">
        <f>+E62+I62+M62+Q62</f>
        <v>3340</v>
      </c>
    </row>
    <row r="63" spans="1:18" ht="15.75" customHeight="1" x14ac:dyDescent="0.3">
      <c r="A63" s="17" t="s">
        <v>39</v>
      </c>
      <c r="B63" s="1">
        <f>(B62/B10)/1.983</f>
        <v>1.5616612171197111</v>
      </c>
      <c r="C63" s="1">
        <f>(C62/C10)/1.983</f>
        <v>2.5214321734745333</v>
      </c>
      <c r="D63" s="1">
        <f>(D62/D10)/1.983</f>
        <v>4.2457664340442145</v>
      </c>
      <c r="E63" s="18"/>
      <c r="F63" s="1">
        <f>(F62/F10)/1.983</f>
        <v>5.8833417381072444</v>
      </c>
      <c r="G63" s="1">
        <f>(G62/G10)/1.983</f>
        <v>6.5394563466887892</v>
      </c>
      <c r="H63" s="1">
        <f>(H62/H10)/1.983</f>
        <v>6.6565809379727678</v>
      </c>
      <c r="I63" s="18"/>
      <c r="J63" s="1">
        <f>(J62/J10)/1.983</f>
        <v>6.4093179119288139</v>
      </c>
      <c r="K63" s="1">
        <f>(K62/K10)/1.983</f>
        <v>5.1730027817090427</v>
      </c>
      <c r="L63" s="1">
        <f>(L62/L10)/1.983</f>
        <v>5.0596738947722306</v>
      </c>
      <c r="M63" s="18"/>
      <c r="N63" s="1">
        <f>(N62/N10)/1.983</f>
        <v>4.4247067818391805</v>
      </c>
      <c r="O63" s="1">
        <f>(O62/O10)/1.983</f>
        <v>3.7989578080349635</v>
      </c>
      <c r="P63" s="1">
        <f>(P62/P10)/1.983</f>
        <v>2.9118474777544612</v>
      </c>
      <c r="Q63" s="19"/>
      <c r="R63" s="68"/>
    </row>
    <row r="64" spans="1:18" ht="15.75" customHeight="1" x14ac:dyDescent="0.3">
      <c r="A64" s="17" t="s">
        <v>71</v>
      </c>
      <c r="B64" s="1">
        <f>B62+B134</f>
        <v>73618</v>
      </c>
      <c r="C64" s="1">
        <f>C62+C134</f>
        <v>77566</v>
      </c>
      <c r="D64" s="1">
        <f>D62+D134</f>
        <v>162726</v>
      </c>
      <c r="E64" s="18">
        <f>SUM(B64:D64)</f>
        <v>313910</v>
      </c>
      <c r="F64" s="1">
        <f>F62+F134</f>
        <v>155636</v>
      </c>
      <c r="G64" s="1">
        <f>G62+G134</f>
        <v>160908</v>
      </c>
      <c r="H64" s="1">
        <f>H62+H134</f>
        <v>96644</v>
      </c>
      <c r="I64" s="18">
        <f>SUM(F64:H64)</f>
        <v>413188</v>
      </c>
      <c r="J64" s="1">
        <f>J62+J134</f>
        <v>51637</v>
      </c>
      <c r="K64" s="1">
        <f>K62+K134</f>
        <v>51375</v>
      </c>
      <c r="L64" s="1">
        <f>L62+L134</f>
        <v>130925</v>
      </c>
      <c r="M64" s="18">
        <f>SUM(J64:L64)</f>
        <v>233937</v>
      </c>
      <c r="N64" s="1">
        <f>N62+N134</f>
        <v>163735</v>
      </c>
      <c r="O64" s="1">
        <f>O62+O134</f>
        <v>158348</v>
      </c>
      <c r="P64" s="1">
        <f>P62+P134</f>
        <v>98108</v>
      </c>
      <c r="Q64" s="19">
        <f>SUM(N64:P64)</f>
        <v>420191</v>
      </c>
      <c r="R64" s="18">
        <f>+E64+I64+M64+Q64</f>
        <v>1381226</v>
      </c>
    </row>
    <row r="65" spans="1:20" ht="16.5" customHeight="1" thickBot="1" x14ac:dyDescent="0.35">
      <c r="A65" s="24" t="s">
        <v>72</v>
      </c>
      <c r="B65" s="25">
        <f>(B64/B10)/1.983</f>
        <v>1197.5664112699885</v>
      </c>
      <c r="C65" s="25">
        <f>(C64/C10)/1.983</f>
        <v>1348.8097101222461</v>
      </c>
      <c r="D65" s="25">
        <f>(D64/D10)/1.983</f>
        <v>2647.1133668439802</v>
      </c>
      <c r="E65" s="26"/>
      <c r="F65" s="25">
        <f>(F64/F10)/1.983</f>
        <v>2616.1707850058833</v>
      </c>
      <c r="G65" s="25">
        <f>(G64/G10)/1.983</f>
        <v>2617.5394075447757</v>
      </c>
      <c r="H65" s="25">
        <f>(H64/H10)/1.983</f>
        <v>1624.5419398218187</v>
      </c>
      <c r="I65" s="26"/>
      <c r="J65" s="25">
        <f>(J64/J10)/1.983</f>
        <v>839.99479446260955</v>
      </c>
      <c r="K65" s="25">
        <f>(K64/K10)/1.983</f>
        <v>835.73276072422038</v>
      </c>
      <c r="L65" s="25">
        <f>(L64/L10)/1.983</f>
        <v>2200.7900487476886</v>
      </c>
      <c r="M65" s="26"/>
      <c r="N65" s="25">
        <f>(N64/N10)/1.983</f>
        <v>2663.5270769280824</v>
      </c>
      <c r="O65" s="25">
        <f>(O64/O10)/1.983</f>
        <v>2661.7582787023025</v>
      </c>
      <c r="P65" s="25">
        <f>(P64/P10)/1.983</f>
        <v>1595.9526946789647</v>
      </c>
      <c r="Q65" s="27"/>
      <c r="R65" s="69" t="s">
        <v>7</v>
      </c>
    </row>
    <row r="66" spans="1:20" ht="15.75" customHeight="1" x14ac:dyDescent="0.3">
      <c r="A66" s="28"/>
      <c r="B66" s="1"/>
      <c r="C66" s="1"/>
      <c r="D66" s="1"/>
      <c r="E66" s="1"/>
      <c r="F66" s="1"/>
      <c r="G66" s="1"/>
      <c r="H66" s="1"/>
      <c r="I66" s="1"/>
      <c r="J66" s="1"/>
      <c r="K66" s="1"/>
      <c r="L66" s="1"/>
      <c r="M66" s="1"/>
      <c r="N66" s="1"/>
      <c r="O66" s="1"/>
      <c r="P66" s="1"/>
      <c r="Q66" s="1"/>
      <c r="R66" s="28"/>
    </row>
    <row r="67" spans="1:20" ht="15.75" customHeight="1" thickBot="1" x14ac:dyDescent="0.35">
      <c r="A67" s="28"/>
      <c r="B67" s="1"/>
      <c r="C67" s="1"/>
      <c r="D67" s="1"/>
      <c r="E67" s="1"/>
      <c r="F67" s="1"/>
      <c r="G67" s="1"/>
      <c r="H67" s="1"/>
      <c r="I67" s="1"/>
      <c r="J67" s="1"/>
      <c r="K67" s="1"/>
      <c r="L67" s="1"/>
      <c r="M67" s="1"/>
      <c r="N67" s="1"/>
      <c r="O67" s="1"/>
      <c r="P67" s="1"/>
      <c r="Q67" s="1"/>
      <c r="R67" s="28"/>
    </row>
    <row r="68" spans="1:20" ht="16.5" customHeight="1" thickBot="1" x14ac:dyDescent="0.35">
      <c r="A68" s="31" t="s">
        <v>73</v>
      </c>
      <c r="B68" s="32" t="s">
        <v>36</v>
      </c>
      <c r="C68" s="33" t="s">
        <v>9</v>
      </c>
      <c r="D68" s="33" t="s">
        <v>10</v>
      </c>
      <c r="E68" s="12" t="s">
        <v>11</v>
      </c>
      <c r="F68" s="33" t="s">
        <v>12</v>
      </c>
      <c r="G68" s="33" t="s">
        <v>13</v>
      </c>
      <c r="H68" s="33" t="s">
        <v>14</v>
      </c>
      <c r="I68" s="34" t="s">
        <v>15</v>
      </c>
      <c r="J68" s="33" t="s">
        <v>16</v>
      </c>
      <c r="K68" s="33" t="s">
        <v>17</v>
      </c>
      <c r="L68" s="33" t="s">
        <v>18</v>
      </c>
      <c r="M68" s="34" t="s">
        <v>19</v>
      </c>
      <c r="N68" s="33" t="s">
        <v>20</v>
      </c>
      <c r="O68" s="33" t="s">
        <v>21</v>
      </c>
      <c r="P68" s="33" t="s">
        <v>22</v>
      </c>
      <c r="Q68" s="34" t="s">
        <v>23</v>
      </c>
      <c r="R68" s="35" t="s">
        <v>24</v>
      </c>
    </row>
    <row r="69" spans="1:20" ht="16.5" customHeight="1" thickBot="1" x14ac:dyDescent="0.35">
      <c r="A69" s="70"/>
      <c r="B69" s="14"/>
      <c r="C69" s="71"/>
      <c r="D69" s="71"/>
      <c r="E69" s="72"/>
      <c r="F69" s="71"/>
      <c r="G69" s="71"/>
      <c r="H69" s="71"/>
      <c r="I69" s="72"/>
      <c r="J69" s="71"/>
      <c r="K69" s="71"/>
      <c r="L69" s="71"/>
      <c r="M69" s="72"/>
      <c r="N69" s="71"/>
      <c r="O69" s="71"/>
      <c r="P69" s="73"/>
      <c r="Q69" s="72"/>
      <c r="R69" s="64"/>
    </row>
    <row r="70" spans="1:20" ht="15.75" customHeight="1" x14ac:dyDescent="0.3">
      <c r="A70" s="58" t="s">
        <v>45</v>
      </c>
      <c r="B70" s="30"/>
      <c r="C70" s="30"/>
      <c r="D70" s="30"/>
      <c r="E70" s="59" t="s">
        <v>7</v>
      </c>
      <c r="F70" s="30"/>
      <c r="G70" s="30"/>
      <c r="H70" s="30"/>
      <c r="I70" s="59" t="s">
        <v>7</v>
      </c>
      <c r="J70" s="30"/>
      <c r="K70" s="30"/>
      <c r="L70" s="30"/>
      <c r="M70" s="59" t="s">
        <v>7</v>
      </c>
      <c r="N70" s="30"/>
      <c r="O70" s="30"/>
      <c r="P70" s="30"/>
      <c r="Q70" s="59" t="s">
        <v>7</v>
      </c>
      <c r="R70" s="59" t="s">
        <v>7</v>
      </c>
    </row>
    <row r="71" spans="1:20" ht="15.75" customHeight="1" x14ac:dyDescent="0.3">
      <c r="A71" s="22" t="s">
        <v>46</v>
      </c>
      <c r="B71" s="30"/>
      <c r="C71" s="60"/>
      <c r="D71" s="60"/>
      <c r="E71" s="59" t="s">
        <v>7</v>
      </c>
      <c r="F71" s="60"/>
      <c r="G71" s="60"/>
      <c r="H71" s="60"/>
      <c r="I71" s="59" t="s">
        <v>7</v>
      </c>
      <c r="J71" s="60"/>
      <c r="K71" s="60"/>
      <c r="L71" s="60"/>
      <c r="M71" s="59" t="s">
        <v>7</v>
      </c>
      <c r="N71" s="60"/>
      <c r="O71" s="60"/>
      <c r="P71" s="60"/>
      <c r="Q71" s="59" t="s">
        <v>7</v>
      </c>
      <c r="R71" s="59" t="s">
        <v>7</v>
      </c>
    </row>
    <row r="72" spans="1:20" ht="15.75" customHeight="1" x14ac:dyDescent="0.3">
      <c r="A72" s="74" t="s">
        <v>74</v>
      </c>
      <c r="B72" s="1"/>
      <c r="C72" s="1"/>
      <c r="D72" s="1"/>
      <c r="E72" s="59">
        <f t="shared" ref="E72:E82" si="5">SUM(B72:D72)</f>
        <v>0</v>
      </c>
      <c r="F72" s="1"/>
      <c r="G72" s="1"/>
      <c r="H72" s="1"/>
      <c r="I72" s="59">
        <f t="shared" ref="I72:I82" si="6">SUM(F72:H72)</f>
        <v>0</v>
      </c>
      <c r="J72" s="1"/>
      <c r="K72" s="1"/>
      <c r="L72" s="1"/>
      <c r="M72" s="59">
        <f t="shared" ref="M72:M82" si="7">SUM(J72:L72)</f>
        <v>0</v>
      </c>
      <c r="N72" s="1"/>
      <c r="O72" s="1"/>
      <c r="P72" s="1"/>
      <c r="Q72" s="59">
        <f t="shared" ref="Q72:Q82" si="8">SUM(N72:P72)</f>
        <v>0</v>
      </c>
      <c r="R72" s="59">
        <f t="shared" ref="R72:R82" si="9">+E72+I72+M72+Q72</f>
        <v>0</v>
      </c>
    </row>
    <row r="73" spans="1:20" ht="15.75" customHeight="1" x14ac:dyDescent="0.3">
      <c r="A73" s="74" t="s">
        <v>75</v>
      </c>
      <c r="B73" s="1"/>
      <c r="C73" s="1"/>
      <c r="D73" s="1"/>
      <c r="E73" s="59">
        <f>SUM(B73:D73)</f>
        <v>0</v>
      </c>
      <c r="F73" s="1"/>
      <c r="G73" s="1"/>
      <c r="H73" s="1"/>
      <c r="I73" s="59">
        <f>SUM(F73:H73)</f>
        <v>0</v>
      </c>
      <c r="J73" s="1"/>
      <c r="K73" s="1"/>
      <c r="L73" s="1"/>
      <c r="M73" s="59">
        <f>SUM(J73:L73)</f>
        <v>0</v>
      </c>
      <c r="N73" s="1"/>
      <c r="O73" s="1"/>
      <c r="P73" s="1"/>
      <c r="Q73" s="59">
        <f>SUM(N73:P73)</f>
        <v>0</v>
      </c>
      <c r="R73" s="59">
        <f>+E73+I73+M73+Q73</f>
        <v>0</v>
      </c>
    </row>
    <row r="74" spans="1:20" ht="15.75" customHeight="1" x14ac:dyDescent="0.3">
      <c r="A74" s="74" t="s">
        <v>76</v>
      </c>
      <c r="B74" s="1"/>
      <c r="C74" s="1"/>
      <c r="D74" s="1"/>
      <c r="E74" s="59">
        <f t="shared" si="5"/>
        <v>0</v>
      </c>
      <c r="F74" s="1"/>
      <c r="G74" s="1"/>
      <c r="H74" s="1"/>
      <c r="I74" s="59">
        <f t="shared" si="6"/>
        <v>0</v>
      </c>
      <c r="J74" s="1"/>
      <c r="K74" s="1"/>
      <c r="L74" s="1"/>
      <c r="M74" s="59">
        <f t="shared" si="7"/>
        <v>0</v>
      </c>
      <c r="N74" s="1"/>
      <c r="O74" s="1"/>
      <c r="P74" s="1"/>
      <c r="Q74" s="59">
        <f t="shared" si="8"/>
        <v>0</v>
      </c>
      <c r="R74" s="59">
        <f t="shared" si="9"/>
        <v>0</v>
      </c>
    </row>
    <row r="75" spans="1:20" ht="15.75" customHeight="1" x14ac:dyDescent="0.3">
      <c r="A75" s="74" t="s">
        <v>77</v>
      </c>
      <c r="B75" s="1"/>
      <c r="C75" s="1"/>
      <c r="D75" s="1"/>
      <c r="E75" s="59">
        <f t="shared" si="5"/>
        <v>0</v>
      </c>
      <c r="F75" s="1"/>
      <c r="G75" s="1"/>
      <c r="H75" s="1"/>
      <c r="I75" s="59">
        <f t="shared" si="6"/>
        <v>0</v>
      </c>
      <c r="K75" s="1"/>
      <c r="L75" s="1"/>
      <c r="M75" s="59">
        <f t="shared" si="7"/>
        <v>0</v>
      </c>
      <c r="N75" s="1"/>
      <c r="O75" s="1"/>
      <c r="P75" s="1"/>
      <c r="Q75" s="59">
        <f t="shared" si="8"/>
        <v>0</v>
      </c>
      <c r="R75" s="59">
        <f t="shared" si="9"/>
        <v>0</v>
      </c>
      <c r="T75" s="4" t="s">
        <v>78</v>
      </c>
    </row>
    <row r="76" spans="1:20" ht="15.75" customHeight="1" x14ac:dyDescent="0.3">
      <c r="A76" s="74" t="s">
        <v>79</v>
      </c>
      <c r="B76" s="1">
        <v>400</v>
      </c>
      <c r="C76" s="1">
        <v>500</v>
      </c>
      <c r="D76" s="1">
        <v>1400</v>
      </c>
      <c r="E76" s="59">
        <f t="shared" si="5"/>
        <v>2300</v>
      </c>
      <c r="F76" s="1"/>
      <c r="G76" s="1"/>
      <c r="H76" s="1"/>
      <c r="I76" s="59">
        <f t="shared" si="6"/>
        <v>0</v>
      </c>
      <c r="J76" s="1">
        <v>745</v>
      </c>
      <c r="K76" s="1">
        <v>1300</v>
      </c>
      <c r="L76" s="1">
        <v>655</v>
      </c>
      <c r="M76" s="59">
        <f t="shared" si="7"/>
        <v>2700</v>
      </c>
      <c r="N76" s="1"/>
      <c r="O76" s="1"/>
      <c r="P76" s="1"/>
      <c r="Q76" s="59">
        <f t="shared" si="8"/>
        <v>0</v>
      </c>
      <c r="R76" s="59">
        <f t="shared" si="9"/>
        <v>5000</v>
      </c>
      <c r="S76" s="75" t="s">
        <v>80</v>
      </c>
      <c r="T76" s="4" t="s">
        <v>78</v>
      </c>
    </row>
    <row r="77" spans="1:20" ht="15.75" customHeight="1" x14ac:dyDescent="0.3">
      <c r="A77" s="74" t="s">
        <v>81</v>
      </c>
      <c r="B77" s="1"/>
      <c r="C77" s="1"/>
      <c r="D77" s="1"/>
      <c r="E77" s="59">
        <f t="shared" si="5"/>
        <v>0</v>
      </c>
      <c r="F77" s="1"/>
      <c r="G77" s="1"/>
      <c r="H77" s="1"/>
      <c r="I77" s="59">
        <f t="shared" si="6"/>
        <v>0</v>
      </c>
      <c r="J77" s="1"/>
      <c r="K77" s="1"/>
      <c r="L77" s="1"/>
      <c r="M77" s="59">
        <f t="shared" si="7"/>
        <v>0</v>
      </c>
      <c r="N77" s="1"/>
      <c r="O77" s="1"/>
      <c r="P77" s="1"/>
      <c r="Q77" s="59">
        <f t="shared" si="8"/>
        <v>0</v>
      </c>
      <c r="R77" s="59">
        <f t="shared" si="9"/>
        <v>0</v>
      </c>
    </row>
    <row r="78" spans="1:20" ht="15.75" customHeight="1" x14ac:dyDescent="0.3">
      <c r="A78" s="74" t="s">
        <v>82</v>
      </c>
      <c r="B78" s="1"/>
      <c r="C78" s="1"/>
      <c r="D78" s="1"/>
      <c r="E78" s="59">
        <f t="shared" si="5"/>
        <v>0</v>
      </c>
      <c r="F78" s="1"/>
      <c r="G78" s="1"/>
      <c r="H78" s="1"/>
      <c r="I78" s="59">
        <f t="shared" si="6"/>
        <v>0</v>
      </c>
      <c r="J78" s="1"/>
      <c r="K78" s="1"/>
      <c r="L78" s="1"/>
      <c r="M78" s="59">
        <f t="shared" si="7"/>
        <v>0</v>
      </c>
      <c r="N78" s="1"/>
      <c r="O78" s="1"/>
      <c r="P78" s="1"/>
      <c r="Q78" s="59">
        <f t="shared" si="8"/>
        <v>0</v>
      </c>
      <c r="R78" s="59">
        <f t="shared" si="9"/>
        <v>0</v>
      </c>
      <c r="T78" s="4" t="s">
        <v>83</v>
      </c>
    </row>
    <row r="79" spans="1:20" ht="15.75" customHeight="1" x14ac:dyDescent="0.3">
      <c r="A79" s="76" t="s">
        <v>84</v>
      </c>
      <c r="B79" s="1"/>
      <c r="C79" s="1"/>
      <c r="D79" s="1"/>
      <c r="E79" s="59">
        <f t="shared" si="5"/>
        <v>0</v>
      </c>
      <c r="F79" s="1"/>
      <c r="G79" s="1">
        <v>512</v>
      </c>
      <c r="H79" s="1">
        <v>512</v>
      </c>
      <c r="I79" s="59">
        <f t="shared" si="6"/>
        <v>1024</v>
      </c>
      <c r="J79" s="1">
        <v>512</v>
      </c>
      <c r="K79" s="1">
        <v>512</v>
      </c>
      <c r="L79" s="1"/>
      <c r="M79" s="59">
        <f t="shared" si="7"/>
        <v>1024</v>
      </c>
      <c r="N79" s="1"/>
      <c r="O79" s="1"/>
      <c r="P79" s="1"/>
      <c r="Q79" s="59">
        <f t="shared" si="8"/>
        <v>0</v>
      </c>
      <c r="R79" s="59">
        <f t="shared" si="9"/>
        <v>2048</v>
      </c>
    </row>
    <row r="80" spans="1:20" ht="15.75" customHeight="1" x14ac:dyDescent="0.3">
      <c r="A80" s="76" t="s">
        <v>85</v>
      </c>
      <c r="B80" s="1"/>
      <c r="C80" s="1"/>
      <c r="D80" s="1"/>
      <c r="E80" s="59">
        <f t="shared" si="5"/>
        <v>0</v>
      </c>
      <c r="F80" s="1"/>
      <c r="G80" s="1"/>
      <c r="H80" s="1"/>
      <c r="I80" s="59">
        <f t="shared" si="6"/>
        <v>0</v>
      </c>
      <c r="J80" s="1"/>
      <c r="K80" s="1"/>
      <c r="L80" s="1"/>
      <c r="M80" s="59">
        <f t="shared" si="7"/>
        <v>0</v>
      </c>
      <c r="N80" s="1"/>
      <c r="O80" s="1"/>
      <c r="P80" s="1"/>
      <c r="Q80" s="59">
        <f t="shared" si="8"/>
        <v>0</v>
      </c>
      <c r="R80" s="59">
        <f t="shared" si="9"/>
        <v>0</v>
      </c>
    </row>
    <row r="81" spans="1:20" ht="15.75" customHeight="1" x14ac:dyDescent="0.3">
      <c r="A81" s="76" t="s">
        <v>86</v>
      </c>
      <c r="B81" s="1"/>
      <c r="C81" s="1"/>
      <c r="D81" s="1"/>
      <c r="E81" s="59">
        <f>SUM(B81:D81)</f>
        <v>0</v>
      </c>
      <c r="F81" s="1"/>
      <c r="G81" s="1"/>
      <c r="H81" s="1"/>
      <c r="I81" s="59">
        <f>SUM(F81:H81)</f>
        <v>0</v>
      </c>
      <c r="J81" s="1"/>
      <c r="K81" s="1"/>
      <c r="L81" s="1"/>
      <c r="M81" s="59">
        <f>SUM(J81:L81)</f>
        <v>0</v>
      </c>
      <c r="N81" s="1"/>
      <c r="O81" s="1"/>
      <c r="P81" s="1"/>
      <c r="Q81" s="59">
        <f>SUM(N81:P81)</f>
        <v>0</v>
      </c>
      <c r="R81" s="59">
        <f t="shared" si="9"/>
        <v>0</v>
      </c>
    </row>
    <row r="82" spans="1:20" ht="15.75" customHeight="1" x14ac:dyDescent="0.3">
      <c r="A82" s="76" t="s">
        <v>87</v>
      </c>
      <c r="B82" s="1"/>
      <c r="C82" s="1"/>
      <c r="D82" s="1"/>
      <c r="E82" s="59">
        <f t="shared" si="5"/>
        <v>0</v>
      </c>
      <c r="F82" s="1"/>
      <c r="G82" s="1"/>
      <c r="H82" s="1"/>
      <c r="I82" s="59">
        <f t="shared" si="6"/>
        <v>0</v>
      </c>
      <c r="J82" s="1"/>
      <c r="K82" s="1"/>
      <c r="L82" s="1"/>
      <c r="M82" s="59">
        <f t="shared" si="7"/>
        <v>0</v>
      </c>
      <c r="N82" s="1"/>
      <c r="O82" s="1"/>
      <c r="P82" s="1"/>
      <c r="Q82" s="59">
        <f t="shared" si="8"/>
        <v>0</v>
      </c>
      <c r="R82" s="59">
        <f t="shared" si="9"/>
        <v>0</v>
      </c>
      <c r="S82" s="4">
        <f>SUM(R72:R82)</f>
        <v>7048</v>
      </c>
    </row>
    <row r="83" spans="1:20" ht="15.75" customHeight="1" x14ac:dyDescent="0.3">
      <c r="A83" s="22" t="s">
        <v>47</v>
      </c>
      <c r="B83" s="30"/>
      <c r="C83" s="30"/>
      <c r="D83" s="30"/>
      <c r="E83" s="59" t="s">
        <v>7</v>
      </c>
      <c r="F83" s="30"/>
      <c r="G83" s="30"/>
      <c r="H83" s="30"/>
      <c r="I83" s="59" t="s">
        <v>7</v>
      </c>
      <c r="J83" s="30"/>
      <c r="K83" s="30"/>
      <c r="L83" s="30"/>
      <c r="M83" s="59" t="s">
        <v>7</v>
      </c>
      <c r="N83" s="30"/>
      <c r="O83" s="30"/>
      <c r="P83" s="30"/>
      <c r="Q83" s="59" t="s">
        <v>7</v>
      </c>
      <c r="R83" s="59" t="s">
        <v>7</v>
      </c>
    </row>
    <row r="84" spans="1:20" ht="15.75" customHeight="1" x14ac:dyDescent="0.3">
      <c r="A84" s="76" t="s">
        <v>88</v>
      </c>
      <c r="B84" s="1"/>
      <c r="C84" s="1"/>
      <c r="D84" s="1"/>
      <c r="E84" s="59">
        <f>SUM(B84:D84)</f>
        <v>0</v>
      </c>
      <c r="F84" s="1"/>
      <c r="G84" s="1"/>
      <c r="H84" s="1"/>
      <c r="I84" s="59">
        <f>SUM(F84:H84)</f>
        <v>0</v>
      </c>
      <c r="J84" s="1"/>
      <c r="K84" s="1"/>
      <c r="L84" s="1"/>
      <c r="M84" s="59">
        <f>SUM(J84:L84)</f>
        <v>0</v>
      </c>
      <c r="N84" s="1"/>
      <c r="O84" s="1"/>
      <c r="P84" s="1"/>
      <c r="Q84" s="59">
        <f>SUM(N84:P84)</f>
        <v>0</v>
      </c>
      <c r="R84" s="59">
        <f>+E84+I84+M84+Q84</f>
        <v>0</v>
      </c>
    </row>
    <row r="85" spans="1:20" ht="15.75" customHeight="1" x14ac:dyDescent="0.3">
      <c r="A85" s="22" t="s">
        <v>49</v>
      </c>
      <c r="B85" s="30"/>
      <c r="C85" s="30"/>
      <c r="D85" s="30"/>
      <c r="E85" s="59" t="s">
        <v>50</v>
      </c>
      <c r="F85" s="30"/>
      <c r="G85" s="30"/>
      <c r="H85" s="30"/>
      <c r="I85" s="59" t="s">
        <v>50</v>
      </c>
      <c r="J85" s="30"/>
      <c r="K85" s="30"/>
      <c r="L85" s="30"/>
      <c r="M85" s="59" t="s">
        <v>50</v>
      </c>
      <c r="N85" s="30"/>
      <c r="O85" s="30"/>
      <c r="P85" s="30"/>
      <c r="Q85" s="59" t="s">
        <v>50</v>
      </c>
      <c r="R85" s="59" t="s">
        <v>50</v>
      </c>
    </row>
    <row r="86" spans="1:20" ht="15.75" customHeight="1" x14ac:dyDescent="0.3">
      <c r="A86" s="61" t="s">
        <v>89</v>
      </c>
      <c r="B86" s="1"/>
      <c r="C86" s="1"/>
      <c r="D86" s="1"/>
      <c r="E86" s="59">
        <f>SUM(B86:D86)</f>
        <v>0</v>
      </c>
      <c r="F86" s="1"/>
      <c r="G86" s="1"/>
      <c r="H86" s="1"/>
      <c r="I86" s="59">
        <f>SUM(F86:H86)</f>
        <v>0</v>
      </c>
      <c r="J86" s="1"/>
      <c r="K86" s="1"/>
      <c r="L86" s="1"/>
      <c r="M86" s="59">
        <f>SUM(J86:L86)</f>
        <v>0</v>
      </c>
      <c r="N86" s="1"/>
      <c r="O86" s="1"/>
      <c r="P86" s="1"/>
      <c r="Q86" s="59">
        <f>SUM(N86:P86)</f>
        <v>0</v>
      </c>
      <c r="R86" s="59">
        <f>+E86+I86+M86+Q86</f>
        <v>0</v>
      </c>
      <c r="S86" s="77" t="s">
        <v>90</v>
      </c>
    </row>
    <row r="87" spans="1:20" ht="15.75" customHeight="1" x14ac:dyDescent="0.3">
      <c r="A87" s="61" t="s">
        <v>91</v>
      </c>
      <c r="B87" s="1"/>
      <c r="C87" s="1"/>
      <c r="D87" s="1"/>
      <c r="E87" s="59">
        <f>SUM(B87:D87)</f>
        <v>0</v>
      </c>
      <c r="F87" s="1"/>
      <c r="G87" s="1"/>
      <c r="H87" s="1"/>
      <c r="I87" s="59">
        <f>SUM(F87:H87)</f>
        <v>0</v>
      </c>
      <c r="J87" s="1"/>
      <c r="K87" s="1"/>
      <c r="L87" s="1"/>
      <c r="M87" s="59">
        <f>SUM(J87:L87)</f>
        <v>0</v>
      </c>
      <c r="N87" s="1"/>
      <c r="O87" s="1"/>
      <c r="P87" s="1"/>
      <c r="Q87" s="59">
        <f>SUM(N87:P87)</f>
        <v>0</v>
      </c>
      <c r="R87" s="59">
        <f>+E87+I87+M87+Q87</f>
        <v>0</v>
      </c>
      <c r="S87" s="77" t="s">
        <v>90</v>
      </c>
      <c r="T87" s="4" t="s">
        <v>78</v>
      </c>
    </row>
    <row r="88" spans="1:20" ht="15.75" customHeight="1" thickBot="1" x14ac:dyDescent="0.35">
      <c r="A88" s="22" t="s">
        <v>51</v>
      </c>
      <c r="B88" s="60"/>
      <c r="C88" s="60"/>
      <c r="D88" s="60"/>
      <c r="E88" s="59" t="s">
        <v>7</v>
      </c>
      <c r="F88" s="60"/>
      <c r="G88" s="60"/>
      <c r="H88" s="60"/>
      <c r="I88" s="59" t="s">
        <v>7</v>
      </c>
      <c r="J88" s="60"/>
      <c r="K88" s="60"/>
      <c r="L88" s="60"/>
      <c r="M88" s="59" t="s">
        <v>7</v>
      </c>
      <c r="N88" s="60"/>
      <c r="O88" s="60"/>
      <c r="P88" s="60"/>
      <c r="Q88" s="59" t="s">
        <v>7</v>
      </c>
      <c r="R88" s="59" t="s">
        <v>7</v>
      </c>
    </row>
    <row r="89" spans="1:20" ht="16.5" customHeight="1" thickBot="1" x14ac:dyDescent="0.35">
      <c r="A89" s="62" t="s">
        <v>52</v>
      </c>
      <c r="B89" s="63">
        <f>SUM(B70:B88)</f>
        <v>400</v>
      </c>
      <c r="C89" s="63">
        <f>SUM(C70:C88)</f>
        <v>500</v>
      </c>
      <c r="D89" s="63">
        <f>SUM(D70:D88)</f>
        <v>1400</v>
      </c>
      <c r="E89" s="64">
        <f>SUM(B89:D89)</f>
        <v>2300</v>
      </c>
      <c r="F89" s="63">
        <f>SUM(F70:F88)</f>
        <v>0</v>
      </c>
      <c r="G89" s="63">
        <f>SUM(G70:G88)</f>
        <v>512</v>
      </c>
      <c r="H89" s="63">
        <f>SUM(H70:H88)</f>
        <v>512</v>
      </c>
      <c r="I89" s="64">
        <f>SUM(F89:H89)</f>
        <v>1024</v>
      </c>
      <c r="J89" s="63">
        <f>SUM(J70:J88)</f>
        <v>1257</v>
      </c>
      <c r="K89" s="63">
        <f>SUM(K70:K88)</f>
        <v>1812</v>
      </c>
      <c r="L89" s="63">
        <f>SUM(L70:L88)</f>
        <v>655</v>
      </c>
      <c r="M89" s="64">
        <f>SUM(J89:L89)</f>
        <v>3724</v>
      </c>
      <c r="N89" s="63">
        <f>SUM(N70:N88)</f>
        <v>0</v>
      </c>
      <c r="O89" s="63">
        <f>SUM(O70:O88)</f>
        <v>0</v>
      </c>
      <c r="P89" s="63">
        <f>SUM(P70:P88)</f>
        <v>0</v>
      </c>
      <c r="Q89" s="64">
        <f>SUM(N89:P89)</f>
        <v>0</v>
      </c>
      <c r="R89" s="64">
        <f>+E89+I89+M89+Q89</f>
        <v>7048</v>
      </c>
    </row>
    <row r="90" spans="1:20" ht="15.75" customHeight="1" x14ac:dyDescent="0.3">
      <c r="A90" s="22" t="s">
        <v>53</v>
      </c>
      <c r="B90" s="60"/>
      <c r="C90" s="60"/>
      <c r="D90" s="60"/>
      <c r="E90" s="59" t="s">
        <v>7</v>
      </c>
      <c r="F90" s="60"/>
      <c r="G90" s="60"/>
      <c r="H90" s="60"/>
      <c r="I90" s="59" t="s">
        <v>7</v>
      </c>
      <c r="J90" s="60"/>
      <c r="K90" s="60"/>
      <c r="L90" s="60"/>
      <c r="M90" s="59" t="s">
        <v>7</v>
      </c>
      <c r="N90" s="60"/>
      <c r="O90" s="60"/>
      <c r="P90" s="60"/>
      <c r="Q90" s="59" t="s">
        <v>7</v>
      </c>
      <c r="R90" s="65" t="s">
        <v>7</v>
      </c>
    </row>
    <row r="91" spans="1:20" ht="15.75" customHeight="1" x14ac:dyDescent="0.3">
      <c r="A91" s="22" t="s">
        <v>54</v>
      </c>
      <c r="B91" s="60"/>
      <c r="C91" s="60"/>
      <c r="D91" s="60"/>
      <c r="E91" s="59" t="s">
        <v>7</v>
      </c>
      <c r="F91" s="60"/>
      <c r="G91" s="60"/>
      <c r="H91" s="60"/>
      <c r="I91" s="59" t="s">
        <v>7</v>
      </c>
      <c r="J91" s="60"/>
      <c r="K91" s="60"/>
      <c r="L91" s="60"/>
      <c r="M91" s="59" t="s">
        <v>7</v>
      </c>
      <c r="N91" s="60"/>
      <c r="O91" s="60"/>
      <c r="P91" s="60"/>
      <c r="Q91" s="59" t="s">
        <v>7</v>
      </c>
      <c r="R91" s="59" t="s">
        <v>7</v>
      </c>
    </row>
    <row r="92" spans="1:20" ht="15.75" customHeight="1" x14ac:dyDescent="0.3">
      <c r="A92" s="22" t="s">
        <v>55</v>
      </c>
      <c r="B92" s="60"/>
      <c r="C92" s="60"/>
      <c r="D92" s="60"/>
      <c r="E92" s="59" t="s">
        <v>7</v>
      </c>
      <c r="F92" s="60"/>
      <c r="G92" s="60"/>
      <c r="H92" s="60"/>
      <c r="I92" s="59" t="s">
        <v>7</v>
      </c>
      <c r="J92" s="60"/>
      <c r="K92" s="60"/>
      <c r="L92" s="60"/>
      <c r="M92" s="59" t="s">
        <v>7</v>
      </c>
      <c r="N92" s="60"/>
      <c r="O92" s="60"/>
      <c r="P92" s="60"/>
      <c r="Q92" s="59" t="s">
        <v>7</v>
      </c>
      <c r="R92" s="59" t="s">
        <v>7</v>
      </c>
    </row>
    <row r="93" spans="1:20" ht="15.75" customHeight="1" x14ac:dyDescent="0.3">
      <c r="A93" s="76" t="s">
        <v>92</v>
      </c>
      <c r="B93" s="1">
        <v>500</v>
      </c>
      <c r="C93" s="1">
        <v>500</v>
      </c>
      <c r="D93" s="1">
        <v>2000</v>
      </c>
      <c r="E93" s="59">
        <f>SUM(B93:D93)</f>
        <v>3000</v>
      </c>
      <c r="F93" s="1">
        <v>2900</v>
      </c>
      <c r="G93" s="1">
        <v>4000</v>
      </c>
      <c r="H93" s="1">
        <v>4000</v>
      </c>
      <c r="I93" s="59">
        <f>SUM(F93:H93)</f>
        <v>10900</v>
      </c>
      <c r="J93" s="1">
        <v>4000</v>
      </c>
      <c r="K93" s="1">
        <v>3000</v>
      </c>
      <c r="L93" s="1">
        <v>2050</v>
      </c>
      <c r="M93" s="59">
        <f>SUM(J93:L93)</f>
        <v>9050</v>
      </c>
      <c r="N93" s="1">
        <v>1000</v>
      </c>
      <c r="O93" s="1">
        <v>403</v>
      </c>
      <c r="P93" s="1">
        <v>600</v>
      </c>
      <c r="Q93" s="59">
        <f>SUM(N93:P93)</f>
        <v>2003</v>
      </c>
      <c r="R93" s="59">
        <f>+E93+I93+M93+Q93</f>
        <v>24953</v>
      </c>
      <c r="T93" s="4" t="s">
        <v>93</v>
      </c>
    </row>
    <row r="94" spans="1:20" ht="15.75" customHeight="1" x14ac:dyDescent="0.3">
      <c r="A94" s="76" t="s">
        <v>94</v>
      </c>
      <c r="B94" s="1"/>
      <c r="C94" s="1"/>
      <c r="D94" s="1"/>
      <c r="E94" s="59">
        <f>SUM(B94:D94)</f>
        <v>0</v>
      </c>
      <c r="F94" s="1"/>
      <c r="G94" s="1">
        <v>200</v>
      </c>
      <c r="H94" s="1">
        <v>250</v>
      </c>
      <c r="I94" s="59">
        <f>SUM(F94:H94)</f>
        <v>450</v>
      </c>
      <c r="J94" s="1">
        <v>335</v>
      </c>
      <c r="K94" s="1">
        <v>335</v>
      </c>
      <c r="L94" s="1">
        <v>515</v>
      </c>
      <c r="M94" s="59">
        <f>SUM(J94:L94)</f>
        <v>1185</v>
      </c>
      <c r="N94" s="1">
        <v>715</v>
      </c>
      <c r="O94" s="1">
        <v>245</v>
      </c>
      <c r="P94" s="1"/>
      <c r="Q94" s="59">
        <f>SUM(N94:P94)</f>
        <v>960</v>
      </c>
      <c r="R94" s="59">
        <f>+E94+I94+M94+Q94</f>
        <v>2595</v>
      </c>
      <c r="T94" s="4" t="s">
        <v>78</v>
      </c>
    </row>
    <row r="95" spans="1:20" ht="15.75" customHeight="1" thickBot="1" x14ac:dyDescent="0.35">
      <c r="A95" s="22" t="s">
        <v>56</v>
      </c>
      <c r="B95" s="60"/>
      <c r="C95" s="60"/>
      <c r="D95" s="60"/>
      <c r="E95" s="59" t="s">
        <v>7</v>
      </c>
      <c r="F95" s="60"/>
      <c r="G95" s="60"/>
      <c r="H95" s="60"/>
      <c r="I95" s="59" t="s">
        <v>7</v>
      </c>
      <c r="J95" s="60"/>
      <c r="K95" s="60"/>
      <c r="L95" s="60"/>
      <c r="M95" s="59" t="s">
        <v>7</v>
      </c>
      <c r="N95" s="60"/>
      <c r="O95" s="60"/>
      <c r="P95" s="60"/>
      <c r="Q95" s="59" t="s">
        <v>7</v>
      </c>
      <c r="R95" s="59" t="s">
        <v>7</v>
      </c>
    </row>
    <row r="96" spans="1:20" ht="16.5" customHeight="1" thickBot="1" x14ac:dyDescent="0.35">
      <c r="A96" s="62" t="s">
        <v>57</v>
      </c>
      <c r="B96" s="63">
        <f>SUM(B90:B95)</f>
        <v>500</v>
      </c>
      <c r="C96" s="63">
        <f>SUM(C90:C95)</f>
        <v>500</v>
      </c>
      <c r="D96" s="63">
        <f>SUM(D90:D95)</f>
        <v>2000</v>
      </c>
      <c r="E96" s="64">
        <f>SUM(B96:D96)</f>
        <v>3000</v>
      </c>
      <c r="F96" s="63">
        <f>SUM(F90:F95)</f>
        <v>2900</v>
      </c>
      <c r="G96" s="63">
        <f>SUM(G90:G95)</f>
        <v>4200</v>
      </c>
      <c r="H96" s="63">
        <f>SUM(H90:H95)</f>
        <v>4250</v>
      </c>
      <c r="I96" s="64">
        <f>SUM(F96:H96)</f>
        <v>11350</v>
      </c>
      <c r="J96" s="63">
        <f>SUM(J90:J95)</f>
        <v>4335</v>
      </c>
      <c r="K96" s="63">
        <f>SUM(K90:K95)</f>
        <v>3335</v>
      </c>
      <c r="L96" s="63">
        <f>SUM(L90:L95)</f>
        <v>2565</v>
      </c>
      <c r="M96" s="64">
        <f>SUM(J96:L96)</f>
        <v>10235</v>
      </c>
      <c r="N96" s="63">
        <f>SUM(N90:N95)</f>
        <v>1715</v>
      </c>
      <c r="O96" s="63">
        <f>SUM(O90:O95)</f>
        <v>648</v>
      </c>
      <c r="P96" s="63">
        <f>SUM(P90:P95)</f>
        <v>600</v>
      </c>
      <c r="Q96" s="64">
        <f>SUM(N96:P96)</f>
        <v>2963</v>
      </c>
      <c r="R96" s="64">
        <f>+E96+I96+M96+Q96</f>
        <v>27548</v>
      </c>
    </row>
    <row r="97" spans="1:20" ht="15.75" customHeight="1" x14ac:dyDescent="0.3">
      <c r="A97" s="22" t="s">
        <v>58</v>
      </c>
      <c r="B97" s="60"/>
      <c r="C97" s="60"/>
      <c r="D97" s="60"/>
      <c r="E97" s="59" t="s">
        <v>7</v>
      </c>
      <c r="F97" s="60"/>
      <c r="G97" s="60"/>
      <c r="H97" s="60"/>
      <c r="I97" s="59" t="s">
        <v>7</v>
      </c>
      <c r="J97" s="60"/>
      <c r="K97" s="60"/>
      <c r="L97" s="60"/>
      <c r="M97" s="59" t="s">
        <v>7</v>
      </c>
      <c r="N97" s="60"/>
      <c r="O97" s="60"/>
      <c r="P97" s="60"/>
      <c r="Q97" s="59" t="s">
        <v>7</v>
      </c>
      <c r="R97" s="59" t="s">
        <v>7</v>
      </c>
    </row>
    <row r="98" spans="1:20" ht="15.75" customHeight="1" x14ac:dyDescent="0.3">
      <c r="A98" s="22" t="s">
        <v>59</v>
      </c>
      <c r="B98" s="60"/>
      <c r="C98" s="60"/>
      <c r="D98" s="60"/>
      <c r="E98" s="59" t="s">
        <v>7</v>
      </c>
      <c r="F98" s="60"/>
      <c r="G98" s="60"/>
      <c r="H98" s="60"/>
      <c r="I98" s="59" t="s">
        <v>7</v>
      </c>
      <c r="J98" s="60"/>
      <c r="K98" s="60"/>
      <c r="L98" s="60"/>
      <c r="M98" s="59" t="s">
        <v>7</v>
      </c>
      <c r="N98" s="60"/>
      <c r="O98" s="60"/>
      <c r="P98" s="60"/>
      <c r="Q98" s="59" t="s">
        <v>7</v>
      </c>
      <c r="R98" s="59" t="s">
        <v>7</v>
      </c>
    </row>
    <row r="99" spans="1:20" ht="15.75" customHeight="1" x14ac:dyDescent="0.3">
      <c r="A99" s="22" t="s">
        <v>60</v>
      </c>
      <c r="B99" s="60"/>
      <c r="C99" s="60"/>
      <c r="D99" s="60"/>
      <c r="E99" s="59"/>
      <c r="F99" s="60"/>
      <c r="G99" s="60"/>
      <c r="H99" s="60"/>
      <c r="I99" s="59"/>
      <c r="J99" s="60"/>
      <c r="K99" s="60"/>
      <c r="L99" s="60"/>
      <c r="M99" s="59"/>
      <c r="N99" s="60"/>
      <c r="O99" s="60"/>
      <c r="P99" s="60"/>
      <c r="Q99" s="59"/>
      <c r="R99" s="59"/>
    </row>
    <row r="100" spans="1:20" ht="15.75" customHeight="1" x14ac:dyDescent="0.3">
      <c r="A100" s="76" t="s">
        <v>95</v>
      </c>
      <c r="B100" s="1"/>
      <c r="C100" s="1"/>
      <c r="D100" s="1"/>
      <c r="E100" s="59">
        <f t="shared" ref="E100:E108" si="10">SUM(B100:D100)</f>
        <v>0</v>
      </c>
      <c r="F100" s="1"/>
      <c r="G100" s="1"/>
      <c r="H100" s="1"/>
      <c r="I100" s="59">
        <f t="shared" ref="I100:I108" si="11">SUM(F100:H100)</f>
        <v>0</v>
      </c>
      <c r="J100" s="1"/>
      <c r="K100" s="1"/>
      <c r="L100" s="1"/>
      <c r="M100" s="59">
        <f t="shared" ref="M100:M108" si="12">SUM(J100:L100)</f>
        <v>0</v>
      </c>
      <c r="N100" s="1"/>
      <c r="O100" s="1"/>
      <c r="P100" s="1"/>
      <c r="Q100" s="59">
        <f t="shared" ref="Q100:Q108" si="13">SUM(N100:P100)</f>
        <v>0</v>
      </c>
      <c r="R100" s="59">
        <f t="shared" ref="R100:R108" si="14">+E100+I100+M100+Q100</f>
        <v>0</v>
      </c>
    </row>
    <row r="101" spans="1:20" ht="15.75" customHeight="1" x14ac:dyDescent="0.3">
      <c r="A101" s="76" t="s">
        <v>96</v>
      </c>
      <c r="B101" s="1"/>
      <c r="C101" s="1"/>
      <c r="D101" s="1"/>
      <c r="E101" s="59">
        <f t="shared" si="10"/>
        <v>0</v>
      </c>
      <c r="F101" s="1"/>
      <c r="G101" s="1"/>
      <c r="H101" s="1"/>
      <c r="I101" s="59">
        <f t="shared" si="11"/>
        <v>0</v>
      </c>
      <c r="J101" s="1"/>
      <c r="K101" s="1"/>
      <c r="L101" s="1"/>
      <c r="M101" s="59">
        <f t="shared" si="12"/>
        <v>0</v>
      </c>
      <c r="N101" s="1"/>
      <c r="O101" s="1"/>
      <c r="P101" s="1"/>
      <c r="Q101" s="59">
        <f t="shared" si="13"/>
        <v>0</v>
      </c>
      <c r="R101" s="59">
        <f t="shared" si="14"/>
        <v>0</v>
      </c>
    </row>
    <row r="102" spans="1:20" ht="15.75" customHeight="1" x14ac:dyDescent="0.3">
      <c r="A102" s="76" t="s">
        <v>97</v>
      </c>
      <c r="B102" s="1"/>
      <c r="C102" s="1"/>
      <c r="D102" s="1"/>
      <c r="E102" s="59">
        <f>SUM(B102:D102)</f>
        <v>0</v>
      </c>
      <c r="F102" s="1"/>
      <c r="G102" s="1"/>
      <c r="H102" s="1"/>
      <c r="I102" s="59">
        <f>SUM(F102:H102)</f>
        <v>0</v>
      </c>
      <c r="J102" s="1"/>
      <c r="K102" s="1"/>
      <c r="L102" s="1"/>
      <c r="M102" s="59">
        <f>SUM(J102:L102)</f>
        <v>0</v>
      </c>
      <c r="N102" s="1"/>
      <c r="O102" s="1"/>
      <c r="P102" s="1"/>
      <c r="Q102" s="59">
        <f>SUM(N102:P102)</f>
        <v>0</v>
      </c>
      <c r="R102" s="59">
        <f>+E102+I102+M102+Q102</f>
        <v>0</v>
      </c>
    </row>
    <row r="103" spans="1:20" ht="15.75" customHeight="1" x14ac:dyDescent="0.3">
      <c r="A103" s="76" t="s">
        <v>98</v>
      </c>
      <c r="B103" s="1"/>
      <c r="C103" s="1"/>
      <c r="D103" s="1"/>
      <c r="E103" s="59">
        <f>SUM(B103:D103)</f>
        <v>0</v>
      </c>
      <c r="F103" s="1"/>
      <c r="G103" s="1"/>
      <c r="H103" s="1"/>
      <c r="I103" s="59">
        <f>SUM(F103:H103)</f>
        <v>0</v>
      </c>
      <c r="J103" s="1"/>
      <c r="K103" s="1"/>
      <c r="L103" s="1"/>
      <c r="M103" s="59">
        <f>SUM(J103:L103)</f>
        <v>0</v>
      </c>
      <c r="N103" s="1"/>
      <c r="O103" s="1"/>
      <c r="P103" s="1"/>
      <c r="Q103" s="59">
        <f>SUM(N103:P103)</f>
        <v>0</v>
      </c>
      <c r="R103" s="59">
        <f>+E103+I103+M103+Q103</f>
        <v>0</v>
      </c>
      <c r="T103" s="4" t="s">
        <v>83</v>
      </c>
    </row>
    <row r="104" spans="1:20" ht="15.75" customHeight="1" x14ac:dyDescent="0.3">
      <c r="A104" s="76" t="s">
        <v>99</v>
      </c>
      <c r="B104" s="1"/>
      <c r="C104" s="1"/>
      <c r="D104" s="1"/>
      <c r="E104" s="59">
        <f>SUM(B104:D104)</f>
        <v>0</v>
      </c>
      <c r="F104" s="1"/>
      <c r="G104" s="1"/>
      <c r="H104" s="1"/>
      <c r="I104" s="59">
        <f>SUM(F104:H104)</f>
        <v>0</v>
      </c>
      <c r="J104" s="1"/>
      <c r="K104" s="1"/>
      <c r="L104" s="1"/>
      <c r="M104" s="59">
        <f>SUM(J104:L104)</f>
        <v>0</v>
      </c>
      <c r="N104" s="1"/>
      <c r="O104" s="1"/>
      <c r="P104" s="1"/>
      <c r="Q104" s="59">
        <f>SUM(N104:P104)</f>
        <v>0</v>
      </c>
      <c r="R104" s="59">
        <f>+E104+I104+M104+Q104</f>
        <v>0</v>
      </c>
    </row>
    <row r="105" spans="1:20" ht="15.75" customHeight="1" x14ac:dyDescent="0.3">
      <c r="A105" s="76" t="s">
        <v>100</v>
      </c>
      <c r="B105" s="1"/>
      <c r="C105" s="1"/>
      <c r="D105" s="1"/>
      <c r="E105" s="59">
        <f t="shared" si="10"/>
        <v>0</v>
      </c>
      <c r="F105" s="1"/>
      <c r="G105" s="1"/>
      <c r="H105" s="1"/>
      <c r="I105" s="59">
        <f t="shared" si="11"/>
        <v>0</v>
      </c>
      <c r="J105" s="1"/>
      <c r="K105" s="1"/>
      <c r="L105" s="1"/>
      <c r="M105" s="59">
        <f t="shared" si="12"/>
        <v>0</v>
      </c>
      <c r="N105" s="1"/>
      <c r="O105" s="1"/>
      <c r="P105" s="1"/>
      <c r="Q105" s="59">
        <f t="shared" si="13"/>
        <v>0</v>
      </c>
      <c r="R105" s="59">
        <f t="shared" si="14"/>
        <v>0</v>
      </c>
    </row>
    <row r="106" spans="1:20" ht="15.75" customHeight="1" x14ac:dyDescent="0.3">
      <c r="A106" s="76" t="s">
        <v>101</v>
      </c>
      <c r="B106" s="1"/>
      <c r="C106" s="1"/>
      <c r="D106" s="1"/>
      <c r="E106" s="59">
        <f t="shared" si="10"/>
        <v>0</v>
      </c>
      <c r="F106" s="1"/>
      <c r="G106" s="1"/>
      <c r="H106" s="1"/>
      <c r="I106" s="59">
        <f t="shared" si="11"/>
        <v>0</v>
      </c>
      <c r="J106" s="1"/>
      <c r="K106" s="1"/>
      <c r="L106" s="1"/>
      <c r="M106" s="59">
        <f t="shared" si="12"/>
        <v>0</v>
      </c>
      <c r="N106" s="1"/>
      <c r="O106" s="1"/>
      <c r="P106" s="1"/>
      <c r="Q106" s="59">
        <f t="shared" ref="Q106" si="15">SUM(N106:P106)</f>
        <v>0</v>
      </c>
      <c r="R106" s="59">
        <f t="shared" si="14"/>
        <v>0</v>
      </c>
    </row>
    <row r="107" spans="1:20" ht="15.75" customHeight="1" thickBot="1" x14ac:dyDescent="0.35">
      <c r="A107" s="76" t="s">
        <v>102</v>
      </c>
      <c r="B107" s="1"/>
      <c r="C107" s="1"/>
      <c r="D107" s="1"/>
      <c r="E107" s="59">
        <f t="shared" si="10"/>
        <v>0</v>
      </c>
      <c r="F107" s="1">
        <v>1900</v>
      </c>
      <c r="G107" s="1">
        <v>1400</v>
      </c>
      <c r="H107" s="1">
        <v>1600</v>
      </c>
      <c r="I107" s="59">
        <f t="shared" si="11"/>
        <v>4900</v>
      </c>
      <c r="J107" s="1">
        <v>655</v>
      </c>
      <c r="K107" s="1"/>
      <c r="L107" s="1">
        <v>445</v>
      </c>
      <c r="M107" s="59">
        <f t="shared" si="12"/>
        <v>1100</v>
      </c>
      <c r="N107" s="1">
        <v>550</v>
      </c>
      <c r="O107" s="1">
        <v>250</v>
      </c>
      <c r="P107" s="1">
        <v>200</v>
      </c>
      <c r="Q107" s="59">
        <f t="shared" si="13"/>
        <v>1000</v>
      </c>
      <c r="R107" s="59">
        <f t="shared" si="14"/>
        <v>7000</v>
      </c>
    </row>
    <row r="108" spans="1:20" ht="16.5" customHeight="1" thickBot="1" x14ac:dyDescent="0.35">
      <c r="A108" s="62" t="s">
        <v>61</v>
      </c>
      <c r="B108" s="63">
        <f>SUM(B97:B107)</f>
        <v>0</v>
      </c>
      <c r="C108" s="63">
        <f>SUM(C97:C107)</f>
        <v>0</v>
      </c>
      <c r="D108" s="63">
        <f>SUM(D97:D107)</f>
        <v>0</v>
      </c>
      <c r="E108" s="64">
        <f t="shared" si="10"/>
        <v>0</v>
      </c>
      <c r="F108" s="63">
        <f>SUM(F97:F107)</f>
        <v>1900</v>
      </c>
      <c r="G108" s="63">
        <f>SUM(G97:G107)</f>
        <v>1400</v>
      </c>
      <c r="H108" s="63">
        <f>SUM(H97:H107)</f>
        <v>1600</v>
      </c>
      <c r="I108" s="64">
        <f t="shared" si="11"/>
        <v>4900</v>
      </c>
      <c r="J108" s="63">
        <f>SUM(J97:J107)</f>
        <v>655</v>
      </c>
      <c r="K108" s="63">
        <f>SUM(K97:K107)</f>
        <v>0</v>
      </c>
      <c r="L108" s="63">
        <f>SUM(L97:L107)</f>
        <v>445</v>
      </c>
      <c r="M108" s="64">
        <f t="shared" si="12"/>
        <v>1100</v>
      </c>
      <c r="N108" s="63">
        <f>SUM(N97:N107)</f>
        <v>550</v>
      </c>
      <c r="O108" s="63">
        <f>SUM(O97:O107)</f>
        <v>250</v>
      </c>
      <c r="P108" s="63">
        <f>SUM(P97:P107)</f>
        <v>200</v>
      </c>
      <c r="Q108" s="64">
        <f t="shared" si="13"/>
        <v>1000</v>
      </c>
      <c r="R108" s="64">
        <f t="shared" si="14"/>
        <v>7000</v>
      </c>
    </row>
    <row r="109" spans="1:20" ht="15.75" customHeight="1" x14ac:dyDescent="0.3">
      <c r="A109" s="22" t="s">
        <v>62</v>
      </c>
      <c r="B109" s="60"/>
      <c r="C109" s="60"/>
      <c r="D109" s="60"/>
      <c r="E109" s="59" t="s">
        <v>7</v>
      </c>
      <c r="F109" s="60"/>
      <c r="G109" s="60"/>
      <c r="H109" s="60"/>
      <c r="I109" s="59" t="s">
        <v>7</v>
      </c>
      <c r="J109" s="60"/>
      <c r="K109" s="60"/>
      <c r="L109" s="60"/>
      <c r="M109" s="59" t="s">
        <v>7</v>
      </c>
      <c r="N109" s="60"/>
      <c r="O109" s="60"/>
      <c r="P109" s="60"/>
      <c r="Q109" s="59" t="s">
        <v>7</v>
      </c>
      <c r="R109" s="59" t="s">
        <v>7</v>
      </c>
    </row>
    <row r="110" spans="1:20" ht="15.75" customHeight="1" x14ac:dyDescent="0.3">
      <c r="A110" s="22" t="s">
        <v>63</v>
      </c>
      <c r="B110" s="60"/>
      <c r="C110" s="60"/>
      <c r="D110" s="60"/>
      <c r="E110" s="59" t="s">
        <v>7</v>
      </c>
      <c r="F110" s="60"/>
      <c r="G110" s="60"/>
      <c r="H110" s="60"/>
      <c r="I110" s="59" t="s">
        <v>7</v>
      </c>
      <c r="J110" s="60"/>
      <c r="K110" s="60"/>
      <c r="L110" s="60"/>
      <c r="M110" s="59" t="s">
        <v>7</v>
      </c>
      <c r="N110" s="60"/>
      <c r="O110" s="60"/>
      <c r="P110" s="60"/>
      <c r="Q110" s="59" t="s">
        <v>7</v>
      </c>
      <c r="R110" s="59" t="s">
        <v>7</v>
      </c>
    </row>
    <row r="111" spans="1:20" ht="15.75" customHeight="1" x14ac:dyDescent="0.3">
      <c r="A111" s="61" t="s">
        <v>103</v>
      </c>
      <c r="B111" s="1"/>
      <c r="C111" s="1"/>
      <c r="D111" s="1"/>
      <c r="E111" s="59">
        <f t="shared" ref="E111:E116" si="16">SUM(B111:D111)</f>
        <v>0</v>
      </c>
      <c r="F111" s="1"/>
      <c r="G111" s="1"/>
      <c r="H111" s="1"/>
      <c r="I111" s="59">
        <f t="shared" ref="I111:I116" si="17">SUM(F111:H111)</f>
        <v>0</v>
      </c>
      <c r="J111" s="1"/>
      <c r="K111" s="1"/>
      <c r="L111" s="1"/>
      <c r="M111" s="59">
        <f t="shared" ref="M111:M116" si="18">SUM(J111:L111)</f>
        <v>0</v>
      </c>
      <c r="N111" s="1"/>
      <c r="O111" s="1"/>
      <c r="P111" s="1"/>
      <c r="Q111" s="59">
        <f t="shared" ref="Q111:Q116" si="19">SUM(N111:P111)</f>
        <v>0</v>
      </c>
      <c r="R111" s="59">
        <f t="shared" ref="R111:R116" si="20">+E111+I111+M111+Q111</f>
        <v>0</v>
      </c>
    </row>
    <row r="112" spans="1:20" ht="15.75" customHeight="1" x14ac:dyDescent="0.3">
      <c r="A112" s="61" t="s">
        <v>104</v>
      </c>
      <c r="B112" s="1"/>
      <c r="C112" s="1"/>
      <c r="D112" s="1"/>
      <c r="E112" s="59">
        <f t="shared" si="16"/>
        <v>0</v>
      </c>
      <c r="F112" s="1"/>
      <c r="G112" s="1"/>
      <c r="H112" s="1"/>
      <c r="I112" s="59">
        <f t="shared" si="17"/>
        <v>0</v>
      </c>
      <c r="J112" s="1"/>
      <c r="K112" s="1"/>
      <c r="L112" s="1"/>
      <c r="M112" s="59">
        <f t="shared" si="18"/>
        <v>0</v>
      </c>
      <c r="N112" s="1"/>
      <c r="O112" s="1"/>
      <c r="P112" s="1"/>
      <c r="Q112" s="59">
        <f t="shared" si="19"/>
        <v>0</v>
      </c>
      <c r="R112" s="59">
        <f t="shared" si="20"/>
        <v>0</v>
      </c>
    </row>
    <row r="113" spans="1:20" ht="15.75" customHeight="1" x14ac:dyDescent="0.3">
      <c r="A113" s="61" t="s">
        <v>105</v>
      </c>
      <c r="B113" s="1"/>
      <c r="C113" s="1"/>
      <c r="D113" s="1"/>
      <c r="E113" s="59">
        <f t="shared" si="16"/>
        <v>0</v>
      </c>
      <c r="F113" s="1"/>
      <c r="G113" s="1"/>
      <c r="H113" s="1"/>
      <c r="I113" s="59">
        <f t="shared" si="17"/>
        <v>0</v>
      </c>
      <c r="J113" s="1"/>
      <c r="K113" s="1"/>
      <c r="L113" s="1"/>
      <c r="M113" s="59">
        <f t="shared" si="18"/>
        <v>0</v>
      </c>
      <c r="N113" s="1"/>
      <c r="O113" s="1"/>
      <c r="P113" s="1"/>
      <c r="Q113" s="59">
        <f t="shared" si="19"/>
        <v>0</v>
      </c>
      <c r="R113" s="59">
        <f t="shared" si="20"/>
        <v>0</v>
      </c>
    </row>
    <row r="114" spans="1:20" ht="15.75" customHeight="1" x14ac:dyDescent="0.3">
      <c r="A114" s="61" t="s">
        <v>106</v>
      </c>
      <c r="B114" s="1"/>
      <c r="C114" s="1"/>
      <c r="D114" s="1"/>
      <c r="E114" s="59">
        <f t="shared" si="16"/>
        <v>0</v>
      </c>
      <c r="F114" s="1"/>
      <c r="G114" s="1"/>
      <c r="H114" s="1"/>
      <c r="I114" s="59">
        <f t="shared" si="17"/>
        <v>0</v>
      </c>
      <c r="J114" s="1"/>
      <c r="K114" s="1"/>
      <c r="L114" s="1"/>
      <c r="M114" s="59">
        <f t="shared" si="18"/>
        <v>0</v>
      </c>
      <c r="N114" s="1"/>
      <c r="O114" s="1"/>
      <c r="P114" s="1"/>
      <c r="Q114" s="59">
        <f t="shared" si="19"/>
        <v>0</v>
      </c>
      <c r="R114" s="59">
        <f t="shared" si="20"/>
        <v>0</v>
      </c>
    </row>
    <row r="115" spans="1:20" ht="15.75" customHeight="1" x14ac:dyDescent="0.3">
      <c r="A115" s="61" t="s">
        <v>107</v>
      </c>
      <c r="B115" s="1"/>
      <c r="C115" s="1"/>
      <c r="D115" s="1"/>
      <c r="E115" s="59">
        <f t="shared" si="16"/>
        <v>0</v>
      </c>
      <c r="F115" s="1"/>
      <c r="G115" s="1"/>
      <c r="H115" s="1"/>
      <c r="I115" s="59">
        <f t="shared" si="17"/>
        <v>0</v>
      </c>
      <c r="J115" s="1"/>
      <c r="K115" s="1"/>
      <c r="L115" s="1"/>
      <c r="M115" s="59">
        <f t="shared" si="18"/>
        <v>0</v>
      </c>
      <c r="N115" s="1"/>
      <c r="O115" s="1"/>
      <c r="P115" s="1"/>
      <c r="Q115" s="59">
        <f t="shared" si="19"/>
        <v>0</v>
      </c>
      <c r="R115" s="59">
        <f t="shared" si="20"/>
        <v>0</v>
      </c>
    </row>
    <row r="116" spans="1:20" ht="15.75" customHeight="1" x14ac:dyDescent="0.3">
      <c r="A116" s="61" t="s">
        <v>108</v>
      </c>
      <c r="B116" s="1"/>
      <c r="C116" s="1"/>
      <c r="D116" s="1"/>
      <c r="E116" s="59">
        <f t="shared" si="16"/>
        <v>0</v>
      </c>
      <c r="F116" s="1"/>
      <c r="G116" s="1"/>
      <c r="H116" s="1"/>
      <c r="I116" s="59">
        <f t="shared" si="17"/>
        <v>0</v>
      </c>
      <c r="J116" s="1"/>
      <c r="K116" s="1"/>
      <c r="L116" s="1"/>
      <c r="M116" s="59">
        <f t="shared" si="18"/>
        <v>0</v>
      </c>
      <c r="N116" s="1"/>
      <c r="O116" s="1"/>
      <c r="P116" s="1"/>
      <c r="Q116" s="59">
        <f t="shared" si="19"/>
        <v>0</v>
      </c>
      <c r="R116" s="59">
        <f t="shared" si="20"/>
        <v>0</v>
      </c>
    </row>
    <row r="117" spans="1:20" ht="15.75" customHeight="1" x14ac:dyDescent="0.3">
      <c r="A117" s="61" t="s">
        <v>109</v>
      </c>
      <c r="B117" s="1"/>
      <c r="C117" s="1"/>
      <c r="D117" s="1"/>
      <c r="E117" s="59">
        <f>SUM(B117:D117)</f>
        <v>0</v>
      </c>
      <c r="F117" s="1"/>
      <c r="G117" s="1"/>
      <c r="H117" s="1"/>
      <c r="I117" s="59">
        <f>SUM(F117:H117)</f>
        <v>0</v>
      </c>
      <c r="J117" s="1"/>
      <c r="K117" s="1"/>
      <c r="L117" s="1"/>
      <c r="M117" s="59">
        <f>SUM(J117:L117)</f>
        <v>0</v>
      </c>
      <c r="N117" s="1"/>
      <c r="O117" s="1"/>
      <c r="P117" s="1"/>
      <c r="Q117" s="59">
        <f>SUM(N117:P117)</f>
        <v>0</v>
      </c>
      <c r="R117" s="59">
        <f>+E117+I117+M117+Q117</f>
        <v>0</v>
      </c>
    </row>
    <row r="118" spans="1:20" ht="15.75" customHeight="1" x14ac:dyDescent="0.3">
      <c r="A118" s="78" t="s">
        <v>110</v>
      </c>
      <c r="B118" s="1"/>
      <c r="C118" s="1"/>
      <c r="D118" s="1"/>
      <c r="E118" s="59">
        <f>SUM(B118:D118)</f>
        <v>0</v>
      </c>
      <c r="F118" s="1"/>
      <c r="G118" s="1"/>
      <c r="H118" s="1"/>
      <c r="I118" s="59">
        <f>SUM(F118:H118)</f>
        <v>0</v>
      </c>
      <c r="J118" s="1"/>
      <c r="K118" s="1"/>
      <c r="L118" s="1"/>
      <c r="M118" s="59">
        <f>SUM(J118:L118)</f>
        <v>0</v>
      </c>
      <c r="N118" s="1"/>
      <c r="O118" s="1"/>
      <c r="P118" s="1"/>
      <c r="Q118" s="59">
        <f>SUM(N118:P118)</f>
        <v>0</v>
      </c>
      <c r="R118" s="59">
        <f>+E118+I118+M118+Q118</f>
        <v>0</v>
      </c>
      <c r="T118" s="4" t="s">
        <v>111</v>
      </c>
    </row>
    <row r="119" spans="1:20" ht="15.75" customHeight="1" x14ac:dyDescent="0.3">
      <c r="A119" s="22" t="s">
        <v>64</v>
      </c>
      <c r="B119" s="60"/>
      <c r="C119" s="60"/>
      <c r="D119" s="60"/>
      <c r="E119" s="59" t="s">
        <v>7</v>
      </c>
      <c r="F119" s="60"/>
      <c r="G119" s="60"/>
      <c r="H119" s="60"/>
      <c r="I119" s="59" t="s">
        <v>7</v>
      </c>
      <c r="J119" s="60"/>
      <c r="K119" s="60"/>
      <c r="L119" s="60"/>
      <c r="M119" s="59" t="s">
        <v>7</v>
      </c>
      <c r="N119" s="60"/>
      <c r="O119" s="60"/>
      <c r="P119" s="60"/>
      <c r="Q119" s="59" t="s">
        <v>7</v>
      </c>
      <c r="R119" s="59" t="s">
        <v>7</v>
      </c>
    </row>
    <row r="120" spans="1:20" ht="15.75" customHeight="1" x14ac:dyDescent="0.3">
      <c r="A120" s="61" t="s">
        <v>112</v>
      </c>
      <c r="B120" s="1"/>
      <c r="C120" s="1"/>
      <c r="D120" s="1"/>
      <c r="E120" s="59">
        <f>SUM(B120:D120)</f>
        <v>0</v>
      </c>
      <c r="F120" s="1"/>
      <c r="G120" s="1"/>
      <c r="H120" s="1"/>
      <c r="I120" s="59">
        <f>SUM(F120:H120)</f>
        <v>0</v>
      </c>
      <c r="J120" s="1"/>
      <c r="K120" s="1"/>
      <c r="L120" s="1"/>
      <c r="M120" s="59">
        <f>SUM(J120:L120)</f>
        <v>0</v>
      </c>
      <c r="N120" s="1"/>
      <c r="O120" s="1"/>
      <c r="P120" s="1"/>
      <c r="Q120" s="59">
        <f>SUM(N120:P120)</f>
        <v>0</v>
      </c>
      <c r="R120" s="59">
        <f>+E120+I120+M120+Q120</f>
        <v>0</v>
      </c>
    </row>
    <row r="121" spans="1:20" ht="15.75" customHeight="1" x14ac:dyDescent="0.3">
      <c r="A121" s="61" t="s">
        <v>113</v>
      </c>
      <c r="B121" s="1"/>
      <c r="C121" s="1"/>
      <c r="D121" s="1"/>
      <c r="E121" s="59">
        <f>SUM(B121:D121)</f>
        <v>0</v>
      </c>
      <c r="F121" s="1"/>
      <c r="G121" s="1"/>
      <c r="H121" s="1"/>
      <c r="I121" s="59">
        <f>SUM(F121:H121)</f>
        <v>0</v>
      </c>
      <c r="J121" s="1"/>
      <c r="K121" s="1"/>
      <c r="L121" s="1"/>
      <c r="M121" s="59">
        <f>SUM(J121:L121)</f>
        <v>0</v>
      </c>
      <c r="N121" s="1"/>
      <c r="O121" s="1"/>
      <c r="P121" s="1"/>
      <c r="Q121" s="59">
        <f>SUM(N121:P121)</f>
        <v>0</v>
      </c>
      <c r="R121" s="59">
        <f>+E121+I121+M121+Q121</f>
        <v>0</v>
      </c>
    </row>
    <row r="122" spans="1:20" ht="15.75" customHeight="1" x14ac:dyDescent="0.3">
      <c r="A122" s="22" t="s">
        <v>66</v>
      </c>
      <c r="B122" s="60"/>
      <c r="C122" s="60"/>
      <c r="D122" s="60"/>
      <c r="E122" s="59" t="s">
        <v>7</v>
      </c>
      <c r="F122" s="60"/>
      <c r="G122" s="60"/>
      <c r="H122" s="60"/>
      <c r="I122" s="59" t="s">
        <v>7</v>
      </c>
      <c r="J122" s="60"/>
      <c r="K122" s="60"/>
      <c r="L122" s="60"/>
      <c r="M122" s="59" t="s">
        <v>7</v>
      </c>
      <c r="N122" s="60"/>
      <c r="O122" s="60"/>
      <c r="P122" s="60"/>
      <c r="Q122" s="59" t="s">
        <v>7</v>
      </c>
      <c r="R122" s="59" t="s">
        <v>7</v>
      </c>
    </row>
    <row r="123" spans="1:20" ht="15.75" customHeight="1" x14ac:dyDescent="0.3">
      <c r="A123" s="61" t="s">
        <v>114</v>
      </c>
      <c r="B123" s="1"/>
      <c r="C123" s="1"/>
      <c r="D123" s="1"/>
      <c r="E123" s="59">
        <f>SUM(B123:D123)</f>
        <v>0</v>
      </c>
      <c r="F123" s="1"/>
      <c r="G123" s="1"/>
      <c r="H123" s="1"/>
      <c r="I123" s="59">
        <f>SUM(F123:H123)</f>
        <v>0</v>
      </c>
      <c r="J123" s="1"/>
      <c r="K123" s="1"/>
      <c r="L123" s="1"/>
      <c r="M123" s="59">
        <f>SUM(J123:L123)</f>
        <v>0</v>
      </c>
      <c r="N123" s="1"/>
      <c r="O123" s="1"/>
      <c r="P123" s="1"/>
      <c r="Q123" s="59">
        <f>SUM(N123:P123)</f>
        <v>0</v>
      </c>
      <c r="R123" s="59">
        <f>+E123+I123+M123+Q123</f>
        <v>0</v>
      </c>
      <c r="T123" s="4" t="s">
        <v>78</v>
      </c>
    </row>
    <row r="124" spans="1:20" ht="15.75" customHeight="1" x14ac:dyDescent="0.3">
      <c r="A124" s="22" t="s">
        <v>67</v>
      </c>
      <c r="B124" s="60"/>
      <c r="C124" s="60"/>
      <c r="D124" s="60"/>
      <c r="E124" s="59" t="s">
        <v>7</v>
      </c>
      <c r="F124" s="60"/>
      <c r="G124" s="60"/>
      <c r="H124" s="60"/>
      <c r="I124" s="59" t="s">
        <v>7</v>
      </c>
      <c r="J124" s="60"/>
      <c r="K124" s="60"/>
      <c r="L124" s="60"/>
      <c r="M124" s="59" t="s">
        <v>7</v>
      </c>
      <c r="N124" s="60"/>
      <c r="O124" s="60"/>
      <c r="P124" s="60"/>
      <c r="Q124" s="59" t="s">
        <v>7</v>
      </c>
      <c r="R124" s="59" t="s">
        <v>7</v>
      </c>
    </row>
    <row r="125" spans="1:20" ht="15.75" customHeight="1" x14ac:dyDescent="0.3">
      <c r="A125" s="61" t="s">
        <v>115</v>
      </c>
      <c r="B125" s="1"/>
      <c r="C125" s="1"/>
      <c r="D125" s="1"/>
      <c r="E125" s="59">
        <f t="shared" ref="E125:E130" si="21">SUM(B125:D125)</f>
        <v>0</v>
      </c>
      <c r="F125" s="1"/>
      <c r="G125" s="1"/>
      <c r="H125" s="1"/>
      <c r="I125" s="59">
        <f t="shared" ref="I125:I130" si="22">SUM(F125:H125)</f>
        <v>0</v>
      </c>
      <c r="J125" s="1"/>
      <c r="K125" s="1"/>
      <c r="L125" s="1"/>
      <c r="M125" s="59">
        <f t="shared" ref="M125:M130" si="23">SUM(J125:L125)</f>
        <v>0</v>
      </c>
      <c r="N125" s="1"/>
      <c r="O125" s="1"/>
      <c r="P125" s="1"/>
      <c r="Q125" s="59">
        <f t="shared" ref="Q125:Q130" si="24">SUM(N125:P125)</f>
        <v>0</v>
      </c>
      <c r="R125" s="59">
        <f t="shared" ref="R125:R130" si="25">+E125+I125+M125+Q125</f>
        <v>0</v>
      </c>
    </row>
    <row r="126" spans="1:20" ht="15.75" customHeight="1" thickBot="1" x14ac:dyDescent="0.35">
      <c r="A126" s="61" t="s">
        <v>116</v>
      </c>
      <c r="B126" s="1"/>
      <c r="C126" s="1"/>
      <c r="D126" s="1"/>
      <c r="E126" s="59">
        <f t="shared" si="21"/>
        <v>0</v>
      </c>
      <c r="F126" s="1"/>
      <c r="G126" s="1"/>
      <c r="H126" s="1"/>
      <c r="I126" s="59">
        <f t="shared" si="22"/>
        <v>0</v>
      </c>
      <c r="J126" s="1"/>
      <c r="K126" s="1"/>
      <c r="L126" s="1"/>
      <c r="M126" s="59">
        <f t="shared" si="23"/>
        <v>0</v>
      </c>
      <c r="N126" s="1"/>
      <c r="O126" s="1"/>
      <c r="P126" s="1"/>
      <c r="Q126" s="59">
        <f t="shared" si="24"/>
        <v>0</v>
      </c>
      <c r="R126" s="59">
        <f t="shared" si="25"/>
        <v>0</v>
      </c>
    </row>
    <row r="127" spans="1:20" ht="16.5" customHeight="1" thickBot="1" x14ac:dyDescent="0.35">
      <c r="A127" s="62" t="s">
        <v>68</v>
      </c>
      <c r="B127" s="63">
        <f>SUM(B122:B126)</f>
        <v>0</v>
      </c>
      <c r="C127" s="63">
        <f>SUM(C122:C126)</f>
        <v>0</v>
      </c>
      <c r="D127" s="63">
        <f>SUM(D122:D126)</f>
        <v>0</v>
      </c>
      <c r="E127" s="65">
        <f t="shared" si="21"/>
        <v>0</v>
      </c>
      <c r="F127" s="63">
        <f>SUM(F122:F126)</f>
        <v>0</v>
      </c>
      <c r="G127" s="63">
        <f>SUM(G122:G126)</f>
        <v>0</v>
      </c>
      <c r="H127" s="63">
        <f>SUM(H122:H126)</f>
        <v>0</v>
      </c>
      <c r="I127" s="65">
        <f t="shared" si="22"/>
        <v>0</v>
      </c>
      <c r="J127" s="63">
        <f>SUM(J122:J126)</f>
        <v>0</v>
      </c>
      <c r="K127" s="63">
        <f>SUM(K122:K126)</f>
        <v>0</v>
      </c>
      <c r="L127" s="63">
        <f>SUM(L122:L126)</f>
        <v>0</v>
      </c>
      <c r="M127" s="65">
        <f t="shared" si="23"/>
        <v>0</v>
      </c>
      <c r="N127" s="63">
        <f>SUM(N122:N126)</f>
        <v>0</v>
      </c>
      <c r="O127" s="63">
        <f>SUM(O122:O126)</f>
        <v>0</v>
      </c>
      <c r="P127" s="63">
        <f>SUM(P122:P126)</f>
        <v>0</v>
      </c>
      <c r="Q127" s="65">
        <f t="shared" si="24"/>
        <v>0</v>
      </c>
      <c r="R127" s="64">
        <f t="shared" si="25"/>
        <v>0</v>
      </c>
    </row>
    <row r="128" spans="1:20" ht="16.5" customHeight="1" thickBot="1" x14ac:dyDescent="0.35">
      <c r="A128" s="62" t="s">
        <v>69</v>
      </c>
      <c r="B128" s="63">
        <f>SUM(B109:B126)</f>
        <v>0</v>
      </c>
      <c r="C128" s="63">
        <f>SUM(C109:C126)</f>
        <v>0</v>
      </c>
      <c r="D128" s="63">
        <f>SUM(D109:D126)</f>
        <v>0</v>
      </c>
      <c r="E128" s="65">
        <f t="shared" si="21"/>
        <v>0</v>
      </c>
      <c r="F128" s="63">
        <f>SUM(F109:F126)</f>
        <v>0</v>
      </c>
      <c r="G128" s="63">
        <f>SUM(G109:G126)</f>
        <v>0</v>
      </c>
      <c r="H128" s="63">
        <f>SUM(H109:H126)</f>
        <v>0</v>
      </c>
      <c r="I128" s="65">
        <f t="shared" si="22"/>
        <v>0</v>
      </c>
      <c r="J128" s="63">
        <f>SUM(J109:J126)</f>
        <v>0</v>
      </c>
      <c r="K128" s="63">
        <f>SUM(K109:K126)</f>
        <v>0</v>
      </c>
      <c r="L128" s="63">
        <f>SUM(L109:L126)</f>
        <v>0</v>
      </c>
      <c r="M128" s="65">
        <f t="shared" si="23"/>
        <v>0</v>
      </c>
      <c r="N128" s="63">
        <f>SUM(N109:N126)</f>
        <v>0</v>
      </c>
      <c r="O128" s="63">
        <f>SUM(O109:O126)</f>
        <v>0</v>
      </c>
      <c r="P128" s="63">
        <f>SUM(P109:P126)</f>
        <v>0</v>
      </c>
      <c r="Q128" s="65">
        <f t="shared" si="24"/>
        <v>0</v>
      </c>
      <c r="R128" s="64">
        <f t="shared" si="25"/>
        <v>0</v>
      </c>
    </row>
    <row r="129" spans="1:20" ht="16.5" customHeight="1" thickBot="1" x14ac:dyDescent="0.35">
      <c r="A129" s="62" t="s">
        <v>70</v>
      </c>
      <c r="B129" s="63">
        <f>+B89+B96+B108+B128</f>
        <v>900</v>
      </c>
      <c r="C129" s="63">
        <f>+C89+C96+C108+C128</f>
        <v>1000</v>
      </c>
      <c r="D129" s="63">
        <f>+D89+D96+D108+D128</f>
        <v>3400</v>
      </c>
      <c r="E129" s="64">
        <f t="shared" si="21"/>
        <v>5300</v>
      </c>
      <c r="F129" s="63">
        <f>+F89+F96+F108+F128</f>
        <v>4800</v>
      </c>
      <c r="G129" s="63">
        <f>+G89+G96+G108+G128</f>
        <v>6112</v>
      </c>
      <c r="H129" s="63">
        <f>+H89+H96+H108+H128</f>
        <v>6362</v>
      </c>
      <c r="I129" s="64">
        <f t="shared" si="22"/>
        <v>17274</v>
      </c>
      <c r="J129" s="63">
        <f>+J89+J96+J108+J128</f>
        <v>6247</v>
      </c>
      <c r="K129" s="63">
        <f>+K89+K96+K108+K128</f>
        <v>5147</v>
      </c>
      <c r="L129" s="63">
        <f>+L89+L96+L108+L128</f>
        <v>3665</v>
      </c>
      <c r="M129" s="64">
        <f t="shared" si="23"/>
        <v>15059</v>
      </c>
      <c r="N129" s="63">
        <f>+N89+N96+N108+N128</f>
        <v>2265</v>
      </c>
      <c r="O129" s="63">
        <f>+O89+O96+O108+O128</f>
        <v>898</v>
      </c>
      <c r="P129" s="63">
        <f>+P89+P96+P108+P128</f>
        <v>800</v>
      </c>
      <c r="Q129" s="64">
        <f t="shared" si="24"/>
        <v>3963</v>
      </c>
      <c r="R129" s="64">
        <f t="shared" si="25"/>
        <v>41596</v>
      </c>
    </row>
    <row r="130" spans="1:20" ht="16.5" customHeight="1" thickBot="1" x14ac:dyDescent="0.35">
      <c r="A130" s="79" t="s">
        <v>37</v>
      </c>
      <c r="B130" s="25">
        <v>173</v>
      </c>
      <c r="C130" s="25">
        <v>260</v>
      </c>
      <c r="D130" s="25">
        <v>471</v>
      </c>
      <c r="E130" s="59">
        <f t="shared" si="21"/>
        <v>904</v>
      </c>
      <c r="F130" s="25">
        <v>629</v>
      </c>
      <c r="G130" s="25">
        <v>725</v>
      </c>
      <c r="H130" s="25">
        <v>712</v>
      </c>
      <c r="I130" s="59">
        <f t="shared" si="22"/>
        <v>2066</v>
      </c>
      <c r="J130" s="25">
        <v>711</v>
      </c>
      <c r="K130" s="25">
        <v>573</v>
      </c>
      <c r="L130" s="25">
        <v>542</v>
      </c>
      <c r="M130" s="59">
        <f t="shared" si="23"/>
        <v>1826</v>
      </c>
      <c r="N130" s="25">
        <v>490</v>
      </c>
      <c r="O130" s="25">
        <v>407</v>
      </c>
      <c r="P130" s="25">
        <v>323</v>
      </c>
      <c r="Q130" s="59">
        <f t="shared" si="24"/>
        <v>1220</v>
      </c>
      <c r="R130" s="59">
        <f t="shared" si="25"/>
        <v>6016</v>
      </c>
    </row>
    <row r="131" spans="1:20" ht="16.5" customHeight="1" thickBot="1" x14ac:dyDescent="0.35">
      <c r="A131" s="80"/>
      <c r="B131" s="81"/>
      <c r="C131" s="81"/>
      <c r="D131" s="81"/>
      <c r="E131" s="64" t="s">
        <v>7</v>
      </c>
      <c r="F131" s="81"/>
      <c r="G131" s="81"/>
      <c r="H131" s="81"/>
      <c r="I131" s="64" t="s">
        <v>7</v>
      </c>
      <c r="J131" s="81"/>
      <c r="K131" s="81"/>
      <c r="L131" s="81"/>
      <c r="M131" s="64" t="s">
        <v>7</v>
      </c>
      <c r="N131" s="81"/>
      <c r="O131" s="81"/>
      <c r="P131" s="81"/>
      <c r="Q131" s="64" t="s">
        <v>7</v>
      </c>
      <c r="R131" s="64" t="s">
        <v>7</v>
      </c>
    </row>
    <row r="132" spans="1:20" ht="15.75" customHeight="1" x14ac:dyDescent="0.3">
      <c r="A132" s="82" t="s">
        <v>38</v>
      </c>
      <c r="B132" s="83">
        <f>+B129+B130</f>
        <v>1073</v>
      </c>
      <c r="C132" s="83">
        <f>+C129+C130</f>
        <v>1260</v>
      </c>
      <c r="D132" s="83">
        <f>+D129+D130</f>
        <v>3871</v>
      </c>
      <c r="E132" s="59">
        <f>SUM(B132:D132)</f>
        <v>6204</v>
      </c>
      <c r="F132" s="83">
        <f>+F129+F130</f>
        <v>5429</v>
      </c>
      <c r="G132" s="83">
        <f>+G129+G130</f>
        <v>6837</v>
      </c>
      <c r="H132" s="83">
        <f>+H129+H130</f>
        <v>7074</v>
      </c>
      <c r="I132" s="59">
        <f>SUM(F132:H132)</f>
        <v>19340</v>
      </c>
      <c r="J132" s="83">
        <f>+J129+J130</f>
        <v>6958</v>
      </c>
      <c r="K132" s="83">
        <f>+K129+K130</f>
        <v>5720</v>
      </c>
      <c r="L132" s="83">
        <f>+L129+L130</f>
        <v>4207</v>
      </c>
      <c r="M132" s="59">
        <f>SUM(J132:L132)</f>
        <v>16885</v>
      </c>
      <c r="N132" s="83">
        <f>+N129+N130</f>
        <v>2755</v>
      </c>
      <c r="O132" s="83">
        <f>+O129+O130</f>
        <v>1305</v>
      </c>
      <c r="P132" s="83">
        <f>+P129+P130</f>
        <v>1123</v>
      </c>
      <c r="Q132" s="59">
        <f>SUM(N132:P132)</f>
        <v>5183</v>
      </c>
      <c r="R132" s="59">
        <f>+E132+I132+M132+Q132</f>
        <v>47612</v>
      </c>
    </row>
    <row r="133" spans="1:20" ht="15.75" customHeight="1" x14ac:dyDescent="0.3">
      <c r="A133" s="84" t="s">
        <v>39</v>
      </c>
      <c r="B133" s="1">
        <f>(B132/B10)/1.983</f>
        <v>17.45481756218177</v>
      </c>
      <c r="C133" s="1">
        <f>(C132/C10)/1.983</f>
        <v>21.910376128123534</v>
      </c>
      <c r="D133" s="1">
        <f>(D132/D10)/1.983</f>
        <v>62.970735119483351</v>
      </c>
      <c r="E133" s="59" t="s">
        <v>7</v>
      </c>
      <c r="F133" s="1">
        <f>(F132/F10)/1.983</f>
        <v>91.259035131954946</v>
      </c>
      <c r="G133" s="1">
        <f>(G132/G10)/1.983</f>
        <v>111.21955980674443</v>
      </c>
      <c r="H133" s="1">
        <f>(H132/H10)/1.983</f>
        <v>118.91074130105901</v>
      </c>
      <c r="I133" s="59" t="s">
        <v>7</v>
      </c>
      <c r="J133" s="1">
        <f>(J132/J10)/1.983</f>
        <v>113.18790363248905</v>
      </c>
      <c r="K133" s="1">
        <f>(K132/K10)/1.983</f>
        <v>93.048980853382787</v>
      </c>
      <c r="L133" s="1">
        <f>(L132/L10)/1.983</f>
        <v>70.71776769204908</v>
      </c>
      <c r="M133" s="59" t="s">
        <v>7</v>
      </c>
      <c r="N133" s="1">
        <f>(N132/N10)/1.983</f>
        <v>44.816423470466709</v>
      </c>
      <c r="O133" s="1">
        <f>(O132/O10)/1.983</f>
        <v>21.936459909228439</v>
      </c>
      <c r="P133" s="1">
        <f>(P132/P10)/1.983</f>
        <v>18.268182779431619</v>
      </c>
      <c r="Q133" s="59" t="s">
        <v>7</v>
      </c>
      <c r="R133" s="59" t="s">
        <v>7</v>
      </c>
    </row>
    <row r="134" spans="1:20" ht="15.75" customHeight="1" x14ac:dyDescent="0.3">
      <c r="A134" s="85" t="s">
        <v>117</v>
      </c>
      <c r="B134" s="1">
        <f>B132+B321</f>
        <v>73522</v>
      </c>
      <c r="C134" s="1">
        <f>C132+C321</f>
        <v>77421</v>
      </c>
      <c r="D134" s="1">
        <f>D132+D321</f>
        <v>162465</v>
      </c>
      <c r="E134" s="59">
        <f>SUM(B134:D134)</f>
        <v>313408</v>
      </c>
      <c r="F134" s="1">
        <f>F132+F321</f>
        <v>155286</v>
      </c>
      <c r="G134" s="1">
        <f>G132+G321</f>
        <v>160506</v>
      </c>
      <c r="H134" s="1">
        <f>H132+H321</f>
        <v>96248</v>
      </c>
      <c r="I134" s="59">
        <f>SUM(F134:H134)</f>
        <v>412040</v>
      </c>
      <c r="J134" s="1">
        <f>J132+J321</f>
        <v>51243</v>
      </c>
      <c r="K134" s="1">
        <f>K132+K321</f>
        <v>51057</v>
      </c>
      <c r="L134" s="1">
        <f>L132+L321</f>
        <v>130624</v>
      </c>
      <c r="M134" s="59">
        <f>SUM(J134:L134)</f>
        <v>232924</v>
      </c>
      <c r="N134" s="1">
        <f>N132+N321</f>
        <v>163463</v>
      </c>
      <c r="O134" s="1">
        <f>O132+O321</f>
        <v>158122</v>
      </c>
      <c r="P134" s="1">
        <f>P132+P321</f>
        <v>97929</v>
      </c>
      <c r="Q134" s="59">
        <f>SUM(N134:P134)</f>
        <v>419514</v>
      </c>
      <c r="R134" s="59">
        <f>+E134+I134+M134+Q134</f>
        <v>1377886</v>
      </c>
    </row>
    <row r="135" spans="1:20" ht="16.5" customHeight="1" thickBot="1" x14ac:dyDescent="0.35">
      <c r="A135" s="86" t="s">
        <v>118</v>
      </c>
      <c r="B135" s="87">
        <f>(B134/B10)/1.983</f>
        <v>1196.0047500528685</v>
      </c>
      <c r="C135" s="87">
        <f>(C134/C10)/1.983</f>
        <v>1346.2882779487716</v>
      </c>
      <c r="D135" s="87">
        <f>(D134/D10)/1.983</f>
        <v>2642.8676004099361</v>
      </c>
      <c r="E135" s="88" t="s">
        <v>7</v>
      </c>
      <c r="F135" s="87">
        <f>(F134/F10)/1.983</f>
        <v>2610.2874432677759</v>
      </c>
      <c r="G135" s="87">
        <f>(G134/G10)/1.983</f>
        <v>2610.9999511980868</v>
      </c>
      <c r="H135" s="87">
        <f>(H134/H10)/1.983</f>
        <v>1617.885358883846</v>
      </c>
      <c r="I135" s="88" t="s">
        <v>7</v>
      </c>
      <c r="J135" s="87">
        <f>(J134/J10)/1.983</f>
        <v>833.58547655068071</v>
      </c>
      <c r="K135" s="87">
        <f>(K134/K10)/1.983</f>
        <v>830.55975794251128</v>
      </c>
      <c r="L135" s="87">
        <f>(L134/L10)/1.983</f>
        <v>2195.7303748529162</v>
      </c>
      <c r="M135" s="88" t="s">
        <v>7</v>
      </c>
      <c r="N135" s="87">
        <f>(N134/N10)/1.983</f>
        <v>2659.1023701462427</v>
      </c>
      <c r="O135" s="87">
        <f>(O134/O10)/1.983</f>
        <v>2657.9593208942679</v>
      </c>
      <c r="P135" s="87">
        <f>(P134/P10)/1.983</f>
        <v>1593.0408472012102</v>
      </c>
      <c r="Q135" s="88" t="s">
        <v>7</v>
      </c>
      <c r="R135" s="88" t="s">
        <v>7</v>
      </c>
    </row>
    <row r="136" spans="1:20" ht="15.75" customHeight="1" x14ac:dyDescent="0.3">
      <c r="A136" s="30"/>
      <c r="B136" s="1"/>
      <c r="C136" s="1"/>
      <c r="D136" s="1"/>
      <c r="E136" s="1"/>
      <c r="F136" s="1"/>
      <c r="G136" s="1"/>
      <c r="H136" s="1"/>
      <c r="I136" s="1"/>
      <c r="J136" s="1"/>
      <c r="K136" s="1"/>
      <c r="L136" s="1"/>
      <c r="M136" s="1"/>
      <c r="N136" s="1"/>
      <c r="O136" s="1"/>
      <c r="P136" s="1"/>
      <c r="Q136" s="1"/>
      <c r="R136" s="28"/>
    </row>
    <row r="137" spans="1:20" ht="15.75" customHeight="1" thickBot="1" x14ac:dyDescent="0.35">
      <c r="A137" s="30" t="s">
        <v>7</v>
      </c>
      <c r="B137" s="1"/>
      <c r="C137" s="1"/>
      <c r="D137" s="1"/>
      <c r="E137" s="1"/>
      <c r="F137" s="1"/>
      <c r="G137" s="1"/>
      <c r="H137" s="1"/>
      <c r="I137" s="1"/>
      <c r="J137" s="1"/>
      <c r="K137" s="1"/>
      <c r="L137" s="1"/>
      <c r="M137" s="1"/>
      <c r="N137" s="1"/>
      <c r="O137" s="1"/>
      <c r="P137" s="1"/>
      <c r="Q137" s="1"/>
      <c r="R137" s="28"/>
    </row>
    <row r="138" spans="1:20" ht="16.5" customHeight="1" thickBot="1" x14ac:dyDescent="0.35">
      <c r="A138" s="31" t="s">
        <v>119</v>
      </c>
      <c r="B138" s="32" t="s">
        <v>36</v>
      </c>
      <c r="C138" s="33" t="s">
        <v>9</v>
      </c>
      <c r="D138" s="33" t="s">
        <v>10</v>
      </c>
      <c r="E138" s="12" t="s">
        <v>11</v>
      </c>
      <c r="F138" s="33" t="s">
        <v>12</v>
      </c>
      <c r="G138" s="33" t="s">
        <v>13</v>
      </c>
      <c r="H138" s="33" t="s">
        <v>14</v>
      </c>
      <c r="I138" s="34" t="s">
        <v>15</v>
      </c>
      <c r="J138" s="33" t="s">
        <v>16</v>
      </c>
      <c r="K138" s="33" t="s">
        <v>17</v>
      </c>
      <c r="L138" s="33" t="s">
        <v>18</v>
      </c>
      <c r="M138" s="34" t="s">
        <v>19</v>
      </c>
      <c r="N138" s="33" t="s">
        <v>20</v>
      </c>
      <c r="O138" s="33" t="s">
        <v>21</v>
      </c>
      <c r="P138" s="33" t="s">
        <v>22</v>
      </c>
      <c r="Q138" s="34" t="s">
        <v>23</v>
      </c>
      <c r="R138" s="35" t="s">
        <v>24</v>
      </c>
    </row>
    <row r="139" spans="1:20" ht="16.5" customHeight="1" thickBot="1" x14ac:dyDescent="0.35">
      <c r="A139" s="80"/>
      <c r="B139" s="81"/>
      <c r="C139" s="81"/>
      <c r="D139" s="81"/>
      <c r="E139" s="89"/>
      <c r="F139" s="81"/>
      <c r="G139" s="81"/>
      <c r="H139" s="81"/>
      <c r="I139" s="89"/>
      <c r="J139" s="81"/>
      <c r="K139" s="81"/>
      <c r="L139" s="81"/>
      <c r="M139" s="89"/>
      <c r="N139" s="81"/>
      <c r="O139" s="81"/>
      <c r="P139" s="81"/>
      <c r="Q139" s="89"/>
      <c r="R139" s="80"/>
    </row>
    <row r="140" spans="1:20" ht="15.75" customHeight="1" x14ac:dyDescent="0.3">
      <c r="A140" s="17" t="s">
        <v>45</v>
      </c>
      <c r="B140" s="1" t="s">
        <v>7</v>
      </c>
      <c r="C140" s="1" t="s">
        <v>7</v>
      </c>
      <c r="D140" s="1" t="s">
        <v>7</v>
      </c>
      <c r="E140" s="59" t="s">
        <v>7</v>
      </c>
      <c r="F140" s="1" t="s">
        <v>7</v>
      </c>
      <c r="G140" s="1" t="s">
        <v>7</v>
      </c>
      <c r="H140" s="1" t="s">
        <v>7</v>
      </c>
      <c r="I140" s="59" t="s">
        <v>7</v>
      </c>
      <c r="J140" s="1" t="s">
        <v>7</v>
      </c>
      <c r="K140" s="1" t="s">
        <v>7</v>
      </c>
      <c r="L140" s="1" t="s">
        <v>7</v>
      </c>
      <c r="M140" s="59" t="s">
        <v>7</v>
      </c>
      <c r="N140" s="1" t="s">
        <v>7</v>
      </c>
      <c r="O140" s="1" t="s">
        <v>7</v>
      </c>
      <c r="P140" s="1" t="s">
        <v>7</v>
      </c>
      <c r="Q140" s="59" t="s">
        <v>7</v>
      </c>
      <c r="R140" s="90" t="s">
        <v>7</v>
      </c>
    </row>
    <row r="141" spans="1:20" ht="15.75" customHeight="1" x14ac:dyDescent="0.3">
      <c r="A141" s="17" t="s">
        <v>46</v>
      </c>
      <c r="B141" s="1"/>
      <c r="C141" s="1"/>
      <c r="D141" s="1"/>
      <c r="E141" s="59" t="s">
        <v>7</v>
      </c>
      <c r="F141" s="1"/>
      <c r="G141" s="1"/>
      <c r="H141" s="1"/>
      <c r="I141" s="59" t="s">
        <v>7</v>
      </c>
      <c r="J141" s="1"/>
      <c r="K141" s="1"/>
      <c r="L141" s="1"/>
      <c r="M141" s="59" t="s">
        <v>7</v>
      </c>
      <c r="N141" s="1"/>
      <c r="O141" s="1"/>
      <c r="P141" s="1"/>
      <c r="Q141" s="59" t="s">
        <v>7</v>
      </c>
      <c r="R141" s="90"/>
    </row>
    <row r="142" spans="1:20" ht="15.75" customHeight="1" x14ac:dyDescent="0.3">
      <c r="A142" s="91" t="s">
        <v>120</v>
      </c>
      <c r="B142" s="1"/>
      <c r="C142" s="1"/>
      <c r="D142" s="1">
        <v>599</v>
      </c>
      <c r="E142" s="59">
        <f t="shared" ref="E142:E146" si="26">SUM(B142:D142)</f>
        <v>599</v>
      </c>
      <c r="F142" s="1">
        <v>599</v>
      </c>
      <c r="G142" s="1">
        <v>599</v>
      </c>
      <c r="H142" s="1">
        <v>598</v>
      </c>
      <c r="I142" s="59">
        <f t="shared" ref="I142:I146" si="27">SUM(F142:H142)</f>
        <v>1796</v>
      </c>
      <c r="J142" s="1">
        <v>598</v>
      </c>
      <c r="K142" s="1">
        <v>598</v>
      </c>
      <c r="L142" s="1">
        <v>598</v>
      </c>
      <c r="M142" s="59">
        <f t="shared" ref="M142:M146" si="28">SUM(J142:L142)</f>
        <v>1794</v>
      </c>
      <c r="N142" s="1"/>
      <c r="O142" s="1"/>
      <c r="P142" s="1"/>
      <c r="Q142" s="59">
        <f t="shared" ref="Q142:Q149" si="29">SUM(N142:P142)</f>
        <v>0</v>
      </c>
      <c r="R142" s="59">
        <f>+E142+I142+M142+Q142</f>
        <v>4189</v>
      </c>
      <c r="T142" s="4" t="s">
        <v>121</v>
      </c>
    </row>
    <row r="143" spans="1:20" ht="15.75" customHeight="1" x14ac:dyDescent="0.3">
      <c r="A143" s="91" t="s">
        <v>122</v>
      </c>
      <c r="B143" s="1"/>
      <c r="C143" s="1">
        <f>150</f>
        <v>150</v>
      </c>
      <c r="D143" s="1">
        <f>600</f>
        <v>600</v>
      </c>
      <c r="E143" s="59">
        <f t="shared" si="26"/>
        <v>750</v>
      </c>
      <c r="F143" s="1">
        <f>1400</f>
        <v>1400</v>
      </c>
      <c r="G143" s="1">
        <f>1600</f>
        <v>1600</v>
      </c>
      <c r="H143" s="1">
        <f>1650</f>
        <v>1650</v>
      </c>
      <c r="I143" s="59">
        <f t="shared" si="27"/>
        <v>4650</v>
      </c>
      <c r="J143" s="1">
        <f>1600</f>
        <v>1600</v>
      </c>
      <c r="K143" s="1">
        <f>1500</f>
        <v>1500</v>
      </c>
      <c r="L143" s="1">
        <f>1400</f>
        <v>1400</v>
      </c>
      <c r="M143" s="59">
        <f>SUM(J143:L143)</f>
        <v>4500</v>
      </c>
      <c r="N143" s="1">
        <f>1193</f>
        <v>1193</v>
      </c>
      <c r="O143" s="1"/>
      <c r="P143" s="1"/>
      <c r="Q143" s="59">
        <f t="shared" si="29"/>
        <v>1193</v>
      </c>
      <c r="R143" s="59">
        <f t="shared" ref="R143:R194" si="30">+E143+I143+M143+Q143</f>
        <v>11093</v>
      </c>
      <c r="S143" s="50"/>
      <c r="T143" s="4" t="s">
        <v>121</v>
      </c>
    </row>
    <row r="144" spans="1:20" ht="15.75" customHeight="1" x14ac:dyDescent="0.3">
      <c r="A144" s="91" t="s">
        <v>123</v>
      </c>
      <c r="B144" s="1"/>
      <c r="C144" s="1"/>
      <c r="D144" s="1">
        <v>339</v>
      </c>
      <c r="E144" s="59">
        <f t="shared" si="26"/>
        <v>339</v>
      </c>
      <c r="F144" s="1">
        <v>339</v>
      </c>
      <c r="G144" s="1">
        <v>339</v>
      </c>
      <c r="H144" s="1">
        <v>339</v>
      </c>
      <c r="I144" s="59">
        <f t="shared" si="27"/>
        <v>1017</v>
      </c>
      <c r="J144" s="1">
        <v>339</v>
      </c>
      <c r="K144" s="1">
        <v>339</v>
      </c>
      <c r="L144" s="1">
        <v>338</v>
      </c>
      <c r="M144" s="59">
        <f t="shared" si="28"/>
        <v>1016</v>
      </c>
      <c r="N144" s="1"/>
      <c r="O144" s="1"/>
      <c r="P144" s="1"/>
      <c r="Q144" s="59">
        <f t="shared" si="29"/>
        <v>0</v>
      </c>
      <c r="R144" s="59">
        <f t="shared" si="30"/>
        <v>2372</v>
      </c>
      <c r="T144" s="4" t="s">
        <v>121</v>
      </c>
    </row>
    <row r="145" spans="1:20" ht="15.75" customHeight="1" x14ac:dyDescent="0.3">
      <c r="A145" s="91" t="s">
        <v>124</v>
      </c>
      <c r="B145" s="1"/>
      <c r="C145" s="1"/>
      <c r="D145" s="1">
        <v>286</v>
      </c>
      <c r="E145" s="59">
        <f t="shared" si="26"/>
        <v>286</v>
      </c>
      <c r="F145" s="1">
        <v>287</v>
      </c>
      <c r="G145" s="1">
        <v>287</v>
      </c>
      <c r="H145" s="1">
        <v>287</v>
      </c>
      <c r="I145" s="59">
        <f t="shared" si="27"/>
        <v>861</v>
      </c>
      <c r="J145" s="1">
        <v>287</v>
      </c>
      <c r="K145" s="1">
        <v>286</v>
      </c>
      <c r="L145" s="1">
        <v>283</v>
      </c>
      <c r="M145" s="59">
        <f t="shared" si="28"/>
        <v>856</v>
      </c>
      <c r="N145" s="1"/>
      <c r="O145" s="1"/>
      <c r="P145" s="1"/>
      <c r="Q145" s="59">
        <f t="shared" si="29"/>
        <v>0</v>
      </c>
      <c r="R145" s="59">
        <f t="shared" si="30"/>
        <v>2003</v>
      </c>
      <c r="T145" s="4" t="s">
        <v>121</v>
      </c>
    </row>
    <row r="146" spans="1:20" ht="15.75" customHeight="1" x14ac:dyDescent="0.3">
      <c r="A146" s="91" t="s">
        <v>125</v>
      </c>
      <c r="B146" s="1"/>
      <c r="C146" s="1"/>
      <c r="D146" s="1"/>
      <c r="E146" s="59">
        <f t="shared" si="26"/>
        <v>0</v>
      </c>
      <c r="F146" s="1"/>
      <c r="G146" s="1"/>
      <c r="H146" s="1">
        <v>172</v>
      </c>
      <c r="I146" s="59">
        <f t="shared" si="27"/>
        <v>172</v>
      </c>
      <c r="J146" s="1"/>
      <c r="K146" s="1"/>
      <c r="L146" s="1"/>
      <c r="M146" s="59">
        <f t="shared" si="28"/>
        <v>0</v>
      </c>
      <c r="N146" s="1"/>
      <c r="O146" s="1"/>
      <c r="P146" s="1"/>
      <c r="Q146" s="59">
        <f t="shared" ref="Q146" si="31">SUM(N146:P146)</f>
        <v>0</v>
      </c>
      <c r="R146" s="59">
        <f t="shared" si="30"/>
        <v>172</v>
      </c>
    </row>
    <row r="147" spans="1:20" ht="15.75" customHeight="1" x14ac:dyDescent="0.3">
      <c r="A147" s="74" t="s">
        <v>126</v>
      </c>
      <c r="B147" s="1">
        <v>100</v>
      </c>
      <c r="C147" s="1">
        <v>110</v>
      </c>
      <c r="D147" s="1">
        <v>110</v>
      </c>
      <c r="E147" s="59">
        <f t="shared" ref="E147:E148" si="32">SUM(B147:D147)</f>
        <v>320</v>
      </c>
      <c r="F147" s="1">
        <v>110</v>
      </c>
      <c r="G147" s="1">
        <v>110</v>
      </c>
      <c r="H147" s="1">
        <v>110</v>
      </c>
      <c r="I147" s="59">
        <f t="shared" ref="I147:I191" si="33">SUM(F147:H147)</f>
        <v>330</v>
      </c>
      <c r="J147" s="1">
        <v>110</v>
      </c>
      <c r="K147" s="1">
        <v>110</v>
      </c>
      <c r="L147" s="1">
        <v>110</v>
      </c>
      <c r="M147" s="59">
        <f t="shared" ref="M147:M191" si="34">SUM(J147:L147)</f>
        <v>330</v>
      </c>
      <c r="N147" s="1">
        <v>110</v>
      </c>
      <c r="O147" s="1">
        <v>110</v>
      </c>
      <c r="P147" s="1">
        <v>100</v>
      </c>
      <c r="Q147" s="59">
        <f t="shared" si="29"/>
        <v>320</v>
      </c>
      <c r="R147" s="59">
        <f t="shared" si="30"/>
        <v>1300</v>
      </c>
      <c r="T147" s="4" t="s">
        <v>127</v>
      </c>
    </row>
    <row r="148" spans="1:20" ht="15.75" customHeight="1" x14ac:dyDescent="0.3">
      <c r="A148" s="74" t="s">
        <v>128</v>
      </c>
      <c r="B148" s="1"/>
      <c r="C148" s="1"/>
      <c r="D148" s="1"/>
      <c r="E148" s="59">
        <f t="shared" si="32"/>
        <v>0</v>
      </c>
      <c r="F148" s="1"/>
      <c r="G148" s="1"/>
      <c r="H148" s="1"/>
      <c r="I148" s="59">
        <f t="shared" si="33"/>
        <v>0</v>
      </c>
      <c r="J148" s="1"/>
      <c r="K148" s="1"/>
      <c r="L148" s="1"/>
      <c r="M148" s="59">
        <f t="shared" si="34"/>
        <v>0</v>
      </c>
      <c r="N148" s="1"/>
      <c r="O148" s="1"/>
      <c r="P148" s="1"/>
      <c r="Q148" s="59">
        <f t="shared" ref="Q148" si="35">SUM(N148:P148)</f>
        <v>0</v>
      </c>
      <c r="R148" s="59">
        <f t="shared" si="30"/>
        <v>0</v>
      </c>
    </row>
    <row r="149" spans="1:20" ht="15.75" customHeight="1" x14ac:dyDescent="0.3">
      <c r="A149" s="91" t="s">
        <v>129</v>
      </c>
      <c r="C149" s="1">
        <v>10</v>
      </c>
      <c r="D149" s="1">
        <v>20</v>
      </c>
      <c r="E149" s="59">
        <f>SUM(C149:D149)</f>
        <v>30</v>
      </c>
      <c r="F149" s="1">
        <v>20</v>
      </c>
      <c r="G149" s="1">
        <v>20</v>
      </c>
      <c r="H149" s="1">
        <f>718+30</f>
        <v>748</v>
      </c>
      <c r="I149" s="59">
        <f t="shared" si="33"/>
        <v>788</v>
      </c>
      <c r="J149" s="1">
        <v>30</v>
      </c>
      <c r="K149" s="1">
        <v>40</v>
      </c>
      <c r="L149" s="1">
        <v>20</v>
      </c>
      <c r="M149" s="59">
        <f t="shared" si="34"/>
        <v>90</v>
      </c>
      <c r="N149" s="1">
        <v>20</v>
      </c>
      <c r="O149" s="1">
        <v>20</v>
      </c>
      <c r="P149" s="1">
        <v>20</v>
      </c>
      <c r="Q149" s="59">
        <f t="shared" si="29"/>
        <v>60</v>
      </c>
      <c r="R149" s="59">
        <f t="shared" si="30"/>
        <v>968</v>
      </c>
      <c r="T149" s="4" t="s">
        <v>121</v>
      </c>
    </row>
    <row r="150" spans="1:20" ht="15.75" customHeight="1" x14ac:dyDescent="0.3">
      <c r="A150" s="74" t="s">
        <v>130</v>
      </c>
      <c r="C150" s="1"/>
      <c r="D150" s="1"/>
      <c r="E150" s="59">
        <f>SUM(C150:D150)</f>
        <v>0</v>
      </c>
      <c r="F150" s="1"/>
      <c r="G150" s="1">
        <v>3684</v>
      </c>
      <c r="H150" s="1">
        <v>3566</v>
      </c>
      <c r="I150" s="59">
        <f t="shared" si="33"/>
        <v>7250</v>
      </c>
      <c r="J150" s="1">
        <v>3684</v>
      </c>
      <c r="K150" s="1">
        <v>3566</v>
      </c>
      <c r="L150" s="1"/>
      <c r="M150" s="59">
        <f t="shared" si="34"/>
        <v>7250</v>
      </c>
      <c r="N150" s="1"/>
      <c r="O150" s="1"/>
      <c r="P150" s="1"/>
      <c r="Q150" s="59">
        <f t="shared" ref="Q150:Q197" si="36">SUM(N150:P150)</f>
        <v>0</v>
      </c>
      <c r="R150" s="59">
        <f t="shared" si="30"/>
        <v>14500</v>
      </c>
    </row>
    <row r="151" spans="1:20" ht="15.75" customHeight="1" x14ac:dyDescent="0.3">
      <c r="A151" s="91" t="s">
        <v>131</v>
      </c>
      <c r="B151" s="1"/>
      <c r="C151" s="1"/>
      <c r="D151" s="1"/>
      <c r="E151" s="59">
        <f t="shared" ref="E151:E190" si="37">SUM(B151:D151)</f>
        <v>0</v>
      </c>
      <c r="F151" s="1"/>
      <c r="G151" s="1"/>
      <c r="H151" s="1"/>
      <c r="I151" s="59">
        <f t="shared" si="33"/>
        <v>0</v>
      </c>
      <c r="J151" s="1"/>
      <c r="K151" s="1"/>
      <c r="L151" s="1"/>
      <c r="M151" s="59">
        <f t="shared" si="34"/>
        <v>0</v>
      </c>
      <c r="N151" s="1"/>
      <c r="O151" s="1"/>
      <c r="P151" s="1"/>
      <c r="Q151" s="59">
        <f t="shared" si="36"/>
        <v>0</v>
      </c>
      <c r="R151" s="59">
        <f t="shared" si="30"/>
        <v>0</v>
      </c>
      <c r="T151" s="4" t="s">
        <v>132</v>
      </c>
    </row>
    <row r="152" spans="1:20" ht="15.75" customHeight="1" x14ac:dyDescent="0.3">
      <c r="A152" s="91" t="s">
        <v>133</v>
      </c>
      <c r="B152" s="1">
        <v>588</v>
      </c>
      <c r="C152" s="1">
        <v>588</v>
      </c>
      <c r="D152" s="1">
        <v>588</v>
      </c>
      <c r="E152" s="59">
        <f t="shared" si="37"/>
        <v>1764</v>
      </c>
      <c r="F152" s="1">
        <v>588</v>
      </c>
      <c r="G152" s="1">
        <v>588</v>
      </c>
      <c r="H152" s="1">
        <v>176</v>
      </c>
      <c r="I152" s="59">
        <f t="shared" si="33"/>
        <v>1352</v>
      </c>
      <c r="J152" s="1">
        <v>1000</v>
      </c>
      <c r="K152" s="1"/>
      <c r="L152" s="1"/>
      <c r="M152" s="59">
        <f t="shared" si="34"/>
        <v>1000</v>
      </c>
      <c r="N152" s="1"/>
      <c r="O152" s="1"/>
      <c r="P152" s="1"/>
      <c r="Q152" s="59">
        <f t="shared" si="36"/>
        <v>0</v>
      </c>
      <c r="R152" s="59">
        <f t="shared" si="30"/>
        <v>4116</v>
      </c>
      <c r="T152" s="4" t="s">
        <v>134</v>
      </c>
    </row>
    <row r="153" spans="1:20" ht="15.75" customHeight="1" x14ac:dyDescent="0.3">
      <c r="A153" s="74" t="s">
        <v>135</v>
      </c>
      <c r="B153" s="1"/>
      <c r="C153" s="1"/>
      <c r="D153" s="1"/>
      <c r="E153" s="59">
        <f t="shared" si="37"/>
        <v>0</v>
      </c>
      <c r="F153" s="1"/>
      <c r="G153" s="1">
        <v>1300</v>
      </c>
      <c r="H153" s="1"/>
      <c r="I153" s="59">
        <f t="shared" si="33"/>
        <v>1300</v>
      </c>
      <c r="J153" s="1"/>
      <c r="K153" s="1"/>
      <c r="L153" s="1"/>
      <c r="M153" s="59">
        <f t="shared" si="34"/>
        <v>0</v>
      </c>
      <c r="N153" s="1"/>
      <c r="O153" s="1"/>
      <c r="P153" s="1"/>
      <c r="Q153" s="59">
        <f t="shared" si="36"/>
        <v>0</v>
      </c>
      <c r="R153" s="59">
        <f t="shared" si="30"/>
        <v>1300</v>
      </c>
      <c r="S153" s="4" t="s">
        <v>136</v>
      </c>
      <c r="T153" s="4" t="s">
        <v>137</v>
      </c>
    </row>
    <row r="154" spans="1:20" ht="15.75" customHeight="1" x14ac:dyDescent="0.3">
      <c r="A154" s="76" t="s">
        <v>138</v>
      </c>
      <c r="B154" s="1">
        <v>18</v>
      </c>
      <c r="C154" s="1">
        <v>18</v>
      </c>
      <c r="D154" s="1">
        <v>24</v>
      </c>
      <c r="E154" s="59">
        <f>SUM(B154:D154)</f>
        <v>60</v>
      </c>
      <c r="F154" s="1">
        <v>52</v>
      </c>
      <c r="G154" s="1">
        <v>93</v>
      </c>
      <c r="H154" s="1">
        <v>60</v>
      </c>
      <c r="I154" s="59">
        <f>SUM(F154:H154)</f>
        <v>205</v>
      </c>
      <c r="K154" s="1"/>
      <c r="L154" s="1"/>
      <c r="M154" s="59">
        <f>SUM(J154:L154)</f>
        <v>0</v>
      </c>
      <c r="N154" s="1"/>
      <c r="O154" s="1"/>
      <c r="P154" s="1"/>
      <c r="Q154" s="59">
        <f>SUM(N154:P154)</f>
        <v>0</v>
      </c>
      <c r="R154" s="59">
        <f>+E154+I154+M154+Q154</f>
        <v>265</v>
      </c>
      <c r="S154" s="94"/>
    </row>
    <row r="155" spans="1:20" ht="15.75" customHeight="1" x14ac:dyDescent="0.3">
      <c r="A155" s="91" t="s">
        <v>139</v>
      </c>
      <c r="B155" s="1"/>
      <c r="C155" s="1"/>
      <c r="D155" s="1"/>
      <c r="E155" s="59">
        <f t="shared" si="37"/>
        <v>0</v>
      </c>
      <c r="F155" s="1"/>
      <c r="G155" s="1"/>
      <c r="H155" s="1"/>
      <c r="I155" s="59">
        <f t="shared" si="33"/>
        <v>0</v>
      </c>
      <c r="J155" s="1"/>
      <c r="K155" s="1"/>
      <c r="L155" s="1"/>
      <c r="M155" s="59">
        <f t="shared" si="34"/>
        <v>0</v>
      </c>
      <c r="N155" s="1">
        <v>893</v>
      </c>
      <c r="O155" s="1"/>
      <c r="P155" s="1"/>
      <c r="Q155" s="59">
        <f t="shared" si="36"/>
        <v>893</v>
      </c>
      <c r="R155" s="59">
        <f t="shared" si="30"/>
        <v>893</v>
      </c>
      <c r="S155" s="75" t="s">
        <v>80</v>
      </c>
      <c r="T155" s="4" t="s">
        <v>132</v>
      </c>
    </row>
    <row r="156" spans="1:20" ht="15.75" customHeight="1" x14ac:dyDescent="0.3">
      <c r="A156" s="91" t="s">
        <v>140</v>
      </c>
      <c r="B156" s="1"/>
      <c r="C156" s="1"/>
      <c r="E156" s="59">
        <f t="shared" si="37"/>
        <v>0</v>
      </c>
      <c r="F156" s="1"/>
      <c r="G156" s="1"/>
      <c r="H156" s="1"/>
      <c r="I156" s="59">
        <f t="shared" si="33"/>
        <v>0</v>
      </c>
      <c r="J156" s="1"/>
      <c r="K156" s="1"/>
      <c r="L156" s="1"/>
      <c r="M156" s="59">
        <f t="shared" si="34"/>
        <v>0</v>
      </c>
      <c r="N156" s="1">
        <v>157</v>
      </c>
      <c r="O156" s="1"/>
      <c r="P156" s="1"/>
      <c r="Q156" s="59">
        <f t="shared" si="36"/>
        <v>157</v>
      </c>
      <c r="R156" s="59">
        <f t="shared" si="30"/>
        <v>157</v>
      </c>
      <c r="S156" s="75" t="s">
        <v>80</v>
      </c>
      <c r="T156" s="4" t="s">
        <v>134</v>
      </c>
    </row>
    <row r="157" spans="1:20" ht="15.75" customHeight="1" x14ac:dyDescent="0.3">
      <c r="A157" s="91" t="s">
        <v>141</v>
      </c>
      <c r="B157" s="1"/>
      <c r="C157" s="1"/>
      <c r="D157" s="1"/>
      <c r="E157" s="59">
        <f t="shared" si="37"/>
        <v>0</v>
      </c>
      <c r="F157" s="1"/>
      <c r="G157" s="1"/>
      <c r="H157" s="1"/>
      <c r="I157" s="59">
        <f t="shared" si="33"/>
        <v>0</v>
      </c>
      <c r="J157" s="1"/>
      <c r="K157" s="1"/>
      <c r="L157" s="1"/>
      <c r="M157" s="59">
        <f t="shared" si="34"/>
        <v>0</v>
      </c>
      <c r="N157" s="1"/>
      <c r="O157" s="1"/>
      <c r="P157" s="1"/>
      <c r="Q157" s="59">
        <f t="shared" si="36"/>
        <v>0</v>
      </c>
      <c r="R157" s="59">
        <f t="shared" si="30"/>
        <v>0</v>
      </c>
      <c r="S157" s="75" t="s">
        <v>80</v>
      </c>
      <c r="T157" s="4" t="s">
        <v>121</v>
      </c>
    </row>
    <row r="158" spans="1:20" ht="15.75" customHeight="1" x14ac:dyDescent="0.3">
      <c r="A158" s="74" t="s">
        <v>142</v>
      </c>
      <c r="B158" s="1">
        <v>45</v>
      </c>
      <c r="C158" s="1">
        <v>45</v>
      </c>
      <c r="D158" s="1">
        <v>54</v>
      </c>
      <c r="E158" s="59">
        <f t="shared" si="37"/>
        <v>144</v>
      </c>
      <c r="F158" s="1">
        <f>6+49</f>
        <v>55</v>
      </c>
      <c r="G158" s="1">
        <f>6+49</f>
        <v>55</v>
      </c>
      <c r="H158" s="1">
        <f>6+57</f>
        <v>63</v>
      </c>
      <c r="I158" s="59">
        <f t="shared" si="33"/>
        <v>173</v>
      </c>
      <c r="J158" s="1">
        <f>6+73</f>
        <v>79</v>
      </c>
      <c r="K158" s="1">
        <f>6+73</f>
        <v>79</v>
      </c>
      <c r="L158" s="1">
        <f>6+65</f>
        <v>71</v>
      </c>
      <c r="M158" s="59">
        <f t="shared" si="34"/>
        <v>229</v>
      </c>
      <c r="N158" s="1">
        <f>6+65</f>
        <v>71</v>
      </c>
      <c r="O158" s="1">
        <f>6+65</f>
        <v>71</v>
      </c>
      <c r="P158" s="1">
        <f>6+56</f>
        <v>62</v>
      </c>
      <c r="Q158" s="59">
        <f t="shared" si="36"/>
        <v>204</v>
      </c>
      <c r="R158" s="59">
        <f t="shared" si="30"/>
        <v>750</v>
      </c>
      <c r="T158" s="4" t="s">
        <v>143</v>
      </c>
    </row>
    <row r="159" spans="1:20" ht="15.75" customHeight="1" x14ac:dyDescent="0.3">
      <c r="A159" s="74" t="s">
        <v>144</v>
      </c>
      <c r="B159" s="1">
        <v>130</v>
      </c>
      <c r="C159" s="1">
        <v>100</v>
      </c>
      <c r="D159" s="1">
        <v>145</v>
      </c>
      <c r="E159" s="59">
        <f t="shared" si="37"/>
        <v>375</v>
      </c>
      <c r="F159" s="1">
        <v>175</v>
      </c>
      <c r="G159" s="1">
        <v>200</v>
      </c>
      <c r="H159" s="1">
        <v>250</v>
      </c>
      <c r="I159" s="59">
        <f t="shared" si="33"/>
        <v>625</v>
      </c>
      <c r="J159" s="1">
        <v>250</v>
      </c>
      <c r="K159" s="1">
        <v>250</v>
      </c>
      <c r="L159" s="1">
        <v>200</v>
      </c>
      <c r="M159" s="59">
        <f t="shared" si="34"/>
        <v>700</v>
      </c>
      <c r="N159" s="1">
        <v>190</v>
      </c>
      <c r="O159" s="1">
        <v>160</v>
      </c>
      <c r="P159" s="1">
        <v>170</v>
      </c>
      <c r="Q159" s="59">
        <f t="shared" si="36"/>
        <v>520</v>
      </c>
      <c r="R159" s="59">
        <f t="shared" si="30"/>
        <v>2220</v>
      </c>
      <c r="T159" s="4" t="s">
        <v>145</v>
      </c>
    </row>
    <row r="160" spans="1:20" ht="15.75" customHeight="1" x14ac:dyDescent="0.3">
      <c r="A160" s="91" t="s">
        <v>146</v>
      </c>
      <c r="B160" s="1"/>
      <c r="C160" s="1">
        <v>400</v>
      </c>
      <c r="D160" s="1"/>
      <c r="E160" s="59">
        <f t="shared" si="37"/>
        <v>400</v>
      </c>
      <c r="F160" s="1">
        <v>400</v>
      </c>
      <c r="G160" s="1"/>
      <c r="H160" s="1"/>
      <c r="I160" s="59">
        <f t="shared" si="33"/>
        <v>400</v>
      </c>
      <c r="J160" s="1"/>
      <c r="K160" s="1"/>
      <c r="L160" s="1"/>
      <c r="M160" s="59">
        <f t="shared" si="34"/>
        <v>0</v>
      </c>
      <c r="N160" s="1"/>
      <c r="O160" s="1"/>
      <c r="P160" s="1"/>
      <c r="Q160" s="59">
        <f t="shared" ref="Q160" si="38">SUM(N160:P160)</f>
        <v>0</v>
      </c>
      <c r="R160" s="59">
        <f t="shared" si="30"/>
        <v>800</v>
      </c>
    </row>
    <row r="161" spans="1:20" ht="15.75" customHeight="1" x14ac:dyDescent="0.3">
      <c r="A161" s="74" t="s">
        <v>147</v>
      </c>
      <c r="B161" s="1"/>
      <c r="C161" s="1"/>
      <c r="D161" s="1">
        <v>200</v>
      </c>
      <c r="E161" s="59">
        <f t="shared" si="37"/>
        <v>200</v>
      </c>
      <c r="F161" s="1">
        <v>800</v>
      </c>
      <c r="G161" s="1">
        <f>124</f>
        <v>124</v>
      </c>
      <c r="H161" s="1"/>
      <c r="I161" s="59">
        <f t="shared" si="33"/>
        <v>924</v>
      </c>
      <c r="J161" s="1"/>
      <c r="K161" s="1">
        <f>526+600</f>
        <v>1126</v>
      </c>
      <c r="L161" s="1">
        <v>600</v>
      </c>
      <c r="M161" s="59">
        <f t="shared" si="34"/>
        <v>1726</v>
      </c>
      <c r="N161" s="1">
        <v>600</v>
      </c>
      <c r="O161" s="1">
        <v>800</v>
      </c>
      <c r="P161" s="1"/>
      <c r="Q161" s="59">
        <f t="shared" si="36"/>
        <v>1400</v>
      </c>
      <c r="R161" s="59">
        <f t="shared" si="30"/>
        <v>4250</v>
      </c>
      <c r="S161" s="4" t="s">
        <v>136</v>
      </c>
    </row>
    <row r="162" spans="1:20" ht="15.75" customHeight="1" x14ac:dyDescent="0.3">
      <c r="A162" s="91" t="s">
        <v>148</v>
      </c>
      <c r="B162" s="1"/>
      <c r="C162" s="1">
        <v>300</v>
      </c>
      <c r="D162" s="1">
        <v>300</v>
      </c>
      <c r="E162" s="59">
        <f>SUM(B162:D162)</f>
        <v>600</v>
      </c>
      <c r="F162" s="1">
        <v>300</v>
      </c>
      <c r="G162" s="1">
        <v>375</v>
      </c>
      <c r="H162" s="1">
        <v>450</v>
      </c>
      <c r="I162" s="59">
        <f t="shared" si="33"/>
        <v>1125</v>
      </c>
      <c r="J162" s="1">
        <v>450</v>
      </c>
      <c r="K162" s="1">
        <v>450</v>
      </c>
      <c r="L162" s="1">
        <v>375</v>
      </c>
      <c r="M162" s="59">
        <f t="shared" si="34"/>
        <v>1275</v>
      </c>
      <c r="N162" s="1">
        <v>300</v>
      </c>
      <c r="O162" s="1">
        <v>300</v>
      </c>
      <c r="P162" s="1"/>
      <c r="Q162" s="59">
        <f t="shared" si="36"/>
        <v>600</v>
      </c>
      <c r="R162" s="59">
        <f t="shared" si="30"/>
        <v>3600</v>
      </c>
      <c r="T162" s="4" t="s">
        <v>121</v>
      </c>
    </row>
    <row r="163" spans="1:20" ht="15.75" customHeight="1" x14ac:dyDescent="0.3">
      <c r="A163" s="74" t="s">
        <v>149</v>
      </c>
      <c r="B163" s="1">
        <v>498</v>
      </c>
      <c r="C163" s="1">
        <v>427</v>
      </c>
      <c r="D163" s="1">
        <v>512</v>
      </c>
      <c r="E163" s="59">
        <f t="shared" si="37"/>
        <v>1437</v>
      </c>
      <c r="F163" s="1">
        <v>517</v>
      </c>
      <c r="G163" s="1">
        <v>573</v>
      </c>
      <c r="H163" s="1">
        <v>545</v>
      </c>
      <c r="I163" s="59">
        <f t="shared" si="33"/>
        <v>1635</v>
      </c>
      <c r="J163" s="1">
        <v>494</v>
      </c>
      <c r="K163" s="1">
        <v>494</v>
      </c>
      <c r="L163" s="1">
        <v>598</v>
      </c>
      <c r="M163" s="59">
        <f t="shared" si="34"/>
        <v>1586</v>
      </c>
      <c r="N163" s="1">
        <v>377</v>
      </c>
      <c r="O163" s="1">
        <v>96</v>
      </c>
      <c r="P163" s="1">
        <v>178</v>
      </c>
      <c r="Q163" s="59">
        <f t="shared" si="36"/>
        <v>651</v>
      </c>
      <c r="R163" s="59">
        <f t="shared" si="30"/>
        <v>5309</v>
      </c>
      <c r="T163" s="4" t="s">
        <v>150</v>
      </c>
    </row>
    <row r="164" spans="1:20" ht="15.75" customHeight="1" x14ac:dyDescent="0.3">
      <c r="A164" s="74" t="s">
        <v>151</v>
      </c>
      <c r="B164" s="1">
        <v>26</v>
      </c>
      <c r="C164" s="1">
        <v>38</v>
      </c>
      <c r="D164" s="1">
        <v>63</v>
      </c>
      <c r="E164" s="59">
        <f t="shared" si="37"/>
        <v>127</v>
      </c>
      <c r="F164" s="1">
        <v>113</v>
      </c>
      <c r="G164" s="1">
        <v>163</v>
      </c>
      <c r="H164" s="1">
        <v>213</v>
      </c>
      <c r="I164" s="59">
        <f t="shared" si="33"/>
        <v>489</v>
      </c>
      <c r="J164" s="1">
        <v>213</v>
      </c>
      <c r="K164" s="1">
        <v>163</v>
      </c>
      <c r="L164" s="1">
        <v>113</v>
      </c>
      <c r="M164" s="59">
        <f t="shared" si="34"/>
        <v>489</v>
      </c>
      <c r="N164" s="1">
        <v>61</v>
      </c>
      <c r="O164" s="1">
        <v>36</v>
      </c>
      <c r="P164" s="1">
        <v>26</v>
      </c>
      <c r="Q164" s="59">
        <f t="shared" si="36"/>
        <v>123</v>
      </c>
      <c r="R164" s="59">
        <f t="shared" si="30"/>
        <v>1228</v>
      </c>
    </row>
    <row r="165" spans="1:20" ht="15.75" customHeight="1" x14ac:dyDescent="0.3">
      <c r="A165" s="91" t="s">
        <v>152</v>
      </c>
      <c r="B165" s="1"/>
      <c r="C165" s="1"/>
      <c r="D165" s="1"/>
      <c r="E165" s="59">
        <f t="shared" si="37"/>
        <v>0</v>
      </c>
      <c r="F165" s="1"/>
      <c r="G165" s="1"/>
      <c r="H165" s="1"/>
      <c r="I165" s="59">
        <f t="shared" si="33"/>
        <v>0</v>
      </c>
      <c r="J165" s="1">
        <v>508</v>
      </c>
      <c r="K165" s="1"/>
      <c r="L165" s="1"/>
      <c r="M165" s="59">
        <f t="shared" si="34"/>
        <v>508</v>
      </c>
      <c r="N165" s="1"/>
      <c r="O165" s="1"/>
      <c r="P165" s="1"/>
      <c r="Q165" s="59">
        <f t="shared" si="36"/>
        <v>0</v>
      </c>
      <c r="R165" s="59">
        <f t="shared" si="30"/>
        <v>508</v>
      </c>
      <c r="T165" s="4" t="s">
        <v>134</v>
      </c>
    </row>
    <row r="166" spans="1:20" ht="15.75" customHeight="1" x14ac:dyDescent="0.3">
      <c r="A166" s="76" t="s">
        <v>153</v>
      </c>
      <c r="B166" s="1"/>
      <c r="C166" s="1"/>
      <c r="D166" s="1"/>
      <c r="E166" s="59">
        <f t="shared" ref="E166" si="39">SUM(B166:D166)</f>
        <v>0</v>
      </c>
      <c r="F166" s="1"/>
      <c r="G166" s="1"/>
      <c r="H166" s="1"/>
      <c r="I166" s="59">
        <f t="shared" si="33"/>
        <v>0</v>
      </c>
      <c r="J166" s="1"/>
      <c r="K166" s="1"/>
      <c r="L166" s="1"/>
      <c r="M166" s="59">
        <f t="shared" si="34"/>
        <v>0</v>
      </c>
      <c r="N166" s="1"/>
      <c r="O166" s="1"/>
      <c r="P166" s="1"/>
      <c r="Q166" s="59">
        <f t="shared" si="36"/>
        <v>0</v>
      </c>
      <c r="R166" s="59">
        <f t="shared" si="30"/>
        <v>0</v>
      </c>
    </row>
    <row r="167" spans="1:20" ht="15.75" customHeight="1" x14ac:dyDescent="0.3">
      <c r="A167" s="76" t="s">
        <v>154</v>
      </c>
      <c r="B167" s="1"/>
      <c r="C167" s="1"/>
      <c r="D167" s="1"/>
      <c r="E167" s="59">
        <f t="shared" si="37"/>
        <v>0</v>
      </c>
      <c r="F167" s="1"/>
      <c r="G167" s="1">
        <v>2906</v>
      </c>
      <c r="H167" s="1"/>
      <c r="I167" s="59">
        <f t="shared" si="33"/>
        <v>2906</v>
      </c>
      <c r="J167" s="1"/>
      <c r="K167" s="1"/>
      <c r="L167" s="1"/>
      <c r="M167" s="59">
        <f t="shared" si="34"/>
        <v>0</v>
      </c>
      <c r="N167" s="1"/>
      <c r="O167" s="1"/>
      <c r="P167" s="1"/>
      <c r="Q167" s="59">
        <f t="shared" si="36"/>
        <v>0</v>
      </c>
      <c r="R167" s="59">
        <f t="shared" si="30"/>
        <v>2906</v>
      </c>
    </row>
    <row r="168" spans="1:20" ht="15.75" customHeight="1" x14ac:dyDescent="0.3">
      <c r="A168" s="74" t="s">
        <v>155</v>
      </c>
      <c r="B168" s="1"/>
      <c r="C168" s="1"/>
      <c r="D168" s="1"/>
      <c r="E168" s="59">
        <f t="shared" si="37"/>
        <v>0</v>
      </c>
      <c r="F168" s="1"/>
      <c r="G168" s="1"/>
      <c r="H168" s="1"/>
      <c r="I168" s="59">
        <f t="shared" si="33"/>
        <v>0</v>
      </c>
      <c r="J168" s="1"/>
      <c r="K168" s="1"/>
      <c r="L168" s="1"/>
      <c r="M168" s="59">
        <f t="shared" si="34"/>
        <v>0</v>
      </c>
      <c r="N168" s="1"/>
      <c r="O168" s="1"/>
      <c r="P168" s="1"/>
      <c r="Q168" s="59">
        <f t="shared" si="36"/>
        <v>0</v>
      </c>
      <c r="R168" s="59">
        <f t="shared" si="30"/>
        <v>0</v>
      </c>
      <c r="S168" s="4" t="s">
        <v>136</v>
      </c>
      <c r="T168" s="4" t="s">
        <v>137</v>
      </c>
    </row>
    <row r="169" spans="1:20" s="98" customFormat="1" ht="15.75" customHeight="1" x14ac:dyDescent="0.3">
      <c r="A169" s="96" t="s">
        <v>156</v>
      </c>
      <c r="B169" s="92"/>
      <c r="C169" s="92"/>
      <c r="D169" s="92"/>
      <c r="E169" s="97">
        <f t="shared" si="37"/>
        <v>0</v>
      </c>
      <c r="F169" s="92"/>
      <c r="G169" s="92"/>
      <c r="H169" s="92"/>
      <c r="I169" s="97">
        <f t="shared" si="33"/>
        <v>0</v>
      </c>
      <c r="J169" s="92"/>
      <c r="K169" s="92"/>
      <c r="L169" s="92"/>
      <c r="M169" s="97">
        <f t="shared" si="34"/>
        <v>0</v>
      </c>
      <c r="N169" s="92"/>
      <c r="O169" s="92"/>
      <c r="P169" s="92"/>
      <c r="Q169" s="97">
        <f t="shared" si="36"/>
        <v>0</v>
      </c>
      <c r="R169" s="97">
        <f t="shared" si="30"/>
        <v>0</v>
      </c>
    </row>
    <row r="170" spans="1:20" ht="15.75" customHeight="1" x14ac:dyDescent="0.3">
      <c r="A170" s="74" t="s">
        <v>157</v>
      </c>
      <c r="B170" s="1"/>
      <c r="C170" s="1"/>
      <c r="D170" s="1"/>
      <c r="E170" s="59">
        <f t="shared" si="37"/>
        <v>0</v>
      </c>
      <c r="F170" s="1">
        <v>1654</v>
      </c>
      <c r="G170" s="1">
        <v>1850</v>
      </c>
      <c r="H170" s="1">
        <v>1900</v>
      </c>
      <c r="I170" s="59">
        <f t="shared" si="33"/>
        <v>5404</v>
      </c>
      <c r="J170" s="1">
        <v>1900</v>
      </c>
      <c r="K170" s="1">
        <v>1900</v>
      </c>
      <c r="L170" s="1">
        <v>1900</v>
      </c>
      <c r="M170" s="59">
        <f t="shared" si="34"/>
        <v>5700</v>
      </c>
      <c r="N170" s="1">
        <v>1600</v>
      </c>
      <c r="O170" s="1">
        <v>1600</v>
      </c>
      <c r="P170" s="1">
        <v>1600</v>
      </c>
      <c r="Q170" s="59">
        <f t="shared" si="36"/>
        <v>4800</v>
      </c>
      <c r="R170" s="59">
        <f>+E170+I170+M170+Q170</f>
        <v>15904</v>
      </c>
      <c r="T170" s="4" t="s">
        <v>158</v>
      </c>
    </row>
    <row r="171" spans="1:20" ht="15.75" customHeight="1" x14ac:dyDescent="0.3">
      <c r="A171" s="91" t="s">
        <v>159</v>
      </c>
      <c r="B171" s="1"/>
      <c r="C171" s="1"/>
      <c r="D171" s="1"/>
      <c r="E171" s="59">
        <f t="shared" si="37"/>
        <v>0</v>
      </c>
      <c r="F171" s="1"/>
      <c r="G171" s="1"/>
      <c r="H171" s="1"/>
      <c r="I171" s="59">
        <f t="shared" si="33"/>
        <v>0</v>
      </c>
      <c r="J171" s="1"/>
      <c r="K171" s="1"/>
      <c r="L171" s="1">
        <v>532</v>
      </c>
      <c r="M171" s="59">
        <f t="shared" si="34"/>
        <v>532</v>
      </c>
      <c r="N171" s="1"/>
      <c r="O171" s="1"/>
      <c r="P171" s="1"/>
      <c r="Q171" s="59">
        <f t="shared" si="36"/>
        <v>0</v>
      </c>
      <c r="R171" s="59">
        <f t="shared" ref="R171:R177" si="40">+E171+I171+M171+Q171</f>
        <v>532</v>
      </c>
      <c r="T171" s="4" t="s">
        <v>121</v>
      </c>
    </row>
    <row r="172" spans="1:20" ht="15.75" customHeight="1" x14ac:dyDescent="0.3">
      <c r="A172" s="91" t="s">
        <v>160</v>
      </c>
      <c r="B172" s="1"/>
      <c r="C172" s="1"/>
      <c r="D172" s="1"/>
      <c r="E172" s="59">
        <f t="shared" si="37"/>
        <v>0</v>
      </c>
      <c r="F172" s="1"/>
      <c r="G172" s="1"/>
      <c r="H172" s="1"/>
      <c r="I172" s="59">
        <f t="shared" si="33"/>
        <v>0</v>
      </c>
      <c r="J172" s="1"/>
      <c r="K172" s="1"/>
      <c r="L172" s="1"/>
      <c r="M172" s="59">
        <f t="shared" si="34"/>
        <v>0</v>
      </c>
      <c r="N172" s="1"/>
      <c r="O172" s="1"/>
      <c r="P172" s="1"/>
      <c r="Q172" s="59">
        <f t="shared" si="36"/>
        <v>0</v>
      </c>
      <c r="R172" s="59">
        <f t="shared" si="40"/>
        <v>0</v>
      </c>
      <c r="T172" s="4" t="s">
        <v>134</v>
      </c>
    </row>
    <row r="173" spans="1:20" ht="15.75" customHeight="1" x14ac:dyDescent="0.3">
      <c r="A173" s="74" t="s">
        <v>161</v>
      </c>
      <c r="B173" s="1"/>
      <c r="C173" s="1"/>
      <c r="D173" s="1"/>
      <c r="E173" s="59">
        <f t="shared" si="37"/>
        <v>0</v>
      </c>
      <c r="F173" s="1"/>
      <c r="G173" s="1">
        <v>800</v>
      </c>
      <c r="H173" s="1"/>
      <c r="I173" s="59">
        <f t="shared" si="33"/>
        <v>800</v>
      </c>
      <c r="J173" s="1"/>
      <c r="K173" s="1"/>
      <c r="L173" s="1"/>
      <c r="M173" s="59">
        <f t="shared" si="34"/>
        <v>0</v>
      </c>
      <c r="N173" s="1"/>
      <c r="O173" s="1"/>
      <c r="P173" s="1"/>
      <c r="Q173" s="59">
        <f t="shared" si="36"/>
        <v>0</v>
      </c>
      <c r="R173" s="59">
        <f t="shared" si="40"/>
        <v>800</v>
      </c>
      <c r="S173" s="94" t="s">
        <v>136</v>
      </c>
      <c r="T173" s="4" t="s">
        <v>162</v>
      </c>
    </row>
    <row r="174" spans="1:20" ht="15.75" customHeight="1" x14ac:dyDescent="0.3">
      <c r="A174" s="74" t="s">
        <v>163</v>
      </c>
      <c r="B174" s="1"/>
      <c r="C174" s="1"/>
      <c r="D174" s="1"/>
      <c r="E174" s="59">
        <f t="shared" si="37"/>
        <v>0</v>
      </c>
      <c r="F174" s="1"/>
      <c r="G174" s="1"/>
      <c r="H174" s="1">
        <v>3700</v>
      </c>
      <c r="I174" s="59">
        <f t="shared" si="33"/>
        <v>3700</v>
      </c>
      <c r="J174" s="1"/>
      <c r="K174" s="1"/>
      <c r="L174" s="1"/>
      <c r="M174" s="59">
        <f t="shared" si="34"/>
        <v>0</v>
      </c>
      <c r="N174" s="1"/>
      <c r="O174" s="1"/>
      <c r="P174" s="1"/>
      <c r="Q174" s="59">
        <f t="shared" ref="Q174" si="41">SUM(N174:P174)</f>
        <v>0</v>
      </c>
      <c r="R174" s="59">
        <f t="shared" si="40"/>
        <v>3700</v>
      </c>
      <c r="S174" s="94"/>
    </row>
    <row r="175" spans="1:20" ht="15.75" customHeight="1" x14ac:dyDescent="0.3">
      <c r="A175" s="91" t="s">
        <v>164</v>
      </c>
      <c r="B175" s="1">
        <v>968</v>
      </c>
      <c r="C175" s="1">
        <v>1400</v>
      </c>
      <c r="D175" s="1"/>
      <c r="E175" s="59">
        <f t="shared" si="37"/>
        <v>2368</v>
      </c>
      <c r="F175" s="1"/>
      <c r="G175" s="1"/>
      <c r="H175" s="1"/>
      <c r="I175" s="59">
        <f t="shared" si="33"/>
        <v>0</v>
      </c>
      <c r="J175" s="1"/>
      <c r="K175" s="1"/>
      <c r="L175" s="1"/>
      <c r="M175" s="59">
        <f t="shared" si="34"/>
        <v>0</v>
      </c>
      <c r="N175" s="1"/>
      <c r="O175" s="1"/>
      <c r="P175" s="1"/>
      <c r="Q175" s="59">
        <f t="shared" si="36"/>
        <v>0</v>
      </c>
      <c r="R175" s="59">
        <f t="shared" si="40"/>
        <v>2368</v>
      </c>
      <c r="T175" s="4" t="s">
        <v>132</v>
      </c>
    </row>
    <row r="176" spans="1:20" ht="15.75" customHeight="1" x14ac:dyDescent="0.3">
      <c r="A176" s="91" t="s">
        <v>165</v>
      </c>
      <c r="B176" s="1">
        <v>2100</v>
      </c>
      <c r="C176" s="1">
        <v>1700</v>
      </c>
      <c r="D176" s="1">
        <v>874</v>
      </c>
      <c r="E176" s="59">
        <f t="shared" si="37"/>
        <v>4674</v>
      </c>
      <c r="F176" s="1"/>
      <c r="G176" s="1"/>
      <c r="H176" s="1"/>
      <c r="I176" s="59">
        <f t="shared" si="33"/>
        <v>0</v>
      </c>
      <c r="J176" s="1"/>
      <c r="K176" s="1"/>
      <c r="L176" s="1"/>
      <c r="M176" s="59">
        <f t="shared" si="34"/>
        <v>0</v>
      </c>
      <c r="N176" s="1"/>
      <c r="O176" s="1"/>
      <c r="P176" s="1"/>
      <c r="Q176" s="59">
        <f t="shared" si="36"/>
        <v>0</v>
      </c>
      <c r="R176" s="59">
        <f t="shared" si="40"/>
        <v>4674</v>
      </c>
      <c r="T176" s="4" t="s">
        <v>134</v>
      </c>
    </row>
    <row r="177" spans="1:20" ht="15.75" customHeight="1" x14ac:dyDescent="0.3">
      <c r="A177" s="74" t="s">
        <v>166</v>
      </c>
      <c r="B177" s="1">
        <v>25</v>
      </c>
      <c r="C177" s="1">
        <v>25</v>
      </c>
      <c r="D177" s="1">
        <v>50</v>
      </c>
      <c r="E177" s="59">
        <f t="shared" si="37"/>
        <v>100</v>
      </c>
      <c r="F177" s="1">
        <v>70</v>
      </c>
      <c r="G177" s="1">
        <v>70</v>
      </c>
      <c r="H177" s="1">
        <v>70</v>
      </c>
      <c r="I177" s="59">
        <f t="shared" si="33"/>
        <v>210</v>
      </c>
      <c r="J177" s="1">
        <v>70</v>
      </c>
      <c r="K177" s="1">
        <v>70</v>
      </c>
      <c r="L177" s="1">
        <v>70</v>
      </c>
      <c r="M177" s="59">
        <f t="shared" si="34"/>
        <v>210</v>
      </c>
      <c r="N177" s="1">
        <v>75</v>
      </c>
      <c r="O177" s="1">
        <v>35</v>
      </c>
      <c r="P177" s="1">
        <v>35</v>
      </c>
      <c r="Q177" s="59">
        <f t="shared" si="36"/>
        <v>145</v>
      </c>
      <c r="R177" s="59">
        <f t="shared" si="40"/>
        <v>665</v>
      </c>
      <c r="T177" s="4" t="s">
        <v>127</v>
      </c>
    </row>
    <row r="178" spans="1:20" ht="15.75" customHeight="1" x14ac:dyDescent="0.3">
      <c r="A178" s="91" t="s">
        <v>167</v>
      </c>
      <c r="B178" s="1">
        <v>670</v>
      </c>
      <c r="C178" s="1">
        <v>742</v>
      </c>
      <c r="D178" s="1">
        <v>1141</v>
      </c>
      <c r="E178" s="59">
        <f t="shared" si="37"/>
        <v>2553</v>
      </c>
      <c r="F178" s="1">
        <v>1051</v>
      </c>
      <c r="G178" s="1">
        <v>1194</v>
      </c>
      <c r="H178" s="1">
        <v>1230</v>
      </c>
      <c r="I178" s="59">
        <f t="shared" si="33"/>
        <v>3475</v>
      </c>
      <c r="J178" s="1">
        <v>1041</v>
      </c>
      <c r="K178" s="1">
        <v>1621</v>
      </c>
      <c r="L178" s="1">
        <v>1328</v>
      </c>
      <c r="M178" s="59">
        <f t="shared" si="34"/>
        <v>3990</v>
      </c>
      <c r="N178" s="1">
        <v>1012</v>
      </c>
      <c r="O178" s="1">
        <v>1241</v>
      </c>
      <c r="P178" s="1">
        <v>1041</v>
      </c>
      <c r="Q178" s="59">
        <f t="shared" si="36"/>
        <v>3294</v>
      </c>
      <c r="R178" s="59">
        <f t="shared" si="30"/>
        <v>13312</v>
      </c>
      <c r="T178" s="4" t="s">
        <v>132</v>
      </c>
    </row>
    <row r="179" spans="1:20" ht="15.75" customHeight="1" x14ac:dyDescent="0.3">
      <c r="A179" s="91" t="s">
        <v>168</v>
      </c>
      <c r="B179" s="1">
        <v>130</v>
      </c>
      <c r="C179" s="1">
        <v>150</v>
      </c>
      <c r="D179" s="1">
        <v>200</v>
      </c>
      <c r="E179" s="59">
        <f t="shared" si="37"/>
        <v>480</v>
      </c>
      <c r="F179" s="1">
        <v>200</v>
      </c>
      <c r="G179" s="1">
        <v>200</v>
      </c>
      <c r="H179" s="1">
        <v>300</v>
      </c>
      <c r="I179" s="59">
        <f t="shared" si="33"/>
        <v>700</v>
      </c>
      <c r="J179" s="1">
        <v>77</v>
      </c>
      <c r="K179" s="1">
        <v>300</v>
      </c>
      <c r="L179" s="1">
        <v>300</v>
      </c>
      <c r="M179" s="59">
        <f t="shared" si="34"/>
        <v>677</v>
      </c>
      <c r="N179" s="1">
        <v>300</v>
      </c>
      <c r="O179" s="1">
        <v>100</v>
      </c>
      <c r="P179" s="1"/>
      <c r="Q179" s="59">
        <f t="shared" si="36"/>
        <v>400</v>
      </c>
      <c r="R179" s="59">
        <f t="shared" si="30"/>
        <v>2257</v>
      </c>
      <c r="T179" s="4" t="s">
        <v>134</v>
      </c>
    </row>
    <row r="180" spans="1:20" ht="15.75" customHeight="1" x14ac:dyDescent="0.3">
      <c r="A180" s="91" t="s">
        <v>169</v>
      </c>
      <c r="B180" s="1">
        <v>26</v>
      </c>
      <c r="C180" s="1">
        <v>33</v>
      </c>
      <c r="D180" s="1">
        <v>48</v>
      </c>
      <c r="E180" s="59">
        <f t="shared" si="37"/>
        <v>107</v>
      </c>
      <c r="F180" s="1">
        <v>19</v>
      </c>
      <c r="G180" s="1">
        <v>88</v>
      </c>
      <c r="H180" s="1">
        <v>86</v>
      </c>
      <c r="I180" s="59">
        <f>SUM(F180:H180)</f>
        <v>193</v>
      </c>
      <c r="J180" s="1">
        <v>87</v>
      </c>
      <c r="K180" s="1">
        <v>56</v>
      </c>
      <c r="L180" s="1">
        <v>53</v>
      </c>
      <c r="M180" s="59">
        <f t="shared" si="34"/>
        <v>196</v>
      </c>
      <c r="N180" s="1">
        <v>87</v>
      </c>
      <c r="O180" s="1">
        <v>31</v>
      </c>
      <c r="P180" s="1">
        <v>14</v>
      </c>
      <c r="Q180" s="59">
        <f t="shared" si="36"/>
        <v>132</v>
      </c>
      <c r="R180" s="59">
        <f t="shared" si="30"/>
        <v>628</v>
      </c>
      <c r="T180" s="4" t="s">
        <v>170</v>
      </c>
    </row>
    <row r="181" spans="1:20" ht="15.75" customHeight="1" x14ac:dyDescent="0.3">
      <c r="A181" s="91" t="s">
        <v>171</v>
      </c>
      <c r="B181" s="1">
        <v>18</v>
      </c>
      <c r="C181" s="1">
        <v>21</v>
      </c>
      <c r="D181" s="1">
        <v>38</v>
      </c>
      <c r="E181" s="59">
        <f t="shared" si="37"/>
        <v>77</v>
      </c>
      <c r="F181" s="1">
        <v>78</v>
      </c>
      <c r="G181" s="1">
        <v>103</v>
      </c>
      <c r="H181" s="1">
        <v>80</v>
      </c>
      <c r="I181" s="59">
        <f t="shared" si="33"/>
        <v>261</v>
      </c>
      <c r="J181" s="1">
        <v>97</v>
      </c>
      <c r="K181" s="1">
        <v>70</v>
      </c>
      <c r="L181" s="1">
        <v>70</v>
      </c>
      <c r="M181" s="59">
        <f t="shared" si="34"/>
        <v>237</v>
      </c>
      <c r="N181" s="1">
        <v>70</v>
      </c>
      <c r="O181" s="1">
        <v>23</v>
      </c>
      <c r="P181" s="1">
        <v>13</v>
      </c>
      <c r="Q181" s="59">
        <f t="shared" si="36"/>
        <v>106</v>
      </c>
      <c r="R181" s="59">
        <f t="shared" si="30"/>
        <v>681</v>
      </c>
      <c r="T181" s="4" t="s">
        <v>127</v>
      </c>
    </row>
    <row r="182" spans="1:20" ht="15.75" customHeight="1" x14ac:dyDescent="0.3">
      <c r="A182" s="91" t="s">
        <v>172</v>
      </c>
      <c r="B182" s="1"/>
      <c r="C182" s="1"/>
      <c r="D182" s="1"/>
      <c r="E182" s="59">
        <f t="shared" si="37"/>
        <v>0</v>
      </c>
      <c r="F182" s="1">
        <v>10</v>
      </c>
      <c r="G182" s="1">
        <v>30</v>
      </c>
      <c r="H182" s="1">
        <v>20</v>
      </c>
      <c r="I182" s="59">
        <f t="shared" si="33"/>
        <v>60</v>
      </c>
      <c r="J182" s="1">
        <v>15</v>
      </c>
      <c r="K182" s="1">
        <v>15</v>
      </c>
      <c r="L182" s="1">
        <v>10</v>
      </c>
      <c r="M182" s="59">
        <f t="shared" si="34"/>
        <v>40</v>
      </c>
      <c r="N182" s="1">
        <v>10</v>
      </c>
      <c r="O182" s="1">
        <v>10</v>
      </c>
      <c r="P182" s="1"/>
      <c r="Q182" s="59">
        <f t="shared" si="36"/>
        <v>20</v>
      </c>
      <c r="R182" s="59">
        <f t="shared" si="30"/>
        <v>120</v>
      </c>
      <c r="S182" s="50"/>
      <c r="T182" s="4" t="s">
        <v>121</v>
      </c>
    </row>
    <row r="183" spans="1:20" ht="15.75" customHeight="1" x14ac:dyDescent="0.3">
      <c r="A183" s="74" t="s">
        <v>173</v>
      </c>
      <c r="B183" s="1"/>
      <c r="C183" s="1"/>
      <c r="D183" s="1"/>
      <c r="E183" s="59">
        <f t="shared" si="37"/>
        <v>0</v>
      </c>
      <c r="F183" s="1"/>
      <c r="G183" s="1"/>
      <c r="H183" s="1">
        <v>1006</v>
      </c>
      <c r="I183" s="59">
        <f t="shared" si="33"/>
        <v>1006</v>
      </c>
      <c r="J183" s="1">
        <v>1040</v>
      </c>
      <c r="K183" s="1">
        <v>1040</v>
      </c>
      <c r="L183" s="1">
        <v>1040</v>
      </c>
      <c r="M183" s="59">
        <f t="shared" si="34"/>
        <v>3120</v>
      </c>
      <c r="N183" s="1">
        <v>1009</v>
      </c>
      <c r="O183" s="1">
        <v>1000</v>
      </c>
      <c r="P183" s="1">
        <v>803</v>
      </c>
      <c r="Q183" s="59">
        <f t="shared" si="36"/>
        <v>2812</v>
      </c>
      <c r="R183" s="59">
        <f t="shared" si="30"/>
        <v>6938</v>
      </c>
      <c r="T183" s="4" t="s">
        <v>158</v>
      </c>
    </row>
    <row r="184" spans="1:20" ht="15.75" customHeight="1" x14ac:dyDescent="0.3">
      <c r="A184" s="74" t="s">
        <v>174</v>
      </c>
      <c r="B184" s="1"/>
      <c r="C184" s="1"/>
      <c r="D184" s="1"/>
      <c r="E184" s="59">
        <f t="shared" si="37"/>
        <v>0</v>
      </c>
      <c r="F184" s="1"/>
      <c r="G184" s="1"/>
      <c r="H184" s="1">
        <v>1300</v>
      </c>
      <c r="I184" s="59">
        <f t="shared" si="33"/>
        <v>1300</v>
      </c>
      <c r="J184" s="1"/>
      <c r="K184" s="1"/>
      <c r="L184" s="1"/>
      <c r="M184" s="59">
        <f t="shared" si="34"/>
        <v>0</v>
      </c>
      <c r="N184" s="1"/>
      <c r="O184" s="1"/>
      <c r="P184" s="1"/>
      <c r="Q184" s="59">
        <f t="shared" si="36"/>
        <v>0</v>
      </c>
      <c r="R184" s="59">
        <f t="shared" si="30"/>
        <v>1300</v>
      </c>
      <c r="S184" s="94" t="s">
        <v>136</v>
      </c>
      <c r="T184" s="4" t="s">
        <v>137</v>
      </c>
    </row>
    <row r="185" spans="1:20" ht="15.75" customHeight="1" x14ac:dyDescent="0.3">
      <c r="A185" s="74" t="s">
        <v>175</v>
      </c>
      <c r="B185" s="1"/>
      <c r="C185" s="1"/>
      <c r="D185" s="1"/>
      <c r="E185" s="59">
        <f t="shared" si="37"/>
        <v>0</v>
      </c>
      <c r="F185" s="1"/>
      <c r="G185" s="1"/>
      <c r="H185" s="1"/>
      <c r="I185" s="59">
        <f t="shared" si="33"/>
        <v>0</v>
      </c>
      <c r="J185" s="1"/>
      <c r="K185" s="1"/>
      <c r="L185" s="1"/>
      <c r="M185" s="59">
        <f t="shared" si="34"/>
        <v>0</v>
      </c>
      <c r="N185" s="1"/>
      <c r="O185" s="1"/>
      <c r="P185" s="1"/>
      <c r="Q185" s="59">
        <f t="shared" si="36"/>
        <v>0</v>
      </c>
      <c r="R185" s="59">
        <f t="shared" si="30"/>
        <v>0</v>
      </c>
      <c r="T185" s="4" t="s">
        <v>137</v>
      </c>
    </row>
    <row r="186" spans="1:20" ht="15.75" customHeight="1" x14ac:dyDescent="0.3">
      <c r="A186" s="74" t="s">
        <v>176</v>
      </c>
      <c r="B186" s="1">
        <f>3568+1+2+26</f>
        <v>3597</v>
      </c>
      <c r="C186" s="1">
        <f>3222+1+2+28</f>
        <v>3253</v>
      </c>
      <c r="D186" s="1">
        <f>3437+2378+1+2+45</f>
        <v>5863</v>
      </c>
      <c r="E186" s="59">
        <f t="shared" si="37"/>
        <v>12713</v>
      </c>
      <c r="F186" s="1">
        <f>7365+2302+1+2+83</f>
        <v>9753</v>
      </c>
      <c r="G186" s="1">
        <f>10348+2378+1+2+105</f>
        <v>12834</v>
      </c>
      <c r="H186" s="1">
        <f>10127+2302+1+2+117</f>
        <v>12549</v>
      </c>
      <c r="I186" s="59">
        <f t="shared" si="33"/>
        <v>35136</v>
      </c>
      <c r="J186" s="1">
        <f>9514+2474+1+3+94</f>
        <v>12086</v>
      </c>
      <c r="K186" s="1">
        <f>8087+2474+1+2</f>
        <v>10564</v>
      </c>
      <c r="L186" s="1">
        <f>5984+2394+1+2</f>
        <v>8381</v>
      </c>
      <c r="M186" s="59">
        <f t="shared" si="34"/>
        <v>31031</v>
      </c>
      <c r="N186" s="1">
        <f>8087+2474+1+2</f>
        <v>10564</v>
      </c>
      <c r="O186" s="1">
        <f>7826+2394+2</f>
        <v>10222</v>
      </c>
      <c r="P186" s="1">
        <f>8562+2474</f>
        <v>11036</v>
      </c>
      <c r="Q186" s="59">
        <f t="shared" si="36"/>
        <v>31822</v>
      </c>
      <c r="R186" s="59">
        <f t="shared" si="30"/>
        <v>110702</v>
      </c>
      <c r="S186" s="4" t="s">
        <v>136</v>
      </c>
    </row>
    <row r="187" spans="1:20" ht="15.75" customHeight="1" x14ac:dyDescent="0.3">
      <c r="A187" s="74" t="s">
        <v>177</v>
      </c>
      <c r="B187" s="1">
        <v>5000</v>
      </c>
      <c r="C187" s="1">
        <f>5000+465</f>
        <v>5465</v>
      </c>
      <c r="D187" s="1">
        <f>2000+555</f>
        <v>2555</v>
      </c>
      <c r="E187" s="59">
        <f t="shared" si="37"/>
        <v>13020</v>
      </c>
      <c r="F187" s="1">
        <v>592</v>
      </c>
      <c r="G187" s="1">
        <v>507</v>
      </c>
      <c r="H187" s="1">
        <v>395</v>
      </c>
      <c r="I187" s="59">
        <f t="shared" si="33"/>
        <v>1494</v>
      </c>
      <c r="J187" s="1">
        <f>395+2500</f>
        <v>2895</v>
      </c>
      <c r="K187" s="1"/>
      <c r="L187" s="1"/>
      <c r="M187" s="59">
        <f t="shared" si="34"/>
        <v>2895</v>
      </c>
      <c r="N187" s="1"/>
      <c r="O187" s="1"/>
      <c r="P187" s="1"/>
      <c r="Q187" s="59">
        <f t="shared" si="36"/>
        <v>0</v>
      </c>
      <c r="R187" s="59">
        <f>+E187+I187+M187+Q187</f>
        <v>17409</v>
      </c>
      <c r="S187" s="94"/>
      <c r="T187" s="4" t="s">
        <v>137</v>
      </c>
    </row>
    <row r="188" spans="1:20" ht="15.75" customHeight="1" x14ac:dyDescent="0.3">
      <c r="A188" s="74" t="s">
        <v>178</v>
      </c>
      <c r="B188" s="1">
        <v>45</v>
      </c>
      <c r="C188" s="1">
        <v>50</v>
      </c>
      <c r="D188" s="1">
        <v>50</v>
      </c>
      <c r="E188" s="59">
        <f t="shared" si="37"/>
        <v>145</v>
      </c>
      <c r="F188" s="1">
        <v>55</v>
      </c>
      <c r="G188" s="1">
        <v>55</v>
      </c>
      <c r="H188" s="1">
        <v>55</v>
      </c>
      <c r="I188" s="59">
        <f t="shared" si="33"/>
        <v>165</v>
      </c>
      <c r="J188" s="1">
        <v>65</v>
      </c>
      <c r="K188" s="1">
        <v>65</v>
      </c>
      <c r="L188" s="1">
        <v>50</v>
      </c>
      <c r="M188" s="59">
        <f t="shared" si="34"/>
        <v>180</v>
      </c>
      <c r="N188" s="1">
        <v>50</v>
      </c>
      <c r="O188" s="1">
        <v>50</v>
      </c>
      <c r="P188" s="1">
        <v>50</v>
      </c>
      <c r="Q188" s="59">
        <f t="shared" si="36"/>
        <v>150</v>
      </c>
      <c r="R188" s="59">
        <f t="shared" si="30"/>
        <v>640</v>
      </c>
      <c r="S188" s="4" t="s">
        <v>136</v>
      </c>
      <c r="T188" s="4" t="s">
        <v>137</v>
      </c>
    </row>
    <row r="189" spans="1:20" ht="15.75" customHeight="1" x14ac:dyDescent="0.3">
      <c r="A189" s="91" t="s">
        <v>179</v>
      </c>
      <c r="B189" s="1"/>
      <c r="C189" s="1"/>
      <c r="D189" s="1"/>
      <c r="E189" s="59">
        <f t="shared" si="37"/>
        <v>0</v>
      </c>
      <c r="F189" s="1"/>
      <c r="G189" s="1"/>
      <c r="H189" s="1"/>
      <c r="I189" s="59">
        <f t="shared" si="33"/>
        <v>0</v>
      </c>
      <c r="J189" s="1"/>
      <c r="K189" s="1">
        <v>900</v>
      </c>
      <c r="L189" s="1">
        <v>900</v>
      </c>
      <c r="M189" s="59">
        <f t="shared" si="34"/>
        <v>1800</v>
      </c>
      <c r="N189" s="1">
        <v>700</v>
      </c>
      <c r="O189" s="1">
        <v>2000</v>
      </c>
      <c r="P189" s="1">
        <v>858</v>
      </c>
      <c r="Q189" s="59">
        <f t="shared" ref="Q189" si="42">SUM(N189:P189)</f>
        <v>3558</v>
      </c>
      <c r="R189" s="59">
        <f t="shared" si="30"/>
        <v>5358</v>
      </c>
    </row>
    <row r="190" spans="1:20" ht="15.75" customHeight="1" x14ac:dyDescent="0.3">
      <c r="A190" s="74" t="s">
        <v>180</v>
      </c>
      <c r="B190" s="1">
        <v>3283</v>
      </c>
      <c r="C190" s="1"/>
      <c r="D190" s="1"/>
      <c r="E190" s="59">
        <f t="shared" si="37"/>
        <v>3283</v>
      </c>
      <c r="F190" s="1"/>
      <c r="G190" s="1"/>
      <c r="H190" s="1">
        <f>2989+736+119+57</f>
        <v>3901</v>
      </c>
      <c r="I190" s="59">
        <f t="shared" si="33"/>
        <v>3901</v>
      </c>
      <c r="J190" s="1">
        <f>6086+666+115+50</f>
        <v>6917</v>
      </c>
      <c r="K190" s="1">
        <f>5972+381+110+40</f>
        <v>6503</v>
      </c>
      <c r="L190" s="1">
        <f>6272+368+92+30</f>
        <v>6762</v>
      </c>
      <c r="M190" s="59">
        <f t="shared" si="34"/>
        <v>20182</v>
      </c>
      <c r="N190" s="1">
        <f>6147+190+114+58</f>
        <v>6509</v>
      </c>
      <c r="O190" s="1">
        <f>5234+85+28</f>
        <v>5347</v>
      </c>
      <c r="P190" s="1">
        <f>4650+79+18</f>
        <v>4747</v>
      </c>
      <c r="Q190" s="59">
        <f t="shared" si="36"/>
        <v>16603</v>
      </c>
      <c r="R190" s="59">
        <f>+E190+I190+M190+Q190</f>
        <v>43969</v>
      </c>
    </row>
    <row r="191" spans="1:20" ht="15.75" customHeight="1" x14ac:dyDescent="0.3">
      <c r="A191" s="74" t="s">
        <v>181</v>
      </c>
      <c r="B191" s="1"/>
      <c r="C191" s="1"/>
      <c r="D191" s="1"/>
      <c r="E191" s="59">
        <f t="shared" ref="E191" si="43">SUM(B191:D191)</f>
        <v>0</v>
      </c>
      <c r="F191" s="1"/>
      <c r="G191" s="1"/>
      <c r="H191" s="1">
        <f>138+500</f>
        <v>638</v>
      </c>
      <c r="I191" s="59">
        <f t="shared" si="33"/>
        <v>638</v>
      </c>
      <c r="J191" s="1">
        <f>138+500</f>
        <v>638</v>
      </c>
      <c r="K191" s="1">
        <f>1300+138+500</f>
        <v>1938</v>
      </c>
      <c r="L191" s="1">
        <f>138+500</f>
        <v>638</v>
      </c>
      <c r="M191" s="59">
        <f t="shared" si="34"/>
        <v>3214</v>
      </c>
      <c r="N191" s="1">
        <v>138</v>
      </c>
      <c r="O191" s="1">
        <v>138</v>
      </c>
      <c r="P191" s="1">
        <v>138</v>
      </c>
      <c r="Q191" s="59">
        <f t="shared" si="36"/>
        <v>414</v>
      </c>
      <c r="R191" s="59">
        <f t="shared" si="30"/>
        <v>4266</v>
      </c>
      <c r="S191" s="4" t="s">
        <v>136</v>
      </c>
    </row>
    <row r="192" spans="1:20" ht="15.75" customHeight="1" x14ac:dyDescent="0.3">
      <c r="A192" s="91" t="s">
        <v>182</v>
      </c>
      <c r="B192" s="1"/>
      <c r="C192" s="1"/>
      <c r="D192" s="1"/>
      <c r="E192" s="59">
        <f t="shared" ref="E192:E197" si="44">SUM(B192:D192)</f>
        <v>0</v>
      </c>
      <c r="F192" s="1"/>
      <c r="G192" s="1"/>
      <c r="H192" s="1"/>
      <c r="I192" s="59">
        <f t="shared" ref="I192:I197" si="45">SUM(F192:H192)</f>
        <v>0</v>
      </c>
      <c r="J192" s="1"/>
      <c r="K192" s="1"/>
      <c r="L192" s="1"/>
      <c r="M192" s="59">
        <f t="shared" ref="M192:M197" si="46">SUM(J192:L192)</f>
        <v>0</v>
      </c>
      <c r="N192" s="1"/>
      <c r="O192" s="1"/>
      <c r="P192" s="1"/>
      <c r="Q192" s="59">
        <f t="shared" si="36"/>
        <v>0</v>
      </c>
      <c r="R192" s="59">
        <f t="shared" si="30"/>
        <v>0</v>
      </c>
      <c r="T192" s="4" t="s">
        <v>132</v>
      </c>
    </row>
    <row r="193" spans="1:20" ht="15.75" customHeight="1" x14ac:dyDescent="0.3">
      <c r="A193" s="91" t="s">
        <v>183</v>
      </c>
      <c r="B193" s="1"/>
      <c r="C193" s="1"/>
      <c r="D193" s="1"/>
      <c r="E193" s="59">
        <f t="shared" si="44"/>
        <v>0</v>
      </c>
      <c r="F193" s="1"/>
      <c r="G193" s="1"/>
      <c r="H193" s="1"/>
      <c r="I193" s="59">
        <f t="shared" si="45"/>
        <v>0</v>
      </c>
      <c r="J193" s="1"/>
      <c r="K193" s="1"/>
      <c r="L193" s="1"/>
      <c r="M193" s="59">
        <f t="shared" si="46"/>
        <v>0</v>
      </c>
      <c r="N193" s="1"/>
      <c r="O193" s="1"/>
      <c r="P193" s="1"/>
      <c r="Q193" s="59">
        <f t="shared" si="36"/>
        <v>0</v>
      </c>
      <c r="R193" s="59">
        <f>+E193+I193+M193+Q193</f>
        <v>0</v>
      </c>
    </row>
    <row r="194" spans="1:20" ht="15.75" customHeight="1" x14ac:dyDescent="0.3">
      <c r="A194" s="91" t="s">
        <v>184</v>
      </c>
      <c r="B194" s="1"/>
      <c r="C194" s="1"/>
      <c r="D194" s="1">
        <v>1019</v>
      </c>
      <c r="E194" s="59">
        <f t="shared" si="44"/>
        <v>1019</v>
      </c>
      <c r="F194" s="1">
        <v>1519</v>
      </c>
      <c r="G194" s="1">
        <v>1520</v>
      </c>
      <c r="H194" s="1">
        <v>751</v>
      </c>
      <c r="I194" s="59">
        <f t="shared" si="45"/>
        <v>3790</v>
      </c>
      <c r="J194" s="1">
        <v>500</v>
      </c>
      <c r="K194" s="1">
        <v>400</v>
      </c>
      <c r="L194" s="1">
        <v>450</v>
      </c>
      <c r="M194" s="59">
        <f t="shared" si="46"/>
        <v>1350</v>
      </c>
      <c r="N194" s="1">
        <v>450</v>
      </c>
      <c r="O194" s="1">
        <v>450</v>
      </c>
      <c r="P194" s="1"/>
      <c r="Q194" s="59">
        <f t="shared" si="36"/>
        <v>900</v>
      </c>
      <c r="R194" s="59">
        <f t="shared" si="30"/>
        <v>7059</v>
      </c>
    </row>
    <row r="195" spans="1:20" ht="15.75" customHeight="1" x14ac:dyDescent="0.3">
      <c r="A195" s="74" t="s">
        <v>185</v>
      </c>
      <c r="B195" s="1">
        <v>122</v>
      </c>
      <c r="C195" s="1">
        <v>300</v>
      </c>
      <c r="D195" s="1">
        <v>350</v>
      </c>
      <c r="E195" s="59">
        <f t="shared" si="44"/>
        <v>772</v>
      </c>
      <c r="F195" s="1">
        <v>350</v>
      </c>
      <c r="G195" s="1">
        <v>400</v>
      </c>
      <c r="H195" s="1">
        <v>450</v>
      </c>
      <c r="I195" s="59">
        <f t="shared" si="45"/>
        <v>1200</v>
      </c>
      <c r="J195" s="1">
        <v>493</v>
      </c>
      <c r="K195" s="1">
        <v>500</v>
      </c>
      <c r="L195" s="1">
        <v>400</v>
      </c>
      <c r="M195" s="59">
        <f t="shared" si="46"/>
        <v>1393</v>
      </c>
      <c r="N195" s="1">
        <v>400</v>
      </c>
      <c r="O195" s="1">
        <v>300</v>
      </c>
      <c r="P195" s="1">
        <v>250</v>
      </c>
      <c r="Q195" s="59">
        <f t="shared" si="36"/>
        <v>950</v>
      </c>
      <c r="R195" s="59">
        <f>+E195+I195+M195+Q195</f>
        <v>4315</v>
      </c>
      <c r="S195" s="4" t="s">
        <v>136</v>
      </c>
      <c r="T195" s="4" t="s">
        <v>137</v>
      </c>
    </row>
    <row r="196" spans="1:20" ht="15.75" customHeight="1" x14ac:dyDescent="0.3">
      <c r="A196" s="74" t="s">
        <v>186</v>
      </c>
      <c r="B196" s="1">
        <v>3</v>
      </c>
      <c r="C196" s="1">
        <v>3</v>
      </c>
      <c r="D196" s="1">
        <v>3</v>
      </c>
      <c r="E196" s="59">
        <f t="shared" si="44"/>
        <v>9</v>
      </c>
      <c r="F196" s="1">
        <v>5</v>
      </c>
      <c r="G196" s="1">
        <v>5</v>
      </c>
      <c r="H196" s="1">
        <v>5</v>
      </c>
      <c r="I196" s="59">
        <f t="shared" si="45"/>
        <v>15</v>
      </c>
      <c r="J196" s="1">
        <v>4</v>
      </c>
      <c r="K196" s="1">
        <v>4</v>
      </c>
      <c r="L196" s="1">
        <v>3</v>
      </c>
      <c r="M196" s="59">
        <f t="shared" si="46"/>
        <v>11</v>
      </c>
      <c r="N196" s="1">
        <v>3</v>
      </c>
      <c r="O196" s="1">
        <v>3</v>
      </c>
      <c r="P196" s="1">
        <v>3</v>
      </c>
      <c r="Q196" s="59">
        <f t="shared" si="36"/>
        <v>9</v>
      </c>
      <c r="R196" s="59">
        <f>+E196+I196+M196+Q196</f>
        <v>44</v>
      </c>
      <c r="S196" s="4">
        <f>SUM(R142:R196)</f>
        <v>312540</v>
      </c>
    </row>
    <row r="197" spans="1:20" ht="15.75" customHeight="1" x14ac:dyDescent="0.3">
      <c r="A197" s="74" t="s">
        <v>187</v>
      </c>
      <c r="B197" s="1"/>
      <c r="C197" s="1"/>
      <c r="D197" s="1"/>
      <c r="E197" s="59">
        <f t="shared" si="44"/>
        <v>0</v>
      </c>
      <c r="F197" s="1"/>
      <c r="G197" s="1"/>
      <c r="H197" s="1"/>
      <c r="I197" s="59">
        <f t="shared" si="45"/>
        <v>0</v>
      </c>
      <c r="J197" s="1"/>
      <c r="K197" s="1"/>
      <c r="L197" s="1"/>
      <c r="M197" s="59">
        <f t="shared" si="46"/>
        <v>0</v>
      </c>
      <c r="N197" s="1"/>
      <c r="O197" s="1"/>
      <c r="P197" s="1"/>
      <c r="Q197" s="59">
        <f t="shared" si="36"/>
        <v>0</v>
      </c>
      <c r="R197" s="59">
        <f>+E197+I197+M197+Q197</f>
        <v>0</v>
      </c>
      <c r="S197" s="94" t="s">
        <v>136</v>
      </c>
      <c r="T197" s="4" t="s">
        <v>137</v>
      </c>
    </row>
    <row r="198" spans="1:20" ht="15.75" customHeight="1" x14ac:dyDescent="0.3">
      <c r="A198" s="17" t="s">
        <v>47</v>
      </c>
      <c r="B198" s="1"/>
      <c r="C198" s="1"/>
      <c r="D198" s="1"/>
      <c r="E198" s="59" t="s">
        <v>7</v>
      </c>
      <c r="F198" s="1"/>
      <c r="G198" s="1"/>
      <c r="H198" s="1"/>
      <c r="I198" s="59" t="s">
        <v>7</v>
      </c>
      <c r="J198" s="1"/>
      <c r="K198" s="1"/>
      <c r="L198" s="1"/>
      <c r="M198" s="59" t="s">
        <v>7</v>
      </c>
      <c r="N198" s="1"/>
      <c r="O198" s="1"/>
      <c r="P198" s="1"/>
      <c r="Q198" s="59" t="s">
        <v>7</v>
      </c>
      <c r="R198" s="59" t="s">
        <v>7</v>
      </c>
    </row>
    <row r="199" spans="1:20" ht="15.75" customHeight="1" x14ac:dyDescent="0.3">
      <c r="A199" s="74" t="s">
        <v>188</v>
      </c>
      <c r="B199" s="1"/>
      <c r="C199" s="1"/>
      <c r="D199" s="1"/>
      <c r="E199" s="59">
        <f t="shared" ref="E199:E208" si="47">SUM(B199:D199)</f>
        <v>0</v>
      </c>
      <c r="F199" s="1"/>
      <c r="G199" s="1"/>
      <c r="H199" s="1"/>
      <c r="I199" s="59">
        <f t="shared" ref="I199:I208" si="48">SUM(F199:H199)</f>
        <v>0</v>
      </c>
      <c r="J199" s="1"/>
      <c r="K199" s="1"/>
      <c r="L199" s="1"/>
      <c r="M199" s="59">
        <f t="shared" ref="M199:M208" si="49">SUM(J199:L199)</f>
        <v>0</v>
      </c>
      <c r="N199" s="1"/>
      <c r="O199" s="1"/>
      <c r="P199" s="1"/>
      <c r="Q199" s="59">
        <f t="shared" ref="Q199:Q208" si="50">SUM(N199:P199)</f>
        <v>0</v>
      </c>
      <c r="R199" s="59">
        <f t="shared" ref="R199:R208" si="51">+E199+I199+M199+Q199</f>
        <v>0</v>
      </c>
    </row>
    <row r="200" spans="1:20" ht="15.75" customHeight="1" x14ac:dyDescent="0.3">
      <c r="A200" s="74" t="s">
        <v>189</v>
      </c>
      <c r="B200" s="1"/>
      <c r="C200" s="1"/>
      <c r="D200" s="1"/>
      <c r="E200" s="59">
        <f>SUM(B200:D200)</f>
        <v>0</v>
      </c>
      <c r="F200" s="1"/>
      <c r="G200" s="1"/>
      <c r="H200" s="1"/>
      <c r="I200" s="59">
        <f>SUM(F200:H200)</f>
        <v>0</v>
      </c>
      <c r="J200" s="1"/>
      <c r="K200" s="1"/>
      <c r="L200" s="1"/>
      <c r="M200" s="59">
        <f>SUM(J200:L200)</f>
        <v>0</v>
      </c>
      <c r="N200" s="1"/>
      <c r="O200" s="1"/>
      <c r="P200" s="1"/>
      <c r="Q200" s="59">
        <f>SUM(N200:P200)</f>
        <v>0</v>
      </c>
      <c r="R200" s="59">
        <f>+E200+I200+M200+Q200</f>
        <v>0</v>
      </c>
      <c r="T200" s="4" t="s">
        <v>127</v>
      </c>
    </row>
    <row r="201" spans="1:20" ht="15.75" customHeight="1" x14ac:dyDescent="0.3">
      <c r="A201" s="74" t="s">
        <v>190</v>
      </c>
      <c r="B201" s="1"/>
      <c r="C201" s="1"/>
      <c r="D201" s="1"/>
      <c r="E201" s="59">
        <f t="shared" si="47"/>
        <v>0</v>
      </c>
      <c r="F201" s="1"/>
      <c r="G201" s="1"/>
      <c r="H201" s="1"/>
      <c r="I201" s="59">
        <f t="shared" si="48"/>
        <v>0</v>
      </c>
      <c r="J201" s="1"/>
      <c r="K201" s="1"/>
      <c r="L201" s="1"/>
      <c r="M201" s="59">
        <f t="shared" si="49"/>
        <v>0</v>
      </c>
      <c r="N201" s="1"/>
      <c r="O201" s="1"/>
      <c r="P201" s="1"/>
      <c r="Q201" s="59">
        <f t="shared" si="50"/>
        <v>0</v>
      </c>
      <c r="R201" s="59">
        <f t="shared" si="51"/>
        <v>0</v>
      </c>
    </row>
    <row r="202" spans="1:20" ht="15.75" customHeight="1" x14ac:dyDescent="0.3">
      <c r="A202" s="74" t="s">
        <v>191</v>
      </c>
      <c r="B202" s="1"/>
      <c r="C202" s="1"/>
      <c r="D202" s="1"/>
      <c r="E202" s="59">
        <f t="shared" si="47"/>
        <v>0</v>
      </c>
      <c r="F202" s="1"/>
      <c r="G202" s="1"/>
      <c r="H202" s="1"/>
      <c r="I202" s="59">
        <f t="shared" si="48"/>
        <v>0</v>
      </c>
      <c r="J202" s="1"/>
      <c r="K202" s="1"/>
      <c r="L202" s="1"/>
      <c r="M202" s="59">
        <f t="shared" si="49"/>
        <v>0</v>
      </c>
      <c r="N202" s="1"/>
      <c r="O202" s="1"/>
      <c r="P202" s="1"/>
      <c r="Q202" s="59">
        <f t="shared" si="50"/>
        <v>0</v>
      </c>
      <c r="R202" s="59">
        <f t="shared" si="51"/>
        <v>0</v>
      </c>
      <c r="T202" s="4" t="s">
        <v>137</v>
      </c>
    </row>
    <row r="203" spans="1:20" ht="15.75" customHeight="1" x14ac:dyDescent="0.3">
      <c r="A203" s="74" t="s">
        <v>192</v>
      </c>
      <c r="B203" s="1"/>
      <c r="C203" s="1"/>
      <c r="D203" s="1"/>
      <c r="E203" s="59">
        <f t="shared" si="47"/>
        <v>0</v>
      </c>
      <c r="F203" s="1"/>
      <c r="G203" s="1"/>
      <c r="H203" s="1"/>
      <c r="I203" s="59">
        <f t="shared" si="48"/>
        <v>0</v>
      </c>
      <c r="J203" s="1"/>
      <c r="K203" s="1"/>
      <c r="L203" s="1"/>
      <c r="M203" s="59">
        <f t="shared" si="49"/>
        <v>0</v>
      </c>
      <c r="N203" s="1"/>
      <c r="O203" s="1"/>
      <c r="P203" s="1"/>
      <c r="Q203" s="59">
        <f t="shared" si="50"/>
        <v>0</v>
      </c>
      <c r="R203" s="59">
        <f t="shared" si="51"/>
        <v>0</v>
      </c>
    </row>
    <row r="204" spans="1:20" ht="15.75" customHeight="1" x14ac:dyDescent="0.3">
      <c r="A204" s="74" t="s">
        <v>193</v>
      </c>
      <c r="B204" s="1"/>
      <c r="C204" s="1"/>
      <c r="D204" s="1"/>
      <c r="E204" s="59">
        <f t="shared" si="47"/>
        <v>0</v>
      </c>
      <c r="F204" s="1"/>
      <c r="G204" s="1"/>
      <c r="H204" s="1"/>
      <c r="I204" s="59">
        <f t="shared" si="48"/>
        <v>0</v>
      </c>
      <c r="J204" s="1"/>
      <c r="K204" s="1"/>
      <c r="L204" s="1"/>
      <c r="M204" s="59">
        <f t="shared" si="49"/>
        <v>0</v>
      </c>
      <c r="N204" s="1"/>
      <c r="O204" s="1"/>
      <c r="P204" s="1"/>
      <c r="Q204" s="59">
        <f t="shared" si="50"/>
        <v>0</v>
      </c>
      <c r="R204" s="59">
        <f t="shared" si="51"/>
        <v>0</v>
      </c>
    </row>
    <row r="205" spans="1:20" ht="15.75" customHeight="1" x14ac:dyDescent="0.3">
      <c r="A205" s="91" t="s">
        <v>194</v>
      </c>
      <c r="B205" s="1"/>
      <c r="C205" s="1"/>
      <c r="D205" s="1"/>
      <c r="E205" s="59">
        <f t="shared" si="47"/>
        <v>0</v>
      </c>
      <c r="F205" s="1"/>
      <c r="G205" s="1"/>
      <c r="H205" s="1"/>
      <c r="I205" s="59">
        <f t="shared" si="48"/>
        <v>0</v>
      </c>
      <c r="J205" s="1"/>
      <c r="K205" s="1"/>
      <c r="L205" s="1"/>
      <c r="M205" s="59">
        <f t="shared" si="49"/>
        <v>0</v>
      </c>
      <c r="N205" s="1"/>
      <c r="O205" s="1"/>
      <c r="P205" s="1"/>
      <c r="Q205" s="59">
        <f t="shared" si="50"/>
        <v>0</v>
      </c>
      <c r="R205" s="59">
        <f t="shared" si="51"/>
        <v>0</v>
      </c>
      <c r="T205" s="4" t="s">
        <v>121</v>
      </c>
    </row>
    <row r="206" spans="1:20" ht="15.75" customHeight="1" x14ac:dyDescent="0.3">
      <c r="A206" s="74" t="s">
        <v>195</v>
      </c>
      <c r="B206" s="1"/>
      <c r="C206" s="1"/>
      <c r="D206" s="1"/>
      <c r="E206" s="59">
        <f t="shared" si="47"/>
        <v>0</v>
      </c>
      <c r="F206" s="1"/>
      <c r="G206" s="1"/>
      <c r="H206" s="1"/>
      <c r="I206" s="59">
        <f t="shared" si="48"/>
        <v>0</v>
      </c>
      <c r="J206" s="1"/>
      <c r="K206" s="1"/>
      <c r="L206" s="1"/>
      <c r="M206" s="59">
        <f t="shared" si="49"/>
        <v>0</v>
      </c>
      <c r="N206" s="1"/>
      <c r="O206" s="1"/>
      <c r="P206" s="1"/>
      <c r="Q206" s="59">
        <f t="shared" si="50"/>
        <v>0</v>
      </c>
      <c r="R206" s="59">
        <f t="shared" si="51"/>
        <v>0</v>
      </c>
      <c r="T206" s="4" t="s">
        <v>137</v>
      </c>
    </row>
    <row r="207" spans="1:20" ht="15.75" customHeight="1" x14ac:dyDescent="0.3">
      <c r="A207" s="74" t="s">
        <v>196</v>
      </c>
      <c r="B207" s="1"/>
      <c r="C207" s="1"/>
      <c r="D207" s="1"/>
      <c r="E207" s="59">
        <f t="shared" si="47"/>
        <v>0</v>
      </c>
      <c r="F207" s="1"/>
      <c r="G207" s="1"/>
      <c r="H207" s="1"/>
      <c r="I207" s="59">
        <f t="shared" si="48"/>
        <v>0</v>
      </c>
      <c r="J207" s="1"/>
      <c r="K207" s="1"/>
      <c r="L207" s="1"/>
      <c r="M207" s="59">
        <f t="shared" si="49"/>
        <v>0</v>
      </c>
      <c r="N207" s="1"/>
      <c r="O207" s="1"/>
      <c r="P207" s="1"/>
      <c r="Q207" s="59">
        <f t="shared" si="50"/>
        <v>0</v>
      </c>
      <c r="R207" s="59">
        <f t="shared" si="51"/>
        <v>0</v>
      </c>
      <c r="T207" s="4" t="s">
        <v>197</v>
      </c>
    </row>
    <row r="208" spans="1:20" ht="15.75" customHeight="1" x14ac:dyDescent="0.3">
      <c r="A208" s="91" t="s">
        <v>198</v>
      </c>
      <c r="B208" s="1"/>
      <c r="C208" s="1"/>
      <c r="D208" s="1"/>
      <c r="E208" s="59">
        <f t="shared" si="47"/>
        <v>0</v>
      </c>
      <c r="F208" s="1"/>
      <c r="G208" s="1"/>
      <c r="H208" s="1"/>
      <c r="I208" s="59">
        <f t="shared" si="48"/>
        <v>0</v>
      </c>
      <c r="J208" s="1"/>
      <c r="K208" s="1"/>
      <c r="L208" s="1"/>
      <c r="M208" s="59">
        <f t="shared" si="49"/>
        <v>0</v>
      </c>
      <c r="N208" s="1"/>
      <c r="O208" s="1"/>
      <c r="P208" s="1"/>
      <c r="Q208" s="59">
        <f t="shared" si="50"/>
        <v>0</v>
      </c>
      <c r="R208" s="59">
        <f t="shared" si="51"/>
        <v>0</v>
      </c>
    </row>
    <row r="209" spans="1:20" ht="15.75" customHeight="1" x14ac:dyDescent="0.3">
      <c r="A209" s="17" t="s">
        <v>49</v>
      </c>
      <c r="B209" s="1"/>
      <c r="C209" s="1"/>
      <c r="D209" s="1"/>
      <c r="E209" s="59" t="s">
        <v>7</v>
      </c>
      <c r="F209" s="1"/>
      <c r="G209" s="1"/>
      <c r="H209" s="1"/>
      <c r="I209" s="59" t="s">
        <v>7</v>
      </c>
      <c r="J209" s="1"/>
      <c r="K209" s="1"/>
      <c r="L209" s="1"/>
      <c r="M209" s="59" t="s">
        <v>7</v>
      </c>
      <c r="N209" s="1"/>
      <c r="O209" s="1"/>
      <c r="P209" s="1"/>
      <c r="Q209" s="59" t="s">
        <v>7</v>
      </c>
      <c r="R209" s="59" t="s">
        <v>7</v>
      </c>
    </row>
    <row r="210" spans="1:20" ht="15.75" customHeight="1" x14ac:dyDescent="0.3">
      <c r="A210" s="99" t="s">
        <v>199</v>
      </c>
      <c r="B210" s="1"/>
      <c r="C210" s="1"/>
      <c r="D210" s="1"/>
      <c r="E210" s="59">
        <f>SUM(B210:D210)</f>
        <v>0</v>
      </c>
      <c r="F210" s="1"/>
      <c r="G210" s="1"/>
      <c r="H210" s="1"/>
      <c r="I210" s="59">
        <f>SUM(F210:H210)</f>
        <v>0</v>
      </c>
      <c r="J210" s="1"/>
      <c r="K210" s="1"/>
      <c r="L210" s="1"/>
      <c r="M210" s="59">
        <f>SUM(J210:L210)</f>
        <v>0</v>
      </c>
      <c r="N210" s="1"/>
      <c r="O210" s="1"/>
      <c r="P210" s="1"/>
      <c r="Q210" s="59">
        <f>SUM(N210:P210)</f>
        <v>0</v>
      </c>
      <c r="R210" s="59">
        <f>+E210+I210+M210+Q210</f>
        <v>0</v>
      </c>
      <c r="S210" s="77" t="s">
        <v>90</v>
      </c>
      <c r="T210" s="4" t="s">
        <v>132</v>
      </c>
    </row>
    <row r="211" spans="1:20" ht="15.75" customHeight="1" x14ac:dyDescent="0.3">
      <c r="A211" s="99" t="s">
        <v>200</v>
      </c>
      <c r="B211" s="1"/>
      <c r="C211" s="1"/>
      <c r="D211" s="1"/>
      <c r="E211" s="59">
        <f>SUM(B211:D211)</f>
        <v>0</v>
      </c>
      <c r="F211" s="1"/>
      <c r="G211" s="1"/>
      <c r="H211" s="1"/>
      <c r="I211" s="59">
        <f>SUM(F211:H211)</f>
        <v>0</v>
      </c>
      <c r="J211" s="1"/>
      <c r="K211" s="1"/>
      <c r="L211" s="1"/>
      <c r="M211" s="59">
        <f>SUM(J211:L211)</f>
        <v>0</v>
      </c>
      <c r="N211" s="1"/>
      <c r="O211" s="1"/>
      <c r="P211" s="1"/>
      <c r="Q211" s="59">
        <f>SUM(N211:P211)</f>
        <v>0</v>
      </c>
      <c r="R211" s="59">
        <f>+E211+I211+M211+Q211</f>
        <v>0</v>
      </c>
      <c r="S211" s="77" t="s">
        <v>90</v>
      </c>
      <c r="T211" s="4" t="s">
        <v>134</v>
      </c>
    </row>
    <row r="212" spans="1:20" ht="15.75" customHeight="1" x14ac:dyDescent="0.3">
      <c r="A212" s="61" t="s">
        <v>201</v>
      </c>
      <c r="B212" s="1"/>
      <c r="C212" s="1"/>
      <c r="D212" s="1"/>
      <c r="E212" s="59">
        <f>SUM(B212:D212)</f>
        <v>0</v>
      </c>
      <c r="F212" s="1"/>
      <c r="G212" s="1"/>
      <c r="H212" s="1"/>
      <c r="I212" s="59">
        <f>SUM(F212:H212)</f>
        <v>0</v>
      </c>
      <c r="J212" s="1"/>
      <c r="K212" s="1"/>
      <c r="L212" s="1"/>
      <c r="M212" s="59">
        <f>SUM(J212:L212)</f>
        <v>0</v>
      </c>
      <c r="N212" s="1"/>
      <c r="O212" s="1"/>
      <c r="P212" s="1"/>
      <c r="Q212" s="59">
        <f>SUM(N212:P212)</f>
        <v>0</v>
      </c>
      <c r="R212" s="59">
        <f>+E212+I212+M212+Q212</f>
        <v>0</v>
      </c>
      <c r="S212" s="77" t="s">
        <v>90</v>
      </c>
      <c r="T212" s="4" t="s">
        <v>202</v>
      </c>
    </row>
    <row r="213" spans="1:20" ht="15.75" customHeight="1" thickBot="1" x14ac:dyDescent="0.35">
      <c r="A213" s="17" t="s">
        <v>51</v>
      </c>
      <c r="B213" s="1"/>
      <c r="C213" s="1"/>
      <c r="D213" s="1"/>
      <c r="E213" s="59" t="s">
        <v>7</v>
      </c>
      <c r="F213" s="1"/>
      <c r="G213" s="1"/>
      <c r="H213" s="1"/>
      <c r="I213" s="59" t="s">
        <v>7</v>
      </c>
      <c r="J213" s="1"/>
      <c r="K213" s="1"/>
      <c r="L213" s="1"/>
      <c r="M213" s="59" t="s">
        <v>7</v>
      </c>
      <c r="N213" s="1"/>
      <c r="O213" s="1"/>
      <c r="P213" s="1"/>
      <c r="Q213" s="59" t="s">
        <v>7</v>
      </c>
      <c r="R213" s="59" t="s">
        <v>7</v>
      </c>
    </row>
    <row r="214" spans="1:20" ht="16.5" customHeight="1" thickBot="1" x14ac:dyDescent="0.35">
      <c r="A214" s="62" t="s">
        <v>52</v>
      </c>
      <c r="B214" s="100">
        <f>SUM(B140:B213)</f>
        <v>17392</v>
      </c>
      <c r="C214" s="101">
        <f>SUM(C140:C213)</f>
        <v>15328</v>
      </c>
      <c r="D214" s="101">
        <f>SUM(D140:D213)</f>
        <v>16031</v>
      </c>
      <c r="E214" s="64">
        <f>SUM(B214:D214)</f>
        <v>48751</v>
      </c>
      <c r="F214" s="101">
        <f>SUM(F140:F213)</f>
        <v>21111</v>
      </c>
      <c r="G214" s="101">
        <f t="shared" ref="G214:H214" si="52">SUM(G140:G213)</f>
        <v>32672</v>
      </c>
      <c r="H214" s="101">
        <f t="shared" si="52"/>
        <v>37663</v>
      </c>
      <c r="I214" s="64">
        <f>SUM(F214:H214)</f>
        <v>91446</v>
      </c>
      <c r="J214" s="101">
        <f>SUM(J140:J213)</f>
        <v>37567</v>
      </c>
      <c r="K214" s="101">
        <f>SUM(K140:K213)</f>
        <v>34947</v>
      </c>
      <c r="L214" s="101">
        <f>SUM(L140:L213)</f>
        <v>27593</v>
      </c>
      <c r="M214" s="64">
        <f>SUM(J214:L214)</f>
        <v>100107</v>
      </c>
      <c r="N214" s="101">
        <f>SUM(N140:N213)</f>
        <v>26949</v>
      </c>
      <c r="O214" s="101">
        <f>SUM(O140:O213)</f>
        <v>24143</v>
      </c>
      <c r="P214" s="101">
        <f>SUM(P140:P213)</f>
        <v>21144</v>
      </c>
      <c r="Q214" s="64">
        <f>SUM(N214:P214)</f>
        <v>72236</v>
      </c>
      <c r="R214" s="64">
        <f>+E214+I214+M214+Q214</f>
        <v>312540</v>
      </c>
    </row>
    <row r="215" spans="1:20" ht="15.75" customHeight="1" x14ac:dyDescent="0.3">
      <c r="A215" s="17" t="s">
        <v>53</v>
      </c>
      <c r="B215" s="1"/>
      <c r="C215" s="1"/>
      <c r="D215" s="1"/>
      <c r="E215" s="59" t="s">
        <v>7</v>
      </c>
      <c r="F215" s="1"/>
      <c r="G215" s="1"/>
      <c r="H215" s="1"/>
      <c r="I215" s="59" t="s">
        <v>7</v>
      </c>
      <c r="J215" s="1"/>
      <c r="K215" s="1"/>
      <c r="L215" s="1"/>
      <c r="M215" s="59" t="s">
        <v>7</v>
      </c>
      <c r="N215" s="1"/>
      <c r="O215" s="1"/>
      <c r="P215" s="1"/>
      <c r="Q215" s="59" t="s">
        <v>7</v>
      </c>
      <c r="R215" s="59" t="s">
        <v>7</v>
      </c>
    </row>
    <row r="216" spans="1:20" ht="15.75" customHeight="1" x14ac:dyDescent="0.3">
      <c r="A216" s="17" t="s">
        <v>54</v>
      </c>
      <c r="B216" s="1"/>
      <c r="C216" s="1"/>
      <c r="D216" s="1"/>
      <c r="E216" s="59" t="s">
        <v>7</v>
      </c>
      <c r="F216" s="1"/>
      <c r="G216" s="1"/>
      <c r="H216" s="1"/>
      <c r="I216" s="59" t="s">
        <v>7</v>
      </c>
      <c r="J216" s="1"/>
      <c r="K216" s="1"/>
      <c r="L216" s="1"/>
      <c r="M216" s="59" t="s">
        <v>7</v>
      </c>
      <c r="N216" s="1"/>
      <c r="O216" s="1"/>
      <c r="P216" s="1"/>
      <c r="Q216" s="59" t="s">
        <v>7</v>
      </c>
      <c r="R216" s="59" t="s">
        <v>7</v>
      </c>
    </row>
    <row r="217" spans="1:20" ht="15.75" customHeight="1" x14ac:dyDescent="0.3">
      <c r="A217" s="17" t="s">
        <v>55</v>
      </c>
      <c r="B217" s="1"/>
      <c r="C217" s="1"/>
      <c r="D217" s="1"/>
      <c r="E217" s="59" t="s">
        <v>7</v>
      </c>
      <c r="F217" s="1"/>
      <c r="G217" s="1"/>
      <c r="H217" s="1"/>
      <c r="I217" s="59" t="s">
        <v>7</v>
      </c>
      <c r="J217" s="1"/>
      <c r="K217" s="1"/>
      <c r="L217" s="1"/>
      <c r="M217" s="59" t="s">
        <v>7</v>
      </c>
      <c r="N217" s="1"/>
      <c r="O217" s="1"/>
      <c r="P217" s="1"/>
      <c r="Q217" s="59" t="s">
        <v>7</v>
      </c>
      <c r="R217" s="59" t="s">
        <v>7</v>
      </c>
    </row>
    <row r="218" spans="1:20" ht="15.75" customHeight="1" x14ac:dyDescent="0.3">
      <c r="A218" s="99" t="s">
        <v>203</v>
      </c>
      <c r="B218" s="1"/>
      <c r="C218" s="1"/>
      <c r="D218" s="1"/>
      <c r="E218" s="59">
        <f>SUM(B218:D218)</f>
        <v>0</v>
      </c>
      <c r="F218" s="1"/>
      <c r="G218" s="1"/>
      <c r="H218" s="1"/>
      <c r="I218" s="59">
        <f>SUM(F218:H218)</f>
        <v>0</v>
      </c>
      <c r="J218" s="1"/>
      <c r="K218" s="1"/>
      <c r="L218" s="1"/>
      <c r="M218" s="59">
        <f>SUM(J218:L218)</f>
        <v>0</v>
      </c>
      <c r="N218" s="1"/>
      <c r="O218" s="1"/>
      <c r="P218" s="1"/>
      <c r="Q218" s="59">
        <f>SUM(N218:P218)</f>
        <v>0</v>
      </c>
      <c r="R218" s="59">
        <f>+E218+I218+M218+Q218</f>
        <v>0</v>
      </c>
      <c r="T218" s="4" t="s">
        <v>121</v>
      </c>
    </row>
    <row r="219" spans="1:20" ht="15.75" customHeight="1" x14ac:dyDescent="0.3">
      <c r="A219" s="76" t="s">
        <v>204</v>
      </c>
      <c r="B219" s="1"/>
      <c r="C219" s="1"/>
      <c r="D219" s="1"/>
      <c r="E219" s="59">
        <f>SUM(B219:D219)</f>
        <v>0</v>
      </c>
      <c r="F219" s="1"/>
      <c r="G219" s="1"/>
      <c r="H219" s="1"/>
      <c r="I219" s="59">
        <f>SUM(F219:H219)</f>
        <v>0</v>
      </c>
      <c r="J219" s="1"/>
      <c r="K219" s="1"/>
      <c r="L219" s="1"/>
      <c r="M219" s="59">
        <f>SUM(J219:L219)</f>
        <v>0</v>
      </c>
      <c r="N219" s="1"/>
      <c r="O219" s="1"/>
      <c r="P219" s="1"/>
      <c r="Q219" s="59">
        <f>SUM(N219:P219)</f>
        <v>0</v>
      </c>
      <c r="R219" s="59">
        <f>+E219+I219+M219+Q219</f>
        <v>0</v>
      </c>
      <c r="S219" s="4" t="s">
        <v>136</v>
      </c>
      <c r="T219" s="4" t="s">
        <v>137</v>
      </c>
    </row>
    <row r="220" spans="1:20" ht="15.75" customHeight="1" thickBot="1" x14ac:dyDescent="0.35">
      <c r="A220" s="17" t="s">
        <v>56</v>
      </c>
      <c r="B220" s="1"/>
      <c r="C220" s="1"/>
      <c r="D220" s="1"/>
      <c r="E220" s="59" t="s">
        <v>7</v>
      </c>
      <c r="F220" s="1"/>
      <c r="G220" s="1"/>
      <c r="H220" s="1"/>
      <c r="I220" s="59" t="s">
        <v>7</v>
      </c>
      <c r="J220" s="1"/>
      <c r="K220" s="1"/>
      <c r="L220" s="1"/>
      <c r="M220" s="59" t="s">
        <v>7</v>
      </c>
      <c r="N220" s="1"/>
      <c r="O220" s="1"/>
      <c r="P220" s="1"/>
      <c r="Q220" s="59" t="s">
        <v>7</v>
      </c>
      <c r="R220" s="59" t="s">
        <v>7</v>
      </c>
    </row>
    <row r="221" spans="1:20" ht="16.5" customHeight="1" thickBot="1" x14ac:dyDescent="0.35">
      <c r="A221" s="62" t="s">
        <v>57</v>
      </c>
      <c r="B221" s="100">
        <f>SUM(B215:B220)</f>
        <v>0</v>
      </c>
      <c r="C221" s="101">
        <f>SUM(C215:C220)</f>
        <v>0</v>
      </c>
      <c r="D221" s="101">
        <f>SUM(D215:D220)</f>
        <v>0</v>
      </c>
      <c r="E221" s="64">
        <f>SUM(B221:D221)</f>
        <v>0</v>
      </c>
      <c r="F221" s="101"/>
      <c r="G221" s="101"/>
      <c r="H221" s="101"/>
      <c r="I221" s="64">
        <f>SUM(F221:H221)</f>
        <v>0</v>
      </c>
      <c r="J221" s="101">
        <f>SUM(J215:J220)</f>
        <v>0</v>
      </c>
      <c r="K221" s="101">
        <f>SUM(K215:K220)</f>
        <v>0</v>
      </c>
      <c r="L221" s="101">
        <f>SUM(L215:L220)</f>
        <v>0</v>
      </c>
      <c r="M221" s="64">
        <f>SUM(J221:L221)</f>
        <v>0</v>
      </c>
      <c r="N221" s="101">
        <f>SUM(N215:N220)</f>
        <v>0</v>
      </c>
      <c r="O221" s="101">
        <f>SUM(O215:O220)</f>
        <v>0</v>
      </c>
      <c r="P221" s="101">
        <f>SUM(P215:P220)</f>
        <v>0</v>
      </c>
      <c r="Q221" s="64">
        <f>SUM(N221:P221)</f>
        <v>0</v>
      </c>
      <c r="R221" s="64">
        <f>+E221+I221+M221+Q221</f>
        <v>0</v>
      </c>
    </row>
    <row r="222" spans="1:20" ht="15.75" customHeight="1" x14ac:dyDescent="0.3">
      <c r="A222" s="17" t="s">
        <v>58</v>
      </c>
      <c r="B222" s="1"/>
      <c r="C222" s="1"/>
      <c r="D222" s="1"/>
      <c r="E222" s="59" t="s">
        <v>7</v>
      </c>
      <c r="F222" s="1"/>
      <c r="G222" s="1"/>
      <c r="H222" s="1"/>
      <c r="I222" s="59" t="s">
        <v>7</v>
      </c>
      <c r="J222" s="1"/>
      <c r="K222" s="1"/>
      <c r="L222" s="1"/>
      <c r="M222" s="59" t="s">
        <v>7</v>
      </c>
      <c r="N222" s="1"/>
      <c r="O222" s="1"/>
      <c r="P222" s="1"/>
      <c r="Q222" s="59" t="s">
        <v>7</v>
      </c>
      <c r="R222" s="59" t="s">
        <v>7</v>
      </c>
    </row>
    <row r="223" spans="1:20" ht="15.75" customHeight="1" x14ac:dyDescent="0.3">
      <c r="A223" s="17" t="s">
        <v>59</v>
      </c>
      <c r="B223" s="1"/>
      <c r="C223" s="1"/>
      <c r="D223" s="1"/>
      <c r="E223" s="59" t="s">
        <v>7</v>
      </c>
      <c r="F223" s="1"/>
      <c r="G223" s="1"/>
      <c r="H223" s="1"/>
      <c r="I223" s="59" t="s">
        <v>7</v>
      </c>
      <c r="J223" s="1"/>
      <c r="K223" s="1"/>
      <c r="L223" s="1"/>
      <c r="M223" s="59" t="s">
        <v>7</v>
      </c>
      <c r="N223" s="1"/>
      <c r="O223" s="1"/>
      <c r="P223" s="1"/>
      <c r="Q223" s="59" t="s">
        <v>7</v>
      </c>
      <c r="R223" s="59" t="s">
        <v>7</v>
      </c>
    </row>
    <row r="224" spans="1:20" ht="15.75" customHeight="1" x14ac:dyDescent="0.3">
      <c r="A224" s="17" t="s">
        <v>60</v>
      </c>
      <c r="B224" s="1"/>
      <c r="C224" s="1"/>
      <c r="D224" s="1"/>
      <c r="E224" s="59" t="s">
        <v>7</v>
      </c>
      <c r="F224" s="1"/>
      <c r="G224" s="1"/>
      <c r="H224" s="1"/>
      <c r="I224" s="59" t="s">
        <v>7</v>
      </c>
      <c r="J224" s="1"/>
      <c r="K224" s="1"/>
      <c r="L224" s="1"/>
      <c r="M224" s="59" t="s">
        <v>7</v>
      </c>
      <c r="N224" s="1"/>
      <c r="O224" s="1"/>
      <c r="P224" s="1"/>
      <c r="Q224" s="59" t="s">
        <v>7</v>
      </c>
      <c r="R224" s="59" t="s">
        <v>7</v>
      </c>
    </row>
    <row r="225" spans="1:20" ht="15.75" customHeight="1" x14ac:dyDescent="0.3">
      <c r="A225" s="102" t="s">
        <v>205</v>
      </c>
      <c r="B225" s="1">
        <v>339</v>
      </c>
      <c r="C225" s="1">
        <v>308</v>
      </c>
      <c r="D225" s="1">
        <v>368</v>
      </c>
      <c r="E225" s="59">
        <f t="shared" ref="E225:E232" si="53">SUM(B225:D225)</f>
        <v>1015</v>
      </c>
      <c r="F225" s="1">
        <v>433</v>
      </c>
      <c r="G225" s="1">
        <v>570</v>
      </c>
      <c r="H225" s="1">
        <v>640</v>
      </c>
      <c r="I225" s="59">
        <f t="shared" ref="I225:I232" si="54">SUM(F225:H225)</f>
        <v>1643</v>
      </c>
      <c r="J225" s="1">
        <v>621</v>
      </c>
      <c r="K225" s="1">
        <v>575</v>
      </c>
      <c r="L225" s="1">
        <v>495</v>
      </c>
      <c r="M225" s="59">
        <f t="shared" ref="M225:M232" si="55">SUM(J225:L225)</f>
        <v>1691</v>
      </c>
      <c r="N225" s="1">
        <v>519</v>
      </c>
      <c r="O225" s="1">
        <v>394</v>
      </c>
      <c r="P225" s="1">
        <v>310</v>
      </c>
      <c r="Q225" s="59">
        <f t="shared" ref="Q225:Q231" si="56">SUM(N225:P225)</f>
        <v>1223</v>
      </c>
      <c r="R225" s="59">
        <f t="shared" ref="R225:R290" si="57">+E225+I225+M225+Q225</f>
        <v>5572</v>
      </c>
      <c r="T225" s="4" t="s">
        <v>206</v>
      </c>
    </row>
    <row r="226" spans="1:20" ht="15.75" customHeight="1" x14ac:dyDescent="0.3">
      <c r="A226" s="102" t="s">
        <v>207</v>
      </c>
      <c r="B226" s="1"/>
      <c r="C226" s="1"/>
      <c r="D226" s="1">
        <v>357</v>
      </c>
      <c r="E226" s="59">
        <f t="shared" si="53"/>
        <v>357</v>
      </c>
      <c r="F226" s="1"/>
      <c r="G226" s="1"/>
      <c r="H226" s="1"/>
      <c r="I226" s="59">
        <f t="shared" si="54"/>
        <v>0</v>
      </c>
      <c r="J226" s="1"/>
      <c r="K226" s="1"/>
      <c r="L226" s="1"/>
      <c r="M226" s="59">
        <f t="shared" si="55"/>
        <v>0</v>
      </c>
      <c r="N226" s="1"/>
      <c r="O226" s="1"/>
      <c r="P226" s="1"/>
      <c r="Q226" s="59">
        <f t="shared" si="56"/>
        <v>0</v>
      </c>
      <c r="R226" s="59">
        <f t="shared" si="57"/>
        <v>357</v>
      </c>
      <c r="T226" s="4" t="s">
        <v>121</v>
      </c>
    </row>
    <row r="227" spans="1:20" ht="15.75" customHeight="1" x14ac:dyDescent="0.3">
      <c r="A227" s="76" t="s">
        <v>208</v>
      </c>
      <c r="B227" s="1"/>
      <c r="C227" s="1"/>
      <c r="D227" s="1"/>
      <c r="E227" s="59">
        <f t="shared" si="53"/>
        <v>0</v>
      </c>
      <c r="F227" s="1"/>
      <c r="G227" s="1"/>
      <c r="H227" s="1"/>
      <c r="I227" s="59">
        <f t="shared" si="54"/>
        <v>0</v>
      </c>
      <c r="J227" s="1"/>
      <c r="K227" s="1"/>
      <c r="L227" s="1"/>
      <c r="M227" s="59">
        <f t="shared" si="55"/>
        <v>0</v>
      </c>
      <c r="N227" s="1"/>
      <c r="O227" s="1"/>
      <c r="P227" s="1"/>
      <c r="Q227" s="59">
        <f t="shared" si="56"/>
        <v>0</v>
      </c>
      <c r="R227" s="59">
        <f t="shared" si="57"/>
        <v>0</v>
      </c>
    </row>
    <row r="228" spans="1:20" ht="15.75" customHeight="1" x14ac:dyDescent="0.3">
      <c r="A228" s="102" t="s">
        <v>209</v>
      </c>
      <c r="B228" s="1"/>
      <c r="C228" s="1"/>
      <c r="D228" s="1"/>
      <c r="E228" s="59">
        <f t="shared" si="53"/>
        <v>0</v>
      </c>
      <c r="F228" s="1"/>
      <c r="G228" s="1"/>
      <c r="H228" s="1">
        <v>59</v>
      </c>
      <c r="I228" s="59">
        <f t="shared" si="54"/>
        <v>59</v>
      </c>
      <c r="J228" s="1">
        <v>126</v>
      </c>
      <c r="K228" s="1">
        <v>126</v>
      </c>
      <c r="L228" s="1">
        <v>103</v>
      </c>
      <c r="M228" s="59">
        <f t="shared" si="55"/>
        <v>355</v>
      </c>
      <c r="N228" s="1">
        <v>109</v>
      </c>
      <c r="O228" s="1">
        <v>43</v>
      </c>
      <c r="P228" s="1">
        <v>21</v>
      </c>
      <c r="Q228" s="59">
        <f t="shared" si="56"/>
        <v>173</v>
      </c>
      <c r="R228" s="59">
        <f t="shared" si="57"/>
        <v>587</v>
      </c>
      <c r="T228" s="4" t="s">
        <v>127</v>
      </c>
    </row>
    <row r="229" spans="1:20" ht="15.75" customHeight="1" x14ac:dyDescent="0.3">
      <c r="A229" s="102" t="s">
        <v>210</v>
      </c>
      <c r="B229" s="1"/>
      <c r="C229" s="1"/>
      <c r="D229" s="1"/>
      <c r="E229" s="59">
        <f t="shared" si="53"/>
        <v>0</v>
      </c>
      <c r="F229" s="1"/>
      <c r="G229" s="1"/>
      <c r="H229" s="1"/>
      <c r="I229" s="59">
        <f t="shared" si="54"/>
        <v>0</v>
      </c>
      <c r="J229" s="1"/>
      <c r="K229" s="1"/>
      <c r="L229" s="1"/>
      <c r="M229" s="59">
        <f t="shared" si="55"/>
        <v>0</v>
      </c>
      <c r="N229" s="1"/>
      <c r="O229" s="1"/>
      <c r="P229" s="1"/>
      <c r="Q229" s="59">
        <f t="shared" si="56"/>
        <v>0</v>
      </c>
      <c r="R229" s="59">
        <f>+E229+I229+M229+Q229</f>
        <v>0</v>
      </c>
      <c r="T229" s="4" t="s">
        <v>134</v>
      </c>
    </row>
    <row r="230" spans="1:20" ht="15.75" customHeight="1" x14ac:dyDescent="0.3">
      <c r="A230" s="102" t="s">
        <v>211</v>
      </c>
      <c r="B230" s="1"/>
      <c r="C230" s="1"/>
      <c r="D230" s="1"/>
      <c r="E230" s="59">
        <f t="shared" si="53"/>
        <v>0</v>
      </c>
      <c r="F230" s="1"/>
      <c r="G230" s="1"/>
      <c r="H230" s="1"/>
      <c r="I230" s="59">
        <f t="shared" si="54"/>
        <v>0</v>
      </c>
      <c r="J230" s="1"/>
      <c r="K230" s="1"/>
      <c r="L230" s="1"/>
      <c r="M230" s="59">
        <f t="shared" si="55"/>
        <v>0</v>
      </c>
      <c r="N230" s="1"/>
      <c r="O230" s="1"/>
      <c r="P230" s="1"/>
      <c r="Q230" s="59">
        <f t="shared" si="56"/>
        <v>0</v>
      </c>
      <c r="R230" s="59">
        <f>+E230+I230+M230+Q230</f>
        <v>0</v>
      </c>
      <c r="T230" s="4" t="s">
        <v>134</v>
      </c>
    </row>
    <row r="231" spans="1:20" ht="15.75" customHeight="1" x14ac:dyDescent="0.3">
      <c r="A231" s="76" t="s">
        <v>212</v>
      </c>
      <c r="B231" s="1"/>
      <c r="C231" s="1"/>
      <c r="D231" s="1"/>
      <c r="E231" s="59">
        <f t="shared" si="53"/>
        <v>0</v>
      </c>
      <c r="F231" s="1"/>
      <c r="G231" s="1"/>
      <c r="H231" s="1"/>
      <c r="I231" s="59">
        <f t="shared" si="54"/>
        <v>0</v>
      </c>
      <c r="J231" s="1"/>
      <c r="K231" s="1"/>
      <c r="L231" s="1"/>
      <c r="M231" s="59">
        <f t="shared" si="55"/>
        <v>0</v>
      </c>
      <c r="N231" s="1"/>
      <c r="O231" s="1"/>
      <c r="P231" s="1"/>
      <c r="Q231" s="59">
        <f t="shared" si="56"/>
        <v>0</v>
      </c>
      <c r="R231" s="59">
        <f>+E231+I231+M231+Q231</f>
        <v>0</v>
      </c>
      <c r="S231" s="94"/>
      <c r="T231" s="4" t="s">
        <v>137</v>
      </c>
    </row>
    <row r="232" spans="1:20" ht="15.75" customHeight="1" x14ac:dyDescent="0.3">
      <c r="A232" s="76" t="s">
        <v>214</v>
      </c>
      <c r="B232" s="1"/>
      <c r="C232" s="1"/>
      <c r="D232" s="1"/>
      <c r="E232" s="59">
        <f t="shared" si="53"/>
        <v>0</v>
      </c>
      <c r="F232" s="1">
        <v>200</v>
      </c>
      <c r="G232" s="1"/>
      <c r="H232" s="1"/>
      <c r="I232" s="59">
        <f t="shared" si="54"/>
        <v>200</v>
      </c>
      <c r="J232" s="1"/>
      <c r="K232" s="1"/>
      <c r="L232" s="1"/>
      <c r="M232" s="59">
        <f t="shared" si="55"/>
        <v>0</v>
      </c>
      <c r="N232" s="1"/>
      <c r="O232" s="1"/>
      <c r="P232" s="1"/>
      <c r="Q232" s="59">
        <f t="shared" ref="Q232" si="58">SUM(N232:P232)</f>
        <v>0</v>
      </c>
      <c r="R232" s="59">
        <f>+E232+I232+M232+Q232</f>
        <v>200</v>
      </c>
      <c r="S232" s="94"/>
    </row>
    <row r="233" spans="1:20" ht="15.75" customHeight="1" x14ac:dyDescent="0.3">
      <c r="A233" s="76" t="s">
        <v>215</v>
      </c>
      <c r="B233" s="1">
        <v>800</v>
      </c>
      <c r="C233" s="1"/>
      <c r="D233" s="1"/>
      <c r="E233" s="59">
        <f>SUM(B233:D233)</f>
        <v>800</v>
      </c>
      <c r="F233" s="1"/>
      <c r="G233" s="1"/>
      <c r="H233" s="1"/>
      <c r="I233" s="59">
        <f t="shared" ref="I233:I288" si="59">SUM(F233:H233)</f>
        <v>0</v>
      </c>
      <c r="J233" s="1"/>
      <c r="K233" s="1"/>
      <c r="L233" s="1"/>
      <c r="M233" s="59">
        <f t="shared" ref="M233:M288" si="60">SUM(J233:L233)</f>
        <v>0</v>
      </c>
      <c r="N233" s="1"/>
      <c r="O233" s="1"/>
      <c r="P233" s="1"/>
      <c r="Q233" s="59">
        <f t="shared" ref="Q233:Q288" si="61">SUM(N233:P233)</f>
        <v>0</v>
      </c>
      <c r="R233" s="59">
        <f t="shared" si="57"/>
        <v>800</v>
      </c>
      <c r="S233" s="4" t="s">
        <v>136</v>
      </c>
    </row>
    <row r="234" spans="1:20" ht="15.75" customHeight="1" x14ac:dyDescent="0.3">
      <c r="A234" s="103" t="s">
        <v>216</v>
      </c>
      <c r="B234" s="1"/>
      <c r="C234" s="1"/>
      <c r="D234" s="1"/>
      <c r="E234" s="59">
        <f t="shared" ref="E234" si="62">SUM(B234:D234)</f>
        <v>0</v>
      </c>
      <c r="F234" s="1"/>
      <c r="G234" s="1"/>
      <c r="H234" s="1"/>
      <c r="I234" s="59">
        <f t="shared" si="59"/>
        <v>0</v>
      </c>
      <c r="J234" s="1"/>
      <c r="K234" s="1"/>
      <c r="L234" s="1"/>
      <c r="M234" s="59">
        <f t="shared" si="60"/>
        <v>0</v>
      </c>
      <c r="N234" s="1"/>
      <c r="O234" s="1"/>
      <c r="P234" s="1"/>
      <c r="Q234" s="59">
        <f t="shared" si="61"/>
        <v>0</v>
      </c>
      <c r="R234" s="59">
        <f>+E234+I234+M234+Q234</f>
        <v>0</v>
      </c>
      <c r="T234" s="4" t="s">
        <v>217</v>
      </c>
    </row>
    <row r="235" spans="1:20" ht="15.75" customHeight="1" x14ac:dyDescent="0.3">
      <c r="A235" s="76" t="s">
        <v>218</v>
      </c>
      <c r="B235" s="1">
        <v>682</v>
      </c>
      <c r="C235" s="1"/>
      <c r="D235" s="1"/>
      <c r="E235" s="59">
        <f>SUM(B235:D235)</f>
        <v>682</v>
      </c>
      <c r="F235" s="1"/>
      <c r="G235" s="1"/>
      <c r="H235" s="1"/>
      <c r="I235" s="59">
        <f>SUM(F235:H235)</f>
        <v>0</v>
      </c>
      <c r="J235" s="1"/>
      <c r="K235" s="1"/>
      <c r="L235" s="1"/>
      <c r="M235" s="59">
        <f>SUM(J235:L235)</f>
        <v>0</v>
      </c>
      <c r="N235" s="1"/>
      <c r="O235" s="1"/>
      <c r="P235" s="1"/>
      <c r="Q235" s="59">
        <f>SUM(N235:P235)</f>
        <v>0</v>
      </c>
      <c r="R235" s="59">
        <f t="shared" si="57"/>
        <v>682</v>
      </c>
      <c r="T235" s="4" t="s">
        <v>158</v>
      </c>
    </row>
    <row r="236" spans="1:20" ht="15.75" customHeight="1" x14ac:dyDescent="0.3">
      <c r="A236" s="102" t="s">
        <v>219</v>
      </c>
      <c r="B236" s="1"/>
      <c r="C236" s="1"/>
      <c r="D236" s="1"/>
      <c r="E236" s="59">
        <f>SUM(B236:D236)</f>
        <v>0</v>
      </c>
      <c r="F236" s="1"/>
      <c r="G236" s="1"/>
      <c r="H236" s="1"/>
      <c r="I236" s="59">
        <f>SUM(F236:H236)</f>
        <v>0</v>
      </c>
      <c r="J236" s="1"/>
      <c r="K236" s="1"/>
      <c r="L236" s="1"/>
      <c r="M236" s="59">
        <f>SUM(J236:L236)</f>
        <v>0</v>
      </c>
      <c r="N236" s="1"/>
      <c r="O236" s="1"/>
      <c r="P236" s="1"/>
      <c r="Q236" s="59">
        <f>SUM(N236:P236)</f>
        <v>0</v>
      </c>
      <c r="R236" s="59">
        <f t="shared" si="57"/>
        <v>0</v>
      </c>
    </row>
    <row r="237" spans="1:20" ht="15.75" customHeight="1" x14ac:dyDescent="0.3">
      <c r="A237" s="76" t="s">
        <v>220</v>
      </c>
      <c r="B237" s="1"/>
      <c r="C237" s="1"/>
      <c r="D237" s="1"/>
      <c r="E237" s="59">
        <f t="shared" ref="E237:E277" si="63">SUM(B237:D237)</f>
        <v>0</v>
      </c>
      <c r="F237" s="1"/>
      <c r="G237" s="1"/>
      <c r="H237" s="1"/>
      <c r="I237" s="59">
        <f t="shared" si="59"/>
        <v>0</v>
      </c>
      <c r="J237" s="1"/>
      <c r="K237" s="1"/>
      <c r="L237" s="1"/>
      <c r="M237" s="59">
        <f t="shared" si="60"/>
        <v>0</v>
      </c>
      <c r="N237" s="1"/>
      <c r="O237" s="1"/>
      <c r="P237" s="1"/>
      <c r="Q237" s="59">
        <f t="shared" si="61"/>
        <v>0</v>
      </c>
      <c r="R237" s="59">
        <f t="shared" si="57"/>
        <v>0</v>
      </c>
    </row>
    <row r="238" spans="1:20" ht="15.75" customHeight="1" x14ac:dyDescent="0.3">
      <c r="A238" s="76" t="s">
        <v>221</v>
      </c>
      <c r="B238" s="1">
        <v>23</v>
      </c>
      <c r="C238" s="1"/>
      <c r="D238" s="1"/>
      <c r="E238" s="59">
        <f t="shared" si="63"/>
        <v>23</v>
      </c>
      <c r="F238" s="1"/>
      <c r="G238" s="1"/>
      <c r="H238" s="1"/>
      <c r="I238" s="59">
        <f t="shared" si="59"/>
        <v>0</v>
      </c>
      <c r="J238" s="1"/>
      <c r="K238" s="1"/>
      <c r="L238" s="1"/>
      <c r="M238" s="59">
        <f t="shared" si="60"/>
        <v>0</v>
      </c>
      <c r="N238" s="1"/>
      <c r="O238" s="1"/>
      <c r="P238" s="1"/>
      <c r="Q238" s="59">
        <f t="shared" si="61"/>
        <v>0</v>
      </c>
      <c r="R238" s="59">
        <f t="shared" si="57"/>
        <v>23</v>
      </c>
    </row>
    <row r="239" spans="1:20" ht="15.75" customHeight="1" x14ac:dyDescent="0.3">
      <c r="A239" s="76" t="s">
        <v>222</v>
      </c>
      <c r="B239" s="1">
        <v>23</v>
      </c>
      <c r="C239" s="1"/>
      <c r="D239" s="1"/>
      <c r="E239" s="59">
        <f t="shared" si="63"/>
        <v>23</v>
      </c>
      <c r="F239" s="1"/>
      <c r="G239" s="1"/>
      <c r="H239" s="1"/>
      <c r="I239" s="59">
        <f t="shared" si="59"/>
        <v>0</v>
      </c>
      <c r="J239" s="1"/>
      <c r="K239" s="1"/>
      <c r="L239" s="1"/>
      <c r="M239" s="59">
        <f t="shared" si="60"/>
        <v>0</v>
      </c>
      <c r="N239" s="1"/>
      <c r="O239" s="1"/>
      <c r="P239" s="1"/>
      <c r="Q239" s="59">
        <f t="shared" si="61"/>
        <v>0</v>
      </c>
      <c r="R239" s="59">
        <f t="shared" si="57"/>
        <v>23</v>
      </c>
      <c r="S239" s="4" t="s">
        <v>136</v>
      </c>
      <c r="T239" s="4" t="s">
        <v>137</v>
      </c>
    </row>
    <row r="240" spans="1:20" ht="15.75" customHeight="1" x14ac:dyDescent="0.3">
      <c r="A240" s="76" t="s">
        <v>223</v>
      </c>
      <c r="B240" s="1"/>
      <c r="C240" s="1"/>
      <c r="D240" s="1"/>
      <c r="E240" s="59">
        <f t="shared" si="63"/>
        <v>0</v>
      </c>
      <c r="F240" s="1"/>
      <c r="G240" s="1"/>
      <c r="H240" s="1"/>
      <c r="I240" s="59">
        <f t="shared" si="59"/>
        <v>0</v>
      </c>
      <c r="J240" s="1"/>
      <c r="K240" s="1"/>
      <c r="L240" s="1"/>
      <c r="M240" s="59">
        <f t="shared" si="60"/>
        <v>0</v>
      </c>
      <c r="N240" s="1"/>
      <c r="O240" s="1"/>
      <c r="P240" s="1"/>
      <c r="Q240" s="59">
        <f t="shared" si="61"/>
        <v>0</v>
      </c>
      <c r="R240" s="59">
        <f t="shared" si="57"/>
        <v>0</v>
      </c>
      <c r="S240" s="4" t="s">
        <v>136</v>
      </c>
      <c r="T240" s="4" t="s">
        <v>137</v>
      </c>
    </row>
    <row r="241" spans="1:20" ht="15.75" customHeight="1" x14ac:dyDescent="0.3">
      <c r="A241" s="76" t="s">
        <v>224</v>
      </c>
      <c r="B241" s="1"/>
      <c r="C241" s="1"/>
      <c r="D241" s="1"/>
      <c r="E241" s="59">
        <f t="shared" si="63"/>
        <v>0</v>
      </c>
      <c r="F241" s="1"/>
      <c r="G241" s="1"/>
      <c r="H241" s="1"/>
      <c r="I241" s="59">
        <f t="shared" si="59"/>
        <v>0</v>
      </c>
      <c r="J241" s="1"/>
      <c r="K241" s="1"/>
      <c r="L241" s="1"/>
      <c r="M241" s="59">
        <f t="shared" si="60"/>
        <v>0</v>
      </c>
      <c r="N241" s="1">
        <f>740+555</f>
        <v>1295</v>
      </c>
      <c r="O241" s="1">
        <f>500+486</f>
        <v>986</v>
      </c>
      <c r="P241" s="1">
        <v>640</v>
      </c>
      <c r="Q241" s="59">
        <f t="shared" si="61"/>
        <v>2921</v>
      </c>
      <c r="R241" s="59">
        <f t="shared" si="57"/>
        <v>2921</v>
      </c>
    </row>
    <row r="242" spans="1:20" ht="15.75" customHeight="1" x14ac:dyDescent="0.3">
      <c r="A242" s="76" t="s">
        <v>225</v>
      </c>
      <c r="B242" s="1"/>
      <c r="C242" s="1"/>
      <c r="D242" s="1"/>
      <c r="E242" s="59">
        <f t="shared" si="63"/>
        <v>0</v>
      </c>
      <c r="F242" s="1"/>
      <c r="H242" s="1"/>
      <c r="I242" s="59">
        <f t="shared" si="59"/>
        <v>0</v>
      </c>
      <c r="J242" s="1"/>
      <c r="K242" s="1"/>
      <c r="L242" s="1">
        <v>59</v>
      </c>
      <c r="M242" s="59">
        <f t="shared" si="60"/>
        <v>59</v>
      </c>
      <c r="N242" s="1">
        <v>73</v>
      </c>
      <c r="O242" s="1">
        <f>41+1</f>
        <v>42</v>
      </c>
      <c r="P242" s="1">
        <f>16+3</f>
        <v>19</v>
      </c>
      <c r="Q242" s="59">
        <f t="shared" si="61"/>
        <v>134</v>
      </c>
      <c r="R242" s="59">
        <f t="shared" si="57"/>
        <v>193</v>
      </c>
    </row>
    <row r="243" spans="1:20" ht="15.75" customHeight="1" x14ac:dyDescent="0.3">
      <c r="A243" s="102" t="s">
        <v>226</v>
      </c>
      <c r="B243" s="1"/>
      <c r="C243" s="1"/>
      <c r="D243" s="1"/>
      <c r="E243" s="59">
        <f t="shared" si="63"/>
        <v>0</v>
      </c>
      <c r="F243" s="1"/>
      <c r="G243" s="1"/>
      <c r="H243" s="1"/>
      <c r="I243" s="59">
        <f t="shared" si="59"/>
        <v>0</v>
      </c>
      <c r="J243" s="1"/>
      <c r="K243" s="1"/>
      <c r="L243" s="1"/>
      <c r="M243" s="59">
        <f t="shared" si="60"/>
        <v>0</v>
      </c>
      <c r="N243" s="1"/>
      <c r="O243" s="1"/>
      <c r="P243" s="1"/>
      <c r="Q243" s="59">
        <f t="shared" si="61"/>
        <v>0</v>
      </c>
      <c r="R243" s="59">
        <f t="shared" si="57"/>
        <v>0</v>
      </c>
      <c r="T243" s="4" t="s">
        <v>121</v>
      </c>
    </row>
    <row r="244" spans="1:20" ht="15.75" customHeight="1" x14ac:dyDescent="0.3">
      <c r="A244" s="76" t="s">
        <v>227</v>
      </c>
      <c r="B244" s="1"/>
      <c r="C244" s="1"/>
      <c r="D244" s="1"/>
      <c r="E244" s="59">
        <f t="shared" si="63"/>
        <v>0</v>
      </c>
      <c r="F244" s="1"/>
      <c r="G244" s="1"/>
      <c r="H244" s="1"/>
      <c r="I244" s="59">
        <f t="shared" si="59"/>
        <v>0</v>
      </c>
      <c r="J244" s="1"/>
      <c r="K244" s="1"/>
      <c r="L244" s="1"/>
      <c r="M244" s="59">
        <f t="shared" si="60"/>
        <v>0</v>
      </c>
      <c r="N244" s="1"/>
      <c r="O244" s="1"/>
      <c r="P244" s="1"/>
      <c r="Q244" s="59">
        <f>SUM(N244:P244)</f>
        <v>0</v>
      </c>
      <c r="R244" s="59">
        <f>+E244+I244+M244+Q244</f>
        <v>0</v>
      </c>
      <c r="S244" s="94"/>
      <c r="T244" s="4" t="s">
        <v>137</v>
      </c>
    </row>
    <row r="245" spans="1:20" ht="15.75" customHeight="1" x14ac:dyDescent="0.3">
      <c r="A245" s="102" t="s">
        <v>228</v>
      </c>
      <c r="B245" s="1"/>
      <c r="C245" s="1"/>
      <c r="D245" s="1">
        <v>1326</v>
      </c>
      <c r="E245" s="59">
        <f>SUM(B245:D245)</f>
        <v>1326</v>
      </c>
      <c r="F245" s="1">
        <v>1900</v>
      </c>
      <c r="G245" s="1">
        <v>2200</v>
      </c>
      <c r="H245" s="1">
        <v>1574</v>
      </c>
      <c r="I245" s="59">
        <f t="shared" si="59"/>
        <v>5674</v>
      </c>
      <c r="J245" s="1"/>
      <c r="K245" s="1"/>
      <c r="L245" s="1"/>
      <c r="M245" s="59">
        <f t="shared" si="60"/>
        <v>0</v>
      </c>
      <c r="N245" s="1"/>
      <c r="O245" s="1"/>
      <c r="P245" s="1"/>
      <c r="Q245" s="59">
        <f t="shared" si="61"/>
        <v>0</v>
      </c>
      <c r="R245" s="59">
        <f t="shared" si="57"/>
        <v>7000</v>
      </c>
    </row>
    <row r="246" spans="1:20" ht="15.75" customHeight="1" x14ac:dyDescent="0.3">
      <c r="A246" s="102" t="s">
        <v>229</v>
      </c>
      <c r="B246" s="1"/>
      <c r="C246" s="1"/>
      <c r="D246" s="1"/>
      <c r="E246" s="59">
        <f t="shared" si="63"/>
        <v>0</v>
      </c>
      <c r="F246" s="1"/>
      <c r="G246" s="1"/>
      <c r="H246" s="1"/>
      <c r="I246" s="59">
        <f t="shared" si="59"/>
        <v>0</v>
      </c>
      <c r="J246" s="1"/>
      <c r="K246" s="1"/>
      <c r="L246" s="1"/>
      <c r="M246" s="59">
        <f t="shared" si="60"/>
        <v>0</v>
      </c>
      <c r="N246" s="1"/>
      <c r="O246" s="1"/>
      <c r="P246" s="1"/>
      <c r="Q246" s="59">
        <f t="shared" si="61"/>
        <v>0</v>
      </c>
      <c r="R246" s="59">
        <f t="shared" si="57"/>
        <v>0</v>
      </c>
    </row>
    <row r="247" spans="1:20" ht="15.75" customHeight="1" x14ac:dyDescent="0.3">
      <c r="A247" s="102" t="s">
        <v>231</v>
      </c>
      <c r="B247" s="1">
        <v>500</v>
      </c>
      <c r="C247" s="1"/>
      <c r="D247" s="1">
        <v>1000</v>
      </c>
      <c r="E247" s="59">
        <f t="shared" ref="E247:E248" si="64">SUM(B247:D247)</f>
        <v>1500</v>
      </c>
      <c r="F247" s="1">
        <v>200</v>
      </c>
      <c r="G247" s="1">
        <v>1000</v>
      </c>
      <c r="H247" s="1">
        <v>36</v>
      </c>
      <c r="I247" s="59">
        <f t="shared" si="59"/>
        <v>1236</v>
      </c>
      <c r="J247" s="1"/>
      <c r="K247" s="1"/>
      <c r="L247" s="1"/>
      <c r="M247" s="59">
        <f t="shared" si="60"/>
        <v>0</v>
      </c>
      <c r="N247" s="1"/>
      <c r="O247" s="1"/>
      <c r="P247" s="1"/>
      <c r="Q247" s="59">
        <f t="shared" si="61"/>
        <v>0</v>
      </c>
      <c r="R247" s="59">
        <f t="shared" si="57"/>
        <v>2736</v>
      </c>
    </row>
    <row r="248" spans="1:20" ht="15.75" customHeight="1" x14ac:dyDescent="0.3">
      <c r="A248" s="102" t="s">
        <v>232</v>
      </c>
      <c r="B248" s="1"/>
      <c r="C248" s="1"/>
      <c r="D248" s="1"/>
      <c r="E248" s="59">
        <f t="shared" si="64"/>
        <v>0</v>
      </c>
      <c r="F248" s="1"/>
      <c r="G248" s="1"/>
      <c r="H248" s="1"/>
      <c r="I248" s="59">
        <f t="shared" si="59"/>
        <v>0</v>
      </c>
      <c r="J248" s="1"/>
      <c r="K248" s="1"/>
      <c r="L248" s="1"/>
      <c r="M248" s="59">
        <f t="shared" si="60"/>
        <v>0</v>
      </c>
      <c r="N248" s="1"/>
      <c r="O248" s="1"/>
      <c r="P248" s="1"/>
      <c r="Q248" s="59">
        <f t="shared" si="61"/>
        <v>0</v>
      </c>
      <c r="R248" s="59">
        <f t="shared" si="57"/>
        <v>0</v>
      </c>
    </row>
    <row r="249" spans="1:20" ht="15.75" customHeight="1" x14ac:dyDescent="0.3">
      <c r="A249" s="76" t="s">
        <v>233</v>
      </c>
      <c r="B249" s="1">
        <v>781</v>
      </c>
      <c r="C249" s="1">
        <v>735</v>
      </c>
      <c r="D249" s="1">
        <v>797</v>
      </c>
      <c r="E249" s="59">
        <f>SUM(B249:D249)</f>
        <v>2313</v>
      </c>
      <c r="F249" s="1">
        <v>879</v>
      </c>
      <c r="G249" s="1">
        <v>1041</v>
      </c>
      <c r="H249" s="1">
        <v>31</v>
      </c>
      <c r="I249" s="59">
        <f t="shared" ref="I249" si="65">SUM(F249:H249)</f>
        <v>1951</v>
      </c>
      <c r="J249" s="1"/>
      <c r="K249" s="1"/>
      <c r="L249" s="1"/>
      <c r="M249" s="59">
        <f t="shared" si="60"/>
        <v>0</v>
      </c>
      <c r="N249" s="1"/>
      <c r="O249" s="1"/>
      <c r="P249" s="1"/>
      <c r="Q249" s="59">
        <f t="shared" si="61"/>
        <v>0</v>
      </c>
      <c r="R249" s="59">
        <f t="shared" si="57"/>
        <v>4264</v>
      </c>
    </row>
    <row r="250" spans="1:20" ht="15.75" customHeight="1" x14ac:dyDescent="0.3">
      <c r="A250" s="91" t="s">
        <v>234</v>
      </c>
      <c r="B250" s="1"/>
      <c r="C250" s="1"/>
      <c r="D250" s="1"/>
      <c r="E250" s="59">
        <f>SUM(B250:D250)</f>
        <v>0</v>
      </c>
      <c r="F250" s="1"/>
      <c r="G250" s="1"/>
      <c r="H250" s="1"/>
      <c r="I250" s="59">
        <f t="shared" si="59"/>
        <v>0</v>
      </c>
      <c r="J250" s="1"/>
      <c r="K250" s="1"/>
      <c r="L250" s="1"/>
      <c r="M250" s="59">
        <f t="shared" si="60"/>
        <v>0</v>
      </c>
      <c r="N250" s="1"/>
      <c r="O250" s="1"/>
      <c r="P250" s="1"/>
      <c r="Q250" s="59">
        <f t="shared" si="61"/>
        <v>0</v>
      </c>
      <c r="R250" s="59">
        <f t="shared" si="57"/>
        <v>0</v>
      </c>
    </row>
    <row r="251" spans="1:20" ht="15.75" customHeight="1" x14ac:dyDescent="0.3">
      <c r="A251" s="91" t="s">
        <v>235</v>
      </c>
      <c r="B251" s="1"/>
      <c r="C251" s="1"/>
      <c r="D251" s="1"/>
      <c r="E251" s="59">
        <f>SUM(B251:D251)</f>
        <v>0</v>
      </c>
      <c r="F251" s="1"/>
      <c r="G251" s="1"/>
      <c r="H251" s="1"/>
      <c r="I251" s="59">
        <f t="shared" si="59"/>
        <v>0</v>
      </c>
      <c r="J251" s="1"/>
      <c r="K251" s="1"/>
      <c r="L251" s="1"/>
      <c r="M251" s="59">
        <f t="shared" si="60"/>
        <v>0</v>
      </c>
      <c r="N251" s="1"/>
      <c r="O251" s="1"/>
      <c r="P251" s="1"/>
      <c r="Q251" s="59">
        <f t="shared" si="61"/>
        <v>0</v>
      </c>
      <c r="R251" s="59">
        <f t="shared" si="57"/>
        <v>0</v>
      </c>
    </row>
    <row r="252" spans="1:20" ht="15.75" customHeight="1" x14ac:dyDescent="0.3">
      <c r="A252" s="91" t="s">
        <v>236</v>
      </c>
      <c r="B252" s="1"/>
      <c r="C252" s="1"/>
      <c r="D252" s="1"/>
      <c r="E252" s="59">
        <f>SUM(B252:D252)</f>
        <v>0</v>
      </c>
      <c r="F252" s="1"/>
      <c r="G252" s="1"/>
      <c r="H252" s="1"/>
      <c r="I252" s="59">
        <f t="shared" si="59"/>
        <v>0</v>
      </c>
      <c r="J252" s="1"/>
      <c r="K252" s="1"/>
      <c r="L252" s="1"/>
      <c r="M252" s="59">
        <f t="shared" si="60"/>
        <v>0</v>
      </c>
      <c r="N252" s="1"/>
      <c r="O252" s="1"/>
      <c r="P252" s="1"/>
      <c r="Q252" s="59">
        <f t="shared" si="61"/>
        <v>0</v>
      </c>
      <c r="R252" s="59">
        <f t="shared" si="57"/>
        <v>0</v>
      </c>
      <c r="T252" s="4" t="s">
        <v>121</v>
      </c>
    </row>
    <row r="253" spans="1:20" ht="15.75" customHeight="1" x14ac:dyDescent="0.3">
      <c r="A253" s="76" t="s">
        <v>237</v>
      </c>
      <c r="B253" s="1"/>
      <c r="C253" s="1"/>
      <c r="D253" s="1"/>
      <c r="E253" s="59">
        <f t="shared" ref="E253:E256" si="66">SUM(B253:D253)</f>
        <v>0</v>
      </c>
      <c r="F253" s="1"/>
      <c r="G253" s="1"/>
      <c r="H253" s="1"/>
      <c r="I253" s="59">
        <f>SUM(F253:H253)</f>
        <v>0</v>
      </c>
      <c r="J253" s="1"/>
      <c r="K253" s="1">
        <v>5114</v>
      </c>
      <c r="L253" s="1">
        <v>1186</v>
      </c>
      <c r="M253" s="59">
        <f t="shared" ref="M253:M254" si="67">SUM(J253:L253)</f>
        <v>6300</v>
      </c>
      <c r="N253" s="1"/>
      <c r="O253" s="1"/>
      <c r="P253" s="1"/>
      <c r="Q253" s="59">
        <f t="shared" ref="Q253:Q254" si="68">SUM(N253:P253)</f>
        <v>0</v>
      </c>
      <c r="R253" s="59">
        <f t="shared" si="57"/>
        <v>6300</v>
      </c>
      <c r="S253" s="105" t="s">
        <v>136</v>
      </c>
    </row>
    <row r="254" spans="1:20" ht="15.75" customHeight="1" x14ac:dyDescent="0.3">
      <c r="A254" s="76" t="s">
        <v>238</v>
      </c>
      <c r="B254" s="1"/>
      <c r="C254" s="1"/>
      <c r="D254" s="1"/>
      <c r="E254" s="59">
        <f t="shared" si="66"/>
        <v>0</v>
      </c>
      <c r="F254" s="1"/>
      <c r="G254" s="1"/>
      <c r="H254" s="1"/>
      <c r="I254" s="59">
        <f>SUM(F254:H254)</f>
        <v>0</v>
      </c>
      <c r="J254" s="1"/>
      <c r="K254" s="1"/>
      <c r="L254" s="1"/>
      <c r="M254" s="59">
        <f t="shared" si="67"/>
        <v>0</v>
      </c>
      <c r="N254" s="1"/>
      <c r="O254" s="1"/>
      <c r="P254" s="1"/>
      <c r="Q254" s="59">
        <f t="shared" si="68"/>
        <v>0</v>
      </c>
      <c r="R254" s="59">
        <f t="shared" si="57"/>
        <v>0</v>
      </c>
      <c r="S254" s="4" t="s">
        <v>136</v>
      </c>
    </row>
    <row r="255" spans="1:20" ht="15.75" customHeight="1" x14ac:dyDescent="0.3">
      <c r="A255" s="76" t="s">
        <v>239</v>
      </c>
      <c r="B255" s="1"/>
      <c r="C255" s="1"/>
      <c r="D255" s="1"/>
      <c r="E255" s="59">
        <f t="shared" si="66"/>
        <v>0</v>
      </c>
      <c r="F255" s="1">
        <f>1863+184+104+46</f>
        <v>2197</v>
      </c>
      <c r="G255" s="1">
        <f>5663+381+111+52</f>
        <v>6207</v>
      </c>
      <c r="H255" s="1">
        <v>3458</v>
      </c>
      <c r="I255" s="59">
        <f t="shared" si="59"/>
        <v>11862</v>
      </c>
      <c r="J255" s="1"/>
      <c r="K255" s="1"/>
      <c r="L255" s="1"/>
      <c r="M255" s="59">
        <f t="shared" si="60"/>
        <v>0</v>
      </c>
      <c r="N255" s="1"/>
      <c r="O255" s="1"/>
      <c r="P255" s="1"/>
      <c r="Q255" s="59">
        <f t="shared" si="61"/>
        <v>0</v>
      </c>
      <c r="R255" s="59">
        <f t="shared" si="57"/>
        <v>11862</v>
      </c>
      <c r="S255" s="4" t="s">
        <v>136</v>
      </c>
    </row>
    <row r="256" spans="1:20" ht="15.75" customHeight="1" x14ac:dyDescent="0.3">
      <c r="A256" s="76" t="s">
        <v>240</v>
      </c>
      <c r="B256" s="1"/>
      <c r="C256" s="1"/>
      <c r="D256" s="1"/>
      <c r="E256" s="59">
        <f t="shared" si="66"/>
        <v>0</v>
      </c>
      <c r="F256" s="1"/>
      <c r="G256" s="1">
        <v>138</v>
      </c>
      <c r="H256" s="1"/>
      <c r="I256" s="59">
        <f t="shared" si="59"/>
        <v>138</v>
      </c>
      <c r="J256" s="1"/>
      <c r="K256" s="1"/>
      <c r="L256" s="1"/>
      <c r="M256" s="59">
        <f t="shared" si="60"/>
        <v>0</v>
      </c>
      <c r="N256" s="1"/>
      <c r="O256" s="1"/>
      <c r="P256" s="1"/>
      <c r="Q256" s="59">
        <f>SUM(N256:P256)</f>
        <v>0</v>
      </c>
      <c r="R256" s="59">
        <f t="shared" si="57"/>
        <v>138</v>
      </c>
    </row>
    <row r="257" spans="1:21" ht="15.75" customHeight="1" x14ac:dyDescent="0.3">
      <c r="A257" s="76" t="s">
        <v>241</v>
      </c>
      <c r="B257" s="1"/>
      <c r="C257" s="1"/>
      <c r="D257" s="1"/>
      <c r="E257" s="59">
        <f>SUM(B257:D257)</f>
        <v>0</v>
      </c>
      <c r="F257" s="1"/>
      <c r="G257" s="1">
        <f>76+1300</f>
        <v>1376</v>
      </c>
      <c r="H257" s="1">
        <v>210</v>
      </c>
      <c r="I257" s="59">
        <f t="shared" si="59"/>
        <v>1586</v>
      </c>
      <c r="J257" s="1"/>
      <c r="K257" s="1"/>
      <c r="L257" s="1"/>
      <c r="M257" s="59">
        <f t="shared" si="60"/>
        <v>0</v>
      </c>
      <c r="N257" s="1"/>
      <c r="O257" s="1"/>
      <c r="P257" s="1"/>
      <c r="Q257" s="59">
        <f t="shared" si="61"/>
        <v>0</v>
      </c>
      <c r="R257" s="59">
        <f t="shared" si="57"/>
        <v>1586</v>
      </c>
      <c r="S257" s="4" t="s">
        <v>136</v>
      </c>
      <c r="T257" s="4" t="s">
        <v>137</v>
      </c>
    </row>
    <row r="258" spans="1:21" ht="15.75" customHeight="1" x14ac:dyDescent="0.3">
      <c r="A258" s="76" t="s">
        <v>242</v>
      </c>
      <c r="B258" s="1"/>
      <c r="C258" s="1"/>
      <c r="D258" s="1"/>
      <c r="E258" s="59">
        <f t="shared" ref="E258" si="69">SUM(B258:D258)</f>
        <v>0</v>
      </c>
      <c r="F258" s="1"/>
      <c r="G258" s="1"/>
      <c r="H258" s="1"/>
      <c r="I258" s="59">
        <f t="shared" si="59"/>
        <v>0</v>
      </c>
      <c r="J258" s="1"/>
      <c r="K258" s="1"/>
      <c r="L258" s="1"/>
      <c r="M258" s="59">
        <f t="shared" si="60"/>
        <v>0</v>
      </c>
      <c r="N258" s="1"/>
      <c r="O258" s="1"/>
      <c r="P258" s="1"/>
      <c r="Q258" s="59">
        <f t="shared" si="61"/>
        <v>0</v>
      </c>
      <c r="R258" s="59">
        <f t="shared" si="57"/>
        <v>0</v>
      </c>
      <c r="S258" s="106" t="s">
        <v>136</v>
      </c>
      <c r="T258" s="106" t="s">
        <v>137</v>
      </c>
      <c r="U258" s="106"/>
    </row>
    <row r="259" spans="1:21" ht="15.75" customHeight="1" x14ac:dyDescent="0.3">
      <c r="A259" s="76" t="s">
        <v>243</v>
      </c>
      <c r="B259" s="1"/>
      <c r="C259" s="1"/>
      <c r="D259" s="1">
        <v>1718</v>
      </c>
      <c r="E259" s="59">
        <f>SUM(B259:D259)</f>
        <v>1718</v>
      </c>
      <c r="F259" s="1">
        <v>96</v>
      </c>
      <c r="G259" s="1"/>
      <c r="H259" s="1"/>
      <c r="I259" s="59">
        <f>SUM(F259:H259)</f>
        <v>96</v>
      </c>
      <c r="J259" s="1"/>
      <c r="K259" s="1"/>
      <c r="L259" s="1"/>
      <c r="M259" s="59">
        <f t="shared" si="60"/>
        <v>0</v>
      </c>
      <c r="N259" s="1"/>
      <c r="O259" s="1"/>
      <c r="P259" s="1"/>
      <c r="Q259" s="59">
        <f t="shared" si="61"/>
        <v>0</v>
      </c>
      <c r="R259" s="59">
        <f t="shared" si="57"/>
        <v>1814</v>
      </c>
      <c r="T259" s="4" t="s">
        <v>244</v>
      </c>
    </row>
    <row r="260" spans="1:21" ht="15.75" customHeight="1" x14ac:dyDescent="0.3">
      <c r="A260" s="91" t="s">
        <v>245</v>
      </c>
      <c r="B260" s="1"/>
      <c r="C260" s="1"/>
      <c r="D260" s="1"/>
      <c r="E260" s="59">
        <f>SUM(B260:D260)</f>
        <v>0</v>
      </c>
      <c r="F260" s="1"/>
      <c r="G260" s="1"/>
      <c r="H260" s="1"/>
      <c r="I260" s="59">
        <f>SUM(F260:H260)</f>
        <v>0</v>
      </c>
      <c r="J260" s="1"/>
      <c r="K260" s="1"/>
      <c r="L260" s="1"/>
      <c r="M260" s="59">
        <f t="shared" si="60"/>
        <v>0</v>
      </c>
      <c r="N260" s="1"/>
      <c r="O260" s="1"/>
      <c r="P260" s="1"/>
      <c r="Q260" s="59">
        <f>SUM(N260:P260)</f>
        <v>0</v>
      </c>
      <c r="R260" s="59">
        <f>+E260+I260+M260+Q260</f>
        <v>0</v>
      </c>
      <c r="T260" s="4" t="s">
        <v>134</v>
      </c>
    </row>
    <row r="261" spans="1:21" ht="15.75" customHeight="1" x14ac:dyDescent="0.3">
      <c r="A261" s="76" t="s">
        <v>246</v>
      </c>
      <c r="B261" s="1"/>
      <c r="C261" s="1"/>
      <c r="D261" s="1"/>
      <c r="E261" s="59">
        <f t="shared" si="63"/>
        <v>0</v>
      </c>
      <c r="F261" s="1"/>
      <c r="G261" s="1"/>
      <c r="H261" s="1"/>
      <c r="I261" s="59">
        <f t="shared" si="59"/>
        <v>0</v>
      </c>
      <c r="J261" s="1"/>
      <c r="K261" s="1"/>
      <c r="L261" s="1"/>
      <c r="M261" s="59">
        <f t="shared" si="60"/>
        <v>0</v>
      </c>
      <c r="N261" s="1"/>
      <c r="O261" s="1"/>
      <c r="P261" s="1"/>
      <c r="Q261" s="59">
        <f t="shared" si="61"/>
        <v>0</v>
      </c>
      <c r="R261" s="59">
        <f t="shared" si="57"/>
        <v>0</v>
      </c>
    </row>
    <row r="262" spans="1:21" ht="15.75" customHeight="1" x14ac:dyDescent="0.3">
      <c r="A262" s="76" t="s">
        <v>247</v>
      </c>
      <c r="B262" s="1"/>
      <c r="C262" s="1"/>
      <c r="D262" s="1"/>
      <c r="E262" s="59">
        <f t="shared" si="63"/>
        <v>0</v>
      </c>
      <c r="F262" s="1"/>
      <c r="G262" s="1"/>
      <c r="H262" s="1"/>
      <c r="I262" s="59">
        <f t="shared" si="59"/>
        <v>0</v>
      </c>
      <c r="J262" s="1"/>
      <c r="K262" s="1"/>
      <c r="L262" s="1">
        <v>209</v>
      </c>
      <c r="M262" s="59">
        <f t="shared" si="60"/>
        <v>209</v>
      </c>
      <c r="N262" s="1"/>
      <c r="O262" s="1"/>
      <c r="P262" s="1"/>
      <c r="Q262" s="59">
        <f t="shared" si="61"/>
        <v>0</v>
      </c>
      <c r="R262" s="59">
        <f t="shared" si="57"/>
        <v>209</v>
      </c>
    </row>
    <row r="263" spans="1:21" ht="15.75" customHeight="1" x14ac:dyDescent="0.3">
      <c r="A263" s="76" t="s">
        <v>248</v>
      </c>
      <c r="B263" s="1">
        <v>60</v>
      </c>
      <c r="C263" s="1"/>
      <c r="D263" s="1"/>
      <c r="E263" s="59">
        <f t="shared" si="63"/>
        <v>60</v>
      </c>
      <c r="F263" s="1"/>
      <c r="G263" s="1"/>
      <c r="H263" s="1"/>
      <c r="I263" s="59">
        <f t="shared" si="59"/>
        <v>0</v>
      </c>
      <c r="J263" s="1"/>
      <c r="K263" s="1"/>
      <c r="L263" s="1"/>
      <c r="M263" s="59">
        <f t="shared" si="60"/>
        <v>0</v>
      </c>
      <c r="N263" s="1"/>
      <c r="O263" s="1"/>
      <c r="P263" s="1"/>
      <c r="Q263" s="59">
        <f t="shared" si="61"/>
        <v>0</v>
      </c>
      <c r="R263" s="59">
        <f t="shared" si="57"/>
        <v>60</v>
      </c>
    </row>
    <row r="264" spans="1:21" ht="15.75" customHeight="1" x14ac:dyDescent="0.3">
      <c r="A264" s="76" t="s">
        <v>249</v>
      </c>
      <c r="B264" s="1">
        <v>60</v>
      </c>
      <c r="C264" s="1"/>
      <c r="D264" s="1"/>
      <c r="E264" s="59">
        <f t="shared" si="63"/>
        <v>60</v>
      </c>
      <c r="F264" s="1"/>
      <c r="G264" s="1"/>
      <c r="H264" s="1"/>
      <c r="I264" s="59">
        <f t="shared" si="59"/>
        <v>0</v>
      </c>
      <c r="J264" s="1"/>
      <c r="K264" s="1"/>
      <c r="L264" s="1"/>
      <c r="M264" s="59">
        <f t="shared" si="60"/>
        <v>0</v>
      </c>
      <c r="N264" s="1"/>
      <c r="O264" s="1"/>
      <c r="P264" s="1"/>
      <c r="Q264" s="59">
        <f t="shared" si="61"/>
        <v>0</v>
      </c>
      <c r="R264" s="59">
        <f t="shared" si="57"/>
        <v>60</v>
      </c>
      <c r="S264" s="4" t="s">
        <v>136</v>
      </c>
      <c r="T264" s="4" t="s">
        <v>137</v>
      </c>
    </row>
    <row r="265" spans="1:21" ht="15.75" customHeight="1" x14ac:dyDescent="0.3">
      <c r="A265" s="76" t="s">
        <v>250</v>
      </c>
      <c r="B265" s="1"/>
      <c r="C265" s="1"/>
      <c r="D265" s="1"/>
      <c r="E265" s="59">
        <f t="shared" si="63"/>
        <v>0</v>
      </c>
      <c r="F265" s="1"/>
      <c r="G265" s="1"/>
      <c r="H265" s="1"/>
      <c r="I265" s="59">
        <f t="shared" si="59"/>
        <v>0</v>
      </c>
      <c r="J265" s="1"/>
      <c r="K265" s="1"/>
      <c r="L265" s="1"/>
      <c r="M265" s="59">
        <f t="shared" si="60"/>
        <v>0</v>
      </c>
      <c r="N265" s="1"/>
      <c r="O265" s="1"/>
      <c r="P265" s="1"/>
      <c r="Q265" s="59">
        <f t="shared" si="61"/>
        <v>0</v>
      </c>
      <c r="R265" s="59">
        <f t="shared" si="57"/>
        <v>0</v>
      </c>
      <c r="T265" s="4" t="s">
        <v>137</v>
      </c>
    </row>
    <row r="266" spans="1:21" ht="15.75" customHeight="1" x14ac:dyDescent="0.3">
      <c r="A266" s="76" t="s">
        <v>251</v>
      </c>
      <c r="B266" s="1"/>
      <c r="C266" s="1"/>
      <c r="D266" s="1">
        <v>518</v>
      </c>
      <c r="E266" s="59">
        <f t="shared" ref="E266" si="70">SUM(B266:D266)</f>
        <v>518</v>
      </c>
      <c r="F266" s="1">
        <v>518</v>
      </c>
      <c r="G266" s="1">
        <v>518</v>
      </c>
      <c r="H266" s="1">
        <v>518</v>
      </c>
      <c r="I266" s="59">
        <f t="shared" ref="I266:I267" si="71">SUM(F266:H266)</f>
        <v>1554</v>
      </c>
      <c r="J266" s="1">
        <v>518</v>
      </c>
      <c r="K266" s="1">
        <v>518</v>
      </c>
      <c r="L266" s="1">
        <v>518</v>
      </c>
      <c r="M266" s="59">
        <f t="shared" ref="M266:M267" si="72">SUM(J266:L266)</f>
        <v>1554</v>
      </c>
      <c r="N266" s="1">
        <v>518</v>
      </c>
      <c r="O266" s="1">
        <v>518</v>
      </c>
      <c r="P266" s="1">
        <v>517</v>
      </c>
      <c r="Q266" s="59">
        <f t="shared" ref="Q266" si="73">SUM(N266:P266)</f>
        <v>1553</v>
      </c>
      <c r="R266" s="59">
        <f t="shared" si="57"/>
        <v>5179</v>
      </c>
      <c r="S266" s="4" t="s">
        <v>136</v>
      </c>
      <c r="T266" s="4" t="s">
        <v>137</v>
      </c>
    </row>
    <row r="267" spans="1:21" ht="15.75" customHeight="1" x14ac:dyDescent="0.3">
      <c r="A267" s="76" t="s">
        <v>252</v>
      </c>
      <c r="B267" s="1"/>
      <c r="C267" s="1"/>
      <c r="D267" s="1"/>
      <c r="E267" s="59">
        <f t="shared" si="63"/>
        <v>0</v>
      </c>
      <c r="F267" s="1"/>
      <c r="G267" s="1"/>
      <c r="H267" s="1"/>
      <c r="I267" s="59">
        <f t="shared" si="71"/>
        <v>0</v>
      </c>
      <c r="J267" s="1">
        <v>5000</v>
      </c>
      <c r="K267" s="1"/>
      <c r="L267" s="1">
        <v>3600</v>
      </c>
      <c r="M267" s="59">
        <f t="shared" si="72"/>
        <v>8600</v>
      </c>
      <c r="N267" s="1">
        <v>1400</v>
      </c>
      <c r="O267" s="1"/>
      <c r="P267" s="1"/>
      <c r="Q267" s="59">
        <f t="shared" si="61"/>
        <v>1400</v>
      </c>
      <c r="R267" s="59">
        <f>+E267+I267+M267+Q267</f>
        <v>10000</v>
      </c>
      <c r="S267" s="94" t="s">
        <v>136</v>
      </c>
      <c r="T267" s="4" t="s">
        <v>137</v>
      </c>
    </row>
    <row r="268" spans="1:21" ht="15.75" customHeight="1" x14ac:dyDescent="0.3">
      <c r="A268" s="91" t="s">
        <v>253</v>
      </c>
      <c r="B268" s="1"/>
      <c r="C268" s="1"/>
      <c r="D268" s="1"/>
      <c r="E268" s="59">
        <f t="shared" si="63"/>
        <v>0</v>
      </c>
      <c r="F268" s="1"/>
      <c r="G268" s="1"/>
      <c r="H268" s="1"/>
      <c r="I268" s="59">
        <f t="shared" si="59"/>
        <v>0</v>
      </c>
      <c r="J268" s="1"/>
      <c r="K268" s="1"/>
      <c r="L268" s="1"/>
      <c r="M268" s="59">
        <f t="shared" si="60"/>
        <v>0</v>
      </c>
      <c r="N268" s="1"/>
      <c r="O268" s="1"/>
      <c r="P268" s="1"/>
      <c r="Q268" s="59">
        <f>SUM(N268:P268)</f>
        <v>0</v>
      </c>
      <c r="R268" s="59">
        <f t="shared" si="57"/>
        <v>0</v>
      </c>
      <c r="T268" s="4" t="s">
        <v>132</v>
      </c>
    </row>
    <row r="269" spans="1:21" ht="15.75" customHeight="1" x14ac:dyDescent="0.3">
      <c r="A269" s="91" t="s">
        <v>254</v>
      </c>
      <c r="B269" s="1"/>
      <c r="C269" s="1"/>
      <c r="D269" s="1"/>
      <c r="E269" s="59">
        <f>SUM(B269:D269)</f>
        <v>0</v>
      </c>
      <c r="F269" s="1"/>
      <c r="G269" s="1"/>
      <c r="H269" s="1">
        <v>1000</v>
      </c>
      <c r="I269" s="59">
        <f t="shared" ref="I269:I270" si="74">SUM(F269:H269)</f>
        <v>1000</v>
      </c>
      <c r="J269" s="1">
        <v>2000</v>
      </c>
      <c r="K269" s="1">
        <v>2000</v>
      </c>
      <c r="L269" s="1">
        <v>2000</v>
      </c>
      <c r="M269" s="59">
        <f t="shared" ref="M269" si="75">SUM(J269:L269)</f>
        <v>6000</v>
      </c>
      <c r="N269" s="1">
        <v>2000</v>
      </c>
      <c r="O269" s="1">
        <v>1130</v>
      </c>
      <c r="P269" s="1"/>
      <c r="Q269" s="59">
        <f>SUM(N269:P269)</f>
        <v>3130</v>
      </c>
      <c r="R269" s="59">
        <f t="shared" si="57"/>
        <v>10130</v>
      </c>
      <c r="T269" s="4" t="s">
        <v>134</v>
      </c>
    </row>
    <row r="270" spans="1:21" ht="15.75" customHeight="1" x14ac:dyDescent="0.3">
      <c r="A270" s="76" t="s">
        <v>255</v>
      </c>
      <c r="B270" s="1"/>
      <c r="C270" s="1"/>
      <c r="D270" s="1"/>
      <c r="E270" s="59">
        <f>SUM(B270:D270)</f>
        <v>0</v>
      </c>
      <c r="F270" s="1"/>
      <c r="G270" s="1"/>
      <c r="H270" s="1">
        <f>590+100</f>
        <v>690</v>
      </c>
      <c r="I270" s="59">
        <f t="shared" si="74"/>
        <v>690</v>
      </c>
      <c r="J270" s="1">
        <v>100</v>
      </c>
      <c r="K270" s="1">
        <v>274</v>
      </c>
      <c r="L270" s="1"/>
      <c r="M270" s="59">
        <f>SUM(J270:L270)</f>
        <v>374</v>
      </c>
      <c r="N270" s="1"/>
      <c r="O270" s="1"/>
      <c r="P270" s="1"/>
      <c r="Q270" s="59">
        <f t="shared" si="61"/>
        <v>0</v>
      </c>
      <c r="R270" s="59">
        <f t="shared" si="57"/>
        <v>1064</v>
      </c>
      <c r="S270" s="4" t="s">
        <v>136</v>
      </c>
      <c r="T270" s="4" t="s">
        <v>137</v>
      </c>
    </row>
    <row r="271" spans="1:21" ht="15.75" customHeight="1" x14ac:dyDescent="0.3">
      <c r="A271" s="76" t="s">
        <v>256</v>
      </c>
      <c r="B271" s="1"/>
      <c r="C271" s="1"/>
      <c r="D271" s="1"/>
      <c r="E271" s="59">
        <f t="shared" ref="E271:E272" si="76">SUM(B271:D271)</f>
        <v>0</v>
      </c>
      <c r="F271" s="1"/>
      <c r="G271" s="1"/>
      <c r="H271" s="1"/>
      <c r="I271" s="59">
        <f t="shared" si="59"/>
        <v>0</v>
      </c>
      <c r="J271" s="1"/>
      <c r="K271" s="1"/>
      <c r="L271" s="1"/>
      <c r="M271" s="59">
        <f t="shared" si="60"/>
        <v>0</v>
      </c>
      <c r="N271" s="1"/>
      <c r="O271" s="1"/>
      <c r="P271" s="1"/>
      <c r="Q271" s="59">
        <f t="shared" si="61"/>
        <v>0</v>
      </c>
      <c r="R271" s="59">
        <f t="shared" si="57"/>
        <v>0</v>
      </c>
      <c r="T271" s="4" t="s">
        <v>137</v>
      </c>
    </row>
    <row r="272" spans="1:21" ht="15.75" customHeight="1" x14ac:dyDescent="0.3">
      <c r="A272" s="91" t="s">
        <v>257</v>
      </c>
      <c r="B272" s="1"/>
      <c r="C272" s="1"/>
      <c r="D272" s="1"/>
      <c r="E272" s="59">
        <f t="shared" si="76"/>
        <v>0</v>
      </c>
      <c r="F272" s="1"/>
      <c r="G272" s="1"/>
      <c r="H272" s="1"/>
      <c r="I272" s="59">
        <f t="shared" si="59"/>
        <v>0</v>
      </c>
      <c r="J272" s="1"/>
      <c r="K272" s="1"/>
      <c r="L272" s="1"/>
      <c r="M272" s="59">
        <f t="shared" si="60"/>
        <v>0</v>
      </c>
      <c r="N272" s="1"/>
      <c r="O272" s="1"/>
      <c r="P272" s="1"/>
      <c r="Q272" s="59">
        <f t="shared" ref="Q272" si="77">SUM(N272:P272)</f>
        <v>0</v>
      </c>
      <c r="R272" s="59">
        <f t="shared" si="57"/>
        <v>0</v>
      </c>
    </row>
    <row r="273" spans="1:20" ht="15.75" customHeight="1" x14ac:dyDescent="0.3">
      <c r="A273" s="76" t="s">
        <v>258</v>
      </c>
      <c r="B273" s="1">
        <v>1068</v>
      </c>
      <c r="C273" s="1">
        <v>1750</v>
      </c>
      <c r="D273" s="1">
        <v>32</v>
      </c>
      <c r="E273" s="59">
        <f t="shared" si="63"/>
        <v>2850</v>
      </c>
      <c r="F273" s="1"/>
      <c r="G273" s="1"/>
      <c r="H273" s="1"/>
      <c r="I273" s="59">
        <f t="shared" si="59"/>
        <v>0</v>
      </c>
      <c r="J273" s="1"/>
      <c r="K273" s="1"/>
      <c r="L273" s="1"/>
      <c r="M273" s="59">
        <f t="shared" si="60"/>
        <v>0</v>
      </c>
      <c r="N273" s="1"/>
      <c r="O273" s="1"/>
      <c r="P273" s="1"/>
      <c r="Q273" s="59">
        <f t="shared" si="61"/>
        <v>0</v>
      </c>
      <c r="R273" s="59">
        <f t="shared" si="57"/>
        <v>2850</v>
      </c>
      <c r="T273" s="4" t="s">
        <v>158</v>
      </c>
    </row>
    <row r="274" spans="1:20" ht="15.75" customHeight="1" x14ac:dyDescent="0.3">
      <c r="A274" s="76" t="s">
        <v>259</v>
      </c>
      <c r="B274" s="1"/>
      <c r="C274" s="1"/>
      <c r="D274" s="1"/>
      <c r="E274" s="59">
        <f t="shared" si="63"/>
        <v>0</v>
      </c>
      <c r="F274" s="1"/>
      <c r="G274" s="1"/>
      <c r="H274" s="1"/>
      <c r="I274" s="59">
        <f>SUM(F274:H274)</f>
        <v>0</v>
      </c>
      <c r="J274" s="1"/>
      <c r="K274" s="1">
        <v>85</v>
      </c>
      <c r="L274" s="1"/>
      <c r="M274" s="59">
        <f t="shared" si="60"/>
        <v>85</v>
      </c>
      <c r="N274" s="1"/>
      <c r="O274" s="1"/>
      <c r="P274" s="1"/>
      <c r="Q274" s="59">
        <f t="shared" si="61"/>
        <v>0</v>
      </c>
      <c r="R274" s="59">
        <f t="shared" si="57"/>
        <v>85</v>
      </c>
      <c r="S274" s="4" t="s">
        <v>136</v>
      </c>
    </row>
    <row r="275" spans="1:20" ht="15.75" customHeight="1" x14ac:dyDescent="0.3">
      <c r="A275" s="76" t="s">
        <v>260</v>
      </c>
      <c r="B275" s="1"/>
      <c r="C275" s="1"/>
      <c r="D275" s="1"/>
      <c r="E275" s="59">
        <f t="shared" si="63"/>
        <v>0</v>
      </c>
      <c r="F275" s="1"/>
      <c r="G275" s="1"/>
      <c r="H275" s="1"/>
      <c r="I275" s="59">
        <f>SUM(F275:H275)</f>
        <v>0</v>
      </c>
      <c r="J275" s="1"/>
      <c r="K275" s="1">
        <v>838</v>
      </c>
      <c r="L275" s="1"/>
      <c r="M275" s="59">
        <f t="shared" si="60"/>
        <v>838</v>
      </c>
      <c r="N275" s="1"/>
      <c r="O275" s="1"/>
      <c r="P275" s="1"/>
      <c r="Q275" s="59">
        <f t="shared" ref="Q275" si="78">SUM(N275:P275)</f>
        <v>0</v>
      </c>
      <c r="R275" s="59">
        <f t="shared" si="57"/>
        <v>838</v>
      </c>
    </row>
    <row r="276" spans="1:20" ht="15.75" customHeight="1" x14ac:dyDescent="0.3">
      <c r="A276" s="76" t="s">
        <v>261</v>
      </c>
      <c r="B276" s="1">
        <v>95</v>
      </c>
      <c r="C276" s="1"/>
      <c r="D276" s="1"/>
      <c r="E276" s="59">
        <f t="shared" si="63"/>
        <v>95</v>
      </c>
      <c r="F276" s="1"/>
      <c r="G276" s="1"/>
      <c r="H276" s="1"/>
      <c r="I276" s="59">
        <f t="shared" si="59"/>
        <v>0</v>
      </c>
      <c r="J276" s="1"/>
      <c r="K276" s="1"/>
      <c r="L276" s="1"/>
      <c r="M276" s="59">
        <f t="shared" si="60"/>
        <v>0</v>
      </c>
      <c r="N276" s="1"/>
      <c r="O276" s="1"/>
      <c r="P276" s="1"/>
      <c r="Q276" s="59">
        <f t="shared" si="61"/>
        <v>0</v>
      </c>
      <c r="R276" s="59">
        <f t="shared" si="57"/>
        <v>95</v>
      </c>
    </row>
    <row r="277" spans="1:20" ht="15.75" customHeight="1" x14ac:dyDescent="0.3">
      <c r="A277" s="76" t="s">
        <v>262</v>
      </c>
      <c r="B277" s="1">
        <v>95</v>
      </c>
      <c r="C277" s="1"/>
      <c r="D277" s="1"/>
      <c r="E277" s="59">
        <f t="shared" si="63"/>
        <v>95</v>
      </c>
      <c r="F277" s="1"/>
      <c r="G277" s="1"/>
      <c r="H277" s="1"/>
      <c r="I277" s="59">
        <f t="shared" si="59"/>
        <v>0</v>
      </c>
      <c r="J277" s="1"/>
      <c r="K277" s="1"/>
      <c r="L277" s="1"/>
      <c r="M277" s="59">
        <f t="shared" si="60"/>
        <v>0</v>
      </c>
      <c r="N277" s="1"/>
      <c r="O277" s="1"/>
      <c r="P277" s="1"/>
      <c r="Q277" s="59">
        <f t="shared" si="61"/>
        <v>0</v>
      </c>
      <c r="R277" s="59">
        <f t="shared" si="57"/>
        <v>95</v>
      </c>
      <c r="S277" s="4" t="s">
        <v>136</v>
      </c>
      <c r="T277" s="4" t="s">
        <v>137</v>
      </c>
    </row>
    <row r="278" spans="1:20" ht="15.75" customHeight="1" x14ac:dyDescent="0.3">
      <c r="A278" s="76" t="s">
        <v>263</v>
      </c>
      <c r="B278" s="1"/>
      <c r="C278" s="1">
        <v>500</v>
      </c>
      <c r="D278" s="1">
        <v>1300</v>
      </c>
      <c r="E278" s="59">
        <f>SUM(B278:D278)</f>
        <v>1800</v>
      </c>
      <c r="F278" s="1">
        <v>1200</v>
      </c>
      <c r="G278" s="1">
        <v>1100</v>
      </c>
      <c r="H278" s="1">
        <f>600</f>
        <v>600</v>
      </c>
      <c r="I278" s="59">
        <f>SUM(F278:H278)</f>
        <v>2900</v>
      </c>
      <c r="J278" s="1">
        <v>400</v>
      </c>
      <c r="K278" s="1">
        <v>1000</v>
      </c>
      <c r="L278" s="1">
        <v>1000</v>
      </c>
      <c r="M278" s="59">
        <f>SUM(J278:L278)</f>
        <v>2400</v>
      </c>
      <c r="N278" s="1">
        <v>1100</v>
      </c>
      <c r="O278" s="1">
        <v>1000</v>
      </c>
      <c r="P278" s="1">
        <v>1200</v>
      </c>
      <c r="Q278" s="59">
        <f>SUM(N278:P278)</f>
        <v>3300</v>
      </c>
      <c r="R278" s="59">
        <f>+E278+I278+M278+Q278</f>
        <v>10400</v>
      </c>
      <c r="S278" s="4" t="s">
        <v>136</v>
      </c>
      <c r="T278" s="4" t="s">
        <v>137</v>
      </c>
    </row>
    <row r="279" spans="1:20" ht="15.75" customHeight="1" x14ac:dyDescent="0.3">
      <c r="A279" s="76" t="s">
        <v>853</v>
      </c>
      <c r="B279" s="1"/>
      <c r="C279" s="1"/>
      <c r="D279" s="1"/>
      <c r="E279" s="59">
        <f>SUM(B279:D279)</f>
        <v>0</v>
      </c>
      <c r="F279" s="1"/>
      <c r="G279" s="1"/>
      <c r="H279" s="1">
        <v>3600</v>
      </c>
      <c r="I279" s="59">
        <f>SUM(F279:H279)</f>
        <v>3600</v>
      </c>
      <c r="J279" s="1"/>
      <c r="K279" s="1"/>
      <c r="L279" s="1"/>
      <c r="M279" s="59">
        <f>SUM(J279:L279)</f>
        <v>0</v>
      </c>
      <c r="N279" s="1"/>
      <c r="O279" s="1"/>
      <c r="P279" s="1"/>
      <c r="Q279" s="59">
        <f>SUM(N279:P279)</f>
        <v>0</v>
      </c>
      <c r="R279" s="59">
        <f>+E279+I279+M279+Q279</f>
        <v>3600</v>
      </c>
    </row>
    <row r="280" spans="1:20" ht="15.75" customHeight="1" x14ac:dyDescent="0.3">
      <c r="A280" s="76" t="s">
        <v>265</v>
      </c>
      <c r="B280" s="1"/>
      <c r="C280" s="1"/>
      <c r="D280" s="1"/>
      <c r="E280" s="59">
        <f>SUM(B280:D280)</f>
        <v>0</v>
      </c>
      <c r="F280" s="1"/>
      <c r="G280" s="1"/>
      <c r="H280" s="1"/>
      <c r="I280" s="59">
        <f>SUM(F280:H280)</f>
        <v>0</v>
      </c>
      <c r="J280" s="1"/>
      <c r="K280" s="1"/>
      <c r="L280" s="1"/>
      <c r="M280" s="59">
        <f>SUM(J280:L280)</f>
        <v>0</v>
      </c>
      <c r="N280" s="1"/>
      <c r="O280" s="1"/>
      <c r="P280" s="1"/>
      <c r="Q280" s="59">
        <f t="shared" ref="Q280" si="79">SUM(N280:P280)</f>
        <v>0</v>
      </c>
      <c r="R280" s="59">
        <f>+E280+I280+M280+Q280</f>
        <v>0</v>
      </c>
      <c r="T280" s="4" t="s">
        <v>137</v>
      </c>
    </row>
    <row r="281" spans="1:20" ht="15.75" customHeight="1" x14ac:dyDescent="0.3">
      <c r="A281" s="76" t="s">
        <v>266</v>
      </c>
      <c r="B281" s="1"/>
      <c r="C281" s="1"/>
      <c r="D281" s="1"/>
      <c r="E281" s="59">
        <f t="shared" ref="E281:E282" si="80">SUM(B281:D281)</f>
        <v>0</v>
      </c>
      <c r="F281" s="1"/>
      <c r="G281" s="1"/>
      <c r="H281" s="1"/>
      <c r="I281" s="59">
        <f t="shared" ref="I281:I282" si="81">SUM(F281:H281)</f>
        <v>0</v>
      </c>
      <c r="J281" s="1"/>
      <c r="K281" s="1"/>
      <c r="L281" s="1"/>
      <c r="M281" s="59">
        <f t="shared" ref="M281:M282" si="82">SUM(J281:L281)</f>
        <v>0</v>
      </c>
      <c r="N281" s="1"/>
      <c r="O281" s="1"/>
      <c r="P281" s="1"/>
      <c r="Q281" s="59">
        <f t="shared" ref="Q281" si="83">SUM(N281:P281)</f>
        <v>0</v>
      </c>
      <c r="R281" s="59">
        <f>+E281+I281+M281+Q281</f>
        <v>0</v>
      </c>
      <c r="T281" s="4" t="s">
        <v>137</v>
      </c>
    </row>
    <row r="282" spans="1:20" ht="15.75" customHeight="1" x14ac:dyDescent="0.3">
      <c r="A282" s="91" t="s">
        <v>267</v>
      </c>
      <c r="B282" s="1"/>
      <c r="C282" s="1"/>
      <c r="D282" s="1"/>
      <c r="E282" s="59">
        <f t="shared" si="80"/>
        <v>0</v>
      </c>
      <c r="F282" s="1"/>
      <c r="G282" s="1"/>
      <c r="H282" s="1"/>
      <c r="I282" s="59">
        <f t="shared" si="81"/>
        <v>0</v>
      </c>
      <c r="J282" s="1"/>
      <c r="K282" s="1"/>
      <c r="L282" s="1"/>
      <c r="M282" s="59">
        <f t="shared" si="82"/>
        <v>0</v>
      </c>
      <c r="N282" s="1">
        <v>410</v>
      </c>
      <c r="O282" s="1">
        <v>410</v>
      </c>
      <c r="P282" s="1">
        <v>410</v>
      </c>
      <c r="Q282" s="59">
        <f t="shared" ref="Q282" si="84">SUM(N282:P282)</f>
        <v>1230</v>
      </c>
      <c r="R282" s="59">
        <f>+E282+I282+M282+Q282</f>
        <v>1230</v>
      </c>
    </row>
    <row r="283" spans="1:20" ht="15.75" customHeight="1" x14ac:dyDescent="0.3">
      <c r="A283" s="76" t="s">
        <v>269</v>
      </c>
      <c r="B283" s="1"/>
      <c r="C283" s="1"/>
      <c r="D283" s="1">
        <v>184</v>
      </c>
      <c r="E283" s="59">
        <f t="shared" ref="E283" si="85">SUM(B283:D283)</f>
        <v>184</v>
      </c>
      <c r="F283" s="1">
        <v>184</v>
      </c>
      <c r="G283" s="1">
        <v>276</v>
      </c>
      <c r="H283" s="1">
        <v>276</v>
      </c>
      <c r="I283" s="59">
        <f t="shared" ref="I283" si="86">SUM(F283:H283)</f>
        <v>736</v>
      </c>
      <c r="J283" s="1">
        <v>276</v>
      </c>
      <c r="K283" s="1">
        <v>276</v>
      </c>
      <c r="L283" s="1">
        <v>184</v>
      </c>
      <c r="M283" s="59">
        <f t="shared" ref="M283" si="87">SUM(J283:L283)</f>
        <v>736</v>
      </c>
      <c r="N283" s="1">
        <v>184</v>
      </c>
      <c r="O283" s="1">
        <v>92</v>
      </c>
      <c r="P283" s="1">
        <v>92</v>
      </c>
      <c r="Q283" s="59">
        <f t="shared" si="61"/>
        <v>368</v>
      </c>
      <c r="R283" s="59">
        <f t="shared" si="57"/>
        <v>2024</v>
      </c>
      <c r="S283" s="4" t="s">
        <v>136</v>
      </c>
    </row>
    <row r="284" spans="1:20" ht="15.75" customHeight="1" x14ac:dyDescent="0.3">
      <c r="A284" s="76" t="s">
        <v>270</v>
      </c>
      <c r="B284" s="1">
        <v>358</v>
      </c>
      <c r="C284" s="1">
        <f>3970+73+20</f>
        <v>4063</v>
      </c>
      <c r="D284" s="1">
        <f>4612+89+38</f>
        <v>4739</v>
      </c>
      <c r="E284" s="59">
        <f>SUM(B284:D284)</f>
        <v>9160</v>
      </c>
      <c r="F284" s="1">
        <v>3340</v>
      </c>
      <c r="G284" s="1"/>
      <c r="H284" s="1"/>
      <c r="I284" s="59">
        <f>SUM(F284:H284)</f>
        <v>3340</v>
      </c>
      <c r="J284" s="1"/>
      <c r="K284" s="1"/>
      <c r="L284" s="1"/>
      <c r="M284" s="59">
        <f>SUM(J284:L284)</f>
        <v>0</v>
      </c>
      <c r="N284" s="1"/>
      <c r="O284" s="1"/>
      <c r="P284" s="1"/>
      <c r="Q284" s="59">
        <f>SUM(N284:P284)</f>
        <v>0</v>
      </c>
      <c r="R284" s="59">
        <f>+E284+I284+M284+Q284</f>
        <v>12500</v>
      </c>
      <c r="S284" s="4" t="s">
        <v>136</v>
      </c>
    </row>
    <row r="285" spans="1:20" ht="15.75" customHeight="1" x14ac:dyDescent="0.3">
      <c r="A285" s="76" t="s">
        <v>271</v>
      </c>
      <c r="B285" s="1"/>
      <c r="C285" s="1"/>
      <c r="D285" s="1"/>
      <c r="E285" s="59">
        <f>SUM(B285:D285)</f>
        <v>0</v>
      </c>
      <c r="F285" s="1"/>
      <c r="G285" s="1"/>
      <c r="H285" s="1"/>
      <c r="I285" s="59">
        <f>SUM(F285:H285)</f>
        <v>0</v>
      </c>
      <c r="J285" s="1"/>
      <c r="K285" s="1"/>
      <c r="L285" s="1"/>
      <c r="M285" s="59">
        <f>SUM(J285:L285)</f>
        <v>0</v>
      </c>
      <c r="N285" s="1"/>
      <c r="O285" s="1"/>
      <c r="P285" s="1"/>
      <c r="Q285" s="59">
        <f>SUM(N285:P285)</f>
        <v>0</v>
      </c>
      <c r="R285" s="59">
        <f>+E285+I285+M285+Q285</f>
        <v>0</v>
      </c>
    </row>
    <row r="286" spans="1:20" ht="15.75" customHeight="1" x14ac:dyDescent="0.3">
      <c r="A286" s="76" t="s">
        <v>272</v>
      </c>
      <c r="B286" s="1"/>
      <c r="C286" s="1"/>
      <c r="D286" s="1"/>
      <c r="E286" s="59">
        <f t="shared" ref="E286" si="88">SUM(B286:D286)</f>
        <v>0</v>
      </c>
      <c r="F286" s="1"/>
      <c r="G286" s="1"/>
      <c r="H286" s="1"/>
      <c r="I286" s="59">
        <f t="shared" ref="I286" si="89">SUM(F286:H286)</f>
        <v>0</v>
      </c>
      <c r="J286" s="1"/>
      <c r="K286" s="1"/>
      <c r="L286" s="1"/>
      <c r="M286" s="59">
        <f t="shared" ref="M286" si="90">SUM(J286:L286)</f>
        <v>0</v>
      </c>
      <c r="N286" s="1"/>
      <c r="O286" s="1"/>
      <c r="P286" s="1"/>
      <c r="Q286" s="59">
        <f t="shared" ref="Q286" si="91">SUM(N286:P286)</f>
        <v>0</v>
      </c>
      <c r="R286" s="59">
        <f t="shared" ref="R286" si="92">+E286+I286+M286+Q286</f>
        <v>0</v>
      </c>
    </row>
    <row r="287" spans="1:20" ht="15.75" customHeight="1" x14ac:dyDescent="0.3">
      <c r="A287" s="76" t="s">
        <v>273</v>
      </c>
      <c r="B287" s="1">
        <v>500</v>
      </c>
      <c r="C287" s="1"/>
      <c r="D287" s="1"/>
      <c r="E287" s="59">
        <f t="shared" ref="E287:E288" si="93">SUM(B287:D287)</f>
        <v>500</v>
      </c>
      <c r="F287" s="1"/>
      <c r="G287" s="1"/>
      <c r="H287" s="1"/>
      <c r="I287" s="59">
        <f t="shared" si="59"/>
        <v>0</v>
      </c>
      <c r="J287" s="1"/>
      <c r="K287" s="1"/>
      <c r="L287" s="1"/>
      <c r="M287" s="59">
        <f t="shared" si="60"/>
        <v>0</v>
      </c>
      <c r="N287" s="1"/>
      <c r="O287" s="1"/>
      <c r="P287" s="1"/>
      <c r="Q287" s="59">
        <f t="shared" si="61"/>
        <v>0</v>
      </c>
      <c r="R287" s="59">
        <f t="shared" si="57"/>
        <v>500</v>
      </c>
    </row>
    <row r="288" spans="1:20" ht="15.75" customHeight="1" x14ac:dyDescent="0.3">
      <c r="A288" s="76" t="s">
        <v>274</v>
      </c>
      <c r="B288" s="1"/>
      <c r="C288" s="1"/>
      <c r="D288" s="1"/>
      <c r="E288" s="59">
        <f t="shared" si="93"/>
        <v>0</v>
      </c>
      <c r="F288" s="1">
        <v>1000</v>
      </c>
      <c r="G288" s="1"/>
      <c r="H288" s="1">
        <v>900</v>
      </c>
      <c r="I288" s="59">
        <f t="shared" si="59"/>
        <v>1900</v>
      </c>
      <c r="J288" s="1">
        <v>1100</v>
      </c>
      <c r="K288" s="1">
        <v>500</v>
      </c>
      <c r="L288" s="1">
        <v>800</v>
      </c>
      <c r="M288" s="59">
        <f t="shared" si="60"/>
        <v>2400</v>
      </c>
      <c r="N288" s="1"/>
      <c r="O288" s="1">
        <v>500</v>
      </c>
      <c r="P288" s="1">
        <v>700</v>
      </c>
      <c r="Q288" s="59">
        <f t="shared" si="61"/>
        <v>1200</v>
      </c>
      <c r="R288" s="59">
        <f t="shared" si="57"/>
        <v>5500</v>
      </c>
    </row>
    <row r="289" spans="1:20" ht="15.75" customHeight="1" thickBot="1" x14ac:dyDescent="0.35">
      <c r="A289" s="76" t="s">
        <v>275</v>
      </c>
      <c r="B289" s="1"/>
      <c r="C289" s="1"/>
      <c r="D289" s="1"/>
      <c r="E289" s="59">
        <f>SUM(B289:D289)</f>
        <v>0</v>
      </c>
      <c r="F289" s="1"/>
      <c r="G289" s="1"/>
      <c r="H289" s="1"/>
      <c r="I289" s="59">
        <f>SUM(F289:H289)</f>
        <v>0</v>
      </c>
      <c r="J289" s="1"/>
      <c r="K289" s="1"/>
      <c r="L289" s="1"/>
      <c r="M289" s="59">
        <f>SUM(J289:L289)</f>
        <v>0</v>
      </c>
      <c r="N289" s="1"/>
      <c r="O289" s="1"/>
      <c r="P289" s="1">
        <v>128</v>
      </c>
      <c r="Q289" s="59">
        <f>SUM(N289:P289)</f>
        <v>128</v>
      </c>
      <c r="R289" s="59">
        <f t="shared" si="57"/>
        <v>128</v>
      </c>
      <c r="S289" s="94" t="s">
        <v>136</v>
      </c>
    </row>
    <row r="290" spans="1:20" ht="16.5" customHeight="1" thickBot="1" x14ac:dyDescent="0.35">
      <c r="A290" s="62" t="s">
        <v>61</v>
      </c>
      <c r="B290" s="100">
        <f>SUM(B222:B289)</f>
        <v>5384</v>
      </c>
      <c r="C290" s="101">
        <f>SUM(C222:C289)</f>
        <v>7356</v>
      </c>
      <c r="D290" s="101">
        <f>SUM(D222:D289)</f>
        <v>12339</v>
      </c>
      <c r="E290" s="64">
        <f t="shared" ref="E290" si="94">SUM(B290:D290)</f>
        <v>25079</v>
      </c>
      <c r="F290" s="101">
        <f>SUM(F222:F289)</f>
        <v>12147</v>
      </c>
      <c r="G290" s="101">
        <f>SUM(G222:G289)</f>
        <v>14426</v>
      </c>
      <c r="H290" s="101">
        <f>SUM(H222:H289)</f>
        <v>13592</v>
      </c>
      <c r="I290" s="64">
        <f t="shared" ref="I290" si="95">SUM(F290:H290)</f>
        <v>40165</v>
      </c>
      <c r="J290" s="101">
        <f>SUM(J222:J289)</f>
        <v>10141</v>
      </c>
      <c r="K290" s="101">
        <f>SUM(K222:K289)</f>
        <v>11306</v>
      </c>
      <c r="L290" s="101">
        <f>SUM(L222:L289)</f>
        <v>10154</v>
      </c>
      <c r="M290" s="64">
        <f t="shared" ref="M290" si="96">SUM(J290:L290)</f>
        <v>31601</v>
      </c>
      <c r="N290" s="101">
        <f>SUM(N222:N289)</f>
        <v>7608</v>
      </c>
      <c r="O290" s="101">
        <f>SUM(O222:O289)</f>
        <v>5115</v>
      </c>
      <c r="P290" s="101">
        <f>SUM(P222:P289)</f>
        <v>4037</v>
      </c>
      <c r="Q290" s="64">
        <f t="shared" ref="Q290" si="97">SUM(N290:P290)</f>
        <v>16760</v>
      </c>
      <c r="R290" s="64">
        <f t="shared" si="57"/>
        <v>113605</v>
      </c>
    </row>
    <row r="291" spans="1:20" ht="15.75" customHeight="1" x14ac:dyDescent="0.3">
      <c r="A291" s="17" t="s">
        <v>62</v>
      </c>
      <c r="B291" s="1"/>
      <c r="C291" s="1"/>
      <c r="D291" s="1"/>
      <c r="E291" s="59" t="s">
        <v>7</v>
      </c>
      <c r="F291" s="1"/>
      <c r="G291" s="1"/>
      <c r="H291" s="1"/>
      <c r="I291" s="59" t="s">
        <v>7</v>
      </c>
      <c r="J291" s="1"/>
      <c r="K291" s="1"/>
      <c r="L291" s="1"/>
      <c r="M291" s="59" t="s">
        <v>7</v>
      </c>
      <c r="N291" s="1"/>
      <c r="O291" s="1"/>
      <c r="P291" s="1"/>
      <c r="Q291" s="59" t="s">
        <v>7</v>
      </c>
      <c r="R291" s="59" t="s">
        <v>7</v>
      </c>
    </row>
    <row r="292" spans="1:20" ht="15.75" customHeight="1" x14ac:dyDescent="0.3">
      <c r="A292" s="17" t="s">
        <v>63</v>
      </c>
      <c r="B292" s="1"/>
      <c r="C292" s="1"/>
      <c r="D292" s="1"/>
      <c r="E292" s="59" t="s">
        <v>7</v>
      </c>
      <c r="F292" s="1"/>
      <c r="G292" s="1"/>
      <c r="H292" s="1"/>
      <c r="I292" s="59" t="s">
        <v>7</v>
      </c>
      <c r="J292" s="1"/>
      <c r="K292" s="1"/>
      <c r="L292" s="1"/>
      <c r="M292" s="59" t="s">
        <v>7</v>
      </c>
      <c r="N292" s="1"/>
      <c r="O292" s="1"/>
      <c r="P292" s="1"/>
      <c r="Q292" s="59" t="s">
        <v>7</v>
      </c>
      <c r="R292" s="59" t="s">
        <v>7</v>
      </c>
    </row>
    <row r="293" spans="1:20" ht="15.75" customHeight="1" x14ac:dyDescent="0.3">
      <c r="A293" s="78" t="s">
        <v>854</v>
      </c>
      <c r="B293" s="1"/>
      <c r="C293" s="1"/>
      <c r="D293" s="1"/>
      <c r="E293" s="59">
        <f>SUM(B293:D293)</f>
        <v>0</v>
      </c>
      <c r="F293" s="1"/>
      <c r="G293" s="1"/>
      <c r="H293" s="1"/>
      <c r="I293" s="59">
        <f>SUM(F293:H293)</f>
        <v>0</v>
      </c>
      <c r="J293" s="1"/>
      <c r="K293" s="1"/>
      <c r="L293" s="1"/>
      <c r="M293" s="59">
        <f>SUM(J293:L293)</f>
        <v>0</v>
      </c>
      <c r="N293" s="1"/>
      <c r="O293" s="1"/>
      <c r="P293" s="1"/>
      <c r="Q293" s="59">
        <f>SUM(N293:P293)</f>
        <v>0</v>
      </c>
      <c r="R293" s="59">
        <f>+E293+I293+M293+Q293</f>
        <v>0</v>
      </c>
      <c r="T293" s="4" t="s">
        <v>137</v>
      </c>
    </row>
    <row r="294" spans="1:20" ht="15.75" customHeight="1" x14ac:dyDescent="0.3">
      <c r="A294" s="99" t="s">
        <v>276</v>
      </c>
      <c r="B294" s="1"/>
      <c r="C294" s="1"/>
      <c r="D294" s="1"/>
      <c r="E294" s="59">
        <f>SUM(B294:D294)</f>
        <v>0</v>
      </c>
      <c r="F294" s="1"/>
      <c r="G294" s="1"/>
      <c r="H294" s="1"/>
      <c r="I294" s="59">
        <f>SUM(F294:H294)</f>
        <v>0</v>
      </c>
      <c r="J294" s="1"/>
      <c r="K294" s="1"/>
      <c r="L294" s="1"/>
      <c r="M294" s="59">
        <f>SUM(J294:L294)</f>
        <v>0</v>
      </c>
      <c r="N294" s="1"/>
      <c r="O294" s="1"/>
      <c r="P294" s="1"/>
      <c r="Q294" s="59">
        <f>SUM(N294:P294)</f>
        <v>0</v>
      </c>
      <c r="R294" s="59">
        <f>+E294+I294+M294+Q294</f>
        <v>0</v>
      </c>
      <c r="T294" s="4" t="s">
        <v>132</v>
      </c>
    </row>
    <row r="295" spans="1:20" ht="15.75" customHeight="1" x14ac:dyDescent="0.3">
      <c r="A295" s="99" t="s">
        <v>277</v>
      </c>
      <c r="B295" s="1"/>
      <c r="C295" s="1"/>
      <c r="D295" s="1"/>
      <c r="E295" s="59">
        <f>SUM(B295:D295)</f>
        <v>0</v>
      </c>
      <c r="F295" s="1"/>
      <c r="G295" s="1"/>
      <c r="H295" s="1"/>
      <c r="I295" s="59">
        <f>SUM(F295:H295)</f>
        <v>0</v>
      </c>
      <c r="J295" s="1"/>
      <c r="K295" s="1"/>
      <c r="L295" s="1"/>
      <c r="M295" s="59">
        <f>SUM(J295:L295)</f>
        <v>0</v>
      </c>
      <c r="N295" s="1"/>
      <c r="O295" s="1"/>
      <c r="P295" s="1"/>
      <c r="Q295" s="59">
        <f>SUM(N295:P295)</f>
        <v>0</v>
      </c>
      <c r="R295" s="59">
        <f>+E295+I295+M295+Q295</f>
        <v>0</v>
      </c>
      <c r="T295" s="4" t="s">
        <v>134</v>
      </c>
    </row>
    <row r="296" spans="1:20" ht="15.75" customHeight="1" x14ac:dyDescent="0.3">
      <c r="A296" s="17" t="s">
        <v>64</v>
      </c>
      <c r="B296" s="1"/>
      <c r="C296" s="1"/>
      <c r="D296" s="1"/>
      <c r="E296" s="59" t="s">
        <v>7</v>
      </c>
      <c r="F296" s="1"/>
      <c r="G296" s="1"/>
      <c r="H296" s="1"/>
      <c r="I296" s="59" t="s">
        <v>7</v>
      </c>
      <c r="J296" s="1"/>
      <c r="K296" s="1"/>
      <c r="L296" s="1"/>
      <c r="M296" s="59" t="s">
        <v>7</v>
      </c>
      <c r="N296" s="1"/>
      <c r="O296" s="1"/>
      <c r="P296" s="1"/>
      <c r="Q296" s="59" t="s">
        <v>7</v>
      </c>
      <c r="R296" s="59" t="s">
        <v>7</v>
      </c>
    </row>
    <row r="297" spans="1:20" ht="15.75" customHeight="1" x14ac:dyDescent="0.3">
      <c r="A297" s="99" t="s">
        <v>278</v>
      </c>
      <c r="B297" s="1"/>
      <c r="C297" s="1"/>
      <c r="D297" s="1"/>
      <c r="E297" s="59">
        <f>SUM(B297:D297)</f>
        <v>0</v>
      </c>
      <c r="F297" s="1"/>
      <c r="G297" s="1"/>
      <c r="H297" s="1"/>
      <c r="I297" s="59">
        <f>SUM(F297:H297)</f>
        <v>0</v>
      </c>
      <c r="J297" s="1"/>
      <c r="K297" s="1"/>
      <c r="L297" s="1"/>
      <c r="M297" s="59">
        <f>SUM(J297:L297)</f>
        <v>0</v>
      </c>
      <c r="N297" s="1"/>
      <c r="O297" s="1"/>
      <c r="P297" s="1"/>
      <c r="Q297" s="59">
        <f>SUM(N297:P297)</f>
        <v>0</v>
      </c>
      <c r="R297" s="59">
        <f>+E297+I297+M297+Q297</f>
        <v>0</v>
      </c>
    </row>
    <row r="298" spans="1:20" ht="15.75" customHeight="1" x14ac:dyDescent="0.3">
      <c r="A298" s="99" t="s">
        <v>279</v>
      </c>
      <c r="B298" s="1"/>
      <c r="C298" s="1"/>
      <c r="D298" s="1"/>
      <c r="E298" s="59">
        <f>SUM(B298:D298)</f>
        <v>0</v>
      </c>
      <c r="F298" s="1"/>
      <c r="G298" s="1"/>
      <c r="H298" s="1"/>
      <c r="I298" s="59">
        <f>SUM(F298:H298)</f>
        <v>0</v>
      </c>
      <c r="J298" s="1"/>
      <c r="K298" s="1"/>
      <c r="L298" s="1"/>
      <c r="M298" s="59">
        <f>SUM(J298:L298)</f>
        <v>0</v>
      </c>
      <c r="N298" s="1"/>
      <c r="O298" s="1"/>
      <c r="P298" s="1"/>
      <c r="Q298" s="59">
        <f>SUM(N298:P298)</f>
        <v>0</v>
      </c>
      <c r="R298" s="59">
        <f>+E298+I298+M298+Q298</f>
        <v>0</v>
      </c>
      <c r="T298" s="4">
        <f>24000-SUM(R151,R155,R175,R178,R192,R210,R246,R247,R268,R294,R297,R298)</f>
        <v>4691</v>
      </c>
    </row>
    <row r="299" spans="1:20" ht="15.75" customHeight="1" x14ac:dyDescent="0.3">
      <c r="A299" s="74" t="s">
        <v>280</v>
      </c>
      <c r="B299" s="1"/>
      <c r="C299" s="1"/>
      <c r="D299" s="1"/>
      <c r="E299" s="59">
        <f t="shared" ref="E299:E304" si="98">SUM(B299:D299)</f>
        <v>0</v>
      </c>
      <c r="F299" s="1"/>
      <c r="G299" s="1"/>
      <c r="H299" s="1"/>
      <c r="I299" s="59">
        <f t="shared" ref="I299:I304" si="99">SUM(F299:H299)</f>
        <v>0</v>
      </c>
      <c r="J299" s="1"/>
      <c r="K299" s="1"/>
      <c r="L299" s="1"/>
      <c r="M299" s="59">
        <f t="shared" ref="M299:M304" si="100">SUM(J299:L299)</f>
        <v>0</v>
      </c>
      <c r="N299" s="1"/>
      <c r="O299" s="1"/>
      <c r="P299" s="1"/>
      <c r="Q299" s="59">
        <f t="shared" ref="Q299:Q304" si="101">SUM(N299:P299)</f>
        <v>0</v>
      </c>
      <c r="R299" s="59">
        <f t="shared" ref="R299:R304" si="102">+E299+I299+M299+Q299</f>
        <v>0</v>
      </c>
      <c r="S299" s="4" t="s">
        <v>136</v>
      </c>
    </row>
    <row r="300" spans="1:20" ht="15.75" customHeight="1" x14ac:dyDescent="0.3">
      <c r="A300" s="74" t="s">
        <v>281</v>
      </c>
      <c r="B300" s="1"/>
      <c r="C300" s="1"/>
      <c r="D300" s="1"/>
      <c r="E300" s="59">
        <f t="shared" si="98"/>
        <v>0</v>
      </c>
      <c r="F300" s="1"/>
      <c r="G300" s="1"/>
      <c r="H300" s="1"/>
      <c r="I300" s="59">
        <f t="shared" si="99"/>
        <v>0</v>
      </c>
      <c r="J300" s="1"/>
      <c r="K300" s="1"/>
      <c r="L300" s="1"/>
      <c r="M300" s="59">
        <f t="shared" si="100"/>
        <v>0</v>
      </c>
      <c r="N300" s="1"/>
      <c r="O300" s="1"/>
      <c r="P300" s="1"/>
      <c r="Q300" s="59">
        <f t="shared" si="101"/>
        <v>0</v>
      </c>
      <c r="R300" s="59">
        <f t="shared" si="102"/>
        <v>0</v>
      </c>
    </row>
    <row r="301" spans="1:20" ht="15.75" customHeight="1" x14ac:dyDescent="0.3">
      <c r="A301" s="91" t="s">
        <v>282</v>
      </c>
      <c r="B301" s="1"/>
      <c r="C301" s="1"/>
      <c r="D301" s="1"/>
      <c r="E301" s="59">
        <f t="shared" si="98"/>
        <v>0</v>
      </c>
      <c r="F301" s="1"/>
      <c r="G301" s="1"/>
      <c r="H301" s="1"/>
      <c r="I301" s="59">
        <f t="shared" si="99"/>
        <v>0</v>
      </c>
      <c r="J301" s="1"/>
      <c r="K301" s="1"/>
      <c r="L301" s="1"/>
      <c r="M301" s="59">
        <f t="shared" si="100"/>
        <v>0</v>
      </c>
      <c r="N301" s="1"/>
      <c r="O301" s="1"/>
      <c r="P301" s="1"/>
      <c r="Q301" s="59">
        <f t="shared" si="101"/>
        <v>0</v>
      </c>
      <c r="R301" s="59">
        <f t="shared" si="102"/>
        <v>0</v>
      </c>
    </row>
    <row r="302" spans="1:20" ht="15.75" customHeight="1" x14ac:dyDescent="0.3">
      <c r="A302" s="91" t="s">
        <v>283</v>
      </c>
      <c r="B302" s="1"/>
      <c r="C302" s="1"/>
      <c r="D302" s="1"/>
      <c r="E302" s="59">
        <f t="shared" si="98"/>
        <v>0</v>
      </c>
      <c r="F302" s="1"/>
      <c r="G302" s="1"/>
      <c r="H302" s="1"/>
      <c r="I302" s="59">
        <f t="shared" si="99"/>
        <v>0</v>
      </c>
      <c r="J302" s="1"/>
      <c r="K302" s="1"/>
      <c r="L302" s="1"/>
      <c r="M302" s="59">
        <f t="shared" si="100"/>
        <v>0</v>
      </c>
      <c r="N302" s="1"/>
      <c r="O302" s="1"/>
      <c r="P302" s="1"/>
      <c r="Q302" s="59">
        <f t="shared" si="101"/>
        <v>0</v>
      </c>
      <c r="R302" s="59">
        <f t="shared" si="102"/>
        <v>0</v>
      </c>
    </row>
    <row r="303" spans="1:20" ht="15.75" customHeight="1" x14ac:dyDescent="0.3">
      <c r="A303" s="61" t="s">
        <v>284</v>
      </c>
      <c r="B303" s="1"/>
      <c r="C303" s="1"/>
      <c r="D303" s="1"/>
      <c r="E303" s="59">
        <f t="shared" si="98"/>
        <v>0</v>
      </c>
      <c r="F303" s="1"/>
      <c r="G303" s="1"/>
      <c r="H303" s="1"/>
      <c r="I303" s="59">
        <f t="shared" si="99"/>
        <v>0</v>
      </c>
      <c r="J303" s="1"/>
      <c r="K303" s="1"/>
      <c r="L303" s="1"/>
      <c r="M303" s="59">
        <f t="shared" si="100"/>
        <v>0</v>
      </c>
      <c r="N303" s="1"/>
      <c r="O303" s="1"/>
      <c r="P303" s="1"/>
      <c r="Q303" s="59">
        <f t="shared" si="101"/>
        <v>0</v>
      </c>
      <c r="R303" s="59">
        <f t="shared" si="102"/>
        <v>0</v>
      </c>
    </row>
    <row r="304" spans="1:20" ht="15.75" customHeight="1" x14ac:dyDescent="0.3">
      <c r="A304" s="61" t="s">
        <v>285</v>
      </c>
      <c r="B304" s="1"/>
      <c r="C304" s="1"/>
      <c r="D304" s="1"/>
      <c r="E304" s="59">
        <f t="shared" si="98"/>
        <v>0</v>
      </c>
      <c r="F304" s="1"/>
      <c r="G304" s="1"/>
      <c r="H304" s="1"/>
      <c r="I304" s="59">
        <f t="shared" si="99"/>
        <v>0</v>
      </c>
      <c r="J304" s="1"/>
      <c r="K304" s="1"/>
      <c r="L304" s="1"/>
      <c r="M304" s="59">
        <f t="shared" si="100"/>
        <v>0</v>
      </c>
      <c r="N304" s="1"/>
      <c r="O304" s="1"/>
      <c r="P304" s="1"/>
      <c r="Q304" s="59">
        <f t="shared" si="101"/>
        <v>0</v>
      </c>
      <c r="R304" s="59">
        <f t="shared" si="102"/>
        <v>0</v>
      </c>
    </row>
    <row r="305" spans="1:20" ht="15.75" customHeight="1" x14ac:dyDescent="0.3">
      <c r="A305" s="17" t="s">
        <v>66</v>
      </c>
      <c r="B305" s="1"/>
      <c r="C305" s="1"/>
      <c r="D305" s="1"/>
      <c r="E305" s="59" t="s">
        <v>7</v>
      </c>
      <c r="F305" s="1"/>
      <c r="G305" s="1"/>
      <c r="H305" s="1"/>
      <c r="I305" s="59" t="s">
        <v>7</v>
      </c>
      <c r="J305" s="1"/>
      <c r="K305" s="1"/>
      <c r="L305" s="1"/>
      <c r="M305" s="59" t="s">
        <v>7</v>
      </c>
      <c r="N305" s="1"/>
      <c r="O305" s="1"/>
      <c r="P305" s="1"/>
      <c r="Q305" s="59" t="s">
        <v>7</v>
      </c>
      <c r="R305" s="59" t="s">
        <v>7</v>
      </c>
    </row>
    <row r="306" spans="1:20" ht="15.75" customHeight="1" x14ac:dyDescent="0.3">
      <c r="A306" s="99" t="s">
        <v>286</v>
      </c>
      <c r="B306" s="1"/>
      <c r="C306" s="1"/>
      <c r="D306" s="1"/>
      <c r="E306" s="59">
        <f t="shared" ref="E306" si="103">SUM(B306:D306)</f>
        <v>0</v>
      </c>
      <c r="F306" s="1"/>
      <c r="G306" s="1"/>
      <c r="H306" s="1"/>
      <c r="I306" s="59">
        <f t="shared" ref="I306" si="104">SUM(F306:H306)</f>
        <v>0</v>
      </c>
      <c r="J306" s="1"/>
      <c r="K306" s="1"/>
      <c r="L306" s="1"/>
      <c r="M306" s="59">
        <f t="shared" ref="M306" si="105">SUM(J306:L306)</f>
        <v>0</v>
      </c>
      <c r="N306" s="1"/>
      <c r="O306" s="1"/>
      <c r="P306" s="1"/>
      <c r="Q306" s="59">
        <f t="shared" ref="Q306" si="106">SUM(N306:P306)</f>
        <v>0</v>
      </c>
      <c r="R306" s="59">
        <f t="shared" ref="R306" si="107">+E306+I306+M306+Q306</f>
        <v>0</v>
      </c>
    </row>
    <row r="307" spans="1:20" ht="15.75" customHeight="1" x14ac:dyDescent="0.3">
      <c r="A307" s="17" t="s">
        <v>67</v>
      </c>
      <c r="B307" s="1"/>
      <c r="C307" s="1"/>
      <c r="D307" s="1"/>
      <c r="E307" s="59" t="s">
        <v>7</v>
      </c>
      <c r="F307" s="1"/>
      <c r="G307" s="1"/>
      <c r="H307" s="1"/>
      <c r="I307" s="59" t="s">
        <v>7</v>
      </c>
      <c r="J307" s="1"/>
      <c r="K307" s="1"/>
      <c r="L307" s="1"/>
      <c r="M307" s="59" t="s">
        <v>7</v>
      </c>
      <c r="N307" s="1"/>
      <c r="O307" s="1"/>
      <c r="P307" s="1"/>
      <c r="Q307" s="59" t="s">
        <v>7</v>
      </c>
      <c r="R307" s="59" t="s">
        <v>7</v>
      </c>
    </row>
    <row r="308" spans="1:20" ht="15.75" customHeight="1" thickBot="1" x14ac:dyDescent="0.35">
      <c r="A308" s="74" t="s">
        <v>287</v>
      </c>
      <c r="B308" s="1"/>
      <c r="C308" s="1"/>
      <c r="D308" s="1"/>
      <c r="E308" s="59">
        <f t="shared" ref="E308" si="108">SUM(B308:D308)</f>
        <v>0</v>
      </c>
      <c r="F308" s="1"/>
      <c r="G308" s="1"/>
      <c r="H308" s="1"/>
      <c r="I308" s="59">
        <f t="shared" ref="I308:I317" si="109">SUM(F308:H308)</f>
        <v>0</v>
      </c>
      <c r="J308" s="1"/>
      <c r="K308" s="1"/>
      <c r="L308" s="1"/>
      <c r="M308" s="59">
        <f t="shared" ref="M308:M317" si="110">SUM(J308:L308)</f>
        <v>0</v>
      </c>
      <c r="N308" s="1"/>
      <c r="O308" s="1"/>
      <c r="P308" s="1"/>
      <c r="Q308" s="59">
        <f t="shared" ref="Q308:Q317" si="111">SUM(N308:P308)</f>
        <v>0</v>
      </c>
      <c r="R308" s="59">
        <f t="shared" ref="R308:R317" si="112">+E308+I308+M308+Q308</f>
        <v>0</v>
      </c>
      <c r="S308" s="4" t="s">
        <v>136</v>
      </c>
    </row>
    <row r="309" spans="1:20" ht="16.5" customHeight="1" thickBot="1" x14ac:dyDescent="0.35">
      <c r="A309" s="62" t="s">
        <v>68</v>
      </c>
      <c r="B309" s="63">
        <f>SUM(B305:B308)</f>
        <v>0</v>
      </c>
      <c r="C309" s="63">
        <f>SUM(C305:C308)</f>
        <v>0</v>
      </c>
      <c r="D309" s="63">
        <f>SUM(D305:D308)</f>
        <v>0</v>
      </c>
      <c r="E309" s="65">
        <f t="shared" ref="E309:E314" si="113">SUM(B309:D309)</f>
        <v>0</v>
      </c>
      <c r="F309" s="63">
        <f>SUM(F305:F308)</f>
        <v>0</v>
      </c>
      <c r="G309" s="63">
        <f>SUM(G305:G308)</f>
        <v>0</v>
      </c>
      <c r="H309" s="63">
        <f>SUM(H305:H308)</f>
        <v>0</v>
      </c>
      <c r="I309" s="65">
        <f t="shared" si="109"/>
        <v>0</v>
      </c>
      <c r="J309" s="63">
        <f>SUM(J305:J308)</f>
        <v>0</v>
      </c>
      <c r="K309" s="63">
        <f>SUM(K305:K308)</f>
        <v>0</v>
      </c>
      <c r="L309" s="63">
        <f>SUM(L305:L308)</f>
        <v>0</v>
      </c>
      <c r="M309" s="65">
        <f t="shared" si="110"/>
        <v>0</v>
      </c>
      <c r="N309" s="63">
        <f>SUM(N305:N308)</f>
        <v>0</v>
      </c>
      <c r="O309" s="63">
        <f>SUM(O305:O308)</f>
        <v>0</v>
      </c>
      <c r="P309" s="63">
        <f>SUM(P305:P308)</f>
        <v>0</v>
      </c>
      <c r="Q309" s="65">
        <f t="shared" si="111"/>
        <v>0</v>
      </c>
      <c r="R309" s="64">
        <f t="shared" si="112"/>
        <v>0</v>
      </c>
    </row>
    <row r="310" spans="1:20" ht="16.5" customHeight="1" thickBot="1" x14ac:dyDescent="0.35">
      <c r="A310" s="62" t="s">
        <v>69</v>
      </c>
      <c r="B310" s="100">
        <f>SUM(B291:B308)</f>
        <v>0</v>
      </c>
      <c r="C310" s="101">
        <f>SUM(C291:C308)</f>
        <v>0</v>
      </c>
      <c r="D310" s="101">
        <f>SUM(D291:D308)</f>
        <v>0</v>
      </c>
      <c r="E310" s="64">
        <f t="shared" si="113"/>
        <v>0</v>
      </c>
      <c r="F310" s="101">
        <f>SUM(F291:F308)</f>
        <v>0</v>
      </c>
      <c r="G310" s="101">
        <f>SUM(G291:G308)</f>
        <v>0</v>
      </c>
      <c r="H310" s="101">
        <f>SUM(H291:H308)</f>
        <v>0</v>
      </c>
      <c r="I310" s="64">
        <f t="shared" si="109"/>
        <v>0</v>
      </c>
      <c r="J310" s="101">
        <f>SUM(J291:J308)</f>
        <v>0</v>
      </c>
      <c r="K310" s="101">
        <f>SUM(K291:K308)</f>
        <v>0</v>
      </c>
      <c r="L310" s="101">
        <f>SUM(L291:L308)</f>
        <v>0</v>
      </c>
      <c r="M310" s="64">
        <f t="shared" si="110"/>
        <v>0</v>
      </c>
      <c r="N310" s="101">
        <f>SUM(N291:N308)</f>
        <v>0</v>
      </c>
      <c r="O310" s="101">
        <f>SUM(O291:O308)</f>
        <v>0</v>
      </c>
      <c r="P310" s="101">
        <f>SUM(P291:P308)</f>
        <v>0</v>
      </c>
      <c r="Q310" s="64">
        <f t="shared" si="111"/>
        <v>0</v>
      </c>
      <c r="R310" s="64">
        <f t="shared" si="112"/>
        <v>0</v>
      </c>
    </row>
    <row r="311" spans="1:20" ht="16.5" customHeight="1" thickBot="1" x14ac:dyDescent="0.35">
      <c r="A311" s="62" t="s">
        <v>70</v>
      </c>
      <c r="B311" s="107">
        <f>+B214+B221+B290+B310</f>
        <v>22776</v>
      </c>
      <c r="C311" s="63">
        <f>+C214+C221+C290+C310</f>
        <v>22684</v>
      </c>
      <c r="D311" s="63">
        <f>+D214+D221+D290+D310</f>
        <v>28370</v>
      </c>
      <c r="E311" s="88">
        <f t="shared" si="113"/>
        <v>73830</v>
      </c>
      <c r="F311" s="63">
        <f>+F214+F221+F290+F310</f>
        <v>33258</v>
      </c>
      <c r="G311" s="63">
        <f>+G214+G221+G290+G310</f>
        <v>47098</v>
      </c>
      <c r="H311" s="63">
        <f>+H214+H221+H290+H310</f>
        <v>51255</v>
      </c>
      <c r="I311" s="88">
        <f t="shared" si="109"/>
        <v>131611</v>
      </c>
      <c r="J311" s="63">
        <f>+J214+J221+J290+J310</f>
        <v>47708</v>
      </c>
      <c r="K311" s="63">
        <f>+K214+K221+K290+K310</f>
        <v>46253</v>
      </c>
      <c r="L311" s="63">
        <f>+L214+L221+L290+L310</f>
        <v>37747</v>
      </c>
      <c r="M311" s="88">
        <f t="shared" si="110"/>
        <v>131708</v>
      </c>
      <c r="N311" s="63">
        <f>+N214+N221+N290+N310</f>
        <v>34557</v>
      </c>
      <c r="O311" s="63">
        <f>+O214+O221+O290+O310</f>
        <v>29258</v>
      </c>
      <c r="P311" s="63">
        <f>+P214+P221+P290+P310</f>
        <v>25181</v>
      </c>
      <c r="Q311" s="88">
        <f t="shared" si="111"/>
        <v>88996</v>
      </c>
      <c r="R311" s="88">
        <f t="shared" si="112"/>
        <v>426145</v>
      </c>
    </row>
    <row r="312" spans="1:20" ht="15.75" customHeight="1" x14ac:dyDescent="0.3">
      <c r="A312" s="102" t="s">
        <v>288</v>
      </c>
      <c r="B312" s="1">
        <v>470</v>
      </c>
      <c r="C312" s="1">
        <v>635</v>
      </c>
      <c r="D312" s="1">
        <v>2235</v>
      </c>
      <c r="E312" s="59">
        <f t="shared" si="113"/>
        <v>3340</v>
      </c>
      <c r="F312" s="1">
        <v>3411</v>
      </c>
      <c r="G312" s="1">
        <v>3529</v>
      </c>
      <c r="H312" s="1">
        <v>2765</v>
      </c>
      <c r="I312" s="59">
        <f t="shared" si="109"/>
        <v>9705</v>
      </c>
      <c r="J312" s="1">
        <v>3117</v>
      </c>
      <c r="K312" s="1">
        <v>1529</v>
      </c>
      <c r="L312" s="1">
        <v>2588</v>
      </c>
      <c r="M312" s="59">
        <f t="shared" si="110"/>
        <v>7234</v>
      </c>
      <c r="N312" s="1">
        <v>3764</v>
      </c>
      <c r="O312" s="1">
        <v>941</v>
      </c>
      <c r="P312" s="1"/>
      <c r="Q312" s="59">
        <f t="shared" si="111"/>
        <v>4705</v>
      </c>
      <c r="R312" s="59">
        <f t="shared" si="112"/>
        <v>24984</v>
      </c>
      <c r="S312" s="50"/>
      <c r="T312" s="4" t="s">
        <v>121</v>
      </c>
    </row>
    <row r="313" spans="1:20" ht="15.75" customHeight="1" x14ac:dyDescent="0.3">
      <c r="A313" s="108" t="s">
        <v>289</v>
      </c>
      <c r="B313" s="1"/>
      <c r="C313" s="1"/>
      <c r="D313" s="1"/>
      <c r="E313" s="59">
        <f t="shared" si="113"/>
        <v>0</v>
      </c>
      <c r="F313" s="1">
        <v>5000</v>
      </c>
      <c r="G313" s="1">
        <v>7800</v>
      </c>
      <c r="H313" s="1">
        <v>-10000</v>
      </c>
      <c r="I313" s="59">
        <f t="shared" si="109"/>
        <v>2800</v>
      </c>
      <c r="J313" s="1"/>
      <c r="K313" s="1"/>
      <c r="L313" s="1"/>
      <c r="M313" s="59">
        <f t="shared" si="110"/>
        <v>0</v>
      </c>
      <c r="N313" s="1"/>
      <c r="O313" s="1"/>
      <c r="P313" s="1"/>
      <c r="Q313" s="59">
        <f t="shared" si="111"/>
        <v>0</v>
      </c>
      <c r="R313" s="59">
        <f t="shared" si="112"/>
        <v>2800</v>
      </c>
    </row>
    <row r="314" spans="1:20" ht="15.75" customHeight="1" x14ac:dyDescent="0.3">
      <c r="A314" s="74" t="s">
        <v>290</v>
      </c>
      <c r="B314" s="1"/>
      <c r="C314" s="1"/>
      <c r="D314" s="1"/>
      <c r="E314" s="59">
        <f t="shared" si="113"/>
        <v>0</v>
      </c>
      <c r="F314" s="1"/>
      <c r="G314" s="1"/>
      <c r="H314" s="1"/>
      <c r="I314" s="59">
        <f t="shared" si="109"/>
        <v>0</v>
      </c>
      <c r="J314" s="1"/>
      <c r="K314" s="1"/>
      <c r="L314" s="1"/>
      <c r="M314" s="59">
        <f t="shared" si="110"/>
        <v>0</v>
      </c>
      <c r="N314" s="1"/>
      <c r="O314" s="1"/>
      <c r="P314" s="1"/>
      <c r="Q314" s="59">
        <f t="shared" si="111"/>
        <v>0</v>
      </c>
      <c r="R314" s="59">
        <f t="shared" si="112"/>
        <v>0</v>
      </c>
    </row>
    <row r="315" spans="1:20" ht="15.75" customHeight="1" x14ac:dyDescent="0.3">
      <c r="A315" s="108" t="s">
        <v>291</v>
      </c>
      <c r="B315" s="1">
        <v>42</v>
      </c>
      <c r="C315" s="1">
        <v>43</v>
      </c>
      <c r="D315" s="1">
        <v>47</v>
      </c>
      <c r="E315" s="59">
        <f>SUM(B315:D315)</f>
        <v>132</v>
      </c>
      <c r="F315" s="1">
        <v>52</v>
      </c>
      <c r="G315" s="1">
        <v>52</v>
      </c>
      <c r="H315" s="1">
        <v>57</v>
      </c>
      <c r="I315" s="59">
        <f>SUM(F315:H315)</f>
        <v>161</v>
      </c>
      <c r="J315" s="1">
        <v>62</v>
      </c>
      <c r="K315" s="1">
        <v>62</v>
      </c>
      <c r="L315" s="1">
        <v>62</v>
      </c>
      <c r="M315" s="59">
        <f>SUM(J315:L315)</f>
        <v>186</v>
      </c>
      <c r="N315" s="1">
        <v>57</v>
      </c>
      <c r="O315" s="1">
        <v>42</v>
      </c>
      <c r="P315" s="1">
        <v>47</v>
      </c>
      <c r="Q315" s="59">
        <f>SUM(N315:P315)</f>
        <v>146</v>
      </c>
      <c r="R315" s="59">
        <f t="shared" si="112"/>
        <v>625</v>
      </c>
    </row>
    <row r="316" spans="1:20" ht="15.75" customHeight="1" x14ac:dyDescent="0.3">
      <c r="A316" s="91" t="s">
        <v>292</v>
      </c>
      <c r="B316" s="1">
        <v>8000</v>
      </c>
      <c r="C316" s="1"/>
      <c r="D316" s="1">
        <v>45000</v>
      </c>
      <c r="E316" s="59">
        <f t="shared" ref="E316" si="114">SUM(B316:D316)</f>
        <v>53000</v>
      </c>
      <c r="F316" s="1"/>
      <c r="G316" s="1"/>
      <c r="H316" s="1"/>
      <c r="I316" s="59">
        <f t="shared" ref="I316" si="115">SUM(F316:H316)</f>
        <v>0</v>
      </c>
      <c r="J316" s="1"/>
      <c r="K316" s="1"/>
      <c r="L316" s="1">
        <v>18000</v>
      </c>
      <c r="M316" s="59">
        <f t="shared" ref="M316" si="116">SUM(J316:L316)</f>
        <v>18000</v>
      </c>
      <c r="N316" s="1">
        <v>72000</v>
      </c>
      <c r="O316" s="1">
        <v>94000</v>
      </c>
      <c r="P316" s="1">
        <v>54000</v>
      </c>
      <c r="Q316" s="59">
        <f t="shared" si="111"/>
        <v>220000</v>
      </c>
      <c r="R316" s="59">
        <f t="shared" si="112"/>
        <v>291000</v>
      </c>
    </row>
    <row r="317" spans="1:20" ht="16.5" customHeight="1" thickBot="1" x14ac:dyDescent="0.35">
      <c r="A317" s="40" t="s">
        <v>37</v>
      </c>
      <c r="B317" s="25">
        <v>104</v>
      </c>
      <c r="C317" s="25">
        <v>268</v>
      </c>
      <c r="D317" s="25">
        <v>474</v>
      </c>
      <c r="E317" s="59">
        <f>SUM(B317:D317)</f>
        <v>846</v>
      </c>
      <c r="F317" s="25">
        <v>647</v>
      </c>
      <c r="G317" s="25">
        <v>742</v>
      </c>
      <c r="H317" s="25">
        <v>781</v>
      </c>
      <c r="I317" s="59">
        <f t="shared" si="109"/>
        <v>2170</v>
      </c>
      <c r="J317" s="25">
        <v>774</v>
      </c>
      <c r="K317" s="25">
        <v>596</v>
      </c>
      <c r="L317" s="25">
        <v>546</v>
      </c>
      <c r="M317" s="59">
        <f t="shared" si="110"/>
        <v>1916</v>
      </c>
      <c r="N317" s="25">
        <v>517</v>
      </c>
      <c r="O317" s="25">
        <v>413</v>
      </c>
      <c r="P317" s="25">
        <v>302</v>
      </c>
      <c r="Q317" s="59">
        <f t="shared" si="111"/>
        <v>1232</v>
      </c>
      <c r="R317" s="59">
        <f t="shared" si="112"/>
        <v>6164</v>
      </c>
    </row>
    <row r="318" spans="1:20" ht="16.5" customHeight="1" thickBot="1" x14ac:dyDescent="0.35">
      <c r="A318" s="80"/>
      <c r="B318" s="81"/>
      <c r="C318" s="81"/>
      <c r="D318" s="81"/>
      <c r="E318" s="65"/>
      <c r="F318" s="81"/>
      <c r="G318" s="81"/>
      <c r="H318" s="81"/>
      <c r="I318" s="64"/>
      <c r="J318" s="81"/>
      <c r="K318" s="81"/>
      <c r="L318" s="81"/>
      <c r="M318" s="64"/>
      <c r="N318" s="81"/>
      <c r="O318" s="81"/>
      <c r="P318" s="81"/>
      <c r="Q318" s="64"/>
      <c r="R318" s="64" t="s">
        <v>7</v>
      </c>
    </row>
    <row r="319" spans="1:20" ht="15.75" customHeight="1" x14ac:dyDescent="0.3">
      <c r="A319" s="82" t="s">
        <v>38</v>
      </c>
      <c r="B319" s="83">
        <f>SUM(B311:B317)</f>
        <v>31392</v>
      </c>
      <c r="C319" s="83">
        <f>SUM(C311:C317)</f>
        <v>23630</v>
      </c>
      <c r="D319" s="83">
        <f>SUM(D311:D317)</f>
        <v>76126</v>
      </c>
      <c r="E319" s="65">
        <f>SUM(B319:D319)</f>
        <v>131148</v>
      </c>
      <c r="F319" s="83">
        <f>SUM(F311:F317)</f>
        <v>42368</v>
      </c>
      <c r="G319" s="83">
        <f>SUM(G311:G317)</f>
        <v>59221</v>
      </c>
      <c r="H319" s="83">
        <f>SUM(H311:H317)</f>
        <v>44858</v>
      </c>
      <c r="I319" s="65">
        <f>SUM(F319:H319)</f>
        <v>146447</v>
      </c>
      <c r="J319" s="83">
        <f>SUM(J311:J317)</f>
        <v>51661</v>
      </c>
      <c r="K319" s="83">
        <f>SUM(K311:K317)</f>
        <v>48440</v>
      </c>
      <c r="L319" s="83">
        <f>SUM(L311:L317)</f>
        <v>58943</v>
      </c>
      <c r="M319" s="65">
        <f>SUM(J319:L319)</f>
        <v>159044</v>
      </c>
      <c r="N319" s="83">
        <f>SUM(N311:N317)</f>
        <v>110895</v>
      </c>
      <c r="O319" s="83">
        <f>SUM(O311:O317)</f>
        <v>124654</v>
      </c>
      <c r="P319" s="83">
        <f>SUM(P311:P317)</f>
        <v>79530</v>
      </c>
      <c r="Q319" s="109">
        <f>SUM(N319:P319)</f>
        <v>315079</v>
      </c>
      <c r="R319" s="65">
        <f>+E319+I319+M319+Q319</f>
        <v>751718</v>
      </c>
    </row>
    <row r="320" spans="1:20" ht="15.75" customHeight="1" x14ac:dyDescent="0.3">
      <c r="A320" s="85" t="s">
        <v>39</v>
      </c>
      <c r="B320" s="1">
        <f>(B319/B10)/1.983</f>
        <v>510.66321799814551</v>
      </c>
      <c r="C320" s="1">
        <f>(C319/C10)/1.983</f>
        <v>410.90649833933259</v>
      </c>
      <c r="D320" s="1">
        <f>(D319/D10)/1.983</f>
        <v>1238.3648105672407</v>
      </c>
      <c r="E320" s="59" t="s">
        <v>7</v>
      </c>
      <c r="F320" s="1">
        <f>(F319/F10)/1.983</f>
        <v>712.18692217179353</v>
      </c>
      <c r="G320" s="1">
        <f>(G319/G10)/1.983</f>
        <v>963.36603061506673</v>
      </c>
      <c r="H320" s="1">
        <f>(H319/H10)/1.983</f>
        <v>754.04269625147083</v>
      </c>
      <c r="I320" s="59" t="s">
        <v>7</v>
      </c>
      <c r="J320" s="1">
        <f>(J319/J10)/1.983</f>
        <v>840.38520976688949</v>
      </c>
      <c r="K320" s="1">
        <f>(K319/K10)/1.983</f>
        <v>787.98822247165413</v>
      </c>
      <c r="L320" s="1">
        <f>(L319/L10)/1.983</f>
        <v>990.80517734072953</v>
      </c>
      <c r="M320" s="59" t="s">
        <v>7</v>
      </c>
      <c r="N320" s="1">
        <f>(N319/N10)/1.983</f>
        <v>1803.9627153384413</v>
      </c>
      <c r="O320" s="1">
        <f>(O319/O10)/1.983</f>
        <v>2095.3773743486299</v>
      </c>
      <c r="P320" s="1">
        <f>(P319/P10)/1.983</f>
        <v>1293.7387145576106</v>
      </c>
      <c r="Q320" s="110" t="s">
        <v>7</v>
      </c>
      <c r="R320" s="59" t="s">
        <v>7</v>
      </c>
    </row>
    <row r="321" spans="1:18" ht="15.75" customHeight="1" x14ac:dyDescent="0.3">
      <c r="A321" s="85" t="s">
        <v>293</v>
      </c>
      <c r="B321" s="1">
        <f>(+B319+B507)+B328</f>
        <v>72449</v>
      </c>
      <c r="C321" s="1">
        <f>(+C319+C507)+C328</f>
        <v>76161</v>
      </c>
      <c r="D321" s="1">
        <f>(+D319+D507)+D328</f>
        <v>158594</v>
      </c>
      <c r="E321" s="59">
        <f>SUM(B321:D321)</f>
        <v>307204</v>
      </c>
      <c r="F321" s="1">
        <f>(+F319+F507)+F328</f>
        <v>149857</v>
      </c>
      <c r="G321" s="1">
        <f>(+G319+G507)+G328</f>
        <v>153669</v>
      </c>
      <c r="H321" s="1">
        <f>(+H319+H507)+H328</f>
        <v>89174</v>
      </c>
      <c r="I321" s="59">
        <f>SUM(F321:H321)</f>
        <v>392700</v>
      </c>
      <c r="J321" s="1">
        <f>(+J319+J507)+J328</f>
        <v>44285</v>
      </c>
      <c r="K321" s="1">
        <f>(+K319+K507)+K328</f>
        <v>45337</v>
      </c>
      <c r="L321" s="1">
        <f>(+L319+L507)+L328</f>
        <v>126417</v>
      </c>
      <c r="M321" s="59">
        <f>SUM(J321:L321)</f>
        <v>216039</v>
      </c>
      <c r="N321" s="1">
        <f>(+N319+N507)+N328</f>
        <v>160708</v>
      </c>
      <c r="O321" s="1">
        <f>(+O319+O507)+O328</f>
        <v>156817</v>
      </c>
      <c r="P321" s="1">
        <f>(+P319+P507)+P328</f>
        <v>96806</v>
      </c>
      <c r="Q321" s="110">
        <f>SUM(N321:P321)</f>
        <v>414331</v>
      </c>
      <c r="R321" s="59">
        <f>+E321+I321+M321+Q321</f>
        <v>1330274</v>
      </c>
    </row>
    <row r="322" spans="1:18" ht="16.5" customHeight="1" thickBot="1" x14ac:dyDescent="0.35">
      <c r="A322" s="86" t="s">
        <v>294</v>
      </c>
      <c r="B322" s="87">
        <f>(B321/B10)/1.983</f>
        <v>1178.5499324906868</v>
      </c>
      <c r="C322" s="87">
        <f>(C321/C10)/1.983</f>
        <v>1324.3779018206478</v>
      </c>
      <c r="D322" s="87">
        <f>(D321/D10)/1.983</f>
        <v>2579.8968652904528</v>
      </c>
      <c r="E322" s="88" t="s">
        <v>7</v>
      </c>
      <c r="F322" s="87">
        <f>(F321/F10)/1.983</f>
        <v>2519.0284081358213</v>
      </c>
      <c r="G322" s="87">
        <f>(G321/G10)/1.983</f>
        <v>2499.7803913913422</v>
      </c>
      <c r="H322" s="87">
        <f>(H321/H10)/1.983</f>
        <v>1498.974617582787</v>
      </c>
      <c r="I322" s="88" t="s">
        <v>7</v>
      </c>
      <c r="J322" s="87">
        <f>(J321/J10)/1.983</f>
        <v>720.39757291819171</v>
      </c>
      <c r="K322" s="87">
        <f>(K321/K10)/1.983</f>
        <v>737.51077708912851</v>
      </c>
      <c r="L322" s="87">
        <f>(L321/L10)/1.983</f>
        <v>2125.012607160867</v>
      </c>
      <c r="M322" s="88" t="s">
        <v>7</v>
      </c>
      <c r="N322" s="87">
        <f>(N321/N10)/1.983</f>
        <v>2614.2859466757764</v>
      </c>
      <c r="O322" s="87">
        <f>(O321/O10)/1.983</f>
        <v>2636.0228609850396</v>
      </c>
      <c r="P322" s="87">
        <f>(P321/P10)/1.983</f>
        <v>1574.7726644217787</v>
      </c>
      <c r="Q322" s="111" t="s">
        <v>7</v>
      </c>
      <c r="R322" s="88" t="s">
        <v>7</v>
      </c>
    </row>
    <row r="323" spans="1:18" ht="16.5" customHeight="1" thickBot="1" x14ac:dyDescent="0.35">
      <c r="A323" s="112" t="s">
        <v>295</v>
      </c>
      <c r="B323" s="113">
        <f>+(B321-(B142+B143+B144+B145+B146+B149+B151+B152+B155+B156+B157+B160+B162+B165++B171+B172+B175+B176+B178+B179+B180+B181+B182+B189+B192+B193+B194+B205+B208+B210+B211+B218+B225+B226+B228+B229+B230+B236+B243+B245+B246+B247+B248+B250+B251+B252+B260+B268+B269+B272+B282+B294+B295+B297+B298+B301+B302+B306+B312+B316+B324)-B328)/(B10*1.983)</f>
        <v>895.87298488767419</v>
      </c>
      <c r="C323" s="113">
        <f>+(C321-(C142+C143+C144+C145+C146+C149+C151+C152+C155+C156+C157+C160+C162+C165++C171+C172+C175+C176+C178+C179+C180+C181+C182+C189+C192+C193+C194+C205+C208+C210+C211+C218+C225+C226+C228+C229+C230+C236+C243+C245+C246+C247+C248+C250+C251+C252+C260+C268+C269+C272+C282+C294+C295+C297+C298+C301+C302+C306+C312+C316+C324)-C328)/(C10*1.983)</f>
        <v>1150.3990818509051</v>
      </c>
      <c r="D323" s="113">
        <f>+(D321-(D142+D143+D144+D145+D146+D149+D151+D152+D155+D156+D157+D160+D162+D165++D171+D172+D175+D176+D178+D179+D180+D181+D182+D189+D192+D193+D194+D205+D208+D210+D211+D218+D225+D226+D228+D229+D230+D236+D243+D245+D246+D247+D248+D250+D251+D252+D260+D268+D269+D272+D282+D294+D295+D297+D298+D301+D302+D306+D312+D316+D324)-D328)/(D10*1.983)</f>
        <v>1605.387731199063</v>
      </c>
      <c r="E323" s="114"/>
      <c r="F323" s="113">
        <f>+(F321-(F142+F143+F144+F145+F146+F149+F151+F152+F155+F156+F157+F160+F162+F165++F171+F172+F175+F176+F178+F179+F180+F181+F182+F189+F192+F193+F194+F205+F208+F210+F211+F218+F225+F226+F228+F229+F230+F236+F243+F245+F246+F247+F248+F250+F251+F252+F260+F268+F269+F272+F282+F294+F295+F297+F298+F301+F302+F306+F312+F316+F324)-F328)/(F10*1.983)</f>
        <v>2244.6629685661455</v>
      </c>
      <c r="G323" s="113">
        <f>+(G321-(G142+G143+G144+G145+G146+G149+G151+G152+G155+G156+G157+G160+G162+G165++G171+G172+G175+G176+G178+G179+G180+G181+G182+G189+G192+G193+G194+G205+G208+G210+G211+G218+G225+G226+G228+G229+G230+G236+G243+G245+G246+G247+G248+G250+G251+G252+G260+G268+G269+G272+G282+G294+G295+G297+G298+G301+G302+G306+G312+G316+G324)-G328)/(G10*1.983)</f>
        <v>2372.732744456916</v>
      </c>
      <c r="H323" s="113">
        <f>+(H321-(H142+H143+H144+H145+H146+H149+H151+H152+H155+H156+H157+H160+H162+H165++H171+H172+H175+H176+H178+H179+H180+H181+H182+H189+H192+H193+H194+H205+H208+H210+H211+H218+H225+H226+H228+H229+H230+H236+H243+H245+H246+H247+H248+H250+H251+H252+H260+H268+H269+H272+H282+H294+H295+H297+H298+H301+H302+H306+H312+H316+H324)-H328)/(H10*1.983)</f>
        <v>2834.846192637418</v>
      </c>
      <c r="I323" s="114"/>
      <c r="J323" s="113">
        <f>+(J321-(J142+J143+J144+J145+J146+J149+J151+J152+J155+J156+J157+J160+J162+J165++J171+J172+J175+J176+J178+J179+J180+J181+J182+J189+J192+J193+J194+J205+J208+J210+J211+J218+J225+J226+J228+J229+J230+J236+J243+J245+J246+J247+J248+J250+J251+J252+J260+J268+J269+J272+J282+J294+J295+J297+J298+J301+J302+J306+J312+J316+J324)-J328)/(J10*1.983)</f>
        <v>2362.4030061978428</v>
      </c>
      <c r="K323" s="113">
        <f>+(K321-(K142+K143+K144+K145+K146+K149+K151+K152+K155+K156+K157+K160+K162+K165++K171+K172+K175+K176+K178+K179+K180+K181+K182+K189+K192+K193+K194+K205+K208+K210+K211+K218+K225+K226+K228+K229+K230+K236+K243+K245+K246+K247+K248+K250+K251+K252+K260+K268+K269+K272+K282+K294+K295+K297+K298+K301+K302+K306+K312+K316+K324)-K328)/(K10*1.983)</f>
        <v>2130.4312462381858</v>
      </c>
      <c r="L323" s="113">
        <f>+(L321-(L142+L143+L144+L145+L146+L149+L151+L152+L155+L156+L157+L160+L162+L165++L171+L172+L175+L176+L178+L179+L180+L181+L182+L189+L192+L193+L194+L205+L208+L210+L211+L218+L225+L226+L228+L229+L230+L236+L243+L245+L246+L247+L248+L250+L251+L252+L260+L268+L269+L272+L282+L294+L295+L297+L298+L301+L302+L306+L312+L316+L324)-L328)/(L10*1.983)</f>
        <v>1563.3888048411497</v>
      </c>
      <c r="M323" s="114"/>
      <c r="N323" s="113">
        <f>+(N321-(N142+N143+N144+N145+N146+N149+N151+N152+N155+N156+N157+N160+N162+N165++N171+N172+N175+N176+N178+N179+N180+N181+N182+N189+N192+N193+N194+N205+N208+N210+N211+N218+N225+N226+N228+N229+N230+N236+N243+N245+N246+N247+N248+N250+N251+N252+N260+N268+N269+N272+N282+N294+N295+N297+N298+N301+N302+N306+N312+N316+N324)-N328)/(N10*1.983)</f>
        <v>1189.8882436191498</v>
      </c>
      <c r="O323" s="113">
        <f>+(O321-(O142+O143+O144+O145+O146+O149+O151+O152+O155+O156+O157+O160+O162+O165++O171+O172+O175+O176+O178+O179+O180+O181+O182+O189+O192+O193+O194+O205+O208+O210+O211+O218+O225+O226+O228+O229+O230+O236+O243+O245+O246+O247+O248+O250+O251+O252+O260+O268+O269+O272+O282+O294+O295+O297+O298+O301+O302+O306+O312+O316+O324)-O328)/(O10*1.983)</f>
        <v>876.71877626491846</v>
      </c>
      <c r="P323" s="113">
        <f>+(P321-(P142+P143+P144+P145+P146+P149+P151+P152+P155+P156+P157+P160+P162+P165++P171+P172+P175+P176+P178+P179+P180+P181+P182+P189+P192+P193+P194+P205+P208+P210+P211+P218+P225+P226+P228+P229+P230+P236+P243+P245+P246+P247+P248+P250+P251+P252+P260+P268+P269+P272+P282+P294+P295+P297+P298+P301+P302+P306+P312+P316+P324)-P328)/(P10*1.983)</f>
        <v>594.5862411139849</v>
      </c>
      <c r="Q323" s="115"/>
      <c r="R323" s="114"/>
    </row>
    <row r="324" spans="1:18" ht="15.75" customHeight="1" x14ac:dyDescent="0.3">
      <c r="A324" s="116" t="s">
        <v>296</v>
      </c>
      <c r="B324" s="1">
        <v>3568</v>
      </c>
      <c r="C324" s="1">
        <v>3568</v>
      </c>
      <c r="D324" s="1">
        <v>3568</v>
      </c>
      <c r="E324" s="1"/>
      <c r="F324" s="1">
        <v>3568</v>
      </c>
      <c r="G324" s="1">
        <v>3568</v>
      </c>
      <c r="H324" s="1">
        <v>3568</v>
      </c>
      <c r="I324" s="1"/>
      <c r="J324" s="1">
        <v>3568</v>
      </c>
      <c r="K324" s="1">
        <v>3568</v>
      </c>
      <c r="L324" s="1">
        <v>3568</v>
      </c>
      <c r="M324" s="1"/>
      <c r="N324" s="1">
        <v>3568</v>
      </c>
      <c r="O324" s="1">
        <v>3568</v>
      </c>
      <c r="P324" s="1">
        <v>3568</v>
      </c>
      <c r="Q324" s="1"/>
      <c r="R324" s="28"/>
    </row>
    <row r="325" spans="1:18" ht="15.75" customHeight="1" thickBot="1" x14ac:dyDescent="0.35">
      <c r="A325" s="30"/>
      <c r="B325" s="1"/>
      <c r="C325" s="1"/>
      <c r="D325" s="1"/>
      <c r="E325" s="1"/>
      <c r="F325" s="1"/>
      <c r="G325" s="1"/>
      <c r="H325" s="1"/>
      <c r="I325" s="1"/>
      <c r="J325" s="1"/>
      <c r="K325" s="1"/>
      <c r="L325" s="1"/>
      <c r="M325" s="1"/>
      <c r="N325" s="1"/>
      <c r="O325" s="1"/>
      <c r="P325" s="1"/>
      <c r="Q325" s="1"/>
      <c r="R325" s="28"/>
    </row>
    <row r="326" spans="1:18" ht="16.5" customHeight="1" thickBot="1" x14ac:dyDescent="0.35">
      <c r="A326" s="31" t="s">
        <v>297</v>
      </c>
      <c r="B326" s="32" t="s">
        <v>36</v>
      </c>
      <c r="C326" s="33" t="s">
        <v>9</v>
      </c>
      <c r="D326" s="33" t="s">
        <v>10</v>
      </c>
      <c r="E326" s="12" t="s">
        <v>11</v>
      </c>
      <c r="F326" s="33" t="s">
        <v>12</v>
      </c>
      <c r="G326" s="33" t="s">
        <v>13</v>
      </c>
      <c r="H326" s="33" t="s">
        <v>14</v>
      </c>
      <c r="I326" s="34" t="s">
        <v>15</v>
      </c>
      <c r="J326" s="33" t="s">
        <v>16</v>
      </c>
      <c r="K326" s="33" t="s">
        <v>17</v>
      </c>
      <c r="L326" s="33" t="s">
        <v>18</v>
      </c>
      <c r="M326" s="34" t="s">
        <v>19</v>
      </c>
      <c r="N326" s="33" t="s">
        <v>20</v>
      </c>
      <c r="O326" s="33" t="s">
        <v>21</v>
      </c>
      <c r="P326" s="33" t="s">
        <v>22</v>
      </c>
      <c r="Q326" s="34" t="s">
        <v>23</v>
      </c>
      <c r="R326" s="35" t="s">
        <v>24</v>
      </c>
    </row>
    <row r="327" spans="1:18" ht="16.5" customHeight="1" thickBot="1" x14ac:dyDescent="0.35">
      <c r="A327" s="80"/>
      <c r="B327" s="81"/>
      <c r="C327" s="81"/>
      <c r="D327" s="81"/>
      <c r="E327" s="89"/>
      <c r="F327" s="81"/>
      <c r="G327" s="81"/>
      <c r="H327" s="81"/>
      <c r="I327" s="89"/>
      <c r="J327" s="81"/>
      <c r="K327" s="81"/>
      <c r="L327" s="81"/>
      <c r="M327" s="89"/>
      <c r="N327" s="81"/>
      <c r="O327" s="81"/>
      <c r="P327" s="81"/>
      <c r="Q327" s="89"/>
      <c r="R327" s="117"/>
    </row>
    <row r="328" spans="1:18" ht="15.75" customHeight="1" thickBot="1" x14ac:dyDescent="0.35">
      <c r="A328" s="74" t="s">
        <v>298</v>
      </c>
      <c r="B328" s="1"/>
      <c r="C328" s="1"/>
      <c r="D328" s="1"/>
      <c r="E328" s="59">
        <f>SUM(B328:D328)</f>
        <v>0</v>
      </c>
      <c r="F328" s="1"/>
      <c r="G328" s="1">
        <v>-10000</v>
      </c>
      <c r="H328" s="1">
        <v>-96000</v>
      </c>
      <c r="I328" s="59">
        <f>SUM(F328:H328)</f>
        <v>-106000</v>
      </c>
      <c r="J328" s="1">
        <v>-117000</v>
      </c>
      <c r="K328" s="1">
        <v>-100000</v>
      </c>
      <c r="L328" s="1"/>
      <c r="M328" s="59">
        <f>SUM(J328:L328)</f>
        <v>-217000</v>
      </c>
      <c r="N328" s="1"/>
      <c r="O328" s="1"/>
      <c r="P328" s="1"/>
      <c r="Q328" s="59">
        <f>SUM(N328:P328)</f>
        <v>0</v>
      </c>
      <c r="R328" s="59">
        <f>+E328+I328+M328+Q328</f>
        <v>-323000</v>
      </c>
    </row>
    <row r="329" spans="1:18" ht="16.5" customHeight="1" thickBot="1" x14ac:dyDescent="0.35">
      <c r="A329" s="118"/>
      <c r="B329" s="119"/>
      <c r="C329" s="119"/>
      <c r="D329" s="119"/>
      <c r="E329" s="120"/>
      <c r="F329" s="119"/>
      <c r="G329" s="119"/>
      <c r="H329" s="119"/>
      <c r="I329" s="120"/>
      <c r="J329" s="119"/>
      <c r="K329" s="119"/>
      <c r="L329" s="119"/>
      <c r="M329" s="120"/>
      <c r="N329" s="119"/>
      <c r="O329" s="119"/>
      <c r="P329" s="119"/>
      <c r="Q329" s="120"/>
      <c r="R329" s="121"/>
    </row>
    <row r="330" spans="1:18" ht="15.75" customHeight="1" x14ac:dyDescent="0.3">
      <c r="A330" s="17" t="s">
        <v>32</v>
      </c>
      <c r="B330" s="1">
        <f>B328</f>
        <v>0</v>
      </c>
      <c r="C330" s="1">
        <f>C328</f>
        <v>0</v>
      </c>
      <c r="D330" s="1">
        <f>D328</f>
        <v>0</v>
      </c>
      <c r="E330" s="59">
        <f>SUM(B330:D330)</f>
        <v>0</v>
      </c>
      <c r="F330" s="1">
        <f>F328</f>
        <v>0</v>
      </c>
      <c r="G330" s="1">
        <f>G328</f>
        <v>-10000</v>
      </c>
      <c r="H330" s="1">
        <f>H328</f>
        <v>-96000</v>
      </c>
      <c r="I330" s="59">
        <f>SUM(F330:H330)</f>
        <v>-106000</v>
      </c>
      <c r="J330" s="1">
        <f>J328</f>
        <v>-117000</v>
      </c>
      <c r="K330" s="1">
        <f>K328</f>
        <v>-100000</v>
      </c>
      <c r="L330" s="1">
        <f>L328</f>
        <v>0</v>
      </c>
      <c r="M330" s="59">
        <f>SUM(J330:L330)</f>
        <v>-217000</v>
      </c>
      <c r="N330" s="1">
        <f>N328</f>
        <v>0</v>
      </c>
      <c r="O330" s="1">
        <f>O328</f>
        <v>0</v>
      </c>
      <c r="P330" s="1">
        <f>P328</f>
        <v>0</v>
      </c>
      <c r="Q330" s="59">
        <f>SUM(N330:P330)</f>
        <v>0</v>
      </c>
      <c r="R330" s="122">
        <f>R328</f>
        <v>-323000</v>
      </c>
    </row>
    <row r="331" spans="1:18" ht="16.5" customHeight="1" thickBot="1" x14ac:dyDescent="0.35">
      <c r="A331" s="24" t="s">
        <v>39</v>
      </c>
      <c r="B331" s="25">
        <f>(B330/B10)/1.983</f>
        <v>0</v>
      </c>
      <c r="C331" s="25">
        <f>(C330/C10)/1.983</f>
        <v>0</v>
      </c>
      <c r="D331" s="25">
        <f>(D330/D10)/1.983</f>
        <v>0</v>
      </c>
      <c r="E331" s="88"/>
      <c r="F331" s="25">
        <f>(F330/F10)/1.983</f>
        <v>0</v>
      </c>
      <c r="G331" s="25">
        <f>(G330/G10)/1.983</f>
        <v>-162.6730434499699</v>
      </c>
      <c r="H331" s="25">
        <f>(H330/H10)/1.983</f>
        <v>-1613.7165910237013</v>
      </c>
      <c r="I331" s="88"/>
      <c r="J331" s="25">
        <f>(J330/J10)/1.983</f>
        <v>-1903.2746083646477</v>
      </c>
      <c r="K331" s="25">
        <f>(K330/K10)/1.983</f>
        <v>-1626.730434499699</v>
      </c>
      <c r="L331" s="25">
        <f>(L330/L10)/1.983</f>
        <v>0</v>
      </c>
      <c r="M331" s="88"/>
      <c r="N331" s="25">
        <f>(N330/N10)/1.983</f>
        <v>0</v>
      </c>
      <c r="O331" s="25">
        <f>(O330/O10)/1.983</f>
        <v>0</v>
      </c>
      <c r="P331" s="25">
        <f>(P330/P10)/1.983</f>
        <v>0</v>
      </c>
      <c r="Q331" s="88"/>
      <c r="R331" s="117" t="s">
        <v>7</v>
      </c>
    </row>
    <row r="332" spans="1:18" ht="15.75" customHeight="1" x14ac:dyDescent="0.3">
      <c r="A332" s="28"/>
      <c r="B332" s="1"/>
      <c r="C332" s="1"/>
      <c r="D332" s="1"/>
      <c r="E332" s="1"/>
      <c r="F332" s="1"/>
      <c r="G332" s="1"/>
      <c r="H332" s="1"/>
      <c r="I332" s="1"/>
      <c r="J332" s="1"/>
      <c r="K332" s="1"/>
      <c r="L332" s="1"/>
      <c r="M332" s="1"/>
      <c r="N332" s="1"/>
      <c r="O332" s="1"/>
      <c r="P332" s="1"/>
      <c r="Q332" s="1"/>
      <c r="R332" s="28"/>
    </row>
    <row r="333" spans="1:18" ht="16.5" customHeight="1" thickBot="1" x14ac:dyDescent="0.35">
      <c r="A333" s="123"/>
      <c r="B333" s="25"/>
      <c r="C333" s="25"/>
      <c r="D333" s="25"/>
      <c r="E333" s="25"/>
      <c r="F333" s="25"/>
      <c r="G333" s="25"/>
      <c r="H333" s="25"/>
      <c r="I333" s="25"/>
      <c r="J333" s="25"/>
      <c r="K333" s="25"/>
      <c r="L333" s="25"/>
      <c r="M333" s="25"/>
      <c r="N333" s="25"/>
      <c r="O333" s="25"/>
      <c r="P333" s="25"/>
      <c r="Q333" s="25"/>
      <c r="R333" s="123"/>
    </row>
    <row r="334" spans="1:18" ht="16.5" customHeight="1" thickBot="1" x14ac:dyDescent="0.35">
      <c r="A334" s="124" t="s">
        <v>299</v>
      </c>
      <c r="B334" s="32" t="s">
        <v>36</v>
      </c>
      <c r="C334" s="33" t="s">
        <v>9</v>
      </c>
      <c r="D334" s="33" t="s">
        <v>10</v>
      </c>
      <c r="E334" s="12" t="s">
        <v>11</v>
      </c>
      <c r="F334" s="33" t="s">
        <v>12</v>
      </c>
      <c r="G334" s="33" t="s">
        <v>13</v>
      </c>
      <c r="H334" s="33" t="s">
        <v>14</v>
      </c>
      <c r="I334" s="34" t="s">
        <v>15</v>
      </c>
      <c r="J334" s="33" t="s">
        <v>16</v>
      </c>
      <c r="K334" s="33" t="s">
        <v>17</v>
      </c>
      <c r="L334" s="33" t="s">
        <v>18</v>
      </c>
      <c r="M334" s="34" t="s">
        <v>19</v>
      </c>
      <c r="N334" s="33" t="s">
        <v>20</v>
      </c>
      <c r="O334" s="33" t="s">
        <v>21</v>
      </c>
      <c r="P334" s="33" t="s">
        <v>22</v>
      </c>
      <c r="Q334" s="34" t="s">
        <v>23</v>
      </c>
      <c r="R334" s="35" t="s">
        <v>24</v>
      </c>
    </row>
    <row r="335" spans="1:18" ht="16.5" customHeight="1" thickBot="1" x14ac:dyDescent="0.35">
      <c r="A335" s="64"/>
      <c r="B335" s="81"/>
      <c r="C335" s="81"/>
      <c r="D335" s="81"/>
      <c r="E335" s="72"/>
      <c r="F335" s="81"/>
      <c r="G335" s="81"/>
      <c r="H335" s="81"/>
      <c r="I335" s="89"/>
      <c r="J335" s="81"/>
      <c r="K335" s="81"/>
      <c r="L335" s="81"/>
      <c r="M335" s="89"/>
      <c r="N335" s="81"/>
      <c r="O335" s="81"/>
      <c r="P335" s="81"/>
      <c r="Q335" s="89"/>
      <c r="R335" s="122"/>
    </row>
    <row r="336" spans="1:18" ht="15.75" customHeight="1" x14ac:dyDescent="0.3">
      <c r="A336" s="17" t="s">
        <v>45</v>
      </c>
      <c r="B336" s="1"/>
      <c r="C336" s="1"/>
      <c r="D336" s="1"/>
      <c r="E336" s="59" t="s">
        <v>7</v>
      </c>
      <c r="F336" s="1" t="s">
        <v>7</v>
      </c>
      <c r="G336" s="1" t="s">
        <v>7</v>
      </c>
      <c r="H336" s="1" t="s">
        <v>7</v>
      </c>
      <c r="I336" s="59" t="s">
        <v>7</v>
      </c>
      <c r="J336" s="1" t="s">
        <v>7</v>
      </c>
      <c r="K336" s="1" t="s">
        <v>7</v>
      </c>
      <c r="L336" s="1" t="s">
        <v>7</v>
      </c>
      <c r="M336" s="59" t="s">
        <v>7</v>
      </c>
      <c r="N336" s="1" t="s">
        <v>7</v>
      </c>
      <c r="O336" s="1" t="s">
        <v>7</v>
      </c>
      <c r="P336" s="1" t="s">
        <v>7</v>
      </c>
      <c r="Q336" s="59" t="s">
        <v>7</v>
      </c>
      <c r="R336" s="65" t="s">
        <v>7</v>
      </c>
    </row>
    <row r="337" spans="1:20" ht="15.75" customHeight="1" x14ac:dyDescent="0.3">
      <c r="A337" s="17" t="s">
        <v>46</v>
      </c>
      <c r="B337" s="1"/>
      <c r="C337" s="1"/>
      <c r="D337" s="1"/>
      <c r="E337" s="59" t="s">
        <v>7</v>
      </c>
      <c r="F337" s="1"/>
      <c r="G337" s="1"/>
      <c r="H337" s="1"/>
      <c r="I337" s="59" t="s">
        <v>7</v>
      </c>
      <c r="J337" s="1"/>
      <c r="K337" s="1"/>
      <c r="L337" s="1"/>
      <c r="M337" s="59" t="s">
        <v>7</v>
      </c>
      <c r="N337" s="1"/>
      <c r="O337" s="1"/>
      <c r="P337" s="1"/>
      <c r="Q337" s="59" t="s">
        <v>7</v>
      </c>
      <c r="R337" s="59" t="s">
        <v>7</v>
      </c>
    </row>
    <row r="338" spans="1:20" ht="15.75" customHeight="1" x14ac:dyDescent="0.3">
      <c r="A338" s="76" t="s">
        <v>300</v>
      </c>
      <c r="B338" s="1"/>
      <c r="C338" s="1"/>
      <c r="D338" s="1"/>
      <c r="E338" s="59">
        <f t="shared" ref="E338:E367" si="117">SUM(B338:D338)</f>
        <v>0</v>
      </c>
      <c r="F338" s="1"/>
      <c r="G338" s="1"/>
      <c r="H338" s="1"/>
      <c r="I338" s="59">
        <f t="shared" ref="I338:I367" si="118">SUM(F338:H338)</f>
        <v>0</v>
      </c>
      <c r="J338" s="1">
        <f>1+2+125</f>
        <v>128</v>
      </c>
      <c r="K338" s="1">
        <f>1+2+125</f>
        <v>128</v>
      </c>
      <c r="L338" s="1">
        <f>1+2+120</f>
        <v>123</v>
      </c>
      <c r="M338" s="59">
        <f t="shared" ref="M338:M367" si="119">SUM(J338:L338)</f>
        <v>379</v>
      </c>
      <c r="N338" s="1">
        <f>1+2+125</f>
        <v>128</v>
      </c>
      <c r="O338" s="1">
        <f>1+2+120</f>
        <v>123</v>
      </c>
      <c r="P338" s="1">
        <f>1+2+125</f>
        <v>128</v>
      </c>
      <c r="Q338" s="59">
        <f t="shared" ref="Q338:Q370" si="120">SUM(N338:P338)</f>
        <v>379</v>
      </c>
      <c r="R338" s="59">
        <f t="shared" ref="R338:R370" si="121">+E338+I338+M338+Q338</f>
        <v>758</v>
      </c>
      <c r="T338" s="4" t="s">
        <v>301</v>
      </c>
    </row>
    <row r="339" spans="1:20" ht="15.75" customHeight="1" x14ac:dyDescent="0.3">
      <c r="A339" s="76" t="s">
        <v>303</v>
      </c>
      <c r="B339" s="1"/>
      <c r="C339" s="1"/>
      <c r="D339" s="1"/>
      <c r="E339" s="59">
        <f t="shared" si="117"/>
        <v>0</v>
      </c>
      <c r="F339" s="1"/>
      <c r="G339" s="1"/>
      <c r="H339" s="1">
        <v>648</v>
      </c>
      <c r="I339" s="59">
        <f t="shared" si="118"/>
        <v>648</v>
      </c>
      <c r="J339" s="1"/>
      <c r="K339" s="1"/>
      <c r="L339" s="1"/>
      <c r="M339" s="59">
        <f t="shared" si="119"/>
        <v>0</v>
      </c>
      <c r="N339" s="1"/>
      <c r="O339" s="1"/>
      <c r="P339" s="1"/>
      <c r="Q339" s="59">
        <f t="shared" si="120"/>
        <v>0</v>
      </c>
      <c r="R339" s="59">
        <f t="shared" si="121"/>
        <v>648</v>
      </c>
    </row>
    <row r="340" spans="1:20" ht="15.75" customHeight="1" x14ac:dyDescent="0.3">
      <c r="A340" s="76" t="s">
        <v>304</v>
      </c>
      <c r="B340" s="1"/>
      <c r="C340" s="1"/>
      <c r="D340" s="1"/>
      <c r="E340" s="59">
        <f t="shared" si="117"/>
        <v>0</v>
      </c>
      <c r="F340" s="1"/>
      <c r="G340" s="1"/>
      <c r="H340" s="1"/>
      <c r="I340" s="59">
        <f t="shared" si="118"/>
        <v>0</v>
      </c>
      <c r="J340" s="1"/>
      <c r="K340" s="1"/>
      <c r="L340" s="1"/>
      <c r="M340" s="59">
        <f t="shared" si="119"/>
        <v>0</v>
      </c>
      <c r="N340" s="1"/>
      <c r="O340" s="1"/>
      <c r="P340" s="1"/>
      <c r="Q340" s="59">
        <f t="shared" si="120"/>
        <v>0</v>
      </c>
      <c r="R340" s="59">
        <f t="shared" si="121"/>
        <v>0</v>
      </c>
      <c r="T340" s="4" t="s">
        <v>305</v>
      </c>
    </row>
    <row r="341" spans="1:20" ht="15.75" customHeight="1" x14ac:dyDescent="0.3">
      <c r="A341" s="76" t="s">
        <v>306</v>
      </c>
      <c r="B341" s="1"/>
      <c r="C341" s="1"/>
      <c r="D341" s="1">
        <v>100</v>
      </c>
      <c r="E341" s="59">
        <f>SUM(B341:D341)</f>
        <v>100</v>
      </c>
      <c r="F341" s="1"/>
      <c r="G341" s="1"/>
      <c r="H341" s="1"/>
      <c r="I341" s="59">
        <f t="shared" ref="I341" si="122">SUM(F341:H341)</f>
        <v>0</v>
      </c>
      <c r="J341" s="1"/>
      <c r="K341" s="1"/>
      <c r="L341" s="1"/>
      <c r="M341" s="59">
        <f t="shared" ref="M341" si="123">SUM(J341:L341)</f>
        <v>0</v>
      </c>
      <c r="N341" s="1"/>
      <c r="O341" s="1">
        <v>100</v>
      </c>
      <c r="P341" s="1">
        <v>50</v>
      </c>
      <c r="Q341" s="59">
        <f t="shared" ref="Q341" si="124">SUM(N341:P341)</f>
        <v>150</v>
      </c>
      <c r="R341" s="59">
        <f t="shared" si="121"/>
        <v>250</v>
      </c>
      <c r="T341" s="4" t="s">
        <v>307</v>
      </c>
    </row>
    <row r="342" spans="1:20" ht="15.75" customHeight="1" x14ac:dyDescent="0.3">
      <c r="A342" s="76" t="s">
        <v>308</v>
      </c>
      <c r="B342" s="1"/>
      <c r="C342" s="1"/>
      <c r="D342" s="1"/>
      <c r="E342" s="59">
        <f t="shared" si="117"/>
        <v>0</v>
      </c>
      <c r="F342" s="1"/>
      <c r="G342" s="1"/>
      <c r="H342" s="1">
        <v>778</v>
      </c>
      <c r="I342" s="59">
        <f t="shared" si="118"/>
        <v>778</v>
      </c>
      <c r="J342" s="1"/>
      <c r="K342" s="1"/>
      <c r="L342" s="1"/>
      <c r="M342" s="59">
        <f t="shared" si="119"/>
        <v>0</v>
      </c>
      <c r="N342" s="1"/>
      <c r="O342" s="1"/>
      <c r="P342" s="1"/>
      <c r="Q342" s="59">
        <f t="shared" si="120"/>
        <v>0</v>
      </c>
      <c r="R342" s="59">
        <f t="shared" si="121"/>
        <v>778</v>
      </c>
      <c r="T342" s="4" t="s">
        <v>307</v>
      </c>
    </row>
    <row r="343" spans="1:20" ht="15.75" customHeight="1" x14ac:dyDescent="0.3">
      <c r="A343" s="76" t="s">
        <v>309</v>
      </c>
      <c r="B343" s="4">
        <v>145</v>
      </c>
      <c r="C343" s="1">
        <v>146</v>
      </c>
      <c r="D343" s="1">
        <v>217</v>
      </c>
      <c r="E343" s="59">
        <f>SUM(B343:D343)</f>
        <v>508</v>
      </c>
      <c r="F343" s="1">
        <v>255</v>
      </c>
      <c r="G343" s="1">
        <v>266</v>
      </c>
      <c r="H343" s="1">
        <f>305+2528</f>
        <v>2833</v>
      </c>
      <c r="I343" s="59">
        <f>SUM(F343:H343)</f>
        <v>3354</v>
      </c>
      <c r="J343" s="1">
        <v>302</v>
      </c>
      <c r="K343" s="1">
        <v>290</v>
      </c>
      <c r="L343" s="1">
        <v>260</v>
      </c>
      <c r="M343" s="59">
        <f t="shared" ref="M343:M349" si="125">SUM(J343:L343)</f>
        <v>852</v>
      </c>
      <c r="N343" s="1">
        <v>240</v>
      </c>
      <c r="O343" s="1">
        <v>196</v>
      </c>
      <c r="P343" s="1">
        <v>178</v>
      </c>
      <c r="Q343" s="59">
        <f>SUM(N343:P343)</f>
        <v>614</v>
      </c>
      <c r="R343" s="59">
        <f t="shared" si="121"/>
        <v>5328</v>
      </c>
      <c r="T343" s="4" t="s">
        <v>305</v>
      </c>
    </row>
    <row r="344" spans="1:20" ht="15.75" customHeight="1" x14ac:dyDescent="0.3">
      <c r="A344" s="76" t="s">
        <v>310</v>
      </c>
      <c r="B344" s="1"/>
      <c r="C344" s="1"/>
      <c r="D344" s="1"/>
      <c r="E344" s="59">
        <f t="shared" ref="E344:E349" si="126">SUM(B344:D344)</f>
        <v>0</v>
      </c>
      <c r="F344" s="1"/>
      <c r="G344" s="1"/>
      <c r="H344" s="1">
        <v>1750</v>
      </c>
      <c r="I344" s="59">
        <f t="shared" ref="I344:I349" si="127">SUM(F344:H344)</f>
        <v>1750</v>
      </c>
      <c r="J344" s="1"/>
      <c r="K344" s="1"/>
      <c r="L344" s="1"/>
      <c r="M344" s="59">
        <f t="shared" si="125"/>
        <v>0</v>
      </c>
      <c r="N344" s="1"/>
      <c r="O344" s="1"/>
      <c r="P344" s="1"/>
      <c r="Q344" s="59">
        <f>SUM(N344:P344)</f>
        <v>0</v>
      </c>
      <c r="R344" s="59">
        <f t="shared" si="121"/>
        <v>1750</v>
      </c>
      <c r="T344" s="4" t="s">
        <v>307</v>
      </c>
    </row>
    <row r="345" spans="1:20" ht="15.75" customHeight="1" x14ac:dyDescent="0.3">
      <c r="A345" s="76" t="s">
        <v>311</v>
      </c>
      <c r="B345" s="1"/>
      <c r="C345" s="1"/>
      <c r="D345" s="1">
        <v>100</v>
      </c>
      <c r="E345" s="59">
        <f t="shared" si="126"/>
        <v>100</v>
      </c>
      <c r="F345" s="1"/>
      <c r="G345" s="1"/>
      <c r="H345" s="1"/>
      <c r="I345" s="59">
        <f t="shared" si="127"/>
        <v>0</v>
      </c>
      <c r="J345" s="1"/>
      <c r="K345" s="1"/>
      <c r="L345" s="1"/>
      <c r="M345" s="59">
        <f t="shared" si="125"/>
        <v>0</v>
      </c>
      <c r="N345" s="1"/>
      <c r="O345" s="1">
        <v>100</v>
      </c>
      <c r="P345" s="1">
        <v>50</v>
      </c>
      <c r="Q345" s="59">
        <f>SUM(N345:P345)</f>
        <v>150</v>
      </c>
      <c r="R345" s="59">
        <f t="shared" si="121"/>
        <v>250</v>
      </c>
    </row>
    <row r="346" spans="1:20" ht="15.75" customHeight="1" x14ac:dyDescent="0.3">
      <c r="A346" s="76" t="s">
        <v>312</v>
      </c>
      <c r="B346" s="1">
        <f>15+66</f>
        <v>81</v>
      </c>
      <c r="C346" s="1">
        <f>15+85</f>
        <v>100</v>
      </c>
      <c r="D346" s="1">
        <f>30+130</f>
        <v>160</v>
      </c>
      <c r="E346" s="59">
        <f t="shared" si="126"/>
        <v>341</v>
      </c>
      <c r="F346" s="1">
        <f>35+202</f>
        <v>237</v>
      </c>
      <c r="G346" s="1">
        <f>40+335</f>
        <v>375</v>
      </c>
      <c r="H346" s="1">
        <f>60+350</f>
        <v>410</v>
      </c>
      <c r="I346" s="59">
        <f t="shared" si="127"/>
        <v>1022</v>
      </c>
      <c r="J346" s="1">
        <f>60+320</f>
        <v>380</v>
      </c>
      <c r="K346" s="1">
        <f>50+295</f>
        <v>345</v>
      </c>
      <c r="L346" s="1">
        <f>40+260</f>
        <v>300</v>
      </c>
      <c r="M346" s="59">
        <f t="shared" si="125"/>
        <v>1025</v>
      </c>
      <c r="N346" s="1">
        <f>35+325</f>
        <v>360</v>
      </c>
      <c r="O346" s="1">
        <f>30+137</f>
        <v>167</v>
      </c>
      <c r="P346" s="1">
        <f>15+112</f>
        <v>127</v>
      </c>
      <c r="Q346" s="59">
        <f>SUM(N346:P346)</f>
        <v>654</v>
      </c>
      <c r="R346" s="59">
        <f>+E346+I346+M346+Q346</f>
        <v>3042</v>
      </c>
      <c r="T346" s="4" t="s">
        <v>313</v>
      </c>
    </row>
    <row r="347" spans="1:20" ht="15.75" customHeight="1" x14ac:dyDescent="0.3">
      <c r="A347" s="76" t="s">
        <v>316</v>
      </c>
      <c r="B347" s="1"/>
      <c r="C347" s="1"/>
      <c r="D347" s="1"/>
      <c r="E347" s="59">
        <f t="shared" si="126"/>
        <v>0</v>
      </c>
      <c r="F347" s="1"/>
      <c r="G347" s="1"/>
      <c r="H347" s="1">
        <v>1000</v>
      </c>
      <c r="I347" s="59">
        <f t="shared" si="127"/>
        <v>1000</v>
      </c>
      <c r="J347" s="1">
        <v>2243</v>
      </c>
      <c r="K347" s="1"/>
      <c r="L347" s="1"/>
      <c r="M347" s="59">
        <f t="shared" si="125"/>
        <v>2243</v>
      </c>
      <c r="N347" s="1"/>
      <c r="O347" s="1"/>
      <c r="P347" s="1"/>
      <c r="Q347" s="59">
        <f>SUM(N347:P347)</f>
        <v>0</v>
      </c>
      <c r="R347" s="59">
        <f>+E347+I347+M347+Q347</f>
        <v>3243</v>
      </c>
      <c r="T347" s="4" t="s">
        <v>317</v>
      </c>
    </row>
    <row r="348" spans="1:20" ht="15.75" customHeight="1" x14ac:dyDescent="0.3">
      <c r="A348" s="76" t="s">
        <v>318</v>
      </c>
      <c r="B348" s="1"/>
      <c r="C348" s="1"/>
      <c r="D348" s="1"/>
      <c r="E348" s="59">
        <f t="shared" si="126"/>
        <v>0</v>
      </c>
      <c r="F348" s="1"/>
      <c r="G348" s="1"/>
      <c r="H348" s="1"/>
      <c r="I348" s="59">
        <f t="shared" si="127"/>
        <v>0</v>
      </c>
      <c r="J348" s="1">
        <v>4000</v>
      </c>
      <c r="K348" s="1">
        <v>2500</v>
      </c>
      <c r="L348" s="1"/>
      <c r="M348" s="59">
        <f t="shared" si="125"/>
        <v>6500</v>
      </c>
      <c r="N348" s="1"/>
      <c r="O348" s="1"/>
      <c r="P348" s="1"/>
      <c r="Q348" s="59">
        <f t="shared" ref="Q348" si="128">SUM(N348:P348)</f>
        <v>0</v>
      </c>
      <c r="R348" s="59">
        <f>+E348+I348+M348+Q348</f>
        <v>6500</v>
      </c>
    </row>
    <row r="349" spans="1:20" ht="15.75" customHeight="1" x14ac:dyDescent="0.3">
      <c r="A349" s="76" t="s">
        <v>319</v>
      </c>
      <c r="B349" s="1">
        <v>500</v>
      </c>
      <c r="C349" s="1">
        <v>500</v>
      </c>
      <c r="D349" s="1"/>
      <c r="E349" s="59">
        <f t="shared" si="126"/>
        <v>1000</v>
      </c>
      <c r="F349" s="1"/>
      <c r="G349" s="1"/>
      <c r="H349" s="1"/>
      <c r="I349" s="59">
        <f t="shared" si="127"/>
        <v>0</v>
      </c>
      <c r="J349" s="1"/>
      <c r="K349" s="1"/>
      <c r="L349" s="1"/>
      <c r="M349" s="59">
        <f t="shared" si="125"/>
        <v>0</v>
      </c>
      <c r="N349" s="1"/>
      <c r="O349" s="1"/>
      <c r="P349" s="1"/>
      <c r="Q349" s="59">
        <f>SUM(N349:P349)</f>
        <v>0</v>
      </c>
      <c r="R349" s="59">
        <f>+E349+I349+M349+Q349</f>
        <v>1000</v>
      </c>
      <c r="S349" s="75" t="s">
        <v>80</v>
      </c>
    </row>
    <row r="350" spans="1:20" ht="15.75" customHeight="1" x14ac:dyDescent="0.3">
      <c r="A350" s="76" t="s">
        <v>320</v>
      </c>
      <c r="B350" s="1"/>
      <c r="C350" s="1"/>
      <c r="D350" s="1"/>
      <c r="E350" s="59">
        <f>SUM(B350:D350)</f>
        <v>0</v>
      </c>
      <c r="F350" s="1"/>
      <c r="G350" s="1"/>
      <c r="H350" s="1"/>
      <c r="I350" s="59">
        <f t="shared" ref="I350:I351" si="129">SUM(F350:H350)</f>
        <v>0</v>
      </c>
      <c r="J350" s="1"/>
      <c r="K350" s="1">
        <v>1000</v>
      </c>
      <c r="L350" s="1"/>
      <c r="M350" s="59">
        <f t="shared" ref="M350:M351" si="130">SUM(J350:L350)</f>
        <v>1000</v>
      </c>
      <c r="N350" s="1"/>
      <c r="O350" s="1"/>
      <c r="P350" s="1"/>
      <c r="Q350" s="59">
        <f t="shared" ref="Q350:Q351" si="131">SUM(N350:P350)</f>
        <v>0</v>
      </c>
      <c r="R350" s="59">
        <f t="shared" ref="R350:R351" si="132">+E350+I350+M350+Q350</f>
        <v>1000</v>
      </c>
    </row>
    <row r="351" spans="1:20" ht="15.75" customHeight="1" x14ac:dyDescent="0.3">
      <c r="A351" s="76" t="s">
        <v>321</v>
      </c>
      <c r="B351" s="1"/>
      <c r="C351" s="1">
        <v>428</v>
      </c>
      <c r="D351" s="1"/>
      <c r="E351" s="59">
        <f>SUM(B351:D351)</f>
        <v>428</v>
      </c>
      <c r="F351" s="1">
        <v>600</v>
      </c>
      <c r="G351" s="1"/>
      <c r="H351" s="1"/>
      <c r="I351" s="59">
        <f t="shared" si="129"/>
        <v>600</v>
      </c>
      <c r="J351" s="1"/>
      <c r="K351" s="1"/>
      <c r="L351" s="1">
        <v>300</v>
      </c>
      <c r="M351" s="59">
        <f t="shared" si="130"/>
        <v>300</v>
      </c>
      <c r="N351" s="1"/>
      <c r="O351" s="1">
        <v>1000</v>
      </c>
      <c r="P351" s="1"/>
      <c r="Q351" s="59">
        <f t="shared" si="131"/>
        <v>1000</v>
      </c>
      <c r="R351" s="59">
        <f t="shared" si="132"/>
        <v>2328</v>
      </c>
      <c r="T351" s="4" t="s">
        <v>315</v>
      </c>
    </row>
    <row r="352" spans="1:20" ht="15.75" customHeight="1" x14ac:dyDescent="0.3">
      <c r="A352" s="76" t="s">
        <v>322</v>
      </c>
      <c r="B352" s="1"/>
      <c r="C352" s="1"/>
      <c r="D352" s="1"/>
      <c r="E352" s="59">
        <f t="shared" ref="E352" si="133">SUM(B352:D352)</f>
        <v>0</v>
      </c>
      <c r="F352" s="1"/>
      <c r="G352" s="1"/>
      <c r="H352" s="1"/>
      <c r="I352" s="59">
        <f t="shared" ref="I352" si="134">SUM(F352:H352)</f>
        <v>0</v>
      </c>
      <c r="J352" s="1"/>
      <c r="K352" s="1"/>
      <c r="L352" s="1"/>
      <c r="M352" s="59">
        <f t="shared" ref="M352:M353" si="135">SUM(J352:L352)</f>
        <v>0</v>
      </c>
      <c r="N352" s="1">
        <v>584</v>
      </c>
      <c r="O352" s="1">
        <v>1142</v>
      </c>
      <c r="P352" s="1">
        <v>1142</v>
      </c>
      <c r="Q352" s="59">
        <f t="shared" si="120"/>
        <v>2868</v>
      </c>
      <c r="R352" s="59">
        <f t="shared" si="121"/>
        <v>2868</v>
      </c>
      <c r="T352" s="4" t="s">
        <v>217</v>
      </c>
    </row>
    <row r="353" spans="1:20" ht="15.75" customHeight="1" x14ac:dyDescent="0.3">
      <c r="A353" s="76" t="s">
        <v>324</v>
      </c>
      <c r="B353" s="1">
        <v>200</v>
      </c>
      <c r="C353" s="1">
        <v>200</v>
      </c>
      <c r="D353" s="1">
        <v>200</v>
      </c>
      <c r="E353" s="59">
        <f>SUM(B353:D353)</f>
        <v>600</v>
      </c>
      <c r="F353" s="1">
        <v>200</v>
      </c>
      <c r="G353" s="1">
        <v>200</v>
      </c>
      <c r="H353" s="1">
        <v>200</v>
      </c>
      <c r="I353" s="59">
        <f>SUM(F353:H353)</f>
        <v>600</v>
      </c>
      <c r="J353" s="1">
        <v>200</v>
      </c>
      <c r="K353" s="1">
        <v>200</v>
      </c>
      <c r="L353" s="1">
        <v>200</v>
      </c>
      <c r="M353" s="59">
        <f t="shared" si="135"/>
        <v>600</v>
      </c>
      <c r="N353" s="1">
        <v>200</v>
      </c>
      <c r="O353" s="1">
        <v>120</v>
      </c>
      <c r="P353" s="1"/>
      <c r="Q353" s="59">
        <f t="shared" si="120"/>
        <v>320</v>
      </c>
      <c r="R353" s="59">
        <f t="shared" si="121"/>
        <v>2120</v>
      </c>
    </row>
    <row r="354" spans="1:20" ht="15.75" customHeight="1" x14ac:dyDescent="0.3">
      <c r="A354" s="76" t="s">
        <v>325</v>
      </c>
      <c r="B354" s="1"/>
      <c r="C354" s="1"/>
      <c r="D354" s="1"/>
      <c r="E354" s="59">
        <f t="shared" si="117"/>
        <v>0</v>
      </c>
      <c r="F354" s="1"/>
      <c r="G354" s="1"/>
      <c r="H354" s="1"/>
      <c r="I354" s="59">
        <f t="shared" si="118"/>
        <v>0</v>
      </c>
      <c r="J354" s="1"/>
      <c r="K354" s="1"/>
      <c r="L354" s="1"/>
      <c r="M354" s="59">
        <f t="shared" si="119"/>
        <v>0</v>
      </c>
      <c r="N354" s="1"/>
      <c r="O354" s="1"/>
      <c r="P354" s="1"/>
      <c r="Q354" s="59">
        <f t="shared" si="120"/>
        <v>0</v>
      </c>
      <c r="R354" s="59">
        <f t="shared" si="121"/>
        <v>0</v>
      </c>
      <c r="T354" s="4" t="s">
        <v>305</v>
      </c>
    </row>
    <row r="355" spans="1:20" ht="15.75" customHeight="1" x14ac:dyDescent="0.3">
      <c r="A355" s="76" t="s">
        <v>326</v>
      </c>
      <c r="B355" s="1"/>
      <c r="C355" s="1"/>
      <c r="D355" s="1"/>
      <c r="E355" s="59">
        <f t="shared" si="117"/>
        <v>0</v>
      </c>
      <c r="F355" s="1"/>
      <c r="G355" s="1"/>
      <c r="H355" s="1"/>
      <c r="I355" s="59">
        <f t="shared" si="118"/>
        <v>0</v>
      </c>
      <c r="J355" s="1"/>
      <c r="K355" s="1"/>
      <c r="L355" s="1"/>
      <c r="M355" s="59">
        <f t="shared" si="119"/>
        <v>0</v>
      </c>
      <c r="N355" s="1"/>
      <c r="O355" s="1"/>
      <c r="P355" s="1"/>
      <c r="Q355" s="59">
        <f t="shared" si="120"/>
        <v>0</v>
      </c>
      <c r="R355" s="59">
        <f t="shared" si="121"/>
        <v>0</v>
      </c>
    </row>
    <row r="356" spans="1:20" ht="15.75" customHeight="1" x14ac:dyDescent="0.3">
      <c r="A356" s="76" t="s">
        <v>327</v>
      </c>
      <c r="B356" s="1"/>
      <c r="C356" s="1"/>
      <c r="D356" s="1"/>
      <c r="E356" s="59">
        <f>SUM(B356:D356)</f>
        <v>0</v>
      </c>
      <c r="F356" s="1"/>
      <c r="G356" s="1"/>
      <c r="H356" s="1"/>
      <c r="I356" s="59">
        <f>SUM(F356:H356)</f>
        <v>0</v>
      </c>
      <c r="J356" s="1"/>
      <c r="K356" s="1"/>
      <c r="L356" s="1"/>
      <c r="M356" s="59">
        <f t="shared" si="119"/>
        <v>0</v>
      </c>
      <c r="N356" s="1"/>
      <c r="O356" s="1"/>
      <c r="P356" s="1"/>
      <c r="Q356" s="59">
        <f>SUM(N356:P356)</f>
        <v>0</v>
      </c>
      <c r="R356" s="59">
        <f t="shared" si="121"/>
        <v>0</v>
      </c>
      <c r="T356" s="4" t="s">
        <v>315</v>
      </c>
    </row>
    <row r="357" spans="1:20" ht="15.75" customHeight="1" x14ac:dyDescent="0.3">
      <c r="A357" s="76" t="s">
        <v>328</v>
      </c>
      <c r="B357" s="1"/>
      <c r="C357" s="1"/>
      <c r="D357" s="1"/>
      <c r="E357" s="59">
        <f t="shared" ref="E357" si="136">SUM(B357:D357)</f>
        <v>0</v>
      </c>
      <c r="F357" s="1"/>
      <c r="G357" s="1"/>
      <c r="H357" s="1"/>
      <c r="I357" s="59">
        <f t="shared" ref="I357" si="137">SUM(F357:H357)</f>
        <v>0</v>
      </c>
      <c r="J357" s="1">
        <v>467</v>
      </c>
      <c r="K357" s="1">
        <v>2210</v>
      </c>
      <c r="L357" s="1">
        <v>1841</v>
      </c>
      <c r="M357" s="59">
        <f t="shared" si="119"/>
        <v>4518</v>
      </c>
      <c r="N357" s="1">
        <v>1713</v>
      </c>
      <c r="O357" s="1">
        <v>1004</v>
      </c>
      <c r="P357" s="1"/>
      <c r="Q357" s="59">
        <f t="shared" si="120"/>
        <v>2717</v>
      </c>
      <c r="R357" s="59">
        <f t="shared" si="121"/>
        <v>7235</v>
      </c>
      <c r="T357" s="4" t="s">
        <v>217</v>
      </c>
    </row>
    <row r="358" spans="1:20" ht="15.75" customHeight="1" x14ac:dyDescent="0.3">
      <c r="A358" s="76" t="s">
        <v>329</v>
      </c>
      <c r="B358" s="1"/>
      <c r="C358" s="1"/>
      <c r="D358" s="1"/>
      <c r="E358" s="59">
        <f>SUM(B358:D358)</f>
        <v>0</v>
      </c>
      <c r="F358" s="1"/>
      <c r="G358" s="1"/>
      <c r="H358" s="1"/>
      <c r="I358" s="59">
        <f>SUM(F358:H358)</f>
        <v>0</v>
      </c>
      <c r="J358" s="1"/>
      <c r="K358" s="1"/>
      <c r="L358" s="1"/>
      <c r="M358" s="59">
        <f>SUM(J358:L358)</f>
        <v>0</v>
      </c>
      <c r="N358" s="1"/>
      <c r="O358" s="1"/>
      <c r="P358" s="1"/>
      <c r="Q358" s="59">
        <f>SUM(N358:P358)</f>
        <v>0</v>
      </c>
      <c r="R358" s="59">
        <f t="shared" si="121"/>
        <v>0</v>
      </c>
      <c r="T358" s="4" t="s">
        <v>315</v>
      </c>
    </row>
    <row r="359" spans="1:20" ht="15.75" customHeight="1" x14ac:dyDescent="0.3">
      <c r="A359" s="76" t="s">
        <v>330</v>
      </c>
      <c r="B359" s="1"/>
      <c r="C359" s="1"/>
      <c r="D359" s="1"/>
      <c r="E359" s="59">
        <f t="shared" si="117"/>
        <v>0</v>
      </c>
      <c r="F359" s="1"/>
      <c r="G359" s="1"/>
      <c r="H359" s="1"/>
      <c r="I359" s="59">
        <f t="shared" si="118"/>
        <v>0</v>
      </c>
      <c r="J359" s="1"/>
      <c r="K359" s="1"/>
      <c r="L359" s="1"/>
      <c r="M359" s="59">
        <f t="shared" si="119"/>
        <v>0</v>
      </c>
      <c r="N359" s="1"/>
      <c r="O359" s="1"/>
      <c r="P359" s="1"/>
      <c r="Q359" s="59">
        <f t="shared" si="120"/>
        <v>0</v>
      </c>
      <c r="R359" s="59">
        <f t="shared" si="121"/>
        <v>0</v>
      </c>
      <c r="S359" s="125"/>
      <c r="T359" s="4" t="s">
        <v>331</v>
      </c>
    </row>
    <row r="360" spans="1:20" ht="15.75" customHeight="1" x14ac:dyDescent="0.3">
      <c r="A360" s="76" t="s">
        <v>332</v>
      </c>
      <c r="B360" s="1">
        <v>7</v>
      </c>
      <c r="C360" s="1"/>
      <c r="D360" s="1">
        <v>37</v>
      </c>
      <c r="E360" s="59">
        <f t="shared" si="117"/>
        <v>44</v>
      </c>
      <c r="F360" s="1">
        <v>66</v>
      </c>
      <c r="G360" s="1">
        <v>73</v>
      </c>
      <c r="H360" s="1">
        <v>66</v>
      </c>
      <c r="I360" s="59">
        <f>SUM(F360:H360)</f>
        <v>205</v>
      </c>
      <c r="J360" s="1">
        <v>39</v>
      </c>
      <c r="K360" s="1">
        <v>21</v>
      </c>
      <c r="L360" s="1">
        <v>2</v>
      </c>
      <c r="M360" s="59">
        <f>SUM(J360:L360)</f>
        <v>62</v>
      </c>
      <c r="N360" s="1">
        <v>4</v>
      </c>
      <c r="O360" s="1">
        <v>25</v>
      </c>
      <c r="P360" s="1">
        <v>25</v>
      </c>
      <c r="Q360" s="59">
        <f>SUM(N360:P360)</f>
        <v>54</v>
      </c>
      <c r="R360" s="59">
        <f>+E360+I360+M360+Q360</f>
        <v>365</v>
      </c>
      <c r="T360" s="4" t="s">
        <v>127</v>
      </c>
    </row>
    <row r="361" spans="1:20" ht="15.75" customHeight="1" x14ac:dyDescent="0.3">
      <c r="A361" s="76" t="s">
        <v>333</v>
      </c>
      <c r="B361" s="1">
        <f>2381+1924</f>
        <v>4305</v>
      </c>
      <c r="C361" s="1">
        <v>577</v>
      </c>
      <c r="D361" s="1">
        <v>437</v>
      </c>
      <c r="E361" s="59">
        <f t="shared" ref="E361" si="138">SUM(B361:D361)</f>
        <v>5319</v>
      </c>
      <c r="F361" s="1">
        <f>4291+1202</f>
        <v>5493</v>
      </c>
      <c r="G361" s="1">
        <f>5010+1572</f>
        <v>6582</v>
      </c>
      <c r="H361" s="1">
        <f>4619+1716</f>
        <v>6335</v>
      </c>
      <c r="I361" s="59">
        <f t="shared" ref="I361" si="139">SUM(F361:H361)</f>
        <v>18410</v>
      </c>
      <c r="J361" s="1">
        <f>4122+1942</f>
        <v>6064</v>
      </c>
      <c r="K361" s="1">
        <f>3334+1817</f>
        <v>5151</v>
      </c>
      <c r="L361" s="1">
        <f>3079+1645</f>
        <v>4724</v>
      </c>
      <c r="M361" s="59">
        <f t="shared" ref="M361" si="140">SUM(J361:L361)</f>
        <v>15939</v>
      </c>
      <c r="N361" s="1">
        <f>2350+1558</f>
        <v>3908</v>
      </c>
      <c r="O361" s="1">
        <f>641+1507</f>
        <v>2148</v>
      </c>
      <c r="P361" s="1"/>
      <c r="Q361" s="59">
        <f t="shared" si="120"/>
        <v>6056</v>
      </c>
      <c r="R361" s="59">
        <f t="shared" si="121"/>
        <v>45724</v>
      </c>
      <c r="T361" s="4" t="s">
        <v>334</v>
      </c>
    </row>
    <row r="362" spans="1:20" ht="15.75" customHeight="1" x14ac:dyDescent="0.3">
      <c r="A362" s="76" t="s">
        <v>335</v>
      </c>
      <c r="B362" s="1"/>
      <c r="C362" s="1"/>
      <c r="D362" s="1"/>
      <c r="E362" s="59">
        <f t="shared" si="117"/>
        <v>0</v>
      </c>
      <c r="F362" s="1"/>
      <c r="G362" s="1"/>
      <c r="H362" s="1"/>
      <c r="I362" s="59">
        <f t="shared" si="118"/>
        <v>0</v>
      </c>
      <c r="J362" s="1"/>
      <c r="K362" s="1"/>
      <c r="L362" s="1"/>
      <c r="M362" s="59">
        <f t="shared" si="119"/>
        <v>0</v>
      </c>
      <c r="N362" s="1"/>
      <c r="O362" s="1"/>
      <c r="P362" s="1"/>
      <c r="Q362" s="59">
        <f t="shared" si="120"/>
        <v>0</v>
      </c>
      <c r="R362" s="59">
        <f t="shared" si="121"/>
        <v>0</v>
      </c>
      <c r="T362" s="4" t="s">
        <v>336</v>
      </c>
    </row>
    <row r="363" spans="1:20" ht="15.75" customHeight="1" x14ac:dyDescent="0.3">
      <c r="A363" s="76" t="s">
        <v>337</v>
      </c>
      <c r="B363" s="1"/>
      <c r="C363" s="1"/>
      <c r="D363" s="1"/>
      <c r="E363" s="59">
        <f t="shared" si="117"/>
        <v>0</v>
      </c>
      <c r="F363" s="1"/>
      <c r="G363" s="1"/>
      <c r="H363" s="1">
        <v>1000</v>
      </c>
      <c r="I363" s="59">
        <f t="shared" si="118"/>
        <v>1000</v>
      </c>
      <c r="J363" s="1">
        <v>1000</v>
      </c>
      <c r="K363" s="1"/>
      <c r="L363" s="1"/>
      <c r="M363" s="59">
        <f t="shared" si="119"/>
        <v>1000</v>
      </c>
      <c r="N363" s="1"/>
      <c r="O363" s="1"/>
      <c r="P363" s="1"/>
      <c r="Q363" s="59">
        <f t="shared" ref="Q363" si="141">SUM(N363:P363)</f>
        <v>0</v>
      </c>
      <c r="R363" s="59">
        <f t="shared" si="121"/>
        <v>2000</v>
      </c>
    </row>
    <row r="364" spans="1:20" ht="15.75" customHeight="1" x14ac:dyDescent="0.3">
      <c r="A364" s="76" t="s">
        <v>338</v>
      </c>
      <c r="B364" s="1"/>
      <c r="C364" s="1"/>
      <c r="D364" s="1"/>
      <c r="E364" s="59">
        <f t="shared" si="117"/>
        <v>0</v>
      </c>
      <c r="F364" s="1"/>
      <c r="G364" s="1"/>
      <c r="H364" s="1"/>
      <c r="I364" s="59">
        <f t="shared" si="118"/>
        <v>0</v>
      </c>
      <c r="J364" s="1">
        <v>1000</v>
      </c>
      <c r="K364" s="1"/>
      <c r="L364" s="1"/>
      <c r="M364" s="59">
        <f t="shared" si="119"/>
        <v>1000</v>
      </c>
      <c r="N364" s="1"/>
      <c r="O364" s="1"/>
      <c r="P364" s="1"/>
      <c r="Q364" s="59">
        <f t="shared" ref="Q364" si="142">SUM(N364:P364)</f>
        <v>0</v>
      </c>
      <c r="R364" s="59">
        <f t="shared" si="121"/>
        <v>1000</v>
      </c>
    </row>
    <row r="365" spans="1:20" ht="15.75" customHeight="1" x14ac:dyDescent="0.3">
      <c r="A365" s="76" t="s">
        <v>339</v>
      </c>
      <c r="B365" s="1">
        <v>300</v>
      </c>
      <c r="C365" s="1">
        <v>300</v>
      </c>
      <c r="D365" s="1">
        <v>300</v>
      </c>
      <c r="E365" s="59">
        <f t="shared" si="117"/>
        <v>900</v>
      </c>
      <c r="F365" s="1">
        <v>300</v>
      </c>
      <c r="G365" s="1">
        <v>300</v>
      </c>
      <c r="H365" s="1">
        <v>300</v>
      </c>
      <c r="I365" s="59">
        <f t="shared" si="118"/>
        <v>900</v>
      </c>
      <c r="J365" s="1">
        <v>190</v>
      </c>
      <c r="K365" s="1">
        <v>300</v>
      </c>
      <c r="L365" s="1">
        <v>300</v>
      </c>
      <c r="M365" s="59">
        <f t="shared" si="119"/>
        <v>790</v>
      </c>
      <c r="N365" s="1">
        <v>300</v>
      </c>
      <c r="O365" s="1">
        <v>300</v>
      </c>
      <c r="P365" s="1"/>
      <c r="Q365" s="59">
        <f t="shared" si="120"/>
        <v>600</v>
      </c>
      <c r="R365" s="59">
        <f t="shared" si="121"/>
        <v>3190</v>
      </c>
    </row>
    <row r="366" spans="1:20" ht="15.75" customHeight="1" x14ac:dyDescent="0.3">
      <c r="A366" s="76" t="s">
        <v>340</v>
      </c>
      <c r="B366" s="1"/>
      <c r="C366" s="1"/>
      <c r="D366" s="1"/>
      <c r="E366" s="59">
        <f t="shared" si="117"/>
        <v>0</v>
      </c>
      <c r="F366" s="1"/>
      <c r="G366" s="1"/>
      <c r="H366" s="1">
        <v>261</v>
      </c>
      <c r="I366" s="59">
        <f t="shared" si="118"/>
        <v>261</v>
      </c>
      <c r="J366" s="1">
        <v>1000</v>
      </c>
      <c r="K366" s="1"/>
      <c r="L366" s="1"/>
      <c r="M366" s="59">
        <f t="shared" si="119"/>
        <v>1000</v>
      </c>
      <c r="N366" s="1"/>
      <c r="O366" s="1"/>
      <c r="P366" s="1"/>
      <c r="Q366" s="59">
        <f t="shared" si="120"/>
        <v>0</v>
      </c>
      <c r="R366" s="59">
        <f t="shared" si="121"/>
        <v>1261</v>
      </c>
      <c r="S366" s="75" t="s">
        <v>80</v>
      </c>
    </row>
    <row r="367" spans="1:20" ht="15.75" customHeight="1" x14ac:dyDescent="0.3">
      <c r="A367" s="76" t="s">
        <v>341</v>
      </c>
      <c r="B367" s="1"/>
      <c r="C367" s="1"/>
      <c r="D367" s="1"/>
      <c r="E367" s="59">
        <f t="shared" si="117"/>
        <v>0</v>
      </c>
      <c r="F367" s="1"/>
      <c r="G367" s="1"/>
      <c r="H367" s="1"/>
      <c r="I367" s="59">
        <f t="shared" si="118"/>
        <v>0</v>
      </c>
      <c r="J367" s="1"/>
      <c r="K367" s="1"/>
      <c r="L367" s="1">
        <v>1200</v>
      </c>
      <c r="M367" s="59">
        <f t="shared" si="119"/>
        <v>1200</v>
      </c>
      <c r="N367" s="1">
        <v>1300</v>
      </c>
      <c r="O367" s="1"/>
      <c r="P367" s="1"/>
      <c r="Q367" s="59">
        <f>SUM(N367:P367)</f>
        <v>1300</v>
      </c>
      <c r="R367" s="59">
        <f>+E367+I367+M367+Q367</f>
        <v>2500</v>
      </c>
      <c r="T367" s="4" t="s">
        <v>315</v>
      </c>
    </row>
    <row r="368" spans="1:20" ht="15.75" customHeight="1" x14ac:dyDescent="0.3">
      <c r="A368" s="76" t="s">
        <v>342</v>
      </c>
      <c r="B368" s="1">
        <v>20</v>
      </c>
      <c r="C368" s="1"/>
      <c r="D368" s="1">
        <v>35</v>
      </c>
      <c r="E368" s="59">
        <f>SUM(B368:D368)</f>
        <v>55</v>
      </c>
      <c r="F368" s="1">
        <v>59</v>
      </c>
      <c r="G368" s="1">
        <v>62</v>
      </c>
      <c r="H368" s="1">
        <v>60</v>
      </c>
      <c r="I368" s="59">
        <f>SUM(F368:H368)</f>
        <v>181</v>
      </c>
      <c r="J368" s="1">
        <v>76</v>
      </c>
      <c r="K368" s="1">
        <v>56</v>
      </c>
      <c r="L368" s="1">
        <v>40</v>
      </c>
      <c r="M368" s="59">
        <f>SUM(J368:L368)</f>
        <v>172</v>
      </c>
      <c r="N368" s="1">
        <v>64</v>
      </c>
      <c r="O368" s="1">
        <v>79</v>
      </c>
      <c r="P368" s="1">
        <v>38</v>
      </c>
      <c r="Q368" s="59">
        <f>SUM(N368:P368)</f>
        <v>181</v>
      </c>
      <c r="R368" s="59">
        <f>+E368+I368+M368+Q368</f>
        <v>589</v>
      </c>
      <c r="T368" s="4" t="s">
        <v>127</v>
      </c>
    </row>
    <row r="369" spans="1:20" ht="15.75" customHeight="1" x14ac:dyDescent="0.3">
      <c r="A369" s="74" t="s">
        <v>343</v>
      </c>
      <c r="B369" s="1"/>
      <c r="C369" s="1"/>
      <c r="D369" s="1"/>
      <c r="E369" s="59">
        <f>SUM(B369:D369)</f>
        <v>0</v>
      </c>
      <c r="F369" s="1"/>
      <c r="G369" s="1"/>
      <c r="H369" s="1">
        <v>27</v>
      </c>
      <c r="I369" s="59">
        <f>SUM(F369:H369)</f>
        <v>27</v>
      </c>
      <c r="J369" s="1"/>
      <c r="K369" s="1"/>
      <c r="L369" s="1"/>
      <c r="M369" s="59">
        <f>SUM(J369:L369)</f>
        <v>0</v>
      </c>
      <c r="N369" s="1"/>
      <c r="O369" s="1"/>
      <c r="P369" s="1"/>
      <c r="Q369" s="59">
        <f>SUM(N369:P369)</f>
        <v>0</v>
      </c>
      <c r="R369" s="59">
        <f t="shared" si="121"/>
        <v>27</v>
      </c>
    </row>
    <row r="370" spans="1:20" ht="15.75" customHeight="1" x14ac:dyDescent="0.3">
      <c r="A370" s="76" t="s">
        <v>344</v>
      </c>
      <c r="B370" s="1">
        <v>20</v>
      </c>
      <c r="C370" s="1">
        <v>20</v>
      </c>
      <c r="D370" s="1">
        <v>20</v>
      </c>
      <c r="E370" s="59">
        <f t="shared" ref="E370" si="143">SUM(B370:D370)</f>
        <v>60</v>
      </c>
      <c r="F370" s="1">
        <v>60</v>
      </c>
      <c r="G370" s="1">
        <v>75</v>
      </c>
      <c r="H370" s="1">
        <v>75</v>
      </c>
      <c r="I370" s="59">
        <f t="shared" ref="I370" si="144">SUM(F370:H370)</f>
        <v>210</v>
      </c>
      <c r="J370" s="1">
        <v>75</v>
      </c>
      <c r="K370" s="1">
        <v>75</v>
      </c>
      <c r="L370" s="1">
        <v>30</v>
      </c>
      <c r="M370" s="59">
        <f t="shared" ref="M370" si="145">SUM(J370:L370)</f>
        <v>180</v>
      </c>
      <c r="N370" s="1">
        <v>20</v>
      </c>
      <c r="O370" s="1">
        <v>20</v>
      </c>
      <c r="P370" s="1">
        <v>5</v>
      </c>
      <c r="Q370" s="59">
        <f t="shared" si="120"/>
        <v>45</v>
      </c>
      <c r="R370" s="59">
        <f t="shared" si="121"/>
        <v>495</v>
      </c>
      <c r="S370" s="4">
        <f>SUM(R338:R370)</f>
        <v>96249</v>
      </c>
      <c r="T370" s="4" t="s">
        <v>331</v>
      </c>
    </row>
    <row r="371" spans="1:20" ht="15.75" customHeight="1" x14ac:dyDescent="0.3">
      <c r="A371" s="76" t="s">
        <v>345</v>
      </c>
      <c r="B371" s="1">
        <v>15</v>
      </c>
      <c r="C371" s="1"/>
      <c r="D371" s="1">
        <v>40</v>
      </c>
      <c r="E371" s="59">
        <f>SUM(B371:D371)</f>
        <v>55</v>
      </c>
      <c r="F371" s="1">
        <v>45</v>
      </c>
      <c r="G371" s="1">
        <v>58</v>
      </c>
      <c r="H371" s="1">
        <v>57</v>
      </c>
      <c r="I371" s="59">
        <f>SUM(F371:H371)</f>
        <v>160</v>
      </c>
      <c r="J371" s="1">
        <v>49</v>
      </c>
      <c r="K371" s="1">
        <v>53</v>
      </c>
      <c r="L371" s="1">
        <v>63</v>
      </c>
      <c r="M371" s="59">
        <f>SUM(J371:L371)</f>
        <v>165</v>
      </c>
      <c r="N371" s="1">
        <v>47</v>
      </c>
      <c r="O371" s="1">
        <v>36</v>
      </c>
      <c r="P371" s="1">
        <v>16</v>
      </c>
      <c r="Q371" s="59">
        <f>SUM(N371:P371)</f>
        <v>99</v>
      </c>
      <c r="R371" s="59">
        <f>+E371+I371+M371+Q371</f>
        <v>479</v>
      </c>
      <c r="T371" s="4" t="s">
        <v>127</v>
      </c>
    </row>
    <row r="372" spans="1:20" ht="15.75" customHeight="1" x14ac:dyDescent="0.3">
      <c r="A372" s="17" t="s">
        <v>47</v>
      </c>
      <c r="B372" s="1"/>
      <c r="C372" s="1"/>
      <c r="D372" s="1"/>
      <c r="E372" s="59" t="s">
        <v>7</v>
      </c>
      <c r="F372" s="1"/>
      <c r="G372" s="1"/>
      <c r="H372" s="1"/>
      <c r="I372" s="59" t="s">
        <v>7</v>
      </c>
      <c r="J372" s="1"/>
      <c r="K372" s="1"/>
      <c r="L372" s="1"/>
      <c r="M372" s="59" t="s">
        <v>7</v>
      </c>
      <c r="N372" s="1"/>
      <c r="O372" s="1"/>
      <c r="P372" s="1"/>
      <c r="Q372" s="59" t="s">
        <v>7</v>
      </c>
      <c r="R372" s="59" t="s">
        <v>7</v>
      </c>
    </row>
    <row r="373" spans="1:20" ht="15.75" customHeight="1" x14ac:dyDescent="0.3">
      <c r="A373" s="76" t="s">
        <v>346</v>
      </c>
      <c r="B373" s="1"/>
      <c r="C373" s="1"/>
      <c r="D373" s="1"/>
      <c r="E373" s="59">
        <f t="shared" ref="E373:E383" si="146">SUM(B373:D373)</f>
        <v>0</v>
      </c>
      <c r="F373" s="1"/>
      <c r="G373" s="1"/>
      <c r="H373" s="1"/>
      <c r="I373" s="59">
        <f t="shared" ref="I373:I383" si="147">SUM(F373:H373)</f>
        <v>0</v>
      </c>
      <c r="J373" s="1"/>
      <c r="K373" s="1"/>
      <c r="L373" s="1"/>
      <c r="M373" s="59">
        <f t="shared" ref="M373:M383" si="148">SUM(J373:L373)</f>
        <v>0</v>
      </c>
      <c r="N373" s="1"/>
      <c r="O373" s="1"/>
      <c r="P373" s="1"/>
      <c r="Q373" s="59">
        <f t="shared" ref="Q373:Q383" si="149">SUM(N373:P373)</f>
        <v>0</v>
      </c>
      <c r="R373" s="59">
        <f t="shared" ref="R373:R383" si="150">+E373+I373+M373+Q373</f>
        <v>0</v>
      </c>
    </row>
    <row r="374" spans="1:20" ht="15.75" customHeight="1" x14ac:dyDescent="0.3">
      <c r="A374" s="76" t="s">
        <v>347</v>
      </c>
      <c r="B374" s="1"/>
      <c r="C374" s="1"/>
      <c r="D374" s="1"/>
      <c r="E374" s="59">
        <f>SUM(B374:D374)</f>
        <v>0</v>
      </c>
      <c r="F374" s="1"/>
      <c r="G374" s="1"/>
      <c r="H374" s="1"/>
      <c r="I374" s="59">
        <f>SUM(F374:H374)</f>
        <v>0</v>
      </c>
      <c r="J374" s="1"/>
      <c r="K374" s="1"/>
      <c r="L374" s="1"/>
      <c r="M374" s="59">
        <f>SUM(J374:L374)</f>
        <v>0</v>
      </c>
      <c r="N374" s="1"/>
      <c r="O374" s="1"/>
      <c r="P374" s="1"/>
      <c r="Q374" s="59">
        <f>SUM(N374:P374)</f>
        <v>0</v>
      </c>
      <c r="R374" s="59">
        <f>+E374+I374+M374+Q374</f>
        <v>0</v>
      </c>
      <c r="T374" s="4" t="s">
        <v>348</v>
      </c>
    </row>
    <row r="375" spans="1:20" ht="15.75" customHeight="1" x14ac:dyDescent="0.3">
      <c r="A375" s="76" t="s">
        <v>349</v>
      </c>
      <c r="B375" s="1"/>
      <c r="C375" s="1"/>
      <c r="D375" s="1"/>
      <c r="E375" s="59">
        <f>SUM(B375:D375)</f>
        <v>0</v>
      </c>
      <c r="F375" s="1"/>
      <c r="G375" s="1"/>
      <c r="H375" s="1"/>
      <c r="I375" s="59">
        <f>SUM(F375:H375)</f>
        <v>0</v>
      </c>
      <c r="J375" s="1"/>
      <c r="K375" s="1"/>
      <c r="L375" s="1"/>
      <c r="M375" s="59">
        <f>SUM(J375:L375)</f>
        <v>0</v>
      </c>
      <c r="N375" s="1"/>
      <c r="O375" s="1"/>
      <c r="P375" s="1"/>
      <c r="Q375" s="59">
        <f>SUM(N375:P375)</f>
        <v>0</v>
      </c>
      <c r="R375" s="59">
        <f>+E375+I375+M375+Q375</f>
        <v>0</v>
      </c>
      <c r="T375" s="4" t="s">
        <v>336</v>
      </c>
    </row>
    <row r="376" spans="1:20" ht="15.75" customHeight="1" x14ac:dyDescent="0.3">
      <c r="A376" s="76" t="s">
        <v>330</v>
      </c>
      <c r="B376" s="1"/>
      <c r="C376" s="1"/>
      <c r="D376" s="1"/>
      <c r="E376" s="59">
        <f t="shared" si="146"/>
        <v>0</v>
      </c>
      <c r="F376" s="1"/>
      <c r="G376" s="1"/>
      <c r="H376" s="1"/>
      <c r="I376" s="59">
        <f t="shared" si="147"/>
        <v>0</v>
      </c>
      <c r="J376" s="1"/>
      <c r="K376" s="1"/>
      <c r="L376" s="1"/>
      <c r="M376" s="59">
        <f t="shared" si="148"/>
        <v>0</v>
      </c>
      <c r="N376" s="1"/>
      <c r="O376" s="1"/>
      <c r="P376" s="1"/>
      <c r="Q376" s="59">
        <f t="shared" si="149"/>
        <v>0</v>
      </c>
      <c r="R376" s="59">
        <f>+E376+I376+M376+Q376</f>
        <v>0</v>
      </c>
      <c r="T376" s="4" t="s">
        <v>331</v>
      </c>
    </row>
    <row r="377" spans="1:20" ht="15.75" customHeight="1" x14ac:dyDescent="0.3">
      <c r="A377" s="76" t="s">
        <v>350</v>
      </c>
      <c r="B377" s="1"/>
      <c r="C377" s="1"/>
      <c r="D377" s="1"/>
      <c r="E377" s="59">
        <f>SUM(B377:D377)</f>
        <v>0</v>
      </c>
      <c r="F377" s="1"/>
      <c r="G377" s="1"/>
      <c r="H377" s="1"/>
      <c r="I377" s="59">
        <f>SUM(F377:H377)</f>
        <v>0</v>
      </c>
      <c r="J377" s="1"/>
      <c r="K377" s="1"/>
      <c r="L377" s="1"/>
      <c r="M377" s="59">
        <f>SUM(J377:L377)</f>
        <v>0</v>
      </c>
      <c r="N377" s="1"/>
      <c r="O377" s="1"/>
      <c r="P377" s="1"/>
      <c r="Q377" s="59">
        <f>SUM(N377:P377)</f>
        <v>0</v>
      </c>
      <c r="R377" s="59">
        <f>+E377+I377+M377+Q377</f>
        <v>0</v>
      </c>
      <c r="T377" s="4" t="s">
        <v>351</v>
      </c>
    </row>
    <row r="378" spans="1:20" ht="15.75" customHeight="1" x14ac:dyDescent="0.3">
      <c r="A378" s="76" t="s">
        <v>352</v>
      </c>
      <c r="B378" s="1"/>
      <c r="C378" s="1"/>
      <c r="D378" s="1"/>
      <c r="E378" s="59">
        <f t="shared" si="146"/>
        <v>0</v>
      </c>
      <c r="F378" s="1"/>
      <c r="G378" s="1"/>
      <c r="H378" s="1"/>
      <c r="I378" s="59">
        <f t="shared" si="147"/>
        <v>0</v>
      </c>
      <c r="J378" s="1"/>
      <c r="K378" s="1"/>
      <c r="L378" s="1"/>
      <c r="M378" s="59">
        <f t="shared" si="148"/>
        <v>0</v>
      </c>
      <c r="N378" s="1"/>
      <c r="O378" s="1"/>
      <c r="P378" s="1"/>
      <c r="Q378" s="59">
        <f t="shared" si="149"/>
        <v>0</v>
      </c>
      <c r="R378" s="59">
        <f t="shared" si="150"/>
        <v>0</v>
      </c>
    </row>
    <row r="379" spans="1:20" ht="15.75" customHeight="1" x14ac:dyDescent="0.3">
      <c r="A379" s="76" t="s">
        <v>353</v>
      </c>
      <c r="B379" s="1"/>
      <c r="C379" s="1"/>
      <c r="D379" s="1"/>
      <c r="E379" s="59">
        <f t="shared" si="146"/>
        <v>0</v>
      </c>
      <c r="F379" s="1"/>
      <c r="G379" s="1"/>
      <c r="H379" s="1"/>
      <c r="I379" s="59">
        <f t="shared" si="147"/>
        <v>0</v>
      </c>
      <c r="J379" s="1"/>
      <c r="K379" s="1"/>
      <c r="L379" s="1"/>
      <c r="M379" s="59">
        <f t="shared" si="148"/>
        <v>0</v>
      </c>
      <c r="N379" s="1"/>
      <c r="O379" s="1"/>
      <c r="P379" s="1"/>
      <c r="Q379" s="59">
        <f t="shared" si="149"/>
        <v>0</v>
      </c>
      <c r="R379" s="59">
        <f t="shared" si="150"/>
        <v>0</v>
      </c>
      <c r="T379" s="4" t="s">
        <v>354</v>
      </c>
    </row>
    <row r="380" spans="1:20" ht="15.75" customHeight="1" x14ac:dyDescent="0.3">
      <c r="A380" s="76" t="s">
        <v>355</v>
      </c>
      <c r="B380" s="1"/>
      <c r="C380" s="1"/>
      <c r="D380" s="1"/>
      <c r="E380" s="59">
        <f t="shared" si="146"/>
        <v>0</v>
      </c>
      <c r="F380" s="1"/>
      <c r="G380" s="1"/>
      <c r="H380" s="1"/>
      <c r="I380" s="59">
        <f t="shared" si="147"/>
        <v>0</v>
      </c>
      <c r="J380" s="1"/>
      <c r="K380" s="1"/>
      <c r="L380" s="1"/>
      <c r="M380" s="59">
        <f t="shared" si="148"/>
        <v>0</v>
      </c>
      <c r="N380" s="1"/>
      <c r="O380" s="1"/>
      <c r="P380" s="1"/>
      <c r="Q380" s="59">
        <f t="shared" si="149"/>
        <v>0</v>
      </c>
      <c r="R380" s="59">
        <f t="shared" si="150"/>
        <v>0</v>
      </c>
      <c r="T380" s="4" t="s">
        <v>354</v>
      </c>
    </row>
    <row r="381" spans="1:20" ht="15.75" customHeight="1" x14ac:dyDescent="0.3">
      <c r="A381" s="76" t="s">
        <v>356</v>
      </c>
      <c r="B381" s="1"/>
      <c r="C381" s="1"/>
      <c r="D381" s="1"/>
      <c r="E381" s="59">
        <f t="shared" si="146"/>
        <v>0</v>
      </c>
      <c r="F381" s="1"/>
      <c r="G381" s="1"/>
      <c r="H381" s="1"/>
      <c r="I381" s="59">
        <f t="shared" si="147"/>
        <v>0</v>
      </c>
      <c r="J381" s="1"/>
      <c r="K381" s="1"/>
      <c r="L381" s="1"/>
      <c r="M381" s="59">
        <f t="shared" si="148"/>
        <v>0</v>
      </c>
      <c r="N381" s="1"/>
      <c r="O381" s="1"/>
      <c r="P381" s="1"/>
      <c r="Q381" s="59">
        <f t="shared" si="149"/>
        <v>0</v>
      </c>
      <c r="R381" s="59">
        <f t="shared" si="150"/>
        <v>0</v>
      </c>
      <c r="T381" s="4" t="s">
        <v>127</v>
      </c>
    </row>
    <row r="382" spans="1:20" ht="15.75" customHeight="1" x14ac:dyDescent="0.3">
      <c r="A382" s="76" t="s">
        <v>357</v>
      </c>
      <c r="B382" s="1"/>
      <c r="C382" s="1"/>
      <c r="D382" s="1"/>
      <c r="E382" s="59">
        <f>SUM(B382:D382)</f>
        <v>0</v>
      </c>
      <c r="F382" s="1"/>
      <c r="G382" s="1"/>
      <c r="H382" s="1"/>
      <c r="I382" s="59">
        <f>SUM(F382:H382)</f>
        <v>0</v>
      </c>
      <c r="J382" s="1"/>
      <c r="K382" s="1"/>
      <c r="L382" s="1"/>
      <c r="M382" s="59">
        <f>SUM(J382:L382)</f>
        <v>0</v>
      </c>
      <c r="N382" s="1"/>
      <c r="O382" s="1"/>
      <c r="P382" s="1"/>
      <c r="Q382" s="59">
        <f>SUM(N382:P382)</f>
        <v>0</v>
      </c>
      <c r="R382" s="59">
        <f>+E382+I382+M382+Q382</f>
        <v>0</v>
      </c>
      <c r="T382" s="4" t="s">
        <v>127</v>
      </c>
    </row>
    <row r="383" spans="1:20" ht="15.75" customHeight="1" x14ac:dyDescent="0.3">
      <c r="A383" s="76" t="s">
        <v>358</v>
      </c>
      <c r="B383" s="1"/>
      <c r="C383" s="1"/>
      <c r="D383" s="1"/>
      <c r="E383" s="59">
        <f t="shared" si="146"/>
        <v>0</v>
      </c>
      <c r="F383" s="1"/>
      <c r="G383" s="1"/>
      <c r="H383" s="1"/>
      <c r="I383" s="59">
        <f t="shared" si="147"/>
        <v>0</v>
      </c>
      <c r="J383" s="1"/>
      <c r="K383" s="1"/>
      <c r="L383" s="1"/>
      <c r="M383" s="59">
        <f t="shared" si="148"/>
        <v>0</v>
      </c>
      <c r="N383" s="1"/>
      <c r="O383" s="1"/>
      <c r="P383" s="1"/>
      <c r="Q383" s="59">
        <f t="shared" si="149"/>
        <v>0</v>
      </c>
      <c r="R383" s="59">
        <f t="shared" si="150"/>
        <v>0</v>
      </c>
      <c r="T383" s="4" t="s">
        <v>359</v>
      </c>
    </row>
    <row r="384" spans="1:20" ht="15.75" customHeight="1" x14ac:dyDescent="0.3">
      <c r="A384" s="17" t="s">
        <v>49</v>
      </c>
      <c r="B384" s="1"/>
      <c r="C384" s="1"/>
      <c r="D384" s="1"/>
      <c r="E384" s="59" t="s">
        <v>7</v>
      </c>
      <c r="F384" s="1"/>
      <c r="G384" s="1"/>
      <c r="H384" s="1"/>
      <c r="I384" s="59" t="s">
        <v>7</v>
      </c>
      <c r="J384" s="1"/>
      <c r="K384" s="1"/>
      <c r="L384" s="1"/>
      <c r="M384" s="59" t="s">
        <v>7</v>
      </c>
      <c r="N384" s="1"/>
      <c r="O384" s="1"/>
      <c r="P384" s="1"/>
      <c r="Q384" s="59" t="s">
        <v>7</v>
      </c>
      <c r="R384" s="59" t="s">
        <v>7</v>
      </c>
    </row>
    <row r="385" spans="1:39" ht="15.75" customHeight="1" x14ac:dyDescent="0.3">
      <c r="A385" s="76" t="s">
        <v>360</v>
      </c>
      <c r="B385" s="1"/>
      <c r="C385" s="1"/>
      <c r="D385" s="1"/>
      <c r="E385" s="59">
        <f>SUM(B385:D385)</f>
        <v>0</v>
      </c>
      <c r="F385" s="1"/>
      <c r="G385" s="1"/>
      <c r="H385" s="1"/>
      <c r="I385" s="59">
        <f>SUM(F385:H385)</f>
        <v>0</v>
      </c>
      <c r="J385" s="1"/>
      <c r="K385" s="1"/>
      <c r="L385" s="1"/>
      <c r="M385" s="59">
        <f>SUM(J385:L385)</f>
        <v>0</v>
      </c>
      <c r="N385" s="1"/>
      <c r="O385" s="1"/>
      <c r="P385" s="1"/>
      <c r="Q385" s="59">
        <f>SUM(N385:P385)</f>
        <v>0</v>
      </c>
      <c r="R385" s="59">
        <f>+E385+I385+M385+Q385</f>
        <v>0</v>
      </c>
      <c r="S385" s="77" t="s">
        <v>90</v>
      </c>
      <c r="T385" s="4" t="s">
        <v>305</v>
      </c>
    </row>
    <row r="386" spans="1:39" ht="15.75" customHeight="1" x14ac:dyDescent="0.3">
      <c r="A386" s="76" t="s">
        <v>361</v>
      </c>
      <c r="B386" s="1"/>
      <c r="C386" s="1"/>
      <c r="D386" s="1"/>
      <c r="E386" s="59">
        <f>SUM(B386:D386)</f>
        <v>0</v>
      </c>
      <c r="F386" s="1"/>
      <c r="G386" s="1"/>
      <c r="H386" s="1"/>
      <c r="I386" s="59">
        <f>SUM(F386:H386)</f>
        <v>0</v>
      </c>
      <c r="J386" s="1"/>
      <c r="K386" s="1"/>
      <c r="L386" s="1"/>
      <c r="M386" s="59">
        <f>SUM(J386:L386)</f>
        <v>0</v>
      </c>
      <c r="N386" s="1"/>
      <c r="O386" s="1"/>
      <c r="P386" s="1"/>
      <c r="Q386" s="59">
        <f>SUM(N386:P386)</f>
        <v>0</v>
      </c>
      <c r="R386" s="59">
        <f>+E386+I386+M386+Q386</f>
        <v>0</v>
      </c>
      <c r="S386" s="77" t="s">
        <v>90</v>
      </c>
    </row>
    <row r="387" spans="1:39" ht="15.75" customHeight="1" x14ac:dyDescent="0.3">
      <c r="A387" s="76" t="s">
        <v>362</v>
      </c>
      <c r="B387" s="1"/>
      <c r="C387" s="1"/>
      <c r="D387" s="1"/>
      <c r="E387" s="59">
        <f>SUM(B387:D387)</f>
        <v>0</v>
      </c>
      <c r="F387" s="1"/>
      <c r="G387" s="1"/>
      <c r="H387" s="1"/>
      <c r="I387" s="59">
        <f>SUM(F387:H387)</f>
        <v>0</v>
      </c>
      <c r="J387" s="1"/>
      <c r="K387" s="1"/>
      <c r="L387" s="1"/>
      <c r="M387" s="59">
        <f>SUM(J387:L387)</f>
        <v>0</v>
      </c>
      <c r="N387" s="1"/>
      <c r="O387" s="1"/>
      <c r="P387" s="1"/>
      <c r="Q387" s="59">
        <f>SUM(N387:P387)</f>
        <v>0</v>
      </c>
      <c r="R387" s="59">
        <f>+E387+I387+M387+Q387</f>
        <v>0</v>
      </c>
      <c r="S387" s="77" t="s">
        <v>90</v>
      </c>
      <c r="T387" s="4" t="s">
        <v>331</v>
      </c>
    </row>
    <row r="388" spans="1:39" ht="15.75" customHeight="1" x14ac:dyDescent="0.3">
      <c r="A388" s="76" t="s">
        <v>363</v>
      </c>
      <c r="B388" s="1"/>
      <c r="C388" s="1"/>
      <c r="D388" s="1"/>
      <c r="E388" s="59">
        <f>SUM(B388:D388)</f>
        <v>0</v>
      </c>
      <c r="F388" s="1"/>
      <c r="G388" s="1"/>
      <c r="H388" s="1"/>
      <c r="I388" s="59">
        <f>SUM(F388:H388)</f>
        <v>0</v>
      </c>
      <c r="J388" s="1"/>
      <c r="K388" s="1"/>
      <c r="L388" s="1"/>
      <c r="M388" s="59">
        <f>SUM(J388:L388)</f>
        <v>0</v>
      </c>
      <c r="N388" s="1"/>
      <c r="O388" s="1"/>
      <c r="P388" s="1"/>
      <c r="Q388" s="59">
        <f>SUM(N388:P388)</f>
        <v>0</v>
      </c>
      <c r="R388" s="59">
        <f>+E388+I388+M388+Q388</f>
        <v>0</v>
      </c>
      <c r="S388" s="77" t="s">
        <v>90</v>
      </c>
      <c r="T388" s="4" t="s">
        <v>315</v>
      </c>
    </row>
    <row r="389" spans="1:39" ht="16.5" customHeight="1" thickBot="1" x14ac:dyDescent="0.35">
      <c r="A389" s="17" t="s">
        <v>51</v>
      </c>
      <c r="B389" s="1"/>
      <c r="C389" s="1"/>
      <c r="D389" s="1"/>
      <c r="E389" s="59" t="s">
        <v>7</v>
      </c>
      <c r="F389" s="1"/>
      <c r="G389" s="1"/>
      <c r="H389" s="1"/>
      <c r="I389" s="59" t="s">
        <v>7</v>
      </c>
      <c r="J389" s="1"/>
      <c r="K389" s="1"/>
      <c r="L389" s="1"/>
      <c r="M389" s="59" t="s">
        <v>7</v>
      </c>
      <c r="N389" s="1"/>
      <c r="O389" s="1"/>
      <c r="P389" s="1"/>
      <c r="Q389" s="59" t="s">
        <v>7</v>
      </c>
      <c r="R389" s="88" t="s">
        <v>7</v>
      </c>
      <c r="V389" s="4" t="s">
        <v>364</v>
      </c>
      <c r="W389" s="4" t="s">
        <v>365</v>
      </c>
    </row>
    <row r="390" spans="1:39" ht="16.5" customHeight="1" thickBot="1" x14ac:dyDescent="0.35">
      <c r="A390" s="126" t="s">
        <v>52</v>
      </c>
      <c r="B390" s="100">
        <f>SUM(B336:B389)</f>
        <v>5593</v>
      </c>
      <c r="C390" s="101">
        <f>SUM(C336:C389)</f>
        <v>2271</v>
      </c>
      <c r="D390" s="101">
        <f>SUM(D336:D389)</f>
        <v>1646</v>
      </c>
      <c r="E390" s="64">
        <f>SUM(B390:D390)</f>
        <v>9510</v>
      </c>
      <c r="F390" s="101">
        <f>SUM(F336:F389)</f>
        <v>7315</v>
      </c>
      <c r="G390" s="101">
        <f>SUM(G336:G389)</f>
        <v>7991</v>
      </c>
      <c r="H390" s="101">
        <f>SUM(H336:H389)</f>
        <v>15800</v>
      </c>
      <c r="I390" s="64">
        <f>SUM(F390:H390)</f>
        <v>31106</v>
      </c>
      <c r="J390" s="101">
        <f>SUM(J336:J389)</f>
        <v>17213</v>
      </c>
      <c r="K390" s="101">
        <f>SUM(K336:K389)</f>
        <v>12329</v>
      </c>
      <c r="L390" s="101">
        <f>SUM(L336:L389)</f>
        <v>9383</v>
      </c>
      <c r="M390" s="64">
        <f>SUM(J390:L390)</f>
        <v>38925</v>
      </c>
      <c r="N390" s="101">
        <f>SUM(N336:N389)</f>
        <v>8868</v>
      </c>
      <c r="O390" s="101">
        <f>SUM(O336:O389)</f>
        <v>6560</v>
      </c>
      <c r="P390" s="101">
        <f>SUM(P336:P389)</f>
        <v>1759</v>
      </c>
      <c r="Q390" s="64">
        <f>SUM(N390:P390)</f>
        <v>17187</v>
      </c>
      <c r="R390" s="64">
        <f>+E390+I390+M390+Q390</f>
        <v>96728</v>
      </c>
      <c r="T390" s="106"/>
      <c r="V390" s="4" t="s">
        <v>305</v>
      </c>
      <c r="W390" s="127">
        <v>0.18</v>
      </c>
    </row>
    <row r="391" spans="1:39" ht="15.75" customHeight="1" x14ac:dyDescent="0.3">
      <c r="A391" s="17" t="s">
        <v>53</v>
      </c>
      <c r="B391" s="1"/>
      <c r="C391" s="1"/>
      <c r="D391" s="1"/>
      <c r="E391" s="59" t="s">
        <v>7</v>
      </c>
      <c r="F391" s="1"/>
      <c r="G391" s="1"/>
      <c r="H391" s="1"/>
      <c r="I391" s="59" t="s">
        <v>7</v>
      </c>
      <c r="J391" s="1"/>
      <c r="K391" s="1"/>
      <c r="L391" s="1"/>
      <c r="M391" s="59" t="s">
        <v>7</v>
      </c>
      <c r="N391" s="1"/>
      <c r="O391" s="1"/>
      <c r="P391" s="1"/>
      <c r="Q391" s="59" t="s">
        <v>7</v>
      </c>
      <c r="R391" s="59" t="s">
        <v>7</v>
      </c>
      <c r="V391" s="4" t="s">
        <v>366</v>
      </c>
      <c r="W391" s="127">
        <v>0.52</v>
      </c>
    </row>
    <row r="392" spans="1:39" ht="15.75" customHeight="1" x14ac:dyDescent="0.3">
      <c r="A392" s="17" t="s">
        <v>367</v>
      </c>
      <c r="B392" s="1"/>
      <c r="C392" s="1"/>
      <c r="D392" s="1"/>
      <c r="E392" s="59"/>
      <c r="F392" s="1"/>
      <c r="G392" s="1"/>
      <c r="H392" s="1"/>
      <c r="I392" s="59"/>
      <c r="J392" s="1"/>
      <c r="K392" s="1"/>
      <c r="L392" s="1"/>
      <c r="M392" s="59"/>
      <c r="N392" s="1"/>
      <c r="O392" s="1"/>
      <c r="P392" s="1"/>
      <c r="Q392" s="59"/>
      <c r="R392" s="59"/>
      <c r="V392" s="4" t="s">
        <v>368</v>
      </c>
      <c r="W392" s="127">
        <v>0.3</v>
      </c>
    </row>
    <row r="393" spans="1:39" ht="15.75" customHeight="1" x14ac:dyDescent="0.3">
      <c r="A393" s="17" t="s">
        <v>55</v>
      </c>
      <c r="B393" s="1"/>
      <c r="C393" s="1"/>
      <c r="D393" s="1"/>
      <c r="E393" s="59" t="s">
        <v>7</v>
      </c>
      <c r="F393" s="1"/>
      <c r="G393" s="1"/>
      <c r="H393" s="1"/>
      <c r="I393" s="59" t="s">
        <v>7</v>
      </c>
      <c r="J393" s="1"/>
      <c r="K393" s="1"/>
      <c r="L393" s="1"/>
      <c r="M393" s="59" t="s">
        <v>7</v>
      </c>
      <c r="N393" s="1"/>
      <c r="O393" s="1"/>
      <c r="P393" s="1"/>
      <c r="Q393" s="59" t="s">
        <v>7</v>
      </c>
      <c r="R393" s="59" t="s">
        <v>7</v>
      </c>
      <c r="W393" s="128">
        <f>+SUM(W390:W392)</f>
        <v>1</v>
      </c>
    </row>
    <row r="394" spans="1:39" ht="15.75" customHeight="1" x14ac:dyDescent="0.3">
      <c r="A394" s="76" t="s">
        <v>369</v>
      </c>
      <c r="B394" s="1">
        <v>12</v>
      </c>
      <c r="C394" s="1">
        <v>12</v>
      </c>
      <c r="D394" s="1">
        <v>660</v>
      </c>
      <c r="E394" s="59">
        <f>SUM(B394:D394)</f>
        <v>684</v>
      </c>
      <c r="F394" s="1">
        <v>1653</v>
      </c>
      <c r="G394" s="1">
        <v>960</v>
      </c>
      <c r="H394" s="1">
        <v>3000</v>
      </c>
      <c r="I394" s="59">
        <f>SUM(F394:H394)</f>
        <v>5613</v>
      </c>
      <c r="J394" s="1">
        <v>2600</v>
      </c>
      <c r="K394" s="1">
        <v>1782</v>
      </c>
      <c r="L394" s="1">
        <v>120</v>
      </c>
      <c r="M394" s="59">
        <f>SUM(J394:L394)</f>
        <v>4502</v>
      </c>
      <c r="N394" s="1">
        <v>60</v>
      </c>
      <c r="O394" s="1">
        <v>70</v>
      </c>
      <c r="P394" s="1">
        <v>49</v>
      </c>
      <c r="Q394" s="59">
        <f>SUM(N394:P394)</f>
        <v>179</v>
      </c>
      <c r="R394" s="59">
        <f t="shared" ref="R394:R402" si="151">+E394+I394+M394+Q394</f>
        <v>10978</v>
      </c>
      <c r="T394" s="4" t="s">
        <v>305</v>
      </c>
      <c r="V394" s="129" t="s">
        <v>370</v>
      </c>
      <c r="W394" s="30" t="s">
        <v>36</v>
      </c>
      <c r="X394" s="2" t="s">
        <v>9</v>
      </c>
      <c r="Y394" s="2" t="s">
        <v>10</v>
      </c>
      <c r="Z394" s="130" t="s">
        <v>11</v>
      </c>
      <c r="AA394" s="2" t="s">
        <v>12</v>
      </c>
      <c r="AB394" s="2" t="s">
        <v>13</v>
      </c>
      <c r="AC394" s="2" t="s">
        <v>14</v>
      </c>
      <c r="AD394" s="130" t="s">
        <v>15</v>
      </c>
      <c r="AE394" s="2" t="s">
        <v>16</v>
      </c>
      <c r="AF394" s="2" t="s">
        <v>17</v>
      </c>
      <c r="AG394" s="2" t="s">
        <v>18</v>
      </c>
      <c r="AH394" s="130" t="s">
        <v>19</v>
      </c>
      <c r="AI394" s="2" t="s">
        <v>20</v>
      </c>
      <c r="AJ394" s="2" t="s">
        <v>21</v>
      </c>
      <c r="AK394" s="2" t="s">
        <v>22</v>
      </c>
      <c r="AL394" s="130" t="s">
        <v>23</v>
      </c>
      <c r="AM394" s="131" t="s">
        <v>24</v>
      </c>
    </row>
    <row r="395" spans="1:39" ht="15.75" customHeight="1" x14ac:dyDescent="0.3">
      <c r="A395" s="76" t="s">
        <v>371</v>
      </c>
      <c r="B395" s="1"/>
      <c r="C395" s="1"/>
      <c r="D395" s="1">
        <v>21</v>
      </c>
      <c r="E395" s="59">
        <f>SUM(B395:D395)</f>
        <v>21</v>
      </c>
      <c r="F395" s="1">
        <v>21</v>
      </c>
      <c r="G395" s="1">
        <v>21</v>
      </c>
      <c r="H395" s="1">
        <v>21</v>
      </c>
      <c r="I395" s="59">
        <f>SUM(F395:H395)</f>
        <v>63</v>
      </c>
      <c r="J395" s="1">
        <v>21</v>
      </c>
      <c r="K395" s="1">
        <v>21</v>
      </c>
      <c r="L395" s="1">
        <v>21</v>
      </c>
      <c r="M395" s="59">
        <f>SUM(J395:L395)</f>
        <v>63</v>
      </c>
      <c r="N395" s="1"/>
      <c r="O395" s="1"/>
      <c r="P395" s="1"/>
      <c r="Q395" s="59">
        <f>SUM(N395:P395)</f>
        <v>0</v>
      </c>
      <c r="R395" s="59">
        <f t="shared" si="151"/>
        <v>147</v>
      </c>
      <c r="T395" s="4" t="s">
        <v>331</v>
      </c>
      <c r="V395" s="95" t="s">
        <v>372</v>
      </c>
      <c r="W395" s="132">
        <v>1500</v>
      </c>
      <c r="X395" s="132">
        <v>1500</v>
      </c>
      <c r="Y395" s="132">
        <v>6800</v>
      </c>
      <c r="Z395" s="4">
        <f>+SUM(W395:Y395)</f>
        <v>9800</v>
      </c>
      <c r="AA395" s="132">
        <f>8000+1500</f>
        <v>9500</v>
      </c>
      <c r="AB395" s="132">
        <f>10000+2000</f>
        <v>12000</v>
      </c>
      <c r="AC395" s="132">
        <f>12000+1500</f>
        <v>13500</v>
      </c>
      <c r="AD395" s="4">
        <f>+SUM(AA395:AC395)</f>
        <v>35000</v>
      </c>
      <c r="AE395" s="132">
        <v>25500</v>
      </c>
      <c r="AF395" s="132">
        <v>19000</v>
      </c>
      <c r="AG395" s="132">
        <v>4000</v>
      </c>
      <c r="AH395" s="4">
        <f>+SUM(AE395:AG395)</f>
        <v>48500</v>
      </c>
      <c r="AI395" s="132">
        <v>1500</v>
      </c>
      <c r="AJ395" s="132">
        <v>1000</v>
      </c>
      <c r="AK395" s="132">
        <v>1069</v>
      </c>
      <c r="AL395" s="4">
        <f>+SUM(AI395:AK395)</f>
        <v>3569</v>
      </c>
      <c r="AM395" s="133">
        <f>+Z395+AD395+AH395+AL395</f>
        <v>96869</v>
      </c>
    </row>
    <row r="396" spans="1:39" ht="15.75" customHeight="1" x14ac:dyDescent="0.3">
      <c r="A396" s="76" t="s">
        <v>373</v>
      </c>
      <c r="B396" s="1">
        <v>500</v>
      </c>
      <c r="C396" s="1">
        <v>700</v>
      </c>
      <c r="D396" s="1">
        <v>3000</v>
      </c>
      <c r="E396" s="59">
        <f t="shared" ref="E396:E397" si="152">SUM(B396:D396)</f>
        <v>4200</v>
      </c>
      <c r="F396" s="1">
        <v>7000</v>
      </c>
      <c r="G396" s="1">
        <v>7000</v>
      </c>
      <c r="H396" s="1">
        <v>9000</v>
      </c>
      <c r="I396" s="59">
        <f t="shared" ref="I396:I401" si="153">SUM(F396:H396)</f>
        <v>23000</v>
      </c>
      <c r="J396" s="1">
        <v>331</v>
      </c>
      <c r="K396" s="1"/>
      <c r="L396" s="1"/>
      <c r="M396" s="59">
        <f t="shared" ref="M396:M401" si="154">SUM(J396:L396)</f>
        <v>331</v>
      </c>
      <c r="N396" s="1"/>
      <c r="O396" s="1"/>
      <c r="P396" s="1"/>
      <c r="Q396" s="59">
        <f t="shared" ref="Q396:Q402" si="155">SUM(N396:P396)</f>
        <v>0</v>
      </c>
      <c r="R396" s="59">
        <f t="shared" si="151"/>
        <v>27531</v>
      </c>
      <c r="T396" s="4" t="s">
        <v>307</v>
      </c>
      <c r="V396" s="95" t="s">
        <v>305</v>
      </c>
      <c r="W396" s="4">
        <f>+$W$390*W395</f>
        <v>270</v>
      </c>
      <c r="X396" s="4">
        <f>+$W$390*X395</f>
        <v>270</v>
      </c>
      <c r="Y396" s="4">
        <f>+$W$390*Y395</f>
        <v>1224</v>
      </c>
      <c r="Z396" s="4">
        <f>+SUM(W396:Y396)</f>
        <v>1764</v>
      </c>
      <c r="AA396" s="4">
        <f>+$W$390*AA395</f>
        <v>1710</v>
      </c>
      <c r="AB396" s="4">
        <f>+$W$390*AB395</f>
        <v>2160</v>
      </c>
      <c r="AC396" s="4">
        <f>+$W$390*AC395</f>
        <v>2430</v>
      </c>
      <c r="AD396" s="4">
        <f>+SUM(AA396:AC396)</f>
        <v>6300</v>
      </c>
      <c r="AE396" s="4">
        <f>+$W$390*AE395</f>
        <v>4590</v>
      </c>
      <c r="AF396" s="4">
        <f>+$W$390*AF395</f>
        <v>3420</v>
      </c>
      <c r="AG396" s="4">
        <f>+$W$390*AG395</f>
        <v>720</v>
      </c>
      <c r="AH396" s="4">
        <f>+SUM(AE396:AG396)</f>
        <v>8730</v>
      </c>
      <c r="AI396" s="4">
        <f>+$W$390*AI395</f>
        <v>270</v>
      </c>
      <c r="AJ396" s="4">
        <f>+$W$390*AJ395</f>
        <v>180</v>
      </c>
      <c r="AK396" s="4">
        <f>+$W$390*AK395</f>
        <v>192.42</v>
      </c>
      <c r="AL396" s="4">
        <f>+SUM(AI396:AK396)</f>
        <v>642.41999999999996</v>
      </c>
      <c r="AM396" s="133">
        <f>+Z396+AD396+AH396+AL396</f>
        <v>17436.419999999998</v>
      </c>
    </row>
    <row r="397" spans="1:39" ht="15.75" customHeight="1" x14ac:dyDescent="0.3">
      <c r="A397" s="76" t="s">
        <v>374</v>
      </c>
      <c r="B397" s="1">
        <f>1040+300</f>
        <v>1340</v>
      </c>
      <c r="C397" s="1">
        <f>3490+400</f>
        <v>3890</v>
      </c>
      <c r="D397" s="1">
        <f>7740+710</f>
        <v>8450</v>
      </c>
      <c r="E397" s="59">
        <f t="shared" si="152"/>
        <v>13680</v>
      </c>
      <c r="F397" s="1">
        <f>15850+436</f>
        <v>16286</v>
      </c>
      <c r="G397" s="1">
        <v>16700</v>
      </c>
      <c r="H397" s="1">
        <v>17640</v>
      </c>
      <c r="I397" s="59">
        <f t="shared" ref="I397" si="156">SUM(F397:H397)</f>
        <v>50626</v>
      </c>
      <c r="J397" s="1">
        <v>8840</v>
      </c>
      <c r="K397" s="1">
        <v>5320</v>
      </c>
      <c r="L397" s="1">
        <v>3010</v>
      </c>
      <c r="M397" s="59">
        <f t="shared" ref="M397" si="157">SUM(J397:L397)</f>
        <v>17170</v>
      </c>
      <c r="N397" s="1">
        <v>1510</v>
      </c>
      <c r="O397" s="1">
        <v>600</v>
      </c>
      <c r="P397" s="1">
        <v>146</v>
      </c>
      <c r="Q397" s="59">
        <f t="shared" si="155"/>
        <v>2256</v>
      </c>
      <c r="R397" s="59">
        <f t="shared" si="151"/>
        <v>83732</v>
      </c>
      <c r="T397" s="4" t="s">
        <v>305</v>
      </c>
      <c r="V397" s="95" t="s">
        <v>366</v>
      </c>
      <c r="W397" s="4">
        <f>+$W$391*W395</f>
        <v>780</v>
      </c>
      <c r="X397" s="4">
        <f>+$W$391*X395</f>
        <v>780</v>
      </c>
      <c r="Y397" s="4">
        <f>+$W$391*Y395</f>
        <v>3536</v>
      </c>
      <c r="Z397" s="4">
        <f>+SUM(W397:Y397)</f>
        <v>5096</v>
      </c>
      <c r="AA397" s="4">
        <f>+$W$391*AA395</f>
        <v>4940</v>
      </c>
      <c r="AB397" s="4">
        <f>+$W$391*AB395</f>
        <v>6240</v>
      </c>
      <c r="AC397" s="4">
        <f>+$W$391*AC395</f>
        <v>7020</v>
      </c>
      <c r="AD397" s="4">
        <f>+SUM(AA397:AC397)</f>
        <v>18200</v>
      </c>
      <c r="AE397" s="4">
        <f>+$W$391*AE395</f>
        <v>13260</v>
      </c>
      <c r="AF397" s="4">
        <f>+$W$391*AF395</f>
        <v>9880</v>
      </c>
      <c r="AG397" s="4">
        <f>+$W$391*AG395</f>
        <v>2080</v>
      </c>
      <c r="AH397" s="4">
        <f>+SUM(AE397:AG397)</f>
        <v>25220</v>
      </c>
      <c r="AI397" s="4">
        <f>+$W$391*AI395</f>
        <v>780</v>
      </c>
      <c r="AJ397" s="4">
        <f>+$W$391*AJ395</f>
        <v>520</v>
      </c>
      <c r="AK397" s="4">
        <f>+$W$391*AK395</f>
        <v>555.88</v>
      </c>
      <c r="AL397" s="4">
        <f>+SUM(AI397:AK397)</f>
        <v>1855.88</v>
      </c>
      <c r="AM397" s="133">
        <f>+Z397+AD397+AH397+AL397</f>
        <v>50371.88</v>
      </c>
    </row>
    <row r="398" spans="1:39" ht="15.75" customHeight="1" x14ac:dyDescent="0.3">
      <c r="A398" s="76" t="s">
        <v>375</v>
      </c>
      <c r="B398" s="1"/>
      <c r="C398" s="1"/>
      <c r="D398" s="1"/>
      <c r="E398" s="59">
        <f t="shared" ref="E398:E401" si="158">SUM(B398:D398)</f>
        <v>0</v>
      </c>
      <c r="F398" s="1"/>
      <c r="G398" s="1"/>
      <c r="H398" s="1"/>
      <c r="I398" s="59">
        <f t="shared" si="153"/>
        <v>0</v>
      </c>
      <c r="J398" s="1"/>
      <c r="K398" s="1"/>
      <c r="L398" s="1"/>
      <c r="M398" s="59">
        <f t="shared" si="154"/>
        <v>0</v>
      </c>
      <c r="N398" s="1"/>
      <c r="O398" s="1"/>
      <c r="P398" s="1"/>
      <c r="Q398" s="59">
        <f t="shared" si="155"/>
        <v>0</v>
      </c>
      <c r="R398" s="59">
        <f t="shared" si="151"/>
        <v>0</v>
      </c>
      <c r="T398" s="4" t="s">
        <v>376</v>
      </c>
      <c r="V398" s="95" t="s">
        <v>368</v>
      </c>
      <c r="W398" s="4">
        <f>+$W$392*W395</f>
        <v>450</v>
      </c>
      <c r="X398" s="4">
        <f>+$W$392*X395</f>
        <v>450</v>
      </c>
      <c r="Y398" s="4">
        <f>+$W$392*Y395</f>
        <v>2040</v>
      </c>
      <c r="Z398" s="4">
        <f>+SUM(W398:Y398)</f>
        <v>2940</v>
      </c>
      <c r="AA398" s="4">
        <f>+$W$392*AA395</f>
        <v>2850</v>
      </c>
      <c r="AB398" s="4">
        <f>+$W$392*AB395</f>
        <v>3600</v>
      </c>
      <c r="AC398" s="4">
        <f>+$W$392*AC395</f>
        <v>4050</v>
      </c>
      <c r="AD398" s="4">
        <f>+SUM(AA398:AC398)</f>
        <v>10500</v>
      </c>
      <c r="AE398" s="4">
        <f>+$W$392*AE395</f>
        <v>7650</v>
      </c>
      <c r="AF398" s="4">
        <f>+$W$392*AF395</f>
        <v>5700</v>
      </c>
      <c r="AG398" s="4">
        <f>+$W$392*AG395</f>
        <v>1200</v>
      </c>
      <c r="AH398" s="4">
        <f>+SUM(AE398:AG398)</f>
        <v>14550</v>
      </c>
      <c r="AI398" s="4">
        <f>+$W$392*AI395</f>
        <v>450</v>
      </c>
      <c r="AJ398" s="4">
        <f>+$W$392*AJ395</f>
        <v>300</v>
      </c>
      <c r="AK398" s="4">
        <f>+$W$392*AK395</f>
        <v>320.7</v>
      </c>
      <c r="AL398" s="4">
        <f>+$W$392*AL395</f>
        <v>1070.7</v>
      </c>
      <c r="AM398" s="133">
        <f>+Z398+AD398+AH398+AL398</f>
        <v>29060.7</v>
      </c>
    </row>
    <row r="399" spans="1:39" ht="15.75" customHeight="1" thickBot="1" x14ac:dyDescent="0.35">
      <c r="A399" s="76" t="s">
        <v>377</v>
      </c>
      <c r="B399" s="1"/>
      <c r="C399" s="1"/>
      <c r="D399" s="1"/>
      <c r="E399" s="59">
        <f t="shared" ref="E399" si="159">SUM(B399:D399)</f>
        <v>0</v>
      </c>
      <c r="F399" s="1"/>
      <c r="G399" s="1"/>
      <c r="H399" s="1"/>
      <c r="I399" s="59">
        <f t="shared" ref="I399" si="160">SUM(F399:H399)</f>
        <v>0</v>
      </c>
      <c r="J399" s="1"/>
      <c r="K399" s="1"/>
      <c r="L399" s="1"/>
      <c r="M399" s="59">
        <f t="shared" ref="M399" si="161">SUM(J399:L399)</f>
        <v>0</v>
      </c>
      <c r="N399" s="1"/>
      <c r="O399" s="1"/>
      <c r="P399" s="1"/>
      <c r="Q399" s="59">
        <f t="shared" si="155"/>
        <v>0</v>
      </c>
      <c r="R399" s="59">
        <f t="shared" si="151"/>
        <v>0</v>
      </c>
      <c r="T399" s="4" t="s">
        <v>331</v>
      </c>
      <c r="V399" s="134"/>
      <c r="W399" s="135"/>
      <c r="X399" s="135"/>
      <c r="Y399" s="135"/>
      <c r="Z399" s="135"/>
      <c r="AA399" s="135"/>
      <c r="AB399" s="135"/>
      <c r="AC399" s="135"/>
      <c r="AD399" s="135"/>
      <c r="AE399" s="135"/>
      <c r="AF399" s="135"/>
      <c r="AG399" s="135"/>
      <c r="AH399" s="135"/>
      <c r="AI399" s="135"/>
      <c r="AJ399" s="135"/>
      <c r="AK399" s="135"/>
      <c r="AL399" s="135"/>
      <c r="AM399" s="136"/>
    </row>
    <row r="400" spans="1:39" s="20" customFormat="1" ht="15.75" customHeight="1" x14ac:dyDescent="0.3">
      <c r="A400" s="104" t="s">
        <v>378</v>
      </c>
      <c r="B400" s="92"/>
      <c r="C400" s="92"/>
      <c r="D400" s="92"/>
      <c r="E400" s="93">
        <f t="shared" si="158"/>
        <v>0</v>
      </c>
      <c r="F400" s="92"/>
      <c r="G400" s="92"/>
      <c r="H400" s="92"/>
      <c r="I400" s="93">
        <f t="shared" si="153"/>
        <v>0</v>
      </c>
      <c r="J400" s="92"/>
      <c r="K400" s="92"/>
      <c r="L400" s="92"/>
      <c r="M400" s="93">
        <f t="shared" si="154"/>
        <v>0</v>
      </c>
      <c r="N400" s="92"/>
      <c r="O400" s="92"/>
      <c r="P400" s="92"/>
      <c r="Q400" s="93">
        <f t="shared" ref="Q400" si="162">SUM(N400:P400)</f>
        <v>0</v>
      </c>
      <c r="R400" s="93">
        <f t="shared" si="151"/>
        <v>0</v>
      </c>
    </row>
    <row r="401" spans="1:20" ht="15.75" customHeight="1" x14ac:dyDescent="0.3">
      <c r="A401" s="76" t="s">
        <v>379</v>
      </c>
      <c r="B401" s="1"/>
      <c r="C401" s="1"/>
      <c r="D401" s="1"/>
      <c r="E401" s="59">
        <f t="shared" si="158"/>
        <v>0</v>
      </c>
      <c r="F401" s="1"/>
      <c r="G401" s="1"/>
      <c r="H401" s="1"/>
      <c r="I401" s="59">
        <f t="shared" si="153"/>
        <v>0</v>
      </c>
      <c r="J401" s="1"/>
      <c r="K401" s="1"/>
      <c r="L401" s="1"/>
      <c r="M401" s="59">
        <f t="shared" si="154"/>
        <v>0</v>
      </c>
      <c r="N401" s="1"/>
      <c r="O401" s="1"/>
      <c r="P401" s="1"/>
      <c r="Q401" s="59">
        <f t="shared" si="155"/>
        <v>0</v>
      </c>
      <c r="R401" s="59">
        <f t="shared" si="151"/>
        <v>0</v>
      </c>
      <c r="T401" s="4" t="s">
        <v>317</v>
      </c>
    </row>
    <row r="402" spans="1:20" ht="15.75" customHeight="1" x14ac:dyDescent="0.3">
      <c r="A402" s="76" t="s">
        <v>380</v>
      </c>
      <c r="B402" s="1"/>
      <c r="C402" s="1">
        <v>200</v>
      </c>
      <c r="D402" s="1">
        <v>250</v>
      </c>
      <c r="E402" s="59">
        <f t="shared" ref="E402" si="163">SUM(B402:D402)</f>
        <v>450</v>
      </c>
      <c r="F402" s="1">
        <v>250</v>
      </c>
      <c r="G402" s="1">
        <v>500</v>
      </c>
      <c r="H402" s="1">
        <v>500</v>
      </c>
      <c r="I402" s="59">
        <f t="shared" ref="I402" si="164">SUM(F402:H402)</f>
        <v>1250</v>
      </c>
      <c r="J402" s="1">
        <v>1500</v>
      </c>
      <c r="K402" s="1">
        <v>5500</v>
      </c>
      <c r="L402" s="1">
        <v>3500</v>
      </c>
      <c r="M402" s="59">
        <f t="shared" ref="M402" si="165">SUM(J402:L402)</f>
        <v>10500</v>
      </c>
      <c r="N402" s="1">
        <v>4000</v>
      </c>
      <c r="O402" s="1">
        <v>4000</v>
      </c>
      <c r="P402" s="1">
        <v>5037</v>
      </c>
      <c r="Q402" s="59">
        <f t="shared" si="155"/>
        <v>13037</v>
      </c>
      <c r="R402" s="59">
        <f t="shared" si="151"/>
        <v>25237</v>
      </c>
    </row>
    <row r="403" spans="1:20" ht="15.75" customHeight="1" thickBot="1" x14ac:dyDescent="0.35">
      <c r="A403" s="17" t="s">
        <v>56</v>
      </c>
      <c r="B403" s="1"/>
      <c r="C403" s="1"/>
      <c r="D403" s="1"/>
      <c r="E403" s="59" t="s">
        <v>7</v>
      </c>
      <c r="F403" s="1"/>
      <c r="G403" s="1"/>
      <c r="H403" s="1"/>
      <c r="I403" s="59" t="s">
        <v>7</v>
      </c>
      <c r="J403" s="1"/>
      <c r="K403" s="1"/>
      <c r="L403" s="1"/>
      <c r="M403" s="59" t="s">
        <v>7</v>
      </c>
      <c r="N403" s="1"/>
      <c r="O403" s="1"/>
      <c r="P403" s="1"/>
      <c r="Q403" s="59" t="s">
        <v>7</v>
      </c>
      <c r="R403" s="59" t="s">
        <v>7</v>
      </c>
    </row>
    <row r="404" spans="1:20" ht="16.5" customHeight="1" thickBot="1" x14ac:dyDescent="0.35">
      <c r="A404" s="62" t="s">
        <v>57</v>
      </c>
      <c r="B404" s="100">
        <f>SUM(B391:B403)</f>
        <v>1852</v>
      </c>
      <c r="C404" s="101">
        <f>SUM(C391:C403)</f>
        <v>4802</v>
      </c>
      <c r="D404" s="101">
        <f>SUM(D391:D403)</f>
        <v>12381</v>
      </c>
      <c r="E404" s="64">
        <f>SUM(B404:D404)</f>
        <v>19035</v>
      </c>
      <c r="F404" s="101">
        <f>SUM(F391:F403)</f>
        <v>25210</v>
      </c>
      <c r="G404" s="101">
        <f>SUM(G391:G403)</f>
        <v>25181</v>
      </c>
      <c r="H404" s="101">
        <f>SUM(H391:H403)</f>
        <v>30161</v>
      </c>
      <c r="I404" s="64">
        <f>SUM(F404:H404)</f>
        <v>80552</v>
      </c>
      <c r="J404" s="101">
        <f>SUM(J391:J403)</f>
        <v>13292</v>
      </c>
      <c r="K404" s="101">
        <f>SUM(K391:K403)</f>
        <v>12623</v>
      </c>
      <c r="L404" s="101">
        <f>SUM(L391:L403)</f>
        <v>6651</v>
      </c>
      <c r="M404" s="64">
        <f>SUM(J404:L404)</f>
        <v>32566</v>
      </c>
      <c r="N404" s="101">
        <f>SUM(N391:N403)</f>
        <v>5570</v>
      </c>
      <c r="O404" s="101">
        <f>SUM(O391:O403)</f>
        <v>4670</v>
      </c>
      <c r="P404" s="101">
        <f>SUM(P391:P403)</f>
        <v>5232</v>
      </c>
      <c r="Q404" s="64">
        <f>SUM(N404:P404)</f>
        <v>15472</v>
      </c>
      <c r="R404" s="64">
        <f>+E404+I404+M404+Q404</f>
        <v>147625</v>
      </c>
    </row>
    <row r="405" spans="1:20" ht="15.75" customHeight="1" x14ac:dyDescent="0.3">
      <c r="A405" s="17" t="s">
        <v>58</v>
      </c>
      <c r="B405" s="1"/>
      <c r="C405" s="1"/>
      <c r="D405" s="1"/>
      <c r="E405" s="59" t="s">
        <v>7</v>
      </c>
      <c r="F405" s="1"/>
      <c r="G405" s="1"/>
      <c r="H405" s="1"/>
      <c r="I405" s="59" t="s">
        <v>7</v>
      </c>
      <c r="J405" s="1"/>
      <c r="K405" s="1"/>
      <c r="L405" s="1"/>
      <c r="M405" s="59" t="s">
        <v>7</v>
      </c>
      <c r="N405" s="1"/>
      <c r="O405" s="1"/>
      <c r="P405" s="1"/>
      <c r="Q405" s="59" t="s">
        <v>7</v>
      </c>
      <c r="R405" s="59" t="s">
        <v>7</v>
      </c>
    </row>
    <row r="406" spans="1:20" ht="15.75" customHeight="1" x14ac:dyDescent="0.3">
      <c r="A406" s="17" t="s">
        <v>59</v>
      </c>
      <c r="B406" s="1"/>
      <c r="C406" s="1"/>
      <c r="D406" s="1"/>
      <c r="E406" s="59" t="s">
        <v>7</v>
      </c>
      <c r="F406" s="1"/>
      <c r="G406" s="1"/>
      <c r="H406" s="1"/>
      <c r="I406" s="59" t="s">
        <v>7</v>
      </c>
      <c r="J406" s="1"/>
      <c r="K406" s="1"/>
      <c r="L406" s="1"/>
      <c r="M406" s="59" t="s">
        <v>7</v>
      </c>
      <c r="N406" s="1"/>
      <c r="O406" s="1"/>
      <c r="P406" s="1"/>
      <c r="Q406" s="59" t="s">
        <v>7</v>
      </c>
      <c r="R406" s="59" t="s">
        <v>7</v>
      </c>
    </row>
    <row r="407" spans="1:20" ht="15.75" customHeight="1" x14ac:dyDescent="0.3">
      <c r="A407" s="76" t="s">
        <v>381</v>
      </c>
      <c r="B407" s="1">
        <v>2677</v>
      </c>
      <c r="C407" s="1">
        <v>2783</v>
      </c>
      <c r="D407" s="1">
        <v>7473</v>
      </c>
      <c r="E407" s="59">
        <f>SUM(B407:D407)</f>
        <v>12933</v>
      </c>
      <c r="F407" s="1">
        <v>8544</v>
      </c>
      <c r="G407" s="1">
        <v>9105</v>
      </c>
      <c r="H407" s="1">
        <v>11808</v>
      </c>
      <c r="I407" s="59">
        <f>SUM(F407:H407)</f>
        <v>29457</v>
      </c>
      <c r="J407" s="1">
        <v>11225</v>
      </c>
      <c r="K407" s="1">
        <v>10685</v>
      </c>
      <c r="L407" s="1">
        <v>6413</v>
      </c>
      <c r="M407" s="59">
        <f>SUM(J407:L407)</f>
        <v>28323</v>
      </c>
      <c r="N407" s="1">
        <v>3228</v>
      </c>
      <c r="O407" s="1">
        <v>2682</v>
      </c>
      <c r="P407" s="1">
        <v>1680</v>
      </c>
      <c r="Q407" s="59">
        <f>SUM(N407:P407)</f>
        <v>7590</v>
      </c>
      <c r="R407" s="59">
        <f>+E407+I407+M407+Q407</f>
        <v>78303</v>
      </c>
      <c r="T407" s="4" t="s">
        <v>305</v>
      </c>
    </row>
    <row r="408" spans="1:20" ht="15.75" customHeight="1" x14ac:dyDescent="0.3">
      <c r="A408" s="76" t="s">
        <v>382</v>
      </c>
      <c r="B408" s="1"/>
      <c r="C408" s="1">
        <v>1000</v>
      </c>
      <c r="D408" s="1">
        <f>1250+1000</f>
        <v>2250</v>
      </c>
      <c r="E408" s="59">
        <f>SUM(B408:D408)</f>
        <v>3250</v>
      </c>
      <c r="F408" s="1">
        <f>1254+1000</f>
        <v>2254</v>
      </c>
      <c r="G408" s="1">
        <f>3500+1000</f>
        <v>4500</v>
      </c>
      <c r="H408" s="1">
        <f>4000+1000</f>
        <v>5000</v>
      </c>
      <c r="I408" s="59">
        <f>SUM(F408:H408)</f>
        <v>11754</v>
      </c>
      <c r="J408" s="1">
        <f>4000+1000</f>
        <v>5000</v>
      </c>
      <c r="K408" s="1">
        <f>4000+1000</f>
        <v>5000</v>
      </c>
      <c r="L408" s="1">
        <f>4500+1000</f>
        <v>5500</v>
      </c>
      <c r="M408" s="59">
        <f>SUM(J408:L408)</f>
        <v>15500</v>
      </c>
      <c r="N408" s="1">
        <f>6000+1000</f>
        <v>7000</v>
      </c>
      <c r="O408" s="1">
        <f>6000</f>
        <v>6000</v>
      </c>
      <c r="P408" s="1">
        <f>726+1000</f>
        <v>1726</v>
      </c>
      <c r="Q408" s="59">
        <f>SUM(N408:P408)</f>
        <v>14726</v>
      </c>
      <c r="R408" s="59">
        <f>+E408+I408+M408+Q408</f>
        <v>45230</v>
      </c>
    </row>
    <row r="409" spans="1:20" ht="15.75" customHeight="1" x14ac:dyDescent="0.3">
      <c r="A409" s="76" t="s">
        <v>383</v>
      </c>
      <c r="B409" s="1"/>
      <c r="C409" s="1"/>
      <c r="D409" s="1"/>
      <c r="E409" s="59">
        <f>SUM(B409:D409)</f>
        <v>0</v>
      </c>
      <c r="F409" s="1">
        <v>200</v>
      </c>
      <c r="G409" s="1"/>
      <c r="H409" s="1">
        <v>350</v>
      </c>
      <c r="I409" s="59">
        <f>SUM(F409:H409)</f>
        <v>550</v>
      </c>
      <c r="J409" s="1">
        <v>850</v>
      </c>
      <c r="K409" s="1">
        <v>415</v>
      </c>
      <c r="L409" s="1"/>
      <c r="M409" s="59">
        <f>SUM(J409:L409)</f>
        <v>1265</v>
      </c>
      <c r="N409" s="1"/>
      <c r="O409" s="1"/>
      <c r="P409" s="1"/>
      <c r="Q409" s="59">
        <f>SUM(N409:P409)</f>
        <v>0</v>
      </c>
      <c r="R409" s="59">
        <f>+E409+I409+M409+Q409</f>
        <v>1815</v>
      </c>
    </row>
    <row r="410" spans="1:20" ht="15.75" customHeight="1" x14ac:dyDescent="0.3">
      <c r="A410" s="76" t="s">
        <v>384</v>
      </c>
      <c r="B410" s="1">
        <v>1650</v>
      </c>
      <c r="C410" s="1">
        <v>1650</v>
      </c>
      <c r="D410" s="1">
        <v>1650</v>
      </c>
      <c r="E410" s="59">
        <f>SUM(B410:D410)</f>
        <v>4950</v>
      </c>
      <c r="F410" s="1">
        <v>1650</v>
      </c>
      <c r="G410" s="1">
        <v>1650</v>
      </c>
      <c r="H410" s="1">
        <v>1650</v>
      </c>
      <c r="I410" s="59">
        <f>SUM(F410:H410)</f>
        <v>4950</v>
      </c>
      <c r="J410" s="1">
        <v>1650</v>
      </c>
      <c r="K410" s="1">
        <v>1650</v>
      </c>
      <c r="L410" s="1">
        <v>1650</v>
      </c>
      <c r="M410" s="59">
        <f>SUM(J410:L410)</f>
        <v>4950</v>
      </c>
      <c r="N410" s="1">
        <v>1650</v>
      </c>
      <c r="O410" s="1">
        <v>1685</v>
      </c>
      <c r="P410" s="1"/>
      <c r="Q410" s="59">
        <f>SUM(N410:P410)</f>
        <v>3335</v>
      </c>
      <c r="R410" s="59">
        <f>+E410+I410+M410+Q410</f>
        <v>18185</v>
      </c>
      <c r="T410" s="4" t="s">
        <v>336</v>
      </c>
    </row>
    <row r="411" spans="1:20" ht="15.75" customHeight="1" x14ac:dyDescent="0.3">
      <c r="A411" s="17" t="s">
        <v>60</v>
      </c>
      <c r="B411" s="1"/>
      <c r="C411" s="1"/>
      <c r="D411" s="1"/>
      <c r="E411" s="59" t="s">
        <v>7</v>
      </c>
      <c r="F411" s="1"/>
      <c r="G411" s="1"/>
      <c r="H411" s="1"/>
      <c r="I411" s="59" t="s">
        <v>7</v>
      </c>
      <c r="J411" s="1"/>
      <c r="K411" s="1"/>
      <c r="L411" s="1"/>
      <c r="M411" s="59" t="s">
        <v>7</v>
      </c>
      <c r="N411" s="1"/>
      <c r="O411" s="1"/>
      <c r="P411" s="1"/>
      <c r="Q411" s="59" t="s">
        <v>7</v>
      </c>
      <c r="R411" s="59" t="s">
        <v>7</v>
      </c>
    </row>
    <row r="412" spans="1:20" ht="15.75" customHeight="1" x14ac:dyDescent="0.3">
      <c r="A412" s="76" t="s">
        <v>385</v>
      </c>
      <c r="B412" s="1"/>
      <c r="C412" s="1"/>
      <c r="D412" s="1"/>
      <c r="E412" s="59">
        <f>SUM(B412:D412)</f>
        <v>0</v>
      </c>
      <c r="F412" s="1"/>
      <c r="G412" s="1"/>
      <c r="H412" s="1">
        <v>3500</v>
      </c>
      <c r="I412" s="59">
        <f t="shared" ref="I412:I413" si="166">SUM(F412:H412)</f>
        <v>3500</v>
      </c>
      <c r="J412" s="1"/>
      <c r="K412" s="1"/>
      <c r="L412" s="1"/>
      <c r="M412" s="59">
        <f>SUM(J412:L412)</f>
        <v>0</v>
      </c>
      <c r="N412" s="1"/>
      <c r="O412" s="1"/>
      <c r="P412" s="1"/>
      <c r="Q412" s="59">
        <f>SUM(N412:P412)</f>
        <v>0</v>
      </c>
      <c r="R412" s="59">
        <f t="shared" ref="R412:R472" si="167">+E412+I412+M412+Q412</f>
        <v>3500</v>
      </c>
    </row>
    <row r="413" spans="1:20" ht="15.75" customHeight="1" x14ac:dyDescent="0.3">
      <c r="A413" s="76" t="s">
        <v>386</v>
      </c>
      <c r="B413" s="1"/>
      <c r="C413" s="1"/>
      <c r="D413" s="1"/>
      <c r="E413" s="59">
        <f>SUM(B413:D413)</f>
        <v>0</v>
      </c>
      <c r="F413" s="1"/>
      <c r="G413" s="1">
        <v>1114</v>
      </c>
      <c r="H413" s="1"/>
      <c r="I413" s="59">
        <f t="shared" si="166"/>
        <v>1114</v>
      </c>
      <c r="J413" s="1"/>
      <c r="K413" s="1"/>
      <c r="L413" s="1"/>
      <c r="M413" s="59">
        <f>SUM(J413:L413)</f>
        <v>0</v>
      </c>
      <c r="N413" s="1"/>
      <c r="O413" s="1"/>
      <c r="P413" s="1"/>
      <c r="Q413" s="59">
        <f>SUM(N413:P413)</f>
        <v>0</v>
      </c>
      <c r="R413" s="59">
        <f t="shared" si="167"/>
        <v>1114</v>
      </c>
    </row>
    <row r="414" spans="1:20" ht="15.75" customHeight="1" x14ac:dyDescent="0.3">
      <c r="A414" s="76" t="s">
        <v>387</v>
      </c>
      <c r="B414" s="1"/>
      <c r="C414" s="1"/>
      <c r="D414" s="1"/>
      <c r="E414" s="59">
        <f>SUM(B414:D414)</f>
        <v>0</v>
      </c>
      <c r="F414" s="1"/>
      <c r="G414" s="1">
        <v>3000</v>
      </c>
      <c r="H414" s="1">
        <v>933</v>
      </c>
      <c r="I414" s="59">
        <f>SUM(F414:H414)</f>
        <v>3933</v>
      </c>
      <c r="J414" s="1"/>
      <c r="K414" s="1"/>
      <c r="L414" s="1"/>
      <c r="M414" s="59">
        <f>SUM(J414:L414)</f>
        <v>0</v>
      </c>
      <c r="N414" s="1"/>
      <c r="O414" s="1"/>
      <c r="P414" s="1"/>
      <c r="Q414" s="59">
        <f>SUM(N414:P414)</f>
        <v>0</v>
      </c>
      <c r="R414" s="59">
        <f t="shared" si="167"/>
        <v>3933</v>
      </c>
    </row>
    <row r="415" spans="1:20" ht="15.75" customHeight="1" x14ac:dyDescent="0.3">
      <c r="A415" s="76" t="s">
        <v>388</v>
      </c>
      <c r="B415" s="1"/>
      <c r="C415" s="1"/>
      <c r="D415" s="1"/>
      <c r="E415" s="59">
        <f t="shared" ref="E415:E472" si="168">SUM(B415:D415)</f>
        <v>0</v>
      </c>
      <c r="F415" s="1"/>
      <c r="G415" s="1"/>
      <c r="H415" s="1"/>
      <c r="I415" s="59">
        <f t="shared" ref="I415:I472" si="169">SUM(F415:H415)</f>
        <v>0</v>
      </c>
      <c r="J415" s="1"/>
      <c r="K415" s="1"/>
      <c r="L415" s="1"/>
      <c r="M415" s="59">
        <f t="shared" ref="M415:M472" si="170">SUM(J415:L415)</f>
        <v>0</v>
      </c>
      <c r="N415" s="1"/>
      <c r="O415" s="1"/>
      <c r="P415" s="1"/>
      <c r="Q415" s="59">
        <f t="shared" ref="Q415:Q473" si="171">SUM(N415:P415)</f>
        <v>0</v>
      </c>
      <c r="R415" s="59">
        <f t="shared" si="167"/>
        <v>0</v>
      </c>
    </row>
    <row r="416" spans="1:20" ht="15.75" customHeight="1" x14ac:dyDescent="0.3">
      <c r="A416" s="76" t="s">
        <v>389</v>
      </c>
      <c r="B416" s="1"/>
      <c r="C416" s="1">
        <v>172</v>
      </c>
      <c r="D416" s="1"/>
      <c r="E416" s="59">
        <f t="shared" si="168"/>
        <v>172</v>
      </c>
      <c r="F416" s="1"/>
      <c r="G416" s="1"/>
      <c r="H416" s="1"/>
      <c r="I416" s="59">
        <f t="shared" si="169"/>
        <v>0</v>
      </c>
      <c r="J416" s="1"/>
      <c r="K416" s="1"/>
      <c r="L416" s="1"/>
      <c r="M416" s="59">
        <f t="shared" si="170"/>
        <v>0</v>
      </c>
      <c r="N416" s="1"/>
      <c r="O416" s="1"/>
      <c r="P416" s="1"/>
      <c r="Q416" s="59">
        <f t="shared" si="171"/>
        <v>0</v>
      </c>
      <c r="R416" s="59">
        <f t="shared" si="167"/>
        <v>172</v>
      </c>
      <c r="T416" s="4" t="s">
        <v>315</v>
      </c>
    </row>
    <row r="417" spans="1:20" ht="15.75" customHeight="1" x14ac:dyDescent="0.3">
      <c r="A417" s="76" t="s">
        <v>390</v>
      </c>
      <c r="B417" s="1"/>
      <c r="C417" s="1"/>
      <c r="D417" s="1"/>
      <c r="E417" s="59">
        <f t="shared" si="168"/>
        <v>0</v>
      </c>
      <c r="F417" s="1"/>
      <c r="G417" s="1"/>
      <c r="H417" s="1"/>
      <c r="I417" s="59">
        <f t="shared" si="169"/>
        <v>0</v>
      </c>
      <c r="J417" s="1"/>
      <c r="K417" s="1">
        <v>180</v>
      </c>
      <c r="L417" s="1">
        <v>1427</v>
      </c>
      <c r="M417" s="59">
        <f t="shared" si="170"/>
        <v>1607</v>
      </c>
      <c r="N417" s="1">
        <v>843</v>
      </c>
      <c r="O417" s="1"/>
      <c r="P417" s="1"/>
      <c r="Q417" s="59">
        <f t="shared" si="171"/>
        <v>843</v>
      </c>
      <c r="R417" s="59">
        <f t="shared" si="167"/>
        <v>2450</v>
      </c>
    </row>
    <row r="418" spans="1:20" ht="15.75" customHeight="1" x14ac:dyDescent="0.3">
      <c r="A418" s="76" t="s">
        <v>391</v>
      </c>
      <c r="B418" s="1">
        <v>1142</v>
      </c>
      <c r="C418" s="1">
        <v>395</v>
      </c>
      <c r="D418" s="1"/>
      <c r="E418" s="59">
        <f t="shared" si="168"/>
        <v>1537</v>
      </c>
      <c r="F418" s="1"/>
      <c r="G418" s="1"/>
      <c r="H418" s="1"/>
      <c r="I418" s="59">
        <f t="shared" si="169"/>
        <v>0</v>
      </c>
      <c r="J418" s="1"/>
      <c r="K418" s="1"/>
      <c r="L418" s="1"/>
      <c r="M418" s="59">
        <f t="shared" si="170"/>
        <v>0</v>
      </c>
      <c r="N418" s="1"/>
      <c r="O418" s="1"/>
      <c r="P418" s="1"/>
      <c r="Q418" s="59">
        <f t="shared" si="171"/>
        <v>0</v>
      </c>
      <c r="R418" s="59">
        <f t="shared" si="167"/>
        <v>1537</v>
      </c>
      <c r="T418" s="4" t="s">
        <v>217</v>
      </c>
    </row>
    <row r="419" spans="1:20" ht="15.75" customHeight="1" x14ac:dyDescent="0.3">
      <c r="A419" s="76" t="s">
        <v>392</v>
      </c>
      <c r="B419" s="1"/>
      <c r="C419" s="1"/>
      <c r="D419" s="1"/>
      <c r="E419" s="59">
        <f t="shared" si="168"/>
        <v>0</v>
      </c>
      <c r="F419" s="1"/>
      <c r="G419" s="1"/>
      <c r="H419" s="1"/>
      <c r="I419" s="59">
        <f t="shared" si="169"/>
        <v>0</v>
      </c>
      <c r="J419" s="1"/>
      <c r="K419" s="1"/>
      <c r="L419" s="1"/>
      <c r="M419" s="59">
        <f t="shared" si="170"/>
        <v>0</v>
      </c>
      <c r="N419" s="1"/>
      <c r="O419" s="1"/>
      <c r="P419" s="1"/>
      <c r="Q419" s="59">
        <f t="shared" si="171"/>
        <v>0</v>
      </c>
      <c r="R419" s="59">
        <f t="shared" si="167"/>
        <v>0</v>
      </c>
      <c r="T419" s="4" t="s">
        <v>315</v>
      </c>
    </row>
    <row r="420" spans="1:20" ht="15.75" customHeight="1" x14ac:dyDescent="0.3">
      <c r="A420" s="76" t="s">
        <v>393</v>
      </c>
      <c r="B420" s="1"/>
      <c r="C420" s="1">
        <v>627</v>
      </c>
      <c r="D420" s="1"/>
      <c r="E420" s="59">
        <f t="shared" si="168"/>
        <v>627</v>
      </c>
      <c r="F420" s="1"/>
      <c r="G420" s="1"/>
      <c r="H420" s="1"/>
      <c r="I420" s="59">
        <f t="shared" si="169"/>
        <v>0</v>
      </c>
      <c r="J420" s="1"/>
      <c r="K420" s="1"/>
      <c r="L420" s="1"/>
      <c r="M420" s="59">
        <f t="shared" si="170"/>
        <v>0</v>
      </c>
      <c r="N420" s="1"/>
      <c r="O420" s="1"/>
      <c r="P420" s="1"/>
      <c r="Q420" s="59">
        <f t="shared" si="171"/>
        <v>0</v>
      </c>
      <c r="R420" s="59">
        <f t="shared" si="167"/>
        <v>627</v>
      </c>
    </row>
    <row r="421" spans="1:20" ht="15.75" customHeight="1" x14ac:dyDescent="0.3">
      <c r="A421" s="76" t="s">
        <v>394</v>
      </c>
      <c r="B421" s="1"/>
      <c r="C421" s="1"/>
      <c r="D421" s="1"/>
      <c r="E421" s="59">
        <f t="shared" si="168"/>
        <v>0</v>
      </c>
      <c r="F421" s="1"/>
      <c r="G421" s="1"/>
      <c r="H421" s="1"/>
      <c r="I421" s="59">
        <f t="shared" si="169"/>
        <v>0</v>
      </c>
      <c r="J421" s="1"/>
      <c r="K421" s="1"/>
      <c r="L421" s="1"/>
      <c r="M421" s="59">
        <f t="shared" si="170"/>
        <v>0</v>
      </c>
      <c r="N421" s="1"/>
      <c r="O421" s="1"/>
      <c r="P421" s="1"/>
      <c r="Q421" s="59">
        <f t="shared" si="171"/>
        <v>0</v>
      </c>
      <c r="R421" s="59">
        <f t="shared" si="167"/>
        <v>0</v>
      </c>
    </row>
    <row r="422" spans="1:20" ht="15.75" customHeight="1" x14ac:dyDescent="0.3">
      <c r="A422" s="76" t="s">
        <v>395</v>
      </c>
      <c r="B422" s="1"/>
      <c r="C422" s="1"/>
      <c r="D422" s="1"/>
      <c r="E422" s="59">
        <f t="shared" si="168"/>
        <v>0</v>
      </c>
      <c r="F422" s="1"/>
      <c r="G422" s="1"/>
      <c r="H422" s="1"/>
      <c r="I422" s="59">
        <f t="shared" si="169"/>
        <v>0</v>
      </c>
      <c r="J422" s="1"/>
      <c r="K422" s="1"/>
      <c r="L422" s="1"/>
      <c r="M422" s="59">
        <f t="shared" si="170"/>
        <v>0</v>
      </c>
      <c r="N422" s="1"/>
      <c r="O422" s="1"/>
      <c r="P422" s="1"/>
      <c r="Q422" s="59">
        <f t="shared" si="171"/>
        <v>0</v>
      </c>
      <c r="R422" s="59">
        <f>+E422+I422+M422+Q422</f>
        <v>0</v>
      </c>
      <c r="T422" s="4" t="s">
        <v>317</v>
      </c>
    </row>
    <row r="423" spans="1:20" ht="15.75" customHeight="1" x14ac:dyDescent="0.3">
      <c r="A423" s="76" t="s">
        <v>396</v>
      </c>
      <c r="B423" s="1"/>
      <c r="C423" s="1"/>
      <c r="D423" s="1"/>
      <c r="E423" s="59">
        <f t="shared" si="168"/>
        <v>0</v>
      </c>
      <c r="F423" s="1"/>
      <c r="G423" s="1"/>
      <c r="H423" s="1"/>
      <c r="I423" s="59">
        <f t="shared" si="169"/>
        <v>0</v>
      </c>
      <c r="J423" s="1"/>
      <c r="K423" s="1"/>
      <c r="L423" s="1"/>
      <c r="M423" s="59">
        <f t="shared" si="170"/>
        <v>0</v>
      </c>
      <c r="N423" s="1"/>
      <c r="O423" s="1"/>
      <c r="P423" s="1"/>
      <c r="Q423" s="59">
        <f t="shared" si="171"/>
        <v>0</v>
      </c>
      <c r="R423" s="59">
        <f t="shared" si="167"/>
        <v>0</v>
      </c>
      <c r="T423" s="4" t="s">
        <v>305</v>
      </c>
    </row>
    <row r="424" spans="1:20" ht="15.75" customHeight="1" x14ac:dyDescent="0.3">
      <c r="A424" s="76" t="s">
        <v>397</v>
      </c>
      <c r="B424" s="1">
        <v>1000</v>
      </c>
      <c r="C424" s="1">
        <v>1000</v>
      </c>
      <c r="D424" s="1">
        <v>1000</v>
      </c>
      <c r="E424" s="59">
        <f t="shared" si="168"/>
        <v>3000</v>
      </c>
      <c r="F424" s="1">
        <v>1000</v>
      </c>
      <c r="G424" s="1">
        <v>1000</v>
      </c>
      <c r="H424" s="1">
        <v>1000</v>
      </c>
      <c r="I424" s="59">
        <f t="shared" si="169"/>
        <v>3000</v>
      </c>
      <c r="J424" s="1">
        <v>1000</v>
      </c>
      <c r="K424" s="1">
        <v>1000</v>
      </c>
      <c r="L424" s="1"/>
      <c r="M424" s="59">
        <f t="shared" si="170"/>
        <v>2000</v>
      </c>
      <c r="N424" s="1"/>
      <c r="O424" s="1"/>
      <c r="P424" s="1"/>
      <c r="Q424" s="59">
        <f t="shared" si="171"/>
        <v>0</v>
      </c>
      <c r="R424" s="59">
        <f t="shared" si="167"/>
        <v>8000</v>
      </c>
    </row>
    <row r="425" spans="1:20" ht="15.75" customHeight="1" x14ac:dyDescent="0.3">
      <c r="A425" s="76" t="s">
        <v>398</v>
      </c>
      <c r="B425" s="1"/>
      <c r="C425" s="1">
        <v>200</v>
      </c>
      <c r="D425" s="1">
        <v>500</v>
      </c>
      <c r="E425" s="59">
        <f t="shared" si="168"/>
        <v>700</v>
      </c>
      <c r="F425" s="1">
        <v>900</v>
      </c>
      <c r="G425" s="1">
        <v>1400</v>
      </c>
      <c r="H425" s="1">
        <v>1800</v>
      </c>
      <c r="I425" s="59">
        <f t="shared" si="169"/>
        <v>4100</v>
      </c>
      <c r="J425" s="1">
        <v>1000</v>
      </c>
      <c r="K425" s="1">
        <v>200</v>
      </c>
      <c r="L425" s="1"/>
      <c r="M425" s="59">
        <f t="shared" si="170"/>
        <v>1200</v>
      </c>
      <c r="N425" s="1"/>
      <c r="O425" s="1"/>
      <c r="P425" s="1"/>
      <c r="Q425" s="59">
        <f t="shared" si="171"/>
        <v>0</v>
      </c>
      <c r="R425" s="59">
        <f t="shared" si="167"/>
        <v>6000</v>
      </c>
      <c r="T425" s="4" t="s">
        <v>305</v>
      </c>
    </row>
    <row r="426" spans="1:20" ht="15.75" customHeight="1" x14ac:dyDescent="0.3">
      <c r="A426" s="76" t="s">
        <v>399</v>
      </c>
      <c r="B426" s="1"/>
      <c r="C426" s="1"/>
      <c r="D426" s="1"/>
      <c r="E426" s="59">
        <f t="shared" si="168"/>
        <v>0</v>
      </c>
      <c r="F426" s="1"/>
      <c r="G426" s="1"/>
      <c r="H426" s="1">
        <v>9000</v>
      </c>
      <c r="I426" s="59">
        <f t="shared" si="169"/>
        <v>9000</v>
      </c>
      <c r="J426" s="1"/>
      <c r="K426" s="1"/>
      <c r="L426" s="1"/>
      <c r="M426" s="59">
        <f t="shared" si="170"/>
        <v>0</v>
      </c>
      <c r="N426" s="1"/>
      <c r="O426" s="1"/>
      <c r="P426" s="1"/>
      <c r="Q426" s="59">
        <f t="shared" si="171"/>
        <v>0</v>
      </c>
      <c r="R426" s="59">
        <f t="shared" si="167"/>
        <v>9000</v>
      </c>
    </row>
    <row r="427" spans="1:20" ht="15.75" customHeight="1" x14ac:dyDescent="0.3">
      <c r="A427" s="76" t="s">
        <v>400</v>
      </c>
      <c r="B427" s="1"/>
      <c r="C427" s="1"/>
      <c r="D427" s="1"/>
      <c r="E427" s="59">
        <f t="shared" si="168"/>
        <v>0</v>
      </c>
      <c r="F427" s="1">
        <v>2000</v>
      </c>
      <c r="G427" s="1">
        <v>1500</v>
      </c>
      <c r="H427" s="1">
        <v>1500</v>
      </c>
      <c r="I427" s="59">
        <f t="shared" si="169"/>
        <v>5000</v>
      </c>
      <c r="J427" s="1"/>
      <c r="K427" s="1"/>
      <c r="L427" s="1"/>
      <c r="M427" s="59">
        <f t="shared" si="170"/>
        <v>0</v>
      </c>
      <c r="N427" s="1"/>
      <c r="O427" s="1"/>
      <c r="P427" s="1"/>
      <c r="Q427" s="59">
        <f t="shared" ref="Q427" si="172">SUM(N427:P427)</f>
        <v>0</v>
      </c>
      <c r="R427" s="59">
        <f t="shared" si="167"/>
        <v>5000</v>
      </c>
    </row>
    <row r="428" spans="1:20" ht="15.75" customHeight="1" x14ac:dyDescent="0.3">
      <c r="A428" s="76" t="s">
        <v>401</v>
      </c>
      <c r="B428" s="1"/>
      <c r="C428" s="1"/>
      <c r="D428" s="1"/>
      <c r="E428" s="59">
        <f t="shared" si="168"/>
        <v>0</v>
      </c>
      <c r="F428" s="1"/>
      <c r="G428" s="1"/>
      <c r="H428" s="1">
        <f>445+1361</f>
        <v>1806</v>
      </c>
      <c r="I428" s="59">
        <f t="shared" si="169"/>
        <v>1806</v>
      </c>
      <c r="J428" s="1">
        <v>1000</v>
      </c>
      <c r="K428" s="1"/>
      <c r="L428" s="1"/>
      <c r="M428" s="59">
        <f t="shared" si="170"/>
        <v>1000</v>
      </c>
      <c r="N428" s="1"/>
      <c r="O428" s="1"/>
      <c r="P428" s="1"/>
      <c r="Q428" s="59">
        <f t="shared" ref="Q428" si="173">SUM(N428:P428)</f>
        <v>0</v>
      </c>
      <c r="R428" s="59">
        <f t="shared" si="167"/>
        <v>2806</v>
      </c>
    </row>
    <row r="429" spans="1:20" ht="15.75" customHeight="1" x14ac:dyDescent="0.3">
      <c r="A429" s="76" t="s">
        <v>402</v>
      </c>
      <c r="B429" s="1"/>
      <c r="C429" s="1"/>
      <c r="D429" s="1">
        <v>1994</v>
      </c>
      <c r="E429" s="59">
        <f t="shared" si="168"/>
        <v>1994</v>
      </c>
      <c r="F429" s="1"/>
      <c r="G429" s="1"/>
      <c r="H429" s="1"/>
      <c r="I429" s="59">
        <f t="shared" si="169"/>
        <v>0</v>
      </c>
      <c r="J429" s="1"/>
      <c r="K429" s="1"/>
      <c r="L429" s="1">
        <f>444+556</f>
        <v>1000</v>
      </c>
      <c r="M429" s="59">
        <f t="shared" si="170"/>
        <v>1000</v>
      </c>
      <c r="N429" s="1">
        <v>1000</v>
      </c>
      <c r="O429" s="1"/>
      <c r="P429" s="1"/>
      <c r="Q429" s="59">
        <f t="shared" ref="Q429:Q431" si="174">SUM(N429:P429)</f>
        <v>1000</v>
      </c>
      <c r="R429" s="59">
        <f t="shared" si="167"/>
        <v>3994</v>
      </c>
    </row>
    <row r="430" spans="1:20" ht="15.75" customHeight="1" x14ac:dyDescent="0.3">
      <c r="A430" s="76" t="s">
        <v>404</v>
      </c>
      <c r="B430" s="1">
        <v>2500</v>
      </c>
      <c r="C430" s="1">
        <v>4000</v>
      </c>
      <c r="D430" s="1">
        <v>5500</v>
      </c>
      <c r="E430" s="59">
        <f t="shared" si="168"/>
        <v>12000</v>
      </c>
      <c r="F430" s="1">
        <v>5000</v>
      </c>
      <c r="G430" s="1">
        <v>1000</v>
      </c>
      <c r="H430" s="1"/>
      <c r="I430" s="59">
        <f t="shared" si="169"/>
        <v>6000</v>
      </c>
      <c r="J430" s="1"/>
      <c r="K430" s="1"/>
      <c r="L430" s="1"/>
      <c r="M430" s="59">
        <f t="shared" si="170"/>
        <v>0</v>
      </c>
      <c r="N430" s="1"/>
      <c r="O430" s="1"/>
      <c r="P430" s="1"/>
      <c r="Q430" s="59">
        <f t="shared" si="174"/>
        <v>0</v>
      </c>
      <c r="R430" s="59">
        <f t="shared" si="167"/>
        <v>18000</v>
      </c>
    </row>
    <row r="431" spans="1:20" ht="15.75" customHeight="1" x14ac:dyDescent="0.3">
      <c r="A431" s="76" t="s">
        <v>405</v>
      </c>
      <c r="B431" s="1"/>
      <c r="C431" s="1"/>
      <c r="D431" s="1"/>
      <c r="E431" s="59">
        <f t="shared" si="168"/>
        <v>0</v>
      </c>
      <c r="F431" s="1"/>
      <c r="G431" s="1"/>
      <c r="H431" s="1">
        <v>52</v>
      </c>
      <c r="I431" s="59">
        <f t="shared" si="169"/>
        <v>52</v>
      </c>
      <c r="J431" s="1"/>
      <c r="K431" s="1"/>
      <c r="L431" s="1"/>
      <c r="M431" s="59">
        <f t="shared" si="170"/>
        <v>0</v>
      </c>
      <c r="N431" s="1"/>
      <c r="O431" s="1"/>
      <c r="P431" s="1"/>
      <c r="Q431" s="59">
        <f t="shared" si="174"/>
        <v>0</v>
      </c>
      <c r="R431" s="59">
        <f t="shared" si="167"/>
        <v>52</v>
      </c>
    </row>
    <row r="432" spans="1:20" ht="15.75" customHeight="1" x14ac:dyDescent="0.3">
      <c r="A432" s="76" t="s">
        <v>406</v>
      </c>
      <c r="B432" s="1">
        <f>1+2+125</f>
        <v>128</v>
      </c>
      <c r="C432" s="1">
        <f>1+2+115</f>
        <v>118</v>
      </c>
      <c r="D432" s="1">
        <f>1+2+125</f>
        <v>128</v>
      </c>
      <c r="E432" s="59">
        <f t="shared" si="168"/>
        <v>374</v>
      </c>
      <c r="F432" s="1">
        <f>1+2+120</f>
        <v>123</v>
      </c>
      <c r="G432" s="1">
        <f>1+2+125</f>
        <v>128</v>
      </c>
      <c r="H432" s="1">
        <f>1+2+120</f>
        <v>123</v>
      </c>
      <c r="I432" s="59">
        <f t="shared" si="169"/>
        <v>374</v>
      </c>
      <c r="J432" s="1"/>
      <c r="K432" s="1"/>
      <c r="L432" s="1"/>
      <c r="M432" s="59">
        <f t="shared" si="170"/>
        <v>0</v>
      </c>
      <c r="N432" s="1"/>
      <c r="O432" s="1"/>
      <c r="P432" s="1"/>
      <c r="Q432" s="59">
        <f t="shared" si="171"/>
        <v>0</v>
      </c>
      <c r="R432" s="59">
        <f t="shared" si="167"/>
        <v>748</v>
      </c>
    </row>
    <row r="433" spans="1:20" ht="15.75" customHeight="1" x14ac:dyDescent="0.3">
      <c r="A433" s="76" t="s">
        <v>407</v>
      </c>
      <c r="B433" s="1">
        <v>3250</v>
      </c>
      <c r="C433" s="1">
        <v>2650</v>
      </c>
      <c r="D433" s="1">
        <v>3250</v>
      </c>
      <c r="E433" s="59">
        <f t="shared" si="168"/>
        <v>9150</v>
      </c>
      <c r="F433" s="1">
        <v>150</v>
      </c>
      <c r="G433" s="1">
        <v>3000</v>
      </c>
      <c r="H433" s="1"/>
      <c r="I433" s="59">
        <f t="shared" si="169"/>
        <v>3150</v>
      </c>
      <c r="J433" s="1"/>
      <c r="K433" s="1"/>
      <c r="L433" s="1">
        <v>1500</v>
      </c>
      <c r="M433" s="59">
        <f t="shared" si="170"/>
        <v>1500</v>
      </c>
      <c r="N433" s="1">
        <v>1200</v>
      </c>
      <c r="O433" s="1"/>
      <c r="P433" s="1"/>
      <c r="Q433" s="59">
        <f t="shared" si="171"/>
        <v>1200</v>
      </c>
      <c r="R433" s="59">
        <f t="shared" si="167"/>
        <v>15000</v>
      </c>
      <c r="T433" s="4" t="s">
        <v>315</v>
      </c>
    </row>
    <row r="434" spans="1:20" ht="15.75" customHeight="1" x14ac:dyDescent="0.3">
      <c r="A434" s="76" t="s">
        <v>408</v>
      </c>
      <c r="B434" s="1">
        <v>24</v>
      </c>
      <c r="C434" s="1">
        <v>26</v>
      </c>
      <c r="D434" s="1">
        <v>24</v>
      </c>
      <c r="E434" s="59">
        <f t="shared" si="168"/>
        <v>74</v>
      </c>
      <c r="F434" s="1">
        <v>29</v>
      </c>
      <c r="G434" s="1">
        <v>24</v>
      </c>
      <c r="H434" s="1">
        <v>31</v>
      </c>
      <c r="I434" s="59">
        <f t="shared" si="169"/>
        <v>84</v>
      </c>
      <c r="J434" s="1">
        <v>52</v>
      </c>
      <c r="K434" s="1">
        <v>47</v>
      </c>
      <c r="L434" s="1">
        <v>32</v>
      </c>
      <c r="M434" s="59">
        <f t="shared" si="170"/>
        <v>131</v>
      </c>
      <c r="N434" s="1">
        <v>23</v>
      </c>
      <c r="O434" s="1">
        <v>16</v>
      </c>
      <c r="P434" s="1">
        <v>22</v>
      </c>
      <c r="Q434" s="59">
        <f t="shared" si="171"/>
        <v>61</v>
      </c>
      <c r="R434" s="59">
        <f t="shared" si="167"/>
        <v>350</v>
      </c>
      <c r="T434" s="4" t="s">
        <v>348</v>
      </c>
    </row>
    <row r="435" spans="1:20" ht="15.75" customHeight="1" x14ac:dyDescent="0.3">
      <c r="A435" s="76" t="s">
        <v>409</v>
      </c>
      <c r="B435" s="1">
        <v>1142</v>
      </c>
      <c r="C435" s="1">
        <v>1142</v>
      </c>
      <c r="D435" s="1">
        <v>1427</v>
      </c>
      <c r="E435" s="59">
        <f t="shared" si="168"/>
        <v>3711</v>
      </c>
      <c r="F435" s="1">
        <v>1427</v>
      </c>
      <c r="G435" s="1">
        <v>1427</v>
      </c>
      <c r="H435" s="1">
        <v>1427</v>
      </c>
      <c r="I435" s="59">
        <f t="shared" si="169"/>
        <v>4281</v>
      </c>
      <c r="J435" s="1">
        <v>1427</v>
      </c>
      <c r="K435" s="1">
        <v>1247</v>
      </c>
      <c r="L435" s="1"/>
      <c r="M435" s="59">
        <f t="shared" si="170"/>
        <v>2674</v>
      </c>
      <c r="N435" s="1"/>
      <c r="O435" s="1"/>
      <c r="P435" s="1"/>
      <c r="Q435" s="59">
        <f t="shared" si="171"/>
        <v>0</v>
      </c>
      <c r="R435" s="59">
        <f t="shared" si="167"/>
        <v>10666</v>
      </c>
      <c r="T435" s="4" t="s">
        <v>217</v>
      </c>
    </row>
    <row r="436" spans="1:20" ht="15.75" customHeight="1" x14ac:dyDescent="0.3">
      <c r="A436" s="76" t="s">
        <v>410</v>
      </c>
      <c r="B436" s="1">
        <v>1731</v>
      </c>
      <c r="C436" s="1">
        <v>1731</v>
      </c>
      <c r="D436" s="1">
        <v>1731</v>
      </c>
      <c r="E436" s="59">
        <f t="shared" si="168"/>
        <v>5193</v>
      </c>
      <c r="F436" s="1">
        <v>1732</v>
      </c>
      <c r="G436" s="1"/>
      <c r="H436" s="1"/>
      <c r="I436" s="59">
        <f t="shared" si="169"/>
        <v>1732</v>
      </c>
      <c r="J436" s="1"/>
      <c r="K436" s="1"/>
      <c r="L436" s="1"/>
      <c r="M436" s="59">
        <f t="shared" si="170"/>
        <v>0</v>
      </c>
      <c r="N436" s="1"/>
      <c r="O436" s="1"/>
      <c r="P436" s="1"/>
      <c r="Q436" s="59">
        <f t="shared" si="171"/>
        <v>0</v>
      </c>
      <c r="R436" s="59">
        <f>+E436+I436+M436+Q436</f>
        <v>6925</v>
      </c>
    </row>
    <row r="437" spans="1:20" ht="15.75" customHeight="1" x14ac:dyDescent="0.3">
      <c r="A437" s="76" t="s">
        <v>411</v>
      </c>
      <c r="B437" s="1"/>
      <c r="C437" s="1"/>
      <c r="D437" s="1"/>
      <c r="E437" s="59">
        <f t="shared" si="168"/>
        <v>0</v>
      </c>
      <c r="F437" s="1"/>
      <c r="G437" s="1"/>
      <c r="H437" s="1"/>
      <c r="I437" s="59">
        <f t="shared" si="169"/>
        <v>0</v>
      </c>
      <c r="J437" s="1"/>
      <c r="K437" s="1"/>
      <c r="L437" s="1"/>
      <c r="M437" s="59">
        <f t="shared" si="170"/>
        <v>0</v>
      </c>
      <c r="N437" s="1"/>
      <c r="O437" s="1"/>
      <c r="P437" s="1"/>
      <c r="Q437" s="59">
        <f t="shared" si="171"/>
        <v>0</v>
      </c>
      <c r="R437" s="59">
        <f>+E437+I437+M437+Q437</f>
        <v>0</v>
      </c>
    </row>
    <row r="438" spans="1:20" ht="15.75" customHeight="1" x14ac:dyDescent="0.3">
      <c r="A438" s="76" t="s">
        <v>412</v>
      </c>
      <c r="B438" s="1"/>
      <c r="C438" s="1"/>
      <c r="D438" s="1"/>
      <c r="E438" s="59">
        <f t="shared" si="168"/>
        <v>0</v>
      </c>
      <c r="F438" s="1"/>
      <c r="G438" s="1"/>
      <c r="H438" s="1"/>
      <c r="I438" s="59">
        <f t="shared" si="169"/>
        <v>0</v>
      </c>
      <c r="J438" s="1"/>
      <c r="K438" s="1"/>
      <c r="L438" s="1"/>
      <c r="M438" s="59">
        <f t="shared" si="170"/>
        <v>0</v>
      </c>
      <c r="N438" s="1"/>
      <c r="O438" s="1"/>
      <c r="P438" s="1"/>
      <c r="Q438" s="59">
        <f t="shared" si="171"/>
        <v>0</v>
      </c>
      <c r="R438" s="59">
        <f>+E438+I438+M438+Q438</f>
        <v>0</v>
      </c>
    </row>
    <row r="439" spans="1:20" ht="15.75" customHeight="1" x14ac:dyDescent="0.3">
      <c r="A439" s="76" t="s">
        <v>413</v>
      </c>
      <c r="B439" s="1"/>
      <c r="C439" s="1"/>
      <c r="D439" s="1"/>
      <c r="E439" s="59">
        <f t="shared" si="168"/>
        <v>0</v>
      </c>
      <c r="F439" s="1"/>
      <c r="G439" s="1"/>
      <c r="H439" s="1"/>
      <c r="I439" s="59">
        <f t="shared" si="169"/>
        <v>0</v>
      </c>
      <c r="J439" s="1"/>
      <c r="K439" s="1"/>
      <c r="L439" s="1"/>
      <c r="M439" s="59">
        <f t="shared" si="170"/>
        <v>0</v>
      </c>
      <c r="N439" s="1"/>
      <c r="O439" s="1"/>
      <c r="P439" s="1"/>
      <c r="Q439" s="59">
        <f t="shared" si="171"/>
        <v>0</v>
      </c>
      <c r="R439" s="59">
        <f>+E439+I439+M439+Q439</f>
        <v>0</v>
      </c>
      <c r="T439" s="4" t="s">
        <v>315</v>
      </c>
    </row>
    <row r="440" spans="1:20" ht="15.75" customHeight="1" x14ac:dyDescent="0.3">
      <c r="A440" s="76" t="s">
        <v>414</v>
      </c>
      <c r="B440" s="1"/>
      <c r="C440" s="1"/>
      <c r="D440" s="1"/>
      <c r="E440" s="59">
        <f t="shared" ref="E440" si="175">SUM(B440:D440)</f>
        <v>0</v>
      </c>
      <c r="F440" s="1"/>
      <c r="G440" s="1"/>
      <c r="H440" s="1"/>
      <c r="I440" s="59">
        <f t="shared" ref="I440" si="176">SUM(F440:H440)</f>
        <v>0</v>
      </c>
      <c r="J440" s="1"/>
      <c r="K440" s="1"/>
      <c r="L440" s="1"/>
      <c r="M440" s="59">
        <f t="shared" ref="M440" si="177">SUM(J440:L440)</f>
        <v>0</v>
      </c>
      <c r="N440" s="1"/>
      <c r="O440" s="1"/>
      <c r="P440" s="1"/>
      <c r="Q440" s="59">
        <f t="shared" ref="Q440" si="178">SUM(N440:P440)</f>
        <v>0</v>
      </c>
      <c r="R440" s="59">
        <f t="shared" ref="R440:R441" si="179">+E440+I440+M440+Q440</f>
        <v>0</v>
      </c>
      <c r="T440" s="4" t="s">
        <v>137</v>
      </c>
    </row>
    <row r="441" spans="1:20" ht="16.5" customHeight="1" x14ac:dyDescent="0.3">
      <c r="A441" s="76" t="s">
        <v>415</v>
      </c>
      <c r="B441" s="1"/>
      <c r="C441" s="1"/>
      <c r="D441" s="1"/>
      <c r="E441" s="59">
        <f t="shared" si="168"/>
        <v>0</v>
      </c>
      <c r="F441" s="1"/>
      <c r="G441" s="1">
        <v>338</v>
      </c>
      <c r="H441" s="1">
        <v>1000</v>
      </c>
      <c r="I441" s="59">
        <f t="shared" si="169"/>
        <v>1338</v>
      </c>
      <c r="J441" s="1">
        <v>1000</v>
      </c>
      <c r="K441" s="1">
        <v>1000</v>
      </c>
      <c r="L441" s="1">
        <v>1000</v>
      </c>
      <c r="M441" s="59">
        <f t="shared" si="170"/>
        <v>3000</v>
      </c>
      <c r="N441" s="1">
        <v>1000</v>
      </c>
      <c r="O441" s="1"/>
      <c r="P441" s="1"/>
      <c r="Q441" s="59">
        <f t="shared" ref="Q441" si="180">SUM(N441:P441)</f>
        <v>1000</v>
      </c>
      <c r="R441" s="59">
        <f t="shared" si="179"/>
        <v>5338</v>
      </c>
      <c r="T441" s="4" t="s">
        <v>376</v>
      </c>
    </row>
    <row r="442" spans="1:20" ht="15.75" customHeight="1" x14ac:dyDescent="0.3">
      <c r="A442" s="76" t="s">
        <v>416</v>
      </c>
      <c r="B442" s="1"/>
      <c r="C442" s="1"/>
      <c r="D442" s="1"/>
      <c r="E442" s="59">
        <f t="shared" si="168"/>
        <v>0</v>
      </c>
      <c r="F442" s="1"/>
      <c r="G442" s="1"/>
      <c r="H442" s="1"/>
      <c r="I442" s="59">
        <f t="shared" si="169"/>
        <v>0</v>
      </c>
      <c r="J442" s="1"/>
      <c r="K442" s="1"/>
      <c r="L442" s="1"/>
      <c r="M442" s="59">
        <f t="shared" si="170"/>
        <v>0</v>
      </c>
      <c r="N442" s="1"/>
      <c r="O442" s="1"/>
      <c r="P442" s="1"/>
      <c r="Q442" s="59">
        <f t="shared" ref="Q442" si="181">SUM(N442:P442)</f>
        <v>0</v>
      </c>
      <c r="R442" s="59">
        <f t="shared" si="167"/>
        <v>0</v>
      </c>
      <c r="T442" s="4" t="s">
        <v>331</v>
      </c>
    </row>
    <row r="443" spans="1:20" ht="15.75" customHeight="1" x14ac:dyDescent="0.3">
      <c r="A443" s="76" t="s">
        <v>417</v>
      </c>
      <c r="B443" s="1"/>
      <c r="C443" s="1"/>
      <c r="D443" s="1"/>
      <c r="E443" s="59">
        <f t="shared" si="168"/>
        <v>0</v>
      </c>
      <c r="F443" s="1"/>
      <c r="G443" s="1"/>
      <c r="H443" s="1">
        <v>2000</v>
      </c>
      <c r="I443" s="59">
        <f t="shared" si="169"/>
        <v>2000</v>
      </c>
      <c r="J443" s="1">
        <v>2000</v>
      </c>
      <c r="K443" s="1"/>
      <c r="L443" s="1"/>
      <c r="M443" s="59">
        <f t="shared" si="170"/>
        <v>2000</v>
      </c>
      <c r="N443" s="1"/>
      <c r="O443" s="1"/>
      <c r="P443" s="1"/>
      <c r="Q443" s="59">
        <f t="shared" si="171"/>
        <v>0</v>
      </c>
      <c r="R443" s="59">
        <f t="shared" si="167"/>
        <v>4000</v>
      </c>
      <c r="T443" s="4" t="s">
        <v>331</v>
      </c>
    </row>
    <row r="444" spans="1:20" ht="15.75" customHeight="1" x14ac:dyDescent="0.3">
      <c r="A444" s="76" t="s">
        <v>418</v>
      </c>
      <c r="B444" s="1"/>
      <c r="C444" s="1"/>
      <c r="D444" s="1"/>
      <c r="E444" s="59">
        <f t="shared" si="168"/>
        <v>0</v>
      </c>
      <c r="F444" s="1">
        <v>92</v>
      </c>
      <c r="G444" s="1">
        <v>92</v>
      </c>
      <c r="H444" s="1">
        <v>184</v>
      </c>
      <c r="I444" s="59">
        <f t="shared" si="169"/>
        <v>368</v>
      </c>
      <c r="J444" s="1">
        <v>184</v>
      </c>
      <c r="K444" s="1">
        <v>92</v>
      </c>
      <c r="L444" s="1">
        <v>92</v>
      </c>
      <c r="M444" s="59">
        <f t="shared" si="170"/>
        <v>368</v>
      </c>
      <c r="N444" s="1">
        <v>92</v>
      </c>
      <c r="O444" s="1">
        <v>460</v>
      </c>
      <c r="P444" s="1">
        <v>951</v>
      </c>
      <c r="Q444" s="59">
        <f t="shared" si="171"/>
        <v>1503</v>
      </c>
      <c r="R444" s="59">
        <f t="shared" si="167"/>
        <v>2239</v>
      </c>
      <c r="T444" s="4" t="s">
        <v>217</v>
      </c>
    </row>
    <row r="445" spans="1:20" ht="15.75" customHeight="1" x14ac:dyDescent="0.3">
      <c r="A445" s="76" t="s">
        <v>855</v>
      </c>
      <c r="B445" s="1"/>
      <c r="C445" s="1"/>
      <c r="D445" s="1"/>
      <c r="E445" s="59">
        <f t="shared" si="168"/>
        <v>0</v>
      </c>
      <c r="F445" s="1">
        <v>1000</v>
      </c>
      <c r="G445" s="1">
        <v>662</v>
      </c>
      <c r="H445" s="1"/>
      <c r="I445" s="59">
        <f t="shared" si="169"/>
        <v>1662</v>
      </c>
      <c r="J445" s="1"/>
      <c r="K445" s="1"/>
      <c r="L445" s="1"/>
      <c r="M445" s="59">
        <f t="shared" si="170"/>
        <v>0</v>
      </c>
      <c r="N445" s="1"/>
      <c r="O445" s="1"/>
      <c r="P445" s="1"/>
      <c r="Q445" s="59">
        <f t="shared" si="171"/>
        <v>0</v>
      </c>
      <c r="R445" s="59">
        <f t="shared" si="167"/>
        <v>1662</v>
      </c>
    </row>
    <row r="446" spans="1:20" ht="15.75" customHeight="1" x14ac:dyDescent="0.3">
      <c r="A446" s="76" t="s">
        <v>420</v>
      </c>
      <c r="B446" s="1"/>
      <c r="C446" s="1"/>
      <c r="D446" s="1"/>
      <c r="E446" s="59">
        <f t="shared" si="168"/>
        <v>0</v>
      </c>
      <c r="F446" s="1"/>
      <c r="G446" s="1"/>
      <c r="H446" s="1"/>
      <c r="I446" s="59">
        <f t="shared" si="169"/>
        <v>0</v>
      </c>
      <c r="J446" s="1"/>
      <c r="K446" s="1"/>
      <c r="L446" s="1"/>
      <c r="M446" s="59">
        <f t="shared" si="170"/>
        <v>0</v>
      </c>
      <c r="N446" s="1">
        <v>500</v>
      </c>
      <c r="O446" s="1">
        <v>2000</v>
      </c>
      <c r="P446" s="1"/>
      <c r="Q446" s="59">
        <f t="shared" si="171"/>
        <v>2500</v>
      </c>
      <c r="R446" s="59">
        <f t="shared" si="167"/>
        <v>2500</v>
      </c>
      <c r="T446" s="4" t="s">
        <v>315</v>
      </c>
    </row>
    <row r="447" spans="1:20" ht="15.75" customHeight="1" x14ac:dyDescent="0.3">
      <c r="A447" s="76" t="s">
        <v>421</v>
      </c>
      <c r="B447" s="1"/>
      <c r="C447" s="1"/>
      <c r="D447" s="1"/>
      <c r="E447" s="59">
        <f t="shared" si="168"/>
        <v>0</v>
      </c>
      <c r="F447" s="1"/>
      <c r="G447" s="1"/>
      <c r="H447" s="1"/>
      <c r="I447" s="59">
        <f t="shared" si="169"/>
        <v>0</v>
      </c>
      <c r="J447" s="1"/>
      <c r="K447" s="1"/>
      <c r="L447" s="1"/>
      <c r="M447" s="59">
        <f t="shared" si="170"/>
        <v>0</v>
      </c>
      <c r="N447" s="1"/>
      <c r="O447" s="1"/>
      <c r="P447" s="1"/>
      <c r="Q447" s="59">
        <f t="shared" si="171"/>
        <v>0</v>
      </c>
      <c r="R447" s="59">
        <f t="shared" si="167"/>
        <v>0</v>
      </c>
    </row>
    <row r="448" spans="1:20" ht="15.75" customHeight="1" x14ac:dyDescent="0.3">
      <c r="A448" s="76" t="s">
        <v>422</v>
      </c>
      <c r="B448" s="1"/>
      <c r="C448" s="1"/>
      <c r="D448" s="1"/>
      <c r="E448" s="59">
        <f t="shared" si="168"/>
        <v>0</v>
      </c>
      <c r="F448" s="1"/>
      <c r="G448" s="1"/>
      <c r="H448" s="1"/>
      <c r="I448" s="59">
        <f t="shared" si="169"/>
        <v>0</v>
      </c>
      <c r="J448" s="1"/>
      <c r="K448" s="1"/>
      <c r="L448" s="1">
        <v>1186</v>
      </c>
      <c r="M448" s="59">
        <f t="shared" si="170"/>
        <v>1186</v>
      </c>
      <c r="N448" s="1"/>
      <c r="O448" s="1"/>
      <c r="P448" s="1"/>
      <c r="Q448" s="59">
        <f t="shared" si="171"/>
        <v>0</v>
      </c>
      <c r="R448" s="59">
        <f t="shared" si="167"/>
        <v>1186</v>
      </c>
    </row>
    <row r="449" spans="1:20" ht="15.75" customHeight="1" x14ac:dyDescent="0.3">
      <c r="A449" s="76" t="s">
        <v>424</v>
      </c>
      <c r="B449" s="1"/>
      <c r="C449" s="1"/>
      <c r="D449" s="1"/>
      <c r="E449" s="59">
        <f t="shared" si="168"/>
        <v>0</v>
      </c>
      <c r="F449" s="1"/>
      <c r="G449" s="1"/>
      <c r="H449" s="1"/>
      <c r="I449" s="59">
        <f t="shared" si="169"/>
        <v>0</v>
      </c>
      <c r="J449" s="1"/>
      <c r="K449" s="1">
        <v>1500</v>
      </c>
      <c r="L449" s="1"/>
      <c r="M449" s="59">
        <f t="shared" si="170"/>
        <v>1500</v>
      </c>
      <c r="N449" s="1"/>
      <c r="O449" s="1"/>
      <c r="P449" s="1"/>
      <c r="Q449" s="59">
        <f t="shared" ref="Q449:Q452" si="182">SUM(N449:P449)</f>
        <v>0</v>
      </c>
      <c r="R449" s="59">
        <f t="shared" si="167"/>
        <v>1500</v>
      </c>
    </row>
    <row r="450" spans="1:20" ht="15.75" customHeight="1" x14ac:dyDescent="0.3">
      <c r="A450" s="76" t="s">
        <v>425</v>
      </c>
      <c r="B450" s="1"/>
      <c r="C450" s="1"/>
      <c r="D450" s="1"/>
      <c r="E450" s="59">
        <f t="shared" si="168"/>
        <v>0</v>
      </c>
      <c r="F450" s="1"/>
      <c r="G450" s="1"/>
      <c r="H450" s="1"/>
      <c r="I450" s="59">
        <f t="shared" si="169"/>
        <v>0</v>
      </c>
      <c r="J450" s="1"/>
      <c r="K450" s="1">
        <v>1500</v>
      </c>
      <c r="L450" s="1"/>
      <c r="M450" s="59">
        <f t="shared" si="170"/>
        <v>1500</v>
      </c>
      <c r="N450" s="1"/>
      <c r="O450" s="1"/>
      <c r="P450" s="1"/>
      <c r="Q450" s="59">
        <f t="shared" si="182"/>
        <v>0</v>
      </c>
      <c r="R450" s="59">
        <f t="shared" si="167"/>
        <v>1500</v>
      </c>
    </row>
    <row r="451" spans="1:20" ht="15.75" customHeight="1" x14ac:dyDescent="0.3">
      <c r="A451" s="76" t="s">
        <v>426</v>
      </c>
      <c r="B451" s="1"/>
      <c r="C451" s="1"/>
      <c r="D451" s="1"/>
      <c r="E451" s="59">
        <f t="shared" si="168"/>
        <v>0</v>
      </c>
      <c r="F451" s="1"/>
      <c r="G451" s="1"/>
      <c r="H451" s="1"/>
      <c r="I451" s="59">
        <f t="shared" si="169"/>
        <v>0</v>
      </c>
      <c r="J451" s="1"/>
      <c r="K451" s="1"/>
      <c r="L451" s="1">
        <v>314</v>
      </c>
      <c r="M451" s="59">
        <f t="shared" si="170"/>
        <v>314</v>
      </c>
      <c r="N451" s="1"/>
      <c r="O451" s="1"/>
      <c r="P451" s="1"/>
      <c r="Q451" s="59">
        <f t="shared" si="182"/>
        <v>0</v>
      </c>
      <c r="R451" s="59">
        <f t="shared" si="167"/>
        <v>314</v>
      </c>
    </row>
    <row r="452" spans="1:20" ht="15.75" customHeight="1" x14ac:dyDescent="0.3">
      <c r="A452" s="76" t="s">
        <v>427</v>
      </c>
      <c r="B452" s="1"/>
      <c r="C452" s="1"/>
      <c r="D452" s="1"/>
      <c r="E452" s="59">
        <f t="shared" si="168"/>
        <v>0</v>
      </c>
      <c r="F452" s="1"/>
      <c r="G452" s="1"/>
      <c r="H452" s="1"/>
      <c r="I452" s="59">
        <f t="shared" si="169"/>
        <v>0</v>
      </c>
      <c r="J452" s="1"/>
      <c r="K452" s="1"/>
      <c r="L452" s="1">
        <v>2500</v>
      </c>
      <c r="M452" s="59">
        <f t="shared" si="170"/>
        <v>2500</v>
      </c>
      <c r="N452" s="1"/>
      <c r="O452" s="1"/>
      <c r="P452" s="1"/>
      <c r="Q452" s="59">
        <f t="shared" si="182"/>
        <v>0</v>
      </c>
      <c r="R452" s="59">
        <f t="shared" si="167"/>
        <v>2500</v>
      </c>
    </row>
    <row r="453" spans="1:20" ht="15.75" customHeight="1" x14ac:dyDescent="0.3">
      <c r="A453" s="76" t="s">
        <v>428</v>
      </c>
      <c r="B453" s="1"/>
      <c r="C453" s="1"/>
      <c r="D453" s="1"/>
      <c r="E453" s="59">
        <f t="shared" si="168"/>
        <v>0</v>
      </c>
      <c r="F453" s="1"/>
      <c r="G453" s="1"/>
      <c r="H453" s="1"/>
      <c r="I453" s="59">
        <f t="shared" si="169"/>
        <v>0</v>
      </c>
      <c r="J453" s="1"/>
      <c r="K453" s="1"/>
      <c r="L453" s="1"/>
      <c r="M453" s="59">
        <f t="shared" si="170"/>
        <v>0</v>
      </c>
      <c r="N453" s="1"/>
      <c r="O453" s="1"/>
      <c r="P453" s="1"/>
      <c r="Q453" s="59">
        <f>SUM(N453:P453)</f>
        <v>0</v>
      </c>
      <c r="R453" s="59">
        <f t="shared" si="167"/>
        <v>0</v>
      </c>
    </row>
    <row r="454" spans="1:20" ht="15.75" customHeight="1" x14ac:dyDescent="0.3">
      <c r="A454" s="76" t="s">
        <v>429</v>
      </c>
      <c r="B454" s="1"/>
      <c r="C454" s="1"/>
      <c r="D454" s="1"/>
      <c r="E454" s="59">
        <f t="shared" si="168"/>
        <v>0</v>
      </c>
      <c r="F454" s="1"/>
      <c r="G454" s="1"/>
      <c r="H454" s="1"/>
      <c r="I454" s="59">
        <f t="shared" si="169"/>
        <v>0</v>
      </c>
      <c r="J454" s="1"/>
      <c r="K454" s="1"/>
      <c r="L454" s="1"/>
      <c r="M454" s="59">
        <f t="shared" si="170"/>
        <v>0</v>
      </c>
      <c r="N454" s="1"/>
      <c r="O454" s="1"/>
      <c r="P454" s="1"/>
      <c r="Q454" s="59">
        <f t="shared" si="171"/>
        <v>0</v>
      </c>
      <c r="R454" s="59">
        <f t="shared" si="167"/>
        <v>0</v>
      </c>
    </row>
    <row r="455" spans="1:20" ht="15.75" customHeight="1" x14ac:dyDescent="0.3">
      <c r="A455" s="76" t="s">
        <v>430</v>
      </c>
      <c r="B455" s="1"/>
      <c r="C455" s="1"/>
      <c r="D455" s="1"/>
      <c r="E455" s="59">
        <f t="shared" si="168"/>
        <v>0</v>
      </c>
      <c r="F455" s="1"/>
      <c r="G455" s="1"/>
      <c r="H455" s="1"/>
      <c r="I455" s="59">
        <f t="shared" si="169"/>
        <v>0</v>
      </c>
      <c r="J455" s="1">
        <v>2000</v>
      </c>
      <c r="K455" s="1"/>
      <c r="L455" s="1"/>
      <c r="M455" s="59">
        <f t="shared" si="170"/>
        <v>2000</v>
      </c>
      <c r="N455" s="1"/>
      <c r="O455" s="1"/>
      <c r="P455" s="1"/>
      <c r="Q455" s="59">
        <f t="shared" si="171"/>
        <v>0</v>
      </c>
      <c r="R455" s="59">
        <f t="shared" si="167"/>
        <v>2000</v>
      </c>
    </row>
    <row r="456" spans="1:20" ht="15.75" customHeight="1" x14ac:dyDescent="0.3">
      <c r="A456" s="76" t="s">
        <v>431</v>
      </c>
      <c r="B456" s="1"/>
      <c r="C456" s="1"/>
      <c r="D456" s="1"/>
      <c r="E456" s="59">
        <f t="shared" si="168"/>
        <v>0</v>
      </c>
      <c r="F456" s="1">
        <v>2500</v>
      </c>
      <c r="G456" s="1"/>
      <c r="H456" s="1"/>
      <c r="I456" s="59">
        <f t="shared" si="169"/>
        <v>2500</v>
      </c>
      <c r="J456" s="1"/>
      <c r="K456" s="1"/>
      <c r="L456" s="1"/>
      <c r="M456" s="59">
        <f t="shared" si="170"/>
        <v>0</v>
      </c>
      <c r="N456" s="1"/>
      <c r="O456" s="1"/>
      <c r="P456" s="1"/>
      <c r="Q456" s="59">
        <f t="shared" ref="Q456" si="183">SUM(N456:P456)</f>
        <v>0</v>
      </c>
      <c r="R456" s="59">
        <f t="shared" si="167"/>
        <v>2500</v>
      </c>
    </row>
    <row r="457" spans="1:20" ht="15.75" customHeight="1" x14ac:dyDescent="0.3">
      <c r="A457" s="76" t="s">
        <v>432</v>
      </c>
      <c r="B457" s="1"/>
      <c r="C457" s="1"/>
      <c r="D457" s="1"/>
      <c r="E457" s="59">
        <f t="shared" si="168"/>
        <v>0</v>
      </c>
      <c r="F457" s="1"/>
      <c r="G457" s="1"/>
      <c r="H457" s="1"/>
      <c r="I457" s="59">
        <f t="shared" si="169"/>
        <v>0</v>
      </c>
      <c r="J457" s="1"/>
      <c r="K457" s="1"/>
      <c r="L457" s="1"/>
      <c r="M457" s="59">
        <f t="shared" si="170"/>
        <v>0</v>
      </c>
      <c r="N457" s="1"/>
      <c r="O457" s="1"/>
      <c r="P457" s="1"/>
      <c r="Q457" s="59">
        <f t="shared" ref="Q457" si="184">SUM(N457:P457)</f>
        <v>0</v>
      </c>
      <c r="R457" s="59">
        <f t="shared" si="167"/>
        <v>0</v>
      </c>
      <c r="T457" s="4" t="s">
        <v>217</v>
      </c>
    </row>
    <row r="458" spans="1:20" ht="15.75" customHeight="1" x14ac:dyDescent="0.3">
      <c r="A458" s="76" t="s">
        <v>433</v>
      </c>
      <c r="B458" s="1"/>
      <c r="C458" s="1"/>
      <c r="D458" s="1"/>
      <c r="E458" s="59">
        <f t="shared" si="168"/>
        <v>0</v>
      </c>
      <c r="F458" s="1"/>
      <c r="G458" s="1"/>
      <c r="H458" s="1"/>
      <c r="I458" s="59">
        <f t="shared" si="169"/>
        <v>0</v>
      </c>
      <c r="J458" s="1"/>
      <c r="K458" s="1"/>
      <c r="L458" s="1"/>
      <c r="M458" s="59">
        <f t="shared" si="170"/>
        <v>0</v>
      </c>
      <c r="N458" s="1"/>
      <c r="O458" s="1"/>
      <c r="P458" s="1"/>
      <c r="Q458" s="59">
        <f t="shared" si="171"/>
        <v>0</v>
      </c>
      <c r="R458" s="59">
        <f t="shared" si="167"/>
        <v>0</v>
      </c>
      <c r="T458" s="4" t="s">
        <v>217</v>
      </c>
    </row>
    <row r="459" spans="1:20" ht="15.75" customHeight="1" x14ac:dyDescent="0.3">
      <c r="A459" s="76" t="s">
        <v>434</v>
      </c>
      <c r="B459" s="1"/>
      <c r="C459" s="1"/>
      <c r="D459" s="1"/>
      <c r="E459" s="59">
        <f t="shared" si="168"/>
        <v>0</v>
      </c>
      <c r="F459" s="1"/>
      <c r="G459" s="1">
        <v>62</v>
      </c>
      <c r="H459" s="1">
        <v>2210</v>
      </c>
      <c r="I459" s="59">
        <f t="shared" si="169"/>
        <v>2272</v>
      </c>
      <c r="J459" s="1">
        <v>1816</v>
      </c>
      <c r="K459" s="1"/>
      <c r="L459" s="1"/>
      <c r="M459" s="59">
        <f t="shared" si="170"/>
        <v>1816</v>
      </c>
      <c r="N459" s="1"/>
      <c r="O459" s="1"/>
      <c r="P459" s="1"/>
      <c r="Q459" s="59">
        <f t="shared" si="171"/>
        <v>0</v>
      </c>
      <c r="R459" s="59">
        <f t="shared" si="167"/>
        <v>4088</v>
      </c>
      <c r="T459" s="4" t="s">
        <v>217</v>
      </c>
    </row>
    <row r="460" spans="1:20" ht="15.75" customHeight="1" x14ac:dyDescent="0.3">
      <c r="A460" s="76" t="s">
        <v>435</v>
      </c>
      <c r="B460" s="1"/>
      <c r="C460" s="1"/>
      <c r="D460" s="1"/>
      <c r="E460" s="59">
        <f t="shared" si="168"/>
        <v>0</v>
      </c>
      <c r="F460" s="1"/>
      <c r="G460" s="1"/>
      <c r="H460" s="1"/>
      <c r="I460" s="59">
        <f t="shared" si="169"/>
        <v>0</v>
      </c>
      <c r="J460" s="1"/>
      <c r="K460" s="1"/>
      <c r="L460" s="1"/>
      <c r="M460" s="59">
        <f t="shared" si="170"/>
        <v>0</v>
      </c>
      <c r="N460" s="1"/>
      <c r="O460" s="1"/>
      <c r="P460" s="1"/>
      <c r="Q460" s="59">
        <f t="shared" si="171"/>
        <v>0</v>
      </c>
      <c r="R460" s="59">
        <f t="shared" si="167"/>
        <v>0</v>
      </c>
      <c r="T460" s="4" t="s">
        <v>315</v>
      </c>
    </row>
    <row r="461" spans="1:20" ht="15.75" customHeight="1" x14ac:dyDescent="0.3">
      <c r="A461" s="76" t="s">
        <v>436</v>
      </c>
      <c r="B461" s="1"/>
      <c r="C461" s="1">
        <v>1153</v>
      </c>
      <c r="D461" s="1">
        <v>452</v>
      </c>
      <c r="E461" s="59">
        <f t="shared" si="168"/>
        <v>1605</v>
      </c>
      <c r="F461" s="1"/>
      <c r="G461" s="1"/>
      <c r="H461" s="1"/>
      <c r="I461" s="59">
        <f t="shared" si="169"/>
        <v>0</v>
      </c>
      <c r="J461" s="1"/>
      <c r="K461" s="1"/>
      <c r="L461" s="1"/>
      <c r="M461" s="59">
        <f t="shared" si="170"/>
        <v>0</v>
      </c>
      <c r="N461" s="1"/>
      <c r="O461" s="1"/>
      <c r="P461" s="1"/>
      <c r="Q461" s="59">
        <f t="shared" si="171"/>
        <v>0</v>
      </c>
      <c r="R461" s="59">
        <f t="shared" si="167"/>
        <v>1605</v>
      </c>
    </row>
    <row r="462" spans="1:20" ht="15.75" customHeight="1" x14ac:dyDescent="0.3">
      <c r="A462" s="76" t="s">
        <v>437</v>
      </c>
      <c r="B462" s="1"/>
      <c r="C462" s="1"/>
      <c r="D462" s="1"/>
      <c r="E462" s="59">
        <f t="shared" si="168"/>
        <v>0</v>
      </c>
      <c r="F462" s="1"/>
      <c r="G462" s="1">
        <v>1000</v>
      </c>
      <c r="H462" s="1"/>
      <c r="I462" s="59">
        <f t="shared" si="169"/>
        <v>1000</v>
      </c>
      <c r="J462" s="1"/>
      <c r="K462" s="1"/>
      <c r="L462" s="1"/>
      <c r="M462" s="59">
        <f t="shared" si="170"/>
        <v>0</v>
      </c>
      <c r="N462" s="1"/>
      <c r="O462" s="1"/>
      <c r="P462" s="1"/>
      <c r="Q462" s="59">
        <f t="shared" si="171"/>
        <v>0</v>
      </c>
      <c r="R462" s="59">
        <f t="shared" si="167"/>
        <v>1000</v>
      </c>
      <c r="T462" s="4" t="s">
        <v>315</v>
      </c>
    </row>
    <row r="463" spans="1:20" ht="15.75" customHeight="1" x14ac:dyDescent="0.3">
      <c r="A463" s="76" t="s">
        <v>439</v>
      </c>
      <c r="B463" s="1"/>
      <c r="C463" s="1"/>
      <c r="D463" s="1"/>
      <c r="E463" s="59">
        <f t="shared" si="168"/>
        <v>0</v>
      </c>
      <c r="F463" s="1"/>
      <c r="G463" s="1"/>
      <c r="H463" s="1"/>
      <c r="I463" s="59">
        <f t="shared" si="169"/>
        <v>0</v>
      </c>
      <c r="J463" s="1"/>
      <c r="K463" s="1"/>
      <c r="L463" s="1"/>
      <c r="M463" s="59">
        <f t="shared" si="170"/>
        <v>0</v>
      </c>
      <c r="N463" s="1"/>
      <c r="O463" s="1"/>
      <c r="P463" s="1"/>
      <c r="Q463" s="59">
        <f t="shared" si="171"/>
        <v>0</v>
      </c>
      <c r="R463" s="59">
        <f t="shared" si="167"/>
        <v>0</v>
      </c>
      <c r="T463" s="4" t="s">
        <v>217</v>
      </c>
    </row>
    <row r="464" spans="1:20" ht="15.75" customHeight="1" x14ac:dyDescent="0.3">
      <c r="A464" s="76" t="s">
        <v>440</v>
      </c>
      <c r="B464" s="1"/>
      <c r="C464" s="1"/>
      <c r="D464" s="1"/>
      <c r="E464" s="59">
        <f t="shared" si="168"/>
        <v>0</v>
      </c>
      <c r="F464" s="1"/>
      <c r="G464" s="1"/>
      <c r="H464" s="1">
        <v>1500</v>
      </c>
      <c r="I464" s="59">
        <f t="shared" si="169"/>
        <v>1500</v>
      </c>
      <c r="J464" s="1">
        <v>1500</v>
      </c>
      <c r="K464" s="1"/>
      <c r="L464" s="1"/>
      <c r="M464" s="59">
        <f t="shared" si="170"/>
        <v>1500</v>
      </c>
      <c r="N464" s="1"/>
      <c r="O464" s="1"/>
      <c r="P464" s="1"/>
      <c r="Q464" s="59">
        <f t="shared" si="171"/>
        <v>0</v>
      </c>
      <c r="R464" s="59">
        <f>+E464+I464+M464+Q464</f>
        <v>3000</v>
      </c>
    </row>
    <row r="465" spans="1:21" ht="15.75" customHeight="1" x14ac:dyDescent="0.3">
      <c r="A465" s="76" t="s">
        <v>441</v>
      </c>
      <c r="B465" s="1"/>
      <c r="C465" s="1"/>
      <c r="D465" s="1"/>
      <c r="E465" s="59">
        <f t="shared" si="168"/>
        <v>0</v>
      </c>
      <c r="F465" s="1"/>
      <c r="G465" s="1"/>
      <c r="H465" s="1"/>
      <c r="I465" s="59">
        <f t="shared" si="169"/>
        <v>0</v>
      </c>
      <c r="J465" s="1"/>
      <c r="K465" s="1"/>
      <c r="L465" s="1"/>
      <c r="M465" s="59">
        <f t="shared" si="170"/>
        <v>0</v>
      </c>
      <c r="N465" s="1"/>
      <c r="O465" s="1"/>
      <c r="P465" s="1"/>
      <c r="Q465" s="59">
        <f t="shared" si="171"/>
        <v>0</v>
      </c>
      <c r="R465" s="59">
        <f>+E465+I465+M465+Q465</f>
        <v>0</v>
      </c>
      <c r="T465" s="4" t="s">
        <v>315</v>
      </c>
    </row>
    <row r="466" spans="1:21" ht="15.75" customHeight="1" x14ac:dyDescent="0.3">
      <c r="A466" s="76" t="s">
        <v>442</v>
      </c>
      <c r="B466" s="1"/>
      <c r="C466" s="1">
        <v>1029</v>
      </c>
      <c r="D466" s="1">
        <v>1713</v>
      </c>
      <c r="E466" s="59">
        <f t="shared" si="168"/>
        <v>2742</v>
      </c>
      <c r="F466" s="1">
        <v>1841</v>
      </c>
      <c r="G466" s="1">
        <v>1841</v>
      </c>
      <c r="H466" s="1"/>
      <c r="I466" s="59">
        <f t="shared" si="169"/>
        <v>3682</v>
      </c>
      <c r="J466" s="1"/>
      <c r="K466" s="1"/>
      <c r="L466" s="1"/>
      <c r="M466" s="59">
        <f t="shared" si="170"/>
        <v>0</v>
      </c>
      <c r="N466" s="1"/>
      <c r="O466" s="1"/>
      <c r="P466" s="1"/>
      <c r="Q466" s="59">
        <f t="shared" si="171"/>
        <v>0</v>
      </c>
      <c r="R466" s="59">
        <f t="shared" si="167"/>
        <v>6424</v>
      </c>
      <c r="T466" s="4" t="s">
        <v>217</v>
      </c>
    </row>
    <row r="467" spans="1:21" ht="15.75" customHeight="1" x14ac:dyDescent="0.3">
      <c r="A467" s="76" t="s">
        <v>443</v>
      </c>
      <c r="B467" s="1"/>
      <c r="C467" s="1"/>
      <c r="D467" s="1"/>
      <c r="E467" s="59">
        <f t="shared" si="168"/>
        <v>0</v>
      </c>
      <c r="F467" s="1"/>
      <c r="G467" s="1"/>
      <c r="H467" s="1"/>
      <c r="I467" s="59">
        <f t="shared" si="169"/>
        <v>0</v>
      </c>
      <c r="J467" s="1"/>
      <c r="K467" s="1"/>
      <c r="L467" s="1"/>
      <c r="M467" s="59">
        <f t="shared" si="170"/>
        <v>0</v>
      </c>
      <c r="N467" s="1"/>
      <c r="O467" s="1"/>
      <c r="P467" s="1"/>
      <c r="Q467" s="59">
        <f t="shared" si="171"/>
        <v>0</v>
      </c>
      <c r="R467" s="59">
        <f t="shared" si="167"/>
        <v>0</v>
      </c>
      <c r="T467" s="4" t="s">
        <v>315</v>
      </c>
    </row>
    <row r="468" spans="1:21" ht="15.75" customHeight="1" x14ac:dyDescent="0.3">
      <c r="A468" s="76" t="s">
        <v>444</v>
      </c>
      <c r="B468" s="1"/>
      <c r="C468" s="1">
        <v>19</v>
      </c>
      <c r="D468" s="1"/>
      <c r="E468" s="59">
        <f t="shared" ref="E468:E469" si="185">SUM(B468:D468)</f>
        <v>19</v>
      </c>
      <c r="F468" s="1"/>
      <c r="G468" s="1"/>
      <c r="H468" s="1"/>
      <c r="I468" s="59">
        <f t="shared" ref="I468:I470" si="186">SUM(F468:H468)</f>
        <v>0</v>
      </c>
      <c r="J468" s="1"/>
      <c r="K468" s="1"/>
      <c r="L468" s="1"/>
      <c r="M468" s="59">
        <f t="shared" ref="M468:M470" si="187">SUM(J468:L468)</f>
        <v>0</v>
      </c>
      <c r="N468" s="1"/>
      <c r="O468" s="1"/>
      <c r="P468" s="1"/>
      <c r="Q468" s="59">
        <f t="shared" ref="Q468:Q470" si="188">SUM(N468:P468)</f>
        <v>0</v>
      </c>
      <c r="R468" s="59">
        <f t="shared" si="167"/>
        <v>19</v>
      </c>
    </row>
    <row r="469" spans="1:21" ht="15.75" customHeight="1" x14ac:dyDescent="0.3">
      <c r="A469" s="76" t="s">
        <v>445</v>
      </c>
      <c r="B469" s="1"/>
      <c r="C469" s="1">
        <v>15</v>
      </c>
      <c r="D469" s="1"/>
      <c r="E469" s="59">
        <f t="shared" si="185"/>
        <v>15</v>
      </c>
      <c r="F469" s="1"/>
      <c r="G469" s="1"/>
      <c r="H469" s="1"/>
      <c r="I469" s="59">
        <f t="shared" si="186"/>
        <v>0</v>
      </c>
      <c r="J469" s="1"/>
      <c r="K469" s="1"/>
      <c r="L469" s="1"/>
      <c r="M469" s="59">
        <f t="shared" si="187"/>
        <v>0</v>
      </c>
      <c r="N469" s="1"/>
      <c r="O469" s="1"/>
      <c r="P469" s="1"/>
      <c r="Q469" s="59">
        <f t="shared" si="188"/>
        <v>0</v>
      </c>
      <c r="R469" s="59">
        <f>+E469+I469+M469+Q469</f>
        <v>15</v>
      </c>
    </row>
    <row r="470" spans="1:21" ht="15.75" customHeight="1" x14ac:dyDescent="0.3">
      <c r="A470" s="76" t="s">
        <v>446</v>
      </c>
      <c r="B470" s="1"/>
      <c r="C470" s="1">
        <v>30</v>
      </c>
      <c r="D470" s="1"/>
      <c r="E470" s="59">
        <f>SUM(B470:D470)</f>
        <v>30</v>
      </c>
      <c r="F470" s="1"/>
      <c r="G470" s="1"/>
      <c r="H470" s="1"/>
      <c r="I470" s="59">
        <f t="shared" si="186"/>
        <v>0</v>
      </c>
      <c r="J470" s="1"/>
      <c r="K470" s="1"/>
      <c r="L470" s="1"/>
      <c r="M470" s="59">
        <f t="shared" si="187"/>
        <v>0</v>
      </c>
      <c r="N470" s="1"/>
      <c r="O470" s="1"/>
      <c r="P470" s="1"/>
      <c r="Q470" s="59">
        <f t="shared" si="188"/>
        <v>0</v>
      </c>
      <c r="R470" s="59">
        <f t="shared" si="167"/>
        <v>30</v>
      </c>
    </row>
    <row r="471" spans="1:21" ht="15.75" customHeight="1" x14ac:dyDescent="0.3">
      <c r="A471" s="76" t="s">
        <v>449</v>
      </c>
      <c r="B471" s="1"/>
      <c r="C471" s="1"/>
      <c r="D471" s="1">
        <v>2622</v>
      </c>
      <c r="E471" s="59">
        <f t="shared" si="168"/>
        <v>2622</v>
      </c>
      <c r="F471" s="1"/>
      <c r="G471" s="1"/>
      <c r="H471" s="1"/>
      <c r="I471" s="59">
        <f t="shared" si="169"/>
        <v>0</v>
      </c>
      <c r="J471" s="1"/>
      <c r="K471" s="1"/>
      <c r="L471" s="1"/>
      <c r="M471" s="59">
        <f t="shared" si="170"/>
        <v>0</v>
      </c>
      <c r="N471" s="1"/>
      <c r="O471" s="1"/>
      <c r="P471" s="1"/>
      <c r="Q471" s="59">
        <f t="shared" si="171"/>
        <v>0</v>
      </c>
      <c r="R471" s="59">
        <f t="shared" si="167"/>
        <v>2622</v>
      </c>
    </row>
    <row r="472" spans="1:21" ht="15.75" customHeight="1" thickBot="1" x14ac:dyDescent="0.35">
      <c r="A472" s="76" t="s">
        <v>450</v>
      </c>
      <c r="B472" s="1">
        <v>2000</v>
      </c>
      <c r="C472" s="1">
        <v>2000</v>
      </c>
      <c r="D472" s="1">
        <v>2000</v>
      </c>
      <c r="E472" s="59">
        <f t="shared" si="168"/>
        <v>6000</v>
      </c>
      <c r="F472" s="1">
        <v>2000</v>
      </c>
      <c r="G472" s="1">
        <v>2000</v>
      </c>
      <c r="H472" s="1">
        <v>2000</v>
      </c>
      <c r="I472" s="59">
        <f t="shared" si="169"/>
        <v>6000</v>
      </c>
      <c r="J472" s="1">
        <v>2000</v>
      </c>
      <c r="K472" s="1">
        <v>3000</v>
      </c>
      <c r="L472" s="1">
        <v>2000</v>
      </c>
      <c r="M472" s="59">
        <f t="shared" si="170"/>
        <v>7000</v>
      </c>
      <c r="N472" s="1">
        <v>2000</v>
      </c>
      <c r="O472" s="1">
        <v>2000</v>
      </c>
      <c r="P472" s="1">
        <v>2000</v>
      </c>
      <c r="Q472" s="59">
        <f t="shared" si="171"/>
        <v>6000</v>
      </c>
      <c r="R472" s="59">
        <f t="shared" si="167"/>
        <v>25000</v>
      </c>
    </row>
    <row r="473" spans="1:21" ht="16.5" customHeight="1" thickBot="1" x14ac:dyDescent="0.35">
      <c r="A473" s="137" t="s">
        <v>61</v>
      </c>
      <c r="B473" s="107">
        <f>SUM(B405:B472)</f>
        <v>17244</v>
      </c>
      <c r="C473" s="63">
        <f>SUM(C405:C472)</f>
        <v>21740</v>
      </c>
      <c r="D473" s="63">
        <f>SUM(D405:D472)</f>
        <v>33714</v>
      </c>
      <c r="E473" s="64">
        <f t="shared" ref="E473" si="189">SUM(B473:D473)</f>
        <v>72698</v>
      </c>
      <c r="F473" s="63">
        <f>SUM(F405:F472)</f>
        <v>32442</v>
      </c>
      <c r="G473" s="63">
        <f>SUM(G405:G472)</f>
        <v>34843</v>
      </c>
      <c r="H473" s="63">
        <f>SUM(H405:H472)</f>
        <v>48874</v>
      </c>
      <c r="I473" s="64">
        <f t="shared" ref="I473" si="190">SUM(F473:H473)</f>
        <v>116159</v>
      </c>
      <c r="J473" s="63">
        <f>SUM(J405:J472)</f>
        <v>33704</v>
      </c>
      <c r="K473" s="63">
        <f>SUM(K405:K472)</f>
        <v>27516</v>
      </c>
      <c r="L473" s="63">
        <f>SUM(L405:L472)</f>
        <v>24614</v>
      </c>
      <c r="M473" s="64">
        <f t="shared" ref="M473" si="191">SUM(J473:L473)</f>
        <v>85834</v>
      </c>
      <c r="N473" s="63">
        <f>SUM(N405:N472)</f>
        <v>18536</v>
      </c>
      <c r="O473" s="63">
        <f>SUM(O405:O472)</f>
        <v>14843</v>
      </c>
      <c r="P473" s="63">
        <f>SUM(P405:P472)</f>
        <v>6379</v>
      </c>
      <c r="Q473" s="64">
        <f t="shared" si="171"/>
        <v>39758</v>
      </c>
      <c r="R473" s="64">
        <f>+E473+I473+M473+Q473</f>
        <v>314449</v>
      </c>
      <c r="T473" s="106"/>
    </row>
    <row r="474" spans="1:21" ht="15.75" customHeight="1" x14ac:dyDescent="0.3">
      <c r="A474" s="17" t="s">
        <v>62</v>
      </c>
      <c r="B474" s="1"/>
      <c r="C474" s="1"/>
      <c r="D474" s="1"/>
      <c r="E474" s="59" t="s">
        <v>7</v>
      </c>
      <c r="F474" s="1"/>
      <c r="G474" s="1"/>
      <c r="H474" s="1"/>
      <c r="I474" s="59" t="s">
        <v>7</v>
      </c>
      <c r="J474" s="1"/>
      <c r="K474" s="1"/>
      <c r="L474" s="1"/>
      <c r="M474" s="59" t="s">
        <v>7</v>
      </c>
      <c r="N474" s="1"/>
      <c r="O474" s="1"/>
      <c r="P474" s="1"/>
      <c r="Q474" s="59" t="s">
        <v>7</v>
      </c>
      <c r="R474" s="59" t="s">
        <v>7</v>
      </c>
    </row>
    <row r="475" spans="1:21" ht="15.75" customHeight="1" x14ac:dyDescent="0.3">
      <c r="A475" s="17" t="s">
        <v>63</v>
      </c>
      <c r="B475" s="1"/>
      <c r="C475" s="1"/>
      <c r="D475" s="1"/>
      <c r="E475" s="59" t="s">
        <v>7</v>
      </c>
      <c r="F475" s="1"/>
      <c r="G475" s="1"/>
      <c r="H475" s="1"/>
      <c r="I475" s="59" t="s">
        <v>7</v>
      </c>
      <c r="J475" s="1"/>
      <c r="K475" s="1"/>
      <c r="L475" s="1"/>
      <c r="M475" s="59" t="s">
        <v>7</v>
      </c>
      <c r="N475" s="1"/>
      <c r="O475" s="1"/>
      <c r="P475" s="1"/>
      <c r="Q475" s="59" t="s">
        <v>7</v>
      </c>
      <c r="R475" s="59" t="s">
        <v>7</v>
      </c>
    </row>
    <row r="476" spans="1:21" ht="15.75" customHeight="1" x14ac:dyDescent="0.3">
      <c r="A476" s="76" t="s">
        <v>451</v>
      </c>
      <c r="B476" s="1"/>
      <c r="C476" s="1"/>
      <c r="D476" s="1"/>
      <c r="E476" s="59">
        <f>SUM(B476:D476)</f>
        <v>0</v>
      </c>
      <c r="F476" s="1"/>
      <c r="G476" s="1"/>
      <c r="H476" s="1"/>
      <c r="I476" s="59">
        <f>SUM(F476:H476)</f>
        <v>0</v>
      </c>
      <c r="J476" s="1"/>
      <c r="K476" s="1"/>
      <c r="L476" s="1"/>
      <c r="M476" s="59">
        <f>SUM(J476:L476)</f>
        <v>0</v>
      </c>
      <c r="N476" s="1"/>
      <c r="O476" s="1"/>
      <c r="P476" s="1"/>
      <c r="Q476" s="59">
        <f>SUM(N476:P476)</f>
        <v>0</v>
      </c>
      <c r="R476" s="59">
        <f>+E476+I476+M476+Q476</f>
        <v>0</v>
      </c>
      <c r="U476" s="20"/>
    </row>
    <row r="477" spans="1:21" ht="15.75" customHeight="1" x14ac:dyDescent="0.3">
      <c r="A477" s="17" t="s">
        <v>64</v>
      </c>
      <c r="B477" s="1"/>
      <c r="C477" s="1"/>
      <c r="D477" s="1"/>
      <c r="E477" s="59" t="s">
        <v>7</v>
      </c>
      <c r="F477" s="1"/>
      <c r="G477" s="1"/>
      <c r="H477" s="1"/>
      <c r="I477" s="59" t="s">
        <v>7</v>
      </c>
      <c r="J477" s="1"/>
      <c r="K477" s="1"/>
      <c r="L477" s="1"/>
      <c r="M477" s="59" t="s">
        <v>7</v>
      </c>
      <c r="N477" s="1"/>
      <c r="O477" s="1"/>
      <c r="P477" s="1"/>
      <c r="Q477" s="59" t="s">
        <v>7</v>
      </c>
      <c r="R477" s="59" t="s">
        <v>7</v>
      </c>
    </row>
    <row r="478" spans="1:21" ht="15.75" customHeight="1" x14ac:dyDescent="0.3">
      <c r="A478" s="76" t="s">
        <v>452</v>
      </c>
      <c r="B478" s="1"/>
      <c r="C478" s="1"/>
      <c r="D478" s="1"/>
      <c r="E478" s="59">
        <f>SUM(B478:D478)</f>
        <v>0</v>
      </c>
      <c r="F478" s="1"/>
      <c r="G478" s="1"/>
      <c r="H478" s="1"/>
      <c r="I478" s="59">
        <f>SUM(F478:H478)</f>
        <v>0</v>
      </c>
      <c r="J478" s="1"/>
      <c r="K478" s="1"/>
      <c r="L478" s="1"/>
      <c r="M478" s="59">
        <f>SUM(J478:L478)</f>
        <v>0</v>
      </c>
      <c r="N478" s="1"/>
      <c r="O478" s="1"/>
      <c r="P478" s="1"/>
      <c r="Q478" s="59">
        <f>SUM(N478:P478)</f>
        <v>0</v>
      </c>
      <c r="R478" s="59">
        <f>+E478+I478+M478+Q478</f>
        <v>0</v>
      </c>
    </row>
    <row r="479" spans="1:21" ht="15.75" customHeight="1" x14ac:dyDescent="0.3">
      <c r="A479" s="76" t="s">
        <v>453</v>
      </c>
      <c r="B479" s="1"/>
      <c r="C479" s="1"/>
      <c r="D479" s="1"/>
      <c r="E479" s="59">
        <f>SUM(B479:D479)</f>
        <v>0</v>
      </c>
      <c r="F479" s="1"/>
      <c r="G479" s="1"/>
      <c r="H479" s="1"/>
      <c r="I479" s="59">
        <f>SUM(F479:H479)</f>
        <v>0</v>
      </c>
      <c r="J479" s="1"/>
      <c r="K479" s="1"/>
      <c r="L479" s="1"/>
      <c r="M479" s="59">
        <f>SUM(J479:L479)</f>
        <v>0</v>
      </c>
      <c r="N479" s="1"/>
      <c r="O479" s="1"/>
      <c r="P479" s="1"/>
      <c r="Q479" s="59">
        <f>SUM(N479:P479)</f>
        <v>0</v>
      </c>
      <c r="R479" s="59">
        <f>+E479+I479+M479+Q479</f>
        <v>0</v>
      </c>
    </row>
    <row r="480" spans="1:21" ht="15.75" customHeight="1" x14ac:dyDescent="0.3">
      <c r="A480" s="17" t="s">
        <v>66</v>
      </c>
      <c r="B480" s="1"/>
      <c r="C480" s="1"/>
      <c r="D480" s="1"/>
      <c r="E480" s="59" t="s">
        <v>7</v>
      </c>
      <c r="F480" s="1"/>
      <c r="G480" s="1"/>
      <c r="H480" s="1"/>
      <c r="I480" s="59" t="s">
        <v>7</v>
      </c>
      <c r="J480" s="1"/>
      <c r="K480" s="1"/>
      <c r="L480" s="1"/>
      <c r="M480" s="59" t="s">
        <v>7</v>
      </c>
      <c r="N480" s="1"/>
      <c r="O480" s="1"/>
      <c r="P480" s="1"/>
      <c r="Q480" s="59" t="s">
        <v>7</v>
      </c>
      <c r="R480" s="59" t="s">
        <v>7</v>
      </c>
    </row>
    <row r="481" spans="1:21" ht="15.75" customHeight="1" x14ac:dyDescent="0.3">
      <c r="A481" s="76" t="s">
        <v>454</v>
      </c>
      <c r="B481" s="1"/>
      <c r="C481" s="1"/>
      <c r="D481" s="1"/>
      <c r="E481" s="59">
        <f t="shared" ref="E481:E486" si="192">SUM(B481:D481)</f>
        <v>0</v>
      </c>
      <c r="F481" s="1"/>
      <c r="G481" s="1"/>
      <c r="H481" s="1"/>
      <c r="I481" s="59">
        <f t="shared" ref="I481:I486" si="193">SUM(F481:H481)</f>
        <v>0</v>
      </c>
      <c r="J481" s="1"/>
      <c r="K481" s="1"/>
      <c r="L481" s="1"/>
      <c r="M481" s="59">
        <f t="shared" ref="M481:M486" si="194">SUM(J481:L481)</f>
        <v>0</v>
      </c>
      <c r="N481" s="1"/>
      <c r="O481" s="1"/>
      <c r="P481" s="1"/>
      <c r="Q481" s="59">
        <f t="shared" ref="Q481:Q486" si="195">SUM(N481:P481)</f>
        <v>0</v>
      </c>
      <c r="R481" s="59">
        <f t="shared" ref="R481:R486" si="196">+E481+I481+M481+Q481</f>
        <v>0</v>
      </c>
      <c r="T481" s="4" t="s">
        <v>317</v>
      </c>
    </row>
    <row r="482" spans="1:21" ht="15.75" customHeight="1" x14ac:dyDescent="0.3">
      <c r="A482" s="76" t="s">
        <v>455</v>
      </c>
      <c r="B482" s="1"/>
      <c r="C482" s="1"/>
      <c r="D482" s="1"/>
      <c r="E482" s="59">
        <f t="shared" ref="E482" si="197">SUM(B482:D482)</f>
        <v>0</v>
      </c>
      <c r="F482" s="1"/>
      <c r="G482" s="1"/>
      <c r="H482" s="1"/>
      <c r="I482" s="59">
        <f t="shared" si="193"/>
        <v>0</v>
      </c>
      <c r="J482" s="1"/>
      <c r="K482" s="1"/>
      <c r="L482" s="1"/>
      <c r="M482" s="59">
        <f t="shared" si="194"/>
        <v>0</v>
      </c>
      <c r="N482" s="1"/>
      <c r="O482" s="1"/>
      <c r="P482" s="1"/>
      <c r="Q482" s="59">
        <f t="shared" si="195"/>
        <v>0</v>
      </c>
      <c r="R482" s="59">
        <f t="shared" si="196"/>
        <v>0</v>
      </c>
      <c r="T482" s="4" t="s">
        <v>317</v>
      </c>
    </row>
    <row r="483" spans="1:21" ht="15.75" customHeight="1" x14ac:dyDescent="0.3">
      <c r="A483" s="76" t="s">
        <v>456</v>
      </c>
      <c r="B483" s="1"/>
      <c r="C483" s="1"/>
      <c r="D483" s="1"/>
      <c r="E483" s="59">
        <f t="shared" si="192"/>
        <v>0</v>
      </c>
      <c r="F483" s="1"/>
      <c r="G483" s="1"/>
      <c r="H483" s="1"/>
      <c r="I483" s="59">
        <f t="shared" si="193"/>
        <v>0</v>
      </c>
      <c r="J483" s="1"/>
      <c r="K483" s="1"/>
      <c r="L483" s="1"/>
      <c r="M483" s="59">
        <f t="shared" si="194"/>
        <v>0</v>
      </c>
      <c r="N483" s="1"/>
      <c r="O483" s="1"/>
      <c r="P483" s="1"/>
      <c r="Q483" s="59">
        <f t="shared" si="195"/>
        <v>0</v>
      </c>
      <c r="R483" s="59">
        <f t="shared" si="196"/>
        <v>0</v>
      </c>
      <c r="T483" s="4" t="s">
        <v>331</v>
      </c>
    </row>
    <row r="484" spans="1:21" ht="15.75" customHeight="1" x14ac:dyDescent="0.3">
      <c r="A484" s="76" t="s">
        <v>457</v>
      </c>
      <c r="B484" s="1"/>
      <c r="C484" s="1"/>
      <c r="D484" s="1"/>
      <c r="E484" s="59">
        <f t="shared" si="192"/>
        <v>0</v>
      </c>
      <c r="F484" s="1"/>
      <c r="G484" s="1"/>
      <c r="H484" s="1"/>
      <c r="I484" s="59">
        <f t="shared" si="193"/>
        <v>0</v>
      </c>
      <c r="J484" s="1"/>
      <c r="K484" s="1"/>
      <c r="L484" s="1"/>
      <c r="M484" s="59">
        <f t="shared" si="194"/>
        <v>0</v>
      </c>
      <c r="N484" s="1"/>
      <c r="O484" s="1"/>
      <c r="P484" s="1"/>
      <c r="Q484" s="59">
        <f t="shared" si="195"/>
        <v>0</v>
      </c>
      <c r="R484" s="59">
        <f t="shared" si="196"/>
        <v>0</v>
      </c>
    </row>
    <row r="485" spans="1:21" ht="15.75" customHeight="1" x14ac:dyDescent="0.3">
      <c r="A485" s="76" t="s">
        <v>458</v>
      </c>
      <c r="B485" s="1"/>
      <c r="C485" s="1"/>
      <c r="D485" s="1"/>
      <c r="E485" s="59">
        <f t="shared" si="192"/>
        <v>0</v>
      </c>
      <c r="F485" s="1"/>
      <c r="G485" s="1"/>
      <c r="H485" s="1"/>
      <c r="I485" s="59">
        <f t="shared" si="193"/>
        <v>0</v>
      </c>
      <c r="J485" s="1"/>
      <c r="K485" s="1"/>
      <c r="L485" s="1"/>
      <c r="M485" s="59">
        <f t="shared" si="194"/>
        <v>0</v>
      </c>
      <c r="N485" s="1"/>
      <c r="O485" s="1"/>
      <c r="P485" s="1"/>
      <c r="Q485" s="59">
        <f t="shared" si="195"/>
        <v>0</v>
      </c>
      <c r="R485" s="59">
        <f t="shared" si="196"/>
        <v>0</v>
      </c>
    </row>
    <row r="486" spans="1:21" ht="15.75" customHeight="1" x14ac:dyDescent="0.3">
      <c r="A486" s="76" t="s">
        <v>459</v>
      </c>
      <c r="B486" s="1"/>
      <c r="C486" s="1"/>
      <c r="D486" s="1"/>
      <c r="E486" s="59">
        <f t="shared" si="192"/>
        <v>0</v>
      </c>
      <c r="F486" s="1"/>
      <c r="G486" s="1"/>
      <c r="H486" s="1"/>
      <c r="I486" s="59">
        <f t="shared" si="193"/>
        <v>0</v>
      </c>
      <c r="J486" s="1"/>
      <c r="K486" s="1"/>
      <c r="L486" s="1"/>
      <c r="M486" s="59">
        <f t="shared" si="194"/>
        <v>0</v>
      </c>
      <c r="N486" s="1"/>
      <c r="O486" s="1"/>
      <c r="P486" s="1"/>
      <c r="Q486" s="59">
        <f t="shared" si="195"/>
        <v>0</v>
      </c>
      <c r="R486" s="59">
        <f t="shared" si="196"/>
        <v>0</v>
      </c>
      <c r="T486" s="4" t="s">
        <v>317</v>
      </c>
    </row>
    <row r="487" spans="1:21" ht="15.75" customHeight="1" x14ac:dyDescent="0.3">
      <c r="A487" s="17" t="s">
        <v>67</v>
      </c>
      <c r="B487" s="1"/>
      <c r="C487" s="1"/>
      <c r="D487" s="1"/>
      <c r="E487" s="59" t="s">
        <v>7</v>
      </c>
      <c r="F487" s="1"/>
      <c r="G487" s="1"/>
      <c r="H487" s="1"/>
      <c r="I487" s="59" t="s">
        <v>7</v>
      </c>
      <c r="J487" s="1"/>
      <c r="K487" s="1"/>
      <c r="L487" s="1"/>
      <c r="M487" s="59" t="s">
        <v>7</v>
      </c>
      <c r="N487" s="1"/>
      <c r="O487" s="1"/>
      <c r="P487" s="1"/>
      <c r="Q487" s="59" t="s">
        <v>7</v>
      </c>
      <c r="R487" s="59" t="s">
        <v>7</v>
      </c>
    </row>
    <row r="488" spans="1:21" ht="15.75" customHeight="1" x14ac:dyDescent="0.3">
      <c r="A488" s="76" t="s">
        <v>460</v>
      </c>
      <c r="B488" s="1"/>
      <c r="C488" s="1"/>
      <c r="D488" s="1"/>
      <c r="E488" s="59">
        <f>SUM(B488:D488)</f>
        <v>0</v>
      </c>
      <c r="F488" s="1"/>
      <c r="G488" s="1"/>
      <c r="H488" s="1"/>
      <c r="I488" s="59">
        <f>SUM(F488:H488)</f>
        <v>0</v>
      </c>
      <c r="J488" s="1"/>
      <c r="K488" s="1"/>
      <c r="L488" s="1"/>
      <c r="M488" s="59">
        <f>SUM(J488:L488)</f>
        <v>0</v>
      </c>
      <c r="N488" s="1"/>
      <c r="O488" s="1"/>
      <c r="P488" s="1"/>
      <c r="Q488" s="59">
        <f>SUM(N488:P488)</f>
        <v>0</v>
      </c>
      <c r="R488" s="59">
        <f>+E488+I488+M488+Q488</f>
        <v>0</v>
      </c>
      <c r="T488" s="4" t="s">
        <v>305</v>
      </c>
    </row>
    <row r="489" spans="1:21" ht="15.75" customHeight="1" x14ac:dyDescent="0.3">
      <c r="A489" s="76" t="s">
        <v>461</v>
      </c>
      <c r="B489" s="1"/>
      <c r="C489" s="1"/>
      <c r="D489" s="1"/>
      <c r="E489" s="59">
        <f>SUM(B489:D489)</f>
        <v>0</v>
      </c>
      <c r="F489" s="1"/>
      <c r="G489" s="1"/>
      <c r="H489" s="1"/>
      <c r="I489" s="59">
        <f>SUM(F489:H489)</f>
        <v>0</v>
      </c>
      <c r="J489" s="1"/>
      <c r="K489" s="1"/>
      <c r="L489" s="1"/>
      <c r="M489" s="59">
        <f>SUM(J489:L489)</f>
        <v>0</v>
      </c>
      <c r="N489" s="1"/>
      <c r="O489" s="1"/>
      <c r="P489" s="1"/>
      <c r="Q489" s="59">
        <f>SUM(N489:P489)</f>
        <v>0</v>
      </c>
      <c r="R489" s="59">
        <f>+E489+I489+M489+Q489</f>
        <v>0</v>
      </c>
      <c r="T489" s="4" t="s">
        <v>305</v>
      </c>
    </row>
    <row r="490" spans="1:21" ht="15.75" customHeight="1" x14ac:dyDescent="0.3">
      <c r="A490" s="76" t="s">
        <v>462</v>
      </c>
      <c r="B490" s="1"/>
      <c r="C490" s="1"/>
      <c r="D490" s="1"/>
      <c r="E490" s="59">
        <f>SUM(B490:D490)</f>
        <v>0</v>
      </c>
      <c r="F490" s="1"/>
      <c r="G490" s="1"/>
      <c r="H490" s="1"/>
      <c r="I490" s="59">
        <f>SUM(F490:H490)</f>
        <v>0</v>
      </c>
      <c r="J490" s="1"/>
      <c r="K490" s="1"/>
      <c r="L490" s="1"/>
      <c r="M490" s="59">
        <f>SUM(J490:L490)</f>
        <v>0</v>
      </c>
      <c r="N490" s="1"/>
      <c r="O490" s="1"/>
      <c r="P490" s="1"/>
      <c r="Q490" s="59">
        <f>SUM(N490:P490)</f>
        <v>0</v>
      </c>
      <c r="R490" s="59">
        <f>+E490+I490+M490+Q490</f>
        <v>0</v>
      </c>
    </row>
    <row r="491" spans="1:21" ht="15.75" customHeight="1" x14ac:dyDescent="0.3">
      <c r="A491" s="76" t="s">
        <v>463</v>
      </c>
      <c r="B491" s="1"/>
      <c r="C491" s="1"/>
      <c r="D491" s="1"/>
      <c r="E491" s="59">
        <f>SUM(B491:D491)</f>
        <v>0</v>
      </c>
      <c r="F491" s="1"/>
      <c r="G491" s="1"/>
      <c r="H491" s="1"/>
      <c r="I491" s="59">
        <f>SUM(F491:H491)</f>
        <v>0</v>
      </c>
      <c r="J491" s="1"/>
      <c r="K491" s="1"/>
      <c r="L491" s="1"/>
      <c r="M491" s="59">
        <f>SUM(J491:L491)</f>
        <v>0</v>
      </c>
      <c r="N491" s="1"/>
      <c r="O491" s="1"/>
      <c r="P491" s="1"/>
      <c r="Q491" s="59">
        <f>SUM(N491:P491)</f>
        <v>0</v>
      </c>
      <c r="R491" s="59">
        <f>+E491+I491+M491+Q491</f>
        <v>0</v>
      </c>
    </row>
    <row r="492" spans="1:21" ht="15.75" customHeight="1" x14ac:dyDescent="0.3">
      <c r="A492" s="76" t="s">
        <v>464</v>
      </c>
      <c r="B492" s="1"/>
      <c r="C492" s="1"/>
      <c r="D492" s="1"/>
      <c r="E492" s="59">
        <f t="shared" ref="E492" si="198">SUM(B492:D492)</f>
        <v>0</v>
      </c>
      <c r="F492" s="1"/>
      <c r="G492" s="1"/>
      <c r="H492" s="1"/>
      <c r="I492" s="59">
        <f t="shared" ref="I492" si="199">SUM(F492:H492)</f>
        <v>0</v>
      </c>
      <c r="J492" s="1"/>
      <c r="K492" s="1"/>
      <c r="L492" s="1"/>
      <c r="M492" s="59">
        <f t="shared" ref="M492" si="200">SUM(J492:L492)</f>
        <v>0</v>
      </c>
      <c r="N492" s="1"/>
      <c r="O492" s="1"/>
      <c r="P492" s="1"/>
      <c r="Q492" s="59">
        <f t="shared" ref="Q492:Q503" si="201">SUM(N492:P492)</f>
        <v>0</v>
      </c>
      <c r="R492" s="59">
        <f t="shared" ref="R492:R503" si="202">+E492+I492+M492+Q492</f>
        <v>0</v>
      </c>
    </row>
    <row r="493" spans="1:21" ht="15.75" customHeight="1" x14ac:dyDescent="0.3">
      <c r="A493" s="76" t="s">
        <v>465</v>
      </c>
      <c r="B493" s="1"/>
      <c r="C493" s="1"/>
      <c r="D493" s="1"/>
      <c r="E493" s="59">
        <f>SUM(B493:D493)</f>
        <v>0</v>
      </c>
      <c r="F493" s="1"/>
      <c r="G493" s="1"/>
      <c r="H493" s="1"/>
      <c r="I493" s="59">
        <f>SUM(F493:H493)</f>
        <v>0</v>
      </c>
      <c r="J493" s="1"/>
      <c r="K493" s="1"/>
      <c r="L493" s="1"/>
      <c r="M493" s="59">
        <f>SUM(J493:L493)</f>
        <v>0</v>
      </c>
      <c r="N493" s="1"/>
      <c r="O493" s="1"/>
      <c r="P493" s="1"/>
      <c r="Q493" s="59">
        <f>SUM(N493:P493)</f>
        <v>0</v>
      </c>
      <c r="R493" s="59">
        <f>+E493+I493+M493+Q493</f>
        <v>0</v>
      </c>
    </row>
    <row r="494" spans="1:21" ht="15.75" customHeight="1" x14ac:dyDescent="0.3">
      <c r="A494" s="76" t="s">
        <v>466</v>
      </c>
      <c r="B494" s="1"/>
      <c r="C494" s="1"/>
      <c r="D494" s="1"/>
      <c r="E494" s="59">
        <f>SUM(B494:D494)</f>
        <v>0</v>
      </c>
      <c r="F494" s="1"/>
      <c r="G494" s="1"/>
      <c r="H494" s="1"/>
      <c r="I494" s="59">
        <f>SUM(F494:H494)</f>
        <v>0</v>
      </c>
      <c r="J494" s="1"/>
      <c r="K494" s="1"/>
      <c r="L494" s="1"/>
      <c r="M494" s="59">
        <f>SUM(J494:L494)</f>
        <v>0</v>
      </c>
      <c r="N494" s="1"/>
      <c r="O494" s="1"/>
      <c r="P494" s="1"/>
      <c r="Q494" s="59">
        <f>SUM(N494:P494)</f>
        <v>0</v>
      </c>
      <c r="R494" s="59">
        <f>+E494+I494+M494+Q494</f>
        <v>0</v>
      </c>
      <c r="T494" s="4" t="s">
        <v>305</v>
      </c>
      <c r="U494" s="20"/>
    </row>
    <row r="495" spans="1:21" ht="15.75" customHeight="1" x14ac:dyDescent="0.3">
      <c r="A495" s="76" t="s">
        <v>467</v>
      </c>
      <c r="B495" s="1"/>
      <c r="C495" s="1"/>
      <c r="D495" s="1"/>
      <c r="E495" s="59">
        <f>SUM(B495:D495)</f>
        <v>0</v>
      </c>
      <c r="F495" s="1"/>
      <c r="G495" s="1"/>
      <c r="H495" s="1"/>
      <c r="I495" s="59">
        <f>SUM(F495:H495)</f>
        <v>0</v>
      </c>
      <c r="J495" s="1"/>
      <c r="K495" s="1"/>
      <c r="L495" s="1"/>
      <c r="M495" s="59">
        <f>SUM(J495:L495)</f>
        <v>0</v>
      </c>
      <c r="N495" s="1"/>
      <c r="O495" s="1"/>
      <c r="P495" s="1"/>
      <c r="Q495" s="59">
        <f>SUM(N495:P495)</f>
        <v>0</v>
      </c>
      <c r="R495" s="59">
        <f>+E495+I495+M495+Q495</f>
        <v>0</v>
      </c>
    </row>
    <row r="496" spans="1:21" ht="15.75" customHeight="1" x14ac:dyDescent="0.3">
      <c r="A496" s="76" t="s">
        <v>468</v>
      </c>
      <c r="B496" s="1"/>
      <c r="C496" s="1"/>
      <c r="D496" s="1"/>
      <c r="E496" s="59">
        <f>SUM(B496:D496)</f>
        <v>0</v>
      </c>
      <c r="F496" s="1"/>
      <c r="G496" s="1"/>
      <c r="H496" s="1"/>
      <c r="I496" s="59">
        <f>SUM(F496:H496)</f>
        <v>0</v>
      </c>
      <c r="J496" s="1"/>
      <c r="K496" s="1"/>
      <c r="L496" s="1"/>
      <c r="M496" s="59">
        <f>SUM(J496:L496)</f>
        <v>0</v>
      </c>
      <c r="N496" s="1"/>
      <c r="O496" s="1"/>
      <c r="P496" s="1"/>
      <c r="Q496" s="59">
        <f>SUM(N496:P496)</f>
        <v>0</v>
      </c>
      <c r="R496" s="59">
        <f>+E496+I496+M496+Q496</f>
        <v>0</v>
      </c>
      <c r="T496" s="4" t="s">
        <v>331</v>
      </c>
    </row>
    <row r="497" spans="1:20" ht="15.75" customHeight="1" thickBot="1" x14ac:dyDescent="0.35">
      <c r="A497" s="76" t="s">
        <v>469</v>
      </c>
      <c r="B497" s="1"/>
      <c r="C497" s="1"/>
      <c r="D497" s="1"/>
      <c r="E497" s="59">
        <f>SUM(B497:D497)</f>
        <v>0</v>
      </c>
      <c r="F497" s="1"/>
      <c r="G497" s="1"/>
      <c r="H497" s="1"/>
      <c r="I497" s="59">
        <f>SUM(F497:H497)</f>
        <v>0</v>
      </c>
      <c r="J497" s="1"/>
      <c r="K497" s="1"/>
      <c r="L497" s="1"/>
      <c r="M497" s="59">
        <f>SUM(J497:L497)</f>
        <v>0</v>
      </c>
      <c r="N497" s="1"/>
      <c r="O497" s="1"/>
      <c r="P497" s="1"/>
      <c r="Q497" s="59">
        <f>SUM(N497:P497)</f>
        <v>0</v>
      </c>
      <c r="R497" s="59">
        <f>+E497+I497+M497+Q497</f>
        <v>0</v>
      </c>
      <c r="T497" s="4" t="s">
        <v>331</v>
      </c>
    </row>
    <row r="498" spans="1:20" ht="16.5" customHeight="1" thickBot="1" x14ac:dyDescent="0.35">
      <c r="A498" s="62" t="s">
        <v>68</v>
      </c>
      <c r="B498" s="63">
        <f>SUM(B480:B497)</f>
        <v>0</v>
      </c>
      <c r="C498" s="63">
        <f>SUM(C480:C497)</f>
        <v>0</v>
      </c>
      <c r="D498" s="63">
        <f>SUM(D480:D497)</f>
        <v>0</v>
      </c>
      <c r="E498" s="65">
        <f t="shared" ref="E498:E503" si="203">SUM(B498:D498)</f>
        <v>0</v>
      </c>
      <c r="F498" s="63">
        <f>SUM(F480:F497)</f>
        <v>0</v>
      </c>
      <c r="G498" s="63">
        <f>SUM(G480:G497)</f>
        <v>0</v>
      </c>
      <c r="H498" s="63">
        <f>SUM(H480:H497)</f>
        <v>0</v>
      </c>
      <c r="I498" s="65">
        <f t="shared" ref="I498:I503" si="204">SUM(F498:H498)</f>
        <v>0</v>
      </c>
      <c r="J498" s="63">
        <f>SUM(J480:J497)</f>
        <v>0</v>
      </c>
      <c r="K498" s="63">
        <f>SUM(K480:K497)</f>
        <v>0</v>
      </c>
      <c r="L498" s="63">
        <f>SUM(L480:L497)</f>
        <v>0</v>
      </c>
      <c r="M498" s="65">
        <f t="shared" ref="M498:M503" si="205">SUM(J498:L498)</f>
        <v>0</v>
      </c>
      <c r="N498" s="63">
        <f>SUM(N480:N497)</f>
        <v>0</v>
      </c>
      <c r="O498" s="63">
        <f>SUM(O480:O497)</f>
        <v>0</v>
      </c>
      <c r="P498" s="63">
        <f>SUM(P480:P497)</f>
        <v>0</v>
      </c>
      <c r="Q498" s="65">
        <f t="shared" si="201"/>
        <v>0</v>
      </c>
      <c r="R498" s="64">
        <f t="shared" si="202"/>
        <v>0</v>
      </c>
    </row>
    <row r="499" spans="1:20" ht="16.5" customHeight="1" thickBot="1" x14ac:dyDescent="0.35">
      <c r="A499" s="137" t="s">
        <v>69</v>
      </c>
      <c r="B499" s="100">
        <f>SUM(B474:B497)</f>
        <v>0</v>
      </c>
      <c r="C499" s="101">
        <f>SUM(C474:C497)</f>
        <v>0</v>
      </c>
      <c r="D499" s="138">
        <f>SUM(D474:D497)</f>
        <v>0</v>
      </c>
      <c r="E499" s="65">
        <f t="shared" si="203"/>
        <v>0</v>
      </c>
      <c r="F499" s="101">
        <f>SUM(F474:F497)</f>
        <v>0</v>
      </c>
      <c r="G499" s="101">
        <f>SUM(G474:G497)</f>
        <v>0</v>
      </c>
      <c r="H499" s="101">
        <f>SUM(H474:H497)</f>
        <v>0</v>
      </c>
      <c r="I499" s="65">
        <f t="shared" si="204"/>
        <v>0</v>
      </c>
      <c r="J499" s="101">
        <f>SUM(J474:J497)</f>
        <v>0</v>
      </c>
      <c r="K499" s="101">
        <f>SUM(K474:K497)</f>
        <v>0</v>
      </c>
      <c r="L499" s="101">
        <f>SUM(L474:L497)</f>
        <v>0</v>
      </c>
      <c r="M499" s="65">
        <f t="shared" si="205"/>
        <v>0</v>
      </c>
      <c r="N499" s="101">
        <f>SUM(N474:N497)</f>
        <v>0</v>
      </c>
      <c r="O499" s="101">
        <f>SUM(O474:O497)</f>
        <v>0</v>
      </c>
      <c r="P499" s="101">
        <f>SUM(P474:P497)</f>
        <v>0</v>
      </c>
      <c r="Q499" s="65">
        <f t="shared" si="201"/>
        <v>0</v>
      </c>
      <c r="R499" s="64">
        <f t="shared" si="202"/>
        <v>0</v>
      </c>
    </row>
    <row r="500" spans="1:20" ht="16.5" customHeight="1" thickBot="1" x14ac:dyDescent="0.35">
      <c r="A500" s="62" t="s">
        <v>70</v>
      </c>
      <c r="B500" s="107">
        <f>+B390+B404+B473+B499</f>
        <v>24689</v>
      </c>
      <c r="C500" s="63">
        <f>+C390+C404+C473+C499</f>
        <v>28813</v>
      </c>
      <c r="D500" s="63">
        <f>+D390+D404+D473+D499</f>
        <v>47741</v>
      </c>
      <c r="E500" s="64">
        <f t="shared" si="203"/>
        <v>101243</v>
      </c>
      <c r="F500" s="63">
        <f>+F390+F404+F473+F499</f>
        <v>64967</v>
      </c>
      <c r="G500" s="63">
        <f>+G390+G404+G473+G499</f>
        <v>68015</v>
      </c>
      <c r="H500" s="63">
        <f>+H390+H404+H473+H499</f>
        <v>94835</v>
      </c>
      <c r="I500" s="64">
        <f t="shared" si="204"/>
        <v>227817</v>
      </c>
      <c r="J500" s="63">
        <f>+J390+J404+J473+J499</f>
        <v>64209</v>
      </c>
      <c r="K500" s="63">
        <f>+K390+K404+K473+K499</f>
        <v>52468</v>
      </c>
      <c r="L500" s="63">
        <f>+L390+L404+L473+L499</f>
        <v>40648</v>
      </c>
      <c r="M500" s="64">
        <f t="shared" si="205"/>
        <v>157325</v>
      </c>
      <c r="N500" s="63">
        <f>+N390+N404+N473+N499</f>
        <v>32974</v>
      </c>
      <c r="O500" s="63">
        <f>+O390+O404+O473+O499</f>
        <v>26073</v>
      </c>
      <c r="P500" s="63">
        <f>+P390+P404+P473+P499</f>
        <v>13370</v>
      </c>
      <c r="Q500" s="64">
        <f t="shared" si="201"/>
        <v>72417</v>
      </c>
      <c r="R500" s="88">
        <f t="shared" si="202"/>
        <v>558802</v>
      </c>
    </row>
    <row r="501" spans="1:20" ht="15.75" customHeight="1" x14ac:dyDescent="0.3">
      <c r="A501" s="74" t="s">
        <v>470</v>
      </c>
      <c r="B501" s="1"/>
      <c r="C501" s="1"/>
      <c r="D501" s="1"/>
      <c r="E501" s="59">
        <f t="shared" si="203"/>
        <v>0</v>
      </c>
      <c r="F501" s="1"/>
      <c r="G501" s="1"/>
      <c r="H501" s="1"/>
      <c r="I501" s="59">
        <f t="shared" si="204"/>
        <v>0</v>
      </c>
      <c r="J501" s="1"/>
      <c r="K501" s="1"/>
      <c r="L501" s="1"/>
      <c r="M501" s="59">
        <f t="shared" si="205"/>
        <v>0</v>
      </c>
      <c r="N501" s="1"/>
      <c r="O501" s="1"/>
      <c r="P501" s="1"/>
      <c r="Q501" s="59">
        <f t="shared" si="201"/>
        <v>0</v>
      </c>
      <c r="R501" s="59">
        <f t="shared" si="202"/>
        <v>0</v>
      </c>
    </row>
    <row r="502" spans="1:20" ht="15.75" customHeight="1" x14ac:dyDescent="0.3">
      <c r="A502" s="74" t="s">
        <v>471</v>
      </c>
      <c r="B502" s="1"/>
      <c r="C502" s="1"/>
      <c r="D502" s="1"/>
      <c r="E502" s="59">
        <f t="shared" si="203"/>
        <v>0</v>
      </c>
      <c r="F502" s="1"/>
      <c r="G502" s="1"/>
      <c r="H502" s="1"/>
      <c r="I502" s="59">
        <f t="shared" si="204"/>
        <v>0</v>
      </c>
      <c r="J502" s="1"/>
      <c r="K502" s="1"/>
      <c r="L502" s="1"/>
      <c r="M502" s="59">
        <f t="shared" si="205"/>
        <v>0</v>
      </c>
      <c r="N502" s="1"/>
      <c r="O502" s="1"/>
      <c r="P502" s="1"/>
      <c r="Q502" s="59">
        <f t="shared" si="201"/>
        <v>0</v>
      </c>
      <c r="R502" s="59">
        <f t="shared" si="202"/>
        <v>0</v>
      </c>
    </row>
    <row r="503" spans="1:20" ht="16.5" customHeight="1" thickBot="1" x14ac:dyDescent="0.35">
      <c r="A503" s="79" t="s">
        <v>37</v>
      </c>
      <c r="B503" s="25">
        <v>155</v>
      </c>
      <c r="C503" s="25">
        <v>283</v>
      </c>
      <c r="D503" s="25">
        <v>435</v>
      </c>
      <c r="E503" s="88">
        <f t="shared" si="203"/>
        <v>873</v>
      </c>
      <c r="F503" s="25">
        <v>602</v>
      </c>
      <c r="G503" s="25">
        <v>711</v>
      </c>
      <c r="H503" s="25">
        <v>722</v>
      </c>
      <c r="I503" s="88">
        <f t="shared" si="204"/>
        <v>2035</v>
      </c>
      <c r="J503" s="25">
        <v>686</v>
      </c>
      <c r="K503" s="25">
        <v>519</v>
      </c>
      <c r="L503" s="25">
        <v>531</v>
      </c>
      <c r="M503" s="88">
        <f t="shared" si="205"/>
        <v>1736</v>
      </c>
      <c r="N503" s="25">
        <v>489</v>
      </c>
      <c r="O503" s="25">
        <v>389</v>
      </c>
      <c r="P503" s="25">
        <v>275</v>
      </c>
      <c r="Q503" s="88">
        <f t="shared" si="201"/>
        <v>1153</v>
      </c>
      <c r="R503" s="59">
        <f t="shared" si="202"/>
        <v>5797</v>
      </c>
    </row>
    <row r="504" spans="1:20" ht="16.5" customHeight="1" thickBot="1" x14ac:dyDescent="0.35">
      <c r="A504" s="80"/>
      <c r="B504" s="81"/>
      <c r="C504" s="81"/>
      <c r="D504" s="81"/>
      <c r="E504" s="64"/>
      <c r="F504" s="81"/>
      <c r="G504" s="81"/>
      <c r="H504" s="81"/>
      <c r="I504" s="64"/>
      <c r="J504" s="81"/>
      <c r="K504" s="81"/>
      <c r="L504" s="81"/>
      <c r="M504" s="64"/>
      <c r="N504" s="81"/>
      <c r="O504" s="81"/>
      <c r="P504" s="81"/>
      <c r="Q504" s="64"/>
      <c r="R504" s="64" t="s">
        <v>7</v>
      </c>
    </row>
    <row r="505" spans="1:20" ht="15.75" customHeight="1" x14ac:dyDescent="0.3">
      <c r="A505" s="82" t="s">
        <v>38</v>
      </c>
      <c r="B505" s="83">
        <f>SUM(B500:B503)</f>
        <v>24844</v>
      </c>
      <c r="C505" s="83">
        <f>SUM(C500:C503)</f>
        <v>29096</v>
      </c>
      <c r="D505" s="83">
        <f>SUM(D500:D503)</f>
        <v>48176</v>
      </c>
      <c r="E505" s="65">
        <f>SUM(B505:D505)</f>
        <v>102116</v>
      </c>
      <c r="F505" s="83">
        <f>SUM(F500:F503)</f>
        <v>65569</v>
      </c>
      <c r="G505" s="83">
        <f>SUM(G500:G503)</f>
        <v>68726</v>
      </c>
      <c r="H505" s="83">
        <f>SUM(H500:H503)</f>
        <v>95557</v>
      </c>
      <c r="I505" s="65">
        <f>SUM(F505:H505)</f>
        <v>229852</v>
      </c>
      <c r="J505" s="83">
        <f>SUM(J500:J503)</f>
        <v>64895</v>
      </c>
      <c r="K505" s="83">
        <f>SUM(K500:K503)</f>
        <v>52987</v>
      </c>
      <c r="L505" s="83">
        <f>SUM(L500:L503)</f>
        <v>41179</v>
      </c>
      <c r="M505" s="65">
        <f>SUM(J505:L505)</f>
        <v>159061</v>
      </c>
      <c r="N505" s="83">
        <f>SUM(N500:N503)</f>
        <v>33463</v>
      </c>
      <c r="O505" s="83">
        <f>SUM(O500:O503)</f>
        <v>26462</v>
      </c>
      <c r="P505" s="83">
        <f>SUM(P500:P503)</f>
        <v>13645</v>
      </c>
      <c r="Q505" s="65">
        <f>SUM(N505:P505)</f>
        <v>73570</v>
      </c>
      <c r="R505" s="65">
        <f>+E505+I505+M505+Q505</f>
        <v>564599</v>
      </c>
    </row>
    <row r="506" spans="1:20" ht="15.75" customHeight="1" x14ac:dyDescent="0.3">
      <c r="A506" s="85" t="s">
        <v>39</v>
      </c>
      <c r="B506" s="1">
        <f>(B505/B10)/1.983</f>
        <v>404.14490914710518</v>
      </c>
      <c r="C506" s="1">
        <f>(C505/C10)/1.983</f>
        <v>505.95579668562084</v>
      </c>
      <c r="D506" s="1">
        <f>(D505/D10)/1.983</f>
        <v>783.693654124575</v>
      </c>
      <c r="E506" s="59" t="s">
        <v>7</v>
      </c>
      <c r="F506" s="1">
        <f>(F505/F10)/1.983</f>
        <v>1102.1852412170113</v>
      </c>
      <c r="G506" s="1">
        <f>(G505/G10)/1.983</f>
        <v>1117.986758414263</v>
      </c>
      <c r="H506" s="1">
        <f>(H505/H10)/1.983</f>
        <v>1606.2699613380398</v>
      </c>
      <c r="I506" s="59" t="s">
        <v>7</v>
      </c>
      <c r="J506" s="1">
        <f>(J505/J10)/1.983</f>
        <v>1055.6667154685797</v>
      </c>
      <c r="K506" s="1">
        <f>(K505/K10)/1.983</f>
        <v>861.95565532835553</v>
      </c>
      <c r="L506" s="1">
        <f>(L505/L10)/1.983</f>
        <v>692.20036981005217</v>
      </c>
      <c r="M506" s="59" t="s">
        <v>7</v>
      </c>
      <c r="N506" s="1">
        <f>(N505/N10)/1.983</f>
        <v>544.3528052966343</v>
      </c>
      <c r="O506" s="1">
        <f>(O505/O10)/1.983</f>
        <v>444.81425449655404</v>
      </c>
      <c r="P506" s="1">
        <f>(P505/P10)/1.983</f>
        <v>221.96736778748394</v>
      </c>
      <c r="Q506" s="59" t="s">
        <v>7</v>
      </c>
      <c r="R506" s="59" t="s">
        <v>7</v>
      </c>
    </row>
    <row r="507" spans="1:20" ht="15.75" customHeight="1" x14ac:dyDescent="0.3">
      <c r="A507" s="85" t="s">
        <v>472</v>
      </c>
      <c r="B507" s="1">
        <f>B505+B557</f>
        <v>41057</v>
      </c>
      <c r="C507" s="1">
        <f>C505+C557</f>
        <v>52531</v>
      </c>
      <c r="D507" s="1">
        <f>D505+D557</f>
        <v>82468</v>
      </c>
      <c r="E507" s="59">
        <f>SUM(B507:D507)</f>
        <v>176056</v>
      </c>
      <c r="F507" s="1">
        <f>F505+F557</f>
        <v>107489</v>
      </c>
      <c r="G507" s="1">
        <f>G505+G557</f>
        <v>104448</v>
      </c>
      <c r="H507" s="1">
        <f>H505+H557</f>
        <v>140316</v>
      </c>
      <c r="I507" s="59">
        <f>SUM(F507:H507)</f>
        <v>352253</v>
      </c>
      <c r="J507" s="1">
        <f>J505+J557</f>
        <v>109624</v>
      </c>
      <c r="K507" s="1">
        <f>K505+K557</f>
        <v>96897</v>
      </c>
      <c r="L507" s="1">
        <f>L505+L557</f>
        <v>67474</v>
      </c>
      <c r="M507" s="59">
        <f>SUM(J507:L507)</f>
        <v>273995</v>
      </c>
      <c r="N507" s="1">
        <f>N505+N557</f>
        <v>49813</v>
      </c>
      <c r="O507" s="1">
        <f>O505+O557</f>
        <v>32163</v>
      </c>
      <c r="P507" s="1">
        <f>P505+P557</f>
        <v>17276</v>
      </c>
      <c r="Q507" s="59">
        <f>SUM(N507:P507)</f>
        <v>99252</v>
      </c>
      <c r="R507" s="59">
        <f>+E507+I507+M507+Q507</f>
        <v>901556</v>
      </c>
    </row>
    <row r="508" spans="1:20" s="50" customFormat="1" ht="16.5" customHeight="1" thickBot="1" x14ac:dyDescent="0.35">
      <c r="A508" s="139" t="s">
        <v>473</v>
      </c>
      <c r="B508" s="140">
        <f>(B507/B10)/1.983</f>
        <v>667.8867144925415</v>
      </c>
      <c r="C508" s="140">
        <f>(C507/C10)/1.983</f>
        <v>913.47140348131529</v>
      </c>
      <c r="D508" s="140">
        <f>(D507/D10)/1.983</f>
        <v>1341.5320547232118</v>
      </c>
      <c r="E508" s="141" t="s">
        <v>7</v>
      </c>
      <c r="F508" s="140">
        <f>(F507/F10)/1.983</f>
        <v>1806.8414859640275</v>
      </c>
      <c r="G508" s="140">
        <f>(G507/G10)/1.983</f>
        <v>1699.0874042262458</v>
      </c>
      <c r="H508" s="140">
        <f>(H507/H10)/1.983</f>
        <v>2358.6485123550174</v>
      </c>
      <c r="I508" s="141" t="s">
        <v>7</v>
      </c>
      <c r="J508" s="140">
        <f>(J507/J10)/1.983</f>
        <v>1783.2869715159502</v>
      </c>
      <c r="K508" s="140">
        <f>(K507/K10)/1.983</f>
        <v>1576.2529891171732</v>
      </c>
      <c r="L508" s="140">
        <f>(L507/L10)/1.983</f>
        <v>1134.2074298201378</v>
      </c>
      <c r="M508" s="141" t="s">
        <v>7</v>
      </c>
      <c r="N508" s="140">
        <f>(N507/N10)/1.983</f>
        <v>810.32323133733496</v>
      </c>
      <c r="O508" s="140">
        <f>(O507/O10)/1.983</f>
        <v>540.64548663640937</v>
      </c>
      <c r="P508" s="140">
        <f>(P507/P10)/1.983</f>
        <v>281.03394986416799</v>
      </c>
      <c r="Q508" s="141" t="s">
        <v>7</v>
      </c>
      <c r="R508" s="141" t="s">
        <v>7</v>
      </c>
    </row>
    <row r="509" spans="1:20" ht="15.75" customHeight="1" x14ac:dyDescent="0.3">
      <c r="A509" s="142" t="s">
        <v>474</v>
      </c>
      <c r="B509" s="143">
        <f>B$510+(SUMIF($T$329:$T$484,"FLG",B$336:B$502)/B10/1.98)+(SUMIF($T$329:$T$484,"FCA",B$336:B$502)/B10/1.98)+(SUMIF($T$329:$T$484,"NSC",B$336:B$502)/B10/1.98)</f>
        <v>406.86660169603897</v>
      </c>
      <c r="C509" s="143">
        <f>C$510+(SUMIF($T$329:$T$484,"FLG",C$336:C$502)/C10/1.98)+(SUMIF($T$329:$T$484,"FCA",C$336:C$502)/C10/1.98)+(SUMIF($T$329:$T$484,"NSC",C$336:C$502)/C10/1.98)</f>
        <v>572.91093943240639</v>
      </c>
      <c r="D509" s="143">
        <f>D$510+(SUMIF($T$329:$T$484,"FLG",D$336:D$502)/D10/1.98)+(SUMIF($T$329:$T$484,"FCA",D$336:D$502)/D10/1.98)+(SUMIF($T$329:$T$484,"NSC",D$336:D$502)/D10/1.98)</f>
        <v>858.35974305546301</v>
      </c>
      <c r="E509" s="144"/>
      <c r="F509" s="143">
        <f>F$510+(SUMIF($T$329:$T$484,"FLG",F$336:F$502)/F10/1.98)+(SUMIF($T$329:$T$484,"FCA",F$336:F$502)/F10/1.98)+(SUMIF($T$329:$T$484,"NSC",F$336:F$502)/F10/1.98)</f>
        <v>1307.7875578783294</v>
      </c>
      <c r="G509" s="143">
        <f>G$510+(SUMIF($T$329:$T$484,"FLG",G$336:G$502)/G10/1.98)+(SUMIF($T$329:$T$484,"FCA",G$336:G$502)/G10/1.98)+(SUMIF($T$329:$T$484,"NSC",G$336:G$502)/G10/1.98)</f>
        <v>1171.3417666982643</v>
      </c>
      <c r="H509" s="143">
        <f>H$510+(SUMIF($T$329:$T$484,"FLG",H$336:H$502)/H10/1.98)+(SUMIF($T$329:$T$484,"FCA",H$336:H$502)/H10/1.98)+(SUMIF($T$329:$T$484,"NSC",H$336:H$502)/H10/1.98)</f>
        <v>1418.6916823301092</v>
      </c>
      <c r="I509" s="52"/>
      <c r="J509" s="143">
        <f>J$510+(SUMIF($T$329:$T$484,"FLG",J$336:J$502)/J10/1.98)+(SUMIF($T$329:$T$484,"FCA",J$336:J$502)/J10/1.98)+(SUMIF($T$329:$T$484,"NSC",J$336:J$502)/J10/1.98)</f>
        <v>1095.8020742291885</v>
      </c>
      <c r="K509" s="143">
        <f>K$510+(SUMIF($T$329:$T$484,"FLG",K$336:K$502)/K10/1.98)+(SUMIF($T$329:$T$484,"FCA",K$336:K$502)/K10/1.98)+(SUMIF($T$329:$T$484,"NSC",K$336:K$502)/K10/1.98)</f>
        <v>1039.3869395235849</v>
      </c>
      <c r="L509" s="143">
        <f>L$510+(SUMIF($T$329:$T$484,"FLG",L$336:L$502)/L10/1.98)+(SUMIF($T$329:$T$484,"FCA",L$336:L$502)/L10/1.98)+(SUMIF($T$329:$T$484,"NSC",L$336:L$502)/L10/1.98)</f>
        <v>674.36396236698806</v>
      </c>
      <c r="M509" s="52"/>
      <c r="N509" s="143">
        <f>N$510+(SUMIF($T$329:$T$484,"FLG",N$336:N$502)/N10/1.98)+(SUMIF($T$329:$T$484,"FCA",N$336:N$502)/N10/1.98)+(SUMIF($T$329:$T$484,"NSC",N$336:N$502)/N10/1.98)</f>
        <v>450.41161209479009</v>
      </c>
      <c r="O509" s="143">
        <f>O$510+(SUMIF($T$329:$T$484,"FLG",O$336:O$502)/O10/1.98)+(SUMIF($T$329:$T$484,"FCA",O$336:O$502)/O10/1.98)+(SUMIF($T$329:$T$484,"NSC",O$336:O$502)/O10/1.98)</f>
        <v>210.61237692100022</v>
      </c>
      <c r="P509" s="143">
        <f>P$510+(SUMIF($T$329:$T$484,"FLG",P$336:P$502)/P10/1.98)+(SUMIF($T$329:$T$484,"FCA",P$336:P$502)/P10/1.98)+(SUMIF($T$329:$T$484,"NSC",P$336:P$502)/P10/1.98)</f>
        <v>144.30607376778869</v>
      </c>
      <c r="Q509" s="52"/>
      <c r="R509" s="52"/>
    </row>
    <row r="510" spans="1:20" ht="15.75" customHeight="1" x14ac:dyDescent="0.3">
      <c r="A510" s="142" t="s">
        <v>475</v>
      </c>
      <c r="B510" s="143">
        <f>B$511+(SUMIF($T$329:$T$484,"FCI",B$336:B$502)/B10/1.98)+(SUMIF($T$329:$T$484,"FCC",B$336:B$502)/B10/1.98)</f>
        <v>406.86660169603897</v>
      </c>
      <c r="C510" s="143">
        <f>C$511+(SUMIF($T$329:$T$484,"FCI",C$336:C$502)/C10/1.98)+(SUMIF($T$329:$T$484,"FCC",C$336:C$502)/C10/1.98)</f>
        <v>572.91093943240639</v>
      </c>
      <c r="D510" s="143">
        <f>D$511+(SUMIF($T$329:$T$484,"FCI",D$336:D$502)/D10/1.98)+(SUMIF($T$329:$T$484,"FCC",D$336:D$502)/D10/1.98)</f>
        <v>858.35974305546301</v>
      </c>
      <c r="E510" s="144"/>
      <c r="F510" s="143">
        <f>F$511+(SUMIF($T$329:$T$484,"FCI",F$336:F$502)/F10/1.98)+(SUMIF($T$329:$T$484,"FCC",F$336:F$502)/F10/1.98)</f>
        <v>1307.7875578783294</v>
      </c>
      <c r="G510" s="143">
        <f>G$511+(SUMIF($T$329:$T$484,"FCI",G$336:G$502)/G10/1.98)+(SUMIF($T$329:$T$484,"FCC",G$336:G$502)/G10/1.98)</f>
        <v>1171.3417666982643</v>
      </c>
      <c r="H510" s="143">
        <f>H$511+(SUMIF($T$329:$T$484,"FCI",H$336:H$502)/H10/1.98)+(SUMIF($T$329:$T$484,"FCC",H$336:H$502)/H10/1.98)</f>
        <v>1418.6916823301092</v>
      </c>
      <c r="I510" s="52"/>
      <c r="J510" s="143">
        <f>J$511+(SUMIF($T$329:$T$484,"FCI",J$336:J$502)/J10/1.98)+(SUMIF($T$329:$T$484,"FCC",J$336:J$502)/J10/1.98)</f>
        <v>1095.8020742291885</v>
      </c>
      <c r="K510" s="143">
        <f>K$511+(SUMIF($T$329:$T$484,"FCI",K$336:K$502)/K10/1.98)+(SUMIF($T$329:$T$484,"FCC",K$336:K$502)/K10/1.98)</f>
        <v>1039.3869395235849</v>
      </c>
      <c r="L510" s="143">
        <f>L$511+(SUMIF($T$329:$T$484,"FCI",L$336:L$502)/L10/1.98)+(SUMIF($T$329:$T$484,"FCC",L$336:L$502)/L10/1.98)</f>
        <v>674.36396236698806</v>
      </c>
      <c r="M510" s="52"/>
      <c r="N510" s="143">
        <f>N$511+(SUMIF($T$329:$T$484,"FCI",N$336:N$502)/N10/1.98)+(SUMIF($T$329:$T$484,"FCC",N$336:N$502)/N10/1.98)</f>
        <v>450.41161209479009</v>
      </c>
      <c r="O510" s="143">
        <f>O$511+(SUMIF($T$329:$T$484,"FCI",O$336:O$502)/O10/1.98)+(SUMIF($T$329:$T$484,"FCC",O$336:O$502)/O10/1.98)</f>
        <v>210.61237692100022</v>
      </c>
      <c r="P510" s="143">
        <f>P$511+(SUMIF($T$329:$T$484,"FCI",P$336:P$502)/P10/1.98)+(SUMIF($T$329:$T$484,"FCC",P$336:P$502)/P10/1.98)</f>
        <v>144.30607376778869</v>
      </c>
      <c r="Q510" s="52"/>
      <c r="R510" s="52"/>
    </row>
    <row r="511" spans="1:20" ht="15.75" customHeight="1" x14ac:dyDescent="0.3">
      <c r="A511" s="142" t="s">
        <v>476</v>
      </c>
      <c r="B511" s="143">
        <f>B$512+(SUMIF($T$329:$T$484,"PIL",B$336:B$502)/B10/1.98)+(SUMIF($T$329:$T$484,"KLK",B$336:B$502)/B10/1.98)</f>
        <v>406.86660169603897</v>
      </c>
      <c r="C511" s="143">
        <f>C$512+(SUMIF($T$329:$T$484,"PIL",C$336:C$502)/C10/1.98)+(SUMIF($T$329:$T$484,"KLK",C$336:C$502)/C10/1.98)</f>
        <v>572.91093943240639</v>
      </c>
      <c r="D511" s="143">
        <f>D$512+(SUMIF($T$329:$T$484,"PIL",D$336:D$502)/D10/1.98)+(SUMIF($T$329:$T$484,"KLK",D$336:D$502)/D10/1.98)</f>
        <v>858.35974305546301</v>
      </c>
      <c r="E511" s="144"/>
      <c r="F511" s="143">
        <f>F$512+(SUMIF($T$329:$T$484,"PIL",F$336:F$502)/F10/1.98)+(SUMIF($T$329:$T$484,"KLK",F$336:F$502)/F10/1.98)</f>
        <v>1307.7875578783294</v>
      </c>
      <c r="G511" s="143">
        <f>G$512+(SUMIF($T$329:$T$484,"PIL",G$336:G$502)/G10/1.98)+(SUMIF($T$329:$T$484,"KLK",G$336:G$502)/G10/1.98)</f>
        <v>1171.3417666982643</v>
      </c>
      <c r="H511" s="143">
        <f>H$512+(SUMIF($T$329:$T$484,"PIL",H$336:H$502)/H10/1.98)+(SUMIF($T$329:$T$484,"KLK",H$336:H$502)/H10/1.98)</f>
        <v>1418.6916823301092</v>
      </c>
      <c r="I511" s="52"/>
      <c r="J511" s="143">
        <f>J$512+(SUMIF($T$329:$T$484,"PIL",J$336:J$502)/J10/1.98)+(SUMIF($T$329:$T$484,"KLK",J$336:J$502)/J10/1.98)</f>
        <v>1095.8020742291885</v>
      </c>
      <c r="K511" s="143">
        <f>K$512+(SUMIF($T$329:$T$484,"PIL",K$336:K$502)/K10/1.98)+(SUMIF($T$329:$T$484,"KLK",K$336:K$502)/K10/1.98)</f>
        <v>1039.3869395235849</v>
      </c>
      <c r="L511" s="143">
        <f>L$512+(SUMIF($T$329:$T$484,"PIL",L$336:L$502)/L10/1.98)+(SUMIF($T$329:$T$484,"KLK",L$336:L$502)/L10/1.98)</f>
        <v>674.36396236698806</v>
      </c>
      <c r="M511" s="52"/>
      <c r="N511" s="143">
        <f>N$512+(SUMIF($T$329:$T$484,"PIL",N$336:N$502)/N10/1.98)+(SUMIF($T$329:$T$484,"KLK",N$336:N$502)/N10/1.98)</f>
        <v>450.41161209479009</v>
      </c>
      <c r="O511" s="143">
        <f>O$512+(SUMIF($T$329:$T$484,"PIL",O$336:O$502)/O10/1.98)+(SUMIF($T$329:$T$484,"KLK",O$336:O$502)/O10/1.98)</f>
        <v>210.61237692100022</v>
      </c>
      <c r="P511" s="143">
        <f>P$512+(SUMIF($T$329:$T$484,"PIL",P$336:P$502)/P10/1.98)+(SUMIF($T$329:$T$484,"KLK",P$336:P$502)/P10/1.98)</f>
        <v>144.30607376778869</v>
      </c>
      <c r="Q511" s="52"/>
      <c r="R511" s="52"/>
    </row>
    <row r="512" spans="1:20" ht="15.75" customHeight="1" x14ac:dyDescent="0.3">
      <c r="A512" s="142" t="s">
        <v>477</v>
      </c>
      <c r="B512" s="143">
        <f>B$513+(SUMIF($T$329:$T$484,"CGE",B$336:B$502)/B10/1.98)</f>
        <v>406.86660169603897</v>
      </c>
      <c r="C512" s="143">
        <f>C$513+(SUMIF($T$329:$T$484,"CGE",C$336:C$502)/C10/1.98)</f>
        <v>572.91093943240639</v>
      </c>
      <c r="D512" s="143">
        <f>D$513+(SUMIF($T$329:$T$484,"CGE",D$336:D$502)/D10/1.98)</f>
        <v>858.35974305546301</v>
      </c>
      <c r="E512" s="144"/>
      <c r="F512" s="143">
        <f>F$513+(SUMIF($T$329:$T$484,"CGE",F$336:F$502)/F10/1.98)</f>
        <v>1307.7875578783294</v>
      </c>
      <c r="G512" s="143">
        <f>G$513+(SUMIF($T$329:$T$484,"CGE",G$336:G$502)/G10/1.98)</f>
        <v>1171.3417666982643</v>
      </c>
      <c r="H512" s="143">
        <f>H$513+(SUMIF($T$329:$T$484,"CGE",H$336:H$502)/H10/1.98)</f>
        <v>1418.2371368755637</v>
      </c>
      <c r="I512" s="52"/>
      <c r="J512" s="143">
        <f>J$513+(SUMIF($T$329:$T$484,"CGE",J$336:J$502)/J10/1.98)</f>
        <v>1095.8020742291885</v>
      </c>
      <c r="K512" s="143">
        <f>K$513+(SUMIF($T$329:$T$484,"CGE",K$336:K$502)/K10/1.98)</f>
        <v>1036.4543882039368</v>
      </c>
      <c r="L512" s="143">
        <f>L$513+(SUMIF($T$329:$T$484,"CGE",L$336:L$502)/L10/1.98)</f>
        <v>650.34039334341901</v>
      </c>
      <c r="M512" s="52"/>
      <c r="N512" s="143">
        <f>N$513+(SUMIF($T$329:$T$484,"CGE",N$336:N$502)/N10/1.98)</f>
        <v>436.6774967477715</v>
      </c>
      <c r="O512" s="143">
        <f>O$513+(SUMIF($T$329:$T$484,"CGE",O$336:O$502)/O10/1.98)</f>
        <v>210.61237692100022</v>
      </c>
      <c r="P512" s="143">
        <f>P$513+(SUMIF($T$329:$T$484,"CGE",P$336:P$502)/P10/1.98)</f>
        <v>144.30607376778869</v>
      </c>
      <c r="Q512" s="52"/>
      <c r="R512" s="52"/>
    </row>
    <row r="513" spans="1:20" ht="15.75" customHeight="1" x14ac:dyDescent="0.3">
      <c r="A513" s="142" t="s">
        <v>478</v>
      </c>
      <c r="B513" s="143">
        <f>B$514+(SUMIF($T$329:$T$484,"SRO",B$336:B$502)/B10/1.98)</f>
        <v>406.86660169603897</v>
      </c>
      <c r="C513" s="143">
        <f>C$514+(SUMIF($T$329:$T$484,"SRO",C$336:C$502)/C10/1.98)</f>
        <v>572.91093943240639</v>
      </c>
      <c r="D513" s="143">
        <f>D$514+(SUMIF($T$329:$T$484,"SRO",D$336:D$502)/D10/1.98)</f>
        <v>858.35974305546301</v>
      </c>
      <c r="E513" s="144"/>
      <c r="F513" s="143">
        <f>F$514+(SUMIF($T$329:$T$484,"SRO",F$336:F$502)/F10/1.98)</f>
        <v>1307.7875578783294</v>
      </c>
      <c r="G513" s="143">
        <f>G$514+(SUMIF($T$329:$T$484,"SRO",G$336:G$502)/G10/1.98)</f>
        <v>1165.8350869980363</v>
      </c>
      <c r="H513" s="143">
        <f>H$514+(SUMIF($T$329:$T$484,"SRO",H$336:H$502)/H10/1.98)</f>
        <v>1401.4021200405468</v>
      </c>
      <c r="I513" s="52"/>
      <c r="J513" s="143">
        <f>J$514+(SUMIF($T$329:$T$484,"SRO",J$336:J$502)/J10/1.98)</f>
        <v>1079.5101224533657</v>
      </c>
      <c r="K513" s="143">
        <f>K$514+(SUMIF($T$329:$T$484,"SRO",K$336:K$502)/K10/1.98)</f>
        <v>1020.162436428114</v>
      </c>
      <c r="L513" s="143">
        <f>L$514+(SUMIF($T$329:$T$484,"SRO",L$336:L$502)/L10/1.98)</f>
        <v>633.50537650840215</v>
      </c>
      <c r="M513" s="52"/>
      <c r="N513" s="143">
        <f>N$514+(SUMIF($T$329:$T$484,"SRO",N$336:N$502)/N10/1.98)</f>
        <v>420.38554497194878</v>
      </c>
      <c r="O513" s="143">
        <f>O$514+(SUMIF($T$329:$T$484,"SRO",O$336:O$502)/O10/1.98)</f>
        <v>210.61237692100022</v>
      </c>
      <c r="P513" s="143">
        <f>P$514+(SUMIF($T$329:$T$484,"SRO",P$336:P$502)/P10/1.98)</f>
        <v>144.30607376778869</v>
      </c>
      <c r="Q513" s="52"/>
      <c r="R513" s="52"/>
    </row>
    <row r="514" spans="1:20" ht="15.75" customHeight="1" x14ac:dyDescent="0.3">
      <c r="A514" s="142" t="s">
        <v>479</v>
      </c>
      <c r="B514" s="143">
        <f>B$557/B10/1.983</f>
        <v>263.74180534543621</v>
      </c>
      <c r="C514" s="143">
        <f>C$557/C10/1.983</f>
        <v>407.51560679569445</v>
      </c>
      <c r="D514" s="143">
        <f>D$557/D10/1.983</f>
        <v>557.83840059863678</v>
      </c>
      <c r="E514" s="98"/>
      <c r="F514" s="143">
        <f>F$557/F10/1.983</f>
        <v>704.65624474701622</v>
      </c>
      <c r="G514" s="143">
        <f>G$557/G10/1.983</f>
        <v>581.10064581198242</v>
      </c>
      <c r="H514" s="143">
        <f>H$557/H10/1.983</f>
        <v>752.37855101697767</v>
      </c>
      <c r="I514" s="1"/>
      <c r="J514" s="143">
        <f>J$557/J10/1.983</f>
        <v>727.62025604737028</v>
      </c>
      <c r="K514" s="143">
        <f>K$557/K10/1.983</f>
        <v>714.29733378881781</v>
      </c>
      <c r="L514" s="143">
        <f>L$557/L10/1.983</f>
        <v>442.0070600100857</v>
      </c>
      <c r="N514" s="143">
        <f>N$557/N10/1.983</f>
        <v>265.97042604070077</v>
      </c>
      <c r="O514" s="143">
        <f>O$557/O10/1.983</f>
        <v>95.83123213985543</v>
      </c>
      <c r="P514" s="143">
        <f>P$557/P10/1.983</f>
        <v>59.066582076684071</v>
      </c>
      <c r="R514" s="52"/>
    </row>
    <row r="515" spans="1:20" ht="15.75" customHeight="1" x14ac:dyDescent="0.3">
      <c r="A515" s="142"/>
      <c r="B515" s="143"/>
      <c r="C515" s="143"/>
      <c r="D515" s="143"/>
      <c r="E515" s="98"/>
      <c r="F515" s="143"/>
      <c r="G515" s="143"/>
      <c r="H515" s="143"/>
      <c r="I515" s="1"/>
      <c r="J515" s="143"/>
      <c r="K515" s="143"/>
      <c r="L515" s="143"/>
      <c r="N515" s="143"/>
      <c r="O515" s="143"/>
      <c r="P515" s="143"/>
      <c r="R515" s="52"/>
    </row>
    <row r="516" spans="1:20" ht="15.75" customHeight="1" thickBot="1" x14ac:dyDescent="0.35">
      <c r="A516" s="30"/>
      <c r="B516" s="1"/>
      <c r="C516" s="1"/>
      <c r="D516" s="1"/>
      <c r="E516" s="1"/>
      <c r="F516" s="1"/>
      <c r="G516" s="1"/>
      <c r="H516" s="1"/>
      <c r="I516" s="1"/>
      <c r="J516" s="1"/>
      <c r="K516" s="1"/>
      <c r="L516" s="1"/>
      <c r="M516" s="1"/>
      <c r="N516" s="1"/>
      <c r="O516" s="1"/>
      <c r="P516" s="1"/>
      <c r="Q516" s="1"/>
      <c r="R516" s="28"/>
    </row>
    <row r="517" spans="1:20" ht="16.5" customHeight="1" thickBot="1" x14ac:dyDescent="0.35">
      <c r="A517" s="31" t="s">
        <v>480</v>
      </c>
      <c r="B517" s="32" t="s">
        <v>36</v>
      </c>
      <c r="C517" s="33" t="s">
        <v>9</v>
      </c>
      <c r="D517" s="33" t="s">
        <v>10</v>
      </c>
      <c r="E517" s="12" t="s">
        <v>11</v>
      </c>
      <c r="F517" s="33" t="s">
        <v>12</v>
      </c>
      <c r="G517" s="33" t="s">
        <v>13</v>
      </c>
      <c r="H517" s="33" t="s">
        <v>14</v>
      </c>
      <c r="I517" s="34" t="s">
        <v>15</v>
      </c>
      <c r="J517" s="33" t="s">
        <v>16</v>
      </c>
      <c r="K517" s="33" t="s">
        <v>17</v>
      </c>
      <c r="L517" s="33" t="s">
        <v>18</v>
      </c>
      <c r="M517" s="34" t="s">
        <v>19</v>
      </c>
      <c r="N517" s="33" t="s">
        <v>20</v>
      </c>
      <c r="O517" s="33" t="s">
        <v>21</v>
      </c>
      <c r="P517" s="33" t="s">
        <v>22</v>
      </c>
      <c r="Q517" s="34" t="s">
        <v>23</v>
      </c>
      <c r="R517" s="35" t="s">
        <v>24</v>
      </c>
    </row>
    <row r="518" spans="1:20" ht="16.5" customHeight="1" thickBot="1" x14ac:dyDescent="0.35">
      <c r="A518" s="64"/>
      <c r="B518" s="81"/>
      <c r="C518" s="81"/>
      <c r="D518" s="81"/>
      <c r="E518" s="72"/>
      <c r="F518" s="81"/>
      <c r="G518" s="81"/>
      <c r="H518" s="81"/>
      <c r="I518" s="89"/>
      <c r="J518" s="81"/>
      <c r="K518" s="81"/>
      <c r="L518" s="81"/>
      <c r="M518" s="89"/>
      <c r="N518" s="81"/>
      <c r="O518" s="81"/>
      <c r="P518" s="81"/>
      <c r="Q518" s="89"/>
      <c r="R518" s="117"/>
    </row>
    <row r="519" spans="1:20" ht="15.75" customHeight="1" x14ac:dyDescent="0.3">
      <c r="A519" s="17" t="s">
        <v>45</v>
      </c>
      <c r="B519" s="1" t="s">
        <v>7</v>
      </c>
      <c r="C519" s="1" t="s">
        <v>7</v>
      </c>
      <c r="D519" s="1" t="s">
        <v>7</v>
      </c>
      <c r="E519" s="59" t="s">
        <v>7</v>
      </c>
      <c r="F519" s="1"/>
      <c r="G519" s="1"/>
      <c r="H519" s="1"/>
      <c r="I519" s="59" t="s">
        <v>7</v>
      </c>
      <c r="J519" s="1" t="s">
        <v>7</v>
      </c>
      <c r="K519" s="1" t="s">
        <v>7</v>
      </c>
      <c r="L519" s="1" t="s">
        <v>7</v>
      </c>
      <c r="M519" s="59" t="s">
        <v>7</v>
      </c>
      <c r="N519" s="1" t="s">
        <v>7</v>
      </c>
      <c r="O519" s="1" t="s">
        <v>7</v>
      </c>
      <c r="P519" s="1" t="s">
        <v>7</v>
      </c>
      <c r="Q519" s="59" t="s">
        <v>7</v>
      </c>
      <c r="R519" s="59" t="s">
        <v>7</v>
      </c>
    </row>
    <row r="520" spans="1:20" ht="15.75" customHeight="1" x14ac:dyDescent="0.3">
      <c r="A520" s="17" t="s">
        <v>46</v>
      </c>
      <c r="B520" s="1"/>
      <c r="C520" s="1"/>
      <c r="D520" s="1"/>
      <c r="E520" s="59" t="s">
        <v>7</v>
      </c>
      <c r="F520" s="1"/>
      <c r="G520" s="1"/>
      <c r="H520" s="1"/>
      <c r="I520" s="59" t="s">
        <v>7</v>
      </c>
      <c r="J520" s="1"/>
      <c r="K520" s="1"/>
      <c r="L520" s="1"/>
      <c r="M520" s="59" t="s">
        <v>7</v>
      </c>
      <c r="N520" s="1"/>
      <c r="O520" s="1"/>
      <c r="P520" s="1"/>
      <c r="Q520" s="59" t="s">
        <v>7</v>
      </c>
      <c r="R520" s="59" t="s">
        <v>7</v>
      </c>
    </row>
    <row r="521" spans="1:20" ht="15.75" customHeight="1" x14ac:dyDescent="0.3">
      <c r="A521" s="74" t="s">
        <v>481</v>
      </c>
      <c r="B521" s="1"/>
      <c r="C521" s="1"/>
      <c r="D521" s="1"/>
      <c r="E521" s="59">
        <f t="shared" ref="E521:E525" si="206">SUM(B521:D521)</f>
        <v>0</v>
      </c>
      <c r="F521" s="1">
        <v>2</v>
      </c>
      <c r="G521" s="1">
        <v>20</v>
      </c>
      <c r="H521" s="1">
        <v>12</v>
      </c>
      <c r="I521" s="59">
        <f t="shared" ref="I521:I525" si="207">SUM(F521:H521)</f>
        <v>34</v>
      </c>
      <c r="J521" s="1">
        <v>13</v>
      </c>
      <c r="K521" s="1">
        <v>4</v>
      </c>
      <c r="L521" s="1"/>
      <c r="M521" s="59">
        <f t="shared" ref="M521:M525" si="208">SUM(J521:L521)</f>
        <v>17</v>
      </c>
      <c r="N521" s="1"/>
      <c r="O521" s="1"/>
      <c r="P521" s="1"/>
      <c r="Q521" s="59">
        <f t="shared" ref="Q521:Q525" si="209">SUM(N521:P521)</f>
        <v>0</v>
      </c>
      <c r="R521" s="59">
        <f t="shared" ref="R521:R525" si="210">+E521+I521+M521+Q521</f>
        <v>51</v>
      </c>
      <c r="T521" s="4" t="s">
        <v>366</v>
      </c>
    </row>
    <row r="522" spans="1:20" ht="15.75" customHeight="1" x14ac:dyDescent="0.3">
      <c r="A522" s="74" t="s">
        <v>482</v>
      </c>
      <c r="B522" s="1"/>
      <c r="C522" s="1"/>
      <c r="D522" s="1"/>
      <c r="E522" s="59">
        <f>SUM(B522:D522)</f>
        <v>0</v>
      </c>
      <c r="F522" s="1"/>
      <c r="G522" s="1"/>
      <c r="H522" s="1"/>
      <c r="I522" s="59">
        <f>SUM(F522:H522)</f>
        <v>0</v>
      </c>
      <c r="J522" s="1"/>
      <c r="K522" s="1"/>
      <c r="L522" s="1"/>
      <c r="M522" s="59">
        <f t="shared" si="208"/>
        <v>0</v>
      </c>
      <c r="N522" s="1"/>
      <c r="O522" s="1"/>
      <c r="P522" s="1"/>
      <c r="Q522" s="59">
        <f t="shared" si="209"/>
        <v>0</v>
      </c>
      <c r="R522" s="59">
        <f t="shared" si="210"/>
        <v>0</v>
      </c>
      <c r="T522" s="4" t="s">
        <v>366</v>
      </c>
    </row>
    <row r="523" spans="1:20" ht="15.75" customHeight="1" x14ac:dyDescent="0.3">
      <c r="A523" s="74" t="s">
        <v>483</v>
      </c>
      <c r="B523" s="1"/>
      <c r="C523" s="1"/>
      <c r="D523" s="1"/>
      <c r="E523" s="59">
        <f t="shared" si="206"/>
        <v>0</v>
      </c>
      <c r="F523" s="1"/>
      <c r="G523" s="1"/>
      <c r="H523" s="1"/>
      <c r="I523" s="59">
        <f t="shared" si="207"/>
        <v>0</v>
      </c>
      <c r="J523" s="1"/>
      <c r="K523" s="1"/>
      <c r="L523" s="1"/>
      <c r="M523" s="59">
        <f t="shared" si="208"/>
        <v>0</v>
      </c>
      <c r="N523" s="1"/>
      <c r="O523" s="1"/>
      <c r="P523" s="1"/>
      <c r="Q523" s="59">
        <f t="shared" si="209"/>
        <v>0</v>
      </c>
      <c r="R523" s="59">
        <f t="shared" si="210"/>
        <v>0</v>
      </c>
    </row>
    <row r="524" spans="1:20" ht="15.75" customHeight="1" x14ac:dyDescent="0.3">
      <c r="A524" s="74" t="s">
        <v>484</v>
      </c>
      <c r="C524" s="1"/>
      <c r="D524" s="1"/>
      <c r="E524" s="59">
        <f t="shared" si="206"/>
        <v>0</v>
      </c>
      <c r="F524" s="1">
        <v>2528</v>
      </c>
      <c r="G524" s="1"/>
      <c r="H524" s="1"/>
      <c r="I524" s="59">
        <f t="shared" si="207"/>
        <v>2528</v>
      </c>
      <c r="J524" s="1"/>
      <c r="K524" s="1"/>
      <c r="L524" s="1"/>
      <c r="M524" s="59">
        <f t="shared" si="208"/>
        <v>0</v>
      </c>
      <c r="N524" s="1"/>
      <c r="O524" s="1"/>
      <c r="P524" s="1"/>
      <c r="Q524" s="59">
        <f t="shared" si="209"/>
        <v>0</v>
      </c>
      <c r="R524" s="59">
        <f t="shared" si="210"/>
        <v>2528</v>
      </c>
      <c r="T524" s="4" t="s">
        <v>366</v>
      </c>
    </row>
    <row r="525" spans="1:20" ht="15.75" customHeight="1" x14ac:dyDescent="0.3">
      <c r="A525" s="76" t="s">
        <v>485</v>
      </c>
      <c r="B525" s="1"/>
      <c r="C525" s="1"/>
      <c r="D525" s="1"/>
      <c r="E525" s="59">
        <f t="shared" si="206"/>
        <v>0</v>
      </c>
      <c r="F525" s="1"/>
      <c r="G525" s="1"/>
      <c r="H525" s="1"/>
      <c r="I525" s="59">
        <f t="shared" si="207"/>
        <v>0</v>
      </c>
      <c r="J525" s="1"/>
      <c r="K525" s="1"/>
      <c r="L525" s="1"/>
      <c r="M525" s="59">
        <f t="shared" si="208"/>
        <v>0</v>
      </c>
      <c r="N525" s="1"/>
      <c r="O525" s="1"/>
      <c r="P525" s="1"/>
      <c r="Q525" s="59">
        <f t="shared" si="209"/>
        <v>0</v>
      </c>
      <c r="R525" s="59">
        <f t="shared" si="210"/>
        <v>0</v>
      </c>
      <c r="T525" s="4" t="s">
        <v>366</v>
      </c>
    </row>
    <row r="526" spans="1:20" ht="15.75" customHeight="1" x14ac:dyDescent="0.3">
      <c r="A526" s="17" t="s">
        <v>47</v>
      </c>
      <c r="B526" s="1"/>
      <c r="C526" s="1"/>
      <c r="D526" s="1"/>
      <c r="E526" s="59" t="s">
        <v>7</v>
      </c>
      <c r="F526" s="1"/>
      <c r="G526" s="1"/>
      <c r="H526" s="1"/>
      <c r="I526" s="59" t="s">
        <v>7</v>
      </c>
      <c r="J526" s="1"/>
      <c r="K526" s="1"/>
      <c r="L526" s="1"/>
      <c r="M526" s="59" t="s">
        <v>7</v>
      </c>
      <c r="N526" s="1"/>
      <c r="O526" s="1"/>
      <c r="P526" s="1"/>
      <c r="Q526" s="59" t="s">
        <v>7</v>
      </c>
      <c r="R526" s="59" t="s">
        <v>7</v>
      </c>
    </row>
    <row r="527" spans="1:20" ht="15.75" customHeight="1" x14ac:dyDescent="0.3">
      <c r="A527" s="74" t="s">
        <v>486</v>
      </c>
      <c r="B527" s="1"/>
      <c r="C527" s="1"/>
      <c r="D527" s="1"/>
      <c r="E527" s="59">
        <f>SUM(B527:D527)</f>
        <v>0</v>
      </c>
      <c r="F527" s="1"/>
      <c r="G527" s="1"/>
      <c r="H527" s="1"/>
      <c r="I527" s="59">
        <f>SUM(F527:H527)</f>
        <v>0</v>
      </c>
      <c r="J527" s="1"/>
      <c r="K527" s="1"/>
      <c r="L527" s="1"/>
      <c r="M527" s="59">
        <f>SUM(J527:L527)</f>
        <v>0</v>
      </c>
      <c r="N527" s="1"/>
      <c r="O527" s="1"/>
      <c r="P527" s="1"/>
      <c r="Q527" s="59">
        <f>SUM(N527:P527)</f>
        <v>0</v>
      </c>
      <c r="R527" s="59">
        <f>+E527+I527+M527+Q527</f>
        <v>0</v>
      </c>
    </row>
    <row r="528" spans="1:20" ht="15.75" customHeight="1" x14ac:dyDescent="0.3">
      <c r="A528" s="74" t="s">
        <v>487</v>
      </c>
      <c r="B528" s="1"/>
      <c r="C528" s="1"/>
      <c r="D528" s="1"/>
      <c r="E528" s="59">
        <f>SUM(B528:D528)</f>
        <v>0</v>
      </c>
      <c r="F528" s="1"/>
      <c r="G528" s="1"/>
      <c r="H528" s="1"/>
      <c r="I528" s="59">
        <f>SUM(F528:H528)</f>
        <v>0</v>
      </c>
      <c r="J528" s="1"/>
      <c r="K528" s="1"/>
      <c r="L528" s="1"/>
      <c r="M528" s="59">
        <f>SUM(J528:L528)</f>
        <v>0</v>
      </c>
      <c r="N528" s="1"/>
      <c r="O528" s="1"/>
      <c r="P528" s="1"/>
      <c r="Q528" s="59">
        <f>SUM(N528:P528)</f>
        <v>0</v>
      </c>
      <c r="R528" s="59">
        <f>+E528+I528+M528+Q528</f>
        <v>0</v>
      </c>
    </row>
    <row r="529" spans="1:20" ht="15.75" customHeight="1" x14ac:dyDescent="0.3">
      <c r="A529" s="17" t="s">
        <v>49</v>
      </c>
      <c r="B529" s="1"/>
      <c r="C529" s="1"/>
      <c r="D529" s="1"/>
      <c r="E529" s="59" t="s">
        <v>7</v>
      </c>
      <c r="F529" s="1"/>
      <c r="G529" s="1"/>
      <c r="H529" s="1"/>
      <c r="I529" s="59" t="s">
        <v>7</v>
      </c>
      <c r="J529" s="1"/>
      <c r="K529" s="1"/>
      <c r="L529" s="1"/>
      <c r="M529" s="59" t="s">
        <v>7</v>
      </c>
      <c r="N529" s="1"/>
      <c r="O529" s="1"/>
      <c r="P529" s="1"/>
      <c r="Q529" s="59" t="s">
        <v>7</v>
      </c>
      <c r="R529" s="59" t="s">
        <v>7</v>
      </c>
    </row>
    <row r="530" spans="1:20" ht="15.75" customHeight="1" thickBot="1" x14ac:dyDescent="0.35">
      <c r="A530" s="17" t="s">
        <v>51</v>
      </c>
      <c r="B530" s="1"/>
      <c r="C530" s="1"/>
      <c r="D530" s="1"/>
      <c r="E530" s="59" t="s">
        <v>7</v>
      </c>
      <c r="F530" s="1"/>
      <c r="G530" s="1"/>
      <c r="H530" s="1"/>
      <c r="I530" s="59" t="s">
        <v>7</v>
      </c>
      <c r="J530" s="1"/>
      <c r="K530" s="1"/>
      <c r="L530" s="1"/>
      <c r="M530" s="59" t="s">
        <v>7</v>
      </c>
      <c r="N530" s="1"/>
      <c r="O530" s="1"/>
      <c r="P530" s="1"/>
      <c r="Q530" s="59" t="s">
        <v>7</v>
      </c>
      <c r="R530" s="59" t="s">
        <v>7</v>
      </c>
    </row>
    <row r="531" spans="1:20" ht="16.5" customHeight="1" thickBot="1" x14ac:dyDescent="0.35">
      <c r="A531" s="126" t="s">
        <v>52</v>
      </c>
      <c r="B531" s="100">
        <f>SUM(B519:B530)</f>
        <v>0</v>
      </c>
      <c r="C531" s="101">
        <f>SUM(C519:C530)</f>
        <v>0</v>
      </c>
      <c r="D531" s="101">
        <f>SUM(D519:D530)</f>
        <v>0</v>
      </c>
      <c r="E531" s="64">
        <f>SUM(B531:D531)</f>
        <v>0</v>
      </c>
      <c r="F531" s="101">
        <f>SUM(F519:F530)</f>
        <v>2530</v>
      </c>
      <c r="G531" s="101">
        <f>SUM(G519:G530)</f>
        <v>20</v>
      </c>
      <c r="H531" s="101">
        <f>SUM(H519:H530)</f>
        <v>12</v>
      </c>
      <c r="I531" s="64">
        <f>SUM(F531:H531)</f>
        <v>2562</v>
      </c>
      <c r="J531" s="101">
        <f>SUM(J519:J530)</f>
        <v>13</v>
      </c>
      <c r="K531" s="101">
        <f>SUM(K519:K530)</f>
        <v>4</v>
      </c>
      <c r="L531" s="101">
        <f>SUM(L519:L530)</f>
        <v>0</v>
      </c>
      <c r="M531" s="64">
        <f>SUM(J531:L531)</f>
        <v>17</v>
      </c>
      <c r="N531" s="101">
        <f>SUM(N519:N530)</f>
        <v>0</v>
      </c>
      <c r="O531" s="101">
        <f>SUM(O519:O530)</f>
        <v>0</v>
      </c>
      <c r="P531" s="101">
        <f>SUM(P519:P530)</f>
        <v>0</v>
      </c>
      <c r="Q531" s="64">
        <f>SUM(N531:P531)</f>
        <v>0</v>
      </c>
      <c r="R531" s="64">
        <f>+E531+I531+M531+Q531</f>
        <v>2579</v>
      </c>
    </row>
    <row r="532" spans="1:20" ht="15.75" customHeight="1" x14ac:dyDescent="0.3">
      <c r="A532" s="17" t="s">
        <v>53</v>
      </c>
      <c r="B532" s="1"/>
      <c r="C532" s="1"/>
      <c r="D532" s="1"/>
      <c r="E532" s="59" t="s">
        <v>7</v>
      </c>
      <c r="F532" s="1"/>
      <c r="G532" s="1"/>
      <c r="H532" s="1"/>
      <c r="I532" s="59" t="s">
        <v>7</v>
      </c>
      <c r="J532" s="1"/>
      <c r="K532" s="1"/>
      <c r="L532" s="1"/>
      <c r="M532" s="59" t="s">
        <v>7</v>
      </c>
      <c r="N532" s="1" t="s">
        <v>7</v>
      </c>
      <c r="O532" s="1"/>
      <c r="P532" s="1"/>
      <c r="Q532" s="59" t="s">
        <v>7</v>
      </c>
      <c r="R532" s="59" t="s">
        <v>7</v>
      </c>
    </row>
    <row r="533" spans="1:20" ht="15.75" customHeight="1" x14ac:dyDescent="0.3">
      <c r="A533" s="17" t="s">
        <v>55</v>
      </c>
      <c r="B533" s="1"/>
      <c r="C533" s="1"/>
      <c r="D533" s="1"/>
      <c r="E533" s="59" t="s">
        <v>7</v>
      </c>
      <c r="F533" s="1"/>
      <c r="G533" s="1"/>
      <c r="H533" s="1"/>
      <c r="I533" s="59" t="s">
        <v>7</v>
      </c>
      <c r="J533" s="1"/>
      <c r="K533" s="1"/>
      <c r="L533" s="1"/>
      <c r="M533" s="59" t="s">
        <v>7</v>
      </c>
      <c r="N533" s="1"/>
      <c r="O533" s="1"/>
      <c r="P533" s="1"/>
      <c r="Q533" s="59" t="s">
        <v>7</v>
      </c>
      <c r="R533" s="59" t="s">
        <v>7</v>
      </c>
    </row>
    <row r="534" spans="1:20" ht="15.75" customHeight="1" x14ac:dyDescent="0.3">
      <c r="A534" s="74" t="s">
        <v>488</v>
      </c>
      <c r="B534" s="1">
        <v>165</v>
      </c>
      <c r="C534" s="1">
        <v>213</v>
      </c>
      <c r="D534" s="1">
        <f>3540+1878</f>
        <v>5418</v>
      </c>
      <c r="E534" s="59">
        <f>SUM(B534:D534)</f>
        <v>5796</v>
      </c>
      <c r="F534" s="1">
        <v>9041</v>
      </c>
      <c r="G534" s="1">
        <v>5680</v>
      </c>
      <c r="H534" s="1">
        <v>8000</v>
      </c>
      <c r="I534" s="59">
        <f>SUM(F534:H534)</f>
        <v>22721</v>
      </c>
      <c r="J534" s="1">
        <v>11800</v>
      </c>
      <c r="K534" s="1">
        <v>9760</v>
      </c>
      <c r="L534" s="1">
        <v>1280</v>
      </c>
      <c r="M534" s="59">
        <f>SUM(J534:L534)</f>
        <v>22840</v>
      </c>
      <c r="N534" s="1">
        <v>1240</v>
      </c>
      <c r="O534" s="1">
        <v>850</v>
      </c>
      <c r="P534" s="1">
        <v>597</v>
      </c>
      <c r="Q534" s="59">
        <f>SUM(N534:P534)</f>
        <v>2687</v>
      </c>
      <c r="R534" s="59">
        <f>+E534+I534+M534+Q534</f>
        <v>54044</v>
      </c>
    </row>
    <row r="535" spans="1:20" ht="15.75" customHeight="1" thickBot="1" x14ac:dyDescent="0.35">
      <c r="A535" s="17" t="s">
        <v>56</v>
      </c>
      <c r="B535" s="1"/>
      <c r="C535" s="1"/>
      <c r="D535" s="1"/>
      <c r="E535" s="59" t="s">
        <v>7</v>
      </c>
      <c r="F535" s="1"/>
      <c r="G535" s="1"/>
      <c r="H535" s="1"/>
      <c r="I535" s="59" t="s">
        <v>7</v>
      </c>
      <c r="J535" s="1"/>
      <c r="K535" s="1"/>
      <c r="L535" s="1"/>
      <c r="M535" s="59" t="s">
        <v>7</v>
      </c>
      <c r="N535" s="1"/>
      <c r="O535" s="1"/>
      <c r="P535" s="1"/>
      <c r="Q535" s="59" t="s">
        <v>7</v>
      </c>
      <c r="R535" s="59" t="s">
        <v>7</v>
      </c>
    </row>
    <row r="536" spans="1:20" ht="16.5" customHeight="1" thickBot="1" x14ac:dyDescent="0.35">
      <c r="A536" s="62" t="s">
        <v>57</v>
      </c>
      <c r="B536" s="100">
        <f>SUM(B532:B535)</f>
        <v>165</v>
      </c>
      <c r="C536" s="101">
        <f>SUM(C532:C535)</f>
        <v>213</v>
      </c>
      <c r="D536" s="101">
        <f>SUM(D532:D535)</f>
        <v>5418</v>
      </c>
      <c r="E536" s="64">
        <f>SUM(B536:D536)</f>
        <v>5796</v>
      </c>
      <c r="F536" s="101">
        <f>SUM(F532:F535)</f>
        <v>9041</v>
      </c>
      <c r="G536" s="101">
        <f>SUM(G532:G535)</f>
        <v>5680</v>
      </c>
      <c r="H536" s="101">
        <f>SUM(H532:H535)</f>
        <v>8000</v>
      </c>
      <c r="I536" s="64">
        <f>SUM(F536:H536)</f>
        <v>22721</v>
      </c>
      <c r="J536" s="101">
        <f>SUM(J532:J535)</f>
        <v>11800</v>
      </c>
      <c r="K536" s="101">
        <f>SUM(K532:K535)</f>
        <v>9760</v>
      </c>
      <c r="L536" s="101">
        <f>SUM(L532:L535)</f>
        <v>1280</v>
      </c>
      <c r="M536" s="64">
        <f>SUM(J536:L536)</f>
        <v>22840</v>
      </c>
      <c r="N536" s="101">
        <f>SUM(N532:N535)</f>
        <v>1240</v>
      </c>
      <c r="O536" s="101">
        <f>SUM(O532:O535)</f>
        <v>850</v>
      </c>
      <c r="P536" s="101">
        <f>SUM(P532:P535)</f>
        <v>597</v>
      </c>
      <c r="Q536" s="64">
        <f>SUM(N536:P536)</f>
        <v>2687</v>
      </c>
      <c r="R536" s="64">
        <f>+E536+I536+M536+Q536</f>
        <v>54044</v>
      </c>
    </row>
    <row r="537" spans="1:20" ht="15.75" customHeight="1" x14ac:dyDescent="0.3">
      <c r="A537" s="17" t="s">
        <v>58</v>
      </c>
      <c r="B537" s="1"/>
      <c r="C537" s="1"/>
      <c r="D537" s="1"/>
      <c r="E537" s="59" t="s">
        <v>7</v>
      </c>
      <c r="F537" s="1"/>
      <c r="G537" s="1"/>
      <c r="H537" s="1"/>
      <c r="I537" s="59" t="s">
        <v>7</v>
      </c>
      <c r="J537" s="1"/>
      <c r="K537" s="1"/>
      <c r="L537" s="1"/>
      <c r="M537" s="59" t="s">
        <v>7</v>
      </c>
      <c r="N537" s="1"/>
      <c r="O537" s="1"/>
      <c r="P537" s="1"/>
      <c r="Q537" s="59" t="s">
        <v>7</v>
      </c>
      <c r="R537" s="59" t="s">
        <v>7</v>
      </c>
    </row>
    <row r="538" spans="1:20" ht="15.75" customHeight="1" x14ac:dyDescent="0.3">
      <c r="A538" s="17" t="s">
        <v>59</v>
      </c>
      <c r="B538" s="1"/>
      <c r="C538" s="1"/>
      <c r="D538" s="1"/>
      <c r="E538" s="59" t="s">
        <v>7</v>
      </c>
      <c r="F538" s="1"/>
      <c r="G538" s="1"/>
      <c r="H538" s="1"/>
      <c r="I538" s="59" t="s">
        <v>7</v>
      </c>
      <c r="J538" s="1"/>
      <c r="K538" s="1"/>
      <c r="L538" s="1"/>
      <c r="M538" s="59" t="s">
        <v>7</v>
      </c>
      <c r="N538" s="1"/>
      <c r="O538" s="1"/>
      <c r="P538" s="1"/>
      <c r="Q538" s="59" t="s">
        <v>7</v>
      </c>
      <c r="R538" s="59" t="s">
        <v>7</v>
      </c>
    </row>
    <row r="539" spans="1:20" ht="15.75" customHeight="1" x14ac:dyDescent="0.3">
      <c r="A539" s="17" t="s">
        <v>60</v>
      </c>
      <c r="B539" s="1"/>
      <c r="C539" s="1"/>
      <c r="D539" s="1"/>
      <c r="E539" s="59" t="s">
        <v>7</v>
      </c>
      <c r="F539" s="1"/>
      <c r="G539" s="1"/>
      <c r="H539" s="1"/>
      <c r="I539" s="59" t="s">
        <v>7</v>
      </c>
      <c r="J539" s="1"/>
      <c r="K539" s="1"/>
      <c r="L539" s="1"/>
      <c r="M539" s="59" t="s">
        <v>7</v>
      </c>
      <c r="N539" s="1"/>
      <c r="O539" s="1"/>
      <c r="P539" s="1"/>
      <c r="Q539" s="59" t="s">
        <v>7</v>
      </c>
      <c r="R539" s="59" t="s">
        <v>7</v>
      </c>
    </row>
    <row r="540" spans="1:20" ht="15.75" customHeight="1" x14ac:dyDescent="0.3">
      <c r="A540" s="74" t="s">
        <v>489</v>
      </c>
      <c r="B540" s="1"/>
      <c r="C540" s="1"/>
      <c r="D540" s="1"/>
      <c r="E540" s="59">
        <f>SUM(B540:D540)</f>
        <v>0</v>
      </c>
      <c r="F540" s="1"/>
      <c r="G540" s="1"/>
      <c r="H540" s="1">
        <v>2000</v>
      </c>
      <c r="I540" s="59">
        <f>SUM(F540:H540)</f>
        <v>2000</v>
      </c>
      <c r="J540" s="1"/>
      <c r="K540" s="1"/>
      <c r="L540" s="1"/>
      <c r="M540" s="59">
        <f>SUM(J540:L540)</f>
        <v>0</v>
      </c>
      <c r="N540" s="1"/>
      <c r="O540" s="1"/>
      <c r="P540" s="1"/>
      <c r="Q540" s="59">
        <f>SUM(N540:P540)</f>
        <v>0</v>
      </c>
      <c r="R540" s="59">
        <f>+E540+I540+M540+Q540</f>
        <v>2000</v>
      </c>
      <c r="T540" s="4" t="s">
        <v>366</v>
      </c>
    </row>
    <row r="541" spans="1:20" ht="15.75" customHeight="1" thickBot="1" x14ac:dyDescent="0.35">
      <c r="A541" s="103" t="s">
        <v>856</v>
      </c>
      <c r="B541" s="1"/>
      <c r="C541" s="1"/>
      <c r="E541" s="59">
        <f>SUM(B541:D541)</f>
        <v>0</v>
      </c>
      <c r="F541" s="1"/>
      <c r="G541" s="1"/>
      <c r="H541" s="1">
        <v>2000</v>
      </c>
      <c r="I541" s="59">
        <f>SUM(F541:H541)</f>
        <v>2000</v>
      </c>
      <c r="J541" s="1">
        <v>2000</v>
      </c>
      <c r="K541" s="1">
        <v>2000</v>
      </c>
      <c r="L541" s="1"/>
      <c r="M541" s="59">
        <f>SUM(J541:L541)</f>
        <v>4000</v>
      </c>
      <c r="N541" s="1"/>
      <c r="O541" s="1"/>
      <c r="P541" s="1"/>
      <c r="Q541" s="59">
        <f>SUM(N541:P541)</f>
        <v>0</v>
      </c>
      <c r="R541" s="59">
        <f>+E541+I541+M541+Q541</f>
        <v>6000</v>
      </c>
      <c r="T541" s="4" t="s">
        <v>366</v>
      </c>
    </row>
    <row r="542" spans="1:20" ht="16.5" customHeight="1" thickBot="1" x14ac:dyDescent="0.35">
      <c r="A542" s="137" t="s">
        <v>61</v>
      </c>
      <c r="B542" s="100">
        <f>SUM(B537:B541)</f>
        <v>0</v>
      </c>
      <c r="C542" s="101">
        <f>SUM(C537:C541)</f>
        <v>0</v>
      </c>
      <c r="D542" s="101">
        <f>SUM(D537:D541)</f>
        <v>0</v>
      </c>
      <c r="E542" s="64">
        <f>SUM(B542:D542)</f>
        <v>0</v>
      </c>
      <c r="F542" s="101">
        <f>SUM(F537:F541)</f>
        <v>0</v>
      </c>
      <c r="G542" s="101">
        <f>SUM(G537:G541)</f>
        <v>0</v>
      </c>
      <c r="H542" s="101">
        <f>SUM(H537:H541)</f>
        <v>4000</v>
      </c>
      <c r="I542" s="64">
        <f>SUM(F542:H542)</f>
        <v>4000</v>
      </c>
      <c r="J542" s="101">
        <f>SUM(J537:J541)</f>
        <v>2000</v>
      </c>
      <c r="K542" s="101">
        <f>SUM(K537:K541)</f>
        <v>2000</v>
      </c>
      <c r="L542" s="101">
        <f>SUM(L537:L541)</f>
        <v>0</v>
      </c>
      <c r="M542" s="64">
        <f>SUM(J542:L542)</f>
        <v>4000</v>
      </c>
      <c r="N542" s="101">
        <f>SUM(N537:N541)</f>
        <v>0</v>
      </c>
      <c r="O542" s="101">
        <f>SUM(O537:O541)</f>
        <v>0</v>
      </c>
      <c r="P542" s="101">
        <f>SUM(P537:P541)</f>
        <v>0</v>
      </c>
      <c r="Q542" s="64">
        <f>SUM(N542:P542)</f>
        <v>0</v>
      </c>
      <c r="R542" s="64">
        <f>+E542+I542+M542+Q542</f>
        <v>8000</v>
      </c>
    </row>
    <row r="543" spans="1:20" ht="15.75" customHeight="1" x14ac:dyDescent="0.3">
      <c r="A543" s="17" t="s">
        <v>62</v>
      </c>
      <c r="B543" s="1"/>
      <c r="C543" s="1"/>
      <c r="D543" s="1"/>
      <c r="E543" s="59" t="s">
        <v>7</v>
      </c>
      <c r="F543" s="1"/>
      <c r="G543" s="1"/>
      <c r="H543" s="1"/>
      <c r="I543" s="59" t="s">
        <v>7</v>
      </c>
      <c r="J543" s="1"/>
      <c r="K543" s="1"/>
      <c r="L543" s="1"/>
      <c r="M543" s="59" t="s">
        <v>7</v>
      </c>
      <c r="N543" s="1"/>
      <c r="O543" s="1"/>
      <c r="P543" s="1"/>
      <c r="Q543" s="59" t="s">
        <v>7</v>
      </c>
      <c r="R543" s="59" t="s">
        <v>7</v>
      </c>
    </row>
    <row r="544" spans="1:20" ht="15.75" customHeight="1" x14ac:dyDescent="0.3">
      <c r="A544" s="17" t="s">
        <v>63</v>
      </c>
      <c r="B544" s="1"/>
      <c r="C544" s="1"/>
      <c r="D544" s="1"/>
      <c r="E544" s="59" t="s">
        <v>7</v>
      </c>
      <c r="F544" s="1"/>
      <c r="G544" s="1"/>
      <c r="H544" s="1"/>
      <c r="I544" s="59" t="s">
        <v>7</v>
      </c>
      <c r="J544" s="1"/>
      <c r="K544" s="1"/>
      <c r="L544" s="1"/>
      <c r="M544" s="59" t="s">
        <v>7</v>
      </c>
      <c r="N544" s="1"/>
      <c r="O544" s="1"/>
      <c r="P544" s="1"/>
      <c r="Q544" s="59" t="s">
        <v>7</v>
      </c>
      <c r="R544" s="59" t="s">
        <v>7</v>
      </c>
    </row>
    <row r="545" spans="1:20" ht="15.75" customHeight="1" x14ac:dyDescent="0.3">
      <c r="A545" s="17" t="s">
        <v>64</v>
      </c>
      <c r="B545" s="1"/>
      <c r="C545" s="1"/>
      <c r="D545" s="1"/>
      <c r="E545" s="59" t="s">
        <v>7</v>
      </c>
      <c r="F545" s="1"/>
      <c r="G545" s="1"/>
      <c r="H545" s="1"/>
      <c r="I545" s="59" t="s">
        <v>7</v>
      </c>
      <c r="J545" s="1"/>
      <c r="K545" s="1"/>
      <c r="L545" s="1"/>
      <c r="M545" s="59" t="s">
        <v>7</v>
      </c>
      <c r="N545" s="1"/>
      <c r="O545" s="1"/>
      <c r="P545" s="1"/>
      <c r="Q545" s="59" t="s">
        <v>7</v>
      </c>
      <c r="R545" s="59" t="s">
        <v>7</v>
      </c>
    </row>
    <row r="546" spans="1:20" ht="15.75" customHeight="1" x14ac:dyDescent="0.3">
      <c r="A546" s="17" t="s">
        <v>66</v>
      </c>
      <c r="B546" s="1"/>
      <c r="C546" s="1"/>
      <c r="D546" s="1"/>
      <c r="E546" s="59" t="s">
        <v>7</v>
      </c>
      <c r="F546" s="1"/>
      <c r="G546" s="1"/>
      <c r="H546" s="1"/>
      <c r="I546" s="59" t="s">
        <v>7</v>
      </c>
      <c r="J546" s="1"/>
      <c r="K546" s="1"/>
      <c r="L546" s="1"/>
      <c r="M546" s="59" t="s">
        <v>7</v>
      </c>
      <c r="N546" s="1"/>
      <c r="O546" s="1"/>
      <c r="P546" s="1"/>
      <c r="Q546" s="59" t="s">
        <v>7</v>
      </c>
      <c r="R546" s="59" t="s">
        <v>7</v>
      </c>
    </row>
    <row r="547" spans="1:20" ht="15.75" customHeight="1" x14ac:dyDescent="0.3">
      <c r="A547" s="17" t="s">
        <v>67</v>
      </c>
      <c r="B547" s="1"/>
      <c r="C547" s="1"/>
      <c r="D547" s="1"/>
      <c r="E547" s="59" t="s">
        <v>7</v>
      </c>
      <c r="F547" s="1"/>
      <c r="G547" s="1"/>
      <c r="H547" s="1"/>
      <c r="I547" s="59" t="s">
        <v>7</v>
      </c>
      <c r="J547" s="1"/>
      <c r="K547" s="1"/>
      <c r="L547" s="1"/>
      <c r="M547" s="59" t="s">
        <v>7</v>
      </c>
      <c r="N547" s="1"/>
      <c r="O547" s="1"/>
      <c r="P547" s="1"/>
      <c r="Q547" s="59" t="s">
        <v>7</v>
      </c>
      <c r="R547" s="59" t="s">
        <v>7</v>
      </c>
    </row>
    <row r="548" spans="1:20" ht="15.75" customHeight="1" x14ac:dyDescent="0.3">
      <c r="A548" s="74" t="s">
        <v>460</v>
      </c>
      <c r="B548" s="1"/>
      <c r="C548" s="1"/>
      <c r="D548" s="1"/>
      <c r="E548" s="59">
        <f t="shared" ref="E548:E549" si="211">SUM(B548:D548)</f>
        <v>0</v>
      </c>
      <c r="F548" s="1"/>
      <c r="G548" s="1"/>
      <c r="H548" s="1"/>
      <c r="I548" s="59">
        <f t="shared" ref="I548:I549" si="212">SUM(F548:H548)</f>
        <v>0</v>
      </c>
      <c r="J548" s="1"/>
      <c r="K548" s="1"/>
      <c r="L548" s="1"/>
      <c r="M548" s="59">
        <f t="shared" ref="M548:M549" si="213">SUM(J548:L548)</f>
        <v>0</v>
      </c>
      <c r="N548" s="1"/>
      <c r="O548" s="1"/>
      <c r="P548" s="1"/>
      <c r="Q548" s="59">
        <f t="shared" ref="Q548:Q549" si="214">SUM(N548:P548)</f>
        <v>0</v>
      </c>
      <c r="R548" s="59">
        <f t="shared" ref="R548:R553" si="215">+E548+I548+M548+Q548</f>
        <v>0</v>
      </c>
      <c r="T548" s="4" t="s">
        <v>366</v>
      </c>
    </row>
    <row r="549" spans="1:20" ht="15.75" customHeight="1" thickBot="1" x14ac:dyDescent="0.35">
      <c r="A549" s="74" t="s">
        <v>491</v>
      </c>
      <c r="B549" s="1"/>
      <c r="C549" s="1"/>
      <c r="D549" s="1"/>
      <c r="E549" s="59">
        <f t="shared" si="211"/>
        <v>0</v>
      </c>
      <c r="F549" s="1"/>
      <c r="G549" s="1"/>
      <c r="H549" s="1"/>
      <c r="I549" s="59">
        <f t="shared" si="212"/>
        <v>0</v>
      </c>
      <c r="J549" s="1"/>
      <c r="K549" s="1"/>
      <c r="L549" s="1"/>
      <c r="M549" s="59">
        <f t="shared" si="213"/>
        <v>0</v>
      </c>
      <c r="N549" s="1"/>
      <c r="O549" s="1"/>
      <c r="P549" s="1"/>
      <c r="Q549" s="59">
        <f t="shared" si="214"/>
        <v>0</v>
      </c>
      <c r="R549" s="59">
        <f t="shared" si="215"/>
        <v>0</v>
      </c>
      <c r="T549" s="4" t="s">
        <v>366</v>
      </c>
    </row>
    <row r="550" spans="1:20" ht="16.5" customHeight="1" thickBot="1" x14ac:dyDescent="0.35">
      <c r="A550" s="62" t="s">
        <v>68</v>
      </c>
      <c r="B550" s="63">
        <f>SUM(B546:B549)</f>
        <v>0</v>
      </c>
      <c r="C550" s="63">
        <f>SUM(C546:C549)</f>
        <v>0</v>
      </c>
      <c r="D550" s="63">
        <f>SUM(D546:D549)</f>
        <v>0</v>
      </c>
      <c r="E550" s="65">
        <f t="shared" ref="E550:E553" si="216">SUM(B550:D550)</f>
        <v>0</v>
      </c>
      <c r="F550" s="63">
        <f>SUM(F546:F549)</f>
        <v>0</v>
      </c>
      <c r="G550" s="63">
        <f>SUM(G546:G549)</f>
        <v>0</v>
      </c>
      <c r="H550" s="63">
        <f>SUM(H546:H549)</f>
        <v>0</v>
      </c>
      <c r="I550" s="65">
        <f t="shared" ref="I550:I553" si="217">SUM(F550:H550)</f>
        <v>0</v>
      </c>
      <c r="J550" s="63">
        <f>SUM(J546:J549)</f>
        <v>0</v>
      </c>
      <c r="K550" s="63">
        <f>SUM(K546:K549)</f>
        <v>0</v>
      </c>
      <c r="L550" s="63">
        <f>SUM(L546:L549)</f>
        <v>0</v>
      </c>
      <c r="M550" s="65">
        <f t="shared" ref="M550:M553" si="218">SUM(J550:L550)</f>
        <v>0</v>
      </c>
      <c r="N550" s="63">
        <f>SUM(N546:N549)</f>
        <v>0</v>
      </c>
      <c r="O550" s="63">
        <f>SUM(O546:O549)</f>
        <v>0</v>
      </c>
      <c r="P550" s="63">
        <f>SUM(P546:P549)</f>
        <v>0</v>
      </c>
      <c r="Q550" s="65">
        <f t="shared" ref="Q550:Q553" si="219">SUM(N550:P550)</f>
        <v>0</v>
      </c>
      <c r="R550" s="64">
        <f t="shared" si="215"/>
        <v>0</v>
      </c>
    </row>
    <row r="551" spans="1:20" ht="16.5" customHeight="1" thickBot="1" x14ac:dyDescent="0.35">
      <c r="A551" s="137" t="s">
        <v>69</v>
      </c>
      <c r="B551" s="100">
        <f>SUM(B543:B549)</f>
        <v>0</v>
      </c>
      <c r="C551" s="101">
        <f>SUM(C543:C549)</f>
        <v>0</v>
      </c>
      <c r="D551" s="138">
        <f>SUM(D543:D549)</f>
        <v>0</v>
      </c>
      <c r="E551" s="65">
        <f t="shared" si="216"/>
        <v>0</v>
      </c>
      <c r="F551" s="101">
        <f>SUM(F543:F549)</f>
        <v>0</v>
      </c>
      <c r="G551" s="101">
        <f>SUM(G543:G549)</f>
        <v>0</v>
      </c>
      <c r="H551" s="101">
        <f>SUM(H543:H549)</f>
        <v>0</v>
      </c>
      <c r="I551" s="65">
        <f t="shared" si="217"/>
        <v>0</v>
      </c>
      <c r="J551" s="101">
        <f>SUM(J543:J549)</f>
        <v>0</v>
      </c>
      <c r="K551" s="101">
        <f>SUM(K543:K549)</f>
        <v>0</v>
      </c>
      <c r="L551" s="101">
        <f>SUM(L543:L549)</f>
        <v>0</v>
      </c>
      <c r="M551" s="65">
        <f t="shared" si="218"/>
        <v>0</v>
      </c>
      <c r="N551" s="101">
        <f>SUM(N543:N549)</f>
        <v>0</v>
      </c>
      <c r="O551" s="101">
        <f>SUM(O543:O549)</f>
        <v>0</v>
      </c>
      <c r="P551" s="101">
        <f>SUM(P543:P549)</f>
        <v>0</v>
      </c>
      <c r="Q551" s="65">
        <f t="shared" si="219"/>
        <v>0</v>
      </c>
      <c r="R551" s="64">
        <f t="shared" si="215"/>
        <v>0</v>
      </c>
    </row>
    <row r="552" spans="1:20" ht="16.5" customHeight="1" thickBot="1" x14ac:dyDescent="0.35">
      <c r="A552" s="62" t="s">
        <v>70</v>
      </c>
      <c r="B552" s="107">
        <f>+B531+B536+B542+B551</f>
        <v>165</v>
      </c>
      <c r="C552" s="63">
        <f>+C531+C536+C542+C551</f>
        <v>213</v>
      </c>
      <c r="D552" s="63">
        <f>+D531+D536+D542+D551</f>
        <v>5418</v>
      </c>
      <c r="E552" s="64">
        <f t="shared" si="216"/>
        <v>5796</v>
      </c>
      <c r="F552" s="63">
        <f>+F531+F536+F542+F551</f>
        <v>11571</v>
      </c>
      <c r="G552" s="63">
        <f>+G531+G536+G542+G551</f>
        <v>5700</v>
      </c>
      <c r="H552" s="63">
        <f>+H531+H536+H542+H551</f>
        <v>12012</v>
      </c>
      <c r="I552" s="64">
        <f t="shared" si="217"/>
        <v>29283</v>
      </c>
      <c r="J552" s="63">
        <f>+J531+J536+J542+J551</f>
        <v>13813</v>
      </c>
      <c r="K552" s="63">
        <f>+K531+K536+K542+K551</f>
        <v>11764</v>
      </c>
      <c r="L552" s="63">
        <f>+L531+L536+L542+L551</f>
        <v>1280</v>
      </c>
      <c r="M552" s="64">
        <f t="shared" si="218"/>
        <v>26857</v>
      </c>
      <c r="N552" s="63">
        <f>+N531+N536+N542+N551</f>
        <v>1240</v>
      </c>
      <c r="O552" s="63">
        <f>+O531+O536+O542+O551</f>
        <v>850</v>
      </c>
      <c r="P552" s="63">
        <f>+P531+P536+P542+P551</f>
        <v>597</v>
      </c>
      <c r="Q552" s="64">
        <f t="shared" si="219"/>
        <v>2687</v>
      </c>
      <c r="R552" s="88">
        <f>+E552+I552+M552+Q552</f>
        <v>64623</v>
      </c>
    </row>
    <row r="553" spans="1:20" ht="16.5" customHeight="1" thickBot="1" x14ac:dyDescent="0.35">
      <c r="A553" s="40" t="s">
        <v>37</v>
      </c>
      <c r="B553" s="25">
        <v>9</v>
      </c>
      <c r="C553" s="25">
        <v>16</v>
      </c>
      <c r="D553" s="25">
        <v>25</v>
      </c>
      <c r="E553" s="59">
        <f t="shared" si="216"/>
        <v>50</v>
      </c>
      <c r="F553" s="25">
        <v>34</v>
      </c>
      <c r="G553" s="25">
        <v>41</v>
      </c>
      <c r="H553" s="25">
        <v>41</v>
      </c>
      <c r="I553" s="59">
        <f t="shared" si="217"/>
        <v>116</v>
      </c>
      <c r="J553" s="25">
        <v>39</v>
      </c>
      <c r="K553" s="25">
        <v>30</v>
      </c>
      <c r="L553" s="25">
        <v>30</v>
      </c>
      <c r="M553" s="59">
        <f t="shared" si="218"/>
        <v>99</v>
      </c>
      <c r="N553" s="25">
        <v>28</v>
      </c>
      <c r="O553" s="25">
        <v>22</v>
      </c>
      <c r="P553" s="25">
        <v>16</v>
      </c>
      <c r="Q553" s="59">
        <f t="shared" si="219"/>
        <v>66</v>
      </c>
      <c r="R553" s="59">
        <f t="shared" si="215"/>
        <v>331</v>
      </c>
    </row>
    <row r="554" spans="1:20" ht="16.5" customHeight="1" thickBot="1" x14ac:dyDescent="0.35">
      <c r="A554" s="80"/>
      <c r="B554" s="81"/>
      <c r="C554" s="81"/>
      <c r="D554" s="81"/>
      <c r="E554" s="64"/>
      <c r="F554" s="81"/>
      <c r="G554" s="81"/>
      <c r="H554" s="81"/>
      <c r="I554" s="64"/>
      <c r="J554" s="81"/>
      <c r="K554" s="81"/>
      <c r="L554" s="81"/>
      <c r="M554" s="64"/>
      <c r="N554" s="81"/>
      <c r="O554" s="81"/>
      <c r="P554" s="81"/>
      <c r="Q554" s="64"/>
      <c r="R554" s="64" t="s">
        <v>7</v>
      </c>
    </row>
    <row r="555" spans="1:20" ht="15.75" customHeight="1" x14ac:dyDescent="0.3">
      <c r="A555" s="82" t="s">
        <v>38</v>
      </c>
      <c r="B555" s="83">
        <f>SUM(B552:B553)</f>
        <v>174</v>
      </c>
      <c r="C555" s="83">
        <f>SUM(C552:C553)</f>
        <v>229</v>
      </c>
      <c r="D555" s="83">
        <f>SUM(D552:D553)</f>
        <v>5443</v>
      </c>
      <c r="E555" s="65">
        <f>SUM(B555:D555)</f>
        <v>5846</v>
      </c>
      <c r="F555" s="83">
        <f>SUM(F552:F553)</f>
        <v>11605</v>
      </c>
      <c r="G555" s="83">
        <f>SUM(G552:G553)</f>
        <v>5741</v>
      </c>
      <c r="H555" s="83">
        <f>SUM(H552:H553)</f>
        <v>12053</v>
      </c>
      <c r="I555" s="65">
        <f>SUM(F555:H555)</f>
        <v>29399</v>
      </c>
      <c r="J555" s="83">
        <f>SUM(J552:J553)</f>
        <v>13852</v>
      </c>
      <c r="K555" s="83">
        <f>SUM(K552:K553)</f>
        <v>11794</v>
      </c>
      <c r="L555" s="83">
        <f>SUM(L552:L553)</f>
        <v>1310</v>
      </c>
      <c r="M555" s="65">
        <f>SUM(J555:L555)</f>
        <v>26956</v>
      </c>
      <c r="N555" s="83">
        <f>SUM(N552:N553)</f>
        <v>1268</v>
      </c>
      <c r="O555" s="83">
        <f>SUM(O552:O553)</f>
        <v>872</v>
      </c>
      <c r="P555" s="83">
        <f>SUM(P552:P553)</f>
        <v>613</v>
      </c>
      <c r="Q555" s="65">
        <f>SUM(N555:P555)</f>
        <v>2753</v>
      </c>
      <c r="R555" s="65">
        <f>+E555+I555+M555+Q555</f>
        <v>64954</v>
      </c>
    </row>
    <row r="556" spans="1:20" ht="15.75" customHeight="1" x14ac:dyDescent="0.3">
      <c r="A556" s="85" t="s">
        <v>39</v>
      </c>
      <c r="B556" s="1">
        <f>(B555/B10)/1.983</f>
        <v>2.8305109560294763</v>
      </c>
      <c r="C556" s="1">
        <f>(C555/C10)/1.983</f>
        <v>3.9821239153494354</v>
      </c>
      <c r="D556" s="1">
        <f>(D555/D10)/1.983</f>
        <v>88.542937549818618</v>
      </c>
      <c r="E556" s="59" t="s">
        <v>7</v>
      </c>
      <c r="F556" s="1">
        <f>(F555/F10)/1.983</f>
        <v>195.07480248781306</v>
      </c>
      <c r="G556" s="1">
        <f>(G555/G10)/1.983</f>
        <v>93.390594244627721</v>
      </c>
      <c r="H556" s="1">
        <f>(H555/H10)/1.983</f>
        <v>202.60547991259034</v>
      </c>
      <c r="I556" s="59" t="s">
        <v>7</v>
      </c>
      <c r="J556" s="1">
        <f>(J555/J10)/1.983</f>
        <v>225.33469978689828</v>
      </c>
      <c r="K556" s="1">
        <f>(K555/K10)/1.983</f>
        <v>191.8565874448945</v>
      </c>
      <c r="L556" s="1">
        <f>(L555/L10)/1.983</f>
        <v>22.020507648344257</v>
      </c>
      <c r="M556" s="59" t="s">
        <v>7</v>
      </c>
      <c r="N556" s="1">
        <f>(N555/N10)/1.983</f>
        <v>20.626941909456185</v>
      </c>
      <c r="O556" s="1">
        <f>(O555/O10)/1.983</f>
        <v>14.657925701798622</v>
      </c>
      <c r="P556" s="1">
        <f>(P555/P10)/1.983</f>
        <v>9.9718575634831552</v>
      </c>
      <c r="Q556" s="59" t="s">
        <v>7</v>
      </c>
      <c r="R556" s="59" t="s">
        <v>7</v>
      </c>
    </row>
    <row r="557" spans="1:20" ht="15.75" customHeight="1" x14ac:dyDescent="0.3">
      <c r="A557" s="85" t="s">
        <v>492</v>
      </c>
      <c r="B557" s="1">
        <f>B555+B602</f>
        <v>16213</v>
      </c>
      <c r="C557" s="1">
        <f>C555+C602</f>
        <v>23435</v>
      </c>
      <c r="D557" s="1">
        <f>D555+D602</f>
        <v>34292</v>
      </c>
      <c r="E557" s="59">
        <f>SUM(B557:D557)</f>
        <v>73940</v>
      </c>
      <c r="F557" s="1">
        <f>F555+F602</f>
        <v>41920</v>
      </c>
      <c r="G557" s="1">
        <f>G555+G602</f>
        <v>35722</v>
      </c>
      <c r="H557" s="1">
        <f>H555+H602</f>
        <v>44759</v>
      </c>
      <c r="I557" s="59">
        <f>SUM(F557:H557)</f>
        <v>122401</v>
      </c>
      <c r="J557" s="1">
        <f>J555+J602</f>
        <v>44729</v>
      </c>
      <c r="K557" s="1">
        <f>K555+K602</f>
        <v>43910</v>
      </c>
      <c r="L557" s="1">
        <f>L555+L602</f>
        <v>26295</v>
      </c>
      <c r="M557" s="59">
        <f>SUM(J557:L557)</f>
        <v>114934</v>
      </c>
      <c r="N557" s="1">
        <f>N555+N602</f>
        <v>16350</v>
      </c>
      <c r="O557" s="1">
        <f>O555+O602</f>
        <v>5701</v>
      </c>
      <c r="P557" s="1">
        <f>P555+P602</f>
        <v>3631</v>
      </c>
      <c r="Q557" s="59">
        <f>SUM(N557:P557)</f>
        <v>25682</v>
      </c>
      <c r="R557" s="59">
        <f>+E557+I557+M557+Q557</f>
        <v>336957</v>
      </c>
    </row>
    <row r="558" spans="1:20" ht="16.5" customHeight="1" thickBot="1" x14ac:dyDescent="0.35">
      <c r="A558" s="86" t="s">
        <v>493</v>
      </c>
      <c r="B558" s="87">
        <f>(B557/B10)/1.983</f>
        <v>263.74180534543621</v>
      </c>
      <c r="C558" s="87">
        <f>(C557/C10)/1.983</f>
        <v>407.51560679569445</v>
      </c>
      <c r="D558" s="87">
        <f>(D557/D10)/1.983</f>
        <v>557.83840059863678</v>
      </c>
      <c r="E558" s="88" t="s">
        <v>7</v>
      </c>
      <c r="F558" s="87">
        <f>(F557/F10)/1.983</f>
        <v>704.65624474701622</v>
      </c>
      <c r="G558" s="87">
        <f>(G557/G10)/1.983</f>
        <v>581.10064581198242</v>
      </c>
      <c r="H558" s="87">
        <f>(H557/H10)/1.983</f>
        <v>752.37855101697767</v>
      </c>
      <c r="I558" s="88" t="s">
        <v>7</v>
      </c>
      <c r="J558" s="87">
        <f>(J557/J10)/1.983</f>
        <v>727.62025604737028</v>
      </c>
      <c r="K558" s="87">
        <f>(K557/K10)/1.983</f>
        <v>714.29733378881781</v>
      </c>
      <c r="L558" s="87">
        <f>(L557/L10)/1.983</f>
        <v>442.0070600100857</v>
      </c>
      <c r="M558" s="88" t="s">
        <v>7</v>
      </c>
      <c r="N558" s="87">
        <f>(N557/N10)/1.983</f>
        <v>265.97042604070077</v>
      </c>
      <c r="O558" s="87">
        <f>(O557/O10)/1.983</f>
        <v>95.83123213985543</v>
      </c>
      <c r="P558" s="87">
        <f>(P557/P10)/1.983</f>
        <v>59.066582076684071</v>
      </c>
      <c r="Q558" s="88" t="s">
        <v>7</v>
      </c>
      <c r="R558" s="88" t="s">
        <v>7</v>
      </c>
    </row>
    <row r="559" spans="1:20" ht="15.75" customHeight="1" x14ac:dyDescent="0.3">
      <c r="A559" s="28"/>
      <c r="B559" s="1"/>
      <c r="C559" s="1"/>
      <c r="D559" s="1"/>
      <c r="E559" s="1"/>
      <c r="F559" s="1"/>
      <c r="G559" s="1"/>
      <c r="H559" s="1"/>
      <c r="I559" s="1"/>
      <c r="J559" s="1"/>
      <c r="K559" s="1"/>
      <c r="L559" s="1"/>
      <c r="M559" s="1"/>
      <c r="N559" s="1"/>
      <c r="O559" s="1"/>
      <c r="P559" s="1"/>
      <c r="Q559" s="1"/>
      <c r="R559" s="28"/>
    </row>
    <row r="560" spans="1:20" ht="15.75" customHeight="1" thickBot="1" x14ac:dyDescent="0.35">
      <c r="A560" s="28"/>
      <c r="B560" s="1"/>
      <c r="C560" s="1"/>
      <c r="D560" s="1"/>
      <c r="E560" s="1"/>
      <c r="F560" s="1"/>
      <c r="G560" s="1"/>
      <c r="H560" s="1"/>
      <c r="I560" s="1"/>
      <c r="J560" s="1"/>
      <c r="K560" s="1"/>
      <c r="L560" s="1"/>
      <c r="M560" s="1"/>
      <c r="N560" s="1"/>
      <c r="O560" s="1"/>
      <c r="P560" s="1"/>
      <c r="Q560" s="1"/>
      <c r="R560" s="28"/>
    </row>
    <row r="561" spans="1:20" ht="16.5" customHeight="1" thickBot="1" x14ac:dyDescent="0.35">
      <c r="A561" s="145" t="s">
        <v>494</v>
      </c>
      <c r="B561" s="32" t="s">
        <v>36</v>
      </c>
      <c r="C561" s="33" t="s">
        <v>9</v>
      </c>
      <c r="D561" s="33" t="s">
        <v>10</v>
      </c>
      <c r="E561" s="12" t="s">
        <v>11</v>
      </c>
      <c r="F561" s="33" t="s">
        <v>12</v>
      </c>
      <c r="G561" s="33" t="s">
        <v>13</v>
      </c>
      <c r="H561" s="33" t="s">
        <v>14</v>
      </c>
      <c r="I561" s="34" t="s">
        <v>15</v>
      </c>
      <c r="J561" s="33" t="s">
        <v>16</v>
      </c>
      <c r="K561" s="33" t="s">
        <v>17</v>
      </c>
      <c r="L561" s="33" t="s">
        <v>18</v>
      </c>
      <c r="M561" s="34" t="s">
        <v>19</v>
      </c>
      <c r="N561" s="33" t="s">
        <v>20</v>
      </c>
      <c r="O561" s="33" t="s">
        <v>21</v>
      </c>
      <c r="P561" s="33" t="s">
        <v>22</v>
      </c>
      <c r="Q561" s="34" t="s">
        <v>23</v>
      </c>
      <c r="R561" s="35" t="s">
        <v>24</v>
      </c>
    </row>
    <row r="562" spans="1:20" ht="16.5" customHeight="1" thickBot="1" x14ac:dyDescent="0.35">
      <c r="A562" s="64"/>
      <c r="B562" s="81"/>
      <c r="C562" s="81"/>
      <c r="D562" s="81"/>
      <c r="E562" s="72"/>
      <c r="F562" s="81"/>
      <c r="G562" s="81"/>
      <c r="H562" s="81"/>
      <c r="I562" s="89"/>
      <c r="J562" s="81"/>
      <c r="K562" s="81"/>
      <c r="L562" s="81"/>
      <c r="M562" s="89"/>
      <c r="N562" s="81"/>
      <c r="O562" s="81"/>
      <c r="P562" s="81"/>
      <c r="Q562" s="89"/>
      <c r="R562" s="117"/>
    </row>
    <row r="563" spans="1:20" ht="15.75" customHeight="1" x14ac:dyDescent="0.3">
      <c r="A563" s="17" t="s">
        <v>45</v>
      </c>
      <c r="B563" s="1" t="s">
        <v>7</v>
      </c>
      <c r="C563" s="1" t="s">
        <v>7</v>
      </c>
      <c r="D563" s="1" t="s">
        <v>7</v>
      </c>
      <c r="E563" s="59" t="s">
        <v>7</v>
      </c>
      <c r="F563" s="1"/>
      <c r="G563" s="1"/>
      <c r="H563" s="1"/>
      <c r="I563" s="59" t="s">
        <v>7</v>
      </c>
      <c r="J563" s="1" t="s">
        <v>7</v>
      </c>
      <c r="K563" s="1" t="s">
        <v>7</v>
      </c>
      <c r="L563" s="1" t="s">
        <v>7</v>
      </c>
      <c r="M563" s="59" t="s">
        <v>7</v>
      </c>
      <c r="N563" s="1" t="s">
        <v>7</v>
      </c>
      <c r="O563" s="1" t="s">
        <v>7</v>
      </c>
      <c r="P563" s="1" t="s">
        <v>7</v>
      </c>
      <c r="Q563" s="59" t="s">
        <v>7</v>
      </c>
      <c r="R563" s="59" t="s">
        <v>7</v>
      </c>
    </row>
    <row r="564" spans="1:20" ht="15.75" customHeight="1" x14ac:dyDescent="0.3">
      <c r="A564" s="17" t="s">
        <v>46</v>
      </c>
      <c r="B564" s="1"/>
      <c r="C564" s="1"/>
      <c r="D564" s="1"/>
      <c r="E564" s="59" t="s">
        <v>7</v>
      </c>
      <c r="F564" s="1"/>
      <c r="G564" s="1"/>
      <c r="H564" s="1"/>
      <c r="I564" s="59" t="s">
        <v>7</v>
      </c>
      <c r="J564" s="1"/>
      <c r="K564" s="1"/>
      <c r="L564" s="1"/>
      <c r="M564" s="59" t="s">
        <v>7</v>
      </c>
      <c r="N564" s="1"/>
      <c r="O564" s="1"/>
      <c r="P564" s="1"/>
      <c r="Q564" s="59" t="s">
        <v>7</v>
      </c>
      <c r="R564" s="59" t="s">
        <v>7</v>
      </c>
    </row>
    <row r="565" spans="1:20" ht="15.75" customHeight="1" x14ac:dyDescent="0.3">
      <c r="A565" s="17" t="s">
        <v>495</v>
      </c>
      <c r="C565" s="1"/>
      <c r="D565" s="1"/>
      <c r="E565" s="59">
        <f>SUM(B565:D565)</f>
        <v>0</v>
      </c>
      <c r="F565" s="1"/>
      <c r="G565" s="1"/>
      <c r="H565" s="1"/>
      <c r="I565" s="59">
        <f>SUM(F565:H565)</f>
        <v>0</v>
      </c>
      <c r="J565" s="1"/>
      <c r="K565" s="1"/>
      <c r="L565" s="1"/>
      <c r="M565" s="59">
        <f>SUM(J565:L565)</f>
        <v>0</v>
      </c>
      <c r="N565" s="1"/>
      <c r="O565" s="1"/>
      <c r="P565" s="1"/>
      <c r="Q565" s="59">
        <f>SUM(N565:P565)</f>
        <v>0</v>
      </c>
      <c r="R565" s="59">
        <f>+E565+I565+M565+Q565</f>
        <v>0</v>
      </c>
      <c r="T565" s="4" t="s">
        <v>368</v>
      </c>
    </row>
    <row r="566" spans="1:20" ht="15.75" customHeight="1" x14ac:dyDescent="0.3">
      <c r="A566" s="74" t="s">
        <v>496</v>
      </c>
      <c r="B566" s="1"/>
      <c r="C566" s="1">
        <v>500</v>
      </c>
      <c r="D566" s="1">
        <v>500</v>
      </c>
      <c r="E566" s="59">
        <f>SUM(B566:D566)</f>
        <v>1000</v>
      </c>
      <c r="F566" s="1">
        <v>500</v>
      </c>
      <c r="G566" s="1">
        <v>500</v>
      </c>
      <c r="H566" s="1"/>
      <c r="I566" s="59">
        <f>SUM(F566:H566)</f>
        <v>1000</v>
      </c>
      <c r="J566" s="1"/>
      <c r="K566" s="1"/>
      <c r="L566" s="1"/>
      <c r="M566" s="59">
        <f>SUM(J566:L566)</f>
        <v>0</v>
      </c>
      <c r="N566" s="1"/>
      <c r="O566" s="1"/>
      <c r="P566" s="1"/>
      <c r="Q566" s="59">
        <f>SUM(N566:P566)</f>
        <v>0</v>
      </c>
      <c r="R566" s="59">
        <f>+E566+I566+M566+Q566</f>
        <v>2000</v>
      </c>
    </row>
    <row r="567" spans="1:20" ht="15.75" customHeight="1" x14ac:dyDescent="0.3">
      <c r="A567" s="74" t="s">
        <v>497</v>
      </c>
      <c r="B567" s="1"/>
      <c r="C567" s="1"/>
      <c r="D567" s="1">
        <v>250</v>
      </c>
      <c r="E567" s="59">
        <f>SUM(B567:D567)</f>
        <v>250</v>
      </c>
      <c r="F567" s="1">
        <v>250</v>
      </c>
      <c r="G567" s="1">
        <v>250</v>
      </c>
      <c r="H567" s="1">
        <v>1250</v>
      </c>
      <c r="I567" s="59">
        <f>SUM(F567:H567)</f>
        <v>1750</v>
      </c>
      <c r="J567" s="1">
        <v>1000</v>
      </c>
      <c r="K567" s="1">
        <v>500</v>
      </c>
      <c r="L567" s="1">
        <v>500</v>
      </c>
      <c r="M567" s="59">
        <f>SUM(J567:L567)</f>
        <v>2000</v>
      </c>
      <c r="N567" s="1"/>
      <c r="O567" s="1"/>
      <c r="P567" s="1"/>
      <c r="Q567" s="59">
        <f>SUM(N567:P567)</f>
        <v>0</v>
      </c>
      <c r="R567" s="59">
        <f>+E567+I567+M567+Q567</f>
        <v>4000</v>
      </c>
    </row>
    <row r="568" spans="1:20" ht="15.75" customHeight="1" x14ac:dyDescent="0.3">
      <c r="A568" s="74" t="s">
        <v>498</v>
      </c>
      <c r="B568" s="1"/>
      <c r="C568" s="1"/>
      <c r="D568" s="1"/>
      <c r="E568" s="59">
        <f>SUM(B568:D568)</f>
        <v>0</v>
      </c>
      <c r="F568" s="1"/>
      <c r="G568" s="1"/>
      <c r="H568" s="1"/>
      <c r="I568" s="59">
        <f>SUM(F568:H568)</f>
        <v>0</v>
      </c>
      <c r="J568" s="1"/>
      <c r="K568" s="1">
        <v>500</v>
      </c>
      <c r="L568" s="1">
        <v>500</v>
      </c>
      <c r="M568" s="59">
        <f>SUM(J568:L568)</f>
        <v>1000</v>
      </c>
      <c r="N568" s="1">
        <v>500</v>
      </c>
      <c r="O568" s="1"/>
      <c r="P568" s="1"/>
      <c r="Q568" s="59">
        <f>SUM(N568:P568)</f>
        <v>500</v>
      </c>
      <c r="R568" s="59">
        <f>+E568+I568+M568+Q568</f>
        <v>1500</v>
      </c>
    </row>
    <row r="569" spans="1:20" ht="15.75" customHeight="1" x14ac:dyDescent="0.3">
      <c r="A569" s="74" t="s">
        <v>499</v>
      </c>
      <c r="B569" s="1"/>
      <c r="C569" s="1"/>
      <c r="D569" s="1"/>
      <c r="E569" s="59">
        <f>SUM(B569:D569)</f>
        <v>0</v>
      </c>
      <c r="F569" s="1"/>
      <c r="G569" s="1"/>
      <c r="H569" s="1"/>
      <c r="I569" s="59">
        <f>SUM(F569:H569)</f>
        <v>0</v>
      </c>
      <c r="J569" s="1">
        <v>237</v>
      </c>
      <c r="K569" s="1"/>
      <c r="L569" s="1">
        <v>300</v>
      </c>
      <c r="M569" s="59">
        <f>SUM(J569:L569)</f>
        <v>537</v>
      </c>
      <c r="N569" s="1"/>
      <c r="O569" s="1"/>
      <c r="P569" s="1"/>
      <c r="Q569" s="59">
        <f>SUM(N569:P569)</f>
        <v>0</v>
      </c>
      <c r="R569" s="59">
        <f>+E569+I569+M569+Q569</f>
        <v>537</v>
      </c>
    </row>
    <row r="570" spans="1:20" ht="15.75" customHeight="1" x14ac:dyDescent="0.3">
      <c r="A570" s="17" t="s">
        <v>47</v>
      </c>
      <c r="B570" s="1"/>
      <c r="C570" s="1"/>
      <c r="D570" s="1"/>
      <c r="E570" s="59" t="s">
        <v>7</v>
      </c>
      <c r="F570" s="1"/>
      <c r="G570" s="1"/>
      <c r="H570" s="1"/>
      <c r="I570" s="59" t="s">
        <v>7</v>
      </c>
      <c r="J570" s="1"/>
      <c r="K570" s="1"/>
      <c r="L570" s="1"/>
      <c r="M570" s="59" t="s">
        <v>7</v>
      </c>
      <c r="N570" s="1"/>
      <c r="O570" s="1"/>
      <c r="P570" s="1"/>
      <c r="Q570" s="59" t="s">
        <v>7</v>
      </c>
      <c r="R570" s="59" t="s">
        <v>7</v>
      </c>
    </row>
    <row r="571" spans="1:20" ht="15.75" customHeight="1" x14ac:dyDescent="0.3">
      <c r="A571" s="17" t="s">
        <v>49</v>
      </c>
      <c r="B571" s="1"/>
      <c r="C571" s="1"/>
      <c r="D571" s="1"/>
      <c r="E571" s="59" t="s">
        <v>7</v>
      </c>
      <c r="F571" s="1"/>
      <c r="G571" s="1"/>
      <c r="H571" s="1"/>
      <c r="I571" s="59" t="s">
        <v>7</v>
      </c>
      <c r="J571" s="1"/>
      <c r="K571" s="1"/>
      <c r="L571" s="1"/>
      <c r="M571" s="59" t="s">
        <v>7</v>
      </c>
      <c r="N571" s="1"/>
      <c r="O571" s="1"/>
      <c r="P571" s="1"/>
      <c r="Q571" s="59" t="s">
        <v>7</v>
      </c>
      <c r="R571" s="59" t="s">
        <v>7</v>
      </c>
    </row>
    <row r="572" spans="1:20" ht="15.75" customHeight="1" thickBot="1" x14ac:dyDescent="0.35">
      <c r="A572" s="17" t="s">
        <v>51</v>
      </c>
      <c r="B572" s="1"/>
      <c r="C572" s="1"/>
      <c r="D572" s="1"/>
      <c r="E572" s="59" t="s">
        <v>7</v>
      </c>
      <c r="F572" s="1"/>
      <c r="G572" s="1"/>
      <c r="H572" s="1"/>
      <c r="I572" s="59" t="s">
        <v>7</v>
      </c>
      <c r="J572" s="1"/>
      <c r="K572" s="1"/>
      <c r="L572" s="1"/>
      <c r="M572" s="59" t="s">
        <v>7</v>
      </c>
      <c r="N572" s="1"/>
      <c r="O572" s="1"/>
      <c r="P572" s="1"/>
      <c r="Q572" s="59" t="s">
        <v>7</v>
      </c>
      <c r="R572" s="59" t="s">
        <v>7</v>
      </c>
    </row>
    <row r="573" spans="1:20" ht="16.5" customHeight="1" thickBot="1" x14ac:dyDescent="0.35">
      <c r="A573" s="126" t="s">
        <v>52</v>
      </c>
      <c r="B573" s="100">
        <f>SUM(B563:B572)</f>
        <v>0</v>
      </c>
      <c r="C573" s="101">
        <f>SUM(C563:C572)</f>
        <v>500</v>
      </c>
      <c r="D573" s="101">
        <f>SUM(D563:D572)</f>
        <v>750</v>
      </c>
      <c r="E573" s="64">
        <f>SUM(B573:D573)</f>
        <v>1250</v>
      </c>
      <c r="F573" s="101">
        <f>SUM(F563:F572)</f>
        <v>750</v>
      </c>
      <c r="G573" s="101">
        <f>SUM(G563:G572)</f>
        <v>750</v>
      </c>
      <c r="H573" s="101">
        <f>SUM(H563:H572)</f>
        <v>1250</v>
      </c>
      <c r="I573" s="64">
        <f>SUM(F573:H573)</f>
        <v>2750</v>
      </c>
      <c r="J573" s="101">
        <f>SUM(J563:J572)</f>
        <v>1237</v>
      </c>
      <c r="K573" s="101">
        <f>SUM(K563:K572)</f>
        <v>1000</v>
      </c>
      <c r="L573" s="101">
        <f>SUM(L563:L572)</f>
        <v>1300</v>
      </c>
      <c r="M573" s="64">
        <f>SUM(J573:L573)</f>
        <v>3537</v>
      </c>
      <c r="N573" s="101">
        <f>SUM(N563:N572)</f>
        <v>500</v>
      </c>
      <c r="O573" s="101">
        <f>SUM(O563:O572)</f>
        <v>0</v>
      </c>
      <c r="P573" s="101">
        <f>SUM(P563:P572)</f>
        <v>0</v>
      </c>
      <c r="Q573" s="64">
        <f>SUM(N573:P573)</f>
        <v>500</v>
      </c>
      <c r="R573" s="64">
        <f>+E573+I573+M573+Q573</f>
        <v>8037</v>
      </c>
    </row>
    <row r="574" spans="1:20" ht="15.75" customHeight="1" x14ac:dyDescent="0.3">
      <c r="A574" s="17" t="s">
        <v>53</v>
      </c>
      <c r="B574" s="1"/>
      <c r="C574" s="1"/>
      <c r="D574" s="1"/>
      <c r="E574" s="65" t="s">
        <v>7</v>
      </c>
      <c r="F574" s="1"/>
      <c r="G574" s="1"/>
      <c r="H574" s="1"/>
      <c r="I574" s="65" t="s">
        <v>7</v>
      </c>
      <c r="J574" s="1"/>
      <c r="K574" s="1"/>
      <c r="L574" s="1"/>
      <c r="M574" s="65" t="s">
        <v>7</v>
      </c>
      <c r="N574" s="1"/>
      <c r="O574" s="1"/>
      <c r="P574" s="1"/>
      <c r="Q574" s="65" t="s">
        <v>7</v>
      </c>
      <c r="R574" s="146" t="s">
        <v>7</v>
      </c>
    </row>
    <row r="575" spans="1:20" ht="15.75" customHeight="1" x14ac:dyDescent="0.3">
      <c r="A575" s="17" t="s">
        <v>55</v>
      </c>
      <c r="B575" s="1"/>
      <c r="C575" s="1"/>
      <c r="D575" s="1"/>
      <c r="E575" s="59" t="s">
        <v>7</v>
      </c>
      <c r="F575" s="1"/>
      <c r="G575" s="1"/>
      <c r="H575" s="1"/>
      <c r="I575" s="59" t="s">
        <v>7</v>
      </c>
      <c r="J575" s="1"/>
      <c r="K575" s="1"/>
      <c r="L575" s="1"/>
      <c r="M575" s="59" t="s">
        <v>7</v>
      </c>
      <c r="N575" s="1"/>
      <c r="O575" s="1"/>
      <c r="P575" s="1"/>
      <c r="Q575" s="59" t="s">
        <v>7</v>
      </c>
      <c r="R575" s="146" t="s">
        <v>7</v>
      </c>
    </row>
    <row r="576" spans="1:20" ht="15.75" customHeight="1" x14ac:dyDescent="0.3">
      <c r="A576" s="74" t="s">
        <v>500</v>
      </c>
      <c r="B576" s="1">
        <v>123</v>
      </c>
      <c r="C576" s="1">
        <v>75</v>
      </c>
      <c r="D576" s="1">
        <v>1800</v>
      </c>
      <c r="E576" s="59">
        <f>SUM(B576:D576)</f>
        <v>1998</v>
      </c>
      <c r="F576" s="1">
        <v>3306</v>
      </c>
      <c r="G576" s="1">
        <v>1360</v>
      </c>
      <c r="H576" s="1">
        <v>5000</v>
      </c>
      <c r="I576" s="59">
        <f>SUM(F576:H576)</f>
        <v>9666</v>
      </c>
      <c r="J576" s="1">
        <v>3600</v>
      </c>
      <c r="K576" s="1">
        <v>3458</v>
      </c>
      <c r="L576" s="1">
        <v>600</v>
      </c>
      <c r="M576" s="59">
        <f>SUM(J576:L576)</f>
        <v>7658</v>
      </c>
      <c r="N576" s="1">
        <v>700</v>
      </c>
      <c r="O576" s="1">
        <v>80</v>
      </c>
      <c r="P576" s="1">
        <v>56</v>
      </c>
      <c r="Q576" s="59">
        <f>SUM(N576:P576)</f>
        <v>836</v>
      </c>
      <c r="R576" s="59">
        <f>+E576+I576+M576+Q576</f>
        <v>20158</v>
      </c>
      <c r="S576" s="4">
        <f>+SUM(R576,R534,R394)</f>
        <v>85180</v>
      </c>
      <c r="T576" s="4" t="s">
        <v>501</v>
      </c>
    </row>
    <row r="577" spans="1:20" ht="15.75" customHeight="1" x14ac:dyDescent="0.3">
      <c r="A577" s="74" t="s">
        <v>502</v>
      </c>
      <c r="B577" s="1"/>
      <c r="C577" s="1"/>
      <c r="D577" s="1"/>
      <c r="E577" s="59">
        <f>SUM(B577:D577)</f>
        <v>0</v>
      </c>
      <c r="F577" s="1"/>
      <c r="G577" s="1"/>
      <c r="H577" s="1"/>
      <c r="I577" s="59">
        <f>SUM(F577:H577)</f>
        <v>0</v>
      </c>
      <c r="J577" s="1"/>
      <c r="K577" s="1"/>
      <c r="L577" s="1"/>
      <c r="M577" s="59">
        <f>SUM(J577:L577)</f>
        <v>0</v>
      </c>
      <c r="N577" s="1"/>
      <c r="O577" s="1"/>
      <c r="P577" s="1"/>
      <c r="Q577" s="59">
        <f>SUM(N577:P577)</f>
        <v>0</v>
      </c>
      <c r="R577" s="59">
        <f>+E577+I577+M577+Q577</f>
        <v>0</v>
      </c>
    </row>
    <row r="578" spans="1:20" ht="15.75" customHeight="1" thickBot="1" x14ac:dyDescent="0.35">
      <c r="A578" s="17" t="s">
        <v>56</v>
      </c>
      <c r="B578" s="1"/>
      <c r="C578" s="1"/>
      <c r="D578" s="1"/>
      <c r="E578" s="59" t="s">
        <v>7</v>
      </c>
      <c r="F578" s="1"/>
      <c r="G578" s="1"/>
      <c r="H578" s="1"/>
      <c r="I578" s="59" t="s">
        <v>7</v>
      </c>
      <c r="J578" s="1"/>
      <c r="K578" s="1"/>
      <c r="L578" s="1"/>
      <c r="M578" s="59" t="s">
        <v>7</v>
      </c>
      <c r="N578" s="1"/>
      <c r="O578" s="1"/>
      <c r="P578" s="1"/>
      <c r="Q578" s="59" t="s">
        <v>7</v>
      </c>
      <c r="R578" s="146" t="s">
        <v>7</v>
      </c>
    </row>
    <row r="579" spans="1:20" ht="16.5" customHeight="1" thickBot="1" x14ac:dyDescent="0.35">
      <c r="A579" s="62" t="s">
        <v>57</v>
      </c>
      <c r="B579" s="100">
        <f>SUM(B574:B578)</f>
        <v>123</v>
      </c>
      <c r="C579" s="101">
        <f>SUM(C574:C578)</f>
        <v>75</v>
      </c>
      <c r="D579" s="101">
        <f>SUM(D574:D578)</f>
        <v>1800</v>
      </c>
      <c r="E579" s="64">
        <f>SUM(B579:D579)</f>
        <v>1998</v>
      </c>
      <c r="F579" s="101">
        <f>SUM(F574:F578)</f>
        <v>3306</v>
      </c>
      <c r="G579" s="101">
        <f>SUM(G574:G578)</f>
        <v>1360</v>
      </c>
      <c r="H579" s="101">
        <f>SUM(H574:H578)</f>
        <v>5000</v>
      </c>
      <c r="I579" s="64">
        <f>SUM(F579:H579)</f>
        <v>9666</v>
      </c>
      <c r="J579" s="101">
        <f>SUM(J574:J578)</f>
        <v>3600</v>
      </c>
      <c r="K579" s="101">
        <f>SUM(K574:K578)</f>
        <v>3458</v>
      </c>
      <c r="L579" s="101">
        <f>SUM(L574:L578)</f>
        <v>600</v>
      </c>
      <c r="M579" s="64">
        <f>SUM(J579:L579)</f>
        <v>7658</v>
      </c>
      <c r="N579" s="101">
        <f>SUM(N574:N578)</f>
        <v>700</v>
      </c>
      <c r="O579" s="101">
        <f>SUM(O574:O578)</f>
        <v>80</v>
      </c>
      <c r="P579" s="101">
        <f>SUM(P574:P578)</f>
        <v>56</v>
      </c>
      <c r="Q579" s="64">
        <f>SUM(N579:P579)</f>
        <v>836</v>
      </c>
      <c r="R579" s="64">
        <f>+E579+I579+M579+Q579</f>
        <v>20158</v>
      </c>
    </row>
    <row r="580" spans="1:20" ht="15.75" customHeight="1" x14ac:dyDescent="0.3">
      <c r="A580" s="17" t="s">
        <v>58</v>
      </c>
      <c r="B580" s="1"/>
      <c r="C580" s="1"/>
      <c r="D580" s="1"/>
      <c r="E580" s="59" t="s">
        <v>7</v>
      </c>
      <c r="F580" s="1"/>
      <c r="G580" s="1"/>
      <c r="H580" s="1"/>
      <c r="I580" s="59" t="s">
        <v>7</v>
      </c>
      <c r="J580" s="1"/>
      <c r="K580" s="1"/>
      <c r="L580" s="1"/>
      <c r="M580" s="59" t="s">
        <v>7</v>
      </c>
      <c r="N580" s="1"/>
      <c r="O580" s="1"/>
      <c r="P580" s="1"/>
      <c r="Q580" s="59" t="s">
        <v>7</v>
      </c>
      <c r="R580" s="59" t="s">
        <v>7</v>
      </c>
    </row>
    <row r="581" spans="1:20" ht="15.75" customHeight="1" x14ac:dyDescent="0.3">
      <c r="A581" s="17" t="s">
        <v>59</v>
      </c>
      <c r="B581" s="1"/>
      <c r="C581" s="1"/>
      <c r="D581" s="1"/>
      <c r="E581" s="59" t="s">
        <v>7</v>
      </c>
      <c r="F581" s="1"/>
      <c r="G581" s="1"/>
      <c r="H581" s="1"/>
      <c r="I581" s="59" t="s">
        <v>7</v>
      </c>
      <c r="J581" s="1"/>
      <c r="K581" s="1"/>
      <c r="L581" s="1"/>
      <c r="M581" s="59" t="s">
        <v>7</v>
      </c>
      <c r="N581" s="1"/>
      <c r="O581" s="1"/>
      <c r="P581" s="1"/>
      <c r="Q581" s="59" t="s">
        <v>7</v>
      </c>
      <c r="R581" s="59" t="s">
        <v>7</v>
      </c>
    </row>
    <row r="582" spans="1:20" ht="15.75" customHeight="1" x14ac:dyDescent="0.3">
      <c r="A582" s="17" t="s">
        <v>60</v>
      </c>
      <c r="B582" s="1"/>
      <c r="C582" s="1"/>
      <c r="D582" s="1"/>
      <c r="E582" s="59" t="s">
        <v>7</v>
      </c>
      <c r="F582" s="1"/>
      <c r="G582" s="1"/>
      <c r="H582" s="1"/>
      <c r="I582" s="59" t="s">
        <v>7</v>
      </c>
      <c r="J582" s="1"/>
      <c r="K582" s="1"/>
      <c r="L582" s="1"/>
      <c r="M582" s="59" t="s">
        <v>7</v>
      </c>
      <c r="N582" s="1"/>
      <c r="O582" s="1"/>
      <c r="P582" s="1"/>
      <c r="Q582" s="59" t="s">
        <v>7</v>
      </c>
      <c r="R582" s="59" t="s">
        <v>7</v>
      </c>
    </row>
    <row r="583" spans="1:20" ht="15.75" customHeight="1" thickBot="1" x14ac:dyDescent="0.35">
      <c r="A583" s="103" t="s">
        <v>856</v>
      </c>
      <c r="B583" s="1"/>
      <c r="C583" s="1"/>
      <c r="D583" s="1"/>
      <c r="E583" s="59">
        <f>SUM(B583:D583)</f>
        <v>0</v>
      </c>
      <c r="F583" s="1"/>
      <c r="G583" s="1"/>
      <c r="H583" s="1"/>
      <c r="I583" s="59">
        <f>SUM(F583:H583)</f>
        <v>0</v>
      </c>
      <c r="J583" s="1"/>
      <c r="K583" s="1"/>
      <c r="L583" s="1"/>
      <c r="M583" s="59">
        <f>SUM(J583:L583)</f>
        <v>0</v>
      </c>
      <c r="N583" s="1"/>
      <c r="O583" s="1"/>
      <c r="P583" s="1"/>
      <c r="Q583" s="59">
        <f>SUM(N583:P583)</f>
        <v>0</v>
      </c>
      <c r="R583" s="59">
        <f>+E583+I583+M583+Q583</f>
        <v>0</v>
      </c>
      <c r="T583" s="4" t="s">
        <v>368</v>
      </c>
    </row>
    <row r="584" spans="1:20" ht="16.5" customHeight="1" thickBot="1" x14ac:dyDescent="0.35">
      <c r="A584" s="137" t="s">
        <v>61</v>
      </c>
      <c r="B584" s="100">
        <f>SUM(B580:B583)</f>
        <v>0</v>
      </c>
      <c r="C584" s="101">
        <f>SUM(C580:C583)</f>
        <v>0</v>
      </c>
      <c r="D584" s="101">
        <f>SUM(D580:D583)</f>
        <v>0</v>
      </c>
      <c r="E584" s="64">
        <f>SUM(B584:D584)</f>
        <v>0</v>
      </c>
      <c r="F584" s="101">
        <f>SUM(F580:F583)</f>
        <v>0</v>
      </c>
      <c r="G584" s="101">
        <f>SUM(G580:G583)</f>
        <v>0</v>
      </c>
      <c r="H584" s="101">
        <f>SUM(H580:H583)</f>
        <v>0</v>
      </c>
      <c r="I584" s="64">
        <f>SUM(F584:H584)</f>
        <v>0</v>
      </c>
      <c r="J584" s="101">
        <f>SUM(J580:J583)</f>
        <v>0</v>
      </c>
      <c r="K584" s="101">
        <f>SUM(K580:K583)</f>
        <v>0</v>
      </c>
      <c r="L584" s="101">
        <f>SUM(L580:L583)</f>
        <v>0</v>
      </c>
      <c r="M584" s="64">
        <f>SUM(J584:L584)</f>
        <v>0</v>
      </c>
      <c r="N584" s="101">
        <f>SUM(N580:N583)</f>
        <v>0</v>
      </c>
      <c r="O584" s="101">
        <f>SUM(O580:O583)</f>
        <v>0</v>
      </c>
      <c r="P584" s="101">
        <f>SUM(P580:P583)</f>
        <v>0</v>
      </c>
      <c r="Q584" s="64">
        <f>SUM(N584:P584)</f>
        <v>0</v>
      </c>
      <c r="R584" s="64">
        <f>+E584+I584+M584+Q584</f>
        <v>0</v>
      </c>
    </row>
    <row r="585" spans="1:20" ht="15.75" customHeight="1" x14ac:dyDescent="0.3">
      <c r="A585" s="17" t="s">
        <v>62</v>
      </c>
      <c r="B585" s="1"/>
      <c r="C585" s="1"/>
      <c r="D585" s="1"/>
      <c r="E585" s="59" t="s">
        <v>7</v>
      </c>
      <c r="F585" s="1"/>
      <c r="G585" s="1"/>
      <c r="H585" s="1"/>
      <c r="I585" s="59" t="s">
        <v>7</v>
      </c>
      <c r="J585" s="1"/>
      <c r="K585" s="1"/>
      <c r="L585" s="1"/>
      <c r="M585" s="59" t="s">
        <v>7</v>
      </c>
      <c r="N585" s="1"/>
      <c r="O585" s="1"/>
      <c r="P585" s="1"/>
      <c r="Q585" s="59" t="s">
        <v>7</v>
      </c>
      <c r="R585" s="59" t="s">
        <v>7</v>
      </c>
    </row>
    <row r="586" spans="1:20" ht="15.75" customHeight="1" x14ac:dyDescent="0.3">
      <c r="A586" s="17" t="s">
        <v>63</v>
      </c>
      <c r="B586" s="1"/>
      <c r="C586" s="1"/>
      <c r="D586" s="1"/>
      <c r="E586" s="59" t="s">
        <v>7</v>
      </c>
      <c r="F586" s="1"/>
      <c r="G586" s="1"/>
      <c r="H586" s="1"/>
      <c r="I586" s="59" t="s">
        <v>7</v>
      </c>
      <c r="J586" s="1"/>
      <c r="K586" s="1"/>
      <c r="L586" s="1"/>
      <c r="M586" s="59" t="s">
        <v>7</v>
      </c>
      <c r="N586" s="1"/>
      <c r="O586" s="1"/>
      <c r="P586" s="1"/>
      <c r="Q586" s="59" t="s">
        <v>7</v>
      </c>
      <c r="R586" s="59" t="s">
        <v>7</v>
      </c>
    </row>
    <row r="587" spans="1:20" ht="15.75" customHeight="1" x14ac:dyDescent="0.3">
      <c r="A587" s="17" t="s">
        <v>64</v>
      </c>
      <c r="B587" s="1"/>
      <c r="C587" s="1"/>
      <c r="D587" s="1"/>
      <c r="E587" s="59" t="s">
        <v>7</v>
      </c>
      <c r="F587" s="1"/>
      <c r="G587" s="1"/>
      <c r="H587" s="1"/>
      <c r="I587" s="59" t="s">
        <v>7</v>
      </c>
      <c r="J587" s="1"/>
      <c r="K587" s="1"/>
      <c r="L587" s="1"/>
      <c r="M587" s="59" t="s">
        <v>7</v>
      </c>
      <c r="N587" s="1"/>
      <c r="O587" s="1"/>
      <c r="P587" s="1"/>
      <c r="Q587" s="59" t="s">
        <v>7</v>
      </c>
      <c r="R587" s="59" t="s">
        <v>7</v>
      </c>
    </row>
    <row r="588" spans="1:20" ht="15.75" customHeight="1" x14ac:dyDescent="0.3">
      <c r="A588" s="17" t="s">
        <v>66</v>
      </c>
      <c r="B588" s="1"/>
      <c r="C588" s="1"/>
      <c r="D588" s="1"/>
      <c r="E588" s="59" t="s">
        <v>7</v>
      </c>
      <c r="F588" s="1"/>
      <c r="G588" s="1"/>
      <c r="H588" s="1"/>
      <c r="I588" s="59" t="s">
        <v>7</v>
      </c>
      <c r="J588" s="1"/>
      <c r="K588" s="1"/>
      <c r="L588" s="1"/>
      <c r="M588" s="59" t="s">
        <v>7</v>
      </c>
      <c r="N588" s="1"/>
      <c r="O588" s="1"/>
      <c r="P588" s="1"/>
      <c r="Q588" s="59" t="s">
        <v>7</v>
      </c>
      <c r="R588" s="59" t="s">
        <v>7</v>
      </c>
    </row>
    <row r="589" spans="1:20" ht="15.75" customHeight="1" x14ac:dyDescent="0.3">
      <c r="A589" s="74" t="s">
        <v>503</v>
      </c>
      <c r="B589" s="1"/>
      <c r="C589" s="1"/>
      <c r="D589" s="1"/>
      <c r="E589" s="59">
        <f>SUM(B589:D589)</f>
        <v>0</v>
      </c>
      <c r="F589" s="1"/>
      <c r="G589" s="1"/>
      <c r="H589" s="1"/>
      <c r="I589" s="59">
        <f>SUM(F589:H589)</f>
        <v>0</v>
      </c>
      <c r="J589" s="1"/>
      <c r="K589" s="1"/>
      <c r="L589" s="1"/>
      <c r="M589" s="59">
        <f>SUM(J589:L589)</f>
        <v>0</v>
      </c>
      <c r="N589" s="1"/>
      <c r="O589" s="1"/>
      <c r="P589" s="1"/>
      <c r="Q589" s="59">
        <f>SUM(N589:P589)</f>
        <v>0</v>
      </c>
      <c r="R589" s="59">
        <f>+E589+I589+M589+Q589</f>
        <v>0</v>
      </c>
    </row>
    <row r="590" spans="1:20" ht="15.75" customHeight="1" x14ac:dyDescent="0.3">
      <c r="A590" s="17" t="s">
        <v>67</v>
      </c>
      <c r="B590" s="1"/>
      <c r="C590" s="1"/>
      <c r="D590" s="1"/>
      <c r="E590" s="59"/>
      <c r="F590" s="1"/>
      <c r="G590" s="1"/>
      <c r="H590" s="1"/>
      <c r="I590" s="59"/>
      <c r="J590" s="1"/>
      <c r="K590" s="1"/>
      <c r="L590" s="1"/>
      <c r="M590" s="59"/>
      <c r="N590" s="1"/>
      <c r="O590" s="1"/>
      <c r="P590" s="1"/>
      <c r="Q590" s="59"/>
      <c r="R590" s="59" t="s">
        <v>7</v>
      </c>
    </row>
    <row r="591" spans="1:20" ht="15.75" customHeight="1" x14ac:dyDescent="0.3">
      <c r="A591" s="74" t="s">
        <v>460</v>
      </c>
      <c r="B591" s="1"/>
      <c r="C591" s="1"/>
      <c r="D591" s="1"/>
      <c r="E591" s="59">
        <f t="shared" ref="E591:E598" si="220">SUM(B591:D591)</f>
        <v>0</v>
      </c>
      <c r="F591" s="1"/>
      <c r="G591" s="1"/>
      <c r="H591" s="1"/>
      <c r="I591" s="59">
        <f t="shared" ref="I591:I598" si="221">SUM(F591:H591)</f>
        <v>0</v>
      </c>
      <c r="J591" s="1"/>
      <c r="K591" s="1"/>
      <c r="L591" s="1"/>
      <c r="M591" s="59">
        <f t="shared" ref="M591:M598" si="222">SUM(J591:L591)</f>
        <v>0</v>
      </c>
      <c r="N591" s="1"/>
      <c r="O591" s="1"/>
      <c r="P591" s="1"/>
      <c r="Q591" s="59">
        <f t="shared" ref="Q591:Q598" si="223">SUM(N591:P591)</f>
        <v>0</v>
      </c>
      <c r="R591" s="59">
        <f t="shared" ref="R591:R598" si="224">+E591+I591+M591+Q591</f>
        <v>0</v>
      </c>
      <c r="T591" s="4" t="s">
        <v>368</v>
      </c>
    </row>
    <row r="592" spans="1:20" ht="15.75" customHeight="1" x14ac:dyDescent="0.3">
      <c r="A592" s="74" t="s">
        <v>504</v>
      </c>
      <c r="B592" s="1"/>
      <c r="C592" s="1"/>
      <c r="D592" s="1"/>
      <c r="E592" s="59">
        <f>SUM(B592:D592)</f>
        <v>0</v>
      </c>
      <c r="F592" s="1"/>
      <c r="G592" s="1"/>
      <c r="H592" s="1"/>
      <c r="I592" s="59">
        <f>SUM(F592:H592)</f>
        <v>0</v>
      </c>
      <c r="J592" s="1"/>
      <c r="K592" s="1"/>
      <c r="L592" s="1"/>
      <c r="M592" s="59">
        <f>SUM(J592:L592)</f>
        <v>0</v>
      </c>
      <c r="N592" s="1"/>
      <c r="O592" s="1"/>
      <c r="P592" s="1"/>
      <c r="Q592" s="59">
        <f>SUM(N592:P592)</f>
        <v>0</v>
      </c>
      <c r="R592" s="59">
        <f>+E592+I592+M592+Q592</f>
        <v>0</v>
      </c>
      <c r="T592" s="4" t="s">
        <v>368</v>
      </c>
    </row>
    <row r="593" spans="1:18" ht="15.75" customHeight="1" x14ac:dyDescent="0.3">
      <c r="A593" s="74" t="s">
        <v>505</v>
      </c>
      <c r="B593" s="1"/>
      <c r="C593" s="1"/>
      <c r="D593" s="1"/>
      <c r="E593" s="59">
        <f t="shared" ref="E593" si="225">SUM(B593:D593)</f>
        <v>0</v>
      </c>
      <c r="F593" s="1"/>
      <c r="G593" s="1"/>
      <c r="H593" s="1"/>
      <c r="I593" s="59">
        <f t="shared" ref="I593" si="226">SUM(F593:H593)</f>
        <v>0</v>
      </c>
      <c r="J593" s="1"/>
      <c r="K593" s="1"/>
      <c r="L593" s="1"/>
      <c r="M593" s="59">
        <f t="shared" ref="M593" si="227">SUM(J593:L593)</f>
        <v>0</v>
      </c>
      <c r="N593" s="1"/>
      <c r="O593" s="1"/>
      <c r="P593" s="1"/>
      <c r="Q593" s="59">
        <f t="shared" ref="Q593" si="228">SUM(N593:P593)</f>
        <v>0</v>
      </c>
      <c r="R593" s="59">
        <f t="shared" ref="R593" si="229">+E593+I593+M593+Q593</f>
        <v>0</v>
      </c>
    </row>
    <row r="594" spans="1:18" ht="15.75" customHeight="1" thickBot="1" x14ac:dyDescent="0.35">
      <c r="A594" s="74" t="s">
        <v>506</v>
      </c>
      <c r="B594" s="1"/>
      <c r="C594" s="1"/>
      <c r="D594" s="1"/>
      <c r="E594" s="59">
        <f t="shared" si="220"/>
        <v>0</v>
      </c>
      <c r="F594" s="1"/>
      <c r="G594" s="1"/>
      <c r="H594" s="1"/>
      <c r="I594" s="59">
        <f t="shared" si="221"/>
        <v>0</v>
      </c>
      <c r="J594" s="1"/>
      <c r="K594" s="1"/>
      <c r="L594" s="1"/>
      <c r="M594" s="59">
        <f t="shared" si="222"/>
        <v>0</v>
      </c>
      <c r="N594" s="1"/>
      <c r="O594" s="1"/>
      <c r="P594" s="1"/>
      <c r="Q594" s="59">
        <f t="shared" si="223"/>
        <v>0</v>
      </c>
      <c r="R594" s="59">
        <f t="shared" si="224"/>
        <v>0</v>
      </c>
    </row>
    <row r="595" spans="1:18" ht="16.5" customHeight="1" thickBot="1" x14ac:dyDescent="0.35">
      <c r="A595" s="62" t="s">
        <v>68</v>
      </c>
      <c r="B595" s="63">
        <f>SUM(B588:B594)</f>
        <v>0</v>
      </c>
      <c r="C595" s="63">
        <f>SUM(C588:C594)</f>
        <v>0</v>
      </c>
      <c r="D595" s="63">
        <f>SUM(D588:D594)</f>
        <v>0</v>
      </c>
      <c r="E595" s="65">
        <f t="shared" si="220"/>
        <v>0</v>
      </c>
      <c r="F595" s="63">
        <f>SUM(F588:F594)</f>
        <v>0</v>
      </c>
      <c r="G595" s="63">
        <f>SUM(G588:G594)</f>
        <v>0</v>
      </c>
      <c r="H595" s="63">
        <f>SUM(H588:H594)</f>
        <v>0</v>
      </c>
      <c r="I595" s="65">
        <f t="shared" si="221"/>
        <v>0</v>
      </c>
      <c r="J595" s="63">
        <f>SUM(J588:J594)</f>
        <v>0</v>
      </c>
      <c r="K595" s="63">
        <f>SUM(K588:K594)</f>
        <v>0</v>
      </c>
      <c r="L595" s="63">
        <f>SUM(L588:L594)</f>
        <v>0</v>
      </c>
      <c r="M595" s="65">
        <f t="shared" si="222"/>
        <v>0</v>
      </c>
      <c r="N595" s="63">
        <f>SUM(N588:N594)</f>
        <v>0</v>
      </c>
      <c r="O595" s="63">
        <f>SUM(O588:O594)</f>
        <v>0</v>
      </c>
      <c r="P595" s="63">
        <f>SUM(P588:P594)</f>
        <v>0</v>
      </c>
      <c r="Q595" s="65">
        <f t="shared" si="223"/>
        <v>0</v>
      </c>
      <c r="R595" s="64">
        <f t="shared" si="224"/>
        <v>0</v>
      </c>
    </row>
    <row r="596" spans="1:18" ht="16.5" customHeight="1" thickBot="1" x14ac:dyDescent="0.35">
      <c r="A596" s="137" t="s">
        <v>69</v>
      </c>
      <c r="B596" s="100">
        <f>SUM(B585:B594)</f>
        <v>0</v>
      </c>
      <c r="C596" s="101">
        <f>SUM(C585:C594)</f>
        <v>0</v>
      </c>
      <c r="D596" s="138">
        <f>SUM(D585:D594)</f>
        <v>0</v>
      </c>
      <c r="E596" s="65">
        <f t="shared" si="220"/>
        <v>0</v>
      </c>
      <c r="F596" s="101">
        <f>SUM(F585:F594)</f>
        <v>0</v>
      </c>
      <c r="G596" s="101">
        <f>SUM(G585:G594)</f>
        <v>0</v>
      </c>
      <c r="H596" s="101">
        <f>SUM(H585:H594)</f>
        <v>0</v>
      </c>
      <c r="I596" s="65">
        <f t="shared" si="221"/>
        <v>0</v>
      </c>
      <c r="J596" s="101">
        <f>SUM(J585:J594)</f>
        <v>0</v>
      </c>
      <c r="K596" s="101">
        <f>SUM(K585:K594)</f>
        <v>0</v>
      </c>
      <c r="L596" s="101">
        <f>SUM(L585:L594)</f>
        <v>0</v>
      </c>
      <c r="M596" s="65">
        <f t="shared" si="222"/>
        <v>0</v>
      </c>
      <c r="N596" s="101">
        <f>SUM(N585:N594)</f>
        <v>0</v>
      </c>
      <c r="O596" s="101">
        <f>SUM(O585:O594)</f>
        <v>0</v>
      </c>
      <c r="P596" s="101">
        <f>SUM(P585:P594)</f>
        <v>0</v>
      </c>
      <c r="Q596" s="65">
        <f t="shared" si="223"/>
        <v>0</v>
      </c>
      <c r="R596" s="64">
        <f t="shared" si="224"/>
        <v>0</v>
      </c>
    </row>
    <row r="597" spans="1:18" ht="16.5" customHeight="1" thickBot="1" x14ac:dyDescent="0.35">
      <c r="A597" s="62" t="s">
        <v>70</v>
      </c>
      <c r="B597" s="107">
        <f>+B573+B579+B584+B596</f>
        <v>123</v>
      </c>
      <c r="C597" s="63">
        <f>+C573+C579+C584+C596</f>
        <v>575</v>
      </c>
      <c r="D597" s="63">
        <f>+D573+D579+D584+D596</f>
        <v>2550</v>
      </c>
      <c r="E597" s="64">
        <f t="shared" si="220"/>
        <v>3248</v>
      </c>
      <c r="F597" s="63">
        <f>+F573+F579+F584+F596</f>
        <v>4056</v>
      </c>
      <c r="G597" s="63">
        <f>+G573+G579+G584+G596</f>
        <v>2110</v>
      </c>
      <c r="H597" s="63">
        <f>+H573+H579+H584+H596</f>
        <v>6250</v>
      </c>
      <c r="I597" s="64">
        <f t="shared" si="221"/>
        <v>12416</v>
      </c>
      <c r="J597" s="63">
        <f>+J573+J579+J584+J596</f>
        <v>4837</v>
      </c>
      <c r="K597" s="63">
        <f>+K573+K579+K584+K596</f>
        <v>4458</v>
      </c>
      <c r="L597" s="63">
        <f>+L573+L579+L584+L596</f>
        <v>1900</v>
      </c>
      <c r="M597" s="64">
        <f t="shared" si="222"/>
        <v>11195</v>
      </c>
      <c r="N597" s="63">
        <f>+N573+N579+N584+N596</f>
        <v>1200</v>
      </c>
      <c r="O597" s="63">
        <f>+O573+O579+O584+O596</f>
        <v>80</v>
      </c>
      <c r="P597" s="63">
        <f>+P573+P579+P584+P596</f>
        <v>56</v>
      </c>
      <c r="Q597" s="64">
        <f t="shared" si="223"/>
        <v>1336</v>
      </c>
      <c r="R597" s="88">
        <f t="shared" si="224"/>
        <v>28195</v>
      </c>
    </row>
    <row r="598" spans="1:18" ht="16.5" customHeight="1" thickBot="1" x14ac:dyDescent="0.35">
      <c r="A598" s="40" t="s">
        <v>37</v>
      </c>
      <c r="B598" s="25">
        <v>23</v>
      </c>
      <c r="C598" s="25">
        <v>43</v>
      </c>
      <c r="D598" s="25">
        <v>66</v>
      </c>
      <c r="E598" s="88">
        <f t="shared" si="220"/>
        <v>132</v>
      </c>
      <c r="F598" s="25">
        <v>91</v>
      </c>
      <c r="G598" s="25">
        <v>108</v>
      </c>
      <c r="H598" s="25">
        <v>109</v>
      </c>
      <c r="I598" s="88">
        <f t="shared" si="221"/>
        <v>308</v>
      </c>
      <c r="J598" s="25">
        <v>104</v>
      </c>
      <c r="K598" s="25">
        <v>79</v>
      </c>
      <c r="L598" s="25">
        <v>80</v>
      </c>
      <c r="M598" s="88">
        <f t="shared" si="222"/>
        <v>263</v>
      </c>
      <c r="N598" s="25">
        <v>74</v>
      </c>
      <c r="O598" s="25">
        <v>58</v>
      </c>
      <c r="P598" s="25">
        <v>42</v>
      </c>
      <c r="Q598" s="88">
        <f t="shared" si="223"/>
        <v>174</v>
      </c>
      <c r="R598" s="59">
        <f t="shared" si="224"/>
        <v>877</v>
      </c>
    </row>
    <row r="599" spans="1:18" ht="16.5" customHeight="1" thickBot="1" x14ac:dyDescent="0.35">
      <c r="A599" s="42"/>
      <c r="B599" s="37"/>
      <c r="C599" s="37"/>
      <c r="D599" s="37"/>
      <c r="E599" s="43"/>
      <c r="F599" s="37"/>
      <c r="G599" s="37"/>
      <c r="H599" s="37"/>
      <c r="I599" s="147"/>
      <c r="J599" s="37"/>
      <c r="K599" s="37"/>
      <c r="L599" s="37"/>
      <c r="M599" s="147"/>
      <c r="N599" s="37"/>
      <c r="O599" s="37"/>
      <c r="P599" s="37"/>
      <c r="Q599" s="147"/>
      <c r="R599" s="43"/>
    </row>
    <row r="600" spans="1:18" ht="15.75" customHeight="1" x14ac:dyDescent="0.3">
      <c r="A600" s="17" t="s">
        <v>507</v>
      </c>
      <c r="B600" s="83">
        <f>SUM(B597:B598)</f>
        <v>146</v>
      </c>
      <c r="C600" s="83">
        <f>SUM(C597:C598)</f>
        <v>618</v>
      </c>
      <c r="D600" s="83">
        <f>SUM(D597:D598)</f>
        <v>2616</v>
      </c>
      <c r="E600" s="65">
        <f>SUM(B600:D600)</f>
        <v>3380</v>
      </c>
      <c r="F600" s="83">
        <f>SUM(F597:F598)</f>
        <v>4147</v>
      </c>
      <c r="G600" s="83">
        <f>SUM(G597:G598)</f>
        <v>2218</v>
      </c>
      <c r="H600" s="83">
        <f>SUM(H597:H598)</f>
        <v>6359</v>
      </c>
      <c r="I600" s="65">
        <f>SUM(F600:H600)</f>
        <v>12724</v>
      </c>
      <c r="J600" s="83">
        <f>SUM(J597:J598)</f>
        <v>4941</v>
      </c>
      <c r="K600" s="83">
        <f>SUM(K597:K598)</f>
        <v>4537</v>
      </c>
      <c r="L600" s="83">
        <f>SUM(L597:L598)</f>
        <v>1980</v>
      </c>
      <c r="M600" s="65">
        <f>SUM(J600:L600)</f>
        <v>11458</v>
      </c>
      <c r="N600" s="83">
        <f>SUM(N597:N598)</f>
        <v>1274</v>
      </c>
      <c r="O600" s="83">
        <f>SUM(O597:O598)</f>
        <v>138</v>
      </c>
      <c r="P600" s="83">
        <f>SUM(P597:P598)</f>
        <v>98</v>
      </c>
      <c r="Q600" s="65">
        <f>SUM(N600:P600)</f>
        <v>1510</v>
      </c>
      <c r="R600" s="65">
        <f>+E600+I600+M600+Q600</f>
        <v>29072</v>
      </c>
    </row>
    <row r="601" spans="1:18" ht="15.75" customHeight="1" x14ac:dyDescent="0.3">
      <c r="A601" s="17" t="s">
        <v>39</v>
      </c>
      <c r="B601" s="1">
        <f>(B600/B10)/1.983</f>
        <v>2.3750264343695608</v>
      </c>
      <c r="C601" s="1">
        <f>(C600/C10)/1.983</f>
        <v>10.746517815222495</v>
      </c>
      <c r="D601" s="1">
        <f>(D600/D10)/1.983</f>
        <v>42.555268166512128</v>
      </c>
      <c r="E601" s="59" t="s">
        <v>7</v>
      </c>
      <c r="F601" s="1">
        <f>(F600/F10)/1.983</f>
        <v>69.709194822659256</v>
      </c>
      <c r="G601" s="1">
        <f>(G600/G10)/1.983</f>
        <v>36.080881037203319</v>
      </c>
      <c r="H601" s="1">
        <f>(H600/H10)/1.983</f>
        <v>106.89191460749706</v>
      </c>
      <c r="I601" s="59" t="s">
        <v>7</v>
      </c>
      <c r="J601" s="1">
        <f>(J600/J10)/1.983</f>
        <v>80.376750768630117</v>
      </c>
      <c r="K601" s="1">
        <f>(K600/K10)/1.983</f>
        <v>73.804759813251337</v>
      </c>
      <c r="L601" s="1">
        <f>(L600/L10)/1.983</f>
        <v>33.282904689863841</v>
      </c>
      <c r="M601" s="59" t="s">
        <v>7</v>
      </c>
      <c r="N601" s="1">
        <f>(N600/N10)/1.983</f>
        <v>20.724545735526164</v>
      </c>
      <c r="O601" s="1">
        <f>(O600/O10)/1.983</f>
        <v>2.3197175995965704</v>
      </c>
      <c r="P601" s="1">
        <f>(P600/P10)/1.983</f>
        <v>1.5941958258097049</v>
      </c>
      <c r="Q601" s="59" t="s">
        <v>7</v>
      </c>
      <c r="R601" s="59" t="s">
        <v>7</v>
      </c>
    </row>
    <row r="602" spans="1:18" ht="15.75" customHeight="1" x14ac:dyDescent="0.3">
      <c r="A602" s="17" t="s">
        <v>508</v>
      </c>
      <c r="B602" s="1">
        <f>B600+B667</f>
        <v>16039</v>
      </c>
      <c r="C602" s="1">
        <f>C600+C667</f>
        <v>23206</v>
      </c>
      <c r="D602" s="1">
        <f>D600+D667</f>
        <v>28849</v>
      </c>
      <c r="E602" s="59">
        <f>SUM(B602:D602)</f>
        <v>68094</v>
      </c>
      <c r="F602" s="1">
        <f>F600+F667</f>
        <v>30315</v>
      </c>
      <c r="G602" s="1">
        <f>G600+G667</f>
        <v>29981</v>
      </c>
      <c r="H602" s="1">
        <f>H600+H667</f>
        <v>32706</v>
      </c>
      <c r="I602" s="59">
        <f>SUM(F602:H602)</f>
        <v>93002</v>
      </c>
      <c r="J602" s="1">
        <f>J600+J667</f>
        <v>30877</v>
      </c>
      <c r="K602" s="1">
        <f>K600+K667</f>
        <v>32116</v>
      </c>
      <c r="L602" s="1">
        <f>L600+L667</f>
        <v>24985</v>
      </c>
      <c r="M602" s="59">
        <f>SUM(J602:L602)</f>
        <v>87978</v>
      </c>
      <c r="N602" s="1">
        <f>N600+N667</f>
        <v>15082</v>
      </c>
      <c r="O602" s="1">
        <f>O600+O667</f>
        <v>4829</v>
      </c>
      <c r="P602" s="1">
        <f>P600+P667</f>
        <v>3018</v>
      </c>
      <c r="Q602" s="59">
        <f>SUM(N602:P602)</f>
        <v>22929</v>
      </c>
      <c r="R602" s="59">
        <f>+E602+I602+M602+Q602</f>
        <v>272003</v>
      </c>
    </row>
    <row r="603" spans="1:18" ht="16.5" customHeight="1" thickBot="1" x14ac:dyDescent="0.35">
      <c r="A603" s="24" t="s">
        <v>509</v>
      </c>
      <c r="B603" s="87">
        <f>(B602/B10)/1.983</f>
        <v>260.91129438940669</v>
      </c>
      <c r="C603" s="87">
        <f>(C602/C10)/1.983</f>
        <v>403.53348288034499</v>
      </c>
      <c r="D603" s="87">
        <f>(D602/D10)/1.983</f>
        <v>469.29546304881814</v>
      </c>
      <c r="E603" s="88" t="s">
        <v>7</v>
      </c>
      <c r="F603" s="87">
        <f>(F602/F10)/1.983</f>
        <v>509.58144225920319</v>
      </c>
      <c r="G603" s="87">
        <f>(G602/G10)/1.983</f>
        <v>487.71005156735475</v>
      </c>
      <c r="H603" s="87">
        <f>(H602/H10)/1.983</f>
        <v>549.77307110438733</v>
      </c>
      <c r="I603" s="88" t="s">
        <v>7</v>
      </c>
      <c r="J603" s="87">
        <f>(J602/J10)/1.983</f>
        <v>502.28555626047205</v>
      </c>
      <c r="K603" s="87">
        <f>(K602/K10)/1.983</f>
        <v>522.44074634392337</v>
      </c>
      <c r="L603" s="87">
        <f>(L602/L10)/1.983</f>
        <v>419.98655236174147</v>
      </c>
      <c r="M603" s="88" t="s">
        <v>7</v>
      </c>
      <c r="N603" s="87">
        <f>(N602/N10)/1.983</f>
        <v>245.34348413124459</v>
      </c>
      <c r="O603" s="87">
        <f>(O602/O10)/1.983</f>
        <v>81.173306438056812</v>
      </c>
      <c r="P603" s="87">
        <f>(P602/P10)/1.983</f>
        <v>49.094724513200916</v>
      </c>
      <c r="Q603" s="88" t="s">
        <v>7</v>
      </c>
      <c r="R603" s="88" t="s">
        <v>7</v>
      </c>
    </row>
    <row r="604" spans="1:18" ht="15.75" customHeight="1" x14ac:dyDescent="0.3">
      <c r="A604" s="28"/>
      <c r="B604" s="1"/>
      <c r="C604" s="1"/>
      <c r="D604" s="1"/>
      <c r="E604" s="1"/>
      <c r="F604" s="1"/>
      <c r="G604" s="1"/>
      <c r="H604" s="1"/>
      <c r="I604" s="1"/>
      <c r="J604" s="1"/>
      <c r="K604" s="1"/>
      <c r="L604" s="1"/>
      <c r="M604" s="1"/>
      <c r="N604" s="1"/>
      <c r="O604" s="1"/>
      <c r="P604" s="1"/>
      <c r="Q604" s="1"/>
      <c r="R604" s="28"/>
    </row>
    <row r="605" spans="1:18" ht="15.75" customHeight="1" thickBot="1" x14ac:dyDescent="0.35">
      <c r="A605" s="28"/>
      <c r="B605" s="1"/>
      <c r="C605" s="1"/>
      <c r="D605" s="1"/>
      <c r="E605" s="1"/>
      <c r="F605" s="1"/>
      <c r="G605" s="1"/>
      <c r="H605" s="1"/>
      <c r="I605" s="1"/>
      <c r="J605" s="1"/>
      <c r="K605" s="1"/>
      <c r="L605" s="1"/>
      <c r="M605" s="1"/>
      <c r="N605" s="1"/>
      <c r="O605" s="1"/>
      <c r="P605" s="1"/>
      <c r="Q605" s="1"/>
      <c r="R605" s="28"/>
    </row>
    <row r="606" spans="1:18" ht="16.5" customHeight="1" thickBot="1" x14ac:dyDescent="0.35">
      <c r="A606" s="145" t="s">
        <v>510</v>
      </c>
      <c r="B606" s="32" t="s">
        <v>36</v>
      </c>
      <c r="C606" s="33" t="s">
        <v>9</v>
      </c>
      <c r="D606" s="33" t="s">
        <v>10</v>
      </c>
      <c r="E606" s="12" t="s">
        <v>11</v>
      </c>
      <c r="F606" s="33" t="s">
        <v>12</v>
      </c>
      <c r="G606" s="33" t="s">
        <v>13</v>
      </c>
      <c r="H606" s="33" t="s">
        <v>14</v>
      </c>
      <c r="I606" s="34" t="s">
        <v>15</v>
      </c>
      <c r="J606" s="33" t="s">
        <v>16</v>
      </c>
      <c r="K606" s="33" t="s">
        <v>17</v>
      </c>
      <c r="L606" s="33" t="s">
        <v>18</v>
      </c>
      <c r="M606" s="34" t="s">
        <v>19</v>
      </c>
      <c r="N606" s="33" t="s">
        <v>20</v>
      </c>
      <c r="O606" s="33" t="s">
        <v>21</v>
      </c>
      <c r="P606" s="33" t="s">
        <v>22</v>
      </c>
      <c r="Q606" s="34" t="s">
        <v>23</v>
      </c>
      <c r="R606" s="35" t="s">
        <v>24</v>
      </c>
    </row>
    <row r="607" spans="1:18" ht="16.5" customHeight="1" thickBot="1" x14ac:dyDescent="0.35">
      <c r="A607" s="64"/>
      <c r="B607" s="81"/>
      <c r="C607" s="81"/>
      <c r="D607" s="81"/>
      <c r="E607" s="72"/>
      <c r="F607" s="81"/>
      <c r="G607" s="81"/>
      <c r="H607" s="81"/>
      <c r="I607" s="89"/>
      <c r="J607" s="81"/>
      <c r="K607" s="81"/>
      <c r="L607" s="81"/>
      <c r="M607" s="89"/>
      <c r="N607" s="81"/>
      <c r="O607" s="81"/>
      <c r="P607" s="81"/>
      <c r="Q607" s="89"/>
      <c r="R607" s="117"/>
    </row>
    <row r="608" spans="1:18" ht="15.75" customHeight="1" x14ac:dyDescent="0.3">
      <c r="A608" s="17" t="s">
        <v>45</v>
      </c>
      <c r="B608" s="1"/>
      <c r="C608" s="1"/>
      <c r="D608" s="1"/>
      <c r="E608" s="59" t="s">
        <v>7</v>
      </c>
      <c r="F608" s="1"/>
      <c r="G608" s="1"/>
      <c r="H608" s="1"/>
      <c r="I608" s="59" t="s">
        <v>7</v>
      </c>
      <c r="J608" s="1" t="s">
        <v>7</v>
      </c>
      <c r="K608" s="1" t="s">
        <v>7</v>
      </c>
      <c r="L608" s="1" t="s">
        <v>7</v>
      </c>
      <c r="M608" s="59" t="s">
        <v>7</v>
      </c>
      <c r="N608" s="1" t="s">
        <v>7</v>
      </c>
      <c r="O608" s="1" t="s">
        <v>7</v>
      </c>
      <c r="P608" s="1" t="s">
        <v>7</v>
      </c>
      <c r="Q608" s="59" t="s">
        <v>7</v>
      </c>
      <c r="R608" s="59" t="s">
        <v>7</v>
      </c>
    </row>
    <row r="609" spans="1:20" ht="15.75" customHeight="1" x14ac:dyDescent="0.3">
      <c r="A609" s="17" t="s">
        <v>46</v>
      </c>
      <c r="B609" s="1"/>
      <c r="C609" s="1"/>
      <c r="D609" s="1"/>
      <c r="E609" s="59" t="s">
        <v>7</v>
      </c>
      <c r="F609" s="1"/>
      <c r="G609" s="1"/>
      <c r="H609" s="1"/>
      <c r="I609" s="59" t="s">
        <v>7</v>
      </c>
      <c r="J609" s="1"/>
      <c r="K609" s="1"/>
      <c r="L609" s="1"/>
      <c r="M609" s="59" t="s">
        <v>7</v>
      </c>
      <c r="N609" s="1"/>
      <c r="O609" s="1"/>
      <c r="P609" s="1"/>
      <c r="Q609" s="59" t="s">
        <v>7</v>
      </c>
      <c r="R609" s="59" t="s">
        <v>7</v>
      </c>
    </row>
    <row r="610" spans="1:20" ht="15.75" customHeight="1" x14ac:dyDescent="0.3">
      <c r="A610" s="74" t="s">
        <v>511</v>
      </c>
      <c r="B610" s="1"/>
      <c r="C610" s="1"/>
      <c r="D610" s="1"/>
      <c r="E610" s="59">
        <f t="shared" ref="E610" si="230">SUM(B610:D610)</f>
        <v>0</v>
      </c>
      <c r="F610" s="1"/>
      <c r="G610" s="1"/>
      <c r="H610" s="1"/>
      <c r="I610" s="59">
        <f t="shared" ref="I610" si="231">SUM(F610:H610)</f>
        <v>0</v>
      </c>
      <c r="J610" s="1"/>
      <c r="K610" s="1"/>
      <c r="L610" s="1"/>
      <c r="M610" s="59">
        <f t="shared" ref="M610" si="232">SUM(J610:L610)</f>
        <v>0</v>
      </c>
      <c r="N610" s="1"/>
      <c r="O610" s="1"/>
      <c r="P610" s="1"/>
      <c r="Q610" s="59">
        <f t="shared" ref="Q610:Q618" si="233">SUM(N610:P610)</f>
        <v>0</v>
      </c>
      <c r="R610" s="59">
        <f t="shared" ref="R610:R620" si="234">+E610+I610+M610+Q610</f>
        <v>0</v>
      </c>
    </row>
    <row r="611" spans="1:20" ht="15.75" customHeight="1" x14ac:dyDescent="0.3">
      <c r="A611" s="74" t="s">
        <v>512</v>
      </c>
      <c r="B611" s="1">
        <v>200</v>
      </c>
      <c r="C611" s="1">
        <v>300</v>
      </c>
      <c r="D611" s="1">
        <v>500</v>
      </c>
      <c r="E611" s="59">
        <f>SUM(B611:D611)</f>
        <v>1000</v>
      </c>
      <c r="F611" s="1">
        <v>200</v>
      </c>
      <c r="G611" s="1">
        <v>200</v>
      </c>
      <c r="H611" s="1">
        <v>200</v>
      </c>
      <c r="I611" s="59">
        <f>SUM(F611:H611)</f>
        <v>600</v>
      </c>
      <c r="J611" s="1">
        <v>200</v>
      </c>
      <c r="K611" s="1">
        <v>200</v>
      </c>
      <c r="L611" s="1"/>
      <c r="M611" s="59">
        <f>SUM(J611:L611)</f>
        <v>400</v>
      </c>
      <c r="N611" s="1"/>
      <c r="O611" s="1"/>
      <c r="P611" s="1"/>
      <c r="Q611" s="59">
        <f>SUM(N611:P611)</f>
        <v>0</v>
      </c>
      <c r="R611" s="59">
        <f>+E611+I611+M611+Q611</f>
        <v>2000</v>
      </c>
    </row>
    <row r="612" spans="1:20" ht="15.75" customHeight="1" x14ac:dyDescent="0.3">
      <c r="A612" s="74" t="s">
        <v>513</v>
      </c>
      <c r="B612" s="1"/>
      <c r="C612" s="1"/>
      <c r="D612" s="1">
        <v>1000</v>
      </c>
      <c r="E612" s="59">
        <f t="shared" ref="E612" si="235">SUM(B612:D612)</f>
        <v>1000</v>
      </c>
      <c r="F612" s="1">
        <v>1000</v>
      </c>
      <c r="G612" s="1">
        <v>1000</v>
      </c>
      <c r="H612" s="1">
        <v>1000</v>
      </c>
      <c r="I612" s="59">
        <f t="shared" ref="I612" si="236">SUM(F612:H612)</f>
        <v>3000</v>
      </c>
      <c r="J612" s="1">
        <v>1000</v>
      </c>
      <c r="K612" s="1">
        <v>960</v>
      </c>
      <c r="L612" s="1"/>
      <c r="M612" s="59">
        <f t="shared" ref="M612" si="237">SUM(J612:L612)</f>
        <v>1960</v>
      </c>
      <c r="N612" s="1"/>
      <c r="O612" s="1"/>
      <c r="P612" s="1"/>
      <c r="Q612" s="59">
        <f t="shared" si="233"/>
        <v>0</v>
      </c>
      <c r="R612" s="59">
        <f t="shared" si="234"/>
        <v>5960</v>
      </c>
      <c r="T612" s="4" t="s">
        <v>514</v>
      </c>
    </row>
    <row r="613" spans="1:20" ht="15.75" customHeight="1" x14ac:dyDescent="0.3">
      <c r="A613" s="74" t="s">
        <v>515</v>
      </c>
      <c r="B613" s="1"/>
      <c r="C613" s="1"/>
      <c r="D613" s="1"/>
      <c r="E613" s="59">
        <f>SUM(B613:D613)</f>
        <v>0</v>
      </c>
      <c r="F613" s="1"/>
      <c r="G613" s="1"/>
      <c r="H613" s="1"/>
      <c r="I613" s="59">
        <f>SUM(F613:H613)</f>
        <v>0</v>
      </c>
      <c r="J613" s="1"/>
      <c r="K613" s="1"/>
      <c r="L613" s="1"/>
      <c r="M613" s="59">
        <f>SUM(J613:L613)</f>
        <v>0</v>
      </c>
      <c r="N613" s="1"/>
      <c r="O613" s="1"/>
      <c r="P613" s="1"/>
      <c r="Q613" s="59">
        <f>SUM(N613:P613)</f>
        <v>0</v>
      </c>
      <c r="R613" s="59">
        <f>+E613+I613+M613+Q613</f>
        <v>0</v>
      </c>
      <c r="T613" s="4" t="s">
        <v>516</v>
      </c>
    </row>
    <row r="614" spans="1:20" ht="15.75" customHeight="1" x14ac:dyDescent="0.3">
      <c r="A614" s="74" t="s">
        <v>517</v>
      </c>
      <c r="B614" s="1">
        <v>300</v>
      </c>
      <c r="C614" s="1">
        <v>300</v>
      </c>
      <c r="D614" s="1">
        <v>300</v>
      </c>
      <c r="E614" s="59">
        <f t="shared" ref="E614" si="238">SUM(B614:D614)</f>
        <v>900</v>
      </c>
      <c r="F614" s="1">
        <v>300</v>
      </c>
      <c r="G614" s="1">
        <v>300</v>
      </c>
      <c r="H614" s="1">
        <v>300</v>
      </c>
      <c r="I614" s="59">
        <f t="shared" ref="I614" si="239">SUM(F614:H614)</f>
        <v>900</v>
      </c>
      <c r="J614" s="1">
        <v>300</v>
      </c>
      <c r="K614" s="1">
        <v>300</v>
      </c>
      <c r="L614" s="1">
        <v>300</v>
      </c>
      <c r="M614" s="59">
        <f t="shared" ref="M614" si="240">SUM(J614:L614)</f>
        <v>900</v>
      </c>
      <c r="N614" s="1">
        <v>300</v>
      </c>
      <c r="O614" s="1">
        <v>305</v>
      </c>
      <c r="P614" s="1"/>
      <c r="Q614" s="59">
        <f t="shared" si="233"/>
        <v>605</v>
      </c>
      <c r="R614" s="59">
        <f t="shared" si="234"/>
        <v>3305</v>
      </c>
      <c r="T614" s="4" t="s">
        <v>516</v>
      </c>
    </row>
    <row r="615" spans="1:20" ht="15.75" customHeight="1" x14ac:dyDescent="0.3">
      <c r="A615" s="74" t="s">
        <v>518</v>
      </c>
      <c r="B615" s="1">
        <v>635</v>
      </c>
      <c r="C615" s="1">
        <v>635</v>
      </c>
      <c r="D615" s="1">
        <v>635</v>
      </c>
      <c r="E615" s="59">
        <f>SUM(B615:D615)</f>
        <v>1905</v>
      </c>
      <c r="F615" s="1">
        <v>635</v>
      </c>
      <c r="G615" s="1">
        <v>635</v>
      </c>
      <c r="H615" s="1">
        <v>325</v>
      </c>
      <c r="I615" s="59">
        <f>SUM(F615:H615)</f>
        <v>1595</v>
      </c>
      <c r="J615" s="1"/>
      <c r="K615" s="1"/>
      <c r="L615" s="1"/>
      <c r="M615" s="59">
        <f>SUM(J615:L615)</f>
        <v>0</v>
      </c>
      <c r="N615" s="1"/>
      <c r="O615" s="1"/>
      <c r="P615" s="1"/>
      <c r="Q615" s="59">
        <f>SUM(N615:P615)</f>
        <v>0</v>
      </c>
      <c r="R615" s="59">
        <f t="shared" si="234"/>
        <v>3500</v>
      </c>
    </row>
    <row r="616" spans="1:20" ht="15.75" customHeight="1" x14ac:dyDescent="0.3">
      <c r="A616" s="74" t="s">
        <v>519</v>
      </c>
      <c r="B616" s="1"/>
      <c r="C616" s="1"/>
      <c r="D616" s="1"/>
      <c r="E616" s="59">
        <f t="shared" ref="E616:E620" si="241">SUM(B616:D616)</f>
        <v>0</v>
      </c>
      <c r="F616" s="1"/>
      <c r="G616" s="1"/>
      <c r="H616" s="1"/>
      <c r="I616" s="59">
        <f t="shared" ref="I616:I620" si="242">SUM(F616:H616)</f>
        <v>0</v>
      </c>
      <c r="J616" s="1">
        <v>2800</v>
      </c>
      <c r="K616" s="1"/>
      <c r="L616" s="1"/>
      <c r="M616" s="59">
        <f t="shared" ref="M616:M620" si="243">SUM(J616:L616)</f>
        <v>2800</v>
      </c>
      <c r="N616" s="1"/>
      <c r="O616" s="1"/>
      <c r="P616" s="1"/>
      <c r="Q616" s="59">
        <f t="shared" si="233"/>
        <v>0</v>
      </c>
      <c r="R616" s="59">
        <f t="shared" si="234"/>
        <v>2800</v>
      </c>
      <c r="T616" s="4" t="s">
        <v>516</v>
      </c>
    </row>
    <row r="617" spans="1:20" ht="15.75" customHeight="1" x14ac:dyDescent="0.3">
      <c r="A617" s="74" t="s">
        <v>520</v>
      </c>
      <c r="B617" s="1"/>
      <c r="C617" s="1"/>
      <c r="D617" s="1">
        <v>300</v>
      </c>
      <c r="E617" s="59">
        <f t="shared" si="241"/>
        <v>300</v>
      </c>
      <c r="F617" s="1">
        <v>436</v>
      </c>
      <c r="G617" s="1">
        <v>400</v>
      </c>
      <c r="H617" s="1">
        <v>400</v>
      </c>
      <c r="I617" s="59">
        <f t="shared" si="242"/>
        <v>1236</v>
      </c>
      <c r="J617" s="1">
        <v>400</v>
      </c>
      <c r="K617" s="1">
        <v>400</v>
      </c>
      <c r="L617" s="1"/>
      <c r="M617" s="59">
        <f t="shared" si="243"/>
        <v>800</v>
      </c>
      <c r="N617" s="1"/>
      <c r="O617" s="1"/>
      <c r="P617" s="1"/>
      <c r="Q617" s="59">
        <f>SUM(N617:P617)</f>
        <v>0</v>
      </c>
      <c r="R617" s="59">
        <f>+E617+I617+M617+Q617</f>
        <v>2336</v>
      </c>
    </row>
    <row r="618" spans="1:20" ht="15.75" customHeight="1" x14ac:dyDescent="0.3">
      <c r="A618" s="74" t="s">
        <v>521</v>
      </c>
      <c r="B618" s="1"/>
      <c r="C618" s="1"/>
      <c r="D618" s="1"/>
      <c r="E618" s="59">
        <f t="shared" si="241"/>
        <v>0</v>
      </c>
      <c r="F618" s="1"/>
      <c r="G618" s="1"/>
      <c r="H618" s="1"/>
      <c r="I618" s="59">
        <f t="shared" si="242"/>
        <v>0</v>
      </c>
      <c r="J618" s="1"/>
      <c r="K618" s="1"/>
      <c r="L618" s="1"/>
      <c r="M618" s="59">
        <f t="shared" si="243"/>
        <v>0</v>
      </c>
      <c r="N618" s="1"/>
      <c r="O618" s="1"/>
      <c r="P618" s="1"/>
      <c r="Q618" s="59">
        <f t="shared" si="233"/>
        <v>0</v>
      </c>
      <c r="R618" s="59">
        <f t="shared" si="234"/>
        <v>0</v>
      </c>
      <c r="T618" s="4" t="s">
        <v>516</v>
      </c>
    </row>
    <row r="619" spans="1:20" ht="15.75" customHeight="1" x14ac:dyDescent="0.3">
      <c r="A619" s="74" t="s">
        <v>522</v>
      </c>
      <c r="B619" s="1"/>
      <c r="C619" s="1">
        <v>250</v>
      </c>
      <c r="D619" s="1">
        <v>400</v>
      </c>
      <c r="E619" s="59">
        <f t="shared" si="241"/>
        <v>650</v>
      </c>
      <c r="F619" s="1">
        <v>650</v>
      </c>
      <c r="G619" s="1">
        <v>700</v>
      </c>
      <c r="H619" s="1">
        <v>340</v>
      </c>
      <c r="I619" s="59">
        <f t="shared" si="242"/>
        <v>1690</v>
      </c>
      <c r="J619" s="1">
        <v>380</v>
      </c>
      <c r="K619" s="1">
        <v>67</v>
      </c>
      <c r="L619" s="1"/>
      <c r="M619" s="59">
        <f t="shared" si="243"/>
        <v>447</v>
      </c>
      <c r="N619" s="1"/>
      <c r="O619" s="1"/>
      <c r="P619" s="1"/>
      <c r="Q619" s="59">
        <f t="shared" ref="Q619" si="244">SUM(N619:P619)</f>
        <v>0</v>
      </c>
      <c r="R619" s="59">
        <f t="shared" si="234"/>
        <v>2787</v>
      </c>
    </row>
    <row r="620" spans="1:20" ht="15.75" customHeight="1" x14ac:dyDescent="0.3">
      <c r="A620" s="74" t="s">
        <v>523</v>
      </c>
      <c r="B620" s="1"/>
      <c r="C620" s="1"/>
      <c r="D620" s="1"/>
      <c r="E620" s="59">
        <f t="shared" si="241"/>
        <v>0</v>
      </c>
      <c r="F620" s="1"/>
      <c r="G620" s="1"/>
      <c r="H620" s="1">
        <v>500</v>
      </c>
      <c r="I620" s="59">
        <f t="shared" si="242"/>
        <v>500</v>
      </c>
      <c r="J620" s="1"/>
      <c r="K620" s="1"/>
      <c r="L620" s="1"/>
      <c r="M620" s="59">
        <f t="shared" si="243"/>
        <v>0</v>
      </c>
      <c r="N620" s="1"/>
      <c r="O620" s="1"/>
      <c r="P620" s="1"/>
      <c r="Q620" s="59">
        <f t="shared" ref="Q620" si="245">SUM(N620:P620)</f>
        <v>0</v>
      </c>
      <c r="R620" s="59">
        <f t="shared" si="234"/>
        <v>500</v>
      </c>
    </row>
    <row r="621" spans="1:20" ht="15.75" customHeight="1" x14ac:dyDescent="0.3">
      <c r="A621" s="74" t="s">
        <v>524</v>
      </c>
      <c r="B621" s="1">
        <v>2217</v>
      </c>
      <c r="C621" s="1">
        <v>2762</v>
      </c>
      <c r="D621" s="1">
        <v>2995</v>
      </c>
      <c r="E621" s="59">
        <f>SUM(B621:D621)</f>
        <v>7974</v>
      </c>
      <c r="F621" s="1">
        <v>2161</v>
      </c>
      <c r="G621" s="1">
        <v>2459</v>
      </c>
      <c r="H621" s="1">
        <v>2500</v>
      </c>
      <c r="I621" s="59">
        <f>SUM(F621:H621)</f>
        <v>7120</v>
      </c>
      <c r="J621" s="1"/>
      <c r="K621" s="1">
        <v>2406</v>
      </c>
      <c r="L621" s="1">
        <v>1500</v>
      </c>
      <c r="M621" s="59">
        <f>SUM(J621:L621)</f>
        <v>3906</v>
      </c>
      <c r="N621" s="1">
        <v>1000</v>
      </c>
      <c r="O621" s="1"/>
      <c r="P621" s="1"/>
      <c r="Q621" s="59">
        <f>SUM(N621:P621)</f>
        <v>1000</v>
      </c>
      <c r="R621" s="59">
        <f>+E621+I621+M621+Q621</f>
        <v>20000</v>
      </c>
      <c r="T621" s="4" t="s">
        <v>514</v>
      </c>
    </row>
    <row r="622" spans="1:20" ht="15.75" customHeight="1" x14ac:dyDescent="0.3">
      <c r="A622" s="17" t="s">
        <v>47</v>
      </c>
      <c r="B622" s="1"/>
      <c r="C622" s="1"/>
      <c r="D622" s="1"/>
      <c r="E622" s="59" t="s">
        <v>7</v>
      </c>
      <c r="F622" s="1"/>
      <c r="G622" s="1"/>
      <c r="H622" s="1"/>
      <c r="I622" s="59" t="s">
        <v>7</v>
      </c>
      <c r="J622" s="1"/>
      <c r="K622" s="1"/>
      <c r="L622" s="1"/>
      <c r="M622" s="59" t="s">
        <v>7</v>
      </c>
      <c r="N622" s="1"/>
      <c r="O622" s="1"/>
      <c r="P622" s="1"/>
      <c r="Q622" s="59" t="s">
        <v>7</v>
      </c>
      <c r="R622" s="59" t="s">
        <v>7</v>
      </c>
    </row>
    <row r="623" spans="1:20" ht="15.75" customHeight="1" x14ac:dyDescent="0.3">
      <c r="A623" s="74" t="s">
        <v>521</v>
      </c>
      <c r="B623" s="1"/>
      <c r="C623" s="1"/>
      <c r="D623" s="1"/>
      <c r="E623" s="59">
        <f>SUM(B623:D623)</f>
        <v>0</v>
      </c>
      <c r="F623" s="1"/>
      <c r="G623" s="1"/>
      <c r="H623" s="1"/>
      <c r="I623" s="59">
        <f>SUM(F623:H623)</f>
        <v>0</v>
      </c>
      <c r="J623" s="1"/>
      <c r="K623" s="1"/>
      <c r="L623" s="1"/>
      <c r="M623" s="59">
        <f>SUM(J623:L623)</f>
        <v>0</v>
      </c>
      <c r="N623" s="1"/>
      <c r="O623" s="1"/>
      <c r="P623" s="1"/>
      <c r="Q623" s="59">
        <f>SUM(N623:P623)</f>
        <v>0</v>
      </c>
      <c r="R623" s="59">
        <f>+E623+I623+M623+Q623</f>
        <v>0</v>
      </c>
      <c r="T623" s="4" t="s">
        <v>516</v>
      </c>
    </row>
    <row r="624" spans="1:20" ht="15.75" customHeight="1" x14ac:dyDescent="0.3">
      <c r="A624" s="17" t="s">
        <v>49</v>
      </c>
      <c r="B624" s="1"/>
      <c r="C624" s="1"/>
      <c r="D624" s="1"/>
      <c r="E624" s="59" t="s">
        <v>7</v>
      </c>
      <c r="F624" s="1"/>
      <c r="G624" s="1"/>
      <c r="H624" s="1"/>
      <c r="I624" s="59" t="s">
        <v>7</v>
      </c>
      <c r="J624" s="1"/>
      <c r="K624" s="1"/>
      <c r="L624" s="1"/>
      <c r="M624" s="59" t="s">
        <v>7</v>
      </c>
      <c r="N624" s="1"/>
      <c r="O624" s="1"/>
      <c r="P624" s="1"/>
      <c r="Q624" s="59" t="s">
        <v>7</v>
      </c>
      <c r="R624" s="59" t="s">
        <v>7</v>
      </c>
    </row>
    <row r="625" spans="1:20" ht="15.75" customHeight="1" x14ac:dyDescent="0.3">
      <c r="A625" s="74" t="s">
        <v>525</v>
      </c>
      <c r="B625" s="1"/>
      <c r="C625" s="1"/>
      <c r="D625" s="1"/>
      <c r="E625" s="59">
        <f>SUM(B625:D625)</f>
        <v>0</v>
      </c>
      <c r="F625" s="1"/>
      <c r="G625" s="1"/>
      <c r="H625" s="1"/>
      <c r="I625" s="59">
        <f>SUM(F625:H625)</f>
        <v>0</v>
      </c>
      <c r="J625" s="1"/>
      <c r="K625" s="1"/>
      <c r="L625" s="1"/>
      <c r="M625" s="59">
        <f>SUM(J625:L625)</f>
        <v>0</v>
      </c>
      <c r="N625" s="1"/>
      <c r="O625" s="1"/>
      <c r="P625" s="1"/>
      <c r="Q625" s="59">
        <f>SUM(N625:P625)</f>
        <v>0</v>
      </c>
      <c r="R625" s="59">
        <f>+E625+I625+M625+Q625</f>
        <v>0</v>
      </c>
      <c r="S625" s="77" t="s">
        <v>90</v>
      </c>
      <c r="T625" s="4" t="s">
        <v>516</v>
      </c>
    </row>
    <row r="626" spans="1:20" ht="15.75" customHeight="1" thickBot="1" x14ac:dyDescent="0.35">
      <c r="A626" s="17" t="s">
        <v>51</v>
      </c>
      <c r="B626" s="1"/>
      <c r="C626" s="1"/>
      <c r="D626" s="1"/>
      <c r="E626" s="59" t="s">
        <v>7</v>
      </c>
      <c r="F626" s="1"/>
      <c r="G626" s="1"/>
      <c r="H626" s="1"/>
      <c r="I626" s="59" t="s">
        <v>7</v>
      </c>
      <c r="J626" s="1"/>
      <c r="K626" s="1"/>
      <c r="L626" s="1"/>
      <c r="M626" s="59" t="s">
        <v>7</v>
      </c>
      <c r="N626" s="1"/>
      <c r="O626" s="1"/>
      <c r="P626" s="1"/>
      <c r="Q626" s="59" t="s">
        <v>7</v>
      </c>
      <c r="R626" s="59" t="s">
        <v>7</v>
      </c>
    </row>
    <row r="627" spans="1:20" ht="16.5" customHeight="1" thickBot="1" x14ac:dyDescent="0.35">
      <c r="A627" s="126" t="s">
        <v>52</v>
      </c>
      <c r="B627" s="100">
        <f>SUM(B608:B626)</f>
        <v>3352</v>
      </c>
      <c r="C627" s="101">
        <f>SUM(C608:C626)</f>
        <v>4247</v>
      </c>
      <c r="D627" s="101">
        <f>SUM(D608:D626)</f>
        <v>6130</v>
      </c>
      <c r="E627" s="64">
        <f>SUM(B627:D627)</f>
        <v>13729</v>
      </c>
      <c r="F627" s="101">
        <f>SUM(F608:F626)</f>
        <v>5382</v>
      </c>
      <c r="G627" s="101">
        <f>SUM(G608:G626)</f>
        <v>5694</v>
      </c>
      <c r="H627" s="101">
        <f>SUM(H608:H626)</f>
        <v>5565</v>
      </c>
      <c r="I627" s="64">
        <f>SUM(F627:H627)</f>
        <v>16641</v>
      </c>
      <c r="J627" s="101">
        <f>SUM(J608:J626)</f>
        <v>5080</v>
      </c>
      <c r="K627" s="101">
        <f>SUM(K608:K626)</f>
        <v>4333</v>
      </c>
      <c r="L627" s="101">
        <f>SUM(L608:L626)</f>
        <v>1800</v>
      </c>
      <c r="M627" s="64">
        <f>SUM(J627:L627)</f>
        <v>11213</v>
      </c>
      <c r="N627" s="101">
        <f>SUM(N608:N626)</f>
        <v>1300</v>
      </c>
      <c r="O627" s="101">
        <f>SUM(O608:O626)</f>
        <v>305</v>
      </c>
      <c r="P627" s="101">
        <f>SUM(P608:P626)</f>
        <v>0</v>
      </c>
      <c r="Q627" s="64">
        <f>SUM(N627:P627)</f>
        <v>1605</v>
      </c>
      <c r="R627" s="64">
        <f>+E627+I627+M627+Q627</f>
        <v>43188</v>
      </c>
    </row>
    <row r="628" spans="1:20" ht="15.75" customHeight="1" x14ac:dyDescent="0.3">
      <c r="A628" s="17" t="s">
        <v>53</v>
      </c>
      <c r="B628" s="1"/>
      <c r="C628" s="1"/>
      <c r="D628" s="1"/>
      <c r="E628" s="59" t="s">
        <v>7</v>
      </c>
      <c r="F628" s="1"/>
      <c r="G628" s="1"/>
      <c r="H628" s="1"/>
      <c r="I628" s="59" t="s">
        <v>7</v>
      </c>
      <c r="J628" s="1"/>
      <c r="K628" s="1"/>
      <c r="L628" s="1"/>
      <c r="M628" s="59" t="s">
        <v>7</v>
      </c>
      <c r="N628" s="1"/>
      <c r="O628" s="1"/>
      <c r="P628" s="1"/>
      <c r="Q628" s="59" t="s">
        <v>7</v>
      </c>
      <c r="R628" s="59" t="s">
        <v>7</v>
      </c>
    </row>
    <row r="629" spans="1:20" ht="15.75" customHeight="1" x14ac:dyDescent="0.3">
      <c r="A629" s="17" t="s">
        <v>55</v>
      </c>
      <c r="B629" s="1"/>
      <c r="C629" s="1"/>
      <c r="D629" s="1"/>
      <c r="E629" s="59" t="s">
        <v>7</v>
      </c>
      <c r="F629" s="1"/>
      <c r="G629" s="1"/>
      <c r="H629" s="1"/>
      <c r="I629" s="59" t="s">
        <v>7</v>
      </c>
      <c r="J629" s="1"/>
      <c r="K629" s="1"/>
      <c r="L629" s="1"/>
      <c r="M629" s="59" t="s">
        <v>7</v>
      </c>
      <c r="N629" s="1"/>
      <c r="O629" s="1"/>
      <c r="P629" s="1"/>
      <c r="Q629" s="59" t="s">
        <v>7</v>
      </c>
      <c r="R629" s="59" t="s">
        <v>7</v>
      </c>
    </row>
    <row r="630" spans="1:20" ht="15.75" customHeight="1" x14ac:dyDescent="0.3">
      <c r="A630" s="74" t="s">
        <v>526</v>
      </c>
      <c r="B630" s="1"/>
      <c r="C630" s="1"/>
      <c r="D630" s="1"/>
      <c r="E630" s="59">
        <f>SUM(B630:D630)</f>
        <v>0</v>
      </c>
      <c r="F630" s="1"/>
      <c r="G630" s="1"/>
      <c r="H630" s="1"/>
      <c r="I630" s="59">
        <f>SUM(F630:H630)</f>
        <v>0</v>
      </c>
      <c r="J630" s="1"/>
      <c r="K630" s="1"/>
      <c r="L630" s="1"/>
      <c r="M630" s="59">
        <f>SUM(J630:L630)</f>
        <v>0</v>
      </c>
      <c r="N630" s="1"/>
      <c r="O630" s="1"/>
      <c r="P630" s="1"/>
      <c r="Q630" s="59">
        <f>SUM(N630:P630)</f>
        <v>0</v>
      </c>
      <c r="R630" s="59">
        <f>+E630+I630+M630+Q630</f>
        <v>0</v>
      </c>
    </row>
    <row r="631" spans="1:20" ht="15.75" customHeight="1" x14ac:dyDescent="0.3">
      <c r="A631" s="74" t="s">
        <v>527</v>
      </c>
      <c r="B631" s="1"/>
      <c r="C631" s="1"/>
      <c r="D631" s="1"/>
      <c r="E631" s="59">
        <f>SUM(B631:D631)</f>
        <v>0</v>
      </c>
      <c r="F631" s="1"/>
      <c r="G631" s="1"/>
      <c r="H631" s="1"/>
      <c r="I631" s="59">
        <f>SUM(F631:H631)</f>
        <v>0</v>
      </c>
      <c r="J631" s="1"/>
      <c r="K631" s="1"/>
      <c r="L631" s="1"/>
      <c r="M631" s="59">
        <f>SUM(J631:L631)</f>
        <v>0</v>
      </c>
      <c r="N631" s="1"/>
      <c r="O631" s="1"/>
      <c r="P631" s="1"/>
      <c r="Q631" s="59">
        <f>SUM(N631:P631)</f>
        <v>0</v>
      </c>
      <c r="R631" s="59">
        <f>+E631+I631+M631+Q631</f>
        <v>0</v>
      </c>
    </row>
    <row r="632" spans="1:20" ht="15.75" customHeight="1" thickBot="1" x14ac:dyDescent="0.35">
      <c r="A632" s="17" t="s">
        <v>56</v>
      </c>
      <c r="B632" s="1"/>
      <c r="C632" s="1"/>
      <c r="D632" s="1"/>
      <c r="E632" s="59" t="s">
        <v>7</v>
      </c>
      <c r="F632" s="1"/>
      <c r="G632" s="1"/>
      <c r="H632" s="1"/>
      <c r="I632" s="59" t="s">
        <v>7</v>
      </c>
      <c r="J632" s="1"/>
      <c r="K632" s="1"/>
      <c r="L632" s="1"/>
      <c r="M632" s="59" t="s">
        <v>7</v>
      </c>
      <c r="N632" s="1"/>
      <c r="O632" s="1"/>
      <c r="P632" s="1"/>
      <c r="Q632" s="59" t="s">
        <v>7</v>
      </c>
      <c r="R632" s="59" t="s">
        <v>7</v>
      </c>
    </row>
    <row r="633" spans="1:20" ht="16.5" customHeight="1" thickBot="1" x14ac:dyDescent="0.35">
      <c r="A633" s="62" t="s">
        <v>57</v>
      </c>
      <c r="B633" s="100">
        <f>SUM(B628:B632)</f>
        <v>0</v>
      </c>
      <c r="C633" s="101">
        <f>SUM(C628:C632)</f>
        <v>0</v>
      </c>
      <c r="D633" s="101">
        <f>SUM(D628:D632)</f>
        <v>0</v>
      </c>
      <c r="E633" s="64">
        <f>SUM(B633:D633)</f>
        <v>0</v>
      </c>
      <c r="F633" s="101">
        <f>SUM(F628:F632)</f>
        <v>0</v>
      </c>
      <c r="G633" s="101">
        <f>SUM(G628:G632)</f>
        <v>0</v>
      </c>
      <c r="H633" s="101">
        <f>SUM(H628:H632)</f>
        <v>0</v>
      </c>
      <c r="I633" s="64">
        <f>SUM(F633:H633)</f>
        <v>0</v>
      </c>
      <c r="J633" s="101">
        <f>SUM(J628:J632)</f>
        <v>0</v>
      </c>
      <c r="K633" s="101">
        <f>SUM(K628:K632)</f>
        <v>0</v>
      </c>
      <c r="L633" s="101">
        <f>SUM(L628:L632)</f>
        <v>0</v>
      </c>
      <c r="M633" s="64">
        <f>SUM(J633:L633)</f>
        <v>0</v>
      </c>
      <c r="N633" s="101">
        <f>SUM(N628:N632)</f>
        <v>0</v>
      </c>
      <c r="O633" s="101">
        <f>SUM(O628:O632)</f>
        <v>0</v>
      </c>
      <c r="P633" s="101">
        <f>SUM(P628:P632)</f>
        <v>0</v>
      </c>
      <c r="Q633" s="64">
        <f>SUM(N633:P633)</f>
        <v>0</v>
      </c>
      <c r="R633" s="64">
        <f>+E633+I633+M633+Q633</f>
        <v>0</v>
      </c>
    </row>
    <row r="634" spans="1:20" ht="15.75" customHeight="1" x14ac:dyDescent="0.3">
      <c r="A634" s="17" t="s">
        <v>58</v>
      </c>
      <c r="B634" s="1"/>
      <c r="C634" s="1"/>
      <c r="D634" s="1"/>
      <c r="E634" s="59" t="s">
        <v>7</v>
      </c>
      <c r="F634" s="1"/>
      <c r="G634" s="1"/>
      <c r="H634" s="1"/>
      <c r="I634" s="59" t="s">
        <v>7</v>
      </c>
      <c r="J634" s="1"/>
      <c r="K634" s="1"/>
      <c r="L634" s="1"/>
      <c r="M634" s="59" t="s">
        <v>7</v>
      </c>
      <c r="N634" s="1"/>
      <c r="O634" s="1"/>
      <c r="P634" s="1"/>
      <c r="Q634" s="59" t="s">
        <v>7</v>
      </c>
      <c r="R634" s="59" t="s">
        <v>7</v>
      </c>
    </row>
    <row r="635" spans="1:20" ht="15.75" customHeight="1" x14ac:dyDescent="0.3">
      <c r="A635" s="17" t="s">
        <v>59</v>
      </c>
      <c r="B635" s="1"/>
      <c r="C635" s="1"/>
      <c r="D635" s="1"/>
      <c r="E635" s="59" t="s">
        <v>7</v>
      </c>
      <c r="F635" s="1"/>
      <c r="G635" s="1"/>
      <c r="H635" s="1"/>
      <c r="I635" s="59" t="s">
        <v>7</v>
      </c>
      <c r="J635" s="1"/>
      <c r="K635" s="1"/>
      <c r="L635" s="1"/>
      <c r="M635" s="59" t="s">
        <v>7</v>
      </c>
      <c r="N635" s="1"/>
      <c r="O635" s="1"/>
      <c r="P635" s="1"/>
      <c r="Q635" s="59" t="s">
        <v>7</v>
      </c>
      <c r="R635" s="59" t="s">
        <v>7</v>
      </c>
    </row>
    <row r="636" spans="1:20" ht="15.75" customHeight="1" x14ac:dyDescent="0.3">
      <c r="A636" s="17" t="s">
        <v>60</v>
      </c>
      <c r="B636" s="1"/>
      <c r="C636" s="1"/>
      <c r="D636" s="1"/>
      <c r="E636" s="59" t="s">
        <v>7</v>
      </c>
      <c r="F636" s="1"/>
      <c r="G636" s="1"/>
      <c r="H636" s="1"/>
      <c r="I636" s="59" t="s">
        <v>7</v>
      </c>
      <c r="J636" s="1"/>
      <c r="K636" s="1"/>
      <c r="L636" s="1"/>
      <c r="M636" s="59" t="s">
        <v>7</v>
      </c>
      <c r="N636" s="1"/>
      <c r="O636" s="1"/>
      <c r="P636" s="1"/>
      <c r="Q636" s="59" t="s">
        <v>7</v>
      </c>
      <c r="R636" s="59" t="s">
        <v>7</v>
      </c>
    </row>
    <row r="637" spans="1:20" ht="15.75" customHeight="1" x14ac:dyDescent="0.3">
      <c r="A637" s="74" t="s">
        <v>528</v>
      </c>
      <c r="B637" s="1"/>
      <c r="C637" s="1"/>
      <c r="D637" s="1"/>
      <c r="E637" s="59">
        <f t="shared" ref="E637:E639" si="246">SUM(B637:D637)</f>
        <v>0</v>
      </c>
      <c r="F637" s="1"/>
      <c r="G637" s="1"/>
      <c r="H637" s="1"/>
      <c r="I637" s="59">
        <f t="shared" ref="I637:I638" si="247">SUM(F637:H637)</f>
        <v>0</v>
      </c>
      <c r="J637" s="1"/>
      <c r="K637" s="1"/>
      <c r="L637" s="1"/>
      <c r="M637" s="59">
        <f t="shared" ref="M637:M639" si="248">SUM(J637:L637)</f>
        <v>0</v>
      </c>
      <c r="N637" s="1"/>
      <c r="O637" s="1"/>
      <c r="P637" s="1"/>
      <c r="Q637" s="59">
        <f>SUM(N637:P637)</f>
        <v>0</v>
      </c>
      <c r="R637" s="59">
        <f>+E637+I637+M637+Q637</f>
        <v>0</v>
      </c>
      <c r="T637" s="4" t="s">
        <v>516</v>
      </c>
    </row>
    <row r="638" spans="1:20" ht="15.75" customHeight="1" x14ac:dyDescent="0.3">
      <c r="A638" s="74" t="s">
        <v>529</v>
      </c>
      <c r="B638" s="1"/>
      <c r="C638" s="1"/>
      <c r="D638" s="1"/>
      <c r="E638" s="59">
        <f t="shared" si="246"/>
        <v>0</v>
      </c>
      <c r="F638" s="1"/>
      <c r="G638" s="1"/>
      <c r="H638" s="1"/>
      <c r="I638" s="59">
        <f t="shared" si="247"/>
        <v>0</v>
      </c>
      <c r="J638" s="1"/>
      <c r="K638" s="1"/>
      <c r="L638" s="1"/>
      <c r="M638" s="59">
        <f t="shared" si="248"/>
        <v>0</v>
      </c>
      <c r="N638" s="1"/>
      <c r="O638" s="1"/>
      <c r="P638" s="1"/>
      <c r="Q638" s="59">
        <f t="shared" ref="Q638" si="249">SUM(N638:P638)</f>
        <v>0</v>
      </c>
      <c r="R638" s="59">
        <f t="shared" ref="R638:R641" si="250">+E638+I638+M638+Q638</f>
        <v>0</v>
      </c>
    </row>
    <row r="639" spans="1:20" ht="15.75" customHeight="1" x14ac:dyDescent="0.3">
      <c r="A639" s="74" t="s">
        <v>530</v>
      </c>
      <c r="B639" s="1"/>
      <c r="C639" s="1"/>
      <c r="D639" s="1"/>
      <c r="E639" s="59">
        <f t="shared" si="246"/>
        <v>0</v>
      </c>
      <c r="F639" s="1"/>
      <c r="G639" s="1"/>
      <c r="H639" s="1"/>
      <c r="I639" s="59">
        <f t="shared" ref="I639" si="251">SUM(F639:H639)</f>
        <v>0</v>
      </c>
      <c r="J639" s="1"/>
      <c r="K639" s="1"/>
      <c r="L639" s="1"/>
      <c r="M639" s="59">
        <f t="shared" si="248"/>
        <v>0</v>
      </c>
      <c r="N639" s="1"/>
      <c r="O639" s="1">
        <v>1200</v>
      </c>
      <c r="P639" s="1"/>
      <c r="Q639" s="59">
        <f t="shared" ref="Q639:Q640" si="252">SUM(N639:P639)</f>
        <v>1200</v>
      </c>
      <c r="R639" s="59">
        <f t="shared" si="250"/>
        <v>1200</v>
      </c>
    </row>
    <row r="640" spans="1:20" ht="15.75" customHeight="1" x14ac:dyDescent="0.3">
      <c r="A640" s="74" t="s">
        <v>531</v>
      </c>
      <c r="B640" s="1"/>
      <c r="C640" s="1"/>
      <c r="D640" s="1"/>
      <c r="E640" s="59">
        <f>SUM(B640:D640)</f>
        <v>0</v>
      </c>
      <c r="F640" s="1"/>
      <c r="G640" s="1"/>
      <c r="H640" s="1"/>
      <c r="I640" s="59">
        <f>SUM(F640:H640)</f>
        <v>0</v>
      </c>
      <c r="J640" s="1"/>
      <c r="K640" s="1"/>
      <c r="L640" s="1"/>
      <c r="M640" s="59">
        <f>SUM(J640:L640)</f>
        <v>0</v>
      </c>
      <c r="N640" s="1"/>
      <c r="O640" s="1"/>
      <c r="P640" s="1"/>
      <c r="Q640" s="59">
        <f t="shared" si="252"/>
        <v>0</v>
      </c>
      <c r="R640" s="59">
        <f t="shared" si="250"/>
        <v>0</v>
      </c>
    </row>
    <row r="641" spans="1:20" ht="15.75" customHeight="1" x14ac:dyDescent="0.3">
      <c r="A641" s="74" t="s">
        <v>533</v>
      </c>
      <c r="B641" s="1"/>
      <c r="C641" s="1"/>
      <c r="D641" s="1"/>
      <c r="E641" s="59">
        <f>SUM(B641:D641)</f>
        <v>0</v>
      </c>
      <c r="F641" s="1"/>
      <c r="G641" s="1"/>
      <c r="H641" s="1"/>
      <c r="I641" s="59">
        <f>SUM(F641:H641)</f>
        <v>0</v>
      </c>
      <c r="J641" s="1"/>
      <c r="K641" s="1"/>
      <c r="L641" s="1"/>
      <c r="M641" s="59">
        <f>SUM(J641:L641)</f>
        <v>0</v>
      </c>
      <c r="N641" s="1"/>
      <c r="O641" s="1"/>
      <c r="P641" s="1"/>
      <c r="Q641" s="59">
        <f>SUM(N641:P641)</f>
        <v>0</v>
      </c>
      <c r="R641" s="59">
        <f t="shared" si="250"/>
        <v>0</v>
      </c>
    </row>
    <row r="642" spans="1:20" ht="15.75" customHeight="1" thickBot="1" x14ac:dyDescent="0.35">
      <c r="A642" s="74" t="s">
        <v>534</v>
      </c>
      <c r="B642" s="1"/>
      <c r="C642" s="1"/>
      <c r="D642" s="1"/>
      <c r="E642" s="59">
        <f>SUM(B642:D642)</f>
        <v>0</v>
      </c>
      <c r="F642" s="1"/>
      <c r="G642" s="1"/>
      <c r="H642" s="1"/>
      <c r="I642" s="59">
        <f>SUM(F642:H642)</f>
        <v>0</v>
      </c>
      <c r="J642" s="1"/>
      <c r="K642" s="1"/>
      <c r="L642" s="1"/>
      <c r="M642" s="59">
        <f>SUM(J642:L642)</f>
        <v>0</v>
      </c>
      <c r="N642" s="1"/>
      <c r="O642" s="1"/>
      <c r="P642" s="1"/>
      <c r="Q642" s="59">
        <f>SUM(N642:P642)</f>
        <v>0</v>
      </c>
      <c r="R642" s="59">
        <f>+E642+I642+M642+Q642</f>
        <v>0</v>
      </c>
      <c r="T642" s="4" t="s">
        <v>516</v>
      </c>
    </row>
    <row r="643" spans="1:20" ht="16.5" customHeight="1" thickBot="1" x14ac:dyDescent="0.35">
      <c r="A643" s="137" t="s">
        <v>61</v>
      </c>
      <c r="B643" s="100">
        <f>SUM(B634:B642)</f>
        <v>0</v>
      </c>
      <c r="C643" s="101">
        <f>SUM(C634:C642)</f>
        <v>0</v>
      </c>
      <c r="D643" s="101">
        <f>SUM(D634:D642)</f>
        <v>0</v>
      </c>
      <c r="E643" s="64">
        <f>SUM(B643:D643)</f>
        <v>0</v>
      </c>
      <c r="F643" s="101">
        <f>SUM(F634:F642)</f>
        <v>0</v>
      </c>
      <c r="G643" s="101">
        <f>SUM(G634:G642)</f>
        <v>0</v>
      </c>
      <c r="H643" s="101">
        <f>SUM(H634:H642)</f>
        <v>0</v>
      </c>
      <c r="I643" s="64">
        <f>SUM(F643:H643)</f>
        <v>0</v>
      </c>
      <c r="J643" s="101">
        <f>SUM(J634:J642)</f>
        <v>0</v>
      </c>
      <c r="K643" s="101">
        <f>SUM(K634:K642)</f>
        <v>0</v>
      </c>
      <c r="L643" s="101">
        <f>SUM(L634:L642)</f>
        <v>0</v>
      </c>
      <c r="M643" s="64">
        <f>SUM(J643:L643)</f>
        <v>0</v>
      </c>
      <c r="N643" s="101">
        <f>SUM(N634:N642)</f>
        <v>0</v>
      </c>
      <c r="O643" s="101">
        <f>SUM(O634:O642)</f>
        <v>1200</v>
      </c>
      <c r="P643" s="101">
        <f>SUM(P634:P642)</f>
        <v>0</v>
      </c>
      <c r="Q643" s="64">
        <f>SUM(N643:P643)</f>
        <v>1200</v>
      </c>
      <c r="R643" s="64">
        <f>+E643+I643+M643+Q643</f>
        <v>1200</v>
      </c>
    </row>
    <row r="644" spans="1:20" ht="15.75" customHeight="1" x14ac:dyDescent="0.3">
      <c r="A644" s="17" t="s">
        <v>62</v>
      </c>
      <c r="B644" s="1"/>
      <c r="C644" s="1"/>
      <c r="D644" s="1"/>
      <c r="E644" s="59" t="s">
        <v>7</v>
      </c>
      <c r="F644" s="1"/>
      <c r="G644" s="1"/>
      <c r="H644" s="1"/>
      <c r="I644" s="59" t="s">
        <v>7</v>
      </c>
      <c r="J644" s="1"/>
      <c r="K644" s="1"/>
      <c r="L644" s="1"/>
      <c r="M644" s="59" t="s">
        <v>7</v>
      </c>
      <c r="N644" s="1"/>
      <c r="O644" s="1"/>
      <c r="P644" s="1"/>
      <c r="Q644" s="59" t="s">
        <v>7</v>
      </c>
      <c r="R644" s="59" t="s">
        <v>7</v>
      </c>
    </row>
    <row r="645" spans="1:20" ht="15.75" customHeight="1" x14ac:dyDescent="0.3">
      <c r="A645" s="17" t="s">
        <v>63</v>
      </c>
      <c r="B645" s="1"/>
      <c r="C645" s="1"/>
      <c r="D645" s="1"/>
      <c r="E645" s="59" t="s">
        <v>7</v>
      </c>
      <c r="F645" s="1"/>
      <c r="G645" s="1"/>
      <c r="H645" s="1"/>
      <c r="I645" s="59" t="s">
        <v>7</v>
      </c>
      <c r="J645" s="1"/>
      <c r="K645" s="1"/>
      <c r="L645" s="1"/>
      <c r="M645" s="59" t="s">
        <v>7</v>
      </c>
      <c r="N645" s="1"/>
      <c r="O645" s="1"/>
      <c r="P645" s="1"/>
      <c r="Q645" s="59" t="s">
        <v>7</v>
      </c>
      <c r="R645" s="59" t="s">
        <v>7</v>
      </c>
    </row>
    <row r="646" spans="1:20" ht="15.75" customHeight="1" x14ac:dyDescent="0.3">
      <c r="A646" s="74" t="s">
        <v>535</v>
      </c>
      <c r="B646" s="1"/>
      <c r="C646" s="1"/>
      <c r="D646" s="1"/>
      <c r="E646" s="59">
        <f>SUM(B646:D646)</f>
        <v>0</v>
      </c>
      <c r="F646" s="1"/>
      <c r="G646" s="1"/>
      <c r="H646" s="1"/>
      <c r="I646" s="59">
        <f>SUM(F646:H646)</f>
        <v>0</v>
      </c>
      <c r="J646" s="1"/>
      <c r="K646" s="1"/>
      <c r="L646" s="1"/>
      <c r="M646" s="59">
        <f>SUM(J646:L646)</f>
        <v>0</v>
      </c>
      <c r="N646" s="1"/>
      <c r="O646" s="1"/>
      <c r="P646" s="1"/>
      <c r="Q646" s="59">
        <f>SUM(N646:P646)</f>
        <v>0</v>
      </c>
      <c r="R646" s="59">
        <f>+E646+I646+M646+Q646</f>
        <v>0</v>
      </c>
      <c r="T646" s="4" t="s">
        <v>516</v>
      </c>
    </row>
    <row r="647" spans="1:20" ht="15.75" customHeight="1" x14ac:dyDescent="0.3">
      <c r="A647" s="74" t="s">
        <v>536</v>
      </c>
      <c r="B647" s="1"/>
      <c r="C647" s="1"/>
      <c r="D647" s="1"/>
      <c r="E647" s="59">
        <f>SUM(B647:D647)</f>
        <v>0</v>
      </c>
      <c r="F647" s="1"/>
      <c r="G647" s="1"/>
      <c r="H647" s="1"/>
      <c r="I647" s="59">
        <f>SUM(F647:H647)</f>
        <v>0</v>
      </c>
      <c r="J647" s="1"/>
      <c r="K647" s="1"/>
      <c r="L647" s="1"/>
      <c r="M647" s="59">
        <f>SUM(J647:L647)</f>
        <v>0</v>
      </c>
      <c r="N647" s="1"/>
      <c r="O647" s="1"/>
      <c r="P647" s="1"/>
      <c r="Q647" s="59">
        <f>SUM(N647:P647)</f>
        <v>0</v>
      </c>
      <c r="R647" s="59">
        <f>+E647+I647+M647+Q647</f>
        <v>0</v>
      </c>
      <c r="T647" s="4" t="s">
        <v>516</v>
      </c>
    </row>
    <row r="648" spans="1:20" ht="15.75" customHeight="1" x14ac:dyDescent="0.3">
      <c r="A648" s="17" t="s">
        <v>64</v>
      </c>
      <c r="B648" s="1"/>
      <c r="C648" s="1"/>
      <c r="D648" s="1"/>
      <c r="E648" s="59" t="s">
        <v>7</v>
      </c>
      <c r="F648" s="1"/>
      <c r="G648" s="1"/>
      <c r="H648" s="1"/>
      <c r="I648" s="59" t="s">
        <v>7</v>
      </c>
      <c r="J648" s="1"/>
      <c r="K648" s="1"/>
      <c r="L648" s="1"/>
      <c r="M648" s="59" t="s">
        <v>7</v>
      </c>
      <c r="N648" s="1"/>
      <c r="O648" s="1"/>
      <c r="P648" s="1"/>
      <c r="Q648" s="59" t="s">
        <v>7</v>
      </c>
      <c r="R648" s="59" t="s">
        <v>7</v>
      </c>
    </row>
    <row r="649" spans="1:20" ht="15.75" customHeight="1" x14ac:dyDescent="0.3">
      <c r="A649" s="74" t="s">
        <v>537</v>
      </c>
      <c r="B649" s="1"/>
      <c r="C649" s="1"/>
      <c r="D649" s="1"/>
      <c r="E649" s="59">
        <f>SUM(B649:D649)</f>
        <v>0</v>
      </c>
      <c r="F649" s="1"/>
      <c r="G649" s="1"/>
      <c r="H649" s="1"/>
      <c r="I649" s="59">
        <f>SUM(F649:H649)</f>
        <v>0</v>
      </c>
      <c r="J649" s="1"/>
      <c r="K649" s="1"/>
      <c r="L649" s="1"/>
      <c r="M649" s="59">
        <f>SUM(J649:L649)</f>
        <v>0</v>
      </c>
      <c r="N649" s="1"/>
      <c r="O649" s="1"/>
      <c r="P649" s="1"/>
      <c r="Q649" s="59">
        <f>SUM(N649:P649)</f>
        <v>0</v>
      </c>
      <c r="R649" s="59">
        <f>+E649+I649+M649+Q649</f>
        <v>0</v>
      </c>
    </row>
    <row r="650" spans="1:20" ht="15.75" customHeight="1" x14ac:dyDescent="0.3">
      <c r="A650" s="74" t="s">
        <v>538</v>
      </c>
      <c r="B650" s="1"/>
      <c r="C650" s="1"/>
      <c r="D650" s="1"/>
      <c r="E650" s="59">
        <f>SUM(B650:D650)</f>
        <v>0</v>
      </c>
      <c r="F650" s="1"/>
      <c r="G650" s="1"/>
      <c r="H650" s="1"/>
      <c r="I650" s="59">
        <f>SUM(F650:H650)</f>
        <v>0</v>
      </c>
      <c r="J650" s="1"/>
      <c r="K650" s="1"/>
      <c r="L650" s="1"/>
      <c r="M650" s="59">
        <f>SUM(J650:L650)</f>
        <v>0</v>
      </c>
      <c r="N650" s="1"/>
      <c r="O650" s="1"/>
      <c r="P650" s="1"/>
      <c r="Q650" s="59">
        <f>SUM(N650:P650)</f>
        <v>0</v>
      </c>
      <c r="R650" s="59">
        <f>+E650+I650+M650+Q650</f>
        <v>0</v>
      </c>
    </row>
    <row r="651" spans="1:20" ht="15.75" customHeight="1" x14ac:dyDescent="0.3">
      <c r="A651" s="74" t="s">
        <v>539</v>
      </c>
      <c r="B651" s="1"/>
      <c r="C651" s="1"/>
      <c r="D651" s="1"/>
      <c r="E651" s="59">
        <f>SUM(B651:D651)</f>
        <v>0</v>
      </c>
      <c r="F651" s="1"/>
      <c r="G651" s="1"/>
      <c r="H651" s="1"/>
      <c r="I651" s="59">
        <f>SUM(F651:H651)</f>
        <v>0</v>
      </c>
      <c r="J651" s="1"/>
      <c r="K651" s="1"/>
      <c r="L651" s="1"/>
      <c r="M651" s="59">
        <f>SUM(J651:L651)</f>
        <v>0</v>
      </c>
      <c r="N651" s="1"/>
      <c r="O651" s="1"/>
      <c r="P651" s="1"/>
      <c r="Q651" s="59">
        <f>SUM(N651:P651)</f>
        <v>0</v>
      </c>
      <c r="R651" s="59">
        <f>+E651+I651+M651+Q651</f>
        <v>0</v>
      </c>
      <c r="T651" s="4" t="s">
        <v>516</v>
      </c>
    </row>
    <row r="652" spans="1:20" ht="15.75" customHeight="1" x14ac:dyDescent="0.3">
      <c r="A652" s="74" t="s">
        <v>540</v>
      </c>
      <c r="B652" s="1"/>
      <c r="C652" s="1"/>
      <c r="D652" s="1"/>
      <c r="E652" s="59">
        <f>SUM(B652:D652)</f>
        <v>0</v>
      </c>
      <c r="F652" s="1"/>
      <c r="G652" s="1"/>
      <c r="H652" s="1"/>
      <c r="I652" s="59">
        <f>SUM(F652:H652)</f>
        <v>0</v>
      </c>
      <c r="J652" s="1"/>
      <c r="K652" s="1"/>
      <c r="L652" s="1"/>
      <c r="M652" s="59">
        <f>SUM(J652:L652)</f>
        <v>0</v>
      </c>
      <c r="N652" s="1"/>
      <c r="O652" s="1"/>
      <c r="P652" s="1"/>
      <c r="Q652" s="59">
        <f>SUM(N652:P652)</f>
        <v>0</v>
      </c>
      <c r="R652" s="59">
        <f>+E652+I652+M652+Q652</f>
        <v>0</v>
      </c>
      <c r="T652" s="4" t="s">
        <v>516</v>
      </c>
    </row>
    <row r="653" spans="1:20" ht="15.75" customHeight="1" x14ac:dyDescent="0.3">
      <c r="A653" s="17" t="s">
        <v>66</v>
      </c>
      <c r="B653" s="1"/>
      <c r="C653" s="1"/>
      <c r="D653" s="1"/>
      <c r="E653" s="59" t="s">
        <v>7</v>
      </c>
      <c r="F653" s="1"/>
      <c r="G653" s="1"/>
      <c r="H653" s="1"/>
      <c r="I653" s="59" t="s">
        <v>7</v>
      </c>
      <c r="J653" s="1"/>
      <c r="K653" s="1"/>
      <c r="L653" s="1"/>
      <c r="M653" s="59" t="s">
        <v>7</v>
      </c>
      <c r="N653" s="1"/>
      <c r="O653" s="1"/>
      <c r="P653" s="1"/>
      <c r="Q653" s="59" t="s">
        <v>7</v>
      </c>
      <c r="R653" s="59" t="s">
        <v>7</v>
      </c>
    </row>
    <row r="654" spans="1:20" ht="15.75" customHeight="1" x14ac:dyDescent="0.3">
      <c r="A654" s="74" t="s">
        <v>541</v>
      </c>
      <c r="B654" s="1"/>
      <c r="C654" s="1"/>
      <c r="D654" s="1"/>
      <c r="E654" s="59">
        <f>SUM(B654:D654)</f>
        <v>0</v>
      </c>
      <c r="F654" s="1"/>
      <c r="G654" s="1"/>
      <c r="H654" s="1"/>
      <c r="I654" s="59">
        <f>SUM(F654:H654)</f>
        <v>0</v>
      </c>
      <c r="J654" s="1"/>
      <c r="K654" s="1"/>
      <c r="L654" s="1"/>
      <c r="M654" s="59">
        <f>SUM(J654:L654)</f>
        <v>0</v>
      </c>
      <c r="N654" s="1"/>
      <c r="O654" s="1"/>
      <c r="P654" s="1"/>
      <c r="Q654" s="59">
        <f>SUM(N654:P654)</f>
        <v>0</v>
      </c>
      <c r="R654" s="59">
        <f>+E654+I654+M654+Q654</f>
        <v>0</v>
      </c>
    </row>
    <row r="655" spans="1:20" ht="15.75" customHeight="1" x14ac:dyDescent="0.3">
      <c r="A655" s="74" t="s">
        <v>542</v>
      </c>
      <c r="B655" s="1"/>
      <c r="C655" s="1"/>
      <c r="D655" s="1"/>
      <c r="E655" s="59">
        <f>SUM(B655:D655)</f>
        <v>0</v>
      </c>
      <c r="F655" s="1"/>
      <c r="G655" s="1"/>
      <c r="H655" s="1"/>
      <c r="I655" s="59">
        <f>SUM(F655:H655)</f>
        <v>0</v>
      </c>
      <c r="J655" s="1"/>
      <c r="K655" s="1"/>
      <c r="L655" s="1"/>
      <c r="M655" s="59">
        <f>SUM(J655:L655)</f>
        <v>0</v>
      </c>
      <c r="N655" s="1"/>
      <c r="O655" s="1"/>
      <c r="P655" s="1"/>
      <c r="Q655" s="59">
        <f>SUM(N655:P655)</f>
        <v>0</v>
      </c>
      <c r="R655" s="59">
        <f>+E655+I655+M655+Q655</f>
        <v>0</v>
      </c>
    </row>
    <row r="656" spans="1:20" ht="15.75" customHeight="1" x14ac:dyDescent="0.3">
      <c r="A656" s="17" t="s">
        <v>67</v>
      </c>
      <c r="B656" s="1"/>
      <c r="C656" s="1"/>
      <c r="D656" s="1"/>
      <c r="E656" s="59" t="s">
        <v>7</v>
      </c>
      <c r="F656" s="1"/>
      <c r="G656" s="1"/>
      <c r="H656" s="1"/>
      <c r="I656" s="59" t="s">
        <v>7</v>
      </c>
      <c r="J656" s="1"/>
      <c r="K656" s="1"/>
      <c r="L656" s="1"/>
      <c r="M656" s="59" t="s">
        <v>7</v>
      </c>
      <c r="N656" s="1"/>
      <c r="O656" s="1"/>
      <c r="P656" s="1"/>
      <c r="Q656" s="59" t="s">
        <v>7</v>
      </c>
      <c r="R656" s="59" t="s">
        <v>7</v>
      </c>
    </row>
    <row r="657" spans="1:18" ht="15.75" customHeight="1" x14ac:dyDescent="0.3">
      <c r="A657" s="74" t="s">
        <v>543</v>
      </c>
      <c r="B657" s="1"/>
      <c r="C657" s="1"/>
      <c r="D657" s="1"/>
      <c r="E657" s="59">
        <f t="shared" ref="E657:E659" si="253">SUM(B657:D657)</f>
        <v>0</v>
      </c>
      <c r="F657" s="1"/>
      <c r="G657" s="1"/>
      <c r="H657" s="1"/>
      <c r="I657" s="59">
        <f t="shared" ref="I657:I659" si="254">SUM(F657:H657)</f>
        <v>0</v>
      </c>
      <c r="J657" s="1"/>
      <c r="K657" s="1"/>
      <c r="L657" s="1"/>
      <c r="M657" s="59">
        <f t="shared" ref="M657:M659" si="255">SUM(J657:L657)</f>
        <v>0</v>
      </c>
      <c r="N657" s="1"/>
      <c r="O657" s="1"/>
      <c r="P657" s="1"/>
      <c r="Q657" s="59">
        <f t="shared" ref="Q657:Q663" si="256">SUM(N657:P657)</f>
        <v>0</v>
      </c>
      <c r="R657" s="59">
        <f t="shared" ref="R657:R663" si="257">+E657+I657+M657+Q657</f>
        <v>0</v>
      </c>
    </row>
    <row r="658" spans="1:18" ht="15.75" customHeight="1" x14ac:dyDescent="0.3">
      <c r="A658" s="74" t="s">
        <v>544</v>
      </c>
      <c r="B658" s="1"/>
      <c r="C658" s="1"/>
      <c r="D658" s="1"/>
      <c r="E658" s="59">
        <f t="shared" ref="E658" si="258">SUM(B658:D658)</f>
        <v>0</v>
      </c>
      <c r="F658" s="1"/>
      <c r="G658" s="1"/>
      <c r="H658" s="1"/>
      <c r="I658" s="59">
        <f t="shared" ref="I658" si="259">SUM(F658:H658)</f>
        <v>0</v>
      </c>
      <c r="J658" s="1"/>
      <c r="K658" s="1"/>
      <c r="L658" s="1"/>
      <c r="M658" s="59">
        <f t="shared" ref="M658" si="260">SUM(J658:L658)</f>
        <v>0</v>
      </c>
      <c r="N658" s="1"/>
      <c r="O658" s="1"/>
      <c r="P658" s="1"/>
      <c r="Q658" s="59">
        <f t="shared" ref="Q658" si="261">SUM(N658:P658)</f>
        <v>0</v>
      </c>
      <c r="R658" s="59">
        <f t="shared" si="257"/>
        <v>0</v>
      </c>
    </row>
    <row r="659" spans="1:18" ht="15.75" customHeight="1" thickBot="1" x14ac:dyDescent="0.35">
      <c r="A659" s="74" t="s">
        <v>545</v>
      </c>
      <c r="B659" s="1"/>
      <c r="C659" s="1"/>
      <c r="D659" s="1"/>
      <c r="E659" s="59">
        <f t="shared" si="253"/>
        <v>0</v>
      </c>
      <c r="F659" s="1"/>
      <c r="G659" s="1"/>
      <c r="H659" s="1"/>
      <c r="I659" s="59">
        <f t="shared" si="254"/>
        <v>0</v>
      </c>
      <c r="J659" s="1"/>
      <c r="K659" s="1"/>
      <c r="L659" s="1"/>
      <c r="M659" s="59">
        <f t="shared" si="255"/>
        <v>0</v>
      </c>
      <c r="N659" s="1"/>
      <c r="O659" s="1"/>
      <c r="P659" s="1"/>
      <c r="Q659" s="59">
        <f t="shared" si="256"/>
        <v>0</v>
      </c>
      <c r="R659" s="59">
        <f t="shared" si="257"/>
        <v>0</v>
      </c>
    </row>
    <row r="660" spans="1:18" ht="16.5" customHeight="1" thickBot="1" x14ac:dyDescent="0.35">
      <c r="A660" s="62" t="s">
        <v>68</v>
      </c>
      <c r="B660" s="148">
        <f>SUM(B653:B659)</f>
        <v>0</v>
      </c>
      <c r="C660" s="148">
        <f>SUM(C653:C659)</f>
        <v>0</v>
      </c>
      <c r="D660" s="148">
        <f>SUM(D653:D659)</f>
        <v>0</v>
      </c>
      <c r="E660" s="65">
        <f t="shared" ref="E660:E663" si="262">SUM(B660:D660)</f>
        <v>0</v>
      </c>
      <c r="F660" s="148">
        <f>SUM(F653:F659)</f>
        <v>0</v>
      </c>
      <c r="G660" s="148">
        <f>SUM(G653:G659)</f>
        <v>0</v>
      </c>
      <c r="H660" s="148">
        <f>SUM(H653:H659)</f>
        <v>0</v>
      </c>
      <c r="I660" s="65">
        <f t="shared" ref="I660:I663" si="263">SUM(F660:H660)</f>
        <v>0</v>
      </c>
      <c r="J660" s="148">
        <f>SUM(J653:J659)</f>
        <v>0</v>
      </c>
      <c r="K660" s="148">
        <f>SUM(K653:K659)</f>
        <v>0</v>
      </c>
      <c r="L660" s="148">
        <f>SUM(L653:L659)</f>
        <v>0</v>
      </c>
      <c r="M660" s="65">
        <f t="shared" ref="M660:M663" si="264">SUM(J660:L660)</f>
        <v>0</v>
      </c>
      <c r="N660" s="148">
        <f>SUM(N653:N659)</f>
        <v>0</v>
      </c>
      <c r="O660" s="148">
        <f>SUM(O653:O659)</f>
        <v>0</v>
      </c>
      <c r="P660" s="148">
        <f>SUM(P653:P659)</f>
        <v>0</v>
      </c>
      <c r="Q660" s="65">
        <f t="shared" si="256"/>
        <v>0</v>
      </c>
      <c r="R660" s="64">
        <f t="shared" si="257"/>
        <v>0</v>
      </c>
    </row>
    <row r="661" spans="1:18" ht="16.5" customHeight="1" thickBot="1" x14ac:dyDescent="0.35">
      <c r="A661" s="137" t="s">
        <v>69</v>
      </c>
      <c r="B661" s="100">
        <f>SUM(B644:B659)</f>
        <v>0</v>
      </c>
      <c r="C661" s="101">
        <f>SUM(C644:C659)</f>
        <v>0</v>
      </c>
      <c r="D661" s="138">
        <f>SUM(D644:D659)</f>
        <v>0</v>
      </c>
      <c r="E661" s="65">
        <f t="shared" si="262"/>
        <v>0</v>
      </c>
      <c r="F661" s="100">
        <f>SUM(F644:F659)</f>
        <v>0</v>
      </c>
      <c r="G661" s="101">
        <f>SUM(G644:G659)</f>
        <v>0</v>
      </c>
      <c r="H661" s="138">
        <f>SUM(H644:H659)</f>
        <v>0</v>
      </c>
      <c r="I661" s="65">
        <f t="shared" si="263"/>
        <v>0</v>
      </c>
      <c r="J661" s="100">
        <f>SUM(J644:J659)</f>
        <v>0</v>
      </c>
      <c r="K661" s="101">
        <f>SUM(K644:K659)</f>
        <v>0</v>
      </c>
      <c r="L661" s="138">
        <f>SUM(L644:L659)</f>
        <v>0</v>
      </c>
      <c r="M661" s="65">
        <f t="shared" si="264"/>
        <v>0</v>
      </c>
      <c r="N661" s="100">
        <f>SUM(N644:N659)</f>
        <v>0</v>
      </c>
      <c r="O661" s="101">
        <f>SUM(O644:O659)</f>
        <v>0</v>
      </c>
      <c r="P661" s="138">
        <f>SUM(P644:P659)</f>
        <v>0</v>
      </c>
      <c r="Q661" s="65">
        <f t="shared" si="256"/>
        <v>0</v>
      </c>
      <c r="R661" s="64">
        <f t="shared" si="257"/>
        <v>0</v>
      </c>
    </row>
    <row r="662" spans="1:18" ht="16.5" customHeight="1" thickBot="1" x14ac:dyDescent="0.35">
      <c r="A662" s="62" t="s">
        <v>70</v>
      </c>
      <c r="B662" s="149">
        <f>+B627+B633+B643+B661</f>
        <v>3352</v>
      </c>
      <c r="C662" s="150">
        <f>+C627+C633+C643+C661</f>
        <v>4247</v>
      </c>
      <c r="D662" s="150">
        <f>+D627+D633+D643+D661</f>
        <v>6130</v>
      </c>
      <c r="E662" s="64">
        <f t="shared" si="262"/>
        <v>13729</v>
      </c>
      <c r="F662" s="63">
        <f>+F627+F633+F643+F661</f>
        <v>5382</v>
      </c>
      <c r="G662" s="63">
        <f>+G627+G633+G643+G661</f>
        <v>5694</v>
      </c>
      <c r="H662" s="63">
        <f>+H627+H633+H643+H661</f>
        <v>5565</v>
      </c>
      <c r="I662" s="64">
        <f t="shared" si="263"/>
        <v>16641</v>
      </c>
      <c r="J662" s="63">
        <f>+J627+J633+J643+J661</f>
        <v>5080</v>
      </c>
      <c r="K662" s="63">
        <f>+K627+K633+K643+K661</f>
        <v>4333</v>
      </c>
      <c r="L662" s="63">
        <f>+L627+L633+L643+L661</f>
        <v>1800</v>
      </c>
      <c r="M662" s="64">
        <f t="shared" si="264"/>
        <v>11213</v>
      </c>
      <c r="N662" s="63">
        <f>+N627+N633+N643+N661</f>
        <v>1300</v>
      </c>
      <c r="O662" s="63">
        <f>+O627+O633+O643+O661</f>
        <v>1505</v>
      </c>
      <c r="P662" s="63">
        <f>+P627+P633+P643+P661</f>
        <v>0</v>
      </c>
      <c r="Q662" s="64">
        <f t="shared" si="256"/>
        <v>2805</v>
      </c>
      <c r="R662" s="88">
        <f t="shared" si="257"/>
        <v>44388</v>
      </c>
    </row>
    <row r="663" spans="1:18" ht="16.5" customHeight="1" thickBot="1" x14ac:dyDescent="0.35">
      <c r="A663" s="40" t="s">
        <v>37</v>
      </c>
      <c r="B663" s="25">
        <v>17</v>
      </c>
      <c r="C663" s="25">
        <v>47</v>
      </c>
      <c r="D663" s="25">
        <v>84</v>
      </c>
      <c r="E663" s="59">
        <f t="shared" si="262"/>
        <v>148</v>
      </c>
      <c r="F663" s="25">
        <v>116</v>
      </c>
      <c r="G663" s="25">
        <v>132</v>
      </c>
      <c r="H663" s="25">
        <v>138</v>
      </c>
      <c r="I663" s="59">
        <f t="shared" si="263"/>
        <v>386</v>
      </c>
      <c r="J663" s="25">
        <v>126</v>
      </c>
      <c r="K663" s="25">
        <v>95</v>
      </c>
      <c r="L663" s="25">
        <v>99</v>
      </c>
      <c r="M663" s="59">
        <f t="shared" si="264"/>
        <v>320</v>
      </c>
      <c r="N663" s="25">
        <v>91</v>
      </c>
      <c r="O663" s="25">
        <v>67</v>
      </c>
      <c r="P663" s="25">
        <v>38</v>
      </c>
      <c r="Q663" s="59">
        <f t="shared" si="256"/>
        <v>196</v>
      </c>
      <c r="R663" s="59">
        <f t="shared" si="257"/>
        <v>1050</v>
      </c>
    </row>
    <row r="664" spans="1:18" ht="16.5" customHeight="1" thickBot="1" x14ac:dyDescent="0.35">
      <c r="A664" s="42"/>
      <c r="B664" s="37"/>
      <c r="C664" s="37"/>
      <c r="D664" s="37"/>
      <c r="E664" s="43"/>
      <c r="F664" s="37"/>
      <c r="G664" s="37"/>
      <c r="H664" s="37"/>
      <c r="I664" s="43"/>
      <c r="J664" s="37"/>
      <c r="K664" s="37"/>
      <c r="L664" s="37"/>
      <c r="M664" s="43"/>
      <c r="N664" s="37"/>
      <c r="O664" s="37"/>
      <c r="P664" s="37"/>
      <c r="Q664" s="43"/>
      <c r="R664" s="43"/>
    </row>
    <row r="665" spans="1:18" ht="15.75" customHeight="1" x14ac:dyDescent="0.3">
      <c r="A665" s="82" t="s">
        <v>507</v>
      </c>
      <c r="B665" s="83">
        <f>SUM(B662:B663)</f>
        <v>3369</v>
      </c>
      <c r="C665" s="83">
        <f>SUM(C662:C663)</f>
        <v>4294</v>
      </c>
      <c r="D665" s="83">
        <f>SUM(D662:D663)</f>
        <v>6214</v>
      </c>
      <c r="E665" s="65">
        <f>SUM(B665:D665)</f>
        <v>13877</v>
      </c>
      <c r="F665" s="83">
        <f>SUM(F662:F663)</f>
        <v>5498</v>
      </c>
      <c r="G665" s="83">
        <f>SUM(G662:G663)</f>
        <v>5826</v>
      </c>
      <c r="H665" s="83">
        <f>SUM(H662:H663)</f>
        <v>5703</v>
      </c>
      <c r="I665" s="65">
        <f>SUM(F665:H665)</f>
        <v>17027</v>
      </c>
      <c r="J665" s="83">
        <f>SUM(J662:J663)</f>
        <v>5206</v>
      </c>
      <c r="K665" s="83">
        <f>SUM(K662:K663)</f>
        <v>4428</v>
      </c>
      <c r="L665" s="83">
        <f>SUM(L662:L663)</f>
        <v>1899</v>
      </c>
      <c r="M665" s="65">
        <f>SUM(J665:L665)</f>
        <v>11533</v>
      </c>
      <c r="N665" s="83">
        <f>SUM(N662:N663)</f>
        <v>1391</v>
      </c>
      <c r="O665" s="83">
        <f>SUM(O662:O663)</f>
        <v>1572</v>
      </c>
      <c r="P665" s="83">
        <f>SUM(P662:P663)</f>
        <v>38</v>
      </c>
      <c r="Q665" s="65">
        <f>SUM(N665:P665)</f>
        <v>3001</v>
      </c>
      <c r="R665" s="65">
        <f>+E665+I665+M665+Q665</f>
        <v>45438</v>
      </c>
    </row>
    <row r="666" spans="1:18" ht="15.75" customHeight="1" x14ac:dyDescent="0.3">
      <c r="A666" s="85" t="s">
        <v>39</v>
      </c>
      <c r="B666" s="1">
        <f>(B665/B10)/1.983</f>
        <v>54.804548338294858</v>
      </c>
      <c r="C666" s="1">
        <f>(C665/C10)/1.983</f>
        <v>74.669170709652732</v>
      </c>
      <c r="D666" s="1">
        <f>(D665/D10)/1.983</f>
        <v>101.08502919981129</v>
      </c>
      <c r="E666" s="59" t="s">
        <v>7</v>
      </c>
      <c r="F666" s="1">
        <f>(F665/F10)/1.983</f>
        <v>92.418893931753232</v>
      </c>
      <c r="G666" s="1">
        <f>(G665/G10)/1.983</f>
        <v>94.773315113952464</v>
      </c>
      <c r="H666" s="1">
        <f>(H665/H10)/1.983</f>
        <v>95.86485123550176</v>
      </c>
      <c r="I666" s="59" t="s">
        <v>7</v>
      </c>
      <c r="J666" s="1">
        <f>(J665/J10)/1.983</f>
        <v>84.68758642005433</v>
      </c>
      <c r="K666" s="1">
        <f>(K665/K10)/1.983</f>
        <v>72.031623639646668</v>
      </c>
      <c r="L666" s="1">
        <f>(L665/L10)/1.983</f>
        <v>31.92133131618759</v>
      </c>
      <c r="M666" s="59" t="s">
        <v>7</v>
      </c>
      <c r="N666" s="1">
        <f>(N665/N10)/1.983</f>
        <v>22.627820343890811</v>
      </c>
      <c r="O666" s="1">
        <f>(O665/O10)/1.983</f>
        <v>26.42460917801311</v>
      </c>
      <c r="P666" s="1">
        <f>(P665/P10)/1.983</f>
        <v>0.61815756510988562</v>
      </c>
      <c r="Q666" s="59" t="s">
        <v>7</v>
      </c>
      <c r="R666" s="59" t="s">
        <v>7</v>
      </c>
    </row>
    <row r="667" spans="1:18" ht="15.75" customHeight="1" x14ac:dyDescent="0.3">
      <c r="A667" s="85" t="s">
        <v>546</v>
      </c>
      <c r="B667" s="1">
        <f>B665+B677</f>
        <v>15893</v>
      </c>
      <c r="C667" s="1">
        <f>C665+C677</f>
        <v>22588</v>
      </c>
      <c r="D667" s="1">
        <f>D665+D677</f>
        <v>26233</v>
      </c>
      <c r="E667" s="59">
        <f>SUM(B667:D667)</f>
        <v>64714</v>
      </c>
      <c r="F667" s="1">
        <f>F665+F677</f>
        <v>26168</v>
      </c>
      <c r="G667" s="1">
        <f>G665+G677</f>
        <v>27763</v>
      </c>
      <c r="H667" s="1">
        <f>H665+H677</f>
        <v>26347</v>
      </c>
      <c r="I667" s="59">
        <f>SUM(F667:H667)</f>
        <v>80278</v>
      </c>
      <c r="J667" s="1">
        <f>J665+J677</f>
        <v>25936</v>
      </c>
      <c r="K667" s="1">
        <f>K665+K677</f>
        <v>27579</v>
      </c>
      <c r="L667" s="1">
        <f>L665+L677</f>
        <v>23005</v>
      </c>
      <c r="M667" s="59">
        <f>SUM(J667:L667)</f>
        <v>76520</v>
      </c>
      <c r="N667" s="1">
        <f>N665+N677</f>
        <v>13808</v>
      </c>
      <c r="O667" s="1">
        <f>O665+O677</f>
        <v>4691</v>
      </c>
      <c r="P667" s="1">
        <f>P665+P677</f>
        <v>2920</v>
      </c>
      <c r="Q667" s="59">
        <f>SUM(N667:P667)</f>
        <v>21419</v>
      </c>
      <c r="R667" s="59">
        <f>+E667+I667+M667+Q667</f>
        <v>242931</v>
      </c>
    </row>
    <row r="668" spans="1:18" ht="16.5" customHeight="1" thickBot="1" x14ac:dyDescent="0.35">
      <c r="A668" s="86" t="s">
        <v>547</v>
      </c>
      <c r="B668" s="87">
        <f>(B667/B10)/1.983</f>
        <v>258.53626795503715</v>
      </c>
      <c r="C668" s="87">
        <f>(C667/C10)/1.983</f>
        <v>392.7869650651225</v>
      </c>
      <c r="D668" s="87">
        <f>(D667/D10)/1.983</f>
        <v>426.74019488230607</v>
      </c>
      <c r="E668" s="88" t="s">
        <v>7</v>
      </c>
      <c r="F668" s="87">
        <f>(F667/F10)/1.983</f>
        <v>439.87224743654394</v>
      </c>
      <c r="G668" s="87">
        <f>(G667/G10)/1.983</f>
        <v>451.62917053015144</v>
      </c>
      <c r="H668" s="87">
        <f>(H667/H10)/1.983</f>
        <v>442.88115649689024</v>
      </c>
      <c r="I668" s="88" t="s">
        <v>7</v>
      </c>
      <c r="J668" s="87">
        <f>(J667/J10)/1.983</f>
        <v>421.90880549184192</v>
      </c>
      <c r="K668" s="87">
        <f>(K667/K10)/1.983</f>
        <v>448.63598653067197</v>
      </c>
      <c r="L668" s="87">
        <f>(L667/L10)/1.983</f>
        <v>386.7036476718776</v>
      </c>
      <c r="M668" s="88" t="s">
        <v>7</v>
      </c>
      <c r="N668" s="87">
        <f>(N667/N10)/1.983</f>
        <v>224.61893839571843</v>
      </c>
      <c r="O668" s="87">
        <f>(O667/O10)/1.983</f>
        <v>78.85358883846024</v>
      </c>
      <c r="P668" s="87">
        <f>(P667/P10)/1.983</f>
        <v>47.50052868739121</v>
      </c>
      <c r="Q668" s="88" t="s">
        <v>7</v>
      </c>
      <c r="R668" s="88" t="s">
        <v>7</v>
      </c>
    </row>
    <row r="669" spans="1:18" ht="15.75" customHeight="1" x14ac:dyDescent="0.3">
      <c r="A669" s="28"/>
      <c r="B669" s="1"/>
      <c r="C669" s="1"/>
      <c r="D669" s="1"/>
      <c r="E669" s="1"/>
      <c r="F669" s="1"/>
      <c r="G669" s="1"/>
      <c r="H669" s="1"/>
      <c r="I669" s="1"/>
      <c r="J669" s="1"/>
      <c r="K669" s="1"/>
      <c r="L669" s="1"/>
      <c r="M669" s="1"/>
      <c r="N669" s="1"/>
      <c r="O669" s="1"/>
      <c r="P669" s="1"/>
      <c r="Q669" s="1"/>
      <c r="R669" s="28"/>
    </row>
    <row r="670" spans="1:18" ht="16.5" customHeight="1" thickBot="1" x14ac:dyDescent="0.35">
      <c r="A670" s="123"/>
      <c r="B670" s="25"/>
      <c r="C670" s="25"/>
      <c r="D670" s="25"/>
      <c r="E670" s="25"/>
      <c r="F670" s="25"/>
      <c r="G670" s="25"/>
      <c r="H670" s="25"/>
      <c r="I670" s="25"/>
      <c r="J670" s="25"/>
      <c r="K670" s="25"/>
      <c r="L670" s="25"/>
      <c r="M670" s="25"/>
      <c r="N670" s="25"/>
      <c r="O670" s="25"/>
      <c r="P670" s="25"/>
      <c r="Q670" s="25"/>
      <c r="R670" s="123"/>
    </row>
    <row r="671" spans="1:18" ht="16.5" customHeight="1" thickBot="1" x14ac:dyDescent="0.35">
      <c r="A671" s="145" t="s">
        <v>548</v>
      </c>
      <c r="B671" s="32" t="s">
        <v>36</v>
      </c>
      <c r="C671" s="33" t="s">
        <v>9</v>
      </c>
      <c r="D671" s="33" t="s">
        <v>10</v>
      </c>
      <c r="E671" s="12" t="s">
        <v>11</v>
      </c>
      <c r="F671" s="33" t="s">
        <v>12</v>
      </c>
      <c r="G671" s="33" t="s">
        <v>13</v>
      </c>
      <c r="H671" s="33" t="s">
        <v>14</v>
      </c>
      <c r="I671" s="34" t="s">
        <v>15</v>
      </c>
      <c r="J671" s="33" t="s">
        <v>16</v>
      </c>
      <c r="K671" s="33" t="s">
        <v>17</v>
      </c>
      <c r="L671" s="33" t="s">
        <v>18</v>
      </c>
      <c r="M671" s="34" t="s">
        <v>19</v>
      </c>
      <c r="N671" s="33" t="s">
        <v>20</v>
      </c>
      <c r="O671" s="33" t="s">
        <v>21</v>
      </c>
      <c r="P671" s="33" t="s">
        <v>22</v>
      </c>
      <c r="Q671" s="12" t="s">
        <v>23</v>
      </c>
      <c r="R671" s="13" t="s">
        <v>24</v>
      </c>
    </row>
    <row r="672" spans="1:18" ht="16.5" customHeight="1" thickBot="1" x14ac:dyDescent="0.35">
      <c r="A672" s="42"/>
      <c r="B672" s="37"/>
      <c r="C672" s="37"/>
      <c r="D672" s="37"/>
      <c r="E672" s="38"/>
      <c r="F672" s="37"/>
      <c r="G672" s="37"/>
      <c r="H672" s="37"/>
      <c r="I672" s="38"/>
      <c r="J672" s="37"/>
      <c r="K672" s="37"/>
      <c r="L672" s="37"/>
      <c r="M672" s="38"/>
      <c r="N672" s="37"/>
      <c r="O672" s="37"/>
      <c r="P672" s="37"/>
      <c r="Q672" s="151"/>
      <c r="R672" s="152"/>
    </row>
    <row r="673" spans="1:18" ht="16.5" customHeight="1" thickBot="1" x14ac:dyDescent="0.35">
      <c r="A673" s="40" t="s">
        <v>37</v>
      </c>
      <c r="B673" s="25">
        <v>20</v>
      </c>
      <c r="C673" s="25">
        <v>22</v>
      </c>
      <c r="D673" s="25">
        <v>28</v>
      </c>
      <c r="E673" s="59">
        <f>SUM(B673:D673)</f>
        <v>70</v>
      </c>
      <c r="F673" s="25">
        <v>37</v>
      </c>
      <c r="G673" s="25">
        <v>42</v>
      </c>
      <c r="H673" s="25">
        <v>44</v>
      </c>
      <c r="I673" s="59">
        <f>SUM(F673:H673)</f>
        <v>123</v>
      </c>
      <c r="J673" s="25">
        <v>39</v>
      </c>
      <c r="K673" s="25">
        <v>36</v>
      </c>
      <c r="L673" s="25">
        <v>34</v>
      </c>
      <c r="M673" s="59">
        <f>SUM(J673:L673)</f>
        <v>109</v>
      </c>
      <c r="N673" s="25">
        <v>29</v>
      </c>
      <c r="O673" s="25">
        <v>23</v>
      </c>
      <c r="P673" s="25">
        <v>19</v>
      </c>
      <c r="Q673" s="59">
        <f>SUM(N673:P673)</f>
        <v>71</v>
      </c>
      <c r="R673" s="59">
        <f>+E673+I673+M673+Q673</f>
        <v>373</v>
      </c>
    </row>
    <row r="674" spans="1:18" ht="16.5" customHeight="1" thickBot="1" x14ac:dyDescent="0.35">
      <c r="A674" s="42"/>
      <c r="B674" s="37"/>
      <c r="C674" s="37"/>
      <c r="D674" s="37"/>
      <c r="E674" s="16"/>
      <c r="F674" s="37"/>
      <c r="G674" s="37"/>
      <c r="H674" s="37"/>
      <c r="I674" s="16"/>
      <c r="J674" s="37"/>
      <c r="K674" s="37"/>
      <c r="L674" s="37"/>
      <c r="M674" s="16"/>
      <c r="N674" s="37"/>
      <c r="O674" s="37"/>
      <c r="P674" s="37"/>
      <c r="Q674" s="16"/>
      <c r="R674" s="43"/>
    </row>
    <row r="675" spans="1:18" ht="15.75" customHeight="1" x14ac:dyDescent="0.3">
      <c r="A675" s="82" t="s">
        <v>507</v>
      </c>
      <c r="B675" s="83">
        <f>B673</f>
        <v>20</v>
      </c>
      <c r="C675" s="83">
        <f>C673</f>
        <v>22</v>
      </c>
      <c r="D675" s="83">
        <f>D673</f>
        <v>28</v>
      </c>
      <c r="E675" s="65">
        <f>SUM(B675:D675)</f>
        <v>70</v>
      </c>
      <c r="F675" s="83">
        <f>F673</f>
        <v>37</v>
      </c>
      <c r="G675" s="83">
        <f>G673</f>
        <v>42</v>
      </c>
      <c r="H675" s="83">
        <f>H673</f>
        <v>44</v>
      </c>
      <c r="I675" s="65">
        <f>SUM(F675:H675)</f>
        <v>123</v>
      </c>
      <c r="J675" s="83">
        <f>J673</f>
        <v>39</v>
      </c>
      <c r="K675" s="83">
        <f>K673</f>
        <v>36</v>
      </c>
      <c r="L675" s="83">
        <f>L673</f>
        <v>34</v>
      </c>
      <c r="M675" s="65">
        <f>SUM(J675:L675)</f>
        <v>109</v>
      </c>
      <c r="N675" s="83">
        <f>N673</f>
        <v>29</v>
      </c>
      <c r="O675" s="83">
        <f>O673</f>
        <v>23</v>
      </c>
      <c r="P675" s="83">
        <f>P673</f>
        <v>19</v>
      </c>
      <c r="Q675" s="65">
        <f>SUM(N675:P675)</f>
        <v>71</v>
      </c>
      <c r="R675" s="65">
        <f>+E675+I675+M675+Q675</f>
        <v>373</v>
      </c>
    </row>
    <row r="676" spans="1:18" ht="15.75" customHeight="1" x14ac:dyDescent="0.3">
      <c r="A676" s="85" t="s">
        <v>39</v>
      </c>
      <c r="B676" s="1">
        <f>(B675/B10)/1.983</f>
        <v>0.32534608689993977</v>
      </c>
      <c r="C676" s="1">
        <f>(C675/C10)/1.983</f>
        <v>0.38256212287199814</v>
      </c>
      <c r="D676" s="1">
        <f>(D675/D10)/1.983</f>
        <v>0.45548452165991571</v>
      </c>
      <c r="E676" s="59" t="s">
        <v>7</v>
      </c>
      <c r="F676" s="1">
        <f>(F675/F10)/1.983</f>
        <v>0.62195326945705165</v>
      </c>
      <c r="G676" s="1">
        <f>(G675/G10)/1.983</f>
        <v>0.68322678248987356</v>
      </c>
      <c r="H676" s="1">
        <f>(H675/H10)/1.983</f>
        <v>0.73962010421919644</v>
      </c>
      <c r="I676" s="59" t="s">
        <v>7</v>
      </c>
      <c r="J676" s="1">
        <f>(J675/J10)/1.983</f>
        <v>0.63442486945488263</v>
      </c>
      <c r="K676" s="1">
        <f>(K675/K10)/1.983</f>
        <v>0.5856229564198917</v>
      </c>
      <c r="L676" s="1">
        <f>(L675/L10)/1.983</f>
        <v>0.57152462598756093</v>
      </c>
      <c r="M676" s="59" t="s">
        <v>7</v>
      </c>
      <c r="N676" s="1">
        <f>(N675/N10)/1.983</f>
        <v>0.47175182600491267</v>
      </c>
      <c r="O676" s="1">
        <f>(O675/O10)/1.983</f>
        <v>0.38661959993276179</v>
      </c>
      <c r="P676" s="1">
        <f>(P675/P10)/1.983</f>
        <v>0.30907878255494281</v>
      </c>
      <c r="Q676" s="59" t="s">
        <v>7</v>
      </c>
      <c r="R676" s="59" t="s">
        <v>7</v>
      </c>
    </row>
    <row r="677" spans="1:18" ht="15.75" customHeight="1" x14ac:dyDescent="0.3">
      <c r="A677" s="85" t="s">
        <v>549</v>
      </c>
      <c r="B677" s="1">
        <f>B675+B713</f>
        <v>12524</v>
      </c>
      <c r="C677" s="1">
        <f>C675+C713</f>
        <v>18294</v>
      </c>
      <c r="D677" s="1">
        <f>D675+D713</f>
        <v>20019</v>
      </c>
      <c r="E677" s="59">
        <f>SUM(B677:D677)</f>
        <v>50837</v>
      </c>
      <c r="F677" s="1">
        <f>F675+F713</f>
        <v>20670</v>
      </c>
      <c r="G677" s="1">
        <f>G675+G713</f>
        <v>21937</v>
      </c>
      <c r="H677" s="1">
        <f>H675+H713</f>
        <v>20644</v>
      </c>
      <c r="I677" s="59">
        <f>SUM(F677:H677)</f>
        <v>63251</v>
      </c>
      <c r="J677" s="1">
        <f>J675+J713</f>
        <v>20730</v>
      </c>
      <c r="K677" s="1">
        <f>K675+K713</f>
        <v>23151</v>
      </c>
      <c r="L677" s="1">
        <f>L675+L713</f>
        <v>21106</v>
      </c>
      <c r="M677" s="59">
        <f>SUM(J677:L677)</f>
        <v>64987</v>
      </c>
      <c r="N677" s="1">
        <f>N675+N713</f>
        <v>12417</v>
      </c>
      <c r="O677" s="1">
        <f>O675+O713</f>
        <v>3119</v>
      </c>
      <c r="P677" s="1">
        <f>P675+P713</f>
        <v>2882</v>
      </c>
      <c r="Q677" s="59">
        <f>SUM(N677:P677)</f>
        <v>18418</v>
      </c>
      <c r="R677" s="59">
        <f>+E677+I677+M677+Q677</f>
        <v>197493</v>
      </c>
    </row>
    <row r="678" spans="1:18" ht="16.5" customHeight="1" thickBot="1" x14ac:dyDescent="0.35">
      <c r="A678" s="86" t="s">
        <v>550</v>
      </c>
      <c r="B678" s="87">
        <f>(B677/B10)/1.983</f>
        <v>203.73171961674231</v>
      </c>
      <c r="C678" s="87">
        <f>(C677/C10)/1.983</f>
        <v>318.11779435546975</v>
      </c>
      <c r="D678" s="87">
        <f>(D677/D10)/1.983</f>
        <v>325.65516568249473</v>
      </c>
      <c r="E678" s="88" t="s">
        <v>7</v>
      </c>
      <c r="F678" s="87">
        <f>(F677/F10)/1.983</f>
        <v>347.4533535047907</v>
      </c>
      <c r="G678" s="87">
        <f>(G677/G10)/1.983</f>
        <v>356.85585541619895</v>
      </c>
      <c r="H678" s="87">
        <f>(H677/H10)/1.983</f>
        <v>347.01630526138842</v>
      </c>
      <c r="I678" s="88" t="s">
        <v>7</v>
      </c>
      <c r="J678" s="87">
        <f>(J677/J10)/1.983</f>
        <v>337.22121907178763</v>
      </c>
      <c r="K678" s="87">
        <f>(K677/K10)/1.983</f>
        <v>376.60436289102529</v>
      </c>
      <c r="L678" s="87">
        <f>(L677/L10)/1.983</f>
        <v>354.78231635569</v>
      </c>
      <c r="M678" s="88" t="s">
        <v>7</v>
      </c>
      <c r="N678" s="87">
        <f>(N677/N10)/1.983</f>
        <v>201.99111805182764</v>
      </c>
      <c r="O678" s="87">
        <f>(O677/O10)/1.983</f>
        <v>52.428979660447133</v>
      </c>
      <c r="P678" s="87">
        <f>(P677/P10)/1.983</f>
        <v>46.882371122281327</v>
      </c>
      <c r="Q678" s="88" t="s">
        <v>7</v>
      </c>
      <c r="R678" s="88" t="s">
        <v>7</v>
      </c>
    </row>
    <row r="679" spans="1:18" ht="15.75" customHeight="1" x14ac:dyDescent="0.3">
      <c r="A679" s="30"/>
      <c r="B679" s="1"/>
      <c r="C679" s="1"/>
      <c r="D679" s="1"/>
      <c r="E679" s="1"/>
      <c r="F679" s="1"/>
      <c r="G679" s="1"/>
      <c r="H679" s="1"/>
      <c r="I679" s="1"/>
      <c r="J679" s="1"/>
      <c r="K679" s="1"/>
      <c r="L679" s="1"/>
      <c r="M679" s="1"/>
      <c r="N679" s="1"/>
      <c r="O679" s="1"/>
      <c r="P679" s="1"/>
      <c r="Q679" s="1"/>
      <c r="R679" s="28"/>
    </row>
    <row r="680" spans="1:18" ht="15.75" customHeight="1" thickBot="1" x14ac:dyDescent="0.35">
      <c r="A680" s="30"/>
      <c r="B680" s="1"/>
      <c r="C680" s="1"/>
      <c r="D680" s="1"/>
      <c r="E680" s="1"/>
      <c r="F680" s="1"/>
      <c r="G680" s="1"/>
      <c r="H680" s="1"/>
      <c r="I680" s="1"/>
      <c r="J680" s="1"/>
      <c r="K680" s="1"/>
      <c r="L680" s="1"/>
      <c r="M680" s="1"/>
      <c r="N680" s="1"/>
      <c r="O680" s="1"/>
      <c r="P680" s="1"/>
      <c r="Q680" s="1"/>
      <c r="R680" s="28"/>
    </row>
    <row r="681" spans="1:18" ht="16.5" customHeight="1" thickBot="1" x14ac:dyDescent="0.35">
      <c r="A681" s="31" t="s">
        <v>551</v>
      </c>
      <c r="B681" s="32" t="s">
        <v>36</v>
      </c>
      <c r="C681" s="33" t="s">
        <v>9</v>
      </c>
      <c r="D681" s="33" t="s">
        <v>10</v>
      </c>
      <c r="E681" s="12" t="s">
        <v>11</v>
      </c>
      <c r="F681" s="33" t="s">
        <v>12</v>
      </c>
      <c r="G681" s="33" t="s">
        <v>13</v>
      </c>
      <c r="H681" s="33" t="s">
        <v>14</v>
      </c>
      <c r="I681" s="34" t="s">
        <v>15</v>
      </c>
      <c r="J681" s="33" t="s">
        <v>16</v>
      </c>
      <c r="K681" s="33" t="s">
        <v>17</v>
      </c>
      <c r="L681" s="33" t="s">
        <v>18</v>
      </c>
      <c r="M681" s="34" t="s">
        <v>19</v>
      </c>
      <c r="N681" s="33" t="s">
        <v>20</v>
      </c>
      <c r="O681" s="33" t="s">
        <v>21</v>
      </c>
      <c r="P681" s="33" t="s">
        <v>22</v>
      </c>
      <c r="Q681" s="34" t="s">
        <v>23</v>
      </c>
      <c r="R681" s="35" t="s">
        <v>24</v>
      </c>
    </row>
    <row r="682" spans="1:18" ht="16.5" customHeight="1" thickBot="1" x14ac:dyDescent="0.35">
      <c r="A682" s="42"/>
      <c r="B682" s="37"/>
      <c r="C682" s="37"/>
      <c r="D682" s="37"/>
      <c r="E682" s="16"/>
      <c r="F682" s="37"/>
      <c r="G682" s="37"/>
      <c r="H682" s="37"/>
      <c r="I682" s="16"/>
      <c r="J682" s="37"/>
      <c r="K682" s="37"/>
      <c r="L682" s="37"/>
      <c r="M682" s="16"/>
      <c r="N682" s="37"/>
      <c r="O682" s="37"/>
      <c r="P682" s="37"/>
      <c r="Q682" s="16"/>
      <c r="R682" s="39"/>
    </row>
    <row r="683" spans="1:18" ht="15.75" customHeight="1" x14ac:dyDescent="0.3">
      <c r="A683" s="17" t="s">
        <v>45</v>
      </c>
      <c r="B683" s="1" t="s">
        <v>7</v>
      </c>
      <c r="C683" s="1" t="s">
        <v>7</v>
      </c>
      <c r="D683" s="1" t="s">
        <v>7</v>
      </c>
      <c r="E683" s="59" t="s">
        <v>7</v>
      </c>
      <c r="F683" s="1" t="s">
        <v>7</v>
      </c>
      <c r="G683" s="1" t="s">
        <v>7</v>
      </c>
      <c r="H683" s="1" t="s">
        <v>7</v>
      </c>
      <c r="I683" s="59" t="s">
        <v>7</v>
      </c>
      <c r="J683" s="1" t="s">
        <v>7</v>
      </c>
      <c r="K683" s="1" t="s">
        <v>7</v>
      </c>
      <c r="L683" s="1" t="s">
        <v>7</v>
      </c>
      <c r="M683" s="59" t="s">
        <v>7</v>
      </c>
      <c r="N683" s="1" t="s">
        <v>7</v>
      </c>
      <c r="O683" s="1" t="s">
        <v>7</v>
      </c>
      <c r="P683" s="1" t="s">
        <v>7</v>
      </c>
      <c r="Q683" s="59" t="s">
        <v>7</v>
      </c>
      <c r="R683" s="59" t="s">
        <v>7</v>
      </c>
    </row>
    <row r="684" spans="1:18" ht="15.75" customHeight="1" x14ac:dyDescent="0.3">
      <c r="A684" s="17" t="s">
        <v>46</v>
      </c>
      <c r="B684" s="1"/>
      <c r="C684" s="1"/>
      <c r="D684" s="1"/>
      <c r="E684" s="59" t="s">
        <v>7</v>
      </c>
      <c r="F684" s="1"/>
      <c r="G684" s="1"/>
      <c r="H684" s="1"/>
      <c r="I684" s="59" t="s">
        <v>7</v>
      </c>
      <c r="J684" s="1"/>
      <c r="K684" s="1"/>
      <c r="L684" s="1"/>
      <c r="M684" s="59" t="s">
        <v>7</v>
      </c>
      <c r="N684" s="1"/>
      <c r="O684" s="1"/>
      <c r="P684" s="1"/>
      <c r="Q684" s="59" t="s">
        <v>7</v>
      </c>
      <c r="R684" s="59" t="s">
        <v>7</v>
      </c>
    </row>
    <row r="685" spans="1:18" ht="15.75" customHeight="1" x14ac:dyDescent="0.3">
      <c r="A685" s="74" t="s">
        <v>552</v>
      </c>
      <c r="B685" s="1">
        <v>100</v>
      </c>
      <c r="C685" s="1">
        <v>200</v>
      </c>
      <c r="D685" s="1">
        <v>500</v>
      </c>
      <c r="E685" s="59">
        <f>SUM(B685:D685)</f>
        <v>800</v>
      </c>
      <c r="F685" s="1">
        <v>700</v>
      </c>
      <c r="G685" s="1">
        <v>1300</v>
      </c>
      <c r="H685" s="1">
        <v>1500</v>
      </c>
      <c r="I685" s="59">
        <f>SUM(F685:H685)</f>
        <v>3500</v>
      </c>
      <c r="J685" s="1">
        <v>2000</v>
      </c>
      <c r="K685" s="1">
        <v>1600</v>
      </c>
      <c r="L685" s="1">
        <v>1200</v>
      </c>
      <c r="M685" s="59">
        <f>SUM(J685:L685)</f>
        <v>4800</v>
      </c>
      <c r="N685" s="1">
        <v>400</v>
      </c>
      <c r="O685" s="1">
        <v>100</v>
      </c>
      <c r="P685" s="1">
        <v>200</v>
      </c>
      <c r="Q685" s="59">
        <f>SUM(N685:P685)</f>
        <v>700</v>
      </c>
      <c r="R685" s="59">
        <f>+E685+I685+M685+Q685</f>
        <v>9800</v>
      </c>
    </row>
    <row r="686" spans="1:18" ht="15.75" customHeight="1" x14ac:dyDescent="0.3">
      <c r="A686" s="74" t="s">
        <v>553</v>
      </c>
      <c r="B686" s="1">
        <v>200</v>
      </c>
      <c r="C686" s="1">
        <v>400</v>
      </c>
      <c r="D686" s="1">
        <v>400</v>
      </c>
      <c r="E686" s="59">
        <f>SUM(B686:D686)</f>
        <v>1000</v>
      </c>
      <c r="F686" s="1">
        <v>400</v>
      </c>
      <c r="G686" s="1"/>
      <c r="H686" s="1">
        <v>200</v>
      </c>
      <c r="I686" s="59">
        <f>SUM(F686:H686)</f>
        <v>600</v>
      </c>
      <c r="J686" s="1">
        <v>300</v>
      </c>
      <c r="K686" s="1">
        <v>200</v>
      </c>
      <c r="L686" s="1">
        <v>200</v>
      </c>
      <c r="M686" s="59">
        <f>SUM(J686:L686)</f>
        <v>700</v>
      </c>
      <c r="N686" s="1">
        <v>200</v>
      </c>
      <c r="O686" s="1"/>
      <c r="P686" s="1">
        <v>200</v>
      </c>
      <c r="Q686" s="59">
        <f>SUM(N686:P686)</f>
        <v>400</v>
      </c>
      <c r="R686" s="59">
        <f>+E686+I686+M686+Q686</f>
        <v>2700</v>
      </c>
    </row>
    <row r="687" spans="1:18" ht="15.75" customHeight="1" x14ac:dyDescent="0.3">
      <c r="A687" s="74" t="s">
        <v>554</v>
      </c>
      <c r="B687" s="1">
        <v>80</v>
      </c>
      <c r="C687" s="1">
        <v>50</v>
      </c>
      <c r="D687" s="1">
        <v>70</v>
      </c>
      <c r="E687" s="59">
        <f>SUM(B687:D687)</f>
        <v>200</v>
      </c>
      <c r="F687" s="1">
        <v>70</v>
      </c>
      <c r="G687" s="1">
        <v>50</v>
      </c>
      <c r="H687" s="1"/>
      <c r="I687" s="59">
        <f>SUM(F687:H687)</f>
        <v>120</v>
      </c>
      <c r="J687" s="1"/>
      <c r="K687" s="1"/>
      <c r="L687" s="1"/>
      <c r="M687" s="59">
        <f>SUM(J687:L687)</f>
        <v>0</v>
      </c>
      <c r="N687" s="1"/>
      <c r="O687" s="1"/>
      <c r="P687" s="1">
        <v>100</v>
      </c>
      <c r="Q687" s="59">
        <f>SUM(N687:P687)</f>
        <v>100</v>
      </c>
      <c r="R687" s="59">
        <f>+E687+I687+M687+Q687</f>
        <v>420</v>
      </c>
    </row>
    <row r="688" spans="1:18" ht="15.75" customHeight="1" x14ac:dyDescent="0.3">
      <c r="A688" s="17" t="s">
        <v>47</v>
      </c>
      <c r="B688" s="1"/>
      <c r="C688" s="1"/>
      <c r="D688" s="1"/>
      <c r="E688" s="59" t="s">
        <v>7</v>
      </c>
      <c r="F688" s="1"/>
      <c r="G688" s="1"/>
      <c r="H688" s="1"/>
      <c r="I688" s="59" t="s">
        <v>7</v>
      </c>
      <c r="J688" s="1"/>
      <c r="K688" s="1"/>
      <c r="L688" s="1"/>
      <c r="M688" s="59" t="s">
        <v>7</v>
      </c>
      <c r="N688" s="1"/>
      <c r="O688" s="1"/>
      <c r="P688" s="1"/>
      <c r="Q688" s="59" t="s">
        <v>7</v>
      </c>
      <c r="R688" s="59" t="s">
        <v>7</v>
      </c>
    </row>
    <row r="689" spans="1:18" ht="15.75" customHeight="1" x14ac:dyDescent="0.3">
      <c r="A689" s="17" t="s">
        <v>49</v>
      </c>
      <c r="B689" s="1"/>
      <c r="C689" s="1"/>
      <c r="D689" s="1"/>
      <c r="E689" s="59" t="s">
        <v>7</v>
      </c>
      <c r="F689" s="1"/>
      <c r="G689" s="1"/>
      <c r="H689" s="1"/>
      <c r="I689" s="59" t="s">
        <v>7</v>
      </c>
      <c r="J689" s="1"/>
      <c r="K689" s="1"/>
      <c r="L689" s="1"/>
      <c r="M689" s="59" t="s">
        <v>7</v>
      </c>
      <c r="N689" s="1"/>
      <c r="O689" s="1"/>
      <c r="P689" s="1"/>
      <c r="Q689" s="59" t="s">
        <v>7</v>
      </c>
      <c r="R689" s="59" t="s">
        <v>7</v>
      </c>
    </row>
    <row r="690" spans="1:18" ht="15.75" customHeight="1" thickBot="1" x14ac:dyDescent="0.35">
      <c r="A690" s="17" t="s">
        <v>51</v>
      </c>
      <c r="B690" s="1"/>
      <c r="C690" s="1"/>
      <c r="D690" s="1"/>
      <c r="E690" s="59" t="s">
        <v>7</v>
      </c>
      <c r="F690" s="1"/>
      <c r="G690" s="1"/>
      <c r="H690" s="1"/>
      <c r="I690" s="59" t="s">
        <v>7</v>
      </c>
      <c r="J690" s="1"/>
      <c r="K690" s="1"/>
      <c r="L690" s="1"/>
      <c r="M690" s="59" t="s">
        <v>7</v>
      </c>
      <c r="N690" s="1"/>
      <c r="O690" s="1"/>
      <c r="P690" s="1"/>
      <c r="Q690" s="59" t="s">
        <v>7</v>
      </c>
      <c r="R690" s="59" t="s">
        <v>7</v>
      </c>
    </row>
    <row r="691" spans="1:18" ht="16.5" customHeight="1" thickBot="1" x14ac:dyDescent="0.35">
      <c r="A691" s="126" t="s">
        <v>52</v>
      </c>
      <c r="B691" s="100">
        <f>SUM(B683:B690)</f>
        <v>380</v>
      </c>
      <c r="C691" s="101">
        <f>SUM(C683:C690)</f>
        <v>650</v>
      </c>
      <c r="D691" s="101">
        <f>SUM(D683:D690)</f>
        <v>970</v>
      </c>
      <c r="E691" s="64">
        <f>SUM(B691:D691)</f>
        <v>2000</v>
      </c>
      <c r="F691" s="101">
        <f>SUM(F683:F690)</f>
        <v>1170</v>
      </c>
      <c r="G691" s="101">
        <f>SUM(G683:G690)</f>
        <v>1350</v>
      </c>
      <c r="H691" s="101">
        <f>SUM(H683:H690)</f>
        <v>1700</v>
      </c>
      <c r="I691" s="64">
        <f>SUM(F691:H691)</f>
        <v>4220</v>
      </c>
      <c r="J691" s="101">
        <f>SUM(J683:J690)</f>
        <v>2300</v>
      </c>
      <c r="K691" s="101">
        <f>SUM(K683:K690)</f>
        <v>1800</v>
      </c>
      <c r="L691" s="101">
        <f>SUM(L683:L690)</f>
        <v>1400</v>
      </c>
      <c r="M691" s="64">
        <f>SUM(J691:L691)</f>
        <v>5500</v>
      </c>
      <c r="N691" s="101">
        <f>SUM(N683:N690)</f>
        <v>600</v>
      </c>
      <c r="O691" s="101">
        <f>SUM(O683:O690)</f>
        <v>100</v>
      </c>
      <c r="P691" s="101">
        <f>SUM(P683:P690)</f>
        <v>500</v>
      </c>
      <c r="Q691" s="64">
        <f>SUM(N691:P691)</f>
        <v>1200</v>
      </c>
      <c r="R691" s="64">
        <f>+E691+I691+M691+Q691</f>
        <v>12920</v>
      </c>
    </row>
    <row r="692" spans="1:18" ht="15.75" customHeight="1" x14ac:dyDescent="0.3">
      <c r="A692" s="17" t="s">
        <v>53</v>
      </c>
      <c r="B692" s="1"/>
      <c r="C692" s="1"/>
      <c r="D692" s="1"/>
      <c r="E692" s="59" t="s">
        <v>7</v>
      </c>
      <c r="F692" s="1"/>
      <c r="G692" s="1"/>
      <c r="H692" s="1"/>
      <c r="I692" s="59" t="s">
        <v>7</v>
      </c>
      <c r="J692" s="1"/>
      <c r="K692" s="1"/>
      <c r="L692" s="1"/>
      <c r="M692" s="59" t="s">
        <v>7</v>
      </c>
      <c r="N692" s="1"/>
      <c r="O692" s="1"/>
      <c r="P692" s="1"/>
      <c r="Q692" s="59" t="s">
        <v>7</v>
      </c>
      <c r="R692" s="59" t="s">
        <v>7</v>
      </c>
    </row>
    <row r="693" spans="1:18" ht="15.75" customHeight="1" x14ac:dyDescent="0.3">
      <c r="A693" s="17" t="s">
        <v>55</v>
      </c>
      <c r="B693" s="1"/>
      <c r="C693" s="1"/>
      <c r="D693" s="1"/>
      <c r="E693" s="59" t="s">
        <v>7</v>
      </c>
      <c r="F693" s="1"/>
      <c r="G693" s="1"/>
      <c r="H693" s="1"/>
      <c r="I693" s="59" t="s">
        <v>7</v>
      </c>
      <c r="J693" s="1"/>
      <c r="K693" s="1"/>
      <c r="L693" s="1"/>
      <c r="M693" s="59" t="s">
        <v>7</v>
      </c>
      <c r="N693" s="1"/>
      <c r="O693" s="1"/>
      <c r="P693" s="1"/>
      <c r="Q693" s="59" t="s">
        <v>7</v>
      </c>
      <c r="R693" s="59" t="s">
        <v>7</v>
      </c>
    </row>
    <row r="694" spans="1:18" ht="15.75" customHeight="1" thickBot="1" x14ac:dyDescent="0.35">
      <c r="A694" s="17" t="s">
        <v>56</v>
      </c>
      <c r="B694" s="1"/>
      <c r="C694" s="1"/>
      <c r="D694" s="1"/>
      <c r="E694" s="59" t="s">
        <v>7</v>
      </c>
      <c r="F694" s="1"/>
      <c r="G694" s="1"/>
      <c r="H694" s="1"/>
      <c r="I694" s="59" t="s">
        <v>7</v>
      </c>
      <c r="J694" s="1"/>
      <c r="K694" s="1"/>
      <c r="L694" s="1"/>
      <c r="M694" s="59" t="s">
        <v>7</v>
      </c>
      <c r="N694" s="1"/>
      <c r="O694" s="1"/>
      <c r="P694" s="1"/>
      <c r="Q694" s="59" t="s">
        <v>7</v>
      </c>
      <c r="R694" s="59" t="s">
        <v>7</v>
      </c>
    </row>
    <row r="695" spans="1:18" ht="16.5" customHeight="1" thickBot="1" x14ac:dyDescent="0.35">
      <c r="A695" s="62" t="s">
        <v>57</v>
      </c>
      <c r="B695" s="100">
        <f>SUM(B692:B694)</f>
        <v>0</v>
      </c>
      <c r="C695" s="101">
        <f>SUM(C692:C694)</f>
        <v>0</v>
      </c>
      <c r="D695" s="101">
        <f>SUM(D692:D694)</f>
        <v>0</v>
      </c>
      <c r="E695" s="64">
        <f>SUM(B695:D695)</f>
        <v>0</v>
      </c>
      <c r="F695" s="101">
        <f>SUM(F692:F694)</f>
        <v>0</v>
      </c>
      <c r="G695" s="101">
        <f>SUM(G692:G694)</f>
        <v>0</v>
      </c>
      <c r="H695" s="101">
        <f>SUM(H692:H694)</f>
        <v>0</v>
      </c>
      <c r="I695" s="64">
        <f>SUM(F695:H695)</f>
        <v>0</v>
      </c>
      <c r="J695" s="101">
        <f>SUM(J692:J694)</f>
        <v>0</v>
      </c>
      <c r="K695" s="101">
        <f>SUM(K692:K694)</f>
        <v>0</v>
      </c>
      <c r="L695" s="101">
        <f>SUM(L692:L694)</f>
        <v>0</v>
      </c>
      <c r="M695" s="64">
        <f>SUM(J695:L695)</f>
        <v>0</v>
      </c>
      <c r="N695" s="101">
        <f>SUM(N692:N694)</f>
        <v>0</v>
      </c>
      <c r="O695" s="101">
        <f>SUM(O692:O694)</f>
        <v>0</v>
      </c>
      <c r="P695" s="101">
        <f>SUM(P692:P694)</f>
        <v>0</v>
      </c>
      <c r="Q695" s="64">
        <f>SUM(N695:P695)</f>
        <v>0</v>
      </c>
      <c r="R695" s="64">
        <f>+E695+I695+M695+Q695</f>
        <v>0</v>
      </c>
    </row>
    <row r="696" spans="1:18" ht="15.75" customHeight="1" x14ac:dyDescent="0.3">
      <c r="A696" s="17" t="s">
        <v>58</v>
      </c>
      <c r="B696" s="1"/>
      <c r="C696" s="1"/>
      <c r="D696" s="1"/>
      <c r="E696" s="59" t="s">
        <v>7</v>
      </c>
      <c r="F696" s="1"/>
      <c r="G696" s="1"/>
      <c r="H696" s="1"/>
      <c r="I696" s="59" t="s">
        <v>7</v>
      </c>
      <c r="J696" s="1"/>
      <c r="K696" s="1"/>
      <c r="L696" s="1"/>
      <c r="M696" s="59" t="s">
        <v>7</v>
      </c>
      <c r="N696" s="1"/>
      <c r="O696" s="1"/>
      <c r="P696" s="1"/>
      <c r="Q696" s="59" t="s">
        <v>7</v>
      </c>
      <c r="R696" s="59" t="s">
        <v>7</v>
      </c>
    </row>
    <row r="697" spans="1:18" ht="15.75" customHeight="1" x14ac:dyDescent="0.3">
      <c r="A697" s="17" t="s">
        <v>59</v>
      </c>
      <c r="B697" s="1"/>
      <c r="C697" s="1"/>
      <c r="D697" s="1"/>
      <c r="E697" s="59" t="s">
        <v>7</v>
      </c>
      <c r="F697" s="1"/>
      <c r="G697" s="1"/>
      <c r="H697" s="1"/>
      <c r="I697" s="59" t="s">
        <v>7</v>
      </c>
      <c r="J697" s="1"/>
      <c r="K697" s="1"/>
      <c r="L697" s="1"/>
      <c r="M697" s="59" t="s">
        <v>7</v>
      </c>
      <c r="N697" s="1"/>
      <c r="O697" s="1"/>
      <c r="P697" s="1"/>
      <c r="Q697" s="59" t="s">
        <v>7</v>
      </c>
      <c r="R697" s="59" t="s">
        <v>7</v>
      </c>
    </row>
    <row r="698" spans="1:18" ht="15.75" customHeight="1" thickBot="1" x14ac:dyDescent="0.35">
      <c r="A698" s="17" t="s">
        <v>60</v>
      </c>
      <c r="B698" s="1"/>
      <c r="C698" s="1"/>
      <c r="D698" s="1"/>
      <c r="E698" s="59" t="s">
        <v>7</v>
      </c>
      <c r="F698" s="1"/>
      <c r="G698" s="1"/>
      <c r="H698" s="1"/>
      <c r="I698" s="59" t="s">
        <v>7</v>
      </c>
      <c r="J698" s="1"/>
      <c r="K698" s="1"/>
      <c r="L698" s="1"/>
      <c r="M698" s="59" t="s">
        <v>7</v>
      </c>
      <c r="N698" s="1"/>
      <c r="O698" s="1"/>
      <c r="P698" s="1"/>
      <c r="Q698" s="59" t="s">
        <v>7</v>
      </c>
      <c r="R698" s="59" t="s">
        <v>7</v>
      </c>
    </row>
    <row r="699" spans="1:18" ht="16.5" customHeight="1" thickBot="1" x14ac:dyDescent="0.35">
      <c r="A699" s="137" t="s">
        <v>61</v>
      </c>
      <c r="B699" s="100">
        <f>SUM(B696:B698)</f>
        <v>0</v>
      </c>
      <c r="C699" s="101">
        <f>SUM(C696:C698)</f>
        <v>0</v>
      </c>
      <c r="D699" s="101">
        <f>SUM(D696:D698)</f>
        <v>0</v>
      </c>
      <c r="E699" s="64">
        <f>SUM(B699:D699)</f>
        <v>0</v>
      </c>
      <c r="F699" s="101">
        <f>SUM(F696:F698)</f>
        <v>0</v>
      </c>
      <c r="G699" s="101">
        <f>SUM(G696:G698)</f>
        <v>0</v>
      </c>
      <c r="H699" s="101">
        <f>SUM(H696:H698)</f>
        <v>0</v>
      </c>
      <c r="I699" s="64">
        <f>SUM(F699:H699)</f>
        <v>0</v>
      </c>
      <c r="J699" s="101">
        <f>SUM(J696:J698)</f>
        <v>0</v>
      </c>
      <c r="K699" s="101">
        <f>SUM(K696:K698)</f>
        <v>0</v>
      </c>
      <c r="L699" s="101">
        <f>SUM(L696:L698)</f>
        <v>0</v>
      </c>
      <c r="M699" s="64">
        <f>SUM(J699:L699)</f>
        <v>0</v>
      </c>
      <c r="N699" s="101">
        <f>SUM(N696:N698)</f>
        <v>0</v>
      </c>
      <c r="O699" s="101">
        <f>SUM(O696:O698)</f>
        <v>0</v>
      </c>
      <c r="P699" s="101">
        <f>SUM(P696:P698)</f>
        <v>0</v>
      </c>
      <c r="Q699" s="64">
        <f>SUM(N699:P699)</f>
        <v>0</v>
      </c>
      <c r="R699" s="64">
        <f>+E699+I699+M699+Q699</f>
        <v>0</v>
      </c>
    </row>
    <row r="700" spans="1:18" ht="15.75" customHeight="1" x14ac:dyDescent="0.3">
      <c r="A700" s="17" t="s">
        <v>62</v>
      </c>
      <c r="B700" s="1"/>
      <c r="C700" s="1"/>
      <c r="D700" s="1"/>
      <c r="E700" s="59" t="s">
        <v>7</v>
      </c>
      <c r="F700" s="1"/>
      <c r="G700" s="1"/>
      <c r="H700" s="1"/>
      <c r="I700" s="59" t="s">
        <v>7</v>
      </c>
      <c r="J700" s="1"/>
      <c r="K700" s="1"/>
      <c r="L700" s="1"/>
      <c r="M700" s="59" t="s">
        <v>7</v>
      </c>
      <c r="N700" s="1"/>
      <c r="O700" s="1"/>
      <c r="P700" s="1"/>
      <c r="Q700" s="59" t="s">
        <v>7</v>
      </c>
      <c r="R700" s="59" t="s">
        <v>7</v>
      </c>
    </row>
    <row r="701" spans="1:18" ht="15.75" customHeight="1" x14ac:dyDescent="0.3">
      <c r="A701" s="17" t="s">
        <v>63</v>
      </c>
      <c r="B701" s="1"/>
      <c r="C701" s="1"/>
      <c r="D701" s="1"/>
      <c r="E701" s="59" t="s">
        <v>7</v>
      </c>
      <c r="F701" s="1"/>
      <c r="G701" s="1"/>
      <c r="H701" s="1"/>
      <c r="I701" s="59" t="s">
        <v>7</v>
      </c>
      <c r="J701" s="1"/>
      <c r="K701" s="1"/>
      <c r="L701" s="1"/>
      <c r="M701" s="59" t="s">
        <v>7</v>
      </c>
      <c r="N701" s="1"/>
      <c r="O701" s="1"/>
      <c r="P701" s="1"/>
      <c r="Q701" s="59" t="s">
        <v>7</v>
      </c>
      <c r="R701" s="59" t="s">
        <v>7</v>
      </c>
    </row>
    <row r="702" spans="1:18" ht="15.75" customHeight="1" x14ac:dyDescent="0.3">
      <c r="A702" s="17" t="s">
        <v>64</v>
      </c>
      <c r="B702" s="1"/>
      <c r="C702" s="1"/>
      <c r="D702" s="1"/>
      <c r="E702" s="59" t="s">
        <v>7</v>
      </c>
      <c r="F702" s="1"/>
      <c r="G702" s="1"/>
      <c r="H702" s="1"/>
      <c r="I702" s="59" t="s">
        <v>7</v>
      </c>
      <c r="J702" s="1"/>
      <c r="K702" s="1"/>
      <c r="L702" s="1"/>
      <c r="M702" s="59" t="s">
        <v>7</v>
      </c>
      <c r="N702" s="1"/>
      <c r="O702" s="1"/>
      <c r="P702" s="1"/>
      <c r="Q702" s="59" t="s">
        <v>7</v>
      </c>
      <c r="R702" s="59" t="s">
        <v>7</v>
      </c>
    </row>
    <row r="703" spans="1:18" ht="15.75" customHeight="1" x14ac:dyDescent="0.3">
      <c r="A703" s="74" t="s">
        <v>555</v>
      </c>
      <c r="B703" s="1"/>
      <c r="C703" s="1"/>
      <c r="D703" s="1"/>
      <c r="E703" s="59">
        <f>SUM(B703:D703)</f>
        <v>0</v>
      </c>
      <c r="F703" s="1"/>
      <c r="G703" s="1"/>
      <c r="H703" s="1"/>
      <c r="I703" s="59">
        <f>SUM(F703:H703)</f>
        <v>0</v>
      </c>
      <c r="J703" s="1"/>
      <c r="K703" s="1"/>
      <c r="L703" s="1"/>
      <c r="M703" s="59">
        <f>SUM(J703:L703)</f>
        <v>0</v>
      </c>
      <c r="N703" s="1"/>
      <c r="O703" s="1"/>
      <c r="P703" s="1"/>
      <c r="Q703" s="59">
        <f>SUM(N703:P703)</f>
        <v>0</v>
      </c>
      <c r="R703" s="59">
        <f>+E703+I703+M703+Q703</f>
        <v>0</v>
      </c>
    </row>
    <row r="704" spans="1:18" ht="15.75" customHeight="1" x14ac:dyDescent="0.3">
      <c r="A704" s="17" t="s">
        <v>66</v>
      </c>
      <c r="B704" s="1"/>
      <c r="C704" s="1"/>
      <c r="D704" s="1"/>
      <c r="E704" s="59" t="s">
        <v>7</v>
      </c>
      <c r="F704" s="1"/>
      <c r="G704" s="1"/>
      <c r="H704" s="1"/>
      <c r="I704" s="59" t="s">
        <v>7</v>
      </c>
      <c r="J704" s="1"/>
      <c r="K704" s="1"/>
      <c r="L704" s="1"/>
      <c r="M704" s="59" t="s">
        <v>7</v>
      </c>
      <c r="N704" s="1"/>
      <c r="O704" s="1"/>
      <c r="P704" s="1"/>
      <c r="Q704" s="59" t="s">
        <v>7</v>
      </c>
      <c r="R704" s="59" t="s">
        <v>7</v>
      </c>
    </row>
    <row r="705" spans="1:18" ht="15.75" customHeight="1" thickBot="1" x14ac:dyDescent="0.35">
      <c r="A705" s="17" t="s">
        <v>67</v>
      </c>
      <c r="B705" s="1"/>
      <c r="C705" s="1"/>
      <c r="D705" s="1"/>
      <c r="E705" s="59" t="s">
        <v>7</v>
      </c>
      <c r="F705" s="1"/>
      <c r="G705" s="1"/>
      <c r="H705" s="1"/>
      <c r="I705" s="59" t="s">
        <v>7</v>
      </c>
      <c r="J705" s="1"/>
      <c r="K705" s="1"/>
      <c r="L705" s="1"/>
      <c r="M705" s="59" t="s">
        <v>7</v>
      </c>
      <c r="N705" s="1"/>
      <c r="O705" s="1"/>
      <c r="P705" s="1"/>
      <c r="Q705" s="59" t="s">
        <v>7</v>
      </c>
      <c r="R705" s="59" t="s">
        <v>7</v>
      </c>
    </row>
    <row r="706" spans="1:18" ht="16.5" customHeight="1" thickBot="1" x14ac:dyDescent="0.35">
      <c r="A706" s="62" t="s">
        <v>68</v>
      </c>
      <c r="B706" s="63">
        <f>SUM(B704:B705)</f>
        <v>0</v>
      </c>
      <c r="C706" s="63">
        <f>SUM(C704:C705)</f>
        <v>0</v>
      </c>
      <c r="D706" s="63">
        <f>SUM(D704:D705)</f>
        <v>0</v>
      </c>
      <c r="E706" s="65">
        <f>SUM(B706:D706)</f>
        <v>0</v>
      </c>
      <c r="F706" s="63">
        <f>SUM(F704:F705)</f>
        <v>0</v>
      </c>
      <c r="G706" s="63">
        <f>SUM(G704:G705)</f>
        <v>0</v>
      </c>
      <c r="H706" s="63">
        <f>SUM(H704:H705)</f>
        <v>0</v>
      </c>
      <c r="I706" s="65">
        <f>SUM(F706:H706)</f>
        <v>0</v>
      </c>
      <c r="J706" s="63">
        <f>SUM(J704:J705)</f>
        <v>0</v>
      </c>
      <c r="K706" s="63">
        <f>SUM(K704:K705)</f>
        <v>0</v>
      </c>
      <c r="L706" s="63">
        <f>SUM(L704:L705)</f>
        <v>0</v>
      </c>
      <c r="M706" s="65">
        <f>SUM(J706:L706)</f>
        <v>0</v>
      </c>
      <c r="N706" s="63">
        <f>SUM(N704:N705)</f>
        <v>0</v>
      </c>
      <c r="O706" s="63">
        <f>SUM(O704:O705)</f>
        <v>0</v>
      </c>
      <c r="P706" s="63">
        <f>SUM(P704:P705)</f>
        <v>0</v>
      </c>
      <c r="Q706" s="65">
        <f>SUM(N706:P706)</f>
        <v>0</v>
      </c>
      <c r="R706" s="64">
        <f>+E706+I706+M706+Q706</f>
        <v>0</v>
      </c>
    </row>
    <row r="707" spans="1:18" ht="16.5" customHeight="1" thickBot="1" x14ac:dyDescent="0.35">
      <c r="A707" s="137" t="s">
        <v>69</v>
      </c>
      <c r="B707" s="100">
        <f>SUM(B700:B705)</f>
        <v>0</v>
      </c>
      <c r="C707" s="101">
        <f>SUM(C700:C705)</f>
        <v>0</v>
      </c>
      <c r="D707" s="138">
        <f>SUM(D700:D705)</f>
        <v>0</v>
      </c>
      <c r="E707" s="65">
        <f>SUM(B707:D707)</f>
        <v>0</v>
      </c>
      <c r="F707" s="101">
        <f>SUM(F700:F705)</f>
        <v>0</v>
      </c>
      <c r="G707" s="101">
        <f>SUM(G700:G705)</f>
        <v>0</v>
      </c>
      <c r="H707" s="101">
        <f>SUM(H700:H705)</f>
        <v>0</v>
      </c>
      <c r="I707" s="65">
        <f>SUM(F707:H707)</f>
        <v>0</v>
      </c>
      <c r="J707" s="101">
        <f>SUM(J700:J705)</f>
        <v>0</v>
      </c>
      <c r="K707" s="101">
        <f>SUM(K700:K705)</f>
        <v>0</v>
      </c>
      <c r="L707" s="101">
        <f>SUM(L700:L705)</f>
        <v>0</v>
      </c>
      <c r="M707" s="65">
        <f>SUM(J707:L707)</f>
        <v>0</v>
      </c>
      <c r="N707" s="101">
        <f>SUM(N700:N705)</f>
        <v>0</v>
      </c>
      <c r="O707" s="101">
        <f>SUM(O700:O705)</f>
        <v>0</v>
      </c>
      <c r="P707" s="101">
        <f>SUM(P700:P705)</f>
        <v>0</v>
      </c>
      <c r="Q707" s="65">
        <f>SUM(N707:P707)</f>
        <v>0</v>
      </c>
      <c r="R707" s="64">
        <f>+E707+I707+M707+Q707</f>
        <v>0</v>
      </c>
    </row>
    <row r="708" spans="1:18" ht="16.5" customHeight="1" thickBot="1" x14ac:dyDescent="0.35">
      <c r="A708" s="62" t="s">
        <v>70</v>
      </c>
      <c r="B708" s="107">
        <f>+B691+B695+B699+B707</f>
        <v>380</v>
      </c>
      <c r="C708" s="63">
        <f>+C691+C695+C699+C707</f>
        <v>650</v>
      </c>
      <c r="D708" s="63">
        <f>+D691+D695+D699+D707</f>
        <v>970</v>
      </c>
      <c r="E708" s="64">
        <f>SUM(B708:D708)</f>
        <v>2000</v>
      </c>
      <c r="F708" s="63">
        <f>+F691+F695+F699+F707</f>
        <v>1170</v>
      </c>
      <c r="G708" s="63">
        <f>+G691+G695+G699+G707</f>
        <v>1350</v>
      </c>
      <c r="H708" s="63">
        <f>+H691+H695+H699+H707</f>
        <v>1700</v>
      </c>
      <c r="I708" s="64">
        <f>SUM(F708:H708)</f>
        <v>4220</v>
      </c>
      <c r="J708" s="63">
        <f>+J691+J695+J699+J707</f>
        <v>2300</v>
      </c>
      <c r="K708" s="63">
        <f>+K691+K695+K699+K707</f>
        <v>1800</v>
      </c>
      <c r="L708" s="63">
        <f>+L691+L695+L699+L707</f>
        <v>1400</v>
      </c>
      <c r="M708" s="64">
        <f>SUM(J708:L708)</f>
        <v>5500</v>
      </c>
      <c r="N708" s="63">
        <f>+N691+N695+N699+N707</f>
        <v>600</v>
      </c>
      <c r="O708" s="63">
        <f>+O691+O695+O699+O707</f>
        <v>100</v>
      </c>
      <c r="P708" s="63">
        <f>+P691+P695+P699+P707</f>
        <v>500</v>
      </c>
      <c r="Q708" s="64">
        <f>SUM(N708:P708)</f>
        <v>1200</v>
      </c>
      <c r="R708" s="88">
        <f>+E708+I708+M708+Q708</f>
        <v>12920</v>
      </c>
    </row>
    <row r="709" spans="1:18" ht="16.5" customHeight="1" thickBot="1" x14ac:dyDescent="0.35">
      <c r="A709" s="40" t="s">
        <v>37</v>
      </c>
      <c r="B709" s="25">
        <v>10</v>
      </c>
      <c r="C709" s="25">
        <v>11</v>
      </c>
      <c r="D709" s="25">
        <v>14</v>
      </c>
      <c r="E709" s="59">
        <f>SUM(B709:D709)</f>
        <v>35</v>
      </c>
      <c r="F709" s="25">
        <v>18</v>
      </c>
      <c r="G709" s="25">
        <v>21</v>
      </c>
      <c r="H709" s="25">
        <v>22</v>
      </c>
      <c r="I709" s="59">
        <f>SUM(F709:H709)</f>
        <v>61</v>
      </c>
      <c r="J709" s="25">
        <v>19</v>
      </c>
      <c r="K709" s="25">
        <v>17</v>
      </c>
      <c r="L709" s="25">
        <v>17</v>
      </c>
      <c r="M709" s="59">
        <f>SUM(J709:L709)</f>
        <v>53</v>
      </c>
      <c r="N709" s="25">
        <v>14</v>
      </c>
      <c r="O709" s="25">
        <v>11</v>
      </c>
      <c r="P709" s="25">
        <v>9</v>
      </c>
      <c r="Q709" s="59">
        <f>SUM(N709:P709)</f>
        <v>34</v>
      </c>
      <c r="R709" s="59">
        <f>+E709+I709+M709+Q709</f>
        <v>183</v>
      </c>
    </row>
    <row r="710" spans="1:18" ht="16.5" customHeight="1" thickBot="1" x14ac:dyDescent="0.35">
      <c r="A710" s="42"/>
      <c r="B710" s="37"/>
      <c r="C710" s="37"/>
      <c r="D710" s="37"/>
      <c r="E710" s="16"/>
      <c r="F710" s="37"/>
      <c r="G710" s="37"/>
      <c r="H710" s="37"/>
      <c r="I710" s="16"/>
      <c r="J710" s="37"/>
      <c r="K710" s="37"/>
      <c r="L710" s="37"/>
      <c r="M710" s="153"/>
      <c r="N710" s="37"/>
      <c r="O710" s="37"/>
      <c r="P710" s="37"/>
      <c r="Q710" s="153"/>
      <c r="R710" s="41"/>
    </row>
    <row r="711" spans="1:18" ht="15.75" customHeight="1" x14ac:dyDescent="0.3">
      <c r="A711" s="17" t="s">
        <v>507</v>
      </c>
      <c r="B711" s="1">
        <f>SUM(B708:B709)</f>
        <v>390</v>
      </c>
      <c r="C711" s="1">
        <f>SUM(C708:C709)</f>
        <v>661</v>
      </c>
      <c r="D711" s="1">
        <f>SUM(D708:D709)</f>
        <v>984</v>
      </c>
      <c r="E711" s="59">
        <f>SUM(B711:D711)</f>
        <v>2035</v>
      </c>
      <c r="F711" s="1">
        <f>SUM(F708:F709)</f>
        <v>1188</v>
      </c>
      <c r="G711" s="1">
        <f>SUM(G708:G709)</f>
        <v>1371</v>
      </c>
      <c r="H711" s="1">
        <f>SUM(H708:H709)</f>
        <v>1722</v>
      </c>
      <c r="I711" s="65">
        <f>SUM(F711:H711)</f>
        <v>4281</v>
      </c>
      <c r="J711" s="1">
        <f>SUM(J708:J709)</f>
        <v>2319</v>
      </c>
      <c r="K711" s="1">
        <f>SUM(K708:K709)</f>
        <v>1817</v>
      </c>
      <c r="L711" s="1">
        <f>SUM(L708:L709)</f>
        <v>1417</v>
      </c>
      <c r="M711" s="65">
        <f>SUM(J711:L711)</f>
        <v>5553</v>
      </c>
      <c r="N711" s="1">
        <f>SUM(N708:N709)</f>
        <v>614</v>
      </c>
      <c r="O711" s="1">
        <f>SUM(O708:O709)</f>
        <v>111</v>
      </c>
      <c r="P711" s="1">
        <f>SUM(P708:P709)</f>
        <v>509</v>
      </c>
      <c r="Q711" s="65">
        <f>SUM(N711:P711)</f>
        <v>1234</v>
      </c>
      <c r="R711" s="65">
        <f>+E711+I711+M711+Q711</f>
        <v>13103</v>
      </c>
    </row>
    <row r="712" spans="1:18" ht="15.75" customHeight="1" x14ac:dyDescent="0.3">
      <c r="A712" s="17" t="s">
        <v>39</v>
      </c>
      <c r="B712" s="1">
        <f>(B711/B10)/1.983</f>
        <v>6.3442486945488259</v>
      </c>
      <c r="C712" s="1">
        <f>(C711/C10)/1.983</f>
        <v>11.494252873563218</v>
      </c>
      <c r="D712" s="1">
        <f>(D711/D10)/1.983</f>
        <v>16.007027475477038</v>
      </c>
      <c r="E712" s="59" t="s">
        <v>7</v>
      </c>
      <c r="F712" s="1">
        <f>(F711/F10)/1.983</f>
        <v>19.969742813918305</v>
      </c>
      <c r="G712" s="1">
        <f>(G711/G10)/1.983</f>
        <v>22.302474256990873</v>
      </c>
      <c r="H712" s="1">
        <f>(H711/H10)/1.983</f>
        <v>28.946041351487644</v>
      </c>
      <c r="I712" s="59" t="s">
        <v>7</v>
      </c>
      <c r="J712" s="1">
        <f>(J711/J10)/1.983</f>
        <v>37.723878776048025</v>
      </c>
      <c r="K712" s="1">
        <f>(K711/K10)/1.983</f>
        <v>29.557691994859528</v>
      </c>
      <c r="L712" s="1">
        <f>(L711/L10)/1.983</f>
        <v>23.81912926542276</v>
      </c>
      <c r="M712" s="59" t="s">
        <v>7</v>
      </c>
      <c r="N712" s="1">
        <f>(N711/N10)/1.983</f>
        <v>9.9881248678281516</v>
      </c>
      <c r="O712" s="1">
        <f>(O711/O10)/1.983</f>
        <v>1.8658598083711548</v>
      </c>
      <c r="P712" s="1">
        <f>(P711/P10)/1.983</f>
        <v>8.2800579116034676</v>
      </c>
      <c r="Q712" s="59" t="s">
        <v>7</v>
      </c>
      <c r="R712" s="59" t="s">
        <v>7</v>
      </c>
    </row>
    <row r="713" spans="1:18" ht="15.75" customHeight="1" x14ac:dyDescent="0.3">
      <c r="A713" s="17" t="s">
        <v>556</v>
      </c>
      <c r="B713" s="1">
        <f>B711+B765</f>
        <v>12504</v>
      </c>
      <c r="C713" s="1">
        <f>C711+C765</f>
        <v>18272</v>
      </c>
      <c r="D713" s="1">
        <f>D711+D765</f>
        <v>19991</v>
      </c>
      <c r="E713" s="59">
        <f>SUM(B713:D713)</f>
        <v>50767</v>
      </c>
      <c r="F713" s="1">
        <f>F711+F765</f>
        <v>20633</v>
      </c>
      <c r="G713" s="1">
        <f>G711+G765</f>
        <v>21895</v>
      </c>
      <c r="H713" s="1">
        <f>H711+H765</f>
        <v>20600</v>
      </c>
      <c r="I713" s="59">
        <f>SUM(F713:H713)</f>
        <v>63128</v>
      </c>
      <c r="J713" s="1">
        <f>J711+J765</f>
        <v>20691</v>
      </c>
      <c r="K713" s="1">
        <f>K711+K765</f>
        <v>23115</v>
      </c>
      <c r="L713" s="1">
        <f>L711+L765</f>
        <v>21072</v>
      </c>
      <c r="M713" s="59">
        <f>SUM(J713:L713)</f>
        <v>64878</v>
      </c>
      <c r="N713" s="1">
        <f>N711+N765</f>
        <v>12388</v>
      </c>
      <c r="O713" s="1">
        <f>O711+O765</f>
        <v>3096</v>
      </c>
      <c r="P713" s="1">
        <f>P711+P765</f>
        <v>2863</v>
      </c>
      <c r="Q713" s="59">
        <f>SUM(N713:P713)</f>
        <v>18347</v>
      </c>
      <c r="R713" s="59">
        <f>+E713+I713+M713+Q713</f>
        <v>197120</v>
      </c>
    </row>
    <row r="714" spans="1:18" ht="16.5" customHeight="1" thickBot="1" x14ac:dyDescent="0.35">
      <c r="A714" s="24" t="s">
        <v>557</v>
      </c>
      <c r="B714" s="25">
        <f>(B713/B10)/1.983</f>
        <v>203.40637352984237</v>
      </c>
      <c r="C714" s="25">
        <f>(C713/C10)/1.983</f>
        <v>317.73523223259775</v>
      </c>
      <c r="D714" s="25">
        <f>(D713/D10)/1.983</f>
        <v>325.19968116083481</v>
      </c>
      <c r="E714" s="88" t="s">
        <v>7</v>
      </c>
      <c r="F714" s="25">
        <f>(F713/F10)/1.983</f>
        <v>346.83140023533366</v>
      </c>
      <c r="G714" s="25">
        <f>(G713/G10)/1.983</f>
        <v>356.17262863370905</v>
      </c>
      <c r="H714" s="25">
        <f>(H713/H10)/1.983</f>
        <v>346.27668515716925</v>
      </c>
      <c r="I714" s="88" t="s">
        <v>7</v>
      </c>
      <c r="J714" s="25">
        <f>(J713/J10)/1.983</f>
        <v>336.58679420233273</v>
      </c>
      <c r="K714" s="25">
        <f>(K713/K10)/1.983</f>
        <v>376.01873993460543</v>
      </c>
      <c r="L714" s="25">
        <f>(L713/L10)/1.983</f>
        <v>354.21079172970246</v>
      </c>
      <c r="M714" s="88" t="s">
        <v>7</v>
      </c>
      <c r="N714" s="25">
        <f>(N713/N10)/1.983</f>
        <v>201.51936622582272</v>
      </c>
      <c r="O714" s="25">
        <f>(O713/O10)/1.983</f>
        <v>52.042360060514369</v>
      </c>
      <c r="P714" s="25">
        <f>(P713/P10)/1.983</f>
        <v>46.573292339726386</v>
      </c>
      <c r="Q714" s="88" t="s">
        <v>7</v>
      </c>
      <c r="R714" s="88" t="s">
        <v>7</v>
      </c>
    </row>
    <row r="715" spans="1:18" ht="15.75" customHeight="1" x14ac:dyDescent="0.3">
      <c r="A715" s="28"/>
      <c r="B715" s="1"/>
      <c r="C715" s="1"/>
      <c r="D715" s="1"/>
      <c r="E715" s="1"/>
      <c r="F715" s="1"/>
      <c r="G715" s="1"/>
      <c r="H715" s="1"/>
      <c r="I715" s="1"/>
      <c r="J715" s="1"/>
      <c r="K715" s="1"/>
      <c r="L715" s="1"/>
      <c r="M715" s="1"/>
      <c r="N715" s="1"/>
      <c r="O715" s="1"/>
      <c r="P715" s="1"/>
      <c r="Q715" s="1"/>
      <c r="R715" s="28"/>
    </row>
    <row r="716" spans="1:18" ht="16.5" customHeight="1" thickBot="1" x14ac:dyDescent="0.35">
      <c r="A716" s="123"/>
      <c r="B716" s="25"/>
      <c r="C716" s="25"/>
      <c r="D716" s="25"/>
      <c r="E716" s="25"/>
      <c r="F716" s="25"/>
      <c r="G716" s="25"/>
      <c r="H716" s="25"/>
      <c r="I716" s="25"/>
      <c r="J716" s="25"/>
      <c r="K716" s="25"/>
      <c r="L716" s="25"/>
      <c r="M716" s="25"/>
      <c r="N716" s="25"/>
      <c r="O716" s="25"/>
      <c r="P716" s="25"/>
      <c r="Q716" s="25"/>
      <c r="R716" s="123"/>
    </row>
    <row r="717" spans="1:18" ht="15.75" customHeight="1" thickBot="1" x14ac:dyDescent="0.35">
      <c r="A717" s="124" t="s">
        <v>558</v>
      </c>
      <c r="B717" s="54" t="s">
        <v>36</v>
      </c>
      <c r="C717" s="11" t="s">
        <v>9</v>
      </c>
      <c r="D717" s="11" t="s">
        <v>10</v>
      </c>
      <c r="E717" s="12" t="s">
        <v>11</v>
      </c>
      <c r="F717" s="11" t="s">
        <v>12</v>
      </c>
      <c r="G717" s="11" t="s">
        <v>13</v>
      </c>
      <c r="H717" s="11" t="s">
        <v>14</v>
      </c>
      <c r="I717" s="12" t="s">
        <v>15</v>
      </c>
      <c r="J717" s="11" t="s">
        <v>16</v>
      </c>
      <c r="K717" s="11" t="s">
        <v>17</v>
      </c>
      <c r="L717" s="11" t="s">
        <v>18</v>
      </c>
      <c r="M717" s="12" t="s">
        <v>19</v>
      </c>
      <c r="N717" s="11" t="s">
        <v>20</v>
      </c>
      <c r="O717" s="11" t="s">
        <v>21</v>
      </c>
      <c r="P717" s="11" t="s">
        <v>22</v>
      </c>
      <c r="Q717" s="12" t="s">
        <v>23</v>
      </c>
      <c r="R717" s="13" t="s">
        <v>24</v>
      </c>
    </row>
    <row r="718" spans="1:18" ht="16.5" customHeight="1" thickBot="1" x14ac:dyDescent="0.35">
      <c r="A718" s="154"/>
      <c r="B718" s="56"/>
      <c r="C718" s="56"/>
      <c r="D718" s="56"/>
      <c r="E718" s="16"/>
      <c r="F718" s="56"/>
      <c r="G718" s="56"/>
      <c r="H718" s="56"/>
      <c r="I718" s="16"/>
      <c r="J718" s="56"/>
      <c r="K718" s="56"/>
      <c r="L718" s="56"/>
      <c r="M718" s="16"/>
      <c r="N718" s="56"/>
      <c r="O718" s="56"/>
      <c r="P718" s="56"/>
      <c r="Q718" s="16"/>
      <c r="R718" s="57"/>
    </row>
    <row r="719" spans="1:18" ht="15.75" customHeight="1" x14ac:dyDescent="0.3">
      <c r="A719" s="17" t="s">
        <v>45</v>
      </c>
      <c r="B719" s="1" t="s">
        <v>7</v>
      </c>
      <c r="C719" s="1" t="s">
        <v>7</v>
      </c>
      <c r="D719" s="1" t="s">
        <v>7</v>
      </c>
      <c r="E719" s="59" t="s">
        <v>7</v>
      </c>
      <c r="F719" s="1" t="s">
        <v>7</v>
      </c>
      <c r="G719" s="1" t="s">
        <v>7</v>
      </c>
      <c r="H719" s="1" t="s">
        <v>7</v>
      </c>
      <c r="I719" s="59" t="s">
        <v>7</v>
      </c>
      <c r="J719" s="1" t="s">
        <v>7</v>
      </c>
      <c r="K719" s="1" t="s">
        <v>7</v>
      </c>
      <c r="L719" s="1" t="s">
        <v>7</v>
      </c>
      <c r="M719" s="59" t="s">
        <v>7</v>
      </c>
      <c r="N719" s="1" t="s">
        <v>7</v>
      </c>
      <c r="O719" s="1" t="s">
        <v>7</v>
      </c>
      <c r="P719" s="1" t="s">
        <v>7</v>
      </c>
      <c r="Q719" s="59" t="s">
        <v>7</v>
      </c>
      <c r="R719" s="59" t="s">
        <v>7</v>
      </c>
    </row>
    <row r="720" spans="1:18" ht="15.75" customHeight="1" x14ac:dyDescent="0.3">
      <c r="A720" s="17" t="s">
        <v>46</v>
      </c>
      <c r="B720" s="1"/>
      <c r="C720" s="1"/>
      <c r="D720" s="1"/>
      <c r="E720" s="59" t="s">
        <v>7</v>
      </c>
      <c r="F720" s="1"/>
      <c r="G720" s="1"/>
      <c r="H720" s="1"/>
      <c r="I720" s="59" t="s">
        <v>7</v>
      </c>
      <c r="J720" s="1"/>
      <c r="K720" s="1"/>
      <c r="L720" s="1"/>
      <c r="M720" s="59" t="s">
        <v>7</v>
      </c>
      <c r="N720" s="1"/>
      <c r="O720" s="1"/>
      <c r="P720" s="1"/>
      <c r="Q720" s="59" t="s">
        <v>7</v>
      </c>
      <c r="R720" s="59" t="s">
        <v>7</v>
      </c>
    </row>
    <row r="721" spans="1:18" ht="15.75" customHeight="1" x14ac:dyDescent="0.3">
      <c r="A721" s="74" t="s">
        <v>559</v>
      </c>
      <c r="B721" s="1">
        <v>3325</v>
      </c>
      <c r="C721" s="1">
        <v>6950</v>
      </c>
      <c r="D721" s="1">
        <v>6950</v>
      </c>
      <c r="E721" s="59">
        <f t="shared" ref="E721:E722" si="265">SUM(B721:D721)</f>
        <v>17225</v>
      </c>
      <c r="F721" s="1">
        <v>6950</v>
      </c>
      <c r="G721" s="1">
        <v>6950</v>
      </c>
      <c r="H721" s="1">
        <v>6000</v>
      </c>
      <c r="I721" s="59">
        <f t="shared" ref="I721:I722" si="266">SUM(F721:H721)</f>
        <v>19900</v>
      </c>
      <c r="J721" s="1">
        <v>6000</v>
      </c>
      <c r="K721" s="1">
        <v>5950</v>
      </c>
      <c r="L721" s="1">
        <v>5950</v>
      </c>
      <c r="M721" s="59">
        <f t="shared" ref="M721:M722" si="267">SUM(J721:L721)</f>
        <v>17900</v>
      </c>
      <c r="N721" s="1">
        <v>5050</v>
      </c>
      <c r="O721" s="1"/>
      <c r="P721" s="1">
        <v>255</v>
      </c>
      <c r="Q721" s="59">
        <f t="shared" ref="Q721:Q726" si="268">SUM(N721:P721)</f>
        <v>5305</v>
      </c>
      <c r="R721" s="59">
        <f>+E721+I721+M721+Q721</f>
        <v>60330</v>
      </c>
    </row>
    <row r="722" spans="1:18" ht="15.75" customHeight="1" x14ac:dyDescent="0.3">
      <c r="A722" s="74" t="s">
        <v>560</v>
      </c>
      <c r="B722" s="1">
        <v>2432</v>
      </c>
      <c r="C722" s="1">
        <v>2789</v>
      </c>
      <c r="D722" s="1">
        <v>3789</v>
      </c>
      <c r="E722" s="59">
        <f t="shared" si="265"/>
        <v>9010</v>
      </c>
      <c r="F722" s="1">
        <v>4385</v>
      </c>
      <c r="G722" s="1">
        <v>3646</v>
      </c>
      <c r="H722" s="1">
        <v>2000</v>
      </c>
      <c r="I722" s="59">
        <f t="shared" si="266"/>
        <v>10031</v>
      </c>
      <c r="J722" s="1">
        <v>1000</v>
      </c>
      <c r="K722" s="1">
        <v>1000</v>
      </c>
      <c r="L722" s="1">
        <v>1000</v>
      </c>
      <c r="M722" s="59">
        <f t="shared" si="267"/>
        <v>3000</v>
      </c>
      <c r="N722" s="1">
        <v>2000</v>
      </c>
      <c r="O722" s="1"/>
      <c r="P722" s="1"/>
      <c r="Q722" s="59">
        <f t="shared" si="268"/>
        <v>2000</v>
      </c>
      <c r="R722" s="59">
        <f t="shared" ref="R722:R726" si="269">+E722+I722+M722+Q722</f>
        <v>24041</v>
      </c>
    </row>
    <row r="723" spans="1:18" ht="15.75" customHeight="1" x14ac:dyDescent="0.3">
      <c r="A723" s="74" t="s">
        <v>561</v>
      </c>
      <c r="B723" s="1"/>
      <c r="C723" s="1"/>
      <c r="D723" s="1"/>
      <c r="E723" s="59">
        <f t="shared" ref="E723:E726" si="270">SUM(B723:D723)</f>
        <v>0</v>
      </c>
      <c r="F723" s="1"/>
      <c r="G723" s="1"/>
      <c r="H723" s="1"/>
      <c r="I723" s="59">
        <f t="shared" ref="I723:I726" si="271">SUM(F723:H723)</f>
        <v>0</v>
      </c>
      <c r="J723" s="1"/>
      <c r="K723" s="1"/>
      <c r="L723" s="1"/>
      <c r="M723" s="59">
        <f t="shared" ref="M723:M726" si="272">SUM(J723:L723)</f>
        <v>0</v>
      </c>
      <c r="N723" s="1"/>
      <c r="O723" s="1"/>
      <c r="P723" s="1"/>
      <c r="Q723" s="59">
        <f t="shared" si="268"/>
        <v>0</v>
      </c>
      <c r="R723" s="59">
        <f t="shared" si="269"/>
        <v>0</v>
      </c>
    </row>
    <row r="724" spans="1:18" ht="15.75" customHeight="1" x14ac:dyDescent="0.3">
      <c r="A724" s="74" t="s">
        <v>562</v>
      </c>
      <c r="B724" s="1">
        <v>264</v>
      </c>
      <c r="C724" s="1">
        <v>3500</v>
      </c>
      <c r="D724" s="1">
        <v>2800</v>
      </c>
      <c r="E724" s="59">
        <f t="shared" si="270"/>
        <v>6564</v>
      </c>
      <c r="F724" s="1">
        <v>2200</v>
      </c>
      <c r="G724" s="1">
        <v>3000</v>
      </c>
      <c r="H724" s="1">
        <v>4500</v>
      </c>
      <c r="I724" s="59">
        <f t="shared" si="271"/>
        <v>9700</v>
      </c>
      <c r="J724" s="1">
        <v>5600</v>
      </c>
      <c r="K724" s="1">
        <v>1873</v>
      </c>
      <c r="L724" s="1"/>
      <c r="M724" s="59">
        <f t="shared" si="272"/>
        <v>7473</v>
      </c>
      <c r="N724" s="1"/>
      <c r="O724" s="1"/>
      <c r="P724" s="1"/>
      <c r="Q724" s="59">
        <f t="shared" si="268"/>
        <v>0</v>
      </c>
      <c r="R724" s="59">
        <f t="shared" si="269"/>
        <v>23737</v>
      </c>
    </row>
    <row r="725" spans="1:18" ht="15.75" customHeight="1" x14ac:dyDescent="0.3">
      <c r="A725" s="74" t="s">
        <v>563</v>
      </c>
      <c r="B725" s="1">
        <v>250</v>
      </c>
      <c r="C725" s="1"/>
      <c r="D725" s="1">
        <v>300</v>
      </c>
      <c r="E725" s="59">
        <f t="shared" si="270"/>
        <v>550</v>
      </c>
      <c r="F725" s="1">
        <v>300</v>
      </c>
      <c r="G725" s="1">
        <v>300</v>
      </c>
      <c r="H725" s="1">
        <v>300</v>
      </c>
      <c r="I725" s="59">
        <f t="shared" si="271"/>
        <v>900</v>
      </c>
      <c r="J725" s="1">
        <v>300</v>
      </c>
      <c r="K725" s="1">
        <v>300</v>
      </c>
      <c r="L725" s="1">
        <v>300</v>
      </c>
      <c r="M725" s="59">
        <f t="shared" si="272"/>
        <v>900</v>
      </c>
      <c r="N725" s="1">
        <v>300</v>
      </c>
      <c r="O725" s="1"/>
      <c r="P725" s="1">
        <v>350</v>
      </c>
      <c r="Q725" s="59">
        <f t="shared" si="268"/>
        <v>650</v>
      </c>
      <c r="R725" s="59">
        <f t="shared" si="269"/>
        <v>3000</v>
      </c>
    </row>
    <row r="726" spans="1:18" ht="15.75" customHeight="1" x14ac:dyDescent="0.3">
      <c r="A726" s="74" t="s">
        <v>564</v>
      </c>
      <c r="B726" s="1">
        <v>120</v>
      </c>
      <c r="C726" s="1">
        <v>120</v>
      </c>
      <c r="D726" s="1">
        <v>120</v>
      </c>
      <c r="E726" s="59">
        <f t="shared" si="270"/>
        <v>360</v>
      </c>
      <c r="F726" s="1">
        <v>120</v>
      </c>
      <c r="G726" s="1">
        <v>130</v>
      </c>
      <c r="H726" s="1">
        <v>130</v>
      </c>
      <c r="I726" s="59">
        <f t="shared" si="271"/>
        <v>380</v>
      </c>
      <c r="J726" s="1">
        <v>130</v>
      </c>
      <c r="K726" s="1">
        <v>130</v>
      </c>
      <c r="L726" s="1">
        <v>130</v>
      </c>
      <c r="M726" s="59">
        <f t="shared" si="272"/>
        <v>390</v>
      </c>
      <c r="N726" s="1">
        <v>130</v>
      </c>
      <c r="O726" s="1"/>
      <c r="P726" s="1">
        <v>60</v>
      </c>
      <c r="Q726" s="59">
        <f t="shared" si="268"/>
        <v>190</v>
      </c>
      <c r="R726" s="59">
        <f t="shared" si="269"/>
        <v>1320</v>
      </c>
    </row>
    <row r="727" spans="1:18" ht="15.75" customHeight="1" x14ac:dyDescent="0.3">
      <c r="A727" s="17" t="s">
        <v>47</v>
      </c>
      <c r="B727" s="1"/>
      <c r="C727" s="1"/>
      <c r="D727" s="1"/>
      <c r="E727" s="59" t="s">
        <v>7</v>
      </c>
      <c r="F727" s="1"/>
      <c r="G727" s="1"/>
      <c r="H727" s="1"/>
      <c r="I727" s="59" t="s">
        <v>7</v>
      </c>
      <c r="J727" s="1"/>
      <c r="K727" s="1"/>
      <c r="L727" s="1"/>
      <c r="M727" s="59" t="s">
        <v>7</v>
      </c>
      <c r="N727" s="1"/>
      <c r="O727" s="1"/>
      <c r="P727" s="1"/>
      <c r="Q727" s="59" t="s">
        <v>7</v>
      </c>
      <c r="R727" s="59" t="s">
        <v>7</v>
      </c>
    </row>
    <row r="728" spans="1:18" ht="15.75" customHeight="1" x14ac:dyDescent="0.3">
      <c r="A728" s="17" t="s">
        <v>49</v>
      </c>
      <c r="B728" s="1"/>
      <c r="C728" s="1"/>
      <c r="D728" s="1"/>
      <c r="E728" s="59" t="s">
        <v>7</v>
      </c>
      <c r="F728" s="1"/>
      <c r="G728" s="1"/>
      <c r="H728" s="1"/>
      <c r="I728" s="59" t="s">
        <v>7</v>
      </c>
      <c r="J728" s="1"/>
      <c r="K728" s="1"/>
      <c r="L728" s="1"/>
      <c r="M728" s="59" t="s">
        <v>7</v>
      </c>
      <c r="N728" s="1"/>
      <c r="O728" s="1"/>
      <c r="P728" s="1"/>
      <c r="Q728" s="59" t="s">
        <v>7</v>
      </c>
      <c r="R728" s="59" t="s">
        <v>7</v>
      </c>
    </row>
    <row r="729" spans="1:18" ht="15.75" customHeight="1" thickBot="1" x14ac:dyDescent="0.35">
      <c r="A729" s="17" t="s">
        <v>51</v>
      </c>
      <c r="B729" s="1"/>
      <c r="C729" s="1"/>
      <c r="D729" s="1"/>
      <c r="E729" s="59" t="s">
        <v>7</v>
      </c>
      <c r="F729" s="1"/>
      <c r="G729" s="1"/>
      <c r="H729" s="1"/>
      <c r="I729" s="59" t="s">
        <v>7</v>
      </c>
      <c r="J729" s="1"/>
      <c r="K729" s="1"/>
      <c r="L729" s="1"/>
      <c r="M729" s="59" t="s">
        <v>7</v>
      </c>
      <c r="N729" s="1"/>
      <c r="O729" s="1"/>
      <c r="P729" s="1"/>
      <c r="Q729" s="59" t="s">
        <v>7</v>
      </c>
      <c r="R729" s="59" t="s">
        <v>7</v>
      </c>
    </row>
    <row r="730" spans="1:18" ht="16.5" customHeight="1" thickBot="1" x14ac:dyDescent="0.35">
      <c r="A730" s="126" t="s">
        <v>52</v>
      </c>
      <c r="B730" s="100">
        <f>SUM(B719:B729)</f>
        <v>6391</v>
      </c>
      <c r="C730" s="101">
        <f>SUM(C719:C729)</f>
        <v>13359</v>
      </c>
      <c r="D730" s="101">
        <f>SUM(D719:D729)</f>
        <v>13959</v>
      </c>
      <c r="E730" s="64">
        <f>SUM(B730:D730)</f>
        <v>33709</v>
      </c>
      <c r="F730" s="101">
        <f>SUM(F719:F729)</f>
        <v>13955</v>
      </c>
      <c r="G730" s="101">
        <f>SUM(G719:G729)</f>
        <v>14026</v>
      </c>
      <c r="H730" s="101">
        <f>SUM(H719:H729)</f>
        <v>12930</v>
      </c>
      <c r="I730" s="64">
        <f>SUM(F730:H730)</f>
        <v>40911</v>
      </c>
      <c r="J730" s="101">
        <f>SUM(J719:J729)</f>
        <v>13030</v>
      </c>
      <c r="K730" s="101">
        <f>SUM(K719:K729)</f>
        <v>9253</v>
      </c>
      <c r="L730" s="101">
        <f>SUM(L719:L729)</f>
        <v>7380</v>
      </c>
      <c r="M730" s="64">
        <f>SUM(J730:L730)</f>
        <v>29663</v>
      </c>
      <c r="N730" s="101">
        <f>SUM(N719:N729)</f>
        <v>7480</v>
      </c>
      <c r="O730" s="101">
        <f>SUM(O719:O729)</f>
        <v>0</v>
      </c>
      <c r="P730" s="101">
        <f>SUM(P719:P729)</f>
        <v>665</v>
      </c>
      <c r="Q730" s="64">
        <f>SUM(N730:P730)</f>
        <v>8145</v>
      </c>
      <c r="R730" s="64">
        <f>+E730+I730+M730+Q730</f>
        <v>112428</v>
      </c>
    </row>
    <row r="731" spans="1:18" ht="15.75" customHeight="1" x14ac:dyDescent="0.3">
      <c r="A731" s="17" t="s">
        <v>53</v>
      </c>
      <c r="B731" s="1"/>
      <c r="C731" s="1"/>
      <c r="D731" s="1"/>
      <c r="E731" s="59" t="s">
        <v>7</v>
      </c>
      <c r="F731" s="1"/>
      <c r="G731" s="1"/>
      <c r="H731" s="1"/>
      <c r="I731" s="59" t="s">
        <v>7</v>
      </c>
      <c r="J731" s="1"/>
      <c r="K731" s="1"/>
      <c r="L731" s="1"/>
      <c r="M731" s="59" t="s">
        <v>7</v>
      </c>
      <c r="N731" s="1"/>
      <c r="O731" s="1"/>
      <c r="P731" s="1"/>
      <c r="Q731" s="59" t="s">
        <v>7</v>
      </c>
      <c r="R731" s="59" t="s">
        <v>7</v>
      </c>
    </row>
    <row r="732" spans="1:18" ht="15.75" customHeight="1" x14ac:dyDescent="0.3">
      <c r="A732" s="17" t="s">
        <v>55</v>
      </c>
      <c r="B732" s="1"/>
      <c r="C732" s="1"/>
      <c r="D732" s="1"/>
      <c r="E732" s="59" t="s">
        <v>7</v>
      </c>
      <c r="F732" s="1"/>
      <c r="G732" s="1"/>
      <c r="H732" s="1"/>
      <c r="I732" s="59" t="s">
        <v>7</v>
      </c>
      <c r="J732" s="1"/>
      <c r="K732" s="1"/>
      <c r="L732" s="1"/>
      <c r="M732" s="59" t="s">
        <v>7</v>
      </c>
      <c r="N732" s="1"/>
      <c r="O732" s="1"/>
      <c r="P732" s="1"/>
      <c r="Q732" s="59" t="s">
        <v>7</v>
      </c>
      <c r="R732" s="59" t="s">
        <v>7</v>
      </c>
    </row>
    <row r="733" spans="1:18" ht="15.75" customHeight="1" thickBot="1" x14ac:dyDescent="0.35">
      <c r="A733" s="17" t="s">
        <v>56</v>
      </c>
      <c r="B733" s="1"/>
      <c r="C733" s="1"/>
      <c r="D733" s="1"/>
      <c r="E733" s="59" t="s">
        <v>7</v>
      </c>
      <c r="F733" s="1"/>
      <c r="G733" s="1"/>
      <c r="H733" s="1"/>
      <c r="I733" s="59" t="s">
        <v>7</v>
      </c>
      <c r="J733" s="1"/>
      <c r="K733" s="1"/>
      <c r="L733" s="1"/>
      <c r="M733" s="59" t="s">
        <v>7</v>
      </c>
      <c r="N733" s="1"/>
      <c r="O733" s="1"/>
      <c r="P733" s="1"/>
      <c r="Q733" s="59" t="s">
        <v>7</v>
      </c>
      <c r="R733" s="59" t="s">
        <v>7</v>
      </c>
    </row>
    <row r="734" spans="1:18" ht="16.5" customHeight="1" thickBot="1" x14ac:dyDescent="0.35">
      <c r="A734" s="62" t="s">
        <v>57</v>
      </c>
      <c r="B734" s="100">
        <f>SUM(B731:B733)</f>
        <v>0</v>
      </c>
      <c r="C734" s="101">
        <f>SUM(C731:C733)</f>
        <v>0</v>
      </c>
      <c r="D734" s="101">
        <f>SUM(D731:D733)</f>
        <v>0</v>
      </c>
      <c r="E734" s="64">
        <f>SUM(B734:D734)</f>
        <v>0</v>
      </c>
      <c r="F734" s="101">
        <f>SUM(F731:F733)</f>
        <v>0</v>
      </c>
      <c r="G734" s="101">
        <f>SUM(G731:G733)</f>
        <v>0</v>
      </c>
      <c r="H734" s="101">
        <f>SUM(H731:H733)</f>
        <v>0</v>
      </c>
      <c r="I734" s="64">
        <f>SUM(F734:H734)</f>
        <v>0</v>
      </c>
      <c r="J734" s="101">
        <f>SUM(J731:J733)</f>
        <v>0</v>
      </c>
      <c r="K734" s="101">
        <f>SUM(K731:K733)</f>
        <v>0</v>
      </c>
      <c r="L734" s="101">
        <f>SUM(L731:L733)</f>
        <v>0</v>
      </c>
      <c r="M734" s="64">
        <f>SUM(J734:L734)</f>
        <v>0</v>
      </c>
      <c r="N734" s="101">
        <f>SUM(N731:N733)</f>
        <v>0</v>
      </c>
      <c r="O734" s="101">
        <f>SUM(O731:O733)</f>
        <v>0</v>
      </c>
      <c r="P734" s="101">
        <f>SUM(P731:P733)</f>
        <v>0</v>
      </c>
      <c r="Q734" s="64">
        <f>SUM(N734:P734)</f>
        <v>0</v>
      </c>
      <c r="R734" s="64">
        <f>+E734+I734+M734+Q734</f>
        <v>0</v>
      </c>
    </row>
    <row r="735" spans="1:18" ht="15.75" customHeight="1" x14ac:dyDescent="0.3">
      <c r="A735" s="17" t="s">
        <v>58</v>
      </c>
      <c r="B735" s="1"/>
      <c r="C735" s="1"/>
      <c r="D735" s="1"/>
      <c r="E735" s="59" t="s">
        <v>7</v>
      </c>
      <c r="F735" s="1"/>
      <c r="G735" s="1"/>
      <c r="H735" s="1"/>
      <c r="I735" s="59" t="s">
        <v>7</v>
      </c>
      <c r="J735" s="1"/>
      <c r="K735" s="1"/>
      <c r="L735" s="1"/>
      <c r="M735" s="59" t="s">
        <v>7</v>
      </c>
      <c r="N735" s="1"/>
      <c r="O735" s="1"/>
      <c r="P735" s="1"/>
      <c r="Q735" s="59" t="s">
        <v>7</v>
      </c>
      <c r="R735" s="59" t="s">
        <v>7</v>
      </c>
    </row>
    <row r="736" spans="1:18" ht="15.75" customHeight="1" x14ac:dyDescent="0.3">
      <c r="A736" s="17" t="s">
        <v>59</v>
      </c>
      <c r="B736" s="1"/>
      <c r="C736" s="1"/>
      <c r="D736" s="1"/>
      <c r="E736" s="59" t="s">
        <v>7</v>
      </c>
      <c r="F736" s="1"/>
      <c r="G736" s="1"/>
      <c r="H736" s="1"/>
      <c r="I736" s="59" t="s">
        <v>7</v>
      </c>
      <c r="J736" s="1"/>
      <c r="K736" s="1"/>
      <c r="L736" s="1"/>
      <c r="M736" s="59" t="s">
        <v>7</v>
      </c>
      <c r="N736" s="1"/>
      <c r="O736" s="1"/>
      <c r="P736" s="1"/>
      <c r="Q736" s="59" t="s">
        <v>7</v>
      </c>
      <c r="R736" s="59" t="s">
        <v>7</v>
      </c>
    </row>
    <row r="737" spans="1:20" ht="15.75" customHeight="1" x14ac:dyDescent="0.3">
      <c r="A737" s="74" t="s">
        <v>565</v>
      </c>
      <c r="B737" s="1">
        <v>500</v>
      </c>
      <c r="C737" s="1">
        <v>480</v>
      </c>
      <c r="D737" s="1">
        <v>1350</v>
      </c>
      <c r="E737" s="59">
        <f>SUM(B737:D737)</f>
        <v>2330</v>
      </c>
      <c r="F737" s="1">
        <v>1500</v>
      </c>
      <c r="G737" s="1">
        <v>1950</v>
      </c>
      <c r="H737" s="1">
        <v>1600</v>
      </c>
      <c r="I737" s="59">
        <f>SUM(F737:H737)</f>
        <v>5050</v>
      </c>
      <c r="J737" s="1">
        <v>2000</v>
      </c>
      <c r="K737" s="1">
        <f>1420+80</f>
        <v>1500</v>
      </c>
      <c r="L737" s="1">
        <v>1220</v>
      </c>
      <c r="M737" s="59">
        <f>SUM(J737:L737)</f>
        <v>4720</v>
      </c>
      <c r="N737" s="1">
        <v>400</v>
      </c>
      <c r="O737" s="1">
        <v>150</v>
      </c>
      <c r="P737" s="1">
        <v>150</v>
      </c>
      <c r="Q737" s="59">
        <f>SUM(N737:P737)</f>
        <v>700</v>
      </c>
      <c r="R737" s="59">
        <f>+E737+I737+M737+Q737</f>
        <v>12800</v>
      </c>
      <c r="T737" s="4" t="s">
        <v>566</v>
      </c>
    </row>
    <row r="738" spans="1:20" ht="15.75" customHeight="1" x14ac:dyDescent="0.3">
      <c r="A738" s="17" t="s">
        <v>60</v>
      </c>
      <c r="B738" s="1"/>
      <c r="C738" s="1"/>
      <c r="D738" s="1"/>
      <c r="E738" s="59" t="s">
        <v>7</v>
      </c>
      <c r="F738" s="1"/>
      <c r="G738" s="1"/>
      <c r="H738" s="1"/>
      <c r="I738" s="59" t="s">
        <v>7</v>
      </c>
      <c r="J738" s="1"/>
      <c r="K738" s="1"/>
      <c r="L738" s="1"/>
      <c r="M738" s="59" t="s">
        <v>7</v>
      </c>
      <c r="N738" s="1"/>
      <c r="O738" s="1"/>
      <c r="P738" s="1"/>
      <c r="Q738" s="59" t="s">
        <v>7</v>
      </c>
      <c r="R738" s="59" t="s">
        <v>7</v>
      </c>
    </row>
    <row r="739" spans="1:20" ht="15.75" customHeight="1" x14ac:dyDescent="0.3">
      <c r="A739" s="74" t="s">
        <v>567</v>
      </c>
      <c r="B739" s="1"/>
      <c r="C739" s="1"/>
      <c r="D739" s="1"/>
      <c r="E739" s="59">
        <f t="shared" ref="E739:E748" si="273">SUM(B739:D739)</f>
        <v>0</v>
      </c>
      <c r="F739" s="1"/>
      <c r="G739" s="1"/>
      <c r="H739" s="1"/>
      <c r="I739" s="59">
        <f t="shared" ref="I739:I748" si="274">SUM(F739:H739)</f>
        <v>0</v>
      </c>
      <c r="J739" s="1"/>
      <c r="K739" s="1"/>
      <c r="L739" s="1"/>
      <c r="M739" s="59">
        <f t="shared" ref="M739:M748" si="275">SUM(J739:L739)</f>
        <v>0</v>
      </c>
      <c r="N739" s="1"/>
      <c r="O739" s="1"/>
      <c r="P739" s="1"/>
      <c r="Q739" s="59">
        <f t="shared" ref="Q739:Q748" si="276">SUM(N739:P739)</f>
        <v>0</v>
      </c>
      <c r="R739" s="59">
        <f t="shared" ref="R739:R748" si="277">+E739+I739+M739+Q739</f>
        <v>0</v>
      </c>
      <c r="T739" s="4" t="s">
        <v>568</v>
      </c>
    </row>
    <row r="740" spans="1:20" ht="15.75" customHeight="1" x14ac:dyDescent="0.3">
      <c r="A740" s="74" t="s">
        <v>569</v>
      </c>
      <c r="B740" s="1"/>
      <c r="C740" s="1"/>
      <c r="D740" s="1"/>
      <c r="E740" s="59">
        <f t="shared" si="273"/>
        <v>0</v>
      </c>
      <c r="F740" s="1"/>
      <c r="G740" s="1"/>
      <c r="H740" s="1"/>
      <c r="I740" s="59">
        <f>SUM(F740:H740)</f>
        <v>0</v>
      </c>
      <c r="J740" s="1"/>
      <c r="K740" s="1"/>
      <c r="L740" s="1"/>
      <c r="M740" s="59">
        <f t="shared" si="275"/>
        <v>0</v>
      </c>
      <c r="N740" s="1"/>
      <c r="O740" s="1"/>
      <c r="P740" s="1"/>
      <c r="Q740" s="59">
        <f t="shared" si="276"/>
        <v>0</v>
      </c>
      <c r="R740" s="59">
        <f t="shared" si="277"/>
        <v>0</v>
      </c>
      <c r="T740" s="4" t="s">
        <v>568</v>
      </c>
    </row>
    <row r="741" spans="1:20" ht="15.75" customHeight="1" x14ac:dyDescent="0.3">
      <c r="A741" s="74" t="s">
        <v>570</v>
      </c>
      <c r="B741" s="1">
        <v>125</v>
      </c>
      <c r="C741" s="1">
        <v>125</v>
      </c>
      <c r="D741" s="1">
        <v>125</v>
      </c>
      <c r="E741" s="59">
        <f t="shared" si="273"/>
        <v>375</v>
      </c>
      <c r="F741" s="1">
        <v>125</v>
      </c>
      <c r="G741" s="1">
        <v>125</v>
      </c>
      <c r="H741" s="1">
        <v>125</v>
      </c>
      <c r="I741" s="59">
        <f t="shared" si="274"/>
        <v>375</v>
      </c>
      <c r="J741" s="1">
        <v>125</v>
      </c>
      <c r="K741" s="1">
        <v>125</v>
      </c>
      <c r="L741" s="1">
        <v>125</v>
      </c>
      <c r="M741" s="59">
        <f t="shared" si="275"/>
        <v>375</v>
      </c>
      <c r="N741" s="1">
        <v>125</v>
      </c>
      <c r="O741" s="1">
        <v>125</v>
      </c>
      <c r="P741" s="1">
        <v>125</v>
      </c>
      <c r="Q741" s="59">
        <f t="shared" si="276"/>
        <v>375</v>
      </c>
      <c r="R741" s="59">
        <f t="shared" si="277"/>
        <v>1500</v>
      </c>
      <c r="T741" s="4" t="s">
        <v>568</v>
      </c>
    </row>
    <row r="742" spans="1:20" ht="15.75" customHeight="1" x14ac:dyDescent="0.3">
      <c r="A742" s="74" t="s">
        <v>571</v>
      </c>
      <c r="B742" s="1">
        <v>1136</v>
      </c>
      <c r="C742" s="1"/>
      <c r="D742" s="1"/>
      <c r="E742" s="59">
        <f t="shared" si="273"/>
        <v>1136</v>
      </c>
      <c r="F742" s="1"/>
      <c r="G742" s="1"/>
      <c r="H742" s="1"/>
      <c r="I742" s="59">
        <f t="shared" si="274"/>
        <v>0</v>
      </c>
      <c r="J742" s="1"/>
      <c r="K742" s="1"/>
      <c r="L742" s="1"/>
      <c r="M742" s="59">
        <f t="shared" si="275"/>
        <v>0</v>
      </c>
      <c r="N742" s="1"/>
      <c r="O742" s="1"/>
      <c r="P742" s="1"/>
      <c r="Q742" s="59">
        <f t="shared" ref="Q742" si="278">SUM(N742:P742)</f>
        <v>0</v>
      </c>
      <c r="R742" s="59">
        <f t="shared" si="277"/>
        <v>1136</v>
      </c>
    </row>
    <row r="743" spans="1:20" ht="15.75" customHeight="1" x14ac:dyDescent="0.3">
      <c r="A743" s="74" t="s">
        <v>572</v>
      </c>
      <c r="B743" s="1"/>
      <c r="C743" s="1"/>
      <c r="D743" s="1"/>
      <c r="E743" s="59">
        <f t="shared" si="273"/>
        <v>0</v>
      </c>
      <c r="F743" s="1"/>
      <c r="G743" s="1"/>
      <c r="H743" s="1"/>
      <c r="I743" s="59">
        <f t="shared" si="274"/>
        <v>0</v>
      </c>
      <c r="J743" s="1"/>
      <c r="K743" s="1">
        <v>3827</v>
      </c>
      <c r="L743" s="1"/>
      <c r="M743" s="59">
        <f t="shared" si="275"/>
        <v>3827</v>
      </c>
      <c r="N743" s="1"/>
      <c r="O743" s="1"/>
      <c r="P743" s="1"/>
      <c r="Q743" s="59">
        <f t="shared" si="276"/>
        <v>0</v>
      </c>
      <c r="R743" s="59">
        <f t="shared" si="277"/>
        <v>3827</v>
      </c>
    </row>
    <row r="744" spans="1:20" ht="15.75" customHeight="1" x14ac:dyDescent="0.3">
      <c r="A744" s="74" t="s">
        <v>573</v>
      </c>
      <c r="B744" s="1"/>
      <c r="C744" s="1"/>
      <c r="D744" s="1"/>
      <c r="E744" s="59">
        <f t="shared" si="273"/>
        <v>0</v>
      </c>
      <c r="F744" s="1"/>
      <c r="G744" s="1"/>
      <c r="H744" s="1"/>
      <c r="I744" s="59">
        <f t="shared" si="274"/>
        <v>0</v>
      </c>
      <c r="J744" s="1"/>
      <c r="K744" s="1"/>
      <c r="L744" s="1">
        <v>5700</v>
      </c>
      <c r="M744" s="59">
        <f t="shared" si="275"/>
        <v>5700</v>
      </c>
      <c r="N744" s="1"/>
      <c r="O744" s="1"/>
      <c r="P744" s="1"/>
      <c r="Q744" s="59">
        <f t="shared" si="276"/>
        <v>0</v>
      </c>
      <c r="R744" s="59">
        <f t="shared" si="277"/>
        <v>5700</v>
      </c>
    </row>
    <row r="745" spans="1:20" ht="15.75" customHeight="1" x14ac:dyDescent="0.3">
      <c r="A745" s="74" t="s">
        <v>574</v>
      </c>
      <c r="B745" s="1"/>
      <c r="C745" s="1"/>
      <c r="D745" s="1"/>
      <c r="E745" s="59">
        <f t="shared" si="273"/>
        <v>0</v>
      </c>
      <c r="F745" s="1"/>
      <c r="G745" s="1"/>
      <c r="H745" s="1"/>
      <c r="I745" s="59">
        <f t="shared" si="274"/>
        <v>0</v>
      </c>
      <c r="J745" s="1"/>
      <c r="K745" s="1"/>
      <c r="L745" s="1"/>
      <c r="M745" s="59">
        <f t="shared" si="275"/>
        <v>0</v>
      </c>
      <c r="N745" s="1"/>
      <c r="O745" s="1"/>
      <c r="P745" s="1"/>
      <c r="Q745" s="59">
        <f t="shared" si="276"/>
        <v>0</v>
      </c>
      <c r="R745" s="59">
        <f t="shared" si="277"/>
        <v>0</v>
      </c>
    </row>
    <row r="746" spans="1:20" ht="15.75" customHeight="1" x14ac:dyDescent="0.3">
      <c r="A746" s="74" t="s">
        <v>575</v>
      </c>
      <c r="B746" s="1"/>
      <c r="C746" s="1"/>
      <c r="D746" s="1"/>
      <c r="E746" s="59">
        <f t="shared" si="273"/>
        <v>0</v>
      </c>
      <c r="F746" s="1"/>
      <c r="G746" s="1"/>
      <c r="H746" s="1"/>
      <c r="I746" s="59">
        <f t="shared" si="274"/>
        <v>0</v>
      </c>
      <c r="J746" s="1"/>
      <c r="K746" s="1"/>
      <c r="L746" s="1"/>
      <c r="M746" s="59">
        <f t="shared" si="275"/>
        <v>0</v>
      </c>
      <c r="N746" s="1"/>
      <c r="O746" s="1"/>
      <c r="P746" s="1"/>
      <c r="Q746" s="59">
        <f t="shared" ref="Q746" si="279">SUM(N746:P746)</f>
        <v>0</v>
      </c>
      <c r="R746" s="59">
        <f t="shared" si="277"/>
        <v>0</v>
      </c>
    </row>
    <row r="747" spans="1:20" ht="15.75" customHeight="1" thickBot="1" x14ac:dyDescent="0.35">
      <c r="A747" s="74" t="s">
        <v>576</v>
      </c>
      <c r="B747" s="1"/>
      <c r="C747" s="1"/>
      <c r="D747" s="1"/>
      <c r="E747" s="59">
        <f t="shared" si="273"/>
        <v>0</v>
      </c>
      <c r="F747" s="1"/>
      <c r="G747" s="1"/>
      <c r="H747" s="1"/>
      <c r="I747" s="59">
        <f t="shared" si="274"/>
        <v>0</v>
      </c>
      <c r="J747" s="1"/>
      <c r="K747" s="1"/>
      <c r="L747" s="1"/>
      <c r="M747" s="59">
        <f t="shared" si="275"/>
        <v>0</v>
      </c>
      <c r="N747" s="1"/>
      <c r="O747" s="1"/>
      <c r="P747" s="1"/>
      <c r="Q747" s="59">
        <f t="shared" si="276"/>
        <v>0</v>
      </c>
      <c r="R747" s="59">
        <f t="shared" si="277"/>
        <v>0</v>
      </c>
      <c r="T747" s="4" t="s">
        <v>568</v>
      </c>
    </row>
    <row r="748" spans="1:20" ht="16.5" customHeight="1" thickBot="1" x14ac:dyDescent="0.35">
      <c r="A748" s="62" t="s">
        <v>61</v>
      </c>
      <c r="B748" s="100">
        <f>SUM(B735:B747)</f>
        <v>1761</v>
      </c>
      <c r="C748" s="101">
        <f>SUM(C735:C747)</f>
        <v>605</v>
      </c>
      <c r="D748" s="101">
        <f>SUM(D735:D747)</f>
        <v>1475</v>
      </c>
      <c r="E748" s="64">
        <f t="shared" si="273"/>
        <v>3841</v>
      </c>
      <c r="F748" s="101">
        <f>SUM(F735:F747)</f>
        <v>1625</v>
      </c>
      <c r="G748" s="101">
        <f>SUM(G735:G747)</f>
        <v>2075</v>
      </c>
      <c r="H748" s="101">
        <f>SUM(H735:H747)</f>
        <v>1725</v>
      </c>
      <c r="I748" s="64">
        <f t="shared" si="274"/>
        <v>5425</v>
      </c>
      <c r="J748" s="101">
        <f>SUM(J735:J747)</f>
        <v>2125</v>
      </c>
      <c r="K748" s="101">
        <f>SUM(K735:K747)</f>
        <v>5452</v>
      </c>
      <c r="L748" s="101">
        <f>SUM(L735:L747)</f>
        <v>7045</v>
      </c>
      <c r="M748" s="64">
        <f t="shared" si="275"/>
        <v>14622</v>
      </c>
      <c r="N748" s="101">
        <f>SUM(N735:N747)</f>
        <v>525</v>
      </c>
      <c r="O748" s="101">
        <f>SUM(O735:O747)</f>
        <v>275</v>
      </c>
      <c r="P748" s="101">
        <f>SUM(P735:P747)</f>
        <v>275</v>
      </c>
      <c r="Q748" s="64">
        <f t="shared" si="276"/>
        <v>1075</v>
      </c>
      <c r="R748" s="138">
        <f t="shared" si="277"/>
        <v>24963</v>
      </c>
    </row>
    <row r="749" spans="1:20" ht="15.75" customHeight="1" x14ac:dyDescent="0.3">
      <c r="A749" s="17" t="s">
        <v>62</v>
      </c>
      <c r="B749" s="1"/>
      <c r="C749" s="1"/>
      <c r="D749" s="1"/>
      <c r="E749" s="59" t="s">
        <v>7</v>
      </c>
      <c r="F749" s="1"/>
      <c r="G749" s="1"/>
      <c r="H749" s="1"/>
      <c r="I749" s="59" t="s">
        <v>7</v>
      </c>
      <c r="J749" s="1"/>
      <c r="K749" s="1"/>
      <c r="L749" s="1"/>
      <c r="M749" s="59" t="s">
        <v>7</v>
      </c>
      <c r="N749" s="1"/>
      <c r="O749" s="1"/>
      <c r="P749" s="1"/>
      <c r="Q749" s="59" t="s">
        <v>7</v>
      </c>
      <c r="R749" s="59" t="s">
        <v>7</v>
      </c>
    </row>
    <row r="750" spans="1:20" ht="15.75" customHeight="1" x14ac:dyDescent="0.3">
      <c r="A750" s="17" t="s">
        <v>63</v>
      </c>
      <c r="B750" s="1"/>
      <c r="C750" s="1"/>
      <c r="D750" s="1"/>
      <c r="E750" s="59" t="s">
        <v>7</v>
      </c>
      <c r="F750" s="1"/>
      <c r="G750" s="1"/>
      <c r="H750" s="1"/>
      <c r="I750" s="59" t="s">
        <v>7</v>
      </c>
      <c r="J750" s="1"/>
      <c r="K750" s="1"/>
      <c r="L750" s="1"/>
      <c r="M750" s="59" t="s">
        <v>7</v>
      </c>
      <c r="N750" s="1"/>
      <c r="O750" s="1"/>
      <c r="P750" s="1"/>
      <c r="Q750" s="59" t="s">
        <v>7</v>
      </c>
      <c r="R750" s="59" t="s">
        <v>7</v>
      </c>
    </row>
    <row r="751" spans="1:20" ht="15.75" customHeight="1" x14ac:dyDescent="0.3">
      <c r="A751" s="17" t="s">
        <v>64</v>
      </c>
      <c r="B751" s="1"/>
      <c r="C751" s="1"/>
      <c r="D751" s="1"/>
      <c r="E751" s="59" t="s">
        <v>7</v>
      </c>
      <c r="F751" s="1"/>
      <c r="G751" s="1"/>
      <c r="H751" s="1"/>
      <c r="I751" s="59" t="s">
        <v>7</v>
      </c>
      <c r="J751" s="1"/>
      <c r="K751" s="1"/>
      <c r="L751" s="1"/>
      <c r="M751" s="59" t="s">
        <v>7</v>
      </c>
      <c r="N751" s="1"/>
      <c r="O751" s="1"/>
      <c r="P751" s="1"/>
      <c r="Q751" s="59" t="s">
        <v>7</v>
      </c>
      <c r="R751" s="59" t="s">
        <v>7</v>
      </c>
    </row>
    <row r="752" spans="1:20" ht="15.75" customHeight="1" x14ac:dyDescent="0.3">
      <c r="A752" s="74" t="s">
        <v>577</v>
      </c>
      <c r="B752" s="1"/>
      <c r="C752" s="1"/>
      <c r="D752" s="1"/>
      <c r="E752" s="59">
        <f>SUM(B752:D752)</f>
        <v>0</v>
      </c>
      <c r="F752" s="1"/>
      <c r="G752" s="1"/>
      <c r="H752" s="1"/>
      <c r="I752" s="59">
        <f>SUM(F752:H752)</f>
        <v>0</v>
      </c>
      <c r="J752" s="1"/>
      <c r="K752" s="1"/>
      <c r="L752" s="1"/>
      <c r="M752" s="59">
        <f>SUM(J752:L752)</f>
        <v>0</v>
      </c>
      <c r="N752" s="1"/>
      <c r="O752" s="1"/>
      <c r="P752" s="1"/>
      <c r="Q752" s="59">
        <f>SUM(N752:P752)</f>
        <v>0</v>
      </c>
      <c r="R752" s="59">
        <f>+E752+I752+M752+Q752</f>
        <v>0</v>
      </c>
    </row>
    <row r="753" spans="1:18" ht="15.75" customHeight="1" x14ac:dyDescent="0.3">
      <c r="A753" s="74" t="s">
        <v>578</v>
      </c>
      <c r="B753" s="1"/>
      <c r="C753" s="1"/>
      <c r="D753" s="1"/>
      <c r="E753" s="59">
        <f>SUM(B753:D753)</f>
        <v>0</v>
      </c>
      <c r="F753" s="1"/>
      <c r="G753" s="1"/>
      <c r="H753" s="1"/>
      <c r="I753" s="59">
        <f>SUM(F753:H753)</f>
        <v>0</v>
      </c>
      <c r="J753" s="1"/>
      <c r="K753" s="1"/>
      <c r="L753" s="1"/>
      <c r="M753" s="59">
        <f>SUM(J753:L753)</f>
        <v>0</v>
      </c>
      <c r="N753" s="1"/>
      <c r="O753" s="1"/>
      <c r="P753" s="1"/>
      <c r="Q753" s="59">
        <f>SUM(N753:P753)</f>
        <v>0</v>
      </c>
      <c r="R753" s="59">
        <f>+E753+I753+M753+Q753</f>
        <v>0</v>
      </c>
    </row>
    <row r="754" spans="1:18" ht="15.75" customHeight="1" x14ac:dyDescent="0.3">
      <c r="A754" s="74" t="s">
        <v>579</v>
      </c>
      <c r="B754" s="1"/>
      <c r="C754" s="1"/>
      <c r="D754" s="1"/>
      <c r="E754" s="59">
        <f>SUM(B754:D754)</f>
        <v>0</v>
      </c>
      <c r="F754" s="1"/>
      <c r="G754" s="1"/>
      <c r="H754" s="1"/>
      <c r="I754" s="59">
        <f>SUM(F754:H754)</f>
        <v>0</v>
      </c>
      <c r="J754" s="1"/>
      <c r="K754" s="1"/>
      <c r="L754" s="1"/>
      <c r="M754" s="59">
        <f>SUM(J754:L754)</f>
        <v>0</v>
      </c>
      <c r="N754" s="1"/>
      <c r="O754" s="1"/>
      <c r="P754" s="1"/>
      <c r="Q754" s="59">
        <f>SUM(N754:P754)</f>
        <v>0</v>
      </c>
      <c r="R754" s="59">
        <f>+E754+I754+M754+Q754</f>
        <v>0</v>
      </c>
    </row>
    <row r="755" spans="1:18" ht="15.75" customHeight="1" x14ac:dyDescent="0.3">
      <c r="A755" s="74" t="s">
        <v>580</v>
      </c>
      <c r="B755" s="1"/>
      <c r="C755" s="1"/>
      <c r="D755" s="1"/>
      <c r="E755" s="59">
        <f>SUM(B755:D755)</f>
        <v>0</v>
      </c>
      <c r="F755" s="1"/>
      <c r="G755" s="1"/>
      <c r="H755" s="1"/>
      <c r="I755" s="59">
        <f>SUM(F755:H755)</f>
        <v>0</v>
      </c>
      <c r="J755" s="1"/>
      <c r="K755" s="1"/>
      <c r="L755" s="1"/>
      <c r="M755" s="59">
        <f>SUM(J755:L755)</f>
        <v>0</v>
      </c>
      <c r="N755" s="1"/>
      <c r="O755" s="1"/>
      <c r="P755" s="1"/>
      <c r="Q755" s="59">
        <f>SUM(N755:P755)</f>
        <v>0</v>
      </c>
      <c r="R755" s="59">
        <f>+E755+I755+M755+Q755</f>
        <v>0</v>
      </c>
    </row>
    <row r="756" spans="1:18" ht="15.75" customHeight="1" x14ac:dyDescent="0.3">
      <c r="A756" s="17" t="s">
        <v>66</v>
      </c>
      <c r="B756" s="1"/>
      <c r="C756" s="1"/>
      <c r="D756" s="1"/>
      <c r="E756" s="59" t="s">
        <v>7</v>
      </c>
      <c r="F756" s="1"/>
      <c r="G756" s="1"/>
      <c r="H756" s="1"/>
      <c r="I756" s="59" t="s">
        <v>7</v>
      </c>
      <c r="J756" s="1"/>
      <c r="K756" s="1"/>
      <c r="L756" s="1"/>
      <c r="M756" s="59" t="s">
        <v>7</v>
      </c>
      <c r="N756" s="1"/>
      <c r="O756" s="1"/>
      <c r="P756" s="1"/>
      <c r="Q756" s="59" t="s">
        <v>7</v>
      </c>
      <c r="R756" s="59" t="s">
        <v>7</v>
      </c>
    </row>
    <row r="757" spans="1:18" ht="15.75" customHeight="1" thickBot="1" x14ac:dyDescent="0.35">
      <c r="A757" s="17" t="s">
        <v>67</v>
      </c>
      <c r="B757" s="1"/>
      <c r="C757" s="1"/>
      <c r="D757" s="1"/>
      <c r="E757" s="59" t="s">
        <v>7</v>
      </c>
      <c r="F757" s="1"/>
      <c r="G757" s="1"/>
      <c r="H757" s="1"/>
      <c r="I757" s="59" t="s">
        <v>7</v>
      </c>
      <c r="J757" s="1"/>
      <c r="K757" s="1"/>
      <c r="L757" s="1"/>
      <c r="M757" s="59" t="s">
        <v>7</v>
      </c>
      <c r="N757" s="1"/>
      <c r="O757" s="1"/>
      <c r="P757" s="1"/>
      <c r="Q757" s="59" t="s">
        <v>7</v>
      </c>
      <c r="R757" s="59" t="s">
        <v>7</v>
      </c>
    </row>
    <row r="758" spans="1:18" ht="16.5" customHeight="1" thickBot="1" x14ac:dyDescent="0.35">
      <c r="A758" s="62" t="s">
        <v>68</v>
      </c>
      <c r="B758" s="63">
        <f>SUM(B756:B757)</f>
        <v>0</v>
      </c>
      <c r="C758" s="63">
        <f>SUM(C756:C757)</f>
        <v>0</v>
      </c>
      <c r="D758" s="63">
        <f>SUM(D756:D757)</f>
        <v>0</v>
      </c>
      <c r="E758" s="65">
        <f>SUM(B758:D758)</f>
        <v>0</v>
      </c>
      <c r="F758" s="63">
        <f>SUM(F756:F757)</f>
        <v>0</v>
      </c>
      <c r="G758" s="63">
        <f>SUM(G756:G757)</f>
        <v>0</v>
      </c>
      <c r="H758" s="63">
        <f>SUM(H756:H757)</f>
        <v>0</v>
      </c>
      <c r="I758" s="65">
        <f>SUM(F758:H758)</f>
        <v>0</v>
      </c>
      <c r="J758" s="63">
        <f>SUM(J756:J757)</f>
        <v>0</v>
      </c>
      <c r="K758" s="63">
        <f>SUM(K756:K757)</f>
        <v>0</v>
      </c>
      <c r="L758" s="63">
        <f>SUM(L756:L757)</f>
        <v>0</v>
      </c>
      <c r="M758" s="65">
        <f>SUM(J758:L758)</f>
        <v>0</v>
      </c>
      <c r="N758" s="63">
        <f>SUM(N756:N757)</f>
        <v>0</v>
      </c>
      <c r="O758" s="63">
        <f>SUM(O756:O757)</f>
        <v>0</v>
      </c>
      <c r="P758" s="63">
        <f>SUM(P756:P757)</f>
        <v>0</v>
      </c>
      <c r="Q758" s="65">
        <f>SUM(N758:P758)</f>
        <v>0</v>
      </c>
      <c r="R758" s="64">
        <f>+E758+I758+M758+Q758</f>
        <v>0</v>
      </c>
    </row>
    <row r="759" spans="1:18" ht="16.5" customHeight="1" thickBot="1" x14ac:dyDescent="0.35">
      <c r="A759" s="137" t="s">
        <v>69</v>
      </c>
      <c r="B759" s="100">
        <f>SUM(B749:B757)</f>
        <v>0</v>
      </c>
      <c r="C759" s="101">
        <f>SUM(C749:C757)</f>
        <v>0</v>
      </c>
      <c r="D759" s="138">
        <f>SUM(D749:D757)</f>
        <v>0</v>
      </c>
      <c r="E759" s="65">
        <f>SUM(B759:D759)</f>
        <v>0</v>
      </c>
      <c r="F759" s="101">
        <f>SUM(F749:F757)</f>
        <v>0</v>
      </c>
      <c r="G759" s="101">
        <f>SUM(G749:G757)</f>
        <v>0</v>
      </c>
      <c r="H759" s="101">
        <f>SUM(H749:H757)</f>
        <v>0</v>
      </c>
      <c r="I759" s="65">
        <f>SUM(F759:H759)</f>
        <v>0</v>
      </c>
      <c r="J759" s="101">
        <f>SUM(J749:J757)</f>
        <v>0</v>
      </c>
      <c r="K759" s="101">
        <f>SUM(K749:K757)</f>
        <v>0</v>
      </c>
      <c r="L759" s="101">
        <f>SUM(L749:L757)</f>
        <v>0</v>
      </c>
      <c r="M759" s="65">
        <f>SUM(J759:L759)</f>
        <v>0</v>
      </c>
      <c r="N759" s="101">
        <f>SUM(N749:N757)</f>
        <v>0</v>
      </c>
      <c r="O759" s="101">
        <f>SUM(O749:O757)</f>
        <v>0</v>
      </c>
      <c r="P759" s="101">
        <f>SUM(P749:P757)</f>
        <v>0</v>
      </c>
      <c r="Q759" s="65">
        <f>SUM(N759:P759)</f>
        <v>0</v>
      </c>
      <c r="R759" s="64">
        <f>+E759+I759+M759+Q759</f>
        <v>0</v>
      </c>
    </row>
    <row r="760" spans="1:18" ht="16.5" customHeight="1" thickBot="1" x14ac:dyDescent="0.35">
      <c r="A760" s="62" t="s">
        <v>70</v>
      </c>
      <c r="B760" s="107">
        <f>+B730+B734+B748+B759</f>
        <v>8152</v>
      </c>
      <c r="C760" s="63">
        <f>+C730+C734+C748+C759</f>
        <v>13964</v>
      </c>
      <c r="D760" s="63">
        <f>+D730+D734+D748+D759</f>
        <v>15434</v>
      </c>
      <c r="E760" s="64">
        <f>SUM(B760:D760)</f>
        <v>37550</v>
      </c>
      <c r="F760" s="63">
        <f>+F730+F734+F748+F759</f>
        <v>15580</v>
      </c>
      <c r="G760" s="63">
        <f>+G730+G734+G748+G759</f>
        <v>16101</v>
      </c>
      <c r="H760" s="63">
        <f>+H730+H734+H748+H759</f>
        <v>14655</v>
      </c>
      <c r="I760" s="64">
        <f>SUM(F760:H760)</f>
        <v>46336</v>
      </c>
      <c r="J760" s="63">
        <f>+J730+J734+J748+J759</f>
        <v>15155</v>
      </c>
      <c r="K760" s="63">
        <f>+K730+K734+K748+K759</f>
        <v>14705</v>
      </c>
      <c r="L760" s="63">
        <f>+L730+L734+L748+L759</f>
        <v>14425</v>
      </c>
      <c r="M760" s="64">
        <f>SUM(J760:L760)</f>
        <v>44285</v>
      </c>
      <c r="N760" s="63">
        <f>+N730+N734+N748+N759</f>
        <v>8005</v>
      </c>
      <c r="O760" s="63">
        <f>+O730+O734+O748+O759</f>
        <v>275</v>
      </c>
      <c r="P760" s="63">
        <f>+P730+P734+P748+P759</f>
        <v>940</v>
      </c>
      <c r="Q760" s="64">
        <f>SUM(N760:P760)</f>
        <v>9220</v>
      </c>
      <c r="R760" s="88">
        <f>+E760+I760+M760+Q760</f>
        <v>137391</v>
      </c>
    </row>
    <row r="761" spans="1:18" ht="16.5" customHeight="1" thickBot="1" x14ac:dyDescent="0.35">
      <c r="A761" s="66" t="s">
        <v>37</v>
      </c>
      <c r="B761" s="25">
        <v>22</v>
      </c>
      <c r="C761" s="25">
        <v>24</v>
      </c>
      <c r="D761" s="25">
        <v>31</v>
      </c>
      <c r="E761" s="64">
        <f>SUM(B761:D761)</f>
        <v>77</v>
      </c>
      <c r="F761" s="25">
        <v>40</v>
      </c>
      <c r="G761" s="25">
        <v>45</v>
      </c>
      <c r="H761" s="25">
        <v>48</v>
      </c>
      <c r="I761" s="64">
        <f>SUM(F761:H761)</f>
        <v>133</v>
      </c>
      <c r="J761" s="25">
        <v>42</v>
      </c>
      <c r="K761" s="25">
        <v>39</v>
      </c>
      <c r="L761" s="25">
        <v>38</v>
      </c>
      <c r="M761" s="64">
        <f>SUM(J761:L761)</f>
        <v>119</v>
      </c>
      <c r="N761" s="25">
        <v>32</v>
      </c>
      <c r="O761" s="25">
        <v>25</v>
      </c>
      <c r="P761" s="25">
        <v>21</v>
      </c>
      <c r="Q761" s="64">
        <f>SUM(N761:P761)</f>
        <v>78</v>
      </c>
      <c r="R761" s="65">
        <f>+E761+I761+M761+Q761</f>
        <v>407</v>
      </c>
    </row>
    <row r="762" spans="1:18" ht="16.5" customHeight="1" thickBot="1" x14ac:dyDescent="0.35">
      <c r="A762" s="42"/>
      <c r="B762" s="37"/>
      <c r="C762" s="37"/>
      <c r="D762" s="37"/>
      <c r="E762" s="16"/>
      <c r="F762" s="37"/>
      <c r="G762" s="37"/>
      <c r="H762" s="37"/>
      <c r="I762" s="16"/>
      <c r="J762" s="37"/>
      <c r="K762" s="37"/>
      <c r="L762" s="37"/>
      <c r="M762" s="16"/>
      <c r="N762" s="37"/>
      <c r="O762" s="37"/>
      <c r="P762" s="37"/>
      <c r="Q762" s="16"/>
      <c r="R762" s="43"/>
    </row>
    <row r="763" spans="1:18" ht="15.75" customHeight="1" x14ac:dyDescent="0.3">
      <c r="A763" s="17" t="s">
        <v>507</v>
      </c>
      <c r="B763" s="1">
        <f>+SUM(B760:B761)</f>
        <v>8174</v>
      </c>
      <c r="C763" s="1">
        <f>+SUM(C760:C761)</f>
        <v>13988</v>
      </c>
      <c r="D763" s="1">
        <f>+SUM(D760:D761)</f>
        <v>15465</v>
      </c>
      <c r="E763" s="65">
        <f>SUM(B763:D763)</f>
        <v>37627</v>
      </c>
      <c r="F763" s="1">
        <f>+SUM(F760:F761)</f>
        <v>15620</v>
      </c>
      <c r="G763" s="1">
        <f>+SUM(G760:G761)</f>
        <v>16146</v>
      </c>
      <c r="H763" s="1">
        <f>+SUM(H760:H761)</f>
        <v>14703</v>
      </c>
      <c r="I763" s="65">
        <f>SUM(F763:H763)</f>
        <v>46469</v>
      </c>
      <c r="J763" s="1">
        <f>+SUM(J760:J761)</f>
        <v>15197</v>
      </c>
      <c r="K763" s="1">
        <f>+SUM(K760:K761)</f>
        <v>14744</v>
      </c>
      <c r="L763" s="1">
        <f>+SUM(L760:L761)</f>
        <v>14463</v>
      </c>
      <c r="M763" s="65">
        <f>SUM(J763:L763)</f>
        <v>44404</v>
      </c>
      <c r="N763" s="1">
        <f>+SUM(N760:N761)</f>
        <v>8037</v>
      </c>
      <c r="O763" s="1">
        <f>+SUM(O760:O761)</f>
        <v>300</v>
      </c>
      <c r="P763" s="1">
        <f>+SUM(P760:P761)</f>
        <v>961</v>
      </c>
      <c r="Q763" s="65">
        <f>SUM(N763:P763)</f>
        <v>9298</v>
      </c>
      <c r="R763" s="65">
        <f>+E763+I763+M763+Q763</f>
        <v>137798</v>
      </c>
    </row>
    <row r="764" spans="1:18" ht="15.75" customHeight="1" x14ac:dyDescent="0.3">
      <c r="A764" s="17" t="s">
        <v>39</v>
      </c>
      <c r="B764" s="1">
        <f>(B763/B10)/1.983</f>
        <v>132.96894571600541</v>
      </c>
      <c r="C764" s="1">
        <f>(C763/C10)/1.983</f>
        <v>243.23995339697777</v>
      </c>
      <c r="D764" s="1">
        <f>(D763/D10)/1.983</f>
        <v>251.57386169537844</v>
      </c>
      <c r="E764" s="59" t="s">
        <v>7</v>
      </c>
      <c r="F764" s="1">
        <f>(F763/F10)/1.983</f>
        <v>262.5651369978147</v>
      </c>
      <c r="G764" s="1">
        <f>(G763/G10)/1.983</f>
        <v>262.65189595432139</v>
      </c>
      <c r="H764" s="1">
        <f>(H763/H10)/1.983</f>
        <v>247.15078164397377</v>
      </c>
      <c r="I764" s="59" t="s">
        <v>7</v>
      </c>
      <c r="J764" s="1">
        <f>(J763/J10)/1.983</f>
        <v>247.21422413091926</v>
      </c>
      <c r="K764" s="1">
        <f>(K763/K10)/1.983</f>
        <v>239.84513526263564</v>
      </c>
      <c r="L764" s="1">
        <f>(L763/L10)/1.983</f>
        <v>243.11649016641454</v>
      </c>
      <c r="M764" s="59" t="s">
        <v>7</v>
      </c>
      <c r="N764" s="1">
        <f>(N763/N10)/1.983</f>
        <v>130.74032502074081</v>
      </c>
      <c r="O764" s="1">
        <f>(O763/O10)/1.983</f>
        <v>5.0428643469490666</v>
      </c>
      <c r="P764" s="1">
        <f>(P763/P10)/1.983</f>
        <v>15.632879475542108</v>
      </c>
      <c r="Q764" s="59" t="s">
        <v>7</v>
      </c>
      <c r="R764" s="59" t="s">
        <v>7</v>
      </c>
    </row>
    <row r="765" spans="1:18" ht="15.75" customHeight="1" x14ac:dyDescent="0.3">
      <c r="A765" s="17" t="s">
        <v>581</v>
      </c>
      <c r="B765" s="1">
        <f>B763+B775</f>
        <v>12114</v>
      </c>
      <c r="C765" s="1">
        <f>C763+C775</f>
        <v>17611</v>
      </c>
      <c r="D765" s="1">
        <f>D763+D775</f>
        <v>19007</v>
      </c>
      <c r="E765" s="59">
        <f>SUM(B765:D765)</f>
        <v>48732</v>
      </c>
      <c r="F765" s="1">
        <f>F763+F775</f>
        <v>19445</v>
      </c>
      <c r="G765" s="1">
        <f>G763+G775</f>
        <v>20524</v>
      </c>
      <c r="H765" s="1">
        <f>H763+H775</f>
        <v>18878</v>
      </c>
      <c r="I765" s="59">
        <f>SUM(F765:H765)</f>
        <v>58847</v>
      </c>
      <c r="J765" s="1">
        <f>J763+J775</f>
        <v>18372</v>
      </c>
      <c r="K765" s="1">
        <f>K763+K775</f>
        <v>21298</v>
      </c>
      <c r="L765" s="1">
        <f>L763+L775</f>
        <v>19655</v>
      </c>
      <c r="M765" s="59">
        <f>SUM(J765:L765)</f>
        <v>59325</v>
      </c>
      <c r="N765" s="1">
        <f>N763+N775</f>
        <v>11774</v>
      </c>
      <c r="O765" s="1">
        <f>O763+O775</f>
        <v>2985</v>
      </c>
      <c r="P765" s="1">
        <f>P763+P775</f>
        <v>2354</v>
      </c>
      <c r="Q765" s="59">
        <f>SUM(N765:P765)</f>
        <v>17113</v>
      </c>
      <c r="R765" s="59">
        <f>+E765+I765+M765+Q765</f>
        <v>184017</v>
      </c>
    </row>
    <row r="766" spans="1:18" ht="16.5" customHeight="1" thickBot="1" x14ac:dyDescent="0.35">
      <c r="A766" s="24" t="s">
        <v>582</v>
      </c>
      <c r="B766" s="25">
        <f>(B765/B10)/1.983</f>
        <v>197.06212483529353</v>
      </c>
      <c r="C766" s="25">
        <f>(C765/C10)/1.983</f>
        <v>306.2409793590345</v>
      </c>
      <c r="D766" s="25">
        <f>(D765/D10)/1.983</f>
        <v>309.19265368535775</v>
      </c>
      <c r="E766" s="88" t="s">
        <v>7</v>
      </c>
      <c r="F766" s="25">
        <f>(F765/F10)/1.983</f>
        <v>326.86165742141532</v>
      </c>
      <c r="G766" s="25">
        <f>(G765/G10)/1.983</f>
        <v>333.87015437671823</v>
      </c>
      <c r="H766" s="25">
        <f>(H765/H10)/1.983</f>
        <v>317.33064380568163</v>
      </c>
      <c r="I766" s="88" t="s">
        <v>7</v>
      </c>
      <c r="J766" s="25">
        <f>(J765/J10)/1.983</f>
        <v>298.8629154262847</v>
      </c>
      <c r="K766" s="25">
        <f>(K765/K10)/1.983</f>
        <v>346.46104793974587</v>
      </c>
      <c r="L766" s="25">
        <f>(L765/L10)/1.983</f>
        <v>330.39166246427965</v>
      </c>
      <c r="M766" s="88" t="s">
        <v>7</v>
      </c>
      <c r="N766" s="25">
        <f>(N765/N10)/1.983</f>
        <v>191.53124135799456</v>
      </c>
      <c r="O766" s="25">
        <f>(O765/O10)/1.983</f>
        <v>50.176500252143214</v>
      </c>
      <c r="P766" s="25">
        <f>(P765/P10)/1.983</f>
        <v>38.293234428122915</v>
      </c>
      <c r="Q766" s="88" t="s">
        <v>7</v>
      </c>
      <c r="R766" s="88" t="s">
        <v>7</v>
      </c>
    </row>
    <row r="767" spans="1:18" ht="15.75" customHeight="1" x14ac:dyDescent="0.3">
      <c r="A767" s="28"/>
      <c r="B767" s="1"/>
      <c r="C767" s="1"/>
      <c r="D767" s="1"/>
      <c r="E767" s="1"/>
      <c r="F767" s="1"/>
      <c r="G767" s="1"/>
      <c r="H767" s="1"/>
      <c r="I767" s="1"/>
      <c r="J767" s="1"/>
      <c r="K767" s="1"/>
      <c r="L767" s="1"/>
      <c r="M767" s="1"/>
      <c r="N767" s="1"/>
      <c r="O767" s="1"/>
      <c r="P767" s="1"/>
      <c r="Q767" s="1"/>
      <c r="R767" s="28"/>
    </row>
    <row r="768" spans="1:18" ht="15.75" customHeight="1" thickBot="1" x14ac:dyDescent="0.35">
      <c r="A768" s="28"/>
      <c r="B768" s="1"/>
      <c r="C768" s="1"/>
      <c r="D768" s="1"/>
      <c r="E768" s="1"/>
      <c r="F768" s="1"/>
      <c r="G768" s="1"/>
      <c r="H768" s="1"/>
      <c r="I768" s="1"/>
      <c r="J768" s="1"/>
      <c r="K768" s="1"/>
      <c r="L768" s="1"/>
      <c r="M768" s="1"/>
      <c r="N768" s="1"/>
      <c r="O768" s="1"/>
      <c r="P768" s="1"/>
      <c r="Q768" s="1"/>
      <c r="R768" s="28"/>
    </row>
    <row r="769" spans="1:18" ht="16.5" customHeight="1" thickBot="1" x14ac:dyDescent="0.35">
      <c r="A769" s="145" t="s">
        <v>583</v>
      </c>
      <c r="B769" s="32" t="s">
        <v>36</v>
      </c>
      <c r="C769" s="33" t="s">
        <v>9</v>
      </c>
      <c r="D769" s="33" t="s">
        <v>10</v>
      </c>
      <c r="E769" s="12" t="s">
        <v>11</v>
      </c>
      <c r="F769" s="33" t="s">
        <v>12</v>
      </c>
      <c r="G769" s="33" t="s">
        <v>13</v>
      </c>
      <c r="H769" s="33" t="s">
        <v>14</v>
      </c>
      <c r="I769" s="34" t="s">
        <v>15</v>
      </c>
      <c r="J769" s="33" t="s">
        <v>16</v>
      </c>
      <c r="K769" s="33" t="s">
        <v>17</v>
      </c>
      <c r="L769" s="33" t="s">
        <v>18</v>
      </c>
      <c r="M769" s="34" t="s">
        <v>19</v>
      </c>
      <c r="N769" s="33" t="s">
        <v>20</v>
      </c>
      <c r="O769" s="33" t="s">
        <v>21</v>
      </c>
      <c r="P769" s="33" t="s">
        <v>22</v>
      </c>
      <c r="Q769" s="34" t="s">
        <v>23</v>
      </c>
      <c r="R769" s="35" t="s">
        <v>24</v>
      </c>
    </row>
    <row r="770" spans="1:18" ht="16.5" customHeight="1" thickBot="1" x14ac:dyDescent="0.35">
      <c r="A770" s="42"/>
      <c r="B770" s="37"/>
      <c r="C770" s="37"/>
      <c r="D770" s="37"/>
      <c r="E770" s="38"/>
      <c r="F770" s="37"/>
      <c r="G770" s="37"/>
      <c r="H770" s="37"/>
      <c r="I770" s="38"/>
      <c r="J770" s="37"/>
      <c r="K770" s="37"/>
      <c r="L770" s="37"/>
      <c r="M770" s="38"/>
      <c r="N770" s="37"/>
      <c r="O770" s="37"/>
      <c r="P770" s="37"/>
      <c r="Q770" s="38"/>
      <c r="R770" s="42"/>
    </row>
    <row r="771" spans="1:18" ht="16.5" customHeight="1" thickBot="1" x14ac:dyDescent="0.35">
      <c r="A771" s="40" t="s">
        <v>37</v>
      </c>
      <c r="B771" s="25">
        <v>2</v>
      </c>
      <c r="C771" s="25">
        <v>3</v>
      </c>
      <c r="D771" s="25">
        <v>5</v>
      </c>
      <c r="E771" s="59">
        <f>SUM(B771:D771)</f>
        <v>10</v>
      </c>
      <c r="F771" s="25">
        <v>7</v>
      </c>
      <c r="G771" s="25">
        <v>8</v>
      </c>
      <c r="H771" s="25">
        <v>9</v>
      </c>
      <c r="I771" s="59">
        <f>SUM(F771:H771)</f>
        <v>24</v>
      </c>
      <c r="J771" s="25">
        <v>7</v>
      </c>
      <c r="K771" s="25">
        <v>6</v>
      </c>
      <c r="L771" s="25">
        <v>6</v>
      </c>
      <c r="M771" s="59">
        <f>SUM(J771:L771)</f>
        <v>19</v>
      </c>
      <c r="N771" s="25">
        <v>5</v>
      </c>
      <c r="O771" s="25">
        <v>3</v>
      </c>
      <c r="P771" s="25">
        <v>2</v>
      </c>
      <c r="Q771" s="59">
        <f>SUM(N771:P771)</f>
        <v>10</v>
      </c>
      <c r="R771" s="65">
        <f>+E771+I771+M771+Q771</f>
        <v>63</v>
      </c>
    </row>
    <row r="772" spans="1:18" ht="16.5" customHeight="1" thickBot="1" x14ac:dyDescent="0.35">
      <c r="A772" s="42"/>
      <c r="B772" s="37"/>
      <c r="C772" s="37"/>
      <c r="D772" s="37"/>
      <c r="E772" s="16"/>
      <c r="F772" s="37"/>
      <c r="G772" s="37"/>
      <c r="H772" s="37"/>
      <c r="I772" s="16"/>
      <c r="J772" s="37"/>
      <c r="K772" s="37"/>
      <c r="L772" s="37"/>
      <c r="M772" s="16"/>
      <c r="N772" s="37"/>
      <c r="O772" s="37"/>
      <c r="P772" s="37"/>
      <c r="Q772" s="16"/>
      <c r="R772" s="43"/>
    </row>
    <row r="773" spans="1:18" ht="15.75" customHeight="1" x14ac:dyDescent="0.3">
      <c r="A773" s="17" t="s">
        <v>507</v>
      </c>
      <c r="B773" s="1">
        <f>B771</f>
        <v>2</v>
      </c>
      <c r="C773" s="1">
        <f>C771</f>
        <v>3</v>
      </c>
      <c r="D773" s="1">
        <f>D771</f>
        <v>5</v>
      </c>
      <c r="E773" s="65">
        <f>SUM(B773:D773)</f>
        <v>10</v>
      </c>
      <c r="F773" s="1">
        <f>F771</f>
        <v>7</v>
      </c>
      <c r="G773" s="1">
        <f>G771</f>
        <v>8</v>
      </c>
      <c r="H773" s="1">
        <f>H771</f>
        <v>9</v>
      </c>
      <c r="I773" s="65">
        <f>SUM(F773:H773)</f>
        <v>24</v>
      </c>
      <c r="J773" s="1">
        <f>J771</f>
        <v>7</v>
      </c>
      <c r="K773" s="1">
        <f>K771</f>
        <v>6</v>
      </c>
      <c r="L773" s="1">
        <f>L771</f>
        <v>6</v>
      </c>
      <c r="M773" s="65">
        <f>SUM(J773:L773)</f>
        <v>19</v>
      </c>
      <c r="N773" s="1">
        <f>N771</f>
        <v>5</v>
      </c>
      <c r="O773" s="1">
        <f>O771</f>
        <v>3</v>
      </c>
      <c r="P773" s="1">
        <f>P771</f>
        <v>2</v>
      </c>
      <c r="Q773" s="65">
        <f>SUM(N773:P773)</f>
        <v>10</v>
      </c>
      <c r="R773" s="65">
        <f>+E773+I773+M773+Q773</f>
        <v>63</v>
      </c>
    </row>
    <row r="774" spans="1:18" ht="15.75" customHeight="1" x14ac:dyDescent="0.3">
      <c r="A774" s="17" t="s">
        <v>39</v>
      </c>
      <c r="B774" s="1">
        <f>(B773/B10)/1.983</f>
        <v>3.2534608689993978E-2</v>
      </c>
      <c r="C774" s="1">
        <f>(C773/C10)/1.983</f>
        <v>5.2167562209817935E-2</v>
      </c>
      <c r="D774" s="1">
        <f>(D773/D10)/1.983</f>
        <v>8.1336521724984942E-2</v>
      </c>
      <c r="E774" s="59" t="s">
        <v>7</v>
      </c>
      <c r="F774" s="1">
        <f>(F773/F10)/1.983</f>
        <v>0.1176668347621449</v>
      </c>
      <c r="G774" s="1">
        <f>(G773/G10)/1.983</f>
        <v>0.13013843475997591</v>
      </c>
      <c r="H774" s="1">
        <f>(H773/H10)/1.983</f>
        <v>0.15128593040847199</v>
      </c>
      <c r="I774" s="59" t="s">
        <v>7</v>
      </c>
      <c r="J774" s="1">
        <f>(J773/J10)/1.983</f>
        <v>0.11387113041497893</v>
      </c>
      <c r="K774" s="1">
        <f>(K773/K10)/1.983</f>
        <v>9.7603826069981942E-2</v>
      </c>
      <c r="L774" s="1">
        <f>(L773/L10)/1.983</f>
        <v>0.10085728693898134</v>
      </c>
      <c r="M774" s="59" t="s">
        <v>7</v>
      </c>
      <c r="N774" s="1">
        <f>(N773/N10)/1.983</f>
        <v>8.1336521724984942E-2</v>
      </c>
      <c r="O774" s="1">
        <f>(O773/O10)/1.983</f>
        <v>5.0428643469490671E-2</v>
      </c>
      <c r="P774" s="1">
        <f>(P773/P10)/1.983</f>
        <v>3.2534608689993978E-2</v>
      </c>
      <c r="Q774" s="59" t="s">
        <v>7</v>
      </c>
      <c r="R774" s="59" t="s">
        <v>7</v>
      </c>
    </row>
    <row r="775" spans="1:18" ht="15.75" customHeight="1" x14ac:dyDescent="0.3">
      <c r="A775" s="17" t="s">
        <v>584</v>
      </c>
      <c r="B775" s="1">
        <f>B773+B809+B860-B804</f>
        <v>3940</v>
      </c>
      <c r="C775" s="1">
        <f>C773+C809+C860-C804</f>
        <v>3623</v>
      </c>
      <c r="D775" s="1">
        <f>D773+D809+D860-D804</f>
        <v>3542</v>
      </c>
      <c r="E775" s="59">
        <f>SUM(B775:D775)</f>
        <v>11105</v>
      </c>
      <c r="F775" s="1">
        <f>F773+F809+F860-F804</f>
        <v>3825</v>
      </c>
      <c r="G775" s="1">
        <f>G773+G809+G860-G804</f>
        <v>4378</v>
      </c>
      <c r="H775" s="1">
        <f>H773+H809+H860-H804</f>
        <v>4175</v>
      </c>
      <c r="I775" s="59">
        <f>SUM(F775:H775)</f>
        <v>12378</v>
      </c>
      <c r="J775" s="1">
        <f>J773+J809+J860-J804</f>
        <v>3175</v>
      </c>
      <c r="K775" s="1">
        <f>K773+K809+K860-K804</f>
        <v>6554</v>
      </c>
      <c r="L775" s="1">
        <f>L773+L809+L860-L804</f>
        <v>5192</v>
      </c>
      <c r="M775" s="59">
        <f>SUM(J775:L775)</f>
        <v>14921</v>
      </c>
      <c r="N775" s="1">
        <f>N773+N809+N860-N804</f>
        <v>3737</v>
      </c>
      <c r="O775" s="1">
        <f>O773+O809+O860-O804</f>
        <v>2685</v>
      </c>
      <c r="P775" s="1">
        <f>P773+P809+P860-P804</f>
        <v>1393</v>
      </c>
      <c r="Q775" s="59">
        <f>SUM(N775:P775)</f>
        <v>7815</v>
      </c>
      <c r="R775" s="59">
        <f>+E775+I775+M775+Q775</f>
        <v>46219</v>
      </c>
    </row>
    <row r="776" spans="1:18" ht="16.5" customHeight="1" thickBot="1" x14ac:dyDescent="0.35">
      <c r="A776" s="24" t="s">
        <v>585</v>
      </c>
      <c r="B776" s="25">
        <f>(B775/B10)/1.983</f>
        <v>64.093179119288138</v>
      </c>
      <c r="C776" s="25">
        <f>(C775/C10)/1.983</f>
        <v>63.001025962056787</v>
      </c>
      <c r="D776" s="25">
        <f>(D775/D10)/1.983</f>
        <v>57.618791989979343</v>
      </c>
      <c r="E776" s="88" t="s">
        <v>7</v>
      </c>
      <c r="F776" s="25">
        <f>(F775/F10)/1.983</f>
        <v>64.296520423600597</v>
      </c>
      <c r="G776" s="25">
        <f>(G775/G10)/1.983</f>
        <v>71.218258422396815</v>
      </c>
      <c r="H776" s="25">
        <f>(H775/H10)/1.983</f>
        <v>70.179862161707845</v>
      </c>
      <c r="I776" s="88" t="s">
        <v>7</v>
      </c>
      <c r="J776" s="25">
        <f>(J775/J10)/1.983</f>
        <v>51.648691295365445</v>
      </c>
      <c r="K776" s="25">
        <f>(K775/K10)/1.983</f>
        <v>106.61591267711026</v>
      </c>
      <c r="L776" s="25">
        <f>(L775/L10)/1.983</f>
        <v>87.275172297865183</v>
      </c>
      <c r="M776" s="88" t="s">
        <v>7</v>
      </c>
      <c r="N776" s="25">
        <f>(N775/N10)/1.983</f>
        <v>60.790916337253748</v>
      </c>
      <c r="O776" s="25">
        <f>(O775/O10)/1.983</f>
        <v>45.133635905194147</v>
      </c>
      <c r="P776" s="25">
        <f>(P775/P10)/1.983</f>
        <v>22.660354952580807</v>
      </c>
      <c r="Q776" s="88" t="s">
        <v>7</v>
      </c>
      <c r="R776" s="88" t="s">
        <v>7</v>
      </c>
    </row>
    <row r="777" spans="1:18" ht="15.75" customHeight="1" x14ac:dyDescent="0.3">
      <c r="A777" s="28"/>
      <c r="B777" s="1"/>
      <c r="C777" s="1"/>
      <c r="D777" s="1"/>
      <c r="E777" s="1"/>
      <c r="F777" s="1"/>
      <c r="G777" s="1"/>
      <c r="H777" s="1"/>
      <c r="I777" s="1"/>
      <c r="J777" s="1"/>
      <c r="K777" s="1"/>
      <c r="L777" s="1"/>
      <c r="M777" s="1"/>
      <c r="N777" s="1"/>
      <c r="O777" s="1"/>
      <c r="P777" s="1"/>
      <c r="Q777" s="1"/>
      <c r="R777" s="28"/>
    </row>
    <row r="778" spans="1:18" ht="15.75" customHeight="1" thickBot="1" x14ac:dyDescent="0.35">
      <c r="A778" s="28"/>
      <c r="B778" s="1"/>
      <c r="C778" s="1"/>
      <c r="D778" s="1"/>
      <c r="E778" s="1"/>
      <c r="F778" s="1"/>
      <c r="G778" s="1"/>
      <c r="H778" s="1"/>
      <c r="I778" s="1"/>
      <c r="J778" s="1"/>
      <c r="K778" s="1"/>
      <c r="L778" s="1"/>
      <c r="M778" s="1"/>
      <c r="N778" s="1"/>
      <c r="O778" s="1"/>
      <c r="P778" s="1"/>
      <c r="Q778" s="1"/>
      <c r="R778" s="28"/>
    </row>
    <row r="779" spans="1:18" ht="16.5" customHeight="1" thickBot="1" x14ac:dyDescent="0.35">
      <c r="A779" s="145" t="s">
        <v>586</v>
      </c>
      <c r="B779" s="32" t="s">
        <v>36</v>
      </c>
      <c r="C779" s="33" t="s">
        <v>9</v>
      </c>
      <c r="D779" s="33" t="s">
        <v>10</v>
      </c>
      <c r="E779" s="34" t="s">
        <v>11</v>
      </c>
      <c r="F779" s="33" t="s">
        <v>12</v>
      </c>
      <c r="G779" s="33" t="s">
        <v>13</v>
      </c>
      <c r="H779" s="33" t="s">
        <v>14</v>
      </c>
      <c r="I779" s="34" t="s">
        <v>15</v>
      </c>
      <c r="J779" s="33" t="s">
        <v>16</v>
      </c>
      <c r="K779" s="33" t="s">
        <v>17</v>
      </c>
      <c r="L779" s="33" t="s">
        <v>18</v>
      </c>
      <c r="M779" s="34" t="s">
        <v>19</v>
      </c>
      <c r="N779" s="33" t="s">
        <v>20</v>
      </c>
      <c r="O779" s="33" t="s">
        <v>21</v>
      </c>
      <c r="P779" s="33" t="s">
        <v>22</v>
      </c>
      <c r="Q779" s="34" t="s">
        <v>23</v>
      </c>
      <c r="R779" s="155" t="s">
        <v>24</v>
      </c>
    </row>
    <row r="780" spans="1:18" ht="16.5" customHeight="1" thickBot="1" x14ac:dyDescent="0.35">
      <c r="A780" s="42"/>
      <c r="B780" s="37"/>
      <c r="C780" s="37"/>
      <c r="D780" s="37"/>
      <c r="E780" s="156"/>
      <c r="F780" s="37"/>
      <c r="G780" s="37"/>
      <c r="H780" s="37"/>
      <c r="I780" s="156"/>
      <c r="J780" s="37"/>
      <c r="K780" s="37"/>
      <c r="L780" s="37"/>
      <c r="M780" s="156"/>
      <c r="N780" s="37"/>
      <c r="O780" s="37"/>
      <c r="P780" s="37"/>
      <c r="Q780" s="156"/>
      <c r="R780" s="39"/>
    </row>
    <row r="781" spans="1:18" ht="15.75" customHeight="1" x14ac:dyDescent="0.3">
      <c r="A781" s="17" t="s">
        <v>45</v>
      </c>
      <c r="B781" s="1" t="s">
        <v>7</v>
      </c>
      <c r="C781" s="1" t="s">
        <v>7</v>
      </c>
      <c r="D781" s="1" t="s">
        <v>7</v>
      </c>
      <c r="E781" s="59" t="s">
        <v>7</v>
      </c>
      <c r="F781" s="1" t="s">
        <v>7</v>
      </c>
      <c r="G781" s="1" t="s">
        <v>7</v>
      </c>
      <c r="H781" s="1" t="s">
        <v>7</v>
      </c>
      <c r="I781" s="59" t="s">
        <v>7</v>
      </c>
      <c r="J781" s="1" t="s">
        <v>7</v>
      </c>
      <c r="K781" s="1" t="s">
        <v>7</v>
      </c>
      <c r="L781" s="1" t="s">
        <v>7</v>
      </c>
      <c r="M781" s="59" t="s">
        <v>7</v>
      </c>
      <c r="N781" s="1" t="s">
        <v>7</v>
      </c>
      <c r="O781" s="1" t="s">
        <v>7</v>
      </c>
      <c r="P781" s="1" t="s">
        <v>7</v>
      </c>
      <c r="Q781" s="59" t="s">
        <v>7</v>
      </c>
      <c r="R781" s="59" t="s">
        <v>7</v>
      </c>
    </row>
    <row r="782" spans="1:18" ht="15.75" customHeight="1" x14ac:dyDescent="0.3">
      <c r="A782" s="17" t="s">
        <v>46</v>
      </c>
      <c r="B782" s="1"/>
      <c r="C782" s="1"/>
      <c r="D782" s="1"/>
      <c r="E782" s="59" t="s">
        <v>7</v>
      </c>
      <c r="F782" s="1"/>
      <c r="G782" s="1"/>
      <c r="H782" s="1"/>
      <c r="I782" s="59" t="s">
        <v>7</v>
      </c>
      <c r="J782" s="1"/>
      <c r="K782" s="1"/>
      <c r="L782" s="1"/>
      <c r="M782" s="59" t="s">
        <v>7</v>
      </c>
      <c r="N782" s="1"/>
      <c r="O782" s="1"/>
      <c r="P782" s="1"/>
      <c r="Q782" s="59" t="s">
        <v>7</v>
      </c>
      <c r="R782" s="59" t="s">
        <v>7</v>
      </c>
    </row>
    <row r="783" spans="1:18" ht="15.75" customHeight="1" x14ac:dyDescent="0.3">
      <c r="A783" s="74" t="s">
        <v>587</v>
      </c>
      <c r="B783" s="1"/>
      <c r="C783" s="1"/>
      <c r="D783" s="1"/>
      <c r="E783" s="59">
        <f>SUM(B783:D783)</f>
        <v>0</v>
      </c>
      <c r="F783" s="1"/>
      <c r="G783" s="1"/>
      <c r="H783" s="1"/>
      <c r="I783" s="59">
        <f>SUM(F783:H783)</f>
        <v>0</v>
      </c>
      <c r="J783" s="1"/>
      <c r="K783" s="1"/>
      <c r="L783" s="1"/>
      <c r="M783" s="59">
        <f>SUM(J783:L783)</f>
        <v>0</v>
      </c>
      <c r="N783" s="1"/>
      <c r="O783" s="1"/>
      <c r="P783" s="1"/>
      <c r="Q783" s="59">
        <f>SUM(N783:P783)</f>
        <v>0</v>
      </c>
      <c r="R783" s="59">
        <f>+E783+I783+M783+Q783</f>
        <v>0</v>
      </c>
    </row>
    <row r="784" spans="1:18" ht="15.75" customHeight="1" x14ac:dyDescent="0.3">
      <c r="A784" s="17" t="s">
        <v>47</v>
      </c>
      <c r="B784" s="1"/>
      <c r="C784" s="1"/>
      <c r="D784" s="1"/>
      <c r="E784" s="59" t="s">
        <v>7</v>
      </c>
      <c r="F784" s="1"/>
      <c r="G784" s="1"/>
      <c r="H784" s="1"/>
      <c r="I784" s="59" t="s">
        <v>7</v>
      </c>
      <c r="J784" s="1"/>
      <c r="K784" s="1"/>
      <c r="L784" s="1"/>
      <c r="M784" s="59" t="s">
        <v>7</v>
      </c>
      <c r="N784" s="1"/>
      <c r="O784" s="1"/>
      <c r="P784" s="1"/>
      <c r="Q784" s="59" t="s">
        <v>7</v>
      </c>
      <c r="R784" s="59" t="s">
        <v>7</v>
      </c>
    </row>
    <row r="785" spans="1:18" ht="15.75" customHeight="1" x14ac:dyDescent="0.3">
      <c r="A785" s="17" t="s">
        <v>49</v>
      </c>
      <c r="B785" s="1"/>
      <c r="C785" s="1"/>
      <c r="D785" s="1"/>
      <c r="E785" s="59" t="s">
        <v>7</v>
      </c>
      <c r="F785" s="1"/>
      <c r="G785" s="1"/>
      <c r="H785" s="1"/>
      <c r="I785" s="59" t="s">
        <v>7</v>
      </c>
      <c r="J785" s="1"/>
      <c r="K785" s="1"/>
      <c r="L785" s="1"/>
      <c r="M785" s="59" t="s">
        <v>7</v>
      </c>
      <c r="N785" s="1"/>
      <c r="O785" s="1"/>
      <c r="P785" s="1"/>
      <c r="Q785" s="59" t="s">
        <v>7</v>
      </c>
      <c r="R785" s="59" t="s">
        <v>7</v>
      </c>
    </row>
    <row r="786" spans="1:18" ht="15.75" customHeight="1" thickBot="1" x14ac:dyDescent="0.35">
      <c r="A786" s="17" t="s">
        <v>51</v>
      </c>
      <c r="B786" s="1"/>
      <c r="C786" s="1"/>
      <c r="D786" s="1"/>
      <c r="E786" s="59" t="s">
        <v>7</v>
      </c>
      <c r="F786" s="1"/>
      <c r="G786" s="1"/>
      <c r="H786" s="1"/>
      <c r="I786" s="59" t="s">
        <v>7</v>
      </c>
      <c r="J786" s="1"/>
      <c r="K786" s="1"/>
      <c r="L786" s="1"/>
      <c r="M786" s="59" t="s">
        <v>7</v>
      </c>
      <c r="N786" s="1"/>
      <c r="O786" s="1"/>
      <c r="P786" s="1"/>
      <c r="Q786" s="59" t="s">
        <v>7</v>
      </c>
      <c r="R786" s="59" t="s">
        <v>7</v>
      </c>
    </row>
    <row r="787" spans="1:18" ht="16.5" customHeight="1" thickBot="1" x14ac:dyDescent="0.35">
      <c r="A787" s="62" t="s">
        <v>52</v>
      </c>
      <c r="B787" s="100">
        <f>SUM(B781:B786)</f>
        <v>0</v>
      </c>
      <c r="C787" s="101">
        <f>SUM(C781:C786)</f>
        <v>0</v>
      </c>
      <c r="D787" s="101">
        <f>SUM(D781:D786)</f>
        <v>0</v>
      </c>
      <c r="E787" s="64">
        <f>SUM(B787:D787)</f>
        <v>0</v>
      </c>
      <c r="F787" s="101">
        <f>SUM(F781:F786)</f>
        <v>0</v>
      </c>
      <c r="G787" s="101">
        <f>SUM(G781:G786)</f>
        <v>0</v>
      </c>
      <c r="H787" s="101">
        <f>SUM(H781:H786)</f>
        <v>0</v>
      </c>
      <c r="I787" s="64">
        <f>SUM(F787:H787)</f>
        <v>0</v>
      </c>
      <c r="J787" s="101">
        <f>SUM(J781:J786)</f>
        <v>0</v>
      </c>
      <c r="K787" s="101">
        <f>SUM(K781:K786)</f>
        <v>0</v>
      </c>
      <c r="L787" s="101">
        <f>SUM(L781:L786)</f>
        <v>0</v>
      </c>
      <c r="M787" s="64">
        <f>SUM(J787:L787)</f>
        <v>0</v>
      </c>
      <c r="N787" s="101">
        <f>SUM(N781:N786)</f>
        <v>0</v>
      </c>
      <c r="O787" s="101">
        <f>SUM(O781:O786)</f>
        <v>0</v>
      </c>
      <c r="P787" s="101">
        <f>SUM(P781:P786)</f>
        <v>0</v>
      </c>
      <c r="Q787" s="64">
        <f>SUM(N787:P787)</f>
        <v>0</v>
      </c>
      <c r="R787" s="64">
        <f>+E787+I787+M787+Q787</f>
        <v>0</v>
      </c>
    </row>
    <row r="788" spans="1:18" ht="15.75" customHeight="1" x14ac:dyDescent="0.3">
      <c r="A788" s="17" t="s">
        <v>53</v>
      </c>
      <c r="B788" s="1"/>
      <c r="C788" s="1"/>
      <c r="D788" s="1"/>
      <c r="E788" s="59" t="s">
        <v>7</v>
      </c>
      <c r="F788" s="1"/>
      <c r="G788" s="1"/>
      <c r="H788" s="1"/>
      <c r="I788" s="59" t="s">
        <v>7</v>
      </c>
      <c r="J788" s="1"/>
      <c r="K788" s="1"/>
      <c r="L788" s="1"/>
      <c r="M788" s="59" t="s">
        <v>7</v>
      </c>
      <c r="N788" s="1"/>
      <c r="O788" s="1"/>
      <c r="P788" s="1"/>
      <c r="Q788" s="59" t="s">
        <v>7</v>
      </c>
      <c r="R788" s="59" t="s">
        <v>7</v>
      </c>
    </row>
    <row r="789" spans="1:18" ht="15.75" customHeight="1" x14ac:dyDescent="0.3">
      <c r="A789" s="17" t="s">
        <v>55</v>
      </c>
      <c r="B789" s="1"/>
      <c r="C789" s="1"/>
      <c r="D789" s="1"/>
      <c r="E789" s="59" t="s">
        <v>7</v>
      </c>
      <c r="F789" s="1"/>
      <c r="G789" s="1"/>
      <c r="H789" s="1"/>
      <c r="I789" s="59" t="s">
        <v>7</v>
      </c>
      <c r="J789" s="1"/>
      <c r="K789" s="1"/>
      <c r="L789" s="1"/>
      <c r="M789" s="59" t="s">
        <v>7</v>
      </c>
      <c r="N789" s="1"/>
      <c r="O789" s="1"/>
      <c r="P789" s="1"/>
      <c r="Q789" s="59" t="s">
        <v>7</v>
      </c>
      <c r="R789" s="59" t="s">
        <v>7</v>
      </c>
    </row>
    <row r="790" spans="1:18" ht="15.75" customHeight="1" thickBot="1" x14ac:dyDescent="0.35">
      <c r="A790" s="17" t="s">
        <v>56</v>
      </c>
      <c r="B790" s="1"/>
      <c r="C790" s="1"/>
      <c r="D790" s="1"/>
      <c r="E790" s="59" t="s">
        <v>7</v>
      </c>
      <c r="F790" s="1"/>
      <c r="G790" s="1"/>
      <c r="H790" s="1"/>
      <c r="I790" s="59" t="s">
        <v>7</v>
      </c>
      <c r="J790" s="1"/>
      <c r="K790" s="1"/>
      <c r="L790" s="1"/>
      <c r="M790" s="59" t="s">
        <v>7</v>
      </c>
      <c r="N790" s="1"/>
      <c r="O790" s="1"/>
      <c r="P790" s="1"/>
      <c r="Q790" s="59" t="s">
        <v>7</v>
      </c>
      <c r="R790" s="59" t="s">
        <v>7</v>
      </c>
    </row>
    <row r="791" spans="1:18" ht="16.5" customHeight="1" thickBot="1" x14ac:dyDescent="0.35">
      <c r="A791" s="62" t="s">
        <v>57</v>
      </c>
      <c r="B791" s="100">
        <f>SUM(B788:B790)</f>
        <v>0</v>
      </c>
      <c r="C791" s="101">
        <f>SUM(C788:C790)</f>
        <v>0</v>
      </c>
      <c r="D791" s="101">
        <f>SUM(D788:D790)</f>
        <v>0</v>
      </c>
      <c r="E791" s="64">
        <f>SUM(B791:D791)</f>
        <v>0</v>
      </c>
      <c r="F791" s="101">
        <f>SUM(F788:F790)</f>
        <v>0</v>
      </c>
      <c r="G791" s="101">
        <f>SUM(G788:G790)</f>
        <v>0</v>
      </c>
      <c r="H791" s="101">
        <f>SUM(H788:H790)</f>
        <v>0</v>
      </c>
      <c r="I791" s="64">
        <f>SUM(F791:H791)</f>
        <v>0</v>
      </c>
      <c r="J791" s="101">
        <f>SUM(J788:J790)</f>
        <v>0</v>
      </c>
      <c r="K791" s="101">
        <f>SUM(K788:K790)</f>
        <v>0</v>
      </c>
      <c r="L791" s="101">
        <f>SUM(L788:L790)</f>
        <v>0</v>
      </c>
      <c r="M791" s="64">
        <f>SUM(J791:L791)</f>
        <v>0</v>
      </c>
      <c r="N791" s="101">
        <f>SUM(N788:N790)</f>
        <v>0</v>
      </c>
      <c r="O791" s="101">
        <f>SUM(O788:O790)</f>
        <v>0</v>
      </c>
      <c r="P791" s="101">
        <f>SUM(P788:P790)</f>
        <v>0</v>
      </c>
      <c r="Q791" s="64">
        <f>SUM(N791:P791)</f>
        <v>0</v>
      </c>
      <c r="R791" s="64">
        <f>+E791+I791+M791+Q791</f>
        <v>0</v>
      </c>
    </row>
    <row r="792" spans="1:18" ht="15.75" customHeight="1" x14ac:dyDescent="0.3">
      <c r="A792" s="17" t="s">
        <v>58</v>
      </c>
      <c r="B792" s="1"/>
      <c r="C792" s="1"/>
      <c r="D792" s="1"/>
      <c r="E792" s="59" t="s">
        <v>7</v>
      </c>
      <c r="F792" s="1"/>
      <c r="G792" s="1"/>
      <c r="H792" s="1"/>
      <c r="I792" s="59" t="s">
        <v>7</v>
      </c>
      <c r="J792" s="1"/>
      <c r="K792" s="1"/>
      <c r="L792" s="1"/>
      <c r="M792" s="59" t="s">
        <v>7</v>
      </c>
      <c r="N792" s="1"/>
      <c r="O792" s="1"/>
      <c r="P792" s="1"/>
      <c r="Q792" s="59" t="s">
        <v>7</v>
      </c>
      <c r="R792" s="59" t="s">
        <v>7</v>
      </c>
    </row>
    <row r="793" spans="1:18" ht="15.75" customHeight="1" x14ac:dyDescent="0.3">
      <c r="A793" s="17" t="s">
        <v>59</v>
      </c>
      <c r="B793" s="1"/>
      <c r="C793" s="1"/>
      <c r="D793" s="1"/>
      <c r="E793" s="59" t="s">
        <v>7</v>
      </c>
      <c r="F793" s="1"/>
      <c r="G793" s="1"/>
      <c r="H793" s="1"/>
      <c r="I793" s="59" t="s">
        <v>7</v>
      </c>
      <c r="J793" s="1"/>
      <c r="K793" s="1"/>
      <c r="L793" s="1"/>
      <c r="M793" s="59" t="s">
        <v>7</v>
      </c>
      <c r="N793" s="1"/>
      <c r="O793" s="1"/>
      <c r="P793" s="1"/>
      <c r="Q793" s="59" t="s">
        <v>7</v>
      </c>
      <c r="R793" s="59" t="s">
        <v>7</v>
      </c>
    </row>
    <row r="794" spans="1:18" ht="15.75" customHeight="1" thickBot="1" x14ac:dyDescent="0.35">
      <c r="A794" s="17" t="s">
        <v>60</v>
      </c>
      <c r="B794" s="1"/>
      <c r="C794" s="1"/>
      <c r="D794" s="1"/>
      <c r="E794" s="59" t="s">
        <v>7</v>
      </c>
      <c r="F794" s="1"/>
      <c r="G794" s="1"/>
      <c r="H794" s="1"/>
      <c r="I794" s="59" t="s">
        <v>7</v>
      </c>
      <c r="J794" s="1"/>
      <c r="K794" s="1"/>
      <c r="L794" s="1"/>
      <c r="M794" s="59" t="s">
        <v>7</v>
      </c>
      <c r="N794" s="1"/>
      <c r="O794" s="1"/>
      <c r="P794" s="1"/>
      <c r="Q794" s="59" t="s">
        <v>7</v>
      </c>
      <c r="R794" s="59" t="s">
        <v>7</v>
      </c>
    </row>
    <row r="795" spans="1:18" ht="16.5" customHeight="1" thickBot="1" x14ac:dyDescent="0.35">
      <c r="A795" s="62" t="s">
        <v>61</v>
      </c>
      <c r="B795" s="100">
        <f>SUM(B792:B794)</f>
        <v>0</v>
      </c>
      <c r="C795" s="101">
        <f>SUM(C792:C794)</f>
        <v>0</v>
      </c>
      <c r="D795" s="101">
        <f>SUM(D792:D794)</f>
        <v>0</v>
      </c>
      <c r="E795" s="64">
        <f>SUM(B795:D795)</f>
        <v>0</v>
      </c>
      <c r="F795" s="101">
        <f>SUM(F792:F794)</f>
        <v>0</v>
      </c>
      <c r="G795" s="101">
        <f>SUM(G792:G794)</f>
        <v>0</v>
      </c>
      <c r="H795" s="101">
        <f>SUM(H792:H794)</f>
        <v>0</v>
      </c>
      <c r="I795" s="64">
        <f>SUM(F795:H795)</f>
        <v>0</v>
      </c>
      <c r="J795" s="101">
        <f>SUM(J792:J794)</f>
        <v>0</v>
      </c>
      <c r="K795" s="101">
        <f>SUM(K792:K794)</f>
        <v>0</v>
      </c>
      <c r="L795" s="101">
        <f>SUM(L792:L794)</f>
        <v>0</v>
      </c>
      <c r="M795" s="64">
        <f>SUM(J795:L795)</f>
        <v>0</v>
      </c>
      <c r="N795" s="101">
        <f>SUM(N792:N794)</f>
        <v>0</v>
      </c>
      <c r="O795" s="101">
        <f>SUM(O792:O794)</f>
        <v>0</v>
      </c>
      <c r="P795" s="101">
        <f>SUM(P792:P794)</f>
        <v>0</v>
      </c>
      <c r="Q795" s="64">
        <f>SUM(N795:P795)</f>
        <v>0</v>
      </c>
      <c r="R795" s="64">
        <f>+E795+I795+M795+Q795</f>
        <v>0</v>
      </c>
    </row>
    <row r="796" spans="1:18" ht="15.75" customHeight="1" x14ac:dyDescent="0.3">
      <c r="A796" s="17" t="s">
        <v>62</v>
      </c>
      <c r="B796" s="1"/>
      <c r="C796" s="1"/>
      <c r="D796" s="1"/>
      <c r="E796" s="59" t="s">
        <v>7</v>
      </c>
      <c r="F796" s="1"/>
      <c r="G796" s="1"/>
      <c r="H796" s="1"/>
      <c r="I796" s="59" t="s">
        <v>7</v>
      </c>
      <c r="J796" s="1"/>
      <c r="K796" s="1"/>
      <c r="L796" s="1"/>
      <c r="M796" s="59" t="s">
        <v>7</v>
      </c>
      <c r="N796" s="1"/>
      <c r="O796" s="1"/>
      <c r="P796" s="1"/>
      <c r="Q796" s="59" t="s">
        <v>7</v>
      </c>
      <c r="R796" s="59" t="s">
        <v>7</v>
      </c>
    </row>
    <row r="797" spans="1:18" ht="15.75" customHeight="1" x14ac:dyDescent="0.3">
      <c r="A797" s="17" t="s">
        <v>63</v>
      </c>
      <c r="B797" s="1"/>
      <c r="C797" s="1"/>
      <c r="D797" s="1"/>
      <c r="E797" s="59" t="s">
        <v>7</v>
      </c>
      <c r="F797" s="1"/>
      <c r="G797" s="1"/>
      <c r="H797" s="1"/>
      <c r="I797" s="59" t="s">
        <v>7</v>
      </c>
      <c r="J797" s="1"/>
      <c r="K797" s="1"/>
      <c r="L797" s="1"/>
      <c r="M797" s="59" t="s">
        <v>7</v>
      </c>
      <c r="N797" s="1"/>
      <c r="O797" s="1"/>
      <c r="P797" s="1"/>
      <c r="Q797" s="59" t="s">
        <v>7</v>
      </c>
      <c r="R797" s="59" t="s">
        <v>7</v>
      </c>
    </row>
    <row r="798" spans="1:18" ht="15.75" customHeight="1" x14ac:dyDescent="0.3">
      <c r="A798" s="17" t="s">
        <v>64</v>
      </c>
      <c r="B798" s="1"/>
      <c r="C798" s="1"/>
      <c r="D798" s="1"/>
      <c r="E798" s="59" t="s">
        <v>7</v>
      </c>
      <c r="F798" s="1"/>
      <c r="G798" s="1"/>
      <c r="H798" s="1"/>
      <c r="I798" s="59" t="s">
        <v>7</v>
      </c>
      <c r="J798" s="1"/>
      <c r="K798" s="1"/>
      <c r="L798" s="1"/>
      <c r="M798" s="59" t="s">
        <v>7</v>
      </c>
      <c r="N798" s="1"/>
      <c r="O798" s="1"/>
      <c r="P798" s="1"/>
      <c r="Q798" s="59" t="s">
        <v>7</v>
      </c>
      <c r="R798" s="59" t="s">
        <v>7</v>
      </c>
    </row>
    <row r="799" spans="1:18" ht="15.75" customHeight="1" x14ac:dyDescent="0.3">
      <c r="A799" s="17" t="s">
        <v>66</v>
      </c>
      <c r="B799" s="1"/>
      <c r="C799" s="1"/>
      <c r="D799" s="1"/>
      <c r="E799" s="59" t="s">
        <v>7</v>
      </c>
      <c r="F799" s="1"/>
      <c r="G799" s="1"/>
      <c r="H799" s="1"/>
      <c r="I799" s="59" t="s">
        <v>7</v>
      </c>
      <c r="J799" s="1"/>
      <c r="K799" s="1"/>
      <c r="L799" s="1"/>
      <c r="M799" s="59" t="s">
        <v>7</v>
      </c>
      <c r="N799" s="1"/>
      <c r="O799" s="1"/>
      <c r="P799" s="1"/>
      <c r="Q799" s="59" t="s">
        <v>7</v>
      </c>
      <c r="R799" s="59" t="s">
        <v>7</v>
      </c>
    </row>
    <row r="800" spans="1:18" ht="15.75" customHeight="1" thickBot="1" x14ac:dyDescent="0.35">
      <c r="A800" s="17" t="s">
        <v>67</v>
      </c>
      <c r="B800" s="1"/>
      <c r="C800" s="1"/>
      <c r="D800" s="1"/>
      <c r="E800" s="59" t="s">
        <v>7</v>
      </c>
      <c r="F800" s="1"/>
      <c r="G800" s="1"/>
      <c r="H800" s="1"/>
      <c r="I800" s="59" t="s">
        <v>7</v>
      </c>
      <c r="J800" s="1"/>
      <c r="K800" s="1"/>
      <c r="L800" s="1"/>
      <c r="M800" s="59" t="s">
        <v>7</v>
      </c>
      <c r="N800" s="1"/>
      <c r="O800" s="1"/>
      <c r="P800" s="1"/>
      <c r="Q800" s="59" t="s">
        <v>7</v>
      </c>
      <c r="R800" s="59" t="s">
        <v>7</v>
      </c>
    </row>
    <row r="801" spans="1:18" ht="16.5" customHeight="1" thickBot="1" x14ac:dyDescent="0.35">
      <c r="A801" s="62" t="s">
        <v>68</v>
      </c>
      <c r="B801" s="63">
        <f>SUM(B799:B800)</f>
        <v>0</v>
      </c>
      <c r="C801" s="63">
        <f>SUM(C799:C800)</f>
        <v>0</v>
      </c>
      <c r="D801" s="63">
        <f>SUM(D799:D800)</f>
        <v>0</v>
      </c>
      <c r="E801" s="65">
        <f>SUM(B801:D801)</f>
        <v>0</v>
      </c>
      <c r="F801" s="63">
        <f>SUM(F799:F800)</f>
        <v>0</v>
      </c>
      <c r="G801" s="63">
        <f>SUM(G799:G800)</f>
        <v>0</v>
      </c>
      <c r="H801" s="63">
        <f>SUM(H799:H800)</f>
        <v>0</v>
      </c>
      <c r="I801" s="65">
        <f>SUM(F801:H801)</f>
        <v>0</v>
      </c>
      <c r="J801" s="63">
        <f>SUM(J799:J800)</f>
        <v>0</v>
      </c>
      <c r="K801" s="63">
        <f>SUM(K799:K800)</f>
        <v>0</v>
      </c>
      <c r="L801" s="63">
        <f>SUM(L799:L800)</f>
        <v>0</v>
      </c>
      <c r="M801" s="65">
        <f>SUM(J801:L801)</f>
        <v>0</v>
      </c>
      <c r="N801" s="63">
        <f>SUM(N799:N800)</f>
        <v>0</v>
      </c>
      <c r="O801" s="63">
        <f>SUM(O799:O800)</f>
        <v>0</v>
      </c>
      <c r="P801" s="63">
        <f>SUM(P799:P800)</f>
        <v>0</v>
      </c>
      <c r="Q801" s="65">
        <f>SUM(N801:P801)</f>
        <v>0</v>
      </c>
      <c r="R801" s="64">
        <f>+E801+I801+M801+Q801</f>
        <v>0</v>
      </c>
    </row>
    <row r="802" spans="1:18" ht="16.5" customHeight="1" thickBot="1" x14ac:dyDescent="0.35">
      <c r="A802" s="62" t="s">
        <v>69</v>
      </c>
      <c r="B802" s="100">
        <f>SUM(B796:B800)</f>
        <v>0</v>
      </c>
      <c r="C802" s="101">
        <f>SUM(C796:C800)</f>
        <v>0</v>
      </c>
      <c r="D802" s="138">
        <f>SUM(D796:D800)</f>
        <v>0</v>
      </c>
      <c r="E802" s="65">
        <f>SUM(B802:D802)</f>
        <v>0</v>
      </c>
      <c r="F802" s="101">
        <f>SUM(F796:F800)</f>
        <v>0</v>
      </c>
      <c r="G802" s="101">
        <f>SUM(G796:G800)</f>
        <v>0</v>
      </c>
      <c r="H802" s="101">
        <f>SUM(H796:H800)</f>
        <v>0</v>
      </c>
      <c r="I802" s="65">
        <f>SUM(F802:H802)</f>
        <v>0</v>
      </c>
      <c r="J802" s="101">
        <f>SUM(J796:J800)</f>
        <v>0</v>
      </c>
      <c r="K802" s="101">
        <f>SUM(K796:K800)</f>
        <v>0</v>
      </c>
      <c r="L802" s="101">
        <f>SUM(L796:L800)</f>
        <v>0</v>
      </c>
      <c r="M802" s="65">
        <f>SUM(J802:L802)</f>
        <v>0</v>
      </c>
      <c r="N802" s="101">
        <f>SUM(N796:N800)</f>
        <v>0</v>
      </c>
      <c r="O802" s="101">
        <f>SUM(O796:O800)</f>
        <v>0</v>
      </c>
      <c r="P802" s="101">
        <f>SUM(P796:P800)</f>
        <v>0</v>
      </c>
      <c r="Q802" s="65">
        <f>SUM(N802:P802)</f>
        <v>0</v>
      </c>
      <c r="R802" s="64">
        <f>+E802+I802+M802+Q802</f>
        <v>0</v>
      </c>
    </row>
    <row r="803" spans="1:18" ht="16.5" customHeight="1" thickBot="1" x14ac:dyDescent="0.35">
      <c r="A803" s="62" t="s">
        <v>70</v>
      </c>
      <c r="B803" s="107">
        <f>+B787+B791+B795+B802</f>
        <v>0</v>
      </c>
      <c r="C803" s="63">
        <f>+C787+C791+C795+C802</f>
        <v>0</v>
      </c>
      <c r="D803" s="63">
        <f>+D787+D791+D795+D802</f>
        <v>0</v>
      </c>
      <c r="E803" s="64">
        <f>SUM(B803:D803)</f>
        <v>0</v>
      </c>
      <c r="F803" s="63">
        <f>+F787+F791+F795+F802</f>
        <v>0</v>
      </c>
      <c r="G803" s="63">
        <f>+G787+G791+G795+G802</f>
        <v>0</v>
      </c>
      <c r="H803" s="63">
        <f>+H787+H791+H795+H802</f>
        <v>0</v>
      </c>
      <c r="I803" s="64">
        <f>SUM(F803:H803)</f>
        <v>0</v>
      </c>
      <c r="J803" s="63">
        <f>+J787+J791+J795+J802</f>
        <v>0</v>
      </c>
      <c r="K803" s="63">
        <f>+K787+K791+K795+K802</f>
        <v>0</v>
      </c>
      <c r="L803" s="63">
        <f>+L787+L791+L795+L802</f>
        <v>0</v>
      </c>
      <c r="M803" s="64">
        <f>SUM(J803:L803)</f>
        <v>0</v>
      </c>
      <c r="N803" s="63">
        <f>+N787+N791+N795+N802</f>
        <v>0</v>
      </c>
      <c r="O803" s="63">
        <f>+O787+O791+O795+O802</f>
        <v>0</v>
      </c>
      <c r="P803" s="63">
        <f>+P787+P791+P795+P802</f>
        <v>0</v>
      </c>
      <c r="Q803" s="64">
        <f>SUM(N803:P803)</f>
        <v>0</v>
      </c>
      <c r="R803" s="88">
        <f>+E803+I803+M803+Q803</f>
        <v>0</v>
      </c>
    </row>
    <row r="804" spans="1:18" ht="15.75" customHeight="1" x14ac:dyDescent="0.3">
      <c r="A804" s="74" t="s">
        <v>588</v>
      </c>
      <c r="B804" s="1">
        <v>3805</v>
      </c>
      <c r="C804" s="1">
        <v>3805</v>
      </c>
      <c r="D804" s="1">
        <v>4757</v>
      </c>
      <c r="E804" s="59">
        <f>SUM(B804:D804)</f>
        <v>12367</v>
      </c>
      <c r="F804" s="1">
        <v>5708</v>
      </c>
      <c r="G804" s="1">
        <v>6659</v>
      </c>
      <c r="H804" s="1">
        <v>6850</v>
      </c>
      <c r="I804" s="59">
        <f>SUM(F804:H804)</f>
        <v>19217</v>
      </c>
      <c r="J804" s="1">
        <v>6184</v>
      </c>
      <c r="K804" s="1">
        <v>5708</v>
      </c>
      <c r="L804" s="1">
        <v>5232</v>
      </c>
      <c r="M804" s="59">
        <f>SUM(J804:L804)</f>
        <v>17124</v>
      </c>
      <c r="N804" s="1">
        <v>4757</v>
      </c>
      <c r="O804" s="1">
        <v>4281</v>
      </c>
      <c r="P804" s="1">
        <v>3805</v>
      </c>
      <c r="Q804" s="59">
        <f>SUM(N804:P804)</f>
        <v>12843</v>
      </c>
      <c r="R804" s="59">
        <f>+E804+I804+M804+Q804</f>
        <v>61551</v>
      </c>
    </row>
    <row r="805" spans="1:18" ht="15.75" customHeight="1" thickBot="1" x14ac:dyDescent="0.35">
      <c r="A805" s="74" t="s">
        <v>37</v>
      </c>
      <c r="B805" s="1">
        <v>0</v>
      </c>
      <c r="C805" s="1">
        <v>0</v>
      </c>
      <c r="D805" s="1">
        <v>0</v>
      </c>
      <c r="E805" s="59">
        <f>SUM(B805:D805)</f>
        <v>0</v>
      </c>
      <c r="F805" s="1">
        <v>0</v>
      </c>
      <c r="G805" s="1">
        <v>0</v>
      </c>
      <c r="H805" s="1">
        <v>0</v>
      </c>
      <c r="I805" s="59">
        <f>SUM(F805:H805)</f>
        <v>0</v>
      </c>
      <c r="J805" s="1">
        <v>0</v>
      </c>
      <c r="K805" s="1">
        <v>0</v>
      </c>
      <c r="L805" s="1">
        <v>0</v>
      </c>
      <c r="M805" s="59">
        <f>SUM(J805:L805)</f>
        <v>0</v>
      </c>
      <c r="N805" s="1">
        <v>0</v>
      </c>
      <c r="O805" s="1">
        <v>0</v>
      </c>
      <c r="P805" s="1">
        <v>0</v>
      </c>
      <c r="Q805" s="59">
        <f>SUM(N805:P805)</f>
        <v>0</v>
      </c>
      <c r="R805" s="59">
        <f>+E805+I805+M805+Q805</f>
        <v>0</v>
      </c>
    </row>
    <row r="806" spans="1:18" ht="16.5" customHeight="1" thickBot="1" x14ac:dyDescent="0.35">
      <c r="A806" s="154"/>
      <c r="B806" s="56"/>
      <c r="C806" s="56"/>
      <c r="D806" s="56"/>
      <c r="E806" s="64" t="s">
        <v>7</v>
      </c>
      <c r="F806" s="56"/>
      <c r="G806" s="56"/>
      <c r="H806" s="56"/>
      <c r="I806" s="64" t="s">
        <v>7</v>
      </c>
      <c r="J806" s="56"/>
      <c r="K806" s="56"/>
      <c r="L806" s="56"/>
      <c r="M806" s="64" t="s">
        <v>7</v>
      </c>
      <c r="N806" s="56"/>
      <c r="O806" s="56"/>
      <c r="P806" s="56"/>
      <c r="Q806" s="64"/>
      <c r="R806" s="64"/>
    </row>
    <row r="807" spans="1:18" ht="15.75" customHeight="1" x14ac:dyDescent="0.3">
      <c r="A807" s="17" t="s">
        <v>38</v>
      </c>
      <c r="B807" s="1">
        <f>SUM(B803:B805)</f>
        <v>3805</v>
      </c>
      <c r="C807" s="1">
        <f>SUM(C803:C805)</f>
        <v>3805</v>
      </c>
      <c r="D807" s="1">
        <f>SUM(D803:D805)</f>
        <v>4757</v>
      </c>
      <c r="E807" s="65">
        <f>SUM(B807:D807)</f>
        <v>12367</v>
      </c>
      <c r="F807" s="1">
        <f>SUM(F803:F805)</f>
        <v>5708</v>
      </c>
      <c r="G807" s="1">
        <f>SUM(G803:G805)</f>
        <v>6659</v>
      </c>
      <c r="H807" s="1">
        <f>SUM(H803:H805)</f>
        <v>6850</v>
      </c>
      <c r="I807" s="65">
        <f>SUM(F807:H807)</f>
        <v>19217</v>
      </c>
      <c r="J807" s="1">
        <f>SUM(J803:J805)</f>
        <v>6184</v>
      </c>
      <c r="K807" s="1">
        <f>SUM(K803:K805)</f>
        <v>5708</v>
      </c>
      <c r="L807" s="1">
        <f>SUM(L803:L805)</f>
        <v>5232</v>
      </c>
      <c r="M807" s="65">
        <f>SUM(J807:L807)</f>
        <v>17124</v>
      </c>
      <c r="N807" s="1">
        <f>SUM(N803:N805)</f>
        <v>4757</v>
      </c>
      <c r="O807" s="1">
        <f>SUM(O803:O805)</f>
        <v>4281</v>
      </c>
      <c r="P807" s="1">
        <f>SUM(P803:P805)</f>
        <v>3805</v>
      </c>
      <c r="Q807" s="65">
        <f>SUM(N807:P807)</f>
        <v>12843</v>
      </c>
      <c r="R807" s="65">
        <f>+E807+I807+M807+Q807</f>
        <v>61551</v>
      </c>
    </row>
    <row r="808" spans="1:18" ht="15.75" customHeight="1" x14ac:dyDescent="0.3">
      <c r="A808" s="17" t="s">
        <v>39</v>
      </c>
      <c r="B808" s="1">
        <f>(B807/B10)/1.983</f>
        <v>61.897093032713542</v>
      </c>
      <c r="C808" s="1">
        <f>(C807/C10)/1.983</f>
        <v>66.165858069452412</v>
      </c>
      <c r="D808" s="1">
        <f>(D807/D10)/1.983</f>
        <v>77.383566769150676</v>
      </c>
      <c r="E808" s="59" t="s">
        <v>7</v>
      </c>
      <c r="F808" s="1">
        <f>(F807/F10)/1.983</f>
        <v>95.948898974617592</v>
      </c>
      <c r="G808" s="1">
        <f>(G807/G10)/1.983</f>
        <v>108.32397963333496</v>
      </c>
      <c r="H808" s="1">
        <f>(H807/H10)/1.983</f>
        <v>115.14540258867036</v>
      </c>
      <c r="I808" s="59" t="s">
        <v>7</v>
      </c>
      <c r="J808" s="1">
        <f>(J807/J10)/1.983</f>
        <v>100.59701006946138</v>
      </c>
      <c r="K808" s="1">
        <f>(K807/K10)/1.983</f>
        <v>92.853773201242817</v>
      </c>
      <c r="L808" s="1">
        <f>(L807/L10)/1.983</f>
        <v>87.947554210791722</v>
      </c>
      <c r="M808" s="59" t="s">
        <v>7</v>
      </c>
      <c r="N808" s="1">
        <f>(N807/N10)/1.983</f>
        <v>77.383566769150676</v>
      </c>
      <c r="O808" s="1">
        <f>(O807/O10)/1.983</f>
        <v>71.961674230963183</v>
      </c>
      <c r="P808" s="1">
        <f>(P807/P10)/1.983</f>
        <v>61.897093032713542</v>
      </c>
      <c r="Q808" s="59" t="s">
        <v>7</v>
      </c>
      <c r="R808" s="59" t="s">
        <v>7</v>
      </c>
    </row>
    <row r="809" spans="1:18" ht="15.75" customHeight="1" x14ac:dyDescent="0.3">
      <c r="A809" s="17" t="s">
        <v>589</v>
      </c>
      <c r="B809" s="1">
        <f>B807</f>
        <v>3805</v>
      </c>
      <c r="C809" s="1">
        <f>C807</f>
        <v>3805</v>
      </c>
      <c r="D809" s="1">
        <f>D807</f>
        <v>4757</v>
      </c>
      <c r="E809" s="59">
        <f>SUM(B809:D809)</f>
        <v>12367</v>
      </c>
      <c r="F809" s="1">
        <f>F807</f>
        <v>5708</v>
      </c>
      <c r="G809" s="1">
        <f>G807</f>
        <v>6659</v>
      </c>
      <c r="H809" s="1">
        <f>H807</f>
        <v>6850</v>
      </c>
      <c r="I809" s="59">
        <f>SUM(F809:H809)</f>
        <v>19217</v>
      </c>
      <c r="J809" s="1">
        <f>J807</f>
        <v>6184</v>
      </c>
      <c r="K809" s="1">
        <f>K807</f>
        <v>5708</v>
      </c>
      <c r="L809" s="1">
        <f>L807</f>
        <v>5232</v>
      </c>
      <c r="M809" s="59">
        <f>SUM(J809:L809)</f>
        <v>17124</v>
      </c>
      <c r="N809" s="1">
        <f>N807</f>
        <v>4757</v>
      </c>
      <c r="O809" s="1">
        <f>O807</f>
        <v>4281</v>
      </c>
      <c r="P809" s="1">
        <f>P807</f>
        <v>3805</v>
      </c>
      <c r="Q809" s="59">
        <f>SUM(N809:P809)</f>
        <v>12843</v>
      </c>
      <c r="R809" s="59">
        <f>+E809+I809+M809+Q809</f>
        <v>61551</v>
      </c>
    </row>
    <row r="810" spans="1:18" ht="16.5" customHeight="1" thickBot="1" x14ac:dyDescent="0.35">
      <c r="A810" s="24" t="s">
        <v>590</v>
      </c>
      <c r="B810" s="25">
        <f>(B809/B10)/1.983</f>
        <v>61.897093032713542</v>
      </c>
      <c r="C810" s="25">
        <f>(C809/C10)/1.983</f>
        <v>66.165858069452412</v>
      </c>
      <c r="D810" s="25">
        <f>(D809/D10)/1.983</f>
        <v>77.383566769150676</v>
      </c>
      <c r="E810" s="88" t="s">
        <v>7</v>
      </c>
      <c r="F810" s="25">
        <f>(F809/F10)/1.983</f>
        <v>95.948898974617592</v>
      </c>
      <c r="G810" s="25">
        <f>(G809/G10)/1.983</f>
        <v>108.32397963333496</v>
      </c>
      <c r="H810" s="25">
        <f>(H809/H10)/1.983</f>
        <v>115.14540258867036</v>
      </c>
      <c r="I810" s="88" t="s">
        <v>7</v>
      </c>
      <c r="J810" s="25">
        <f>(J809/J10)/1.983</f>
        <v>100.59701006946138</v>
      </c>
      <c r="K810" s="25">
        <f>(K809/K10)/1.983</f>
        <v>92.853773201242817</v>
      </c>
      <c r="L810" s="25">
        <f>(L809/L10)/1.983</f>
        <v>87.947554210791722</v>
      </c>
      <c r="M810" s="88" t="s">
        <v>7</v>
      </c>
      <c r="N810" s="25">
        <f>(N809/N10)/1.983</f>
        <v>77.383566769150676</v>
      </c>
      <c r="O810" s="25">
        <f>(O809/O10)/1.983</f>
        <v>71.961674230963183</v>
      </c>
      <c r="P810" s="25">
        <f>(P809/P10)/1.983</f>
        <v>61.897093032713542</v>
      </c>
      <c r="Q810" s="88" t="s">
        <v>7</v>
      </c>
      <c r="R810" s="88" t="s">
        <v>7</v>
      </c>
    </row>
    <row r="811" spans="1:18" ht="15.75" customHeight="1" x14ac:dyDescent="0.3">
      <c r="A811" s="28"/>
      <c r="B811" s="1"/>
      <c r="C811" s="1"/>
      <c r="D811" s="1"/>
      <c r="E811" s="1"/>
      <c r="F811" s="1"/>
      <c r="G811" s="1"/>
      <c r="H811" s="1"/>
      <c r="I811" s="1"/>
      <c r="J811" s="1"/>
      <c r="K811" s="1"/>
      <c r="L811" s="1"/>
      <c r="M811" s="1"/>
      <c r="N811" s="1"/>
      <c r="O811" s="1"/>
      <c r="P811" s="1"/>
      <c r="Q811" s="1"/>
      <c r="R811" s="28"/>
    </row>
    <row r="812" spans="1:18" ht="15.75" customHeight="1" thickBot="1" x14ac:dyDescent="0.35">
      <c r="A812" s="28"/>
      <c r="B812" s="1"/>
      <c r="C812" s="1"/>
      <c r="D812" s="1"/>
      <c r="E812" s="1"/>
      <c r="F812" s="1"/>
      <c r="G812" s="1"/>
      <c r="H812" s="1"/>
      <c r="I812" s="1"/>
      <c r="J812" s="1"/>
      <c r="K812" s="1"/>
      <c r="L812" s="1"/>
      <c r="M812" s="1"/>
      <c r="N812" s="1"/>
      <c r="O812" s="1"/>
      <c r="P812" s="1"/>
      <c r="Q812" s="1"/>
      <c r="R812" s="28"/>
    </row>
    <row r="813" spans="1:18" ht="16.5" customHeight="1" thickBot="1" x14ac:dyDescent="0.35">
      <c r="A813" s="145" t="s">
        <v>591</v>
      </c>
      <c r="B813" s="32" t="s">
        <v>36</v>
      </c>
      <c r="C813" s="33" t="s">
        <v>9</v>
      </c>
      <c r="D813" s="33" t="s">
        <v>10</v>
      </c>
      <c r="E813" s="12" t="s">
        <v>11</v>
      </c>
      <c r="F813" s="33" t="s">
        <v>12</v>
      </c>
      <c r="G813" s="33" t="s">
        <v>13</v>
      </c>
      <c r="H813" s="33" t="s">
        <v>14</v>
      </c>
      <c r="I813" s="34" t="s">
        <v>15</v>
      </c>
      <c r="J813" s="33" t="s">
        <v>16</v>
      </c>
      <c r="K813" s="33" t="s">
        <v>17</v>
      </c>
      <c r="L813" s="33" t="s">
        <v>18</v>
      </c>
      <c r="M813" s="34" t="s">
        <v>19</v>
      </c>
      <c r="N813" s="33" t="s">
        <v>20</v>
      </c>
      <c r="O813" s="33" t="s">
        <v>21</v>
      </c>
      <c r="P813" s="33" t="s">
        <v>22</v>
      </c>
      <c r="Q813" s="34" t="s">
        <v>23</v>
      </c>
      <c r="R813" s="157" t="s">
        <v>24</v>
      </c>
    </row>
    <row r="814" spans="1:18" ht="16.5" customHeight="1" thickBot="1" x14ac:dyDescent="0.35">
      <c r="A814" s="42"/>
      <c r="B814" s="37"/>
      <c r="C814" s="37"/>
      <c r="D814" s="37"/>
      <c r="E814" s="16"/>
      <c r="F814" s="37"/>
      <c r="G814" s="37"/>
      <c r="H814" s="37"/>
      <c r="I814" s="156"/>
      <c r="J814" s="37"/>
      <c r="K814" s="37"/>
      <c r="L814" s="37"/>
      <c r="M814" s="156"/>
      <c r="N814" s="37"/>
      <c r="O814" s="37"/>
      <c r="P814" s="37"/>
      <c r="Q814" s="158"/>
      <c r="R814" s="159"/>
    </row>
    <row r="815" spans="1:18" ht="15.75" customHeight="1" x14ac:dyDescent="0.3">
      <c r="A815" s="17" t="s">
        <v>45</v>
      </c>
      <c r="B815" s="1" t="s">
        <v>7</v>
      </c>
      <c r="C815" s="1" t="s">
        <v>7</v>
      </c>
      <c r="D815" s="1" t="s">
        <v>7</v>
      </c>
      <c r="E815" s="160"/>
      <c r="F815" s="1" t="s">
        <v>7</v>
      </c>
      <c r="G815" s="1" t="s">
        <v>7</v>
      </c>
      <c r="H815" s="1" t="s">
        <v>7</v>
      </c>
      <c r="I815" s="160"/>
      <c r="J815" s="1" t="s">
        <v>7</v>
      </c>
      <c r="K815" s="1" t="s">
        <v>7</v>
      </c>
      <c r="L815" s="1" t="s">
        <v>7</v>
      </c>
      <c r="M815" s="160"/>
      <c r="N815" s="1" t="s">
        <v>7</v>
      </c>
      <c r="O815" s="1" t="s">
        <v>7</v>
      </c>
      <c r="P815" s="1" t="s">
        <v>7</v>
      </c>
      <c r="Q815" s="161"/>
      <c r="R815" s="162" t="s">
        <v>7</v>
      </c>
    </row>
    <row r="816" spans="1:18" ht="15.75" customHeight="1" x14ac:dyDescent="0.3">
      <c r="A816" s="17" t="s">
        <v>46</v>
      </c>
      <c r="B816" s="1"/>
      <c r="C816" s="1"/>
      <c r="D816" s="1"/>
      <c r="E816" s="59" t="s">
        <v>7</v>
      </c>
      <c r="F816" s="1"/>
      <c r="G816" s="1"/>
      <c r="H816" s="1"/>
      <c r="I816" s="59" t="s">
        <v>7</v>
      </c>
      <c r="J816" s="1"/>
      <c r="K816" s="1"/>
      <c r="L816" s="1"/>
      <c r="M816" s="59" t="s">
        <v>7</v>
      </c>
      <c r="N816" s="1"/>
      <c r="O816" s="1"/>
      <c r="P816" s="1"/>
      <c r="Q816" s="59" t="s">
        <v>7</v>
      </c>
      <c r="R816" s="59" t="s">
        <v>7</v>
      </c>
    </row>
    <row r="817" spans="1:20" ht="15.75" customHeight="1" x14ac:dyDescent="0.3">
      <c r="A817" s="74" t="s">
        <v>592</v>
      </c>
      <c r="B817" s="1"/>
      <c r="C817" s="1"/>
      <c r="D817" s="1"/>
      <c r="E817" s="59">
        <f t="shared" ref="E817:E822" si="280">SUM(B817:D817)</f>
        <v>0</v>
      </c>
      <c r="F817" s="1"/>
      <c r="G817" s="1"/>
      <c r="H817" s="1"/>
      <c r="I817" s="59">
        <f t="shared" ref="I817:I822" si="281">SUM(F817:H817)</f>
        <v>0</v>
      </c>
      <c r="J817" s="1"/>
      <c r="K817" s="1"/>
      <c r="L817" s="1"/>
      <c r="M817" s="59">
        <f t="shared" ref="M817:M822" si="282">SUM(J817:L817)</f>
        <v>0</v>
      </c>
      <c r="N817" s="1"/>
      <c r="O817" s="1"/>
      <c r="P817" s="1"/>
      <c r="Q817" s="59">
        <f t="shared" ref="Q817:Q822" si="283">SUM(N817:P817)</f>
        <v>0</v>
      </c>
      <c r="R817" s="59">
        <f t="shared" ref="R817:R822" si="284">+E817+I817+M817+Q817</f>
        <v>0</v>
      </c>
      <c r="T817" s="4" t="s">
        <v>593</v>
      </c>
    </row>
    <row r="818" spans="1:20" ht="15.75" customHeight="1" x14ac:dyDescent="0.3">
      <c r="A818" s="74" t="s">
        <v>594</v>
      </c>
      <c r="B818" s="1"/>
      <c r="C818" s="1"/>
      <c r="D818" s="1"/>
      <c r="E818" s="59">
        <f t="shared" si="280"/>
        <v>0</v>
      </c>
      <c r="F818" s="1"/>
      <c r="G818" s="1"/>
      <c r="H818" s="1"/>
      <c r="I818" s="59">
        <f t="shared" si="281"/>
        <v>0</v>
      </c>
      <c r="J818" s="1"/>
      <c r="K818" s="1"/>
      <c r="L818" s="1"/>
      <c r="M818" s="59">
        <f t="shared" si="282"/>
        <v>0</v>
      </c>
      <c r="N818" s="1"/>
      <c r="O818" s="1"/>
      <c r="P818" s="1"/>
      <c r="Q818" s="59">
        <f t="shared" si="283"/>
        <v>0</v>
      </c>
      <c r="R818" s="59">
        <f t="shared" si="284"/>
        <v>0</v>
      </c>
    </row>
    <row r="819" spans="1:20" ht="15.75" customHeight="1" x14ac:dyDescent="0.3">
      <c r="A819" s="74" t="s">
        <v>595</v>
      </c>
      <c r="B819" s="1"/>
      <c r="C819" s="1"/>
      <c r="D819" s="1"/>
      <c r="E819" s="59">
        <f t="shared" si="280"/>
        <v>0</v>
      </c>
      <c r="F819" s="1"/>
      <c r="G819" s="1"/>
      <c r="H819" s="1"/>
      <c r="I819" s="59">
        <f t="shared" si="281"/>
        <v>0</v>
      </c>
      <c r="J819" s="1"/>
      <c r="K819" s="1"/>
      <c r="L819" s="1"/>
      <c r="M819" s="59">
        <f t="shared" si="282"/>
        <v>0</v>
      </c>
      <c r="N819" s="1"/>
      <c r="O819" s="1"/>
      <c r="P819" s="1"/>
      <c r="Q819" s="59">
        <f t="shared" si="283"/>
        <v>0</v>
      </c>
      <c r="R819" s="59">
        <f t="shared" si="284"/>
        <v>0</v>
      </c>
    </row>
    <row r="820" spans="1:20" ht="15.75" customHeight="1" x14ac:dyDescent="0.3">
      <c r="A820" s="74" t="s">
        <v>596</v>
      </c>
      <c r="B820" s="1">
        <v>250</v>
      </c>
      <c r="C820" s="1"/>
      <c r="D820" s="1"/>
      <c r="E820" s="59">
        <f t="shared" si="280"/>
        <v>250</v>
      </c>
      <c r="F820" s="1"/>
      <c r="G820" s="1"/>
      <c r="H820" s="1"/>
      <c r="I820" s="59">
        <f t="shared" si="281"/>
        <v>0</v>
      </c>
      <c r="J820" s="1"/>
      <c r="K820" s="1"/>
      <c r="L820" s="1"/>
      <c r="M820" s="59">
        <f t="shared" si="282"/>
        <v>0</v>
      </c>
      <c r="N820" s="1"/>
      <c r="O820" s="1"/>
      <c r="P820" s="1"/>
      <c r="Q820" s="59">
        <f t="shared" si="283"/>
        <v>0</v>
      </c>
      <c r="R820" s="59">
        <f t="shared" si="284"/>
        <v>250</v>
      </c>
    </row>
    <row r="821" spans="1:20" ht="15.75" customHeight="1" x14ac:dyDescent="0.3">
      <c r="A821" s="74" t="s">
        <v>597</v>
      </c>
      <c r="B821" s="1"/>
      <c r="C821" s="1"/>
      <c r="D821" s="1"/>
      <c r="E821" s="59">
        <f t="shared" si="280"/>
        <v>0</v>
      </c>
      <c r="F821" s="1"/>
      <c r="G821" s="1"/>
      <c r="H821" s="1"/>
      <c r="I821" s="59">
        <f t="shared" si="281"/>
        <v>0</v>
      </c>
      <c r="J821" s="1"/>
      <c r="K821" s="1">
        <v>800</v>
      </c>
      <c r="L821" s="1">
        <v>1300</v>
      </c>
      <c r="M821" s="59">
        <f t="shared" si="282"/>
        <v>2100</v>
      </c>
      <c r="N821" s="1">
        <v>800</v>
      </c>
      <c r="O821" s="1"/>
      <c r="P821" s="1"/>
      <c r="Q821" s="59">
        <f t="shared" si="283"/>
        <v>800</v>
      </c>
      <c r="R821" s="59">
        <f t="shared" si="284"/>
        <v>2900</v>
      </c>
    </row>
    <row r="822" spans="1:20" ht="15.75" customHeight="1" x14ac:dyDescent="0.3">
      <c r="A822" s="74" t="s">
        <v>598</v>
      </c>
      <c r="B822" s="1">
        <v>2352</v>
      </c>
      <c r="C822" s="1">
        <v>2554</v>
      </c>
      <c r="D822" s="1">
        <v>2016</v>
      </c>
      <c r="E822" s="59">
        <f t="shared" si="280"/>
        <v>6922</v>
      </c>
      <c r="F822" s="1">
        <v>2099</v>
      </c>
      <c r="G822" s="1">
        <v>2204</v>
      </c>
      <c r="H822" s="1">
        <v>2000</v>
      </c>
      <c r="I822" s="59">
        <f t="shared" si="281"/>
        <v>6303</v>
      </c>
      <c r="J822" s="1"/>
      <c r="K822" s="1">
        <v>3000</v>
      </c>
      <c r="L822" s="1">
        <v>2479</v>
      </c>
      <c r="M822" s="59">
        <f t="shared" si="282"/>
        <v>5479</v>
      </c>
      <c r="N822" s="1">
        <v>2000</v>
      </c>
      <c r="O822" s="1">
        <v>1296</v>
      </c>
      <c r="P822" s="1"/>
      <c r="Q822" s="59">
        <f t="shared" si="283"/>
        <v>3296</v>
      </c>
      <c r="R822" s="59">
        <f t="shared" si="284"/>
        <v>22000</v>
      </c>
    </row>
    <row r="823" spans="1:20" ht="15.75" customHeight="1" x14ac:dyDescent="0.3">
      <c r="A823" s="17" t="s">
        <v>47</v>
      </c>
      <c r="B823" s="1"/>
      <c r="C823" s="1"/>
      <c r="D823" s="1"/>
      <c r="E823" s="59" t="s">
        <v>7</v>
      </c>
      <c r="F823" s="1"/>
      <c r="G823" s="1"/>
      <c r="H823" s="1"/>
      <c r="I823" s="59" t="s">
        <v>7</v>
      </c>
      <c r="J823" s="1"/>
      <c r="K823" s="1"/>
      <c r="L823" s="1"/>
      <c r="M823" s="59" t="s">
        <v>7</v>
      </c>
      <c r="N823" s="1"/>
      <c r="O823" s="1"/>
      <c r="P823" s="1"/>
      <c r="Q823" s="59" t="s">
        <v>7</v>
      </c>
      <c r="R823" s="59" t="s">
        <v>7</v>
      </c>
    </row>
    <row r="824" spans="1:20" ht="15.75" customHeight="1" x14ac:dyDescent="0.3">
      <c r="A824" s="17" t="s">
        <v>49</v>
      </c>
      <c r="B824" s="1"/>
      <c r="C824" s="1"/>
      <c r="D824" s="1"/>
      <c r="E824" s="59" t="s">
        <v>7</v>
      </c>
      <c r="F824" s="1"/>
      <c r="G824" s="1"/>
      <c r="H824" s="1"/>
      <c r="I824" s="59" t="s">
        <v>7</v>
      </c>
      <c r="J824" s="1"/>
      <c r="K824" s="1"/>
      <c r="L824" s="1"/>
      <c r="M824" s="59" t="s">
        <v>7</v>
      </c>
      <c r="N824" s="1"/>
      <c r="O824" s="1"/>
      <c r="P824" s="1"/>
      <c r="Q824" s="59" t="s">
        <v>7</v>
      </c>
      <c r="R824" s="59" t="s">
        <v>7</v>
      </c>
    </row>
    <row r="825" spans="1:20" ht="15.75" customHeight="1" x14ac:dyDescent="0.3">
      <c r="A825" s="74" t="s">
        <v>599</v>
      </c>
      <c r="B825" s="1"/>
      <c r="C825" s="1"/>
      <c r="D825" s="1"/>
      <c r="E825" s="59">
        <f>SUM(B825:D825)</f>
        <v>0</v>
      </c>
      <c r="F825" s="1"/>
      <c r="G825" s="1"/>
      <c r="H825" s="1"/>
      <c r="I825" s="59">
        <f>SUM(F825:H825)</f>
        <v>0</v>
      </c>
      <c r="J825" s="1"/>
      <c r="K825" s="1"/>
      <c r="L825" s="1"/>
      <c r="M825" s="59">
        <f>SUM(J825:L825)</f>
        <v>0</v>
      </c>
      <c r="N825" s="1"/>
      <c r="O825" s="1"/>
      <c r="P825" s="1"/>
      <c r="Q825" s="59">
        <f>SUM(N825:P825)</f>
        <v>0</v>
      </c>
      <c r="R825" s="59">
        <f>+E825+I825+M825+Q825</f>
        <v>0</v>
      </c>
      <c r="S825" s="77" t="s">
        <v>90</v>
      </c>
    </row>
    <row r="826" spans="1:20" ht="15.75" customHeight="1" thickBot="1" x14ac:dyDescent="0.35">
      <c r="A826" s="17" t="s">
        <v>51</v>
      </c>
      <c r="B826" s="1"/>
      <c r="C826" s="1"/>
      <c r="D826" s="1"/>
      <c r="E826" s="59" t="s">
        <v>7</v>
      </c>
      <c r="F826" s="1"/>
      <c r="G826" s="1"/>
      <c r="H826" s="1"/>
      <c r="I826" s="59" t="s">
        <v>7</v>
      </c>
      <c r="J826" s="1"/>
      <c r="K826" s="1"/>
      <c r="L826" s="1"/>
      <c r="M826" s="59" t="s">
        <v>7</v>
      </c>
      <c r="N826" s="1"/>
      <c r="O826" s="1"/>
      <c r="P826" s="1"/>
      <c r="Q826" s="59" t="s">
        <v>7</v>
      </c>
      <c r="R826" s="59" t="s">
        <v>7</v>
      </c>
    </row>
    <row r="827" spans="1:20" ht="16.5" customHeight="1" thickBot="1" x14ac:dyDescent="0.35">
      <c r="A827" s="62" t="s">
        <v>52</v>
      </c>
      <c r="B827" s="100">
        <f>SUM(B815:B826)</f>
        <v>2602</v>
      </c>
      <c r="C827" s="101">
        <f>SUM(C815:C826)</f>
        <v>2554</v>
      </c>
      <c r="D827" s="101">
        <f>SUM(D815:D826)</f>
        <v>2016</v>
      </c>
      <c r="E827" s="64">
        <f>SUM(B827:D827)</f>
        <v>7172</v>
      </c>
      <c r="F827" s="101">
        <f>SUM(F815:F826)</f>
        <v>2099</v>
      </c>
      <c r="G827" s="101">
        <f>SUM(G815:G826)</f>
        <v>2204</v>
      </c>
      <c r="H827" s="101">
        <f>SUM(H815:H826)</f>
        <v>2000</v>
      </c>
      <c r="I827" s="64">
        <f>SUM(F827:H827)</f>
        <v>6303</v>
      </c>
      <c r="J827" s="101">
        <f>SUM(J815:J826)</f>
        <v>0</v>
      </c>
      <c r="K827" s="101">
        <f>SUM(K815:K826)</f>
        <v>3800</v>
      </c>
      <c r="L827" s="101">
        <f>SUM(L815:L826)</f>
        <v>3779</v>
      </c>
      <c r="M827" s="64">
        <f>SUM(J827:L827)</f>
        <v>7579</v>
      </c>
      <c r="N827" s="101">
        <f>SUM(N815:N826)</f>
        <v>2800</v>
      </c>
      <c r="O827" s="101">
        <f>SUM(O815:O826)</f>
        <v>1296</v>
      </c>
      <c r="P827" s="101">
        <f>SUM(P815:P826)</f>
        <v>0</v>
      </c>
      <c r="Q827" s="64">
        <f>SUM(N827:P827)</f>
        <v>4096</v>
      </c>
      <c r="R827" s="64">
        <f>+E827+I827+M827+Q827</f>
        <v>25150</v>
      </c>
    </row>
    <row r="828" spans="1:20" ht="15.75" customHeight="1" x14ac:dyDescent="0.3">
      <c r="A828" s="17" t="s">
        <v>53</v>
      </c>
      <c r="B828" s="1"/>
      <c r="C828" s="1"/>
      <c r="D828" s="1"/>
      <c r="E828" s="59" t="s">
        <v>7</v>
      </c>
      <c r="F828" s="1"/>
      <c r="G828" s="1"/>
      <c r="H828" s="1"/>
      <c r="I828" s="59" t="s">
        <v>7</v>
      </c>
      <c r="J828" s="1"/>
      <c r="K828" s="1"/>
      <c r="L828" s="1"/>
      <c r="M828" s="59" t="s">
        <v>7</v>
      </c>
      <c r="N828" s="1"/>
      <c r="O828" s="1"/>
      <c r="P828" s="1"/>
      <c r="Q828" s="59" t="s">
        <v>7</v>
      </c>
      <c r="R828" s="59" t="s">
        <v>7</v>
      </c>
    </row>
    <row r="829" spans="1:20" ht="15.75" customHeight="1" x14ac:dyDescent="0.3">
      <c r="A829" s="17" t="s">
        <v>55</v>
      </c>
      <c r="B829" s="1"/>
      <c r="C829" s="1"/>
      <c r="D829" s="1"/>
      <c r="E829" s="59" t="s">
        <v>7</v>
      </c>
      <c r="F829" s="1"/>
      <c r="G829" s="1"/>
      <c r="H829" s="1"/>
      <c r="I829" s="59" t="s">
        <v>7</v>
      </c>
      <c r="J829" s="1"/>
      <c r="K829" s="1"/>
      <c r="L829" s="1"/>
      <c r="M829" s="59" t="s">
        <v>7</v>
      </c>
      <c r="N829" s="1"/>
      <c r="O829" s="1"/>
      <c r="P829" s="1"/>
      <c r="Q829" s="59" t="s">
        <v>7</v>
      </c>
      <c r="R829" s="59" t="s">
        <v>7</v>
      </c>
    </row>
    <row r="830" spans="1:20" ht="15.75" customHeight="1" x14ac:dyDescent="0.3">
      <c r="A830" s="74" t="s">
        <v>600</v>
      </c>
      <c r="B830" s="1"/>
      <c r="C830" s="1"/>
      <c r="D830" s="1"/>
      <c r="E830" s="59">
        <f>SUM(B830:D830)</f>
        <v>0</v>
      </c>
      <c r="F830" s="1"/>
      <c r="G830" s="1"/>
      <c r="H830" s="1"/>
      <c r="I830" s="59">
        <f>SUM(F830:H830)</f>
        <v>0</v>
      </c>
      <c r="J830" s="1"/>
      <c r="K830" s="1"/>
      <c r="L830" s="1"/>
      <c r="M830" s="59">
        <f>SUM(J830:L830)</f>
        <v>0</v>
      </c>
      <c r="N830" s="1"/>
      <c r="O830" s="1"/>
      <c r="P830" s="1"/>
      <c r="Q830" s="59">
        <f>SUM(N830:P830)</f>
        <v>0</v>
      </c>
      <c r="R830" s="59">
        <f>+E830+I830+M830+Q830</f>
        <v>0</v>
      </c>
    </row>
    <row r="831" spans="1:20" ht="15.75" customHeight="1" thickBot="1" x14ac:dyDescent="0.35">
      <c r="A831" s="17" t="s">
        <v>56</v>
      </c>
      <c r="B831" s="1"/>
      <c r="C831" s="1"/>
      <c r="D831" s="1"/>
      <c r="E831" s="59" t="s">
        <v>7</v>
      </c>
      <c r="F831" s="1"/>
      <c r="G831" s="1"/>
      <c r="H831" s="1"/>
      <c r="I831" s="59" t="s">
        <v>7</v>
      </c>
      <c r="J831" s="1"/>
      <c r="K831" s="1"/>
      <c r="L831" s="1"/>
      <c r="M831" s="59" t="s">
        <v>7</v>
      </c>
      <c r="N831" s="1"/>
      <c r="O831" s="1"/>
      <c r="P831" s="1"/>
      <c r="Q831" s="59" t="s">
        <v>7</v>
      </c>
      <c r="R831" s="59" t="s">
        <v>7</v>
      </c>
    </row>
    <row r="832" spans="1:20" ht="16.5" customHeight="1" thickBot="1" x14ac:dyDescent="0.35">
      <c r="A832" s="62" t="s">
        <v>57</v>
      </c>
      <c r="B832" s="100">
        <f>SUM(B828:B831)</f>
        <v>0</v>
      </c>
      <c r="C832" s="101">
        <f>SUM(C828:C831)</f>
        <v>0</v>
      </c>
      <c r="D832" s="101">
        <f>SUM(D828:D831)</f>
        <v>0</v>
      </c>
      <c r="E832" s="64">
        <f>SUM(B832:D832)</f>
        <v>0</v>
      </c>
      <c r="F832" s="101">
        <f>SUM(F828:F831)</f>
        <v>0</v>
      </c>
      <c r="G832" s="101">
        <f>SUM(G828:G831)</f>
        <v>0</v>
      </c>
      <c r="H832" s="101">
        <f>SUM(H828:H831)</f>
        <v>0</v>
      </c>
      <c r="I832" s="64">
        <f>SUM(F832:H832)</f>
        <v>0</v>
      </c>
      <c r="J832" s="101">
        <f>SUM(J828:J831)</f>
        <v>0</v>
      </c>
      <c r="K832" s="101">
        <f>SUM(K828:K831)</f>
        <v>0</v>
      </c>
      <c r="L832" s="101">
        <f>SUM(L828:L831)</f>
        <v>0</v>
      </c>
      <c r="M832" s="64">
        <f>SUM(J832:L832)</f>
        <v>0</v>
      </c>
      <c r="N832" s="101">
        <f>SUM(N828:N831)</f>
        <v>0</v>
      </c>
      <c r="O832" s="101">
        <f>SUM(O828:O831)</f>
        <v>0</v>
      </c>
      <c r="P832" s="101">
        <f>SUM(P828:P831)</f>
        <v>0</v>
      </c>
      <c r="Q832" s="64">
        <f>SUM(N832:P832)</f>
        <v>0</v>
      </c>
      <c r="R832" s="64">
        <f>+E832+I832+M832+Q832</f>
        <v>0</v>
      </c>
    </row>
    <row r="833" spans="1:20" ht="15.75" customHeight="1" x14ac:dyDescent="0.3">
      <c r="A833" s="17" t="s">
        <v>58</v>
      </c>
      <c r="B833" s="1"/>
      <c r="C833" s="1"/>
      <c r="D833" s="1"/>
      <c r="E833" s="59" t="s">
        <v>7</v>
      </c>
      <c r="F833" s="1"/>
      <c r="G833" s="1"/>
      <c r="H833" s="1"/>
      <c r="I833" s="59" t="s">
        <v>7</v>
      </c>
      <c r="J833" s="1" t="s">
        <v>7</v>
      </c>
      <c r="K833" s="1"/>
      <c r="L833" s="1"/>
      <c r="M833" s="59" t="s">
        <v>7</v>
      </c>
      <c r="N833" s="1"/>
      <c r="O833" s="1"/>
      <c r="P833" s="1"/>
      <c r="Q833" s="59" t="s">
        <v>7</v>
      </c>
      <c r="R833" s="59" t="s">
        <v>7</v>
      </c>
    </row>
    <row r="834" spans="1:20" ht="18" customHeight="1" x14ac:dyDescent="0.3">
      <c r="A834" s="17" t="s">
        <v>59</v>
      </c>
      <c r="B834" s="1"/>
      <c r="C834" s="1"/>
      <c r="D834" s="1"/>
      <c r="E834" s="59" t="s">
        <v>7</v>
      </c>
      <c r="F834" s="1"/>
      <c r="G834" s="1"/>
      <c r="H834" s="1"/>
      <c r="I834" s="59" t="s">
        <v>7</v>
      </c>
      <c r="J834" s="1"/>
      <c r="K834" s="1"/>
      <c r="L834" s="1"/>
      <c r="M834" s="59" t="s">
        <v>7</v>
      </c>
      <c r="N834" s="1"/>
      <c r="O834" s="1"/>
      <c r="P834" s="1"/>
      <c r="Q834" s="59" t="s">
        <v>7</v>
      </c>
      <c r="R834" s="59" t="s">
        <v>7</v>
      </c>
    </row>
    <row r="835" spans="1:20" ht="15.75" customHeight="1" x14ac:dyDescent="0.3">
      <c r="A835" s="74" t="s">
        <v>601</v>
      </c>
      <c r="B835" s="1">
        <v>451</v>
      </c>
      <c r="C835" s="1">
        <v>254</v>
      </c>
      <c r="D835" s="1">
        <v>605</v>
      </c>
      <c r="E835" s="59">
        <f>SUM(B835:D835)</f>
        <v>1310</v>
      </c>
      <c r="F835" s="1">
        <v>806</v>
      </c>
      <c r="G835" s="1">
        <v>1209</v>
      </c>
      <c r="H835" s="1">
        <v>1219</v>
      </c>
      <c r="I835" s="59">
        <f>SUM(F835:H835)</f>
        <v>3234</v>
      </c>
      <c r="J835" s="1">
        <v>809</v>
      </c>
      <c r="K835" s="1">
        <v>1208</v>
      </c>
      <c r="L835" s="1">
        <v>506</v>
      </c>
      <c r="M835" s="59">
        <f>SUM(J835:L835)</f>
        <v>2523</v>
      </c>
      <c r="N835" s="1">
        <v>1</v>
      </c>
      <c r="O835" s="1">
        <v>501</v>
      </c>
      <c r="P835" s="1">
        <v>501</v>
      </c>
      <c r="Q835" s="59">
        <f>SUM(N835:P835)</f>
        <v>1003</v>
      </c>
      <c r="R835" s="59">
        <f>+E835+I835+M835+Q835</f>
        <v>8070</v>
      </c>
      <c r="T835" s="4" t="s">
        <v>602</v>
      </c>
    </row>
    <row r="836" spans="1:20" ht="15.75" customHeight="1" x14ac:dyDescent="0.3">
      <c r="A836" s="74" t="s">
        <v>603</v>
      </c>
      <c r="B836" s="1">
        <v>25</v>
      </c>
      <c r="C836" s="1">
        <v>30</v>
      </c>
      <c r="D836" s="1">
        <v>50</v>
      </c>
      <c r="E836" s="59">
        <f>SUM(B836:D836)</f>
        <v>105</v>
      </c>
      <c r="F836" s="1">
        <v>70</v>
      </c>
      <c r="G836" s="1">
        <v>85</v>
      </c>
      <c r="H836" s="1">
        <v>100</v>
      </c>
      <c r="I836" s="59">
        <f t="shared" ref="I836" si="285">SUM(F836:H836)</f>
        <v>255</v>
      </c>
      <c r="J836" s="1">
        <v>85</v>
      </c>
      <c r="K836" s="1">
        <v>55</v>
      </c>
      <c r="L836" s="1"/>
      <c r="M836" s="59">
        <f>SUM(J836:L836)</f>
        <v>140</v>
      </c>
      <c r="N836" s="1"/>
      <c r="O836" s="1"/>
      <c r="P836" s="1"/>
      <c r="Q836" s="59">
        <f>SUM(N836:P836)</f>
        <v>0</v>
      </c>
      <c r="R836" s="59">
        <f>+E836+I836+M836+Q836</f>
        <v>500</v>
      </c>
      <c r="T836" s="4" t="s">
        <v>604</v>
      </c>
    </row>
    <row r="837" spans="1:20" ht="15.75" customHeight="1" x14ac:dyDescent="0.3">
      <c r="A837" s="17" t="s">
        <v>60</v>
      </c>
      <c r="B837" s="1"/>
      <c r="C837" s="1"/>
      <c r="D837" s="1"/>
      <c r="E837" s="59" t="s">
        <v>7</v>
      </c>
      <c r="F837" s="1"/>
      <c r="G837" s="1"/>
      <c r="H837" s="1"/>
      <c r="I837" s="59" t="s">
        <v>7</v>
      </c>
      <c r="J837" s="1"/>
      <c r="K837" s="1"/>
      <c r="L837" s="1"/>
      <c r="M837" s="59" t="s">
        <v>7</v>
      </c>
      <c r="N837" s="1"/>
      <c r="O837" s="1"/>
      <c r="P837" s="1"/>
      <c r="Q837" s="59" t="s">
        <v>7</v>
      </c>
      <c r="R837" s="59" t="s">
        <v>7</v>
      </c>
    </row>
    <row r="838" spans="1:20" ht="15.75" customHeight="1" x14ac:dyDescent="0.3">
      <c r="A838" s="74" t="s">
        <v>605</v>
      </c>
      <c r="B838" s="1"/>
      <c r="C838" s="1"/>
      <c r="D838" s="1"/>
      <c r="E838" s="59">
        <f t="shared" ref="E838:E843" si="286">SUM(B838:D838)</f>
        <v>0</v>
      </c>
      <c r="F838" s="1"/>
      <c r="G838" s="1"/>
      <c r="H838" s="1"/>
      <c r="I838" s="59">
        <f t="shared" ref="I838:I843" si="287">SUM(F838:H838)</f>
        <v>0</v>
      </c>
      <c r="J838" s="1">
        <v>1400</v>
      </c>
      <c r="K838" s="1">
        <v>600</v>
      </c>
      <c r="L838" s="1"/>
      <c r="M838" s="59">
        <f t="shared" ref="M838:M843" si="288">SUM(J838:L838)</f>
        <v>2000</v>
      </c>
      <c r="N838" s="1"/>
      <c r="O838" s="1"/>
      <c r="P838" s="1"/>
      <c r="Q838" s="59">
        <f t="shared" ref="Q838:Q843" si="289">SUM(N838:P838)</f>
        <v>0</v>
      </c>
      <c r="R838" s="59">
        <f t="shared" ref="R838:R843" si="290">+E838+I838+M838+Q838</f>
        <v>2000</v>
      </c>
      <c r="T838" s="4" t="s">
        <v>604</v>
      </c>
    </row>
    <row r="839" spans="1:20" ht="15.75" customHeight="1" x14ac:dyDescent="0.3">
      <c r="A839" s="74" t="s">
        <v>606</v>
      </c>
      <c r="B839" s="1"/>
      <c r="C839" s="1"/>
      <c r="D839" s="1"/>
      <c r="E839" s="59">
        <f t="shared" si="286"/>
        <v>0</v>
      </c>
      <c r="F839" s="1"/>
      <c r="G839" s="1"/>
      <c r="H839" s="1"/>
      <c r="I839" s="59">
        <f t="shared" si="287"/>
        <v>0</v>
      </c>
      <c r="J839" s="1"/>
      <c r="K839" s="1"/>
      <c r="L839" s="1"/>
      <c r="M839" s="59">
        <f t="shared" si="288"/>
        <v>0</v>
      </c>
      <c r="N839" s="1"/>
      <c r="O839" s="1"/>
      <c r="P839" s="1"/>
      <c r="Q839" s="59">
        <f t="shared" si="289"/>
        <v>0</v>
      </c>
      <c r="R839" s="59">
        <f t="shared" si="290"/>
        <v>0</v>
      </c>
    </row>
    <row r="840" spans="1:20" ht="15.75" customHeight="1" x14ac:dyDescent="0.3">
      <c r="A840" s="74" t="s">
        <v>607</v>
      </c>
      <c r="B840" s="1"/>
      <c r="C840" s="1"/>
      <c r="D840" s="1"/>
      <c r="E840" s="59">
        <f t="shared" si="286"/>
        <v>0</v>
      </c>
      <c r="F840" s="1"/>
      <c r="G840" s="1"/>
      <c r="H840" s="1"/>
      <c r="I840" s="59">
        <f t="shared" si="287"/>
        <v>0</v>
      </c>
      <c r="J840" s="1"/>
      <c r="K840" s="1">
        <v>15</v>
      </c>
      <c r="L840" s="1">
        <v>60</v>
      </c>
      <c r="M840" s="59">
        <f t="shared" si="288"/>
        <v>75</v>
      </c>
      <c r="N840" s="1">
        <v>65</v>
      </c>
      <c r="O840" s="1">
        <v>50</v>
      </c>
      <c r="P840" s="1">
        <v>30</v>
      </c>
      <c r="Q840" s="59">
        <f t="shared" si="289"/>
        <v>145</v>
      </c>
      <c r="R840" s="59">
        <f t="shared" si="290"/>
        <v>220</v>
      </c>
    </row>
    <row r="841" spans="1:20" ht="15.75" customHeight="1" x14ac:dyDescent="0.3">
      <c r="A841" s="74" t="s">
        <v>609</v>
      </c>
      <c r="B841" s="1"/>
      <c r="C841" s="1"/>
      <c r="D841" s="1"/>
      <c r="E841" s="59">
        <f t="shared" si="286"/>
        <v>0</v>
      </c>
      <c r="F841" s="1"/>
      <c r="G841" s="1"/>
      <c r="H841" s="1"/>
      <c r="I841" s="59">
        <f t="shared" si="287"/>
        <v>0</v>
      </c>
      <c r="J841" s="1"/>
      <c r="K841" s="1"/>
      <c r="L841" s="1"/>
      <c r="M841" s="59">
        <f t="shared" si="288"/>
        <v>0</v>
      </c>
      <c r="N841" s="1"/>
      <c r="O841" s="1"/>
      <c r="P841" s="1"/>
      <c r="Q841" s="59">
        <f t="shared" si="289"/>
        <v>0</v>
      </c>
      <c r="R841" s="59">
        <f t="shared" si="290"/>
        <v>0</v>
      </c>
      <c r="T841" s="4" t="s">
        <v>593</v>
      </c>
    </row>
    <row r="842" spans="1:20" ht="15.75" customHeight="1" thickBot="1" x14ac:dyDescent="0.35">
      <c r="A842" s="74" t="s">
        <v>610</v>
      </c>
      <c r="B842" s="1">
        <v>849</v>
      </c>
      <c r="C842" s="1">
        <v>769</v>
      </c>
      <c r="D842" s="1">
        <v>849</v>
      </c>
      <c r="E842" s="59">
        <f t="shared" si="286"/>
        <v>2467</v>
      </c>
      <c r="F842" s="1">
        <v>822</v>
      </c>
      <c r="G842" s="1">
        <v>849</v>
      </c>
      <c r="H842" s="1">
        <v>822</v>
      </c>
      <c r="I842" s="59">
        <f t="shared" si="287"/>
        <v>2493</v>
      </c>
      <c r="J842" s="1">
        <v>849</v>
      </c>
      <c r="K842" s="1">
        <v>849</v>
      </c>
      <c r="L842" s="1">
        <v>822</v>
      </c>
      <c r="M842" s="59">
        <f t="shared" si="288"/>
        <v>2520</v>
      </c>
      <c r="N842" s="1">
        <v>849</v>
      </c>
      <c r="O842" s="1">
        <v>822</v>
      </c>
      <c r="P842" s="1">
        <v>849</v>
      </c>
      <c r="Q842" s="59">
        <f t="shared" si="289"/>
        <v>2520</v>
      </c>
      <c r="R842" s="59">
        <f t="shared" si="290"/>
        <v>10000</v>
      </c>
      <c r="T842" s="4" t="s">
        <v>611</v>
      </c>
    </row>
    <row r="843" spans="1:20" ht="16.5" customHeight="1" thickBot="1" x14ac:dyDescent="0.35">
      <c r="A843" s="62" t="s">
        <v>61</v>
      </c>
      <c r="B843" s="100">
        <f>SUM(B833:B842)</f>
        <v>1325</v>
      </c>
      <c r="C843" s="101">
        <f>SUM(C833:C842)</f>
        <v>1053</v>
      </c>
      <c r="D843" s="101">
        <f>SUM(D833:D842)</f>
        <v>1504</v>
      </c>
      <c r="E843" s="64">
        <f t="shared" si="286"/>
        <v>3882</v>
      </c>
      <c r="F843" s="101">
        <f>SUM(F833:F842)</f>
        <v>1698</v>
      </c>
      <c r="G843" s="101">
        <f>SUM(G833:G842)</f>
        <v>2143</v>
      </c>
      <c r="H843" s="101">
        <f>SUM(H833:H842)</f>
        <v>2141</v>
      </c>
      <c r="I843" s="64">
        <f t="shared" si="287"/>
        <v>5982</v>
      </c>
      <c r="J843" s="101">
        <f>SUM(J833:J842)</f>
        <v>3143</v>
      </c>
      <c r="K843" s="101">
        <f>SUM(K833:K842)</f>
        <v>2727</v>
      </c>
      <c r="L843" s="101">
        <f>SUM(L833:L842)</f>
        <v>1388</v>
      </c>
      <c r="M843" s="64">
        <f t="shared" si="288"/>
        <v>7258</v>
      </c>
      <c r="N843" s="101">
        <f>SUM(N833:N842)</f>
        <v>915</v>
      </c>
      <c r="O843" s="101">
        <f>SUM(O833:O842)</f>
        <v>1373</v>
      </c>
      <c r="P843" s="101">
        <f>SUM(P833:P842)</f>
        <v>1380</v>
      </c>
      <c r="Q843" s="64">
        <f t="shared" si="289"/>
        <v>3668</v>
      </c>
      <c r="R843" s="64">
        <f t="shared" si="290"/>
        <v>20790</v>
      </c>
    </row>
    <row r="844" spans="1:20" ht="15.75" customHeight="1" x14ac:dyDescent="0.3">
      <c r="A844" s="17" t="s">
        <v>62</v>
      </c>
      <c r="B844" s="1"/>
      <c r="C844" s="1"/>
      <c r="D844" s="1"/>
      <c r="E844" s="59" t="s">
        <v>7</v>
      </c>
      <c r="F844" s="1"/>
      <c r="G844" s="1"/>
      <c r="H844" s="1"/>
      <c r="I844" s="59" t="s">
        <v>7</v>
      </c>
      <c r="J844" s="1"/>
      <c r="K844" s="1"/>
      <c r="L844" s="1"/>
      <c r="M844" s="59" t="s">
        <v>7</v>
      </c>
      <c r="N844" s="1"/>
      <c r="O844" s="1"/>
      <c r="P844" s="1"/>
      <c r="Q844" s="59" t="s">
        <v>7</v>
      </c>
      <c r="R844" s="59" t="s">
        <v>7</v>
      </c>
    </row>
    <row r="845" spans="1:20" ht="15.75" customHeight="1" x14ac:dyDescent="0.3">
      <c r="A845" s="17" t="s">
        <v>63</v>
      </c>
      <c r="B845" s="1"/>
      <c r="C845" s="1"/>
      <c r="D845" s="1"/>
      <c r="E845" s="59" t="s">
        <v>7</v>
      </c>
      <c r="F845" s="1"/>
      <c r="G845" s="1"/>
      <c r="H845" s="1"/>
      <c r="I845" s="59" t="s">
        <v>7</v>
      </c>
      <c r="J845" s="1"/>
      <c r="K845" s="1"/>
      <c r="L845" s="1"/>
      <c r="M845" s="59" t="s">
        <v>7</v>
      </c>
      <c r="N845" s="1"/>
      <c r="O845" s="1"/>
      <c r="P845" s="1"/>
      <c r="Q845" s="59" t="s">
        <v>7</v>
      </c>
      <c r="R845" s="59" t="s">
        <v>7</v>
      </c>
    </row>
    <row r="846" spans="1:20" ht="15.75" customHeight="1" x14ac:dyDescent="0.3">
      <c r="A846" s="74" t="s">
        <v>612</v>
      </c>
      <c r="B846" s="1"/>
      <c r="C846" s="1"/>
      <c r="D846" s="1"/>
      <c r="E846" s="59">
        <f>SUM(B846:D846)</f>
        <v>0</v>
      </c>
      <c r="F846" s="1"/>
      <c r="G846" s="1"/>
      <c r="H846" s="1"/>
      <c r="I846" s="59">
        <f>SUM(F846:H846)</f>
        <v>0</v>
      </c>
      <c r="J846" s="1"/>
      <c r="K846" s="1"/>
      <c r="L846" s="1"/>
      <c r="M846" s="59">
        <f>SUM(J846:L846)</f>
        <v>0</v>
      </c>
      <c r="N846" s="1"/>
      <c r="O846" s="1"/>
      <c r="P846" s="1"/>
      <c r="Q846" s="59">
        <f>SUM(N846:P846)</f>
        <v>0</v>
      </c>
      <c r="R846" s="59">
        <f>+E846+I846+M846+Q846</f>
        <v>0</v>
      </c>
    </row>
    <row r="847" spans="1:20" ht="15.75" customHeight="1" x14ac:dyDescent="0.3">
      <c r="A847" s="74" t="s">
        <v>613</v>
      </c>
      <c r="B847" s="1"/>
      <c r="C847" s="1"/>
      <c r="D847" s="1"/>
      <c r="E847" s="59">
        <f>SUM(B847:D847)</f>
        <v>0</v>
      </c>
      <c r="F847" s="1"/>
      <c r="G847" s="1"/>
      <c r="H847" s="1"/>
      <c r="I847" s="59">
        <f>SUM(F847:H847)</f>
        <v>0</v>
      </c>
      <c r="J847" s="1"/>
      <c r="K847" s="1"/>
      <c r="L847" s="1"/>
      <c r="M847" s="59">
        <f>SUM(J847:L847)</f>
        <v>0</v>
      </c>
      <c r="N847" s="1"/>
      <c r="O847" s="1"/>
      <c r="P847" s="1"/>
      <c r="Q847" s="59">
        <f>SUM(N847:P847)</f>
        <v>0</v>
      </c>
      <c r="R847" s="59">
        <f>+E847+I847+M847+Q847</f>
        <v>0</v>
      </c>
    </row>
    <row r="848" spans="1:20" ht="15.75" customHeight="1" x14ac:dyDescent="0.3">
      <c r="A848" s="17" t="s">
        <v>64</v>
      </c>
      <c r="B848" s="1"/>
      <c r="C848" s="1"/>
      <c r="D848" s="1"/>
      <c r="E848" s="59" t="s">
        <v>7</v>
      </c>
      <c r="F848" s="1"/>
      <c r="G848" s="1"/>
      <c r="H848" s="1"/>
      <c r="I848" s="59" t="s">
        <v>7</v>
      </c>
      <c r="J848" s="1"/>
      <c r="K848" s="1"/>
      <c r="L848" s="1"/>
      <c r="M848" s="59" t="s">
        <v>7</v>
      </c>
      <c r="N848" s="1"/>
      <c r="O848" s="1"/>
      <c r="P848" s="1"/>
      <c r="Q848" s="59" t="s">
        <v>7</v>
      </c>
      <c r="R848" s="59" t="s">
        <v>7</v>
      </c>
    </row>
    <row r="849" spans="1:18" ht="15.75" customHeight="1" x14ac:dyDescent="0.3">
      <c r="A849" s="74" t="s">
        <v>614</v>
      </c>
      <c r="B849" s="1"/>
      <c r="C849" s="1"/>
      <c r="D849" s="1"/>
      <c r="E849" s="59">
        <f>SUM(B849:D849)</f>
        <v>0</v>
      </c>
      <c r="F849" s="1"/>
      <c r="G849" s="1"/>
      <c r="H849" s="1"/>
      <c r="I849" s="59">
        <f>SUM(F849:H849)</f>
        <v>0</v>
      </c>
      <c r="J849" s="1"/>
      <c r="K849" s="1"/>
      <c r="L849" s="1"/>
      <c r="M849" s="59">
        <f>SUM(J849:L849)</f>
        <v>0</v>
      </c>
      <c r="N849" s="1"/>
      <c r="O849" s="1"/>
      <c r="P849" s="1"/>
      <c r="Q849" s="59">
        <f>SUM(N849:P849)</f>
        <v>0</v>
      </c>
      <c r="R849" s="59">
        <f>+E849+I849+M849+Q849</f>
        <v>0</v>
      </c>
    </row>
    <row r="850" spans="1:18" ht="15.75" customHeight="1" x14ac:dyDescent="0.3">
      <c r="A850" s="74" t="s">
        <v>615</v>
      </c>
      <c r="B850" s="1"/>
      <c r="C850" s="1"/>
      <c r="D850" s="1"/>
      <c r="E850" s="59">
        <f>SUM(B850:D850)</f>
        <v>0</v>
      </c>
      <c r="F850" s="1"/>
      <c r="G850" s="1"/>
      <c r="H850" s="1"/>
      <c r="I850" s="59">
        <f>SUM(F850:H850)</f>
        <v>0</v>
      </c>
      <c r="J850" s="1"/>
      <c r="K850" s="1"/>
      <c r="L850" s="1"/>
      <c r="M850" s="59">
        <f>SUM(J850:L850)</f>
        <v>0</v>
      </c>
      <c r="N850" s="1"/>
      <c r="O850" s="1"/>
      <c r="P850" s="1"/>
      <c r="Q850" s="59">
        <f>SUM(N850:P850)</f>
        <v>0</v>
      </c>
      <c r="R850" s="59">
        <f>+E850+I850+M850+Q850</f>
        <v>0</v>
      </c>
    </row>
    <row r="851" spans="1:18" ht="15.75" customHeight="1" x14ac:dyDescent="0.3">
      <c r="A851" s="17" t="s">
        <v>66</v>
      </c>
      <c r="B851" s="1"/>
      <c r="C851" s="1"/>
      <c r="D851" s="1"/>
      <c r="E851" s="59" t="s">
        <v>7</v>
      </c>
      <c r="F851" s="1"/>
      <c r="G851" s="1"/>
      <c r="H851" s="1"/>
      <c r="I851" s="59" t="s">
        <v>7</v>
      </c>
      <c r="J851" s="1"/>
      <c r="K851" s="1"/>
      <c r="L851" s="1"/>
      <c r="M851" s="59" t="s">
        <v>7</v>
      </c>
      <c r="N851" s="1"/>
      <c r="O851" s="1"/>
      <c r="P851" s="1"/>
      <c r="Q851" s="59" t="s">
        <v>7</v>
      </c>
      <c r="R851" s="59" t="s">
        <v>7</v>
      </c>
    </row>
    <row r="852" spans="1:18" ht="15.75" customHeight="1" thickBot="1" x14ac:dyDescent="0.35">
      <c r="A852" s="17" t="s">
        <v>67</v>
      </c>
      <c r="B852" s="1"/>
      <c r="C852" s="1"/>
      <c r="D852" s="1"/>
      <c r="E852" s="59" t="s">
        <v>7</v>
      </c>
      <c r="F852" s="1"/>
      <c r="G852" s="1"/>
      <c r="H852" s="1"/>
      <c r="I852" s="59" t="s">
        <v>7</v>
      </c>
      <c r="J852" s="1"/>
      <c r="K852" s="1"/>
      <c r="L852" s="1"/>
      <c r="M852" s="59" t="s">
        <v>7</v>
      </c>
      <c r="N852" s="1"/>
      <c r="O852" s="1"/>
      <c r="P852" s="1"/>
      <c r="Q852" s="59" t="s">
        <v>7</v>
      </c>
      <c r="R852" s="59" t="s">
        <v>7</v>
      </c>
    </row>
    <row r="853" spans="1:18" ht="16.5" customHeight="1" thickBot="1" x14ac:dyDescent="0.35">
      <c r="A853" s="62" t="s">
        <v>68</v>
      </c>
      <c r="B853" s="63">
        <f>SUM(B851:B852)</f>
        <v>0</v>
      </c>
      <c r="C853" s="63">
        <f>SUM(C851:C852)</f>
        <v>0</v>
      </c>
      <c r="D853" s="63">
        <f>SUM(D851:D852)</f>
        <v>0</v>
      </c>
      <c r="E853" s="65">
        <f>SUM(B853:D853)</f>
        <v>0</v>
      </c>
      <c r="F853" s="63">
        <f>SUM(F851:F852)</f>
        <v>0</v>
      </c>
      <c r="G853" s="63">
        <f>SUM(G851:G852)</f>
        <v>0</v>
      </c>
      <c r="H853" s="63">
        <f>SUM(H851:H852)</f>
        <v>0</v>
      </c>
      <c r="I853" s="65">
        <f>SUM(F853:H853)</f>
        <v>0</v>
      </c>
      <c r="J853" s="63">
        <f>SUM(J851:J852)</f>
        <v>0</v>
      </c>
      <c r="K853" s="63">
        <f>SUM(K851:K852)</f>
        <v>0</v>
      </c>
      <c r="L853" s="63">
        <f>SUM(L851:L852)</f>
        <v>0</v>
      </c>
      <c r="M853" s="65">
        <f>SUM(J853:L853)</f>
        <v>0</v>
      </c>
      <c r="N853" s="63">
        <f>SUM(N851:N852)</f>
        <v>0</v>
      </c>
      <c r="O853" s="63">
        <f>SUM(O851:O852)</f>
        <v>0</v>
      </c>
      <c r="P853" s="63">
        <f>SUM(P851:P852)</f>
        <v>0</v>
      </c>
      <c r="Q853" s="65">
        <f>SUM(N853:P853)</f>
        <v>0</v>
      </c>
      <c r="R853" s="64">
        <f>+E853+I853+M853+Q853</f>
        <v>0</v>
      </c>
    </row>
    <row r="854" spans="1:18" ht="16.5" customHeight="1" thickBot="1" x14ac:dyDescent="0.35">
      <c r="A854" s="62" t="s">
        <v>69</v>
      </c>
      <c r="B854" s="100">
        <f>SUM(B844:B852)</f>
        <v>0</v>
      </c>
      <c r="C854" s="101">
        <f>SUM(C844:C852)</f>
        <v>0</v>
      </c>
      <c r="D854" s="138">
        <f>SUM(D844:D852)</f>
        <v>0</v>
      </c>
      <c r="E854" s="65">
        <f>SUM(B854:D854)</f>
        <v>0</v>
      </c>
      <c r="F854" s="101">
        <f>SUM(F844:F852)</f>
        <v>0</v>
      </c>
      <c r="G854" s="101">
        <f>SUM(G844:G852)</f>
        <v>0</v>
      </c>
      <c r="H854" s="101">
        <f>SUM(H844:H852)</f>
        <v>0</v>
      </c>
      <c r="I854" s="65">
        <f>SUM(F854:H854)</f>
        <v>0</v>
      </c>
      <c r="J854" s="101">
        <f>SUM(J844:J852)</f>
        <v>0</v>
      </c>
      <c r="K854" s="101">
        <f>SUM(K844:K852)</f>
        <v>0</v>
      </c>
      <c r="L854" s="101">
        <f>SUM(L844:L852)</f>
        <v>0</v>
      </c>
      <c r="M854" s="65">
        <f>SUM(J854:L854)</f>
        <v>0</v>
      </c>
      <c r="N854" s="101">
        <f>SUM(N844:N852)</f>
        <v>0</v>
      </c>
      <c r="O854" s="101">
        <f>SUM(O844:O852)</f>
        <v>0</v>
      </c>
      <c r="P854" s="101">
        <f>SUM(P844:P852)</f>
        <v>0</v>
      </c>
      <c r="Q854" s="65">
        <f>SUM(N854:P854)</f>
        <v>0</v>
      </c>
      <c r="R854" s="64">
        <f>+E854+I854+M854+Q854</f>
        <v>0</v>
      </c>
    </row>
    <row r="855" spans="1:18" ht="16.5" customHeight="1" thickBot="1" x14ac:dyDescent="0.35">
      <c r="A855" s="62" t="s">
        <v>70</v>
      </c>
      <c r="B855" s="107">
        <f>+B827+B832+B843+B854</f>
        <v>3927</v>
      </c>
      <c r="C855" s="63">
        <f>+C827+C832+C843+C854</f>
        <v>3607</v>
      </c>
      <c r="D855" s="63">
        <f>+D827+D832+D843+D854</f>
        <v>3520</v>
      </c>
      <c r="E855" s="64">
        <f>SUM(B855:D855)</f>
        <v>11054</v>
      </c>
      <c r="F855" s="63">
        <f>+F827+F832+F843+F854</f>
        <v>3797</v>
      </c>
      <c r="G855" s="63">
        <f>+G827+G832+G843+G854</f>
        <v>4347</v>
      </c>
      <c r="H855" s="63">
        <f>+H827+H832+H843+H854</f>
        <v>4141</v>
      </c>
      <c r="I855" s="64">
        <f>SUM(F855:H855)</f>
        <v>12285</v>
      </c>
      <c r="J855" s="63">
        <f>+J827+J832+J843+J854</f>
        <v>3143</v>
      </c>
      <c r="K855" s="63">
        <f>+K827+K832+K843+K854</f>
        <v>6527</v>
      </c>
      <c r="L855" s="63">
        <f>+L827+L832+L843+L854</f>
        <v>5167</v>
      </c>
      <c r="M855" s="64">
        <f>SUM(J855:L855)</f>
        <v>14837</v>
      </c>
      <c r="N855" s="63">
        <f>+N827+N832+N843+N854</f>
        <v>3715</v>
      </c>
      <c r="O855" s="63">
        <f>+O827+O832+O843+O854</f>
        <v>2669</v>
      </c>
      <c r="P855" s="63">
        <f>+P827+P832+P843+P854</f>
        <v>1380</v>
      </c>
      <c r="Q855" s="64">
        <f>SUM(N855:P855)</f>
        <v>7764</v>
      </c>
      <c r="R855" s="88">
        <f>+E855+I855+M855+Q855</f>
        <v>45940</v>
      </c>
    </row>
    <row r="856" spans="1:18" ht="16.5" customHeight="1" thickBot="1" x14ac:dyDescent="0.35">
      <c r="A856" s="40" t="s">
        <v>37</v>
      </c>
      <c r="B856" s="25">
        <v>11</v>
      </c>
      <c r="C856" s="25">
        <v>13</v>
      </c>
      <c r="D856" s="25">
        <v>17</v>
      </c>
      <c r="E856" s="59">
        <f>SUM(B856:D856)</f>
        <v>41</v>
      </c>
      <c r="F856" s="25">
        <v>21</v>
      </c>
      <c r="G856" s="25">
        <v>23</v>
      </c>
      <c r="H856" s="25">
        <v>25</v>
      </c>
      <c r="I856" s="59">
        <f>SUM(F856:H856)</f>
        <v>69</v>
      </c>
      <c r="J856" s="25">
        <v>25</v>
      </c>
      <c r="K856" s="25">
        <v>21</v>
      </c>
      <c r="L856" s="25">
        <v>19</v>
      </c>
      <c r="M856" s="59">
        <f>SUM(J856:L856)</f>
        <v>65</v>
      </c>
      <c r="N856" s="25">
        <v>17</v>
      </c>
      <c r="O856" s="25">
        <v>13</v>
      </c>
      <c r="P856" s="25">
        <v>11</v>
      </c>
      <c r="Q856" s="59">
        <f>SUM(N856:P856)</f>
        <v>41</v>
      </c>
      <c r="R856" s="59">
        <f>+E856+I856+M856+Q856</f>
        <v>216</v>
      </c>
    </row>
    <row r="857" spans="1:18" ht="16.5" customHeight="1" thickBot="1" x14ac:dyDescent="0.35">
      <c r="A857" s="42"/>
      <c r="B857" s="37"/>
      <c r="C857" s="37"/>
      <c r="D857" s="37"/>
      <c r="E857" s="64" t="s">
        <v>7</v>
      </c>
      <c r="F857" s="37"/>
      <c r="G857" s="37"/>
      <c r="H857" s="37"/>
      <c r="I857" s="64" t="s">
        <v>7</v>
      </c>
      <c r="J857" s="37"/>
      <c r="K857" s="37"/>
      <c r="L857" s="37"/>
      <c r="M857" s="64" t="s">
        <v>7</v>
      </c>
      <c r="N857" s="37"/>
      <c r="O857" s="37"/>
      <c r="P857" s="37"/>
      <c r="Q857" s="64" t="s">
        <v>7</v>
      </c>
      <c r="R857" s="64" t="s">
        <v>7</v>
      </c>
    </row>
    <row r="858" spans="1:18" ht="15.75" customHeight="1" x14ac:dyDescent="0.3">
      <c r="A858" s="17" t="s">
        <v>38</v>
      </c>
      <c r="B858" s="1">
        <f>SUM(B855:B856)</f>
        <v>3938</v>
      </c>
      <c r="C858" s="1">
        <f>SUM(C855:C856)</f>
        <v>3620</v>
      </c>
      <c r="D858" s="1">
        <f>SUM(D855:D856)</f>
        <v>3537</v>
      </c>
      <c r="E858" s="65">
        <f>SUM(B858:D858)</f>
        <v>11095</v>
      </c>
      <c r="F858" s="1">
        <f>SUM(F855:F856)</f>
        <v>3818</v>
      </c>
      <c r="G858" s="1">
        <f>SUM(G855:G856)</f>
        <v>4370</v>
      </c>
      <c r="H858" s="1">
        <f>SUM(H855:H856)</f>
        <v>4166</v>
      </c>
      <c r="I858" s="65">
        <f>SUM(F858:H858)</f>
        <v>12354</v>
      </c>
      <c r="J858" s="1">
        <f>SUM(J855:J856)</f>
        <v>3168</v>
      </c>
      <c r="K858" s="1">
        <f>SUM(K855:K856)</f>
        <v>6548</v>
      </c>
      <c r="L858" s="1">
        <f>SUM(L855:L856)</f>
        <v>5186</v>
      </c>
      <c r="M858" s="65">
        <f>SUM(J858:L858)</f>
        <v>14902</v>
      </c>
      <c r="N858" s="1">
        <f>SUM(N855:N856)</f>
        <v>3732</v>
      </c>
      <c r="O858" s="1">
        <f>SUM(O855:O856)</f>
        <v>2682</v>
      </c>
      <c r="P858" s="1">
        <f>SUM(P855:P856)</f>
        <v>1391</v>
      </c>
      <c r="Q858" s="65">
        <f>SUM(N858:P858)</f>
        <v>7805</v>
      </c>
      <c r="R858" s="65">
        <f>+E858+I858+M858+Q858</f>
        <v>46156</v>
      </c>
    </row>
    <row r="859" spans="1:18" ht="15.75" customHeight="1" x14ac:dyDescent="0.3">
      <c r="A859" s="17" t="s">
        <v>39</v>
      </c>
      <c r="B859" s="1">
        <f>(B858/B10)/1.983</f>
        <v>64.060644510598152</v>
      </c>
      <c r="C859" s="1">
        <f>(C858/C10)/1.983</f>
        <v>62.948858399846976</v>
      </c>
      <c r="D859" s="1">
        <f>(D858/D10)/1.983</f>
        <v>57.53745546825435</v>
      </c>
      <c r="E859" s="59" t="s">
        <v>7</v>
      </c>
      <c r="F859" s="1">
        <f>(F858/F10)/1.983</f>
        <v>64.17885358883845</v>
      </c>
      <c r="G859" s="1">
        <f>(G858/G10)/1.983</f>
        <v>71.088119987636844</v>
      </c>
      <c r="H859" s="1">
        <f>(H858/H10)/1.983</f>
        <v>70.028576231299382</v>
      </c>
      <c r="I859" s="59" t="s">
        <v>7</v>
      </c>
      <c r="J859" s="1">
        <f>(J858/J10)/1.983</f>
        <v>51.53482016495046</v>
      </c>
      <c r="K859" s="1">
        <f>(K858/K10)/1.983</f>
        <v>106.51830885104029</v>
      </c>
      <c r="L859" s="1">
        <f>(L858/L10)/1.983</f>
        <v>87.174315010926207</v>
      </c>
      <c r="M859" s="59" t="s">
        <v>7</v>
      </c>
      <c r="N859" s="1">
        <f>(N858/N10)/1.983</f>
        <v>60.70957981552877</v>
      </c>
      <c r="O859" s="1">
        <f>(O858/O10)/1.983</f>
        <v>45.08320726172466</v>
      </c>
      <c r="P859" s="1">
        <f>(P858/P10)/1.983</f>
        <v>22.627820343890811</v>
      </c>
      <c r="Q859" s="59" t="s">
        <v>7</v>
      </c>
      <c r="R859" s="59" t="s">
        <v>7</v>
      </c>
    </row>
    <row r="860" spans="1:18" ht="15.75" customHeight="1" x14ac:dyDescent="0.3">
      <c r="A860" s="17" t="s">
        <v>616</v>
      </c>
      <c r="B860" s="1">
        <f>B858</f>
        <v>3938</v>
      </c>
      <c r="C860" s="1">
        <f>C858</f>
        <v>3620</v>
      </c>
      <c r="D860" s="1">
        <f>D858</f>
        <v>3537</v>
      </c>
      <c r="E860" s="59">
        <f>SUM(B860:D860)</f>
        <v>11095</v>
      </c>
      <c r="F860" s="1">
        <f>F858</f>
        <v>3818</v>
      </c>
      <c r="G860" s="1">
        <f>G858</f>
        <v>4370</v>
      </c>
      <c r="H860" s="1">
        <f>H858</f>
        <v>4166</v>
      </c>
      <c r="I860" s="59">
        <f>SUM(F860:H860)</f>
        <v>12354</v>
      </c>
      <c r="J860" s="1">
        <f>J858</f>
        <v>3168</v>
      </c>
      <c r="K860" s="1">
        <f>K858</f>
        <v>6548</v>
      </c>
      <c r="L860" s="1">
        <f>L858</f>
        <v>5186</v>
      </c>
      <c r="M860" s="59">
        <f>SUM(J860:L860)</f>
        <v>14902</v>
      </c>
      <c r="N860" s="1">
        <f>N858</f>
        <v>3732</v>
      </c>
      <c r="O860" s="1">
        <f>O858</f>
        <v>2682</v>
      </c>
      <c r="P860" s="1">
        <f>P858</f>
        <v>1391</v>
      </c>
      <c r="Q860" s="59">
        <f>SUM(N860:P860)</f>
        <v>7805</v>
      </c>
      <c r="R860" s="59">
        <f>+E860+I860+M860+Q860</f>
        <v>46156</v>
      </c>
    </row>
    <row r="861" spans="1:18" ht="16.5" customHeight="1" thickBot="1" x14ac:dyDescent="0.35">
      <c r="A861" s="24" t="s">
        <v>617</v>
      </c>
      <c r="B861" s="25">
        <f>(B860/B10)/1.983</f>
        <v>64.060644510598152</v>
      </c>
      <c r="C861" s="25">
        <f>(C860/C10)/1.983</f>
        <v>62.948858399846976</v>
      </c>
      <c r="D861" s="25">
        <f>(D860/D10)/1.983</f>
        <v>57.53745546825435</v>
      </c>
      <c r="E861" s="88" t="s">
        <v>7</v>
      </c>
      <c r="F861" s="25">
        <f>(F860/F10)/1.983</f>
        <v>64.17885358883845</v>
      </c>
      <c r="G861" s="25">
        <f>(G860/G10)/1.983</f>
        <v>71.088119987636844</v>
      </c>
      <c r="H861" s="25">
        <f>(H860/H10)/1.983</f>
        <v>70.028576231299382</v>
      </c>
      <c r="I861" s="88" t="s">
        <v>7</v>
      </c>
      <c r="J861" s="25">
        <f>(J860/J10)/1.983</f>
        <v>51.53482016495046</v>
      </c>
      <c r="K861" s="25">
        <f>(K860/K10)/1.983</f>
        <v>106.51830885104029</v>
      </c>
      <c r="L861" s="25">
        <f>(L860/L10)/1.983</f>
        <v>87.174315010926207</v>
      </c>
      <c r="M861" s="88" t="s">
        <v>7</v>
      </c>
      <c r="N861" s="25">
        <f>(N860/N10)/1.983</f>
        <v>60.70957981552877</v>
      </c>
      <c r="O861" s="25">
        <f>(O860/O10)/1.983</f>
        <v>45.08320726172466</v>
      </c>
      <c r="P861" s="25">
        <f>(P860/P10)/1.983</f>
        <v>22.627820343890811</v>
      </c>
      <c r="Q861" s="88" t="s">
        <v>7</v>
      </c>
      <c r="R861" s="88" t="s">
        <v>7</v>
      </c>
    </row>
    <row r="862" spans="1:18" ht="15.75" customHeight="1" x14ac:dyDescent="0.3">
      <c r="A862" s="30"/>
      <c r="B862" s="1"/>
      <c r="C862" s="1"/>
      <c r="D862" s="1"/>
      <c r="E862" s="28"/>
      <c r="F862" s="1"/>
      <c r="G862" s="1"/>
      <c r="H862" s="1"/>
      <c r="I862" s="28"/>
      <c r="J862" s="1"/>
      <c r="K862" s="1"/>
      <c r="L862" s="1"/>
      <c r="M862" s="28"/>
      <c r="N862" s="1"/>
      <c r="O862" s="1"/>
      <c r="P862" s="1"/>
      <c r="Q862" s="28"/>
      <c r="R862" s="28"/>
    </row>
    <row r="863" spans="1:18" ht="15.75" customHeight="1" x14ac:dyDescent="0.3">
      <c r="A863" s="30"/>
      <c r="B863" s="1"/>
      <c r="C863" s="1"/>
      <c r="D863" s="1"/>
      <c r="E863" s="1"/>
      <c r="F863" s="1"/>
      <c r="G863" s="1"/>
      <c r="H863" s="1"/>
      <c r="I863" s="1"/>
      <c r="J863" s="1"/>
      <c r="K863" s="1"/>
      <c r="L863" s="1"/>
      <c r="M863" s="1"/>
      <c r="N863" s="1"/>
      <c r="O863" s="1"/>
      <c r="P863" s="1"/>
      <c r="Q863" s="2" t="str">
        <f>+Q1</f>
        <v xml:space="preserve">PRINTED:  </v>
      </c>
      <c r="R863" s="163">
        <f ca="1">+R1</f>
        <v>44894.658168518516</v>
      </c>
    </row>
    <row r="864" spans="1:18" ht="15.75" customHeight="1" x14ac:dyDescent="0.3">
      <c r="A864" s="383" t="s">
        <v>1</v>
      </c>
      <c r="B864" s="383"/>
      <c r="C864" s="383"/>
      <c r="D864" s="383"/>
      <c r="E864" s="383"/>
      <c r="F864" s="383"/>
      <c r="G864" s="383"/>
      <c r="H864" s="383"/>
      <c r="I864" s="383"/>
      <c r="J864" s="383"/>
      <c r="K864" s="383"/>
      <c r="L864" s="383"/>
      <c r="M864" s="383"/>
      <c r="N864" s="383"/>
      <c r="O864" s="383"/>
      <c r="P864" s="383"/>
      <c r="Q864" s="383"/>
      <c r="R864" s="383"/>
    </row>
    <row r="865" spans="1:18" ht="15.75" customHeight="1" x14ac:dyDescent="0.3">
      <c r="A865" s="383" t="s">
        <v>2</v>
      </c>
      <c r="B865" s="383"/>
      <c r="C865" s="383"/>
      <c r="D865" s="383"/>
      <c r="E865" s="383"/>
      <c r="F865" s="383"/>
      <c r="G865" s="383"/>
      <c r="H865" s="383"/>
      <c r="I865" s="383"/>
      <c r="J865" s="383"/>
      <c r="K865" s="383"/>
      <c r="L865" s="383"/>
      <c r="M865" s="383"/>
      <c r="N865" s="383"/>
      <c r="O865" s="383"/>
      <c r="P865" s="383"/>
      <c r="Q865" s="383"/>
      <c r="R865" s="383"/>
    </row>
    <row r="866" spans="1:18" ht="15.75" customHeight="1" x14ac:dyDescent="0.3">
      <c r="A866" s="383" t="s">
        <v>3</v>
      </c>
      <c r="B866" s="383"/>
      <c r="C866" s="383"/>
      <c r="D866" s="383"/>
      <c r="E866" s="383"/>
      <c r="F866" s="383"/>
      <c r="G866" s="383"/>
      <c r="H866" s="383"/>
      <c r="I866" s="383"/>
      <c r="J866" s="383"/>
      <c r="K866" s="383"/>
      <c r="L866" s="383"/>
      <c r="M866" s="383"/>
      <c r="N866" s="383"/>
      <c r="O866" s="383"/>
      <c r="P866" s="383"/>
      <c r="Q866" s="383"/>
      <c r="R866" s="383"/>
    </row>
    <row r="867" spans="1:18" ht="15.75" customHeight="1" x14ac:dyDescent="0.3">
      <c r="A867" s="391">
        <f>+A5</f>
        <v>2020</v>
      </c>
      <c r="B867" s="391"/>
      <c r="C867" s="391"/>
      <c r="D867" s="391"/>
      <c r="E867" s="391"/>
      <c r="F867" s="391"/>
      <c r="G867" s="391"/>
      <c r="H867" s="391"/>
      <c r="I867" s="391"/>
      <c r="J867" s="391"/>
      <c r="K867" s="391"/>
      <c r="L867" s="391"/>
      <c r="M867" s="391"/>
      <c r="N867" s="391"/>
      <c r="O867" s="391"/>
      <c r="P867" s="391"/>
      <c r="Q867" s="391"/>
      <c r="R867" s="391"/>
    </row>
    <row r="868" spans="1:18" ht="15.75" customHeight="1" x14ac:dyDescent="0.3">
      <c r="A868" s="1"/>
      <c r="B868" s="1"/>
      <c r="C868" s="1"/>
      <c r="D868" s="7"/>
      <c r="E868" s="7"/>
      <c r="F868" s="7"/>
      <c r="G868" s="8"/>
      <c r="H868" s="7"/>
      <c r="I868" s="7"/>
      <c r="J868" s="8"/>
      <c r="K868" s="8"/>
      <c r="L868" s="8"/>
      <c r="M868" s="8"/>
      <c r="N868" s="1"/>
      <c r="O868" s="8"/>
      <c r="P868" s="8"/>
      <c r="Q868" s="8"/>
      <c r="R868" s="8"/>
    </row>
    <row r="869" spans="1:18" ht="15.75" customHeight="1" x14ac:dyDescent="0.3">
      <c r="A869" s="383" t="str">
        <f>+A8</f>
        <v>Revised:  10/31/2019</v>
      </c>
      <c r="B869" s="383"/>
      <c r="C869" s="383"/>
      <c r="D869" s="383"/>
      <c r="E869" s="383"/>
      <c r="F869" s="383"/>
      <c r="G869" s="383"/>
      <c r="H869" s="383"/>
      <c r="I869" s="383"/>
      <c r="J869" s="383"/>
      <c r="K869" s="383"/>
      <c r="L869" s="383"/>
      <c r="M869" s="383"/>
      <c r="N869" s="383"/>
      <c r="O869" s="383"/>
      <c r="P869" s="383"/>
      <c r="Q869" s="383"/>
      <c r="R869" s="383"/>
    </row>
    <row r="870" spans="1:18" ht="15.75" customHeight="1" x14ac:dyDescent="0.3">
      <c r="A870" s="6"/>
      <c r="B870" s="6"/>
      <c r="C870" s="6"/>
      <c r="D870" s="6"/>
      <c r="E870" s="6"/>
      <c r="F870" s="6"/>
      <c r="G870" s="6"/>
      <c r="H870" s="6"/>
      <c r="I870" s="6"/>
      <c r="J870" s="6"/>
      <c r="K870" s="6"/>
      <c r="L870" s="6"/>
      <c r="M870" s="6"/>
      <c r="N870" s="6"/>
      <c r="O870" s="6"/>
      <c r="P870" s="6"/>
      <c r="Q870" s="6"/>
      <c r="R870" s="6"/>
    </row>
    <row r="871" spans="1:18" ht="15.75" customHeight="1" x14ac:dyDescent="0.3">
      <c r="A871" s="6"/>
      <c r="B871" s="6"/>
      <c r="C871" s="6"/>
      <c r="D871" s="6"/>
      <c r="E871" s="6"/>
      <c r="F871" s="6"/>
      <c r="G871" s="6"/>
      <c r="H871" s="6"/>
      <c r="I871" s="6"/>
      <c r="J871" s="6"/>
      <c r="K871" s="6"/>
      <c r="L871" s="6"/>
      <c r="M871" s="6"/>
      <c r="N871" s="6"/>
      <c r="O871" s="6"/>
      <c r="P871" s="6"/>
      <c r="Q871" s="6"/>
      <c r="R871" s="6"/>
    </row>
    <row r="872" spans="1:18" ht="15.75" customHeight="1" thickBot="1" x14ac:dyDescent="0.35">
      <c r="A872" s="30"/>
      <c r="B872" s="1"/>
      <c r="C872" s="1"/>
      <c r="D872" s="1"/>
      <c r="E872" s="1"/>
      <c r="F872" s="1"/>
      <c r="G872" s="1"/>
      <c r="H872" s="1"/>
      <c r="I872" s="1"/>
      <c r="J872" s="1"/>
      <c r="K872" s="1"/>
      <c r="L872" s="1"/>
      <c r="M872" s="1"/>
      <c r="N872" s="1"/>
      <c r="O872" s="1"/>
      <c r="P872" s="1"/>
      <c r="Q872" s="1"/>
      <c r="R872" s="28"/>
    </row>
    <row r="873" spans="1:18" ht="16.5" customHeight="1" thickBot="1" x14ac:dyDescent="0.35">
      <c r="A873" s="145" t="s">
        <v>618</v>
      </c>
      <c r="B873" s="32" t="s">
        <v>36</v>
      </c>
      <c r="C873" s="33" t="s">
        <v>9</v>
      </c>
      <c r="D873" s="33" t="s">
        <v>10</v>
      </c>
      <c r="E873" s="12" t="s">
        <v>11</v>
      </c>
      <c r="F873" s="33" t="s">
        <v>12</v>
      </c>
      <c r="G873" s="33" t="s">
        <v>13</v>
      </c>
      <c r="H873" s="33" t="s">
        <v>14</v>
      </c>
      <c r="I873" s="34" t="s">
        <v>15</v>
      </c>
      <c r="J873" s="33" t="s">
        <v>16</v>
      </c>
      <c r="K873" s="33" t="s">
        <v>17</v>
      </c>
      <c r="L873" s="33" t="s">
        <v>18</v>
      </c>
      <c r="M873" s="34" t="s">
        <v>19</v>
      </c>
      <c r="N873" s="33" t="s">
        <v>20</v>
      </c>
      <c r="O873" s="33" t="s">
        <v>21</v>
      </c>
      <c r="P873" s="33" t="s">
        <v>22</v>
      </c>
      <c r="Q873" s="34" t="s">
        <v>23</v>
      </c>
      <c r="R873" s="157" t="s">
        <v>24</v>
      </c>
    </row>
    <row r="874" spans="1:18" ht="16.5" customHeight="1" thickBot="1" x14ac:dyDescent="0.35">
      <c r="A874" s="42"/>
      <c r="B874" s="37"/>
      <c r="C874" s="37"/>
      <c r="D874" s="37"/>
      <c r="E874" s="16"/>
      <c r="F874" s="37"/>
      <c r="G874" s="37"/>
      <c r="H874" s="37"/>
      <c r="I874" s="156"/>
      <c r="J874" s="37"/>
      <c r="K874" s="37"/>
      <c r="L874" s="37"/>
      <c r="M874" s="156"/>
      <c r="N874" s="37"/>
      <c r="O874" s="37"/>
      <c r="P874" s="37"/>
      <c r="Q874" s="158"/>
      <c r="R874" s="159"/>
    </row>
    <row r="875" spans="1:18" ht="15.75" customHeight="1" x14ac:dyDescent="0.3">
      <c r="A875" s="17" t="s">
        <v>45</v>
      </c>
      <c r="B875" s="1" t="s">
        <v>7</v>
      </c>
      <c r="C875" s="1" t="s">
        <v>7</v>
      </c>
      <c r="D875" s="1" t="s">
        <v>7</v>
      </c>
      <c r="E875" s="160"/>
      <c r="F875" s="1" t="s">
        <v>7</v>
      </c>
      <c r="G875" s="1" t="s">
        <v>7</v>
      </c>
      <c r="H875" s="1" t="s">
        <v>7</v>
      </c>
      <c r="I875" s="160"/>
      <c r="J875" s="1" t="s">
        <v>7</v>
      </c>
      <c r="K875" s="1" t="s">
        <v>7</v>
      </c>
      <c r="L875" s="1" t="s">
        <v>7</v>
      </c>
      <c r="M875" s="160"/>
      <c r="N875" s="1" t="s">
        <v>7</v>
      </c>
      <c r="O875" s="1" t="s">
        <v>7</v>
      </c>
      <c r="P875" s="1" t="s">
        <v>7</v>
      </c>
      <c r="Q875" s="161"/>
      <c r="R875" s="162" t="s">
        <v>7</v>
      </c>
    </row>
    <row r="876" spans="1:18" ht="15.75" customHeight="1" x14ac:dyDescent="0.3">
      <c r="A876" s="164" t="s">
        <v>46</v>
      </c>
      <c r="B876" s="1">
        <f>+SUM(B71:B82)+SUM(B141:B197)+SUM(B337:B371)+SUM(B520:B525)+SUM(B564:B569)+SUM(B609:B621)+SUM(B684:B687)+SUM(B720:B726)+SUM(B782:B783)+SUM(B816:B822)</f>
        <v>36110</v>
      </c>
      <c r="C876" s="1">
        <f>+SUM(C71:C82)+SUM(C141:C197)+SUM(C337:C371)+SUM(C520:C525)+SUM(C564:C569)+SUM(C609:C621)+SUM(C684:C687)+SUM(C720:C726)+SUM(C782:C783)+SUM(C816:C822)</f>
        <v>39409</v>
      </c>
      <c r="D876" s="1">
        <f>+SUM(D71:D82)+SUM(D141:D197)+SUM(D337:D371)+SUM(D520:D525)+SUM(D564:D569)+SUM(D609:D621)+SUM(D684:D687)+SUM(D720:D726)+SUM(D782:D783)+SUM(D816:D822)</f>
        <v>42902</v>
      </c>
      <c r="E876" s="59">
        <f t="shared" ref="E876:E882" si="291">SUM(B876:D876)</f>
        <v>118421</v>
      </c>
      <c r="F876" s="1">
        <f>+SUM(F71:F82)+SUM(F141:F197)+SUM(F337:F371)+SUM(F520:F525)+SUM(F564:F569)+SUM(F609:F621)+SUM(F684:F687)+SUM(F720:F726)+SUM(F782:F783)+SUM(F816:F822)</f>
        <v>54312</v>
      </c>
      <c r="G876" s="1">
        <f>+SUM(G71:G82)+SUM(G141:G197)+SUM(G337:G371)+SUM(G520:G525)+SUM(G564:G569)+SUM(G609:G621)+SUM(G684:G687)+SUM(G720:G726)+SUM(G782:G783)+SUM(G816:G822)</f>
        <v>65219</v>
      </c>
      <c r="H876" s="1">
        <f>+SUM(H71:H82)+SUM(H141:H197)+SUM(H337:H371)+SUM(H520:H525)+SUM(H564:H569)+SUM(H609:H621)+SUM(H684:H687)+SUM(H720:H726)+SUM(H782:H783)+SUM(H816:H822)</f>
        <v>77432</v>
      </c>
      <c r="I876" s="59">
        <f t="shared" ref="I876:I882" si="292">SUM(F876:H876)</f>
        <v>196963</v>
      </c>
      <c r="J876" s="1">
        <f>+SUM(J71:J82)+SUM(J141:J197)+SUM(J337:J371)+SUM(J520:J525)+SUM(J564:J569)+SUM(J609:J621)+SUM(J684:J687)+SUM(J720:J726)+SUM(J782:J783)+SUM(J816:J822)</f>
        <v>77697</v>
      </c>
      <c r="K876" s="1">
        <f>+SUM(K71:K82)+SUM(K141:K197)+SUM(K337:K371)+SUM(K520:K525)+SUM(K564:K569)+SUM(K609:K621)+SUM(K684:K687)+SUM(K720:K726)+SUM(K782:K783)+SUM(K816:K822)</f>
        <v>69278</v>
      </c>
      <c r="L876" s="1">
        <f>+SUM(L71:L82)+SUM(L141:L197)+SUM(L337:L371)+SUM(L520:L525)+SUM(L564:L569)+SUM(L609:L621)+SUM(L684:L687)+SUM(L720:L726)+SUM(L782:L783)+SUM(L816:L822)</f>
        <v>53290</v>
      </c>
      <c r="M876" s="59">
        <f t="shared" ref="M876:M882" si="293">SUM(J876:L876)</f>
        <v>200265</v>
      </c>
      <c r="N876" s="1">
        <f>+SUM(N71:N82)+SUM(N141:N197)+SUM(N337:N371)+SUM(N520:N525)+SUM(N564:N569)+SUM(N609:N621)+SUM(N684:N687)+SUM(N720:N726)+SUM(N782:N783)+SUM(N816:N822)</f>
        <v>48497</v>
      </c>
      <c r="O876" s="1">
        <f>+SUM(O71:O82)+SUM(O141:O197)+SUM(O337:O371)+SUM(O520:O525)+SUM(O564:O569)+SUM(O609:O621)+SUM(O684:O687)+SUM(O720:O726)+SUM(O782:O783)+SUM(O816:O822)</f>
        <v>32404</v>
      </c>
      <c r="P876" s="1">
        <f>+SUM(P71:P82)+SUM(P141:P197)+SUM(P337:P371)+SUM(P520:P525)+SUM(P564:P569)+SUM(P609:P621)+SUM(P684:P687)+SUM(P720:P726)+SUM(P782:P783)+SUM(P816:P822)</f>
        <v>24068</v>
      </c>
      <c r="Q876" s="59">
        <f t="shared" ref="Q876:Q882" si="294">SUM(N876:P876)</f>
        <v>104969</v>
      </c>
      <c r="R876" s="59">
        <f t="shared" ref="R876:R882" si="295">+E876+I876+M876+Q876</f>
        <v>620618</v>
      </c>
    </row>
    <row r="877" spans="1:18" ht="15.75" customHeight="1" x14ac:dyDescent="0.3">
      <c r="A877" s="17" t="s">
        <v>619</v>
      </c>
      <c r="B877" s="1">
        <f>+B38+SUM(B83:B84)+SUM(B199:B208)+SUM(B373:B383)+SUM(B527:B528)+B570+SUM(B622:B623)+B688+B727+B784+SUM(B823:B823)</f>
        <v>0</v>
      </c>
      <c r="C877" s="1">
        <f>+C38+SUM(C83:C84)+SUM(C199:C208)+SUM(C373:C383)+SUM(C527:C528)+C570+SUM(C622:C623)+C688+C727+C784+SUM(C823:C823)</f>
        <v>0</v>
      </c>
      <c r="D877" s="1">
        <f>+D38+SUM(D83:D84)+SUM(D199:D208)+SUM(D373:D383)+SUM(D527:D528)+D570+SUM(D622:D623)+D688+D727+D784+SUM(D823:D823)</f>
        <v>0</v>
      </c>
      <c r="E877" s="59">
        <f t="shared" si="291"/>
        <v>0</v>
      </c>
      <c r="F877" s="1">
        <f>+F38+SUM(F83:F84)+SUM(F199:F208)+SUM(F373:F383)+SUM(F527:F528)+F570+SUM(F622:F623)+F688+F727+F784+SUM(F823:F823)</f>
        <v>0</v>
      </c>
      <c r="G877" s="1">
        <f>+G38+SUM(G83:G84)+SUM(G199:G208)+SUM(G373:G383)+SUM(G527:G528)+G570+SUM(G622:G623)+G688+G727+G784+SUM(G823:G823)</f>
        <v>0</v>
      </c>
      <c r="H877" s="1">
        <f>+H38+SUM(H83:H84)+SUM(H199:H208)+SUM(H373:H383)+SUM(H527:H528)+H570+SUM(H622:H623)+H688+H727+H784+SUM(H823:H823)</f>
        <v>0</v>
      </c>
      <c r="I877" s="59">
        <f t="shared" si="292"/>
        <v>0</v>
      </c>
      <c r="J877" s="1">
        <f>+J38+SUM(J83:J84)+SUM(J199:J208)+SUM(J373:J383)+SUM(J527:J528)+J570+SUM(J622:J623)+J688+J727+J784+SUM(J823:J823)</f>
        <v>0</v>
      </c>
      <c r="K877" s="1">
        <f>+K38+SUM(K83:K84)+SUM(K199:K208)+SUM(K373:K383)+SUM(K527:K528)+K570+SUM(K622:K623)+K688+K727+K784+SUM(K823:K823)</f>
        <v>0</v>
      </c>
      <c r="L877" s="1">
        <f>+L38+SUM(L83:L84)+SUM(L199:L208)+SUM(L373:L383)+SUM(L527:L528)+L570+SUM(L622:L623)+L688+L727+L784+SUM(L823:L823)</f>
        <v>0</v>
      </c>
      <c r="M877" s="59">
        <f t="shared" si="293"/>
        <v>0</v>
      </c>
      <c r="N877" s="1">
        <f>+N38+SUM(N83:N84)+SUM(N199:N208)+SUM(N373:N383)+SUM(N527:N528)+N570+SUM(N622:N623)+N688+N727+N784+SUM(N823:N823)</f>
        <v>0</v>
      </c>
      <c r="O877" s="1">
        <f>+O38+SUM(O83:O84)+SUM(O199:O208)+SUM(O373:O383)+SUM(O527:O528)+O570+SUM(O622:O623)+O688+O727+O784+SUM(O823:O823)</f>
        <v>0</v>
      </c>
      <c r="P877" s="1">
        <f>+P38+SUM(P83:P84)+SUM(P199:P208)+SUM(P373:P383)+SUM(P527:P528)+P570+SUM(P622:P623)+P688+P727+P784+SUM(P823:P823)</f>
        <v>0</v>
      </c>
      <c r="Q877" s="59">
        <f t="shared" si="294"/>
        <v>0</v>
      </c>
      <c r="R877" s="59">
        <f t="shared" si="295"/>
        <v>0</v>
      </c>
    </row>
    <row r="878" spans="1:18" ht="15.75" customHeight="1" x14ac:dyDescent="0.3">
      <c r="A878" s="164" t="s">
        <v>620</v>
      </c>
      <c r="B878" s="1">
        <f>+SUM(B85:B87)+SUM(B209:B212)+SUM(B384:B388)+B529+B571+SUM(B624:B625)+B689+B728+B785+SUM(B824:B825)</f>
        <v>0</v>
      </c>
      <c r="C878" s="1">
        <f>+SUM(C85:C87)+SUM(C209:C212)+SUM(C384:C388)+C529+C571+SUM(C624:C625)+C689+C728+C785+SUM(C824:C825)</f>
        <v>0</v>
      </c>
      <c r="D878" s="1">
        <f>+SUM(D85:D87)+SUM(D209:D212)+SUM(D384:D388)+D529+D571+SUM(D624:D625)+D689+D728+D785+SUM(D824:D825)</f>
        <v>0</v>
      </c>
      <c r="E878" s="59">
        <f t="shared" si="291"/>
        <v>0</v>
      </c>
      <c r="F878" s="1">
        <f>+SUM(F85:F87)+SUM(F209:F212)+SUM(F384:F388)+F529+F571+SUM(F624:F625)+F689+F728+F785+SUM(F824:F825)</f>
        <v>0</v>
      </c>
      <c r="G878" s="1">
        <f>+SUM(G85:G87)+SUM(G209:G212)+SUM(G384:G388)+G529+G571+SUM(G624:G625)+G689+G728+G785+SUM(G824:G825)</f>
        <v>0</v>
      </c>
      <c r="H878" s="1">
        <f>+SUM(H85:H87)+SUM(H209:H212)+SUM(H384:H388)+H529+H571+SUM(H624:H625)+H689+H728+H785+SUM(H824:H825)</f>
        <v>0</v>
      </c>
      <c r="I878" s="59">
        <f t="shared" si="292"/>
        <v>0</v>
      </c>
      <c r="J878" s="1">
        <f>+SUM(J85:J87)+SUM(J209:J212)+SUM(J384:J388)+J529+J571+SUM(J624:J625)+J689+J728+J785+SUM(J824:J825)</f>
        <v>0</v>
      </c>
      <c r="K878" s="1">
        <f>+SUM(K85:K87)+SUM(K209:K212)+SUM(K384:K388)+K529+K571+SUM(K624:K625)+K689+K728+K785+SUM(K824:K825)</f>
        <v>0</v>
      </c>
      <c r="L878" s="1">
        <f>+SUM(L85:L87)+SUM(L209:L212)+SUM(L384:L388)+L529+L571+SUM(L624:L625)+L689+L728+L785+SUM(L824:L825)</f>
        <v>0</v>
      </c>
      <c r="M878" s="59">
        <f t="shared" si="293"/>
        <v>0</v>
      </c>
      <c r="N878" s="1">
        <f>+SUM(N85:N87)+SUM(N209:N212)+SUM(N384:N388)+N529+N571+SUM(N624:N625)+N689+N728+N785+SUM(N824:N825)</f>
        <v>0</v>
      </c>
      <c r="O878" s="1">
        <f>+SUM(O85:O87)+SUM(O209:O212)+SUM(O384:O388)+O529+O571+SUM(O624:O625)+O689+O728+O785+SUM(O824:O825)</f>
        <v>0</v>
      </c>
      <c r="P878" s="1">
        <f>+SUM(P85:P87)+SUM(P209:P212)+SUM(P384:P388)+P529+P571+SUM(P624:P625)+P689+P728+P785+SUM(P824:P825)</f>
        <v>0</v>
      </c>
      <c r="Q878" s="59">
        <f t="shared" si="294"/>
        <v>0</v>
      </c>
      <c r="R878" s="59">
        <f>+E878+I878+M878+Q878</f>
        <v>0</v>
      </c>
    </row>
    <row r="879" spans="1:18" ht="15.75" customHeight="1" x14ac:dyDescent="0.3">
      <c r="A879" s="17" t="s">
        <v>621</v>
      </c>
      <c r="B879" s="1">
        <f>+B314+B501+B502</f>
        <v>0</v>
      </c>
      <c r="C879" s="1">
        <f>+C314+C501+C502</f>
        <v>0</v>
      </c>
      <c r="D879" s="1">
        <f>+D314+D501+D502</f>
        <v>0</v>
      </c>
      <c r="E879" s="59">
        <f t="shared" si="291"/>
        <v>0</v>
      </c>
      <c r="F879" s="1">
        <f>+F314+F501+F502</f>
        <v>0</v>
      </c>
      <c r="G879" s="1">
        <f>+G314+G501+G502</f>
        <v>0</v>
      </c>
      <c r="H879" s="1">
        <f>+H314+H501+H502</f>
        <v>0</v>
      </c>
      <c r="I879" s="59">
        <f t="shared" si="292"/>
        <v>0</v>
      </c>
      <c r="J879" s="1">
        <f>+J314+J501+J502</f>
        <v>0</v>
      </c>
      <c r="K879" s="1">
        <f>+K314+K501+K502</f>
        <v>0</v>
      </c>
      <c r="L879" s="1">
        <f>+L314+L501+L502</f>
        <v>0</v>
      </c>
      <c r="M879" s="59">
        <f t="shared" si="293"/>
        <v>0</v>
      </c>
      <c r="N879" s="1">
        <f>+N314+N501+N502</f>
        <v>0</v>
      </c>
      <c r="O879" s="1">
        <f>+O314+O501+O502</f>
        <v>0</v>
      </c>
      <c r="P879" s="1">
        <f>+P314+P501+P502</f>
        <v>0</v>
      </c>
      <c r="Q879" s="59">
        <f t="shared" si="294"/>
        <v>0</v>
      </c>
      <c r="R879" s="59">
        <f t="shared" si="295"/>
        <v>0</v>
      </c>
    </row>
    <row r="880" spans="1:18" ht="15.75" customHeight="1" x14ac:dyDescent="0.3">
      <c r="A880" s="164" t="s">
        <v>622</v>
      </c>
      <c r="B880" s="1">
        <f>+B315</f>
        <v>42</v>
      </c>
      <c r="C880" s="1">
        <f>+C315</f>
        <v>43</v>
      </c>
      <c r="D880" s="1">
        <f>+D315</f>
        <v>47</v>
      </c>
      <c r="E880" s="59">
        <f>SUM(B880:D880)</f>
        <v>132</v>
      </c>
      <c r="F880" s="1">
        <f>+F315</f>
        <v>52</v>
      </c>
      <c r="G880" s="1">
        <f>+G315</f>
        <v>52</v>
      </c>
      <c r="H880" s="1">
        <f>+H315</f>
        <v>57</v>
      </c>
      <c r="I880" s="59">
        <f>SUM(F880:H880)</f>
        <v>161</v>
      </c>
      <c r="J880" s="1">
        <f>+J315</f>
        <v>62</v>
      </c>
      <c r="K880" s="1">
        <f>+K315</f>
        <v>62</v>
      </c>
      <c r="L880" s="1">
        <f>+L315</f>
        <v>62</v>
      </c>
      <c r="M880" s="59">
        <f>SUM(J880:L880)</f>
        <v>186</v>
      </c>
      <c r="N880" s="1">
        <f>+N315</f>
        <v>57</v>
      </c>
      <c r="O880" s="1">
        <f>+O315</f>
        <v>42</v>
      </c>
      <c r="P880" s="1">
        <f>+P315</f>
        <v>47</v>
      </c>
      <c r="Q880" s="59">
        <f t="shared" si="294"/>
        <v>146</v>
      </c>
      <c r="R880" s="59">
        <f>+E880+I880+M880+Q880</f>
        <v>625</v>
      </c>
    </row>
    <row r="881" spans="1:20" ht="15.75" customHeight="1" thickBot="1" x14ac:dyDescent="0.35">
      <c r="A881" s="17" t="s">
        <v>51</v>
      </c>
      <c r="B881" s="1">
        <f>+B88+B530+B572+B626+B690+B729+B786+B826</f>
        <v>0</v>
      </c>
      <c r="C881" s="1">
        <f>+C88+C530+C572+C626+C690+C729+C786+C826</f>
        <v>0</v>
      </c>
      <c r="D881" s="1">
        <f>+D88+D530+D572+D626+D690+D729+D786+D826</f>
        <v>0</v>
      </c>
      <c r="E881" s="59">
        <f t="shared" si="291"/>
        <v>0</v>
      </c>
      <c r="F881" s="1">
        <f>+F88+F530+F572+F626+F690+F729+F786+F826</f>
        <v>0</v>
      </c>
      <c r="G881" s="1">
        <f>+G88+G530+G572+G626+G690+G729+G786+G826</f>
        <v>0</v>
      </c>
      <c r="H881" s="1">
        <f>+H88+H530+H572+H626+H690+H729+H786+H826</f>
        <v>0</v>
      </c>
      <c r="I881" s="59">
        <f t="shared" si="292"/>
        <v>0</v>
      </c>
      <c r="J881" s="1">
        <f>+J88+J530+J572+J626+J690+J729+J786+J826</f>
        <v>0</v>
      </c>
      <c r="K881" s="1">
        <f>+K88+K530+K572+K626+K690+K729+K786+K826</f>
        <v>0</v>
      </c>
      <c r="L881" s="1">
        <f>+L88+L530+L572+L626+L690+L729+L786+L826</f>
        <v>0</v>
      </c>
      <c r="M881" s="59">
        <f t="shared" si="293"/>
        <v>0</v>
      </c>
      <c r="N881" s="1">
        <f>+N88+N530+N572+N626+N690+N729+N786+N826</f>
        <v>0</v>
      </c>
      <c r="O881" s="1">
        <f>+O88+O530+O572+O626+O690+O729+O786+O826</f>
        <v>0</v>
      </c>
      <c r="P881" s="1">
        <f>+P88+P530+P572+P626+P690+P729+P786+P826</f>
        <v>0</v>
      </c>
      <c r="Q881" s="59">
        <f t="shared" si="294"/>
        <v>0</v>
      </c>
      <c r="R881" s="59">
        <f t="shared" si="295"/>
        <v>0</v>
      </c>
    </row>
    <row r="882" spans="1:20" ht="16.5" customHeight="1" thickBot="1" x14ac:dyDescent="0.35">
      <c r="A882" s="62" t="s">
        <v>52</v>
      </c>
      <c r="B882" s="100">
        <f>SUM(B875:B881)</f>
        <v>36152</v>
      </c>
      <c r="C882" s="101">
        <f>SUM(C875:C881)</f>
        <v>39452</v>
      </c>
      <c r="D882" s="101">
        <f>SUM(D875:D881)</f>
        <v>42949</v>
      </c>
      <c r="E882" s="64">
        <f t="shared" si="291"/>
        <v>118553</v>
      </c>
      <c r="F882" s="101">
        <f>SUM(F875:F881)</f>
        <v>54364</v>
      </c>
      <c r="G882" s="101">
        <f>SUM(G875:G881)</f>
        <v>65271</v>
      </c>
      <c r="H882" s="101">
        <f>SUM(H875:H881)</f>
        <v>77489</v>
      </c>
      <c r="I882" s="64">
        <f t="shared" si="292"/>
        <v>197124</v>
      </c>
      <c r="J882" s="101">
        <f>SUM(J875:J881)</f>
        <v>77759</v>
      </c>
      <c r="K882" s="101">
        <f>SUM(K875:K881)</f>
        <v>69340</v>
      </c>
      <c r="L882" s="101">
        <f>SUM(L875:L881)</f>
        <v>53352</v>
      </c>
      <c r="M882" s="64">
        <f t="shared" si="293"/>
        <v>200451</v>
      </c>
      <c r="N882" s="101">
        <f>SUM(N875:N881)</f>
        <v>48554</v>
      </c>
      <c r="O882" s="101">
        <f>SUM(O875:O881)</f>
        <v>32446</v>
      </c>
      <c r="P882" s="101">
        <f>SUM(P875:P881)</f>
        <v>24115</v>
      </c>
      <c r="Q882" s="64">
        <f t="shared" si="294"/>
        <v>105115</v>
      </c>
      <c r="R882" s="64">
        <f t="shared" si="295"/>
        <v>621243</v>
      </c>
      <c r="T882" s="4">
        <f>+R882-R879-R878</f>
        <v>621243</v>
      </c>
    </row>
    <row r="883" spans="1:20" ht="15.75" customHeight="1" x14ac:dyDescent="0.3">
      <c r="A883" s="17" t="s">
        <v>53</v>
      </c>
      <c r="B883" s="1"/>
      <c r="C883" s="1"/>
      <c r="D883" s="1"/>
      <c r="E883" s="59" t="s">
        <v>7</v>
      </c>
      <c r="F883" s="1"/>
      <c r="G883" s="1"/>
      <c r="H883" s="1"/>
      <c r="I883" s="59" t="s">
        <v>7</v>
      </c>
      <c r="J883" s="1"/>
      <c r="K883" s="1"/>
      <c r="L883" s="1"/>
      <c r="M883" s="59" t="s">
        <v>7</v>
      </c>
      <c r="N883" s="1"/>
      <c r="O883" s="1"/>
      <c r="P883" s="1"/>
      <c r="Q883" s="59" t="s">
        <v>7</v>
      </c>
      <c r="R883" s="59" t="s">
        <v>7</v>
      </c>
    </row>
    <row r="884" spans="1:20" ht="15.75" customHeight="1" x14ac:dyDescent="0.3">
      <c r="A884" s="17" t="s">
        <v>54</v>
      </c>
      <c r="B884" s="1">
        <f>SUM(B43:B43)+SUM(B216:B216)+SUM(B91:B91)+SUM(B392:B392)</f>
        <v>0</v>
      </c>
      <c r="C884" s="1">
        <f>SUM(C43:C43)+SUM(C216:C216)+SUM(C91:C91)+SUM(C392:C392)</f>
        <v>0</v>
      </c>
      <c r="D884" s="1">
        <f>SUM(D43:D43)+SUM(D216:D216)+SUM(D91:D91)+SUM(D392:D392)</f>
        <v>0</v>
      </c>
      <c r="E884" s="59">
        <f>SUM(B884:D884)</f>
        <v>0</v>
      </c>
      <c r="F884" s="1">
        <f>SUM(F43:F43)+SUM(F216:F216)+SUM(F91:F91)+SUM(F392:F392)</f>
        <v>0</v>
      </c>
      <c r="G884" s="1">
        <f>SUM(G43:G43)+SUM(G216:G216)+SUM(G91:G91)+SUM(G392:G392)</f>
        <v>0</v>
      </c>
      <c r="H884" s="1">
        <f>SUM(H43:H43)+SUM(H216:H216)+SUM(H91:H91)+SUM(H392:H392)</f>
        <v>0</v>
      </c>
      <c r="I884" s="59">
        <f>SUM(F884:H884)</f>
        <v>0</v>
      </c>
      <c r="J884" s="1">
        <f>SUM(J43:J43)+SUM(J216:J216)+SUM(J91:J91)+SUM(J392:J392)</f>
        <v>0</v>
      </c>
      <c r="K884" s="1">
        <f>SUM(K43:K43)+SUM(K216:K216)+SUM(K91:K91)+SUM(K392:K392)</f>
        <v>0</v>
      </c>
      <c r="L884" s="1">
        <f>SUM(L43:L43)+SUM(L216:L216)+SUM(L91:L91)+SUM(L392:L392)</f>
        <v>0</v>
      </c>
      <c r="M884" s="59">
        <f>SUM(J884:L884)</f>
        <v>0</v>
      </c>
      <c r="N884" s="1">
        <f>SUM(N43:N43)+SUM(N216:N216)+SUM(N91:N91)+SUM(N392:N392)</f>
        <v>0</v>
      </c>
      <c r="O884" s="1">
        <f>SUM(O43:O43)+SUM(O216:O216)+SUM(O91:O91)+SUM(O392:O392)</f>
        <v>0</v>
      </c>
      <c r="P884" s="1">
        <f>SUM(P43:P43)+SUM(P216:P216)+SUM(P91:P91)+SUM(P392:P392)</f>
        <v>0</v>
      </c>
      <c r="Q884" s="59">
        <f>SUM(N884:P884)</f>
        <v>0</v>
      </c>
      <c r="R884" s="59">
        <f>+E884+I884+M884+Q884</f>
        <v>0</v>
      </c>
    </row>
    <row r="885" spans="1:20" ht="15.75" customHeight="1" x14ac:dyDescent="0.3">
      <c r="A885" s="164" t="s">
        <v>55</v>
      </c>
      <c r="B885" s="1">
        <f>+SUM(B93:B94)+SUM(B217:B219)+SUM(B393:B402)+B534+SUM(B575:B577)+SUM(B629:B631)+SUM(B693:B693)+B732+B789+SUM(B829:B830)</f>
        <v>2640</v>
      </c>
      <c r="C885" s="1">
        <f>+SUM(C93:C94)+SUM(C217:C219)+SUM(C393:C402)+C534+SUM(C575:C577)+SUM(C629:C631)+SUM(C693:C693)+C732+C789+SUM(C829:C830)</f>
        <v>5590</v>
      </c>
      <c r="D885" s="1">
        <f>+SUM(D93:D94)+SUM(D217:D219)+SUM(D393:D402)+D534+SUM(D575:D577)+SUM(D629:D631)+SUM(D693:D693)+D732+D789+SUM(D829:D830)</f>
        <v>21599</v>
      </c>
      <c r="E885" s="59">
        <f>SUM(B885:D885)</f>
        <v>29829</v>
      </c>
      <c r="F885" s="1">
        <f>+SUM(F93:F94)+SUM(F217:F219)+SUM(F393:F402)+F534+SUM(F575:F577)+SUM(F629:F631)+SUM(F693:F693)+F732+F789+SUM(F829:F830)</f>
        <v>40457</v>
      </c>
      <c r="G885" s="1">
        <f>+SUM(G93:G94)+SUM(G217:G219)+SUM(G393:G402)+G534+SUM(G575:G577)+SUM(G629:G631)+SUM(G693:G693)+G732+G789+SUM(G829:G830)</f>
        <v>36421</v>
      </c>
      <c r="H885" s="1">
        <f>+SUM(H93:H94)+SUM(H217:H219)+SUM(H393:H402)+H534+SUM(H575:H577)+SUM(H629:H631)+SUM(H693:H693)+H732+H789+SUM(H829:H830)</f>
        <v>47411</v>
      </c>
      <c r="I885" s="59">
        <f>SUM(F885:H885)</f>
        <v>124289</v>
      </c>
      <c r="J885" s="1">
        <f>+SUM(J93:J94)+SUM(J217:J219)+SUM(J393:J402)+J534+SUM(J575:J577)+SUM(J629:J631)+SUM(J693:J693)+J732+J789+SUM(J829:J830)</f>
        <v>33027</v>
      </c>
      <c r="K885" s="1">
        <f>+SUM(K93:K94)+SUM(K217:K219)+SUM(K393:K402)+K534+SUM(K575:K577)+SUM(K629:K631)+SUM(K693:K693)+K732+K789+SUM(K829:K830)</f>
        <v>29176</v>
      </c>
      <c r="L885" s="1">
        <f>+SUM(L93:L94)+SUM(L217:L219)+SUM(L393:L402)+L534+SUM(L575:L577)+SUM(L629:L631)+SUM(L693:L693)+L732+L789+SUM(L829:L830)</f>
        <v>11096</v>
      </c>
      <c r="M885" s="59">
        <f>SUM(J885:L885)</f>
        <v>73299</v>
      </c>
      <c r="N885" s="1">
        <f>+SUM(N93:N94)+SUM(N217:N219)+SUM(N393:N402)+N534+SUM(N575:N577)+SUM(N629:N631)+SUM(N693:N693)+N732+N789+SUM(N829:N830)</f>
        <v>9225</v>
      </c>
      <c r="O885" s="1">
        <f>+SUM(O93:O94)+SUM(O217:O219)+SUM(O393:O402)+O534+SUM(O575:O577)+SUM(O629:O631)+SUM(O693:O693)+O732+O789+SUM(O829:O830)</f>
        <v>6248</v>
      </c>
      <c r="P885" s="1">
        <f>+SUM(P93:P94)+SUM(P217:P219)+SUM(P393:P402)+P534+SUM(P575:P577)+SUM(P629:P631)+SUM(P693:P693)+P732+P789+SUM(P829:P830)</f>
        <v>6485</v>
      </c>
      <c r="Q885" s="59">
        <f>SUM(N885:P885)</f>
        <v>21958</v>
      </c>
      <c r="R885" s="59">
        <f>+E885+I885+M885+Q885</f>
        <v>249375</v>
      </c>
    </row>
    <row r="886" spans="1:20" ht="15.75" customHeight="1" thickBot="1" x14ac:dyDescent="0.35">
      <c r="A886" s="17" t="s">
        <v>56</v>
      </c>
      <c r="B886" s="1">
        <f>+B95+B535+B578+B632+B694+B733+B790+B831+B403+B220+B45</f>
        <v>0</v>
      </c>
      <c r="C886" s="1">
        <f>+C95+C535+C578+C632+C694+C733+C790+C831+C403+C220+C45</f>
        <v>0</v>
      </c>
      <c r="D886" s="1">
        <f>+D95+D535+D578+D632+D694+D733+D790+D831+D403+D220+D45</f>
        <v>0</v>
      </c>
      <c r="E886" s="59">
        <f>SUM(B886:D886)</f>
        <v>0</v>
      </c>
      <c r="F886" s="1">
        <f>+F95+F535+F578+F632+F694+F733+F790+F831+F403+F220+F45</f>
        <v>0</v>
      </c>
      <c r="G886" s="1">
        <f>+G95+G535+G578+G632+G694+G733+G790+G831+G403+G220+G45</f>
        <v>0</v>
      </c>
      <c r="H886" s="1">
        <f>+H95+H535+H578+H632+H694+H733+H790+H831+H403+H220+H45</f>
        <v>0</v>
      </c>
      <c r="I886" s="59">
        <f>SUM(F886:H886)</f>
        <v>0</v>
      </c>
      <c r="J886" s="1">
        <f>+J95+J535+J578+J632+J694+J733+J790+J831+J403+J220+J45</f>
        <v>0</v>
      </c>
      <c r="K886" s="1">
        <f>+K95+K535+K578+K632+K694+K733+K790+K831+K403+K220+K45</f>
        <v>0</v>
      </c>
      <c r="L886" s="1">
        <f>+L95+L535+L578+L632+L694+L733+L790+L831+L403+L220+L45</f>
        <v>0</v>
      </c>
      <c r="M886" s="59">
        <f>SUM(J886:L886)</f>
        <v>0</v>
      </c>
      <c r="N886" s="1">
        <f>+N95+N535+N578+N632+N694+N733+N790+N831+N403+N220+N45</f>
        <v>0</v>
      </c>
      <c r="O886" s="1">
        <f>+O95+O535+O578+O632+O694+O733+O790+O831+O403+O220+O45</f>
        <v>0</v>
      </c>
      <c r="P886" s="1">
        <f>+P95+P535+P578+P632+P694+P733+P790+P831+P403+P220+P45</f>
        <v>0</v>
      </c>
      <c r="Q886" s="59">
        <f>SUM(N886:P886)</f>
        <v>0</v>
      </c>
      <c r="R886" s="59">
        <f>+E886+I886+M886+Q886</f>
        <v>0</v>
      </c>
    </row>
    <row r="887" spans="1:20" ht="16.5" customHeight="1" thickBot="1" x14ac:dyDescent="0.35">
      <c r="A887" s="62" t="s">
        <v>57</v>
      </c>
      <c r="B887" s="100">
        <f>SUM(B883:B886)</f>
        <v>2640</v>
      </c>
      <c r="C887" s="101">
        <f>SUM(C883:C886)</f>
        <v>5590</v>
      </c>
      <c r="D887" s="101">
        <f>SUM(D883:D886)</f>
        <v>21599</v>
      </c>
      <c r="E887" s="64">
        <f>SUM(B887:D887)</f>
        <v>29829</v>
      </c>
      <c r="F887" s="101">
        <f>SUM(F883:F886)</f>
        <v>40457</v>
      </c>
      <c r="G887" s="101">
        <f>SUM(G883:G886)</f>
        <v>36421</v>
      </c>
      <c r="H887" s="101">
        <f>SUM(H883:H886)</f>
        <v>47411</v>
      </c>
      <c r="I887" s="64">
        <f>SUM(F887:H887)</f>
        <v>124289</v>
      </c>
      <c r="J887" s="101">
        <f>SUM(J883:J886)</f>
        <v>33027</v>
      </c>
      <c r="K887" s="101">
        <f>SUM(K883:K886)</f>
        <v>29176</v>
      </c>
      <c r="L887" s="101">
        <f>SUM(L883:L886)</f>
        <v>11096</v>
      </c>
      <c r="M887" s="64">
        <f>SUM(J887:L887)</f>
        <v>73299</v>
      </c>
      <c r="N887" s="101">
        <f>SUM(N883:N886)</f>
        <v>9225</v>
      </c>
      <c r="O887" s="101">
        <f>SUM(O883:O886)</f>
        <v>6248</v>
      </c>
      <c r="P887" s="101">
        <f>SUM(P883:P886)</f>
        <v>6485</v>
      </c>
      <c r="Q887" s="64">
        <f>SUM(N887:P887)</f>
        <v>21958</v>
      </c>
      <c r="R887" s="64">
        <f>+E887+I887+M887+Q887</f>
        <v>249375</v>
      </c>
    </row>
    <row r="888" spans="1:20" ht="15.75" customHeight="1" x14ac:dyDescent="0.3">
      <c r="A888" s="17" t="s">
        <v>58</v>
      </c>
      <c r="B888" s="1"/>
      <c r="C888" s="1"/>
      <c r="D888" s="1"/>
      <c r="E888" s="59" t="s">
        <v>7</v>
      </c>
      <c r="F888" s="1"/>
      <c r="G888" s="1"/>
      <c r="H888" s="1"/>
      <c r="I888" s="59" t="s">
        <v>7</v>
      </c>
      <c r="J888" s="1"/>
      <c r="K888" s="1"/>
      <c r="L888" s="1"/>
      <c r="M888" s="59" t="s">
        <v>7</v>
      </c>
      <c r="N888" s="1"/>
      <c r="O888" s="1"/>
      <c r="P888" s="1"/>
      <c r="Q888" s="59" t="s">
        <v>7</v>
      </c>
      <c r="R888" s="59" t="s">
        <v>7</v>
      </c>
    </row>
    <row r="889" spans="1:20" ht="15.75" customHeight="1" x14ac:dyDescent="0.3">
      <c r="A889" s="164" t="s">
        <v>59</v>
      </c>
      <c r="B889" s="1">
        <f>+B48+B98+B223+SUM(B406:B410)+B538+B581+B635+B697+SUM(B736:B737)+B793+SUM(B834:B836)</f>
        <v>5303</v>
      </c>
      <c r="C889" s="1">
        <f>+C48+C98+C223+SUM(C406:C410)+C538+C581+C635+C697+SUM(C736:C737)+C793+SUM(C834:C836)</f>
        <v>6197</v>
      </c>
      <c r="D889" s="1">
        <f>+D48+D98+D223+SUM(D406:D410)+D538+D581+D635+D697+SUM(D736:D737)+D793+SUM(D834:D836)</f>
        <v>13378</v>
      </c>
      <c r="E889" s="59">
        <f>SUM(B889:D889)</f>
        <v>24878</v>
      </c>
      <c r="F889" s="1">
        <f>+F48+F98+F223+SUM(F406:F410)+F538+F581+F635+F697+SUM(F736:F737)+F793+SUM(F834:F836)</f>
        <v>15024</v>
      </c>
      <c r="G889" s="1">
        <f>+G48+G98+G223+SUM(G406:G410)+G538+G581+G635+G697+SUM(G736:G737)+G793+SUM(G834:G836)</f>
        <v>18499</v>
      </c>
      <c r="H889" s="1">
        <f>+H48+H98+H223+SUM(H406:H410)+H538+H581+H635+H697+SUM(H736:H737)+H793+SUM(H834:H836)</f>
        <v>21727</v>
      </c>
      <c r="I889" s="59">
        <f>SUM(F889:H889)</f>
        <v>55250</v>
      </c>
      <c r="J889" s="1">
        <f>+J48+J98+J223+SUM(J406:J410)+J538+J581+J635+J697+SUM(J736:J737)+J793+SUM(J834:J836)</f>
        <v>21619</v>
      </c>
      <c r="K889" s="1">
        <f>+K48+K98+K223+SUM(K406:K410)+K538+K581+K635+K697+SUM(K736:K737)+K793+SUM(K834:K836)</f>
        <v>20513</v>
      </c>
      <c r="L889" s="1">
        <f>+L48+L98+L223+SUM(L406:L410)+L538+L581+L635+L697+SUM(L736:L737)+L793+SUM(L834:L836)</f>
        <v>15289</v>
      </c>
      <c r="M889" s="59">
        <f>SUM(J889:L889)</f>
        <v>57421</v>
      </c>
      <c r="N889" s="1">
        <f>+N48+N98+N223+SUM(N406:N410)+N538+N581+N635+N697+SUM(N736:N737)+N793+SUM(N834:N836)</f>
        <v>12279</v>
      </c>
      <c r="O889" s="1">
        <f>+O48+O98+O223+SUM(O406:O410)+O538+O581+O635+O697+SUM(O736:O737)+O793+SUM(O834:O836)</f>
        <v>11018</v>
      </c>
      <c r="P889" s="1">
        <f>+P48+P98+P223+SUM(P406:P410)+P538+P581+P635+P697+SUM(P736:P737)+P793+SUM(P834:P836)</f>
        <v>4057</v>
      </c>
      <c r="Q889" s="59">
        <f>SUM(N889:P889)</f>
        <v>27354</v>
      </c>
      <c r="R889" s="59">
        <f>+E889+I889+M889+Q889</f>
        <v>164903</v>
      </c>
    </row>
    <row r="890" spans="1:20" ht="15.75" customHeight="1" thickBot="1" x14ac:dyDescent="0.35">
      <c r="A890" s="164" t="s">
        <v>60</v>
      </c>
      <c r="B890" s="1">
        <f>+B49+SUM(B99:B107)+SUM(B224:B289)+SUM(B411:B472)+SUM(B539:B541)+SUM(B582:B583)+SUM(B636:B642)+B698+SUM(B738:B747)+B794+SUM(B837:B842)</f>
        <v>20411</v>
      </c>
      <c r="C890" s="1">
        <f>+C49+SUM(C99:C107)+SUM(C224:C289)+SUM(C411:C472)+SUM(C539:C541)+SUM(C582:C583)+SUM(C636:C642)+C698+SUM(C738:C747)+C794+SUM(C837:C842)</f>
        <v>24557</v>
      </c>
      <c r="D890" s="1">
        <f>+D49+SUM(D99:D107)+SUM(D224:D289)+SUM(D411:D472)+SUM(D539:D541)+SUM(D582:D583)+SUM(D636:D642)+D698+SUM(D738:D747)+D794+SUM(D837:D842)</f>
        <v>35654</v>
      </c>
      <c r="E890" s="59">
        <f>SUM(B890:D890)</f>
        <v>80622</v>
      </c>
      <c r="F890" s="1">
        <f>+F49+SUM(F99:F107)+SUM(F224:F289)+SUM(F411:F472)+SUM(F539:F541)+SUM(F582:F583)+SUM(F636:F642)+F698+SUM(F738:F747)+F794+SUM(F837:F842)</f>
        <v>34788</v>
      </c>
      <c r="G890" s="1">
        <f>+G49+SUM(G99:G107)+SUM(G224:G289)+SUM(G411:G472)+SUM(G539:G541)+SUM(G582:G583)+SUM(G636:G642)+G698+SUM(G738:G747)+G794+SUM(G837:G842)</f>
        <v>36388</v>
      </c>
      <c r="H890" s="1">
        <f>+H49+SUM(H99:H107)+SUM(H224:H289)+SUM(H411:H472)+SUM(H539:H541)+SUM(H582:H583)+SUM(H636:H642)+H698+SUM(H738:H747)+H794+SUM(H837:H842)</f>
        <v>50205</v>
      </c>
      <c r="I890" s="59">
        <f>SUM(F890:H890)</f>
        <v>121381</v>
      </c>
      <c r="J890" s="1">
        <f>+J49+SUM(J99:J107)+SUM(J224:J289)+SUM(J411:J472)+SUM(J539:J541)+SUM(J582:J583)+SUM(J636:J642)+J698+SUM(J738:J747)+J794+SUM(J837:J842)</f>
        <v>30149</v>
      </c>
      <c r="K890" s="1">
        <f>+K49+SUM(K99:K107)+SUM(K224:K289)+SUM(K411:K472)+SUM(K539:K541)+SUM(K582:K583)+SUM(K636:K642)+K698+SUM(K738:K747)+K794+SUM(K837:K842)</f>
        <v>28488</v>
      </c>
      <c r="L890" s="1">
        <f>+L49+SUM(L99:L107)+SUM(L224:L289)+SUM(L411:L472)+SUM(L539:L541)+SUM(L582:L583)+SUM(L636:L642)+L698+SUM(L738:L747)+L794+SUM(L837:L842)</f>
        <v>28357</v>
      </c>
      <c r="M890" s="59">
        <f>SUM(J890:L890)</f>
        <v>86994</v>
      </c>
      <c r="N890" s="1">
        <f>+N49+SUM(N99:N107)+SUM(N224:N289)+SUM(N411:N472)+SUM(N539:N541)+SUM(N582:N583)+SUM(N636:N642)+N698+SUM(N738:N747)+N794+SUM(N837:N842)</f>
        <v>15855</v>
      </c>
      <c r="O890" s="1">
        <f>+O49+SUM(O99:O107)+SUM(O224:O289)+SUM(O411:O472)+SUM(O539:O541)+SUM(O582:O583)+SUM(O636:O642)+O698+SUM(O738:O747)+O794+SUM(O837:O842)</f>
        <v>12038</v>
      </c>
      <c r="P890" s="1">
        <f>+P49+SUM(P99:P107)+SUM(P224:P289)+SUM(P411:P472)+SUM(P539:P541)+SUM(P582:P583)+SUM(P636:P642)+P698+SUM(P738:P747)+P794+SUM(P837:P842)</f>
        <v>8214</v>
      </c>
      <c r="Q890" s="59">
        <f>SUM(N890:P890)</f>
        <v>36107</v>
      </c>
      <c r="R890" s="59">
        <f>+E890+I890+M890+Q890</f>
        <v>325104</v>
      </c>
    </row>
    <row r="891" spans="1:20" ht="16.5" customHeight="1" thickBot="1" x14ac:dyDescent="0.35">
      <c r="A891" s="62" t="s">
        <v>61</v>
      </c>
      <c r="B891" s="100">
        <f>SUM(B888:B890)</f>
        <v>25714</v>
      </c>
      <c r="C891" s="101">
        <f>SUM(C888:C890)</f>
        <v>30754</v>
      </c>
      <c r="D891" s="138">
        <f>SUM(D888:D890)</f>
        <v>49032</v>
      </c>
      <c r="E891" s="64">
        <f>SUM(B891:D891)</f>
        <v>105500</v>
      </c>
      <c r="F891" s="101">
        <f>SUM(F888:F890)</f>
        <v>49812</v>
      </c>
      <c r="G891" s="101">
        <f>SUM(G888:G890)</f>
        <v>54887</v>
      </c>
      <c r="H891" s="101">
        <f>SUM(H888:H890)</f>
        <v>71932</v>
      </c>
      <c r="I891" s="64">
        <f>SUM(F891:H891)</f>
        <v>176631</v>
      </c>
      <c r="J891" s="101">
        <f>SUM(J888:J890)</f>
        <v>51768</v>
      </c>
      <c r="K891" s="101">
        <f>SUM(K888:K890)</f>
        <v>49001</v>
      </c>
      <c r="L891" s="101">
        <f>SUM(L888:L890)</f>
        <v>43646</v>
      </c>
      <c r="M891" s="64">
        <f>SUM(J891:L891)</f>
        <v>144415</v>
      </c>
      <c r="N891" s="101">
        <f>SUM(N888:N890)</f>
        <v>28134</v>
      </c>
      <c r="O891" s="101">
        <f>SUM(O888:O890)</f>
        <v>23056</v>
      </c>
      <c r="P891" s="101">
        <f>SUM(P888:P890)</f>
        <v>12271</v>
      </c>
      <c r="Q891" s="64">
        <f>SUM(N891:P891)</f>
        <v>63461</v>
      </c>
      <c r="R891" s="64">
        <f>+E891+I891+M891+Q891</f>
        <v>490007</v>
      </c>
      <c r="T891" s="4">
        <v>1600000</v>
      </c>
    </row>
    <row r="892" spans="1:20" ht="20.25" customHeight="1" x14ac:dyDescent="0.3">
      <c r="A892" s="17" t="s">
        <v>623</v>
      </c>
      <c r="B892" s="1"/>
      <c r="C892" s="1"/>
      <c r="D892" s="1"/>
      <c r="E892" s="59" t="s">
        <v>7</v>
      </c>
      <c r="F892" s="1"/>
      <c r="G892" s="1"/>
      <c r="H892" s="1"/>
      <c r="I892" s="59" t="s">
        <v>7</v>
      </c>
      <c r="J892" s="1"/>
      <c r="K892" s="1"/>
      <c r="L892" s="1"/>
      <c r="M892" s="59" t="s">
        <v>7</v>
      </c>
      <c r="N892" s="1"/>
      <c r="O892" s="1"/>
      <c r="P892" s="1"/>
      <c r="Q892" s="59" t="s">
        <v>7</v>
      </c>
      <c r="R892" s="59" t="s">
        <v>7</v>
      </c>
      <c r="T892" s="4">
        <f>+T891-28000-R876-R877-400000-R889-R890+12000</f>
        <v>73375</v>
      </c>
    </row>
    <row r="893" spans="1:20" ht="15.75" customHeight="1" x14ac:dyDescent="0.3">
      <c r="A893" s="17" t="s">
        <v>624</v>
      </c>
      <c r="B893" s="1">
        <f>SUM(B52:B52)+SUM(B110:B118)+SUM(B292:B295)+SUM(B475:B476)+SUM(B544:B544)+B586+SUM(B645:B647)+B701+B750+B797+SUM(B845:B847)</f>
        <v>0</v>
      </c>
      <c r="C893" s="1">
        <f>SUM(C52:C52)+SUM(C110:C118)+SUM(C292:C295)+SUM(C475:C476)+SUM(C544:C544)+C586+SUM(C645:C647)+C701+C750+C797+SUM(C845:C847)</f>
        <v>0</v>
      </c>
      <c r="D893" s="1">
        <f>SUM(D52:D52)+SUM(D110:D118)+SUM(D292:D295)+SUM(D475:D476)+SUM(D544:D544)+D586+SUM(D645:D647)+D701+D750+D797+SUM(D845:D847)</f>
        <v>0</v>
      </c>
      <c r="E893" s="59">
        <f t="shared" ref="E893:E901" si="296">SUM(B893:D893)</f>
        <v>0</v>
      </c>
      <c r="F893" s="1">
        <f>SUM(F52:F52)+SUM(F110:F118)+SUM(F292:F295)+SUM(F475:F476)+SUM(F544:F544)+F586+SUM(F645:F647)+F701+F750+F797+SUM(F845:F847)</f>
        <v>0</v>
      </c>
      <c r="G893" s="1">
        <f>SUM(G52:G52)+SUM(G110:G118)+SUM(G292:G295)+SUM(G475:G476)+SUM(G544:G544)+G586+SUM(G645:G647)+G701+G750+G797+SUM(G845:G847)</f>
        <v>0</v>
      </c>
      <c r="H893" s="1">
        <f>SUM(H52:H52)+SUM(H110:H118)+SUM(H292:H295)+SUM(H475:H476)+SUM(H544:H544)+H586+SUM(H645:H647)+H701+H750+H797+SUM(H845:H847)</f>
        <v>0</v>
      </c>
      <c r="I893" s="59">
        <f t="shared" ref="I893:I901" si="297">SUM(F893:H893)</f>
        <v>0</v>
      </c>
      <c r="J893" s="1">
        <f>SUM(J52:J52)+SUM(J110:J118)+SUM(J292:J295)+SUM(J475:J476)+SUM(J544:J544)+J586+SUM(J645:J647)+J701+J750+J797+SUM(J845:J847)</f>
        <v>0</v>
      </c>
      <c r="K893" s="1">
        <f>SUM(K52:K52)+SUM(K110:K118)+SUM(K292:K295)+SUM(K475:K476)+SUM(K544:K544)+K586+SUM(K645:K647)+K701+K750+K797+SUM(K845:K847)</f>
        <v>0</v>
      </c>
      <c r="L893" s="1">
        <f>SUM(L52:L52)+SUM(L110:L118)+SUM(L292:L295)+SUM(L475:L476)+SUM(L544:L544)+L586+SUM(L645:L647)+L701+L750+L797+SUM(L845:L847)</f>
        <v>0</v>
      </c>
      <c r="M893" s="59">
        <f t="shared" ref="M893:M901" si="298">SUM(J893:L893)</f>
        <v>0</v>
      </c>
      <c r="N893" s="1">
        <f>SUM(N52:N52)+SUM(N110:N118)+SUM(N292:N295)+SUM(N475:N476)+SUM(N544:N544)+N586+SUM(N645:N647)+N701+N750+N797+SUM(N845:N847)</f>
        <v>0</v>
      </c>
      <c r="O893" s="1">
        <f>SUM(O52:O52)+SUM(O110:O118)+SUM(O292:O295)+SUM(O475:O476)+SUM(O544:O544)+O586+SUM(O645:O647)+O701+O750+O797+SUM(O845:O847)</f>
        <v>0</v>
      </c>
      <c r="P893" s="1">
        <f>SUM(P52:P52)+SUM(P110:P118)+SUM(P292:P295)+SUM(P475:P476)+SUM(P544:P544)+P586+SUM(P645:P647)+P701+P750+P797+SUM(P845:P847)</f>
        <v>0</v>
      </c>
      <c r="Q893" s="59">
        <f t="shared" ref="Q893:Q901" si="299">SUM(N893:P893)</f>
        <v>0</v>
      </c>
      <c r="R893" s="59">
        <f>+E893+I893+M893+Q893</f>
        <v>0</v>
      </c>
    </row>
    <row r="894" spans="1:20" ht="15.75" customHeight="1" x14ac:dyDescent="0.3">
      <c r="A894" s="17" t="s">
        <v>64</v>
      </c>
      <c r="B894" s="1">
        <f>SUM(B53:B54)+SUM(B119:B120)+SUM(B296:B297)+B299+B301+B303+B304+SUM(B477:B479)+B545+B587+SUM(B648:B649)+B651+SUM(B702:B703)+B752+B754+B798+SUM(B848:B849)</f>
        <v>0</v>
      </c>
      <c r="C894" s="1">
        <f>SUM(C53:C54)+SUM(C119:C120)+SUM(C296:C297)+C299+C301+C303+C304+SUM(C477:C479)+C545+C587+SUM(C648:C649)+C651+SUM(C702:C703)+C752+C754+C798+SUM(C848:C849)</f>
        <v>0</v>
      </c>
      <c r="D894" s="1">
        <f>SUM(D53:D54)+SUM(D119:D120)+SUM(D296:D297)+D299+D301+D303+D304+SUM(D477:D479)+D545+D587+SUM(D648:D649)+D651+SUM(D702:D703)+D752+D754+D798+SUM(D848:D849)</f>
        <v>0</v>
      </c>
      <c r="E894" s="59">
        <f t="shared" si="296"/>
        <v>0</v>
      </c>
      <c r="F894" s="1">
        <f>SUM(F53:F54)+SUM(F119:F120)+SUM(F296:F297)+F299+F301+F303+F304+SUM(F477:F479)+F545+F587+SUM(F648:F649)+F651+SUM(F702:F703)+F752+F754+F798+SUM(F848:F849)</f>
        <v>0</v>
      </c>
      <c r="G894" s="1">
        <f>SUM(G53:G54)+SUM(G119:G120)+SUM(G296:G297)+G299+G301+G303+G304+SUM(G477:G479)+G545+G587+SUM(G648:G649)+G651+SUM(G702:G703)+G752+G754+G798+SUM(G848:G849)</f>
        <v>0</v>
      </c>
      <c r="H894" s="1">
        <f>SUM(H53:H54)+SUM(H119:H120)+SUM(H296:H297)+H299+H301+H303+H304+SUM(H477:H479)+H545+H587+SUM(H648:H649)+H651+SUM(H702:H703)+H752+H754+H798+SUM(H848:H849)</f>
        <v>0</v>
      </c>
      <c r="I894" s="59">
        <f t="shared" si="297"/>
        <v>0</v>
      </c>
      <c r="J894" s="1">
        <f>SUM(J53:J54)+SUM(J119:J120)+SUM(J296:J297)+J299+J301+J303+J304+SUM(J477:J479)+J545+J587+SUM(J648:J649)+J651+SUM(J702:J703)+J752+J754+J798+SUM(J848:J849)</f>
        <v>0</v>
      </c>
      <c r="K894" s="1">
        <f>SUM(K53:K54)+SUM(K119:K120)+SUM(K296:K297)+K299+K301+K303+K304+SUM(K477:K479)+K545+K587+SUM(K648:K649)+K651+SUM(K702:K703)+K752+K754+K798+SUM(K848:K849)</f>
        <v>0</v>
      </c>
      <c r="L894" s="1">
        <f>SUM(L53:L54)+SUM(L119:L120)+SUM(L296:L297)+L299+L301+L303+L304+SUM(L477:L479)+L545+L587+SUM(L648:L649)+L651+SUM(L702:L703)+L752+L754+L798+SUM(L848:L849)</f>
        <v>0</v>
      </c>
      <c r="M894" s="59">
        <f t="shared" si="298"/>
        <v>0</v>
      </c>
      <c r="N894" s="1">
        <f>SUM(N53:N54)+SUM(N119:N120)+SUM(N296:N297)+N299+N301+N303+N304+SUM(N477:N479)+N545+N587+SUM(N648:N649)+N651+SUM(N702:N703)+N752+N754+N798+SUM(N848:N849)</f>
        <v>0</v>
      </c>
      <c r="O894" s="1">
        <f>SUM(O53:O54)+SUM(O119:O120)+SUM(O296:O297)+O299+O301+O303+O304+SUM(O477:O479)+O545+O587+SUM(O648:O649)+O651+SUM(O702:O703)+O752+O754+O798+SUM(O848:O849)</f>
        <v>0</v>
      </c>
      <c r="P894" s="1">
        <f>SUM(P53:P54)+SUM(P119:P120)+SUM(P296:P297)+P299+P301+P303+P304+SUM(P477:P479)+P545+P587+SUM(P648:P649)+P651+SUM(P702:P703)+P752+P754+P798+SUM(P848:P849)</f>
        <v>0</v>
      </c>
      <c r="Q894" s="59">
        <f t="shared" si="299"/>
        <v>0</v>
      </c>
      <c r="R894" s="59">
        <f t="shared" ref="R894:R901" si="300">+E894+I894+M894+Q894</f>
        <v>0</v>
      </c>
    </row>
    <row r="895" spans="1:20" ht="17.399999999999999" x14ac:dyDescent="0.3">
      <c r="A895" s="74" t="s">
        <v>625</v>
      </c>
      <c r="B895" s="1">
        <f>B121+B298+B300+B302+B650+B652+B753+B755+B850</f>
        <v>0</v>
      </c>
      <c r="C895" s="1">
        <f>C121+C298+C300+C302+C650+C652+C753+C755+C850</f>
        <v>0</v>
      </c>
      <c r="D895" s="1">
        <f>D121+D298+D300+D302+D650+D652+D753+D755+D850</f>
        <v>0</v>
      </c>
      <c r="E895" s="59">
        <f t="shared" si="296"/>
        <v>0</v>
      </c>
      <c r="F895" s="1">
        <f>F121+F298+F300+F302+F650+F652+F753+F755+F850</f>
        <v>0</v>
      </c>
      <c r="G895" s="1">
        <f>G121+G298+G300+G302+G650+G652+G753+G755+G850</f>
        <v>0</v>
      </c>
      <c r="H895" s="1">
        <f>H121+H298+H300+H302+H650+H652+H753+H755+H850</f>
        <v>0</v>
      </c>
      <c r="I895" s="59">
        <f t="shared" si="297"/>
        <v>0</v>
      </c>
      <c r="J895" s="1">
        <f>J121+J298+J300+J302+J650+J652+J753+J755+J850</f>
        <v>0</v>
      </c>
      <c r="K895" s="1">
        <f>K121+K298+K300+K302+K650+K652+K753+K755+K850</f>
        <v>0</v>
      </c>
      <c r="L895" s="1">
        <f>L121+L298+L300+L302+L650+L652+L753+L755+L850</f>
        <v>0</v>
      </c>
      <c r="M895" s="59">
        <f t="shared" si="298"/>
        <v>0</v>
      </c>
      <c r="N895" s="1">
        <f>N121+N298+N300+N302+N650+N652+N753+N755+N850</f>
        <v>0</v>
      </c>
      <c r="O895" s="1">
        <f>O121+O298+O300+O302+O650+O652+O753+O755+O850</f>
        <v>0</v>
      </c>
      <c r="P895" s="1">
        <f>P121+P298+P300+P302+P650+P652+P753+P755+P850</f>
        <v>0</v>
      </c>
      <c r="Q895" s="59">
        <f t="shared" si="299"/>
        <v>0</v>
      </c>
      <c r="R895" s="59">
        <f t="shared" si="300"/>
        <v>0</v>
      </c>
    </row>
    <row r="896" spans="1:20" ht="15.75" customHeight="1" x14ac:dyDescent="0.3">
      <c r="A896" s="17" t="s">
        <v>626</v>
      </c>
      <c r="B896" s="1">
        <f>+B55+SUM(B122:B123)+SUM(B305:B306)+SUM(B480:B486)+SUM(B546:B546)+SUM(B588:B589)+SUM(B653:B655)+B704+B756+B851+B851+B799</f>
        <v>0</v>
      </c>
      <c r="C896" s="1">
        <f>+C55+SUM(C122:C123)+SUM(C305:C306)+SUM(C480:C486)+SUM(C546:C546)+SUM(C588:C589)+SUM(C653:C655)+C704+C756+C851+C851+C799</f>
        <v>0</v>
      </c>
      <c r="D896" s="1">
        <f>+D55+SUM(D122:D123)+SUM(D305:D306)+SUM(D480:D486)+SUM(D546:D546)+SUM(D588:D589)+SUM(D653:D655)+D704+D756+D851+D851+D799</f>
        <v>0</v>
      </c>
      <c r="E896" s="59">
        <f t="shared" si="296"/>
        <v>0</v>
      </c>
      <c r="F896" s="1">
        <f>+F55+SUM(F122:F123)+SUM(F305:F306)+SUM(F480:F486)+SUM(F546:F546)+SUM(F588:F589)+SUM(F653:F655)+F704+F756+F851+F851+F799</f>
        <v>0</v>
      </c>
      <c r="G896" s="1">
        <f>+G55+SUM(G122:G123)+SUM(G305:G306)+SUM(G480:G486)+SUM(G546:G546)+SUM(G588:G589)+SUM(G653:G655)+G704+G756+G851+G851+G799</f>
        <v>0</v>
      </c>
      <c r="H896" s="1">
        <f>+H55+SUM(H122:H123)+SUM(H305:H306)+SUM(H480:H486)+SUM(H546:H546)+SUM(H588:H589)+SUM(H653:H655)+H704+H756+H851+H851+H799</f>
        <v>0</v>
      </c>
      <c r="I896" s="59">
        <f t="shared" si="297"/>
        <v>0</v>
      </c>
      <c r="J896" s="1">
        <f>+J55+SUM(J122:J123)+SUM(J305:J306)+SUM(J480:J486)+SUM(J546:J546)+SUM(J588:J589)+SUM(J653:J655)+J704+J756+J851+J851+J799</f>
        <v>0</v>
      </c>
      <c r="K896" s="1">
        <f>+K55+SUM(K122:K123)+SUM(K305:K306)+SUM(K480:K486)+SUM(K546:K546)+SUM(K588:K589)+SUM(K653:K655)+K704+K756+K851+K851+K799</f>
        <v>0</v>
      </c>
      <c r="L896" s="1">
        <f>+L55+SUM(L122:L123)+SUM(L305:L306)+SUM(L480:L486)+SUM(L546:L546)+SUM(L588:L589)+SUM(L653:L655)+L704+L756+L851+L851+L799</f>
        <v>0</v>
      </c>
      <c r="M896" s="59">
        <f t="shared" si="298"/>
        <v>0</v>
      </c>
      <c r="N896" s="1">
        <f>+N55+SUM(N122:N123)+SUM(N305:N306)+SUM(N480:N486)+SUM(N546:N546)+SUM(N588:N589)+SUM(N653:N655)+N704+N756+N851+N851+N799</f>
        <v>0</v>
      </c>
      <c r="O896" s="1">
        <f>+O55+SUM(O122:O123)+SUM(O305:O306)+SUM(O480:O486)+SUM(O546:O546)+SUM(O588:O589)+SUM(O653:O655)+O704+O756+O851+O851+O799</f>
        <v>0</v>
      </c>
      <c r="P896" s="1">
        <f>+P55+SUM(P122:P123)+SUM(P305:P306)+SUM(P480:P486)+SUM(P546:P546)+SUM(P588:P589)+SUM(P653:P655)+P704+P756+P851+P851+P799</f>
        <v>0</v>
      </c>
      <c r="Q896" s="59">
        <f t="shared" si="299"/>
        <v>0</v>
      </c>
      <c r="R896" s="59">
        <f>+E896+I896+M896+Q896</f>
        <v>0</v>
      </c>
    </row>
    <row r="897" spans="1:18" ht="22.5" customHeight="1" x14ac:dyDescent="0.3">
      <c r="A897" s="17" t="s">
        <v>67</v>
      </c>
      <c r="B897" s="1">
        <f>SUM(B126:B126)+SUM(B307:B308)+B488+B491+B492+B494+B497+SUM(B547:B548)+B591+B594+B656+B657+B659+B705+B757+B800+B852</f>
        <v>0</v>
      </c>
      <c r="C897" s="1">
        <f>SUM(C126:C126)+SUM(C307:C308)+C488+C491+C492+C494+C497+SUM(C547:C548)+C591+C594+C656+C657+C659+C705+C757+C800+C852</f>
        <v>0</v>
      </c>
      <c r="D897" s="1">
        <f>SUM(D126:D126)+SUM(D307:D308)+D488+D491+D492+D494+D497+SUM(D547:D548)+D591+D594+D656+D657+D659+D705+D757+D800+D852</f>
        <v>0</v>
      </c>
      <c r="E897" s="59">
        <f t="shared" si="296"/>
        <v>0</v>
      </c>
      <c r="F897" s="1">
        <f>SUM(F126:F126)+SUM(F307:F308)+F488+F491+F492+F494+F497+SUM(F547:F548)+F591+F594+F656+F657+F659+F705+F757+F800+F852</f>
        <v>0</v>
      </c>
      <c r="G897" s="1">
        <f>SUM(G126:G126)+SUM(G307:G308)+G488+G491+G492+G494+G497+SUM(G547:G548)+G591+G594+G656+G657+G659+G705+G757+G800+G852</f>
        <v>0</v>
      </c>
      <c r="H897" s="1">
        <f>SUM(H126:H126)+SUM(H307:H308)+H488+H491+H492+H494+H497+SUM(H547:H548)+H591+H594+H656+H657+H659+H705+H757+H800+H852</f>
        <v>0</v>
      </c>
      <c r="I897" s="59">
        <f t="shared" si="297"/>
        <v>0</v>
      </c>
      <c r="J897" s="1">
        <f>SUM(J126:J126)+SUM(J307:J308)+J488+J491+J492+J494+J497+SUM(J547:J548)+J591+J594+J656+J657+J659+J705+J757+J800+J852</f>
        <v>0</v>
      </c>
      <c r="K897" s="1">
        <f>SUM(K126:K126)+SUM(K307:K308)+K488+K491+K492+K494+K497+SUM(K547:K548)+K591+K594+K656+K657+K659+K705+K757+K800+K852</f>
        <v>0</v>
      </c>
      <c r="L897" s="1">
        <f>SUM(L126:L126)+SUM(L307:L308)+L488+L491+L492+L494+L497+SUM(L547:L548)+L591+L594+L656+L657+L659+L705+L757+L800+L852</f>
        <v>0</v>
      </c>
      <c r="M897" s="59">
        <f t="shared" si="298"/>
        <v>0</v>
      </c>
      <c r="N897" s="1">
        <f>SUM(N126:N126)+SUM(N307:N308)+N488+N491+N492+N494+N497+SUM(N547:N548)+N591+N594+N656+N657+N659+N705+N757+N800+N852</f>
        <v>0</v>
      </c>
      <c r="O897" s="1">
        <f>SUM(O126:O126)+SUM(O307:O308)+O488+O491+O492+O494+O497+SUM(O547:O548)+O591+O594+O656+O657+O659+O705+O757+O800+O852</f>
        <v>0</v>
      </c>
      <c r="P897" s="1">
        <f>SUM(P126:P126)+SUM(P307:P308)+P488+P491+P492+P494+P497+SUM(P547:P548)+P591+P594+P656+P657+P659+P705+P757+P800+P852</f>
        <v>0</v>
      </c>
      <c r="Q897" s="59">
        <f t="shared" si="299"/>
        <v>0</v>
      </c>
      <c r="R897" s="59">
        <f>+E897+I897+M897+Q897</f>
        <v>0</v>
      </c>
    </row>
    <row r="898" spans="1:18" ht="18" thickBot="1" x14ac:dyDescent="0.35">
      <c r="A898" s="74" t="s">
        <v>627</v>
      </c>
      <c r="B898" s="1">
        <f>+B489+B493+B495+B549+B125+B490+B496+B592+B593+B658</f>
        <v>0</v>
      </c>
      <c r="C898" s="1">
        <f>+C489+C493+C495+C549+C125+C490+C496+C592+C593+C658</f>
        <v>0</v>
      </c>
      <c r="D898" s="1">
        <f>+D489+D493+D495+D549+D125+D490+D496+D592+D593+D658</f>
        <v>0</v>
      </c>
      <c r="E898" s="59">
        <f>SUM(B898:D898)</f>
        <v>0</v>
      </c>
      <c r="F898" s="1">
        <f>+F489+F493+F495+F549+F125+F490+F496+F592+F593+F658</f>
        <v>0</v>
      </c>
      <c r="G898" s="1">
        <f>+G489+G493+G495+G549+G125+G490+G496+G592+G593+G658</f>
        <v>0</v>
      </c>
      <c r="H898" s="1">
        <f>+H489+H493+H495+H549+H125+H490+H496+H592+H593+H658</f>
        <v>0</v>
      </c>
      <c r="I898" s="59">
        <f>SUM(F898:H898)</f>
        <v>0</v>
      </c>
      <c r="J898" s="1">
        <f>+J489+J493+J495+J549+J125+J490+J496+J592+J593+J658</f>
        <v>0</v>
      </c>
      <c r="K898" s="1">
        <f>+K489+K493+K495+K549+K125+K490+K496+K592+K593+K658</f>
        <v>0</v>
      </c>
      <c r="L898" s="1">
        <f>+L489+L493+L495+L549+L125+L490+L496+L592+L593+L658</f>
        <v>0</v>
      </c>
      <c r="M898" s="59">
        <f>SUM(J898:L898)</f>
        <v>0</v>
      </c>
      <c r="N898" s="1">
        <f>+N489+N493+N495+N549+N125+N490+N496+N592+N593+N658</f>
        <v>0</v>
      </c>
      <c r="O898" s="1">
        <f>+O489+O493+O495+O549+O125+O490+O496+O592+O593+O658</f>
        <v>0</v>
      </c>
      <c r="P898" s="1">
        <f>+P489+P493+P495+P549+P125+P490+P496+P592+P593+P658</f>
        <v>0</v>
      </c>
      <c r="Q898" s="59">
        <f>SUM(N898:P898)</f>
        <v>0</v>
      </c>
      <c r="R898" s="59">
        <f>+E898+I898+M898+Q898</f>
        <v>0</v>
      </c>
    </row>
    <row r="899" spans="1:18" ht="16.5" customHeight="1" thickBot="1" x14ac:dyDescent="0.35">
      <c r="A899" s="62" t="s">
        <v>68</v>
      </c>
      <c r="B899" s="148">
        <f>SUM(B896:B898)</f>
        <v>0</v>
      </c>
      <c r="C899" s="148">
        <f>SUM(C896:C898)</f>
        <v>0</v>
      </c>
      <c r="D899" s="148">
        <f>SUM(D896:D898)</f>
        <v>0</v>
      </c>
      <c r="E899" s="65">
        <f t="shared" si="296"/>
        <v>0</v>
      </c>
      <c r="F899" s="148">
        <f>SUM(F896:F898)</f>
        <v>0</v>
      </c>
      <c r="G899" s="148">
        <f>SUM(G896:G898)</f>
        <v>0</v>
      </c>
      <c r="H899" s="148">
        <f>SUM(H896:H898)</f>
        <v>0</v>
      </c>
      <c r="I899" s="65">
        <f t="shared" si="297"/>
        <v>0</v>
      </c>
      <c r="J899" s="148">
        <f>SUM(J896:J898)</f>
        <v>0</v>
      </c>
      <c r="K899" s="148">
        <f>SUM(K896:K898)</f>
        <v>0</v>
      </c>
      <c r="L899" s="148">
        <f>SUM(L896:L898)</f>
        <v>0</v>
      </c>
      <c r="M899" s="65">
        <f t="shared" si="298"/>
        <v>0</v>
      </c>
      <c r="N899" s="148">
        <f>SUM(N896:N898)</f>
        <v>0</v>
      </c>
      <c r="O899" s="148">
        <f>SUM(O896:O898)</f>
        <v>0</v>
      </c>
      <c r="P899" s="148">
        <f>SUM(P896:P898)</f>
        <v>0</v>
      </c>
      <c r="Q899" s="65">
        <f t="shared" si="299"/>
        <v>0</v>
      </c>
      <c r="R899" s="64">
        <f t="shared" si="300"/>
        <v>0</v>
      </c>
    </row>
    <row r="900" spans="1:18" ht="16.5" customHeight="1" thickBot="1" x14ac:dyDescent="0.35">
      <c r="A900" s="137" t="s">
        <v>69</v>
      </c>
      <c r="B900" s="100">
        <f>SUM(B892:B898)</f>
        <v>0</v>
      </c>
      <c r="C900" s="101">
        <f>SUM(C892:C898)</f>
        <v>0</v>
      </c>
      <c r="D900" s="138">
        <f>SUM(D892:D898)</f>
        <v>0</v>
      </c>
      <c r="E900" s="165">
        <f t="shared" si="296"/>
        <v>0</v>
      </c>
      <c r="F900" s="100">
        <f>SUM(F892:F898)</f>
        <v>0</v>
      </c>
      <c r="G900" s="101">
        <f>SUM(G892:G898)</f>
        <v>0</v>
      </c>
      <c r="H900" s="138">
        <f>SUM(H892:H898)</f>
        <v>0</v>
      </c>
      <c r="I900" s="65">
        <f t="shared" si="297"/>
        <v>0</v>
      </c>
      <c r="J900" s="100">
        <f>SUM(J892:J898)</f>
        <v>0</v>
      </c>
      <c r="K900" s="101">
        <f>SUM(K892:K898)</f>
        <v>0</v>
      </c>
      <c r="L900" s="138">
        <f>SUM(L892:L898)</f>
        <v>0</v>
      </c>
      <c r="M900" s="65">
        <f t="shared" si="298"/>
        <v>0</v>
      </c>
      <c r="N900" s="100">
        <f>SUM(N892:N898)</f>
        <v>0</v>
      </c>
      <c r="O900" s="101">
        <f>SUM(O892:O898)</f>
        <v>0</v>
      </c>
      <c r="P900" s="138">
        <f>SUM(P892:P898)</f>
        <v>0</v>
      </c>
      <c r="Q900" s="65">
        <f t="shared" si="299"/>
        <v>0</v>
      </c>
      <c r="R900" s="64">
        <f t="shared" si="300"/>
        <v>0</v>
      </c>
    </row>
    <row r="901" spans="1:18" ht="16.5" customHeight="1" thickBot="1" x14ac:dyDescent="0.35">
      <c r="A901" s="62" t="s">
        <v>70</v>
      </c>
      <c r="B901" s="149">
        <f>+B882+B887+B891+B900</f>
        <v>64506</v>
      </c>
      <c r="C901" s="150">
        <f>+C882+C887+C891+C900</f>
        <v>75796</v>
      </c>
      <c r="D901" s="150">
        <f>+D882+D887+D891+D900</f>
        <v>113580</v>
      </c>
      <c r="E901" s="64">
        <f t="shared" si="296"/>
        <v>253882</v>
      </c>
      <c r="F901" s="63">
        <f>+F882+F887+F891+F900</f>
        <v>144633</v>
      </c>
      <c r="G901" s="63">
        <f>+G882+G887+G891+G900</f>
        <v>156579</v>
      </c>
      <c r="H901" s="63">
        <f>+H882+H887+H891+H900</f>
        <v>196832</v>
      </c>
      <c r="I901" s="64">
        <f t="shared" si="297"/>
        <v>498044</v>
      </c>
      <c r="J901" s="63">
        <f>+J882+J887+J891+J900</f>
        <v>162554</v>
      </c>
      <c r="K901" s="63">
        <f>+K882+K887+K891+K900</f>
        <v>147517</v>
      </c>
      <c r="L901" s="63">
        <f>+L882+L887+L891+L900</f>
        <v>108094</v>
      </c>
      <c r="M901" s="64">
        <f t="shared" si="298"/>
        <v>418165</v>
      </c>
      <c r="N901" s="63">
        <f>+N882+N887+N891+N900</f>
        <v>85913</v>
      </c>
      <c r="O901" s="63">
        <f>+O882+O887+O891+O900</f>
        <v>61750</v>
      </c>
      <c r="P901" s="63">
        <f>+P882+P887+P891+P900</f>
        <v>42871</v>
      </c>
      <c r="Q901" s="64">
        <f t="shared" si="299"/>
        <v>190534</v>
      </c>
      <c r="R901" s="88">
        <f t="shared" si="300"/>
        <v>1360625</v>
      </c>
    </row>
    <row r="902" spans="1:18" ht="15.75" customHeight="1" x14ac:dyDescent="0.3">
      <c r="A902" s="1" t="s">
        <v>628</v>
      </c>
      <c r="B902" s="1"/>
      <c r="C902" s="1"/>
      <c r="D902" s="1"/>
      <c r="E902" s="1"/>
      <c r="F902" s="1"/>
      <c r="G902" s="1"/>
      <c r="H902" s="1"/>
      <c r="I902" s="1"/>
      <c r="J902" s="1"/>
      <c r="K902" s="1"/>
      <c r="L902" s="1"/>
      <c r="M902" s="1"/>
      <c r="N902" s="1"/>
      <c r="O902" s="166"/>
      <c r="P902" s="1"/>
      <c r="Q902" s="1"/>
      <c r="R902" s="28"/>
    </row>
    <row r="903" spans="1:18" ht="15.75" customHeight="1" x14ac:dyDescent="0.3">
      <c r="A903" s="1" t="s">
        <v>629</v>
      </c>
      <c r="B903" s="1"/>
      <c r="C903" s="1"/>
      <c r="D903" s="1"/>
      <c r="E903" s="1"/>
      <c r="F903" s="1"/>
      <c r="G903" s="1"/>
      <c r="H903" s="1"/>
      <c r="I903" s="1"/>
      <c r="J903" s="1"/>
      <c r="K903" s="1"/>
      <c r="L903" s="1"/>
      <c r="M903" s="1"/>
      <c r="N903" s="1"/>
      <c r="O903" s="166"/>
      <c r="P903" s="1"/>
      <c r="Q903" s="1"/>
      <c r="R903" s="28"/>
    </row>
    <row r="904" spans="1:18" ht="15.75" customHeight="1" x14ac:dyDescent="0.3">
      <c r="A904" s="1"/>
      <c r="B904" s="1"/>
      <c r="C904" s="1"/>
      <c r="D904" s="1"/>
      <c r="E904" s="1"/>
      <c r="F904" s="1"/>
      <c r="G904" s="1"/>
      <c r="H904" s="1"/>
      <c r="I904" s="1"/>
      <c r="J904" s="1"/>
      <c r="K904" s="1"/>
      <c r="L904" s="1"/>
      <c r="M904" s="1"/>
      <c r="N904" s="1"/>
      <c r="O904" s="166"/>
      <c r="P904" s="1"/>
      <c r="Q904" s="2" t="str">
        <f>+Q1</f>
        <v xml:space="preserve">PRINTED:  </v>
      </c>
      <c r="R904" s="163">
        <f ca="1">+R1</f>
        <v>44894.658168518516</v>
      </c>
    </row>
    <row r="905" spans="1:18" ht="15.75" customHeight="1" x14ac:dyDescent="0.3">
      <c r="A905" s="383" t="s">
        <v>1</v>
      </c>
      <c r="B905" s="383"/>
      <c r="C905" s="383"/>
      <c r="D905" s="383"/>
      <c r="E905" s="383"/>
      <c r="F905" s="383"/>
      <c r="G905" s="383"/>
      <c r="H905" s="383"/>
      <c r="I905" s="383"/>
      <c r="J905" s="383"/>
      <c r="K905" s="383"/>
      <c r="L905" s="383"/>
      <c r="M905" s="383"/>
      <c r="N905" s="383"/>
      <c r="O905" s="383"/>
      <c r="P905" s="383"/>
      <c r="Q905" s="383"/>
      <c r="R905" s="383"/>
    </row>
    <row r="906" spans="1:18" ht="15.75" customHeight="1" x14ac:dyDescent="0.3">
      <c r="A906" s="383" t="s">
        <v>2</v>
      </c>
      <c r="B906" s="383"/>
      <c r="C906" s="383"/>
      <c r="D906" s="383"/>
      <c r="E906" s="383"/>
      <c r="F906" s="383"/>
      <c r="G906" s="383"/>
      <c r="H906" s="383"/>
      <c r="I906" s="383"/>
      <c r="J906" s="383"/>
      <c r="K906" s="383"/>
      <c r="L906" s="383"/>
      <c r="M906" s="383"/>
      <c r="N906" s="383"/>
      <c r="O906" s="383"/>
      <c r="P906" s="383"/>
      <c r="Q906" s="383"/>
      <c r="R906" s="383"/>
    </row>
    <row r="907" spans="1:18" ht="15.75" customHeight="1" x14ac:dyDescent="0.3">
      <c r="A907" s="383" t="s">
        <v>3</v>
      </c>
      <c r="B907" s="383"/>
      <c r="C907" s="383"/>
      <c r="D907" s="383"/>
      <c r="E907" s="383"/>
      <c r="F907" s="383"/>
      <c r="G907" s="383"/>
      <c r="H907" s="383"/>
      <c r="I907" s="383"/>
      <c r="J907" s="383"/>
      <c r="K907" s="383"/>
      <c r="L907" s="383"/>
      <c r="M907" s="383"/>
      <c r="N907" s="383"/>
      <c r="O907" s="383"/>
      <c r="P907" s="383"/>
      <c r="Q907" s="383"/>
      <c r="R907" s="383"/>
    </row>
    <row r="908" spans="1:18" ht="15.75" customHeight="1" x14ac:dyDescent="0.3">
      <c r="A908" s="392">
        <f>+A5</f>
        <v>2020</v>
      </c>
      <c r="B908" s="392"/>
      <c r="C908" s="392"/>
      <c r="D908" s="392"/>
      <c r="E908" s="392"/>
      <c r="F908" s="392"/>
      <c r="G908" s="392"/>
      <c r="H908" s="392"/>
      <c r="I908" s="392"/>
      <c r="J908" s="392"/>
      <c r="K908" s="392"/>
      <c r="L908" s="392"/>
      <c r="M908" s="392"/>
      <c r="N908" s="392"/>
      <c r="O908" s="392"/>
      <c r="P908" s="392"/>
      <c r="Q908" s="392"/>
      <c r="R908" s="392"/>
    </row>
    <row r="909" spans="1:18" ht="15.75" customHeight="1" x14ac:dyDescent="0.3">
      <c r="A909" s="1"/>
      <c r="B909" s="1"/>
      <c r="C909" s="1"/>
      <c r="D909" s="7"/>
      <c r="E909" s="7"/>
      <c r="F909" s="7"/>
      <c r="G909" s="8"/>
      <c r="H909" s="7"/>
      <c r="I909" s="7"/>
      <c r="J909" s="8"/>
      <c r="K909" s="8"/>
      <c r="L909" s="8"/>
      <c r="M909" s="8"/>
      <c r="N909" s="1"/>
      <c r="O909" s="8"/>
      <c r="P909" s="8"/>
      <c r="Q909" s="8"/>
      <c r="R909" s="8"/>
    </row>
    <row r="910" spans="1:18" ht="15.75" customHeight="1" x14ac:dyDescent="0.3">
      <c r="A910" s="383" t="str">
        <f>+A8</f>
        <v>Revised:  10/31/2019</v>
      </c>
      <c r="B910" s="383"/>
      <c r="C910" s="383"/>
      <c r="D910" s="383"/>
      <c r="E910" s="383"/>
      <c r="F910" s="383"/>
      <c r="G910" s="383"/>
      <c r="H910" s="383"/>
      <c r="I910" s="383"/>
      <c r="J910" s="383"/>
      <c r="K910" s="383"/>
      <c r="L910" s="383"/>
      <c r="M910" s="383"/>
      <c r="N910" s="383"/>
      <c r="O910" s="383"/>
      <c r="P910" s="383"/>
      <c r="Q910" s="383"/>
      <c r="R910" s="383"/>
    </row>
    <row r="911" spans="1:18" ht="15.75" customHeight="1" x14ac:dyDescent="0.3">
      <c r="A911" s="6"/>
      <c r="B911" s="6"/>
      <c r="C911" s="6"/>
      <c r="D911" s="6"/>
      <c r="E911" s="6"/>
      <c r="F911" s="6"/>
      <c r="G911" s="6"/>
      <c r="H911" s="6"/>
      <c r="I911" s="6"/>
      <c r="J911" s="6"/>
      <c r="K911" s="6"/>
      <c r="L911" s="6"/>
      <c r="M911" s="6"/>
      <c r="N911" s="6"/>
      <c r="O911" s="6"/>
      <c r="P911" s="6"/>
      <c r="Q911" s="6"/>
      <c r="R911" s="6"/>
    </row>
    <row r="912" spans="1:18" ht="15.75" customHeight="1" x14ac:dyDescent="0.3">
      <c r="A912" s="30"/>
      <c r="B912" s="1"/>
      <c r="C912" s="1"/>
      <c r="D912" s="1"/>
      <c r="E912" s="1"/>
      <c r="F912" s="1"/>
      <c r="G912" s="1"/>
      <c r="H912" s="1"/>
      <c r="I912" s="1"/>
      <c r="J912" s="1"/>
      <c r="K912" s="1"/>
      <c r="L912" s="1"/>
      <c r="M912" s="1"/>
      <c r="N912" s="1"/>
      <c r="O912" s="1"/>
      <c r="P912" s="1"/>
      <c r="Q912" s="1"/>
      <c r="R912" s="28"/>
    </row>
    <row r="913" spans="1:46" ht="15.75" customHeight="1" thickBot="1" x14ac:dyDescent="0.35">
      <c r="A913" s="1"/>
      <c r="B913" s="1"/>
      <c r="C913" s="1"/>
      <c r="D913" s="1"/>
      <c r="E913" s="1"/>
      <c r="F913" s="1"/>
      <c r="G913" s="1"/>
      <c r="H913" s="1"/>
      <c r="I913" s="1"/>
      <c r="J913" s="1"/>
      <c r="K913" s="1"/>
      <c r="L913" s="1"/>
      <c r="M913" s="1"/>
      <c r="N913" s="1"/>
      <c r="O913" s="166"/>
      <c r="P913" s="1"/>
      <c r="Q913" s="1"/>
      <c r="R913" s="28"/>
    </row>
    <row r="914" spans="1:46" ht="15.75" customHeight="1" thickBot="1" x14ac:dyDescent="0.35">
      <c r="A914" s="124" t="s">
        <v>630</v>
      </c>
      <c r="B914" s="54" t="s">
        <v>36</v>
      </c>
      <c r="C914" s="11" t="s">
        <v>9</v>
      </c>
      <c r="D914" s="11" t="s">
        <v>10</v>
      </c>
      <c r="E914" s="12" t="s">
        <v>11</v>
      </c>
      <c r="F914" s="11" t="s">
        <v>12</v>
      </c>
      <c r="G914" s="11" t="s">
        <v>13</v>
      </c>
      <c r="H914" s="11" t="s">
        <v>14</v>
      </c>
      <c r="I914" s="12" t="s">
        <v>15</v>
      </c>
      <c r="J914" s="11" t="s">
        <v>16</v>
      </c>
      <c r="K914" s="11" t="s">
        <v>17</v>
      </c>
      <c r="L914" s="11" t="s">
        <v>18</v>
      </c>
      <c r="M914" s="12" t="s">
        <v>19</v>
      </c>
      <c r="N914" s="11" t="s">
        <v>20</v>
      </c>
      <c r="O914" s="11" t="s">
        <v>21</v>
      </c>
      <c r="P914" s="11" t="s">
        <v>22</v>
      </c>
      <c r="Q914" s="12" t="s">
        <v>23</v>
      </c>
      <c r="R914" s="167" t="s">
        <v>24</v>
      </c>
    </row>
    <row r="915" spans="1:46" ht="16.5" customHeight="1" thickBot="1" x14ac:dyDescent="0.35">
      <c r="A915" s="168"/>
      <c r="B915" s="169"/>
      <c r="C915" s="169"/>
      <c r="D915" s="169"/>
      <c r="E915" s="16"/>
      <c r="F915" s="169"/>
      <c r="G915" s="169"/>
      <c r="H915" s="169"/>
      <c r="I915" s="38"/>
      <c r="J915" s="169"/>
      <c r="K915" s="169"/>
      <c r="L915" s="169"/>
      <c r="M915" s="38"/>
      <c r="N915" s="169"/>
      <c r="O915" s="169"/>
      <c r="P915" s="169"/>
      <c r="Q915" s="151"/>
      <c r="R915" s="170"/>
    </row>
    <row r="916" spans="1:46" ht="16.5" customHeight="1" thickBot="1" x14ac:dyDescent="0.35">
      <c r="A916" s="171" t="s">
        <v>26</v>
      </c>
      <c r="B916" s="172">
        <f>+B882</f>
        <v>36152</v>
      </c>
      <c r="C916" s="172">
        <f>+C882</f>
        <v>39452</v>
      </c>
      <c r="D916" s="172">
        <f>+D882</f>
        <v>42949</v>
      </c>
      <c r="E916" s="100">
        <f>+SUM(B916:D916)</f>
        <v>118553</v>
      </c>
      <c r="F916" s="172">
        <f>+F882</f>
        <v>54364</v>
      </c>
      <c r="G916" s="172">
        <f>+G882</f>
        <v>65271</v>
      </c>
      <c r="H916" s="172">
        <f>+H882</f>
        <v>77489</v>
      </c>
      <c r="I916" s="100">
        <f>+SUM(F916:H916)</f>
        <v>197124</v>
      </c>
      <c r="J916" s="172">
        <f>+J882</f>
        <v>77759</v>
      </c>
      <c r="K916" s="172">
        <f>+K882</f>
        <v>69340</v>
      </c>
      <c r="L916" s="172">
        <f>+L882</f>
        <v>53352</v>
      </c>
      <c r="M916" s="100">
        <f>+SUM(J916:L916)</f>
        <v>200451</v>
      </c>
      <c r="N916" s="172">
        <f>+N882</f>
        <v>48554</v>
      </c>
      <c r="O916" s="172">
        <f>+O882</f>
        <v>32446</v>
      </c>
      <c r="P916" s="172">
        <f>+P882</f>
        <v>24115</v>
      </c>
      <c r="Q916" s="100">
        <f>+SUM(N916:P916)</f>
        <v>105115</v>
      </c>
      <c r="R916" s="64">
        <f>+E916+I916+M916+Q916</f>
        <v>621243</v>
      </c>
    </row>
    <row r="917" spans="1:46" ht="16.5" customHeight="1" thickBot="1" x14ac:dyDescent="0.35">
      <c r="A917" s="34"/>
      <c r="B917" s="100"/>
      <c r="C917" s="100"/>
      <c r="D917" s="100"/>
      <c r="E917" s="100"/>
      <c r="F917" s="100"/>
      <c r="G917" s="100"/>
      <c r="H917" s="100"/>
      <c r="I917" s="100"/>
      <c r="J917" s="100"/>
      <c r="K917" s="100"/>
      <c r="L917" s="100"/>
      <c r="M917" s="100"/>
      <c r="N917" s="100"/>
      <c r="O917" s="100"/>
      <c r="P917" s="100"/>
      <c r="Q917" s="100"/>
      <c r="R917" s="64"/>
    </row>
    <row r="918" spans="1:46" ht="16.5" customHeight="1" thickBot="1" x14ac:dyDescent="0.35">
      <c r="A918" s="171" t="s">
        <v>631</v>
      </c>
      <c r="B918" s="172">
        <f>+B887</f>
        <v>2640</v>
      </c>
      <c r="C918" s="172">
        <f>+C887</f>
        <v>5590</v>
      </c>
      <c r="D918" s="172">
        <f>+D887</f>
        <v>21599</v>
      </c>
      <c r="E918" s="100">
        <f>+SUM(B918:D918)</f>
        <v>29829</v>
      </c>
      <c r="F918" s="172">
        <f>+F887</f>
        <v>40457</v>
      </c>
      <c r="G918" s="172">
        <f>+G887</f>
        <v>36421</v>
      </c>
      <c r="H918" s="172">
        <f>+H887</f>
        <v>47411</v>
      </c>
      <c r="I918" s="100">
        <f>+SUM(F918:H918)</f>
        <v>124289</v>
      </c>
      <c r="J918" s="172">
        <f>+J887</f>
        <v>33027</v>
      </c>
      <c r="K918" s="172">
        <f>+K887</f>
        <v>29176</v>
      </c>
      <c r="L918" s="172">
        <f>+L887</f>
        <v>11096</v>
      </c>
      <c r="M918" s="100">
        <f>+SUM(J918:L918)</f>
        <v>73299</v>
      </c>
      <c r="N918" s="172">
        <f>+N887</f>
        <v>9225</v>
      </c>
      <c r="O918" s="172">
        <f>+O887</f>
        <v>6248</v>
      </c>
      <c r="P918" s="172">
        <f>+P887</f>
        <v>6485</v>
      </c>
      <c r="Q918" s="100">
        <f>+SUM(N918:P918)</f>
        <v>21958</v>
      </c>
      <c r="R918" s="64">
        <f>+E918+I918+M918+Q918</f>
        <v>249375</v>
      </c>
    </row>
    <row r="919" spans="1:46" ht="16.5" customHeight="1" thickBot="1" x14ac:dyDescent="0.35">
      <c r="A919" s="34"/>
      <c r="B919" s="100"/>
      <c r="C919" s="100"/>
      <c r="D919" s="100"/>
      <c r="E919" s="100"/>
      <c r="F919" s="100"/>
      <c r="G919" s="100"/>
      <c r="H919" s="100"/>
      <c r="I919" s="100"/>
      <c r="J919" s="100"/>
      <c r="K919" s="100"/>
      <c r="L919" s="100"/>
      <c r="M919" s="100"/>
      <c r="N919" s="100"/>
      <c r="O919" s="100"/>
      <c r="P919" s="100"/>
      <c r="Q919" s="100"/>
      <c r="R919" s="64"/>
      <c r="AC919" s="173"/>
      <c r="AD919" s="174"/>
      <c r="AE919" s="175" t="s">
        <v>632</v>
      </c>
      <c r="AF919" s="174"/>
      <c r="AG919" s="174"/>
      <c r="AH919" s="174"/>
      <c r="AI919" s="174"/>
      <c r="AJ919" s="174"/>
      <c r="AK919" s="174" t="s">
        <v>633</v>
      </c>
      <c r="AL919" s="174"/>
      <c r="AM919" s="174" t="s">
        <v>7</v>
      </c>
      <c r="AN919" s="176" t="str">
        <f>+A8</f>
        <v>Revised:  10/31/2019</v>
      </c>
      <c r="AO919" s="174"/>
      <c r="AP919" s="174"/>
      <c r="AQ919" s="174"/>
      <c r="AR919" s="174"/>
      <c r="AS919" s="177" t="str">
        <f>+Q1</f>
        <v xml:space="preserve">PRINTED:  </v>
      </c>
      <c r="AT919" s="178">
        <f ca="1">+R1</f>
        <v>44894.658168518516</v>
      </c>
    </row>
    <row r="920" spans="1:46" ht="16.5" customHeight="1" thickBot="1" x14ac:dyDescent="0.35">
      <c r="A920" s="171" t="s">
        <v>28</v>
      </c>
      <c r="B920" s="172">
        <f>+B891</f>
        <v>25714</v>
      </c>
      <c r="C920" s="172">
        <f>+C891</f>
        <v>30754</v>
      </c>
      <c r="D920" s="172">
        <f>+D891</f>
        <v>49032</v>
      </c>
      <c r="E920" s="100">
        <f>+SUM(B920:D920)</f>
        <v>105500</v>
      </c>
      <c r="F920" s="172">
        <f>+F891</f>
        <v>49812</v>
      </c>
      <c r="G920" s="172">
        <f>+G891</f>
        <v>54887</v>
      </c>
      <c r="H920" s="172">
        <f>+H891</f>
        <v>71932</v>
      </c>
      <c r="I920" s="100">
        <f>+SUM(F920:H920)</f>
        <v>176631</v>
      </c>
      <c r="J920" s="172">
        <f>+J891</f>
        <v>51768</v>
      </c>
      <c r="K920" s="172">
        <f>+K891</f>
        <v>49001</v>
      </c>
      <c r="L920" s="172">
        <f>+L891</f>
        <v>43646</v>
      </c>
      <c r="M920" s="100">
        <f>+SUM(J920:L920)</f>
        <v>144415</v>
      </c>
      <c r="N920" s="172">
        <f>+N891</f>
        <v>28134</v>
      </c>
      <c r="O920" s="172">
        <f>+O891</f>
        <v>23056</v>
      </c>
      <c r="P920" s="172">
        <f>+P891</f>
        <v>12271</v>
      </c>
      <c r="Q920" s="100">
        <f>+SUM(N920:P920)</f>
        <v>63461</v>
      </c>
      <c r="R920" s="64">
        <f>+E920+I920+M920+Q920</f>
        <v>490007</v>
      </c>
      <c r="AC920" s="179"/>
      <c r="AD920" s="180"/>
      <c r="AE920" s="180"/>
      <c r="AF920" s="180">
        <f>++A5</f>
        <v>2020</v>
      </c>
      <c r="AG920" s="180"/>
      <c r="AH920" s="180"/>
      <c r="AI920" s="180"/>
      <c r="AJ920" s="180"/>
      <c r="AK920" s="180"/>
      <c r="AL920" s="180"/>
      <c r="AM920" s="180"/>
      <c r="AN920" s="180"/>
      <c r="AO920" s="180"/>
      <c r="AP920" s="180"/>
      <c r="AQ920" s="180"/>
      <c r="AR920" s="180"/>
      <c r="AS920" s="180"/>
      <c r="AT920" s="181"/>
    </row>
    <row r="921" spans="1:46" ht="16.5" customHeight="1" thickBot="1" x14ac:dyDescent="0.35">
      <c r="A921" s="34"/>
      <c r="B921" s="100"/>
      <c r="C921" s="100"/>
      <c r="D921" s="100"/>
      <c r="E921" s="100"/>
      <c r="F921" s="100"/>
      <c r="G921" s="100"/>
      <c r="H921" s="100"/>
      <c r="I921" s="100"/>
      <c r="J921" s="100"/>
      <c r="K921" s="100"/>
      <c r="L921" s="100"/>
      <c r="M921" s="100"/>
      <c r="N921" s="100"/>
      <c r="O921" s="100"/>
      <c r="P921" s="100"/>
      <c r="Q921" s="100"/>
      <c r="R921" s="64"/>
      <c r="AC921" s="179"/>
      <c r="AD921" s="180"/>
      <c r="AE921" s="180"/>
      <c r="AF921" s="180"/>
      <c r="AG921" s="180"/>
      <c r="AH921" s="180"/>
      <c r="AI921" s="180"/>
      <c r="AJ921" s="180"/>
      <c r="AK921" s="180"/>
      <c r="AL921" s="180"/>
      <c r="AM921" s="180"/>
      <c r="AN921" s="180"/>
      <c r="AO921" s="180"/>
      <c r="AP921" s="180"/>
      <c r="AQ921" s="180"/>
      <c r="AR921" s="180"/>
      <c r="AS921" s="180"/>
      <c r="AT921" s="181"/>
    </row>
    <row r="922" spans="1:46" ht="16.5" customHeight="1" thickBot="1" x14ac:dyDescent="0.35">
      <c r="A922" s="171" t="s">
        <v>634</v>
      </c>
      <c r="B922" s="172">
        <f>+B900</f>
        <v>0</v>
      </c>
      <c r="C922" s="172">
        <f>+C900</f>
        <v>0</v>
      </c>
      <c r="D922" s="172">
        <f>+D900</f>
        <v>0</v>
      </c>
      <c r="E922" s="100">
        <f>+SUM(B922:D922)</f>
        <v>0</v>
      </c>
      <c r="F922" s="172">
        <f>+F900</f>
        <v>0</v>
      </c>
      <c r="G922" s="172">
        <f>+G900</f>
        <v>0</v>
      </c>
      <c r="H922" s="172">
        <f>+H900</f>
        <v>0</v>
      </c>
      <c r="I922" s="100">
        <f>+SUM(F922:H922)</f>
        <v>0</v>
      </c>
      <c r="J922" s="172">
        <f>+J900</f>
        <v>0</v>
      </c>
      <c r="K922" s="172">
        <f>+K900</f>
        <v>0</v>
      </c>
      <c r="L922" s="172">
        <f>+L900</f>
        <v>0</v>
      </c>
      <c r="M922" s="100">
        <f>+SUM(J922:L922)</f>
        <v>0</v>
      </c>
      <c r="N922" s="172">
        <f>+N900</f>
        <v>0</v>
      </c>
      <c r="O922" s="172">
        <f>+O900</f>
        <v>0</v>
      </c>
      <c r="P922" s="172">
        <f>+P900</f>
        <v>0</v>
      </c>
      <c r="Q922" s="100">
        <f>+SUM(N922:P922)</f>
        <v>0</v>
      </c>
      <c r="R922" s="64">
        <f>+E922+I922+M922+Q922</f>
        <v>0</v>
      </c>
      <c r="AC922" s="179"/>
      <c r="AD922" s="180"/>
      <c r="AE922" s="180"/>
      <c r="AF922" s="180"/>
      <c r="AG922" s="180"/>
      <c r="AH922" s="180"/>
      <c r="AI922" s="182" t="s">
        <v>635</v>
      </c>
      <c r="AJ922" s="180"/>
      <c r="AK922" s="180"/>
      <c r="AL922" s="180"/>
      <c r="AM922" s="180"/>
      <c r="AN922" s="180"/>
      <c r="AO922" s="180"/>
      <c r="AP922" s="180"/>
      <c r="AQ922" s="180"/>
      <c r="AR922" s="180"/>
      <c r="AS922" s="180"/>
      <c r="AT922" s="181"/>
    </row>
    <row r="923" spans="1:46" ht="16.5" customHeight="1" thickBot="1" x14ac:dyDescent="0.35">
      <c r="A923" s="34"/>
      <c r="B923" s="100"/>
      <c r="C923" s="100"/>
      <c r="D923" s="100"/>
      <c r="E923" s="100"/>
      <c r="F923" s="100"/>
      <c r="G923" s="100"/>
      <c r="H923" s="100"/>
      <c r="I923" s="100"/>
      <c r="J923" s="100"/>
      <c r="K923" s="100"/>
      <c r="L923" s="100"/>
      <c r="M923" s="100"/>
      <c r="N923" s="100"/>
      <c r="O923" s="100"/>
      <c r="P923" s="100"/>
      <c r="Q923" s="100"/>
      <c r="R923" s="64"/>
      <c r="AC923" s="179"/>
      <c r="AD923" s="180" t="s">
        <v>633</v>
      </c>
      <c r="AE923" s="180"/>
      <c r="AF923" s="182" t="s">
        <v>636</v>
      </c>
      <c r="AG923" s="182" t="s">
        <v>636</v>
      </c>
      <c r="AH923" s="182" t="s">
        <v>637</v>
      </c>
      <c r="AI923" s="182" t="s">
        <v>638</v>
      </c>
      <c r="AJ923" s="182" t="s">
        <v>639</v>
      </c>
      <c r="AK923" s="182" t="s">
        <v>640</v>
      </c>
      <c r="AL923" s="182" t="s">
        <v>641</v>
      </c>
      <c r="AM923" s="180" t="s">
        <v>633</v>
      </c>
      <c r="AN923" s="182" t="s">
        <v>642</v>
      </c>
      <c r="AO923" s="182" t="s">
        <v>642</v>
      </c>
      <c r="AP923" s="182" t="s">
        <v>642</v>
      </c>
      <c r="AQ923" s="180"/>
      <c r="AR923" s="180"/>
      <c r="AS923" s="180"/>
      <c r="AT923" s="181"/>
    </row>
    <row r="924" spans="1:46" ht="16.5" customHeight="1" thickBot="1" x14ac:dyDescent="0.4">
      <c r="A924" s="34" t="s">
        <v>643</v>
      </c>
      <c r="B924" s="107">
        <f t="shared" ref="B924:Q924" si="301">+SUM(B916:B922)</f>
        <v>64506</v>
      </c>
      <c r="C924" s="107">
        <f t="shared" si="301"/>
        <v>75796</v>
      </c>
      <c r="D924" s="107">
        <f t="shared" si="301"/>
        <v>113580</v>
      </c>
      <c r="E924" s="107">
        <f t="shared" si="301"/>
        <v>253882</v>
      </c>
      <c r="F924" s="107">
        <f t="shared" si="301"/>
        <v>144633</v>
      </c>
      <c r="G924" s="107">
        <f t="shared" si="301"/>
        <v>156579</v>
      </c>
      <c r="H924" s="107">
        <f t="shared" si="301"/>
        <v>196832</v>
      </c>
      <c r="I924" s="107">
        <f t="shared" si="301"/>
        <v>498044</v>
      </c>
      <c r="J924" s="107">
        <f t="shared" si="301"/>
        <v>162554</v>
      </c>
      <c r="K924" s="107">
        <f t="shared" si="301"/>
        <v>147517</v>
      </c>
      <c r="L924" s="107">
        <f t="shared" si="301"/>
        <v>108094</v>
      </c>
      <c r="M924" s="107">
        <f t="shared" si="301"/>
        <v>418165</v>
      </c>
      <c r="N924" s="107">
        <f t="shared" si="301"/>
        <v>85913</v>
      </c>
      <c r="O924" s="107">
        <f t="shared" si="301"/>
        <v>61750</v>
      </c>
      <c r="P924" s="107">
        <f t="shared" si="301"/>
        <v>42871</v>
      </c>
      <c r="Q924" s="107">
        <f t="shared" si="301"/>
        <v>190534</v>
      </c>
      <c r="R924" s="183">
        <f>+SUM(R916:R922)</f>
        <v>1360625</v>
      </c>
      <c r="AC924" s="179"/>
      <c r="AD924" s="182" t="s">
        <v>644</v>
      </c>
      <c r="AE924" s="182" t="s">
        <v>645</v>
      </c>
      <c r="AF924" s="182" t="s">
        <v>646</v>
      </c>
      <c r="AG924" s="182" t="s">
        <v>646</v>
      </c>
      <c r="AH924" s="182" t="s">
        <v>647</v>
      </c>
      <c r="AI924" s="184" t="s">
        <v>648</v>
      </c>
      <c r="AJ924" s="182" t="s">
        <v>649</v>
      </c>
      <c r="AK924" s="182" t="s">
        <v>650</v>
      </c>
      <c r="AL924" s="182" t="s">
        <v>651</v>
      </c>
      <c r="AM924" s="180" t="s">
        <v>633</v>
      </c>
      <c r="AN924" s="182" t="s">
        <v>652</v>
      </c>
      <c r="AO924" s="182" t="s">
        <v>648</v>
      </c>
      <c r="AP924" s="182" t="s">
        <v>653</v>
      </c>
      <c r="AQ924" s="180"/>
      <c r="AR924" s="180"/>
      <c r="AS924" s="180"/>
      <c r="AT924" s="181"/>
    </row>
    <row r="925" spans="1:46" ht="15.75" customHeight="1" x14ac:dyDescent="0.35">
      <c r="A925" s="185"/>
      <c r="B925" s="186"/>
      <c r="C925" s="186"/>
      <c r="D925" s="186"/>
      <c r="E925" s="186"/>
      <c r="F925" s="186"/>
      <c r="G925" s="186"/>
      <c r="H925" s="187" t="s">
        <v>654</v>
      </c>
      <c r="I925" s="186"/>
      <c r="J925" s="186"/>
      <c r="K925" s="186"/>
      <c r="L925" s="186"/>
      <c r="M925" s="186"/>
      <c r="N925" s="186"/>
      <c r="O925" s="186"/>
      <c r="P925" s="186"/>
      <c r="Q925" s="186"/>
      <c r="R925" s="186"/>
      <c r="AC925" s="179"/>
      <c r="AD925" s="182" t="s">
        <v>127</v>
      </c>
      <c r="AE925" s="182" t="s">
        <v>655</v>
      </c>
      <c r="AF925" s="182" t="s">
        <v>656</v>
      </c>
      <c r="AG925" s="182" t="s">
        <v>657</v>
      </c>
      <c r="AH925" s="182" t="s">
        <v>658</v>
      </c>
      <c r="AI925" s="182" t="s">
        <v>658</v>
      </c>
      <c r="AJ925" s="182" t="s">
        <v>658</v>
      </c>
      <c r="AK925" s="182" t="s">
        <v>658</v>
      </c>
      <c r="AL925" s="182" t="s">
        <v>659</v>
      </c>
      <c r="AM925" s="180" t="s">
        <v>633</v>
      </c>
      <c r="AN925" s="182" t="s">
        <v>660</v>
      </c>
      <c r="AO925" s="182" t="s">
        <v>661</v>
      </c>
      <c r="AP925" s="182" t="s">
        <v>661</v>
      </c>
      <c r="AQ925" s="180"/>
      <c r="AR925" s="180"/>
      <c r="AS925" s="180"/>
      <c r="AT925" s="181"/>
    </row>
    <row r="926" spans="1:46" ht="15.75" customHeight="1" x14ac:dyDescent="0.35">
      <c r="A926" s="185"/>
      <c r="B926" s="186"/>
      <c r="C926" s="186"/>
      <c r="D926" s="186"/>
      <c r="E926" s="186"/>
      <c r="F926" s="186"/>
      <c r="G926" s="186"/>
      <c r="H926" s="186"/>
      <c r="I926" s="186"/>
      <c r="J926" s="186"/>
      <c r="K926" s="186"/>
      <c r="L926" s="186"/>
      <c r="M926" s="186"/>
      <c r="N926" s="186"/>
      <c r="O926" s="186"/>
      <c r="P926" s="186"/>
      <c r="Q926" s="186"/>
      <c r="R926" s="186"/>
      <c r="AC926" s="179"/>
      <c r="AD926" s="182" t="s">
        <v>662</v>
      </c>
      <c r="AE926" s="182" t="s">
        <v>663</v>
      </c>
      <c r="AF926" s="182" t="s">
        <v>664</v>
      </c>
      <c r="AG926" s="182" t="s">
        <v>664</v>
      </c>
      <c r="AH926" s="182" t="s">
        <v>664</v>
      </c>
      <c r="AI926" s="182" t="s">
        <v>664</v>
      </c>
      <c r="AJ926" s="182" t="s">
        <v>664</v>
      </c>
      <c r="AK926" s="182" t="s">
        <v>664</v>
      </c>
      <c r="AL926" s="182" t="s">
        <v>664</v>
      </c>
      <c r="AM926" s="180" t="s">
        <v>633</v>
      </c>
      <c r="AN926" s="182" t="s">
        <v>665</v>
      </c>
      <c r="AO926" s="182" t="s">
        <v>665</v>
      </c>
      <c r="AP926" s="182" t="s">
        <v>665</v>
      </c>
      <c r="AQ926" s="180"/>
      <c r="AR926" s="180"/>
      <c r="AS926" s="180"/>
      <c r="AT926" s="181"/>
    </row>
    <row r="927" spans="1:46" ht="15.75" customHeight="1" thickBot="1" x14ac:dyDescent="0.4">
      <c r="A927" s="185"/>
      <c r="B927" s="186"/>
      <c r="C927" s="186"/>
      <c r="D927" s="186"/>
      <c r="E927" s="186"/>
      <c r="F927" s="186"/>
      <c r="G927" s="186"/>
      <c r="H927" s="187"/>
      <c r="I927" s="186"/>
      <c r="J927" s="186"/>
      <c r="K927" s="186"/>
      <c r="L927" s="186"/>
      <c r="M927" s="186"/>
      <c r="N927" s="186"/>
      <c r="O927" s="186"/>
      <c r="P927" s="186"/>
      <c r="Q927" s="186"/>
      <c r="R927" s="186"/>
      <c r="AC927" s="179"/>
      <c r="AD927" s="180" t="s">
        <v>666</v>
      </c>
      <c r="AE927" s="180" t="s">
        <v>666</v>
      </c>
      <c r="AF927" s="180" t="s">
        <v>666</v>
      </c>
      <c r="AG927" s="180" t="s">
        <v>666</v>
      </c>
      <c r="AH927" s="180" t="s">
        <v>666</v>
      </c>
      <c r="AI927" s="180" t="s">
        <v>666</v>
      </c>
      <c r="AJ927" s="180" t="s">
        <v>666</v>
      </c>
      <c r="AK927" s="180" t="s">
        <v>666</v>
      </c>
      <c r="AL927" s="180" t="s">
        <v>666</v>
      </c>
      <c r="AM927" s="180" t="s">
        <v>633</v>
      </c>
      <c r="AN927" s="180" t="s">
        <v>666</v>
      </c>
      <c r="AO927" s="180" t="s">
        <v>666</v>
      </c>
      <c r="AP927" s="180" t="s">
        <v>666</v>
      </c>
      <c r="AQ927" s="180"/>
      <c r="AR927" s="180"/>
      <c r="AS927" s="180"/>
      <c r="AT927" s="181"/>
    </row>
    <row r="928" spans="1:46" ht="15.75" customHeight="1" x14ac:dyDescent="0.3">
      <c r="A928" s="188"/>
      <c r="B928" s="387" t="s">
        <v>667</v>
      </c>
      <c r="C928" s="387"/>
      <c r="D928" s="387"/>
      <c r="E928" s="387"/>
      <c r="F928" s="387"/>
      <c r="G928" s="387"/>
      <c r="H928" s="387"/>
      <c r="I928" s="387"/>
      <c r="J928" s="387"/>
      <c r="K928" s="387"/>
      <c r="L928" s="387"/>
      <c r="M928" s="387"/>
      <c r="N928" s="387"/>
      <c r="O928" s="387"/>
      <c r="P928" s="387"/>
      <c r="Q928" s="177" t="str">
        <f>+Q1</f>
        <v xml:space="preserve">PRINTED:  </v>
      </c>
      <c r="R928" s="178">
        <f ca="1">+R1</f>
        <v>44894.658168518516</v>
      </c>
      <c r="AC928" s="189" t="s">
        <v>668</v>
      </c>
      <c r="AD928" s="180">
        <f t="shared" ref="AD928:AD939" si="302">(F937)</f>
        <v>8000</v>
      </c>
      <c r="AE928" s="180">
        <f t="shared" ref="AE928:AE939" si="303">SUM($B$992:$E$992)+(T937-1526.8)/0.7702</f>
        <v>1641.3645496793915</v>
      </c>
      <c r="AF928" s="180">
        <f>(AD928*AE928/1000)</f>
        <v>13130.916397435132</v>
      </c>
      <c r="AG928" s="180">
        <f t="shared" ref="AG928:AG939" si="304">(((B937-F937)*B$992)+((C937-F937)*C$992)+((D937-F937)*D$992)+((E937-F937)*E$992))/1000</f>
        <v>93395.797999999995</v>
      </c>
      <c r="AH928" s="180">
        <f>(AF928+AG928)</f>
        <v>106526.71439743513</v>
      </c>
      <c r="AI928" s="180">
        <f t="shared" ref="AI928:AI939" si="305">SUM(H994:Q994)</f>
        <v>24290</v>
      </c>
      <c r="AJ928" s="180">
        <f>+AH928+AI928</f>
        <v>130816.71439743513</v>
      </c>
      <c r="AK928" s="180">
        <f t="shared" ref="AK928:AK935" si="306">(G1022)</f>
        <v>0</v>
      </c>
      <c r="AL928" s="180">
        <f t="shared" ref="AL928:AL939" si="307">(AJ928-AK928)</f>
        <v>130816.71439743513</v>
      </c>
      <c r="AM928" s="180" t="s">
        <v>633</v>
      </c>
      <c r="AN928" s="180">
        <f>+B937/31/1.98</f>
        <v>1200.9612251547735</v>
      </c>
      <c r="AO928" s="180">
        <f>(AD928*43560/31/24/3600)</f>
        <v>130.10752688172042</v>
      </c>
      <c r="AP928" s="180">
        <f>+B331</f>
        <v>0</v>
      </c>
      <c r="AQ928" s="180"/>
      <c r="AR928" s="180"/>
      <c r="AS928" s="180"/>
      <c r="AT928" s="181"/>
    </row>
    <row r="929" spans="1:46" ht="15.75" customHeight="1" x14ac:dyDescent="0.3">
      <c r="A929" s="189"/>
      <c r="B929" s="394" t="str">
        <f>+A8</f>
        <v>Revised:  10/31/2019</v>
      </c>
      <c r="C929" s="394"/>
      <c r="D929" s="394"/>
      <c r="E929" s="394"/>
      <c r="F929" s="394"/>
      <c r="G929" s="394"/>
      <c r="H929" s="394"/>
      <c r="I929" s="394"/>
      <c r="J929" s="394"/>
      <c r="K929" s="394"/>
      <c r="L929" s="394"/>
      <c r="M929" s="394"/>
      <c r="N929" s="394"/>
      <c r="O929" s="394"/>
      <c r="P929" s="394"/>
      <c r="Q929" s="180"/>
      <c r="R929" s="181"/>
      <c r="AC929" s="189" t="s">
        <v>669</v>
      </c>
      <c r="AD929" s="180">
        <f t="shared" si="302"/>
        <v>0</v>
      </c>
      <c r="AE929" s="180">
        <f t="shared" si="303"/>
        <v>1641.6737286442676</v>
      </c>
      <c r="AF929" s="180">
        <f>(AD929*AE929/1000)</f>
        <v>0</v>
      </c>
      <c r="AG929" s="180">
        <f t="shared" si="304"/>
        <v>110424.497</v>
      </c>
      <c r="AH929" s="180">
        <f t="shared" ref="AH929:AH939" si="308">(AF929+AG929)</f>
        <v>110424.497</v>
      </c>
      <c r="AI929" s="180">
        <f t="shared" si="305"/>
        <v>32520</v>
      </c>
      <c r="AJ929" s="180">
        <f t="shared" ref="AJ929:AJ939" si="309">+AH929+AI929</f>
        <v>142944.497</v>
      </c>
      <c r="AK929" s="180">
        <f t="shared" si="306"/>
        <v>0</v>
      </c>
      <c r="AL929" s="180">
        <f t="shared" si="307"/>
        <v>142944.497</v>
      </c>
      <c r="AM929" s="180" t="s">
        <v>633</v>
      </c>
      <c r="AN929" s="180">
        <f>+B938/28/1.98</f>
        <v>1401.7676767676767</v>
      </c>
      <c r="AO929" s="180">
        <f>(AD929*43560/29/24/3600)</f>
        <v>0</v>
      </c>
      <c r="AP929" s="180">
        <f>+C331</f>
        <v>0</v>
      </c>
      <c r="AQ929" s="180"/>
      <c r="AR929" s="180"/>
      <c r="AS929" s="180"/>
      <c r="AT929" s="181"/>
    </row>
    <row r="930" spans="1:46" ht="15.75" customHeight="1" x14ac:dyDescent="0.3">
      <c r="A930" s="189"/>
      <c r="B930" s="394" t="s">
        <v>670</v>
      </c>
      <c r="C930" s="394"/>
      <c r="D930" s="394"/>
      <c r="E930" s="394"/>
      <c r="F930" s="394"/>
      <c r="G930" s="394"/>
      <c r="H930" s="394"/>
      <c r="I930" s="394"/>
      <c r="J930" s="394"/>
      <c r="K930" s="394"/>
      <c r="L930" s="394"/>
      <c r="M930" s="394"/>
      <c r="N930" s="394"/>
      <c r="O930" s="394"/>
      <c r="P930" s="394"/>
      <c r="Q930" s="180"/>
      <c r="R930" s="181"/>
      <c r="AC930" s="189" t="s">
        <v>671</v>
      </c>
      <c r="AD930" s="180">
        <f t="shared" si="302"/>
        <v>45000</v>
      </c>
      <c r="AE930" s="180">
        <f t="shared" si="303"/>
        <v>1647.7517964028405</v>
      </c>
      <c r="AF930" s="180">
        <f t="shared" ref="AF930:AF939" si="310">(AD930*AE930/1000)</f>
        <v>74148.830838127818</v>
      </c>
      <c r="AG930" s="180">
        <f t="shared" si="304"/>
        <v>167201.17800000001</v>
      </c>
      <c r="AH930" s="180">
        <f t="shared" si="308"/>
        <v>241350.00883812783</v>
      </c>
      <c r="AI930" s="180">
        <f t="shared" si="305"/>
        <v>40514</v>
      </c>
      <c r="AJ930" s="180">
        <f t="shared" si="309"/>
        <v>281864.00883812783</v>
      </c>
      <c r="AK930" s="180">
        <f t="shared" si="306"/>
        <v>0</v>
      </c>
      <c r="AL930" s="180">
        <f t="shared" si="307"/>
        <v>281864.00883812783</v>
      </c>
      <c r="AM930" s="180" t="s">
        <v>633</v>
      </c>
      <c r="AN930" s="180">
        <f>+B939/31/1.98</f>
        <v>2655.588139459107</v>
      </c>
      <c r="AO930" s="180">
        <f>(AD930*43560/31/24/3600)</f>
        <v>731.85483870967744</v>
      </c>
      <c r="AP930" s="180">
        <f>+D331</f>
        <v>0</v>
      </c>
      <c r="AQ930" s="180"/>
      <c r="AR930" s="180"/>
      <c r="AS930" s="180"/>
      <c r="AT930" s="181"/>
    </row>
    <row r="931" spans="1:46" ht="15.75" customHeight="1" x14ac:dyDescent="0.3">
      <c r="A931" s="189"/>
      <c r="B931" s="394"/>
      <c r="C931" s="394"/>
      <c r="D931" s="394"/>
      <c r="E931" s="394"/>
      <c r="F931" s="394"/>
      <c r="G931" s="394"/>
      <c r="H931" s="394"/>
      <c r="I931" s="394"/>
      <c r="J931" s="394"/>
      <c r="K931" s="394"/>
      <c r="L931" s="394"/>
      <c r="M931" s="394"/>
      <c r="N931" s="394"/>
      <c r="O931" s="394"/>
      <c r="P931" s="394"/>
      <c r="Q931" s="180"/>
      <c r="R931" s="181"/>
      <c r="AC931" s="189" t="s">
        <v>672</v>
      </c>
      <c r="AD931" s="180">
        <f t="shared" si="302"/>
        <v>0</v>
      </c>
      <c r="AE931" s="180">
        <f t="shared" si="303"/>
        <v>1647.2288922315256</v>
      </c>
      <c r="AF931" s="180">
        <f t="shared" si="310"/>
        <v>0</v>
      </c>
      <c r="AG931" s="180">
        <f t="shared" si="304"/>
        <v>220977.75399999999</v>
      </c>
      <c r="AH931" s="180">
        <f t="shared" si="308"/>
        <v>220977.75399999999</v>
      </c>
      <c r="AI931" s="180">
        <f t="shared" si="305"/>
        <v>45265</v>
      </c>
      <c r="AJ931" s="180">
        <f t="shared" si="309"/>
        <v>266242.75399999996</v>
      </c>
      <c r="AK931" s="180">
        <f t="shared" si="306"/>
        <v>0</v>
      </c>
      <c r="AL931" s="180">
        <f t="shared" si="307"/>
        <v>266242.75399999996</v>
      </c>
      <c r="AM931" s="180" t="s">
        <v>633</v>
      </c>
      <c r="AN931" s="180">
        <f>+B940/30/1.98</f>
        <v>2626.3131313131316</v>
      </c>
      <c r="AO931" s="180">
        <f>(AD931*43560/30/24/3600)</f>
        <v>0</v>
      </c>
      <c r="AP931" s="180">
        <f>+F331</f>
        <v>0</v>
      </c>
      <c r="AQ931" s="180"/>
      <c r="AR931" s="180"/>
      <c r="AS931" s="180"/>
      <c r="AT931" s="181"/>
    </row>
    <row r="932" spans="1:46" ht="15.75" customHeight="1" x14ac:dyDescent="0.3">
      <c r="A932" s="189"/>
      <c r="B932" s="395">
        <f>+A5</f>
        <v>2020</v>
      </c>
      <c r="C932" s="395"/>
      <c r="D932" s="395"/>
      <c r="E932" s="395"/>
      <c r="F932" s="395"/>
      <c r="G932" s="395"/>
      <c r="H932" s="395"/>
      <c r="I932" s="395"/>
      <c r="J932" s="395"/>
      <c r="K932" s="395"/>
      <c r="L932" s="395"/>
      <c r="M932" s="395"/>
      <c r="N932" s="395"/>
      <c r="O932" s="395"/>
      <c r="P932" s="395"/>
      <c r="Q932" s="180"/>
      <c r="R932" s="181"/>
      <c r="AC932" s="189" t="s">
        <v>673</v>
      </c>
      <c r="AD932" s="180">
        <f t="shared" si="302"/>
        <v>0</v>
      </c>
      <c r="AE932" s="180">
        <f t="shared" si="303"/>
        <v>1644.7696172337814</v>
      </c>
      <c r="AF932" s="180">
        <f t="shared" si="310"/>
        <v>0</v>
      </c>
      <c r="AG932" s="180">
        <f t="shared" si="304"/>
        <v>228224.736</v>
      </c>
      <c r="AH932" s="180">
        <f t="shared" si="308"/>
        <v>228224.736</v>
      </c>
      <c r="AI932" s="180">
        <f t="shared" si="305"/>
        <v>45532</v>
      </c>
      <c r="AJ932" s="180">
        <f t="shared" si="309"/>
        <v>273756.73600000003</v>
      </c>
      <c r="AK932" s="180">
        <f t="shared" si="306"/>
        <v>1565.883333737125</v>
      </c>
      <c r="AL932" s="180">
        <f t="shared" si="307"/>
        <v>272190.85266626289</v>
      </c>
      <c r="AM932" s="180" t="s">
        <v>633</v>
      </c>
      <c r="AN932" s="180">
        <f>+B941/31/1.98</f>
        <v>2628.4294558488104</v>
      </c>
      <c r="AO932" s="180">
        <f>(AD932*43560/31/24/3600)</f>
        <v>0</v>
      </c>
      <c r="AP932" s="180">
        <f>+G331</f>
        <v>-162.6730434499699</v>
      </c>
      <c r="AQ932" s="180"/>
      <c r="AR932" s="180"/>
      <c r="AS932" s="180"/>
      <c r="AT932" s="181"/>
    </row>
    <row r="933" spans="1:46" ht="15.75" customHeight="1" x14ac:dyDescent="0.3">
      <c r="A933" s="189"/>
      <c r="B933" s="394" t="s">
        <v>674</v>
      </c>
      <c r="C933" s="394"/>
      <c r="D933" s="394"/>
      <c r="E933" s="394"/>
      <c r="F933" s="394"/>
      <c r="G933" s="394"/>
      <c r="H933" s="394"/>
      <c r="I933" s="394"/>
      <c r="J933" s="394"/>
      <c r="K933" s="394"/>
      <c r="L933" s="394"/>
      <c r="M933" s="394"/>
      <c r="N933" s="394"/>
      <c r="O933" s="394"/>
      <c r="P933" s="394"/>
      <c r="Q933" s="180"/>
      <c r="R933" s="181"/>
      <c r="AC933" s="189" t="s">
        <v>675</v>
      </c>
      <c r="AD933" s="180">
        <f t="shared" si="302"/>
        <v>0</v>
      </c>
      <c r="AE933" s="180">
        <f t="shared" si="303"/>
        <v>1630.0109243936909</v>
      </c>
      <c r="AF933" s="180">
        <f t="shared" si="310"/>
        <v>0</v>
      </c>
      <c r="AG933" s="180">
        <f t="shared" si="304"/>
        <v>136526.79500000001</v>
      </c>
      <c r="AH933" s="180">
        <f t="shared" si="308"/>
        <v>136526.79500000001</v>
      </c>
      <c r="AI933" s="180">
        <f t="shared" si="305"/>
        <v>50011</v>
      </c>
      <c r="AJ933" s="180">
        <f t="shared" si="309"/>
        <v>186537.79500000001</v>
      </c>
      <c r="AK933" s="180">
        <f t="shared" si="306"/>
        <v>13387.798855960762</v>
      </c>
      <c r="AL933" s="180">
        <f t="shared" si="307"/>
        <v>173149.99614403927</v>
      </c>
      <c r="AM933" s="180" t="s">
        <v>633</v>
      </c>
      <c r="AN933" s="180">
        <f>+B942/30/1.98</f>
        <v>1634.0235690235691</v>
      </c>
      <c r="AO933" s="180">
        <f t="shared" ref="AO933:AO938" si="311">(AD933*43560/30/24/3600)</f>
        <v>0</v>
      </c>
      <c r="AP933" s="180">
        <f>+H331</f>
        <v>-1613.7165910237013</v>
      </c>
      <c r="AQ933" s="180"/>
      <c r="AR933" s="180"/>
      <c r="AS933" s="180"/>
      <c r="AT933" s="181"/>
    </row>
    <row r="934" spans="1:46" ht="15.75" customHeight="1" x14ac:dyDescent="0.3">
      <c r="A934" s="189"/>
      <c r="B934" s="180"/>
      <c r="C934" s="180"/>
      <c r="D934" s="180"/>
      <c r="E934" s="180"/>
      <c r="F934" s="180"/>
      <c r="G934" s="180"/>
      <c r="H934" s="180"/>
      <c r="I934" s="180"/>
      <c r="J934" s="180"/>
      <c r="K934" s="180"/>
      <c r="L934" s="180"/>
      <c r="M934" s="180"/>
      <c r="N934" s="180"/>
      <c r="O934" s="180"/>
      <c r="P934" s="180"/>
      <c r="Q934" s="180"/>
      <c r="R934" s="181"/>
      <c r="AC934" s="189" t="s">
        <v>676</v>
      </c>
      <c r="AD934" s="180">
        <f t="shared" si="302"/>
        <v>0</v>
      </c>
      <c r="AE934" s="180">
        <f t="shared" si="303"/>
        <v>1610.6671729966736</v>
      </c>
      <c r="AF934" s="180">
        <f t="shared" si="310"/>
        <v>0</v>
      </c>
      <c r="AG934" s="180">
        <f t="shared" si="304"/>
        <v>72371.953999999998</v>
      </c>
      <c r="AH934" s="180">
        <f t="shared" si="308"/>
        <v>72371.953999999998</v>
      </c>
      <c r="AI934" s="180">
        <f t="shared" si="305"/>
        <v>45493</v>
      </c>
      <c r="AJ934" s="180">
        <f t="shared" si="309"/>
        <v>117864.954</v>
      </c>
      <c r="AK934" s="180">
        <f t="shared" si="306"/>
        <v>13689.203959485192</v>
      </c>
      <c r="AL934" s="180">
        <f t="shared" si="307"/>
        <v>104175.7500405148</v>
      </c>
      <c r="AM934" s="180" t="s">
        <v>633</v>
      </c>
      <c r="AN934" s="180">
        <f>+B943/31/1.98</f>
        <v>848.04496578690134</v>
      </c>
      <c r="AO934" s="180">
        <f t="shared" si="311"/>
        <v>0</v>
      </c>
      <c r="AP934" s="180">
        <f>+J331</f>
        <v>-1903.2746083646477</v>
      </c>
      <c r="AQ934" s="180"/>
      <c r="AR934" s="180"/>
      <c r="AS934" s="180"/>
      <c r="AT934" s="181"/>
    </row>
    <row r="935" spans="1:46" ht="15.75" customHeight="1" thickBot="1" x14ac:dyDescent="0.35">
      <c r="A935" s="189" t="s">
        <v>647</v>
      </c>
      <c r="B935" s="191" t="s">
        <v>677</v>
      </c>
      <c r="C935" s="191" t="s">
        <v>678</v>
      </c>
      <c r="D935" s="191" t="s">
        <v>679</v>
      </c>
      <c r="E935" s="191" t="s">
        <v>680</v>
      </c>
      <c r="F935" s="191" t="s">
        <v>644</v>
      </c>
      <c r="G935" s="191" t="s">
        <v>644</v>
      </c>
      <c r="H935" s="191" t="s">
        <v>681</v>
      </c>
      <c r="I935" s="191" t="s">
        <v>682</v>
      </c>
      <c r="J935" s="191" t="s">
        <v>683</v>
      </c>
      <c r="K935" s="191" t="s">
        <v>684</v>
      </c>
      <c r="L935" s="191" t="s">
        <v>685</v>
      </c>
      <c r="M935" s="191" t="s">
        <v>686</v>
      </c>
      <c r="N935" s="191" t="s">
        <v>687</v>
      </c>
      <c r="O935" s="191" t="s">
        <v>688</v>
      </c>
      <c r="P935" s="191" t="s">
        <v>689</v>
      </c>
      <c r="Q935" s="191" t="s">
        <v>638</v>
      </c>
      <c r="R935" s="181"/>
      <c r="T935" s="52" t="s">
        <v>690</v>
      </c>
      <c r="AC935" s="189" t="s">
        <v>691</v>
      </c>
      <c r="AD935" s="180">
        <f t="shared" si="302"/>
        <v>0</v>
      </c>
      <c r="AE935" s="180">
        <f t="shared" si="303"/>
        <v>1592.4090678080977</v>
      </c>
      <c r="AF935" s="180">
        <f t="shared" si="310"/>
        <v>0</v>
      </c>
      <c r="AG935" s="180">
        <f t="shared" si="304"/>
        <v>72217.361999999994</v>
      </c>
      <c r="AH935" s="180">
        <f t="shared" si="308"/>
        <v>72217.361999999994</v>
      </c>
      <c r="AI935" s="180">
        <f t="shared" si="305"/>
        <v>48126</v>
      </c>
      <c r="AJ935" s="180">
        <f t="shared" si="309"/>
        <v>120343.36199999999</v>
      </c>
      <c r="AK935" s="180">
        <f t="shared" si="306"/>
        <v>9580.748157618189</v>
      </c>
      <c r="AL935" s="180">
        <f t="shared" si="307"/>
        <v>110762.6138423818</v>
      </c>
      <c r="AM935" s="180" t="s">
        <v>633</v>
      </c>
      <c r="AN935" s="180">
        <f>+B944/31/1.98</f>
        <v>842.44053437601826</v>
      </c>
      <c r="AO935" s="180">
        <f t="shared" si="311"/>
        <v>0</v>
      </c>
      <c r="AP935" s="180">
        <f>+K331</f>
        <v>-1626.730434499699</v>
      </c>
      <c r="AQ935" s="180"/>
      <c r="AR935" s="180"/>
      <c r="AS935" s="180"/>
      <c r="AT935" s="181"/>
    </row>
    <row r="936" spans="1:46" ht="15.75" customHeight="1" x14ac:dyDescent="0.3">
      <c r="A936" s="189"/>
      <c r="B936" s="180"/>
      <c r="C936" s="180"/>
      <c r="D936" s="180"/>
      <c r="E936" s="180"/>
      <c r="F936" s="182" t="s">
        <v>127</v>
      </c>
      <c r="G936" s="182" t="s">
        <v>653</v>
      </c>
      <c r="H936" s="180"/>
      <c r="I936" s="180"/>
      <c r="J936" s="180"/>
      <c r="K936" s="180"/>
      <c r="L936" s="180"/>
      <c r="M936" s="180"/>
      <c r="N936" s="180"/>
      <c r="O936" s="180"/>
      <c r="P936" s="180"/>
      <c r="Q936" s="180"/>
      <c r="R936" s="181"/>
      <c r="AC936" s="189" t="s">
        <v>692</v>
      </c>
      <c r="AD936" s="180">
        <f t="shared" si="302"/>
        <v>18000</v>
      </c>
      <c r="AE936" s="180">
        <f t="shared" si="303"/>
        <v>1595.696925486073</v>
      </c>
      <c r="AF936" s="180">
        <f t="shared" si="310"/>
        <v>28722.544658749317</v>
      </c>
      <c r="AG936" s="180">
        <f t="shared" si="304"/>
        <v>160307.682</v>
      </c>
      <c r="AH936" s="180">
        <f t="shared" si="308"/>
        <v>189030.22665874931</v>
      </c>
      <c r="AI936" s="180">
        <f t="shared" si="305"/>
        <v>37589</v>
      </c>
      <c r="AJ936" s="180">
        <f t="shared" si="309"/>
        <v>226619.22665874931</v>
      </c>
      <c r="AK936" s="180">
        <v>0</v>
      </c>
      <c r="AL936" s="180">
        <f t="shared" si="307"/>
        <v>226619.22665874931</v>
      </c>
      <c r="AM936" s="180" t="s">
        <v>633</v>
      </c>
      <c r="AN936" s="180">
        <f>+B945/30/1.98</f>
        <v>2209.4444444444443</v>
      </c>
      <c r="AO936" s="180">
        <f t="shared" si="311"/>
        <v>302.5</v>
      </c>
      <c r="AP936" s="180">
        <f>+L331</f>
        <v>0</v>
      </c>
      <c r="AQ936" s="180"/>
      <c r="AR936" s="180"/>
      <c r="AS936" s="180"/>
      <c r="AT936" s="181"/>
    </row>
    <row r="937" spans="1:46" ht="15.75" customHeight="1" x14ac:dyDescent="0.3">
      <c r="A937" s="192" t="s">
        <v>8</v>
      </c>
      <c r="B937" s="180">
        <f>+B29</f>
        <v>73715</v>
      </c>
      <c r="C937" s="180">
        <f>+B64</f>
        <v>73618</v>
      </c>
      <c r="D937" s="180">
        <f>+B134</f>
        <v>73522</v>
      </c>
      <c r="E937" s="180">
        <f>+B321</f>
        <v>72449</v>
      </c>
      <c r="F937" s="180">
        <f>+B316</f>
        <v>8000</v>
      </c>
      <c r="G937" s="180">
        <f>+B328</f>
        <v>0</v>
      </c>
      <c r="H937" s="180">
        <f>+B507</f>
        <v>41057</v>
      </c>
      <c r="I937" s="180">
        <f>+B557</f>
        <v>16213</v>
      </c>
      <c r="J937" s="180">
        <f>+B602</f>
        <v>16039</v>
      </c>
      <c r="K937" s="180">
        <f>+B667</f>
        <v>15893</v>
      </c>
      <c r="L937" s="180">
        <f>+B677</f>
        <v>12524</v>
      </c>
      <c r="M937" s="180">
        <f>+B713</f>
        <v>12504</v>
      </c>
      <c r="N937" s="180">
        <f>+B765</f>
        <v>12114</v>
      </c>
      <c r="O937" s="180">
        <f>+B775</f>
        <v>3940</v>
      </c>
      <c r="P937" s="180">
        <f>+B809</f>
        <v>3805</v>
      </c>
      <c r="Q937" s="180">
        <f>+B860</f>
        <v>3938</v>
      </c>
      <c r="R937" s="181"/>
      <c r="T937" s="193">
        <f>'[6]Lake Pleasant Forecast'!B83</f>
        <v>1692.6737761630673</v>
      </c>
      <c r="AC937" s="189" t="s">
        <v>693</v>
      </c>
      <c r="AD937" s="180">
        <f t="shared" si="302"/>
        <v>72000</v>
      </c>
      <c r="AE937" s="180">
        <f t="shared" si="303"/>
        <v>1608.5506347283958</v>
      </c>
      <c r="AF937" s="180">
        <f t="shared" si="310"/>
        <v>115815.64570044451</v>
      </c>
      <c r="AG937" s="180">
        <f t="shared" si="304"/>
        <v>130389.126</v>
      </c>
      <c r="AH937" s="180">
        <f t="shared" si="308"/>
        <v>246204.77170044451</v>
      </c>
      <c r="AI937" s="180">
        <f t="shared" si="305"/>
        <v>24463</v>
      </c>
      <c r="AJ937" s="180">
        <f t="shared" si="309"/>
        <v>270667.77170044451</v>
      </c>
      <c r="AK937" s="180">
        <v>0</v>
      </c>
      <c r="AL937" s="180">
        <f t="shared" si="307"/>
        <v>270667.77170044451</v>
      </c>
      <c r="AM937" s="180" t="s">
        <v>633</v>
      </c>
      <c r="AN937" s="180">
        <f>+B946/31/1.98</f>
        <v>2672.2059302704465</v>
      </c>
      <c r="AO937" s="180">
        <f t="shared" si="311"/>
        <v>1210</v>
      </c>
      <c r="AP937" s="180">
        <f>+N331</f>
        <v>0</v>
      </c>
      <c r="AQ937" s="180"/>
      <c r="AR937" s="180"/>
      <c r="AS937" s="180"/>
      <c r="AT937" s="181"/>
    </row>
    <row r="938" spans="1:46" ht="15.75" customHeight="1" x14ac:dyDescent="0.3">
      <c r="A938" s="192" t="s">
        <v>9</v>
      </c>
      <c r="B938" s="180">
        <f>+C29</f>
        <v>77714</v>
      </c>
      <c r="C938" s="180">
        <f>+C64</f>
        <v>77566</v>
      </c>
      <c r="D938" s="180">
        <f>+C134</f>
        <v>77421</v>
      </c>
      <c r="E938" s="180">
        <f>+C321</f>
        <v>76161</v>
      </c>
      <c r="F938" s="180">
        <f>+C316</f>
        <v>0</v>
      </c>
      <c r="G938" s="180">
        <f>+C328</f>
        <v>0</v>
      </c>
      <c r="H938" s="180">
        <f>+C507</f>
        <v>52531</v>
      </c>
      <c r="I938" s="180">
        <f>+C557</f>
        <v>23435</v>
      </c>
      <c r="J938" s="180">
        <f>+C602</f>
        <v>23206</v>
      </c>
      <c r="K938" s="180">
        <f>+C667</f>
        <v>22588</v>
      </c>
      <c r="L938" s="180">
        <f>+C677</f>
        <v>18294</v>
      </c>
      <c r="M938" s="180">
        <f>+C713</f>
        <v>18272</v>
      </c>
      <c r="N938" s="180">
        <f>+C765</f>
        <v>17611</v>
      </c>
      <c r="O938" s="180">
        <f>+C775</f>
        <v>3623</v>
      </c>
      <c r="P938" s="180">
        <f>+C809</f>
        <v>3805</v>
      </c>
      <c r="Q938" s="180">
        <f>+C860</f>
        <v>3620</v>
      </c>
      <c r="R938" s="181"/>
      <c r="T938" s="193">
        <f>'[6]Lake Pleasant Forecast'!B85</f>
        <v>1692.9119058018148</v>
      </c>
      <c r="AC938" s="189" t="s">
        <v>694</v>
      </c>
      <c r="AD938" s="180">
        <f t="shared" si="302"/>
        <v>94000</v>
      </c>
      <c r="AE938" s="180">
        <f t="shared" si="303"/>
        <v>1623.9628601299473</v>
      </c>
      <c r="AF938" s="180">
        <f t="shared" si="310"/>
        <v>152652.50885221505</v>
      </c>
      <c r="AG938" s="180">
        <f t="shared" si="304"/>
        <v>91620.926000000007</v>
      </c>
      <c r="AH938" s="180">
        <f t="shared" si="308"/>
        <v>244273.43485221505</v>
      </c>
      <c r="AI938" s="180">
        <f t="shared" si="305"/>
        <v>11055</v>
      </c>
      <c r="AJ938" s="180">
        <f t="shared" si="309"/>
        <v>255328.43485221505</v>
      </c>
      <c r="AK938" s="180">
        <f>(G1032)</f>
        <v>0</v>
      </c>
      <c r="AL938" s="180">
        <f t="shared" si="307"/>
        <v>255328.43485221505</v>
      </c>
      <c r="AM938" s="180" t="s">
        <v>633</v>
      </c>
      <c r="AN938" s="180">
        <f>+B947/30/1.98</f>
        <v>2669.7474747474748</v>
      </c>
      <c r="AO938" s="180">
        <f t="shared" si="311"/>
        <v>1579.7222222222222</v>
      </c>
      <c r="AP938" s="180">
        <f>+O331</f>
        <v>0</v>
      </c>
      <c r="AQ938" s="180"/>
      <c r="AR938" s="180"/>
      <c r="AS938" s="180"/>
      <c r="AT938" s="181"/>
    </row>
    <row r="939" spans="1:46" ht="15.75" customHeight="1" x14ac:dyDescent="0.3">
      <c r="A939" s="192" t="s">
        <v>10</v>
      </c>
      <c r="B939" s="180">
        <f>+D29</f>
        <v>163000</v>
      </c>
      <c r="C939" s="180">
        <f>+D64</f>
        <v>162726</v>
      </c>
      <c r="D939" s="180">
        <f>+D134</f>
        <v>162465</v>
      </c>
      <c r="E939" s="180">
        <f>+D321</f>
        <v>158594</v>
      </c>
      <c r="F939" s="180">
        <f>+D316</f>
        <v>45000</v>
      </c>
      <c r="G939" s="180">
        <f>+D328</f>
        <v>0</v>
      </c>
      <c r="H939" s="180">
        <f>+D507</f>
        <v>82468</v>
      </c>
      <c r="I939" s="180">
        <f>+D557</f>
        <v>34292</v>
      </c>
      <c r="J939" s="180">
        <f>+D602</f>
        <v>28849</v>
      </c>
      <c r="K939" s="180">
        <f>+D667</f>
        <v>26233</v>
      </c>
      <c r="L939" s="180">
        <f>+D677</f>
        <v>20019</v>
      </c>
      <c r="M939" s="180">
        <f>+D713</f>
        <v>19991</v>
      </c>
      <c r="N939" s="180">
        <f>+D765</f>
        <v>19007</v>
      </c>
      <c r="O939" s="180">
        <f>+D775</f>
        <v>3542</v>
      </c>
      <c r="P939" s="180">
        <f>+D809</f>
        <v>4757</v>
      </c>
      <c r="Q939" s="180">
        <f>+D860</f>
        <v>3537</v>
      </c>
      <c r="R939" s="181"/>
      <c r="T939" s="193">
        <f>'[6]Lake Pleasant Forecast'!B87</f>
        <v>1697.5932335894677</v>
      </c>
      <c r="AC939" s="189" t="s">
        <v>695</v>
      </c>
      <c r="AD939" s="180">
        <f t="shared" si="302"/>
        <v>54000</v>
      </c>
      <c r="AE939" s="180">
        <f t="shared" si="303"/>
        <v>1632.3762603128666</v>
      </c>
      <c r="AF939" s="180">
        <f t="shared" si="310"/>
        <v>88148.318056894801</v>
      </c>
      <c r="AG939" s="180">
        <f t="shared" si="304"/>
        <v>62767.96</v>
      </c>
      <c r="AH939" s="180">
        <f t="shared" si="308"/>
        <v>150916.27805689481</v>
      </c>
      <c r="AI939" s="180">
        <f t="shared" si="305"/>
        <v>7171</v>
      </c>
      <c r="AJ939" s="180">
        <f t="shared" si="309"/>
        <v>158087.27805689481</v>
      </c>
      <c r="AK939" s="180">
        <f>(G1033)</f>
        <v>0</v>
      </c>
      <c r="AL939" s="180">
        <f t="shared" si="307"/>
        <v>158087.27805689481</v>
      </c>
      <c r="AM939" s="180" t="s">
        <v>633</v>
      </c>
      <c r="AN939" s="180">
        <f>+B948/31/1.98</f>
        <v>1601.4011078527208</v>
      </c>
      <c r="AO939" s="180">
        <f>(AD939*43560/31/24/3600)</f>
        <v>878.22580645161281</v>
      </c>
      <c r="AP939" s="180">
        <f>+P331</f>
        <v>0</v>
      </c>
      <c r="AQ939" s="180"/>
      <c r="AR939" s="180"/>
      <c r="AS939" s="180"/>
      <c r="AT939" s="181"/>
    </row>
    <row r="940" spans="1:46" ht="15.75" customHeight="1" x14ac:dyDescent="0.3">
      <c r="A940" s="192" t="s">
        <v>12</v>
      </c>
      <c r="B940" s="180">
        <f>+F29</f>
        <v>156003</v>
      </c>
      <c r="C940" s="180">
        <f>+F64</f>
        <v>155636</v>
      </c>
      <c r="D940" s="180">
        <f>+F134</f>
        <v>155286</v>
      </c>
      <c r="E940" s="180">
        <f>+F321</f>
        <v>149857</v>
      </c>
      <c r="F940" s="180">
        <f>+F316</f>
        <v>0</v>
      </c>
      <c r="G940" s="180">
        <f>+F328</f>
        <v>0</v>
      </c>
      <c r="H940" s="180">
        <f>+F507</f>
        <v>107489</v>
      </c>
      <c r="I940" s="180">
        <f>+F557</f>
        <v>41920</v>
      </c>
      <c r="J940" s="180">
        <f>+F602</f>
        <v>30315</v>
      </c>
      <c r="K940" s="180">
        <f>+F667</f>
        <v>26168</v>
      </c>
      <c r="L940" s="180">
        <f>+F677</f>
        <v>20670</v>
      </c>
      <c r="M940" s="180">
        <f>+F713</f>
        <v>20633</v>
      </c>
      <c r="N940" s="180">
        <f>+F765</f>
        <v>19445</v>
      </c>
      <c r="O940" s="180">
        <f>+F775</f>
        <v>3825</v>
      </c>
      <c r="P940" s="180">
        <f>+F809</f>
        <v>5708</v>
      </c>
      <c r="Q940" s="180">
        <f>+F860</f>
        <v>3818</v>
      </c>
      <c r="R940" s="181"/>
      <c r="T940" s="193">
        <f>'[6]Lake Pleasant Forecast'!B89</f>
        <v>1697.1904927967209</v>
      </c>
      <c r="AC940" s="179"/>
      <c r="AD940" s="180"/>
      <c r="AE940" s="180"/>
      <c r="AF940" s="180"/>
      <c r="AG940" s="180"/>
      <c r="AH940" s="180"/>
      <c r="AI940" s="180"/>
      <c r="AJ940" s="180"/>
      <c r="AK940" s="180"/>
      <c r="AL940" s="180"/>
      <c r="AM940" s="180" t="s">
        <v>633</v>
      </c>
      <c r="AN940" s="180"/>
      <c r="AO940" s="180"/>
      <c r="AP940" s="180"/>
      <c r="AQ940" s="180"/>
      <c r="AR940" s="180"/>
      <c r="AS940" s="180"/>
      <c r="AT940" s="181"/>
    </row>
    <row r="941" spans="1:46" ht="15.75" customHeight="1" x14ac:dyDescent="0.3">
      <c r="A941" s="192" t="s">
        <v>13</v>
      </c>
      <c r="B941" s="180">
        <f>+G29</f>
        <v>161333</v>
      </c>
      <c r="C941" s="180">
        <f>+G64</f>
        <v>160908</v>
      </c>
      <c r="D941" s="180">
        <f>+G134</f>
        <v>160506</v>
      </c>
      <c r="E941" s="180">
        <f>+G321</f>
        <v>153669</v>
      </c>
      <c r="F941" s="180">
        <f>+G316</f>
        <v>0</v>
      </c>
      <c r="G941" s="180">
        <f>+G328</f>
        <v>-10000</v>
      </c>
      <c r="H941" s="180">
        <f>+G507</f>
        <v>104448</v>
      </c>
      <c r="I941" s="180">
        <f>+G557</f>
        <v>35722</v>
      </c>
      <c r="J941" s="180">
        <f>+G602</f>
        <v>29981</v>
      </c>
      <c r="K941" s="180">
        <f>+G667</f>
        <v>27763</v>
      </c>
      <c r="L941" s="180">
        <f>+G677</f>
        <v>21937</v>
      </c>
      <c r="M941" s="180">
        <f>+G713</f>
        <v>21895</v>
      </c>
      <c r="N941" s="180">
        <f>+G765</f>
        <v>20524</v>
      </c>
      <c r="O941" s="180">
        <f>+G775</f>
        <v>4378</v>
      </c>
      <c r="P941" s="180">
        <f>+G809</f>
        <v>6659</v>
      </c>
      <c r="Q941" s="180">
        <f>+G860</f>
        <v>4370</v>
      </c>
      <c r="R941" s="181"/>
      <c r="T941" s="193">
        <f>'[6]Lake Pleasant Forecast'!B91</f>
        <v>1695.2963591934583</v>
      </c>
      <c r="AC941" s="179" t="s">
        <v>641</v>
      </c>
      <c r="AD941" s="180">
        <f>SUM(AD928:AD939)</f>
        <v>291000</v>
      </c>
      <c r="AE941" s="180"/>
      <c r="AF941" s="180">
        <f t="shared" ref="AF941:AL941" si="312">SUM(AF928:AF939)</f>
        <v>472618.76450386667</v>
      </c>
      <c r="AG941" s="180">
        <f t="shared" si="312"/>
        <v>1546425.7679999999</v>
      </c>
      <c r="AH941" s="180">
        <f t="shared" si="312"/>
        <v>2019044.5325038666</v>
      </c>
      <c r="AI941" s="180">
        <f t="shared" si="312"/>
        <v>412029</v>
      </c>
      <c r="AJ941" s="180">
        <f t="shared" si="312"/>
        <v>2431073.5325038666</v>
      </c>
      <c r="AK941" s="180">
        <f t="shared" si="312"/>
        <v>38223.634306801265</v>
      </c>
      <c r="AL941" s="180">
        <f t="shared" si="312"/>
        <v>2392849.8981970656</v>
      </c>
      <c r="AM941" s="180"/>
      <c r="AN941" s="180"/>
      <c r="AO941" s="180"/>
      <c r="AP941" s="180"/>
      <c r="AQ941" s="180"/>
      <c r="AR941" s="180"/>
      <c r="AS941" s="180"/>
      <c r="AT941" s="181"/>
    </row>
    <row r="942" spans="1:46" ht="15.75" customHeight="1" x14ac:dyDescent="0.3">
      <c r="A942" s="192" t="s">
        <v>14</v>
      </c>
      <c r="B942" s="180">
        <f>+H29</f>
        <v>97061</v>
      </c>
      <c r="C942" s="180">
        <f>+H64</f>
        <v>96644</v>
      </c>
      <c r="D942" s="180">
        <f>+H134</f>
        <v>96248</v>
      </c>
      <c r="E942" s="180">
        <f>+H321</f>
        <v>89174</v>
      </c>
      <c r="F942" s="180">
        <f>+H316</f>
        <v>0</v>
      </c>
      <c r="G942" s="180">
        <f>+H328</f>
        <v>-96000</v>
      </c>
      <c r="H942" s="180">
        <f>+H507</f>
        <v>140316</v>
      </c>
      <c r="I942" s="180">
        <f>+H557</f>
        <v>44759</v>
      </c>
      <c r="J942" s="180">
        <f>+H602</f>
        <v>32706</v>
      </c>
      <c r="K942" s="180">
        <f>+H667</f>
        <v>26347</v>
      </c>
      <c r="L942" s="180">
        <f>+H677</f>
        <v>20644</v>
      </c>
      <c r="M942" s="180">
        <f>+H713</f>
        <v>20600</v>
      </c>
      <c r="N942" s="180">
        <f>+H765</f>
        <v>18878</v>
      </c>
      <c r="O942" s="180">
        <f>+H775</f>
        <v>4175</v>
      </c>
      <c r="P942" s="180">
        <f>+H809</f>
        <v>6850</v>
      </c>
      <c r="Q942" s="180">
        <f>+H860</f>
        <v>4166</v>
      </c>
      <c r="R942" s="181"/>
      <c r="T942" s="193">
        <f>'[6]Lake Pleasant Forecast'!B93</f>
        <v>1683.9292139680206</v>
      </c>
      <c r="AC942" s="179"/>
      <c r="AD942" s="180"/>
      <c r="AE942" s="180"/>
      <c r="AF942" s="180"/>
      <c r="AG942" s="180"/>
      <c r="AH942" s="180"/>
      <c r="AI942" s="180"/>
      <c r="AJ942" s="180"/>
      <c r="AK942" s="180"/>
      <c r="AL942" s="180"/>
      <c r="AM942" s="180"/>
      <c r="AN942" s="180"/>
      <c r="AO942" s="180"/>
      <c r="AP942" s="180"/>
      <c r="AQ942" s="180"/>
      <c r="AR942" s="180"/>
      <c r="AS942" s="180"/>
      <c r="AT942" s="181"/>
    </row>
    <row r="943" spans="1:46" ht="15.75" customHeight="1" x14ac:dyDescent="0.3">
      <c r="A943" s="192" t="s">
        <v>16</v>
      </c>
      <c r="B943" s="180">
        <f>+J29</f>
        <v>52053</v>
      </c>
      <c r="C943" s="180">
        <f>+J64</f>
        <v>51637</v>
      </c>
      <c r="D943" s="180">
        <f>+J134</f>
        <v>51243</v>
      </c>
      <c r="E943" s="180">
        <f>+J321</f>
        <v>44285</v>
      </c>
      <c r="F943" s="180">
        <f>+J316</f>
        <v>0</v>
      </c>
      <c r="G943" s="180">
        <f>+J328</f>
        <v>-117000</v>
      </c>
      <c r="H943" s="180">
        <f>+J507</f>
        <v>109624</v>
      </c>
      <c r="I943" s="180">
        <f>+J557</f>
        <v>44729</v>
      </c>
      <c r="J943" s="180">
        <f>+J602</f>
        <v>30877</v>
      </c>
      <c r="K943" s="180">
        <f>+J667</f>
        <v>25936</v>
      </c>
      <c r="L943" s="180">
        <f>+J677</f>
        <v>20730</v>
      </c>
      <c r="M943" s="180">
        <f>+J713</f>
        <v>20691</v>
      </c>
      <c r="N943" s="180">
        <f>+J765</f>
        <v>18372</v>
      </c>
      <c r="O943" s="180">
        <f>+J775</f>
        <v>3175</v>
      </c>
      <c r="P943" s="180">
        <f>+J809</f>
        <v>6184</v>
      </c>
      <c r="Q943" s="180">
        <f>+J860</f>
        <v>3168</v>
      </c>
      <c r="R943" s="181"/>
      <c r="T943" s="193">
        <f>'[6]Lake Pleasant Forecast'!B95</f>
        <v>1669.0306566420379</v>
      </c>
      <c r="AC943" s="179" t="s">
        <v>696</v>
      </c>
      <c r="AD943" s="180"/>
      <c r="AE943" s="180"/>
      <c r="AF943" s="180"/>
      <c r="AG943" s="180"/>
      <c r="AH943" s="180"/>
      <c r="AI943" s="180"/>
      <c r="AJ943" s="180"/>
      <c r="AK943" s="180"/>
      <c r="AL943" s="180"/>
      <c r="AM943" s="180"/>
      <c r="AN943" s="180"/>
      <c r="AO943" s="180"/>
      <c r="AP943" s="180"/>
      <c r="AQ943" s="180"/>
      <c r="AR943" s="180"/>
      <c r="AS943" s="180"/>
      <c r="AT943" s="181"/>
    </row>
    <row r="944" spans="1:46" ht="15.75" customHeight="1" x14ac:dyDescent="0.3">
      <c r="A944" s="192" t="s">
        <v>17</v>
      </c>
      <c r="B944" s="180">
        <f>+K29</f>
        <v>51709</v>
      </c>
      <c r="C944" s="180">
        <f>+K64</f>
        <v>51375</v>
      </c>
      <c r="D944" s="180">
        <f>+K134</f>
        <v>51057</v>
      </c>
      <c r="E944" s="180">
        <f>+K321</f>
        <v>45337</v>
      </c>
      <c r="F944" s="180">
        <f>+K316</f>
        <v>0</v>
      </c>
      <c r="G944" s="180">
        <f>+K328</f>
        <v>-100000</v>
      </c>
      <c r="H944" s="180">
        <f>+K507</f>
        <v>96897</v>
      </c>
      <c r="I944" s="180">
        <f>+K557</f>
        <v>43910</v>
      </c>
      <c r="J944" s="180">
        <f>+K602</f>
        <v>32116</v>
      </c>
      <c r="K944" s="180">
        <f>+K667</f>
        <v>27579</v>
      </c>
      <c r="L944" s="180">
        <f>+K677</f>
        <v>23151</v>
      </c>
      <c r="M944" s="180">
        <f>+K713</f>
        <v>23115</v>
      </c>
      <c r="N944" s="180">
        <f>+K765</f>
        <v>21298</v>
      </c>
      <c r="O944" s="180">
        <f>+K775</f>
        <v>6554</v>
      </c>
      <c r="P944" s="180">
        <f>+K809</f>
        <v>5708</v>
      </c>
      <c r="Q944" s="180">
        <f>+K860</f>
        <v>6548</v>
      </c>
      <c r="R944" s="181"/>
      <c r="T944" s="193">
        <f>'[6]Lake Pleasant Forecast'!B97</f>
        <v>1654.9682640257968</v>
      </c>
      <c r="AC944" s="179" t="s">
        <v>697</v>
      </c>
      <c r="AD944" s="180"/>
      <c r="AE944" s="180"/>
      <c r="AF944" s="180"/>
      <c r="AG944" s="180"/>
      <c r="AH944" s="180"/>
      <c r="AI944" s="180"/>
      <c r="AJ944" s="180"/>
      <c r="AK944" s="180"/>
      <c r="AL944" s="180"/>
      <c r="AM944" s="180"/>
      <c r="AN944" s="180"/>
      <c r="AO944" s="180"/>
      <c r="AP944" s="180"/>
      <c r="AQ944" s="180"/>
      <c r="AR944" s="180"/>
      <c r="AS944" s="180"/>
      <c r="AT944" s="181"/>
    </row>
    <row r="945" spans="1:50" ht="15.75" customHeight="1" x14ac:dyDescent="0.3">
      <c r="A945" s="192" t="s">
        <v>18</v>
      </c>
      <c r="B945" s="180">
        <f>+L29</f>
        <v>131241</v>
      </c>
      <c r="C945" s="180">
        <f>+L64</f>
        <v>130925</v>
      </c>
      <c r="D945" s="180">
        <f>+L134</f>
        <v>130624</v>
      </c>
      <c r="E945" s="180">
        <f>+L321</f>
        <v>126417</v>
      </c>
      <c r="F945" s="180">
        <f>+L316</f>
        <v>18000</v>
      </c>
      <c r="G945" s="180">
        <f>+L328</f>
        <v>0</v>
      </c>
      <c r="H945" s="180">
        <f>+L507</f>
        <v>67474</v>
      </c>
      <c r="I945" s="180">
        <f>+L557</f>
        <v>26295</v>
      </c>
      <c r="J945" s="180">
        <f>+L602</f>
        <v>24985</v>
      </c>
      <c r="K945" s="180">
        <f>+L667</f>
        <v>23005</v>
      </c>
      <c r="L945" s="180">
        <f>+L677</f>
        <v>21106</v>
      </c>
      <c r="M945" s="180">
        <f>+L713</f>
        <v>21072</v>
      </c>
      <c r="N945" s="180">
        <f>+L765</f>
        <v>19655</v>
      </c>
      <c r="O945" s="180">
        <f>+L775</f>
        <v>5192</v>
      </c>
      <c r="P945" s="180">
        <f>+L809</f>
        <v>5232</v>
      </c>
      <c r="Q945" s="180">
        <f>+L860</f>
        <v>5186</v>
      </c>
      <c r="R945" s="181"/>
      <c r="T945" s="193">
        <f>'[6]Lake Pleasant Forecast'!B99</f>
        <v>1657.5005720093734</v>
      </c>
      <c r="AC945" s="179"/>
      <c r="AD945" s="180"/>
      <c r="AE945" s="180"/>
      <c r="AF945" s="180"/>
      <c r="AG945" s="180"/>
      <c r="AH945" s="180"/>
      <c r="AI945" s="180"/>
      <c r="AJ945" s="180"/>
      <c r="AK945" s="180"/>
      <c r="AL945" s="180"/>
      <c r="AM945" s="180"/>
      <c r="AN945" s="180"/>
      <c r="AO945" s="180"/>
      <c r="AP945" s="180"/>
      <c r="AQ945" s="180"/>
      <c r="AR945" s="180"/>
      <c r="AS945" s="180"/>
      <c r="AT945" s="181"/>
    </row>
    <row r="946" spans="1:50" ht="15.75" customHeight="1" x14ac:dyDescent="0.3">
      <c r="A946" s="192" t="s">
        <v>20</v>
      </c>
      <c r="B946" s="180">
        <f>+N29</f>
        <v>164020</v>
      </c>
      <c r="C946" s="180">
        <f>+N64</f>
        <v>163735</v>
      </c>
      <c r="D946" s="180">
        <f>+N134</f>
        <v>163463</v>
      </c>
      <c r="E946" s="180">
        <f>+N321</f>
        <v>160708</v>
      </c>
      <c r="F946" s="180">
        <f>+N316</f>
        <v>72000</v>
      </c>
      <c r="G946" s="180">
        <f>+N328</f>
        <v>0</v>
      </c>
      <c r="H946" s="180">
        <f>+N507</f>
        <v>49813</v>
      </c>
      <c r="I946" s="180">
        <f>+N557</f>
        <v>16350</v>
      </c>
      <c r="J946" s="180">
        <f>+N602</f>
        <v>15082</v>
      </c>
      <c r="K946" s="180">
        <f>+N667</f>
        <v>13808</v>
      </c>
      <c r="L946" s="180">
        <f>+N677</f>
        <v>12417</v>
      </c>
      <c r="M946" s="180">
        <f>+N713</f>
        <v>12388</v>
      </c>
      <c r="N946" s="180">
        <f>+N765</f>
        <v>11774</v>
      </c>
      <c r="O946" s="180">
        <f>+N775</f>
        <v>3737</v>
      </c>
      <c r="P946" s="180">
        <f>+N809</f>
        <v>4757</v>
      </c>
      <c r="Q946" s="180">
        <f>+N860</f>
        <v>3732</v>
      </c>
      <c r="R946" s="181"/>
      <c r="T946" s="193">
        <f>'[6]Lake Pleasant Forecast'!B101</f>
        <v>1667.4004988678105</v>
      </c>
      <c r="AC946" s="179" t="s">
        <v>698</v>
      </c>
      <c r="AD946" s="180"/>
      <c r="AE946" s="180"/>
      <c r="AF946" s="180"/>
      <c r="AG946" s="180"/>
      <c r="AH946" s="180"/>
      <c r="AI946" s="180"/>
      <c r="AJ946" s="180"/>
      <c r="AK946" s="180"/>
      <c r="AL946" s="180"/>
      <c r="AM946" s="180"/>
      <c r="AN946" s="180"/>
      <c r="AO946" s="180"/>
      <c r="AP946" s="180"/>
      <c r="AQ946" s="180"/>
      <c r="AR946" s="180"/>
      <c r="AS946" s="180"/>
      <c r="AT946" s="181"/>
    </row>
    <row r="947" spans="1:50" ht="15.75" customHeight="1" x14ac:dyDescent="0.3">
      <c r="A947" s="192" t="s">
        <v>21</v>
      </c>
      <c r="B947" s="180">
        <f>+O29</f>
        <v>158583</v>
      </c>
      <c r="C947" s="180">
        <f>+O64</f>
        <v>158348</v>
      </c>
      <c r="D947" s="180">
        <f>+O134</f>
        <v>158122</v>
      </c>
      <c r="E947" s="180">
        <f>+O321</f>
        <v>156817</v>
      </c>
      <c r="F947" s="180">
        <f>+O316</f>
        <v>94000</v>
      </c>
      <c r="G947" s="180">
        <f>+O328</f>
        <v>0</v>
      </c>
      <c r="H947" s="180">
        <f>+O507</f>
        <v>32163</v>
      </c>
      <c r="I947" s="180">
        <f>+O557</f>
        <v>5701</v>
      </c>
      <c r="J947" s="180">
        <f>+O602</f>
        <v>4829</v>
      </c>
      <c r="K947" s="180">
        <f>+O667</f>
        <v>4691</v>
      </c>
      <c r="L947" s="180">
        <f>+O677</f>
        <v>3119</v>
      </c>
      <c r="M947" s="180">
        <f>+O713</f>
        <v>3096</v>
      </c>
      <c r="N947" s="180">
        <f>+O765</f>
        <v>2985</v>
      </c>
      <c r="O947" s="180">
        <f>+O775</f>
        <v>2685</v>
      </c>
      <c r="P947" s="180">
        <f>+O809</f>
        <v>4281</v>
      </c>
      <c r="Q947" s="180">
        <f>+O860</f>
        <v>2682</v>
      </c>
      <c r="R947" s="181"/>
      <c r="T947" s="193">
        <f>'[6]Lake Pleasant Forecast'!B103</f>
        <v>1679.2709948720853</v>
      </c>
      <c r="AC947" s="179"/>
      <c r="AD947" s="180"/>
      <c r="AE947" s="180"/>
      <c r="AF947" s="180"/>
      <c r="AG947" s="180"/>
      <c r="AH947" s="180"/>
      <c r="AI947" s="180"/>
      <c r="AJ947" s="180"/>
      <c r="AK947" s="180"/>
      <c r="AL947" s="180"/>
      <c r="AM947" s="180"/>
      <c r="AN947" s="180"/>
      <c r="AO947" s="180"/>
      <c r="AP947" s="180"/>
      <c r="AQ947" s="180"/>
      <c r="AR947" s="180"/>
      <c r="AS947" s="180"/>
      <c r="AT947" s="181"/>
    </row>
    <row r="948" spans="1:50" ht="15.75" customHeight="1" thickBot="1" x14ac:dyDescent="0.35">
      <c r="A948" s="192" t="s">
        <v>22</v>
      </c>
      <c r="B948" s="180">
        <f>+P29</f>
        <v>98294</v>
      </c>
      <c r="C948" s="180">
        <f>+P64</f>
        <v>98108</v>
      </c>
      <c r="D948" s="180">
        <f>+P134</f>
        <v>97929</v>
      </c>
      <c r="E948" s="180">
        <f>+P321</f>
        <v>96806</v>
      </c>
      <c r="F948" s="180">
        <f>+P316</f>
        <v>54000</v>
      </c>
      <c r="G948" s="180">
        <f>+P328</f>
        <v>0</v>
      </c>
      <c r="H948" s="180">
        <f>+P507</f>
        <v>17276</v>
      </c>
      <c r="I948" s="180">
        <f>+P557</f>
        <v>3631</v>
      </c>
      <c r="J948" s="180">
        <f>+P602</f>
        <v>3018</v>
      </c>
      <c r="K948" s="180">
        <f>+P667</f>
        <v>2920</v>
      </c>
      <c r="L948" s="180">
        <f>+P677</f>
        <v>2882</v>
      </c>
      <c r="M948" s="180">
        <f>+P713</f>
        <v>2863</v>
      </c>
      <c r="N948" s="180">
        <f>+P765</f>
        <v>2354</v>
      </c>
      <c r="O948" s="180">
        <f>+P775</f>
        <v>1393</v>
      </c>
      <c r="P948" s="180">
        <f>+P809</f>
        <v>3805</v>
      </c>
      <c r="Q948" s="180">
        <f>+P860</f>
        <v>1391</v>
      </c>
      <c r="R948" s="181"/>
      <c r="T948" s="193">
        <f>'[6]Lake Pleasant Forecast'!B105</f>
        <v>1685.7509956929698</v>
      </c>
      <c r="AC948" s="194" t="s">
        <v>699</v>
      </c>
      <c r="AD948" s="195"/>
      <c r="AE948" s="195"/>
      <c r="AF948" s="195"/>
      <c r="AG948" s="195"/>
      <c r="AH948" s="195"/>
      <c r="AI948" s="195"/>
      <c r="AJ948" s="195"/>
      <c r="AK948" s="195"/>
      <c r="AL948" s="195"/>
      <c r="AM948" s="195"/>
      <c r="AN948" s="195"/>
      <c r="AO948" s="195"/>
      <c r="AP948" s="195"/>
      <c r="AQ948" s="195"/>
      <c r="AR948" s="195"/>
      <c r="AS948" s="195"/>
      <c r="AT948" s="196"/>
    </row>
    <row r="949" spans="1:50" ht="15.75" customHeight="1" x14ac:dyDescent="0.3">
      <c r="A949" s="189"/>
      <c r="B949" s="180"/>
      <c r="C949" s="180"/>
      <c r="D949" s="180"/>
      <c r="E949" s="180"/>
      <c r="F949" s="180"/>
      <c r="G949" s="180"/>
      <c r="H949" s="180"/>
      <c r="I949" s="180"/>
      <c r="J949" s="180"/>
      <c r="K949" s="180"/>
      <c r="L949" s="180"/>
      <c r="M949" s="180"/>
      <c r="N949" s="180"/>
      <c r="O949" s="180"/>
      <c r="P949" s="180"/>
      <c r="Q949" s="180"/>
      <c r="R949" s="181"/>
    </row>
    <row r="950" spans="1:50" ht="15.75" customHeight="1" thickBot="1" x14ac:dyDescent="0.35">
      <c r="A950" s="189" t="s">
        <v>641</v>
      </c>
      <c r="B950" s="180">
        <f t="shared" ref="B950:Q950" si="313">SUM(B937:B948)</f>
        <v>1384726</v>
      </c>
      <c r="C950" s="180">
        <f t="shared" si="313"/>
        <v>1381226</v>
      </c>
      <c r="D950" s="180">
        <f t="shared" si="313"/>
        <v>1377886</v>
      </c>
      <c r="E950" s="180">
        <f t="shared" si="313"/>
        <v>1330274</v>
      </c>
      <c r="F950" s="180">
        <f t="shared" si="313"/>
        <v>291000</v>
      </c>
      <c r="G950" s="180">
        <f t="shared" si="313"/>
        <v>-323000</v>
      </c>
      <c r="H950" s="180">
        <f t="shared" si="313"/>
        <v>901556</v>
      </c>
      <c r="I950" s="180">
        <f t="shared" si="313"/>
        <v>336957</v>
      </c>
      <c r="J950" s="180">
        <f t="shared" si="313"/>
        <v>272003</v>
      </c>
      <c r="K950" s="180">
        <f t="shared" si="313"/>
        <v>242931</v>
      </c>
      <c r="L950" s="180">
        <f t="shared" si="313"/>
        <v>197493</v>
      </c>
      <c r="M950" s="180">
        <f t="shared" si="313"/>
        <v>197120</v>
      </c>
      <c r="N950" s="180">
        <f t="shared" si="313"/>
        <v>184017</v>
      </c>
      <c r="O950" s="180">
        <f t="shared" si="313"/>
        <v>46219</v>
      </c>
      <c r="P950" s="180">
        <f t="shared" si="313"/>
        <v>61551</v>
      </c>
      <c r="Q950" s="180">
        <f t="shared" si="313"/>
        <v>46156</v>
      </c>
      <c r="R950" s="181"/>
    </row>
    <row r="951" spans="1:50" ht="15.75" customHeight="1" thickBot="1" x14ac:dyDescent="0.35">
      <c r="A951" s="135"/>
      <c r="B951" s="135"/>
      <c r="C951" s="135"/>
      <c r="D951" s="135"/>
      <c r="E951" s="135"/>
      <c r="F951" s="135"/>
      <c r="G951" s="135"/>
      <c r="H951" s="135"/>
      <c r="I951" s="135"/>
      <c r="J951" s="135"/>
      <c r="K951" s="135"/>
      <c r="L951" s="135"/>
      <c r="M951" s="135"/>
      <c r="N951" s="135"/>
      <c r="O951" s="135"/>
      <c r="P951" s="135"/>
      <c r="Q951" s="135"/>
      <c r="R951" s="196"/>
      <c r="AC951" s="173"/>
      <c r="AD951" s="174"/>
      <c r="AE951" s="174"/>
      <c r="AF951" s="174"/>
      <c r="AG951" s="174"/>
      <c r="AH951" s="174"/>
      <c r="AI951" s="174"/>
      <c r="AJ951" s="174"/>
      <c r="AK951" s="174"/>
      <c r="AL951" s="174"/>
      <c r="AM951" s="174"/>
      <c r="AN951" s="174"/>
      <c r="AO951" s="174"/>
      <c r="AP951" s="174"/>
      <c r="AQ951" s="174"/>
      <c r="AR951" s="174"/>
      <c r="AS951" s="177" t="str">
        <f>+Q1</f>
        <v xml:space="preserve">PRINTED:  </v>
      </c>
      <c r="AT951" s="197">
        <f ca="1">+R1</f>
        <v>44894.658168518516</v>
      </c>
      <c r="AU951" s="198"/>
      <c r="AW951" s="199" t="s">
        <v>700</v>
      </c>
      <c r="AX951" s="180"/>
    </row>
    <row r="952" spans="1:50" ht="15.75" customHeight="1" x14ac:dyDescent="0.35">
      <c r="A952" s="200"/>
      <c r="B952" s="200"/>
      <c r="C952" s="200"/>
      <c r="D952" s="200"/>
      <c r="E952" s="200"/>
      <c r="F952" s="200"/>
      <c r="G952" s="200"/>
      <c r="H952" s="200"/>
      <c r="I952" s="200"/>
      <c r="J952" s="200"/>
      <c r="K952" s="200"/>
      <c r="L952" s="200"/>
      <c r="M952" s="200"/>
      <c r="N952" s="200"/>
      <c r="O952" s="200"/>
      <c r="P952" s="200"/>
      <c r="Q952" s="200"/>
      <c r="R952" s="174"/>
      <c r="AC952" s="179"/>
      <c r="AD952" s="180"/>
      <c r="AE952" s="199" t="s">
        <v>701</v>
      </c>
      <c r="AF952" s="180"/>
      <c r="AG952" s="180"/>
      <c r="AH952" s="180"/>
      <c r="AI952" s="180"/>
      <c r="AJ952" s="180"/>
      <c r="AK952" s="180"/>
      <c r="AL952" s="180"/>
      <c r="AM952" s="180"/>
      <c r="AN952" s="201"/>
      <c r="AO952" s="199" t="s">
        <v>702</v>
      </c>
      <c r="AP952" s="180"/>
      <c r="AQ952" s="180"/>
      <c r="AR952" s="180"/>
      <c r="AS952" s="180"/>
      <c r="AT952" s="180"/>
      <c r="AU952" s="133"/>
      <c r="AW952" s="180" t="s">
        <v>703</v>
      </c>
      <c r="AX952" s="180"/>
    </row>
    <row r="953" spans="1:50" ht="16.5" customHeight="1" x14ac:dyDescent="0.3">
      <c r="A953" s="189" t="s">
        <v>7</v>
      </c>
      <c r="B953" s="180"/>
      <c r="C953" s="180"/>
      <c r="D953" s="180"/>
      <c r="E953" s="180"/>
      <c r="F953" s="180"/>
      <c r="G953" s="180"/>
      <c r="H953" s="180"/>
      <c r="I953" s="180"/>
      <c r="J953" s="180"/>
      <c r="K953" s="180"/>
      <c r="L953" s="180"/>
      <c r="M953" s="180"/>
      <c r="N953" s="180"/>
      <c r="O953" s="180"/>
      <c r="P953" s="180"/>
      <c r="Q953" s="180"/>
      <c r="R953" s="180"/>
      <c r="AC953" s="179"/>
      <c r="AD953" s="180"/>
      <c r="AE953" s="180"/>
      <c r="AF953" s="180"/>
      <c r="AG953" s="180" t="s">
        <v>7</v>
      </c>
      <c r="AH953" s="202" t="str">
        <f>+A8</f>
        <v>Revised:  10/31/2019</v>
      </c>
      <c r="AI953" s="180"/>
      <c r="AJ953" s="180"/>
      <c r="AK953" s="180"/>
      <c r="AL953" s="180"/>
      <c r="AM953" s="180"/>
      <c r="AN953" s="180"/>
      <c r="AO953" s="180"/>
      <c r="AP953" s="180"/>
      <c r="AQ953" s="180"/>
      <c r="AR953" s="180" t="s">
        <v>7</v>
      </c>
      <c r="AS953" s="202" t="str">
        <f>+A8</f>
        <v>Revised:  10/31/2019</v>
      </c>
      <c r="AT953" s="180"/>
      <c r="AU953" s="133"/>
      <c r="AW953" s="180"/>
      <c r="AX953" s="180"/>
    </row>
    <row r="954" spans="1:50" ht="15.75" customHeight="1" x14ac:dyDescent="0.3">
      <c r="A954" s="182"/>
      <c r="B954" s="180"/>
      <c r="C954" s="180"/>
      <c r="D954" s="180"/>
      <c r="E954" s="180"/>
      <c r="F954" s="180"/>
      <c r="G954" s="180"/>
      <c r="H954" s="180"/>
      <c r="I954" s="180"/>
      <c r="J954" s="180"/>
      <c r="K954" s="180"/>
      <c r="L954" s="180"/>
      <c r="M954" s="180"/>
      <c r="N954" s="180"/>
      <c r="O954" s="180"/>
      <c r="P954" s="180"/>
      <c r="Q954" s="180"/>
      <c r="R954" s="180"/>
      <c r="AC954" s="179"/>
      <c r="AD954" s="180"/>
      <c r="AE954" s="180"/>
      <c r="AF954" s="180" t="s">
        <v>704</v>
      </c>
      <c r="AG954" s="180"/>
      <c r="AH954" s="180"/>
      <c r="AI954" s="180"/>
      <c r="AJ954" s="180"/>
      <c r="AK954" s="180"/>
      <c r="AL954" s="180"/>
      <c r="AM954" s="180"/>
      <c r="AN954" s="180"/>
      <c r="AO954" s="180"/>
      <c r="AP954" s="180" t="s">
        <v>704</v>
      </c>
      <c r="AQ954" s="180"/>
      <c r="AR954" s="180"/>
      <c r="AS954" s="180"/>
      <c r="AT954" s="180"/>
      <c r="AU954" s="133"/>
      <c r="AW954" s="180" t="s">
        <v>633</v>
      </c>
      <c r="AX954" s="182" t="s">
        <v>658</v>
      </c>
    </row>
    <row r="955" spans="1:50" ht="15.75" customHeight="1" x14ac:dyDescent="0.3">
      <c r="A955" s="192"/>
      <c r="AC955" s="179"/>
      <c r="AD955" s="180"/>
      <c r="AE955" s="180"/>
      <c r="AF955" s="180"/>
      <c r="AG955" s="180"/>
      <c r="AH955" s="180"/>
      <c r="AI955" s="180"/>
      <c r="AJ955" s="180"/>
      <c r="AK955" s="180"/>
      <c r="AL955" s="180"/>
      <c r="AM955" s="180"/>
      <c r="AN955" s="180"/>
      <c r="AO955" s="180"/>
      <c r="AP955" s="180"/>
      <c r="AQ955" s="180"/>
      <c r="AR955" s="180"/>
      <c r="AS955" s="180"/>
      <c r="AT955" s="180"/>
      <c r="AU955" s="133"/>
      <c r="AW955" s="182" t="s">
        <v>658</v>
      </c>
      <c r="AX955" s="182" t="s">
        <v>655</v>
      </c>
    </row>
    <row r="956" spans="1:50" ht="15.75" customHeight="1" thickBot="1" x14ac:dyDescent="0.35">
      <c r="A956" s="192"/>
      <c r="AC956" s="179"/>
      <c r="AD956" s="180"/>
      <c r="AE956" s="180"/>
      <c r="AF956" s="180"/>
      <c r="AG956" s="180">
        <f>+A5</f>
        <v>2020</v>
      </c>
      <c r="AH956" s="180"/>
      <c r="AI956" s="180"/>
      <c r="AJ956" s="180"/>
      <c r="AK956" s="180"/>
      <c r="AL956" s="180"/>
      <c r="AM956" s="180"/>
      <c r="AN956" s="180"/>
      <c r="AO956" s="180"/>
      <c r="AP956" s="180"/>
      <c r="AQ956" s="180"/>
      <c r="AR956" s="180">
        <f>+A5</f>
        <v>2020</v>
      </c>
      <c r="AS956" s="180"/>
      <c r="AT956" s="180"/>
      <c r="AU956" s="133"/>
      <c r="AW956" s="182" t="s">
        <v>705</v>
      </c>
      <c r="AX956" s="182" t="s">
        <v>706</v>
      </c>
    </row>
    <row r="957" spans="1:50" ht="15.75" customHeight="1" x14ac:dyDescent="0.3">
      <c r="A957" s="188"/>
      <c r="B957" s="387" t="s">
        <v>707</v>
      </c>
      <c r="C957" s="387"/>
      <c r="D957" s="387"/>
      <c r="E957" s="387"/>
      <c r="F957" s="387"/>
      <c r="G957" s="387"/>
      <c r="H957" s="387"/>
      <c r="I957" s="387"/>
      <c r="J957" s="387"/>
      <c r="K957" s="387"/>
      <c r="L957" s="387"/>
      <c r="M957" s="387"/>
      <c r="N957" s="387"/>
      <c r="O957" s="387"/>
      <c r="P957" s="387"/>
      <c r="Q957" s="177" t="str">
        <f>+Q1</f>
        <v xml:space="preserve">PRINTED:  </v>
      </c>
      <c r="R957" s="178">
        <f ca="1">+R1</f>
        <v>44894.658168518516</v>
      </c>
      <c r="AC957" s="179"/>
      <c r="AD957" s="180"/>
      <c r="AE957" s="180"/>
      <c r="AF957" s="180"/>
      <c r="AG957" s="180" t="s">
        <v>708</v>
      </c>
      <c r="AH957" s="180"/>
      <c r="AI957" s="180"/>
      <c r="AJ957" s="180"/>
      <c r="AK957" s="180"/>
      <c r="AL957" s="180"/>
      <c r="AM957" s="180"/>
      <c r="AN957" s="180"/>
      <c r="AO957" s="180"/>
      <c r="AP957" s="180"/>
      <c r="AQ957" s="180"/>
      <c r="AR957" s="180" t="s">
        <v>708</v>
      </c>
      <c r="AS957" s="180"/>
      <c r="AT957" s="180"/>
      <c r="AU957" s="133"/>
      <c r="AW957" s="182" t="s">
        <v>666</v>
      </c>
      <c r="AX957" s="182" t="s">
        <v>666</v>
      </c>
    </row>
    <row r="958" spans="1:50" ht="15.75" customHeight="1" x14ac:dyDescent="0.3">
      <c r="A958" s="189"/>
      <c r="B958" s="394" t="str">
        <f>+A8</f>
        <v>Revised:  10/31/2019</v>
      </c>
      <c r="C958" s="394"/>
      <c r="D958" s="394"/>
      <c r="E958" s="394"/>
      <c r="F958" s="394"/>
      <c r="G958" s="394"/>
      <c r="H958" s="394"/>
      <c r="I958" s="394"/>
      <c r="J958" s="394"/>
      <c r="K958" s="394"/>
      <c r="L958" s="394"/>
      <c r="M958" s="394"/>
      <c r="N958" s="394"/>
      <c r="O958" s="394"/>
      <c r="P958" s="394"/>
      <c r="Q958" s="180"/>
      <c r="R958" s="181"/>
      <c r="AC958" s="179"/>
      <c r="AD958" s="180"/>
      <c r="AE958" s="180"/>
      <c r="AF958" s="180"/>
      <c r="AG958" s="180"/>
      <c r="AH958" s="180"/>
      <c r="AI958" s="180"/>
      <c r="AJ958" s="180"/>
      <c r="AK958" s="180"/>
      <c r="AL958" s="180"/>
      <c r="AM958" s="180"/>
      <c r="AN958" s="180"/>
      <c r="AO958" s="180"/>
      <c r="AP958" s="180"/>
      <c r="AQ958" s="180"/>
      <c r="AR958" s="180"/>
      <c r="AS958" s="180"/>
      <c r="AT958" s="180"/>
      <c r="AU958" s="133"/>
      <c r="AW958" s="180">
        <f t="shared" ref="AW958:AW969" si="314">SUM(L994:Q994)</f>
        <v>9571</v>
      </c>
      <c r="AX958" s="203">
        <v>2.4700000000000002</v>
      </c>
    </row>
    <row r="959" spans="1:50" ht="15.75" customHeight="1" x14ac:dyDescent="0.3">
      <c r="A959" s="189"/>
      <c r="B959" s="394" t="s">
        <v>670</v>
      </c>
      <c r="C959" s="394"/>
      <c r="D959" s="394"/>
      <c r="E959" s="394"/>
      <c r="F959" s="394"/>
      <c r="G959" s="394"/>
      <c r="H959" s="394"/>
      <c r="I959" s="394"/>
      <c r="J959" s="394"/>
      <c r="K959" s="394"/>
      <c r="L959" s="394"/>
      <c r="M959" s="394"/>
      <c r="N959" s="394"/>
      <c r="O959" s="394"/>
      <c r="P959" s="394"/>
      <c r="Q959" s="180"/>
      <c r="R959" s="181"/>
      <c r="AC959" s="179" t="s">
        <v>709</v>
      </c>
      <c r="AD959" s="182" t="s">
        <v>677</v>
      </c>
      <c r="AE959" s="182" t="s">
        <v>678</v>
      </c>
      <c r="AF959" s="182" t="s">
        <v>679</v>
      </c>
      <c r="AG959" s="182" t="s">
        <v>680</v>
      </c>
      <c r="AH959" s="182" t="s">
        <v>644</v>
      </c>
      <c r="AI959" s="180"/>
      <c r="AJ959" s="182" t="s">
        <v>641</v>
      </c>
      <c r="AK959" s="180"/>
      <c r="AL959" s="180"/>
      <c r="AM959" s="180"/>
      <c r="AN959" s="180" t="s">
        <v>709</v>
      </c>
      <c r="AO959" s="182" t="s">
        <v>677</v>
      </c>
      <c r="AP959" s="182" t="s">
        <v>678</v>
      </c>
      <c r="AQ959" s="182" t="s">
        <v>679</v>
      </c>
      <c r="AR959" s="182" t="s">
        <v>680</v>
      </c>
      <c r="AS959" s="182" t="s">
        <v>644</v>
      </c>
      <c r="AT959" s="182" t="s">
        <v>641</v>
      </c>
      <c r="AU959" s="133"/>
      <c r="AW959" s="180">
        <f t="shared" si="314"/>
        <v>11999</v>
      </c>
      <c r="AX959" s="203">
        <v>2.4700000000000002</v>
      </c>
    </row>
    <row r="960" spans="1:50" ht="15.75" customHeight="1" x14ac:dyDescent="0.3">
      <c r="A960" s="189"/>
      <c r="B960" s="394"/>
      <c r="C960" s="394"/>
      <c r="D960" s="394"/>
      <c r="E960" s="394"/>
      <c r="F960" s="394"/>
      <c r="G960" s="394"/>
      <c r="H960" s="394"/>
      <c r="I960" s="394"/>
      <c r="J960" s="394"/>
      <c r="K960" s="394"/>
      <c r="L960" s="394"/>
      <c r="M960" s="394"/>
      <c r="N960" s="394"/>
      <c r="O960" s="394"/>
      <c r="P960" s="394"/>
      <c r="Q960" s="180"/>
      <c r="R960" s="181"/>
      <c r="AC960" s="179" t="s">
        <v>710</v>
      </c>
      <c r="AD960" s="180"/>
      <c r="AE960" s="180"/>
      <c r="AF960" s="180"/>
      <c r="AG960" s="180"/>
      <c r="AH960" s="182" t="s">
        <v>127</v>
      </c>
      <c r="AI960" s="180"/>
      <c r="AJ960" s="182" t="s">
        <v>711</v>
      </c>
      <c r="AK960" s="180"/>
      <c r="AL960" s="180"/>
      <c r="AM960" s="180"/>
      <c r="AN960" s="180" t="s">
        <v>710</v>
      </c>
      <c r="AO960" s="180"/>
      <c r="AP960" s="180"/>
      <c r="AQ960" s="180"/>
      <c r="AR960" s="180"/>
      <c r="AS960" s="182" t="s">
        <v>127</v>
      </c>
      <c r="AT960" s="182" t="s">
        <v>711</v>
      </c>
      <c r="AU960" s="133"/>
      <c r="AW960" s="180">
        <f t="shared" si="314"/>
        <v>12995</v>
      </c>
      <c r="AX960" s="203">
        <v>2.4700000000000002</v>
      </c>
    </row>
    <row r="961" spans="1:50" ht="15.75" customHeight="1" x14ac:dyDescent="0.3">
      <c r="A961" s="189"/>
      <c r="B961" s="395">
        <f>+A5</f>
        <v>2020</v>
      </c>
      <c r="C961" s="395"/>
      <c r="D961" s="395"/>
      <c r="E961" s="395"/>
      <c r="F961" s="395"/>
      <c r="G961" s="395"/>
      <c r="H961" s="395"/>
      <c r="I961" s="395"/>
      <c r="J961" s="395"/>
      <c r="K961" s="395"/>
      <c r="L961" s="395"/>
      <c r="M961" s="395"/>
      <c r="N961" s="395"/>
      <c r="O961" s="395"/>
      <c r="P961" s="395"/>
      <c r="Q961" s="180"/>
      <c r="R961" s="181"/>
      <c r="AC961" s="179" t="s">
        <v>712</v>
      </c>
      <c r="AD961" s="180">
        <f>+$B$992</f>
        <v>957</v>
      </c>
      <c r="AE961" s="180">
        <f>+C$992</f>
        <v>122</v>
      </c>
      <c r="AF961" s="180">
        <f>+D$992</f>
        <v>128</v>
      </c>
      <c r="AG961" s="180">
        <f>+E$992</f>
        <v>219</v>
      </c>
      <c r="AH961" s="180"/>
      <c r="AI961" s="180"/>
      <c r="AJ961" s="182" t="s">
        <v>658</v>
      </c>
      <c r="AK961" s="180"/>
      <c r="AL961" s="180"/>
      <c r="AM961" s="180"/>
      <c r="AN961" s="180" t="s">
        <v>712</v>
      </c>
      <c r="AO961" s="180">
        <f>+$B$992</f>
        <v>957</v>
      </c>
      <c r="AP961" s="180">
        <f>+C$992</f>
        <v>122</v>
      </c>
      <c r="AQ961" s="180">
        <f>+D$992</f>
        <v>128</v>
      </c>
      <c r="AR961" s="180">
        <f>+E$992</f>
        <v>219</v>
      </c>
      <c r="AS961" s="180"/>
      <c r="AT961" s="182" t="s">
        <v>658</v>
      </c>
      <c r="AU961" s="133"/>
      <c r="AW961" s="180">
        <f t="shared" si="314"/>
        <v>13749</v>
      </c>
      <c r="AX961" s="203">
        <v>2.4700000000000002</v>
      </c>
    </row>
    <row r="962" spans="1:50" ht="15.75" customHeight="1" x14ac:dyDescent="0.3">
      <c r="A962" s="189"/>
      <c r="B962" s="394" t="s">
        <v>713</v>
      </c>
      <c r="C962" s="394"/>
      <c r="D962" s="394"/>
      <c r="E962" s="394"/>
      <c r="F962" s="394"/>
      <c r="G962" s="394"/>
      <c r="H962" s="394"/>
      <c r="I962" s="394"/>
      <c r="J962" s="394"/>
      <c r="K962" s="394"/>
      <c r="L962" s="394"/>
      <c r="M962" s="394"/>
      <c r="N962" s="394"/>
      <c r="O962" s="394"/>
      <c r="P962" s="394"/>
      <c r="Q962" s="180"/>
      <c r="R962" s="181"/>
      <c r="AC962" s="179"/>
      <c r="AD962" s="180" t="s">
        <v>666</v>
      </c>
      <c r="AE962" s="180" t="s">
        <v>666</v>
      </c>
      <c r="AF962" s="180" t="s">
        <v>666</v>
      </c>
      <c r="AG962" s="180" t="s">
        <v>666</v>
      </c>
      <c r="AH962" s="180" t="s">
        <v>666</v>
      </c>
      <c r="AI962" s="180"/>
      <c r="AJ962" s="180" t="s">
        <v>714</v>
      </c>
      <c r="AK962" s="180"/>
      <c r="AL962" s="180"/>
      <c r="AM962" s="180"/>
      <c r="AN962" s="180"/>
      <c r="AO962" s="180" t="s">
        <v>666</v>
      </c>
      <c r="AP962" s="180" t="s">
        <v>666</v>
      </c>
      <c r="AQ962" s="180" t="s">
        <v>666</v>
      </c>
      <c r="AR962" s="180" t="s">
        <v>666</v>
      </c>
      <c r="AS962" s="180" t="s">
        <v>666</v>
      </c>
      <c r="AT962" s="180" t="s">
        <v>714</v>
      </c>
      <c r="AU962" s="133"/>
      <c r="AW962" s="180">
        <f t="shared" si="314"/>
        <v>14972</v>
      </c>
      <c r="AX962" s="203">
        <v>2.4700000000000002</v>
      </c>
    </row>
    <row r="963" spans="1:50" ht="15.75" customHeight="1" x14ac:dyDescent="0.3">
      <c r="A963" s="189"/>
      <c r="B963" s="180"/>
      <c r="C963" s="180"/>
      <c r="D963" s="180"/>
      <c r="E963" s="180"/>
      <c r="F963" s="180"/>
      <c r="G963" s="180"/>
      <c r="H963" s="180"/>
      <c r="I963" s="180"/>
      <c r="J963" s="180"/>
      <c r="K963" s="180"/>
      <c r="L963" s="180"/>
      <c r="M963" s="180"/>
      <c r="N963" s="180"/>
      <c r="O963" s="180"/>
      <c r="P963" s="180"/>
      <c r="Q963" s="180"/>
      <c r="R963" s="181"/>
      <c r="AC963" s="189" t="s">
        <v>668</v>
      </c>
      <c r="AD963" s="180">
        <f t="shared" ref="AD963:AD974" si="315">ROUND($F937*$AD$961/1000,0)</f>
        <v>7656</v>
      </c>
      <c r="AE963" s="180">
        <f t="shared" ref="AE963:AE974" si="316">ROUND($F937*$AE$961/1000,0)</f>
        <v>976</v>
      </c>
      <c r="AF963" s="180">
        <f t="shared" ref="AF963:AF974" si="317">ROUND($F937*$AF$961/1000,0)</f>
        <v>1024</v>
      </c>
      <c r="AG963" s="180">
        <f t="shared" ref="AG963:AG974" si="318">ROUND($F937*$AG$961/1000,0)</f>
        <v>1752</v>
      </c>
      <c r="AH963" s="180">
        <f t="shared" ref="AH963:AH974" si="319">(F937*((T937-1526.8)/0.7702))/1000</f>
        <v>1722.9163974351318</v>
      </c>
      <c r="AI963" s="180"/>
      <c r="AJ963" s="180">
        <f t="shared" ref="AJ963:AJ974" si="320">SUM(AD963:AH963)</f>
        <v>13130.916397435132</v>
      </c>
      <c r="AK963" s="180"/>
      <c r="AL963" s="180"/>
      <c r="AM963" s="180"/>
      <c r="AN963" s="182" t="s">
        <v>668</v>
      </c>
      <c r="AO963" s="180">
        <f t="shared" ref="AO963:AO974" si="321">ROUND((B937-$F937)*$AO$961/1000,0)</f>
        <v>62889</v>
      </c>
      <c r="AP963" s="180">
        <f t="shared" ref="AP963:AP974" si="322">ROUND((C937-$F937)*$AP$961/1000,0)</f>
        <v>8005</v>
      </c>
      <c r="AQ963" s="180">
        <f t="shared" ref="AQ963:AQ974" si="323">ROUND((D937-$F937)*$AQ$961/1000,0)</f>
        <v>8387</v>
      </c>
      <c r="AR963" s="180">
        <f t="shared" ref="AR963:AR974" si="324">ROUND((E937-$F937)*$AR$961/1000,0)</f>
        <v>14114</v>
      </c>
      <c r="AS963" s="180">
        <f>((F937-$F937)*((T937-1526.8)/0.7702))/1000</f>
        <v>0</v>
      </c>
      <c r="AT963" s="180">
        <f t="shared" ref="AT963:AT974" si="325">SUM(AN963:AR963)</f>
        <v>93395</v>
      </c>
      <c r="AU963" s="133"/>
      <c r="AW963" s="180">
        <f t="shared" si="314"/>
        <v>14212</v>
      </c>
      <c r="AX963" s="203">
        <v>2.4700000000000002</v>
      </c>
    </row>
    <row r="964" spans="1:50" ht="15.75" customHeight="1" thickBot="1" x14ac:dyDescent="0.35">
      <c r="A964" s="189" t="s">
        <v>647</v>
      </c>
      <c r="B964" s="191" t="s">
        <v>677</v>
      </c>
      <c r="C964" s="191" t="s">
        <v>678</v>
      </c>
      <c r="D964" s="191" t="s">
        <v>679</v>
      </c>
      <c r="E964" s="191" t="s">
        <v>680</v>
      </c>
      <c r="F964" s="191" t="s">
        <v>644</v>
      </c>
      <c r="G964" s="191" t="s">
        <v>644</v>
      </c>
      <c r="H964" s="191" t="s">
        <v>681</v>
      </c>
      <c r="I964" s="191" t="s">
        <v>682</v>
      </c>
      <c r="J964" s="191" t="s">
        <v>683</v>
      </c>
      <c r="K964" s="191" t="s">
        <v>684</v>
      </c>
      <c r="L964" s="191" t="s">
        <v>685</v>
      </c>
      <c r="M964" s="191" t="s">
        <v>686</v>
      </c>
      <c r="N964" s="191" t="s">
        <v>687</v>
      </c>
      <c r="O964" s="191" t="s">
        <v>688</v>
      </c>
      <c r="P964" s="191" t="s">
        <v>689</v>
      </c>
      <c r="Q964" s="191" t="s">
        <v>638</v>
      </c>
      <c r="R964" s="181"/>
      <c r="AC964" s="189" t="s">
        <v>669</v>
      </c>
      <c r="AD964" s="180">
        <f t="shared" si="315"/>
        <v>0</v>
      </c>
      <c r="AE964" s="180">
        <f t="shared" si="316"/>
        <v>0</v>
      </c>
      <c r="AF964" s="180">
        <f t="shared" si="317"/>
        <v>0</v>
      </c>
      <c r="AG964" s="180">
        <f t="shared" si="318"/>
        <v>0</v>
      </c>
      <c r="AH964" s="180">
        <f t="shared" si="319"/>
        <v>0</v>
      </c>
      <c r="AI964" s="180"/>
      <c r="AJ964" s="180">
        <f t="shared" si="320"/>
        <v>0</v>
      </c>
      <c r="AK964" s="180"/>
      <c r="AL964" s="180"/>
      <c r="AM964" s="180"/>
      <c r="AN964" s="182" t="s">
        <v>669</v>
      </c>
      <c r="AO964" s="180">
        <f t="shared" si="321"/>
        <v>74372</v>
      </c>
      <c r="AP964" s="180">
        <f t="shared" si="322"/>
        <v>9463</v>
      </c>
      <c r="AQ964" s="180">
        <f t="shared" si="323"/>
        <v>9910</v>
      </c>
      <c r="AR964" s="180">
        <f t="shared" si="324"/>
        <v>16679</v>
      </c>
      <c r="AS964" s="180">
        <f t="shared" ref="AS964:AS974" si="326">((F938-$F938)*((T938-1526.8)/0.7702))/1000</f>
        <v>0</v>
      </c>
      <c r="AT964" s="180">
        <f t="shared" si="325"/>
        <v>110424</v>
      </c>
      <c r="AU964" s="133"/>
      <c r="AW964" s="180">
        <f t="shared" si="314"/>
        <v>13240</v>
      </c>
      <c r="AX964" s="203">
        <v>2.4700000000000002</v>
      </c>
    </row>
    <row r="965" spans="1:50" ht="15.75" customHeight="1" x14ac:dyDescent="0.3">
      <c r="A965" s="189"/>
      <c r="B965" s="180"/>
      <c r="C965" s="180"/>
      <c r="D965" s="180"/>
      <c r="E965" s="180"/>
      <c r="F965" s="182" t="s">
        <v>127</v>
      </c>
      <c r="G965" s="182" t="s">
        <v>653</v>
      </c>
      <c r="H965" s="180"/>
      <c r="I965" s="180"/>
      <c r="J965" s="180"/>
      <c r="K965" s="180"/>
      <c r="L965" s="180"/>
      <c r="M965" s="180"/>
      <c r="N965" s="180"/>
      <c r="O965" s="180"/>
      <c r="P965" s="180"/>
      <c r="Q965" s="180"/>
      <c r="R965" s="181"/>
      <c r="AC965" s="189" t="s">
        <v>671</v>
      </c>
      <c r="AD965" s="180">
        <f t="shared" si="315"/>
        <v>43065</v>
      </c>
      <c r="AE965" s="180">
        <f t="shared" si="316"/>
        <v>5490</v>
      </c>
      <c r="AF965" s="180">
        <f t="shared" si="317"/>
        <v>5760</v>
      </c>
      <c r="AG965" s="180">
        <f t="shared" si="318"/>
        <v>9855</v>
      </c>
      <c r="AH965" s="180">
        <f t="shared" si="319"/>
        <v>9978.8308381278202</v>
      </c>
      <c r="AI965" s="180"/>
      <c r="AJ965" s="180">
        <f t="shared" si="320"/>
        <v>74148.830838127818</v>
      </c>
      <c r="AK965" s="180"/>
      <c r="AL965" s="180"/>
      <c r="AM965" s="180"/>
      <c r="AN965" s="182" t="s">
        <v>671</v>
      </c>
      <c r="AO965" s="180">
        <f t="shared" si="321"/>
        <v>112926</v>
      </c>
      <c r="AP965" s="180">
        <f t="shared" si="322"/>
        <v>14363</v>
      </c>
      <c r="AQ965" s="180">
        <f t="shared" si="323"/>
        <v>15036</v>
      </c>
      <c r="AR965" s="180">
        <f t="shared" si="324"/>
        <v>24877</v>
      </c>
      <c r="AS965" s="180">
        <f t="shared" si="326"/>
        <v>0</v>
      </c>
      <c r="AT965" s="180">
        <f t="shared" si="325"/>
        <v>167202</v>
      </c>
      <c r="AU965" s="133"/>
      <c r="AW965" s="180">
        <f t="shared" si="314"/>
        <v>16501</v>
      </c>
      <c r="AX965" s="203">
        <v>2.4700000000000002</v>
      </c>
    </row>
    <row r="966" spans="1:50" ht="15.75" customHeight="1" x14ac:dyDescent="0.3">
      <c r="A966" s="192" t="s">
        <v>8</v>
      </c>
      <c r="B966" s="180">
        <f t="shared" ref="B966:Q966" si="327">(B937/$B$10/1.983)</f>
        <v>1199.1443397914531</v>
      </c>
      <c r="C966" s="180">
        <f t="shared" si="327"/>
        <v>1197.5664112699885</v>
      </c>
      <c r="D966" s="180">
        <f t="shared" si="327"/>
        <v>1196.0047500528685</v>
      </c>
      <c r="E966" s="180">
        <f t="shared" si="327"/>
        <v>1178.5499324906868</v>
      </c>
      <c r="F966" s="180">
        <f t="shared" si="327"/>
        <v>130.13843475997592</v>
      </c>
      <c r="G966" s="180">
        <f t="shared" si="327"/>
        <v>0</v>
      </c>
      <c r="H966" s="180">
        <f t="shared" si="327"/>
        <v>667.8867144925415</v>
      </c>
      <c r="I966" s="180">
        <f t="shared" si="327"/>
        <v>263.74180534543621</v>
      </c>
      <c r="J966" s="180">
        <f t="shared" si="327"/>
        <v>260.91129438940669</v>
      </c>
      <c r="K966" s="180">
        <f t="shared" si="327"/>
        <v>258.53626795503715</v>
      </c>
      <c r="L966" s="180">
        <f t="shared" si="327"/>
        <v>203.73171961674231</v>
      </c>
      <c r="M966" s="180">
        <f t="shared" si="327"/>
        <v>203.40637352984237</v>
      </c>
      <c r="N966" s="180">
        <f t="shared" si="327"/>
        <v>197.06212483529353</v>
      </c>
      <c r="O966" s="180">
        <f t="shared" si="327"/>
        <v>64.093179119288138</v>
      </c>
      <c r="P966" s="180">
        <f t="shared" si="327"/>
        <v>61.897093032713542</v>
      </c>
      <c r="Q966" s="180">
        <f t="shared" si="327"/>
        <v>64.060644510598152</v>
      </c>
      <c r="R966" s="181"/>
      <c r="AC966" s="189" t="s">
        <v>672</v>
      </c>
      <c r="AD966" s="180">
        <f t="shared" si="315"/>
        <v>0</v>
      </c>
      <c r="AE966" s="180">
        <f t="shared" si="316"/>
        <v>0</v>
      </c>
      <c r="AF966" s="180">
        <f t="shared" si="317"/>
        <v>0</v>
      </c>
      <c r="AG966" s="180">
        <f t="shared" si="318"/>
        <v>0</v>
      </c>
      <c r="AH966" s="180">
        <f t="shared" si="319"/>
        <v>0</v>
      </c>
      <c r="AI966" s="180"/>
      <c r="AJ966" s="180">
        <f t="shared" si="320"/>
        <v>0</v>
      </c>
      <c r="AK966" s="180"/>
      <c r="AL966" s="180"/>
      <c r="AM966" s="180"/>
      <c r="AN966" s="182" t="s">
        <v>672</v>
      </c>
      <c r="AO966" s="180">
        <f t="shared" si="321"/>
        <v>149295</v>
      </c>
      <c r="AP966" s="180">
        <f t="shared" si="322"/>
        <v>18988</v>
      </c>
      <c r="AQ966" s="180">
        <f t="shared" si="323"/>
        <v>19877</v>
      </c>
      <c r="AR966" s="180">
        <f t="shared" si="324"/>
        <v>32819</v>
      </c>
      <c r="AS966" s="180">
        <f t="shared" si="326"/>
        <v>0</v>
      </c>
      <c r="AT966" s="180">
        <f t="shared" si="325"/>
        <v>220979</v>
      </c>
      <c r="AU966" s="133"/>
      <c r="AW966" s="180">
        <f t="shared" si="314"/>
        <v>14610</v>
      </c>
      <c r="AX966" s="203">
        <v>2.4700000000000002</v>
      </c>
    </row>
    <row r="967" spans="1:50" ht="15.75" customHeight="1" x14ac:dyDescent="0.3">
      <c r="A967" s="192" t="s">
        <v>9</v>
      </c>
      <c r="B967" s="180">
        <f t="shared" ref="B967:Q967" si="328">(B938/$C$10/1.983)</f>
        <v>1351.3833098579303</v>
      </c>
      <c r="C967" s="180">
        <f t="shared" si="328"/>
        <v>1348.8097101222461</v>
      </c>
      <c r="D967" s="180">
        <f t="shared" si="328"/>
        <v>1346.2882779487716</v>
      </c>
      <c r="E967" s="180">
        <f t="shared" si="328"/>
        <v>1324.3779018206478</v>
      </c>
      <c r="F967" s="180">
        <f t="shared" si="328"/>
        <v>0</v>
      </c>
      <c r="G967" s="180">
        <f t="shared" si="328"/>
        <v>0</v>
      </c>
      <c r="H967" s="180">
        <f t="shared" si="328"/>
        <v>913.47140348131529</v>
      </c>
      <c r="I967" s="180">
        <f t="shared" si="328"/>
        <v>407.51560679569445</v>
      </c>
      <c r="J967" s="180">
        <f t="shared" si="328"/>
        <v>403.53348288034499</v>
      </c>
      <c r="K967" s="180">
        <f t="shared" si="328"/>
        <v>392.7869650651225</v>
      </c>
      <c r="L967" s="180">
        <f t="shared" si="328"/>
        <v>318.11779435546975</v>
      </c>
      <c r="M967" s="180">
        <f t="shared" si="328"/>
        <v>317.73523223259775</v>
      </c>
      <c r="N967" s="180">
        <f t="shared" si="328"/>
        <v>306.2409793590345</v>
      </c>
      <c r="O967" s="180">
        <f t="shared" si="328"/>
        <v>63.001025962056787</v>
      </c>
      <c r="P967" s="180">
        <f t="shared" si="328"/>
        <v>66.165858069452412</v>
      </c>
      <c r="Q967" s="180">
        <f t="shared" si="328"/>
        <v>62.948858399846976</v>
      </c>
      <c r="R967" s="181"/>
      <c r="AC967" s="189" t="s">
        <v>673</v>
      </c>
      <c r="AD967" s="180">
        <f t="shared" si="315"/>
        <v>0</v>
      </c>
      <c r="AE967" s="180">
        <f t="shared" si="316"/>
        <v>0</v>
      </c>
      <c r="AF967" s="180">
        <f t="shared" si="317"/>
        <v>0</v>
      </c>
      <c r="AG967" s="180">
        <f t="shared" si="318"/>
        <v>0</v>
      </c>
      <c r="AH967" s="180">
        <f t="shared" si="319"/>
        <v>0</v>
      </c>
      <c r="AI967" s="180"/>
      <c r="AJ967" s="180">
        <f t="shared" si="320"/>
        <v>0</v>
      </c>
      <c r="AK967" s="180"/>
      <c r="AL967" s="180"/>
      <c r="AM967" s="180"/>
      <c r="AN967" s="182" t="s">
        <v>673</v>
      </c>
      <c r="AO967" s="180">
        <f t="shared" si="321"/>
        <v>154396</v>
      </c>
      <c r="AP967" s="180">
        <f t="shared" si="322"/>
        <v>19631</v>
      </c>
      <c r="AQ967" s="180">
        <f t="shared" si="323"/>
        <v>20545</v>
      </c>
      <c r="AR967" s="180">
        <f t="shared" si="324"/>
        <v>33654</v>
      </c>
      <c r="AS967" s="180">
        <f t="shared" si="326"/>
        <v>0</v>
      </c>
      <c r="AT967" s="180">
        <f t="shared" si="325"/>
        <v>228226</v>
      </c>
      <c r="AU967" s="133"/>
      <c r="AW967" s="180">
        <f t="shared" si="314"/>
        <v>9654</v>
      </c>
      <c r="AX967" s="203">
        <v>2.4700000000000002</v>
      </c>
    </row>
    <row r="968" spans="1:50" ht="15.75" customHeight="1" x14ac:dyDescent="0.3">
      <c r="A968" s="192" t="s">
        <v>10</v>
      </c>
      <c r="B968" s="180">
        <f t="shared" ref="B968:Q968" si="329">(B939/$D$10/1.983)</f>
        <v>2651.5706082345091</v>
      </c>
      <c r="C968" s="180">
        <f t="shared" si="329"/>
        <v>2647.1133668439802</v>
      </c>
      <c r="D968" s="180">
        <f t="shared" si="329"/>
        <v>2642.8676004099361</v>
      </c>
      <c r="E968" s="180">
        <f t="shared" si="329"/>
        <v>2579.8968652904528</v>
      </c>
      <c r="F968" s="180">
        <f t="shared" si="329"/>
        <v>732.02869552486447</v>
      </c>
      <c r="G968" s="180">
        <f t="shared" si="329"/>
        <v>0</v>
      </c>
      <c r="H968" s="180">
        <f t="shared" si="329"/>
        <v>1341.5320547232118</v>
      </c>
      <c r="I968" s="180">
        <f t="shared" si="329"/>
        <v>557.83840059863678</v>
      </c>
      <c r="J968" s="180">
        <f t="shared" si="329"/>
        <v>469.29546304881814</v>
      </c>
      <c r="K968" s="180">
        <f t="shared" si="329"/>
        <v>426.74019488230607</v>
      </c>
      <c r="L968" s="180">
        <f t="shared" si="329"/>
        <v>325.65516568249473</v>
      </c>
      <c r="M968" s="180">
        <f t="shared" si="329"/>
        <v>325.19968116083481</v>
      </c>
      <c r="N968" s="180">
        <f t="shared" si="329"/>
        <v>309.19265368535775</v>
      </c>
      <c r="O968" s="180">
        <f t="shared" si="329"/>
        <v>57.618791989979343</v>
      </c>
      <c r="P968" s="180">
        <f t="shared" si="329"/>
        <v>77.383566769150676</v>
      </c>
      <c r="Q968" s="180">
        <f t="shared" si="329"/>
        <v>57.53745546825435</v>
      </c>
      <c r="R968" s="181"/>
      <c r="AC968" s="189" t="s">
        <v>675</v>
      </c>
      <c r="AD968" s="180">
        <f t="shared" si="315"/>
        <v>0</v>
      </c>
      <c r="AE968" s="180">
        <f t="shared" si="316"/>
        <v>0</v>
      </c>
      <c r="AF968" s="180">
        <f t="shared" si="317"/>
        <v>0</v>
      </c>
      <c r="AG968" s="180">
        <f t="shared" si="318"/>
        <v>0</v>
      </c>
      <c r="AH968" s="180">
        <f t="shared" si="319"/>
        <v>0</v>
      </c>
      <c r="AI968" s="180"/>
      <c r="AJ968" s="180">
        <f t="shared" si="320"/>
        <v>0</v>
      </c>
      <c r="AK968" s="180"/>
      <c r="AL968" s="180"/>
      <c r="AM968" s="180"/>
      <c r="AN968" s="182" t="s">
        <v>675</v>
      </c>
      <c r="AO968" s="180">
        <f t="shared" si="321"/>
        <v>92887</v>
      </c>
      <c r="AP968" s="180">
        <f t="shared" si="322"/>
        <v>11791</v>
      </c>
      <c r="AQ968" s="180">
        <f t="shared" si="323"/>
        <v>12320</v>
      </c>
      <c r="AR968" s="180">
        <f t="shared" si="324"/>
        <v>19529</v>
      </c>
      <c r="AS968" s="180">
        <f t="shared" si="326"/>
        <v>0</v>
      </c>
      <c r="AT968" s="180">
        <f t="shared" si="325"/>
        <v>136527</v>
      </c>
      <c r="AU968" s="133"/>
      <c r="AW968" s="180">
        <f t="shared" si="314"/>
        <v>4596</v>
      </c>
      <c r="AX968" s="203">
        <v>2.4700000000000002</v>
      </c>
    </row>
    <row r="969" spans="1:50" ht="15.75" customHeight="1" x14ac:dyDescent="0.3">
      <c r="A969" s="192" t="s">
        <v>12</v>
      </c>
      <c r="B969" s="180">
        <f t="shared" ref="B969:Q969" si="330">(B940/$F$10/1.983)</f>
        <v>2622.3398890569842</v>
      </c>
      <c r="C969" s="180">
        <f t="shared" si="330"/>
        <v>2616.1707850058833</v>
      </c>
      <c r="D969" s="180">
        <f t="shared" si="330"/>
        <v>2610.2874432677759</v>
      </c>
      <c r="E969" s="180">
        <f t="shared" si="330"/>
        <v>2519.0284081358213</v>
      </c>
      <c r="F969" s="180">
        <f t="shared" si="330"/>
        <v>0</v>
      </c>
      <c r="G969" s="180">
        <f t="shared" si="330"/>
        <v>0</v>
      </c>
      <c r="H969" s="180">
        <f t="shared" si="330"/>
        <v>1806.8414859640275</v>
      </c>
      <c r="I969" s="180">
        <f t="shared" si="330"/>
        <v>704.65624474701622</v>
      </c>
      <c r="J969" s="180">
        <f t="shared" si="330"/>
        <v>509.58144225920319</v>
      </c>
      <c r="K969" s="180">
        <f t="shared" si="330"/>
        <v>439.87224743654394</v>
      </c>
      <c r="L969" s="180">
        <f t="shared" si="330"/>
        <v>347.4533535047907</v>
      </c>
      <c r="M969" s="180">
        <f t="shared" si="330"/>
        <v>346.83140023533366</v>
      </c>
      <c r="N969" s="180">
        <f t="shared" si="330"/>
        <v>326.86165742141532</v>
      </c>
      <c r="O969" s="180">
        <f t="shared" si="330"/>
        <v>64.296520423600597</v>
      </c>
      <c r="P969" s="180">
        <f t="shared" si="330"/>
        <v>95.948898974617592</v>
      </c>
      <c r="Q969" s="180">
        <f t="shared" si="330"/>
        <v>64.17885358883845</v>
      </c>
      <c r="R969" s="181"/>
      <c r="AC969" s="189" t="s">
        <v>676</v>
      </c>
      <c r="AD969" s="180">
        <f t="shared" si="315"/>
        <v>0</v>
      </c>
      <c r="AE969" s="180">
        <f t="shared" si="316"/>
        <v>0</v>
      </c>
      <c r="AF969" s="180">
        <f t="shared" si="317"/>
        <v>0</v>
      </c>
      <c r="AG969" s="180">
        <f t="shared" si="318"/>
        <v>0</v>
      </c>
      <c r="AH969" s="180">
        <f t="shared" si="319"/>
        <v>0</v>
      </c>
      <c r="AI969" s="180"/>
      <c r="AJ969" s="180">
        <f t="shared" si="320"/>
        <v>0</v>
      </c>
      <c r="AK969" s="180"/>
      <c r="AL969" s="180"/>
      <c r="AM969" s="180"/>
      <c r="AN969" s="182" t="s">
        <v>676</v>
      </c>
      <c r="AO969" s="180">
        <f t="shared" si="321"/>
        <v>49815</v>
      </c>
      <c r="AP969" s="180">
        <f t="shared" si="322"/>
        <v>6300</v>
      </c>
      <c r="AQ969" s="180">
        <f t="shared" si="323"/>
        <v>6559</v>
      </c>
      <c r="AR969" s="180">
        <f t="shared" si="324"/>
        <v>9698</v>
      </c>
      <c r="AS969" s="180">
        <f t="shared" si="326"/>
        <v>0</v>
      </c>
      <c r="AT969" s="180">
        <f t="shared" si="325"/>
        <v>72372</v>
      </c>
      <c r="AU969" s="133"/>
      <c r="AW969" s="180">
        <f t="shared" si="314"/>
        <v>3400</v>
      </c>
      <c r="AX969" s="203">
        <v>2.4700000000000002</v>
      </c>
    </row>
    <row r="970" spans="1:50" ht="15.75" customHeight="1" x14ac:dyDescent="0.3">
      <c r="A970" s="192" t="s">
        <v>13</v>
      </c>
      <c r="B970" s="180">
        <f t="shared" ref="B970:Q970" si="331">(B941/$G$10/1.983)</f>
        <v>2624.453011891399</v>
      </c>
      <c r="C970" s="180">
        <f t="shared" si="331"/>
        <v>2617.5394075447757</v>
      </c>
      <c r="D970" s="180">
        <f t="shared" si="331"/>
        <v>2610.9999511980868</v>
      </c>
      <c r="E970" s="180">
        <f t="shared" si="331"/>
        <v>2499.7803913913422</v>
      </c>
      <c r="F970" s="180">
        <f t="shared" si="331"/>
        <v>0</v>
      </c>
      <c r="G970" s="180">
        <f>(G941/$G$10/1.983)</f>
        <v>-162.6730434499699</v>
      </c>
      <c r="H970" s="180">
        <f t="shared" si="331"/>
        <v>1699.0874042262458</v>
      </c>
      <c r="I970" s="180">
        <f t="shared" si="331"/>
        <v>581.10064581198242</v>
      </c>
      <c r="J970" s="180">
        <f t="shared" si="331"/>
        <v>487.71005156735475</v>
      </c>
      <c r="K970" s="180">
        <f t="shared" si="331"/>
        <v>451.62917053015144</v>
      </c>
      <c r="L970" s="180">
        <f t="shared" si="331"/>
        <v>356.85585541619895</v>
      </c>
      <c r="M970" s="180">
        <f t="shared" si="331"/>
        <v>356.17262863370905</v>
      </c>
      <c r="N970" s="180">
        <f t="shared" si="331"/>
        <v>333.87015437671823</v>
      </c>
      <c r="O970" s="180">
        <f t="shared" si="331"/>
        <v>71.218258422396815</v>
      </c>
      <c r="P970" s="180">
        <f t="shared" si="331"/>
        <v>108.32397963333496</v>
      </c>
      <c r="Q970" s="180">
        <f t="shared" si="331"/>
        <v>71.088119987636844</v>
      </c>
      <c r="R970" s="181"/>
      <c r="AC970" s="189" t="s">
        <v>691</v>
      </c>
      <c r="AD970" s="180">
        <f t="shared" si="315"/>
        <v>0</v>
      </c>
      <c r="AE970" s="180">
        <f t="shared" si="316"/>
        <v>0</v>
      </c>
      <c r="AF970" s="180">
        <f t="shared" si="317"/>
        <v>0</v>
      </c>
      <c r="AG970" s="180">
        <f t="shared" si="318"/>
        <v>0</v>
      </c>
      <c r="AH970" s="180">
        <f t="shared" si="319"/>
        <v>0</v>
      </c>
      <c r="AI970" s="180"/>
      <c r="AJ970" s="180">
        <f t="shared" si="320"/>
        <v>0</v>
      </c>
      <c r="AK970" s="180"/>
      <c r="AL970" s="180"/>
      <c r="AM970" s="180"/>
      <c r="AN970" s="182" t="s">
        <v>691</v>
      </c>
      <c r="AO970" s="180">
        <f t="shared" si="321"/>
        <v>49486</v>
      </c>
      <c r="AP970" s="180">
        <f t="shared" si="322"/>
        <v>6268</v>
      </c>
      <c r="AQ970" s="180">
        <f t="shared" si="323"/>
        <v>6535</v>
      </c>
      <c r="AR970" s="180">
        <f t="shared" si="324"/>
        <v>9929</v>
      </c>
      <c r="AS970" s="180">
        <f t="shared" si="326"/>
        <v>0</v>
      </c>
      <c r="AT970" s="180">
        <f t="shared" si="325"/>
        <v>72218</v>
      </c>
      <c r="AU970" s="133"/>
      <c r="AW970" s="180"/>
      <c r="AX970" s="203"/>
    </row>
    <row r="971" spans="1:50" ht="15.75" customHeight="1" x14ac:dyDescent="0.3">
      <c r="A971" s="192" t="s">
        <v>14</v>
      </c>
      <c r="B971" s="180">
        <f t="shared" ref="B971:Q971" si="332">(B942/$H$10/1.983)</f>
        <v>1631.551521264078</v>
      </c>
      <c r="C971" s="180">
        <f t="shared" si="332"/>
        <v>1624.5419398218187</v>
      </c>
      <c r="D971" s="180">
        <f t="shared" si="332"/>
        <v>1617.885358883846</v>
      </c>
      <c r="E971" s="180">
        <f t="shared" si="332"/>
        <v>1498.974617582787</v>
      </c>
      <c r="F971" s="180">
        <f t="shared" si="332"/>
        <v>0</v>
      </c>
      <c r="G971" s="180">
        <f t="shared" si="332"/>
        <v>-1613.7165910237013</v>
      </c>
      <c r="H971" s="180">
        <f t="shared" si="332"/>
        <v>2358.6485123550174</v>
      </c>
      <c r="I971" s="180">
        <f t="shared" si="332"/>
        <v>752.37855101697767</v>
      </c>
      <c r="J971" s="180">
        <f t="shared" si="332"/>
        <v>549.77307110438733</v>
      </c>
      <c r="K971" s="180">
        <f t="shared" si="332"/>
        <v>442.88115649689024</v>
      </c>
      <c r="L971" s="180">
        <f t="shared" si="332"/>
        <v>347.01630526138842</v>
      </c>
      <c r="M971" s="180">
        <f t="shared" si="332"/>
        <v>346.27668515716925</v>
      </c>
      <c r="N971" s="180">
        <f t="shared" si="332"/>
        <v>317.33064380568163</v>
      </c>
      <c r="O971" s="180">
        <f t="shared" si="332"/>
        <v>70.179862161707845</v>
      </c>
      <c r="P971" s="180">
        <f t="shared" si="332"/>
        <v>115.14540258867036</v>
      </c>
      <c r="Q971" s="180">
        <f t="shared" si="332"/>
        <v>70.028576231299382</v>
      </c>
      <c r="R971" s="181"/>
      <c r="AC971" s="189" t="s">
        <v>692</v>
      </c>
      <c r="AD971" s="180">
        <f t="shared" si="315"/>
        <v>17226</v>
      </c>
      <c r="AE971" s="180">
        <f t="shared" si="316"/>
        <v>2196</v>
      </c>
      <c r="AF971" s="180">
        <f t="shared" si="317"/>
        <v>2304</v>
      </c>
      <c r="AG971" s="180">
        <f t="shared" si="318"/>
        <v>3942</v>
      </c>
      <c r="AH971" s="180">
        <f t="shared" si="319"/>
        <v>3054.5446587493147</v>
      </c>
      <c r="AI971" s="180"/>
      <c r="AJ971" s="180">
        <f t="shared" si="320"/>
        <v>28722.544658749313</v>
      </c>
      <c r="AK971" s="180"/>
      <c r="AL971" s="180"/>
      <c r="AM971" s="180"/>
      <c r="AN971" s="182" t="s">
        <v>692</v>
      </c>
      <c r="AO971" s="180">
        <f t="shared" si="321"/>
        <v>108372</v>
      </c>
      <c r="AP971" s="180">
        <f t="shared" si="322"/>
        <v>13777</v>
      </c>
      <c r="AQ971" s="180">
        <f t="shared" si="323"/>
        <v>14416</v>
      </c>
      <c r="AR971" s="180">
        <f t="shared" si="324"/>
        <v>23743</v>
      </c>
      <c r="AS971" s="180">
        <f t="shared" si="326"/>
        <v>0</v>
      </c>
      <c r="AT971" s="180">
        <f t="shared" si="325"/>
        <v>160308</v>
      </c>
      <c r="AU971" s="133"/>
      <c r="AW971" s="180">
        <f>(SUM(AW958:AW969))</f>
        <v>139499</v>
      </c>
      <c r="AX971" s="203"/>
    </row>
    <row r="972" spans="1:50" ht="15.75" customHeight="1" x14ac:dyDescent="0.3">
      <c r="A972" s="192" t="s">
        <v>16</v>
      </c>
      <c r="B972" s="180">
        <f t="shared" ref="B972:Q972" si="333">(B943/$J$10/1.983)</f>
        <v>846.76199307012837</v>
      </c>
      <c r="C972" s="180">
        <f t="shared" si="333"/>
        <v>839.99479446260955</v>
      </c>
      <c r="D972" s="180">
        <f t="shared" si="333"/>
        <v>833.58547655068071</v>
      </c>
      <c r="E972" s="180">
        <f t="shared" si="333"/>
        <v>720.39757291819171</v>
      </c>
      <c r="F972" s="180">
        <f t="shared" si="333"/>
        <v>0</v>
      </c>
      <c r="G972" s="180">
        <f t="shared" si="333"/>
        <v>-1903.2746083646477</v>
      </c>
      <c r="H972" s="180">
        <f t="shared" si="333"/>
        <v>1783.2869715159502</v>
      </c>
      <c r="I972" s="180">
        <f t="shared" si="333"/>
        <v>727.62025604737028</v>
      </c>
      <c r="J972" s="180">
        <f t="shared" si="333"/>
        <v>502.28555626047205</v>
      </c>
      <c r="K972" s="180">
        <f t="shared" si="333"/>
        <v>421.90880549184192</v>
      </c>
      <c r="L972" s="180">
        <f t="shared" si="333"/>
        <v>337.22121907178763</v>
      </c>
      <c r="M972" s="180">
        <f t="shared" si="333"/>
        <v>336.58679420233273</v>
      </c>
      <c r="N972" s="180">
        <f t="shared" si="333"/>
        <v>298.8629154262847</v>
      </c>
      <c r="O972" s="180">
        <f t="shared" si="333"/>
        <v>51.648691295365445</v>
      </c>
      <c r="P972" s="180">
        <f t="shared" si="333"/>
        <v>100.59701006946138</v>
      </c>
      <c r="Q972" s="180">
        <f t="shared" si="333"/>
        <v>51.53482016495046</v>
      </c>
      <c r="R972" s="181"/>
      <c r="AC972" s="189" t="s">
        <v>693</v>
      </c>
      <c r="AD972" s="180">
        <f t="shared" si="315"/>
        <v>68904</v>
      </c>
      <c r="AE972" s="180">
        <f t="shared" si="316"/>
        <v>8784</v>
      </c>
      <c r="AF972" s="180">
        <f t="shared" si="317"/>
        <v>9216</v>
      </c>
      <c r="AG972" s="180">
        <f t="shared" si="318"/>
        <v>15768</v>
      </c>
      <c r="AH972" s="180">
        <f t="shared" si="319"/>
        <v>13143.645700444507</v>
      </c>
      <c r="AI972" s="180"/>
      <c r="AJ972" s="180">
        <f t="shared" si="320"/>
        <v>115815.64570044451</v>
      </c>
      <c r="AK972" s="180"/>
      <c r="AL972" s="180"/>
      <c r="AM972" s="180"/>
      <c r="AN972" s="182" t="s">
        <v>693</v>
      </c>
      <c r="AO972" s="180">
        <f t="shared" si="321"/>
        <v>88063</v>
      </c>
      <c r="AP972" s="180">
        <f t="shared" si="322"/>
        <v>11192</v>
      </c>
      <c r="AQ972" s="180">
        <f t="shared" si="323"/>
        <v>11707</v>
      </c>
      <c r="AR972" s="180">
        <f t="shared" si="324"/>
        <v>19427</v>
      </c>
      <c r="AS972" s="180">
        <f t="shared" si="326"/>
        <v>0</v>
      </c>
      <c r="AT972" s="180">
        <f t="shared" si="325"/>
        <v>130389</v>
      </c>
      <c r="AU972" s="133"/>
    </row>
    <row r="973" spans="1:50" ht="15.75" customHeight="1" x14ac:dyDescent="0.3">
      <c r="A973" s="192" t="s">
        <v>17</v>
      </c>
      <c r="B973" s="180">
        <f t="shared" ref="B973:Q973" si="334">(B944/$K$10/1.983)</f>
        <v>841.16604037544937</v>
      </c>
      <c r="C973" s="180">
        <f t="shared" si="334"/>
        <v>835.73276072422038</v>
      </c>
      <c r="D973" s="180">
        <f t="shared" si="334"/>
        <v>830.55975794251128</v>
      </c>
      <c r="E973" s="180">
        <f t="shared" si="334"/>
        <v>737.51077708912851</v>
      </c>
      <c r="F973" s="180">
        <f t="shared" si="334"/>
        <v>0</v>
      </c>
      <c r="G973" s="180">
        <f t="shared" si="334"/>
        <v>-1626.730434499699</v>
      </c>
      <c r="H973" s="180">
        <f t="shared" si="334"/>
        <v>1576.2529891171732</v>
      </c>
      <c r="I973" s="180">
        <f t="shared" si="334"/>
        <v>714.29733378881781</v>
      </c>
      <c r="J973" s="180">
        <f t="shared" si="334"/>
        <v>522.44074634392337</v>
      </c>
      <c r="K973" s="180">
        <f t="shared" si="334"/>
        <v>448.63598653067197</v>
      </c>
      <c r="L973" s="180">
        <f t="shared" si="334"/>
        <v>376.60436289102529</v>
      </c>
      <c r="M973" s="180">
        <f t="shared" si="334"/>
        <v>376.01873993460543</v>
      </c>
      <c r="N973" s="180">
        <f t="shared" si="334"/>
        <v>346.46104793974587</v>
      </c>
      <c r="O973" s="180">
        <f t="shared" si="334"/>
        <v>106.61591267711026</v>
      </c>
      <c r="P973" s="180">
        <f t="shared" si="334"/>
        <v>92.853773201242817</v>
      </c>
      <c r="Q973" s="180">
        <f t="shared" si="334"/>
        <v>106.51830885104029</v>
      </c>
      <c r="R973" s="181"/>
      <c r="AC973" s="189" t="s">
        <v>694</v>
      </c>
      <c r="AD973" s="180">
        <f t="shared" si="315"/>
        <v>89958</v>
      </c>
      <c r="AE973" s="180">
        <f t="shared" si="316"/>
        <v>11468</v>
      </c>
      <c r="AF973" s="180">
        <f t="shared" si="317"/>
        <v>12032</v>
      </c>
      <c r="AG973" s="180">
        <f t="shared" si="318"/>
        <v>20586</v>
      </c>
      <c r="AH973" s="180">
        <f t="shared" si="319"/>
        <v>18608.508852215044</v>
      </c>
      <c r="AI973" s="180"/>
      <c r="AJ973" s="180">
        <f t="shared" si="320"/>
        <v>152652.50885221505</v>
      </c>
      <c r="AK973" s="180"/>
      <c r="AL973" s="180"/>
      <c r="AM973" s="180"/>
      <c r="AN973" s="182" t="s">
        <v>694</v>
      </c>
      <c r="AO973" s="180">
        <f t="shared" si="321"/>
        <v>61806</v>
      </c>
      <c r="AP973" s="180">
        <f t="shared" si="322"/>
        <v>7850</v>
      </c>
      <c r="AQ973" s="180">
        <f t="shared" si="323"/>
        <v>8208</v>
      </c>
      <c r="AR973" s="180">
        <f t="shared" si="324"/>
        <v>13757</v>
      </c>
      <c r="AS973" s="180">
        <f t="shared" si="326"/>
        <v>0</v>
      </c>
      <c r="AT973" s="180">
        <f t="shared" si="325"/>
        <v>91621</v>
      </c>
      <c r="AU973" s="133"/>
    </row>
    <row r="974" spans="1:50" ht="15.75" customHeight="1" x14ac:dyDescent="0.3">
      <c r="A974" s="192" t="s">
        <v>18</v>
      </c>
      <c r="B974" s="180">
        <f t="shared" ref="B974:Q974" si="335">(B945/$L$10/1.983)</f>
        <v>2206.1018658598082</v>
      </c>
      <c r="C974" s="180">
        <f t="shared" si="335"/>
        <v>2200.7900487476886</v>
      </c>
      <c r="D974" s="180">
        <f t="shared" si="335"/>
        <v>2195.7303748529162</v>
      </c>
      <c r="E974" s="180">
        <f t="shared" si="335"/>
        <v>2125.012607160867</v>
      </c>
      <c r="F974" s="180">
        <f t="shared" si="335"/>
        <v>302.57186081694402</v>
      </c>
      <c r="G974" s="180">
        <f t="shared" si="335"/>
        <v>0</v>
      </c>
      <c r="H974" s="180">
        <f t="shared" si="335"/>
        <v>1134.2074298201378</v>
      </c>
      <c r="I974" s="180">
        <f t="shared" si="335"/>
        <v>442.0070600100857</v>
      </c>
      <c r="J974" s="180">
        <f t="shared" si="335"/>
        <v>419.98655236174147</v>
      </c>
      <c r="K974" s="180">
        <f t="shared" si="335"/>
        <v>386.7036476718776</v>
      </c>
      <c r="L974" s="180">
        <f t="shared" si="335"/>
        <v>354.78231635569</v>
      </c>
      <c r="M974" s="180">
        <f t="shared" si="335"/>
        <v>354.21079172970246</v>
      </c>
      <c r="N974" s="180">
        <f t="shared" si="335"/>
        <v>330.39166246427965</v>
      </c>
      <c r="O974" s="180">
        <f t="shared" si="335"/>
        <v>87.275172297865183</v>
      </c>
      <c r="P974" s="180">
        <f t="shared" si="335"/>
        <v>87.947554210791722</v>
      </c>
      <c r="Q974" s="180">
        <f t="shared" si="335"/>
        <v>87.174315010926207</v>
      </c>
      <c r="R974" s="181"/>
      <c r="AC974" s="189" t="s">
        <v>695</v>
      </c>
      <c r="AD974" s="180">
        <f t="shared" si="315"/>
        <v>51678</v>
      </c>
      <c r="AE974" s="180">
        <f t="shared" si="316"/>
        <v>6588</v>
      </c>
      <c r="AF974" s="180">
        <f t="shared" si="317"/>
        <v>6912</v>
      </c>
      <c r="AG974" s="180">
        <f t="shared" si="318"/>
        <v>11826</v>
      </c>
      <c r="AH974" s="180">
        <f t="shared" si="319"/>
        <v>11144.318056894796</v>
      </c>
      <c r="AI974" s="180"/>
      <c r="AJ974" s="180">
        <f t="shared" si="320"/>
        <v>88148.318056894801</v>
      </c>
      <c r="AK974" s="180"/>
      <c r="AL974" s="180"/>
      <c r="AM974" s="180"/>
      <c r="AN974" s="182" t="s">
        <v>695</v>
      </c>
      <c r="AO974" s="180">
        <f t="shared" si="321"/>
        <v>42389</v>
      </c>
      <c r="AP974" s="180">
        <f t="shared" si="322"/>
        <v>5381</v>
      </c>
      <c r="AQ974" s="180">
        <f t="shared" si="323"/>
        <v>5623</v>
      </c>
      <c r="AR974" s="180">
        <f t="shared" si="324"/>
        <v>9375</v>
      </c>
      <c r="AS974" s="180">
        <f t="shared" si="326"/>
        <v>0</v>
      </c>
      <c r="AT974" s="180">
        <f t="shared" si="325"/>
        <v>62768</v>
      </c>
      <c r="AU974" s="133"/>
    </row>
    <row r="975" spans="1:50" ht="15.75" customHeight="1" x14ac:dyDescent="0.3">
      <c r="A975" s="192" t="s">
        <v>20</v>
      </c>
      <c r="B975" s="180">
        <f t="shared" ref="B975:Q975" si="336">(B946/$N$10/1.983)</f>
        <v>2668.1632586664064</v>
      </c>
      <c r="C975" s="180">
        <f t="shared" si="336"/>
        <v>2663.5270769280824</v>
      </c>
      <c r="D975" s="180">
        <f t="shared" si="336"/>
        <v>2659.1023701462427</v>
      </c>
      <c r="E975" s="180">
        <f t="shared" si="336"/>
        <v>2614.2859466757764</v>
      </c>
      <c r="F975" s="180">
        <f t="shared" si="336"/>
        <v>1171.2459128397832</v>
      </c>
      <c r="G975" s="180">
        <f t="shared" si="336"/>
        <v>0</v>
      </c>
      <c r="H975" s="180">
        <f t="shared" si="336"/>
        <v>810.32323133733496</v>
      </c>
      <c r="I975" s="180">
        <f t="shared" si="336"/>
        <v>265.97042604070077</v>
      </c>
      <c r="J975" s="180">
        <f t="shared" si="336"/>
        <v>245.34348413124459</v>
      </c>
      <c r="K975" s="180">
        <f t="shared" si="336"/>
        <v>224.61893839571843</v>
      </c>
      <c r="L975" s="180">
        <f t="shared" si="336"/>
        <v>201.99111805182764</v>
      </c>
      <c r="M975" s="180">
        <f t="shared" si="336"/>
        <v>201.51936622582272</v>
      </c>
      <c r="N975" s="180">
        <f t="shared" si="336"/>
        <v>191.53124135799456</v>
      </c>
      <c r="O975" s="180">
        <f t="shared" si="336"/>
        <v>60.790916337253748</v>
      </c>
      <c r="P975" s="180">
        <f t="shared" si="336"/>
        <v>77.383566769150676</v>
      </c>
      <c r="Q975" s="180">
        <f t="shared" si="336"/>
        <v>60.70957981552877</v>
      </c>
      <c r="R975" s="181"/>
      <c r="AC975" s="179"/>
      <c r="AD975" s="180"/>
      <c r="AE975" s="180"/>
      <c r="AF975" s="180"/>
      <c r="AG975" s="180"/>
      <c r="AH975" s="180"/>
      <c r="AI975" s="180"/>
      <c r="AJ975" s="180"/>
      <c r="AK975" s="180"/>
      <c r="AL975" s="180"/>
      <c r="AM975" s="180"/>
      <c r="AN975" s="180"/>
      <c r="AO975" s="180"/>
      <c r="AP975" s="180"/>
      <c r="AQ975" s="180"/>
      <c r="AR975" s="180"/>
      <c r="AS975" s="180"/>
      <c r="AT975" s="180"/>
      <c r="AU975" s="133"/>
    </row>
    <row r="976" spans="1:50" ht="15.75" customHeight="1" thickBot="1" x14ac:dyDescent="0.35">
      <c r="A976" s="192" t="s">
        <v>21</v>
      </c>
      <c r="B976" s="180">
        <f t="shared" ref="B976:Q976" si="337">(B947/$O$10/1.983)</f>
        <v>2665.7085224407465</v>
      </c>
      <c r="C976" s="180">
        <f t="shared" si="337"/>
        <v>2661.7582787023025</v>
      </c>
      <c r="D976" s="180">
        <f t="shared" si="337"/>
        <v>2657.9593208942679</v>
      </c>
      <c r="E976" s="180">
        <f t="shared" si="337"/>
        <v>2636.0228609850396</v>
      </c>
      <c r="F976" s="180">
        <f t="shared" si="337"/>
        <v>1580.0974953773743</v>
      </c>
      <c r="G976" s="180">
        <f t="shared" si="337"/>
        <v>0</v>
      </c>
      <c r="H976" s="180">
        <f t="shared" si="337"/>
        <v>540.64548663640937</v>
      </c>
      <c r="I976" s="180">
        <f t="shared" si="337"/>
        <v>95.83123213985543</v>
      </c>
      <c r="J976" s="180">
        <f t="shared" si="337"/>
        <v>81.173306438056812</v>
      </c>
      <c r="K976" s="180">
        <f t="shared" si="337"/>
        <v>78.85358883846024</v>
      </c>
      <c r="L976" s="180">
        <f t="shared" si="337"/>
        <v>52.428979660447133</v>
      </c>
      <c r="M976" s="180">
        <f t="shared" si="337"/>
        <v>52.042360060514369</v>
      </c>
      <c r="N976" s="180">
        <f t="shared" si="337"/>
        <v>50.176500252143214</v>
      </c>
      <c r="O976" s="180">
        <f t="shared" si="337"/>
        <v>45.133635905194147</v>
      </c>
      <c r="P976" s="180">
        <f t="shared" si="337"/>
        <v>71.961674230963183</v>
      </c>
      <c r="Q976" s="180">
        <f t="shared" si="337"/>
        <v>45.08320726172466</v>
      </c>
      <c r="R976" s="181"/>
      <c r="AC976" s="204" t="s">
        <v>641</v>
      </c>
      <c r="AD976" s="195">
        <f>SUM(AD963:AD974)</f>
        <v>278487</v>
      </c>
      <c r="AE976" s="195">
        <f>SUM(AE963:AE974)</f>
        <v>35502</v>
      </c>
      <c r="AF976" s="195">
        <f>SUM(AF963:AF974)</f>
        <v>37248</v>
      </c>
      <c r="AG976" s="195">
        <f>SUM(AG963:AG974)</f>
        <v>63729</v>
      </c>
      <c r="AH976" s="195">
        <f>SUM(AH963:AH974)</f>
        <v>57652.764503866616</v>
      </c>
      <c r="AI976" s="195"/>
      <c r="AJ976" s="195">
        <f>SUM(AJ963:AJ974)</f>
        <v>472618.76450386667</v>
      </c>
      <c r="AK976" s="195"/>
      <c r="AL976" s="195"/>
      <c r="AM976" s="195"/>
      <c r="AN976" s="205" t="s">
        <v>641</v>
      </c>
      <c r="AO976" s="195">
        <f t="shared" ref="AO976:AT976" si="338">SUM(AO963:AO974)</f>
        <v>1046696</v>
      </c>
      <c r="AP976" s="195">
        <f t="shared" si="338"/>
        <v>133009</v>
      </c>
      <c r="AQ976" s="195">
        <f t="shared" si="338"/>
        <v>139123</v>
      </c>
      <c r="AR976" s="195">
        <f t="shared" si="338"/>
        <v>227601</v>
      </c>
      <c r="AS976" s="195">
        <f t="shared" si="338"/>
        <v>0</v>
      </c>
      <c r="AT976" s="195">
        <f t="shared" si="338"/>
        <v>1546429</v>
      </c>
      <c r="AU976" s="136"/>
    </row>
    <row r="977" spans="1:48" ht="15.75" customHeight="1" thickBot="1" x14ac:dyDescent="0.35">
      <c r="A977" s="206" t="s">
        <v>22</v>
      </c>
      <c r="B977" s="195">
        <f t="shared" ref="B977:Q977" si="339">(B948/$P$10/1.983)</f>
        <v>1598.9784132871341</v>
      </c>
      <c r="C977" s="195">
        <f t="shared" si="339"/>
        <v>1595.9526946789647</v>
      </c>
      <c r="D977" s="195">
        <f t="shared" si="339"/>
        <v>1593.0408472012102</v>
      </c>
      <c r="E977" s="195">
        <f t="shared" si="339"/>
        <v>1574.7726644217787</v>
      </c>
      <c r="F977" s="195">
        <f t="shared" si="339"/>
        <v>878.43443462983748</v>
      </c>
      <c r="G977" s="195">
        <f t="shared" si="339"/>
        <v>0</v>
      </c>
      <c r="H977" s="195">
        <f t="shared" si="339"/>
        <v>281.03394986416799</v>
      </c>
      <c r="I977" s="195">
        <f t="shared" si="339"/>
        <v>59.066582076684071</v>
      </c>
      <c r="J977" s="195">
        <f t="shared" si="339"/>
        <v>49.094724513200916</v>
      </c>
      <c r="K977" s="195">
        <f t="shared" si="339"/>
        <v>47.50052868739121</v>
      </c>
      <c r="L977" s="195">
        <f t="shared" si="339"/>
        <v>46.882371122281327</v>
      </c>
      <c r="M977" s="195">
        <f t="shared" si="339"/>
        <v>46.573292339726386</v>
      </c>
      <c r="N977" s="195">
        <f t="shared" si="339"/>
        <v>38.293234428122915</v>
      </c>
      <c r="O977" s="195">
        <f t="shared" si="339"/>
        <v>22.660354952580807</v>
      </c>
      <c r="P977" s="195">
        <f t="shared" si="339"/>
        <v>61.897093032713542</v>
      </c>
      <c r="Q977" s="195">
        <f t="shared" si="339"/>
        <v>22.627820343890811</v>
      </c>
      <c r="R977" s="196"/>
    </row>
    <row r="978" spans="1:48" ht="15.75" customHeight="1" x14ac:dyDescent="0.3">
      <c r="R978" s="174"/>
      <c r="AC978" s="207"/>
      <c r="AD978" s="387" t="s">
        <v>715</v>
      </c>
      <c r="AE978" s="393"/>
      <c r="AF978" s="393"/>
      <c r="AG978" s="393"/>
      <c r="AH978" s="393"/>
      <c r="AI978" s="393"/>
      <c r="AJ978" s="393"/>
      <c r="AK978" s="393"/>
      <c r="AL978" s="393"/>
      <c r="AM978" s="393"/>
      <c r="AN978" s="393"/>
      <c r="AO978" s="393"/>
      <c r="AP978" s="393"/>
      <c r="AQ978" s="393"/>
      <c r="AR978" s="177" t="str">
        <f>$Q$1</f>
        <v xml:space="preserve">PRINTED:  </v>
      </c>
      <c r="AS978" s="208">
        <f ca="1">$R$1</f>
        <v>44894.658168518516</v>
      </c>
    </row>
    <row r="979" spans="1:48" ht="15.75" customHeight="1" x14ac:dyDescent="0.3">
      <c r="R979" s="180"/>
      <c r="AC979" s="95"/>
      <c r="AD979" s="394" t="str">
        <f>+$A$8</f>
        <v>Revised:  10/31/2019</v>
      </c>
      <c r="AE979" s="396"/>
      <c r="AF979" s="396"/>
      <c r="AG979" s="396"/>
      <c r="AH979" s="396"/>
      <c r="AI979" s="396"/>
      <c r="AJ979" s="396"/>
      <c r="AK979" s="396"/>
      <c r="AL979" s="396"/>
      <c r="AM979" s="396"/>
      <c r="AN979" s="396"/>
      <c r="AO979" s="396"/>
      <c r="AP979" s="396"/>
      <c r="AQ979" s="396"/>
      <c r="AR979" s="192"/>
      <c r="AS979" s="133"/>
    </row>
    <row r="980" spans="1:48" ht="15.75" customHeight="1" x14ac:dyDescent="0.3">
      <c r="A980" s="192"/>
      <c r="AC980" s="95"/>
      <c r="AD980" s="394" t="s">
        <v>670</v>
      </c>
      <c r="AE980" s="397"/>
      <c r="AF980" s="397"/>
      <c r="AG980" s="397"/>
      <c r="AH980" s="397"/>
      <c r="AI980" s="397"/>
      <c r="AJ980" s="397"/>
      <c r="AK980" s="397"/>
      <c r="AL980" s="397"/>
      <c r="AM980" s="397"/>
      <c r="AN980" s="397"/>
      <c r="AO980" s="397"/>
      <c r="AP980" s="397"/>
      <c r="AQ980" s="397"/>
      <c r="AS980" s="133"/>
    </row>
    <row r="981" spans="1:48" ht="15.75" customHeight="1" x14ac:dyDescent="0.3">
      <c r="A981" s="192"/>
      <c r="AC981" s="95"/>
      <c r="AS981" s="133"/>
    </row>
    <row r="982" spans="1:48" ht="15.75" customHeight="1" thickBot="1" x14ac:dyDescent="0.35">
      <c r="A982" s="192"/>
      <c r="AC982" s="95"/>
      <c r="AD982" s="395">
        <f>$A$5</f>
        <v>2020</v>
      </c>
      <c r="AE982" s="397"/>
      <c r="AF982" s="397"/>
      <c r="AG982" s="397"/>
      <c r="AH982" s="397"/>
      <c r="AI982" s="397"/>
      <c r="AJ982" s="397"/>
      <c r="AK982" s="397"/>
      <c r="AL982" s="397"/>
      <c r="AM982" s="397"/>
      <c r="AN982" s="397"/>
      <c r="AO982" s="397"/>
      <c r="AP982" s="397"/>
      <c r="AQ982" s="397"/>
      <c r="AS982" s="133"/>
    </row>
    <row r="983" spans="1:48" ht="15.75" customHeight="1" x14ac:dyDescent="0.3">
      <c r="A983" s="188"/>
      <c r="B983" s="387" t="s">
        <v>716</v>
      </c>
      <c r="C983" s="387"/>
      <c r="D983" s="387"/>
      <c r="E983" s="387"/>
      <c r="F983" s="387"/>
      <c r="G983" s="387"/>
      <c r="H983" s="387"/>
      <c r="I983" s="387"/>
      <c r="J983" s="387"/>
      <c r="K983" s="387"/>
      <c r="L983" s="387"/>
      <c r="M983" s="387"/>
      <c r="N983" s="387"/>
      <c r="O983" s="387"/>
      <c r="P983" s="387"/>
      <c r="Q983" s="177" t="str">
        <f>+Q1</f>
        <v xml:space="preserve">PRINTED:  </v>
      </c>
      <c r="R983" s="178">
        <f ca="1">+R1</f>
        <v>44894.658168518516</v>
      </c>
      <c r="AC983" s="95"/>
      <c r="AD983" s="394" t="s">
        <v>717</v>
      </c>
      <c r="AE983" s="396"/>
      <c r="AF983" s="396"/>
      <c r="AG983" s="396"/>
      <c r="AH983" s="396"/>
      <c r="AI983" s="396"/>
      <c r="AJ983" s="396"/>
      <c r="AK983" s="396"/>
      <c r="AL983" s="396"/>
      <c r="AM983" s="396"/>
      <c r="AN983" s="396"/>
      <c r="AO983" s="396"/>
      <c r="AP983" s="396"/>
      <c r="AQ983" s="396"/>
      <c r="AR983" s="182"/>
      <c r="AS983" s="133"/>
    </row>
    <row r="984" spans="1:48" ht="16.5" customHeight="1" x14ac:dyDescent="0.3">
      <c r="A984" s="189"/>
      <c r="B984" s="394" t="str">
        <f>+A8</f>
        <v>Revised:  10/31/2019</v>
      </c>
      <c r="C984" s="394"/>
      <c r="D984" s="394"/>
      <c r="E984" s="394"/>
      <c r="F984" s="394"/>
      <c r="G984" s="394"/>
      <c r="H984" s="394"/>
      <c r="I984" s="394"/>
      <c r="J984" s="394"/>
      <c r="K984" s="394"/>
      <c r="L984" s="394"/>
      <c r="M984" s="394"/>
      <c r="N984" s="394"/>
      <c r="O984" s="394"/>
      <c r="P984" s="394"/>
      <c r="Q984" s="180"/>
      <c r="R984" s="181"/>
      <c r="AC984" s="95"/>
      <c r="AK984" s="190"/>
      <c r="AS984" s="133"/>
    </row>
    <row r="985" spans="1:48" ht="15.75" customHeight="1" thickBot="1" x14ac:dyDescent="0.35">
      <c r="A985" s="189"/>
      <c r="B985" s="394" t="s">
        <v>670</v>
      </c>
      <c r="C985" s="394"/>
      <c r="D985" s="394"/>
      <c r="E985" s="394"/>
      <c r="F985" s="394"/>
      <c r="G985" s="394"/>
      <c r="H985" s="394"/>
      <c r="I985" s="394"/>
      <c r="J985" s="394"/>
      <c r="K985" s="394"/>
      <c r="L985" s="394"/>
      <c r="M985" s="394"/>
      <c r="N985" s="394"/>
      <c r="O985" s="394"/>
      <c r="P985" s="394"/>
      <c r="Q985" s="180"/>
      <c r="R985" s="181"/>
      <c r="AC985" s="95"/>
      <c r="AD985" s="191" t="s">
        <v>677</v>
      </c>
      <c r="AE985" s="191" t="s">
        <v>678</v>
      </c>
      <c r="AF985" s="191" t="s">
        <v>679</v>
      </c>
      <c r="AG985" s="191" t="s">
        <v>680</v>
      </c>
      <c r="AH985" s="191" t="s">
        <v>644</v>
      </c>
      <c r="AI985" s="191" t="s">
        <v>681</v>
      </c>
      <c r="AJ985" s="191" t="s">
        <v>682</v>
      </c>
      <c r="AK985" s="191" t="s">
        <v>683</v>
      </c>
      <c r="AL985" s="191" t="s">
        <v>684</v>
      </c>
      <c r="AM985" s="191" t="s">
        <v>685</v>
      </c>
      <c r="AN985" s="191" t="s">
        <v>686</v>
      </c>
      <c r="AO985" s="191" t="s">
        <v>687</v>
      </c>
      <c r="AP985" s="191" t="s">
        <v>688</v>
      </c>
      <c r="AQ985" s="191" t="s">
        <v>689</v>
      </c>
      <c r="AR985" s="191" t="s">
        <v>638</v>
      </c>
      <c r="AS985" s="209" t="s">
        <v>641</v>
      </c>
    </row>
    <row r="986" spans="1:48" ht="15.75" customHeight="1" x14ac:dyDescent="0.3">
      <c r="A986" s="189"/>
      <c r="B986" s="180"/>
      <c r="C986" s="180"/>
      <c r="D986" s="180"/>
      <c r="E986" s="180"/>
      <c r="F986" s="180"/>
      <c r="G986" s="180"/>
      <c r="H986" s="180"/>
      <c r="I986" s="180"/>
      <c r="J986" s="180"/>
      <c r="K986" s="180"/>
      <c r="L986" s="180"/>
      <c r="M986" s="180"/>
      <c r="N986" s="180"/>
      <c r="O986" s="180"/>
      <c r="P986" s="180"/>
      <c r="Q986" s="180"/>
      <c r="R986" s="181"/>
      <c r="AC986" s="95"/>
      <c r="AD986" s="180"/>
      <c r="AE986" s="180"/>
      <c r="AF986" s="180"/>
      <c r="AG986" s="180"/>
      <c r="AH986" s="182" t="s">
        <v>718</v>
      </c>
      <c r="AI986" s="180"/>
      <c r="AJ986" s="180"/>
      <c r="AK986" s="180"/>
      <c r="AL986" s="180"/>
      <c r="AM986" s="180"/>
      <c r="AN986" s="180"/>
      <c r="AO986" s="180"/>
      <c r="AP986" s="180"/>
      <c r="AQ986" s="180"/>
      <c r="AR986" s="180"/>
      <c r="AS986" s="210"/>
    </row>
    <row r="987" spans="1:48" ht="15.75" customHeight="1" x14ac:dyDescent="0.3">
      <c r="A987" s="189"/>
      <c r="B987" s="395">
        <f>A5</f>
        <v>2020</v>
      </c>
      <c r="C987" s="395"/>
      <c r="D987" s="395"/>
      <c r="E987" s="395"/>
      <c r="F987" s="395"/>
      <c r="G987" s="395"/>
      <c r="H987" s="395"/>
      <c r="I987" s="395"/>
      <c r="J987" s="395"/>
      <c r="K987" s="395"/>
      <c r="L987" s="395"/>
      <c r="M987" s="395"/>
      <c r="N987" s="395"/>
      <c r="O987" s="395"/>
      <c r="P987" s="395"/>
      <c r="Q987" s="180"/>
      <c r="R987" s="181"/>
      <c r="S987" s="180"/>
      <c r="AC987" s="211" t="s">
        <v>719</v>
      </c>
      <c r="AD987" s="212">
        <v>1.7000000000000001E-2</v>
      </c>
      <c r="AE987" s="212">
        <v>1.7000000000000001E-2</v>
      </c>
      <c r="AF987" s="212">
        <v>1.7000000000000001E-2</v>
      </c>
      <c r="AG987" s="212">
        <v>1.7000000000000001E-2</v>
      </c>
      <c r="AH987" s="212"/>
      <c r="AI987" s="212"/>
      <c r="AJ987" s="212"/>
      <c r="AK987" s="212"/>
      <c r="AL987" s="212"/>
      <c r="AM987" s="212"/>
      <c r="AN987" s="212"/>
      <c r="AO987" s="212"/>
      <c r="AP987" s="212"/>
      <c r="AQ987" s="212"/>
      <c r="AR987" s="212"/>
      <c r="AS987" s="213"/>
    </row>
    <row r="988" spans="1:48" ht="15.75" customHeight="1" x14ac:dyDescent="0.3">
      <c r="A988" s="189"/>
      <c r="B988" s="394" t="s">
        <v>717</v>
      </c>
      <c r="C988" s="394"/>
      <c r="D988" s="394"/>
      <c r="E988" s="394"/>
      <c r="F988" s="394"/>
      <c r="G988" s="394"/>
      <c r="H988" s="394"/>
      <c r="I988" s="394"/>
      <c r="J988" s="394"/>
      <c r="K988" s="394"/>
      <c r="L988" s="394"/>
      <c r="M988" s="394"/>
      <c r="N988" s="394"/>
      <c r="O988" s="394"/>
      <c r="P988" s="394"/>
      <c r="Q988" s="180"/>
      <c r="R988" s="181"/>
      <c r="S988" s="180"/>
      <c r="AC988" s="211" t="s">
        <v>720</v>
      </c>
      <c r="AD988" s="212"/>
      <c r="AE988" s="212">
        <v>0.03</v>
      </c>
      <c r="AF988" s="212"/>
      <c r="AG988" s="212"/>
      <c r="AH988" s="212"/>
      <c r="AI988" s="212"/>
      <c r="AJ988" s="212"/>
      <c r="AK988" s="212"/>
      <c r="AL988" s="212"/>
      <c r="AM988" s="212">
        <v>0.03</v>
      </c>
      <c r="AN988" s="212">
        <v>0.03</v>
      </c>
      <c r="AO988" s="212">
        <v>0.03</v>
      </c>
      <c r="AP988" s="212">
        <v>0.03</v>
      </c>
      <c r="AQ988" s="212">
        <v>0.03</v>
      </c>
      <c r="AR988" s="212">
        <v>0.03</v>
      </c>
      <c r="AS988" s="213"/>
    </row>
    <row r="989" spans="1:48" ht="15.75" customHeight="1" x14ac:dyDescent="0.3">
      <c r="A989" s="189"/>
      <c r="B989" s="180"/>
      <c r="C989" s="180"/>
      <c r="D989" s="180"/>
      <c r="E989" s="180"/>
      <c r="F989" s="180"/>
      <c r="G989" s="180"/>
      <c r="H989" s="180"/>
      <c r="I989" s="180"/>
      <c r="J989" s="180"/>
      <c r="K989" s="180"/>
      <c r="L989" s="180"/>
      <c r="M989" s="180"/>
      <c r="N989" s="180"/>
      <c r="O989" s="180"/>
      <c r="P989" s="180"/>
      <c r="Q989" s="180"/>
      <c r="R989" s="181"/>
      <c r="S989" s="180"/>
      <c r="AC989" s="211" t="s">
        <v>721</v>
      </c>
      <c r="AD989" s="212"/>
      <c r="AE989" s="212"/>
      <c r="AF989" s="212">
        <v>0.03</v>
      </c>
      <c r="AG989" s="212">
        <v>0.03</v>
      </c>
      <c r="AH989" s="212"/>
      <c r="AI989" s="212"/>
      <c r="AJ989" s="212"/>
      <c r="AK989" s="212"/>
      <c r="AL989" s="212"/>
      <c r="AM989" s="212"/>
      <c r="AN989" s="212"/>
      <c r="AO989" s="212"/>
      <c r="AP989" s="212"/>
      <c r="AQ989" s="212"/>
      <c r="AR989" s="212"/>
      <c r="AS989" s="213"/>
    </row>
    <row r="990" spans="1:48" ht="15.75" customHeight="1" thickBot="1" x14ac:dyDescent="0.35">
      <c r="A990" s="189" t="s">
        <v>647</v>
      </c>
      <c r="B990" s="191" t="s">
        <v>677</v>
      </c>
      <c r="C990" s="191" t="s">
        <v>678</v>
      </c>
      <c r="D990" s="191" t="s">
        <v>679</v>
      </c>
      <c r="E990" s="191" t="s">
        <v>680</v>
      </c>
      <c r="F990" s="191" t="s">
        <v>644</v>
      </c>
      <c r="G990" s="191" t="s">
        <v>644</v>
      </c>
      <c r="H990" s="191" t="s">
        <v>681</v>
      </c>
      <c r="I990" s="191" t="s">
        <v>682</v>
      </c>
      <c r="J990" s="191" t="s">
        <v>683</v>
      </c>
      <c r="K990" s="191" t="s">
        <v>684</v>
      </c>
      <c r="L990" s="191" t="s">
        <v>685</v>
      </c>
      <c r="M990" s="191" t="s">
        <v>686</v>
      </c>
      <c r="N990" s="191" t="s">
        <v>687</v>
      </c>
      <c r="O990" s="191" t="s">
        <v>688</v>
      </c>
      <c r="P990" s="191" t="s">
        <v>689</v>
      </c>
      <c r="Q990" s="191" t="s">
        <v>638</v>
      </c>
      <c r="R990" s="209" t="s">
        <v>641</v>
      </c>
      <c r="S990" s="182"/>
      <c r="AC990" s="211" t="s">
        <v>137</v>
      </c>
      <c r="AD990" s="212"/>
      <c r="AE990" s="212"/>
      <c r="AF990" s="212"/>
      <c r="AG990" s="212"/>
      <c r="AH990" s="212"/>
      <c r="AI990" s="212">
        <v>0.03</v>
      </c>
      <c r="AJ990" s="212"/>
      <c r="AK990" s="212"/>
      <c r="AL990" s="212"/>
      <c r="AM990" s="212"/>
      <c r="AN990" s="212"/>
      <c r="AO990" s="212"/>
      <c r="AP990" s="212"/>
      <c r="AQ990" s="212"/>
      <c r="AR990" s="212"/>
      <c r="AS990" s="213"/>
    </row>
    <row r="991" spans="1:48" ht="15.75" customHeight="1" x14ac:dyDescent="0.3">
      <c r="A991" s="189"/>
      <c r="B991" s="180"/>
      <c r="C991" s="180"/>
      <c r="D991" s="180"/>
      <c r="E991" s="180"/>
      <c r="F991" s="182" t="s">
        <v>127</v>
      </c>
      <c r="G991" s="182" t="s">
        <v>653</v>
      </c>
      <c r="H991" s="180"/>
      <c r="I991" s="180"/>
      <c r="J991" s="180"/>
      <c r="K991" s="180"/>
      <c r="L991" s="180"/>
      <c r="M991" s="180"/>
      <c r="N991" s="180"/>
      <c r="O991" s="180"/>
      <c r="P991" s="180"/>
      <c r="Q991" s="180"/>
      <c r="R991" s="213" t="s">
        <v>722</v>
      </c>
      <c r="S991" s="182"/>
      <c r="AC991" s="211" t="s">
        <v>723</v>
      </c>
      <c r="AD991" s="212">
        <v>0.03</v>
      </c>
      <c r="AE991" s="212"/>
      <c r="AF991" s="212"/>
      <c r="AG991" s="212"/>
      <c r="AH991" s="212"/>
      <c r="AI991" s="212"/>
      <c r="AJ991" s="212">
        <v>0.03</v>
      </c>
      <c r="AK991" s="212">
        <v>0.03</v>
      </c>
      <c r="AL991" s="212">
        <v>0.03</v>
      </c>
      <c r="AM991" s="212"/>
      <c r="AN991" s="212"/>
      <c r="AO991" s="212"/>
      <c r="AP991" s="212"/>
      <c r="AQ991" s="212"/>
      <c r="AR991" s="212"/>
      <c r="AS991" s="213"/>
    </row>
    <row r="992" spans="1:48" ht="15.75" customHeight="1" x14ac:dyDescent="0.3">
      <c r="A992" s="189" t="s">
        <v>724</v>
      </c>
      <c r="B992" s="214">
        <v>957</v>
      </c>
      <c r="C992" s="214">
        <v>122</v>
      </c>
      <c r="D992" s="214">
        <v>128</v>
      </c>
      <c r="E992" s="214">
        <v>219</v>
      </c>
      <c r="F992" s="214"/>
      <c r="G992" s="214"/>
      <c r="H992" s="214">
        <v>97</v>
      </c>
      <c r="I992" s="214">
        <v>160</v>
      </c>
      <c r="J992" s="214">
        <v>250</v>
      </c>
      <c r="K992" s="214">
        <v>260</v>
      </c>
      <c r="L992" s="214">
        <v>100</v>
      </c>
      <c r="M992" s="214">
        <v>118</v>
      </c>
      <c r="N992" s="214">
        <v>250</v>
      </c>
      <c r="O992" s="214">
        <v>190</v>
      </c>
      <c r="P992" s="214">
        <v>340</v>
      </c>
      <c r="Q992" s="214">
        <v>450</v>
      </c>
      <c r="R992" s="213" t="s">
        <v>658</v>
      </c>
      <c r="S992" s="182"/>
      <c r="AC992" s="211" t="s">
        <v>641</v>
      </c>
      <c r="AD992" s="215">
        <f>SUM(AD987:AD991)</f>
        <v>4.7E-2</v>
      </c>
      <c r="AE992" s="215">
        <f t="shared" ref="AE992:AR992" si="340">SUM(AE987:AE991)</f>
        <v>4.7E-2</v>
      </c>
      <c r="AF992" s="215">
        <f t="shared" si="340"/>
        <v>4.7E-2</v>
      </c>
      <c r="AG992" s="215">
        <f t="shared" si="340"/>
        <v>4.7E-2</v>
      </c>
      <c r="AH992" s="215">
        <f t="shared" si="340"/>
        <v>0</v>
      </c>
      <c r="AI992" s="215">
        <f t="shared" si="340"/>
        <v>0.03</v>
      </c>
      <c r="AJ992" s="215">
        <f t="shared" si="340"/>
        <v>0.03</v>
      </c>
      <c r="AK992" s="215">
        <f t="shared" si="340"/>
        <v>0.03</v>
      </c>
      <c r="AL992" s="215">
        <f t="shared" si="340"/>
        <v>0.03</v>
      </c>
      <c r="AM992" s="215">
        <f t="shared" si="340"/>
        <v>0.03</v>
      </c>
      <c r="AN992" s="215">
        <f t="shared" si="340"/>
        <v>0.03</v>
      </c>
      <c r="AO992" s="215">
        <f t="shared" si="340"/>
        <v>0.03</v>
      </c>
      <c r="AP992" s="215">
        <f t="shared" si="340"/>
        <v>0.03</v>
      </c>
      <c r="AQ992" s="215">
        <f t="shared" si="340"/>
        <v>0.03</v>
      </c>
      <c r="AR992" s="215">
        <f t="shared" si="340"/>
        <v>0.03</v>
      </c>
      <c r="AS992" s="213"/>
      <c r="AU992" s="192" t="s">
        <v>725</v>
      </c>
      <c r="AV992" s="4" t="s">
        <v>726</v>
      </c>
    </row>
    <row r="993" spans="1:47" ht="15.75" customHeight="1" x14ac:dyDescent="0.3">
      <c r="A993" s="189"/>
      <c r="B993" s="182" t="s">
        <v>666</v>
      </c>
      <c r="C993" s="182" t="s">
        <v>666</v>
      </c>
      <c r="D993" s="182" t="s">
        <v>666</v>
      </c>
      <c r="E993" s="182" t="s">
        <v>666</v>
      </c>
      <c r="F993" s="182" t="s">
        <v>666</v>
      </c>
      <c r="G993" s="182" t="s">
        <v>666</v>
      </c>
      <c r="H993" s="182" t="s">
        <v>666</v>
      </c>
      <c r="I993" s="182" t="s">
        <v>666</v>
      </c>
      <c r="J993" s="182" t="s">
        <v>666</v>
      </c>
      <c r="K993" s="182" t="s">
        <v>666</v>
      </c>
      <c r="L993" s="182" t="s">
        <v>666</v>
      </c>
      <c r="M993" s="182" t="s">
        <v>666</v>
      </c>
      <c r="N993" s="182" t="s">
        <v>666</v>
      </c>
      <c r="O993" s="182" t="s">
        <v>666</v>
      </c>
      <c r="P993" s="182" t="s">
        <v>666</v>
      </c>
      <c r="Q993" s="182" t="s">
        <v>666</v>
      </c>
      <c r="R993" s="213" t="s">
        <v>714</v>
      </c>
      <c r="S993" s="182"/>
      <c r="T993" s="182"/>
      <c r="AC993" s="189" t="s">
        <v>666</v>
      </c>
      <c r="AD993" s="182" t="s">
        <v>666</v>
      </c>
      <c r="AE993" s="182" t="s">
        <v>666</v>
      </c>
      <c r="AF993" s="182" t="s">
        <v>666</v>
      </c>
      <c r="AG993" s="182" t="s">
        <v>666</v>
      </c>
      <c r="AH993" s="182" t="s">
        <v>666</v>
      </c>
      <c r="AI993" s="182" t="s">
        <v>666</v>
      </c>
      <c r="AJ993" s="182" t="s">
        <v>666</v>
      </c>
      <c r="AK993" s="182" t="s">
        <v>666</v>
      </c>
      <c r="AL993" s="182" t="s">
        <v>666</v>
      </c>
      <c r="AM993" s="182" t="s">
        <v>666</v>
      </c>
      <c r="AN993" s="182" t="s">
        <v>666</v>
      </c>
      <c r="AO993" s="182" t="s">
        <v>666</v>
      </c>
      <c r="AP993" s="182" t="s">
        <v>666</v>
      </c>
      <c r="AQ993" s="182" t="s">
        <v>666</v>
      </c>
      <c r="AR993" s="182" t="s">
        <v>666</v>
      </c>
      <c r="AS993" s="213" t="s">
        <v>666</v>
      </c>
    </row>
    <row r="994" spans="1:47" ht="15.75" customHeight="1" x14ac:dyDescent="0.3">
      <c r="A994" s="192" t="s">
        <v>8</v>
      </c>
      <c r="B994" s="180">
        <f>ROUND((B937*$B$992)/1000,0)</f>
        <v>70545</v>
      </c>
      <c r="C994" s="180">
        <f t="shared" ref="C994:C1005" si="341">ROUND((C937*$C$992)/1000,0)</f>
        <v>8981</v>
      </c>
      <c r="D994" s="180">
        <f t="shared" ref="D994:D1005" si="342">ROUND((D937*$D$992)/1000,0)</f>
        <v>9411</v>
      </c>
      <c r="E994" s="180">
        <f t="shared" ref="E994:E1005" si="343">ROUND((E937*$E$992)/1000,0)</f>
        <v>15866</v>
      </c>
      <c r="F994" s="180">
        <f>(F937*((T937-1526.8)/0.7702))/1000</f>
        <v>1722.9163974351318</v>
      </c>
      <c r="G994" s="180">
        <f t="shared" ref="G994:G1005" si="344">(G937*((T937-1591.4)/0.6635))/1000</f>
        <v>0</v>
      </c>
      <c r="H994" s="180">
        <f t="shared" ref="H994:H1005" si="345">ROUND((H937*$H$992)/1000,0)</f>
        <v>3983</v>
      </c>
      <c r="I994" s="180">
        <f t="shared" ref="I994:I1005" si="346">ROUND((I937*$I$992)/1000,0)</f>
        <v>2594</v>
      </c>
      <c r="J994" s="180">
        <f t="shared" ref="J994:J1005" si="347">ROUND((J937*$J$992)/1000,0)</f>
        <v>4010</v>
      </c>
      <c r="K994" s="180">
        <f t="shared" ref="K994:K1005" si="348">ROUND((K937*$K$992)/1000,0)</f>
        <v>4132</v>
      </c>
      <c r="L994" s="180">
        <f t="shared" ref="L994:L1005" si="349">ROUND((L937*$L$992)/1000,0)</f>
        <v>1252</v>
      </c>
      <c r="M994" s="180">
        <f t="shared" ref="M994:M1005" si="350">ROUND((M937*$M$992)/1000,0)</f>
        <v>1475</v>
      </c>
      <c r="N994" s="180">
        <f t="shared" ref="N994:N1005" si="351">ROUND((N937*$N$992)/1000,0)</f>
        <v>3029</v>
      </c>
      <c r="O994" s="180">
        <f t="shared" ref="O994:O1005" si="352">ROUND((O937*$O$992)/1000,0)</f>
        <v>749</v>
      </c>
      <c r="P994" s="180">
        <f t="shared" ref="P994:P1005" si="353">ROUND((P937*$P$992)/1000,0)</f>
        <v>1294</v>
      </c>
      <c r="Q994" s="180">
        <f t="shared" ref="Q994:Q1005" si="354">ROUND((Q937*$Q$992)/1000,0)</f>
        <v>1772</v>
      </c>
      <c r="R994" s="216">
        <f>(SUM(B994:Q994))</f>
        <v>130815.91639743512</v>
      </c>
      <c r="S994" s="217"/>
      <c r="AC994" s="211" t="s">
        <v>8</v>
      </c>
      <c r="AD994" s="180">
        <f>ROUND(B994*$AD$992, 0)</f>
        <v>3316</v>
      </c>
      <c r="AE994" s="180">
        <f>ROUND(C994*$AE$992,0)</f>
        <v>422</v>
      </c>
      <c r="AF994" s="180">
        <f>ROUND(D994*$AF$992,0)</f>
        <v>442</v>
      </c>
      <c r="AG994" s="180">
        <f>ROUND(E994*$AG$992,0)</f>
        <v>746</v>
      </c>
      <c r="AH994" s="180">
        <f>ROUND(F994*$AH$992,0)</f>
        <v>0</v>
      </c>
      <c r="AI994" s="180">
        <f>ROUND(H994*$AI$992,0)</f>
        <v>119</v>
      </c>
      <c r="AJ994" s="180">
        <f>ROUND(I994*$AJ$992,0)</f>
        <v>78</v>
      </c>
      <c r="AK994" s="180">
        <f>ROUND(J994*$AK$992,0)</f>
        <v>120</v>
      </c>
      <c r="AL994" s="180">
        <f>ROUND(K994*$AL$992,0)</f>
        <v>124</v>
      </c>
      <c r="AM994" s="180">
        <f>ROUND(L994*$AM$992,0)</f>
        <v>38</v>
      </c>
      <c r="AN994" s="180">
        <f>ROUND(M994*$AN$992,0)</f>
        <v>44</v>
      </c>
      <c r="AO994" s="180">
        <f>ROUND(N994*$AO$992,0)</f>
        <v>91</v>
      </c>
      <c r="AP994" s="180">
        <f>ROUND(O994*$AP$992,0)</f>
        <v>22</v>
      </c>
      <c r="AQ994" s="180">
        <f>ROUND(P994*$AQ$992,0)</f>
        <v>39</v>
      </c>
      <c r="AR994" s="180">
        <f>ROUND(Q994*$AR$992,0)</f>
        <v>53</v>
      </c>
      <c r="AS994" s="210">
        <f>SUM(AD994:AR994)</f>
        <v>5654</v>
      </c>
      <c r="AU994" s="218">
        <f>AS994/R994</f>
        <v>4.3221040342082233E-2</v>
      </c>
    </row>
    <row r="995" spans="1:47" ht="15.75" customHeight="1" x14ac:dyDescent="0.3">
      <c r="A995" s="192" t="s">
        <v>9</v>
      </c>
      <c r="B995" s="180">
        <f t="shared" ref="B995:B1005" si="355">ROUND((B938*$B$992)/1000,0)</f>
        <v>74372</v>
      </c>
      <c r="C995" s="180">
        <f t="shared" si="341"/>
        <v>9463</v>
      </c>
      <c r="D995" s="180">
        <f t="shared" si="342"/>
        <v>9910</v>
      </c>
      <c r="E995" s="180">
        <f t="shared" si="343"/>
        <v>16679</v>
      </c>
      <c r="F995" s="180">
        <f t="shared" ref="F995:F1005" si="356">(F938*((T938-1526.8)/0.7702))/1000</f>
        <v>0</v>
      </c>
      <c r="G995" s="180">
        <f>(G938*((T938-1591.4)/0.6635))/1000</f>
        <v>0</v>
      </c>
      <c r="H995" s="180">
        <f t="shared" si="345"/>
        <v>5096</v>
      </c>
      <c r="I995" s="180">
        <f t="shared" si="346"/>
        <v>3750</v>
      </c>
      <c r="J995" s="180">
        <f t="shared" si="347"/>
        <v>5802</v>
      </c>
      <c r="K995" s="180">
        <f t="shared" si="348"/>
        <v>5873</v>
      </c>
      <c r="L995" s="180">
        <f t="shared" si="349"/>
        <v>1829</v>
      </c>
      <c r="M995" s="180">
        <f t="shared" si="350"/>
        <v>2156</v>
      </c>
      <c r="N995" s="180">
        <f t="shared" si="351"/>
        <v>4403</v>
      </c>
      <c r="O995" s="180">
        <f t="shared" si="352"/>
        <v>688</v>
      </c>
      <c r="P995" s="180">
        <f t="shared" si="353"/>
        <v>1294</v>
      </c>
      <c r="Q995" s="180">
        <f t="shared" si="354"/>
        <v>1629</v>
      </c>
      <c r="R995" s="216">
        <f>(SUM(B995:Q995))</f>
        <v>142944</v>
      </c>
      <c r="S995" s="217"/>
      <c r="AC995" s="211" t="s">
        <v>9</v>
      </c>
      <c r="AD995" s="180">
        <f t="shared" ref="AD995:AD1005" si="357">ROUND(B995*$AD$992, 0)</f>
        <v>3495</v>
      </c>
      <c r="AE995" s="180">
        <f t="shared" ref="AE995:AE1005" si="358">ROUND(C995*$AE$992,0)</f>
        <v>445</v>
      </c>
      <c r="AF995" s="180">
        <f t="shared" ref="AF995:AF1005" si="359">ROUND(D995*$AF$992,0)</f>
        <v>466</v>
      </c>
      <c r="AG995" s="180">
        <f t="shared" ref="AG995:AG1005" si="360">ROUND(E995*$AG$992,0)</f>
        <v>784</v>
      </c>
      <c r="AH995" s="180">
        <f t="shared" ref="AH995:AH1005" si="361">ROUND(F995*$AH$992,0)</f>
        <v>0</v>
      </c>
      <c r="AI995" s="180">
        <f t="shared" ref="AI995:AI1005" si="362">ROUND(H995*$AI$992,0)</f>
        <v>153</v>
      </c>
      <c r="AJ995" s="180">
        <f t="shared" ref="AJ995:AJ1005" si="363">ROUND(I995*$AJ$992,0)</f>
        <v>113</v>
      </c>
      <c r="AK995" s="180">
        <f t="shared" ref="AK995:AK1005" si="364">ROUND(J995*$AK$992,0)</f>
        <v>174</v>
      </c>
      <c r="AL995" s="180">
        <f t="shared" ref="AL995:AL1005" si="365">ROUND(K995*$AL$992,0)</f>
        <v>176</v>
      </c>
      <c r="AM995" s="180">
        <f t="shared" ref="AM995:AM1005" si="366">ROUND(L995*$AM$992,0)</f>
        <v>55</v>
      </c>
      <c r="AN995" s="180">
        <f t="shared" ref="AN995:AN1005" si="367">ROUND(M995*$AN$992,0)</f>
        <v>65</v>
      </c>
      <c r="AO995" s="180">
        <f t="shared" ref="AO995:AO1005" si="368">ROUND(N995*$AO$992,0)</f>
        <v>132</v>
      </c>
      <c r="AP995" s="180">
        <f t="shared" ref="AP995:AP1005" si="369">ROUND(O995*$AP$992,0)</f>
        <v>21</v>
      </c>
      <c r="AQ995" s="180">
        <f t="shared" ref="AQ995:AQ1005" si="370">ROUND(P995*$AQ$992,0)</f>
        <v>39</v>
      </c>
      <c r="AR995" s="180">
        <f t="shared" ref="AR995:AR1005" si="371">ROUND(Q995*$AR$992,0)</f>
        <v>49</v>
      </c>
      <c r="AS995" s="210">
        <f t="shared" ref="AS995:AS1005" si="372">SUM(AD995:AR995)</f>
        <v>6167</v>
      </c>
      <c r="AU995" s="218">
        <f t="shared" ref="AU995:AU1007" si="373">AS995/R995</f>
        <v>4.3142769196328631E-2</v>
      </c>
    </row>
    <row r="996" spans="1:47" ht="15.75" customHeight="1" x14ac:dyDescent="0.3">
      <c r="A996" s="192" t="s">
        <v>10</v>
      </c>
      <c r="B996" s="180">
        <f t="shared" si="355"/>
        <v>155991</v>
      </c>
      <c r="C996" s="180">
        <f t="shared" si="341"/>
        <v>19853</v>
      </c>
      <c r="D996" s="180">
        <f t="shared" si="342"/>
        <v>20796</v>
      </c>
      <c r="E996" s="180">
        <f t="shared" si="343"/>
        <v>34732</v>
      </c>
      <c r="F996" s="180">
        <f t="shared" si="356"/>
        <v>9978.8308381278202</v>
      </c>
      <c r="G996" s="180">
        <f t="shared" si="344"/>
        <v>0</v>
      </c>
      <c r="H996" s="180">
        <f t="shared" si="345"/>
        <v>7999</v>
      </c>
      <c r="I996" s="180">
        <f t="shared" si="346"/>
        <v>5487</v>
      </c>
      <c r="J996" s="180">
        <f t="shared" si="347"/>
        <v>7212</v>
      </c>
      <c r="K996" s="180">
        <f t="shared" si="348"/>
        <v>6821</v>
      </c>
      <c r="L996" s="180">
        <f t="shared" si="349"/>
        <v>2002</v>
      </c>
      <c r="M996" s="180">
        <f t="shared" si="350"/>
        <v>2359</v>
      </c>
      <c r="N996" s="180">
        <f t="shared" si="351"/>
        <v>4752</v>
      </c>
      <c r="O996" s="180">
        <f t="shared" si="352"/>
        <v>673</v>
      </c>
      <c r="P996" s="180">
        <f t="shared" si="353"/>
        <v>1617</v>
      </c>
      <c r="Q996" s="180">
        <f t="shared" si="354"/>
        <v>1592</v>
      </c>
      <c r="R996" s="216">
        <f t="shared" ref="R996:R1005" si="374">(SUM(B996:Q996))</f>
        <v>281864.83083812782</v>
      </c>
      <c r="S996" s="217"/>
      <c r="AC996" s="211" t="s">
        <v>10</v>
      </c>
      <c r="AD996" s="180">
        <f t="shared" si="357"/>
        <v>7332</v>
      </c>
      <c r="AE996" s="180">
        <f t="shared" si="358"/>
        <v>933</v>
      </c>
      <c r="AF996" s="180">
        <f t="shared" si="359"/>
        <v>977</v>
      </c>
      <c r="AG996" s="180">
        <f t="shared" si="360"/>
        <v>1632</v>
      </c>
      <c r="AH996" s="180">
        <f t="shared" si="361"/>
        <v>0</v>
      </c>
      <c r="AI996" s="180">
        <f t="shared" si="362"/>
        <v>240</v>
      </c>
      <c r="AJ996" s="180">
        <f t="shared" si="363"/>
        <v>165</v>
      </c>
      <c r="AK996" s="180">
        <f t="shared" si="364"/>
        <v>216</v>
      </c>
      <c r="AL996" s="180">
        <f t="shared" si="365"/>
        <v>205</v>
      </c>
      <c r="AM996" s="180">
        <f t="shared" si="366"/>
        <v>60</v>
      </c>
      <c r="AN996" s="180">
        <f t="shared" si="367"/>
        <v>71</v>
      </c>
      <c r="AO996" s="180">
        <f t="shared" si="368"/>
        <v>143</v>
      </c>
      <c r="AP996" s="180">
        <f t="shared" si="369"/>
        <v>20</v>
      </c>
      <c r="AQ996" s="180">
        <f t="shared" si="370"/>
        <v>49</v>
      </c>
      <c r="AR996" s="180">
        <f t="shared" si="371"/>
        <v>48</v>
      </c>
      <c r="AS996" s="210">
        <f t="shared" si="372"/>
        <v>12091</v>
      </c>
      <c r="AU996" s="218">
        <f t="shared" si="373"/>
        <v>4.2896447790408236E-2</v>
      </c>
    </row>
    <row r="997" spans="1:47" ht="15.75" customHeight="1" x14ac:dyDescent="0.3">
      <c r="A997" s="192" t="s">
        <v>12</v>
      </c>
      <c r="B997" s="180">
        <f t="shared" si="355"/>
        <v>149295</v>
      </c>
      <c r="C997" s="180">
        <f t="shared" si="341"/>
        <v>18988</v>
      </c>
      <c r="D997" s="180">
        <f t="shared" si="342"/>
        <v>19877</v>
      </c>
      <c r="E997" s="180">
        <f t="shared" si="343"/>
        <v>32819</v>
      </c>
      <c r="F997" s="180">
        <f t="shared" si="356"/>
        <v>0</v>
      </c>
      <c r="G997" s="180">
        <f t="shared" si="344"/>
        <v>0</v>
      </c>
      <c r="H997" s="180">
        <f t="shared" si="345"/>
        <v>10426</v>
      </c>
      <c r="I997" s="180">
        <f t="shared" si="346"/>
        <v>6707</v>
      </c>
      <c r="J997" s="180">
        <f t="shared" si="347"/>
        <v>7579</v>
      </c>
      <c r="K997" s="180">
        <f t="shared" si="348"/>
        <v>6804</v>
      </c>
      <c r="L997" s="180">
        <f t="shared" si="349"/>
        <v>2067</v>
      </c>
      <c r="M997" s="180">
        <f t="shared" si="350"/>
        <v>2435</v>
      </c>
      <c r="N997" s="180">
        <f t="shared" si="351"/>
        <v>4861</v>
      </c>
      <c r="O997" s="180">
        <f t="shared" si="352"/>
        <v>727</v>
      </c>
      <c r="P997" s="180">
        <f t="shared" si="353"/>
        <v>1941</v>
      </c>
      <c r="Q997" s="180">
        <f t="shared" si="354"/>
        <v>1718</v>
      </c>
      <c r="R997" s="216">
        <f t="shared" si="374"/>
        <v>266244</v>
      </c>
      <c r="S997" s="217"/>
      <c r="AC997" s="211" t="s">
        <v>12</v>
      </c>
      <c r="AD997" s="180">
        <f t="shared" si="357"/>
        <v>7017</v>
      </c>
      <c r="AE997" s="180">
        <f t="shared" si="358"/>
        <v>892</v>
      </c>
      <c r="AF997" s="180">
        <f t="shared" si="359"/>
        <v>934</v>
      </c>
      <c r="AG997" s="180">
        <f t="shared" si="360"/>
        <v>1542</v>
      </c>
      <c r="AH997" s="180">
        <f t="shared" si="361"/>
        <v>0</v>
      </c>
      <c r="AI997" s="180">
        <f t="shared" si="362"/>
        <v>313</v>
      </c>
      <c r="AJ997" s="180">
        <f t="shared" si="363"/>
        <v>201</v>
      </c>
      <c r="AK997" s="180">
        <f t="shared" si="364"/>
        <v>227</v>
      </c>
      <c r="AL997" s="180">
        <f t="shared" si="365"/>
        <v>204</v>
      </c>
      <c r="AM997" s="180">
        <f t="shared" si="366"/>
        <v>62</v>
      </c>
      <c r="AN997" s="180">
        <f t="shared" si="367"/>
        <v>73</v>
      </c>
      <c r="AO997" s="180">
        <f t="shared" si="368"/>
        <v>146</v>
      </c>
      <c r="AP997" s="180">
        <f t="shared" si="369"/>
        <v>22</v>
      </c>
      <c r="AQ997" s="180">
        <f t="shared" si="370"/>
        <v>58</v>
      </c>
      <c r="AR997" s="180">
        <f t="shared" si="371"/>
        <v>52</v>
      </c>
      <c r="AS997" s="210">
        <f t="shared" si="372"/>
        <v>11743</v>
      </c>
      <c r="AU997" s="218">
        <f t="shared" si="373"/>
        <v>4.4106158260843437E-2</v>
      </c>
    </row>
    <row r="998" spans="1:47" ht="15.75" customHeight="1" x14ac:dyDescent="0.3">
      <c r="A998" s="192" t="s">
        <v>13</v>
      </c>
      <c r="B998" s="180">
        <f t="shared" si="355"/>
        <v>154396</v>
      </c>
      <c r="C998" s="180">
        <f t="shared" si="341"/>
        <v>19631</v>
      </c>
      <c r="D998" s="180">
        <f t="shared" si="342"/>
        <v>20545</v>
      </c>
      <c r="E998" s="180">
        <f t="shared" si="343"/>
        <v>33654</v>
      </c>
      <c r="F998" s="180">
        <f t="shared" si="356"/>
        <v>0</v>
      </c>
      <c r="G998" s="180">
        <f t="shared" si="344"/>
        <v>-1565.883333737125</v>
      </c>
      <c r="H998" s="180">
        <f t="shared" si="345"/>
        <v>10131</v>
      </c>
      <c r="I998" s="180">
        <f t="shared" si="346"/>
        <v>5716</v>
      </c>
      <c r="J998" s="180">
        <f t="shared" si="347"/>
        <v>7495</v>
      </c>
      <c r="K998" s="180">
        <f t="shared" si="348"/>
        <v>7218</v>
      </c>
      <c r="L998" s="180">
        <f t="shared" si="349"/>
        <v>2194</v>
      </c>
      <c r="M998" s="180">
        <f t="shared" si="350"/>
        <v>2584</v>
      </c>
      <c r="N998" s="180">
        <f t="shared" si="351"/>
        <v>5131</v>
      </c>
      <c r="O998" s="180">
        <f t="shared" si="352"/>
        <v>832</v>
      </c>
      <c r="P998" s="180">
        <f t="shared" si="353"/>
        <v>2264</v>
      </c>
      <c r="Q998" s="180">
        <f t="shared" si="354"/>
        <v>1967</v>
      </c>
      <c r="R998" s="216">
        <f t="shared" si="374"/>
        <v>272192.11666626285</v>
      </c>
      <c r="S998" s="217"/>
      <c r="AC998" s="211" t="s">
        <v>13</v>
      </c>
      <c r="AD998" s="180">
        <f t="shared" si="357"/>
        <v>7257</v>
      </c>
      <c r="AE998" s="180">
        <f t="shared" si="358"/>
        <v>923</v>
      </c>
      <c r="AF998" s="180">
        <f t="shared" si="359"/>
        <v>966</v>
      </c>
      <c r="AG998" s="180">
        <f t="shared" si="360"/>
        <v>1582</v>
      </c>
      <c r="AH998" s="180">
        <f t="shared" si="361"/>
        <v>0</v>
      </c>
      <c r="AI998" s="180">
        <f t="shared" si="362"/>
        <v>304</v>
      </c>
      <c r="AJ998" s="180">
        <f t="shared" si="363"/>
        <v>171</v>
      </c>
      <c r="AK998" s="180">
        <f t="shared" si="364"/>
        <v>225</v>
      </c>
      <c r="AL998" s="180">
        <f t="shared" si="365"/>
        <v>217</v>
      </c>
      <c r="AM998" s="180">
        <f t="shared" si="366"/>
        <v>66</v>
      </c>
      <c r="AN998" s="180">
        <f t="shared" si="367"/>
        <v>78</v>
      </c>
      <c r="AO998" s="180">
        <f t="shared" si="368"/>
        <v>154</v>
      </c>
      <c r="AP998" s="180">
        <f t="shared" si="369"/>
        <v>25</v>
      </c>
      <c r="AQ998" s="180">
        <f t="shared" si="370"/>
        <v>68</v>
      </c>
      <c r="AR998" s="180">
        <f t="shared" si="371"/>
        <v>59</v>
      </c>
      <c r="AS998" s="210">
        <f t="shared" si="372"/>
        <v>12095</v>
      </c>
      <c r="AU998" s="218">
        <f t="shared" si="373"/>
        <v>4.4435526451450415E-2</v>
      </c>
    </row>
    <row r="999" spans="1:47" ht="15.75" customHeight="1" x14ac:dyDescent="0.3">
      <c r="A999" s="192" t="s">
        <v>14</v>
      </c>
      <c r="B999" s="180">
        <f t="shared" si="355"/>
        <v>92887</v>
      </c>
      <c r="C999" s="180">
        <f t="shared" si="341"/>
        <v>11791</v>
      </c>
      <c r="D999" s="180">
        <f t="shared" si="342"/>
        <v>12320</v>
      </c>
      <c r="E999" s="180">
        <f t="shared" si="343"/>
        <v>19529</v>
      </c>
      <c r="F999" s="180">
        <f t="shared" si="356"/>
        <v>0</v>
      </c>
      <c r="G999" s="180">
        <f t="shared" si="344"/>
        <v>-13387.798855960762</v>
      </c>
      <c r="H999" s="180">
        <f t="shared" si="345"/>
        <v>13611</v>
      </c>
      <c r="I999" s="180">
        <f t="shared" si="346"/>
        <v>7161</v>
      </c>
      <c r="J999" s="180">
        <f t="shared" si="347"/>
        <v>8177</v>
      </c>
      <c r="K999" s="180">
        <f t="shared" si="348"/>
        <v>6850</v>
      </c>
      <c r="L999" s="180">
        <f t="shared" si="349"/>
        <v>2064</v>
      </c>
      <c r="M999" s="180">
        <f t="shared" si="350"/>
        <v>2431</v>
      </c>
      <c r="N999" s="180">
        <f t="shared" si="351"/>
        <v>4720</v>
      </c>
      <c r="O999" s="180">
        <f t="shared" si="352"/>
        <v>793</v>
      </c>
      <c r="P999" s="180">
        <f t="shared" si="353"/>
        <v>2329</v>
      </c>
      <c r="Q999" s="180">
        <f t="shared" si="354"/>
        <v>1875</v>
      </c>
      <c r="R999" s="216">
        <f>(SUM(B999:Q999))</f>
        <v>173150.20114403922</v>
      </c>
      <c r="S999" s="217"/>
      <c r="AC999" s="211" t="s">
        <v>14</v>
      </c>
      <c r="AD999" s="180">
        <f t="shared" si="357"/>
        <v>4366</v>
      </c>
      <c r="AE999" s="180">
        <f t="shared" si="358"/>
        <v>554</v>
      </c>
      <c r="AF999" s="180">
        <f t="shared" si="359"/>
        <v>579</v>
      </c>
      <c r="AG999" s="180">
        <f t="shared" si="360"/>
        <v>918</v>
      </c>
      <c r="AH999" s="180">
        <f t="shared" si="361"/>
        <v>0</v>
      </c>
      <c r="AI999" s="180">
        <f t="shared" si="362"/>
        <v>408</v>
      </c>
      <c r="AJ999" s="180">
        <f t="shared" si="363"/>
        <v>215</v>
      </c>
      <c r="AK999" s="180">
        <f t="shared" si="364"/>
        <v>245</v>
      </c>
      <c r="AL999" s="180">
        <f t="shared" si="365"/>
        <v>206</v>
      </c>
      <c r="AM999" s="180">
        <f t="shared" si="366"/>
        <v>62</v>
      </c>
      <c r="AN999" s="180">
        <f t="shared" si="367"/>
        <v>73</v>
      </c>
      <c r="AO999" s="180">
        <f t="shared" si="368"/>
        <v>142</v>
      </c>
      <c r="AP999" s="180">
        <f t="shared" si="369"/>
        <v>24</v>
      </c>
      <c r="AQ999" s="180">
        <f t="shared" si="370"/>
        <v>70</v>
      </c>
      <c r="AR999" s="180">
        <f t="shared" si="371"/>
        <v>56</v>
      </c>
      <c r="AS999" s="210">
        <f t="shared" si="372"/>
        <v>7918</v>
      </c>
      <c r="AU999" s="218">
        <f t="shared" si="373"/>
        <v>4.5729083464438013E-2</v>
      </c>
    </row>
    <row r="1000" spans="1:47" ht="15.75" customHeight="1" x14ac:dyDescent="0.3">
      <c r="A1000" s="192" t="s">
        <v>16</v>
      </c>
      <c r="B1000" s="180">
        <f t="shared" si="355"/>
        <v>49815</v>
      </c>
      <c r="C1000" s="180">
        <f t="shared" si="341"/>
        <v>6300</v>
      </c>
      <c r="D1000" s="180">
        <f t="shared" si="342"/>
        <v>6559</v>
      </c>
      <c r="E1000" s="180">
        <f t="shared" si="343"/>
        <v>9698</v>
      </c>
      <c r="F1000" s="180">
        <f t="shared" si="356"/>
        <v>0</v>
      </c>
      <c r="G1000" s="180">
        <f t="shared" si="344"/>
        <v>-13689.203959485192</v>
      </c>
      <c r="H1000" s="180">
        <f t="shared" si="345"/>
        <v>10634</v>
      </c>
      <c r="I1000" s="180">
        <f t="shared" si="346"/>
        <v>7157</v>
      </c>
      <c r="J1000" s="180">
        <f t="shared" si="347"/>
        <v>7719</v>
      </c>
      <c r="K1000" s="180">
        <f t="shared" si="348"/>
        <v>6743</v>
      </c>
      <c r="L1000" s="180">
        <f t="shared" si="349"/>
        <v>2073</v>
      </c>
      <c r="M1000" s="180">
        <f t="shared" si="350"/>
        <v>2442</v>
      </c>
      <c r="N1000" s="180">
        <f t="shared" si="351"/>
        <v>4593</v>
      </c>
      <c r="O1000" s="180">
        <f t="shared" si="352"/>
        <v>603</v>
      </c>
      <c r="P1000" s="180">
        <f t="shared" si="353"/>
        <v>2103</v>
      </c>
      <c r="Q1000" s="180">
        <f t="shared" si="354"/>
        <v>1426</v>
      </c>
      <c r="R1000" s="216">
        <f t="shared" si="374"/>
        <v>104175.7960405148</v>
      </c>
      <c r="S1000" s="217"/>
      <c r="AC1000" s="211" t="s">
        <v>16</v>
      </c>
      <c r="AD1000" s="180">
        <f t="shared" si="357"/>
        <v>2341</v>
      </c>
      <c r="AE1000" s="180">
        <f t="shared" si="358"/>
        <v>296</v>
      </c>
      <c r="AF1000" s="180">
        <f t="shared" si="359"/>
        <v>308</v>
      </c>
      <c r="AG1000" s="180">
        <f t="shared" si="360"/>
        <v>456</v>
      </c>
      <c r="AH1000" s="180">
        <f t="shared" si="361"/>
        <v>0</v>
      </c>
      <c r="AI1000" s="180">
        <f t="shared" si="362"/>
        <v>319</v>
      </c>
      <c r="AJ1000" s="180">
        <f t="shared" si="363"/>
        <v>215</v>
      </c>
      <c r="AK1000" s="180">
        <f t="shared" si="364"/>
        <v>232</v>
      </c>
      <c r="AL1000" s="180">
        <f t="shared" si="365"/>
        <v>202</v>
      </c>
      <c r="AM1000" s="180">
        <f t="shared" si="366"/>
        <v>62</v>
      </c>
      <c r="AN1000" s="180">
        <f t="shared" si="367"/>
        <v>73</v>
      </c>
      <c r="AO1000" s="180">
        <f t="shared" si="368"/>
        <v>138</v>
      </c>
      <c r="AP1000" s="180">
        <f t="shared" si="369"/>
        <v>18</v>
      </c>
      <c r="AQ1000" s="180">
        <f t="shared" si="370"/>
        <v>63</v>
      </c>
      <c r="AR1000" s="180">
        <f t="shared" si="371"/>
        <v>43</v>
      </c>
      <c r="AS1000" s="210">
        <f t="shared" si="372"/>
        <v>4766</v>
      </c>
      <c r="AU1000" s="218">
        <f t="shared" si="373"/>
        <v>4.5749590414902751E-2</v>
      </c>
    </row>
    <row r="1001" spans="1:47" ht="15.75" customHeight="1" x14ac:dyDescent="0.3">
      <c r="A1001" s="192" t="s">
        <v>17</v>
      </c>
      <c r="B1001" s="180">
        <f t="shared" si="355"/>
        <v>49486</v>
      </c>
      <c r="C1001" s="180">
        <f t="shared" si="341"/>
        <v>6268</v>
      </c>
      <c r="D1001" s="180">
        <f t="shared" si="342"/>
        <v>6535</v>
      </c>
      <c r="E1001" s="180">
        <f t="shared" si="343"/>
        <v>9929</v>
      </c>
      <c r="F1001" s="180">
        <f t="shared" si="356"/>
        <v>0</v>
      </c>
      <c r="G1001" s="180">
        <f t="shared" si="344"/>
        <v>-9580.748157618189</v>
      </c>
      <c r="H1001" s="180">
        <f t="shared" si="345"/>
        <v>9399</v>
      </c>
      <c r="I1001" s="180">
        <f t="shared" si="346"/>
        <v>7026</v>
      </c>
      <c r="J1001" s="180">
        <f t="shared" si="347"/>
        <v>8029</v>
      </c>
      <c r="K1001" s="180">
        <f t="shared" si="348"/>
        <v>7171</v>
      </c>
      <c r="L1001" s="180">
        <f t="shared" si="349"/>
        <v>2315</v>
      </c>
      <c r="M1001" s="180">
        <f t="shared" si="350"/>
        <v>2728</v>
      </c>
      <c r="N1001" s="180">
        <f t="shared" si="351"/>
        <v>5325</v>
      </c>
      <c r="O1001" s="180">
        <f t="shared" si="352"/>
        <v>1245</v>
      </c>
      <c r="P1001" s="180">
        <f t="shared" si="353"/>
        <v>1941</v>
      </c>
      <c r="Q1001" s="180">
        <f t="shared" si="354"/>
        <v>2947</v>
      </c>
      <c r="R1001" s="216">
        <f t="shared" si="374"/>
        <v>110763.25184238181</v>
      </c>
      <c r="S1001" s="217"/>
      <c r="AC1001" s="211" t="s">
        <v>17</v>
      </c>
      <c r="AD1001" s="180">
        <f t="shared" si="357"/>
        <v>2326</v>
      </c>
      <c r="AE1001" s="180">
        <f t="shared" si="358"/>
        <v>295</v>
      </c>
      <c r="AF1001" s="180">
        <f t="shared" si="359"/>
        <v>307</v>
      </c>
      <c r="AG1001" s="180">
        <f t="shared" si="360"/>
        <v>467</v>
      </c>
      <c r="AH1001" s="180">
        <f t="shared" si="361"/>
        <v>0</v>
      </c>
      <c r="AI1001" s="180">
        <f t="shared" si="362"/>
        <v>282</v>
      </c>
      <c r="AJ1001" s="180">
        <f t="shared" si="363"/>
        <v>211</v>
      </c>
      <c r="AK1001" s="180">
        <f t="shared" si="364"/>
        <v>241</v>
      </c>
      <c r="AL1001" s="180">
        <f t="shared" si="365"/>
        <v>215</v>
      </c>
      <c r="AM1001" s="180">
        <f t="shared" si="366"/>
        <v>69</v>
      </c>
      <c r="AN1001" s="180">
        <f t="shared" si="367"/>
        <v>82</v>
      </c>
      <c r="AO1001" s="180">
        <f t="shared" si="368"/>
        <v>160</v>
      </c>
      <c r="AP1001" s="180">
        <f t="shared" si="369"/>
        <v>37</v>
      </c>
      <c r="AQ1001" s="180">
        <f t="shared" si="370"/>
        <v>58</v>
      </c>
      <c r="AR1001" s="180">
        <f t="shared" si="371"/>
        <v>88</v>
      </c>
      <c r="AS1001" s="210">
        <f t="shared" si="372"/>
        <v>4838</v>
      </c>
      <c r="AU1001" s="218">
        <f t="shared" si="373"/>
        <v>4.3678746511384162E-2</v>
      </c>
    </row>
    <row r="1002" spans="1:47" ht="15.75" customHeight="1" x14ac:dyDescent="0.3">
      <c r="A1002" s="192" t="s">
        <v>18</v>
      </c>
      <c r="B1002" s="180">
        <f t="shared" si="355"/>
        <v>125598</v>
      </c>
      <c r="C1002" s="180">
        <f t="shared" si="341"/>
        <v>15973</v>
      </c>
      <c r="D1002" s="180">
        <f t="shared" si="342"/>
        <v>16720</v>
      </c>
      <c r="E1002" s="180">
        <f t="shared" si="343"/>
        <v>27685</v>
      </c>
      <c r="F1002" s="180">
        <f t="shared" si="356"/>
        <v>3054.5446587493147</v>
      </c>
      <c r="G1002" s="180">
        <f t="shared" si="344"/>
        <v>0</v>
      </c>
      <c r="H1002" s="180">
        <f t="shared" si="345"/>
        <v>6545</v>
      </c>
      <c r="I1002" s="180">
        <f t="shared" si="346"/>
        <v>4207</v>
      </c>
      <c r="J1002" s="180">
        <f t="shared" si="347"/>
        <v>6246</v>
      </c>
      <c r="K1002" s="180">
        <f t="shared" si="348"/>
        <v>5981</v>
      </c>
      <c r="L1002" s="180">
        <f t="shared" si="349"/>
        <v>2111</v>
      </c>
      <c r="M1002" s="180">
        <f t="shared" si="350"/>
        <v>2486</v>
      </c>
      <c r="N1002" s="180">
        <f t="shared" si="351"/>
        <v>4914</v>
      </c>
      <c r="O1002" s="180">
        <f t="shared" si="352"/>
        <v>986</v>
      </c>
      <c r="P1002" s="180">
        <f t="shared" si="353"/>
        <v>1779</v>
      </c>
      <c r="Q1002" s="180">
        <f t="shared" si="354"/>
        <v>2334</v>
      </c>
      <c r="R1002" s="216">
        <f t="shared" si="374"/>
        <v>226619.54465874931</v>
      </c>
      <c r="S1002" s="217"/>
      <c r="AC1002" s="211" t="s">
        <v>18</v>
      </c>
      <c r="AD1002" s="180">
        <f t="shared" si="357"/>
        <v>5903</v>
      </c>
      <c r="AE1002" s="180">
        <f t="shared" si="358"/>
        <v>751</v>
      </c>
      <c r="AF1002" s="180">
        <f t="shared" si="359"/>
        <v>786</v>
      </c>
      <c r="AG1002" s="180">
        <f t="shared" si="360"/>
        <v>1301</v>
      </c>
      <c r="AH1002" s="180">
        <f t="shared" si="361"/>
        <v>0</v>
      </c>
      <c r="AI1002" s="180">
        <f t="shared" si="362"/>
        <v>196</v>
      </c>
      <c r="AJ1002" s="180">
        <f t="shared" si="363"/>
        <v>126</v>
      </c>
      <c r="AK1002" s="180">
        <f t="shared" si="364"/>
        <v>187</v>
      </c>
      <c r="AL1002" s="180">
        <f t="shared" si="365"/>
        <v>179</v>
      </c>
      <c r="AM1002" s="180">
        <f t="shared" si="366"/>
        <v>63</v>
      </c>
      <c r="AN1002" s="180">
        <f t="shared" si="367"/>
        <v>75</v>
      </c>
      <c r="AO1002" s="180">
        <f t="shared" si="368"/>
        <v>147</v>
      </c>
      <c r="AP1002" s="180">
        <f t="shared" si="369"/>
        <v>30</v>
      </c>
      <c r="AQ1002" s="180">
        <f t="shared" si="370"/>
        <v>53</v>
      </c>
      <c r="AR1002" s="180">
        <f t="shared" si="371"/>
        <v>70</v>
      </c>
      <c r="AS1002" s="210">
        <f t="shared" si="372"/>
        <v>9867</v>
      </c>
      <c r="AU1002" s="218">
        <f t="shared" si="373"/>
        <v>4.3539933922548617E-2</v>
      </c>
    </row>
    <row r="1003" spans="1:47" ht="15.75" customHeight="1" x14ac:dyDescent="0.3">
      <c r="A1003" s="192" t="s">
        <v>20</v>
      </c>
      <c r="B1003" s="180">
        <f t="shared" si="355"/>
        <v>156967</v>
      </c>
      <c r="C1003" s="180">
        <f t="shared" si="341"/>
        <v>19976</v>
      </c>
      <c r="D1003" s="180">
        <f t="shared" si="342"/>
        <v>20923</v>
      </c>
      <c r="E1003" s="180">
        <f t="shared" si="343"/>
        <v>35195</v>
      </c>
      <c r="F1003" s="180">
        <f t="shared" si="356"/>
        <v>13143.645700444507</v>
      </c>
      <c r="G1003" s="180">
        <f t="shared" si="344"/>
        <v>0</v>
      </c>
      <c r="H1003" s="180">
        <f t="shared" si="345"/>
        <v>4832</v>
      </c>
      <c r="I1003" s="180">
        <f t="shared" si="346"/>
        <v>2616</v>
      </c>
      <c r="J1003" s="180">
        <f t="shared" si="347"/>
        <v>3771</v>
      </c>
      <c r="K1003" s="180">
        <f t="shared" si="348"/>
        <v>3590</v>
      </c>
      <c r="L1003" s="180">
        <f t="shared" si="349"/>
        <v>1242</v>
      </c>
      <c r="M1003" s="180">
        <f t="shared" si="350"/>
        <v>1462</v>
      </c>
      <c r="N1003" s="180">
        <f t="shared" si="351"/>
        <v>2944</v>
      </c>
      <c r="O1003" s="180">
        <f t="shared" si="352"/>
        <v>710</v>
      </c>
      <c r="P1003" s="180">
        <f t="shared" si="353"/>
        <v>1617</v>
      </c>
      <c r="Q1003" s="180">
        <f t="shared" si="354"/>
        <v>1679</v>
      </c>
      <c r="R1003" s="216">
        <f t="shared" si="374"/>
        <v>270667.64570044447</v>
      </c>
      <c r="S1003" s="217"/>
      <c r="AC1003" s="211" t="s">
        <v>20</v>
      </c>
      <c r="AD1003" s="180">
        <f t="shared" si="357"/>
        <v>7377</v>
      </c>
      <c r="AE1003" s="180">
        <f t="shared" si="358"/>
        <v>939</v>
      </c>
      <c r="AF1003" s="180">
        <f t="shared" si="359"/>
        <v>983</v>
      </c>
      <c r="AG1003" s="180">
        <f t="shared" si="360"/>
        <v>1654</v>
      </c>
      <c r="AH1003" s="180">
        <f t="shared" si="361"/>
        <v>0</v>
      </c>
      <c r="AI1003" s="180">
        <f t="shared" si="362"/>
        <v>145</v>
      </c>
      <c r="AJ1003" s="180">
        <f t="shared" si="363"/>
        <v>78</v>
      </c>
      <c r="AK1003" s="180">
        <f t="shared" si="364"/>
        <v>113</v>
      </c>
      <c r="AL1003" s="180">
        <f t="shared" si="365"/>
        <v>108</v>
      </c>
      <c r="AM1003" s="180">
        <f t="shared" si="366"/>
        <v>37</v>
      </c>
      <c r="AN1003" s="180">
        <f t="shared" si="367"/>
        <v>44</v>
      </c>
      <c r="AO1003" s="180">
        <f t="shared" si="368"/>
        <v>88</v>
      </c>
      <c r="AP1003" s="180">
        <f t="shared" si="369"/>
        <v>21</v>
      </c>
      <c r="AQ1003" s="180">
        <f t="shared" si="370"/>
        <v>49</v>
      </c>
      <c r="AR1003" s="180">
        <f t="shared" si="371"/>
        <v>50</v>
      </c>
      <c r="AS1003" s="210">
        <f t="shared" si="372"/>
        <v>11686</v>
      </c>
      <c r="AU1003" s="218">
        <f t="shared" si="373"/>
        <v>4.3174720679150645E-2</v>
      </c>
    </row>
    <row r="1004" spans="1:47" ht="15.75" customHeight="1" x14ac:dyDescent="0.3">
      <c r="A1004" s="192" t="s">
        <v>21</v>
      </c>
      <c r="B1004" s="180">
        <f t="shared" si="355"/>
        <v>151764</v>
      </c>
      <c r="C1004" s="180">
        <f t="shared" si="341"/>
        <v>19318</v>
      </c>
      <c r="D1004" s="180">
        <f t="shared" si="342"/>
        <v>20240</v>
      </c>
      <c r="E1004" s="180">
        <f t="shared" si="343"/>
        <v>34343</v>
      </c>
      <c r="F1004" s="180">
        <f t="shared" si="356"/>
        <v>18608.508852215044</v>
      </c>
      <c r="G1004" s="180">
        <f t="shared" si="344"/>
        <v>0</v>
      </c>
      <c r="H1004" s="180">
        <f t="shared" si="345"/>
        <v>3120</v>
      </c>
      <c r="I1004" s="180">
        <f t="shared" si="346"/>
        <v>912</v>
      </c>
      <c r="J1004" s="180">
        <f t="shared" si="347"/>
        <v>1207</v>
      </c>
      <c r="K1004" s="180">
        <f t="shared" si="348"/>
        <v>1220</v>
      </c>
      <c r="L1004" s="180">
        <f t="shared" si="349"/>
        <v>312</v>
      </c>
      <c r="M1004" s="180">
        <f t="shared" si="350"/>
        <v>365</v>
      </c>
      <c r="N1004" s="180">
        <f t="shared" si="351"/>
        <v>746</v>
      </c>
      <c r="O1004" s="180">
        <f t="shared" si="352"/>
        <v>510</v>
      </c>
      <c r="P1004" s="180">
        <f t="shared" si="353"/>
        <v>1456</v>
      </c>
      <c r="Q1004" s="180">
        <f t="shared" si="354"/>
        <v>1207</v>
      </c>
      <c r="R1004" s="216">
        <f t="shared" si="374"/>
        <v>255328.50885221505</v>
      </c>
      <c r="S1004" s="217"/>
      <c r="AC1004" s="211" t="s">
        <v>21</v>
      </c>
      <c r="AD1004" s="180">
        <f t="shared" si="357"/>
        <v>7133</v>
      </c>
      <c r="AE1004" s="180">
        <f t="shared" si="358"/>
        <v>908</v>
      </c>
      <c r="AF1004" s="180">
        <f t="shared" si="359"/>
        <v>951</v>
      </c>
      <c r="AG1004" s="180">
        <f t="shared" si="360"/>
        <v>1614</v>
      </c>
      <c r="AH1004" s="180">
        <f t="shared" si="361"/>
        <v>0</v>
      </c>
      <c r="AI1004" s="180">
        <f t="shared" si="362"/>
        <v>94</v>
      </c>
      <c r="AJ1004" s="180">
        <f t="shared" si="363"/>
        <v>27</v>
      </c>
      <c r="AK1004" s="180">
        <f t="shared" si="364"/>
        <v>36</v>
      </c>
      <c r="AL1004" s="180">
        <f t="shared" si="365"/>
        <v>37</v>
      </c>
      <c r="AM1004" s="180">
        <f t="shared" si="366"/>
        <v>9</v>
      </c>
      <c r="AN1004" s="180">
        <f t="shared" si="367"/>
        <v>11</v>
      </c>
      <c r="AO1004" s="180">
        <f t="shared" si="368"/>
        <v>22</v>
      </c>
      <c r="AP1004" s="180">
        <f t="shared" si="369"/>
        <v>15</v>
      </c>
      <c r="AQ1004" s="180">
        <f t="shared" si="370"/>
        <v>44</v>
      </c>
      <c r="AR1004" s="180">
        <f t="shared" si="371"/>
        <v>36</v>
      </c>
      <c r="AS1004" s="210">
        <f t="shared" si="372"/>
        <v>10937</v>
      </c>
      <c r="AU1004" s="218">
        <f t="shared" si="373"/>
        <v>4.2835013015841368E-2</v>
      </c>
    </row>
    <row r="1005" spans="1:47" ht="15.75" customHeight="1" x14ac:dyDescent="0.3">
      <c r="A1005" s="192" t="s">
        <v>22</v>
      </c>
      <c r="B1005" s="180">
        <f t="shared" si="355"/>
        <v>94067</v>
      </c>
      <c r="C1005" s="180">
        <f t="shared" si="341"/>
        <v>11969</v>
      </c>
      <c r="D1005" s="180">
        <f t="shared" si="342"/>
        <v>12535</v>
      </c>
      <c r="E1005" s="180">
        <f t="shared" si="343"/>
        <v>21201</v>
      </c>
      <c r="F1005" s="180">
        <f t="shared" si="356"/>
        <v>11144.318056894796</v>
      </c>
      <c r="G1005" s="180">
        <f t="shared" si="344"/>
        <v>0</v>
      </c>
      <c r="H1005" s="180">
        <f t="shared" si="345"/>
        <v>1676</v>
      </c>
      <c r="I1005" s="180">
        <f t="shared" si="346"/>
        <v>581</v>
      </c>
      <c r="J1005" s="180">
        <f t="shared" si="347"/>
        <v>755</v>
      </c>
      <c r="K1005" s="180">
        <f t="shared" si="348"/>
        <v>759</v>
      </c>
      <c r="L1005" s="180">
        <f t="shared" si="349"/>
        <v>288</v>
      </c>
      <c r="M1005" s="180">
        <f t="shared" si="350"/>
        <v>338</v>
      </c>
      <c r="N1005" s="180">
        <f t="shared" si="351"/>
        <v>589</v>
      </c>
      <c r="O1005" s="180">
        <f t="shared" si="352"/>
        <v>265</v>
      </c>
      <c r="P1005" s="180">
        <f t="shared" si="353"/>
        <v>1294</v>
      </c>
      <c r="Q1005" s="180">
        <f t="shared" si="354"/>
        <v>626</v>
      </c>
      <c r="R1005" s="216">
        <f t="shared" si="374"/>
        <v>158087.31805689479</v>
      </c>
      <c r="S1005" s="217"/>
      <c r="AC1005" s="211" t="s">
        <v>22</v>
      </c>
      <c r="AD1005" s="180">
        <f t="shared" si="357"/>
        <v>4421</v>
      </c>
      <c r="AE1005" s="180">
        <f t="shared" si="358"/>
        <v>563</v>
      </c>
      <c r="AF1005" s="180">
        <f t="shared" si="359"/>
        <v>589</v>
      </c>
      <c r="AG1005" s="180">
        <f t="shared" si="360"/>
        <v>996</v>
      </c>
      <c r="AH1005" s="180">
        <f t="shared" si="361"/>
        <v>0</v>
      </c>
      <c r="AI1005" s="180">
        <f t="shared" si="362"/>
        <v>50</v>
      </c>
      <c r="AJ1005" s="180">
        <f t="shared" si="363"/>
        <v>17</v>
      </c>
      <c r="AK1005" s="180">
        <f t="shared" si="364"/>
        <v>23</v>
      </c>
      <c r="AL1005" s="180">
        <f t="shared" si="365"/>
        <v>23</v>
      </c>
      <c r="AM1005" s="180">
        <f t="shared" si="366"/>
        <v>9</v>
      </c>
      <c r="AN1005" s="180">
        <f t="shared" si="367"/>
        <v>10</v>
      </c>
      <c r="AO1005" s="180">
        <f t="shared" si="368"/>
        <v>18</v>
      </c>
      <c r="AP1005" s="180">
        <f t="shared" si="369"/>
        <v>8</v>
      </c>
      <c r="AQ1005" s="180">
        <f t="shared" si="370"/>
        <v>39</v>
      </c>
      <c r="AR1005" s="180">
        <f t="shared" si="371"/>
        <v>19</v>
      </c>
      <c r="AS1005" s="210">
        <f t="shared" si="372"/>
        <v>6785</v>
      </c>
      <c r="AU1005" s="218">
        <f t="shared" si="373"/>
        <v>4.2919318787849346E-2</v>
      </c>
    </row>
    <row r="1006" spans="1:47" ht="15.75" customHeight="1" x14ac:dyDescent="0.3">
      <c r="A1006" s="189"/>
      <c r="B1006" s="180"/>
      <c r="C1006" s="180"/>
      <c r="D1006" s="180"/>
      <c r="E1006" s="180"/>
      <c r="F1006" s="180"/>
      <c r="G1006" s="180"/>
      <c r="H1006" s="180"/>
      <c r="I1006" s="180"/>
      <c r="J1006" s="180"/>
      <c r="K1006" s="180"/>
      <c r="L1006" s="180"/>
      <c r="M1006" s="180"/>
      <c r="N1006" s="180"/>
      <c r="O1006" s="180"/>
      <c r="P1006" s="180"/>
      <c r="Q1006" s="180"/>
      <c r="R1006" s="210"/>
      <c r="S1006" s="217"/>
      <c r="AC1006" s="95"/>
      <c r="AD1006" s="180"/>
      <c r="AE1006" s="180"/>
      <c r="AF1006" s="180"/>
      <c r="AG1006" s="180"/>
      <c r="AH1006" s="180"/>
      <c r="AI1006" s="180"/>
      <c r="AJ1006" s="180"/>
      <c r="AK1006" s="180"/>
      <c r="AL1006" s="180"/>
      <c r="AM1006" s="180"/>
      <c r="AN1006" s="180"/>
      <c r="AO1006" s="180"/>
      <c r="AP1006" s="180"/>
      <c r="AQ1006" s="180"/>
      <c r="AR1006" s="180"/>
      <c r="AS1006" s="210"/>
    </row>
    <row r="1007" spans="1:47" ht="15.75" customHeight="1" thickBot="1" x14ac:dyDescent="0.35">
      <c r="A1007" s="189" t="s">
        <v>641</v>
      </c>
      <c r="B1007" s="180">
        <f>SUM(B994:B1005)</f>
        <v>1325183</v>
      </c>
      <c r="C1007" s="180">
        <f t="shared" ref="C1007:Q1007" si="375">SUM(C994:C1005)</f>
        <v>168511</v>
      </c>
      <c r="D1007" s="180">
        <f t="shared" si="375"/>
        <v>176371</v>
      </c>
      <c r="E1007" s="180">
        <f t="shared" si="375"/>
        <v>291330</v>
      </c>
      <c r="F1007" s="180">
        <f t="shared" si="375"/>
        <v>57652.764503866616</v>
      </c>
      <c r="G1007" s="180">
        <f t="shared" si="375"/>
        <v>-38223.634306801265</v>
      </c>
      <c r="H1007" s="180">
        <f t="shared" si="375"/>
        <v>87452</v>
      </c>
      <c r="I1007" s="180">
        <f t="shared" si="375"/>
        <v>53914</v>
      </c>
      <c r="J1007" s="180">
        <f t="shared" si="375"/>
        <v>68002</v>
      </c>
      <c r="K1007" s="180">
        <f t="shared" si="375"/>
        <v>63162</v>
      </c>
      <c r="L1007" s="180">
        <f t="shared" si="375"/>
        <v>19749</v>
      </c>
      <c r="M1007" s="180">
        <f t="shared" si="375"/>
        <v>23261</v>
      </c>
      <c r="N1007" s="180">
        <f t="shared" si="375"/>
        <v>46007</v>
      </c>
      <c r="O1007" s="180">
        <f t="shared" si="375"/>
        <v>8781</v>
      </c>
      <c r="P1007" s="180">
        <f t="shared" si="375"/>
        <v>20929</v>
      </c>
      <c r="Q1007" s="180">
        <f t="shared" si="375"/>
        <v>20772</v>
      </c>
      <c r="R1007" s="219">
        <f>SUM(R994:R1005)</f>
        <v>2392853.1301970654</v>
      </c>
      <c r="S1007" s="217"/>
      <c r="AC1007" s="220" t="s">
        <v>641</v>
      </c>
      <c r="AD1007" s="195">
        <f>SUM(AD994:AD1005)</f>
        <v>62284</v>
      </c>
      <c r="AE1007" s="195">
        <f t="shared" ref="AE1007:AS1007" si="376">SUM(AE994:AE1005)</f>
        <v>7921</v>
      </c>
      <c r="AF1007" s="195">
        <f t="shared" si="376"/>
        <v>8288</v>
      </c>
      <c r="AG1007" s="195">
        <f t="shared" si="376"/>
        <v>13692</v>
      </c>
      <c r="AH1007" s="195">
        <f t="shared" si="376"/>
        <v>0</v>
      </c>
      <c r="AI1007" s="195">
        <f t="shared" si="376"/>
        <v>2623</v>
      </c>
      <c r="AJ1007" s="195">
        <f t="shared" si="376"/>
        <v>1617</v>
      </c>
      <c r="AK1007" s="195">
        <f t="shared" si="376"/>
        <v>2039</v>
      </c>
      <c r="AL1007" s="195">
        <f t="shared" si="376"/>
        <v>1896</v>
      </c>
      <c r="AM1007" s="195">
        <f t="shared" si="376"/>
        <v>592</v>
      </c>
      <c r="AN1007" s="195">
        <f t="shared" si="376"/>
        <v>699</v>
      </c>
      <c r="AO1007" s="195">
        <f t="shared" si="376"/>
        <v>1381</v>
      </c>
      <c r="AP1007" s="195">
        <f t="shared" si="376"/>
        <v>263</v>
      </c>
      <c r="AQ1007" s="195">
        <f t="shared" si="376"/>
        <v>629</v>
      </c>
      <c r="AR1007" s="195">
        <f t="shared" si="376"/>
        <v>623</v>
      </c>
      <c r="AS1007" s="221">
        <f t="shared" si="376"/>
        <v>104547</v>
      </c>
      <c r="AU1007" s="218">
        <f t="shared" si="373"/>
        <v>4.3691356849548869E-2</v>
      </c>
    </row>
    <row r="1008" spans="1:47" ht="16.5" customHeight="1" thickBot="1" x14ac:dyDescent="0.35">
      <c r="A1008" s="204" t="s">
        <v>7</v>
      </c>
      <c r="B1008" s="195"/>
      <c r="C1008" s="195"/>
      <c r="D1008" s="195"/>
      <c r="E1008" s="195"/>
      <c r="F1008" s="195"/>
      <c r="G1008" s="195"/>
      <c r="H1008" s="195"/>
      <c r="I1008" s="195"/>
      <c r="J1008" s="195"/>
      <c r="K1008" s="195"/>
      <c r="L1008" s="195"/>
      <c r="M1008" s="195"/>
      <c r="N1008" s="195"/>
      <c r="O1008" s="195"/>
      <c r="P1008" s="195"/>
      <c r="Q1008" s="195"/>
      <c r="R1008" s="221"/>
      <c r="S1008" s="180"/>
    </row>
    <row r="1009" spans="1:45" ht="15.75" customHeight="1" x14ac:dyDescent="0.3">
      <c r="A1009" s="180"/>
      <c r="B1009" s="180"/>
      <c r="C1009" s="180"/>
      <c r="D1009" s="180"/>
      <c r="E1009" s="180"/>
      <c r="F1009" s="180"/>
      <c r="G1009" s="180"/>
      <c r="H1009" s="180"/>
      <c r="I1009" s="180"/>
      <c r="J1009" s="180"/>
      <c r="K1009" s="180"/>
      <c r="L1009" s="180"/>
      <c r="M1009" s="180"/>
      <c r="N1009" s="180"/>
      <c r="O1009" s="180"/>
      <c r="P1009" s="180"/>
      <c r="Q1009" s="180"/>
      <c r="R1009" s="180"/>
    </row>
    <row r="1010" spans="1:45" ht="15.75" customHeight="1" x14ac:dyDescent="0.3"/>
    <row r="1011" spans="1:45" ht="15.75" customHeight="1" thickBot="1" x14ac:dyDescent="0.35"/>
    <row r="1012" spans="1:45" ht="15.75" customHeight="1" thickBot="1" x14ac:dyDescent="0.35">
      <c r="B1012" s="398" t="s">
        <v>727</v>
      </c>
      <c r="C1012" s="387"/>
      <c r="D1012" s="387"/>
      <c r="E1012" s="387"/>
      <c r="F1012" s="387"/>
      <c r="G1012" s="387"/>
      <c r="H1012" s="387"/>
      <c r="I1012" s="387"/>
      <c r="J1012" s="387"/>
      <c r="K1012" s="387"/>
      <c r="L1012" s="387"/>
      <c r="M1012" s="387"/>
      <c r="N1012" s="387"/>
      <c r="O1012" s="387"/>
      <c r="P1012" s="387"/>
      <c r="Q1012" s="177" t="str">
        <f>+Q1</f>
        <v xml:space="preserve">PRINTED:  </v>
      </c>
      <c r="R1012" s="197">
        <f ca="1">+R1</f>
        <v>44894.658168518516</v>
      </c>
      <c r="S1012" s="174"/>
      <c r="T1012" s="200"/>
      <c r="U1012" s="200"/>
      <c r="V1012" s="198"/>
    </row>
    <row r="1013" spans="1:45" ht="15.75" customHeight="1" x14ac:dyDescent="0.3">
      <c r="B1013" s="399">
        <f>+A5</f>
        <v>2020</v>
      </c>
      <c r="C1013" s="395"/>
      <c r="D1013" s="395"/>
      <c r="E1013" s="395"/>
      <c r="F1013" s="395"/>
      <c r="G1013" s="395"/>
      <c r="H1013" s="395"/>
      <c r="I1013" s="395"/>
      <c r="J1013" s="395"/>
      <c r="K1013" s="395"/>
      <c r="L1013" s="395"/>
      <c r="M1013" s="395"/>
      <c r="N1013" s="395"/>
      <c r="O1013" s="395"/>
      <c r="P1013" s="395"/>
      <c r="Q1013" s="180"/>
      <c r="R1013" s="180"/>
      <c r="S1013" s="180"/>
      <c r="V1013" s="133"/>
      <c r="AC1013" s="207"/>
      <c r="AD1013" s="387" t="s">
        <v>728</v>
      </c>
      <c r="AE1013" s="393"/>
      <c r="AF1013" s="393"/>
      <c r="AG1013" s="393"/>
      <c r="AH1013" s="393"/>
      <c r="AI1013" s="393"/>
      <c r="AJ1013" s="393"/>
      <c r="AK1013" s="393"/>
      <c r="AL1013" s="393"/>
      <c r="AM1013" s="393"/>
      <c r="AN1013" s="393"/>
      <c r="AO1013" s="393"/>
      <c r="AP1013" s="393"/>
      <c r="AQ1013" s="393"/>
      <c r="AR1013" s="177" t="str">
        <f>$Q$1</f>
        <v xml:space="preserve">PRINTED:  </v>
      </c>
      <c r="AS1013" s="208">
        <f ca="1">$R$1</f>
        <v>44894.658168518516</v>
      </c>
    </row>
    <row r="1014" spans="1:45" ht="15.75" customHeight="1" x14ac:dyDescent="0.3">
      <c r="B1014" s="400" t="str">
        <f>+A8</f>
        <v>Revised:  10/31/2019</v>
      </c>
      <c r="C1014" s="394"/>
      <c r="D1014" s="394"/>
      <c r="E1014" s="394"/>
      <c r="F1014" s="394"/>
      <c r="G1014" s="394"/>
      <c r="H1014" s="394"/>
      <c r="I1014" s="394"/>
      <c r="J1014" s="394"/>
      <c r="K1014" s="394"/>
      <c r="L1014" s="394"/>
      <c r="M1014" s="394"/>
      <c r="N1014" s="394"/>
      <c r="O1014" s="394"/>
      <c r="P1014" s="394"/>
      <c r="Q1014" s="180"/>
      <c r="R1014" s="180"/>
      <c r="S1014" s="180"/>
      <c r="V1014" s="133"/>
      <c r="AC1014" s="95"/>
      <c r="AD1014" s="394" t="str">
        <f>+$A$8</f>
        <v>Revised:  10/31/2019</v>
      </c>
      <c r="AE1014" s="396"/>
      <c r="AF1014" s="396"/>
      <c r="AG1014" s="396"/>
      <c r="AH1014" s="396"/>
      <c r="AI1014" s="396"/>
      <c r="AJ1014" s="396"/>
      <c r="AK1014" s="396"/>
      <c r="AL1014" s="396"/>
      <c r="AM1014" s="396"/>
      <c r="AN1014" s="396"/>
      <c r="AO1014" s="396"/>
      <c r="AP1014" s="396"/>
      <c r="AQ1014" s="396"/>
      <c r="AR1014" s="192"/>
      <c r="AS1014" s="133"/>
    </row>
    <row r="1015" spans="1:45" ht="15.75" customHeight="1" thickBot="1" x14ac:dyDescent="0.35">
      <c r="B1015" s="401" t="s">
        <v>729</v>
      </c>
      <c r="C1015" s="402"/>
      <c r="D1015" s="402"/>
      <c r="E1015" s="402"/>
      <c r="F1015" s="402"/>
      <c r="G1015" s="402"/>
      <c r="H1015" s="402"/>
      <c r="I1015" s="402"/>
      <c r="J1015" s="402"/>
      <c r="K1015" s="402"/>
      <c r="L1015" s="402"/>
      <c r="M1015" s="402"/>
      <c r="N1015" s="402"/>
      <c r="O1015" s="402"/>
      <c r="P1015" s="402"/>
      <c r="Q1015" s="180"/>
      <c r="R1015" s="180"/>
      <c r="S1015" s="195"/>
      <c r="V1015" s="133"/>
      <c r="AC1015" s="95"/>
      <c r="AD1015" s="394" t="s">
        <v>670</v>
      </c>
      <c r="AE1015" s="397"/>
      <c r="AF1015" s="397"/>
      <c r="AG1015" s="397"/>
      <c r="AH1015" s="397"/>
      <c r="AI1015" s="397"/>
      <c r="AJ1015" s="397"/>
      <c r="AK1015" s="397"/>
      <c r="AL1015" s="397"/>
      <c r="AM1015" s="397"/>
      <c r="AN1015" s="397"/>
      <c r="AO1015" s="397"/>
      <c r="AP1015" s="397"/>
      <c r="AQ1015" s="397"/>
      <c r="AS1015" s="133"/>
    </row>
    <row r="1016" spans="1:45" ht="15.75" customHeight="1" thickBot="1" x14ac:dyDescent="0.35">
      <c r="A1016" s="222"/>
      <c r="B1016" s="403" t="s">
        <v>730</v>
      </c>
      <c r="C1016" s="404"/>
      <c r="D1016" s="404"/>
      <c r="E1016" s="404"/>
      <c r="F1016" s="405"/>
      <c r="G1016" s="403" t="s">
        <v>731</v>
      </c>
      <c r="H1016" s="404"/>
      <c r="I1016" s="404"/>
      <c r="J1016" s="404"/>
      <c r="K1016" s="404"/>
      <c r="L1016" s="404"/>
      <c r="M1016" s="406" t="s">
        <v>732</v>
      </c>
      <c r="N1016" s="429"/>
      <c r="O1016" s="429"/>
      <c r="P1016" s="429"/>
      <c r="Q1016" s="429"/>
      <c r="R1016" s="430"/>
      <c r="S1016" s="403" t="s">
        <v>733</v>
      </c>
      <c r="T1016" s="431"/>
      <c r="U1016" s="432"/>
      <c r="V1016" s="133"/>
      <c r="AC1016" s="95"/>
      <c r="AS1016" s="133"/>
    </row>
    <row r="1017" spans="1:45" ht="15.75" customHeight="1" x14ac:dyDescent="0.3">
      <c r="A1017" s="222"/>
      <c r="B1017" s="189" t="s">
        <v>639</v>
      </c>
      <c r="C1017" s="182"/>
      <c r="D1017" s="182" t="s">
        <v>734</v>
      </c>
      <c r="E1017" s="182" t="s">
        <v>735</v>
      </c>
      <c r="F1017" s="224" t="s">
        <v>736</v>
      </c>
      <c r="G1017" s="189" t="s">
        <v>737</v>
      </c>
      <c r="H1017" s="182"/>
      <c r="I1017" s="182"/>
      <c r="J1017" s="182" t="s">
        <v>738</v>
      </c>
      <c r="K1017" s="182" t="s">
        <v>739</v>
      </c>
      <c r="L1017" s="182" t="s">
        <v>740</v>
      </c>
      <c r="M1017" s="446" t="s">
        <v>741</v>
      </c>
      <c r="N1017" s="447"/>
      <c r="O1017" s="448"/>
      <c r="P1017" s="226"/>
      <c r="Q1017" s="227"/>
      <c r="R1017" s="225"/>
      <c r="S1017" s="182" t="s">
        <v>742</v>
      </c>
      <c r="T1017" s="228" t="s">
        <v>743</v>
      </c>
      <c r="U1017" s="229" t="s">
        <v>744</v>
      </c>
      <c r="V1017" s="133"/>
      <c r="AC1017" s="95"/>
      <c r="AD1017" s="395">
        <f>$A$5</f>
        <v>2020</v>
      </c>
      <c r="AE1017" s="397"/>
      <c r="AF1017" s="397"/>
      <c r="AG1017" s="397"/>
      <c r="AH1017" s="397"/>
      <c r="AI1017" s="397"/>
      <c r="AJ1017" s="397"/>
      <c r="AK1017" s="397"/>
      <c r="AL1017" s="397"/>
      <c r="AM1017" s="397"/>
      <c r="AN1017" s="397"/>
      <c r="AO1017" s="397"/>
      <c r="AP1017" s="397"/>
      <c r="AQ1017" s="397"/>
      <c r="AS1017" s="133"/>
    </row>
    <row r="1018" spans="1:45" ht="15.75" customHeight="1" x14ac:dyDescent="0.3">
      <c r="A1018" s="222"/>
      <c r="B1018" s="230" t="s">
        <v>745</v>
      </c>
      <c r="C1018" s="231" t="s">
        <v>746</v>
      </c>
      <c r="D1018" s="231" t="s">
        <v>747</v>
      </c>
      <c r="E1018" s="182" t="s">
        <v>658</v>
      </c>
      <c r="F1018" s="232" t="s">
        <v>748</v>
      </c>
      <c r="G1018" s="189" t="s">
        <v>640</v>
      </c>
      <c r="H1018" s="182" t="s">
        <v>749</v>
      </c>
      <c r="I1018" s="182" t="s">
        <v>750</v>
      </c>
      <c r="J1018" s="231" t="s">
        <v>751</v>
      </c>
      <c r="K1018" s="182" t="s">
        <v>723</v>
      </c>
      <c r="L1018" s="231" t="s">
        <v>752</v>
      </c>
      <c r="M1018" s="233" t="s">
        <v>753</v>
      </c>
      <c r="N1018" s="226" t="s">
        <v>754</v>
      </c>
      <c r="O1018" s="234" t="s">
        <v>641</v>
      </c>
      <c r="P1018" s="226" t="s">
        <v>755</v>
      </c>
      <c r="Q1018" s="226" t="s">
        <v>755</v>
      </c>
      <c r="R1018" s="234" t="s">
        <v>756</v>
      </c>
      <c r="S1018" s="182" t="s">
        <v>757</v>
      </c>
      <c r="T1018" s="182" t="s">
        <v>758</v>
      </c>
      <c r="U1018" s="224" t="s">
        <v>759</v>
      </c>
      <c r="V1018" s="133"/>
      <c r="AC1018" s="95"/>
      <c r="AD1018" s="394" t="s">
        <v>717</v>
      </c>
      <c r="AE1018" s="396"/>
      <c r="AF1018" s="396"/>
      <c r="AG1018" s="396"/>
      <c r="AH1018" s="396"/>
      <c r="AI1018" s="396"/>
      <c r="AJ1018" s="396"/>
      <c r="AK1018" s="396"/>
      <c r="AL1018" s="396"/>
      <c r="AM1018" s="396"/>
      <c r="AN1018" s="396"/>
      <c r="AO1018" s="396"/>
      <c r="AP1018" s="396"/>
      <c r="AQ1018" s="396"/>
      <c r="AR1018" s="182"/>
      <c r="AS1018" s="133"/>
    </row>
    <row r="1019" spans="1:45" ht="15.75" customHeight="1" x14ac:dyDescent="0.3">
      <c r="A1019" s="222"/>
      <c r="B1019" s="235" t="s">
        <v>760</v>
      </c>
      <c r="C1019" s="215">
        <v>0</v>
      </c>
      <c r="D1019" s="215"/>
      <c r="E1019" s="182" t="s">
        <v>761</v>
      </c>
      <c r="F1019" s="236" t="s">
        <v>762</v>
      </c>
      <c r="G1019" s="189" t="s">
        <v>763</v>
      </c>
      <c r="H1019" s="182" t="s">
        <v>658</v>
      </c>
      <c r="I1019" s="182" t="s">
        <v>658</v>
      </c>
      <c r="J1019" s="182" t="s">
        <v>658</v>
      </c>
      <c r="K1019" s="182" t="s">
        <v>743</v>
      </c>
      <c r="L1019" s="182" t="s">
        <v>764</v>
      </c>
      <c r="M1019" s="237" t="s">
        <v>648</v>
      </c>
      <c r="N1019" s="227" t="s">
        <v>765</v>
      </c>
      <c r="O1019" s="234" t="s">
        <v>766</v>
      </c>
      <c r="P1019" s="227" t="s">
        <v>767</v>
      </c>
      <c r="Q1019" s="226" t="s">
        <v>767</v>
      </c>
      <c r="R1019" s="234" t="s">
        <v>766</v>
      </c>
      <c r="S1019" s="182" t="s">
        <v>658</v>
      </c>
      <c r="T1019" s="182" t="s">
        <v>658</v>
      </c>
      <c r="U1019" s="224" t="s">
        <v>658</v>
      </c>
      <c r="V1019" s="133"/>
      <c r="AC1019" s="95"/>
      <c r="AK1019" s="190"/>
      <c r="AS1019" s="133"/>
    </row>
    <row r="1020" spans="1:45" ht="15.75" customHeight="1" thickBot="1" x14ac:dyDescent="0.35">
      <c r="A1020" s="213" t="s">
        <v>768</v>
      </c>
      <c r="B1020" s="189" t="s">
        <v>705</v>
      </c>
      <c r="C1020" s="182" t="s">
        <v>705</v>
      </c>
      <c r="D1020" s="182" t="s">
        <v>705</v>
      </c>
      <c r="E1020" s="182" t="s">
        <v>705</v>
      </c>
      <c r="F1020" s="224" t="s">
        <v>705</v>
      </c>
      <c r="G1020" s="189" t="s">
        <v>705</v>
      </c>
      <c r="H1020" s="182" t="s">
        <v>705</v>
      </c>
      <c r="I1020" s="182" t="s">
        <v>705</v>
      </c>
      <c r="J1020" s="182" t="s">
        <v>705</v>
      </c>
      <c r="K1020" s="182" t="s">
        <v>705</v>
      </c>
      <c r="L1020" s="182" t="s">
        <v>705</v>
      </c>
      <c r="M1020" s="237" t="s">
        <v>705</v>
      </c>
      <c r="N1020" s="227" t="s">
        <v>705</v>
      </c>
      <c r="O1020" s="234" t="s">
        <v>705</v>
      </c>
      <c r="P1020" s="227" t="s">
        <v>365</v>
      </c>
      <c r="Q1020" s="226" t="s">
        <v>705</v>
      </c>
      <c r="R1020" s="234" t="s">
        <v>705</v>
      </c>
      <c r="S1020" s="182" t="s">
        <v>705</v>
      </c>
      <c r="T1020" s="182" t="s">
        <v>705</v>
      </c>
      <c r="U1020" s="224" t="s">
        <v>705</v>
      </c>
      <c r="V1020" s="133"/>
      <c r="AC1020" s="95"/>
      <c r="AD1020" s="191" t="s">
        <v>677</v>
      </c>
      <c r="AE1020" s="191" t="s">
        <v>678</v>
      </c>
      <c r="AF1020" s="191" t="s">
        <v>679</v>
      </c>
      <c r="AG1020" s="191" t="s">
        <v>680</v>
      </c>
      <c r="AH1020" s="191" t="s">
        <v>644</v>
      </c>
      <c r="AI1020" s="191" t="s">
        <v>681</v>
      </c>
      <c r="AJ1020" s="191" t="s">
        <v>682</v>
      </c>
      <c r="AK1020" s="191" t="s">
        <v>683</v>
      </c>
      <c r="AL1020" s="191" t="s">
        <v>684</v>
      </c>
      <c r="AM1020" s="191" t="s">
        <v>685</v>
      </c>
      <c r="AN1020" s="191" t="s">
        <v>686</v>
      </c>
      <c r="AO1020" s="191" t="s">
        <v>687</v>
      </c>
      <c r="AP1020" s="191" t="s">
        <v>688</v>
      </c>
      <c r="AQ1020" s="191" t="s">
        <v>689</v>
      </c>
      <c r="AR1020" s="191" t="s">
        <v>638</v>
      </c>
      <c r="AS1020" s="209" t="s">
        <v>641</v>
      </c>
    </row>
    <row r="1021" spans="1:45" ht="15.75" customHeight="1" x14ac:dyDescent="0.3">
      <c r="A1021" s="213" t="s">
        <v>666</v>
      </c>
      <c r="B1021" s="189" t="s">
        <v>666</v>
      </c>
      <c r="C1021" s="182" t="s">
        <v>666</v>
      </c>
      <c r="D1021" s="182" t="s">
        <v>666</v>
      </c>
      <c r="E1021" s="182" t="s">
        <v>769</v>
      </c>
      <c r="F1021" s="224" t="s">
        <v>666</v>
      </c>
      <c r="G1021" s="189" t="s">
        <v>666</v>
      </c>
      <c r="H1021" s="182" t="s">
        <v>770</v>
      </c>
      <c r="I1021" s="182" t="s">
        <v>770</v>
      </c>
      <c r="J1021" s="182" t="s">
        <v>666</v>
      </c>
      <c r="K1021" s="182" t="s">
        <v>666</v>
      </c>
      <c r="L1021" s="182" t="s">
        <v>666</v>
      </c>
      <c r="M1021" s="237" t="s">
        <v>666</v>
      </c>
      <c r="N1021" s="227" t="s">
        <v>666</v>
      </c>
      <c r="O1021" s="234" t="s">
        <v>666</v>
      </c>
      <c r="P1021" s="237" t="s">
        <v>666</v>
      </c>
      <c r="Q1021" s="227" t="s">
        <v>666</v>
      </c>
      <c r="R1021" s="234" t="s">
        <v>666</v>
      </c>
      <c r="S1021" s="182" t="s">
        <v>666</v>
      </c>
      <c r="T1021" s="182" t="s">
        <v>666</v>
      </c>
      <c r="U1021" s="224" t="s">
        <v>666</v>
      </c>
      <c r="V1021" s="133"/>
      <c r="AC1021" s="95"/>
      <c r="AD1021" s="180"/>
      <c r="AE1021" s="180"/>
      <c r="AF1021" s="180"/>
      <c r="AG1021" s="180"/>
      <c r="AH1021" s="182" t="s">
        <v>718</v>
      </c>
      <c r="AI1021" s="180"/>
      <c r="AJ1021" s="180"/>
      <c r="AK1021" s="180"/>
      <c r="AL1021" s="180"/>
      <c r="AM1021" s="180"/>
      <c r="AN1021" s="180"/>
      <c r="AO1021" s="180"/>
      <c r="AP1021" s="180"/>
      <c r="AQ1021" s="180"/>
      <c r="AR1021" s="180"/>
      <c r="AS1021" s="210"/>
    </row>
    <row r="1022" spans="1:45" ht="15.75" customHeight="1" x14ac:dyDescent="0.3">
      <c r="A1022" s="192" t="s">
        <v>8</v>
      </c>
      <c r="B1022" s="189">
        <f>ROUND(R994-G994,0)</f>
        <v>130816</v>
      </c>
      <c r="C1022" s="182">
        <f>+ROUND(B1022*$C$1019,0)</f>
        <v>0</v>
      </c>
      <c r="D1022" s="182">
        <f>AS994</f>
        <v>5654</v>
      </c>
      <c r="E1022" s="182">
        <f>+B1022+C1022</f>
        <v>130816</v>
      </c>
      <c r="F1022" s="224">
        <f>(D1022+E1022)</f>
        <v>136470</v>
      </c>
      <c r="G1022" s="189">
        <f>ABS(G994)</f>
        <v>0</v>
      </c>
      <c r="H1022" s="238">
        <v>9026</v>
      </c>
      <c r="I1022" s="238">
        <v>0</v>
      </c>
      <c r="J1022" s="182">
        <f>(H1022+I1022)</f>
        <v>9026</v>
      </c>
      <c r="K1022" s="238">
        <v>0</v>
      </c>
      <c r="L1022" s="238">
        <v>0</v>
      </c>
      <c r="M1022" s="239">
        <f>D1022+E1022-G1022-J1022-K1022-L1022</f>
        <v>127444</v>
      </c>
      <c r="N1022" s="240">
        <v>0</v>
      </c>
      <c r="O1022" s="234">
        <f>M1022+N1022</f>
        <v>127444</v>
      </c>
      <c r="P1022" s="241">
        <v>0.2</v>
      </c>
      <c r="Q1022" s="227">
        <f>-O1022*P1022</f>
        <v>-25488.800000000003</v>
      </c>
      <c r="R1022" s="234">
        <f>O1022+Q1022</f>
        <v>101955.2</v>
      </c>
      <c r="S1022" s="242">
        <f t="shared" ref="S1022:S1033" si="377">(F1022-G1022-J1022-K1022-L1022-R1022)</f>
        <v>25488.800000000003</v>
      </c>
      <c r="T1022" s="182">
        <f>+IF(S1022&gt;=0,ABS(S1022),"")</f>
        <v>25488.800000000003</v>
      </c>
      <c r="U1022" s="224" t="str">
        <f>+IF(S1022&lt;=0,ABS(S1022),"")</f>
        <v/>
      </c>
      <c r="V1022" s="133"/>
      <c r="AC1022" s="211" t="s">
        <v>771</v>
      </c>
      <c r="AD1022" s="212"/>
      <c r="AE1022" s="212"/>
      <c r="AF1022" s="212"/>
      <c r="AG1022" s="212"/>
      <c r="AH1022" s="212">
        <v>1.6E-2</v>
      </c>
      <c r="AI1022" s="212">
        <v>1.6E-2</v>
      </c>
      <c r="AJ1022" s="212">
        <v>1.6E-2</v>
      </c>
      <c r="AK1022" s="212">
        <v>1.6E-2</v>
      </c>
      <c r="AL1022" s="212">
        <v>1.6E-2</v>
      </c>
      <c r="AM1022" s="212">
        <v>1.6E-2</v>
      </c>
      <c r="AN1022" s="212">
        <v>1.6E-2</v>
      </c>
      <c r="AO1022" s="212">
        <v>1.6E-2</v>
      </c>
      <c r="AP1022" s="212">
        <v>1.6E-2</v>
      </c>
      <c r="AQ1022" s="212">
        <v>1.6E-2</v>
      </c>
      <c r="AR1022" s="212">
        <v>1.6E-2</v>
      </c>
      <c r="AS1022" s="213"/>
    </row>
    <row r="1023" spans="1:45" ht="15.75" customHeight="1" x14ac:dyDescent="0.3">
      <c r="A1023" s="192" t="s">
        <v>9</v>
      </c>
      <c r="B1023" s="189">
        <f>ROUND(R995-G995,0)</f>
        <v>142944</v>
      </c>
      <c r="C1023" s="182">
        <f t="shared" ref="C1023:C1033" si="378">+ROUND(B1023*$C$1019,0)</f>
        <v>0</v>
      </c>
      <c r="D1023" s="182">
        <f t="shared" ref="D1023:D1033" si="379">AS995</f>
        <v>6167</v>
      </c>
      <c r="E1023" s="182">
        <f t="shared" ref="E1023:E1035" si="380">+B1023+C1023</f>
        <v>142944</v>
      </c>
      <c r="F1023" s="224">
        <f t="shared" ref="F1023:F1033" si="381">(D1023+E1023)</f>
        <v>149111</v>
      </c>
      <c r="G1023" s="189">
        <f t="shared" ref="G1023:G1033" si="382">ABS(G995)</f>
        <v>0</v>
      </c>
      <c r="H1023" s="238">
        <v>10267</v>
      </c>
      <c r="I1023" s="238">
        <v>0</v>
      </c>
      <c r="J1023" s="182">
        <f t="shared" ref="J1023:J1032" si="383">(H1023+I1023)</f>
        <v>10267</v>
      </c>
      <c r="K1023" s="238">
        <v>0</v>
      </c>
      <c r="L1023" s="238">
        <v>0</v>
      </c>
      <c r="M1023" s="239">
        <f t="shared" ref="M1023:M1033" si="384">D1023+E1023-G1023-J1023-K1023-L1023</f>
        <v>138844</v>
      </c>
      <c r="N1023" s="240">
        <v>0</v>
      </c>
      <c r="O1023" s="234">
        <f t="shared" ref="O1023:O1033" si="385">M1023+N1023</f>
        <v>138844</v>
      </c>
      <c r="P1023" s="241">
        <v>0.25</v>
      </c>
      <c r="Q1023" s="227">
        <f t="shared" ref="Q1023:Q1033" si="386">-O1023*P1023</f>
        <v>-34711</v>
      </c>
      <c r="R1023" s="234">
        <f t="shared" ref="R1023:R1033" si="387">O1023+Q1023</f>
        <v>104133</v>
      </c>
      <c r="S1023" s="242">
        <f t="shared" si="377"/>
        <v>34711</v>
      </c>
      <c r="T1023" s="182">
        <f t="shared" ref="T1023:T1033" si="388">+IF(S1023&gt;=0,ABS(S1023),"")</f>
        <v>34711</v>
      </c>
      <c r="U1023" s="224" t="str">
        <f t="shared" ref="U1023:U1033" si="389">+IF(S1023&lt;=0,ABS(S1023),"")</f>
        <v/>
      </c>
      <c r="V1023" s="133"/>
      <c r="AC1023" s="211" t="s">
        <v>720</v>
      </c>
      <c r="AD1023" s="212"/>
      <c r="AE1023" s="212"/>
      <c r="AF1023" s="212"/>
      <c r="AG1023" s="212"/>
      <c r="AH1023" s="212"/>
      <c r="AI1023" s="212"/>
      <c r="AJ1023" s="212"/>
      <c r="AK1023" s="212"/>
      <c r="AL1023" s="212"/>
      <c r="AM1023" s="212"/>
      <c r="AN1023" s="212"/>
      <c r="AO1023" s="212"/>
      <c r="AP1023" s="212"/>
      <c r="AQ1023" s="212"/>
      <c r="AR1023" s="212"/>
      <c r="AS1023" s="213"/>
    </row>
    <row r="1024" spans="1:45" ht="15.75" customHeight="1" x14ac:dyDescent="0.3">
      <c r="A1024" s="192" t="s">
        <v>10</v>
      </c>
      <c r="B1024" s="189">
        <f t="shared" ref="B1024:B1033" si="390">ROUND(R996-G996,0)</f>
        <v>281865</v>
      </c>
      <c r="C1024" s="182">
        <f t="shared" si="378"/>
        <v>0</v>
      </c>
      <c r="D1024" s="182">
        <f t="shared" si="379"/>
        <v>12091</v>
      </c>
      <c r="E1024" s="182">
        <f t="shared" si="380"/>
        <v>281865</v>
      </c>
      <c r="F1024" s="224">
        <f t="shared" si="381"/>
        <v>293956</v>
      </c>
      <c r="G1024" s="189">
        <f t="shared" si="382"/>
        <v>0</v>
      </c>
      <c r="H1024" s="238">
        <v>15833</v>
      </c>
      <c r="I1024" s="238">
        <v>0</v>
      </c>
      <c r="J1024" s="182">
        <f t="shared" si="383"/>
        <v>15833</v>
      </c>
      <c r="K1024" s="238">
        <v>0</v>
      </c>
      <c r="L1024" s="238">
        <v>0</v>
      </c>
      <c r="M1024" s="239">
        <f t="shared" si="384"/>
        <v>278123</v>
      </c>
      <c r="N1024" s="240">
        <v>0</v>
      </c>
      <c r="O1024" s="234">
        <f t="shared" si="385"/>
        <v>278123</v>
      </c>
      <c r="P1024" s="241">
        <v>0.3</v>
      </c>
      <c r="Q1024" s="227">
        <f t="shared" si="386"/>
        <v>-83436.899999999994</v>
      </c>
      <c r="R1024" s="234">
        <f t="shared" si="387"/>
        <v>194686.1</v>
      </c>
      <c r="S1024" s="242">
        <f t="shared" si="377"/>
        <v>83436.899999999994</v>
      </c>
      <c r="T1024" s="182">
        <f t="shared" si="388"/>
        <v>83436.899999999994</v>
      </c>
      <c r="U1024" s="224" t="str">
        <f t="shared" si="389"/>
        <v/>
      </c>
      <c r="V1024" s="133"/>
      <c r="AC1024" s="211" t="s">
        <v>721</v>
      </c>
      <c r="AD1024" s="212"/>
      <c r="AE1024" s="212"/>
      <c r="AF1024" s="212"/>
      <c r="AG1024" s="212"/>
      <c r="AH1024" s="212"/>
      <c r="AI1024" s="212"/>
      <c r="AJ1024" s="212"/>
      <c r="AK1024" s="212"/>
      <c r="AL1024" s="212"/>
      <c r="AM1024" s="212"/>
      <c r="AN1024" s="212"/>
      <c r="AO1024" s="212"/>
      <c r="AP1024" s="212"/>
      <c r="AQ1024" s="212"/>
      <c r="AR1024" s="212"/>
      <c r="AS1024" s="213"/>
    </row>
    <row r="1025" spans="1:45" ht="15.75" customHeight="1" x14ac:dyDescent="0.3">
      <c r="A1025" s="192" t="s">
        <v>12</v>
      </c>
      <c r="B1025" s="189">
        <f t="shared" si="390"/>
        <v>266244</v>
      </c>
      <c r="C1025" s="182">
        <f t="shared" si="378"/>
        <v>0</v>
      </c>
      <c r="D1025" s="182">
        <f t="shared" si="379"/>
        <v>11743</v>
      </c>
      <c r="E1025" s="182">
        <f t="shared" si="380"/>
        <v>266244</v>
      </c>
      <c r="F1025" s="224">
        <f t="shared" si="381"/>
        <v>277987</v>
      </c>
      <c r="G1025" s="189">
        <f t="shared" si="382"/>
        <v>0</v>
      </c>
      <c r="H1025" s="238">
        <v>15927</v>
      </c>
      <c r="I1025" s="238">
        <v>0</v>
      </c>
      <c r="J1025" s="182">
        <f t="shared" si="383"/>
        <v>15927</v>
      </c>
      <c r="K1025" s="238">
        <v>0</v>
      </c>
      <c r="L1025" s="238">
        <v>0</v>
      </c>
      <c r="M1025" s="239">
        <f t="shared" si="384"/>
        <v>262060</v>
      </c>
      <c r="N1025" s="240">
        <v>-22320</v>
      </c>
      <c r="O1025" s="234">
        <f t="shared" si="385"/>
        <v>239740</v>
      </c>
      <c r="P1025" s="241">
        <v>0.35</v>
      </c>
      <c r="Q1025" s="227">
        <f t="shared" si="386"/>
        <v>-83909</v>
      </c>
      <c r="R1025" s="234">
        <f t="shared" si="387"/>
        <v>155831</v>
      </c>
      <c r="S1025" s="242">
        <f t="shared" si="377"/>
        <v>106229</v>
      </c>
      <c r="T1025" s="182">
        <f t="shared" si="388"/>
        <v>106229</v>
      </c>
      <c r="U1025" s="224" t="str">
        <f t="shared" si="389"/>
        <v/>
      </c>
      <c r="V1025" s="133"/>
      <c r="AC1025" s="211" t="s">
        <v>137</v>
      </c>
      <c r="AD1025" s="212"/>
      <c r="AE1025" s="212"/>
      <c r="AF1025" s="212"/>
      <c r="AG1025" s="212"/>
      <c r="AH1025" s="212"/>
      <c r="AI1025" s="212"/>
      <c r="AJ1025" s="212"/>
      <c r="AK1025" s="212"/>
      <c r="AL1025" s="212"/>
      <c r="AM1025" s="212"/>
      <c r="AN1025" s="212"/>
      <c r="AO1025" s="212"/>
      <c r="AP1025" s="212"/>
      <c r="AQ1025" s="212"/>
      <c r="AR1025" s="212"/>
      <c r="AS1025" s="213"/>
    </row>
    <row r="1026" spans="1:45" ht="15.75" customHeight="1" x14ac:dyDescent="0.3">
      <c r="A1026" s="192" t="s">
        <v>13</v>
      </c>
      <c r="B1026" s="189">
        <f t="shared" si="390"/>
        <v>273758</v>
      </c>
      <c r="C1026" s="182">
        <f t="shared" si="378"/>
        <v>0</v>
      </c>
      <c r="D1026" s="182">
        <f t="shared" si="379"/>
        <v>12095</v>
      </c>
      <c r="E1026" s="182">
        <f t="shared" si="380"/>
        <v>273758</v>
      </c>
      <c r="F1026" s="224">
        <f t="shared" si="381"/>
        <v>285853</v>
      </c>
      <c r="G1026" s="189">
        <f t="shared" si="382"/>
        <v>1565.883333737125</v>
      </c>
      <c r="H1026" s="238">
        <v>14250</v>
      </c>
      <c r="I1026" s="238">
        <v>0</v>
      </c>
      <c r="J1026" s="182">
        <f t="shared" si="383"/>
        <v>14250</v>
      </c>
      <c r="K1026" s="238">
        <v>0</v>
      </c>
      <c r="L1026" s="238">
        <v>0</v>
      </c>
      <c r="M1026" s="239">
        <f t="shared" si="384"/>
        <v>270037.11666626285</v>
      </c>
      <c r="N1026" s="240">
        <v>0</v>
      </c>
      <c r="O1026" s="234">
        <f t="shared" si="385"/>
        <v>270037.11666626285</v>
      </c>
      <c r="P1026" s="241">
        <v>0.35</v>
      </c>
      <c r="Q1026" s="227">
        <f t="shared" si="386"/>
        <v>-94512.990833191987</v>
      </c>
      <c r="R1026" s="234">
        <f t="shared" si="387"/>
        <v>175524.12583307087</v>
      </c>
      <c r="S1026" s="242">
        <f t="shared" si="377"/>
        <v>94512.990833191987</v>
      </c>
      <c r="T1026" s="182">
        <f t="shared" si="388"/>
        <v>94512.990833191987</v>
      </c>
      <c r="U1026" s="224" t="str">
        <f t="shared" si="389"/>
        <v/>
      </c>
      <c r="V1026" s="133"/>
      <c r="AC1026" s="211" t="s">
        <v>772</v>
      </c>
      <c r="AD1026" s="212"/>
      <c r="AE1026" s="212"/>
      <c r="AF1026" s="212"/>
      <c r="AG1026" s="212"/>
      <c r="AH1026" s="212"/>
      <c r="AI1026" s="212"/>
      <c r="AJ1026" s="212">
        <v>2.5000000000000001E-2</v>
      </c>
      <c r="AK1026" s="212">
        <v>2.5000000000000001E-2</v>
      </c>
      <c r="AL1026" s="212">
        <v>2.5000000000000001E-2</v>
      </c>
      <c r="AM1026" s="212">
        <v>2.5000000000000001E-2</v>
      </c>
      <c r="AN1026" s="212">
        <v>2.5000000000000001E-2</v>
      </c>
      <c r="AO1026" s="212">
        <v>2.5000000000000001E-2</v>
      </c>
      <c r="AP1026" s="212">
        <v>2.5000000000000001E-2</v>
      </c>
      <c r="AQ1026" s="212">
        <v>2.5000000000000001E-2</v>
      </c>
      <c r="AR1026" s="212">
        <v>2.5000000000000001E-2</v>
      </c>
      <c r="AS1026" s="213"/>
    </row>
    <row r="1027" spans="1:45" ht="15.75" customHeight="1" x14ac:dyDescent="0.3">
      <c r="A1027" s="192" t="s">
        <v>14</v>
      </c>
      <c r="B1027" s="189">
        <f>ROUND(R999-G999,0)</f>
        <v>186538</v>
      </c>
      <c r="C1027" s="182">
        <f t="shared" si="378"/>
        <v>0</v>
      </c>
      <c r="D1027" s="182">
        <f t="shared" si="379"/>
        <v>7918</v>
      </c>
      <c r="E1027" s="182">
        <f t="shared" si="380"/>
        <v>186538</v>
      </c>
      <c r="F1027" s="224">
        <f t="shared" si="381"/>
        <v>194456</v>
      </c>
      <c r="G1027" s="189">
        <f t="shared" si="382"/>
        <v>13387.798855960762</v>
      </c>
      <c r="H1027" s="238">
        <v>12696</v>
      </c>
      <c r="I1027" s="238">
        <v>0</v>
      </c>
      <c r="J1027" s="182">
        <f t="shared" si="383"/>
        <v>12696</v>
      </c>
      <c r="K1027" s="238">
        <v>0</v>
      </c>
      <c r="L1027" s="238">
        <v>0</v>
      </c>
      <c r="M1027" s="239">
        <f t="shared" si="384"/>
        <v>168372.20114403922</v>
      </c>
      <c r="N1027" s="240">
        <v>47280</v>
      </c>
      <c r="O1027" s="234">
        <f t="shared" si="385"/>
        <v>215652.20114403922</v>
      </c>
      <c r="P1027" s="241">
        <v>7.4999999999999997E-2</v>
      </c>
      <c r="Q1027" s="227">
        <f t="shared" si="386"/>
        <v>-16173.915085802941</v>
      </c>
      <c r="R1027" s="234">
        <f t="shared" si="387"/>
        <v>199478.28605823629</v>
      </c>
      <c r="S1027" s="242">
        <f t="shared" si="377"/>
        <v>-31106.084914197068</v>
      </c>
      <c r="T1027" s="182" t="str">
        <f t="shared" si="388"/>
        <v/>
      </c>
      <c r="U1027" s="224">
        <f t="shared" si="389"/>
        <v>31106.084914197068</v>
      </c>
      <c r="V1027" s="133"/>
      <c r="AC1027" s="211" t="s">
        <v>641</v>
      </c>
      <c r="AD1027" s="215">
        <f>SUM(AD1022:AD1026)</f>
        <v>0</v>
      </c>
      <c r="AE1027" s="215">
        <f t="shared" ref="AE1027:AR1027" si="391">SUM(AE1022:AE1026)</f>
        <v>0</v>
      </c>
      <c r="AF1027" s="215">
        <f t="shared" si="391"/>
        <v>0</v>
      </c>
      <c r="AG1027" s="215">
        <f t="shared" si="391"/>
        <v>0</v>
      </c>
      <c r="AH1027" s="215">
        <f t="shared" si="391"/>
        <v>1.6E-2</v>
      </c>
      <c r="AI1027" s="215">
        <f t="shared" si="391"/>
        <v>1.6E-2</v>
      </c>
      <c r="AJ1027" s="215">
        <f t="shared" si="391"/>
        <v>4.1000000000000002E-2</v>
      </c>
      <c r="AK1027" s="215">
        <f t="shared" si="391"/>
        <v>4.1000000000000002E-2</v>
      </c>
      <c r="AL1027" s="215">
        <f t="shared" si="391"/>
        <v>4.1000000000000002E-2</v>
      </c>
      <c r="AM1027" s="215">
        <f t="shared" si="391"/>
        <v>4.1000000000000002E-2</v>
      </c>
      <c r="AN1027" s="215">
        <f t="shared" si="391"/>
        <v>4.1000000000000002E-2</v>
      </c>
      <c r="AO1027" s="215">
        <f t="shared" si="391"/>
        <v>4.1000000000000002E-2</v>
      </c>
      <c r="AP1027" s="215">
        <f t="shared" si="391"/>
        <v>4.1000000000000002E-2</v>
      </c>
      <c r="AQ1027" s="215">
        <f t="shared" si="391"/>
        <v>4.1000000000000002E-2</v>
      </c>
      <c r="AR1027" s="215">
        <f t="shared" si="391"/>
        <v>4.1000000000000002E-2</v>
      </c>
      <c r="AS1027" s="213"/>
    </row>
    <row r="1028" spans="1:45" ht="15.75" customHeight="1" x14ac:dyDescent="0.3">
      <c r="A1028" s="192" t="s">
        <v>16</v>
      </c>
      <c r="B1028" s="189">
        <f t="shared" si="390"/>
        <v>117865</v>
      </c>
      <c r="C1028" s="182">
        <f t="shared" si="378"/>
        <v>0</v>
      </c>
      <c r="D1028" s="182">
        <f t="shared" si="379"/>
        <v>4766</v>
      </c>
      <c r="E1028" s="182">
        <f t="shared" si="380"/>
        <v>117865</v>
      </c>
      <c r="F1028" s="224">
        <f t="shared" si="381"/>
        <v>122631</v>
      </c>
      <c r="G1028" s="189">
        <f t="shared" si="382"/>
        <v>13689.203959485192</v>
      </c>
      <c r="H1028" s="238">
        <v>11620</v>
      </c>
      <c r="I1028" s="238">
        <v>0</v>
      </c>
      <c r="J1028" s="182">
        <f t="shared" si="383"/>
        <v>11620</v>
      </c>
      <c r="K1028" s="238">
        <v>0</v>
      </c>
      <c r="L1028" s="238">
        <v>0</v>
      </c>
      <c r="M1028" s="239">
        <f t="shared" si="384"/>
        <v>97321.796040514804</v>
      </c>
      <c r="N1028" s="240">
        <v>47120</v>
      </c>
      <c r="O1028" s="234">
        <f t="shared" si="385"/>
        <v>144441.7960405148</v>
      </c>
      <c r="P1028" s="241">
        <v>0.05</v>
      </c>
      <c r="Q1028" s="227">
        <f t="shared" si="386"/>
        <v>-7222.0898020257409</v>
      </c>
      <c r="R1028" s="234">
        <f t="shared" si="387"/>
        <v>137219.70623848907</v>
      </c>
      <c r="S1028" s="242">
        <f t="shared" si="377"/>
        <v>-39897.91019797427</v>
      </c>
      <c r="T1028" s="182" t="str">
        <f t="shared" si="388"/>
        <v/>
      </c>
      <c r="U1028" s="224">
        <f t="shared" si="389"/>
        <v>39897.91019797427</v>
      </c>
      <c r="V1028" s="133"/>
      <c r="AC1028" s="189" t="s">
        <v>666</v>
      </c>
      <c r="AD1028" s="182" t="s">
        <v>666</v>
      </c>
      <c r="AE1028" s="182" t="s">
        <v>666</v>
      </c>
      <c r="AF1028" s="182" t="s">
        <v>666</v>
      </c>
      <c r="AG1028" s="182" t="s">
        <v>666</v>
      </c>
      <c r="AH1028" s="182" t="s">
        <v>666</v>
      </c>
      <c r="AI1028" s="182" t="s">
        <v>666</v>
      </c>
      <c r="AJ1028" s="182" t="s">
        <v>666</v>
      </c>
      <c r="AK1028" s="182" t="s">
        <v>666</v>
      </c>
      <c r="AL1028" s="182" t="s">
        <v>666</v>
      </c>
      <c r="AM1028" s="182" t="s">
        <v>666</v>
      </c>
      <c r="AN1028" s="182" t="s">
        <v>666</v>
      </c>
      <c r="AO1028" s="182" t="s">
        <v>666</v>
      </c>
      <c r="AP1028" s="182" t="s">
        <v>666</v>
      </c>
      <c r="AQ1028" s="182" t="s">
        <v>666</v>
      </c>
      <c r="AR1028" s="182" t="s">
        <v>666</v>
      </c>
      <c r="AS1028" s="213" t="s">
        <v>666</v>
      </c>
    </row>
    <row r="1029" spans="1:45" ht="15.75" customHeight="1" x14ac:dyDescent="0.3">
      <c r="A1029" s="192" t="s">
        <v>17</v>
      </c>
      <c r="B1029" s="189">
        <f t="shared" si="390"/>
        <v>120344</v>
      </c>
      <c r="C1029" s="182">
        <f t="shared" si="378"/>
        <v>0</v>
      </c>
      <c r="D1029" s="182">
        <f t="shared" si="379"/>
        <v>4838</v>
      </c>
      <c r="E1029" s="182">
        <f t="shared" si="380"/>
        <v>120344</v>
      </c>
      <c r="F1029" s="224">
        <f t="shared" si="381"/>
        <v>125182</v>
      </c>
      <c r="G1029" s="189">
        <f t="shared" si="382"/>
        <v>9580.748157618189</v>
      </c>
      <c r="H1029" s="238">
        <v>10241</v>
      </c>
      <c r="I1029" s="238">
        <v>0</v>
      </c>
      <c r="J1029" s="182">
        <f t="shared" si="383"/>
        <v>10241</v>
      </c>
      <c r="K1029" s="238">
        <v>0</v>
      </c>
      <c r="L1029" s="238">
        <v>0</v>
      </c>
      <c r="M1029" s="239">
        <f t="shared" si="384"/>
        <v>105360.25184238181</v>
      </c>
      <c r="N1029" s="240">
        <v>58776</v>
      </c>
      <c r="O1029" s="234">
        <f t="shared" si="385"/>
        <v>164136.25184238181</v>
      </c>
      <c r="P1029" s="241">
        <v>0</v>
      </c>
      <c r="Q1029" s="227">
        <f t="shared" si="386"/>
        <v>0</v>
      </c>
      <c r="R1029" s="234">
        <f t="shared" si="387"/>
        <v>164136.25184238181</v>
      </c>
      <c r="S1029" s="242">
        <f t="shared" si="377"/>
        <v>-58776</v>
      </c>
      <c r="T1029" s="182" t="str">
        <f t="shared" si="388"/>
        <v/>
      </c>
      <c r="U1029" s="224">
        <f t="shared" si="389"/>
        <v>58776</v>
      </c>
      <c r="V1029" s="133"/>
      <c r="AC1029" s="211" t="s">
        <v>8</v>
      </c>
      <c r="AD1029" s="180">
        <f>ROUND(B994*$AD$1027, 0)</f>
        <v>0</v>
      </c>
      <c r="AE1029" s="180">
        <f>ROUND(C994*$AE$1027,0)</f>
        <v>0</v>
      </c>
      <c r="AF1029" s="180">
        <f>ROUND(D994*$AF$1027,0)</f>
        <v>0</v>
      </c>
      <c r="AG1029" s="180">
        <f>ROUND(E994*$AG$1027,0)</f>
        <v>0</v>
      </c>
      <c r="AH1029" s="180">
        <f>ROUND(F994*$AH$1027,0)</f>
        <v>28</v>
      </c>
      <c r="AI1029" s="180">
        <f>ROUND(H994*$AI$1027,0)</f>
        <v>64</v>
      </c>
      <c r="AJ1029" s="180">
        <f>ROUND(I994*$AJ$1027,0)</f>
        <v>106</v>
      </c>
      <c r="AK1029" s="180">
        <f>ROUND(J994*$AK$1027,0)</f>
        <v>164</v>
      </c>
      <c r="AL1029" s="180">
        <f>ROUND(K994*$AL$1027,0)</f>
        <v>169</v>
      </c>
      <c r="AM1029" s="180">
        <f>ROUND(L994*$AM$1027,0)</f>
        <v>51</v>
      </c>
      <c r="AN1029" s="180">
        <f>ROUND(M994*$AN$1027,0)</f>
        <v>60</v>
      </c>
      <c r="AO1029" s="180">
        <f>ROUND(N994*$AO$1027,0)</f>
        <v>124</v>
      </c>
      <c r="AP1029" s="180">
        <f>ROUND(O994*$AP$1027,0)</f>
        <v>31</v>
      </c>
      <c r="AQ1029" s="180">
        <f>ROUND(P994*$AQ$1027,0)</f>
        <v>53</v>
      </c>
      <c r="AR1029" s="180">
        <f>ROUND(Q994*$AR$1027,0)</f>
        <v>73</v>
      </c>
      <c r="AS1029" s="210">
        <f>SUM(AD1029:AR1029)</f>
        <v>923</v>
      </c>
    </row>
    <row r="1030" spans="1:45" ht="15.75" customHeight="1" x14ac:dyDescent="0.3">
      <c r="A1030" s="192" t="s">
        <v>18</v>
      </c>
      <c r="B1030" s="189">
        <f t="shared" si="390"/>
        <v>226620</v>
      </c>
      <c r="C1030" s="182">
        <f t="shared" si="378"/>
        <v>0</v>
      </c>
      <c r="D1030" s="182">
        <f t="shared" si="379"/>
        <v>9867</v>
      </c>
      <c r="E1030" s="182">
        <f t="shared" si="380"/>
        <v>226620</v>
      </c>
      <c r="F1030" s="224">
        <f t="shared" si="381"/>
        <v>236487</v>
      </c>
      <c r="G1030" s="189">
        <f t="shared" si="382"/>
        <v>0</v>
      </c>
      <c r="H1030" s="238">
        <v>10229</v>
      </c>
      <c r="I1030" s="238">
        <v>0</v>
      </c>
      <c r="J1030" s="182">
        <f t="shared" si="383"/>
        <v>10229</v>
      </c>
      <c r="K1030" s="238">
        <v>0</v>
      </c>
      <c r="L1030" s="238">
        <v>0</v>
      </c>
      <c r="M1030" s="239">
        <f t="shared" si="384"/>
        <v>226258</v>
      </c>
      <c r="N1030" s="240">
        <v>0</v>
      </c>
      <c r="O1030" s="234">
        <f t="shared" si="385"/>
        <v>226258</v>
      </c>
      <c r="P1030" s="241">
        <v>0.05</v>
      </c>
      <c r="Q1030" s="227">
        <f t="shared" si="386"/>
        <v>-11312.900000000001</v>
      </c>
      <c r="R1030" s="234">
        <f t="shared" si="387"/>
        <v>214945.1</v>
      </c>
      <c r="S1030" s="242">
        <f t="shared" si="377"/>
        <v>11312.899999999994</v>
      </c>
      <c r="T1030" s="182">
        <f t="shared" si="388"/>
        <v>11312.899999999994</v>
      </c>
      <c r="U1030" s="224" t="str">
        <f t="shared" si="389"/>
        <v/>
      </c>
      <c r="V1030" s="133"/>
      <c r="AC1030" s="211" t="s">
        <v>9</v>
      </c>
      <c r="AD1030" s="180">
        <f t="shared" ref="AD1030:AD1040" si="392">ROUND(B995*$AD$1027, 0)</f>
        <v>0</v>
      </c>
      <c r="AE1030" s="180">
        <f t="shared" ref="AE1030:AE1040" si="393">ROUND(C995*$AE$1027,0)</f>
        <v>0</v>
      </c>
      <c r="AF1030" s="180">
        <f t="shared" ref="AF1030:AF1040" si="394">ROUND(D995*$AF$1027,0)</f>
        <v>0</v>
      </c>
      <c r="AG1030" s="180">
        <f t="shared" ref="AG1030:AG1040" si="395">ROUND(E995*$AG$1027,0)</f>
        <v>0</v>
      </c>
      <c r="AH1030" s="180">
        <f t="shared" ref="AH1030:AH1040" si="396">ROUND(F995*$AH$1027,0)</f>
        <v>0</v>
      </c>
      <c r="AI1030" s="180">
        <f t="shared" ref="AI1030:AI1040" si="397">ROUND(H995*$AI$1027,0)</f>
        <v>82</v>
      </c>
      <c r="AJ1030" s="180">
        <f t="shared" ref="AJ1030:AJ1040" si="398">ROUND(I995*$AJ$1027,0)</f>
        <v>154</v>
      </c>
      <c r="AK1030" s="180">
        <f t="shared" ref="AK1030:AK1040" si="399">ROUND(J995*$AK$1027,0)</f>
        <v>238</v>
      </c>
      <c r="AL1030" s="180">
        <f t="shared" ref="AL1030:AL1040" si="400">ROUND(K995*$AL$1027,0)</f>
        <v>241</v>
      </c>
      <c r="AM1030" s="180">
        <f t="shared" ref="AM1030:AM1040" si="401">ROUND(L995*$AM$1027,0)</f>
        <v>75</v>
      </c>
      <c r="AN1030" s="180">
        <f t="shared" ref="AN1030:AN1040" si="402">ROUND(M995*$AN$1027,0)</f>
        <v>88</v>
      </c>
      <c r="AO1030" s="180">
        <f t="shared" ref="AO1030:AO1040" si="403">ROUND(N995*$AO$1027,0)</f>
        <v>181</v>
      </c>
      <c r="AP1030" s="180">
        <f t="shared" ref="AP1030:AP1040" si="404">ROUND(O995*$AP$1027,0)</f>
        <v>28</v>
      </c>
      <c r="AQ1030" s="180">
        <f t="shared" ref="AQ1030:AQ1040" si="405">ROUND(P995*$AQ$1027,0)</f>
        <v>53</v>
      </c>
      <c r="AR1030" s="180">
        <f t="shared" ref="AR1030:AR1040" si="406">ROUND(Q995*$AR$1027,0)</f>
        <v>67</v>
      </c>
      <c r="AS1030" s="210">
        <f t="shared" ref="AS1030:AS1040" si="407">SUM(AD1030:AR1030)</f>
        <v>1207</v>
      </c>
    </row>
    <row r="1031" spans="1:45" ht="15.75" customHeight="1" x14ac:dyDescent="0.3">
      <c r="A1031" s="192" t="s">
        <v>20</v>
      </c>
      <c r="B1031" s="189">
        <f t="shared" si="390"/>
        <v>270668</v>
      </c>
      <c r="C1031" s="182">
        <f t="shared" si="378"/>
        <v>0</v>
      </c>
      <c r="D1031" s="182">
        <f t="shared" si="379"/>
        <v>11686</v>
      </c>
      <c r="E1031" s="182">
        <f t="shared" si="380"/>
        <v>270668</v>
      </c>
      <c r="F1031" s="224">
        <f t="shared" si="381"/>
        <v>282354</v>
      </c>
      <c r="G1031" s="189">
        <f t="shared" si="382"/>
        <v>0</v>
      </c>
      <c r="H1031" s="238">
        <v>10104</v>
      </c>
      <c r="I1031" s="238">
        <v>0</v>
      </c>
      <c r="J1031" s="182">
        <f t="shared" si="383"/>
        <v>10104</v>
      </c>
      <c r="K1031" s="238">
        <v>0</v>
      </c>
      <c r="L1031" s="238">
        <v>0</v>
      </c>
      <c r="M1031" s="239">
        <f t="shared" si="384"/>
        <v>272250</v>
      </c>
      <c r="N1031" s="240">
        <v>0</v>
      </c>
      <c r="O1031" s="234">
        <f t="shared" si="385"/>
        <v>272250</v>
      </c>
      <c r="P1031" s="241">
        <v>0.2</v>
      </c>
      <c r="Q1031" s="227">
        <f t="shared" si="386"/>
        <v>-54450</v>
      </c>
      <c r="R1031" s="234">
        <f t="shared" si="387"/>
        <v>217800</v>
      </c>
      <c r="S1031" s="242">
        <f t="shared" si="377"/>
        <v>54450</v>
      </c>
      <c r="T1031" s="182">
        <f t="shared" si="388"/>
        <v>54450</v>
      </c>
      <c r="U1031" s="224" t="str">
        <f t="shared" si="389"/>
        <v/>
      </c>
      <c r="V1031" s="133"/>
      <c r="AC1031" s="211" t="s">
        <v>10</v>
      </c>
      <c r="AD1031" s="180">
        <f t="shared" si="392"/>
        <v>0</v>
      </c>
      <c r="AE1031" s="180">
        <f t="shared" si="393"/>
        <v>0</v>
      </c>
      <c r="AF1031" s="180">
        <f t="shared" si="394"/>
        <v>0</v>
      </c>
      <c r="AG1031" s="180">
        <f t="shared" si="395"/>
        <v>0</v>
      </c>
      <c r="AH1031" s="180">
        <f t="shared" si="396"/>
        <v>160</v>
      </c>
      <c r="AI1031" s="180">
        <f t="shared" si="397"/>
        <v>128</v>
      </c>
      <c r="AJ1031" s="180">
        <f t="shared" si="398"/>
        <v>225</v>
      </c>
      <c r="AK1031" s="180">
        <f t="shared" si="399"/>
        <v>296</v>
      </c>
      <c r="AL1031" s="180">
        <f t="shared" si="400"/>
        <v>280</v>
      </c>
      <c r="AM1031" s="180">
        <f t="shared" si="401"/>
        <v>82</v>
      </c>
      <c r="AN1031" s="180">
        <f t="shared" si="402"/>
        <v>97</v>
      </c>
      <c r="AO1031" s="180">
        <f t="shared" si="403"/>
        <v>195</v>
      </c>
      <c r="AP1031" s="180">
        <f t="shared" si="404"/>
        <v>28</v>
      </c>
      <c r="AQ1031" s="180">
        <f t="shared" si="405"/>
        <v>66</v>
      </c>
      <c r="AR1031" s="180">
        <f t="shared" si="406"/>
        <v>65</v>
      </c>
      <c r="AS1031" s="210">
        <f t="shared" si="407"/>
        <v>1622</v>
      </c>
    </row>
    <row r="1032" spans="1:45" ht="15.75" customHeight="1" x14ac:dyDescent="0.3">
      <c r="A1032" s="192" t="s">
        <v>21</v>
      </c>
      <c r="B1032" s="189">
        <f t="shared" si="390"/>
        <v>255329</v>
      </c>
      <c r="C1032" s="182">
        <f t="shared" si="378"/>
        <v>0</v>
      </c>
      <c r="D1032" s="182">
        <f t="shared" si="379"/>
        <v>10937</v>
      </c>
      <c r="E1032" s="182">
        <f t="shared" si="380"/>
        <v>255329</v>
      </c>
      <c r="F1032" s="224">
        <f t="shared" si="381"/>
        <v>266266</v>
      </c>
      <c r="G1032" s="189">
        <f t="shared" si="382"/>
        <v>0</v>
      </c>
      <c r="H1032" s="238">
        <v>10826</v>
      </c>
      <c r="I1032" s="238">
        <v>0</v>
      </c>
      <c r="J1032" s="182">
        <f t="shared" si="383"/>
        <v>10826</v>
      </c>
      <c r="K1032" s="238">
        <v>0</v>
      </c>
      <c r="L1032" s="238">
        <v>0</v>
      </c>
      <c r="M1032" s="239">
        <f t="shared" si="384"/>
        <v>255440</v>
      </c>
      <c r="N1032" s="240">
        <v>0</v>
      </c>
      <c r="O1032" s="234">
        <f t="shared" si="385"/>
        <v>255440</v>
      </c>
      <c r="P1032" s="241">
        <v>0.2</v>
      </c>
      <c r="Q1032" s="227">
        <f t="shared" si="386"/>
        <v>-51088</v>
      </c>
      <c r="R1032" s="234">
        <f t="shared" si="387"/>
        <v>204352</v>
      </c>
      <c r="S1032" s="242">
        <f t="shared" si="377"/>
        <v>51088</v>
      </c>
      <c r="T1032" s="182">
        <f t="shared" si="388"/>
        <v>51088</v>
      </c>
      <c r="U1032" s="224" t="str">
        <f t="shared" si="389"/>
        <v/>
      </c>
      <c r="V1032" s="133"/>
      <c r="AC1032" s="211" t="s">
        <v>12</v>
      </c>
      <c r="AD1032" s="180">
        <f t="shared" si="392"/>
        <v>0</v>
      </c>
      <c r="AE1032" s="180">
        <f t="shared" si="393"/>
        <v>0</v>
      </c>
      <c r="AF1032" s="180">
        <f t="shared" si="394"/>
        <v>0</v>
      </c>
      <c r="AG1032" s="180">
        <f t="shared" si="395"/>
        <v>0</v>
      </c>
      <c r="AH1032" s="180">
        <f t="shared" si="396"/>
        <v>0</v>
      </c>
      <c r="AI1032" s="180">
        <f t="shared" si="397"/>
        <v>167</v>
      </c>
      <c r="AJ1032" s="180">
        <f t="shared" si="398"/>
        <v>275</v>
      </c>
      <c r="AK1032" s="180">
        <f t="shared" si="399"/>
        <v>311</v>
      </c>
      <c r="AL1032" s="180">
        <f t="shared" si="400"/>
        <v>279</v>
      </c>
      <c r="AM1032" s="180">
        <f t="shared" si="401"/>
        <v>85</v>
      </c>
      <c r="AN1032" s="180">
        <f t="shared" si="402"/>
        <v>100</v>
      </c>
      <c r="AO1032" s="180">
        <f t="shared" si="403"/>
        <v>199</v>
      </c>
      <c r="AP1032" s="180">
        <f t="shared" si="404"/>
        <v>30</v>
      </c>
      <c r="AQ1032" s="180">
        <f t="shared" si="405"/>
        <v>80</v>
      </c>
      <c r="AR1032" s="180">
        <f t="shared" si="406"/>
        <v>70</v>
      </c>
      <c r="AS1032" s="210">
        <f t="shared" si="407"/>
        <v>1596</v>
      </c>
    </row>
    <row r="1033" spans="1:45" ht="15.75" customHeight="1" x14ac:dyDescent="0.3">
      <c r="A1033" s="192" t="s">
        <v>22</v>
      </c>
      <c r="B1033" s="189">
        <f t="shared" si="390"/>
        <v>158087</v>
      </c>
      <c r="C1033" s="182">
        <f t="shared" si="378"/>
        <v>0</v>
      </c>
      <c r="D1033" s="182">
        <f t="shared" si="379"/>
        <v>6785</v>
      </c>
      <c r="E1033" s="182">
        <f t="shared" si="380"/>
        <v>158087</v>
      </c>
      <c r="F1033" s="224">
        <f t="shared" si="381"/>
        <v>164872</v>
      </c>
      <c r="G1033" s="189">
        <f t="shared" si="382"/>
        <v>0</v>
      </c>
      <c r="H1033" s="238">
        <v>6676</v>
      </c>
      <c r="I1033" s="238">
        <v>0</v>
      </c>
      <c r="J1033" s="182">
        <f>(H1033+I1033)</f>
        <v>6676</v>
      </c>
      <c r="K1033" s="238">
        <v>0</v>
      </c>
      <c r="L1033" s="238">
        <v>0</v>
      </c>
      <c r="M1033" s="239">
        <f t="shared" si="384"/>
        <v>158196</v>
      </c>
      <c r="N1033" s="240">
        <v>0</v>
      </c>
      <c r="O1033" s="234">
        <f t="shared" si="385"/>
        <v>158196</v>
      </c>
      <c r="P1033" s="241">
        <v>0.2</v>
      </c>
      <c r="Q1033" s="227">
        <f t="shared" si="386"/>
        <v>-31639.200000000001</v>
      </c>
      <c r="R1033" s="234">
        <f t="shared" si="387"/>
        <v>126556.8</v>
      </c>
      <c r="S1033" s="242">
        <f t="shared" si="377"/>
        <v>31639.199999999997</v>
      </c>
      <c r="T1033" s="182">
        <f t="shared" si="388"/>
        <v>31639.199999999997</v>
      </c>
      <c r="U1033" s="224" t="str">
        <f t="shared" si="389"/>
        <v/>
      </c>
      <c r="V1033" s="133"/>
      <c r="AC1033" s="211" t="s">
        <v>13</v>
      </c>
      <c r="AD1033" s="180">
        <f t="shared" si="392"/>
        <v>0</v>
      </c>
      <c r="AE1033" s="180">
        <f t="shared" si="393"/>
        <v>0</v>
      </c>
      <c r="AF1033" s="180">
        <f t="shared" si="394"/>
        <v>0</v>
      </c>
      <c r="AG1033" s="180">
        <f t="shared" si="395"/>
        <v>0</v>
      </c>
      <c r="AH1033" s="180">
        <f t="shared" si="396"/>
        <v>0</v>
      </c>
      <c r="AI1033" s="180">
        <f t="shared" si="397"/>
        <v>162</v>
      </c>
      <c r="AJ1033" s="180">
        <f t="shared" si="398"/>
        <v>234</v>
      </c>
      <c r="AK1033" s="180">
        <f t="shared" si="399"/>
        <v>307</v>
      </c>
      <c r="AL1033" s="180">
        <f t="shared" si="400"/>
        <v>296</v>
      </c>
      <c r="AM1033" s="180">
        <f t="shared" si="401"/>
        <v>90</v>
      </c>
      <c r="AN1033" s="180">
        <f t="shared" si="402"/>
        <v>106</v>
      </c>
      <c r="AO1033" s="180">
        <f t="shared" si="403"/>
        <v>210</v>
      </c>
      <c r="AP1033" s="180">
        <f t="shared" si="404"/>
        <v>34</v>
      </c>
      <c r="AQ1033" s="180">
        <f t="shared" si="405"/>
        <v>93</v>
      </c>
      <c r="AR1033" s="180">
        <f t="shared" si="406"/>
        <v>81</v>
      </c>
      <c r="AS1033" s="210">
        <f t="shared" si="407"/>
        <v>1613</v>
      </c>
    </row>
    <row r="1034" spans="1:45" ht="15.75" customHeight="1" x14ac:dyDescent="0.3">
      <c r="A1034" s="213" t="s">
        <v>633</v>
      </c>
      <c r="B1034" s="189" t="s">
        <v>633</v>
      </c>
      <c r="C1034" s="182"/>
      <c r="D1034" s="182"/>
      <c r="E1034" s="182" t="s">
        <v>7</v>
      </c>
      <c r="F1034" s="224"/>
      <c r="G1034" s="189"/>
      <c r="H1034" s="182"/>
      <c r="I1034" s="182" t="s">
        <v>7</v>
      </c>
      <c r="J1034" s="182" t="s">
        <v>7</v>
      </c>
      <c r="K1034" s="243"/>
      <c r="L1034" s="182"/>
      <c r="M1034" s="239"/>
      <c r="N1034" s="240"/>
      <c r="O1034" s="234"/>
      <c r="P1034" s="241"/>
      <c r="Q1034" s="240"/>
      <c r="R1034" s="234"/>
      <c r="S1034" s="242"/>
      <c r="T1034" s="182"/>
      <c r="U1034" s="224"/>
      <c r="V1034" s="133"/>
      <c r="AC1034" s="211" t="s">
        <v>14</v>
      </c>
      <c r="AD1034" s="180">
        <f t="shared" si="392"/>
        <v>0</v>
      </c>
      <c r="AE1034" s="180">
        <f t="shared" si="393"/>
        <v>0</v>
      </c>
      <c r="AF1034" s="180">
        <f t="shared" si="394"/>
        <v>0</v>
      </c>
      <c r="AG1034" s="180">
        <f t="shared" si="395"/>
        <v>0</v>
      </c>
      <c r="AH1034" s="180">
        <f t="shared" si="396"/>
        <v>0</v>
      </c>
      <c r="AI1034" s="180">
        <f t="shared" si="397"/>
        <v>218</v>
      </c>
      <c r="AJ1034" s="180">
        <f t="shared" si="398"/>
        <v>294</v>
      </c>
      <c r="AK1034" s="180">
        <f t="shared" si="399"/>
        <v>335</v>
      </c>
      <c r="AL1034" s="180">
        <f t="shared" si="400"/>
        <v>281</v>
      </c>
      <c r="AM1034" s="180">
        <f t="shared" si="401"/>
        <v>85</v>
      </c>
      <c r="AN1034" s="180">
        <f t="shared" si="402"/>
        <v>100</v>
      </c>
      <c r="AO1034" s="180">
        <f t="shared" si="403"/>
        <v>194</v>
      </c>
      <c r="AP1034" s="180">
        <f t="shared" si="404"/>
        <v>33</v>
      </c>
      <c r="AQ1034" s="180">
        <f t="shared" si="405"/>
        <v>95</v>
      </c>
      <c r="AR1034" s="180">
        <f t="shared" si="406"/>
        <v>77</v>
      </c>
      <c r="AS1034" s="210">
        <f t="shared" si="407"/>
        <v>1712</v>
      </c>
    </row>
    <row r="1035" spans="1:45" ht="16.5" customHeight="1" thickBot="1" x14ac:dyDescent="0.35">
      <c r="A1035" s="244" t="s">
        <v>641</v>
      </c>
      <c r="B1035" s="204">
        <f>SUM(B1022:B1033)</f>
        <v>2431078</v>
      </c>
      <c r="C1035" s="205">
        <f>+SUM(C1022:C1033)</f>
        <v>0</v>
      </c>
      <c r="D1035" s="205">
        <f>SUM(D1022:D1033)</f>
        <v>104547</v>
      </c>
      <c r="E1035" s="205">
        <f t="shared" si="380"/>
        <v>2431078</v>
      </c>
      <c r="F1035" s="245">
        <f>SUM(F1022:F1033)</f>
        <v>2535625</v>
      </c>
      <c r="G1035" s="204">
        <f>SUM(G1022:G1033)</f>
        <v>38223.634306801265</v>
      </c>
      <c r="H1035" s="205">
        <f>SUM(H1022:H1033)</f>
        <v>137695</v>
      </c>
      <c r="I1035" s="205">
        <f>SUM(I1022:I1033)</f>
        <v>0</v>
      </c>
      <c r="J1035" s="205">
        <f>(H1035+I1035)</f>
        <v>137695</v>
      </c>
      <c r="K1035" s="205">
        <f>SUM(K1022:K1033)</f>
        <v>0</v>
      </c>
      <c r="L1035" s="205">
        <f>SUM(L1022:L1033)</f>
        <v>0</v>
      </c>
      <c r="M1035" s="246">
        <f>SUM(M1022:M1033)</f>
        <v>2359706.3656931985</v>
      </c>
      <c r="N1035" s="247">
        <f>SUM(N1022:N1033)</f>
        <v>130856</v>
      </c>
      <c r="O1035" s="248">
        <f>+M1035+N1035</f>
        <v>2490562.3656931985</v>
      </c>
      <c r="P1035" s="249">
        <f>Q1035/O1035</f>
        <v>-0.19832661190298723</v>
      </c>
      <c r="Q1035" s="250">
        <f>SUM(Q1022:Q1033)</f>
        <v>-493944.79572102072</v>
      </c>
      <c r="R1035" s="248">
        <f>SUM(R1022:R1033)</f>
        <v>1996617.5699721782</v>
      </c>
      <c r="S1035" s="251">
        <f>(F1035-G1035-J1035-K1035-L1035-R1035)</f>
        <v>363088.79572102032</v>
      </c>
      <c r="T1035" s="205">
        <f>+SUM(T1022:T1033)</f>
        <v>492868.790833192</v>
      </c>
      <c r="U1035" s="245">
        <f>+SUM(U1022:U1033)</f>
        <v>129779.99511217134</v>
      </c>
      <c r="V1035" s="133"/>
      <c r="AC1035" s="211" t="s">
        <v>16</v>
      </c>
      <c r="AD1035" s="180">
        <f t="shared" si="392"/>
        <v>0</v>
      </c>
      <c r="AE1035" s="180">
        <f t="shared" si="393"/>
        <v>0</v>
      </c>
      <c r="AF1035" s="180">
        <f t="shared" si="394"/>
        <v>0</v>
      </c>
      <c r="AG1035" s="180">
        <f t="shared" si="395"/>
        <v>0</v>
      </c>
      <c r="AH1035" s="180">
        <f t="shared" si="396"/>
        <v>0</v>
      </c>
      <c r="AI1035" s="180">
        <f t="shared" si="397"/>
        <v>170</v>
      </c>
      <c r="AJ1035" s="180">
        <f t="shared" si="398"/>
        <v>293</v>
      </c>
      <c r="AK1035" s="180">
        <f t="shared" si="399"/>
        <v>316</v>
      </c>
      <c r="AL1035" s="180">
        <f t="shared" si="400"/>
        <v>276</v>
      </c>
      <c r="AM1035" s="180">
        <f t="shared" si="401"/>
        <v>85</v>
      </c>
      <c r="AN1035" s="180">
        <f t="shared" si="402"/>
        <v>100</v>
      </c>
      <c r="AO1035" s="180">
        <f t="shared" si="403"/>
        <v>188</v>
      </c>
      <c r="AP1035" s="180">
        <f t="shared" si="404"/>
        <v>25</v>
      </c>
      <c r="AQ1035" s="180">
        <f t="shared" si="405"/>
        <v>86</v>
      </c>
      <c r="AR1035" s="180">
        <f t="shared" si="406"/>
        <v>58</v>
      </c>
      <c r="AS1035" s="210">
        <f t="shared" si="407"/>
        <v>1597</v>
      </c>
    </row>
    <row r="1036" spans="1:45" ht="15.75" customHeight="1" x14ac:dyDescent="0.3">
      <c r="A1036" s="95"/>
      <c r="B1036" s="180"/>
      <c r="C1036" s="180"/>
      <c r="D1036" s="180"/>
      <c r="E1036" s="180"/>
      <c r="F1036" s="180" t="s">
        <v>633</v>
      </c>
      <c r="G1036" s="180"/>
      <c r="H1036" s="180"/>
      <c r="I1036" s="180"/>
      <c r="K1036" s="180"/>
      <c r="L1036" s="180"/>
      <c r="M1036" s="252"/>
      <c r="O1036" s="200"/>
      <c r="P1036" s="174"/>
      <c r="V1036" s="133"/>
      <c r="AC1036" s="211" t="s">
        <v>17</v>
      </c>
      <c r="AD1036" s="180">
        <f t="shared" si="392"/>
        <v>0</v>
      </c>
      <c r="AE1036" s="180">
        <f t="shared" si="393"/>
        <v>0</v>
      </c>
      <c r="AF1036" s="180">
        <f t="shared" si="394"/>
        <v>0</v>
      </c>
      <c r="AG1036" s="180">
        <f t="shared" si="395"/>
        <v>0</v>
      </c>
      <c r="AH1036" s="180">
        <f t="shared" si="396"/>
        <v>0</v>
      </c>
      <c r="AI1036" s="180">
        <f t="shared" si="397"/>
        <v>150</v>
      </c>
      <c r="AJ1036" s="180">
        <f t="shared" si="398"/>
        <v>288</v>
      </c>
      <c r="AK1036" s="180">
        <f t="shared" si="399"/>
        <v>329</v>
      </c>
      <c r="AL1036" s="180">
        <f t="shared" si="400"/>
        <v>294</v>
      </c>
      <c r="AM1036" s="180">
        <f t="shared" si="401"/>
        <v>95</v>
      </c>
      <c r="AN1036" s="180">
        <f t="shared" si="402"/>
        <v>112</v>
      </c>
      <c r="AO1036" s="180">
        <f t="shared" si="403"/>
        <v>218</v>
      </c>
      <c r="AP1036" s="180">
        <f t="shared" si="404"/>
        <v>51</v>
      </c>
      <c r="AQ1036" s="180">
        <f t="shared" si="405"/>
        <v>80</v>
      </c>
      <c r="AR1036" s="180">
        <f t="shared" si="406"/>
        <v>121</v>
      </c>
      <c r="AS1036" s="210">
        <f t="shared" si="407"/>
        <v>1738</v>
      </c>
    </row>
    <row r="1037" spans="1:45" ht="15.75" customHeight="1" x14ac:dyDescent="0.3">
      <c r="A1037" s="179" t="s">
        <v>773</v>
      </c>
      <c r="P1037" s="180"/>
      <c r="Q1037" s="180"/>
      <c r="R1037" s="180"/>
      <c r="V1037" s="133"/>
      <c r="AC1037" s="211" t="s">
        <v>18</v>
      </c>
      <c r="AD1037" s="180">
        <f t="shared" si="392"/>
        <v>0</v>
      </c>
      <c r="AE1037" s="180">
        <f t="shared" si="393"/>
        <v>0</v>
      </c>
      <c r="AF1037" s="180">
        <f t="shared" si="394"/>
        <v>0</v>
      </c>
      <c r="AG1037" s="180">
        <f t="shared" si="395"/>
        <v>0</v>
      </c>
      <c r="AH1037" s="180">
        <f t="shared" si="396"/>
        <v>49</v>
      </c>
      <c r="AI1037" s="180">
        <f t="shared" si="397"/>
        <v>105</v>
      </c>
      <c r="AJ1037" s="180">
        <f t="shared" si="398"/>
        <v>172</v>
      </c>
      <c r="AK1037" s="180">
        <f t="shared" si="399"/>
        <v>256</v>
      </c>
      <c r="AL1037" s="180">
        <f t="shared" si="400"/>
        <v>245</v>
      </c>
      <c r="AM1037" s="180">
        <f t="shared" si="401"/>
        <v>87</v>
      </c>
      <c r="AN1037" s="180">
        <f t="shared" si="402"/>
        <v>102</v>
      </c>
      <c r="AO1037" s="180">
        <f t="shared" si="403"/>
        <v>201</v>
      </c>
      <c r="AP1037" s="180">
        <f t="shared" si="404"/>
        <v>40</v>
      </c>
      <c r="AQ1037" s="180">
        <f t="shared" si="405"/>
        <v>73</v>
      </c>
      <c r="AR1037" s="180">
        <f t="shared" si="406"/>
        <v>96</v>
      </c>
      <c r="AS1037" s="210">
        <f t="shared" si="407"/>
        <v>1426</v>
      </c>
    </row>
    <row r="1038" spans="1:45" ht="15.75" customHeight="1" x14ac:dyDescent="0.3">
      <c r="A1038" s="179" t="s">
        <v>774</v>
      </c>
      <c r="D1038" s="180"/>
      <c r="E1038" s="180"/>
      <c r="F1038" s="180"/>
      <c r="G1038" s="180"/>
      <c r="H1038" s="180"/>
      <c r="I1038" s="180"/>
      <c r="J1038" s="180"/>
      <c r="K1038" s="180"/>
      <c r="L1038" s="180"/>
      <c r="M1038" s="180"/>
      <c r="N1038" s="180"/>
      <c r="O1038" s="180"/>
      <c r="P1038" s="180"/>
      <c r="Q1038" s="180"/>
      <c r="R1038" s="180"/>
      <c r="V1038" s="133"/>
      <c r="AC1038" s="211" t="s">
        <v>20</v>
      </c>
      <c r="AD1038" s="180">
        <f t="shared" si="392"/>
        <v>0</v>
      </c>
      <c r="AE1038" s="180">
        <f t="shared" si="393"/>
        <v>0</v>
      </c>
      <c r="AF1038" s="180">
        <f t="shared" si="394"/>
        <v>0</v>
      </c>
      <c r="AG1038" s="180">
        <f t="shared" si="395"/>
        <v>0</v>
      </c>
      <c r="AH1038" s="180">
        <f t="shared" si="396"/>
        <v>210</v>
      </c>
      <c r="AI1038" s="180">
        <f t="shared" si="397"/>
        <v>77</v>
      </c>
      <c r="AJ1038" s="180">
        <f t="shared" si="398"/>
        <v>107</v>
      </c>
      <c r="AK1038" s="180">
        <f t="shared" si="399"/>
        <v>155</v>
      </c>
      <c r="AL1038" s="180">
        <f t="shared" si="400"/>
        <v>147</v>
      </c>
      <c r="AM1038" s="180">
        <f t="shared" si="401"/>
        <v>51</v>
      </c>
      <c r="AN1038" s="180">
        <f t="shared" si="402"/>
        <v>60</v>
      </c>
      <c r="AO1038" s="180">
        <f t="shared" si="403"/>
        <v>121</v>
      </c>
      <c r="AP1038" s="180">
        <f t="shared" si="404"/>
        <v>29</v>
      </c>
      <c r="AQ1038" s="180">
        <f t="shared" si="405"/>
        <v>66</v>
      </c>
      <c r="AR1038" s="180">
        <f t="shared" si="406"/>
        <v>69</v>
      </c>
      <c r="AS1038" s="210">
        <f t="shared" si="407"/>
        <v>1092</v>
      </c>
    </row>
    <row r="1039" spans="1:45" ht="15.75" customHeight="1" x14ac:dyDescent="0.3">
      <c r="A1039" s="179" t="s">
        <v>775</v>
      </c>
      <c r="D1039" s="180"/>
      <c r="E1039" s="180"/>
      <c r="F1039" s="180"/>
      <c r="G1039" s="180"/>
      <c r="H1039" s="180"/>
      <c r="I1039" s="180"/>
      <c r="J1039" s="180"/>
      <c r="K1039" s="180"/>
      <c r="L1039" s="180"/>
      <c r="M1039" s="180"/>
      <c r="N1039" s="180"/>
      <c r="O1039" s="180"/>
      <c r="P1039" s="180"/>
      <c r="Q1039" s="180"/>
      <c r="R1039" s="180"/>
      <c r="V1039" s="133"/>
      <c r="AC1039" s="211" t="s">
        <v>21</v>
      </c>
      <c r="AD1039" s="180">
        <f t="shared" si="392"/>
        <v>0</v>
      </c>
      <c r="AE1039" s="180">
        <f t="shared" si="393"/>
        <v>0</v>
      </c>
      <c r="AF1039" s="180">
        <f t="shared" si="394"/>
        <v>0</v>
      </c>
      <c r="AG1039" s="180">
        <f t="shared" si="395"/>
        <v>0</v>
      </c>
      <c r="AH1039" s="180">
        <f t="shared" si="396"/>
        <v>298</v>
      </c>
      <c r="AI1039" s="180">
        <f t="shared" si="397"/>
        <v>50</v>
      </c>
      <c r="AJ1039" s="180">
        <f t="shared" si="398"/>
        <v>37</v>
      </c>
      <c r="AK1039" s="180">
        <f t="shared" si="399"/>
        <v>49</v>
      </c>
      <c r="AL1039" s="180">
        <f t="shared" si="400"/>
        <v>50</v>
      </c>
      <c r="AM1039" s="180">
        <f t="shared" si="401"/>
        <v>13</v>
      </c>
      <c r="AN1039" s="180">
        <f t="shared" si="402"/>
        <v>15</v>
      </c>
      <c r="AO1039" s="180">
        <f t="shared" si="403"/>
        <v>31</v>
      </c>
      <c r="AP1039" s="180">
        <f t="shared" si="404"/>
        <v>21</v>
      </c>
      <c r="AQ1039" s="180">
        <f t="shared" si="405"/>
        <v>60</v>
      </c>
      <c r="AR1039" s="180">
        <f t="shared" si="406"/>
        <v>49</v>
      </c>
      <c r="AS1039" s="210">
        <f t="shared" si="407"/>
        <v>673</v>
      </c>
    </row>
    <row r="1040" spans="1:45" ht="15.75" customHeight="1" thickBot="1" x14ac:dyDescent="0.35">
      <c r="A1040" s="194" t="s">
        <v>776</v>
      </c>
      <c r="B1040" s="135"/>
      <c r="C1040" s="135"/>
      <c r="D1040" s="195"/>
      <c r="E1040" s="195"/>
      <c r="F1040" s="195"/>
      <c r="G1040" s="195"/>
      <c r="H1040" s="195"/>
      <c r="I1040" s="195"/>
      <c r="J1040" s="195"/>
      <c r="K1040" s="195"/>
      <c r="L1040" s="195"/>
      <c r="M1040" s="195"/>
      <c r="N1040" s="195"/>
      <c r="O1040" s="195"/>
      <c r="P1040" s="195"/>
      <c r="Q1040" s="195"/>
      <c r="R1040" s="195"/>
      <c r="S1040" s="135"/>
      <c r="T1040" s="135"/>
      <c r="U1040" s="135"/>
      <c r="V1040" s="136"/>
      <c r="AC1040" s="211" t="s">
        <v>22</v>
      </c>
      <c r="AD1040" s="180">
        <f t="shared" si="392"/>
        <v>0</v>
      </c>
      <c r="AE1040" s="180">
        <f t="shared" si="393"/>
        <v>0</v>
      </c>
      <c r="AF1040" s="180">
        <f t="shared" si="394"/>
        <v>0</v>
      </c>
      <c r="AG1040" s="180">
        <f t="shared" si="395"/>
        <v>0</v>
      </c>
      <c r="AH1040" s="180">
        <f t="shared" si="396"/>
        <v>178</v>
      </c>
      <c r="AI1040" s="180">
        <f t="shared" si="397"/>
        <v>27</v>
      </c>
      <c r="AJ1040" s="180">
        <f t="shared" si="398"/>
        <v>24</v>
      </c>
      <c r="AK1040" s="180">
        <f t="shared" si="399"/>
        <v>31</v>
      </c>
      <c r="AL1040" s="180">
        <f t="shared" si="400"/>
        <v>31</v>
      </c>
      <c r="AM1040" s="180">
        <f t="shared" si="401"/>
        <v>12</v>
      </c>
      <c r="AN1040" s="180">
        <f t="shared" si="402"/>
        <v>14</v>
      </c>
      <c r="AO1040" s="180">
        <f t="shared" si="403"/>
        <v>24</v>
      </c>
      <c r="AP1040" s="180">
        <f t="shared" si="404"/>
        <v>11</v>
      </c>
      <c r="AQ1040" s="180">
        <f t="shared" si="405"/>
        <v>53</v>
      </c>
      <c r="AR1040" s="180">
        <f t="shared" si="406"/>
        <v>26</v>
      </c>
      <c r="AS1040" s="210">
        <f t="shared" si="407"/>
        <v>431</v>
      </c>
    </row>
    <row r="1041" spans="1:45" ht="15.75" customHeight="1" thickBot="1" x14ac:dyDescent="0.35">
      <c r="A1041" s="179"/>
      <c r="D1041" s="180"/>
      <c r="E1041" s="180"/>
      <c r="F1041" s="180"/>
      <c r="G1041" s="180"/>
      <c r="H1041" s="180"/>
      <c r="I1041" s="180"/>
      <c r="J1041" s="180"/>
      <c r="K1041" s="180"/>
      <c r="L1041" s="180"/>
      <c r="M1041" s="180"/>
      <c r="N1041" s="180"/>
      <c r="O1041" s="180"/>
      <c r="P1041" s="180"/>
      <c r="Q1041" s="180"/>
      <c r="R1041" s="180"/>
      <c r="S1041" s="200"/>
      <c r="V1041" s="223"/>
      <c r="AC1041" s="95"/>
      <c r="AD1041" s="180"/>
      <c r="AE1041" s="180"/>
      <c r="AF1041" s="180"/>
      <c r="AG1041" s="180"/>
      <c r="AH1041" s="180"/>
      <c r="AI1041" s="180"/>
      <c r="AJ1041" s="180"/>
      <c r="AK1041" s="180"/>
      <c r="AL1041" s="180"/>
      <c r="AM1041" s="180"/>
      <c r="AN1041" s="180"/>
      <c r="AO1041" s="180"/>
      <c r="AP1041" s="180"/>
      <c r="AQ1041" s="180"/>
      <c r="AR1041" s="180"/>
      <c r="AS1041" s="210"/>
    </row>
    <row r="1042" spans="1:45" ht="15.75" customHeight="1" thickBot="1" x14ac:dyDescent="0.35">
      <c r="A1042" s="192"/>
      <c r="B1042" s="412" t="s">
        <v>777</v>
      </c>
      <c r="C1042" s="413"/>
      <c r="D1042" s="413"/>
      <c r="E1042" s="413"/>
      <c r="F1042" s="413"/>
      <c r="G1042" s="413"/>
      <c r="H1042" s="413"/>
      <c r="I1042" s="413"/>
      <c r="J1042" s="413"/>
      <c r="K1042" s="413"/>
      <c r="L1042" s="413"/>
      <c r="M1042" s="413"/>
      <c r="N1042" s="413"/>
      <c r="O1042" s="413"/>
      <c r="P1042" s="413"/>
      <c r="Q1042" s="174"/>
      <c r="R1042" s="174"/>
      <c r="S1042" s="223"/>
      <c r="T1042" s="200"/>
      <c r="U1042" s="200"/>
      <c r="V1042" s="198"/>
      <c r="AC1042" s="220" t="s">
        <v>641</v>
      </c>
      <c r="AD1042" s="195">
        <f>SUM(AD1029:AD1040)</f>
        <v>0</v>
      </c>
      <c r="AE1042" s="195">
        <f t="shared" ref="AE1042:AS1042" si="408">SUM(AE1029:AE1040)</f>
        <v>0</v>
      </c>
      <c r="AF1042" s="195">
        <f t="shared" si="408"/>
        <v>0</v>
      </c>
      <c r="AG1042" s="195">
        <f t="shared" si="408"/>
        <v>0</v>
      </c>
      <c r="AH1042" s="195">
        <f t="shared" si="408"/>
        <v>923</v>
      </c>
      <c r="AI1042" s="195">
        <f t="shared" si="408"/>
        <v>1400</v>
      </c>
      <c r="AJ1042" s="195">
        <f t="shared" si="408"/>
        <v>2209</v>
      </c>
      <c r="AK1042" s="195">
        <f t="shared" si="408"/>
        <v>2787</v>
      </c>
      <c r="AL1042" s="195">
        <f t="shared" si="408"/>
        <v>2589</v>
      </c>
      <c r="AM1042" s="195">
        <f t="shared" si="408"/>
        <v>811</v>
      </c>
      <c r="AN1042" s="195">
        <f t="shared" si="408"/>
        <v>954</v>
      </c>
      <c r="AO1042" s="195">
        <f t="shared" si="408"/>
        <v>1886</v>
      </c>
      <c r="AP1042" s="195">
        <f t="shared" si="408"/>
        <v>361</v>
      </c>
      <c r="AQ1042" s="195">
        <f t="shared" si="408"/>
        <v>858</v>
      </c>
      <c r="AR1042" s="195">
        <f t="shared" si="408"/>
        <v>852</v>
      </c>
      <c r="AS1042" s="221">
        <f t="shared" si="408"/>
        <v>15630</v>
      </c>
    </row>
    <row r="1043" spans="1:45" ht="15.75" customHeight="1" thickBot="1" x14ac:dyDescent="0.35">
      <c r="A1043" s="192"/>
      <c r="B1043" s="403" t="s">
        <v>730</v>
      </c>
      <c r="C1043" s="404"/>
      <c r="D1043" s="404"/>
      <c r="E1043" s="404"/>
      <c r="F1043" s="405"/>
      <c r="G1043" s="403" t="s">
        <v>731</v>
      </c>
      <c r="H1043" s="404"/>
      <c r="I1043" s="404"/>
      <c r="J1043" s="404"/>
      <c r="K1043" s="404"/>
      <c r="L1043" s="404"/>
      <c r="M1043" s="406" t="s">
        <v>732</v>
      </c>
      <c r="N1043" s="407"/>
      <c r="O1043" s="407"/>
      <c r="P1043" s="429"/>
      <c r="Q1043" s="429"/>
      <c r="R1043" s="430"/>
      <c r="S1043" s="403" t="s">
        <v>733</v>
      </c>
      <c r="T1043" s="431"/>
      <c r="U1043" s="432"/>
      <c r="V1043" s="133"/>
    </row>
    <row r="1044" spans="1:45" ht="15.75" customHeight="1" x14ac:dyDescent="0.3">
      <c r="A1044" s="213"/>
      <c r="B1044" s="189" t="s">
        <v>639</v>
      </c>
      <c r="C1044" s="182"/>
      <c r="D1044" s="182" t="s">
        <v>734</v>
      </c>
      <c r="E1044" s="182" t="s">
        <v>735</v>
      </c>
      <c r="F1044" s="224" t="s">
        <v>736</v>
      </c>
      <c r="G1044" s="189" t="s">
        <v>737</v>
      </c>
      <c r="H1044" s="182"/>
      <c r="I1044" s="182"/>
      <c r="J1044" s="182" t="s">
        <v>738</v>
      </c>
      <c r="K1044" s="182" t="s">
        <v>739</v>
      </c>
      <c r="L1044" s="182" t="s">
        <v>740</v>
      </c>
      <c r="M1044" s="409" t="str">
        <f>+M1017</f>
        <v>(NE)* per WAPA</v>
      </c>
      <c r="N1044" s="410"/>
      <c r="O1044" s="410"/>
      <c r="P1044" s="253"/>
      <c r="Q1044" s="227"/>
      <c r="R1044" s="234"/>
      <c r="S1044" s="189" t="s">
        <v>742</v>
      </c>
      <c r="T1044" s="228" t="s">
        <v>743</v>
      </c>
      <c r="U1044" s="229" t="s">
        <v>744</v>
      </c>
      <c r="V1044" s="133"/>
    </row>
    <row r="1045" spans="1:45" ht="15.75" customHeight="1" x14ac:dyDescent="0.3">
      <c r="A1045" s="213"/>
      <c r="B1045" s="230" t="s">
        <v>745</v>
      </c>
      <c r="C1045" s="231" t="s">
        <v>746</v>
      </c>
      <c r="D1045" s="231" t="s">
        <v>747</v>
      </c>
      <c r="E1045" s="182" t="s">
        <v>658</v>
      </c>
      <c r="F1045" s="232" t="s">
        <v>748</v>
      </c>
      <c r="G1045" s="189" t="s">
        <v>640</v>
      </c>
      <c r="H1045" s="182" t="s">
        <v>749</v>
      </c>
      <c r="I1045" s="182" t="s">
        <v>750</v>
      </c>
      <c r="J1045" s="231" t="s">
        <v>751</v>
      </c>
      <c r="K1045" s="182" t="s">
        <v>723</v>
      </c>
      <c r="L1045" s="231" t="s">
        <v>752</v>
      </c>
      <c r="M1045" s="233" t="s">
        <v>753</v>
      </c>
      <c r="N1045" s="226" t="s">
        <v>754</v>
      </c>
      <c r="O1045" s="227" t="s">
        <v>641</v>
      </c>
      <c r="P1045" s="233" t="s">
        <v>755</v>
      </c>
      <c r="Q1045" s="226" t="s">
        <v>755</v>
      </c>
      <c r="R1045" s="234" t="s">
        <v>756</v>
      </c>
      <c r="S1045" s="189" t="s">
        <v>757</v>
      </c>
      <c r="T1045" s="182" t="s">
        <v>758</v>
      </c>
      <c r="U1045" s="224" t="s">
        <v>759</v>
      </c>
      <c r="V1045" s="133"/>
    </row>
    <row r="1046" spans="1:45" ht="15.75" customHeight="1" x14ac:dyDescent="0.3">
      <c r="A1046" s="213"/>
      <c r="B1046" s="235" t="s">
        <v>760</v>
      </c>
      <c r="C1046" s="215">
        <v>5.0000000000000001E-3</v>
      </c>
      <c r="D1046" s="215">
        <v>4.2999999999999997E-2</v>
      </c>
      <c r="E1046" s="182" t="s">
        <v>761</v>
      </c>
      <c r="F1046" s="236" t="s">
        <v>762</v>
      </c>
      <c r="G1046" s="189" t="s">
        <v>763</v>
      </c>
      <c r="H1046" s="182" t="s">
        <v>658</v>
      </c>
      <c r="I1046" s="182" t="s">
        <v>658</v>
      </c>
      <c r="J1046" s="182" t="s">
        <v>658</v>
      </c>
      <c r="K1046" s="182" t="s">
        <v>743</v>
      </c>
      <c r="L1046" s="182" t="s">
        <v>764</v>
      </c>
      <c r="M1046" s="237" t="s">
        <v>648</v>
      </c>
      <c r="N1046" s="227" t="s">
        <v>765</v>
      </c>
      <c r="O1046" s="227" t="s">
        <v>766</v>
      </c>
      <c r="P1046" s="237" t="s">
        <v>767</v>
      </c>
      <c r="Q1046" s="226" t="s">
        <v>767</v>
      </c>
      <c r="R1046" s="234" t="s">
        <v>766</v>
      </c>
      <c r="S1046" s="189" t="s">
        <v>658</v>
      </c>
      <c r="T1046" s="182" t="s">
        <v>658</v>
      </c>
      <c r="U1046" s="224" t="s">
        <v>658</v>
      </c>
      <c r="V1046" s="133"/>
    </row>
    <row r="1047" spans="1:45" ht="15.75" customHeight="1" x14ac:dyDescent="0.3">
      <c r="A1047" s="213" t="s">
        <v>768</v>
      </c>
      <c r="B1047" s="189" t="s">
        <v>778</v>
      </c>
      <c r="C1047" s="182" t="s">
        <v>778</v>
      </c>
      <c r="D1047" s="182" t="s">
        <v>778</v>
      </c>
      <c r="E1047" s="182" t="s">
        <v>778</v>
      </c>
      <c r="F1047" s="182" t="s">
        <v>778</v>
      </c>
      <c r="G1047" s="189" t="s">
        <v>778</v>
      </c>
      <c r="H1047" s="182" t="s">
        <v>778</v>
      </c>
      <c r="I1047" s="182" t="s">
        <v>778</v>
      </c>
      <c r="J1047" s="182" t="s">
        <v>778</v>
      </c>
      <c r="K1047" s="182" t="s">
        <v>778</v>
      </c>
      <c r="L1047" s="182" t="s">
        <v>778</v>
      </c>
      <c r="M1047" s="237" t="s">
        <v>778</v>
      </c>
      <c r="N1047" s="227" t="s">
        <v>779</v>
      </c>
      <c r="O1047" s="227" t="s">
        <v>778</v>
      </c>
      <c r="P1047" s="237" t="s">
        <v>365</v>
      </c>
      <c r="Q1047" s="226" t="s">
        <v>705</v>
      </c>
      <c r="R1047" s="234" t="s">
        <v>705</v>
      </c>
      <c r="S1047" s="189" t="s">
        <v>778</v>
      </c>
      <c r="T1047" s="182" t="s">
        <v>778</v>
      </c>
      <c r="U1047" s="224" t="s">
        <v>778</v>
      </c>
      <c r="V1047" s="133"/>
    </row>
    <row r="1048" spans="1:45" ht="15.75" customHeight="1" x14ac:dyDescent="0.3">
      <c r="A1048" s="213" t="s">
        <v>666</v>
      </c>
      <c r="B1048" s="189" t="s">
        <v>666</v>
      </c>
      <c r="C1048" s="182" t="s">
        <v>666</v>
      </c>
      <c r="D1048" s="182" t="s">
        <v>666</v>
      </c>
      <c r="E1048" s="182" t="s">
        <v>769</v>
      </c>
      <c r="F1048" s="224" t="s">
        <v>666</v>
      </c>
      <c r="G1048" s="189" t="s">
        <v>666</v>
      </c>
      <c r="H1048" s="182" t="s">
        <v>770</v>
      </c>
      <c r="I1048" s="182" t="s">
        <v>770</v>
      </c>
      <c r="J1048" s="182" t="s">
        <v>666</v>
      </c>
      <c r="K1048" s="182" t="s">
        <v>666</v>
      </c>
      <c r="L1048" s="182" t="s">
        <v>666</v>
      </c>
      <c r="M1048" s="237" t="s">
        <v>666</v>
      </c>
      <c r="N1048" s="227" t="s">
        <v>666</v>
      </c>
      <c r="O1048" s="227" t="s">
        <v>666</v>
      </c>
      <c r="P1048" s="237" t="s">
        <v>666</v>
      </c>
      <c r="Q1048" s="227" t="s">
        <v>666</v>
      </c>
      <c r="R1048" s="234" t="s">
        <v>666</v>
      </c>
      <c r="S1048" s="189" t="s">
        <v>666</v>
      </c>
      <c r="T1048" s="182" t="s">
        <v>666</v>
      </c>
      <c r="U1048" s="224" t="s">
        <v>666</v>
      </c>
      <c r="V1048" s="133"/>
    </row>
    <row r="1049" spans="1:45" ht="15.75" customHeight="1" x14ac:dyDescent="0.3">
      <c r="A1049" s="192" t="s">
        <v>8</v>
      </c>
      <c r="B1049" s="189">
        <f>+B1022/($B$10*24)</f>
        <v>175.8279569892473</v>
      </c>
      <c r="C1049" s="182">
        <f t="shared" ref="C1049:L1049" si="409">+C1022/($B$10*24)</f>
        <v>0</v>
      </c>
      <c r="D1049" s="182">
        <f t="shared" si="409"/>
        <v>7.599462365591398</v>
      </c>
      <c r="E1049" s="182">
        <f t="shared" si="409"/>
        <v>175.8279569892473</v>
      </c>
      <c r="F1049" s="224">
        <f t="shared" si="409"/>
        <v>183.42741935483872</v>
      </c>
      <c r="G1049" s="182">
        <f t="shared" si="409"/>
        <v>0</v>
      </c>
      <c r="H1049" s="182">
        <f t="shared" si="409"/>
        <v>12.131720430107526</v>
      </c>
      <c r="I1049" s="182">
        <f t="shared" si="409"/>
        <v>0</v>
      </c>
      <c r="J1049" s="182">
        <f t="shared" si="409"/>
        <v>12.131720430107526</v>
      </c>
      <c r="K1049" s="182">
        <f t="shared" si="409"/>
        <v>0</v>
      </c>
      <c r="L1049" s="182">
        <f t="shared" si="409"/>
        <v>0</v>
      </c>
      <c r="M1049" s="237">
        <f>+M1022/($B$10*24)</f>
        <v>171.29569892473117</v>
      </c>
      <c r="N1049" s="227">
        <f t="shared" ref="N1049" si="410">+N1022/($B$10*24)</f>
        <v>0</v>
      </c>
      <c r="O1049" s="227">
        <f>+O1022/($B$10*24)</f>
        <v>171.29569892473117</v>
      </c>
      <c r="P1049" s="254">
        <f>P1022</f>
        <v>0.2</v>
      </c>
      <c r="Q1049" s="227">
        <f>-O1049*P1049</f>
        <v>-34.259139784946235</v>
      </c>
      <c r="R1049" s="234">
        <f>O1049+Q1049</f>
        <v>137.03655913978494</v>
      </c>
      <c r="S1049" s="255">
        <f>+S1022/($B$10*24)</f>
        <v>34.259139784946242</v>
      </c>
      <c r="T1049" s="182">
        <f>+IF(S1049&gt;=0,ABS(S1049),"")</f>
        <v>34.259139784946242</v>
      </c>
      <c r="U1049" s="224" t="str">
        <f>+IF(S1049&lt;=0,ABS(S1049),"")</f>
        <v/>
      </c>
      <c r="V1049" s="133"/>
    </row>
    <row r="1050" spans="1:45" ht="15.75" customHeight="1" x14ac:dyDescent="0.3">
      <c r="A1050" s="192" t="s">
        <v>9</v>
      </c>
      <c r="B1050" s="189">
        <f>+B1023/($C$10*24)</f>
        <v>205.37931034482759</v>
      </c>
      <c r="C1050" s="182">
        <f t="shared" ref="C1050:N1050" si="411">+C1023/($C$10*24)</f>
        <v>0</v>
      </c>
      <c r="D1050" s="182">
        <f t="shared" si="411"/>
        <v>8.8606321839080469</v>
      </c>
      <c r="E1050" s="182">
        <f t="shared" si="411"/>
        <v>205.37931034482759</v>
      </c>
      <c r="F1050" s="224">
        <f t="shared" si="411"/>
        <v>214.23994252873564</v>
      </c>
      <c r="G1050" s="182">
        <f t="shared" si="411"/>
        <v>0</v>
      </c>
      <c r="H1050" s="182">
        <f t="shared" si="411"/>
        <v>14.751436781609195</v>
      </c>
      <c r="I1050" s="182">
        <f t="shared" si="411"/>
        <v>0</v>
      </c>
      <c r="J1050" s="182">
        <f t="shared" si="411"/>
        <v>14.751436781609195</v>
      </c>
      <c r="K1050" s="182">
        <f t="shared" si="411"/>
        <v>0</v>
      </c>
      <c r="L1050" s="182">
        <f t="shared" si="411"/>
        <v>0</v>
      </c>
      <c r="M1050" s="237">
        <f t="shared" si="411"/>
        <v>199.48850574712642</v>
      </c>
      <c r="N1050" s="227">
        <f t="shared" si="411"/>
        <v>0</v>
      </c>
      <c r="O1050" s="227">
        <f t="shared" ref="O1050:O1060" si="412">+O1023/($B$10*24)</f>
        <v>186.61827956989248</v>
      </c>
      <c r="P1050" s="254">
        <f t="shared" ref="P1050:P1060" si="413">P1023</f>
        <v>0.25</v>
      </c>
      <c r="Q1050" s="227">
        <f t="shared" ref="Q1050:Q1060" si="414">-O1050*P1050</f>
        <v>-46.65456989247312</v>
      </c>
      <c r="R1050" s="234">
        <f t="shared" ref="R1050:R1060" si="415">O1050+Q1050</f>
        <v>139.96370967741936</v>
      </c>
      <c r="S1050" s="255">
        <f>+S1023/($C$10*24)</f>
        <v>49.872126436781606</v>
      </c>
      <c r="T1050" s="182">
        <f t="shared" ref="T1050:T1060" si="416">+IF(S1050&gt;=0,ABS(S1050),"")</f>
        <v>49.872126436781606</v>
      </c>
      <c r="U1050" s="224" t="str">
        <f t="shared" ref="U1050:U1060" si="417">+IF(S1050&lt;=0,ABS(S1050),"")</f>
        <v/>
      </c>
      <c r="V1050" s="133"/>
    </row>
    <row r="1051" spans="1:45" ht="15.75" customHeight="1" x14ac:dyDescent="0.3">
      <c r="A1051" s="192" t="s">
        <v>10</v>
      </c>
      <c r="B1051" s="189">
        <f>+B1024/($D$10*24)</f>
        <v>378.85080645161293</v>
      </c>
      <c r="C1051" s="182">
        <f t="shared" ref="C1051:N1051" si="418">+C1024/($D$10*24)</f>
        <v>0</v>
      </c>
      <c r="D1051" s="182">
        <f t="shared" si="418"/>
        <v>16.251344086021504</v>
      </c>
      <c r="E1051" s="182">
        <f t="shared" si="418"/>
        <v>378.85080645161293</v>
      </c>
      <c r="F1051" s="224">
        <f t="shared" si="418"/>
        <v>395.10215053763443</v>
      </c>
      <c r="G1051" s="182">
        <f t="shared" si="418"/>
        <v>0</v>
      </c>
      <c r="H1051" s="182">
        <f>+H1024/($D$10*24)</f>
        <v>21.280913978494624</v>
      </c>
      <c r="I1051" s="182">
        <f t="shared" si="418"/>
        <v>0</v>
      </c>
      <c r="J1051" s="182">
        <f t="shared" si="418"/>
        <v>21.280913978494624</v>
      </c>
      <c r="K1051" s="182">
        <f t="shared" si="418"/>
        <v>0</v>
      </c>
      <c r="L1051" s="182">
        <f t="shared" si="418"/>
        <v>0</v>
      </c>
      <c r="M1051" s="237">
        <f t="shared" si="418"/>
        <v>373.82123655913978</v>
      </c>
      <c r="N1051" s="227">
        <f t="shared" si="418"/>
        <v>0</v>
      </c>
      <c r="O1051" s="227">
        <f t="shared" si="412"/>
        <v>373.82123655913978</v>
      </c>
      <c r="P1051" s="254">
        <f t="shared" si="413"/>
        <v>0.3</v>
      </c>
      <c r="Q1051" s="227">
        <f t="shared" si="414"/>
        <v>-112.14637096774193</v>
      </c>
      <c r="R1051" s="234">
        <f t="shared" si="415"/>
        <v>261.67486559139786</v>
      </c>
      <c r="S1051" s="255">
        <f>+S1024/($D$10*24)</f>
        <v>112.14637096774193</v>
      </c>
      <c r="T1051" s="182">
        <f t="shared" si="416"/>
        <v>112.14637096774193</v>
      </c>
      <c r="U1051" s="224" t="str">
        <f t="shared" si="417"/>
        <v/>
      </c>
      <c r="V1051" s="133"/>
    </row>
    <row r="1052" spans="1:45" ht="15.75" customHeight="1" x14ac:dyDescent="0.3">
      <c r="A1052" s="192" t="s">
        <v>12</v>
      </c>
      <c r="B1052" s="189">
        <f>+B1025/($F$10*24)</f>
        <v>369.78333333333336</v>
      </c>
      <c r="C1052" s="182">
        <f t="shared" ref="C1052:N1052" si="419">+C1025/($F$10*24)</f>
        <v>0</v>
      </c>
      <c r="D1052" s="182">
        <f t="shared" si="419"/>
        <v>16.309722222222224</v>
      </c>
      <c r="E1052" s="182">
        <f t="shared" si="419"/>
        <v>369.78333333333336</v>
      </c>
      <c r="F1052" s="224">
        <f t="shared" si="419"/>
        <v>386.09305555555557</v>
      </c>
      <c r="G1052" s="182">
        <f t="shared" si="419"/>
        <v>0</v>
      </c>
      <c r="H1052" s="182">
        <f t="shared" si="419"/>
        <v>22.120833333333334</v>
      </c>
      <c r="I1052" s="182">
        <f t="shared" si="419"/>
        <v>0</v>
      </c>
      <c r="J1052" s="182">
        <f t="shared" si="419"/>
        <v>22.120833333333334</v>
      </c>
      <c r="K1052" s="182">
        <f t="shared" si="419"/>
        <v>0</v>
      </c>
      <c r="L1052" s="182">
        <f t="shared" si="419"/>
        <v>0</v>
      </c>
      <c r="M1052" s="237">
        <f t="shared" si="419"/>
        <v>363.97222222222223</v>
      </c>
      <c r="N1052" s="227">
        <f t="shared" si="419"/>
        <v>-31</v>
      </c>
      <c r="O1052" s="227">
        <f t="shared" si="412"/>
        <v>322.23118279569894</v>
      </c>
      <c r="P1052" s="254">
        <f t="shared" si="413"/>
        <v>0.35</v>
      </c>
      <c r="Q1052" s="227">
        <f t="shared" si="414"/>
        <v>-112.78091397849462</v>
      </c>
      <c r="R1052" s="234">
        <f t="shared" si="415"/>
        <v>209.45026881720432</v>
      </c>
      <c r="S1052" s="255">
        <f>+S1025/($F$10*24)</f>
        <v>147.54027777777779</v>
      </c>
      <c r="T1052" s="182">
        <f t="shared" si="416"/>
        <v>147.54027777777779</v>
      </c>
      <c r="U1052" s="224" t="str">
        <f t="shared" si="417"/>
        <v/>
      </c>
      <c r="V1052" s="133"/>
    </row>
    <row r="1053" spans="1:45" ht="15.75" customHeight="1" x14ac:dyDescent="0.3">
      <c r="A1053" s="192" t="s">
        <v>13</v>
      </c>
      <c r="B1053" s="189">
        <f>+B1026/($G$10*24)</f>
        <v>367.9543010752688</v>
      </c>
      <c r="C1053" s="182">
        <f t="shared" ref="C1053:N1053" si="420">+C1026/($G$10*24)</f>
        <v>0</v>
      </c>
      <c r="D1053" s="182">
        <f t="shared" si="420"/>
        <v>16.256720430107528</v>
      </c>
      <c r="E1053" s="182">
        <f t="shared" si="420"/>
        <v>367.9543010752688</v>
      </c>
      <c r="F1053" s="224">
        <f t="shared" si="420"/>
        <v>384.21102150537632</v>
      </c>
      <c r="G1053" s="182">
        <f t="shared" si="420"/>
        <v>2.1046819001843078</v>
      </c>
      <c r="H1053" s="182">
        <f t="shared" si="420"/>
        <v>19.153225806451612</v>
      </c>
      <c r="I1053" s="182">
        <f t="shared" si="420"/>
        <v>0</v>
      </c>
      <c r="J1053" s="182">
        <f t="shared" si="420"/>
        <v>19.153225806451612</v>
      </c>
      <c r="K1053" s="182">
        <f t="shared" si="420"/>
        <v>0</v>
      </c>
      <c r="L1053" s="182">
        <f t="shared" si="420"/>
        <v>0</v>
      </c>
      <c r="M1053" s="237">
        <f t="shared" si="420"/>
        <v>362.95311379874039</v>
      </c>
      <c r="N1053" s="227">
        <f t="shared" si="420"/>
        <v>0</v>
      </c>
      <c r="O1053" s="227">
        <f t="shared" si="412"/>
        <v>362.95311379874039</v>
      </c>
      <c r="P1053" s="254">
        <f t="shared" si="413"/>
        <v>0.35</v>
      </c>
      <c r="Q1053" s="227">
        <f t="shared" si="414"/>
        <v>-127.03358982955913</v>
      </c>
      <c r="R1053" s="234">
        <f t="shared" si="415"/>
        <v>235.91952396918126</v>
      </c>
      <c r="S1053" s="255">
        <f>+S1026/($G$10*24)</f>
        <v>127.03358982955912</v>
      </c>
      <c r="T1053" s="182">
        <f t="shared" si="416"/>
        <v>127.03358982955912</v>
      </c>
      <c r="U1053" s="224" t="str">
        <f t="shared" si="417"/>
        <v/>
      </c>
      <c r="V1053" s="133"/>
    </row>
    <row r="1054" spans="1:45" ht="15.75" customHeight="1" x14ac:dyDescent="0.3">
      <c r="A1054" s="192" t="s">
        <v>14</v>
      </c>
      <c r="B1054" s="189">
        <f>+B1027/($H$10*24)</f>
        <v>259.08055555555558</v>
      </c>
      <c r="C1054" s="182">
        <f t="shared" ref="C1054:N1054" si="421">+C1027/($H$10*24)</f>
        <v>0</v>
      </c>
      <c r="D1054" s="182">
        <f t="shared" si="421"/>
        <v>10.997222222222222</v>
      </c>
      <c r="E1054" s="182">
        <f t="shared" si="421"/>
        <v>259.08055555555558</v>
      </c>
      <c r="F1054" s="224">
        <f t="shared" si="421"/>
        <v>270.07777777777778</v>
      </c>
      <c r="G1054" s="182">
        <f t="shared" si="421"/>
        <v>18.594165077723282</v>
      </c>
      <c r="H1054" s="182">
        <f t="shared" si="421"/>
        <v>17.633333333333333</v>
      </c>
      <c r="I1054" s="182">
        <f t="shared" si="421"/>
        <v>0</v>
      </c>
      <c r="J1054" s="182">
        <f t="shared" si="421"/>
        <v>17.633333333333333</v>
      </c>
      <c r="K1054" s="182">
        <f t="shared" si="421"/>
        <v>0</v>
      </c>
      <c r="L1054" s="182">
        <f t="shared" si="421"/>
        <v>0</v>
      </c>
      <c r="M1054" s="237">
        <f t="shared" si="421"/>
        <v>233.85027936672114</v>
      </c>
      <c r="N1054" s="227">
        <f t="shared" si="421"/>
        <v>65.666666666666671</v>
      </c>
      <c r="O1054" s="227">
        <f t="shared" si="412"/>
        <v>289.85510906456886</v>
      </c>
      <c r="P1054" s="254">
        <f t="shared" si="413"/>
        <v>7.4999999999999997E-2</v>
      </c>
      <c r="Q1054" s="227">
        <f t="shared" si="414"/>
        <v>-21.739133179842664</v>
      </c>
      <c r="R1054" s="234">
        <f t="shared" si="415"/>
        <v>268.1159758847262</v>
      </c>
      <c r="S1054" s="255">
        <f>+S1027/($H$10*24)</f>
        <v>-43.202895714162594</v>
      </c>
      <c r="T1054" s="182" t="str">
        <f t="shared" si="416"/>
        <v/>
      </c>
      <c r="U1054" s="224">
        <f t="shared" si="417"/>
        <v>43.202895714162594</v>
      </c>
      <c r="V1054" s="133"/>
    </row>
    <row r="1055" spans="1:45" ht="15.75" customHeight="1" x14ac:dyDescent="0.3">
      <c r="A1055" s="192" t="s">
        <v>16</v>
      </c>
      <c r="B1055" s="189">
        <f>+B1028/($J$10*24)</f>
        <v>158.42069892473117</v>
      </c>
      <c r="C1055" s="182">
        <f t="shared" ref="C1055:N1055" si="422">+C1028/($J$10*24)</f>
        <v>0</v>
      </c>
      <c r="D1055" s="182">
        <f t="shared" si="422"/>
        <v>6.405913978494624</v>
      </c>
      <c r="E1055" s="182">
        <f t="shared" si="422"/>
        <v>158.42069892473117</v>
      </c>
      <c r="F1055" s="224">
        <f t="shared" si="422"/>
        <v>164.82661290322579</v>
      </c>
      <c r="G1055" s="182">
        <f t="shared" si="422"/>
        <v>18.399467687480097</v>
      </c>
      <c r="H1055" s="182">
        <f t="shared" si="422"/>
        <v>15.618279569892474</v>
      </c>
      <c r="I1055" s="182">
        <f t="shared" si="422"/>
        <v>0</v>
      </c>
      <c r="J1055" s="182">
        <f t="shared" si="422"/>
        <v>15.618279569892474</v>
      </c>
      <c r="K1055" s="182">
        <f t="shared" si="422"/>
        <v>0</v>
      </c>
      <c r="L1055" s="182">
        <f t="shared" si="422"/>
        <v>0</v>
      </c>
      <c r="M1055" s="237">
        <f t="shared" si="422"/>
        <v>130.80886564585325</v>
      </c>
      <c r="N1055" s="227">
        <f t="shared" si="422"/>
        <v>63.333333333333336</v>
      </c>
      <c r="O1055" s="227">
        <f t="shared" si="412"/>
        <v>194.14219897918656</v>
      </c>
      <c r="P1055" s="254">
        <f t="shared" si="413"/>
        <v>0.05</v>
      </c>
      <c r="Q1055" s="227">
        <f t="shared" si="414"/>
        <v>-9.707109948959328</v>
      </c>
      <c r="R1055" s="234">
        <f t="shared" si="415"/>
        <v>184.43508903022723</v>
      </c>
      <c r="S1055" s="255">
        <f>+S1028/($J$10*24)</f>
        <v>-53.626223384374022</v>
      </c>
      <c r="T1055" s="182" t="str">
        <f t="shared" si="416"/>
        <v/>
      </c>
      <c r="U1055" s="224">
        <f t="shared" si="417"/>
        <v>53.626223384374022</v>
      </c>
      <c r="V1055" s="133"/>
    </row>
    <row r="1056" spans="1:45" ht="15.75" customHeight="1" x14ac:dyDescent="0.3">
      <c r="A1056" s="192" t="s">
        <v>17</v>
      </c>
      <c r="B1056" s="189">
        <f>+B1029/($K$10*24)</f>
        <v>161.75268817204301</v>
      </c>
      <c r="C1056" s="182">
        <f t="shared" ref="C1056:N1056" si="423">+C1029/($K$10*24)</f>
        <v>0</v>
      </c>
      <c r="D1056" s="182">
        <f t="shared" si="423"/>
        <v>6.502688172043011</v>
      </c>
      <c r="E1056" s="182">
        <f t="shared" si="423"/>
        <v>161.75268817204301</v>
      </c>
      <c r="F1056" s="224">
        <f t="shared" si="423"/>
        <v>168.25537634408602</v>
      </c>
      <c r="G1056" s="182">
        <f t="shared" si="423"/>
        <v>12.877349674217996</v>
      </c>
      <c r="H1056" s="182">
        <f t="shared" si="423"/>
        <v>13.76478494623656</v>
      </c>
      <c r="I1056" s="182">
        <f t="shared" si="423"/>
        <v>0</v>
      </c>
      <c r="J1056" s="182">
        <f t="shared" si="423"/>
        <v>13.76478494623656</v>
      </c>
      <c r="K1056" s="182">
        <f t="shared" si="423"/>
        <v>0</v>
      </c>
      <c r="L1056" s="182">
        <f t="shared" si="423"/>
        <v>0</v>
      </c>
      <c r="M1056" s="237">
        <f t="shared" si="423"/>
        <v>141.61324172363146</v>
      </c>
      <c r="N1056" s="227">
        <f t="shared" si="423"/>
        <v>79</v>
      </c>
      <c r="O1056" s="227">
        <f t="shared" si="412"/>
        <v>220.61324172363146</v>
      </c>
      <c r="P1056" s="254">
        <f t="shared" si="413"/>
        <v>0</v>
      </c>
      <c r="Q1056" s="227">
        <f t="shared" si="414"/>
        <v>0</v>
      </c>
      <c r="R1056" s="234">
        <f t="shared" si="415"/>
        <v>220.61324172363146</v>
      </c>
      <c r="S1056" s="255">
        <f>+S1029/($K$10*24)</f>
        <v>-79</v>
      </c>
      <c r="T1056" s="182" t="str">
        <f t="shared" si="416"/>
        <v/>
      </c>
      <c r="U1056" s="224">
        <f t="shared" si="417"/>
        <v>79</v>
      </c>
      <c r="V1056" s="133"/>
    </row>
    <row r="1057" spans="1:36" ht="15.75" customHeight="1" x14ac:dyDescent="0.3">
      <c r="A1057" s="192" t="s">
        <v>18</v>
      </c>
      <c r="B1057" s="189">
        <f>+B1030/($L$10*24)</f>
        <v>314.75</v>
      </c>
      <c r="C1057" s="182">
        <f t="shared" ref="C1057:N1057" si="424">+C1030/($L$10*24)</f>
        <v>0</v>
      </c>
      <c r="D1057" s="182">
        <f t="shared" si="424"/>
        <v>13.704166666666667</v>
      </c>
      <c r="E1057" s="182">
        <f t="shared" si="424"/>
        <v>314.75</v>
      </c>
      <c r="F1057" s="224">
        <f t="shared" si="424"/>
        <v>328.45416666666665</v>
      </c>
      <c r="G1057" s="182">
        <f t="shared" si="424"/>
        <v>0</v>
      </c>
      <c r="H1057" s="182">
        <f t="shared" si="424"/>
        <v>14.206944444444444</v>
      </c>
      <c r="I1057" s="182">
        <f t="shared" si="424"/>
        <v>0</v>
      </c>
      <c r="J1057" s="182">
        <f t="shared" si="424"/>
        <v>14.206944444444444</v>
      </c>
      <c r="K1057" s="182">
        <f t="shared" si="424"/>
        <v>0</v>
      </c>
      <c r="L1057" s="182">
        <f t="shared" si="424"/>
        <v>0</v>
      </c>
      <c r="M1057" s="237">
        <f t="shared" si="424"/>
        <v>314.24722222222221</v>
      </c>
      <c r="N1057" s="227">
        <f t="shared" si="424"/>
        <v>0</v>
      </c>
      <c r="O1057" s="227">
        <f t="shared" si="412"/>
        <v>304.11021505376345</v>
      </c>
      <c r="P1057" s="254">
        <f t="shared" si="413"/>
        <v>0.05</v>
      </c>
      <c r="Q1057" s="227">
        <f t="shared" si="414"/>
        <v>-15.205510752688173</v>
      </c>
      <c r="R1057" s="234">
        <f t="shared" si="415"/>
        <v>288.9047043010753</v>
      </c>
      <c r="S1057" s="255">
        <f>+S1030/($L$10*24)</f>
        <v>15.712361111111104</v>
      </c>
      <c r="T1057" s="182">
        <f t="shared" si="416"/>
        <v>15.712361111111104</v>
      </c>
      <c r="U1057" s="224" t="str">
        <f t="shared" si="417"/>
        <v/>
      </c>
      <c r="V1057" s="133"/>
    </row>
    <row r="1058" spans="1:36" ht="15.75" customHeight="1" x14ac:dyDescent="0.3">
      <c r="A1058" s="192" t="s">
        <v>20</v>
      </c>
      <c r="B1058" s="189">
        <f>+B1031/($N$10*24)</f>
        <v>363.80107526881721</v>
      </c>
      <c r="C1058" s="182">
        <f t="shared" ref="C1058:N1058" si="425">+C1031/($N$10*24)</f>
        <v>0</v>
      </c>
      <c r="D1058" s="182">
        <f t="shared" si="425"/>
        <v>15.706989247311828</v>
      </c>
      <c r="E1058" s="182">
        <f t="shared" si="425"/>
        <v>363.80107526881721</v>
      </c>
      <c r="F1058" s="224">
        <f t="shared" si="425"/>
        <v>379.50806451612902</v>
      </c>
      <c r="G1058" s="182">
        <f t="shared" si="425"/>
        <v>0</v>
      </c>
      <c r="H1058" s="182">
        <f t="shared" si="425"/>
        <v>13.580645161290322</v>
      </c>
      <c r="I1058" s="182">
        <f t="shared" si="425"/>
        <v>0</v>
      </c>
      <c r="J1058" s="182">
        <f t="shared" si="425"/>
        <v>13.580645161290322</v>
      </c>
      <c r="K1058" s="182">
        <f t="shared" si="425"/>
        <v>0</v>
      </c>
      <c r="L1058" s="182">
        <f t="shared" si="425"/>
        <v>0</v>
      </c>
      <c r="M1058" s="237">
        <f t="shared" si="425"/>
        <v>365.92741935483872</v>
      </c>
      <c r="N1058" s="227">
        <f t="shared" si="425"/>
        <v>0</v>
      </c>
      <c r="O1058" s="227">
        <f t="shared" si="412"/>
        <v>365.92741935483872</v>
      </c>
      <c r="P1058" s="254">
        <f t="shared" si="413"/>
        <v>0.2</v>
      </c>
      <c r="Q1058" s="227">
        <f t="shared" si="414"/>
        <v>-73.185483870967744</v>
      </c>
      <c r="R1058" s="234">
        <f t="shared" si="415"/>
        <v>292.74193548387098</v>
      </c>
      <c r="S1058" s="255">
        <f>+S1031/($N$10*24)</f>
        <v>73.185483870967744</v>
      </c>
      <c r="T1058" s="182">
        <f t="shared" si="416"/>
        <v>73.185483870967744</v>
      </c>
      <c r="U1058" s="224" t="str">
        <f t="shared" si="417"/>
        <v/>
      </c>
      <c r="V1058" s="133"/>
    </row>
    <row r="1059" spans="1:36" ht="15.75" customHeight="1" x14ac:dyDescent="0.3">
      <c r="A1059" s="192" t="s">
        <v>21</v>
      </c>
      <c r="B1059" s="189">
        <f>+B1032/($O$10*24)</f>
        <v>354.62361111111113</v>
      </c>
      <c r="C1059" s="182">
        <f t="shared" ref="C1059:N1059" si="426">+C1032/($O$10*24)</f>
        <v>0</v>
      </c>
      <c r="D1059" s="182">
        <f t="shared" si="426"/>
        <v>15.190277777777778</v>
      </c>
      <c r="E1059" s="182">
        <f t="shared" si="426"/>
        <v>354.62361111111113</v>
      </c>
      <c r="F1059" s="224">
        <f t="shared" si="426"/>
        <v>369.81388888888887</v>
      </c>
      <c r="G1059" s="182">
        <f t="shared" si="426"/>
        <v>0</v>
      </c>
      <c r="H1059" s="182">
        <f t="shared" si="426"/>
        <v>15.036111111111111</v>
      </c>
      <c r="I1059" s="182">
        <f t="shared" si="426"/>
        <v>0</v>
      </c>
      <c r="J1059" s="182">
        <f t="shared" si="426"/>
        <v>15.036111111111111</v>
      </c>
      <c r="K1059" s="182">
        <f t="shared" si="426"/>
        <v>0</v>
      </c>
      <c r="L1059" s="182">
        <f t="shared" si="426"/>
        <v>0</v>
      </c>
      <c r="M1059" s="237">
        <f t="shared" si="426"/>
        <v>354.77777777777777</v>
      </c>
      <c r="N1059" s="227">
        <f t="shared" si="426"/>
        <v>0</v>
      </c>
      <c r="O1059" s="227">
        <f t="shared" si="412"/>
        <v>343.33333333333331</v>
      </c>
      <c r="P1059" s="254">
        <f t="shared" si="413"/>
        <v>0.2</v>
      </c>
      <c r="Q1059" s="227">
        <f t="shared" si="414"/>
        <v>-68.666666666666671</v>
      </c>
      <c r="R1059" s="234">
        <f t="shared" si="415"/>
        <v>274.66666666666663</v>
      </c>
      <c r="S1059" s="255">
        <f>+S1032/($O$10*24)</f>
        <v>70.955555555555549</v>
      </c>
      <c r="T1059" s="182">
        <f t="shared" si="416"/>
        <v>70.955555555555549</v>
      </c>
      <c r="U1059" s="224" t="str">
        <f t="shared" si="417"/>
        <v/>
      </c>
      <c r="V1059" s="133"/>
    </row>
    <row r="1060" spans="1:36" ht="15.75" customHeight="1" thickBot="1" x14ac:dyDescent="0.35">
      <c r="A1060" s="192" t="s">
        <v>22</v>
      </c>
      <c r="B1060" s="204">
        <f>+B1033/($P$10*24)</f>
        <v>212.48252688172042</v>
      </c>
      <c r="C1060" s="205">
        <f t="shared" ref="C1060:N1060" si="427">+C1033/($P$10*24)</f>
        <v>0</v>
      </c>
      <c r="D1060" s="205">
        <f t="shared" si="427"/>
        <v>9.1196236559139781</v>
      </c>
      <c r="E1060" s="205">
        <f t="shared" si="427"/>
        <v>212.48252688172042</v>
      </c>
      <c r="F1060" s="245">
        <f t="shared" si="427"/>
        <v>221.6021505376344</v>
      </c>
      <c r="G1060" s="205">
        <f t="shared" si="427"/>
        <v>0</v>
      </c>
      <c r="H1060" s="205">
        <f t="shared" si="427"/>
        <v>8.9731182795698921</v>
      </c>
      <c r="I1060" s="205">
        <f t="shared" si="427"/>
        <v>0</v>
      </c>
      <c r="J1060" s="205">
        <f t="shared" si="427"/>
        <v>8.9731182795698921</v>
      </c>
      <c r="K1060" s="205">
        <f t="shared" si="427"/>
        <v>0</v>
      </c>
      <c r="L1060" s="205">
        <f t="shared" si="427"/>
        <v>0</v>
      </c>
      <c r="M1060" s="246">
        <f t="shared" si="427"/>
        <v>212.62903225806451</v>
      </c>
      <c r="N1060" s="247">
        <f t="shared" si="427"/>
        <v>0</v>
      </c>
      <c r="O1060" s="248">
        <f t="shared" si="412"/>
        <v>212.62903225806451</v>
      </c>
      <c r="P1060" s="249">
        <f t="shared" si="413"/>
        <v>0.2</v>
      </c>
      <c r="Q1060" s="247">
        <f t="shared" si="414"/>
        <v>-42.525806451612908</v>
      </c>
      <c r="R1060" s="248">
        <f t="shared" si="415"/>
        <v>170.1032258064516</v>
      </c>
      <c r="S1060" s="256">
        <f>+S1033/($P$10*24)</f>
        <v>42.525806451612901</v>
      </c>
      <c r="T1060" s="205">
        <f t="shared" si="416"/>
        <v>42.525806451612901</v>
      </c>
      <c r="U1060" s="245" t="str">
        <f t="shared" si="417"/>
        <v/>
      </c>
      <c r="V1060" s="133"/>
    </row>
    <row r="1061" spans="1:36" ht="15.75" customHeight="1" x14ac:dyDescent="0.3">
      <c r="A1061" s="257"/>
      <c r="V1061" s="133"/>
    </row>
    <row r="1062" spans="1:36" ht="16.5" customHeight="1" thickBot="1" x14ac:dyDescent="0.35">
      <c r="A1062" s="258"/>
      <c r="B1062" s="135"/>
      <c r="C1062" s="135"/>
      <c r="D1062" s="135"/>
      <c r="E1062" s="135"/>
      <c r="F1062" s="135"/>
      <c r="G1062" s="135"/>
      <c r="H1062" s="135"/>
      <c r="I1062" s="135"/>
      <c r="J1062" s="135"/>
      <c r="K1062" s="135"/>
      <c r="L1062" s="135"/>
      <c r="M1062" s="135"/>
      <c r="N1062" s="135"/>
      <c r="O1062" s="135"/>
      <c r="P1062" s="135"/>
      <c r="Q1062" s="135"/>
      <c r="R1062" s="135"/>
      <c r="S1062" s="135"/>
      <c r="T1062" s="135"/>
      <c r="U1062" s="135"/>
      <c r="V1062" s="136"/>
    </row>
    <row r="1063" spans="1:36" ht="15.75" customHeight="1" x14ac:dyDescent="0.3">
      <c r="A1063" s="259"/>
      <c r="B1063" s="180"/>
      <c r="C1063" s="180"/>
      <c r="D1063" s="180"/>
      <c r="E1063" s="180"/>
      <c r="F1063" s="180"/>
      <c r="G1063" s="180"/>
      <c r="H1063" s="180"/>
      <c r="I1063" s="180"/>
      <c r="J1063" s="180"/>
      <c r="K1063" s="180"/>
      <c r="L1063" s="180"/>
      <c r="M1063" s="180"/>
      <c r="N1063" s="180"/>
      <c r="O1063" s="180"/>
      <c r="P1063" s="180"/>
      <c r="Q1063" s="180"/>
      <c r="R1063" s="180"/>
    </row>
    <row r="1064" spans="1:36" ht="15.75" customHeight="1" x14ac:dyDescent="0.3">
      <c r="A1064" s="260"/>
    </row>
    <row r="1065" spans="1:36" ht="15.75" customHeight="1" thickBot="1" x14ac:dyDescent="0.35">
      <c r="A1065" s="260"/>
    </row>
    <row r="1066" spans="1:36" ht="15.75" customHeight="1" x14ac:dyDescent="0.3">
      <c r="A1066" s="261"/>
      <c r="B1066" s="387" t="s">
        <v>780</v>
      </c>
      <c r="C1066" s="387"/>
      <c r="D1066" s="387"/>
      <c r="E1066" s="387"/>
      <c r="F1066" s="387"/>
      <c r="G1066" s="387"/>
      <c r="H1066" s="387"/>
      <c r="I1066" s="387"/>
      <c r="J1066" s="387"/>
      <c r="K1066" s="387"/>
      <c r="L1066" s="387"/>
      <c r="M1066" s="387"/>
      <c r="N1066" s="387"/>
      <c r="O1066" s="387"/>
      <c r="P1066" s="387"/>
      <c r="Q1066" s="177" t="str">
        <f>+Q1</f>
        <v xml:space="preserve">PRINTED:  </v>
      </c>
      <c r="R1066" s="197">
        <f ca="1">+R1</f>
        <v>44894.658168518516</v>
      </c>
      <c r="S1066" s="198"/>
    </row>
    <row r="1067" spans="1:36" ht="15.75" customHeight="1" x14ac:dyDescent="0.3">
      <c r="A1067" s="262"/>
      <c r="B1067" s="394" t="str">
        <f>+A8</f>
        <v>Revised:  10/31/2019</v>
      </c>
      <c r="C1067" s="394"/>
      <c r="D1067" s="394"/>
      <c r="E1067" s="394"/>
      <c r="F1067" s="394"/>
      <c r="G1067" s="394"/>
      <c r="H1067" s="394"/>
      <c r="I1067" s="394"/>
      <c r="J1067" s="394"/>
      <c r="K1067" s="394"/>
      <c r="L1067" s="394"/>
      <c r="M1067" s="394"/>
      <c r="N1067" s="394"/>
      <c r="O1067" s="394"/>
      <c r="P1067" s="394"/>
      <c r="Q1067" s="180"/>
      <c r="R1067" s="180"/>
      <c r="S1067" s="133"/>
    </row>
    <row r="1068" spans="1:36" ht="16.5" customHeight="1" x14ac:dyDescent="0.3">
      <c r="A1068" s="262"/>
      <c r="B1068" s="394" t="s">
        <v>670</v>
      </c>
      <c r="C1068" s="394"/>
      <c r="D1068" s="394"/>
      <c r="E1068" s="394"/>
      <c r="F1068" s="394"/>
      <c r="G1068" s="394"/>
      <c r="H1068" s="394"/>
      <c r="I1068" s="394"/>
      <c r="J1068" s="394"/>
      <c r="K1068" s="394"/>
      <c r="L1068" s="394"/>
      <c r="M1068" s="394"/>
      <c r="N1068" s="394"/>
      <c r="O1068" s="394"/>
      <c r="P1068" s="394"/>
      <c r="Q1068" s="180"/>
      <c r="R1068" s="180"/>
      <c r="S1068" s="133"/>
    </row>
    <row r="1069" spans="1:36" ht="15.75" customHeight="1" x14ac:dyDescent="0.3">
      <c r="A1069" s="262"/>
      <c r="B1069" s="180"/>
      <c r="C1069" s="180"/>
      <c r="D1069" s="180"/>
      <c r="E1069" s="180"/>
      <c r="F1069" s="180"/>
      <c r="G1069" s="180"/>
      <c r="H1069" s="180"/>
      <c r="I1069" s="180"/>
      <c r="J1069" s="180"/>
      <c r="K1069" s="180"/>
      <c r="L1069" s="180"/>
      <c r="M1069" s="180"/>
      <c r="N1069" s="180"/>
      <c r="O1069" s="180"/>
      <c r="P1069" s="180"/>
      <c r="Q1069" s="180"/>
      <c r="R1069" s="180"/>
      <c r="S1069" s="133"/>
      <c r="AG1069" s="192"/>
    </row>
    <row r="1070" spans="1:36" ht="15.75" customHeight="1" x14ac:dyDescent="0.3">
      <c r="A1070" s="262"/>
      <c r="B1070" s="415">
        <f>+A5</f>
        <v>2020</v>
      </c>
      <c r="C1070" s="395"/>
      <c r="D1070" s="395"/>
      <c r="E1070" s="395"/>
      <c r="F1070" s="395"/>
      <c r="G1070" s="395"/>
      <c r="H1070" s="395"/>
      <c r="I1070" s="395"/>
      <c r="J1070" s="395"/>
      <c r="K1070" s="395"/>
      <c r="L1070" s="395"/>
      <c r="M1070" s="395"/>
      <c r="N1070" s="395"/>
      <c r="O1070" s="395"/>
      <c r="P1070" s="395"/>
      <c r="Q1070" s="180"/>
      <c r="R1070" s="180"/>
      <c r="S1070" s="133"/>
      <c r="AE1070" s="4" t="s">
        <v>781</v>
      </c>
      <c r="AF1070" s="4" t="s">
        <v>782</v>
      </c>
    </row>
    <row r="1071" spans="1:36" ht="15.75" customHeight="1" thickBot="1" x14ac:dyDescent="0.35">
      <c r="A1071" s="262"/>
      <c r="B1071" s="394" t="s">
        <v>708</v>
      </c>
      <c r="C1071" s="394"/>
      <c r="D1071" s="394"/>
      <c r="E1071" s="394"/>
      <c r="F1071" s="394"/>
      <c r="G1071" s="394"/>
      <c r="H1071" s="394"/>
      <c r="I1071" s="394"/>
      <c r="J1071" s="394"/>
      <c r="K1071" s="394"/>
      <c r="L1071" s="394"/>
      <c r="M1071" s="394"/>
      <c r="N1071" s="394"/>
      <c r="O1071" s="394"/>
      <c r="P1071" s="394"/>
      <c r="Q1071" s="180"/>
      <c r="R1071" s="180"/>
      <c r="S1071" s="133"/>
      <c r="V1071" s="4" t="s">
        <v>783</v>
      </c>
      <c r="AC1071" s="4" t="s">
        <v>784</v>
      </c>
      <c r="AD1071" s="263" t="s">
        <v>785</v>
      </c>
      <c r="AE1071" s="4">
        <f>DAY(DATE($A$5,MONTH(CONCATENATE(1,"-",AD1071,"-",$A$5))+1,1)-1)</f>
        <v>29</v>
      </c>
      <c r="AI1071" s="264"/>
      <c r="AJ1071" s="264"/>
    </row>
    <row r="1072" spans="1:36" ht="15.75" customHeight="1" x14ac:dyDescent="0.3">
      <c r="A1072" s="262"/>
      <c r="B1072" s="420" t="s">
        <v>786</v>
      </c>
      <c r="C1072" s="421"/>
      <c r="D1072" s="422"/>
      <c r="E1072" s="182"/>
      <c r="F1072" s="182"/>
      <c r="G1072" s="182"/>
      <c r="H1072" s="182"/>
      <c r="I1072" s="182"/>
      <c r="J1072" s="182"/>
      <c r="K1072" s="182"/>
      <c r="L1072" s="182"/>
      <c r="M1072" s="182"/>
      <c r="N1072" s="182"/>
      <c r="O1072" s="182"/>
      <c r="P1072" s="182"/>
      <c r="Q1072" s="180"/>
      <c r="R1072" s="180"/>
      <c r="S1072" s="265"/>
      <c r="T1072" s="444" t="s">
        <v>787</v>
      </c>
      <c r="U1072" s="445"/>
      <c r="V1072" s="445" t="s">
        <v>788</v>
      </c>
      <c r="W1072" s="445"/>
      <c r="X1072" s="266" t="s">
        <v>640</v>
      </c>
      <c r="Y1072" s="266" t="s">
        <v>789</v>
      </c>
      <c r="Z1072" s="266" t="s">
        <v>790</v>
      </c>
    </row>
    <row r="1073" spans="1:50" ht="15.75" customHeight="1" thickBot="1" x14ac:dyDescent="0.35">
      <c r="A1073" s="191" t="s">
        <v>768</v>
      </c>
      <c r="B1073" s="267" t="s">
        <v>791</v>
      </c>
      <c r="C1073" s="268" t="s">
        <v>792</v>
      </c>
      <c r="D1073" s="269" t="s">
        <v>793</v>
      </c>
      <c r="E1073" s="268" t="s">
        <v>678</v>
      </c>
      <c r="F1073" s="268" t="s">
        <v>679</v>
      </c>
      <c r="G1073" s="268" t="s">
        <v>680</v>
      </c>
      <c r="H1073" s="268" t="s">
        <v>794</v>
      </c>
      <c r="I1073" s="268" t="s">
        <v>795</v>
      </c>
      <c r="J1073" s="268" t="s">
        <v>681</v>
      </c>
      <c r="K1073" s="268" t="s">
        <v>682</v>
      </c>
      <c r="L1073" s="268" t="s">
        <v>683</v>
      </c>
      <c r="M1073" s="268" t="s">
        <v>684</v>
      </c>
      <c r="N1073" s="268" t="s">
        <v>685</v>
      </c>
      <c r="O1073" s="268" t="s">
        <v>686</v>
      </c>
      <c r="P1073" s="268" t="s">
        <v>687</v>
      </c>
      <c r="Q1073" s="268" t="s">
        <v>688</v>
      </c>
      <c r="R1073" s="268" t="s">
        <v>689</v>
      </c>
      <c r="S1073" s="269" t="s">
        <v>638</v>
      </c>
      <c r="T1073" s="268" t="s">
        <v>796</v>
      </c>
      <c r="U1073" s="268" t="s">
        <v>792</v>
      </c>
      <c r="V1073" s="268" t="s">
        <v>797</v>
      </c>
      <c r="W1073" s="268" t="s">
        <v>792</v>
      </c>
      <c r="X1073" s="268" t="s">
        <v>127</v>
      </c>
      <c r="Y1073" s="268" t="s">
        <v>798</v>
      </c>
      <c r="Z1073" s="268" t="s">
        <v>799</v>
      </c>
      <c r="AD1073" s="191" t="s">
        <v>677</v>
      </c>
      <c r="AE1073" s="191" t="s">
        <v>678</v>
      </c>
      <c r="AF1073" s="191" t="s">
        <v>679</v>
      </c>
      <c r="AG1073" s="191" t="s">
        <v>680</v>
      </c>
      <c r="AH1073" s="191" t="s">
        <v>644</v>
      </c>
      <c r="AI1073" s="191" t="s">
        <v>681</v>
      </c>
      <c r="AJ1073" s="191" t="s">
        <v>682</v>
      </c>
      <c r="AK1073" s="191" t="s">
        <v>683</v>
      </c>
      <c r="AL1073" s="191" t="s">
        <v>684</v>
      </c>
      <c r="AM1073" s="191" t="s">
        <v>685</v>
      </c>
      <c r="AN1073" s="191" t="s">
        <v>686</v>
      </c>
      <c r="AO1073" s="191" t="s">
        <v>687</v>
      </c>
      <c r="AP1073" s="191" t="s">
        <v>688</v>
      </c>
      <c r="AQ1073" s="191" t="s">
        <v>689</v>
      </c>
      <c r="AR1073" s="191" t="s">
        <v>638</v>
      </c>
      <c r="AS1073" s="191" t="s">
        <v>641</v>
      </c>
      <c r="AT1073" s="191" t="s">
        <v>800</v>
      </c>
      <c r="AU1073" s="191" t="s">
        <v>641</v>
      </c>
      <c r="AW1073" s="270" t="s">
        <v>801</v>
      </c>
      <c r="AX1073" s="270" t="s">
        <v>802</v>
      </c>
    </row>
    <row r="1074" spans="1:50" ht="15.75" customHeight="1" x14ac:dyDescent="0.3">
      <c r="A1074" s="211" t="s">
        <v>8</v>
      </c>
      <c r="B1074" s="211">
        <f>+F1101</f>
        <v>196</v>
      </c>
      <c r="C1074" s="192">
        <f t="shared" ref="B1074:C1085" si="428">+G1101</f>
        <v>0</v>
      </c>
      <c r="D1074" s="271" t="s">
        <v>803</v>
      </c>
      <c r="E1074" s="192">
        <f>+C994/$B$10/24</f>
        <v>12.071236559139784</v>
      </c>
      <c r="F1074" s="192">
        <f t="shared" ref="F1074:S1074" si="429">+D994/$B$10/24</f>
        <v>12.649193548387096</v>
      </c>
      <c r="G1074" s="192">
        <f t="shared" si="429"/>
        <v>21.3252688172043</v>
      </c>
      <c r="H1074" s="192">
        <f t="shared" si="429"/>
        <v>2.3157478460149621</v>
      </c>
      <c r="I1074" s="192">
        <f t="shared" si="429"/>
        <v>0</v>
      </c>
      <c r="J1074" s="192">
        <f t="shared" si="429"/>
        <v>5.3534946236559131</v>
      </c>
      <c r="K1074" s="192">
        <f t="shared" si="429"/>
        <v>3.486559139784946</v>
      </c>
      <c r="L1074" s="192">
        <f t="shared" si="429"/>
        <v>5.389784946236559</v>
      </c>
      <c r="M1074" s="192">
        <f t="shared" si="429"/>
        <v>5.553763440860215</v>
      </c>
      <c r="N1074" s="192">
        <f t="shared" si="429"/>
        <v>1.6827956989247312</v>
      </c>
      <c r="O1074" s="192">
        <f t="shared" si="429"/>
        <v>1.98252688172043</v>
      </c>
      <c r="P1074" s="192">
        <f t="shared" si="429"/>
        <v>4.071236559139785</v>
      </c>
      <c r="Q1074" s="192">
        <f t="shared" si="429"/>
        <v>1.0067204301075268</v>
      </c>
      <c r="R1074" s="192">
        <f t="shared" si="429"/>
        <v>1.739247311827957</v>
      </c>
      <c r="S1074" s="271">
        <f t="shared" si="429"/>
        <v>2.381720430107527</v>
      </c>
      <c r="T1074" s="192">
        <f>+B1074+SUM(E1074:S1074)</f>
        <v>277.00929623311174</v>
      </c>
      <c r="U1074" s="192">
        <f t="shared" ref="U1074:U1085" si="430">+C1074+SUM(E1074:S1074)</f>
        <v>81.009296233111726</v>
      </c>
      <c r="V1074" s="192">
        <f>+B1074+SUM(E1074:G1074)</f>
        <v>242.0456989247312</v>
      </c>
      <c r="W1074" s="192">
        <f>+C1074+SUM(E1074:G1074)</f>
        <v>46.045698924731184</v>
      </c>
      <c r="X1074" s="192">
        <f>+H1074</f>
        <v>2.3157478460149621</v>
      </c>
      <c r="Y1074" s="192">
        <f>+I1074</f>
        <v>0</v>
      </c>
      <c r="Z1074" s="192">
        <f>+SUM(J1074:S1074)</f>
        <v>32.647849462365592</v>
      </c>
      <c r="AC1074" s="4">
        <v>1</v>
      </c>
      <c r="AD1074" s="192">
        <f>IF($AF$1071=1,VLOOKUP($AD$1071,$A$1101:$P$1112,12,FALSE),VLOOKUP($AD$1071,$A$1074:$S$1085,2,FALSE))</f>
        <v>98</v>
      </c>
      <c r="AE1074" s="192">
        <f>VLOOKUP($AD$1071,$A$1074:$S$1085,5,FALSE)</f>
        <v>13.596264367816092</v>
      </c>
      <c r="AF1074" s="192">
        <f>VLOOKUP($AD$1071,$A$1074:$S$1085,6,FALSE)</f>
        <v>14.238505747126437</v>
      </c>
      <c r="AG1074" s="192">
        <f>VLOOKUP($AD$1071,$A$1074:$S$1085,7,FALSE)</f>
        <v>23.964080459770116</v>
      </c>
      <c r="AH1074" s="192">
        <f>VLOOKUP($AD$1071,$A$1074:$S$1085,8,FALSE)</f>
        <v>0</v>
      </c>
      <c r="AI1074" s="192">
        <f>VLOOKUP($AD$1071,$A$1074:$S$1085,10,FALSE)</f>
        <v>7.3218390804597702</v>
      </c>
      <c r="AJ1074" s="192">
        <f>VLOOKUP($AD$1071,$A$1074:$S$1085,11,FALSE)</f>
        <v>5.3879310344827589</v>
      </c>
      <c r="AK1074" s="192">
        <f>VLOOKUP($AD$1071,$A$1074:$S$1085,12,FALSE)</f>
        <v>8.3362068965517242</v>
      </c>
      <c r="AL1074" s="192">
        <f>VLOOKUP($AD$1071,$A$1074:$S$1085,13,FALSE)</f>
        <v>8.4382183908045985</v>
      </c>
      <c r="AM1074" s="192">
        <f>VLOOKUP($AD$1071,$A$1074:$S$1085,14,FALSE)</f>
        <v>2.6278735632183907</v>
      </c>
      <c r="AN1074" s="192">
        <f>VLOOKUP($AD$1071,$A$1074:$S$1085,15,FALSE)</f>
        <v>3.0977011494252871</v>
      </c>
      <c r="AO1074" s="192">
        <f>VLOOKUP($AD$1071,$A$1074:$S$1085,16,FALSE)</f>
        <v>6.3261494252873556</v>
      </c>
      <c r="AP1074" s="192">
        <f>VLOOKUP($AD$1071,$A$1074:$S$1085,17,FALSE)</f>
        <v>0.9885057471264368</v>
      </c>
      <c r="AQ1074" s="192">
        <f>VLOOKUP($AD$1071,$A$1074:$S$1085,18,FALSE)</f>
        <v>1.8591954022988506</v>
      </c>
      <c r="AR1074" s="192">
        <f>VLOOKUP($AD$1071,$A$1074:$S$1085,19,FALSE)</f>
        <v>2.3405172413793101</v>
      </c>
      <c r="AS1074" s="192">
        <f>SUM(AD1074:AR1074)</f>
        <v>196.52298850574709</v>
      </c>
      <c r="AT1074" s="192">
        <f>VLOOKUP($AD$1071,$AC$994:$AS$1005,17,FALSE)/$AE$1071*(AS1074/$AS$1098)</f>
        <v>13.273286788834962</v>
      </c>
      <c r="AU1074" s="192">
        <f>AS1074+AT1074</f>
        <v>209.79627529458205</v>
      </c>
      <c r="AW1074" s="192">
        <f>VLOOKUP($AD$1071,$A$1022:$O$1035,15,FALSE)/$AE$1071/24</f>
        <v>199.48850574712642</v>
      </c>
      <c r="AX1074" s="192">
        <f>AU1074-AW1074</f>
        <v>10.307769547455621</v>
      </c>
    </row>
    <row r="1075" spans="1:50" ht="15.75" customHeight="1" x14ac:dyDescent="0.3">
      <c r="A1075" s="211" t="s">
        <v>9</v>
      </c>
      <c r="B1075" s="211">
        <f t="shared" si="428"/>
        <v>98</v>
      </c>
      <c r="C1075" s="192">
        <f t="shared" si="428"/>
        <v>0</v>
      </c>
      <c r="D1075" s="271" t="s">
        <v>803</v>
      </c>
      <c r="E1075" s="192">
        <f t="shared" ref="E1075:S1075" si="431">+C995/$C$10/24</f>
        <v>13.596264367816092</v>
      </c>
      <c r="F1075" s="192">
        <f t="shared" si="431"/>
        <v>14.238505747126437</v>
      </c>
      <c r="G1075" s="192">
        <f t="shared" si="431"/>
        <v>23.964080459770116</v>
      </c>
      <c r="H1075" s="192">
        <f t="shared" si="431"/>
        <v>0</v>
      </c>
      <c r="I1075" s="192">
        <f t="shared" si="431"/>
        <v>0</v>
      </c>
      <c r="J1075" s="192">
        <f t="shared" si="431"/>
        <v>7.3218390804597702</v>
      </c>
      <c r="K1075" s="192">
        <f t="shared" si="431"/>
        <v>5.3879310344827589</v>
      </c>
      <c r="L1075" s="192">
        <f t="shared" si="431"/>
        <v>8.3362068965517242</v>
      </c>
      <c r="M1075" s="192">
        <f t="shared" si="431"/>
        <v>8.4382183908045985</v>
      </c>
      <c r="N1075" s="192">
        <f t="shared" si="431"/>
        <v>2.6278735632183907</v>
      </c>
      <c r="O1075" s="192">
        <f t="shared" si="431"/>
        <v>3.0977011494252871</v>
      </c>
      <c r="P1075" s="192">
        <f t="shared" si="431"/>
        <v>6.3261494252873556</v>
      </c>
      <c r="Q1075" s="192">
        <f t="shared" si="431"/>
        <v>0.9885057471264368</v>
      </c>
      <c r="R1075" s="192">
        <f t="shared" si="431"/>
        <v>1.8591954022988506</v>
      </c>
      <c r="S1075" s="271">
        <f t="shared" si="431"/>
        <v>2.3405172413793101</v>
      </c>
      <c r="T1075" s="192">
        <f t="shared" ref="T1075:T1085" si="432">+B1075+SUM(E1075:S1075)</f>
        <v>196.52298850574715</v>
      </c>
      <c r="U1075" s="192">
        <f t="shared" si="430"/>
        <v>98.522988505747136</v>
      </c>
      <c r="V1075" s="192">
        <f t="shared" ref="V1075:V1085" si="433">+B1075+SUM(E1075:G1075)</f>
        <v>149.79885057471265</v>
      </c>
      <c r="W1075" s="192">
        <f t="shared" ref="W1075:W1085" si="434">+C1075+SUM(E1075:G1075)</f>
        <v>51.798850574712645</v>
      </c>
      <c r="X1075" s="192">
        <f t="shared" ref="X1075:Y1085" si="435">+H1075</f>
        <v>0</v>
      </c>
      <c r="Y1075" s="192">
        <f t="shared" si="435"/>
        <v>0</v>
      </c>
      <c r="Z1075" s="192">
        <f t="shared" ref="Z1075:Z1085" si="436">+SUM(J1075:S1075)</f>
        <v>46.724137931034484</v>
      </c>
      <c r="AC1075" s="4">
        <v>2</v>
      </c>
      <c r="AD1075" s="192">
        <f t="shared" ref="AD1075:AD1079" si="437">IF($AF$1071=1,VLOOKUP($AD$1071,$A$1101:$P$1112,12,FALSE),VLOOKUP($AD$1071,$A$1074:$S$1085,2,FALSE))</f>
        <v>98</v>
      </c>
      <c r="AE1075" s="192">
        <f t="shared" ref="AE1075:AE1097" si="438">VLOOKUP($AD$1071,$A$1074:$S$1085,5,FALSE)</f>
        <v>13.596264367816092</v>
      </c>
      <c r="AF1075" s="192">
        <f t="shared" ref="AF1075:AF1097" si="439">VLOOKUP($AD$1071,$A$1074:$S$1085,6,FALSE)</f>
        <v>14.238505747126437</v>
      </c>
      <c r="AG1075" s="192">
        <f t="shared" ref="AG1075:AG1097" si="440">VLOOKUP($AD$1071,$A$1074:$S$1085,7,FALSE)</f>
        <v>23.964080459770116</v>
      </c>
      <c r="AH1075" s="192">
        <f t="shared" ref="AH1075:AH1097" si="441">VLOOKUP($AD$1071,$A$1074:$S$1085,8,FALSE)</f>
        <v>0</v>
      </c>
      <c r="AI1075" s="192">
        <f t="shared" ref="AI1075:AI1097" si="442">VLOOKUP($AD$1071,$A$1074:$S$1085,10,FALSE)</f>
        <v>7.3218390804597702</v>
      </c>
      <c r="AJ1075" s="192">
        <f t="shared" ref="AJ1075:AJ1097" si="443">VLOOKUP($AD$1071,$A$1074:$S$1085,11,FALSE)</f>
        <v>5.3879310344827589</v>
      </c>
      <c r="AK1075" s="192">
        <f t="shared" ref="AK1075:AK1097" si="444">VLOOKUP($AD$1071,$A$1074:$S$1085,12,FALSE)</f>
        <v>8.3362068965517242</v>
      </c>
      <c r="AL1075" s="192">
        <f t="shared" ref="AL1075:AL1097" si="445">VLOOKUP($AD$1071,$A$1074:$S$1085,13,FALSE)</f>
        <v>8.4382183908045985</v>
      </c>
      <c r="AM1075" s="192">
        <f t="shared" ref="AM1075:AM1097" si="446">VLOOKUP($AD$1071,$A$1074:$S$1085,14,FALSE)</f>
        <v>2.6278735632183907</v>
      </c>
      <c r="AN1075" s="192">
        <f t="shared" ref="AN1075:AN1097" si="447">VLOOKUP($AD$1071,$A$1074:$S$1085,15,FALSE)</f>
        <v>3.0977011494252871</v>
      </c>
      <c r="AO1075" s="192">
        <f t="shared" ref="AO1075:AO1097" si="448">VLOOKUP($AD$1071,$A$1074:$S$1085,16,FALSE)</f>
        <v>6.3261494252873556</v>
      </c>
      <c r="AP1075" s="192">
        <f t="shared" ref="AP1075:AP1097" si="449">VLOOKUP($AD$1071,$A$1074:$S$1085,17,FALSE)</f>
        <v>0.9885057471264368</v>
      </c>
      <c r="AQ1075" s="192">
        <f t="shared" ref="AQ1075:AQ1097" si="450">VLOOKUP($AD$1071,$A$1074:$S$1085,18,FALSE)</f>
        <v>1.8591954022988506</v>
      </c>
      <c r="AR1075" s="192">
        <f t="shared" ref="AR1075:AR1097" si="451">VLOOKUP($AD$1071,$A$1074:$S$1085,19,FALSE)</f>
        <v>2.3405172413793101</v>
      </c>
      <c r="AS1075" s="192">
        <f t="shared" ref="AS1075:AS1097" si="452">SUM(AD1075:AR1075)</f>
        <v>196.52298850574709</v>
      </c>
      <c r="AT1075" s="192">
        <f t="shared" ref="AT1075:AT1097" si="453">VLOOKUP($AD$1071,$AC$994:$AS$1005,17,FALSE)/$AE$1071*(AS1075/$AS$1098)</f>
        <v>13.273286788834962</v>
      </c>
      <c r="AU1075" s="192">
        <f t="shared" ref="AU1075:AU1097" si="454">AS1075+AT1075</f>
        <v>209.79627529458205</v>
      </c>
      <c r="AW1075" s="192">
        <f t="shared" ref="AW1075:AW1097" si="455">VLOOKUP($AD$1071,$A$1022:$O$1035,15,FALSE)/$AE$1071/24</f>
        <v>199.48850574712642</v>
      </c>
      <c r="AX1075" s="192">
        <f t="shared" ref="AX1075:AX1097" si="456">AU1075-AW1075</f>
        <v>10.307769547455621</v>
      </c>
    </row>
    <row r="1076" spans="1:50" ht="15.75" customHeight="1" x14ac:dyDescent="0.3">
      <c r="A1076" s="211" t="s">
        <v>10</v>
      </c>
      <c r="B1076" s="211">
        <f t="shared" si="428"/>
        <v>294</v>
      </c>
      <c r="C1076" s="192">
        <f t="shared" si="428"/>
        <v>0</v>
      </c>
      <c r="D1076" s="271" t="s">
        <v>803</v>
      </c>
      <c r="E1076" s="192">
        <f t="shared" ref="E1076:S1076" si="457">+C996/$D$10/24</f>
        <v>26.684139784946236</v>
      </c>
      <c r="F1076" s="192">
        <f t="shared" si="457"/>
        <v>27.951612903225808</v>
      </c>
      <c r="G1076" s="192">
        <f t="shared" si="457"/>
        <v>46.682795698924735</v>
      </c>
      <c r="H1076" s="192">
        <f t="shared" si="457"/>
        <v>13.412407040494381</v>
      </c>
      <c r="I1076" s="192">
        <f t="shared" si="457"/>
        <v>0</v>
      </c>
      <c r="J1076" s="192">
        <f t="shared" si="457"/>
        <v>10.751344086021506</v>
      </c>
      <c r="K1076" s="192">
        <f t="shared" si="457"/>
        <v>7.375</v>
      </c>
      <c r="L1076" s="192">
        <f t="shared" si="457"/>
        <v>9.693548387096774</v>
      </c>
      <c r="M1076" s="192">
        <f t="shared" si="457"/>
        <v>9.168010752688172</v>
      </c>
      <c r="N1076" s="192">
        <f t="shared" si="457"/>
        <v>2.6908602150537635</v>
      </c>
      <c r="O1076" s="192">
        <f t="shared" si="457"/>
        <v>3.1706989247311825</v>
      </c>
      <c r="P1076" s="192">
        <f t="shared" si="457"/>
        <v>6.387096774193548</v>
      </c>
      <c r="Q1076" s="192">
        <f t="shared" si="457"/>
        <v>0.90456989247311836</v>
      </c>
      <c r="R1076" s="192">
        <f t="shared" si="457"/>
        <v>2.1733870967741935</v>
      </c>
      <c r="S1076" s="271">
        <f t="shared" si="457"/>
        <v>2.139784946236559</v>
      </c>
      <c r="T1076" s="192">
        <f t="shared" si="432"/>
        <v>463.18525650285994</v>
      </c>
      <c r="U1076" s="192">
        <f t="shared" si="430"/>
        <v>169.18525650285994</v>
      </c>
      <c r="V1076" s="192">
        <f t="shared" si="433"/>
        <v>395.31854838709677</v>
      </c>
      <c r="W1076" s="192">
        <f t="shared" si="434"/>
        <v>101.31854838709678</v>
      </c>
      <c r="X1076" s="192">
        <f t="shared" si="435"/>
        <v>13.412407040494381</v>
      </c>
      <c r="Y1076" s="192">
        <f t="shared" si="435"/>
        <v>0</v>
      </c>
      <c r="Z1076" s="192">
        <f t="shared" si="436"/>
        <v>54.454301075268816</v>
      </c>
      <c r="AC1076" s="4">
        <v>3</v>
      </c>
      <c r="AD1076" s="192">
        <f t="shared" si="437"/>
        <v>98</v>
      </c>
      <c r="AE1076" s="192">
        <f t="shared" si="438"/>
        <v>13.596264367816092</v>
      </c>
      <c r="AF1076" s="192">
        <f t="shared" si="439"/>
        <v>14.238505747126437</v>
      </c>
      <c r="AG1076" s="192">
        <f t="shared" si="440"/>
        <v>23.964080459770116</v>
      </c>
      <c r="AH1076" s="192">
        <f t="shared" si="441"/>
        <v>0</v>
      </c>
      <c r="AI1076" s="192">
        <f t="shared" si="442"/>
        <v>7.3218390804597702</v>
      </c>
      <c r="AJ1076" s="192">
        <f t="shared" si="443"/>
        <v>5.3879310344827589</v>
      </c>
      <c r="AK1076" s="192">
        <f t="shared" si="444"/>
        <v>8.3362068965517242</v>
      </c>
      <c r="AL1076" s="192">
        <f t="shared" si="445"/>
        <v>8.4382183908045985</v>
      </c>
      <c r="AM1076" s="192">
        <f t="shared" si="446"/>
        <v>2.6278735632183907</v>
      </c>
      <c r="AN1076" s="192">
        <f t="shared" si="447"/>
        <v>3.0977011494252871</v>
      </c>
      <c r="AO1076" s="192">
        <f t="shared" si="448"/>
        <v>6.3261494252873556</v>
      </c>
      <c r="AP1076" s="192">
        <f t="shared" si="449"/>
        <v>0.9885057471264368</v>
      </c>
      <c r="AQ1076" s="192">
        <f t="shared" si="450"/>
        <v>1.8591954022988506</v>
      </c>
      <c r="AR1076" s="192">
        <f t="shared" si="451"/>
        <v>2.3405172413793101</v>
      </c>
      <c r="AS1076" s="192">
        <f t="shared" si="452"/>
        <v>196.52298850574709</v>
      </c>
      <c r="AT1076" s="192">
        <f t="shared" si="453"/>
        <v>13.273286788834962</v>
      </c>
      <c r="AU1076" s="192">
        <f t="shared" si="454"/>
        <v>209.79627529458205</v>
      </c>
      <c r="AW1076" s="192">
        <f t="shared" si="455"/>
        <v>199.48850574712642</v>
      </c>
      <c r="AX1076" s="192">
        <f t="shared" si="456"/>
        <v>10.307769547455621</v>
      </c>
    </row>
    <row r="1077" spans="1:50" ht="15.75" customHeight="1" x14ac:dyDescent="0.3">
      <c r="A1077" s="211" t="s">
        <v>12</v>
      </c>
      <c r="B1077" s="211">
        <f t="shared" si="428"/>
        <v>294</v>
      </c>
      <c r="C1077" s="192">
        <f t="shared" si="428"/>
        <v>0</v>
      </c>
      <c r="D1077" s="271" t="s">
        <v>803</v>
      </c>
      <c r="E1077" s="192">
        <f t="shared" ref="E1077:S1077" si="458">+C997/$F$10/24</f>
        <v>26.37222222222222</v>
      </c>
      <c r="F1077" s="192">
        <f t="shared" si="458"/>
        <v>27.606944444444448</v>
      </c>
      <c r="G1077" s="192">
        <f t="shared" si="458"/>
        <v>45.581944444444446</v>
      </c>
      <c r="H1077" s="192">
        <f t="shared" si="458"/>
        <v>0</v>
      </c>
      <c r="I1077" s="192">
        <f t="shared" si="458"/>
        <v>0</v>
      </c>
      <c r="J1077" s="192">
        <f t="shared" si="458"/>
        <v>14.480555555555556</v>
      </c>
      <c r="K1077" s="192">
        <f t="shared" si="458"/>
        <v>9.3152777777777782</v>
      </c>
      <c r="L1077" s="192">
        <f t="shared" si="458"/>
        <v>10.526388888888889</v>
      </c>
      <c r="M1077" s="192">
        <f t="shared" si="458"/>
        <v>9.4500000000000011</v>
      </c>
      <c r="N1077" s="192">
        <f t="shared" si="458"/>
        <v>2.8708333333333336</v>
      </c>
      <c r="O1077" s="192">
        <f t="shared" si="458"/>
        <v>3.3819444444444446</v>
      </c>
      <c r="P1077" s="192">
        <f t="shared" si="458"/>
        <v>6.7513888888888891</v>
      </c>
      <c r="Q1077" s="192">
        <f t="shared" si="458"/>
        <v>1.0097222222222222</v>
      </c>
      <c r="R1077" s="192">
        <f t="shared" si="458"/>
        <v>2.6958333333333333</v>
      </c>
      <c r="S1077" s="271">
        <f t="shared" si="458"/>
        <v>2.3861111111111111</v>
      </c>
      <c r="T1077" s="192">
        <f t="shared" si="432"/>
        <v>456.42916666666667</v>
      </c>
      <c r="U1077" s="192">
        <f t="shared" si="430"/>
        <v>162.42916666666667</v>
      </c>
      <c r="V1077" s="192">
        <f t="shared" si="433"/>
        <v>393.56111111111113</v>
      </c>
      <c r="W1077" s="192">
        <f t="shared" si="434"/>
        <v>99.561111111111117</v>
      </c>
      <c r="X1077" s="192">
        <f t="shared" si="435"/>
        <v>0</v>
      </c>
      <c r="Y1077" s="192">
        <f t="shared" si="435"/>
        <v>0</v>
      </c>
      <c r="Z1077" s="192">
        <f t="shared" si="436"/>
        <v>62.868055555555564</v>
      </c>
      <c r="AC1077" s="4">
        <v>4</v>
      </c>
      <c r="AD1077" s="192">
        <f t="shared" si="437"/>
        <v>98</v>
      </c>
      <c r="AE1077" s="192">
        <f t="shared" si="438"/>
        <v>13.596264367816092</v>
      </c>
      <c r="AF1077" s="192">
        <f t="shared" si="439"/>
        <v>14.238505747126437</v>
      </c>
      <c r="AG1077" s="192">
        <f t="shared" si="440"/>
        <v>23.964080459770116</v>
      </c>
      <c r="AH1077" s="192">
        <f t="shared" si="441"/>
        <v>0</v>
      </c>
      <c r="AI1077" s="192">
        <f t="shared" si="442"/>
        <v>7.3218390804597702</v>
      </c>
      <c r="AJ1077" s="192">
        <f t="shared" si="443"/>
        <v>5.3879310344827589</v>
      </c>
      <c r="AK1077" s="192">
        <f t="shared" si="444"/>
        <v>8.3362068965517242</v>
      </c>
      <c r="AL1077" s="192">
        <f t="shared" si="445"/>
        <v>8.4382183908045985</v>
      </c>
      <c r="AM1077" s="192">
        <f t="shared" si="446"/>
        <v>2.6278735632183907</v>
      </c>
      <c r="AN1077" s="192">
        <f t="shared" si="447"/>
        <v>3.0977011494252871</v>
      </c>
      <c r="AO1077" s="192">
        <f t="shared" si="448"/>
        <v>6.3261494252873556</v>
      </c>
      <c r="AP1077" s="192">
        <f t="shared" si="449"/>
        <v>0.9885057471264368</v>
      </c>
      <c r="AQ1077" s="192">
        <f t="shared" si="450"/>
        <v>1.8591954022988506</v>
      </c>
      <c r="AR1077" s="192">
        <f t="shared" si="451"/>
        <v>2.3405172413793101</v>
      </c>
      <c r="AS1077" s="192">
        <f t="shared" si="452"/>
        <v>196.52298850574709</v>
      </c>
      <c r="AT1077" s="192">
        <f t="shared" si="453"/>
        <v>13.273286788834962</v>
      </c>
      <c r="AU1077" s="192">
        <f t="shared" si="454"/>
        <v>209.79627529458205</v>
      </c>
      <c r="AW1077" s="192">
        <f t="shared" si="455"/>
        <v>199.48850574712642</v>
      </c>
      <c r="AX1077" s="192">
        <f t="shared" si="456"/>
        <v>10.307769547455621</v>
      </c>
    </row>
    <row r="1078" spans="1:50" ht="15.75" customHeight="1" x14ac:dyDescent="0.3">
      <c r="A1078" s="211" t="s">
        <v>13</v>
      </c>
      <c r="B1078" s="211">
        <f t="shared" si="428"/>
        <v>294</v>
      </c>
      <c r="C1078" s="192">
        <f t="shared" si="428"/>
        <v>0</v>
      </c>
      <c r="D1078" s="271" t="s">
        <v>803</v>
      </c>
      <c r="E1078" s="192">
        <f t="shared" ref="E1078:S1078" si="459">+C998/$G$10/24</f>
        <v>26.385752688172044</v>
      </c>
      <c r="F1078" s="192">
        <f t="shared" si="459"/>
        <v>27.614247311827956</v>
      </c>
      <c r="G1078" s="192">
        <f t="shared" si="459"/>
        <v>45.233870967741929</v>
      </c>
      <c r="H1078" s="192">
        <f t="shared" si="459"/>
        <v>0</v>
      </c>
      <c r="I1078" s="192">
        <f t="shared" si="459"/>
        <v>-2.1046819001843078</v>
      </c>
      <c r="J1078" s="192">
        <f t="shared" si="459"/>
        <v>13.616935483870968</v>
      </c>
      <c r="K1078" s="192">
        <f t="shared" si="459"/>
        <v>7.682795698924731</v>
      </c>
      <c r="L1078" s="192">
        <f t="shared" si="459"/>
        <v>10.073924731182796</v>
      </c>
      <c r="M1078" s="192">
        <f t="shared" si="459"/>
        <v>9.7016129032258061</v>
      </c>
      <c r="N1078" s="192">
        <f t="shared" si="459"/>
        <v>2.948924731182796</v>
      </c>
      <c r="O1078" s="192">
        <f t="shared" si="459"/>
        <v>3.4731182795698925</v>
      </c>
      <c r="P1078" s="192">
        <f t="shared" si="459"/>
        <v>6.8965053763440869</v>
      </c>
      <c r="Q1078" s="192">
        <f t="shared" si="459"/>
        <v>1.1182795698924732</v>
      </c>
      <c r="R1078" s="192">
        <f t="shared" si="459"/>
        <v>3.043010752688172</v>
      </c>
      <c r="S1078" s="271">
        <f t="shared" si="459"/>
        <v>2.6438172043010755</v>
      </c>
      <c r="T1078" s="192">
        <f t="shared" si="432"/>
        <v>452.32811379874039</v>
      </c>
      <c r="U1078" s="192">
        <f t="shared" si="430"/>
        <v>158.32811379874039</v>
      </c>
      <c r="V1078" s="192">
        <f t="shared" si="433"/>
        <v>393.23387096774195</v>
      </c>
      <c r="W1078" s="192">
        <f t="shared" si="434"/>
        <v>99.233870967741922</v>
      </c>
      <c r="X1078" s="192">
        <f t="shared" si="435"/>
        <v>0</v>
      </c>
      <c r="Y1078" s="192">
        <f t="shared" si="435"/>
        <v>-2.1046819001843078</v>
      </c>
      <c r="Z1078" s="192">
        <f t="shared" si="436"/>
        <v>61.1989247311828</v>
      </c>
      <c r="AC1078" s="4">
        <v>5</v>
      </c>
      <c r="AD1078" s="192">
        <f t="shared" si="437"/>
        <v>98</v>
      </c>
      <c r="AE1078" s="192">
        <f t="shared" si="438"/>
        <v>13.596264367816092</v>
      </c>
      <c r="AF1078" s="192">
        <f t="shared" si="439"/>
        <v>14.238505747126437</v>
      </c>
      <c r="AG1078" s="192">
        <f t="shared" si="440"/>
        <v>23.964080459770116</v>
      </c>
      <c r="AH1078" s="192">
        <f t="shared" si="441"/>
        <v>0</v>
      </c>
      <c r="AI1078" s="192">
        <f t="shared" si="442"/>
        <v>7.3218390804597702</v>
      </c>
      <c r="AJ1078" s="192">
        <f t="shared" si="443"/>
        <v>5.3879310344827589</v>
      </c>
      <c r="AK1078" s="192">
        <f t="shared" si="444"/>
        <v>8.3362068965517242</v>
      </c>
      <c r="AL1078" s="192">
        <f t="shared" si="445"/>
        <v>8.4382183908045985</v>
      </c>
      <c r="AM1078" s="192">
        <f t="shared" si="446"/>
        <v>2.6278735632183907</v>
      </c>
      <c r="AN1078" s="192">
        <f t="shared" si="447"/>
        <v>3.0977011494252871</v>
      </c>
      <c r="AO1078" s="192">
        <f t="shared" si="448"/>
        <v>6.3261494252873556</v>
      </c>
      <c r="AP1078" s="192">
        <f t="shared" si="449"/>
        <v>0.9885057471264368</v>
      </c>
      <c r="AQ1078" s="192">
        <f t="shared" si="450"/>
        <v>1.8591954022988506</v>
      </c>
      <c r="AR1078" s="192">
        <f t="shared" si="451"/>
        <v>2.3405172413793101</v>
      </c>
      <c r="AS1078" s="192">
        <f t="shared" si="452"/>
        <v>196.52298850574709</v>
      </c>
      <c r="AT1078" s="192">
        <f t="shared" si="453"/>
        <v>13.273286788834962</v>
      </c>
      <c r="AU1078" s="192">
        <f t="shared" si="454"/>
        <v>209.79627529458205</v>
      </c>
      <c r="AW1078" s="192">
        <f t="shared" si="455"/>
        <v>199.48850574712642</v>
      </c>
      <c r="AX1078" s="192">
        <f t="shared" si="456"/>
        <v>10.307769547455621</v>
      </c>
    </row>
    <row r="1079" spans="1:50" ht="15.75" customHeight="1" x14ac:dyDescent="0.3">
      <c r="A1079" s="211" t="s">
        <v>14</v>
      </c>
      <c r="B1079" s="211">
        <f t="shared" si="428"/>
        <v>147</v>
      </c>
      <c r="C1079" s="192">
        <f t="shared" si="428"/>
        <v>0</v>
      </c>
      <c r="D1079" s="271" t="str">
        <f>H1106</f>
        <v>n/a</v>
      </c>
      <c r="E1079" s="192">
        <f t="shared" ref="E1079:S1079" si="460">+C999/$H$10/24</f>
        <v>16.37638888888889</v>
      </c>
      <c r="F1079" s="192">
        <f t="shared" si="460"/>
        <v>17.111111111111111</v>
      </c>
      <c r="G1079" s="192">
        <f t="shared" si="460"/>
        <v>27.123611111111114</v>
      </c>
      <c r="H1079" s="192">
        <f t="shared" si="460"/>
        <v>0</v>
      </c>
      <c r="I1079" s="192">
        <f t="shared" si="460"/>
        <v>-18.594165077723279</v>
      </c>
      <c r="J1079" s="192">
        <f t="shared" si="460"/>
        <v>18.904166666666665</v>
      </c>
      <c r="K1079" s="192">
        <f t="shared" si="460"/>
        <v>9.9458333333333329</v>
      </c>
      <c r="L1079" s="192">
        <f t="shared" si="460"/>
        <v>11.356944444444444</v>
      </c>
      <c r="M1079" s="192">
        <f t="shared" si="460"/>
        <v>9.5138888888888893</v>
      </c>
      <c r="N1079" s="192">
        <f t="shared" si="460"/>
        <v>2.8666666666666667</v>
      </c>
      <c r="O1079" s="192">
        <f t="shared" si="460"/>
        <v>3.3763888888888887</v>
      </c>
      <c r="P1079" s="192">
        <f t="shared" si="460"/>
        <v>6.5555555555555562</v>
      </c>
      <c r="Q1079" s="192">
        <f t="shared" si="460"/>
        <v>1.101388888888889</v>
      </c>
      <c r="R1079" s="192">
        <f t="shared" si="460"/>
        <v>3.2347222222222225</v>
      </c>
      <c r="S1079" s="271">
        <f t="shared" si="460"/>
        <v>2.6041666666666665</v>
      </c>
      <c r="T1079" s="192">
        <f t="shared" si="432"/>
        <v>258.47666825561009</v>
      </c>
      <c r="U1079" s="192">
        <f t="shared" si="430"/>
        <v>111.47666825561006</v>
      </c>
      <c r="V1079" s="192">
        <f t="shared" si="433"/>
        <v>207.61111111111111</v>
      </c>
      <c r="W1079" s="192">
        <f t="shared" si="434"/>
        <v>60.611111111111114</v>
      </c>
      <c r="X1079" s="192">
        <f t="shared" si="435"/>
        <v>0</v>
      </c>
      <c r="Y1079" s="192">
        <f t="shared" si="435"/>
        <v>-18.594165077723279</v>
      </c>
      <c r="Z1079" s="192">
        <f t="shared" si="436"/>
        <v>69.459722222222226</v>
      </c>
      <c r="AC1079" s="4">
        <v>6</v>
      </c>
      <c r="AD1079" s="192">
        <f t="shared" si="437"/>
        <v>98</v>
      </c>
      <c r="AE1079" s="192">
        <f t="shared" si="438"/>
        <v>13.596264367816092</v>
      </c>
      <c r="AF1079" s="192">
        <f t="shared" si="439"/>
        <v>14.238505747126437</v>
      </c>
      <c r="AG1079" s="192">
        <f t="shared" si="440"/>
        <v>23.964080459770116</v>
      </c>
      <c r="AH1079" s="192">
        <f t="shared" si="441"/>
        <v>0</v>
      </c>
      <c r="AI1079" s="192">
        <f t="shared" si="442"/>
        <v>7.3218390804597702</v>
      </c>
      <c r="AJ1079" s="192">
        <f t="shared" si="443"/>
        <v>5.3879310344827589</v>
      </c>
      <c r="AK1079" s="192">
        <f t="shared" si="444"/>
        <v>8.3362068965517242</v>
      </c>
      <c r="AL1079" s="192">
        <f t="shared" si="445"/>
        <v>8.4382183908045985</v>
      </c>
      <c r="AM1079" s="192">
        <f t="shared" si="446"/>
        <v>2.6278735632183907</v>
      </c>
      <c r="AN1079" s="192">
        <f t="shared" si="447"/>
        <v>3.0977011494252871</v>
      </c>
      <c r="AO1079" s="192">
        <f t="shared" si="448"/>
        <v>6.3261494252873556</v>
      </c>
      <c r="AP1079" s="192">
        <f t="shared" si="449"/>
        <v>0.9885057471264368</v>
      </c>
      <c r="AQ1079" s="192">
        <f t="shared" si="450"/>
        <v>1.8591954022988506</v>
      </c>
      <c r="AR1079" s="192">
        <f t="shared" si="451"/>
        <v>2.3405172413793101</v>
      </c>
      <c r="AS1079" s="192">
        <f t="shared" si="452"/>
        <v>196.52298850574709</v>
      </c>
      <c r="AT1079" s="192">
        <f t="shared" si="453"/>
        <v>13.273286788834962</v>
      </c>
      <c r="AU1079" s="192">
        <f t="shared" si="454"/>
        <v>209.79627529458205</v>
      </c>
      <c r="AW1079" s="192">
        <f t="shared" si="455"/>
        <v>199.48850574712642</v>
      </c>
      <c r="AX1079" s="192">
        <f t="shared" si="456"/>
        <v>10.307769547455621</v>
      </c>
    </row>
    <row r="1080" spans="1:50" ht="15.75" customHeight="1" x14ac:dyDescent="0.3">
      <c r="A1080" s="211" t="s">
        <v>16</v>
      </c>
      <c r="B1080" s="211">
        <f t="shared" si="428"/>
        <v>147</v>
      </c>
      <c r="C1080" s="192">
        <f t="shared" si="428"/>
        <v>0</v>
      </c>
      <c r="D1080" s="271" t="str">
        <f>H1107</f>
        <v>n/a</v>
      </c>
      <c r="E1080" s="192">
        <f t="shared" ref="E1080:S1080" si="461">+C1000/$J$10/24</f>
        <v>8.4677419354838701</v>
      </c>
      <c r="F1080" s="192">
        <f t="shared" si="461"/>
        <v>8.8158602150537639</v>
      </c>
      <c r="G1080" s="192">
        <f t="shared" si="461"/>
        <v>13.034946236559138</v>
      </c>
      <c r="H1080" s="192">
        <f t="shared" si="461"/>
        <v>0</v>
      </c>
      <c r="I1080" s="192">
        <f t="shared" si="461"/>
        <v>-18.399467687480097</v>
      </c>
      <c r="J1080" s="192">
        <f t="shared" si="461"/>
        <v>14.293010752688174</v>
      </c>
      <c r="K1080" s="192">
        <f t="shared" si="461"/>
        <v>9.6196236559139781</v>
      </c>
      <c r="L1080" s="192">
        <f t="shared" si="461"/>
        <v>10.375</v>
      </c>
      <c r="M1080" s="192">
        <f t="shared" si="461"/>
        <v>9.0631720430107539</v>
      </c>
      <c r="N1080" s="192">
        <f t="shared" si="461"/>
        <v>2.7862903225806455</v>
      </c>
      <c r="O1080" s="192">
        <f t="shared" si="461"/>
        <v>3.2822580645161294</v>
      </c>
      <c r="P1080" s="192">
        <f t="shared" si="461"/>
        <v>6.1733870967741931</v>
      </c>
      <c r="Q1080" s="192">
        <f t="shared" si="461"/>
        <v>0.81048387096774199</v>
      </c>
      <c r="R1080" s="192">
        <f t="shared" si="461"/>
        <v>2.8266129032258065</v>
      </c>
      <c r="S1080" s="271">
        <f t="shared" si="461"/>
        <v>1.9166666666666667</v>
      </c>
      <c r="T1080" s="192">
        <f t="shared" si="432"/>
        <v>220.06558607596077</v>
      </c>
      <c r="U1080" s="192">
        <f t="shared" si="430"/>
        <v>73.065586075960766</v>
      </c>
      <c r="V1080" s="192">
        <f t="shared" si="433"/>
        <v>177.31854838709677</v>
      </c>
      <c r="W1080" s="192">
        <f t="shared" si="434"/>
        <v>30.318548387096769</v>
      </c>
      <c r="X1080" s="192">
        <f t="shared" si="435"/>
        <v>0</v>
      </c>
      <c r="Y1080" s="192">
        <f t="shared" si="435"/>
        <v>-18.399467687480097</v>
      </c>
      <c r="Z1080" s="192">
        <f t="shared" si="436"/>
        <v>61.146505376344088</v>
      </c>
      <c r="AC1080" s="4">
        <v>7</v>
      </c>
      <c r="AD1080" s="192">
        <f>IF($AF$1071=1,VLOOKUP($AD$1071,$A$1101:$P$1112,12,FALSE),IF(OR($AD$1071="JAN",$AD$1071="FEB",$AD$1071="NOV",$AD$1071="DEC"),VLOOKUP($AD$1071,$A$1074:$S$1085,2,FALSE),VLOOKUP($AD$1071,$A$1074:$S$1085,3,FALSE)))</f>
        <v>98</v>
      </c>
      <c r="AE1080" s="192">
        <f t="shared" si="438"/>
        <v>13.596264367816092</v>
      </c>
      <c r="AF1080" s="192">
        <f t="shared" si="439"/>
        <v>14.238505747126437</v>
      </c>
      <c r="AG1080" s="192">
        <f t="shared" si="440"/>
        <v>23.964080459770116</v>
      </c>
      <c r="AH1080" s="192">
        <f t="shared" si="441"/>
        <v>0</v>
      </c>
      <c r="AI1080" s="192">
        <f t="shared" si="442"/>
        <v>7.3218390804597702</v>
      </c>
      <c r="AJ1080" s="192">
        <f t="shared" si="443"/>
        <v>5.3879310344827589</v>
      </c>
      <c r="AK1080" s="192">
        <f t="shared" si="444"/>
        <v>8.3362068965517242</v>
      </c>
      <c r="AL1080" s="192">
        <f t="shared" si="445"/>
        <v>8.4382183908045985</v>
      </c>
      <c r="AM1080" s="192">
        <f t="shared" si="446"/>
        <v>2.6278735632183907</v>
      </c>
      <c r="AN1080" s="192">
        <f t="shared" si="447"/>
        <v>3.0977011494252871</v>
      </c>
      <c r="AO1080" s="192">
        <f t="shared" si="448"/>
        <v>6.3261494252873556</v>
      </c>
      <c r="AP1080" s="192">
        <f t="shared" si="449"/>
        <v>0.9885057471264368</v>
      </c>
      <c r="AQ1080" s="192">
        <f t="shared" si="450"/>
        <v>1.8591954022988506</v>
      </c>
      <c r="AR1080" s="192">
        <f t="shared" si="451"/>
        <v>2.3405172413793101</v>
      </c>
      <c r="AS1080" s="192">
        <f t="shared" si="452"/>
        <v>196.52298850574709</v>
      </c>
      <c r="AT1080" s="192">
        <f t="shared" si="453"/>
        <v>13.273286788834962</v>
      </c>
      <c r="AU1080" s="192">
        <f t="shared" si="454"/>
        <v>209.79627529458205</v>
      </c>
      <c r="AW1080" s="192">
        <f t="shared" si="455"/>
        <v>199.48850574712642</v>
      </c>
      <c r="AX1080" s="192">
        <f t="shared" si="456"/>
        <v>10.307769547455621</v>
      </c>
    </row>
    <row r="1081" spans="1:50" ht="15.75" customHeight="1" x14ac:dyDescent="0.3">
      <c r="A1081" s="211" t="s">
        <v>17</v>
      </c>
      <c r="B1081" s="211">
        <f t="shared" si="428"/>
        <v>147</v>
      </c>
      <c r="C1081" s="192">
        <f t="shared" si="428"/>
        <v>0</v>
      </c>
      <c r="D1081" s="271" t="str">
        <f>H1108</f>
        <v>n/a</v>
      </c>
      <c r="E1081" s="192">
        <f t="shared" ref="E1081:S1081" si="462">+C1001/$K$10/24</f>
        <v>8.4247311827956981</v>
      </c>
      <c r="F1081" s="192">
        <f t="shared" si="462"/>
        <v>8.783602150537634</v>
      </c>
      <c r="G1081" s="192">
        <f t="shared" si="462"/>
        <v>13.345430107526882</v>
      </c>
      <c r="H1081" s="192">
        <f t="shared" si="462"/>
        <v>0</v>
      </c>
      <c r="I1081" s="192">
        <f t="shared" si="462"/>
        <v>-12.877349674217996</v>
      </c>
      <c r="J1081" s="192">
        <f t="shared" si="462"/>
        <v>12.633064516129032</v>
      </c>
      <c r="K1081" s="192">
        <f t="shared" si="462"/>
        <v>9.443548387096774</v>
      </c>
      <c r="L1081" s="192">
        <f t="shared" si="462"/>
        <v>10.791666666666666</v>
      </c>
      <c r="M1081" s="192">
        <f t="shared" si="462"/>
        <v>9.638440860215054</v>
      </c>
      <c r="N1081" s="192">
        <f t="shared" si="462"/>
        <v>3.111559139784946</v>
      </c>
      <c r="O1081" s="192">
        <f t="shared" si="462"/>
        <v>3.6666666666666665</v>
      </c>
      <c r="P1081" s="192">
        <f t="shared" si="462"/>
        <v>7.157258064516129</v>
      </c>
      <c r="Q1081" s="192">
        <f t="shared" si="462"/>
        <v>1.6733870967741937</v>
      </c>
      <c r="R1081" s="192">
        <f t="shared" si="462"/>
        <v>2.6088709677419355</v>
      </c>
      <c r="S1081" s="271">
        <f t="shared" si="462"/>
        <v>3.961021505376344</v>
      </c>
      <c r="T1081" s="192">
        <f t="shared" si="432"/>
        <v>229.36189763760996</v>
      </c>
      <c r="U1081" s="192">
        <f t="shared" si="430"/>
        <v>82.361897637609957</v>
      </c>
      <c r="V1081" s="192">
        <f t="shared" si="433"/>
        <v>177.55376344086022</v>
      </c>
      <c r="W1081" s="192">
        <f t="shared" si="434"/>
        <v>30.553763440860216</v>
      </c>
      <c r="X1081" s="192">
        <f t="shared" si="435"/>
        <v>0</v>
      </c>
      <c r="Y1081" s="192">
        <f t="shared" si="435"/>
        <v>-12.877349674217996</v>
      </c>
      <c r="Z1081" s="192">
        <f t="shared" si="436"/>
        <v>64.685483870967744</v>
      </c>
      <c r="AC1081" s="4">
        <v>8</v>
      </c>
      <c r="AD1081" s="192">
        <f>IF($AF$1071=1,VLOOKUP($AD$1071,$A$1101:$P$1112,12,FALSE),VLOOKUP($AD$1071,$A$1074:$S$1085,3,FALSE))</f>
        <v>0</v>
      </c>
      <c r="AE1081" s="192">
        <f t="shared" si="438"/>
        <v>13.596264367816092</v>
      </c>
      <c r="AF1081" s="192">
        <f t="shared" si="439"/>
        <v>14.238505747126437</v>
      </c>
      <c r="AG1081" s="192">
        <f t="shared" si="440"/>
        <v>23.964080459770116</v>
      </c>
      <c r="AH1081" s="192">
        <f t="shared" si="441"/>
        <v>0</v>
      </c>
      <c r="AI1081" s="192">
        <f t="shared" si="442"/>
        <v>7.3218390804597702</v>
      </c>
      <c r="AJ1081" s="192">
        <f t="shared" si="443"/>
        <v>5.3879310344827589</v>
      </c>
      <c r="AK1081" s="192">
        <f t="shared" si="444"/>
        <v>8.3362068965517242</v>
      </c>
      <c r="AL1081" s="192">
        <f t="shared" si="445"/>
        <v>8.4382183908045985</v>
      </c>
      <c r="AM1081" s="192">
        <f t="shared" si="446"/>
        <v>2.6278735632183907</v>
      </c>
      <c r="AN1081" s="192">
        <f t="shared" si="447"/>
        <v>3.0977011494252871</v>
      </c>
      <c r="AO1081" s="192">
        <f t="shared" si="448"/>
        <v>6.3261494252873556</v>
      </c>
      <c r="AP1081" s="192">
        <f t="shared" si="449"/>
        <v>0.9885057471264368</v>
      </c>
      <c r="AQ1081" s="192">
        <f t="shared" si="450"/>
        <v>1.8591954022988506</v>
      </c>
      <c r="AR1081" s="192">
        <f t="shared" si="451"/>
        <v>2.3405172413793101</v>
      </c>
      <c r="AS1081" s="192">
        <f t="shared" si="452"/>
        <v>98.522988505747136</v>
      </c>
      <c r="AT1081" s="192">
        <f t="shared" si="453"/>
        <v>6.6543048814445926</v>
      </c>
      <c r="AU1081" s="192">
        <f t="shared" si="454"/>
        <v>105.17729338719172</v>
      </c>
      <c r="AW1081" s="192">
        <f t="shared" si="455"/>
        <v>199.48850574712642</v>
      </c>
      <c r="AX1081" s="192">
        <f t="shared" si="456"/>
        <v>-94.3112123599347</v>
      </c>
    </row>
    <row r="1082" spans="1:50" ht="15.75" customHeight="1" x14ac:dyDescent="0.3">
      <c r="A1082" s="211" t="s">
        <v>18</v>
      </c>
      <c r="B1082" s="211">
        <f t="shared" si="428"/>
        <v>245</v>
      </c>
      <c r="C1082" s="192">
        <f t="shared" si="428"/>
        <v>0</v>
      </c>
      <c r="D1082" s="271" t="s">
        <v>803</v>
      </c>
      <c r="E1082" s="192">
        <f t="shared" ref="E1082:S1082" si="463">+C1002/$L$10/24</f>
        <v>22.18472222222222</v>
      </c>
      <c r="F1082" s="192">
        <f t="shared" si="463"/>
        <v>23.222222222222225</v>
      </c>
      <c r="G1082" s="192">
        <f t="shared" si="463"/>
        <v>38.451388888888893</v>
      </c>
      <c r="H1082" s="192">
        <f t="shared" si="463"/>
        <v>4.2424231371518255</v>
      </c>
      <c r="I1082" s="192">
        <f t="shared" si="463"/>
        <v>0</v>
      </c>
      <c r="J1082" s="192">
        <f t="shared" si="463"/>
        <v>9.0902777777777768</v>
      </c>
      <c r="K1082" s="192">
        <f t="shared" si="463"/>
        <v>5.843055555555555</v>
      </c>
      <c r="L1082" s="192">
        <f t="shared" si="463"/>
        <v>8.6749999999999989</v>
      </c>
      <c r="M1082" s="192">
        <f t="shared" si="463"/>
        <v>8.3069444444444454</v>
      </c>
      <c r="N1082" s="192">
        <f t="shared" si="463"/>
        <v>2.931944444444444</v>
      </c>
      <c r="O1082" s="192">
        <f t="shared" si="463"/>
        <v>3.4527777777777775</v>
      </c>
      <c r="P1082" s="192">
        <f t="shared" si="463"/>
        <v>6.8250000000000002</v>
      </c>
      <c r="Q1082" s="192">
        <f t="shared" si="463"/>
        <v>1.3694444444444445</v>
      </c>
      <c r="R1082" s="192">
        <f t="shared" si="463"/>
        <v>2.4708333333333332</v>
      </c>
      <c r="S1082" s="271">
        <f t="shared" si="463"/>
        <v>3.2416666666666667</v>
      </c>
      <c r="T1082" s="192">
        <f t="shared" si="432"/>
        <v>385.30770091492957</v>
      </c>
      <c r="U1082" s="192">
        <f t="shared" si="430"/>
        <v>140.3077009149296</v>
      </c>
      <c r="V1082" s="192">
        <f t="shared" si="433"/>
        <v>328.85833333333335</v>
      </c>
      <c r="W1082" s="192">
        <f t="shared" si="434"/>
        <v>83.858333333333348</v>
      </c>
      <c r="X1082" s="192">
        <f t="shared" si="435"/>
        <v>4.2424231371518255</v>
      </c>
      <c r="Y1082" s="192">
        <f t="shared" si="435"/>
        <v>0</v>
      </c>
      <c r="Z1082" s="192">
        <f t="shared" si="436"/>
        <v>52.206944444444446</v>
      </c>
      <c r="AC1082" s="4">
        <v>9</v>
      </c>
      <c r="AD1082" s="192">
        <f>IF($AF$1071=1,VLOOKUP($AD$1071,$A$1101:$P$1112,12,FALSE),VLOOKUP($AD$1071,$A$1074:$S$1085,3,FALSE))</f>
        <v>0</v>
      </c>
      <c r="AE1082" s="192">
        <f t="shared" si="438"/>
        <v>13.596264367816092</v>
      </c>
      <c r="AF1082" s="192">
        <f t="shared" si="439"/>
        <v>14.238505747126437</v>
      </c>
      <c r="AG1082" s="192">
        <f t="shared" si="440"/>
        <v>23.964080459770116</v>
      </c>
      <c r="AH1082" s="192">
        <f t="shared" si="441"/>
        <v>0</v>
      </c>
      <c r="AI1082" s="192">
        <f t="shared" si="442"/>
        <v>7.3218390804597702</v>
      </c>
      <c r="AJ1082" s="192">
        <f t="shared" si="443"/>
        <v>5.3879310344827589</v>
      </c>
      <c r="AK1082" s="192">
        <f t="shared" si="444"/>
        <v>8.3362068965517242</v>
      </c>
      <c r="AL1082" s="192">
        <f t="shared" si="445"/>
        <v>8.4382183908045985</v>
      </c>
      <c r="AM1082" s="192">
        <f t="shared" si="446"/>
        <v>2.6278735632183907</v>
      </c>
      <c r="AN1082" s="192">
        <f t="shared" si="447"/>
        <v>3.0977011494252871</v>
      </c>
      <c r="AO1082" s="192">
        <f t="shared" si="448"/>
        <v>6.3261494252873556</v>
      </c>
      <c r="AP1082" s="192">
        <f t="shared" si="449"/>
        <v>0.9885057471264368</v>
      </c>
      <c r="AQ1082" s="192">
        <f t="shared" si="450"/>
        <v>1.8591954022988506</v>
      </c>
      <c r="AR1082" s="192">
        <f t="shared" si="451"/>
        <v>2.3405172413793101</v>
      </c>
      <c r="AS1082" s="192">
        <f t="shared" si="452"/>
        <v>98.522988505747136</v>
      </c>
      <c r="AT1082" s="192">
        <f t="shared" si="453"/>
        <v>6.6543048814445926</v>
      </c>
      <c r="AU1082" s="192">
        <f t="shared" si="454"/>
        <v>105.17729338719172</v>
      </c>
      <c r="AW1082" s="192">
        <f t="shared" si="455"/>
        <v>199.48850574712642</v>
      </c>
      <c r="AX1082" s="192">
        <f t="shared" si="456"/>
        <v>-94.3112123599347</v>
      </c>
    </row>
    <row r="1083" spans="1:50" ht="15.75" customHeight="1" x14ac:dyDescent="0.3">
      <c r="A1083" s="211" t="s">
        <v>20</v>
      </c>
      <c r="B1083" s="211">
        <f t="shared" si="428"/>
        <v>245</v>
      </c>
      <c r="C1083" s="192">
        <f t="shared" si="428"/>
        <v>0</v>
      </c>
      <c r="D1083" s="271" t="s">
        <v>803</v>
      </c>
      <c r="E1083" s="192">
        <f t="shared" ref="E1083:S1083" si="464">+C1003/$N$10/24</f>
        <v>26.849462365591396</v>
      </c>
      <c r="F1083" s="192">
        <f t="shared" si="464"/>
        <v>28.122311827956988</v>
      </c>
      <c r="G1083" s="192">
        <f t="shared" si="464"/>
        <v>47.30510752688172</v>
      </c>
      <c r="H1083" s="192">
        <f t="shared" si="464"/>
        <v>17.666190457586705</v>
      </c>
      <c r="I1083" s="192">
        <f t="shared" si="464"/>
        <v>0</v>
      </c>
      <c r="J1083" s="192">
        <f t="shared" si="464"/>
        <v>6.4946236559139789</v>
      </c>
      <c r="K1083" s="192">
        <f t="shared" si="464"/>
        <v>3.5161290322580645</v>
      </c>
      <c r="L1083" s="192">
        <f t="shared" si="464"/>
        <v>5.068548387096774</v>
      </c>
      <c r="M1083" s="192">
        <f t="shared" si="464"/>
        <v>4.825268817204301</v>
      </c>
      <c r="N1083" s="192">
        <f t="shared" si="464"/>
        <v>1.6693548387096773</v>
      </c>
      <c r="O1083" s="192">
        <f t="shared" si="464"/>
        <v>1.9650537634408602</v>
      </c>
      <c r="P1083" s="192">
        <f t="shared" si="464"/>
        <v>3.956989247311828</v>
      </c>
      <c r="Q1083" s="192">
        <f t="shared" si="464"/>
        <v>0.95430107526881713</v>
      </c>
      <c r="R1083" s="192">
        <f t="shared" si="464"/>
        <v>2.1733870967741935</v>
      </c>
      <c r="S1083" s="271">
        <f t="shared" si="464"/>
        <v>2.256720430107527</v>
      </c>
      <c r="T1083" s="192">
        <f t="shared" si="432"/>
        <v>397.82344852210286</v>
      </c>
      <c r="U1083" s="192">
        <f t="shared" si="430"/>
        <v>152.82344852210286</v>
      </c>
      <c r="V1083" s="192">
        <f t="shared" si="433"/>
        <v>347.27688172043008</v>
      </c>
      <c r="W1083" s="192">
        <f t="shared" si="434"/>
        <v>102.27688172043011</v>
      </c>
      <c r="X1083" s="192">
        <f t="shared" si="435"/>
        <v>17.666190457586705</v>
      </c>
      <c r="Y1083" s="192">
        <f t="shared" si="435"/>
        <v>0</v>
      </c>
      <c r="Z1083" s="192">
        <f t="shared" si="436"/>
        <v>32.880376344086017</v>
      </c>
      <c r="AC1083" s="4">
        <v>10</v>
      </c>
      <c r="AD1083" s="192">
        <f>IF($AF$1071=1,VLOOKUP($AD$1071,$A$1101:$P$1112,12,FALSE),VLOOKUP($AD$1071,$A$1074:$S$1085,3,FALSE))</f>
        <v>0</v>
      </c>
      <c r="AE1083" s="192">
        <f t="shared" si="438"/>
        <v>13.596264367816092</v>
      </c>
      <c r="AF1083" s="192">
        <f t="shared" si="439"/>
        <v>14.238505747126437</v>
      </c>
      <c r="AG1083" s="192">
        <f t="shared" si="440"/>
        <v>23.964080459770116</v>
      </c>
      <c r="AH1083" s="192">
        <f t="shared" si="441"/>
        <v>0</v>
      </c>
      <c r="AI1083" s="192">
        <f t="shared" si="442"/>
        <v>7.3218390804597702</v>
      </c>
      <c r="AJ1083" s="192">
        <f t="shared" si="443"/>
        <v>5.3879310344827589</v>
      </c>
      <c r="AK1083" s="192">
        <f t="shared" si="444"/>
        <v>8.3362068965517242</v>
      </c>
      <c r="AL1083" s="192">
        <f t="shared" si="445"/>
        <v>8.4382183908045985</v>
      </c>
      <c r="AM1083" s="192">
        <f t="shared" si="446"/>
        <v>2.6278735632183907</v>
      </c>
      <c r="AN1083" s="192">
        <f t="shared" si="447"/>
        <v>3.0977011494252871</v>
      </c>
      <c r="AO1083" s="192">
        <f t="shared" si="448"/>
        <v>6.3261494252873556</v>
      </c>
      <c r="AP1083" s="192">
        <f t="shared" si="449"/>
        <v>0.9885057471264368</v>
      </c>
      <c r="AQ1083" s="192">
        <f t="shared" si="450"/>
        <v>1.8591954022988506</v>
      </c>
      <c r="AR1083" s="192">
        <f t="shared" si="451"/>
        <v>2.3405172413793101</v>
      </c>
      <c r="AS1083" s="192">
        <f t="shared" si="452"/>
        <v>98.522988505747136</v>
      </c>
      <c r="AT1083" s="192">
        <f t="shared" si="453"/>
        <v>6.6543048814445926</v>
      </c>
      <c r="AU1083" s="192">
        <f t="shared" si="454"/>
        <v>105.17729338719172</v>
      </c>
      <c r="AW1083" s="192">
        <f t="shared" si="455"/>
        <v>199.48850574712642</v>
      </c>
      <c r="AX1083" s="192">
        <f t="shared" si="456"/>
        <v>-94.3112123599347</v>
      </c>
    </row>
    <row r="1084" spans="1:50" ht="15.75" customHeight="1" x14ac:dyDescent="0.3">
      <c r="A1084" s="211" t="s">
        <v>21</v>
      </c>
      <c r="B1084" s="211">
        <f t="shared" si="428"/>
        <v>245</v>
      </c>
      <c r="C1084" s="192">
        <f t="shared" si="428"/>
        <v>0</v>
      </c>
      <c r="D1084" s="271" t="s">
        <v>803</v>
      </c>
      <c r="E1084" s="192">
        <f t="shared" ref="E1084:S1084" si="465">+C1004/$O$10/24</f>
        <v>26.830555555555552</v>
      </c>
      <c r="F1084" s="192">
        <f t="shared" si="465"/>
        <v>28.111111111111111</v>
      </c>
      <c r="G1084" s="192">
        <f t="shared" si="465"/>
        <v>47.698611111111113</v>
      </c>
      <c r="H1084" s="192">
        <f t="shared" si="465"/>
        <v>25.845151183632002</v>
      </c>
      <c r="I1084" s="192">
        <f t="shared" si="465"/>
        <v>0</v>
      </c>
      <c r="J1084" s="192">
        <f t="shared" si="465"/>
        <v>4.333333333333333</v>
      </c>
      <c r="K1084" s="192">
        <f t="shared" si="465"/>
        <v>1.2666666666666666</v>
      </c>
      <c r="L1084" s="192">
        <f t="shared" si="465"/>
        <v>1.6763888888888889</v>
      </c>
      <c r="M1084" s="192">
        <f t="shared" si="465"/>
        <v>1.6944444444444444</v>
      </c>
      <c r="N1084" s="192">
        <f t="shared" si="465"/>
        <v>0.43333333333333335</v>
      </c>
      <c r="O1084" s="192">
        <f t="shared" si="465"/>
        <v>0.50694444444444442</v>
      </c>
      <c r="P1084" s="192">
        <f t="shared" si="465"/>
        <v>1.0361111111111112</v>
      </c>
      <c r="Q1084" s="192">
        <f t="shared" si="465"/>
        <v>0.70833333333333337</v>
      </c>
      <c r="R1084" s="192">
        <f t="shared" si="465"/>
        <v>2.0222222222222221</v>
      </c>
      <c r="S1084" s="271">
        <f t="shared" si="465"/>
        <v>1.6763888888888889</v>
      </c>
      <c r="T1084" s="192">
        <f t="shared" si="432"/>
        <v>388.83959562807649</v>
      </c>
      <c r="U1084" s="192">
        <f t="shared" si="430"/>
        <v>143.83959562807647</v>
      </c>
      <c r="V1084" s="192">
        <f t="shared" si="433"/>
        <v>347.64027777777778</v>
      </c>
      <c r="W1084" s="192">
        <f t="shared" si="434"/>
        <v>102.64027777777778</v>
      </c>
      <c r="X1084" s="192">
        <f t="shared" si="435"/>
        <v>25.845151183632002</v>
      </c>
      <c r="Y1084" s="192">
        <f t="shared" si="435"/>
        <v>0</v>
      </c>
      <c r="Z1084" s="192">
        <f t="shared" si="436"/>
        <v>15.354166666666668</v>
      </c>
      <c r="AC1084" s="4">
        <v>11</v>
      </c>
      <c r="AD1084" s="192">
        <f>IF($AF$1071=1,VLOOKUP($AD$1071,$A$1101:$P$1112,12,FALSE),VLOOKUP($AD$1071,$A$1074:$S$1085,3,FALSE))</f>
        <v>0</v>
      </c>
      <c r="AE1084" s="192">
        <f t="shared" si="438"/>
        <v>13.596264367816092</v>
      </c>
      <c r="AF1084" s="192">
        <f t="shared" si="439"/>
        <v>14.238505747126437</v>
      </c>
      <c r="AG1084" s="192">
        <f t="shared" si="440"/>
        <v>23.964080459770116</v>
      </c>
      <c r="AH1084" s="192">
        <f t="shared" si="441"/>
        <v>0</v>
      </c>
      <c r="AI1084" s="192">
        <f t="shared" si="442"/>
        <v>7.3218390804597702</v>
      </c>
      <c r="AJ1084" s="192">
        <f t="shared" si="443"/>
        <v>5.3879310344827589</v>
      </c>
      <c r="AK1084" s="192">
        <f t="shared" si="444"/>
        <v>8.3362068965517242</v>
      </c>
      <c r="AL1084" s="192">
        <f t="shared" si="445"/>
        <v>8.4382183908045985</v>
      </c>
      <c r="AM1084" s="192">
        <f t="shared" si="446"/>
        <v>2.6278735632183907</v>
      </c>
      <c r="AN1084" s="192">
        <f t="shared" si="447"/>
        <v>3.0977011494252871</v>
      </c>
      <c r="AO1084" s="192">
        <f t="shared" si="448"/>
        <v>6.3261494252873556</v>
      </c>
      <c r="AP1084" s="192">
        <f t="shared" si="449"/>
        <v>0.9885057471264368</v>
      </c>
      <c r="AQ1084" s="192">
        <f t="shared" si="450"/>
        <v>1.8591954022988506</v>
      </c>
      <c r="AR1084" s="192">
        <f t="shared" si="451"/>
        <v>2.3405172413793101</v>
      </c>
      <c r="AS1084" s="192">
        <f t="shared" si="452"/>
        <v>98.522988505747136</v>
      </c>
      <c r="AT1084" s="192">
        <f t="shared" si="453"/>
        <v>6.6543048814445926</v>
      </c>
      <c r="AU1084" s="192">
        <f t="shared" si="454"/>
        <v>105.17729338719172</v>
      </c>
      <c r="AW1084" s="192">
        <f t="shared" si="455"/>
        <v>199.48850574712642</v>
      </c>
      <c r="AX1084" s="192">
        <f t="shared" si="456"/>
        <v>-94.3112123599347</v>
      </c>
    </row>
    <row r="1085" spans="1:50" ht="15.75" customHeight="1" thickBot="1" x14ac:dyDescent="0.35">
      <c r="A1085" s="220" t="s">
        <v>22</v>
      </c>
      <c r="B1085" s="220">
        <f t="shared" si="428"/>
        <v>245</v>
      </c>
      <c r="C1085" s="206">
        <f t="shared" si="428"/>
        <v>0</v>
      </c>
      <c r="D1085" s="272" t="s">
        <v>803</v>
      </c>
      <c r="E1085" s="206">
        <f t="shared" ref="E1085:S1085" si="466">+C1005/$P$10/24</f>
        <v>16.087365591397852</v>
      </c>
      <c r="F1085" s="206">
        <f t="shared" si="466"/>
        <v>16.848118279569892</v>
      </c>
      <c r="G1085" s="206">
        <f t="shared" si="466"/>
        <v>28.495967741935484</v>
      </c>
      <c r="H1085" s="206">
        <f t="shared" si="466"/>
        <v>14.978922119482251</v>
      </c>
      <c r="I1085" s="206">
        <f t="shared" si="466"/>
        <v>0</v>
      </c>
      <c r="J1085" s="206">
        <f t="shared" si="466"/>
        <v>2.2526881720430105</v>
      </c>
      <c r="K1085" s="206">
        <f t="shared" si="466"/>
        <v>0.78091397849462363</v>
      </c>
      <c r="L1085" s="206">
        <f t="shared" si="466"/>
        <v>1.0147849462365592</v>
      </c>
      <c r="M1085" s="206">
        <f t="shared" si="466"/>
        <v>1.0201612903225807</v>
      </c>
      <c r="N1085" s="206">
        <f t="shared" si="466"/>
        <v>0.38709677419354843</v>
      </c>
      <c r="O1085" s="206">
        <f t="shared" si="466"/>
        <v>0.45430107526881719</v>
      </c>
      <c r="P1085" s="206">
        <f t="shared" si="466"/>
        <v>0.79166666666666663</v>
      </c>
      <c r="Q1085" s="206">
        <f t="shared" si="466"/>
        <v>0.35618279569892475</v>
      </c>
      <c r="R1085" s="206">
        <f t="shared" si="466"/>
        <v>1.739247311827957</v>
      </c>
      <c r="S1085" s="272">
        <f t="shared" si="466"/>
        <v>0.84139784946236562</v>
      </c>
      <c r="T1085" s="192">
        <f t="shared" si="432"/>
        <v>331.04881459260054</v>
      </c>
      <c r="U1085" s="192">
        <f t="shared" si="430"/>
        <v>86.048814592600536</v>
      </c>
      <c r="V1085" s="192">
        <f t="shared" si="433"/>
        <v>306.43145161290323</v>
      </c>
      <c r="W1085" s="192">
        <f t="shared" si="434"/>
        <v>61.431451612903231</v>
      </c>
      <c r="X1085" s="192">
        <f t="shared" si="435"/>
        <v>14.978922119482251</v>
      </c>
      <c r="Y1085" s="192">
        <f t="shared" si="435"/>
        <v>0</v>
      </c>
      <c r="Z1085" s="192">
        <f t="shared" si="436"/>
        <v>9.638440860215054</v>
      </c>
      <c r="AC1085" s="4">
        <v>12</v>
      </c>
      <c r="AD1085" s="192">
        <f>IF($AF$1071=1,VLOOKUP($AD$1071,$A$1101:$P$1112,12,FALSE),VLOOKUP($AD$1071,$A$1074:$S$1085,3,FALSE))</f>
        <v>0</v>
      </c>
      <c r="AE1085" s="192">
        <f t="shared" si="438"/>
        <v>13.596264367816092</v>
      </c>
      <c r="AF1085" s="192">
        <f t="shared" si="439"/>
        <v>14.238505747126437</v>
      </c>
      <c r="AG1085" s="192">
        <f t="shared" si="440"/>
        <v>23.964080459770116</v>
      </c>
      <c r="AH1085" s="192">
        <f t="shared" si="441"/>
        <v>0</v>
      </c>
      <c r="AI1085" s="192">
        <f t="shared" si="442"/>
        <v>7.3218390804597702</v>
      </c>
      <c r="AJ1085" s="192">
        <f t="shared" si="443"/>
        <v>5.3879310344827589</v>
      </c>
      <c r="AK1085" s="192">
        <f t="shared" si="444"/>
        <v>8.3362068965517242</v>
      </c>
      <c r="AL1085" s="192">
        <f t="shared" si="445"/>
        <v>8.4382183908045985</v>
      </c>
      <c r="AM1085" s="192">
        <f t="shared" si="446"/>
        <v>2.6278735632183907</v>
      </c>
      <c r="AN1085" s="192">
        <f t="shared" si="447"/>
        <v>3.0977011494252871</v>
      </c>
      <c r="AO1085" s="192">
        <f t="shared" si="448"/>
        <v>6.3261494252873556</v>
      </c>
      <c r="AP1085" s="192">
        <f t="shared" si="449"/>
        <v>0.9885057471264368</v>
      </c>
      <c r="AQ1085" s="192">
        <f t="shared" si="450"/>
        <v>1.8591954022988506</v>
      </c>
      <c r="AR1085" s="192">
        <f t="shared" si="451"/>
        <v>2.3405172413793101</v>
      </c>
      <c r="AS1085" s="192">
        <f t="shared" si="452"/>
        <v>98.522988505747136</v>
      </c>
      <c r="AT1085" s="192">
        <f t="shared" si="453"/>
        <v>6.6543048814445926</v>
      </c>
      <c r="AU1085" s="192">
        <f t="shared" si="454"/>
        <v>105.17729338719172</v>
      </c>
      <c r="AW1085" s="192">
        <f t="shared" si="455"/>
        <v>199.48850574712642</v>
      </c>
      <c r="AX1085" s="192">
        <f t="shared" si="456"/>
        <v>-94.3112123599347</v>
      </c>
    </row>
    <row r="1086" spans="1:50" ht="15.75" customHeight="1" x14ac:dyDescent="0.3">
      <c r="A1086" s="260"/>
      <c r="AC1086" s="4">
        <v>13</v>
      </c>
      <c r="AD1086" s="192">
        <f>IF($AF$1071=1,VLOOKUP($AD$1071,$A$1101:$P$1112,12,FALSE),IF(OR($AD$1071="JUN",$AD$1071="JUL",$AD$1071="AUG"),VLOOKUP($AD$1071,$A$1074:$S$1085,4,FALSE),VLOOKUP($AD$1071,$A$1074:$S$1085,3,FALSE)))</f>
        <v>0</v>
      </c>
      <c r="AE1086" s="192">
        <f t="shared" si="438"/>
        <v>13.596264367816092</v>
      </c>
      <c r="AF1086" s="192">
        <f t="shared" si="439"/>
        <v>14.238505747126437</v>
      </c>
      <c r="AG1086" s="192">
        <f t="shared" si="440"/>
        <v>23.964080459770116</v>
      </c>
      <c r="AH1086" s="192">
        <f t="shared" si="441"/>
        <v>0</v>
      </c>
      <c r="AI1086" s="192">
        <f t="shared" si="442"/>
        <v>7.3218390804597702</v>
      </c>
      <c r="AJ1086" s="192">
        <f t="shared" si="443"/>
        <v>5.3879310344827589</v>
      </c>
      <c r="AK1086" s="192">
        <f t="shared" si="444"/>
        <v>8.3362068965517242</v>
      </c>
      <c r="AL1086" s="192">
        <f t="shared" si="445"/>
        <v>8.4382183908045985</v>
      </c>
      <c r="AM1086" s="192">
        <f t="shared" si="446"/>
        <v>2.6278735632183907</v>
      </c>
      <c r="AN1086" s="192">
        <f t="shared" si="447"/>
        <v>3.0977011494252871</v>
      </c>
      <c r="AO1086" s="192">
        <f t="shared" si="448"/>
        <v>6.3261494252873556</v>
      </c>
      <c r="AP1086" s="192">
        <f t="shared" si="449"/>
        <v>0.9885057471264368</v>
      </c>
      <c r="AQ1086" s="192">
        <f t="shared" si="450"/>
        <v>1.8591954022988506</v>
      </c>
      <c r="AR1086" s="192">
        <f t="shared" si="451"/>
        <v>2.3405172413793101</v>
      </c>
      <c r="AS1086" s="192">
        <f t="shared" si="452"/>
        <v>98.522988505747136</v>
      </c>
      <c r="AT1086" s="192">
        <f t="shared" si="453"/>
        <v>6.6543048814445926</v>
      </c>
      <c r="AU1086" s="192">
        <f t="shared" si="454"/>
        <v>105.17729338719172</v>
      </c>
      <c r="AW1086" s="192">
        <f t="shared" si="455"/>
        <v>199.48850574712642</v>
      </c>
      <c r="AX1086" s="192">
        <f t="shared" si="456"/>
        <v>-94.3112123599347</v>
      </c>
    </row>
    <row r="1087" spans="1:50" ht="27.75" customHeight="1" x14ac:dyDescent="0.3">
      <c r="A1087" s="260" t="s">
        <v>804</v>
      </c>
      <c r="AC1087" s="4">
        <v>14</v>
      </c>
      <c r="AD1087" s="192">
        <f t="shared" ref="AD1087:AD1093" si="467">IF($AF$1071=1,VLOOKUP($AD$1071,$A$1101:$P$1112,12,FALSE),IF(OR($AD$1071="JUN",$AD$1071="JUL",$AD$1071="AUG"),VLOOKUP($AD$1071,$A$1074:$S$1085,4,FALSE),VLOOKUP($AD$1071,$A$1074:$S$1085,3,FALSE)))</f>
        <v>0</v>
      </c>
      <c r="AE1087" s="192">
        <f t="shared" si="438"/>
        <v>13.596264367816092</v>
      </c>
      <c r="AF1087" s="192">
        <f t="shared" si="439"/>
        <v>14.238505747126437</v>
      </c>
      <c r="AG1087" s="192">
        <f t="shared" si="440"/>
        <v>23.964080459770116</v>
      </c>
      <c r="AH1087" s="192">
        <f t="shared" si="441"/>
        <v>0</v>
      </c>
      <c r="AI1087" s="192">
        <f t="shared" si="442"/>
        <v>7.3218390804597702</v>
      </c>
      <c r="AJ1087" s="192">
        <f t="shared" si="443"/>
        <v>5.3879310344827589</v>
      </c>
      <c r="AK1087" s="192">
        <f t="shared" si="444"/>
        <v>8.3362068965517242</v>
      </c>
      <c r="AL1087" s="192">
        <f t="shared" si="445"/>
        <v>8.4382183908045985</v>
      </c>
      <c r="AM1087" s="192">
        <f t="shared" si="446"/>
        <v>2.6278735632183907</v>
      </c>
      <c r="AN1087" s="192">
        <f t="shared" si="447"/>
        <v>3.0977011494252871</v>
      </c>
      <c r="AO1087" s="192">
        <f t="shared" si="448"/>
        <v>6.3261494252873556</v>
      </c>
      <c r="AP1087" s="192">
        <f t="shared" si="449"/>
        <v>0.9885057471264368</v>
      </c>
      <c r="AQ1087" s="192">
        <f t="shared" si="450"/>
        <v>1.8591954022988506</v>
      </c>
      <c r="AR1087" s="192">
        <f t="shared" si="451"/>
        <v>2.3405172413793101</v>
      </c>
      <c r="AS1087" s="192">
        <f t="shared" si="452"/>
        <v>98.522988505747136</v>
      </c>
      <c r="AT1087" s="192">
        <f t="shared" si="453"/>
        <v>6.6543048814445926</v>
      </c>
      <c r="AU1087" s="192">
        <f t="shared" si="454"/>
        <v>105.17729338719172</v>
      </c>
      <c r="AW1087" s="192">
        <f t="shared" si="455"/>
        <v>199.48850574712642</v>
      </c>
      <c r="AX1087" s="192">
        <f t="shared" si="456"/>
        <v>-94.3112123599347</v>
      </c>
    </row>
    <row r="1088" spans="1:50" ht="15.75" customHeight="1" x14ac:dyDescent="0.3">
      <c r="A1088" s="260"/>
      <c r="AC1088" s="4">
        <v>15</v>
      </c>
      <c r="AD1088" s="192">
        <f t="shared" si="467"/>
        <v>0</v>
      </c>
      <c r="AE1088" s="192">
        <f t="shared" si="438"/>
        <v>13.596264367816092</v>
      </c>
      <c r="AF1088" s="192">
        <f t="shared" si="439"/>
        <v>14.238505747126437</v>
      </c>
      <c r="AG1088" s="192">
        <f t="shared" si="440"/>
        <v>23.964080459770116</v>
      </c>
      <c r="AH1088" s="192">
        <f t="shared" si="441"/>
        <v>0</v>
      </c>
      <c r="AI1088" s="192">
        <f t="shared" si="442"/>
        <v>7.3218390804597702</v>
      </c>
      <c r="AJ1088" s="192">
        <f t="shared" si="443"/>
        <v>5.3879310344827589</v>
      </c>
      <c r="AK1088" s="192">
        <f t="shared" si="444"/>
        <v>8.3362068965517242</v>
      </c>
      <c r="AL1088" s="192">
        <f t="shared" si="445"/>
        <v>8.4382183908045985</v>
      </c>
      <c r="AM1088" s="192">
        <f t="shared" si="446"/>
        <v>2.6278735632183907</v>
      </c>
      <c r="AN1088" s="192">
        <f t="shared" si="447"/>
        <v>3.0977011494252871</v>
      </c>
      <c r="AO1088" s="192">
        <f t="shared" si="448"/>
        <v>6.3261494252873556</v>
      </c>
      <c r="AP1088" s="192">
        <f t="shared" si="449"/>
        <v>0.9885057471264368</v>
      </c>
      <c r="AQ1088" s="192">
        <f t="shared" si="450"/>
        <v>1.8591954022988506</v>
      </c>
      <c r="AR1088" s="192">
        <f t="shared" si="451"/>
        <v>2.3405172413793101</v>
      </c>
      <c r="AS1088" s="192">
        <f t="shared" si="452"/>
        <v>98.522988505747136</v>
      </c>
      <c r="AT1088" s="192">
        <f t="shared" si="453"/>
        <v>6.6543048814445926</v>
      </c>
      <c r="AU1088" s="192">
        <f t="shared" si="454"/>
        <v>105.17729338719172</v>
      </c>
      <c r="AW1088" s="192">
        <f t="shared" si="455"/>
        <v>199.48850574712642</v>
      </c>
      <c r="AX1088" s="192">
        <f t="shared" si="456"/>
        <v>-94.3112123599347</v>
      </c>
    </row>
    <row r="1089" spans="1:50" ht="15.75" customHeight="1" x14ac:dyDescent="0.3">
      <c r="A1089" s="260"/>
      <c r="AC1089" s="4">
        <v>16</v>
      </c>
      <c r="AD1089" s="192">
        <f t="shared" si="467"/>
        <v>0</v>
      </c>
      <c r="AE1089" s="192">
        <f t="shared" si="438"/>
        <v>13.596264367816092</v>
      </c>
      <c r="AF1089" s="192">
        <f t="shared" si="439"/>
        <v>14.238505747126437</v>
      </c>
      <c r="AG1089" s="192">
        <f t="shared" si="440"/>
        <v>23.964080459770116</v>
      </c>
      <c r="AH1089" s="192">
        <f t="shared" si="441"/>
        <v>0</v>
      </c>
      <c r="AI1089" s="192">
        <f t="shared" si="442"/>
        <v>7.3218390804597702</v>
      </c>
      <c r="AJ1089" s="192">
        <f t="shared" si="443"/>
        <v>5.3879310344827589</v>
      </c>
      <c r="AK1089" s="192">
        <f t="shared" si="444"/>
        <v>8.3362068965517242</v>
      </c>
      <c r="AL1089" s="192">
        <f t="shared" si="445"/>
        <v>8.4382183908045985</v>
      </c>
      <c r="AM1089" s="192">
        <f t="shared" si="446"/>
        <v>2.6278735632183907</v>
      </c>
      <c r="AN1089" s="192">
        <f t="shared" si="447"/>
        <v>3.0977011494252871</v>
      </c>
      <c r="AO1089" s="192">
        <f t="shared" si="448"/>
        <v>6.3261494252873556</v>
      </c>
      <c r="AP1089" s="192">
        <f t="shared" si="449"/>
        <v>0.9885057471264368</v>
      </c>
      <c r="AQ1089" s="192">
        <f t="shared" si="450"/>
        <v>1.8591954022988506</v>
      </c>
      <c r="AR1089" s="192">
        <f t="shared" si="451"/>
        <v>2.3405172413793101</v>
      </c>
      <c r="AS1089" s="192">
        <f t="shared" si="452"/>
        <v>98.522988505747136</v>
      </c>
      <c r="AT1089" s="192">
        <f t="shared" si="453"/>
        <v>6.6543048814445926</v>
      </c>
      <c r="AU1089" s="192">
        <f t="shared" si="454"/>
        <v>105.17729338719172</v>
      </c>
      <c r="AW1089" s="192">
        <f t="shared" si="455"/>
        <v>199.48850574712642</v>
      </c>
      <c r="AX1089" s="192">
        <f t="shared" si="456"/>
        <v>-94.3112123599347</v>
      </c>
    </row>
    <row r="1090" spans="1:50" ht="15.75" customHeight="1" thickBot="1" x14ac:dyDescent="0.35">
      <c r="A1090" s="260"/>
      <c r="AC1090" s="4">
        <v>17</v>
      </c>
      <c r="AD1090" s="192">
        <f t="shared" si="467"/>
        <v>0</v>
      </c>
      <c r="AE1090" s="192">
        <f t="shared" si="438"/>
        <v>13.596264367816092</v>
      </c>
      <c r="AF1090" s="192">
        <f t="shared" si="439"/>
        <v>14.238505747126437</v>
      </c>
      <c r="AG1090" s="192">
        <f t="shared" si="440"/>
        <v>23.964080459770116</v>
      </c>
      <c r="AH1090" s="192">
        <f t="shared" si="441"/>
        <v>0</v>
      </c>
      <c r="AI1090" s="192">
        <f t="shared" si="442"/>
        <v>7.3218390804597702</v>
      </c>
      <c r="AJ1090" s="192">
        <f t="shared" si="443"/>
        <v>5.3879310344827589</v>
      </c>
      <c r="AK1090" s="192">
        <f t="shared" si="444"/>
        <v>8.3362068965517242</v>
      </c>
      <c r="AL1090" s="192">
        <f t="shared" si="445"/>
        <v>8.4382183908045985</v>
      </c>
      <c r="AM1090" s="192">
        <f t="shared" si="446"/>
        <v>2.6278735632183907</v>
      </c>
      <c r="AN1090" s="192">
        <f t="shared" si="447"/>
        <v>3.0977011494252871</v>
      </c>
      <c r="AO1090" s="192">
        <f t="shared" si="448"/>
        <v>6.3261494252873556</v>
      </c>
      <c r="AP1090" s="192">
        <f t="shared" si="449"/>
        <v>0.9885057471264368</v>
      </c>
      <c r="AQ1090" s="192">
        <f t="shared" si="450"/>
        <v>1.8591954022988506</v>
      </c>
      <c r="AR1090" s="192">
        <f t="shared" si="451"/>
        <v>2.3405172413793101</v>
      </c>
      <c r="AS1090" s="192">
        <f t="shared" si="452"/>
        <v>98.522988505747136</v>
      </c>
      <c r="AT1090" s="192">
        <f t="shared" si="453"/>
        <v>6.6543048814445926</v>
      </c>
      <c r="AU1090" s="192">
        <f t="shared" si="454"/>
        <v>105.17729338719172</v>
      </c>
      <c r="AW1090" s="192">
        <f t="shared" si="455"/>
        <v>199.48850574712642</v>
      </c>
      <c r="AX1090" s="192">
        <f t="shared" si="456"/>
        <v>-94.3112123599347</v>
      </c>
    </row>
    <row r="1091" spans="1:50" ht="15.75" customHeight="1" x14ac:dyDescent="0.3">
      <c r="A1091" s="273"/>
      <c r="B1091" s="387" t="s">
        <v>805</v>
      </c>
      <c r="C1091" s="387"/>
      <c r="D1091" s="387"/>
      <c r="E1091" s="387"/>
      <c r="F1091" s="387"/>
      <c r="G1091" s="387"/>
      <c r="H1091" s="387"/>
      <c r="I1091" s="387"/>
      <c r="J1091" s="387"/>
      <c r="K1091" s="387"/>
      <c r="L1091" s="387"/>
      <c r="M1091" s="387"/>
      <c r="N1091" s="387"/>
      <c r="O1091" s="387"/>
      <c r="P1091" s="387"/>
      <c r="Q1091" s="177" t="str">
        <f>+Q1</f>
        <v xml:space="preserve">PRINTED:  </v>
      </c>
      <c r="R1091" s="178">
        <f ca="1">+R1</f>
        <v>44894.658168518516</v>
      </c>
      <c r="AC1091" s="4">
        <v>18</v>
      </c>
      <c r="AD1091" s="192">
        <f t="shared" si="467"/>
        <v>0</v>
      </c>
      <c r="AE1091" s="192">
        <f t="shared" si="438"/>
        <v>13.596264367816092</v>
      </c>
      <c r="AF1091" s="192">
        <f t="shared" si="439"/>
        <v>14.238505747126437</v>
      </c>
      <c r="AG1091" s="192">
        <f t="shared" si="440"/>
        <v>23.964080459770116</v>
      </c>
      <c r="AH1091" s="192">
        <f t="shared" si="441"/>
        <v>0</v>
      </c>
      <c r="AI1091" s="192">
        <f t="shared" si="442"/>
        <v>7.3218390804597702</v>
      </c>
      <c r="AJ1091" s="192">
        <f t="shared" si="443"/>
        <v>5.3879310344827589</v>
      </c>
      <c r="AK1091" s="192">
        <f t="shared" si="444"/>
        <v>8.3362068965517242</v>
      </c>
      <c r="AL1091" s="192">
        <f t="shared" si="445"/>
        <v>8.4382183908045985</v>
      </c>
      <c r="AM1091" s="192">
        <f t="shared" si="446"/>
        <v>2.6278735632183907</v>
      </c>
      <c r="AN1091" s="192">
        <f t="shared" si="447"/>
        <v>3.0977011494252871</v>
      </c>
      <c r="AO1091" s="192">
        <f t="shared" si="448"/>
        <v>6.3261494252873556</v>
      </c>
      <c r="AP1091" s="192">
        <f t="shared" si="449"/>
        <v>0.9885057471264368</v>
      </c>
      <c r="AQ1091" s="192">
        <f t="shared" si="450"/>
        <v>1.8591954022988506</v>
      </c>
      <c r="AR1091" s="192">
        <f t="shared" si="451"/>
        <v>2.3405172413793101</v>
      </c>
      <c r="AS1091" s="192">
        <f t="shared" si="452"/>
        <v>98.522988505747136</v>
      </c>
      <c r="AT1091" s="192">
        <f t="shared" si="453"/>
        <v>6.6543048814445926</v>
      </c>
      <c r="AU1091" s="192">
        <f t="shared" si="454"/>
        <v>105.17729338719172</v>
      </c>
      <c r="AW1091" s="192">
        <f t="shared" si="455"/>
        <v>199.48850574712642</v>
      </c>
      <c r="AX1091" s="192">
        <f t="shared" si="456"/>
        <v>-94.3112123599347</v>
      </c>
    </row>
    <row r="1092" spans="1:50" ht="16.5" customHeight="1" x14ac:dyDescent="0.3">
      <c r="A1092" s="257"/>
      <c r="B1092" s="394" t="str">
        <f>+A8</f>
        <v>Revised:  10/31/2019</v>
      </c>
      <c r="C1092" s="394"/>
      <c r="D1092" s="394"/>
      <c r="E1092" s="394"/>
      <c r="F1092" s="394"/>
      <c r="G1092" s="394"/>
      <c r="H1092" s="394"/>
      <c r="I1092" s="394"/>
      <c r="J1092" s="394"/>
      <c r="K1092" s="394"/>
      <c r="L1092" s="394"/>
      <c r="M1092" s="394"/>
      <c r="N1092" s="394"/>
      <c r="O1092" s="394"/>
      <c r="P1092" s="394"/>
      <c r="R1092" s="133"/>
      <c r="AC1092" s="4">
        <v>19</v>
      </c>
      <c r="AD1092" s="192">
        <f t="shared" si="467"/>
        <v>0</v>
      </c>
      <c r="AE1092" s="192">
        <f t="shared" si="438"/>
        <v>13.596264367816092</v>
      </c>
      <c r="AF1092" s="192">
        <f t="shared" si="439"/>
        <v>14.238505747126437</v>
      </c>
      <c r="AG1092" s="192">
        <f t="shared" si="440"/>
        <v>23.964080459770116</v>
      </c>
      <c r="AH1092" s="192">
        <f t="shared" si="441"/>
        <v>0</v>
      </c>
      <c r="AI1092" s="192">
        <f t="shared" si="442"/>
        <v>7.3218390804597702</v>
      </c>
      <c r="AJ1092" s="192">
        <f t="shared" si="443"/>
        <v>5.3879310344827589</v>
      </c>
      <c r="AK1092" s="192">
        <f t="shared" si="444"/>
        <v>8.3362068965517242</v>
      </c>
      <c r="AL1092" s="192">
        <f t="shared" si="445"/>
        <v>8.4382183908045985</v>
      </c>
      <c r="AM1092" s="192">
        <f t="shared" si="446"/>
        <v>2.6278735632183907</v>
      </c>
      <c r="AN1092" s="192">
        <f t="shared" si="447"/>
        <v>3.0977011494252871</v>
      </c>
      <c r="AO1092" s="192">
        <f t="shared" si="448"/>
        <v>6.3261494252873556</v>
      </c>
      <c r="AP1092" s="192">
        <f t="shared" si="449"/>
        <v>0.9885057471264368</v>
      </c>
      <c r="AQ1092" s="192">
        <f t="shared" si="450"/>
        <v>1.8591954022988506</v>
      </c>
      <c r="AR1092" s="192">
        <f t="shared" si="451"/>
        <v>2.3405172413793101</v>
      </c>
      <c r="AS1092" s="192">
        <f t="shared" si="452"/>
        <v>98.522988505747136</v>
      </c>
      <c r="AT1092" s="192">
        <f t="shared" si="453"/>
        <v>6.6543048814445926</v>
      </c>
      <c r="AU1092" s="192">
        <f t="shared" si="454"/>
        <v>105.17729338719172</v>
      </c>
      <c r="AW1092" s="192">
        <f t="shared" si="455"/>
        <v>199.48850574712642</v>
      </c>
      <c r="AX1092" s="192">
        <f t="shared" si="456"/>
        <v>-94.3112123599347</v>
      </c>
    </row>
    <row r="1093" spans="1:50" ht="16.5" customHeight="1" x14ac:dyDescent="0.3">
      <c r="A1093" s="257"/>
      <c r="B1093" s="394" t="s">
        <v>670</v>
      </c>
      <c r="C1093" s="394"/>
      <c r="D1093" s="394"/>
      <c r="E1093" s="394"/>
      <c r="F1093" s="394"/>
      <c r="G1093" s="394"/>
      <c r="H1093" s="394"/>
      <c r="I1093" s="394"/>
      <c r="J1093" s="394"/>
      <c r="K1093" s="394"/>
      <c r="L1093" s="394"/>
      <c r="M1093" s="394"/>
      <c r="N1093" s="394"/>
      <c r="O1093" s="394"/>
      <c r="P1093" s="394"/>
      <c r="R1093" s="133"/>
      <c r="AC1093" s="4">
        <v>20</v>
      </c>
      <c r="AD1093" s="192">
        <f t="shared" si="467"/>
        <v>0</v>
      </c>
      <c r="AE1093" s="192">
        <f t="shared" si="438"/>
        <v>13.596264367816092</v>
      </c>
      <c r="AF1093" s="192">
        <f t="shared" si="439"/>
        <v>14.238505747126437</v>
      </c>
      <c r="AG1093" s="192">
        <f t="shared" si="440"/>
        <v>23.964080459770116</v>
      </c>
      <c r="AH1093" s="192">
        <f t="shared" si="441"/>
        <v>0</v>
      </c>
      <c r="AI1093" s="192">
        <f t="shared" si="442"/>
        <v>7.3218390804597702</v>
      </c>
      <c r="AJ1093" s="192">
        <f t="shared" si="443"/>
        <v>5.3879310344827589</v>
      </c>
      <c r="AK1093" s="192">
        <f t="shared" si="444"/>
        <v>8.3362068965517242</v>
      </c>
      <c r="AL1093" s="192">
        <f t="shared" si="445"/>
        <v>8.4382183908045985</v>
      </c>
      <c r="AM1093" s="192">
        <f t="shared" si="446"/>
        <v>2.6278735632183907</v>
      </c>
      <c r="AN1093" s="192">
        <f t="shared" si="447"/>
        <v>3.0977011494252871</v>
      </c>
      <c r="AO1093" s="192">
        <f t="shared" si="448"/>
        <v>6.3261494252873556</v>
      </c>
      <c r="AP1093" s="192">
        <f t="shared" si="449"/>
        <v>0.9885057471264368</v>
      </c>
      <c r="AQ1093" s="192">
        <f t="shared" si="450"/>
        <v>1.8591954022988506</v>
      </c>
      <c r="AR1093" s="192">
        <f t="shared" si="451"/>
        <v>2.3405172413793101</v>
      </c>
      <c r="AS1093" s="192">
        <f t="shared" si="452"/>
        <v>98.522988505747136</v>
      </c>
      <c r="AT1093" s="192">
        <f t="shared" si="453"/>
        <v>6.6543048814445926</v>
      </c>
      <c r="AU1093" s="192">
        <f t="shared" si="454"/>
        <v>105.17729338719172</v>
      </c>
      <c r="AW1093" s="192">
        <f t="shared" si="455"/>
        <v>199.48850574712642</v>
      </c>
      <c r="AX1093" s="192">
        <f t="shared" si="456"/>
        <v>-94.3112123599347</v>
      </c>
    </row>
    <row r="1094" spans="1:50" ht="16.5" customHeight="1" x14ac:dyDescent="0.3">
      <c r="A1094" s="257"/>
      <c r="B1094" s="180"/>
      <c r="C1094" s="180"/>
      <c r="D1094" s="180"/>
      <c r="E1094" s="180"/>
      <c r="F1094" s="180"/>
      <c r="G1094" s="180"/>
      <c r="H1094" s="180"/>
      <c r="I1094" s="180"/>
      <c r="J1094" s="180"/>
      <c r="K1094" s="180"/>
      <c r="L1094" s="180"/>
      <c r="M1094" s="180"/>
      <c r="N1094" s="180"/>
      <c r="O1094" s="180"/>
      <c r="P1094" s="180"/>
      <c r="R1094" s="133"/>
      <c r="AC1094" s="4">
        <v>21</v>
      </c>
      <c r="AD1094" s="192">
        <f>IF($AF$1071=1,VLOOKUP($AD$1071,$A$1101:$P$1112,12,FALSE),VLOOKUP($AD$1071,$A$1074:$S$1085,3,FALSE))</f>
        <v>0</v>
      </c>
      <c r="AE1094" s="192">
        <f t="shared" si="438"/>
        <v>13.596264367816092</v>
      </c>
      <c r="AF1094" s="192">
        <f t="shared" si="439"/>
        <v>14.238505747126437</v>
      </c>
      <c r="AG1094" s="192">
        <f t="shared" si="440"/>
        <v>23.964080459770116</v>
      </c>
      <c r="AH1094" s="192">
        <f t="shared" si="441"/>
        <v>0</v>
      </c>
      <c r="AI1094" s="192">
        <f t="shared" si="442"/>
        <v>7.3218390804597702</v>
      </c>
      <c r="AJ1094" s="192">
        <f t="shared" si="443"/>
        <v>5.3879310344827589</v>
      </c>
      <c r="AK1094" s="192">
        <f t="shared" si="444"/>
        <v>8.3362068965517242</v>
      </c>
      <c r="AL1094" s="192">
        <f t="shared" si="445"/>
        <v>8.4382183908045985</v>
      </c>
      <c r="AM1094" s="192">
        <f t="shared" si="446"/>
        <v>2.6278735632183907</v>
      </c>
      <c r="AN1094" s="192">
        <f t="shared" si="447"/>
        <v>3.0977011494252871</v>
      </c>
      <c r="AO1094" s="192">
        <f t="shared" si="448"/>
        <v>6.3261494252873556</v>
      </c>
      <c r="AP1094" s="192">
        <f t="shared" si="449"/>
        <v>0.9885057471264368</v>
      </c>
      <c r="AQ1094" s="192">
        <f t="shared" si="450"/>
        <v>1.8591954022988506</v>
      </c>
      <c r="AR1094" s="192">
        <f t="shared" si="451"/>
        <v>2.3405172413793101</v>
      </c>
      <c r="AS1094" s="192">
        <f t="shared" si="452"/>
        <v>98.522988505747136</v>
      </c>
      <c r="AT1094" s="192">
        <f t="shared" si="453"/>
        <v>6.6543048814445926</v>
      </c>
      <c r="AU1094" s="192">
        <f t="shared" si="454"/>
        <v>105.17729338719172</v>
      </c>
      <c r="AW1094" s="192">
        <f t="shared" si="455"/>
        <v>199.48850574712642</v>
      </c>
      <c r="AX1094" s="192">
        <f t="shared" si="456"/>
        <v>-94.3112123599347</v>
      </c>
    </row>
    <row r="1095" spans="1:50" ht="16.5" customHeight="1" x14ac:dyDescent="0.3">
      <c r="A1095" s="257"/>
      <c r="B1095" s="415">
        <f>+A5</f>
        <v>2020</v>
      </c>
      <c r="C1095" s="395"/>
      <c r="D1095" s="395"/>
      <c r="E1095" s="395"/>
      <c r="F1095" s="395"/>
      <c r="G1095" s="395"/>
      <c r="H1095" s="395"/>
      <c r="I1095" s="395"/>
      <c r="J1095" s="395"/>
      <c r="K1095" s="395"/>
      <c r="L1095" s="395"/>
      <c r="M1095" s="395"/>
      <c r="N1095" s="395"/>
      <c r="O1095" s="395"/>
      <c r="P1095" s="395"/>
      <c r="R1095" s="133"/>
      <c r="AC1095" s="4">
        <v>22</v>
      </c>
      <c r="AD1095" s="192">
        <f>IF($AF$1071=1,VLOOKUP($AD$1071,$A$1101:$P$1112,12,FALSE),VLOOKUP($AD$1071,$A$1074:$S$1085,3,FALSE))</f>
        <v>0</v>
      </c>
      <c r="AE1095" s="192">
        <f t="shared" si="438"/>
        <v>13.596264367816092</v>
      </c>
      <c r="AF1095" s="192">
        <f t="shared" si="439"/>
        <v>14.238505747126437</v>
      </c>
      <c r="AG1095" s="192">
        <f t="shared" si="440"/>
        <v>23.964080459770116</v>
      </c>
      <c r="AH1095" s="192">
        <f t="shared" si="441"/>
        <v>0</v>
      </c>
      <c r="AI1095" s="192">
        <f t="shared" si="442"/>
        <v>7.3218390804597702</v>
      </c>
      <c r="AJ1095" s="192">
        <f t="shared" si="443"/>
        <v>5.3879310344827589</v>
      </c>
      <c r="AK1095" s="192">
        <f t="shared" si="444"/>
        <v>8.3362068965517242</v>
      </c>
      <c r="AL1095" s="192">
        <f t="shared" si="445"/>
        <v>8.4382183908045985</v>
      </c>
      <c r="AM1095" s="192">
        <f t="shared" si="446"/>
        <v>2.6278735632183907</v>
      </c>
      <c r="AN1095" s="192">
        <f t="shared" si="447"/>
        <v>3.0977011494252871</v>
      </c>
      <c r="AO1095" s="192">
        <f t="shared" si="448"/>
        <v>6.3261494252873556</v>
      </c>
      <c r="AP1095" s="192">
        <f t="shared" si="449"/>
        <v>0.9885057471264368</v>
      </c>
      <c r="AQ1095" s="192">
        <f t="shared" si="450"/>
        <v>1.8591954022988506</v>
      </c>
      <c r="AR1095" s="192">
        <f t="shared" si="451"/>
        <v>2.3405172413793101</v>
      </c>
      <c r="AS1095" s="192">
        <f t="shared" si="452"/>
        <v>98.522988505747136</v>
      </c>
      <c r="AT1095" s="192">
        <f t="shared" si="453"/>
        <v>6.6543048814445926</v>
      </c>
      <c r="AU1095" s="192">
        <f t="shared" si="454"/>
        <v>105.17729338719172</v>
      </c>
      <c r="AW1095" s="192">
        <f t="shared" si="455"/>
        <v>199.48850574712642</v>
      </c>
      <c r="AX1095" s="192">
        <f t="shared" si="456"/>
        <v>-94.3112123599347</v>
      </c>
    </row>
    <row r="1096" spans="1:50" ht="15.75" customHeight="1" x14ac:dyDescent="0.3">
      <c r="A1096" s="257"/>
      <c r="B1096" s="394" t="s">
        <v>708</v>
      </c>
      <c r="C1096" s="394"/>
      <c r="D1096" s="394"/>
      <c r="E1096" s="394"/>
      <c r="F1096" s="394"/>
      <c r="G1096" s="394"/>
      <c r="H1096" s="394"/>
      <c r="I1096" s="394"/>
      <c r="J1096" s="394"/>
      <c r="K1096" s="394"/>
      <c r="L1096" s="394"/>
      <c r="M1096" s="394"/>
      <c r="N1096" s="394"/>
      <c r="O1096" s="394"/>
      <c r="P1096" s="394"/>
      <c r="R1096" s="133"/>
      <c r="AC1096" s="4">
        <v>23</v>
      </c>
      <c r="AD1096" s="192">
        <f>IF($AF$1071=1,VLOOKUP($AD$1071,$A$1101:$P$1112,12,FALSE),IF(OR($AD$1071="JAN",$AD$1071="FEB",$AD$1071="NOV",$AD$1071="DEC"),VLOOKUP($AD$1071,$A$1074:$S$1085,3,FALSE),VLOOKUP($AD$1071,$A$1074:$S$1085,2,FALSE)))</f>
        <v>0</v>
      </c>
      <c r="AE1096" s="192">
        <f t="shared" si="438"/>
        <v>13.596264367816092</v>
      </c>
      <c r="AF1096" s="192">
        <f t="shared" si="439"/>
        <v>14.238505747126437</v>
      </c>
      <c r="AG1096" s="192">
        <f t="shared" si="440"/>
        <v>23.964080459770116</v>
      </c>
      <c r="AH1096" s="192">
        <f t="shared" si="441"/>
        <v>0</v>
      </c>
      <c r="AI1096" s="192">
        <f t="shared" si="442"/>
        <v>7.3218390804597702</v>
      </c>
      <c r="AJ1096" s="192">
        <f t="shared" si="443"/>
        <v>5.3879310344827589</v>
      </c>
      <c r="AK1096" s="192">
        <f t="shared" si="444"/>
        <v>8.3362068965517242</v>
      </c>
      <c r="AL1096" s="192">
        <f t="shared" si="445"/>
        <v>8.4382183908045985</v>
      </c>
      <c r="AM1096" s="192">
        <f t="shared" si="446"/>
        <v>2.6278735632183907</v>
      </c>
      <c r="AN1096" s="192">
        <f t="shared" si="447"/>
        <v>3.0977011494252871</v>
      </c>
      <c r="AO1096" s="192">
        <f t="shared" si="448"/>
        <v>6.3261494252873556</v>
      </c>
      <c r="AP1096" s="192">
        <f t="shared" si="449"/>
        <v>0.9885057471264368</v>
      </c>
      <c r="AQ1096" s="192">
        <f t="shared" si="450"/>
        <v>1.8591954022988506</v>
      </c>
      <c r="AR1096" s="192">
        <f t="shared" si="451"/>
        <v>2.3405172413793101</v>
      </c>
      <c r="AS1096" s="192">
        <f t="shared" si="452"/>
        <v>98.522988505747136</v>
      </c>
      <c r="AT1096" s="192">
        <f t="shared" si="453"/>
        <v>6.6543048814445926</v>
      </c>
      <c r="AU1096" s="192">
        <f t="shared" si="454"/>
        <v>105.17729338719172</v>
      </c>
      <c r="AW1096" s="192">
        <f t="shared" si="455"/>
        <v>199.48850574712642</v>
      </c>
      <c r="AX1096" s="192">
        <f t="shared" si="456"/>
        <v>-94.3112123599347</v>
      </c>
    </row>
    <row r="1097" spans="1:50" ht="15.75" customHeight="1" thickBot="1" x14ac:dyDescent="0.35">
      <c r="A1097" s="257"/>
      <c r="R1097" s="133"/>
      <c r="AC1097" s="4">
        <v>24</v>
      </c>
      <c r="AD1097" s="192">
        <f>IF($AF$1071=1,VLOOKUP($AD$1071,$A$1101:$P$1112,12,FALSE),VLOOKUP($AD$1071,$A$1074:$S$1085,2,FALSE))</f>
        <v>98</v>
      </c>
      <c r="AE1097" s="192">
        <f t="shared" si="438"/>
        <v>13.596264367816092</v>
      </c>
      <c r="AF1097" s="192">
        <f t="shared" si="439"/>
        <v>14.238505747126437</v>
      </c>
      <c r="AG1097" s="192">
        <f t="shared" si="440"/>
        <v>23.964080459770116</v>
      </c>
      <c r="AH1097" s="192">
        <f t="shared" si="441"/>
        <v>0</v>
      </c>
      <c r="AI1097" s="192">
        <f t="shared" si="442"/>
        <v>7.3218390804597702</v>
      </c>
      <c r="AJ1097" s="192">
        <f t="shared" si="443"/>
        <v>5.3879310344827589</v>
      </c>
      <c r="AK1097" s="192">
        <f t="shared" si="444"/>
        <v>8.3362068965517242</v>
      </c>
      <c r="AL1097" s="192">
        <f t="shared" si="445"/>
        <v>8.4382183908045985</v>
      </c>
      <c r="AM1097" s="192">
        <f t="shared" si="446"/>
        <v>2.6278735632183907</v>
      </c>
      <c r="AN1097" s="192">
        <f t="shared" si="447"/>
        <v>3.0977011494252871</v>
      </c>
      <c r="AO1097" s="192">
        <f t="shared" si="448"/>
        <v>6.3261494252873556</v>
      </c>
      <c r="AP1097" s="192">
        <f t="shared" si="449"/>
        <v>0.9885057471264368</v>
      </c>
      <c r="AQ1097" s="192">
        <f t="shared" si="450"/>
        <v>1.8591954022988506</v>
      </c>
      <c r="AR1097" s="192">
        <f t="shared" si="451"/>
        <v>2.3405172413793101</v>
      </c>
      <c r="AS1097" s="192">
        <f t="shared" si="452"/>
        <v>196.52298850574709</v>
      </c>
      <c r="AT1097" s="192">
        <f t="shared" si="453"/>
        <v>13.273286788834962</v>
      </c>
      <c r="AU1097" s="192">
        <f t="shared" si="454"/>
        <v>209.79627529458205</v>
      </c>
      <c r="AW1097" s="192">
        <f t="shared" si="455"/>
        <v>199.48850574712642</v>
      </c>
      <c r="AX1097" s="192">
        <f t="shared" si="456"/>
        <v>10.307769547455621</v>
      </c>
    </row>
    <row r="1098" spans="1:50" ht="15.75" customHeight="1" x14ac:dyDescent="0.3">
      <c r="A1098" s="257"/>
      <c r="B1098" s="416" t="s">
        <v>806</v>
      </c>
      <c r="C1098" s="417"/>
      <c r="D1098" s="417"/>
      <c r="E1098" s="417"/>
      <c r="F1098" s="417"/>
      <c r="G1098" s="417"/>
      <c r="H1098" s="417"/>
      <c r="I1098" s="417"/>
      <c r="J1098" s="417"/>
      <c r="K1098" s="417"/>
      <c r="L1098" s="418"/>
      <c r="M1098" s="419" t="s">
        <v>807</v>
      </c>
      <c r="N1098" s="417"/>
      <c r="O1098" s="417"/>
      <c r="P1098" s="417"/>
      <c r="Q1098" s="192" t="s">
        <v>808</v>
      </c>
      <c r="R1098" s="271" t="s">
        <v>809</v>
      </c>
      <c r="S1098" s="192" t="s">
        <v>810</v>
      </c>
      <c r="T1098" s="192" t="s">
        <v>782</v>
      </c>
      <c r="AC1098" s="4" t="s">
        <v>641</v>
      </c>
      <c r="AD1098" s="192">
        <f>SUM(AD1074:AD1097)</f>
        <v>784</v>
      </c>
      <c r="AE1098" s="192">
        <f>SUM(AE1074:AE1097)</f>
        <v>326.31034482758639</v>
      </c>
      <c r="AF1098" s="192">
        <f t="shared" ref="AF1098:AW1098" si="468">SUM(AF1074:AF1097)</f>
        <v>341.72413793103448</v>
      </c>
      <c r="AG1098" s="192">
        <f t="shared" si="468"/>
        <v>575.13793103448279</v>
      </c>
      <c r="AH1098" s="192">
        <f t="shared" si="468"/>
        <v>0</v>
      </c>
      <c r="AI1098" s="192">
        <f t="shared" si="468"/>
        <v>175.72413793103445</v>
      </c>
      <c r="AJ1098" s="192">
        <f t="shared" si="468"/>
        <v>129.31034482758625</v>
      </c>
      <c r="AK1098" s="192">
        <f t="shared" si="468"/>
        <v>200.06896551724134</v>
      </c>
      <c r="AL1098" s="192">
        <f t="shared" si="468"/>
        <v>202.51724137931029</v>
      </c>
      <c r="AM1098" s="192">
        <f t="shared" si="468"/>
        <v>63.068965517241409</v>
      </c>
      <c r="AN1098" s="192">
        <f t="shared" si="468"/>
        <v>74.344827586206932</v>
      </c>
      <c r="AO1098" s="192">
        <f t="shared" si="468"/>
        <v>151.82758620689654</v>
      </c>
      <c r="AP1098" s="192">
        <f t="shared" si="468"/>
        <v>23.724137931034477</v>
      </c>
      <c r="AQ1098" s="192">
        <f t="shared" si="468"/>
        <v>44.620689655172427</v>
      </c>
      <c r="AR1098" s="192">
        <f t="shared" si="468"/>
        <v>56.172413793103438</v>
      </c>
      <c r="AS1098" s="192">
        <f t="shared" si="468"/>
        <v>3148.5517241379298</v>
      </c>
      <c r="AT1098" s="192">
        <f t="shared" si="468"/>
        <v>212.65517241379325</v>
      </c>
      <c r="AU1098" s="192">
        <f t="shared" si="468"/>
        <v>3361.2068965517224</v>
      </c>
      <c r="AW1098" s="192">
        <f t="shared" si="468"/>
        <v>4787.7241379310353</v>
      </c>
      <c r="AX1098" s="192">
        <f>SUMIF(AX1074:AX1097,"&gt;0")</f>
        <v>82.462156379644966</v>
      </c>
    </row>
    <row r="1099" spans="1:50" ht="15.75" customHeight="1" thickBot="1" x14ac:dyDescent="0.35">
      <c r="A1099" s="257" t="s">
        <v>768</v>
      </c>
      <c r="B1099" s="274" t="s">
        <v>811</v>
      </c>
      <c r="C1099" s="275" t="s">
        <v>791</v>
      </c>
      <c r="D1099" s="275" t="s">
        <v>792</v>
      </c>
      <c r="E1099" s="275" t="s">
        <v>812</v>
      </c>
      <c r="F1099" s="275" t="s">
        <v>791</v>
      </c>
      <c r="G1099" s="275" t="s">
        <v>792</v>
      </c>
      <c r="H1099" s="275" t="s">
        <v>793</v>
      </c>
      <c r="I1099" s="275" t="s">
        <v>791</v>
      </c>
      <c r="J1099" s="275" t="s">
        <v>792</v>
      </c>
      <c r="K1099" s="275" t="s">
        <v>793</v>
      </c>
      <c r="L1099" s="276" t="s">
        <v>813</v>
      </c>
      <c r="M1099" s="274" t="s">
        <v>814</v>
      </c>
      <c r="N1099" s="275" t="s">
        <v>791</v>
      </c>
      <c r="O1099" s="275" t="s">
        <v>791</v>
      </c>
      <c r="P1099" s="276" t="s">
        <v>813</v>
      </c>
      <c r="Q1099" s="277" t="s">
        <v>641</v>
      </c>
      <c r="R1099" s="278" t="s">
        <v>815</v>
      </c>
      <c r="S1099" s="275" t="s">
        <v>816</v>
      </c>
      <c r="T1099" s="275" t="s">
        <v>816</v>
      </c>
      <c r="AU1099" s="192"/>
      <c r="AW1099" s="192"/>
      <c r="AX1099" s="192"/>
    </row>
    <row r="1100" spans="1:50" ht="15.75" customHeight="1" thickTop="1" thickBot="1" x14ac:dyDescent="0.35">
      <c r="A1100" s="257"/>
      <c r="B1100" s="279"/>
      <c r="C1100" s="280" t="s">
        <v>817</v>
      </c>
      <c r="D1100" s="280" t="s">
        <v>817</v>
      </c>
      <c r="E1100" s="280" t="s">
        <v>817</v>
      </c>
      <c r="F1100" s="281" t="s">
        <v>779</v>
      </c>
      <c r="G1100" s="281" t="s">
        <v>779</v>
      </c>
      <c r="H1100" s="281" t="s">
        <v>779</v>
      </c>
      <c r="I1100" s="281" t="s">
        <v>818</v>
      </c>
      <c r="J1100" s="281" t="s">
        <v>818</v>
      </c>
      <c r="K1100" s="281" t="s">
        <v>818</v>
      </c>
      <c r="L1100" s="282" t="s">
        <v>819</v>
      </c>
      <c r="M1100" s="283"/>
      <c r="N1100" s="280" t="s">
        <v>817</v>
      </c>
      <c r="O1100" s="281" t="s">
        <v>779</v>
      </c>
      <c r="P1100" s="282" t="s">
        <v>818</v>
      </c>
      <c r="Q1100" s="277" t="s">
        <v>818</v>
      </c>
      <c r="R1100" s="278" t="s">
        <v>818</v>
      </c>
      <c r="S1100" s="281" t="s">
        <v>820</v>
      </c>
      <c r="T1100" s="281" t="s">
        <v>820</v>
      </c>
    </row>
    <row r="1101" spans="1:50" ht="15.75" customHeight="1" x14ac:dyDescent="0.3">
      <c r="A1101" s="257" t="s">
        <v>8</v>
      </c>
      <c r="B1101" s="211" t="e">
        <f ca="1">+$B$10-M1101</f>
        <v>#NAME?</v>
      </c>
      <c r="C1101" s="284">
        <v>4</v>
      </c>
      <c r="D1101" s="284">
        <v>0</v>
      </c>
      <c r="E1101" s="284" t="s">
        <v>803</v>
      </c>
      <c r="F1101" s="192">
        <f>+I1101/(24-S1101)</f>
        <v>196</v>
      </c>
      <c r="G1101" s="192">
        <f>+J1101/S1101</f>
        <v>0</v>
      </c>
      <c r="H1101" s="192" t="s">
        <v>803</v>
      </c>
      <c r="I1101" s="192">
        <f>+C1101*49*(24-S1101)</f>
        <v>3724</v>
      </c>
      <c r="J1101" s="192">
        <f>+D1101*49*S1101</f>
        <v>0</v>
      </c>
      <c r="K1101" s="192" t="s">
        <v>803</v>
      </c>
      <c r="L1101" s="271">
        <f>+J1101+I1101</f>
        <v>3724</v>
      </c>
      <c r="M1101" s="211" t="e">
        <f ca="1">SUMPRODUCT(--(WEEKDAY(ROW(INDIRECT(DATE($B$1095,MonthFromText(A1101),1)&amp;":"&amp;DATE($B$1095,MonthFromText(A1101),$B$10))),1)=1))</f>
        <v>#NAME?</v>
      </c>
      <c r="N1101" s="284">
        <v>4</v>
      </c>
      <c r="O1101" s="4">
        <f>+P1101/(24-T1101)</f>
        <v>196</v>
      </c>
      <c r="P1101" s="271">
        <f>+N1101*49*(24-T1101)</f>
        <v>3724</v>
      </c>
      <c r="Q1101" s="192" t="e">
        <f ca="1">+(L1101*B1101)+(M1101*P1101)</f>
        <v>#NAME?</v>
      </c>
      <c r="R1101" s="271" t="e">
        <f ca="1">+Q1101-B994</f>
        <v>#NAME?</v>
      </c>
      <c r="S1101" s="285">
        <v>5</v>
      </c>
      <c r="T1101" s="285">
        <v>5</v>
      </c>
      <c r="AD1101" s="207"/>
      <c r="AE1101" s="200"/>
      <c r="AF1101" s="286" t="s">
        <v>821</v>
      </c>
      <c r="AG1101" s="287" t="s">
        <v>822</v>
      </c>
      <c r="AH1101" s="287" t="s">
        <v>823</v>
      </c>
      <c r="AI1101" s="287" t="s">
        <v>824</v>
      </c>
      <c r="AJ1101" s="198"/>
    </row>
    <row r="1102" spans="1:50" ht="15.75" customHeight="1" x14ac:dyDescent="0.3">
      <c r="A1102" s="257" t="s">
        <v>9</v>
      </c>
      <c r="B1102" s="211" t="e">
        <f ca="1">+$C$10-M1102</f>
        <v>#NAME?</v>
      </c>
      <c r="C1102" s="284">
        <v>2</v>
      </c>
      <c r="D1102" s="284">
        <v>0</v>
      </c>
      <c r="E1102" s="284" t="s">
        <v>803</v>
      </c>
      <c r="F1102" s="192">
        <f t="shared" ref="F1102:F1112" si="469">+I1102/(24-S1102)</f>
        <v>98</v>
      </c>
      <c r="G1102" s="192">
        <f t="shared" ref="G1102:G1112" si="470">+J1102/S1102</f>
        <v>0</v>
      </c>
      <c r="H1102" s="192" t="s">
        <v>803</v>
      </c>
      <c r="I1102" s="192">
        <f t="shared" ref="I1102:I1112" si="471">+C1102*49*(24-S1102)</f>
        <v>1862</v>
      </c>
      <c r="J1102" s="192">
        <f t="shared" ref="J1102:J1112" si="472">+D1102*49*S1102</f>
        <v>0</v>
      </c>
      <c r="K1102" s="192" t="s">
        <v>803</v>
      </c>
      <c r="L1102" s="271">
        <f t="shared" ref="L1102:L1112" si="473">+J1102+I1102</f>
        <v>1862</v>
      </c>
      <c r="M1102" s="211" t="e">
        <f ca="1">SUMPRODUCT(--(WEEKDAY(ROW(INDIRECT(DATE($B$1095,MonthFromText(A1102),1)&amp;":"&amp;DATE($B$1095,MonthFromText(A1102),$C$10))),1)=1))</f>
        <v>#NAME?</v>
      </c>
      <c r="N1102" s="284">
        <f t="shared" ref="N1102:N1110" si="474">+C1102</f>
        <v>2</v>
      </c>
      <c r="O1102" s="4">
        <f t="shared" ref="O1102:O1112" si="475">+P1102/24</f>
        <v>98</v>
      </c>
      <c r="P1102" s="271">
        <f t="shared" ref="P1102:P1112" si="476">+N1102*49*24</f>
        <v>2352</v>
      </c>
      <c r="Q1102" s="192" t="e">
        <f ca="1">+(L1102*B1102)+(M1102*P1102)</f>
        <v>#NAME?</v>
      </c>
      <c r="R1102" s="271" t="e">
        <f t="shared" ref="R1102:R1112" ca="1" si="477">+Q1102-B995</f>
        <v>#NAME?</v>
      </c>
      <c r="S1102" s="285">
        <v>5</v>
      </c>
      <c r="T1102" s="285">
        <v>5</v>
      </c>
      <c r="AD1102" s="288" t="s">
        <v>668</v>
      </c>
      <c r="AE1102" s="289" t="s">
        <v>825</v>
      </c>
      <c r="AF1102" s="4">
        <f>V1074</f>
        <v>242.0456989247312</v>
      </c>
      <c r="AG1102" s="4">
        <f>X1074</f>
        <v>2.3157478460149621</v>
      </c>
      <c r="AH1102" s="4">
        <f>Y1074</f>
        <v>0</v>
      </c>
      <c r="AI1102" s="4">
        <f>Z1074</f>
        <v>32.647849462365592</v>
      </c>
      <c r="AJ1102" s="133"/>
    </row>
    <row r="1103" spans="1:50" ht="16.5" customHeight="1" x14ac:dyDescent="0.3">
      <c r="A1103" s="257" t="s">
        <v>10</v>
      </c>
      <c r="B1103" s="211" t="e">
        <f ca="1">+$D$10-M1103</f>
        <v>#NAME?</v>
      </c>
      <c r="C1103" s="284">
        <v>6</v>
      </c>
      <c r="D1103" s="284">
        <v>0</v>
      </c>
      <c r="E1103" s="284" t="s">
        <v>803</v>
      </c>
      <c r="F1103" s="192">
        <f t="shared" si="469"/>
        <v>294</v>
      </c>
      <c r="G1103" s="192">
        <f t="shared" si="470"/>
        <v>0</v>
      </c>
      <c r="H1103" s="192" t="s">
        <v>803</v>
      </c>
      <c r="I1103" s="192">
        <f t="shared" si="471"/>
        <v>5586</v>
      </c>
      <c r="J1103" s="192">
        <f t="shared" si="472"/>
        <v>0</v>
      </c>
      <c r="K1103" s="192" t="s">
        <v>803</v>
      </c>
      <c r="L1103" s="271">
        <f t="shared" si="473"/>
        <v>5586</v>
      </c>
      <c r="M1103" s="211" t="e">
        <f ca="1">SUMPRODUCT(--(WEEKDAY(ROW(INDIRECT(DATE($B$1095,MonthFromText(A1103),1)&amp;":"&amp;DATE($B$1095,MonthFromText(A1103),$D$10))),1)=1))</f>
        <v>#NAME?</v>
      </c>
      <c r="N1103" s="284">
        <v>3</v>
      </c>
      <c r="O1103" s="4">
        <f t="shared" si="475"/>
        <v>147</v>
      </c>
      <c r="P1103" s="271">
        <f t="shared" si="476"/>
        <v>3528</v>
      </c>
      <c r="Q1103" s="192" t="e">
        <f t="shared" ref="Q1103:Q1112" ca="1" si="478">+(L1103*B1103)+(M1103*P1103)</f>
        <v>#NAME?</v>
      </c>
      <c r="R1103" s="271" t="e">
        <f t="shared" ca="1" si="477"/>
        <v>#NAME?</v>
      </c>
      <c r="S1103" s="285">
        <v>5</v>
      </c>
      <c r="T1103" s="285">
        <v>5</v>
      </c>
      <c r="AD1103" s="288"/>
      <c r="AE1103" s="289" t="s">
        <v>816</v>
      </c>
      <c r="AF1103" s="4">
        <f>W1074</f>
        <v>46.045698924731184</v>
      </c>
      <c r="AG1103" s="4">
        <f>X1074</f>
        <v>2.3157478460149621</v>
      </c>
      <c r="AH1103" s="4">
        <f>Y1074</f>
        <v>0</v>
      </c>
      <c r="AI1103" s="4">
        <f>Z1074</f>
        <v>32.647849462365592</v>
      </c>
      <c r="AJ1103" s="133"/>
    </row>
    <row r="1104" spans="1:50" ht="16.5" customHeight="1" x14ac:dyDescent="0.3">
      <c r="A1104" s="257" t="s">
        <v>12</v>
      </c>
      <c r="B1104" s="211" t="e">
        <f ca="1">+$F$10-M1104</f>
        <v>#NAME?</v>
      </c>
      <c r="C1104" s="284">
        <v>6</v>
      </c>
      <c r="D1104" s="284">
        <v>0</v>
      </c>
      <c r="E1104" s="284" t="s">
        <v>803</v>
      </c>
      <c r="F1104" s="192">
        <f t="shared" si="469"/>
        <v>294</v>
      </c>
      <c r="G1104" s="192">
        <f t="shared" si="470"/>
        <v>0</v>
      </c>
      <c r="H1104" s="192" t="s">
        <v>803</v>
      </c>
      <c r="I1104" s="192">
        <f t="shared" si="471"/>
        <v>5586</v>
      </c>
      <c r="J1104" s="192">
        <f t="shared" si="472"/>
        <v>0</v>
      </c>
      <c r="K1104" s="192" t="s">
        <v>803</v>
      </c>
      <c r="L1104" s="271">
        <f t="shared" si="473"/>
        <v>5586</v>
      </c>
      <c r="M1104" s="211" t="e">
        <f ca="1">SUMPRODUCT(--(WEEKDAY(ROW(INDIRECT(DATE($B$1095,MonthFromText(A1104),1)&amp;":"&amp;DATE($B$1095,MonthFromText(A1104),$F$10))),1)=1))</f>
        <v>#NAME?</v>
      </c>
      <c r="N1104" s="284">
        <v>5</v>
      </c>
      <c r="O1104" s="4">
        <f t="shared" si="475"/>
        <v>245</v>
      </c>
      <c r="P1104" s="271">
        <f t="shared" si="476"/>
        <v>5880</v>
      </c>
      <c r="Q1104" s="192" t="e">
        <f t="shared" ca="1" si="478"/>
        <v>#NAME?</v>
      </c>
      <c r="R1104" s="271" t="e">
        <f t="shared" ca="1" si="477"/>
        <v>#NAME?</v>
      </c>
      <c r="S1104" s="285">
        <v>5</v>
      </c>
      <c r="T1104" s="285">
        <v>5</v>
      </c>
      <c r="AD1104" s="288" t="s">
        <v>826</v>
      </c>
      <c r="AE1104" s="289" t="s">
        <v>7</v>
      </c>
      <c r="AJ1104" s="133"/>
    </row>
    <row r="1105" spans="1:36" ht="15.75" customHeight="1" x14ac:dyDescent="0.3">
      <c r="A1105" s="257" t="s">
        <v>13</v>
      </c>
      <c r="B1105" s="211" t="e">
        <f ca="1">+$G$10-M1105</f>
        <v>#NAME?</v>
      </c>
      <c r="C1105" s="284">
        <v>6</v>
      </c>
      <c r="D1105" s="284">
        <v>0</v>
      </c>
      <c r="E1105" s="284" t="s">
        <v>803</v>
      </c>
      <c r="F1105" s="192">
        <f t="shared" si="469"/>
        <v>294</v>
      </c>
      <c r="G1105" s="192">
        <f t="shared" si="470"/>
        <v>0</v>
      </c>
      <c r="H1105" s="192" t="s">
        <v>803</v>
      </c>
      <c r="I1105" s="192">
        <f t="shared" si="471"/>
        <v>5586</v>
      </c>
      <c r="J1105" s="192">
        <f t="shared" si="472"/>
        <v>0</v>
      </c>
      <c r="K1105" s="192" t="s">
        <v>803</v>
      </c>
      <c r="L1105" s="271">
        <f t="shared" si="473"/>
        <v>5586</v>
      </c>
      <c r="M1105" s="211" t="e">
        <f ca="1">SUMPRODUCT(--(WEEKDAY(ROW(INDIRECT(DATE($B$1095,MonthFromText(A1105),1)&amp;":"&amp;DATE($B$1095,MonthFromText(A1105),$G$10))),1)=1))</f>
        <v>#NAME?</v>
      </c>
      <c r="N1105" s="284">
        <f t="shared" si="474"/>
        <v>6</v>
      </c>
      <c r="O1105" s="4">
        <f t="shared" si="475"/>
        <v>294</v>
      </c>
      <c r="P1105" s="271">
        <f t="shared" si="476"/>
        <v>7056</v>
      </c>
      <c r="Q1105" s="192" t="e">
        <f t="shared" ca="1" si="478"/>
        <v>#NAME?</v>
      </c>
      <c r="R1105" s="271" t="e">
        <f t="shared" ca="1" si="477"/>
        <v>#NAME?</v>
      </c>
      <c r="S1105" s="285">
        <v>5</v>
      </c>
      <c r="T1105" s="285">
        <v>5</v>
      </c>
      <c r="AD1105" s="288" t="s">
        <v>669</v>
      </c>
      <c r="AE1105" s="289" t="s">
        <v>825</v>
      </c>
      <c r="AF1105" s="4">
        <f>V1075</f>
        <v>149.79885057471265</v>
      </c>
      <c r="AG1105" s="4">
        <f>X1075</f>
        <v>0</v>
      </c>
      <c r="AH1105" s="4">
        <f>Y1075</f>
        <v>0</v>
      </c>
      <c r="AI1105" s="4">
        <f>Z1075</f>
        <v>46.724137931034484</v>
      </c>
      <c r="AJ1105" s="133"/>
    </row>
    <row r="1106" spans="1:36" ht="15.75" customHeight="1" x14ac:dyDescent="0.3">
      <c r="A1106" s="257" t="s">
        <v>14</v>
      </c>
      <c r="B1106" s="211" t="e">
        <f ca="1">+$H$10-M1106</f>
        <v>#NAME?</v>
      </c>
      <c r="C1106" s="284">
        <v>3</v>
      </c>
      <c r="D1106" s="284">
        <v>0</v>
      </c>
      <c r="E1106" s="284">
        <v>0</v>
      </c>
      <c r="F1106" s="192">
        <f t="shared" si="469"/>
        <v>147</v>
      </c>
      <c r="G1106" s="192">
        <f t="shared" si="470"/>
        <v>0</v>
      </c>
      <c r="H1106" s="192" t="s">
        <v>803</v>
      </c>
      <c r="I1106" s="192">
        <f t="shared" si="471"/>
        <v>2205</v>
      </c>
      <c r="J1106" s="192">
        <f t="shared" si="472"/>
        <v>0</v>
      </c>
      <c r="K1106" s="192" t="s">
        <v>803</v>
      </c>
      <c r="L1106" s="271">
        <f t="shared" si="473"/>
        <v>2205</v>
      </c>
      <c r="M1106" s="211" t="e">
        <f ca="1">SUMPRODUCT(--(WEEKDAY(ROW(INDIRECT(DATE($B$1095,MonthFromText(A1106),1)&amp;":"&amp;DATE($B$1095,MonthFromText(A1106),$H$10))),1)=1))</f>
        <v>#NAME?</v>
      </c>
      <c r="N1106" s="284">
        <f t="shared" si="474"/>
        <v>3</v>
      </c>
      <c r="O1106" s="4">
        <f t="shared" si="475"/>
        <v>147</v>
      </c>
      <c r="P1106" s="271">
        <f t="shared" si="476"/>
        <v>3528</v>
      </c>
      <c r="Q1106" s="192" t="e">
        <f ca="1">+(L1106*B1106)+(M1106*P1106)</f>
        <v>#NAME?</v>
      </c>
      <c r="R1106" s="271" t="e">
        <f t="shared" ca="1" si="477"/>
        <v>#NAME?</v>
      </c>
      <c r="S1106" s="285">
        <v>9</v>
      </c>
      <c r="T1106" s="285">
        <v>9</v>
      </c>
      <c r="AD1106" s="288"/>
      <c r="AE1106" s="289" t="s">
        <v>816</v>
      </c>
      <c r="AF1106" s="4">
        <f>W1075</f>
        <v>51.798850574712645</v>
      </c>
      <c r="AG1106" s="4">
        <f>X1075</f>
        <v>0</v>
      </c>
      <c r="AH1106" s="4">
        <f>Y1075</f>
        <v>0</v>
      </c>
      <c r="AI1106" s="4">
        <f>Z1075</f>
        <v>46.724137931034484</v>
      </c>
      <c r="AJ1106" s="133"/>
    </row>
    <row r="1107" spans="1:36" ht="15.75" customHeight="1" x14ac:dyDescent="0.3">
      <c r="A1107" s="257" t="s">
        <v>16</v>
      </c>
      <c r="B1107" s="211" t="e">
        <f ca="1">+$J$10-M1107</f>
        <v>#NAME?</v>
      </c>
      <c r="C1107" s="284">
        <v>3</v>
      </c>
      <c r="D1107" s="284">
        <v>0</v>
      </c>
      <c r="E1107" s="284">
        <v>0</v>
      </c>
      <c r="F1107" s="192">
        <f t="shared" si="469"/>
        <v>147</v>
      </c>
      <c r="G1107" s="192">
        <f t="shared" si="470"/>
        <v>0</v>
      </c>
      <c r="H1107" s="192" t="s">
        <v>803</v>
      </c>
      <c r="I1107" s="192">
        <f t="shared" si="471"/>
        <v>2205</v>
      </c>
      <c r="J1107" s="192">
        <f t="shared" si="472"/>
        <v>0</v>
      </c>
      <c r="K1107" s="192" t="s">
        <v>803</v>
      </c>
      <c r="L1107" s="271">
        <f t="shared" si="473"/>
        <v>2205</v>
      </c>
      <c r="M1107" s="211" t="e">
        <f ca="1">SUMPRODUCT(--(WEEKDAY(ROW(INDIRECT(DATE($B$1095,MonthFromText(A1107),1)&amp;":"&amp;DATE($B$1095,MonthFromText(A1107),$J$10))),1)=1))</f>
        <v>#NAME?</v>
      </c>
      <c r="N1107" s="284">
        <f t="shared" si="474"/>
        <v>3</v>
      </c>
      <c r="O1107" s="4">
        <f t="shared" si="475"/>
        <v>147</v>
      </c>
      <c r="P1107" s="271">
        <f t="shared" si="476"/>
        <v>3528</v>
      </c>
      <c r="Q1107" s="192" t="e">
        <f t="shared" ca="1" si="478"/>
        <v>#NAME?</v>
      </c>
      <c r="R1107" s="271" t="e">
        <f t="shared" ca="1" si="477"/>
        <v>#NAME?</v>
      </c>
      <c r="S1107" s="285">
        <v>9</v>
      </c>
      <c r="T1107" s="285">
        <v>9</v>
      </c>
      <c r="AD1107" s="288" t="s">
        <v>826</v>
      </c>
      <c r="AE1107" s="289" t="s">
        <v>7</v>
      </c>
      <c r="AJ1107" s="133"/>
    </row>
    <row r="1108" spans="1:36" ht="15.75" customHeight="1" x14ac:dyDescent="0.3">
      <c r="A1108" s="257" t="s">
        <v>17</v>
      </c>
      <c r="B1108" s="211" t="e">
        <f ca="1">+$K$10-M1108</f>
        <v>#NAME?</v>
      </c>
      <c r="C1108" s="284">
        <v>3</v>
      </c>
      <c r="D1108" s="284">
        <v>0</v>
      </c>
      <c r="E1108" s="284">
        <v>0</v>
      </c>
      <c r="F1108" s="192">
        <f t="shared" si="469"/>
        <v>147</v>
      </c>
      <c r="G1108" s="192">
        <f t="shared" si="470"/>
        <v>0</v>
      </c>
      <c r="H1108" s="192" t="s">
        <v>803</v>
      </c>
      <c r="I1108" s="192">
        <f t="shared" si="471"/>
        <v>2205</v>
      </c>
      <c r="J1108" s="192">
        <f t="shared" si="472"/>
        <v>0</v>
      </c>
      <c r="K1108" s="192" t="s">
        <v>803</v>
      </c>
      <c r="L1108" s="271">
        <f t="shared" si="473"/>
        <v>2205</v>
      </c>
      <c r="M1108" s="211" t="e">
        <f ca="1">SUMPRODUCT(--(WEEKDAY(ROW(INDIRECT(DATE($B$1095,MonthFromText(A1108),1)&amp;":"&amp;DATE($B$1095,MonthFromText(A1108),$K$10))),1)=1))</f>
        <v>#NAME?</v>
      </c>
      <c r="N1108" s="284">
        <f t="shared" si="474"/>
        <v>3</v>
      </c>
      <c r="O1108" s="4">
        <f t="shared" si="475"/>
        <v>147</v>
      </c>
      <c r="P1108" s="271">
        <f t="shared" si="476"/>
        <v>3528</v>
      </c>
      <c r="Q1108" s="192" t="e">
        <f t="shared" ca="1" si="478"/>
        <v>#NAME?</v>
      </c>
      <c r="R1108" s="271" t="e">
        <f t="shared" ca="1" si="477"/>
        <v>#NAME?</v>
      </c>
      <c r="S1108" s="285">
        <v>9</v>
      </c>
      <c r="T1108" s="285">
        <v>9</v>
      </c>
      <c r="AD1108" s="288" t="s">
        <v>671</v>
      </c>
      <c r="AE1108" s="289" t="s">
        <v>825</v>
      </c>
      <c r="AF1108" s="4">
        <f>V1076</f>
        <v>395.31854838709677</v>
      </c>
      <c r="AG1108" s="4">
        <f>X1076</f>
        <v>13.412407040494381</v>
      </c>
      <c r="AH1108" s="4">
        <f>Y1076</f>
        <v>0</v>
      </c>
      <c r="AI1108" s="4">
        <f>Z1076</f>
        <v>54.454301075268816</v>
      </c>
      <c r="AJ1108" s="133"/>
    </row>
    <row r="1109" spans="1:36" ht="15.75" customHeight="1" x14ac:dyDescent="0.3">
      <c r="A1109" s="257" t="s">
        <v>18</v>
      </c>
      <c r="B1109" s="211" t="e">
        <f ca="1">+$L$10-M1109</f>
        <v>#NAME?</v>
      </c>
      <c r="C1109" s="284">
        <v>5</v>
      </c>
      <c r="D1109" s="284">
        <v>0</v>
      </c>
      <c r="E1109" s="284" t="s">
        <v>803</v>
      </c>
      <c r="F1109" s="192">
        <f t="shared" si="469"/>
        <v>245</v>
      </c>
      <c r="G1109" s="192">
        <f t="shared" si="470"/>
        <v>0</v>
      </c>
      <c r="H1109" s="192" t="s">
        <v>803</v>
      </c>
      <c r="I1109" s="192">
        <f t="shared" si="471"/>
        <v>4410</v>
      </c>
      <c r="J1109" s="192">
        <f t="shared" si="472"/>
        <v>0</v>
      </c>
      <c r="K1109" s="192" t="s">
        <v>803</v>
      </c>
      <c r="L1109" s="271">
        <f t="shared" si="473"/>
        <v>4410</v>
      </c>
      <c r="M1109" s="211" t="e">
        <f ca="1">SUMPRODUCT(--(WEEKDAY(ROW(INDIRECT(DATE($B$1095,MonthFromText(A1109),1)&amp;":"&amp;DATE($B$1095,MonthFromText(A1109),$L$10))),1)=1))</f>
        <v>#NAME?</v>
      </c>
      <c r="N1109" s="284">
        <f t="shared" si="474"/>
        <v>5</v>
      </c>
      <c r="O1109" s="4">
        <f t="shared" si="475"/>
        <v>245</v>
      </c>
      <c r="P1109" s="271">
        <f t="shared" si="476"/>
        <v>5880</v>
      </c>
      <c r="Q1109" s="192" t="e">
        <f t="shared" ca="1" si="478"/>
        <v>#NAME?</v>
      </c>
      <c r="R1109" s="271" t="e">
        <f t="shared" ca="1" si="477"/>
        <v>#NAME?</v>
      </c>
      <c r="S1109" s="285">
        <v>6</v>
      </c>
      <c r="T1109" s="285">
        <v>4</v>
      </c>
      <c r="AD1109" s="288"/>
      <c r="AE1109" s="289" t="s">
        <v>816</v>
      </c>
      <c r="AF1109" s="4">
        <f>W1076</f>
        <v>101.31854838709678</v>
      </c>
      <c r="AG1109" s="4">
        <f>X1076</f>
        <v>13.412407040494381</v>
      </c>
      <c r="AH1109" s="4">
        <f>Y1076</f>
        <v>0</v>
      </c>
      <c r="AI1109" s="4">
        <f>Z1076</f>
        <v>54.454301075268816</v>
      </c>
      <c r="AJ1109" s="133"/>
    </row>
    <row r="1110" spans="1:36" ht="15.75" customHeight="1" x14ac:dyDescent="0.3">
      <c r="A1110" s="257" t="s">
        <v>20</v>
      </c>
      <c r="B1110" s="211" t="e">
        <f ca="1">+$N$10-M1110</f>
        <v>#NAME?</v>
      </c>
      <c r="C1110" s="284">
        <v>5</v>
      </c>
      <c r="D1110" s="284">
        <v>0</v>
      </c>
      <c r="E1110" s="284" t="s">
        <v>803</v>
      </c>
      <c r="F1110" s="192">
        <f t="shared" si="469"/>
        <v>245</v>
      </c>
      <c r="G1110" s="192">
        <f t="shared" si="470"/>
        <v>0</v>
      </c>
      <c r="H1110" s="192" t="s">
        <v>803</v>
      </c>
      <c r="I1110" s="192">
        <f t="shared" si="471"/>
        <v>4410</v>
      </c>
      <c r="J1110" s="192">
        <f t="shared" si="472"/>
        <v>0</v>
      </c>
      <c r="K1110" s="192" t="s">
        <v>803</v>
      </c>
      <c r="L1110" s="271">
        <f t="shared" si="473"/>
        <v>4410</v>
      </c>
      <c r="M1110" s="211" t="e">
        <f ca="1">SUMPRODUCT(--(WEEKDAY(ROW(INDIRECT(DATE($B$1095,MonthFromText(A1110),1)&amp;":"&amp;DATE($B$1095,MonthFromText(A1110),$N$10))),1)=1))</f>
        <v>#NAME?</v>
      </c>
      <c r="N1110" s="284">
        <f t="shared" si="474"/>
        <v>5</v>
      </c>
      <c r="O1110" s="4">
        <f t="shared" si="475"/>
        <v>245</v>
      </c>
      <c r="P1110" s="271">
        <f t="shared" si="476"/>
        <v>5880</v>
      </c>
      <c r="Q1110" s="192" t="e">
        <f t="shared" ca="1" si="478"/>
        <v>#NAME?</v>
      </c>
      <c r="R1110" s="271" t="e">
        <f t="shared" ca="1" si="477"/>
        <v>#NAME?</v>
      </c>
      <c r="S1110" s="285">
        <v>6</v>
      </c>
      <c r="T1110" s="285">
        <v>4</v>
      </c>
      <c r="AD1110" s="288" t="s">
        <v>826</v>
      </c>
      <c r="AE1110" s="289" t="s">
        <v>7</v>
      </c>
      <c r="AJ1110" s="133"/>
    </row>
    <row r="1111" spans="1:36" ht="15.75" customHeight="1" x14ac:dyDescent="0.3">
      <c r="A1111" s="257" t="s">
        <v>21</v>
      </c>
      <c r="B1111" s="211" t="e">
        <f ca="1">+$O$10-M1111</f>
        <v>#NAME?</v>
      </c>
      <c r="C1111" s="284">
        <v>5</v>
      </c>
      <c r="D1111" s="284">
        <v>0</v>
      </c>
      <c r="E1111" s="284" t="s">
        <v>803</v>
      </c>
      <c r="F1111" s="192">
        <f t="shared" si="469"/>
        <v>245</v>
      </c>
      <c r="G1111" s="192">
        <f t="shared" si="470"/>
        <v>0</v>
      </c>
      <c r="H1111" s="192" t="s">
        <v>803</v>
      </c>
      <c r="I1111" s="192">
        <f t="shared" si="471"/>
        <v>4410</v>
      </c>
      <c r="J1111" s="192">
        <f t="shared" si="472"/>
        <v>0</v>
      </c>
      <c r="K1111" s="192" t="s">
        <v>803</v>
      </c>
      <c r="L1111" s="271">
        <f t="shared" si="473"/>
        <v>4410</v>
      </c>
      <c r="M1111" s="211" t="e">
        <f ca="1">SUMPRODUCT(--(WEEKDAY(ROW(INDIRECT(DATE($B$1095,MonthFromText(A1111),1)&amp;":"&amp;DATE($B$1095,MonthFromText(A1111),$O$10))),1)=1))</f>
        <v>#NAME?</v>
      </c>
      <c r="N1111" s="284">
        <v>3</v>
      </c>
      <c r="O1111" s="4">
        <f t="shared" si="475"/>
        <v>147</v>
      </c>
      <c r="P1111" s="271">
        <f t="shared" si="476"/>
        <v>3528</v>
      </c>
      <c r="Q1111" s="192" t="e">
        <f t="shared" ca="1" si="478"/>
        <v>#NAME?</v>
      </c>
      <c r="R1111" s="271" t="e">
        <f t="shared" ca="1" si="477"/>
        <v>#NAME?</v>
      </c>
      <c r="S1111" s="285">
        <v>6</v>
      </c>
      <c r="T1111" s="285">
        <v>4</v>
      </c>
      <c r="AD1111" s="288" t="s">
        <v>672</v>
      </c>
      <c r="AE1111" s="289" t="s">
        <v>825</v>
      </c>
      <c r="AF1111" s="4">
        <f>V1077</f>
        <v>393.56111111111113</v>
      </c>
      <c r="AG1111" s="4">
        <f>X1077</f>
        <v>0</v>
      </c>
      <c r="AH1111" s="4">
        <f>Y1077</f>
        <v>0</v>
      </c>
      <c r="AI1111" s="4">
        <f>Z1077</f>
        <v>62.868055555555564</v>
      </c>
      <c r="AJ1111" s="133"/>
    </row>
    <row r="1112" spans="1:36" ht="15.75" customHeight="1" thickBot="1" x14ac:dyDescent="0.35">
      <c r="A1112" s="257" t="s">
        <v>22</v>
      </c>
      <c r="B1112" s="220" t="e">
        <f ca="1">+$P$10-M1112</f>
        <v>#NAME?</v>
      </c>
      <c r="C1112" s="290">
        <v>5</v>
      </c>
      <c r="D1112" s="290">
        <v>0</v>
      </c>
      <c r="E1112" s="284" t="s">
        <v>803</v>
      </c>
      <c r="F1112" s="192">
        <f t="shared" si="469"/>
        <v>245</v>
      </c>
      <c r="G1112" s="192">
        <f t="shared" si="470"/>
        <v>0</v>
      </c>
      <c r="H1112" s="192" t="s">
        <v>803</v>
      </c>
      <c r="I1112" s="192">
        <f t="shared" si="471"/>
        <v>4410</v>
      </c>
      <c r="J1112" s="192">
        <f t="shared" si="472"/>
        <v>0</v>
      </c>
      <c r="K1112" s="192" t="s">
        <v>803</v>
      </c>
      <c r="L1112" s="271">
        <f t="shared" si="473"/>
        <v>4410</v>
      </c>
      <c r="M1112" s="220" t="e">
        <f ca="1">SUMPRODUCT(--(WEEKDAY(ROW(INDIRECT(DATE($B$1095,MonthFromText(A1112),1)&amp;":"&amp;DATE($B$1095,MonthFromText(A1112),$P$10))),1)=1))</f>
        <v>#NAME?</v>
      </c>
      <c r="N1112" s="284">
        <v>3</v>
      </c>
      <c r="O1112" s="135">
        <f t="shared" si="475"/>
        <v>147</v>
      </c>
      <c r="P1112" s="272">
        <f t="shared" si="476"/>
        <v>3528</v>
      </c>
      <c r="Q1112" s="291" t="e">
        <f t="shared" ca="1" si="478"/>
        <v>#NAME?</v>
      </c>
      <c r="R1112" s="292" t="e">
        <f t="shared" ca="1" si="477"/>
        <v>#NAME?</v>
      </c>
      <c r="S1112" s="285">
        <v>6</v>
      </c>
      <c r="T1112" s="285">
        <v>4</v>
      </c>
      <c r="AD1112" s="288"/>
      <c r="AE1112" s="289" t="s">
        <v>816</v>
      </c>
      <c r="AF1112" s="4">
        <f>W1077</f>
        <v>99.561111111111117</v>
      </c>
      <c r="AG1112" s="4">
        <f>X1077</f>
        <v>0</v>
      </c>
      <c r="AH1112" s="4">
        <f>Y1077</f>
        <v>0</v>
      </c>
      <c r="AI1112" s="4">
        <f>Z1077</f>
        <v>62.868055555555564</v>
      </c>
      <c r="AJ1112" s="133"/>
    </row>
    <row r="1113" spans="1:36" ht="15.75" customHeight="1" thickBot="1" x14ac:dyDescent="0.35">
      <c r="A1113" s="134"/>
      <c r="B1113" s="135"/>
      <c r="C1113" s="135"/>
      <c r="D1113" s="135"/>
      <c r="E1113" s="223"/>
      <c r="F1113" s="223"/>
      <c r="G1113" s="223"/>
      <c r="H1113" s="223"/>
      <c r="I1113" s="223"/>
      <c r="J1113" s="223"/>
      <c r="K1113" s="223"/>
      <c r="L1113" s="223"/>
      <c r="M1113" s="135"/>
      <c r="N1113" s="135"/>
      <c r="O1113" s="135"/>
      <c r="P1113" s="135"/>
      <c r="Q1113" s="206" t="e">
        <f ca="1">+SUM(Q1101:Q1112)</f>
        <v>#NAME?</v>
      </c>
      <c r="R1113" s="272" t="e">
        <f ca="1">+Q1113-B1007</f>
        <v>#NAME?</v>
      </c>
      <c r="AD1113" s="288" t="s">
        <v>826</v>
      </c>
      <c r="AE1113" s="289" t="s">
        <v>7</v>
      </c>
      <c r="AJ1113" s="133"/>
    </row>
    <row r="1114" spans="1:36" ht="15.75" customHeight="1" x14ac:dyDescent="0.3">
      <c r="A1114" s="260" t="s">
        <v>827</v>
      </c>
      <c r="J1114" s="192"/>
      <c r="AD1114" s="288" t="s">
        <v>673</v>
      </c>
      <c r="AE1114" s="289" t="s">
        <v>825</v>
      </c>
      <c r="AF1114" s="4">
        <f>V1078</f>
        <v>393.23387096774195</v>
      </c>
      <c r="AG1114" s="4">
        <f>X1078</f>
        <v>0</v>
      </c>
      <c r="AH1114" s="4">
        <f>Y1078</f>
        <v>-2.1046819001843078</v>
      </c>
      <c r="AI1114" s="4">
        <f>Z1078</f>
        <v>61.1989247311828</v>
      </c>
      <c r="AJ1114" s="133"/>
    </row>
    <row r="1115" spans="1:36" ht="15.75" customHeight="1" x14ac:dyDescent="0.3">
      <c r="A1115" s="260" t="s">
        <v>828</v>
      </c>
      <c r="AD1115" s="288"/>
      <c r="AE1115" s="289" t="s">
        <v>816</v>
      </c>
      <c r="AF1115" s="4">
        <f>W1078</f>
        <v>99.233870967741922</v>
      </c>
      <c r="AG1115" s="4">
        <f>X1078</f>
        <v>0</v>
      </c>
      <c r="AH1115" s="4">
        <f>Y1078</f>
        <v>-2.1046819001843078</v>
      </c>
      <c r="AI1115" s="4">
        <f>Z1078</f>
        <v>61.1989247311828</v>
      </c>
      <c r="AJ1115" s="133"/>
    </row>
    <row r="1116" spans="1:36" ht="15.75" customHeight="1" x14ac:dyDescent="0.3">
      <c r="A1116" s="260" t="s">
        <v>829</v>
      </c>
      <c r="AD1116" s="288" t="s">
        <v>826</v>
      </c>
      <c r="AE1116" s="289" t="s">
        <v>7</v>
      </c>
      <c r="AJ1116" s="133"/>
    </row>
    <row r="1117" spans="1:36" ht="15.75" customHeight="1" x14ac:dyDescent="0.3">
      <c r="AD1117" s="288" t="s">
        <v>675</v>
      </c>
      <c r="AE1117" s="289" t="s">
        <v>825</v>
      </c>
      <c r="AF1117" s="4">
        <f>V1079</f>
        <v>207.61111111111111</v>
      </c>
      <c r="AG1117" s="4">
        <f>X1079</f>
        <v>0</v>
      </c>
      <c r="AH1117" s="4">
        <f>Y1079</f>
        <v>-18.594165077723279</v>
      </c>
      <c r="AI1117" s="4">
        <f>Z1079</f>
        <v>69.459722222222226</v>
      </c>
      <c r="AJ1117" s="133"/>
    </row>
    <row r="1118" spans="1:36" ht="15.75" customHeight="1" x14ac:dyDescent="0.3">
      <c r="A1118" s="4" t="s">
        <v>830</v>
      </c>
      <c r="AD1118" s="288"/>
      <c r="AE1118" s="289" t="s">
        <v>816</v>
      </c>
      <c r="AF1118" s="4">
        <f>W1079</f>
        <v>60.611111111111114</v>
      </c>
      <c r="AG1118" s="4">
        <f>X1079</f>
        <v>0</v>
      </c>
      <c r="AH1118" s="4">
        <f>Y1079</f>
        <v>-18.594165077723279</v>
      </c>
      <c r="AI1118" s="4">
        <f>Z1079</f>
        <v>69.459722222222226</v>
      </c>
      <c r="AJ1118" s="133"/>
    </row>
    <row r="1119" spans="1:36" ht="15.75" customHeight="1" x14ac:dyDescent="0.3">
      <c r="AD1119" s="288" t="s">
        <v>826</v>
      </c>
      <c r="AE1119" s="289" t="s">
        <v>7</v>
      </c>
      <c r="AJ1119" s="133"/>
    </row>
    <row r="1120" spans="1:36" ht="15.75" customHeight="1" x14ac:dyDescent="0.3">
      <c r="AD1120" s="288" t="s">
        <v>676</v>
      </c>
      <c r="AE1120" s="289" t="s">
        <v>825</v>
      </c>
      <c r="AF1120" s="4">
        <f>V1080</f>
        <v>177.31854838709677</v>
      </c>
      <c r="AG1120" s="4">
        <f>X1080</f>
        <v>0</v>
      </c>
      <c r="AH1120" s="4">
        <f>Y1080</f>
        <v>-18.399467687480097</v>
      </c>
      <c r="AI1120" s="4">
        <f>Z1080</f>
        <v>61.146505376344088</v>
      </c>
      <c r="AJ1120" s="133"/>
    </row>
    <row r="1121" spans="1:36" ht="16.5" customHeight="1" x14ac:dyDescent="0.3">
      <c r="AD1121" s="288"/>
      <c r="AE1121" s="289" t="s">
        <v>816</v>
      </c>
      <c r="AF1121" s="4">
        <f>W1080</f>
        <v>30.318548387096769</v>
      </c>
      <c r="AG1121" s="4">
        <f>X1080</f>
        <v>0</v>
      </c>
      <c r="AH1121" s="4">
        <f>Y1080</f>
        <v>-18.399467687480097</v>
      </c>
      <c r="AI1121" s="4">
        <f>Z1080</f>
        <v>61.146505376344088</v>
      </c>
      <c r="AJ1121" s="133"/>
    </row>
    <row r="1122" spans="1:36" ht="15.75" customHeight="1" x14ac:dyDescent="0.3">
      <c r="AD1122" s="288" t="s">
        <v>826</v>
      </c>
      <c r="AE1122" s="289" t="s">
        <v>7</v>
      </c>
      <c r="AJ1122" s="133"/>
    </row>
    <row r="1123" spans="1:36" ht="16.5" customHeight="1" x14ac:dyDescent="0.3">
      <c r="AD1123" s="288" t="s">
        <v>691</v>
      </c>
      <c r="AE1123" s="289" t="s">
        <v>825</v>
      </c>
      <c r="AF1123" s="4">
        <f>V1081</f>
        <v>177.55376344086022</v>
      </c>
      <c r="AG1123" s="4">
        <f>X1081</f>
        <v>0</v>
      </c>
      <c r="AH1123" s="4">
        <f>Y1081</f>
        <v>-12.877349674217996</v>
      </c>
      <c r="AI1123" s="4">
        <f>Z1081</f>
        <v>64.685483870967744</v>
      </c>
      <c r="AJ1123" s="133"/>
    </row>
    <row r="1124" spans="1:36" ht="15.75" customHeight="1" x14ac:dyDescent="0.3">
      <c r="AD1124" s="288"/>
      <c r="AE1124" s="289" t="s">
        <v>816</v>
      </c>
      <c r="AF1124" s="4">
        <f>W1081</f>
        <v>30.553763440860216</v>
      </c>
      <c r="AG1124" s="4">
        <f>X1081</f>
        <v>0</v>
      </c>
      <c r="AH1124" s="4">
        <f>Y1081</f>
        <v>-12.877349674217996</v>
      </c>
      <c r="AI1124" s="4">
        <f>Z1081</f>
        <v>64.685483870967744</v>
      </c>
      <c r="AJ1124" s="133"/>
    </row>
    <row r="1125" spans="1:36" ht="15.75" customHeight="1" x14ac:dyDescent="0.3">
      <c r="AD1125" s="288" t="s">
        <v>826</v>
      </c>
      <c r="AE1125" s="289" t="s">
        <v>7</v>
      </c>
      <c r="AJ1125" s="133"/>
    </row>
    <row r="1126" spans="1:36" ht="15.75" customHeight="1" x14ac:dyDescent="0.3">
      <c r="AD1126" s="288" t="s">
        <v>831</v>
      </c>
      <c r="AE1126" s="289" t="s">
        <v>825</v>
      </c>
      <c r="AF1126" s="4">
        <f>V1082</f>
        <v>328.85833333333335</v>
      </c>
      <c r="AG1126" s="4">
        <f>X1082</f>
        <v>4.2424231371518255</v>
      </c>
      <c r="AH1126" s="4">
        <f>Y1082</f>
        <v>0</v>
      </c>
      <c r="AI1126" s="4">
        <f>Z1082</f>
        <v>52.206944444444446</v>
      </c>
      <c r="AJ1126" s="133"/>
    </row>
    <row r="1127" spans="1:36" ht="15.75" customHeight="1" x14ac:dyDescent="0.3">
      <c r="AD1127" s="288"/>
      <c r="AE1127" s="289" t="s">
        <v>816</v>
      </c>
      <c r="AF1127" s="4">
        <f>W1082</f>
        <v>83.858333333333348</v>
      </c>
      <c r="AG1127" s="4">
        <f>X1082</f>
        <v>4.2424231371518255</v>
      </c>
      <c r="AH1127" s="4">
        <f>Y1082</f>
        <v>0</v>
      </c>
      <c r="AI1127" s="4">
        <f>Z1082</f>
        <v>52.206944444444446</v>
      </c>
      <c r="AJ1127" s="133"/>
    </row>
    <row r="1128" spans="1:36" ht="15.75" customHeight="1" x14ac:dyDescent="0.3">
      <c r="I1128" s="192"/>
      <c r="J1128" s="192"/>
      <c r="AD1128" s="288" t="s">
        <v>826</v>
      </c>
      <c r="AE1128" s="289" t="s">
        <v>7</v>
      </c>
      <c r="AJ1128" s="133"/>
    </row>
    <row r="1129" spans="1:36" ht="15.75" customHeight="1" x14ac:dyDescent="0.3">
      <c r="AD1129" s="288" t="s">
        <v>693</v>
      </c>
      <c r="AE1129" s="289" t="s">
        <v>825</v>
      </c>
      <c r="AF1129" s="4">
        <f>V1083</f>
        <v>347.27688172043008</v>
      </c>
      <c r="AG1129" s="4">
        <f>X1083</f>
        <v>17.666190457586705</v>
      </c>
      <c r="AH1129" s="4">
        <f>Y1083</f>
        <v>0</v>
      </c>
      <c r="AI1129" s="4">
        <f>Z1083</f>
        <v>32.880376344086017</v>
      </c>
      <c r="AJ1129" s="133"/>
    </row>
    <row r="1130" spans="1:36" ht="15.75" customHeight="1" x14ac:dyDescent="0.3">
      <c r="AD1130" s="288"/>
      <c r="AE1130" s="289" t="s">
        <v>816</v>
      </c>
      <c r="AF1130" s="4">
        <f>W1083</f>
        <v>102.27688172043011</v>
      </c>
      <c r="AG1130" s="4">
        <f>X1083</f>
        <v>17.666190457586705</v>
      </c>
      <c r="AH1130" s="4">
        <f>Y1083</f>
        <v>0</v>
      </c>
      <c r="AI1130" s="4">
        <f>Z1083</f>
        <v>32.880376344086017</v>
      </c>
      <c r="AJ1130" s="133"/>
    </row>
    <row r="1131" spans="1:36" ht="15.75" customHeight="1" x14ac:dyDescent="0.3">
      <c r="AD1131" s="288" t="s">
        <v>826</v>
      </c>
      <c r="AE1131" s="289" t="s">
        <v>7</v>
      </c>
      <c r="AJ1131" s="133"/>
    </row>
    <row r="1132" spans="1:36" ht="15.75" customHeight="1" x14ac:dyDescent="0.3">
      <c r="AD1132" s="288" t="s">
        <v>694</v>
      </c>
      <c r="AE1132" s="289" t="s">
        <v>825</v>
      </c>
      <c r="AF1132" s="4">
        <f>V1084</f>
        <v>347.64027777777778</v>
      </c>
      <c r="AG1132" s="4">
        <f>X1084</f>
        <v>25.845151183632002</v>
      </c>
      <c r="AH1132" s="4">
        <f>Y1084</f>
        <v>0</v>
      </c>
      <c r="AI1132" s="4">
        <f>Z1084</f>
        <v>15.354166666666668</v>
      </c>
      <c r="AJ1132" s="133"/>
    </row>
    <row r="1133" spans="1:36" ht="15.75" customHeight="1" x14ac:dyDescent="0.3">
      <c r="AD1133" s="288"/>
      <c r="AE1133" s="289" t="s">
        <v>816</v>
      </c>
      <c r="AF1133" s="4">
        <f>W1084</f>
        <v>102.64027777777778</v>
      </c>
      <c r="AG1133" s="4">
        <f>X1084</f>
        <v>25.845151183632002</v>
      </c>
      <c r="AH1133" s="4">
        <f>Y1084</f>
        <v>0</v>
      </c>
      <c r="AI1133" s="4">
        <f>Z1084</f>
        <v>15.354166666666668</v>
      </c>
      <c r="AJ1133" s="133"/>
    </row>
    <row r="1134" spans="1:36" ht="15.75" customHeight="1" x14ac:dyDescent="0.3">
      <c r="AD1134" s="288" t="s">
        <v>826</v>
      </c>
      <c r="AE1134" s="289" t="s">
        <v>7</v>
      </c>
      <c r="AJ1134" s="133"/>
    </row>
    <row r="1135" spans="1:36" ht="15.75" customHeight="1" thickBot="1" x14ac:dyDescent="0.35">
      <c r="AD1135" s="288" t="s">
        <v>695</v>
      </c>
      <c r="AE1135" s="289" t="s">
        <v>825</v>
      </c>
      <c r="AF1135" s="4">
        <f>V1085</f>
        <v>306.43145161290323</v>
      </c>
      <c r="AG1135" s="4">
        <f>X1085</f>
        <v>14.978922119482251</v>
      </c>
      <c r="AH1135" s="4">
        <f>Y1085</f>
        <v>0</v>
      </c>
      <c r="AI1135" s="4">
        <f>Z1085</f>
        <v>9.638440860215054</v>
      </c>
      <c r="AJ1135" s="133"/>
    </row>
    <row r="1136" spans="1:36" ht="15.75" customHeight="1" x14ac:dyDescent="0.35">
      <c r="A1136" s="173"/>
      <c r="B1136" s="174"/>
      <c r="C1136" s="294"/>
      <c r="D1136" s="294"/>
      <c r="E1136" s="294"/>
      <c r="F1136" s="294"/>
      <c r="G1136" s="294"/>
      <c r="H1136" s="175" t="s">
        <v>832</v>
      </c>
      <c r="I1136" s="174"/>
      <c r="J1136" s="174"/>
      <c r="K1136" s="174"/>
      <c r="L1136" s="174"/>
      <c r="M1136" s="174"/>
      <c r="N1136" s="174"/>
      <c r="O1136" s="174"/>
      <c r="P1136" s="174"/>
      <c r="Q1136" s="177" t="str">
        <f>+Q1</f>
        <v xml:space="preserve">PRINTED:  </v>
      </c>
      <c r="R1136" s="197">
        <f ca="1">+R1</f>
        <v>44894.658168518516</v>
      </c>
      <c r="S1136" s="198"/>
      <c r="AD1136" s="288"/>
      <c r="AE1136" s="289" t="s">
        <v>816</v>
      </c>
      <c r="AF1136" s="4">
        <f>W1085</f>
        <v>61.431451612903231</v>
      </c>
      <c r="AG1136" s="4">
        <f>X1085</f>
        <v>14.978922119482251</v>
      </c>
      <c r="AH1136" s="4">
        <f>Y1085</f>
        <v>0</v>
      </c>
      <c r="AI1136" s="4">
        <f>Z1085</f>
        <v>9.638440860215054</v>
      </c>
      <c r="AJ1136" s="133"/>
    </row>
    <row r="1137" spans="1:36" ht="15.75" customHeight="1" thickBot="1" x14ac:dyDescent="0.4">
      <c r="A1137" s="179"/>
      <c r="B1137" s="180"/>
      <c r="C1137" s="201"/>
      <c r="D1137" s="201"/>
      <c r="E1137" s="201"/>
      <c r="F1137" s="201"/>
      <c r="G1137" s="201"/>
      <c r="H1137" s="180" t="s">
        <v>633</v>
      </c>
      <c r="I1137" s="180" t="s">
        <v>7</v>
      </c>
      <c r="J1137" s="202" t="str">
        <f>+A8</f>
        <v>Revised:  10/31/2019</v>
      </c>
      <c r="K1137" s="180"/>
      <c r="L1137" s="180"/>
      <c r="M1137" s="180"/>
      <c r="N1137" s="180"/>
      <c r="O1137" s="180"/>
      <c r="P1137" s="180"/>
      <c r="Q1137" s="180"/>
      <c r="R1137" s="180"/>
      <c r="S1137" s="133"/>
      <c r="AD1137" s="295" t="s">
        <v>826</v>
      </c>
      <c r="AE1137" s="296" t="s">
        <v>7</v>
      </c>
      <c r="AF1137" s="135"/>
      <c r="AG1137" s="135"/>
      <c r="AH1137" s="135"/>
      <c r="AI1137" s="135"/>
      <c r="AJ1137" s="136"/>
    </row>
    <row r="1138" spans="1:36" ht="15.75" customHeight="1" x14ac:dyDescent="0.35">
      <c r="A1138" s="179"/>
      <c r="B1138" s="180"/>
      <c r="C1138" s="201"/>
      <c r="D1138" s="201"/>
      <c r="E1138" s="201"/>
      <c r="F1138" s="201"/>
      <c r="G1138" s="201"/>
      <c r="H1138" s="180" t="s">
        <v>833</v>
      </c>
      <c r="I1138" s="180"/>
      <c r="J1138" s="180"/>
      <c r="K1138" s="180"/>
      <c r="L1138" s="180"/>
      <c r="M1138" s="180"/>
      <c r="N1138" s="180"/>
      <c r="O1138" s="180"/>
      <c r="P1138" s="180"/>
      <c r="Q1138" s="180"/>
      <c r="R1138" s="180"/>
      <c r="S1138" s="133"/>
    </row>
    <row r="1139" spans="1:36" ht="15.75" customHeight="1" x14ac:dyDescent="0.35">
      <c r="A1139" s="179"/>
      <c r="B1139" s="180"/>
      <c r="C1139" s="201"/>
      <c r="D1139" s="201"/>
      <c r="E1139" s="201"/>
      <c r="F1139" s="201"/>
      <c r="G1139" s="201"/>
      <c r="H1139" s="180"/>
      <c r="I1139" s="180"/>
      <c r="J1139" s="180"/>
      <c r="K1139" s="180"/>
      <c r="L1139" s="180"/>
      <c r="M1139" s="180"/>
      <c r="N1139" s="180"/>
      <c r="O1139" s="180"/>
      <c r="P1139" s="180"/>
      <c r="Q1139" s="180"/>
      <c r="R1139" s="180"/>
      <c r="S1139" s="133"/>
    </row>
    <row r="1140" spans="1:36" ht="15.75" customHeight="1" x14ac:dyDescent="0.35">
      <c r="A1140" s="179"/>
      <c r="B1140" s="180"/>
      <c r="C1140" s="201"/>
      <c r="D1140" s="201"/>
      <c r="E1140" s="201"/>
      <c r="F1140" s="201"/>
      <c r="G1140" s="201"/>
      <c r="H1140" s="180" t="s">
        <v>633</v>
      </c>
      <c r="I1140" s="297">
        <f>+A5</f>
        <v>2020</v>
      </c>
      <c r="J1140" s="180"/>
      <c r="K1140" s="180"/>
      <c r="L1140" s="180"/>
      <c r="M1140" s="180"/>
      <c r="N1140" s="180"/>
      <c r="O1140" s="180"/>
      <c r="P1140" s="180"/>
      <c r="Q1140" s="180"/>
      <c r="R1140" s="180"/>
      <c r="S1140" s="133"/>
    </row>
    <row r="1141" spans="1:36" ht="15.75" customHeight="1" x14ac:dyDescent="0.3">
      <c r="A1141" s="179"/>
      <c r="B1141" s="180"/>
      <c r="C1141" s="180"/>
      <c r="D1141" s="180"/>
      <c r="E1141" s="180"/>
      <c r="F1141" s="180"/>
      <c r="G1141" s="180"/>
      <c r="H1141" s="180"/>
      <c r="I1141" s="180"/>
      <c r="J1141" s="180"/>
      <c r="K1141" s="180"/>
      <c r="L1141" s="180"/>
      <c r="M1141" s="180"/>
      <c r="N1141" s="180"/>
      <c r="O1141" s="180"/>
      <c r="P1141" s="180"/>
      <c r="Q1141" s="180"/>
      <c r="R1141" s="180"/>
      <c r="S1141" s="133"/>
    </row>
    <row r="1142" spans="1:36" ht="15.75" customHeight="1" x14ac:dyDescent="0.3">
      <c r="A1142" s="179"/>
      <c r="B1142" s="180"/>
      <c r="C1142" s="199" t="s">
        <v>834</v>
      </c>
      <c r="D1142" s="180"/>
      <c r="E1142" s="180"/>
      <c r="F1142" s="180"/>
      <c r="G1142" s="199" t="s">
        <v>835</v>
      </c>
      <c r="H1142" s="180"/>
      <c r="I1142" s="180"/>
      <c r="J1142" s="180"/>
      <c r="K1142" s="298" t="s">
        <v>836</v>
      </c>
      <c r="L1142" s="180"/>
      <c r="M1142" s="180"/>
      <c r="N1142" s="180"/>
      <c r="O1142" s="298" t="s">
        <v>837</v>
      </c>
      <c r="P1142" s="180"/>
      <c r="Q1142" s="180"/>
      <c r="R1142" s="180"/>
      <c r="S1142" s="133"/>
    </row>
    <row r="1143" spans="1:36" ht="15.75" customHeight="1" x14ac:dyDescent="0.3">
      <c r="A1143" s="179"/>
      <c r="B1143" s="180"/>
      <c r="C1143" s="180">
        <f>+A5</f>
        <v>2020</v>
      </c>
      <c r="D1143" s="180"/>
      <c r="E1143" s="180"/>
      <c r="F1143" s="180" t="s">
        <v>838</v>
      </c>
      <c r="G1143" s="180"/>
      <c r="H1143" s="180"/>
      <c r="I1143" s="180"/>
      <c r="J1143" s="180"/>
      <c r="K1143" s="180">
        <f>+A5</f>
        <v>2020</v>
      </c>
      <c r="L1143" s="180"/>
      <c r="M1143" s="180"/>
      <c r="N1143" s="180"/>
      <c r="O1143" s="180">
        <f>+A5</f>
        <v>2020</v>
      </c>
      <c r="P1143" s="180"/>
      <c r="Q1143" s="180"/>
      <c r="R1143" s="180"/>
      <c r="S1143" s="133"/>
    </row>
    <row r="1144" spans="1:36" ht="15.75" customHeight="1" x14ac:dyDescent="0.3">
      <c r="A1144" s="179"/>
      <c r="B1144" s="180"/>
      <c r="C1144" s="180"/>
      <c r="D1144" s="180"/>
      <c r="E1144" s="180"/>
      <c r="F1144" s="180"/>
      <c r="G1144" s="180">
        <f>+A5</f>
        <v>2020</v>
      </c>
      <c r="H1144" s="180"/>
      <c r="I1144" s="180"/>
      <c r="J1144" s="180"/>
      <c r="K1144" s="180"/>
      <c r="L1144" s="180"/>
      <c r="M1144" s="180"/>
      <c r="N1144" s="180"/>
      <c r="O1144" s="180"/>
      <c r="P1144" s="180"/>
      <c r="Q1144" s="180"/>
      <c r="R1144" s="180"/>
      <c r="S1144" s="133"/>
    </row>
    <row r="1145" spans="1:36" ht="15.75" customHeight="1" x14ac:dyDescent="0.3">
      <c r="A1145" s="179"/>
      <c r="B1145" s="180"/>
      <c r="C1145" s="182" t="s">
        <v>839</v>
      </c>
      <c r="D1145" s="182" t="s">
        <v>840</v>
      </c>
      <c r="E1145" s="182" t="s">
        <v>841</v>
      </c>
      <c r="F1145" s="180"/>
      <c r="G1145" s="182" t="s">
        <v>842</v>
      </c>
      <c r="H1145" s="182" t="s">
        <v>840</v>
      </c>
      <c r="I1145" s="182" t="s">
        <v>843</v>
      </c>
      <c r="J1145" s="180"/>
      <c r="K1145" s="182" t="s">
        <v>738</v>
      </c>
      <c r="L1145" s="182" t="s">
        <v>840</v>
      </c>
      <c r="M1145" s="182" t="s">
        <v>844</v>
      </c>
      <c r="N1145" s="180"/>
      <c r="O1145" s="182" t="s">
        <v>738</v>
      </c>
      <c r="P1145" s="182" t="s">
        <v>840</v>
      </c>
      <c r="Q1145" s="182" t="s">
        <v>844</v>
      </c>
      <c r="R1145" s="180"/>
      <c r="S1145" s="133"/>
    </row>
    <row r="1146" spans="1:36" ht="15.75" customHeight="1" x14ac:dyDescent="0.3">
      <c r="A1146" s="179"/>
      <c r="B1146" s="180"/>
      <c r="C1146" s="182" t="s">
        <v>845</v>
      </c>
      <c r="D1146" s="182" t="s">
        <v>658</v>
      </c>
      <c r="E1146" s="182" t="s">
        <v>846</v>
      </c>
      <c r="F1146" s="180"/>
      <c r="G1146" s="182" t="s">
        <v>847</v>
      </c>
      <c r="H1146" s="182" t="s">
        <v>658</v>
      </c>
      <c r="I1146" s="182" t="s">
        <v>846</v>
      </c>
      <c r="J1146" s="180"/>
      <c r="K1146" s="182" t="s">
        <v>848</v>
      </c>
      <c r="L1146" s="182" t="s">
        <v>658</v>
      </c>
      <c r="M1146" s="182" t="s">
        <v>846</v>
      </c>
      <c r="N1146" s="180"/>
      <c r="O1146" s="182" t="s">
        <v>848</v>
      </c>
      <c r="P1146" s="182" t="s">
        <v>658</v>
      </c>
      <c r="Q1146" s="182" t="s">
        <v>846</v>
      </c>
      <c r="R1146" s="180"/>
      <c r="S1146" s="133"/>
    </row>
    <row r="1147" spans="1:36" ht="15.75" customHeight="1" x14ac:dyDescent="0.3">
      <c r="A1147" s="179"/>
      <c r="B1147" s="180"/>
      <c r="C1147" s="182" t="s">
        <v>658</v>
      </c>
      <c r="D1147" s="182" t="s">
        <v>655</v>
      </c>
      <c r="E1147" s="182" t="s">
        <v>849</v>
      </c>
      <c r="F1147" s="180"/>
      <c r="G1147" s="182" t="s">
        <v>743</v>
      </c>
      <c r="H1147" s="182" t="s">
        <v>655</v>
      </c>
      <c r="I1147" s="182" t="s">
        <v>849</v>
      </c>
      <c r="J1147" s="180"/>
      <c r="K1147" s="182" t="s">
        <v>658</v>
      </c>
      <c r="L1147" s="182" t="s">
        <v>655</v>
      </c>
      <c r="M1147" s="182" t="s">
        <v>849</v>
      </c>
      <c r="N1147" s="180"/>
      <c r="O1147" s="182" t="s">
        <v>658</v>
      </c>
      <c r="P1147" s="182" t="s">
        <v>655</v>
      </c>
      <c r="Q1147" s="182" t="s">
        <v>849</v>
      </c>
      <c r="R1147" s="180"/>
      <c r="S1147" s="133"/>
    </row>
    <row r="1148" spans="1:36" ht="15.75" customHeight="1" x14ac:dyDescent="0.3">
      <c r="A1148" s="179"/>
      <c r="B1148" s="180"/>
      <c r="C1148" s="182" t="s">
        <v>664</v>
      </c>
      <c r="D1148" s="182" t="s">
        <v>850</v>
      </c>
      <c r="E1148" s="182" t="s">
        <v>851</v>
      </c>
      <c r="F1148" s="180"/>
      <c r="G1148" s="182" t="s">
        <v>664</v>
      </c>
      <c r="H1148" s="182" t="s">
        <v>850</v>
      </c>
      <c r="I1148" s="182" t="s">
        <v>851</v>
      </c>
      <c r="J1148" s="180"/>
      <c r="K1148" s="182" t="s">
        <v>664</v>
      </c>
      <c r="L1148" s="182" t="s">
        <v>850</v>
      </c>
      <c r="M1148" s="182" t="s">
        <v>851</v>
      </c>
      <c r="N1148" s="180"/>
      <c r="O1148" s="182" t="s">
        <v>664</v>
      </c>
      <c r="P1148" s="182" t="s">
        <v>850</v>
      </c>
      <c r="Q1148" s="182" t="s">
        <v>851</v>
      </c>
      <c r="R1148" s="180"/>
      <c r="S1148" s="133"/>
    </row>
    <row r="1149" spans="1:36" ht="15.75" customHeight="1" x14ac:dyDescent="0.3">
      <c r="A1149" s="179"/>
      <c r="B1149" s="180"/>
      <c r="C1149" s="180" t="s">
        <v>666</v>
      </c>
      <c r="D1149" s="180" t="s">
        <v>666</v>
      </c>
      <c r="E1149" s="180" t="s">
        <v>666</v>
      </c>
      <c r="F1149" s="180"/>
      <c r="G1149" s="182" t="s">
        <v>666</v>
      </c>
      <c r="H1149" s="182" t="s">
        <v>666</v>
      </c>
      <c r="I1149" s="182" t="s">
        <v>666</v>
      </c>
      <c r="J1149" s="180"/>
      <c r="K1149" s="180" t="s">
        <v>666</v>
      </c>
      <c r="L1149" s="180" t="s">
        <v>666</v>
      </c>
      <c r="M1149" s="180" t="s">
        <v>666</v>
      </c>
      <c r="N1149" s="180"/>
      <c r="O1149" s="180" t="s">
        <v>666</v>
      </c>
      <c r="P1149" s="180" t="s">
        <v>666</v>
      </c>
      <c r="Q1149" s="180" t="s">
        <v>666</v>
      </c>
      <c r="R1149" s="180"/>
      <c r="S1149" s="133"/>
    </row>
    <row r="1150" spans="1:36" ht="15.75" customHeight="1" x14ac:dyDescent="0.3">
      <c r="A1150" s="189" t="s">
        <v>668</v>
      </c>
      <c r="B1150" s="180"/>
      <c r="C1150" s="180">
        <f t="shared" ref="C1150:C1161" si="479">(P1022)</f>
        <v>0.2</v>
      </c>
      <c r="D1150" s="203">
        <v>0</v>
      </c>
      <c r="E1150" s="217">
        <f t="shared" ref="E1150:E1161" si="480">(P1022*D1150/1000)</f>
        <v>0</v>
      </c>
      <c r="F1150" s="180"/>
      <c r="G1150" s="180">
        <v>0</v>
      </c>
      <c r="H1150" s="203">
        <v>0</v>
      </c>
      <c r="I1150" s="217">
        <f t="shared" ref="I1150:I1161" si="481">(G1150*H1150/1000)</f>
        <v>0</v>
      </c>
      <c r="J1150" s="180"/>
      <c r="K1150" s="299">
        <v>11848</v>
      </c>
      <c r="L1150" s="300">
        <v>0</v>
      </c>
      <c r="M1150" s="217">
        <f t="shared" ref="M1150:M1161" si="482">(K1150*L1150/1000)</f>
        <v>0</v>
      </c>
      <c r="N1150" s="180"/>
      <c r="O1150" s="299">
        <v>0</v>
      </c>
      <c r="P1150" s="203">
        <v>0</v>
      </c>
      <c r="Q1150" s="217">
        <f t="shared" ref="Q1150:Q1161" si="483">(O1150*P1150/1000)</f>
        <v>0</v>
      </c>
      <c r="R1150" s="180"/>
      <c r="S1150" s="133"/>
    </row>
    <row r="1151" spans="1:36" ht="15.75" customHeight="1" x14ac:dyDescent="0.3">
      <c r="A1151" s="189" t="s">
        <v>669</v>
      </c>
      <c r="B1151" s="180"/>
      <c r="C1151" s="180">
        <f t="shared" si="479"/>
        <v>0.25</v>
      </c>
      <c r="D1151" s="203">
        <v>0</v>
      </c>
      <c r="E1151" s="217">
        <f t="shared" si="480"/>
        <v>0</v>
      </c>
      <c r="F1151" s="180"/>
      <c r="G1151" s="180" t="e">
        <f>#REF!</f>
        <v>#REF!</v>
      </c>
      <c r="H1151" s="203">
        <v>0</v>
      </c>
      <c r="I1151" s="217" t="e">
        <f t="shared" si="481"/>
        <v>#REF!</v>
      </c>
      <c r="J1151" s="180"/>
      <c r="K1151" s="299">
        <v>11489</v>
      </c>
      <c r="L1151" s="300">
        <v>0</v>
      </c>
      <c r="M1151" s="217">
        <f t="shared" si="482"/>
        <v>0</v>
      </c>
      <c r="N1151" s="180"/>
      <c r="O1151" s="299">
        <v>0</v>
      </c>
      <c r="P1151" s="203">
        <v>0</v>
      </c>
      <c r="Q1151" s="217">
        <f t="shared" si="483"/>
        <v>0</v>
      </c>
      <c r="R1151" s="180"/>
      <c r="S1151" s="133"/>
    </row>
    <row r="1152" spans="1:36" ht="15.75" customHeight="1" x14ac:dyDescent="0.3">
      <c r="A1152" s="189" t="s">
        <v>671</v>
      </c>
      <c r="B1152" s="180"/>
      <c r="C1152" s="180">
        <f t="shared" si="479"/>
        <v>0.3</v>
      </c>
      <c r="D1152" s="203">
        <v>0</v>
      </c>
      <c r="E1152" s="217">
        <f t="shared" si="480"/>
        <v>0</v>
      </c>
      <c r="F1152" s="180">
        <f>SUM(E1150:E1152)</f>
        <v>0</v>
      </c>
      <c r="G1152" s="180" t="e">
        <f>#REF!</f>
        <v>#REF!</v>
      </c>
      <c r="H1152" s="203">
        <v>0</v>
      </c>
      <c r="I1152" s="217" t="e">
        <f t="shared" si="481"/>
        <v>#REF!</v>
      </c>
      <c r="J1152" s="180" t="e">
        <f>SUM(I1150:I1152)</f>
        <v>#REF!</v>
      </c>
      <c r="K1152" s="299">
        <v>16247</v>
      </c>
      <c r="L1152" s="300">
        <v>0</v>
      </c>
      <c r="M1152" s="217">
        <f t="shared" si="482"/>
        <v>0</v>
      </c>
      <c r="N1152" s="180">
        <f>SUM(M1150:M1152)</f>
        <v>0</v>
      </c>
      <c r="O1152" s="299">
        <v>0</v>
      </c>
      <c r="P1152" s="203">
        <v>0</v>
      </c>
      <c r="Q1152" s="217">
        <f t="shared" si="483"/>
        <v>0</v>
      </c>
      <c r="R1152" s="180">
        <f>SUM(Q1150:Q1152)</f>
        <v>0</v>
      </c>
      <c r="S1152" s="133"/>
    </row>
    <row r="1153" spans="1:19" ht="15.75" customHeight="1" x14ac:dyDescent="0.3">
      <c r="A1153" s="189" t="s">
        <v>672</v>
      </c>
      <c r="B1153" s="180"/>
      <c r="C1153" s="180">
        <f t="shared" si="479"/>
        <v>0.35</v>
      </c>
      <c r="D1153" s="203">
        <v>0</v>
      </c>
      <c r="E1153" s="217">
        <f t="shared" si="480"/>
        <v>0</v>
      </c>
      <c r="F1153" s="180"/>
      <c r="G1153" s="180" t="e">
        <f>#REF!</f>
        <v>#REF!</v>
      </c>
      <c r="H1153" s="203">
        <v>0</v>
      </c>
      <c r="I1153" s="217" t="e">
        <f t="shared" si="481"/>
        <v>#REF!</v>
      </c>
      <c r="J1153" s="180"/>
      <c r="K1153" s="299">
        <v>17740</v>
      </c>
      <c r="L1153" s="300">
        <v>0</v>
      </c>
      <c r="M1153" s="217">
        <f t="shared" si="482"/>
        <v>0</v>
      </c>
      <c r="N1153" s="180"/>
      <c r="O1153" s="299">
        <v>0</v>
      </c>
      <c r="P1153" s="203">
        <v>0</v>
      </c>
      <c r="Q1153" s="217">
        <f t="shared" si="483"/>
        <v>0</v>
      </c>
      <c r="R1153" s="180"/>
      <c r="S1153" s="133"/>
    </row>
    <row r="1154" spans="1:19" ht="15.75" customHeight="1" x14ac:dyDescent="0.3">
      <c r="A1154" s="189" t="s">
        <v>673</v>
      </c>
      <c r="B1154" s="180"/>
      <c r="C1154" s="180">
        <f t="shared" si="479"/>
        <v>0.35</v>
      </c>
      <c r="D1154" s="203">
        <v>0</v>
      </c>
      <c r="E1154" s="217">
        <f t="shared" si="480"/>
        <v>0</v>
      </c>
      <c r="F1154" s="180"/>
      <c r="G1154" s="180" t="e">
        <f>#REF!</f>
        <v>#REF!</v>
      </c>
      <c r="H1154" s="203">
        <v>0</v>
      </c>
      <c r="I1154" s="217" t="e">
        <f t="shared" si="481"/>
        <v>#REF!</v>
      </c>
      <c r="J1154" s="180"/>
      <c r="K1154" s="299">
        <v>15434</v>
      </c>
      <c r="L1154" s="300">
        <v>0</v>
      </c>
      <c r="M1154" s="217">
        <f t="shared" si="482"/>
        <v>0</v>
      </c>
      <c r="N1154" s="180"/>
      <c r="O1154" s="299">
        <v>0</v>
      </c>
      <c r="P1154" s="203">
        <v>0</v>
      </c>
      <c r="Q1154" s="217">
        <f t="shared" si="483"/>
        <v>0</v>
      </c>
      <c r="R1154" s="180"/>
      <c r="S1154" s="133"/>
    </row>
    <row r="1155" spans="1:19" ht="15.75" customHeight="1" x14ac:dyDescent="0.3">
      <c r="A1155" s="189" t="s">
        <v>675</v>
      </c>
      <c r="B1155" s="180"/>
      <c r="C1155" s="180">
        <f t="shared" si="479"/>
        <v>7.4999999999999997E-2</v>
      </c>
      <c r="D1155" s="203">
        <v>0</v>
      </c>
      <c r="E1155" s="217">
        <f t="shared" si="480"/>
        <v>0</v>
      </c>
      <c r="F1155" s="180">
        <f>SUM(E1153:E1155)</f>
        <v>0</v>
      </c>
      <c r="G1155" s="180" t="e">
        <f>#REF!</f>
        <v>#REF!</v>
      </c>
      <c r="H1155" s="203">
        <v>0</v>
      </c>
      <c r="I1155" s="217" t="e">
        <f t="shared" si="481"/>
        <v>#REF!</v>
      </c>
      <c r="J1155" s="180" t="e">
        <f>SUM(I1153:I1155)</f>
        <v>#REF!</v>
      </c>
      <c r="K1155" s="299">
        <v>14355</v>
      </c>
      <c r="L1155" s="300">
        <v>0</v>
      </c>
      <c r="M1155" s="217">
        <f t="shared" si="482"/>
        <v>0</v>
      </c>
      <c r="N1155" s="180">
        <f>SUM(M1153:M1155)</f>
        <v>0</v>
      </c>
      <c r="O1155" s="299">
        <v>0</v>
      </c>
      <c r="P1155" s="203">
        <v>0</v>
      </c>
      <c r="Q1155" s="217">
        <f t="shared" si="483"/>
        <v>0</v>
      </c>
      <c r="R1155" s="180">
        <f>SUM(Q1153:Q1155)</f>
        <v>0</v>
      </c>
      <c r="S1155" s="133"/>
    </row>
    <row r="1156" spans="1:19" ht="15.75" customHeight="1" x14ac:dyDescent="0.3">
      <c r="A1156" s="189" t="s">
        <v>676</v>
      </c>
      <c r="B1156" s="180"/>
      <c r="C1156" s="180">
        <f t="shared" si="479"/>
        <v>0.05</v>
      </c>
      <c r="D1156" s="203">
        <v>0</v>
      </c>
      <c r="E1156" s="217">
        <f t="shared" si="480"/>
        <v>0</v>
      </c>
      <c r="F1156" s="180"/>
      <c r="G1156" s="180" t="e">
        <f>#REF!</f>
        <v>#REF!</v>
      </c>
      <c r="H1156" s="203">
        <v>0</v>
      </c>
      <c r="I1156" s="217" t="e">
        <f t="shared" si="481"/>
        <v>#REF!</v>
      </c>
      <c r="J1156" s="180"/>
      <c r="K1156" s="299">
        <v>13129</v>
      </c>
      <c r="L1156" s="300">
        <v>0</v>
      </c>
      <c r="M1156" s="217">
        <f t="shared" si="482"/>
        <v>0</v>
      </c>
      <c r="N1156" s="180"/>
      <c r="O1156" s="299">
        <v>0</v>
      </c>
      <c r="P1156" s="203">
        <v>0</v>
      </c>
      <c r="Q1156" s="217">
        <f t="shared" si="483"/>
        <v>0</v>
      </c>
      <c r="R1156" s="180"/>
      <c r="S1156" s="133"/>
    </row>
    <row r="1157" spans="1:19" ht="15.75" customHeight="1" x14ac:dyDescent="0.3">
      <c r="A1157" s="189" t="s">
        <v>691</v>
      </c>
      <c r="B1157" s="180"/>
      <c r="C1157" s="180">
        <f t="shared" si="479"/>
        <v>0</v>
      </c>
      <c r="D1157" s="203">
        <v>0</v>
      </c>
      <c r="E1157" s="217">
        <f t="shared" si="480"/>
        <v>0</v>
      </c>
      <c r="F1157" s="180"/>
      <c r="G1157" s="180" t="e">
        <f>#REF!</f>
        <v>#REF!</v>
      </c>
      <c r="H1157" s="203">
        <v>0</v>
      </c>
      <c r="I1157" s="217" t="e">
        <f t="shared" si="481"/>
        <v>#REF!</v>
      </c>
      <c r="J1157" s="180"/>
      <c r="K1157" s="299">
        <v>12545</v>
      </c>
      <c r="L1157" s="300">
        <v>0</v>
      </c>
      <c r="M1157" s="217">
        <f t="shared" si="482"/>
        <v>0</v>
      </c>
      <c r="N1157" s="180"/>
      <c r="O1157" s="299">
        <v>0</v>
      </c>
      <c r="P1157" s="203">
        <v>0</v>
      </c>
      <c r="Q1157" s="217">
        <f t="shared" si="483"/>
        <v>0</v>
      </c>
      <c r="R1157" s="180"/>
      <c r="S1157" s="133"/>
    </row>
    <row r="1158" spans="1:19" ht="15.75" customHeight="1" x14ac:dyDescent="0.3">
      <c r="A1158" s="189" t="s">
        <v>692</v>
      </c>
      <c r="B1158" s="180"/>
      <c r="C1158" s="180">
        <f t="shared" si="479"/>
        <v>0.05</v>
      </c>
      <c r="D1158" s="203">
        <v>0</v>
      </c>
      <c r="E1158" s="217">
        <f t="shared" si="480"/>
        <v>0</v>
      </c>
      <c r="F1158" s="180">
        <f>SUM(E1156:E1158)</f>
        <v>0</v>
      </c>
      <c r="G1158" s="180" t="e">
        <f>#REF!</f>
        <v>#REF!</v>
      </c>
      <c r="H1158" s="203">
        <v>0</v>
      </c>
      <c r="I1158" s="217" t="e">
        <f t="shared" si="481"/>
        <v>#REF!</v>
      </c>
      <c r="J1158" s="180" t="e">
        <f>SUM(I1156:I1158)</f>
        <v>#REF!</v>
      </c>
      <c r="K1158" s="299">
        <v>9350</v>
      </c>
      <c r="L1158" s="300">
        <v>0</v>
      </c>
      <c r="M1158" s="217">
        <f t="shared" si="482"/>
        <v>0</v>
      </c>
      <c r="N1158" s="180">
        <f>SUM(M1156:M1158)</f>
        <v>0</v>
      </c>
      <c r="O1158" s="299">
        <v>0</v>
      </c>
      <c r="P1158" s="203">
        <v>0</v>
      </c>
      <c r="Q1158" s="217">
        <f t="shared" si="483"/>
        <v>0</v>
      </c>
      <c r="R1158" s="180">
        <f>SUM(Q1156:Q1158)</f>
        <v>0</v>
      </c>
      <c r="S1158" s="133"/>
    </row>
    <row r="1159" spans="1:19" ht="15.75" customHeight="1" x14ac:dyDescent="0.3">
      <c r="A1159" s="189" t="s">
        <v>693</v>
      </c>
      <c r="B1159" s="180"/>
      <c r="C1159" s="180">
        <f t="shared" si="479"/>
        <v>0.2</v>
      </c>
      <c r="D1159" s="203">
        <v>0</v>
      </c>
      <c r="E1159" s="217">
        <f t="shared" si="480"/>
        <v>0</v>
      </c>
      <c r="F1159" s="180"/>
      <c r="G1159" s="180" t="e">
        <f>#REF!</f>
        <v>#REF!</v>
      </c>
      <c r="H1159" s="203">
        <v>0</v>
      </c>
      <c r="I1159" s="217" t="e">
        <f t="shared" si="481"/>
        <v>#REF!</v>
      </c>
      <c r="J1159" s="180"/>
      <c r="K1159" s="299">
        <v>11649</v>
      </c>
      <c r="L1159" s="300">
        <v>0</v>
      </c>
      <c r="M1159" s="217">
        <f t="shared" si="482"/>
        <v>0</v>
      </c>
      <c r="N1159" s="180"/>
      <c r="O1159" s="299">
        <v>0</v>
      </c>
      <c r="P1159" s="203">
        <v>0</v>
      </c>
      <c r="Q1159" s="217">
        <f t="shared" si="483"/>
        <v>0</v>
      </c>
      <c r="R1159" s="180"/>
      <c r="S1159" s="133"/>
    </row>
    <row r="1160" spans="1:19" ht="15.75" customHeight="1" x14ac:dyDescent="0.3">
      <c r="A1160" s="189" t="s">
        <v>694</v>
      </c>
      <c r="B1160" s="180"/>
      <c r="C1160" s="180">
        <f t="shared" si="479"/>
        <v>0.2</v>
      </c>
      <c r="D1160" s="203">
        <v>0</v>
      </c>
      <c r="E1160" s="217">
        <f t="shared" si="480"/>
        <v>0</v>
      </c>
      <c r="F1160" s="180"/>
      <c r="G1160" s="180" t="e">
        <f>#REF!</f>
        <v>#REF!</v>
      </c>
      <c r="H1160" s="203">
        <v>0</v>
      </c>
      <c r="I1160" s="217" t="e">
        <f t="shared" si="481"/>
        <v>#REF!</v>
      </c>
      <c r="J1160" s="180"/>
      <c r="K1160" s="299">
        <v>8035</v>
      </c>
      <c r="L1160" s="300">
        <v>0</v>
      </c>
      <c r="M1160" s="217">
        <f t="shared" si="482"/>
        <v>0</v>
      </c>
      <c r="N1160" s="180"/>
      <c r="O1160" s="299">
        <v>0</v>
      </c>
      <c r="P1160" s="203">
        <v>0</v>
      </c>
      <c r="Q1160" s="217">
        <f t="shared" si="483"/>
        <v>0</v>
      </c>
      <c r="R1160" s="180"/>
      <c r="S1160" s="133"/>
    </row>
    <row r="1161" spans="1:19" ht="15.75" customHeight="1" x14ac:dyDescent="0.3">
      <c r="A1161" s="189" t="s">
        <v>695</v>
      </c>
      <c r="B1161" s="180"/>
      <c r="C1161" s="180">
        <f t="shared" si="479"/>
        <v>0.2</v>
      </c>
      <c r="D1161" s="203">
        <v>0</v>
      </c>
      <c r="E1161" s="217">
        <f t="shared" si="480"/>
        <v>0</v>
      </c>
      <c r="F1161" s="180">
        <f>SUM(E1159:E1161)</f>
        <v>0</v>
      </c>
      <c r="G1161" s="180" t="e">
        <f>#REF!</f>
        <v>#REF!</v>
      </c>
      <c r="H1161" s="203">
        <v>0</v>
      </c>
      <c r="I1161" s="217" t="e">
        <f t="shared" si="481"/>
        <v>#REF!</v>
      </c>
      <c r="J1161" s="180" t="e">
        <f>SUM(I1159:I1161)</f>
        <v>#REF!</v>
      </c>
      <c r="K1161" s="299">
        <v>8092</v>
      </c>
      <c r="L1161" s="300">
        <v>0</v>
      </c>
      <c r="M1161" s="217">
        <f t="shared" si="482"/>
        <v>0</v>
      </c>
      <c r="N1161" s="180">
        <f>SUM(M1159:M1161)</f>
        <v>0</v>
      </c>
      <c r="O1161" s="299">
        <v>0</v>
      </c>
      <c r="P1161" s="203">
        <v>0</v>
      </c>
      <c r="Q1161" s="217">
        <f t="shared" si="483"/>
        <v>0</v>
      </c>
      <c r="R1161" s="180">
        <f>SUM(Q1159:Q1161)</f>
        <v>0</v>
      </c>
      <c r="S1161" s="133"/>
    </row>
    <row r="1162" spans="1:19" ht="15.75" customHeight="1" x14ac:dyDescent="0.3">
      <c r="A1162" s="179"/>
      <c r="B1162" s="180"/>
      <c r="C1162" s="180"/>
      <c r="D1162" s="180"/>
      <c r="E1162" s="180"/>
      <c r="F1162" s="180"/>
      <c r="G1162" s="180"/>
      <c r="H1162" s="180"/>
      <c r="I1162" s="180"/>
      <c r="J1162" s="180"/>
      <c r="K1162" s="180"/>
      <c r="L1162" s="180"/>
      <c r="M1162" s="180"/>
      <c r="N1162" s="180"/>
      <c r="O1162" s="180"/>
      <c r="P1162" s="180"/>
      <c r="Q1162" s="180"/>
      <c r="R1162" s="180"/>
      <c r="S1162" s="133"/>
    </row>
    <row r="1163" spans="1:19" ht="15.75" customHeight="1" x14ac:dyDescent="0.3">
      <c r="A1163" s="179"/>
      <c r="B1163" s="180"/>
      <c r="C1163" s="180"/>
      <c r="D1163" s="180"/>
      <c r="E1163" s="180"/>
      <c r="F1163" s="180"/>
      <c r="G1163" s="180"/>
      <c r="H1163" s="180"/>
      <c r="I1163" s="180"/>
      <c r="J1163" s="180"/>
      <c r="K1163" s="180"/>
      <c r="L1163" s="180"/>
      <c r="M1163" s="180"/>
      <c r="N1163" s="180"/>
      <c r="O1163" s="180"/>
      <c r="P1163" s="180"/>
      <c r="Q1163" s="180"/>
      <c r="R1163" s="180"/>
      <c r="S1163" s="133"/>
    </row>
    <row r="1164" spans="1:19" ht="16.5" customHeight="1" thickBot="1" x14ac:dyDescent="0.35">
      <c r="A1164" s="194" t="s">
        <v>641</v>
      </c>
      <c r="B1164" s="195"/>
      <c r="C1164" s="195">
        <f>SUM(C1150:C1161)</f>
        <v>2.2250000000000005</v>
      </c>
      <c r="D1164" s="195"/>
      <c r="E1164" s="301">
        <f>SUM(E1150:E1161)</f>
        <v>0</v>
      </c>
      <c r="F1164" s="195"/>
      <c r="G1164" s="195" t="e">
        <f>SUM(G1150:G1161)</f>
        <v>#REF!</v>
      </c>
      <c r="H1164" s="195" t="s">
        <v>633</v>
      </c>
      <c r="I1164" s="301" t="e">
        <f>SUM(I1150:I1161)</f>
        <v>#REF!</v>
      </c>
      <c r="J1164" s="195"/>
      <c r="K1164" s="195">
        <f>SUM(K1150:K1161)</f>
        <v>149913</v>
      </c>
      <c r="L1164" s="195" t="s">
        <v>633</v>
      </c>
      <c r="M1164" s="301">
        <f>SUM(M1150:M1161)</f>
        <v>0</v>
      </c>
      <c r="N1164" s="195"/>
      <c r="O1164" s="195">
        <f>(SUM(O1150:O1161))</f>
        <v>0</v>
      </c>
      <c r="P1164" s="195" t="s">
        <v>633</v>
      </c>
      <c r="Q1164" s="301">
        <f>SUM(Q1150:Q1161)</f>
        <v>0</v>
      </c>
      <c r="R1164" s="195"/>
      <c r="S1164" s="136"/>
    </row>
  </sheetData>
  <scenarios current="0">
    <scenario name="Jan" count="1" user="Windows User" comment="Created by Windows User on 4/11/2013">
      <inputCells r="B316" val="57771.3688407242" numFmtId="37"/>
    </scenario>
  </scenarios>
  <autoFilter ref="A31:R948" xr:uid="{00000000-0009-0000-0000-000003000000}"/>
  <mergeCells count="73">
    <mergeCell ref="B1095:P1095"/>
    <mergeCell ref="B1096:P1096"/>
    <mergeCell ref="B1098:L1098"/>
    <mergeCell ref="M1098:P1098"/>
    <mergeCell ref="B1072:D1072"/>
    <mergeCell ref="T1072:U1072"/>
    <mergeCell ref="V1072:W1072"/>
    <mergeCell ref="B1091:P1091"/>
    <mergeCell ref="B1092:P1092"/>
    <mergeCell ref="B1093:P1093"/>
    <mergeCell ref="B1071:P1071"/>
    <mergeCell ref="M1017:O1017"/>
    <mergeCell ref="AD1017:AQ1017"/>
    <mergeCell ref="AD1018:AQ1018"/>
    <mergeCell ref="B1042:P1042"/>
    <mergeCell ref="B1043:F1043"/>
    <mergeCell ref="G1043:L1043"/>
    <mergeCell ref="M1043:R1043"/>
    <mergeCell ref="S1043:U1043"/>
    <mergeCell ref="M1044:O1044"/>
    <mergeCell ref="B1066:P1066"/>
    <mergeCell ref="B1067:P1067"/>
    <mergeCell ref="B1068:P1068"/>
    <mergeCell ref="B1070:P1070"/>
    <mergeCell ref="B1015:P1015"/>
    <mergeCell ref="AD1015:AQ1015"/>
    <mergeCell ref="B1016:F1016"/>
    <mergeCell ref="G1016:L1016"/>
    <mergeCell ref="M1016:R1016"/>
    <mergeCell ref="S1016:U1016"/>
    <mergeCell ref="B1014:P1014"/>
    <mergeCell ref="AD1014:AQ1014"/>
    <mergeCell ref="AD980:AQ980"/>
    <mergeCell ref="AD982:AQ982"/>
    <mergeCell ref="B983:P983"/>
    <mergeCell ref="AD983:AQ983"/>
    <mergeCell ref="B984:P984"/>
    <mergeCell ref="B985:P985"/>
    <mergeCell ref="B987:P987"/>
    <mergeCell ref="B988:P988"/>
    <mergeCell ref="B1012:P1012"/>
    <mergeCell ref="B1013:P1013"/>
    <mergeCell ref="AD1013:AQ1013"/>
    <mergeCell ref="AD979:AQ979"/>
    <mergeCell ref="B930:P930"/>
    <mergeCell ref="B931:P931"/>
    <mergeCell ref="B932:P932"/>
    <mergeCell ref="B933:P933"/>
    <mergeCell ref="B957:P957"/>
    <mergeCell ref="B958:P958"/>
    <mergeCell ref="B959:P959"/>
    <mergeCell ref="B960:P960"/>
    <mergeCell ref="B961:P961"/>
    <mergeCell ref="B962:P962"/>
    <mergeCell ref="AD978:AQ978"/>
    <mergeCell ref="B929:P929"/>
    <mergeCell ref="A864:R864"/>
    <mergeCell ref="A865:R865"/>
    <mergeCell ref="A866:R866"/>
    <mergeCell ref="A867:R867"/>
    <mergeCell ref="A869:R869"/>
    <mergeCell ref="A905:R905"/>
    <mergeCell ref="A906:R906"/>
    <mergeCell ref="A907:R907"/>
    <mergeCell ref="A908:R908"/>
    <mergeCell ref="A910:R910"/>
    <mergeCell ref="B928:P928"/>
    <mergeCell ref="A8:R8"/>
    <mergeCell ref="A2:R2"/>
    <mergeCell ref="A3:R3"/>
    <mergeCell ref="A4:R4"/>
    <mergeCell ref="A5:R5"/>
    <mergeCell ref="A6:R6"/>
  </mergeCells>
  <conditionalFormatting sqref="S1022:S1033 S1035">
    <cfRule type="cellIs" dxfId="7" priority="3" operator="lessThan">
      <formula>0</formula>
    </cfRule>
    <cfRule type="cellIs" dxfId="6" priority="4" operator="greaterThan">
      <formula>0</formula>
    </cfRule>
  </conditionalFormatting>
  <conditionalFormatting sqref="S1049:S1060">
    <cfRule type="cellIs" dxfId="5" priority="1" operator="lessThan">
      <formula>0</formula>
    </cfRule>
    <cfRule type="cellIs" dxfId="4" priority="2" operator="greaterThan">
      <formula>0</formula>
    </cfRule>
  </conditionalFormatting>
  <printOptions horizontalCentered="1"/>
  <pageMargins left="0.25" right="0.25" top="0.25" bottom="0.25" header="0" footer="0"/>
  <pageSetup paperSize="17" scale="10" orientation="landscape" r:id="rId1"/>
  <headerFooter alignWithMargins="0"/>
  <rowBreaks count="5" manualBreakCount="5">
    <brk id="874" max="17" man="1"/>
    <brk id="914" max="17" man="1"/>
    <brk id="967" max="18" man="1"/>
    <brk id="995" max="18" man="1"/>
    <brk id="963" min="28" max="46"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BBEA6-0287-48AF-9ED4-482661DA971C}">
  <sheetPr codeName="Sheet37">
    <pageSetUpPr fitToPage="1"/>
  </sheetPr>
  <dimension ref="A1:AX1029"/>
  <sheetViews>
    <sheetView topLeftCell="A10" zoomScale="70" zoomScaleNormal="70" workbookViewId="0">
      <pane ySplit="13" topLeftCell="A28" activePane="bottomLeft" state="frozen"/>
      <selection activeCell="A11" sqref="A11"/>
      <selection pane="bottomLeft" activeCell="B952" sqref="B952:P952"/>
    </sheetView>
  </sheetViews>
  <sheetFormatPr defaultColWidth="8.77734375" defaultRowHeight="15.6" x14ac:dyDescent="0.3"/>
  <cols>
    <col min="1" max="1" width="48.21875" style="4" customWidth="1"/>
    <col min="2" max="3" width="11.21875" style="4" customWidth="1"/>
    <col min="4" max="4" width="12.44140625" style="4" customWidth="1"/>
    <col min="5" max="5" width="14" style="4" customWidth="1"/>
    <col min="6" max="7" width="11.21875" style="4" customWidth="1"/>
    <col min="8" max="8" width="11.77734375" style="4" bestFit="1" customWidth="1"/>
    <col min="9" max="9" width="13.109375" style="4" customWidth="1"/>
    <col min="10" max="10" width="11.77734375" style="4" bestFit="1" customWidth="1"/>
    <col min="11" max="12" width="11.21875" style="4" bestFit="1" customWidth="1"/>
    <col min="13" max="13" width="15" style="4" customWidth="1"/>
    <col min="14" max="14" width="11.21875" style="4" bestFit="1" customWidth="1"/>
    <col min="15" max="15" width="11.77734375" style="4" bestFit="1" customWidth="1"/>
    <col min="16" max="16" width="11.21875" style="4" bestFit="1" customWidth="1"/>
    <col min="17" max="17" width="13" style="4" customWidth="1"/>
    <col min="18" max="18" width="14.21875" style="4" customWidth="1"/>
    <col min="19" max="19" width="15.21875" style="4" customWidth="1"/>
    <col min="20" max="20" width="11.21875" style="4" bestFit="1" customWidth="1"/>
    <col min="21" max="21" width="14" style="4" customWidth="1"/>
    <col min="22" max="22" width="11.6640625" style="4" customWidth="1"/>
    <col min="23" max="23" width="13.6640625" style="4" customWidth="1"/>
    <col min="24" max="24" width="12.44140625" style="4" customWidth="1"/>
    <col min="25" max="25" width="13.109375" style="4" customWidth="1"/>
    <col min="26" max="26" width="12.33203125" style="4" bestFit="1" customWidth="1"/>
    <col min="27" max="28" width="8.77734375" style="4"/>
    <col min="29" max="29" width="13.6640625" style="4" customWidth="1"/>
    <col min="30" max="34" width="8.77734375" style="4"/>
    <col min="35" max="35" width="11.6640625" style="4" customWidth="1"/>
    <col min="36" max="48" width="8.77734375" style="4"/>
    <col min="49" max="49" width="21.33203125" style="4" customWidth="1"/>
    <col min="50" max="50" width="20.88671875" style="4" bestFit="1" customWidth="1"/>
    <col min="51" max="16384" width="8.77734375" style="4"/>
  </cols>
  <sheetData>
    <row r="1" spans="1:36" x14ac:dyDescent="0.3">
      <c r="A1" s="1"/>
      <c r="B1" s="1"/>
      <c r="C1" s="1"/>
      <c r="D1" s="1"/>
      <c r="E1" s="1"/>
      <c r="F1" s="1"/>
      <c r="G1" s="1"/>
      <c r="H1" s="1"/>
      <c r="I1" s="1"/>
      <c r="J1" s="1"/>
      <c r="K1" s="1"/>
      <c r="L1" s="1"/>
      <c r="M1" s="1"/>
      <c r="N1" s="1"/>
      <c r="O1" s="1"/>
      <c r="P1" s="1"/>
      <c r="Q1" s="2" t="s">
        <v>0</v>
      </c>
      <c r="R1" s="3">
        <f ca="1">NOW()</f>
        <v>44894.658168402777</v>
      </c>
    </row>
    <row r="2" spans="1:36" ht="19.5" customHeight="1" x14ac:dyDescent="0.35">
      <c r="A2" s="384" t="s">
        <v>1</v>
      </c>
      <c r="B2" s="384"/>
      <c r="C2" s="384"/>
      <c r="D2" s="384"/>
      <c r="E2" s="384"/>
      <c r="F2" s="384"/>
      <c r="G2" s="384"/>
      <c r="H2" s="384"/>
      <c r="I2" s="384"/>
      <c r="J2" s="384"/>
      <c r="K2" s="384"/>
      <c r="L2" s="384"/>
      <c r="M2" s="384"/>
      <c r="N2" s="384"/>
      <c r="O2" s="384"/>
      <c r="P2" s="384"/>
      <c r="Q2" s="384"/>
      <c r="R2" s="384"/>
    </row>
    <row r="3" spans="1:36" ht="19.5" customHeight="1" x14ac:dyDescent="0.35">
      <c r="A3" s="384" t="s">
        <v>2</v>
      </c>
      <c r="B3" s="384"/>
      <c r="C3" s="384"/>
      <c r="D3" s="384"/>
      <c r="E3" s="384"/>
      <c r="F3" s="384"/>
      <c r="G3" s="384"/>
      <c r="H3" s="384"/>
      <c r="I3" s="384"/>
      <c r="J3" s="384"/>
      <c r="K3" s="384"/>
      <c r="L3" s="384"/>
      <c r="M3" s="384"/>
      <c r="N3" s="384"/>
      <c r="O3" s="384"/>
      <c r="P3" s="384"/>
      <c r="Q3" s="384"/>
      <c r="R3" s="384"/>
    </row>
    <row r="4" spans="1:36" ht="19.5" customHeight="1" x14ac:dyDescent="0.35">
      <c r="A4" s="385" t="s">
        <v>3</v>
      </c>
      <c r="B4" s="385"/>
      <c r="C4" s="385"/>
      <c r="D4" s="385"/>
      <c r="E4" s="385"/>
      <c r="F4" s="385"/>
      <c r="G4" s="385"/>
      <c r="H4" s="385"/>
      <c r="I4" s="385"/>
      <c r="J4" s="385"/>
      <c r="K4" s="385"/>
      <c r="L4" s="385"/>
      <c r="M4" s="385"/>
      <c r="N4" s="385"/>
      <c r="O4" s="385"/>
      <c r="P4" s="385"/>
      <c r="Q4" s="385"/>
      <c r="R4" s="385"/>
    </row>
    <row r="5" spans="1:36" ht="19.5" customHeight="1" x14ac:dyDescent="0.35">
      <c r="A5" s="386">
        <v>2021</v>
      </c>
      <c r="B5" s="386"/>
      <c r="C5" s="386"/>
      <c r="D5" s="386"/>
      <c r="E5" s="386"/>
      <c r="F5" s="386"/>
      <c r="G5" s="386"/>
      <c r="H5" s="386"/>
      <c r="I5" s="386"/>
      <c r="J5" s="386"/>
      <c r="K5" s="386"/>
      <c r="L5" s="386"/>
      <c r="M5" s="386"/>
      <c r="N5" s="386"/>
      <c r="O5" s="386"/>
      <c r="P5" s="386"/>
      <c r="Q5" s="386"/>
      <c r="R5" s="386"/>
    </row>
    <row r="6" spans="1:36" ht="19.5" customHeight="1" x14ac:dyDescent="0.35">
      <c r="A6" s="385" t="s">
        <v>969</v>
      </c>
      <c r="B6" s="385"/>
      <c r="C6" s="385"/>
      <c r="D6" s="385"/>
      <c r="E6" s="385"/>
      <c r="F6" s="385"/>
      <c r="G6" s="385"/>
      <c r="H6" s="385"/>
      <c r="I6" s="385"/>
      <c r="J6" s="385"/>
      <c r="K6" s="385"/>
      <c r="L6" s="385"/>
      <c r="M6" s="385"/>
      <c r="N6" s="385"/>
      <c r="O6" s="385"/>
      <c r="P6" s="385"/>
      <c r="Q6" s="385"/>
      <c r="R6" s="385"/>
    </row>
    <row r="7" spans="1:36" ht="19.5" customHeight="1" x14ac:dyDescent="0.35">
      <c r="A7" s="5"/>
      <c r="B7" s="5"/>
      <c r="C7" s="5"/>
      <c r="D7" s="5"/>
      <c r="E7" s="5"/>
      <c r="F7" s="5"/>
      <c r="G7" s="5"/>
      <c r="H7" s="5"/>
      <c r="I7" s="5"/>
      <c r="J7" s="5"/>
      <c r="K7" s="5"/>
      <c r="L7" s="5"/>
      <c r="M7" s="5"/>
      <c r="N7" s="5"/>
      <c r="O7" s="5"/>
      <c r="P7" s="5"/>
      <c r="Q7" s="5"/>
      <c r="R7" s="5"/>
    </row>
    <row r="8" spans="1:36" ht="15.75" customHeight="1" x14ac:dyDescent="0.3">
      <c r="A8" s="383" t="s">
        <v>1004</v>
      </c>
      <c r="B8" s="383"/>
      <c r="C8" s="383"/>
      <c r="D8" s="383"/>
      <c r="E8" s="383"/>
      <c r="F8" s="383"/>
      <c r="G8" s="383"/>
      <c r="H8" s="383"/>
      <c r="I8" s="383"/>
      <c r="J8" s="383"/>
      <c r="K8" s="383"/>
      <c r="L8" s="383"/>
      <c r="M8" s="383"/>
      <c r="N8" s="383"/>
      <c r="O8" s="383"/>
      <c r="P8" s="383"/>
      <c r="Q8" s="383"/>
      <c r="R8" s="383"/>
    </row>
    <row r="9" spans="1:36" ht="15.75" customHeight="1" x14ac:dyDescent="0.3">
      <c r="A9" s="7"/>
      <c r="B9" s="8"/>
      <c r="C9" s="8"/>
      <c r="D9" s="8"/>
      <c r="E9" s="8"/>
      <c r="F9" s="8"/>
      <c r="G9" s="8"/>
      <c r="H9" s="8"/>
      <c r="I9" s="8"/>
      <c r="J9" s="8"/>
      <c r="K9" s="8"/>
      <c r="L9" s="8"/>
      <c r="M9" s="8"/>
      <c r="N9" s="8"/>
      <c r="O9" s="8"/>
      <c r="P9" s="8"/>
      <c r="Q9" s="8"/>
      <c r="R9" s="8"/>
    </row>
    <row r="10" spans="1:36" ht="16.2" thickBot="1" x14ac:dyDescent="0.35">
      <c r="A10" s="1" t="s">
        <v>6</v>
      </c>
      <c r="B10" s="1">
        <v>31</v>
      </c>
      <c r="C10" s="1">
        <v>28</v>
      </c>
      <c r="D10" s="1">
        <v>31</v>
      </c>
      <c r="E10" s="1"/>
      <c r="F10" s="1">
        <v>30</v>
      </c>
      <c r="G10" s="1">
        <v>31</v>
      </c>
      <c r="H10" s="1">
        <v>30</v>
      </c>
      <c r="I10" s="1"/>
      <c r="J10" s="1">
        <v>31</v>
      </c>
      <c r="K10" s="1">
        <v>31</v>
      </c>
      <c r="L10" s="1">
        <v>30</v>
      </c>
      <c r="M10" s="1"/>
      <c r="N10" s="1">
        <v>31</v>
      </c>
      <c r="O10" s="1">
        <v>30</v>
      </c>
      <c r="P10" s="1">
        <v>31</v>
      </c>
      <c r="Q10" s="1"/>
      <c r="R10" s="1"/>
    </row>
    <row r="11" spans="1:36" ht="15.75" customHeight="1" thickBot="1" x14ac:dyDescent="0.35">
      <c r="A11" s="370" t="s">
        <v>7</v>
      </c>
      <c r="B11" s="371" t="s">
        <v>8</v>
      </c>
      <c r="C11" s="331" t="s">
        <v>9</v>
      </c>
      <c r="D11" s="331" t="s">
        <v>10</v>
      </c>
      <c r="E11" s="325" t="s">
        <v>11</v>
      </c>
      <c r="F11" s="331" t="s">
        <v>12</v>
      </c>
      <c r="G11" s="331" t="s">
        <v>13</v>
      </c>
      <c r="H11" s="331" t="s">
        <v>14</v>
      </c>
      <c r="I11" s="325" t="s">
        <v>15</v>
      </c>
      <c r="J11" s="331" t="s">
        <v>16</v>
      </c>
      <c r="K11" s="331" t="s">
        <v>17</v>
      </c>
      <c r="L11" s="331" t="s">
        <v>18</v>
      </c>
      <c r="M11" s="325" t="s">
        <v>19</v>
      </c>
      <c r="N11" s="331" t="s">
        <v>20</v>
      </c>
      <c r="O11" s="331" t="s">
        <v>21</v>
      </c>
      <c r="P11" s="331" t="s">
        <v>22</v>
      </c>
      <c r="Q11" s="325" t="s">
        <v>23</v>
      </c>
      <c r="R11" s="332" t="s">
        <v>24</v>
      </c>
    </row>
    <row r="12" spans="1:36" ht="16.5" customHeight="1" thickBot="1" x14ac:dyDescent="0.35">
      <c r="A12" s="14"/>
      <c r="B12" s="302"/>
      <c r="C12" s="302"/>
      <c r="D12" s="302"/>
      <c r="E12" s="16"/>
      <c r="F12" s="302"/>
      <c r="G12" s="302"/>
      <c r="H12" s="302"/>
      <c r="I12" s="16"/>
      <c r="J12" s="302"/>
      <c r="K12" s="302"/>
      <c r="L12" s="302"/>
      <c r="M12" s="16"/>
      <c r="N12" s="302"/>
      <c r="O12" s="302"/>
      <c r="P12" s="302"/>
      <c r="Q12" s="16"/>
      <c r="R12" s="16"/>
    </row>
    <row r="13" spans="1:36" ht="15.75" customHeight="1" x14ac:dyDescent="0.3">
      <c r="A13" s="17" t="s">
        <v>25</v>
      </c>
      <c r="B13" s="1">
        <f>+B943</f>
        <v>48857</v>
      </c>
      <c r="C13" s="1">
        <f>+C943</f>
        <v>72561</v>
      </c>
      <c r="D13" s="1">
        <f>+D943</f>
        <v>106302</v>
      </c>
      <c r="E13" s="18">
        <f>SUM(B13:D13)</f>
        <v>227720</v>
      </c>
      <c r="F13" s="1">
        <f>+F943</f>
        <v>152003</v>
      </c>
      <c r="G13" s="1">
        <f>+G943</f>
        <v>173515</v>
      </c>
      <c r="H13" s="1">
        <f>+H943</f>
        <v>194773</v>
      </c>
      <c r="I13" s="18">
        <f t="shared" ref="I13:I21" si="0">SUM(F13:H13)</f>
        <v>520291</v>
      </c>
      <c r="J13" s="1">
        <f>+J943</f>
        <v>138016</v>
      </c>
      <c r="K13" s="1">
        <f>+K943</f>
        <v>121001</v>
      </c>
      <c r="L13" s="1">
        <f>+L943</f>
        <v>109841</v>
      </c>
      <c r="M13" s="18">
        <f t="shared" ref="M13:M22" si="1">SUM(J13:L13)</f>
        <v>368858</v>
      </c>
      <c r="N13" s="1">
        <f>+N943</f>
        <v>80399</v>
      </c>
      <c r="O13" s="1">
        <f>+O943</f>
        <v>54679</v>
      </c>
      <c r="P13" s="1">
        <f>+P943</f>
        <v>71505</v>
      </c>
      <c r="Q13" s="19">
        <f t="shared" ref="Q13:Q21" si="2">SUM(N13:P13)</f>
        <v>206583</v>
      </c>
      <c r="R13" s="18">
        <f t="shared" ref="R13:R22" si="3">+E13+I13+M13+Q13</f>
        <v>1323452</v>
      </c>
      <c r="V13" s="21"/>
      <c r="W13" s="21"/>
      <c r="X13" s="21"/>
      <c r="Z13" s="21"/>
      <c r="AA13" s="21"/>
      <c r="AB13" s="21"/>
      <c r="AD13" s="21"/>
      <c r="AE13" s="21"/>
      <c r="AF13" s="21"/>
      <c r="AH13" s="21"/>
      <c r="AI13" s="21"/>
      <c r="AJ13" s="21"/>
    </row>
    <row r="14" spans="1:36" ht="15.75" customHeight="1" x14ac:dyDescent="0.3">
      <c r="A14" s="17" t="s">
        <v>27</v>
      </c>
      <c r="B14" s="1">
        <f>B27+B62+B133+B323+B518+B569+B614+B680+B690+B726+B778+B788+B822+B875</f>
        <v>739</v>
      </c>
      <c r="C14" s="1">
        <f>C27+C62+C133+C323+C518+C569+C614+C680+C690+C726+C778+C788+C822+C875</f>
        <v>1283</v>
      </c>
      <c r="D14" s="1">
        <f>D27+D62+D133+D323+D518+D569+D614+D680+D690+D726+D778+D788+D822+D875</f>
        <v>2185</v>
      </c>
      <c r="E14" s="18">
        <f t="shared" ref="E14:E21" si="4">SUM(B14:D14)</f>
        <v>4207</v>
      </c>
      <c r="F14" s="1">
        <f>F27+F62+F133+F323+F518+F569+F614+F680+F690+F726+F778+F788+F822+F875</f>
        <v>2959</v>
      </c>
      <c r="G14" s="1">
        <f>G27+G62+G133+G323+G518+G569+G614+G680+G690+G726+G778+G788+G822+G875</f>
        <v>3425</v>
      </c>
      <c r="H14" s="1">
        <f>H27+H62+H133+H323+H518+H569+H614+H680+H690+H726+H778+H788+H822+H875</f>
        <v>3464</v>
      </c>
      <c r="I14" s="18">
        <f t="shared" si="0"/>
        <v>9848</v>
      </c>
      <c r="J14" s="1">
        <f>J27+J62+J133+J323+J518+J569+J614+J680+J690+J726+J778+J788+J822+J875</f>
        <v>3382</v>
      </c>
      <c r="K14" s="1">
        <f>K27+K62+K133+K323+K518+K569+K614+K680+K690+K726+K778+K788+K822+K875</f>
        <v>2663</v>
      </c>
      <c r="L14" s="1">
        <f>L27+L62+L133+L323+L518+L569+L614+L680+L690+L726+L778+L788+L822+L875</f>
        <v>2559</v>
      </c>
      <c r="M14" s="18">
        <f t="shared" si="1"/>
        <v>8604</v>
      </c>
      <c r="N14" s="1">
        <f>N27+N62+N133+N323+N518+N569+N614+N680+N690+N726+N778+N788+N822+N875</f>
        <v>2343</v>
      </c>
      <c r="O14" s="1">
        <f>O27+O62+O133+O323+O518+O569+O614+O680+O690+O726+O778+O788+O822+O875</f>
        <v>1892</v>
      </c>
      <c r="P14" s="1">
        <f>P27+P62+P133+P323+P518+P569+P614+P680+P690+P726+P778+P788+P822+P875</f>
        <v>1423</v>
      </c>
      <c r="Q14" s="19">
        <f t="shared" si="2"/>
        <v>5658</v>
      </c>
      <c r="R14" s="18">
        <f t="shared" si="3"/>
        <v>28317</v>
      </c>
    </row>
    <row r="15" spans="1:36" ht="15.75" customHeight="1" x14ac:dyDescent="0.3">
      <c r="A15" s="17" t="s">
        <v>29</v>
      </c>
      <c r="B15" s="1">
        <f>B318</f>
        <v>0</v>
      </c>
      <c r="C15" s="1">
        <f>C318</f>
        <v>1500</v>
      </c>
      <c r="D15" s="1">
        <f>D318</f>
        <v>3973</v>
      </c>
      <c r="E15" s="18">
        <f t="shared" si="4"/>
        <v>5473</v>
      </c>
      <c r="F15" s="1">
        <f>F318</f>
        <v>2121</v>
      </c>
      <c r="G15" s="1">
        <f>G318</f>
        <v>2837</v>
      </c>
      <c r="H15" s="1">
        <f>H318</f>
        <v>3311</v>
      </c>
      <c r="I15" s="18">
        <f t="shared" si="0"/>
        <v>8269</v>
      </c>
      <c r="J15" s="1">
        <f>J318</f>
        <v>1027</v>
      </c>
      <c r="K15" s="1">
        <f>K318</f>
        <v>1135</v>
      </c>
      <c r="L15" s="1">
        <f>L318</f>
        <v>2874</v>
      </c>
      <c r="M15" s="18">
        <f t="shared" si="1"/>
        <v>5036</v>
      </c>
      <c r="N15" s="1">
        <f>N318</f>
        <v>3089</v>
      </c>
      <c r="O15" s="1">
        <f>O318</f>
        <v>4475</v>
      </c>
      <c r="P15" s="1">
        <f>P318</f>
        <v>2020</v>
      </c>
      <c r="Q15" s="19">
        <f t="shared" si="2"/>
        <v>9584</v>
      </c>
      <c r="R15" s="18">
        <f t="shared" si="3"/>
        <v>28362</v>
      </c>
    </row>
    <row r="16" spans="1:36" ht="15.75" customHeight="1" x14ac:dyDescent="0.3">
      <c r="A16" s="22" t="s">
        <v>30</v>
      </c>
      <c r="B16" s="1">
        <f>+B319</f>
        <v>-2</v>
      </c>
      <c r="C16" s="1">
        <f>+C319</f>
        <v>0</v>
      </c>
      <c r="D16" s="1">
        <f>+D319</f>
        <v>3015</v>
      </c>
      <c r="E16" s="18">
        <f t="shared" si="4"/>
        <v>3013</v>
      </c>
      <c r="F16" s="1">
        <f>+F319</f>
        <v>4981</v>
      </c>
      <c r="G16" s="1">
        <f>+G319</f>
        <v>4060</v>
      </c>
      <c r="H16" s="1">
        <f>+H319</f>
        <v>-8114</v>
      </c>
      <c r="I16" s="18">
        <f t="shared" si="0"/>
        <v>927</v>
      </c>
      <c r="J16" s="1">
        <f>+J319</f>
        <v>-6021</v>
      </c>
      <c r="K16" s="1">
        <f>+K319</f>
        <v>2362</v>
      </c>
      <c r="L16" s="1">
        <f>+L319</f>
        <v>1</v>
      </c>
      <c r="M16" s="18">
        <f t="shared" si="1"/>
        <v>-3658</v>
      </c>
      <c r="N16" s="1">
        <f>+N319</f>
        <v>-161</v>
      </c>
      <c r="O16" s="1">
        <f>+O319</f>
        <v>-4569</v>
      </c>
      <c r="P16" s="1">
        <f>+P319</f>
        <v>-6162</v>
      </c>
      <c r="Q16" s="19">
        <f t="shared" si="2"/>
        <v>-10892</v>
      </c>
      <c r="R16" s="18">
        <f t="shared" si="3"/>
        <v>-10610</v>
      </c>
    </row>
    <row r="17" spans="1:20" ht="15.75" customHeight="1" x14ac:dyDescent="0.3">
      <c r="A17" s="23" t="s">
        <v>31</v>
      </c>
      <c r="B17" s="1">
        <f>B322</f>
        <v>71569</v>
      </c>
      <c r="C17" s="1">
        <f>C322</f>
        <v>35134</v>
      </c>
      <c r="D17" s="1">
        <f>D322</f>
        <v>33356</v>
      </c>
      <c r="E17" s="18">
        <f t="shared" si="4"/>
        <v>140059</v>
      </c>
      <c r="F17" s="1">
        <f>F322</f>
        <v>2171</v>
      </c>
      <c r="G17" s="1">
        <f>G322</f>
        <v>262</v>
      </c>
      <c r="H17" s="1">
        <f>H322</f>
        <v>0</v>
      </c>
      <c r="I17" s="18">
        <f t="shared" si="0"/>
        <v>2433</v>
      </c>
      <c r="J17" s="1">
        <f>J322</f>
        <v>998</v>
      </c>
      <c r="K17" s="1">
        <f>K322</f>
        <v>0</v>
      </c>
      <c r="L17" s="1">
        <f>L322</f>
        <v>608</v>
      </c>
      <c r="M17" s="18">
        <f t="shared" si="1"/>
        <v>1606</v>
      </c>
      <c r="N17" s="1">
        <f>N322</f>
        <v>53433</v>
      </c>
      <c r="O17" s="1">
        <f>O322</f>
        <v>66963</v>
      </c>
      <c r="P17" s="1">
        <f>P322</f>
        <v>17046</v>
      </c>
      <c r="Q17" s="19">
        <f t="shared" si="2"/>
        <v>137442</v>
      </c>
      <c r="R17" s="18">
        <f t="shared" si="3"/>
        <v>281540</v>
      </c>
    </row>
    <row r="18" spans="1:20" ht="15.75" customHeight="1" x14ac:dyDescent="0.3">
      <c r="A18" s="23" t="s">
        <v>32</v>
      </c>
      <c r="B18" s="1">
        <f>B335</f>
        <v>0</v>
      </c>
      <c r="C18" s="1">
        <f>C335</f>
        <v>0</v>
      </c>
      <c r="D18" s="1">
        <f>D335</f>
        <v>-437</v>
      </c>
      <c r="E18" s="18">
        <f t="shared" si="4"/>
        <v>-437</v>
      </c>
      <c r="F18" s="1">
        <f>F335</f>
        <v>-1292</v>
      </c>
      <c r="G18" s="1">
        <f>G335</f>
        <v>-16465</v>
      </c>
      <c r="H18" s="1">
        <f>H335</f>
        <v>-103469</v>
      </c>
      <c r="I18" s="18">
        <f t="shared" si="0"/>
        <v>-121226</v>
      </c>
      <c r="J18" s="1">
        <f>J335</f>
        <v>-80046</v>
      </c>
      <c r="K18" s="1">
        <f>K335</f>
        <v>-76446</v>
      </c>
      <c r="L18" s="1">
        <f>L335</f>
        <v>-8333</v>
      </c>
      <c r="M18" s="18">
        <f t="shared" si="1"/>
        <v>-164825</v>
      </c>
      <c r="N18" s="1">
        <f>N335</f>
        <v>0</v>
      </c>
      <c r="O18" s="1">
        <f>O335</f>
        <v>0</v>
      </c>
      <c r="P18" s="1">
        <f>P335</f>
        <v>0</v>
      </c>
      <c r="Q18" s="19">
        <f t="shared" si="2"/>
        <v>0</v>
      </c>
      <c r="R18" s="18">
        <f t="shared" si="3"/>
        <v>-286488</v>
      </c>
    </row>
    <row r="19" spans="1:20" ht="15.75" customHeight="1" x14ac:dyDescent="0.3">
      <c r="A19" s="373" t="s">
        <v>1005</v>
      </c>
      <c r="B19" s="92">
        <f>B330+C330</f>
        <v>111539</v>
      </c>
      <c r="C19" s="92">
        <f t="shared" ref="C19" si="5">C330+D330</f>
        <v>165356</v>
      </c>
      <c r="D19" s="92">
        <f>D330+F330</f>
        <v>241053</v>
      </c>
      <c r="E19" s="18"/>
      <c r="F19" s="92">
        <f>F330+G330</f>
        <v>301063</v>
      </c>
      <c r="G19" s="92">
        <f t="shared" ref="G19" si="6">G330+H330</f>
        <v>328873</v>
      </c>
      <c r="H19" s="92">
        <f>H330+J330</f>
        <v>288245</v>
      </c>
      <c r="I19" s="18"/>
      <c r="J19" s="92">
        <f>J330+K330</f>
        <v>227206</v>
      </c>
      <c r="K19" s="92">
        <f t="shared" ref="K19" si="7">K330+L330</f>
        <v>207593</v>
      </c>
      <c r="L19" s="92">
        <f>L330+N330</f>
        <v>164613</v>
      </c>
      <c r="M19" s="18"/>
      <c r="N19" s="92">
        <f>N330+O330</f>
        <v>108932</v>
      </c>
      <c r="O19" s="92">
        <f t="shared" ref="O19" si="8">O330+P330</f>
        <v>100265</v>
      </c>
      <c r="P19" s="92">
        <f>P330+B330</f>
        <v>102360</v>
      </c>
      <c r="Q19" s="19"/>
      <c r="R19" s="18"/>
    </row>
    <row r="20" spans="1:20" ht="15.75" customHeight="1" x14ac:dyDescent="0.3">
      <c r="A20" s="373" t="s">
        <v>1006</v>
      </c>
      <c r="B20" s="1"/>
      <c r="C20" s="1"/>
      <c r="D20" s="1"/>
      <c r="E20" s="18"/>
      <c r="F20" s="1"/>
      <c r="G20" s="92">
        <f>-(H18+J18+K18+L18)</f>
        <v>268294</v>
      </c>
      <c r="H20" s="92">
        <f>-(J18+K18+L18)</f>
        <v>164825</v>
      </c>
      <c r="I20" s="18"/>
      <c r="J20" s="92">
        <f>-(K18+L18)</f>
        <v>84779</v>
      </c>
      <c r="K20" s="92">
        <f>-(L18)</f>
        <v>8333</v>
      </c>
      <c r="L20" s="1"/>
      <c r="M20" s="18"/>
      <c r="N20" s="1"/>
      <c r="O20" s="1"/>
      <c r="P20" s="1"/>
      <c r="Q20" s="19"/>
      <c r="R20" s="18"/>
    </row>
    <row r="21" spans="1:20" ht="16.5" customHeight="1" thickBot="1" x14ac:dyDescent="0.35">
      <c r="A21" s="24" t="s">
        <v>33</v>
      </c>
      <c r="B21" s="25">
        <f>(B31)</f>
        <v>121163</v>
      </c>
      <c r="C21" s="25">
        <f>(C31)</f>
        <v>110478</v>
      </c>
      <c r="D21" s="25">
        <f>(D31)</f>
        <v>148394</v>
      </c>
      <c r="E21" s="26">
        <f t="shared" si="4"/>
        <v>380035</v>
      </c>
      <c r="F21" s="25">
        <f>(F31)</f>
        <v>162943</v>
      </c>
      <c r="G21" s="25">
        <f>(G31)</f>
        <v>167634</v>
      </c>
      <c r="H21" s="25">
        <f>(H31)</f>
        <v>89965</v>
      </c>
      <c r="I21" s="26">
        <f t="shared" si="0"/>
        <v>420542</v>
      </c>
      <c r="J21" s="25">
        <f>(J31)</f>
        <v>57356</v>
      </c>
      <c r="K21" s="25">
        <f>(K31)</f>
        <v>50715</v>
      </c>
      <c r="L21" s="25">
        <f>(L31)</f>
        <v>107550</v>
      </c>
      <c r="M21" s="26">
        <f t="shared" si="1"/>
        <v>215621</v>
      </c>
      <c r="N21" s="25">
        <f>(N31)</f>
        <v>139103</v>
      </c>
      <c r="O21" s="25">
        <f>(O31)</f>
        <v>123440</v>
      </c>
      <c r="P21" s="25">
        <f>(P31)</f>
        <v>85832</v>
      </c>
      <c r="Q21" s="27">
        <f t="shared" si="2"/>
        <v>348375</v>
      </c>
      <c r="R21" s="26">
        <f t="shared" si="3"/>
        <v>1364573</v>
      </c>
    </row>
    <row r="22" spans="1:20" ht="16.5" customHeight="1" thickBot="1" x14ac:dyDescent="0.35">
      <c r="A22" s="24" t="s">
        <v>34</v>
      </c>
      <c r="B22" s="25">
        <v>123894</v>
      </c>
      <c r="C22" s="25">
        <v>111176</v>
      </c>
      <c r="D22" s="25">
        <v>148654</v>
      </c>
      <c r="E22" s="26">
        <f>SUM(B22:D22)</f>
        <v>383724</v>
      </c>
      <c r="F22" s="25">
        <v>163175</v>
      </c>
      <c r="G22" s="25">
        <v>167846</v>
      </c>
      <c r="H22" s="25">
        <v>86402</v>
      </c>
      <c r="I22" s="26">
        <f>SUM(F22:H22)</f>
        <v>417423</v>
      </c>
      <c r="J22" s="25">
        <v>51780</v>
      </c>
      <c r="K22" s="25">
        <v>48306</v>
      </c>
      <c r="L22" s="25">
        <v>106368</v>
      </c>
      <c r="M22" s="26">
        <f t="shared" si="1"/>
        <v>206454</v>
      </c>
      <c r="N22" s="25">
        <v>138794</v>
      </c>
      <c r="O22" s="25">
        <v>124347</v>
      </c>
      <c r="P22" s="25">
        <f>+P21</f>
        <v>85832</v>
      </c>
      <c r="Q22" s="27">
        <f>SUM(N22:P22)</f>
        <v>348973</v>
      </c>
      <c r="R22" s="26">
        <f t="shared" si="3"/>
        <v>1356574</v>
      </c>
    </row>
    <row r="23" spans="1:20" ht="15.75" customHeight="1" x14ac:dyDescent="0.3">
      <c r="A23" s="1"/>
      <c r="B23" s="1"/>
      <c r="C23" s="1"/>
      <c r="D23" s="1"/>
      <c r="E23" s="1"/>
      <c r="F23" s="1"/>
      <c r="G23" s="1"/>
      <c r="H23" s="1"/>
      <c r="I23" s="1"/>
      <c r="J23" s="1"/>
      <c r="K23" s="1"/>
      <c r="L23" s="1"/>
      <c r="M23" s="1"/>
      <c r="N23" s="1"/>
      <c r="O23" s="1"/>
      <c r="P23" s="1"/>
      <c r="Q23" s="1"/>
      <c r="R23" s="28"/>
    </row>
    <row r="24" spans="1:20" ht="15.75" customHeight="1" thickBot="1" x14ac:dyDescent="0.35">
      <c r="A24" s="1"/>
      <c r="B24" s="1"/>
      <c r="C24" s="1"/>
      <c r="D24" s="1"/>
      <c r="E24" s="1"/>
      <c r="F24" s="29" t="s">
        <v>7</v>
      </c>
      <c r="G24" s="29" t="s">
        <v>7</v>
      </c>
      <c r="H24" s="1"/>
      <c r="I24" s="1"/>
      <c r="J24" s="1"/>
      <c r="K24" s="1"/>
      <c r="L24" s="1"/>
      <c r="M24" s="1"/>
      <c r="N24" s="29" t="s">
        <v>7</v>
      </c>
      <c r="O24" s="29" t="s">
        <v>7</v>
      </c>
      <c r="P24" s="29" t="s">
        <v>7</v>
      </c>
      <c r="Q24" s="29"/>
      <c r="R24" s="30" t="s">
        <v>7</v>
      </c>
    </row>
    <row r="25" spans="1:20" ht="16.5" customHeight="1" thickBot="1" x14ac:dyDescent="0.35">
      <c r="A25" s="31" t="s">
        <v>35</v>
      </c>
      <c r="B25" s="323" t="s">
        <v>36</v>
      </c>
      <c r="C25" s="324" t="s">
        <v>9</v>
      </c>
      <c r="D25" s="324" t="s">
        <v>10</v>
      </c>
      <c r="E25" s="325" t="s">
        <v>11</v>
      </c>
      <c r="F25" s="324" t="s">
        <v>12</v>
      </c>
      <c r="G25" s="324" t="s">
        <v>13</v>
      </c>
      <c r="H25" s="324" t="s">
        <v>14</v>
      </c>
      <c r="I25" s="34" t="s">
        <v>15</v>
      </c>
      <c r="J25" s="324" t="s">
        <v>16</v>
      </c>
      <c r="K25" s="324" t="s">
        <v>17</v>
      </c>
      <c r="L25" s="324" t="s">
        <v>18</v>
      </c>
      <c r="M25" s="34" t="s">
        <v>19</v>
      </c>
      <c r="N25" s="324" t="s">
        <v>20</v>
      </c>
      <c r="O25" s="324" t="s">
        <v>21</v>
      </c>
      <c r="P25" s="324" t="s">
        <v>22</v>
      </c>
      <c r="Q25" s="34" t="s">
        <v>23</v>
      </c>
      <c r="R25" s="326" t="s">
        <v>24</v>
      </c>
    </row>
    <row r="26" spans="1:20" ht="16.5" customHeight="1" thickBot="1" x14ac:dyDescent="0.35">
      <c r="A26" s="36"/>
      <c r="B26" s="37"/>
      <c r="C26" s="37"/>
      <c r="D26" s="37"/>
      <c r="E26" s="38"/>
      <c r="F26" s="37"/>
      <c r="G26" s="37"/>
      <c r="H26" s="37"/>
      <c r="I26" s="38"/>
      <c r="J26" s="37"/>
      <c r="K26" s="37"/>
      <c r="L26" s="37"/>
      <c r="M26" s="38"/>
      <c r="N26" s="37"/>
      <c r="O26" s="37"/>
      <c r="P26" s="37"/>
      <c r="Q26" s="38"/>
      <c r="R26" s="39"/>
    </row>
    <row r="27" spans="1:20" ht="16.5" customHeight="1" thickBot="1" x14ac:dyDescent="0.35">
      <c r="A27" s="40" t="s">
        <v>37</v>
      </c>
      <c r="B27" s="25">
        <v>97</v>
      </c>
      <c r="C27" s="25">
        <v>148</v>
      </c>
      <c r="D27" s="25">
        <v>274</v>
      </c>
      <c r="E27" s="327">
        <f>SUM(B27:D27)</f>
        <v>519</v>
      </c>
      <c r="F27" s="25">
        <v>367</v>
      </c>
      <c r="G27" s="25">
        <v>425</v>
      </c>
      <c r="H27" s="25">
        <v>417</v>
      </c>
      <c r="I27" s="327">
        <f>SUM(F27:H27)</f>
        <v>1209</v>
      </c>
      <c r="J27" s="25">
        <v>416</v>
      </c>
      <c r="K27" s="25">
        <v>334</v>
      </c>
      <c r="L27" s="25">
        <v>316</v>
      </c>
      <c r="M27" s="327">
        <f>SUM(J27:L27)</f>
        <v>1066</v>
      </c>
      <c r="N27" s="25">
        <v>285</v>
      </c>
      <c r="O27" s="25">
        <v>235</v>
      </c>
      <c r="P27" s="25">
        <v>186</v>
      </c>
      <c r="Q27" s="327">
        <f>SUM(N27:P27)</f>
        <v>706</v>
      </c>
      <c r="R27" s="26">
        <f>+E27+I27+M27+Q27</f>
        <v>3500</v>
      </c>
    </row>
    <row r="28" spans="1:20" ht="17.25" customHeight="1" thickBot="1" x14ac:dyDescent="0.35">
      <c r="A28" s="42"/>
      <c r="B28" s="37"/>
      <c r="C28" s="37"/>
      <c r="D28" s="37"/>
      <c r="E28" s="43"/>
      <c r="F28" s="37"/>
      <c r="G28" s="37"/>
      <c r="H28" s="37"/>
      <c r="I28" s="43"/>
      <c r="J28" s="37"/>
      <c r="K28" s="37"/>
      <c r="L28" s="37"/>
      <c r="M28" s="43"/>
      <c r="N28" s="37"/>
      <c r="O28" s="37"/>
      <c r="P28" s="37"/>
      <c r="Q28" s="43"/>
      <c r="R28" s="44"/>
    </row>
    <row r="29" spans="1:20" ht="15.75" customHeight="1" x14ac:dyDescent="0.3">
      <c r="A29" s="17" t="s">
        <v>38</v>
      </c>
      <c r="B29" s="1">
        <f>B27</f>
        <v>97</v>
      </c>
      <c r="C29" s="1">
        <f>C27</f>
        <v>148</v>
      </c>
      <c r="D29" s="1">
        <f>D27</f>
        <v>274</v>
      </c>
      <c r="E29" s="327">
        <f>SUM(B29:D29)</f>
        <v>519</v>
      </c>
      <c r="F29" s="1">
        <f>F27</f>
        <v>367</v>
      </c>
      <c r="G29" s="1">
        <f>G27</f>
        <v>425</v>
      </c>
      <c r="H29" s="1">
        <f>H27</f>
        <v>417</v>
      </c>
      <c r="I29" s="327">
        <f>SUM(F29:H29)</f>
        <v>1209</v>
      </c>
      <c r="J29" s="1">
        <f>J27</f>
        <v>416</v>
      </c>
      <c r="K29" s="1">
        <f>K27</f>
        <v>334</v>
      </c>
      <c r="L29" s="1">
        <f>L27</f>
        <v>316</v>
      </c>
      <c r="M29" s="327">
        <f>SUM(J29:L29)</f>
        <v>1066</v>
      </c>
      <c r="N29" s="1">
        <f>N27</f>
        <v>285</v>
      </c>
      <c r="O29" s="1">
        <f>O27</f>
        <v>235</v>
      </c>
      <c r="P29" s="1">
        <f>P27</f>
        <v>186</v>
      </c>
      <c r="Q29" s="328">
        <f>SUM(N29:P29)</f>
        <v>706</v>
      </c>
      <c r="R29" s="327">
        <f>+E29+I29+M29+Q29</f>
        <v>3500</v>
      </c>
    </row>
    <row r="30" spans="1:20" ht="15.75" customHeight="1" x14ac:dyDescent="0.3">
      <c r="A30" s="17" t="s">
        <v>39</v>
      </c>
      <c r="B30" s="1">
        <f>(B29/B10)/1.983</f>
        <v>1.5779285214647079</v>
      </c>
      <c r="C30" s="1">
        <f>(C29/C10)/1.983</f>
        <v>2.6655140119587926</v>
      </c>
      <c r="D30" s="1">
        <f>(D29/D10)/1.983</f>
        <v>4.457241390529175</v>
      </c>
      <c r="E30" s="18"/>
      <c r="F30" s="1">
        <f>(F29/F10)/1.983</f>
        <v>6.1691040511010247</v>
      </c>
      <c r="G30" s="1">
        <f>(G29/G10)/1.983</f>
        <v>6.9136043466237203</v>
      </c>
      <c r="H30" s="1">
        <f>(H29/H10)/1.983</f>
        <v>7.0095814422592033</v>
      </c>
      <c r="I30" s="18"/>
      <c r="J30" s="1">
        <f>(J29/J10)/1.983</f>
        <v>6.7671986075187478</v>
      </c>
      <c r="K30" s="1">
        <f>(K29/K10)/1.983</f>
        <v>5.433279651228994</v>
      </c>
      <c r="L30" s="1">
        <f>(L29/L10)/1.983</f>
        <v>5.3118171121196838</v>
      </c>
      <c r="M30" s="18"/>
      <c r="N30" s="1">
        <f>(N29/N10)/1.983</f>
        <v>4.6361817383241419</v>
      </c>
      <c r="O30" s="1">
        <f>(O29/O10)/1.983</f>
        <v>3.9502437384434357</v>
      </c>
      <c r="P30" s="1">
        <f>(P29/P10)/1.983</f>
        <v>3.02571860816944</v>
      </c>
      <c r="Q30" s="19"/>
      <c r="R30" s="18"/>
    </row>
    <row r="31" spans="1:20" ht="15.75" customHeight="1" x14ac:dyDescent="0.3">
      <c r="A31" s="17" t="s">
        <v>40</v>
      </c>
      <c r="B31" s="1">
        <f>B29+B66</f>
        <v>121163</v>
      </c>
      <c r="C31" s="1">
        <f>C29+C66</f>
        <v>110478</v>
      </c>
      <c r="D31" s="1">
        <f>D29+D66</f>
        <v>148394</v>
      </c>
      <c r="E31" s="18">
        <f>SUM(B31:D31)</f>
        <v>380035</v>
      </c>
      <c r="F31" s="1">
        <f>F29+F66</f>
        <v>162943</v>
      </c>
      <c r="G31" s="1">
        <f>G29+G66</f>
        <v>167634</v>
      </c>
      <c r="H31" s="1">
        <f>H29+H66</f>
        <v>89965</v>
      </c>
      <c r="I31" s="18">
        <f>SUM(F31:H31)</f>
        <v>420542</v>
      </c>
      <c r="J31" s="1">
        <f>J29+J66</f>
        <v>57356</v>
      </c>
      <c r="K31" s="1">
        <f>K29+K66</f>
        <v>50715</v>
      </c>
      <c r="L31" s="1">
        <f>L29+L66</f>
        <v>107550</v>
      </c>
      <c r="M31" s="18">
        <f>SUM(J31:L31)</f>
        <v>215621</v>
      </c>
      <c r="N31" s="1">
        <f>N29+N66</f>
        <v>139103</v>
      </c>
      <c r="O31" s="1">
        <f>O29+O66</f>
        <v>123440</v>
      </c>
      <c r="P31" s="1">
        <f>P29+P66</f>
        <v>85832</v>
      </c>
      <c r="Q31" s="19">
        <f>SUM(N31:P31)</f>
        <v>348375</v>
      </c>
      <c r="R31" s="18">
        <f>+E31+I31+M31+Q31</f>
        <v>1364573</v>
      </c>
    </row>
    <row r="32" spans="1:20" s="50" customFormat="1" ht="16.5" customHeight="1" thickBot="1" x14ac:dyDescent="0.35">
      <c r="A32" s="46" t="s">
        <v>41</v>
      </c>
      <c r="B32" s="47">
        <f>(B31/B10)/1.983</f>
        <v>1970.9953963528703</v>
      </c>
      <c r="C32" s="47">
        <f>(C31/C10)/1.983</f>
        <v>1989.7341690079966</v>
      </c>
      <c r="D32" s="47">
        <f>(D31/D10)/1.983</f>
        <v>2413.9703609714834</v>
      </c>
      <c r="E32" s="48"/>
      <c r="F32" s="47">
        <f>(F31/F10)/1.983</f>
        <v>2738.9981509497393</v>
      </c>
      <c r="G32" s="47">
        <f>(G31/G10)/1.983</f>
        <v>2726.9532965692256</v>
      </c>
      <c r="H32" s="47">
        <f>(H31/H10)/1.983</f>
        <v>1512.2709699109093</v>
      </c>
      <c r="I32" s="48"/>
      <c r="J32" s="47">
        <f>(J31/J10)/1.983</f>
        <v>933.02750801164734</v>
      </c>
      <c r="K32" s="47">
        <f>(K31/K10)/1.983</f>
        <v>824.99633985652235</v>
      </c>
      <c r="L32" s="47">
        <f>(L31/L10)/1.983</f>
        <v>1807.8668683812405</v>
      </c>
      <c r="M32" s="48"/>
      <c r="N32" s="47">
        <f>(N31/N10)/1.983</f>
        <v>2262.830836302116</v>
      </c>
      <c r="O32" s="47">
        <f>(O31/O10)/1.983</f>
        <v>2074.9705832913096</v>
      </c>
      <c r="P32" s="47">
        <f>(P31/P10)/1.983</f>
        <v>1396.2552665397818</v>
      </c>
      <c r="Q32" s="49"/>
      <c r="R32" s="48"/>
      <c r="T32" s="51" t="s">
        <v>42</v>
      </c>
    </row>
    <row r="33" spans="1:20" ht="15.75" customHeight="1" x14ac:dyDescent="0.3">
      <c r="A33" s="28"/>
      <c r="B33" s="1"/>
      <c r="C33" s="1"/>
      <c r="D33" s="1"/>
      <c r="E33" s="1"/>
      <c r="F33" s="1"/>
      <c r="G33" s="1"/>
      <c r="H33" s="1"/>
      <c r="I33" s="1"/>
      <c r="J33" s="1"/>
      <c r="K33" s="1"/>
      <c r="L33" s="1"/>
      <c r="M33" s="1"/>
      <c r="N33" s="1"/>
      <c r="O33" s="1"/>
      <c r="P33" s="1"/>
      <c r="Q33" s="1"/>
      <c r="R33" s="28"/>
      <c r="T33" s="52" t="s">
        <v>43</v>
      </c>
    </row>
    <row r="34" spans="1:20" ht="15.75" customHeight="1" thickBot="1" x14ac:dyDescent="0.35">
      <c r="A34" s="28"/>
      <c r="B34" s="1"/>
      <c r="C34" s="1"/>
      <c r="D34" s="1"/>
      <c r="E34" s="1"/>
      <c r="F34" s="1"/>
      <c r="G34" s="1"/>
      <c r="H34" s="1"/>
      <c r="I34" s="1"/>
      <c r="J34" s="1"/>
      <c r="K34" s="1"/>
      <c r="L34" s="1"/>
      <c r="M34" s="1"/>
      <c r="N34" s="1"/>
      <c r="O34" s="1"/>
      <c r="P34" s="1"/>
      <c r="Q34" s="1"/>
      <c r="R34" s="28"/>
    </row>
    <row r="35" spans="1:20" ht="15.75" customHeight="1" thickBot="1" x14ac:dyDescent="0.35">
      <c r="A35" s="329" t="s">
        <v>44</v>
      </c>
      <c r="B35" s="330" t="s">
        <v>36</v>
      </c>
      <c r="C35" s="331" t="s">
        <v>9</v>
      </c>
      <c r="D35" s="331" t="s">
        <v>10</v>
      </c>
      <c r="E35" s="325" t="s">
        <v>11</v>
      </c>
      <c r="F35" s="331" t="s">
        <v>12</v>
      </c>
      <c r="G35" s="331" t="s">
        <v>13</v>
      </c>
      <c r="H35" s="331" t="s">
        <v>14</v>
      </c>
      <c r="I35" s="325" t="s">
        <v>15</v>
      </c>
      <c r="J35" s="331" t="s">
        <v>16</v>
      </c>
      <c r="K35" s="331" t="s">
        <v>17</v>
      </c>
      <c r="L35" s="331" t="s">
        <v>18</v>
      </c>
      <c r="M35" s="325" t="s">
        <v>19</v>
      </c>
      <c r="N35" s="331" t="s">
        <v>20</v>
      </c>
      <c r="O35" s="331" t="s">
        <v>21</v>
      </c>
      <c r="P35" s="331" t="s">
        <v>22</v>
      </c>
      <c r="Q35" s="325" t="s">
        <v>23</v>
      </c>
      <c r="R35" s="332" t="s">
        <v>24</v>
      </c>
    </row>
    <row r="36" spans="1:20" ht="16.5" customHeight="1" thickBot="1" x14ac:dyDescent="0.35">
      <c r="A36" s="43"/>
      <c r="B36" s="55"/>
      <c r="C36" s="56"/>
      <c r="D36" s="56"/>
      <c r="E36" s="16"/>
      <c r="F36" s="56"/>
      <c r="G36" s="56"/>
      <c r="H36" s="56"/>
      <c r="I36" s="16"/>
      <c r="J36" s="56"/>
      <c r="K36" s="56"/>
      <c r="L36" s="56"/>
      <c r="M36" s="16"/>
      <c r="N36" s="56"/>
      <c r="O36" s="56"/>
      <c r="P36" s="56"/>
      <c r="Q36" s="16"/>
      <c r="R36" s="57"/>
    </row>
    <row r="37" spans="1:20" ht="15.75" customHeight="1" x14ac:dyDescent="0.3">
      <c r="A37" s="333" t="s">
        <v>45</v>
      </c>
      <c r="B37" s="30"/>
      <c r="C37" s="30"/>
      <c r="D37" s="30"/>
      <c r="E37" s="59" t="s">
        <v>7</v>
      </c>
      <c r="F37" s="30"/>
      <c r="G37" s="30"/>
      <c r="H37" s="30"/>
      <c r="I37" s="59" t="s">
        <v>7</v>
      </c>
      <c r="J37" s="30"/>
      <c r="K37" s="30"/>
      <c r="L37" s="30"/>
      <c r="M37" s="59" t="s">
        <v>7</v>
      </c>
      <c r="N37" s="30"/>
      <c r="O37" s="30"/>
      <c r="P37" s="30"/>
      <c r="Q37" s="59" t="s">
        <v>7</v>
      </c>
      <c r="R37" s="59" t="s">
        <v>7</v>
      </c>
    </row>
    <row r="38" spans="1:20" ht="15.75" customHeight="1" x14ac:dyDescent="0.3">
      <c r="A38" s="22" t="s">
        <v>46</v>
      </c>
      <c r="B38" s="30" t="s">
        <v>7</v>
      </c>
      <c r="C38" s="60"/>
      <c r="D38" s="60"/>
      <c r="E38" s="59" t="s">
        <v>7</v>
      </c>
      <c r="F38" s="60"/>
      <c r="G38" s="60"/>
      <c r="H38" s="60"/>
      <c r="I38" s="59" t="s">
        <v>7</v>
      </c>
      <c r="J38" s="60"/>
      <c r="K38" s="60"/>
      <c r="L38" s="60"/>
      <c r="M38" s="59" t="s">
        <v>7</v>
      </c>
      <c r="N38" s="60"/>
      <c r="O38" s="60"/>
      <c r="P38" s="60"/>
      <c r="Q38" s="59" t="s">
        <v>7</v>
      </c>
      <c r="R38" s="59" t="s">
        <v>7</v>
      </c>
    </row>
    <row r="39" spans="1:20" ht="15.75" customHeight="1" x14ac:dyDescent="0.3">
      <c r="A39" s="22" t="s">
        <v>47</v>
      </c>
      <c r="B39" s="30"/>
      <c r="C39" s="30"/>
      <c r="D39" s="30"/>
      <c r="E39" s="59" t="s">
        <v>7</v>
      </c>
      <c r="F39" s="30"/>
      <c r="G39" s="30"/>
      <c r="H39" s="30"/>
      <c r="I39" s="59" t="s">
        <v>7</v>
      </c>
      <c r="J39" s="30"/>
      <c r="K39" s="30"/>
      <c r="L39" s="30"/>
      <c r="M39" s="59" t="s">
        <v>7</v>
      </c>
      <c r="N39" s="30"/>
      <c r="O39" s="30"/>
      <c r="P39" s="30"/>
      <c r="Q39" s="59" t="s">
        <v>7</v>
      </c>
      <c r="R39" s="59" t="s">
        <v>7</v>
      </c>
    </row>
    <row r="40" spans="1:20" ht="15.75" customHeight="1" x14ac:dyDescent="0.3">
      <c r="A40" s="61" t="s">
        <v>48</v>
      </c>
      <c r="B40" s="1"/>
      <c r="C40" s="1"/>
      <c r="D40" s="1"/>
      <c r="E40" s="59">
        <f>SUM(B40:D40)</f>
        <v>0</v>
      </c>
      <c r="F40" s="1"/>
      <c r="G40" s="1"/>
      <c r="H40" s="1"/>
      <c r="I40" s="59">
        <f>SUM(F40:H40)</f>
        <v>0</v>
      </c>
      <c r="J40" s="1"/>
      <c r="K40" s="1"/>
      <c r="L40" s="1"/>
      <c r="M40" s="59">
        <f>SUM(J40:L40)</f>
        <v>0</v>
      </c>
      <c r="N40" s="1"/>
      <c r="O40" s="1"/>
      <c r="P40" s="1"/>
      <c r="Q40" s="59">
        <f>SUM(N40:P40)</f>
        <v>0</v>
      </c>
      <c r="R40" s="59">
        <f>+E40+I40+M40+Q40</f>
        <v>0</v>
      </c>
    </row>
    <row r="41" spans="1:20" ht="15.75" customHeight="1" x14ac:dyDescent="0.3">
      <c r="A41" s="22" t="s">
        <v>49</v>
      </c>
      <c r="B41" s="30"/>
      <c r="C41" s="30"/>
      <c r="D41" s="30"/>
      <c r="E41" s="59" t="s">
        <v>50</v>
      </c>
      <c r="F41" s="30"/>
      <c r="G41" s="30"/>
      <c r="H41" s="30"/>
      <c r="I41" s="59" t="s">
        <v>50</v>
      </c>
      <c r="J41" s="30"/>
      <c r="K41" s="30"/>
      <c r="L41" s="30"/>
      <c r="M41" s="59" t="s">
        <v>50</v>
      </c>
      <c r="N41" s="30"/>
      <c r="O41" s="30"/>
      <c r="P41" s="30"/>
      <c r="Q41" s="59" t="s">
        <v>50</v>
      </c>
      <c r="R41" s="59" t="s">
        <v>50</v>
      </c>
    </row>
    <row r="42" spans="1:20" ht="15.75" customHeight="1" thickBot="1" x14ac:dyDescent="0.35">
      <c r="A42" s="22" t="s">
        <v>51</v>
      </c>
      <c r="B42" s="60"/>
      <c r="C42" s="60"/>
      <c r="D42" s="60"/>
      <c r="E42" s="59" t="s">
        <v>7</v>
      </c>
      <c r="F42" s="60"/>
      <c r="G42" s="60"/>
      <c r="H42" s="60"/>
      <c r="I42" s="59" t="s">
        <v>7</v>
      </c>
      <c r="J42" s="60"/>
      <c r="K42" s="60"/>
      <c r="L42" s="60"/>
      <c r="M42" s="59" t="s">
        <v>7</v>
      </c>
      <c r="N42" s="60"/>
      <c r="O42" s="60"/>
      <c r="P42" s="60"/>
      <c r="Q42" s="59" t="s">
        <v>7</v>
      </c>
      <c r="R42" s="59" t="s">
        <v>7</v>
      </c>
    </row>
    <row r="43" spans="1:20" ht="16.5" customHeight="1" thickBot="1" x14ac:dyDescent="0.35">
      <c r="A43" s="62" t="s">
        <v>52</v>
      </c>
      <c r="B43" s="63">
        <f>SUM(B37:B42)</f>
        <v>0</v>
      </c>
      <c r="C43" s="63">
        <f>SUM(C37:C42)</f>
        <v>0</v>
      </c>
      <c r="D43" s="63">
        <f>SUM(D37:D42)</f>
        <v>0</v>
      </c>
      <c r="E43" s="64">
        <f>SUM(B43:D43)</f>
        <v>0</v>
      </c>
      <c r="F43" s="63">
        <f>SUM(F37:F42)</f>
        <v>0</v>
      </c>
      <c r="G43" s="63">
        <f>SUM(G37:G42)</f>
        <v>0</v>
      </c>
      <c r="H43" s="63">
        <f>SUM(H37:H42)</f>
        <v>0</v>
      </c>
      <c r="I43" s="64">
        <f>SUM(F43:H43)</f>
        <v>0</v>
      </c>
      <c r="J43" s="63">
        <f>SUM(J37:J42)</f>
        <v>0</v>
      </c>
      <c r="K43" s="63">
        <f>SUM(K37:K42)</f>
        <v>0</v>
      </c>
      <c r="L43" s="63">
        <f>SUM(L37:L42)</f>
        <v>0</v>
      </c>
      <c r="M43" s="64">
        <f>SUM(J43:L43)</f>
        <v>0</v>
      </c>
      <c r="N43" s="63">
        <f>SUM(N37:N42)</f>
        <v>0</v>
      </c>
      <c r="O43" s="63">
        <f>SUM(O37:O42)</f>
        <v>0</v>
      </c>
      <c r="P43" s="63">
        <f>SUM(P37:P42)</f>
        <v>0</v>
      </c>
      <c r="Q43" s="64">
        <f>SUM(N43:P43)</f>
        <v>0</v>
      </c>
      <c r="R43" s="64">
        <f>+E43+I43+M43+Q43</f>
        <v>0</v>
      </c>
    </row>
    <row r="44" spans="1:20" ht="15.75" customHeight="1" x14ac:dyDescent="0.3">
      <c r="A44" s="22" t="s">
        <v>53</v>
      </c>
      <c r="B44" s="60"/>
      <c r="C44" s="60"/>
      <c r="D44" s="60"/>
      <c r="E44" s="59" t="s">
        <v>7</v>
      </c>
      <c r="F44" s="60"/>
      <c r="G44" s="60"/>
      <c r="H44" s="60"/>
      <c r="I44" s="59" t="s">
        <v>7</v>
      </c>
      <c r="J44" s="60"/>
      <c r="K44" s="60"/>
      <c r="L44" s="60"/>
      <c r="M44" s="59" t="s">
        <v>7</v>
      </c>
      <c r="N44" s="60"/>
      <c r="O44" s="60"/>
      <c r="P44" s="60"/>
      <c r="Q44" s="59" t="s">
        <v>7</v>
      </c>
      <c r="R44" s="334" t="s">
        <v>7</v>
      </c>
    </row>
    <row r="45" spans="1:20" ht="15.75" customHeight="1" x14ac:dyDescent="0.3">
      <c r="A45" s="22" t="s">
        <v>54</v>
      </c>
      <c r="B45" s="60"/>
      <c r="C45" s="60"/>
      <c r="D45" s="60"/>
      <c r="E45" s="59"/>
      <c r="F45" s="60"/>
      <c r="G45" s="60"/>
      <c r="H45" s="60"/>
      <c r="I45" s="59"/>
      <c r="J45" s="60"/>
      <c r="K45" s="60"/>
      <c r="L45" s="60"/>
      <c r="M45" s="59"/>
      <c r="N45" s="60"/>
      <c r="O45" s="60"/>
      <c r="P45" s="60"/>
      <c r="Q45" s="59"/>
      <c r="R45" s="59"/>
    </row>
    <row r="46" spans="1:20" ht="15.75" customHeight="1" x14ac:dyDescent="0.3">
      <c r="A46" s="22" t="s">
        <v>55</v>
      </c>
      <c r="B46" s="60"/>
      <c r="C46" s="60"/>
      <c r="D46" s="60"/>
      <c r="E46" s="59" t="s">
        <v>7</v>
      </c>
      <c r="F46" s="60"/>
      <c r="G46" s="60"/>
      <c r="H46" s="60"/>
      <c r="I46" s="59" t="s">
        <v>7</v>
      </c>
      <c r="J46" s="60"/>
      <c r="K46" s="60"/>
      <c r="L46" s="60"/>
      <c r="M46" s="59" t="s">
        <v>7</v>
      </c>
      <c r="N46" s="60"/>
      <c r="O46" s="60"/>
      <c r="P46" s="60"/>
      <c r="Q46" s="59" t="s">
        <v>7</v>
      </c>
      <c r="R46" s="59" t="s">
        <v>7</v>
      </c>
    </row>
    <row r="47" spans="1:20" ht="15.75" customHeight="1" thickBot="1" x14ac:dyDescent="0.35">
      <c r="A47" s="22" t="s">
        <v>56</v>
      </c>
      <c r="B47" s="60"/>
      <c r="C47" s="60"/>
      <c r="D47" s="60"/>
      <c r="E47" s="59" t="s">
        <v>7</v>
      </c>
      <c r="F47" s="60"/>
      <c r="G47" s="60"/>
      <c r="H47" s="60"/>
      <c r="I47" s="59" t="s">
        <v>7</v>
      </c>
      <c r="J47" s="60"/>
      <c r="K47" s="60"/>
      <c r="L47" s="60"/>
      <c r="M47" s="59" t="s">
        <v>7</v>
      </c>
      <c r="N47" s="60"/>
      <c r="O47" s="60"/>
      <c r="P47" s="60"/>
      <c r="Q47" s="59" t="s">
        <v>7</v>
      </c>
      <c r="R47" s="59" t="s">
        <v>7</v>
      </c>
    </row>
    <row r="48" spans="1:20" ht="16.5" customHeight="1" thickBot="1" x14ac:dyDescent="0.35">
      <c r="A48" s="62" t="s">
        <v>57</v>
      </c>
      <c r="B48" s="63">
        <f>SUM(B44:B47)</f>
        <v>0</v>
      </c>
      <c r="C48" s="63">
        <f>SUM(C44:C47)</f>
        <v>0</v>
      </c>
      <c r="D48" s="63">
        <f>SUM(D44:D47)</f>
        <v>0</v>
      </c>
      <c r="E48" s="64">
        <f>SUM(B48:D48)</f>
        <v>0</v>
      </c>
      <c r="F48" s="63">
        <f>SUM(F44:F47)</f>
        <v>0</v>
      </c>
      <c r="G48" s="63">
        <f>SUM(G44:G47)</f>
        <v>0</v>
      </c>
      <c r="H48" s="63">
        <f>SUM(H44:H47)</f>
        <v>0</v>
      </c>
      <c r="I48" s="64">
        <f>SUM(F48:H48)</f>
        <v>0</v>
      </c>
      <c r="J48" s="63">
        <f>SUM(J44:J47)</f>
        <v>0</v>
      </c>
      <c r="K48" s="63">
        <f>SUM(K44:K47)</f>
        <v>0</v>
      </c>
      <c r="L48" s="63">
        <f>SUM(L44:L47)</f>
        <v>0</v>
      </c>
      <c r="M48" s="64">
        <f>SUM(J48:L48)</f>
        <v>0</v>
      </c>
      <c r="N48" s="63">
        <f>SUM(N44:N47)</f>
        <v>0</v>
      </c>
      <c r="O48" s="63">
        <f>SUM(O44:O47)</f>
        <v>0</v>
      </c>
      <c r="P48" s="63">
        <f>SUM(P44:P47)</f>
        <v>0</v>
      </c>
      <c r="Q48" s="64">
        <f>SUM(N48:P48)</f>
        <v>0</v>
      </c>
      <c r="R48" s="64">
        <f>+E48+I48+M48+Q48</f>
        <v>0</v>
      </c>
    </row>
    <row r="49" spans="1:18" ht="15.75" customHeight="1" x14ac:dyDescent="0.3">
      <c r="A49" s="22" t="s">
        <v>58</v>
      </c>
      <c r="B49" s="60"/>
      <c r="C49" s="60"/>
      <c r="D49" s="60"/>
      <c r="E49" s="59" t="s">
        <v>7</v>
      </c>
      <c r="F49" s="60"/>
      <c r="G49" s="60"/>
      <c r="H49" s="60"/>
      <c r="I49" s="59" t="s">
        <v>7</v>
      </c>
      <c r="J49" s="60"/>
      <c r="K49" s="60"/>
      <c r="L49" s="60"/>
      <c r="M49" s="59" t="s">
        <v>7</v>
      </c>
      <c r="N49" s="60"/>
      <c r="O49" s="60"/>
      <c r="P49" s="60"/>
      <c r="Q49" s="59" t="s">
        <v>7</v>
      </c>
      <c r="R49" s="59" t="s">
        <v>7</v>
      </c>
    </row>
    <row r="50" spans="1:18" ht="15.75" customHeight="1" x14ac:dyDescent="0.3">
      <c r="A50" s="22" t="s">
        <v>59</v>
      </c>
      <c r="B50" s="60"/>
      <c r="C50" s="60"/>
      <c r="D50" s="60"/>
      <c r="E50" s="59" t="s">
        <v>7</v>
      </c>
      <c r="F50" s="60"/>
      <c r="G50" s="60"/>
      <c r="H50" s="60"/>
      <c r="I50" s="59" t="s">
        <v>7</v>
      </c>
      <c r="J50" s="60"/>
      <c r="K50" s="60"/>
      <c r="L50" s="60"/>
      <c r="M50" s="59" t="s">
        <v>7</v>
      </c>
      <c r="N50" s="60"/>
      <c r="O50" s="60"/>
      <c r="P50" s="60"/>
      <c r="Q50" s="59" t="s">
        <v>7</v>
      </c>
      <c r="R50" s="59" t="s">
        <v>7</v>
      </c>
    </row>
    <row r="51" spans="1:18" ht="15.75" customHeight="1" thickBot="1" x14ac:dyDescent="0.35">
      <c r="A51" s="22" t="s">
        <v>60</v>
      </c>
      <c r="B51" s="60"/>
      <c r="C51" s="60"/>
      <c r="D51" s="60"/>
      <c r="E51" s="59"/>
      <c r="F51" s="60"/>
      <c r="G51" s="60"/>
      <c r="H51" s="60"/>
      <c r="I51" s="59"/>
      <c r="J51" s="60"/>
      <c r="K51" s="60"/>
      <c r="L51" s="60"/>
      <c r="M51" s="59"/>
      <c r="N51" s="60"/>
      <c r="O51" s="60"/>
      <c r="P51" s="60"/>
      <c r="Q51" s="59"/>
      <c r="R51" s="59"/>
    </row>
    <row r="52" spans="1:18" ht="16.5" customHeight="1" thickBot="1" x14ac:dyDescent="0.35">
      <c r="A52" s="62" t="s">
        <v>61</v>
      </c>
      <c r="B52" s="63">
        <f>SUM(B49:B51)</f>
        <v>0</v>
      </c>
      <c r="C52" s="63">
        <f>SUM(C49:C51)</f>
        <v>0</v>
      </c>
      <c r="D52" s="63">
        <f>SUM(D49:D51)</f>
        <v>0</v>
      </c>
      <c r="E52" s="64">
        <f>SUM(B52:D52)</f>
        <v>0</v>
      </c>
      <c r="F52" s="63">
        <f>SUM(F49:F51)</f>
        <v>0</v>
      </c>
      <c r="G52" s="63">
        <f>SUM(G49:G51)</f>
        <v>0</v>
      </c>
      <c r="H52" s="63">
        <f>SUM(H49:H51)</f>
        <v>0</v>
      </c>
      <c r="I52" s="64">
        <f>SUM(F52:H52)</f>
        <v>0</v>
      </c>
      <c r="J52" s="63">
        <f>SUM(J49:J51)</f>
        <v>0</v>
      </c>
      <c r="K52" s="63">
        <f>SUM(K49:K51)</f>
        <v>0</v>
      </c>
      <c r="L52" s="63">
        <f>SUM(L49:L51)</f>
        <v>0</v>
      </c>
      <c r="M52" s="64">
        <f>SUM(J52:L52)</f>
        <v>0</v>
      </c>
      <c r="N52" s="63">
        <f>SUM(N49:N51)</f>
        <v>0</v>
      </c>
      <c r="O52" s="63">
        <f>SUM(O49:O51)</f>
        <v>0</v>
      </c>
      <c r="P52" s="63">
        <f>SUM(P49:P51)</f>
        <v>0</v>
      </c>
      <c r="Q52" s="64">
        <f>SUM(N52:P52)</f>
        <v>0</v>
      </c>
      <c r="R52" s="64">
        <f>+E52+I52+M52+Q52</f>
        <v>0</v>
      </c>
    </row>
    <row r="53" spans="1:18" ht="15.75" customHeight="1" x14ac:dyDescent="0.3">
      <c r="A53" s="22" t="s">
        <v>62</v>
      </c>
      <c r="B53" s="60"/>
      <c r="C53" s="60"/>
      <c r="D53" s="60"/>
      <c r="E53" s="59" t="s">
        <v>7</v>
      </c>
      <c r="F53" s="60"/>
      <c r="G53" s="60"/>
      <c r="H53" s="60"/>
      <c r="I53" s="59" t="s">
        <v>7</v>
      </c>
      <c r="J53" s="60"/>
      <c r="K53" s="60"/>
      <c r="L53" s="60"/>
      <c r="M53" s="59" t="s">
        <v>7</v>
      </c>
      <c r="N53" s="60"/>
      <c r="O53" s="60"/>
      <c r="P53" s="60"/>
      <c r="Q53" s="59" t="s">
        <v>7</v>
      </c>
      <c r="R53" s="59" t="s">
        <v>7</v>
      </c>
    </row>
    <row r="54" spans="1:18" ht="15.75" customHeight="1" x14ac:dyDescent="0.3">
      <c r="A54" s="22" t="s">
        <v>63</v>
      </c>
      <c r="B54" s="60"/>
      <c r="C54" s="60"/>
      <c r="D54" s="60"/>
      <c r="E54" s="59" t="s">
        <v>7</v>
      </c>
      <c r="F54" s="60"/>
      <c r="G54" s="60"/>
      <c r="H54" s="60"/>
      <c r="I54" s="59" t="s">
        <v>7</v>
      </c>
      <c r="J54" s="60"/>
      <c r="K54" s="60"/>
      <c r="L54" s="60"/>
      <c r="M54" s="59" t="s">
        <v>7</v>
      </c>
      <c r="N54" s="60"/>
      <c r="O54" s="60"/>
      <c r="P54" s="60"/>
      <c r="Q54" s="59" t="s">
        <v>7</v>
      </c>
      <c r="R54" s="59" t="s">
        <v>7</v>
      </c>
    </row>
    <row r="55" spans="1:18" ht="15.75" customHeight="1" x14ac:dyDescent="0.3">
      <c r="A55" s="22" t="s">
        <v>64</v>
      </c>
      <c r="B55" s="60"/>
      <c r="C55" s="60"/>
      <c r="D55" s="60"/>
      <c r="E55" s="59" t="s">
        <v>7</v>
      </c>
      <c r="F55" s="60"/>
      <c r="G55" s="60"/>
      <c r="H55" s="60"/>
      <c r="I55" s="59" t="s">
        <v>7</v>
      </c>
      <c r="J55" s="60"/>
      <c r="K55" s="60"/>
      <c r="L55" s="60"/>
      <c r="M55" s="59" t="s">
        <v>7</v>
      </c>
      <c r="N55" s="60"/>
      <c r="O55" s="60"/>
      <c r="P55" s="60"/>
      <c r="Q55" s="59" t="s">
        <v>7</v>
      </c>
      <c r="R55" s="59" t="s">
        <v>7</v>
      </c>
    </row>
    <row r="56" spans="1:18" ht="15.75" customHeight="1" x14ac:dyDescent="0.3">
      <c r="A56" s="61" t="s">
        <v>65</v>
      </c>
      <c r="B56" s="1"/>
      <c r="C56" s="1"/>
      <c r="D56" s="1"/>
      <c r="E56" s="59">
        <f>SUM(B56:D56)</f>
        <v>0</v>
      </c>
      <c r="F56" s="1"/>
      <c r="G56" s="1"/>
      <c r="H56" s="1"/>
      <c r="I56" s="59">
        <f>SUM(F56:H56)</f>
        <v>0</v>
      </c>
      <c r="J56" s="1"/>
      <c r="K56" s="1"/>
      <c r="L56" s="1"/>
      <c r="M56" s="59">
        <f>SUM(J56:L56)</f>
        <v>0</v>
      </c>
      <c r="N56" s="1"/>
      <c r="O56" s="1"/>
      <c r="P56" s="1"/>
      <c r="Q56" s="59">
        <f>SUM(N56:P56)</f>
        <v>0</v>
      </c>
      <c r="R56" s="59">
        <f>+E56+I56+M56+Q56</f>
        <v>0</v>
      </c>
    </row>
    <row r="57" spans="1:18" ht="15.75" customHeight="1" x14ac:dyDescent="0.3">
      <c r="A57" s="22" t="s">
        <v>66</v>
      </c>
      <c r="B57" s="60"/>
      <c r="C57" s="60"/>
      <c r="D57" s="60"/>
      <c r="E57" s="59" t="s">
        <v>7</v>
      </c>
      <c r="F57" s="60"/>
      <c r="G57" s="60"/>
      <c r="H57" s="60"/>
      <c r="I57" s="59" t="s">
        <v>7</v>
      </c>
      <c r="J57" s="60"/>
      <c r="K57" s="60"/>
      <c r="L57" s="60"/>
      <c r="M57" s="59" t="s">
        <v>7</v>
      </c>
      <c r="N57" s="60"/>
      <c r="O57" s="60"/>
      <c r="P57" s="60"/>
      <c r="Q57" s="59" t="s">
        <v>7</v>
      </c>
      <c r="R57" s="59" t="s">
        <v>7</v>
      </c>
    </row>
    <row r="58" spans="1:18" ht="15.75" customHeight="1" thickBot="1" x14ac:dyDescent="0.35">
      <c r="A58" s="22" t="s">
        <v>67</v>
      </c>
      <c r="B58" s="60"/>
      <c r="C58" s="60"/>
      <c r="D58" s="60"/>
      <c r="E58" s="59" t="s">
        <v>7</v>
      </c>
      <c r="F58" s="60"/>
      <c r="G58" s="60"/>
      <c r="H58" s="60"/>
      <c r="I58" s="59" t="s">
        <v>7</v>
      </c>
      <c r="J58" s="60"/>
      <c r="K58" s="60"/>
      <c r="L58" s="60"/>
      <c r="M58" s="59" t="s">
        <v>7</v>
      </c>
      <c r="N58" s="60"/>
      <c r="O58" s="60"/>
      <c r="P58" s="60"/>
      <c r="Q58" s="59" t="s">
        <v>7</v>
      </c>
      <c r="R58" s="59" t="s">
        <v>7</v>
      </c>
    </row>
    <row r="59" spans="1:18" ht="16.5" customHeight="1" thickBot="1" x14ac:dyDescent="0.35">
      <c r="A59" s="62" t="s">
        <v>68</v>
      </c>
      <c r="B59" s="63">
        <f>SUM(B57:B58)</f>
        <v>0</v>
      </c>
      <c r="C59" s="63">
        <f>SUM(C57:C58)</f>
        <v>0</v>
      </c>
      <c r="D59" s="63">
        <f>SUM(D57:D58)</f>
        <v>0</v>
      </c>
      <c r="E59" s="334">
        <f>SUM(B59:D59)</f>
        <v>0</v>
      </c>
      <c r="F59" s="63">
        <f>SUM(F57:F58)</f>
        <v>0</v>
      </c>
      <c r="G59" s="63">
        <f>SUM(G57:G58)</f>
        <v>0</v>
      </c>
      <c r="H59" s="63">
        <f>SUM(H57:H58)</f>
        <v>0</v>
      </c>
      <c r="I59" s="334">
        <f>SUM(F59:H59)</f>
        <v>0</v>
      </c>
      <c r="J59" s="63">
        <f>SUM(J57:J58)</f>
        <v>0</v>
      </c>
      <c r="K59" s="63">
        <f>SUM(K57:K58)</f>
        <v>0</v>
      </c>
      <c r="L59" s="63">
        <f>SUM(L57:L58)</f>
        <v>0</v>
      </c>
      <c r="M59" s="334">
        <f>SUM(J59:L59)</f>
        <v>0</v>
      </c>
      <c r="N59" s="63">
        <f>SUM(N57:N58)</f>
        <v>0</v>
      </c>
      <c r="O59" s="63">
        <f>SUM(O57:O58)</f>
        <v>0</v>
      </c>
      <c r="P59" s="63">
        <f>SUM(P57:P58)</f>
        <v>0</v>
      </c>
      <c r="Q59" s="334">
        <f>SUM(N59:P59)</f>
        <v>0</v>
      </c>
      <c r="R59" s="64">
        <f>+E59+I59+M59+Q59</f>
        <v>0</v>
      </c>
    </row>
    <row r="60" spans="1:18" ht="16.5" customHeight="1" thickBot="1" x14ac:dyDescent="0.35">
      <c r="A60" s="62" t="s">
        <v>69</v>
      </c>
      <c r="B60" s="63">
        <f>SUM(B53:B58)</f>
        <v>0</v>
      </c>
      <c r="C60" s="63">
        <f>SUM(C53:C58)</f>
        <v>0</v>
      </c>
      <c r="D60" s="63">
        <f>SUM(D53:D58)</f>
        <v>0</v>
      </c>
      <c r="E60" s="334">
        <f>SUM(B60:D60)</f>
        <v>0</v>
      </c>
      <c r="F60" s="63">
        <f>SUM(F53:F58)</f>
        <v>0</v>
      </c>
      <c r="G60" s="63">
        <f>SUM(G53:G58)</f>
        <v>0</v>
      </c>
      <c r="H60" s="63">
        <f>SUM(H53:H58)</f>
        <v>0</v>
      </c>
      <c r="I60" s="334">
        <f>SUM(F60:H60)</f>
        <v>0</v>
      </c>
      <c r="J60" s="63">
        <f>SUM(J53:J58)</f>
        <v>0</v>
      </c>
      <c r="K60" s="63">
        <f>SUM(K53:K58)</f>
        <v>0</v>
      </c>
      <c r="L60" s="63">
        <f>SUM(L53:L58)</f>
        <v>0</v>
      </c>
      <c r="M60" s="334">
        <f>SUM(J60:L60)</f>
        <v>0</v>
      </c>
      <c r="N60" s="63">
        <f>SUM(N53:N58)</f>
        <v>0</v>
      </c>
      <c r="O60" s="63">
        <f>SUM(O53:O58)</f>
        <v>0</v>
      </c>
      <c r="P60" s="63">
        <f>SUM(P53:P58)</f>
        <v>0</v>
      </c>
      <c r="Q60" s="334">
        <f>SUM(N60:P60)</f>
        <v>0</v>
      </c>
      <c r="R60" s="64">
        <f>+E60+I60+M60+Q60</f>
        <v>0</v>
      </c>
    </row>
    <row r="61" spans="1:18" ht="16.5" customHeight="1" thickBot="1" x14ac:dyDescent="0.35">
      <c r="A61" s="62" t="s">
        <v>70</v>
      </c>
      <c r="B61" s="63">
        <f>+B43+B48+B52+B60</f>
        <v>0</v>
      </c>
      <c r="C61" s="63">
        <f>+C43+C48+C52+C60</f>
        <v>0</v>
      </c>
      <c r="D61" s="63">
        <f>+D43+D48+D52+D60</f>
        <v>0</v>
      </c>
      <c r="E61" s="64">
        <f>SUM(B61:D61)</f>
        <v>0</v>
      </c>
      <c r="F61" s="63">
        <f>+F43+F48+F52+F60</f>
        <v>0</v>
      </c>
      <c r="G61" s="63">
        <f>+G43+G48+G52+G60</f>
        <v>0</v>
      </c>
      <c r="H61" s="63">
        <f>+H43+H48+H52+H60</f>
        <v>0</v>
      </c>
      <c r="I61" s="64">
        <f>SUM(F61:H61)</f>
        <v>0</v>
      </c>
      <c r="J61" s="63">
        <f>+J43+J48+J52+J60</f>
        <v>0</v>
      </c>
      <c r="K61" s="63">
        <f>+K43+K48+K52+K60</f>
        <v>0</v>
      </c>
      <c r="L61" s="63">
        <f>+L43+L48+L52+L60</f>
        <v>0</v>
      </c>
      <c r="M61" s="64">
        <f>SUM(J61:L61)</f>
        <v>0</v>
      </c>
      <c r="N61" s="63">
        <f>+N43+N48+N52+N60</f>
        <v>0</v>
      </c>
      <c r="O61" s="63">
        <f>+O43+O48+O52+O60</f>
        <v>0</v>
      </c>
      <c r="P61" s="63">
        <f>+P43+P48+P52+P60</f>
        <v>0</v>
      </c>
      <c r="Q61" s="64">
        <f>SUM(N61:P61)</f>
        <v>0</v>
      </c>
      <c r="R61" s="64">
        <f>+E61+I61+M61+Q61</f>
        <v>0</v>
      </c>
    </row>
    <row r="62" spans="1:18" ht="16.5" customHeight="1" thickBot="1" x14ac:dyDescent="0.35">
      <c r="A62" s="66" t="s">
        <v>37</v>
      </c>
      <c r="B62" s="67">
        <v>96</v>
      </c>
      <c r="C62" s="67">
        <v>145</v>
      </c>
      <c r="D62" s="67">
        <v>261</v>
      </c>
      <c r="E62" s="43">
        <f>SUM(B62:D62)</f>
        <v>502</v>
      </c>
      <c r="F62" s="67">
        <v>350</v>
      </c>
      <c r="G62" s="67">
        <v>402</v>
      </c>
      <c r="H62" s="67">
        <v>396</v>
      </c>
      <c r="I62" s="43">
        <f>SUM(F62:H62)</f>
        <v>1148</v>
      </c>
      <c r="J62" s="67">
        <v>394</v>
      </c>
      <c r="K62" s="67">
        <v>318</v>
      </c>
      <c r="L62" s="67">
        <v>301</v>
      </c>
      <c r="M62" s="43">
        <f>SUM(J62:L62)</f>
        <v>1013</v>
      </c>
      <c r="N62" s="67">
        <v>272</v>
      </c>
      <c r="O62" s="67">
        <v>226</v>
      </c>
      <c r="P62" s="67">
        <v>179</v>
      </c>
      <c r="Q62" s="43">
        <f>SUM(N62:P62)</f>
        <v>677</v>
      </c>
      <c r="R62" s="43">
        <f>+E62+I62+M62+Q62</f>
        <v>3340</v>
      </c>
    </row>
    <row r="63" spans="1:18" ht="16.5" customHeight="1" thickBot="1" x14ac:dyDescent="0.35">
      <c r="A63" s="42"/>
      <c r="B63" s="37"/>
      <c r="C63" s="37"/>
      <c r="D63" s="37"/>
      <c r="E63" s="26"/>
      <c r="F63" s="37"/>
      <c r="G63" s="37"/>
      <c r="H63" s="37"/>
      <c r="I63" s="26"/>
      <c r="J63" s="37"/>
      <c r="K63" s="37"/>
      <c r="L63" s="37"/>
      <c r="M63" s="26"/>
      <c r="N63" s="37"/>
      <c r="O63" s="37"/>
      <c r="P63" s="37"/>
      <c r="Q63" s="26"/>
      <c r="R63" s="42"/>
    </row>
    <row r="64" spans="1:18" ht="15.75" customHeight="1" x14ac:dyDescent="0.3">
      <c r="A64" s="17" t="s">
        <v>38</v>
      </c>
      <c r="B64" s="1">
        <f>+B61+B62</f>
        <v>96</v>
      </c>
      <c r="C64" s="1">
        <f>+C61+C62</f>
        <v>145</v>
      </c>
      <c r="D64" s="1">
        <f>+D61+D62</f>
        <v>261</v>
      </c>
      <c r="E64" s="327">
        <f>SUM(B64:D64)</f>
        <v>502</v>
      </c>
      <c r="F64" s="1">
        <f>+F61+F62</f>
        <v>350</v>
      </c>
      <c r="G64" s="1">
        <f>+G61+G62</f>
        <v>402</v>
      </c>
      <c r="H64" s="1">
        <f>+H61+H62</f>
        <v>396</v>
      </c>
      <c r="I64" s="327">
        <f>SUM(F64:H64)</f>
        <v>1148</v>
      </c>
      <c r="J64" s="1">
        <f>+J61+J62</f>
        <v>394</v>
      </c>
      <c r="K64" s="1">
        <f>+K61+K62</f>
        <v>318</v>
      </c>
      <c r="L64" s="1">
        <f>+L61+L62</f>
        <v>301</v>
      </c>
      <c r="M64" s="327">
        <f>SUM(J64:L64)</f>
        <v>1013</v>
      </c>
      <c r="N64" s="1">
        <f>+N61+N62</f>
        <v>272</v>
      </c>
      <c r="O64" s="1">
        <f>+O61+O62</f>
        <v>226</v>
      </c>
      <c r="P64" s="1">
        <f>+P61+P62</f>
        <v>179</v>
      </c>
      <c r="Q64" s="328">
        <f>SUM(N64:P64)</f>
        <v>677</v>
      </c>
      <c r="R64" s="18">
        <f>+E64+I64+M64+Q64</f>
        <v>3340</v>
      </c>
    </row>
    <row r="65" spans="1:20" ht="15.75" customHeight="1" x14ac:dyDescent="0.3">
      <c r="A65" s="17" t="s">
        <v>39</v>
      </c>
      <c r="B65" s="1">
        <f>(B64/B10)/1.983</f>
        <v>1.5616612171197111</v>
      </c>
      <c r="C65" s="1">
        <f>(C64/C10)/1.983</f>
        <v>2.6114833225271954</v>
      </c>
      <c r="D65" s="1">
        <f>(D64/D10)/1.983</f>
        <v>4.2457664340442145</v>
      </c>
      <c r="E65" s="18"/>
      <c r="F65" s="1">
        <f>(F64/F10)/1.983</f>
        <v>5.8833417381072444</v>
      </c>
      <c r="G65" s="1">
        <f>(G64/G10)/1.983</f>
        <v>6.5394563466887892</v>
      </c>
      <c r="H65" s="1">
        <f>(H64/H10)/1.983</f>
        <v>6.6565809379727678</v>
      </c>
      <c r="I65" s="18"/>
      <c r="J65" s="1">
        <f>(J64/J10)/1.983</f>
        <v>6.4093179119288139</v>
      </c>
      <c r="K65" s="1">
        <f>(K64/K10)/1.983</f>
        <v>5.1730027817090427</v>
      </c>
      <c r="L65" s="1">
        <f>(L64/L10)/1.983</f>
        <v>5.0596738947722306</v>
      </c>
      <c r="M65" s="18"/>
      <c r="N65" s="1">
        <f>(N64/N10)/1.983</f>
        <v>4.4247067818391805</v>
      </c>
      <c r="O65" s="1">
        <f>(O64/O10)/1.983</f>
        <v>3.7989578080349635</v>
      </c>
      <c r="P65" s="1">
        <f>(P64/P10)/1.983</f>
        <v>2.9118474777544612</v>
      </c>
      <c r="Q65" s="19"/>
      <c r="R65" s="68"/>
    </row>
    <row r="66" spans="1:20" ht="15.75" customHeight="1" x14ac:dyDescent="0.3">
      <c r="A66" s="17" t="s">
        <v>71</v>
      </c>
      <c r="B66" s="1">
        <f>B64+B137</f>
        <v>121066</v>
      </c>
      <c r="C66" s="1">
        <f>C64+C137</f>
        <v>110330</v>
      </c>
      <c r="D66" s="1">
        <f>D64+D137</f>
        <v>148120</v>
      </c>
      <c r="E66" s="18">
        <f>SUM(B66:D66)</f>
        <v>379516</v>
      </c>
      <c r="F66" s="1">
        <f>F64+F137</f>
        <v>162576</v>
      </c>
      <c r="G66" s="1">
        <f>G64+G137</f>
        <v>167209</v>
      </c>
      <c r="H66" s="1">
        <f>H64+H137</f>
        <v>89548</v>
      </c>
      <c r="I66" s="18">
        <f>SUM(F66:H66)</f>
        <v>419333</v>
      </c>
      <c r="J66" s="1">
        <f>J64+J137</f>
        <v>56940</v>
      </c>
      <c r="K66" s="1">
        <f>K64+K137</f>
        <v>50381</v>
      </c>
      <c r="L66" s="1">
        <f>L64+L137</f>
        <v>107234</v>
      </c>
      <c r="M66" s="18">
        <f>SUM(J66:L66)</f>
        <v>214555</v>
      </c>
      <c r="N66" s="1">
        <f>N64+N137</f>
        <v>138818</v>
      </c>
      <c r="O66" s="1">
        <f>O64+O137</f>
        <v>123205</v>
      </c>
      <c r="P66" s="1">
        <f>P64+P137</f>
        <v>85646</v>
      </c>
      <c r="Q66" s="19">
        <f>SUM(N66:P66)</f>
        <v>347669</v>
      </c>
      <c r="R66" s="18">
        <f>+E66+I66+M66+Q66</f>
        <v>1361073</v>
      </c>
    </row>
    <row r="67" spans="1:20" ht="16.5" customHeight="1" thickBot="1" x14ac:dyDescent="0.35">
      <c r="A67" s="24" t="s">
        <v>72</v>
      </c>
      <c r="B67" s="25">
        <f>(B66/B10)/1.983</f>
        <v>1969.4174678314057</v>
      </c>
      <c r="C67" s="25">
        <f>(C66/C10)/1.983</f>
        <v>1987.0686549960376</v>
      </c>
      <c r="D67" s="25">
        <f>(D66/D10)/1.983</f>
        <v>2409.513119580954</v>
      </c>
      <c r="E67" s="26"/>
      <c r="F67" s="25">
        <f>(F66/F10)/1.983</f>
        <v>2732.8290468986384</v>
      </c>
      <c r="G67" s="25">
        <f>(G66/G10)/1.983</f>
        <v>2720.0396922226018</v>
      </c>
      <c r="H67" s="25">
        <f>(H66/H10)/1.983</f>
        <v>1505.2613884686502</v>
      </c>
      <c r="I67" s="26"/>
      <c r="J67" s="25">
        <f>(J66/J10)/1.983</f>
        <v>926.26030940412863</v>
      </c>
      <c r="K67" s="25">
        <f>(K66/K10)/1.983</f>
        <v>819.56306020529337</v>
      </c>
      <c r="L67" s="25">
        <f>(L66/L10)/1.983</f>
        <v>1802.5550512691209</v>
      </c>
      <c r="M67" s="26"/>
      <c r="N67" s="25">
        <f>(N66/N10)/1.983</f>
        <v>2258.194654563792</v>
      </c>
      <c r="O67" s="25">
        <f>(O66/O10)/1.983</f>
        <v>2071.0203395528656</v>
      </c>
      <c r="P67" s="25">
        <f>(P66/P10)/1.983</f>
        <v>1393.2295479316124</v>
      </c>
      <c r="Q67" s="27"/>
      <c r="R67" s="69" t="s">
        <v>7</v>
      </c>
    </row>
    <row r="68" spans="1:20" ht="15.75" customHeight="1" x14ac:dyDescent="0.3">
      <c r="A68" s="28"/>
      <c r="B68" s="1"/>
      <c r="C68" s="1"/>
      <c r="D68" s="1"/>
      <c r="E68" s="1"/>
      <c r="F68" s="1"/>
      <c r="G68" s="1"/>
      <c r="H68" s="1"/>
      <c r="I68" s="1"/>
      <c r="J68" s="1"/>
      <c r="K68" s="1"/>
      <c r="L68" s="1"/>
      <c r="M68" s="1"/>
      <c r="N68" s="1"/>
      <c r="O68" s="1"/>
      <c r="P68" s="1"/>
      <c r="Q68" s="1"/>
      <c r="R68" s="28"/>
    </row>
    <row r="69" spans="1:20" ht="15.75" customHeight="1" thickBot="1" x14ac:dyDescent="0.35">
      <c r="A69" s="28"/>
      <c r="B69" s="1"/>
      <c r="C69" s="1"/>
      <c r="D69" s="1"/>
      <c r="E69" s="1"/>
      <c r="F69" s="1"/>
      <c r="G69" s="1"/>
      <c r="H69" s="1"/>
      <c r="I69" s="1"/>
      <c r="J69" s="1"/>
      <c r="K69" s="1"/>
      <c r="L69" s="1"/>
      <c r="M69" s="1"/>
      <c r="N69" s="1"/>
      <c r="O69" s="1"/>
      <c r="P69" s="1"/>
      <c r="Q69" s="1"/>
      <c r="R69" s="28"/>
    </row>
    <row r="70" spans="1:20" ht="16.5" customHeight="1" thickBot="1" x14ac:dyDescent="0.35">
      <c r="A70" s="31" t="s">
        <v>73</v>
      </c>
      <c r="B70" s="323" t="s">
        <v>36</v>
      </c>
      <c r="C70" s="324" t="s">
        <v>9</v>
      </c>
      <c r="D70" s="324" t="s">
        <v>10</v>
      </c>
      <c r="E70" s="325" t="s">
        <v>11</v>
      </c>
      <c r="F70" s="324" t="s">
        <v>12</v>
      </c>
      <c r="G70" s="324" t="s">
        <v>13</v>
      </c>
      <c r="H70" s="324" t="s">
        <v>14</v>
      </c>
      <c r="I70" s="34" t="s">
        <v>15</v>
      </c>
      <c r="J70" s="324" t="s">
        <v>16</v>
      </c>
      <c r="K70" s="324" t="s">
        <v>17</v>
      </c>
      <c r="L70" s="324" t="s">
        <v>18</v>
      </c>
      <c r="M70" s="34" t="s">
        <v>19</v>
      </c>
      <c r="N70" s="324" t="s">
        <v>20</v>
      </c>
      <c r="O70" s="324" t="s">
        <v>21</v>
      </c>
      <c r="P70" s="324" t="s">
        <v>22</v>
      </c>
      <c r="Q70" s="34" t="s">
        <v>23</v>
      </c>
      <c r="R70" s="326" t="s">
        <v>24</v>
      </c>
    </row>
    <row r="71" spans="1:20" ht="16.5" customHeight="1" thickBot="1" x14ac:dyDescent="0.35">
      <c r="A71" s="70"/>
      <c r="B71" s="14"/>
      <c r="C71" s="71"/>
      <c r="D71" s="71"/>
      <c r="E71" s="72"/>
      <c r="F71" s="71"/>
      <c r="G71" s="71"/>
      <c r="H71" s="71"/>
      <c r="I71" s="72"/>
      <c r="J71" s="71"/>
      <c r="K71" s="71"/>
      <c r="L71" s="71"/>
      <c r="M71" s="72"/>
      <c r="N71" s="71"/>
      <c r="O71" s="71"/>
      <c r="P71" s="73"/>
      <c r="Q71" s="72"/>
      <c r="R71" s="64"/>
    </row>
    <row r="72" spans="1:20" ht="15.75" customHeight="1" x14ac:dyDescent="0.3">
      <c r="A72" s="333" t="s">
        <v>45</v>
      </c>
      <c r="B72" s="30"/>
      <c r="C72" s="30"/>
      <c r="D72" s="30"/>
      <c r="E72" s="59" t="s">
        <v>7</v>
      </c>
      <c r="F72" s="30"/>
      <c r="G72" s="30"/>
      <c r="H72" s="30"/>
      <c r="I72" s="59" t="s">
        <v>7</v>
      </c>
      <c r="J72" s="30"/>
      <c r="K72" s="30"/>
      <c r="L72" s="30"/>
      <c r="M72" s="59" t="s">
        <v>7</v>
      </c>
      <c r="N72" s="30"/>
      <c r="O72" s="30"/>
      <c r="P72" s="30"/>
      <c r="Q72" s="59" t="s">
        <v>7</v>
      </c>
      <c r="R72" s="59" t="s">
        <v>7</v>
      </c>
    </row>
    <row r="73" spans="1:20" ht="15.75" customHeight="1" x14ac:dyDescent="0.3">
      <c r="A73" s="22" t="s">
        <v>46</v>
      </c>
      <c r="B73" s="30"/>
      <c r="C73" s="60"/>
      <c r="D73" s="60"/>
      <c r="E73" s="59" t="s">
        <v>7</v>
      </c>
      <c r="F73" s="60"/>
      <c r="G73" s="60"/>
      <c r="H73" s="60"/>
      <c r="I73" s="59" t="s">
        <v>7</v>
      </c>
      <c r="J73" s="60"/>
      <c r="K73" s="60"/>
      <c r="L73" s="60"/>
      <c r="M73" s="59" t="s">
        <v>7</v>
      </c>
      <c r="N73" s="60"/>
      <c r="O73" s="60"/>
      <c r="P73" s="60"/>
      <c r="Q73" s="59" t="s">
        <v>7</v>
      </c>
      <c r="R73" s="59" t="s">
        <v>7</v>
      </c>
    </row>
    <row r="74" spans="1:20" ht="15.75" customHeight="1" x14ac:dyDescent="0.3">
      <c r="A74" s="74" t="s">
        <v>74</v>
      </c>
      <c r="B74" s="1"/>
      <c r="C74" s="1"/>
      <c r="D74" s="1"/>
      <c r="E74" s="59">
        <f t="shared" ref="E74:E84" si="9">SUM(B74:D74)</f>
        <v>0</v>
      </c>
      <c r="F74" s="1"/>
      <c r="G74" s="1"/>
      <c r="H74" s="1"/>
      <c r="I74" s="59">
        <f t="shared" ref="I74:I84" si="10">SUM(F74:H74)</f>
        <v>0</v>
      </c>
      <c r="J74" s="1"/>
      <c r="K74" s="1"/>
      <c r="L74" s="1"/>
      <c r="M74" s="59">
        <f t="shared" ref="M74:M84" si="11">SUM(J74:L74)</f>
        <v>0</v>
      </c>
      <c r="N74" s="1"/>
      <c r="O74" s="1"/>
      <c r="P74" s="1"/>
      <c r="Q74" s="59">
        <f t="shared" ref="Q74:Q84" si="12">SUM(N74:P74)</f>
        <v>0</v>
      </c>
      <c r="R74" s="59">
        <f t="shared" ref="R74:R84" si="13">+E74+I74+M74+Q74</f>
        <v>0</v>
      </c>
    </row>
    <row r="75" spans="1:20" ht="15.75" customHeight="1" x14ac:dyDescent="0.3">
      <c r="A75" s="74" t="s">
        <v>75</v>
      </c>
      <c r="B75" s="1"/>
      <c r="C75" s="1"/>
      <c r="D75" s="1"/>
      <c r="E75" s="59">
        <f>SUM(B75:D75)</f>
        <v>0</v>
      </c>
      <c r="F75" s="1"/>
      <c r="G75" s="1"/>
      <c r="H75" s="1"/>
      <c r="I75" s="59">
        <f>SUM(F75:H75)</f>
        <v>0</v>
      </c>
      <c r="J75" s="1"/>
      <c r="K75" s="1"/>
      <c r="L75" s="1"/>
      <c r="M75" s="59">
        <f>SUM(J75:L75)</f>
        <v>0</v>
      </c>
      <c r="N75" s="1"/>
      <c r="O75" s="1"/>
      <c r="P75" s="1"/>
      <c r="Q75" s="59">
        <f>SUM(N75:P75)</f>
        <v>0</v>
      </c>
      <c r="R75" s="59">
        <f>+E75+I75+M75+Q75</f>
        <v>0</v>
      </c>
    </row>
    <row r="76" spans="1:20" ht="15.75" customHeight="1" x14ac:dyDescent="0.3">
      <c r="A76" s="74" t="s">
        <v>76</v>
      </c>
      <c r="B76" s="1"/>
      <c r="C76" s="1"/>
      <c r="D76" s="1"/>
      <c r="E76" s="59">
        <f t="shared" si="9"/>
        <v>0</v>
      </c>
      <c r="F76" s="1"/>
      <c r="G76" s="1"/>
      <c r="H76" s="1"/>
      <c r="I76" s="59">
        <f t="shared" si="10"/>
        <v>0</v>
      </c>
      <c r="J76" s="1"/>
      <c r="K76" s="1"/>
      <c r="L76" s="1"/>
      <c r="M76" s="59">
        <f t="shared" si="11"/>
        <v>0</v>
      </c>
      <c r="N76" s="1"/>
      <c r="O76" s="1"/>
      <c r="P76" s="1"/>
      <c r="Q76" s="59">
        <f t="shared" si="12"/>
        <v>0</v>
      </c>
      <c r="R76" s="59">
        <f t="shared" si="13"/>
        <v>0</v>
      </c>
    </row>
    <row r="77" spans="1:20" ht="15.75" customHeight="1" x14ac:dyDescent="0.3">
      <c r="A77" s="74" t="s">
        <v>77</v>
      </c>
      <c r="B77" s="1"/>
      <c r="C77" s="1"/>
      <c r="D77" s="1"/>
      <c r="E77" s="59">
        <f t="shared" si="9"/>
        <v>0</v>
      </c>
      <c r="F77" s="1"/>
      <c r="G77" s="1"/>
      <c r="H77" s="1"/>
      <c r="I77" s="59">
        <f t="shared" si="10"/>
        <v>0</v>
      </c>
      <c r="K77" s="1"/>
      <c r="L77" s="1"/>
      <c r="M77" s="59">
        <f t="shared" si="11"/>
        <v>0</v>
      </c>
      <c r="N77" s="1"/>
      <c r="O77" s="1"/>
      <c r="P77" s="1"/>
      <c r="Q77" s="59">
        <f t="shared" si="12"/>
        <v>0</v>
      </c>
      <c r="R77" s="59">
        <f t="shared" si="13"/>
        <v>0</v>
      </c>
      <c r="T77" s="4" t="s">
        <v>78</v>
      </c>
    </row>
    <row r="78" spans="1:20" ht="15.75" customHeight="1" x14ac:dyDescent="0.3">
      <c r="A78" s="74" t="s">
        <v>79</v>
      </c>
      <c r="B78" s="1"/>
      <c r="C78" s="1"/>
      <c r="D78" s="1"/>
      <c r="E78" s="59">
        <f t="shared" si="9"/>
        <v>0</v>
      </c>
      <c r="F78" s="1"/>
      <c r="G78" s="1"/>
      <c r="H78" s="1"/>
      <c r="I78" s="59">
        <f t="shared" si="10"/>
        <v>0</v>
      </c>
      <c r="J78" s="1"/>
      <c r="K78" s="1"/>
      <c r="L78" s="1"/>
      <c r="M78" s="59">
        <f t="shared" si="11"/>
        <v>0</v>
      </c>
      <c r="N78" s="1"/>
      <c r="O78" s="1"/>
      <c r="P78" s="1"/>
      <c r="Q78" s="59">
        <f t="shared" si="12"/>
        <v>0</v>
      </c>
      <c r="R78" s="59">
        <f t="shared" si="13"/>
        <v>0</v>
      </c>
      <c r="S78" s="75" t="s">
        <v>80</v>
      </c>
      <c r="T78" s="4" t="s">
        <v>78</v>
      </c>
    </row>
    <row r="79" spans="1:20" ht="15.75" customHeight="1" x14ac:dyDescent="0.3">
      <c r="A79" s="74" t="s">
        <v>81</v>
      </c>
      <c r="B79" s="1"/>
      <c r="C79" s="1"/>
      <c r="D79" s="1"/>
      <c r="E79" s="59">
        <f t="shared" si="9"/>
        <v>0</v>
      </c>
      <c r="F79" s="1"/>
      <c r="G79" s="1"/>
      <c r="H79" s="1"/>
      <c r="I79" s="59">
        <f t="shared" si="10"/>
        <v>0</v>
      </c>
      <c r="J79" s="1"/>
      <c r="K79" s="1"/>
      <c r="L79" s="1"/>
      <c r="M79" s="59">
        <f t="shared" si="11"/>
        <v>0</v>
      </c>
      <c r="N79" s="1"/>
      <c r="O79" s="1"/>
      <c r="P79" s="1"/>
      <c r="Q79" s="59">
        <f t="shared" si="12"/>
        <v>0</v>
      </c>
      <c r="R79" s="59">
        <f t="shared" si="13"/>
        <v>0</v>
      </c>
    </row>
    <row r="80" spans="1:20" ht="15.75" customHeight="1" x14ac:dyDescent="0.3">
      <c r="A80" s="74" t="s">
        <v>82</v>
      </c>
      <c r="B80" s="1"/>
      <c r="C80" s="1"/>
      <c r="D80" s="1"/>
      <c r="E80" s="59">
        <f t="shared" si="9"/>
        <v>0</v>
      </c>
      <c r="F80" s="1"/>
      <c r="G80" s="1"/>
      <c r="H80" s="1"/>
      <c r="I80" s="59">
        <f t="shared" si="10"/>
        <v>0</v>
      </c>
      <c r="J80" s="1"/>
      <c r="K80" s="1"/>
      <c r="L80" s="1"/>
      <c r="M80" s="59">
        <f t="shared" si="11"/>
        <v>0</v>
      </c>
      <c r="N80" s="1"/>
      <c r="O80" s="1"/>
      <c r="P80" s="1"/>
      <c r="Q80" s="59">
        <f t="shared" si="12"/>
        <v>0</v>
      </c>
      <c r="R80" s="59">
        <f t="shared" si="13"/>
        <v>0</v>
      </c>
      <c r="T80" s="4" t="s">
        <v>83</v>
      </c>
    </row>
    <row r="81" spans="1:20" ht="15.75" customHeight="1" x14ac:dyDescent="0.3">
      <c r="A81" s="76" t="s">
        <v>84</v>
      </c>
      <c r="B81" s="1"/>
      <c r="C81" s="1"/>
      <c r="D81" s="1"/>
      <c r="E81" s="59">
        <f t="shared" si="9"/>
        <v>0</v>
      </c>
      <c r="F81" s="1"/>
      <c r="G81" s="1">
        <v>512</v>
      </c>
      <c r="H81" s="1">
        <v>512</v>
      </c>
      <c r="I81" s="59">
        <f t="shared" si="10"/>
        <v>1024</v>
      </c>
      <c r="J81" s="1">
        <v>512</v>
      </c>
      <c r="K81" s="1">
        <v>512</v>
      </c>
      <c r="L81" s="1"/>
      <c r="M81" s="59">
        <f t="shared" si="11"/>
        <v>1024</v>
      </c>
      <c r="N81" s="1"/>
      <c r="O81" s="1"/>
      <c r="P81" s="1"/>
      <c r="Q81" s="59">
        <f t="shared" si="12"/>
        <v>0</v>
      </c>
      <c r="R81" s="59">
        <f t="shared" si="13"/>
        <v>2048</v>
      </c>
    </row>
    <row r="82" spans="1:20" ht="15.75" customHeight="1" x14ac:dyDescent="0.3">
      <c r="A82" s="76" t="s">
        <v>85</v>
      </c>
      <c r="B82" s="1"/>
      <c r="C82" s="1"/>
      <c r="D82" s="1"/>
      <c r="E82" s="59">
        <f t="shared" si="9"/>
        <v>0</v>
      </c>
      <c r="F82" s="1"/>
      <c r="G82" s="1"/>
      <c r="H82" s="1"/>
      <c r="I82" s="59">
        <f t="shared" si="10"/>
        <v>0</v>
      </c>
      <c r="J82" s="1"/>
      <c r="K82" s="1"/>
      <c r="L82" s="1"/>
      <c r="M82" s="59">
        <f t="shared" si="11"/>
        <v>0</v>
      </c>
      <c r="N82" s="1"/>
      <c r="O82" s="1"/>
      <c r="P82" s="1"/>
      <c r="Q82" s="59">
        <f t="shared" si="12"/>
        <v>0</v>
      </c>
      <c r="R82" s="59">
        <f t="shared" si="13"/>
        <v>0</v>
      </c>
    </row>
    <row r="83" spans="1:20" ht="15.75" customHeight="1" x14ac:dyDescent="0.3">
      <c r="A83" s="76" t="s">
        <v>86</v>
      </c>
      <c r="B83" s="1"/>
      <c r="C83" s="1"/>
      <c r="D83" s="1"/>
      <c r="E83" s="59">
        <f>SUM(B83:D83)</f>
        <v>0</v>
      </c>
      <c r="F83" s="1"/>
      <c r="G83" s="1"/>
      <c r="H83" s="1"/>
      <c r="I83" s="59">
        <f>SUM(F83:H83)</f>
        <v>0</v>
      </c>
      <c r="J83" s="1"/>
      <c r="K83" s="1"/>
      <c r="L83" s="1"/>
      <c r="M83" s="59">
        <f>SUM(J83:L83)</f>
        <v>0</v>
      </c>
      <c r="N83" s="1"/>
      <c r="O83" s="1"/>
      <c r="P83" s="1"/>
      <c r="Q83" s="59">
        <f>SUM(N83:P83)</f>
        <v>0</v>
      </c>
      <c r="R83" s="59">
        <f t="shared" si="13"/>
        <v>0</v>
      </c>
    </row>
    <row r="84" spans="1:20" ht="15.75" customHeight="1" x14ac:dyDescent="0.3">
      <c r="A84" s="76" t="s">
        <v>87</v>
      </c>
      <c r="B84" s="1"/>
      <c r="C84" s="1"/>
      <c r="D84" s="1"/>
      <c r="E84" s="59">
        <f t="shared" si="9"/>
        <v>0</v>
      </c>
      <c r="F84" s="1"/>
      <c r="G84" s="1"/>
      <c r="H84" s="1"/>
      <c r="I84" s="59">
        <f t="shared" si="10"/>
        <v>0</v>
      </c>
      <c r="J84" s="1"/>
      <c r="K84" s="1"/>
      <c r="L84" s="1"/>
      <c r="M84" s="59">
        <f t="shared" si="11"/>
        <v>0</v>
      </c>
      <c r="N84" s="1"/>
      <c r="O84" s="1"/>
      <c r="P84" s="1"/>
      <c r="Q84" s="59">
        <f t="shared" si="12"/>
        <v>0</v>
      </c>
      <c r="R84" s="59">
        <f t="shared" si="13"/>
        <v>0</v>
      </c>
      <c r="S84" s="4">
        <f>SUM(R74:R84)</f>
        <v>2048</v>
      </c>
    </row>
    <row r="85" spans="1:20" ht="15.75" customHeight="1" x14ac:dyDescent="0.3">
      <c r="A85" s="22" t="s">
        <v>47</v>
      </c>
      <c r="B85" s="30"/>
      <c r="C85" s="30"/>
      <c r="D85" s="30"/>
      <c r="E85" s="59" t="s">
        <v>7</v>
      </c>
      <c r="F85" s="30"/>
      <c r="G85" s="30"/>
      <c r="H85" s="30"/>
      <c r="I85" s="59" t="s">
        <v>7</v>
      </c>
      <c r="J85" s="30"/>
      <c r="K85" s="30"/>
      <c r="L85" s="30"/>
      <c r="M85" s="59" t="s">
        <v>7</v>
      </c>
      <c r="N85" s="30"/>
      <c r="O85" s="30"/>
      <c r="P85" s="30"/>
      <c r="Q85" s="59" t="s">
        <v>7</v>
      </c>
      <c r="R85" s="59" t="s">
        <v>7</v>
      </c>
    </row>
    <row r="86" spans="1:20" ht="15.75" customHeight="1" x14ac:dyDescent="0.3">
      <c r="A86" s="76" t="s">
        <v>88</v>
      </c>
      <c r="B86" s="1"/>
      <c r="C86" s="1"/>
      <c r="D86" s="1"/>
      <c r="E86" s="59">
        <f>SUM(B86:D86)</f>
        <v>0</v>
      </c>
      <c r="F86" s="1"/>
      <c r="G86" s="1"/>
      <c r="H86" s="1"/>
      <c r="I86" s="59">
        <f>SUM(F86:H86)</f>
        <v>0</v>
      </c>
      <c r="J86" s="1"/>
      <c r="K86" s="1"/>
      <c r="L86" s="1"/>
      <c r="M86" s="59">
        <f>SUM(J86:L86)</f>
        <v>0</v>
      </c>
      <c r="N86" s="1"/>
      <c r="O86" s="1"/>
      <c r="P86" s="1"/>
      <c r="Q86" s="59">
        <f>SUM(N86:P86)</f>
        <v>0</v>
      </c>
      <c r="R86" s="59">
        <f>+E86+I86+M86+Q86</f>
        <v>0</v>
      </c>
    </row>
    <row r="87" spans="1:20" ht="15.75" customHeight="1" x14ac:dyDescent="0.3">
      <c r="A87" s="22" t="s">
        <v>49</v>
      </c>
      <c r="B87" s="30"/>
      <c r="C87" s="30"/>
      <c r="D87" s="30"/>
      <c r="E87" s="59" t="s">
        <v>50</v>
      </c>
      <c r="F87" s="30"/>
      <c r="G87" s="30"/>
      <c r="H87" s="30"/>
      <c r="I87" s="59" t="s">
        <v>50</v>
      </c>
      <c r="J87" s="30"/>
      <c r="K87" s="30"/>
      <c r="L87" s="30"/>
      <c r="M87" s="59" t="s">
        <v>50</v>
      </c>
      <c r="N87" s="30"/>
      <c r="O87" s="30"/>
      <c r="P87" s="30"/>
      <c r="Q87" s="59" t="s">
        <v>50</v>
      </c>
      <c r="R87" s="59" t="s">
        <v>50</v>
      </c>
    </row>
    <row r="88" spans="1:20" ht="15.75" customHeight="1" x14ac:dyDescent="0.3">
      <c r="A88" s="61" t="s">
        <v>89</v>
      </c>
      <c r="B88" s="1"/>
      <c r="C88" s="1"/>
      <c r="D88" s="1"/>
      <c r="E88" s="59">
        <f>SUM(B88:D88)</f>
        <v>0</v>
      </c>
      <c r="F88" s="1"/>
      <c r="G88" s="1"/>
      <c r="H88" s="1"/>
      <c r="I88" s="59">
        <f>SUM(F88:H88)</f>
        <v>0</v>
      </c>
      <c r="J88" s="1"/>
      <c r="K88" s="1"/>
      <c r="L88" s="1"/>
      <c r="M88" s="59">
        <f>SUM(J88:L88)</f>
        <v>0</v>
      </c>
      <c r="N88" s="1"/>
      <c r="O88" s="1"/>
      <c r="P88" s="1"/>
      <c r="Q88" s="59">
        <f>SUM(N88:P88)</f>
        <v>0</v>
      </c>
      <c r="R88" s="59">
        <f>+E88+I88+M88+Q88</f>
        <v>0</v>
      </c>
      <c r="S88" s="77" t="s">
        <v>90</v>
      </c>
    </row>
    <row r="89" spans="1:20" ht="15.75" customHeight="1" x14ac:dyDescent="0.3">
      <c r="A89" s="61" t="s">
        <v>91</v>
      </c>
      <c r="B89" s="1"/>
      <c r="C89" s="1"/>
      <c r="D89" s="1"/>
      <c r="E89" s="59">
        <f>SUM(B89:D89)</f>
        <v>0</v>
      </c>
      <c r="F89" s="1"/>
      <c r="G89" s="1"/>
      <c r="H89" s="1"/>
      <c r="I89" s="59">
        <f>SUM(F89:H89)</f>
        <v>0</v>
      </c>
      <c r="J89" s="1"/>
      <c r="K89" s="1"/>
      <c r="L89" s="1"/>
      <c r="M89" s="59">
        <f>SUM(J89:L89)</f>
        <v>0</v>
      </c>
      <c r="N89" s="1"/>
      <c r="O89" s="1"/>
      <c r="P89" s="1"/>
      <c r="Q89" s="59">
        <f>SUM(N89:P89)</f>
        <v>0</v>
      </c>
      <c r="R89" s="59">
        <f>+E89+I89+M89+Q89</f>
        <v>0</v>
      </c>
      <c r="S89" s="77" t="s">
        <v>90</v>
      </c>
      <c r="T89" s="4" t="s">
        <v>78</v>
      </c>
    </row>
    <row r="90" spans="1:20" ht="15.75" customHeight="1" thickBot="1" x14ac:dyDescent="0.35">
      <c r="A90" s="22" t="s">
        <v>51</v>
      </c>
      <c r="B90" s="60"/>
      <c r="C90" s="60"/>
      <c r="D90" s="60"/>
      <c r="E90" s="59" t="s">
        <v>7</v>
      </c>
      <c r="F90" s="60"/>
      <c r="G90" s="60"/>
      <c r="H90" s="60"/>
      <c r="I90" s="59" t="s">
        <v>7</v>
      </c>
      <c r="J90" s="60"/>
      <c r="K90" s="60"/>
      <c r="L90" s="60"/>
      <c r="M90" s="59" t="s">
        <v>7</v>
      </c>
      <c r="N90" s="60"/>
      <c r="O90" s="60"/>
      <c r="P90" s="60"/>
      <c r="Q90" s="59" t="s">
        <v>7</v>
      </c>
      <c r="R90" s="59" t="s">
        <v>7</v>
      </c>
    </row>
    <row r="91" spans="1:20" ht="16.5" customHeight="1" thickBot="1" x14ac:dyDescent="0.35">
      <c r="A91" s="62" t="s">
        <v>52</v>
      </c>
      <c r="B91" s="63">
        <f>SUM(B72:B90)</f>
        <v>0</v>
      </c>
      <c r="C91" s="63">
        <f>SUM(C72:C90)</f>
        <v>0</v>
      </c>
      <c r="D91" s="63">
        <f>SUM(D72:D90)</f>
        <v>0</v>
      </c>
      <c r="E91" s="64">
        <f>SUM(B91:D91)</f>
        <v>0</v>
      </c>
      <c r="F91" s="63">
        <f>SUM(F72:F90)</f>
        <v>0</v>
      </c>
      <c r="G91" s="63">
        <f>SUM(G72:G90)</f>
        <v>512</v>
      </c>
      <c r="H91" s="63">
        <f>SUM(H72:H90)</f>
        <v>512</v>
      </c>
      <c r="I91" s="64">
        <f>SUM(F91:H91)</f>
        <v>1024</v>
      </c>
      <c r="J91" s="63">
        <f>SUM(J72:J90)</f>
        <v>512</v>
      </c>
      <c r="K91" s="63">
        <f>SUM(K72:K90)</f>
        <v>512</v>
      </c>
      <c r="L91" s="63">
        <f>SUM(L72:L90)</f>
        <v>0</v>
      </c>
      <c r="M91" s="64">
        <f>SUM(J91:L91)</f>
        <v>1024</v>
      </c>
      <c r="N91" s="63">
        <f>SUM(N72:N90)</f>
        <v>0</v>
      </c>
      <c r="O91" s="63">
        <f>SUM(O72:O90)</f>
        <v>0</v>
      </c>
      <c r="P91" s="63">
        <f>SUM(P72:P90)</f>
        <v>0</v>
      </c>
      <c r="Q91" s="64">
        <f>SUM(N91:P91)</f>
        <v>0</v>
      </c>
      <c r="R91" s="64">
        <f>+E91+I91+M91+Q91</f>
        <v>2048</v>
      </c>
    </row>
    <row r="92" spans="1:20" ht="15.75" customHeight="1" x14ac:dyDescent="0.3">
      <c r="A92" s="22" t="s">
        <v>53</v>
      </c>
      <c r="B92" s="60"/>
      <c r="C92" s="60"/>
      <c r="D92" s="60"/>
      <c r="E92" s="59" t="s">
        <v>7</v>
      </c>
      <c r="F92" s="60"/>
      <c r="G92" s="60"/>
      <c r="H92" s="60"/>
      <c r="I92" s="59" t="s">
        <v>7</v>
      </c>
      <c r="J92" s="60"/>
      <c r="K92" s="60"/>
      <c r="L92" s="60"/>
      <c r="M92" s="59" t="s">
        <v>7</v>
      </c>
      <c r="N92" s="60"/>
      <c r="O92" s="60"/>
      <c r="P92" s="60"/>
      <c r="Q92" s="59" t="s">
        <v>7</v>
      </c>
      <c r="R92" s="334" t="s">
        <v>7</v>
      </c>
    </row>
    <row r="93" spans="1:20" ht="15.75" customHeight="1" x14ac:dyDescent="0.3">
      <c r="A93" s="22" t="s">
        <v>54</v>
      </c>
      <c r="B93" s="60"/>
      <c r="C93" s="60"/>
      <c r="D93" s="60"/>
      <c r="E93" s="59" t="s">
        <v>7</v>
      </c>
      <c r="F93" s="60"/>
      <c r="G93" s="60"/>
      <c r="H93" s="60"/>
      <c r="I93" s="59" t="s">
        <v>7</v>
      </c>
      <c r="J93" s="60"/>
      <c r="K93" s="60"/>
      <c r="L93" s="60"/>
      <c r="M93" s="59" t="s">
        <v>7</v>
      </c>
      <c r="N93" s="60"/>
      <c r="O93" s="60"/>
      <c r="P93" s="60"/>
      <c r="Q93" s="59" t="s">
        <v>7</v>
      </c>
      <c r="R93" s="59" t="s">
        <v>7</v>
      </c>
    </row>
    <row r="94" spans="1:20" ht="15.75" customHeight="1" x14ac:dyDescent="0.3">
      <c r="A94" s="22" t="s">
        <v>55</v>
      </c>
      <c r="B94" s="60"/>
      <c r="C94" s="60"/>
      <c r="D94" s="60"/>
      <c r="E94" s="59" t="s">
        <v>7</v>
      </c>
      <c r="F94" s="60"/>
      <c r="G94" s="60"/>
      <c r="H94" s="60"/>
      <c r="I94" s="59" t="s">
        <v>7</v>
      </c>
      <c r="J94" s="60"/>
      <c r="K94" s="60"/>
      <c r="L94" s="60"/>
      <c r="M94" s="59" t="s">
        <v>7</v>
      </c>
      <c r="N94" s="60"/>
      <c r="O94" s="60"/>
      <c r="P94" s="60"/>
      <c r="Q94" s="59" t="s">
        <v>7</v>
      </c>
      <c r="R94" s="59" t="s">
        <v>7</v>
      </c>
    </row>
    <row r="95" spans="1:20" ht="15.75" customHeight="1" x14ac:dyDescent="0.3">
      <c r="A95" s="76" t="s">
        <v>92</v>
      </c>
      <c r="B95" s="1">
        <v>207</v>
      </c>
      <c r="C95" s="1">
        <v>376</v>
      </c>
      <c r="D95" s="1">
        <v>1222</v>
      </c>
      <c r="E95" s="59">
        <f>SUM(B95:D95)</f>
        <v>1805</v>
      </c>
      <c r="F95" s="1">
        <v>2410</v>
      </c>
      <c r="G95" s="1">
        <v>3702</v>
      </c>
      <c r="H95" s="1">
        <v>3734</v>
      </c>
      <c r="I95" s="59">
        <f>SUM(F95:H95)</f>
        <v>9846</v>
      </c>
      <c r="J95" s="1">
        <v>4513</v>
      </c>
      <c r="K95" s="1">
        <v>3354</v>
      </c>
      <c r="L95" s="1">
        <v>1723</v>
      </c>
      <c r="M95" s="59">
        <f>SUM(J95:L95)</f>
        <v>9590</v>
      </c>
      <c r="N95" s="1">
        <v>1385</v>
      </c>
      <c r="O95" s="1">
        <v>1244</v>
      </c>
      <c r="P95" s="1">
        <v>1642</v>
      </c>
      <c r="Q95" s="59">
        <f>SUM(N95:P95)</f>
        <v>4271</v>
      </c>
      <c r="R95" s="59">
        <f>+E95+I95+M95+Q95</f>
        <v>25512</v>
      </c>
      <c r="T95" s="4" t="s">
        <v>93</v>
      </c>
    </row>
    <row r="96" spans="1:20" ht="15.75" customHeight="1" x14ac:dyDescent="0.3">
      <c r="A96" s="76" t="s">
        <v>94</v>
      </c>
      <c r="B96" s="1">
        <v>100</v>
      </c>
      <c r="C96" s="1">
        <v>100</v>
      </c>
      <c r="D96" s="1">
        <v>168</v>
      </c>
      <c r="E96" s="59">
        <f>SUM(B96:D96)</f>
        <v>368</v>
      </c>
      <c r="F96" s="1">
        <v>213</v>
      </c>
      <c r="G96" s="1">
        <v>431</v>
      </c>
      <c r="H96" s="1">
        <v>424</v>
      </c>
      <c r="I96" s="59">
        <f>SUM(F96:H96)</f>
        <v>1068</v>
      </c>
      <c r="J96" s="1">
        <v>417</v>
      </c>
      <c r="K96" s="1">
        <v>523</v>
      </c>
      <c r="L96" s="1">
        <v>843</v>
      </c>
      <c r="M96" s="59">
        <f>SUM(J96:L96)</f>
        <v>1783</v>
      </c>
      <c r="N96" s="1">
        <v>834</v>
      </c>
      <c r="O96" s="1"/>
      <c r="P96" s="1">
        <v>217</v>
      </c>
      <c r="Q96" s="59">
        <f>SUM(N96:P96)</f>
        <v>1051</v>
      </c>
      <c r="R96" s="59">
        <f>+E96+I96+M96+Q96</f>
        <v>4270</v>
      </c>
      <c r="T96" s="4" t="s">
        <v>78</v>
      </c>
    </row>
    <row r="97" spans="1:20" ht="15.75" customHeight="1" thickBot="1" x14ac:dyDescent="0.35">
      <c r="A97" s="22" t="s">
        <v>56</v>
      </c>
      <c r="B97" s="60"/>
      <c r="C97" s="60"/>
      <c r="D97" s="60"/>
      <c r="E97" s="59" t="s">
        <v>7</v>
      </c>
      <c r="F97" s="60"/>
      <c r="G97" s="60"/>
      <c r="H97" s="60"/>
      <c r="I97" s="59" t="s">
        <v>7</v>
      </c>
      <c r="J97" s="60"/>
      <c r="K97" s="60"/>
      <c r="L97" s="60"/>
      <c r="M97" s="59" t="s">
        <v>7</v>
      </c>
      <c r="N97" s="60"/>
      <c r="O97" s="60"/>
      <c r="P97" s="60"/>
      <c r="Q97" s="59" t="s">
        <v>7</v>
      </c>
      <c r="R97" s="59" t="s">
        <v>7</v>
      </c>
    </row>
    <row r="98" spans="1:20" ht="16.5" customHeight="1" thickBot="1" x14ac:dyDescent="0.35">
      <c r="A98" s="62" t="s">
        <v>57</v>
      </c>
      <c r="B98" s="63">
        <f>SUM(B92:B97)</f>
        <v>307</v>
      </c>
      <c r="C98" s="63">
        <f>SUM(C92:C97)</f>
        <v>476</v>
      </c>
      <c r="D98" s="63">
        <f>SUM(D92:D97)</f>
        <v>1390</v>
      </c>
      <c r="E98" s="64">
        <f>SUM(B98:D98)</f>
        <v>2173</v>
      </c>
      <c r="F98" s="63">
        <f>SUM(F92:F97)</f>
        <v>2623</v>
      </c>
      <c r="G98" s="63">
        <f>SUM(G92:G97)</f>
        <v>4133</v>
      </c>
      <c r="H98" s="63">
        <f>SUM(H92:H97)</f>
        <v>4158</v>
      </c>
      <c r="I98" s="64">
        <f>SUM(F98:H98)</f>
        <v>10914</v>
      </c>
      <c r="J98" s="63">
        <f>SUM(J92:J97)</f>
        <v>4930</v>
      </c>
      <c r="K98" s="63">
        <f>SUM(K92:K97)</f>
        <v>3877</v>
      </c>
      <c r="L98" s="63">
        <f>SUM(L92:L97)</f>
        <v>2566</v>
      </c>
      <c r="M98" s="64">
        <f>SUM(J98:L98)</f>
        <v>11373</v>
      </c>
      <c r="N98" s="63">
        <f>SUM(N92:N97)</f>
        <v>2219</v>
      </c>
      <c r="O98" s="63">
        <f>SUM(O92:O97)</f>
        <v>1244</v>
      </c>
      <c r="P98" s="63">
        <f>SUM(P92:P97)</f>
        <v>1859</v>
      </c>
      <c r="Q98" s="64">
        <f>SUM(N98:P98)</f>
        <v>5322</v>
      </c>
      <c r="R98" s="64">
        <f>+E98+I98+M98+Q98</f>
        <v>29782</v>
      </c>
    </row>
    <row r="99" spans="1:20" ht="15.75" customHeight="1" x14ac:dyDescent="0.3">
      <c r="A99" s="22" t="s">
        <v>58</v>
      </c>
      <c r="B99" s="60"/>
      <c r="C99" s="60"/>
      <c r="D99" s="60"/>
      <c r="E99" s="59" t="s">
        <v>7</v>
      </c>
      <c r="F99" s="60"/>
      <c r="G99" s="60"/>
      <c r="H99" s="60"/>
      <c r="I99" s="59" t="s">
        <v>7</v>
      </c>
      <c r="J99" s="60"/>
      <c r="K99" s="60"/>
      <c r="L99" s="60"/>
      <c r="M99" s="59" t="s">
        <v>7</v>
      </c>
      <c r="N99" s="60"/>
      <c r="O99" s="60"/>
      <c r="P99" s="60"/>
      <c r="Q99" s="59" t="s">
        <v>7</v>
      </c>
      <c r="R99" s="59" t="s">
        <v>7</v>
      </c>
    </row>
    <row r="100" spans="1:20" ht="15.75" customHeight="1" x14ac:dyDescent="0.3">
      <c r="A100" s="22" t="s">
        <v>59</v>
      </c>
      <c r="B100" s="60"/>
      <c r="C100" s="60"/>
      <c r="D100" s="60"/>
      <c r="E100" s="59" t="s">
        <v>7</v>
      </c>
      <c r="F100" s="60"/>
      <c r="G100" s="60"/>
      <c r="H100" s="60"/>
      <c r="I100" s="59" t="s">
        <v>7</v>
      </c>
      <c r="J100" s="60"/>
      <c r="K100" s="60"/>
      <c r="L100" s="60"/>
      <c r="M100" s="59" t="s">
        <v>7</v>
      </c>
      <c r="N100" s="60"/>
      <c r="O100" s="60"/>
      <c r="P100" s="60"/>
      <c r="Q100" s="59" t="s">
        <v>7</v>
      </c>
      <c r="R100" s="59" t="s">
        <v>7</v>
      </c>
    </row>
    <row r="101" spans="1:20" ht="15.75" customHeight="1" x14ac:dyDescent="0.3">
      <c r="A101" s="22" t="s">
        <v>60</v>
      </c>
      <c r="B101" s="60"/>
      <c r="C101" s="60"/>
      <c r="D101" s="60"/>
      <c r="E101" s="59"/>
      <c r="F101" s="60"/>
      <c r="G101" s="60"/>
      <c r="H101" s="60"/>
      <c r="I101" s="59"/>
      <c r="J101" s="60"/>
      <c r="K101" s="60"/>
      <c r="L101" s="60"/>
      <c r="M101" s="59"/>
      <c r="N101" s="60"/>
      <c r="O101" s="60"/>
      <c r="P101" s="60"/>
      <c r="Q101" s="59"/>
      <c r="R101" s="59"/>
    </row>
    <row r="102" spans="1:20" ht="15.75" customHeight="1" x14ac:dyDescent="0.3">
      <c r="A102" s="76" t="s">
        <v>95</v>
      </c>
      <c r="B102" s="1"/>
      <c r="C102" s="1"/>
      <c r="D102" s="1"/>
      <c r="E102" s="59">
        <f t="shared" ref="E102:E111" si="14">SUM(B102:D102)</f>
        <v>0</v>
      </c>
      <c r="F102" s="1"/>
      <c r="G102" s="1"/>
      <c r="H102" s="1"/>
      <c r="I102" s="59">
        <f t="shared" ref="I102:I111" si="15">SUM(F102:H102)</f>
        <v>0</v>
      </c>
      <c r="J102" s="1"/>
      <c r="K102" s="1"/>
      <c r="L102" s="1"/>
      <c r="M102" s="59">
        <f t="shared" ref="M102:M111" si="16">SUM(J102:L102)</f>
        <v>0</v>
      </c>
      <c r="N102" s="1"/>
      <c r="O102" s="1"/>
      <c r="P102" s="1"/>
      <c r="Q102" s="59">
        <f t="shared" ref="Q102:Q111" si="17">SUM(N102:P102)</f>
        <v>0</v>
      </c>
      <c r="R102" s="59">
        <f t="shared" ref="R102:R111" si="18">+E102+I102+M102+Q102</f>
        <v>0</v>
      </c>
    </row>
    <row r="103" spans="1:20" ht="15.75" customHeight="1" x14ac:dyDescent="0.3">
      <c r="A103" s="76" t="s">
        <v>96</v>
      </c>
      <c r="B103" s="1"/>
      <c r="C103" s="1"/>
      <c r="D103" s="1"/>
      <c r="E103" s="59">
        <f t="shared" si="14"/>
        <v>0</v>
      </c>
      <c r="F103" s="1"/>
      <c r="G103" s="1"/>
      <c r="H103" s="1"/>
      <c r="I103" s="59">
        <f t="shared" si="15"/>
        <v>0</v>
      </c>
      <c r="J103" s="1"/>
      <c r="K103" s="1"/>
      <c r="L103" s="1"/>
      <c r="M103" s="59">
        <f t="shared" si="16"/>
        <v>0</v>
      </c>
      <c r="N103" s="1"/>
      <c r="O103" s="1"/>
      <c r="P103" s="1"/>
      <c r="Q103" s="59">
        <f t="shared" si="17"/>
        <v>0</v>
      </c>
      <c r="R103" s="59">
        <f t="shared" si="18"/>
        <v>0</v>
      </c>
    </row>
    <row r="104" spans="1:20" ht="15.75" customHeight="1" x14ac:dyDescent="0.3">
      <c r="A104" s="76" t="s">
        <v>1007</v>
      </c>
      <c r="B104" s="1"/>
      <c r="C104" s="1"/>
      <c r="D104" s="1"/>
      <c r="E104" s="59">
        <f t="shared" si="14"/>
        <v>0</v>
      </c>
      <c r="F104" s="1"/>
      <c r="G104" s="1"/>
      <c r="H104" s="1"/>
      <c r="I104" s="59">
        <f t="shared" si="15"/>
        <v>0</v>
      </c>
      <c r="J104" s="1"/>
      <c r="K104" s="1"/>
      <c r="L104" s="1"/>
      <c r="M104" s="59">
        <f t="shared" si="16"/>
        <v>0</v>
      </c>
      <c r="N104" s="1"/>
      <c r="O104" s="1">
        <v>619</v>
      </c>
      <c r="P104" s="1">
        <v>381</v>
      </c>
      <c r="Q104" s="59">
        <f t="shared" ref="Q104" si="19">SUM(N104:P104)</f>
        <v>1000</v>
      </c>
      <c r="R104" s="59">
        <f t="shared" si="18"/>
        <v>1000</v>
      </c>
    </row>
    <row r="105" spans="1:20" ht="15.75" customHeight="1" x14ac:dyDescent="0.3">
      <c r="A105" s="76" t="s">
        <v>97</v>
      </c>
      <c r="B105" s="1"/>
      <c r="C105" s="1"/>
      <c r="D105" s="1"/>
      <c r="E105" s="59">
        <f>SUM(B105:D105)</f>
        <v>0</v>
      </c>
      <c r="F105" s="1"/>
      <c r="G105" s="1"/>
      <c r="H105" s="1"/>
      <c r="I105" s="59">
        <f>SUM(F105:H105)</f>
        <v>0</v>
      </c>
      <c r="J105" s="1"/>
      <c r="K105" s="1"/>
      <c r="L105" s="1"/>
      <c r="M105" s="59">
        <f>SUM(J105:L105)</f>
        <v>0</v>
      </c>
      <c r="N105" s="1"/>
      <c r="O105" s="1"/>
      <c r="P105" s="1"/>
      <c r="Q105" s="59">
        <f>SUM(N105:P105)</f>
        <v>0</v>
      </c>
      <c r="R105" s="59">
        <f>+E105+I105+M105+Q105</f>
        <v>0</v>
      </c>
    </row>
    <row r="106" spans="1:20" ht="15.75" customHeight="1" x14ac:dyDescent="0.3">
      <c r="A106" s="76" t="s">
        <v>98</v>
      </c>
      <c r="B106" s="1"/>
      <c r="C106" s="1"/>
      <c r="D106" s="1"/>
      <c r="E106" s="59">
        <f>SUM(B106:D106)</f>
        <v>0</v>
      </c>
      <c r="F106" s="1"/>
      <c r="G106" s="1"/>
      <c r="H106" s="1"/>
      <c r="I106" s="59">
        <f>SUM(F106:H106)</f>
        <v>0</v>
      </c>
      <c r="J106" s="1"/>
      <c r="K106" s="1"/>
      <c r="L106" s="1"/>
      <c r="M106" s="59">
        <f>SUM(J106:L106)</f>
        <v>0</v>
      </c>
      <c r="N106" s="1"/>
      <c r="O106" s="1"/>
      <c r="P106" s="1"/>
      <c r="Q106" s="59">
        <f>SUM(N106:P106)</f>
        <v>0</v>
      </c>
      <c r="R106" s="59">
        <f>+E106+I106+M106+Q106</f>
        <v>0</v>
      </c>
      <c r="T106" s="4" t="s">
        <v>83</v>
      </c>
    </row>
    <row r="107" spans="1:20" ht="15.75" customHeight="1" x14ac:dyDescent="0.3">
      <c r="A107" s="76" t="s">
        <v>99</v>
      </c>
      <c r="B107" s="1"/>
      <c r="C107" s="1"/>
      <c r="D107" s="1"/>
      <c r="E107" s="59">
        <f>SUM(B107:D107)</f>
        <v>0</v>
      </c>
      <c r="F107" s="1"/>
      <c r="G107" s="1"/>
      <c r="H107" s="1"/>
      <c r="I107" s="59">
        <f>SUM(F107:H107)</f>
        <v>0</v>
      </c>
      <c r="J107" s="1"/>
      <c r="K107" s="1"/>
      <c r="L107" s="1"/>
      <c r="M107" s="59">
        <f>SUM(J107:L107)</f>
        <v>0</v>
      </c>
      <c r="N107" s="1"/>
      <c r="O107" s="1"/>
      <c r="P107" s="1"/>
      <c r="Q107" s="59">
        <f>SUM(N107:P107)</f>
        <v>0</v>
      </c>
      <c r="R107" s="59">
        <f>+E107+I107+M107+Q107</f>
        <v>0</v>
      </c>
    </row>
    <row r="108" spans="1:20" ht="15.75" customHeight="1" x14ac:dyDescent="0.3">
      <c r="A108" s="76" t="s">
        <v>100</v>
      </c>
      <c r="B108" s="1"/>
      <c r="C108" s="1"/>
      <c r="D108" s="1"/>
      <c r="E108" s="59">
        <f t="shared" si="14"/>
        <v>0</v>
      </c>
      <c r="F108" s="1"/>
      <c r="G108" s="1"/>
      <c r="H108" s="1"/>
      <c r="I108" s="59">
        <f t="shared" si="15"/>
        <v>0</v>
      </c>
      <c r="J108" s="1"/>
      <c r="K108" s="1"/>
      <c r="L108" s="1"/>
      <c r="M108" s="59">
        <f t="shared" si="16"/>
        <v>0</v>
      </c>
      <c r="N108" s="1"/>
      <c r="O108" s="1"/>
      <c r="P108" s="1"/>
      <c r="Q108" s="59">
        <f t="shared" si="17"/>
        <v>0</v>
      </c>
      <c r="R108" s="59">
        <f t="shared" si="18"/>
        <v>0</v>
      </c>
    </row>
    <row r="109" spans="1:20" ht="15.75" customHeight="1" x14ac:dyDescent="0.3">
      <c r="A109" s="76" t="s">
        <v>101</v>
      </c>
      <c r="B109" s="1"/>
      <c r="C109" s="1"/>
      <c r="D109" s="1"/>
      <c r="E109" s="59">
        <f t="shared" si="14"/>
        <v>0</v>
      </c>
      <c r="F109" s="1"/>
      <c r="G109" s="1"/>
      <c r="H109" s="1"/>
      <c r="I109" s="59">
        <f t="shared" si="15"/>
        <v>0</v>
      </c>
      <c r="J109" s="1"/>
      <c r="K109" s="1"/>
      <c r="L109" s="1"/>
      <c r="M109" s="59">
        <f t="shared" si="16"/>
        <v>0</v>
      </c>
      <c r="N109" s="1"/>
      <c r="O109" s="1"/>
      <c r="P109" s="1"/>
      <c r="Q109" s="59">
        <f t="shared" ref="Q109" si="20">SUM(N109:P109)</f>
        <v>0</v>
      </c>
      <c r="R109" s="59">
        <f t="shared" si="18"/>
        <v>0</v>
      </c>
    </row>
    <row r="110" spans="1:20" ht="15.75" customHeight="1" thickBot="1" x14ac:dyDescent="0.35">
      <c r="A110" s="76" t="s">
        <v>102</v>
      </c>
      <c r="B110" s="1">
        <v>161</v>
      </c>
      <c r="C110" s="1">
        <v>228</v>
      </c>
      <c r="D110" s="1">
        <v>1111</v>
      </c>
      <c r="E110" s="59">
        <f t="shared" si="14"/>
        <v>1500</v>
      </c>
      <c r="F110" s="1">
        <v>1800</v>
      </c>
      <c r="G110" s="1">
        <v>1292</v>
      </c>
      <c r="H110" s="1">
        <v>1224</v>
      </c>
      <c r="I110" s="59">
        <f t="shared" si="15"/>
        <v>4316</v>
      </c>
      <c r="J110" s="1">
        <v>856</v>
      </c>
      <c r="K110" s="1">
        <v>1294</v>
      </c>
      <c r="L110" s="1">
        <v>1082</v>
      </c>
      <c r="M110" s="59">
        <f t="shared" si="16"/>
        <v>3232</v>
      </c>
      <c r="N110" s="1">
        <v>380</v>
      </c>
      <c r="O110" s="1">
        <v>72</v>
      </c>
      <c r="P110" s="1"/>
      <c r="Q110" s="59">
        <f t="shared" si="17"/>
        <v>452</v>
      </c>
      <c r="R110" s="59">
        <f t="shared" si="18"/>
        <v>9500</v>
      </c>
    </row>
    <row r="111" spans="1:20" ht="16.5" customHeight="1" thickBot="1" x14ac:dyDescent="0.35">
      <c r="A111" s="62" t="s">
        <v>61</v>
      </c>
      <c r="B111" s="63">
        <f>SUM(B99:B110)</f>
        <v>161</v>
      </c>
      <c r="C111" s="63">
        <f>SUM(C99:C110)</f>
        <v>228</v>
      </c>
      <c r="D111" s="63">
        <f>SUM(D99:D110)</f>
        <v>1111</v>
      </c>
      <c r="E111" s="64">
        <f t="shared" si="14"/>
        <v>1500</v>
      </c>
      <c r="F111" s="63">
        <f>SUM(F99:F110)</f>
        <v>1800</v>
      </c>
      <c r="G111" s="63">
        <f>SUM(G99:G110)</f>
        <v>1292</v>
      </c>
      <c r="H111" s="63">
        <f>SUM(H99:H110)</f>
        <v>1224</v>
      </c>
      <c r="I111" s="64">
        <f t="shared" si="15"/>
        <v>4316</v>
      </c>
      <c r="J111" s="63">
        <f>SUM(J99:J110)</f>
        <v>856</v>
      </c>
      <c r="K111" s="63">
        <f>SUM(K99:K110)</f>
        <v>1294</v>
      </c>
      <c r="L111" s="63">
        <f>SUM(L99:L110)</f>
        <v>1082</v>
      </c>
      <c r="M111" s="64">
        <f t="shared" si="16"/>
        <v>3232</v>
      </c>
      <c r="N111" s="63">
        <f>SUM(N99:N110)</f>
        <v>380</v>
      </c>
      <c r="O111" s="63">
        <f>SUM(O99:O110)</f>
        <v>691</v>
      </c>
      <c r="P111" s="63">
        <f>SUM(P99:P110)</f>
        <v>381</v>
      </c>
      <c r="Q111" s="64">
        <f t="shared" si="17"/>
        <v>1452</v>
      </c>
      <c r="R111" s="64">
        <f t="shared" si="18"/>
        <v>10500</v>
      </c>
    </row>
    <row r="112" spans="1:20" ht="15.75" customHeight="1" x14ac:dyDescent="0.3">
      <c r="A112" s="22" t="s">
        <v>62</v>
      </c>
      <c r="B112" s="60"/>
      <c r="C112" s="60"/>
      <c r="D112" s="60"/>
      <c r="E112" s="59" t="s">
        <v>7</v>
      </c>
      <c r="F112" s="60"/>
      <c r="G112" s="60"/>
      <c r="H112" s="60"/>
      <c r="I112" s="59" t="s">
        <v>7</v>
      </c>
      <c r="J112" s="60"/>
      <c r="K112" s="60"/>
      <c r="L112" s="60"/>
      <c r="M112" s="59" t="s">
        <v>7</v>
      </c>
      <c r="N112" s="60"/>
      <c r="O112" s="60"/>
      <c r="P112" s="60"/>
      <c r="Q112" s="59" t="s">
        <v>7</v>
      </c>
      <c r="R112" s="59" t="s">
        <v>7</v>
      </c>
    </row>
    <row r="113" spans="1:20" ht="15.75" customHeight="1" x14ac:dyDescent="0.3">
      <c r="A113" s="22" t="s">
        <v>63</v>
      </c>
      <c r="B113" s="60"/>
      <c r="C113" s="60"/>
      <c r="D113" s="60"/>
      <c r="E113" s="59" t="s">
        <v>7</v>
      </c>
      <c r="F113" s="60"/>
      <c r="G113" s="60"/>
      <c r="H113" s="60"/>
      <c r="I113" s="59" t="s">
        <v>7</v>
      </c>
      <c r="J113" s="60"/>
      <c r="K113" s="60"/>
      <c r="L113" s="60"/>
      <c r="M113" s="59" t="s">
        <v>7</v>
      </c>
      <c r="N113" s="60"/>
      <c r="O113" s="60"/>
      <c r="P113" s="60"/>
      <c r="Q113" s="59" t="s">
        <v>7</v>
      </c>
      <c r="R113" s="59" t="s">
        <v>7</v>
      </c>
    </row>
    <row r="114" spans="1:20" ht="15.75" customHeight="1" x14ac:dyDescent="0.3">
      <c r="A114" s="61" t="s">
        <v>103</v>
      </c>
      <c r="B114" s="1"/>
      <c r="C114" s="1"/>
      <c r="D114" s="1"/>
      <c r="E114" s="59">
        <f t="shared" ref="E114:E119" si="21">SUM(B114:D114)</f>
        <v>0</v>
      </c>
      <c r="F114" s="1"/>
      <c r="G114" s="1"/>
      <c r="H114" s="1"/>
      <c r="I114" s="59">
        <f t="shared" ref="I114:I119" si="22">SUM(F114:H114)</f>
        <v>0</v>
      </c>
      <c r="J114" s="1"/>
      <c r="K114" s="1"/>
      <c r="L114" s="1"/>
      <c r="M114" s="59">
        <f t="shared" ref="M114:M119" si="23">SUM(J114:L114)</f>
        <v>0</v>
      </c>
      <c r="N114" s="1"/>
      <c r="O114" s="1"/>
      <c r="P114" s="1"/>
      <c r="Q114" s="59">
        <f t="shared" ref="Q114:Q119" si="24">SUM(N114:P114)</f>
        <v>0</v>
      </c>
      <c r="R114" s="59">
        <f t="shared" ref="R114:R119" si="25">+E114+I114+M114+Q114</f>
        <v>0</v>
      </c>
    </row>
    <row r="115" spans="1:20" ht="15.75" customHeight="1" x14ac:dyDescent="0.3">
      <c r="A115" s="61" t="s">
        <v>104</v>
      </c>
      <c r="B115" s="1"/>
      <c r="C115" s="1"/>
      <c r="D115" s="1"/>
      <c r="E115" s="59">
        <f t="shared" si="21"/>
        <v>0</v>
      </c>
      <c r="F115" s="1"/>
      <c r="G115" s="1"/>
      <c r="H115" s="1"/>
      <c r="I115" s="59">
        <f t="shared" si="22"/>
        <v>0</v>
      </c>
      <c r="J115" s="1"/>
      <c r="K115" s="1"/>
      <c r="L115" s="1"/>
      <c r="M115" s="59">
        <f t="shared" si="23"/>
        <v>0</v>
      </c>
      <c r="N115" s="1"/>
      <c r="O115" s="1"/>
      <c r="P115" s="1"/>
      <c r="Q115" s="59">
        <f t="shared" si="24"/>
        <v>0</v>
      </c>
      <c r="R115" s="59">
        <f t="shared" si="25"/>
        <v>0</v>
      </c>
    </row>
    <row r="116" spans="1:20" ht="15.75" customHeight="1" x14ac:dyDescent="0.3">
      <c r="A116" s="61" t="s">
        <v>105</v>
      </c>
      <c r="B116" s="1"/>
      <c r="C116" s="1"/>
      <c r="D116" s="1"/>
      <c r="E116" s="59">
        <f t="shared" si="21"/>
        <v>0</v>
      </c>
      <c r="F116" s="1"/>
      <c r="G116" s="1"/>
      <c r="H116" s="1"/>
      <c r="I116" s="59">
        <f t="shared" si="22"/>
        <v>0</v>
      </c>
      <c r="J116" s="1"/>
      <c r="K116" s="1"/>
      <c r="L116" s="1"/>
      <c r="M116" s="59">
        <f t="shared" si="23"/>
        <v>0</v>
      </c>
      <c r="N116" s="1"/>
      <c r="O116" s="1"/>
      <c r="P116" s="1"/>
      <c r="Q116" s="59">
        <f t="shared" si="24"/>
        <v>0</v>
      </c>
      <c r="R116" s="59">
        <f t="shared" si="25"/>
        <v>0</v>
      </c>
    </row>
    <row r="117" spans="1:20" ht="15.75" customHeight="1" x14ac:dyDescent="0.3">
      <c r="A117" s="61" t="s">
        <v>106</v>
      </c>
      <c r="B117" s="1"/>
      <c r="C117" s="1"/>
      <c r="D117" s="1"/>
      <c r="E117" s="59">
        <f t="shared" si="21"/>
        <v>0</v>
      </c>
      <c r="F117" s="1"/>
      <c r="G117" s="1"/>
      <c r="H117" s="1"/>
      <c r="I117" s="59">
        <f t="shared" si="22"/>
        <v>0</v>
      </c>
      <c r="J117" s="1"/>
      <c r="K117" s="1"/>
      <c r="L117" s="1"/>
      <c r="M117" s="59">
        <f t="shared" si="23"/>
        <v>0</v>
      </c>
      <c r="N117" s="1"/>
      <c r="O117" s="1"/>
      <c r="P117" s="1"/>
      <c r="Q117" s="59">
        <f t="shared" si="24"/>
        <v>0</v>
      </c>
      <c r="R117" s="59">
        <f t="shared" si="25"/>
        <v>0</v>
      </c>
    </row>
    <row r="118" spans="1:20" ht="15.75" customHeight="1" x14ac:dyDescent="0.3">
      <c r="A118" s="61" t="s">
        <v>107</v>
      </c>
      <c r="B118" s="1"/>
      <c r="C118" s="1"/>
      <c r="D118" s="1"/>
      <c r="E118" s="59">
        <f t="shared" si="21"/>
        <v>0</v>
      </c>
      <c r="F118" s="1"/>
      <c r="G118" s="1"/>
      <c r="H118" s="1"/>
      <c r="I118" s="59">
        <f t="shared" si="22"/>
        <v>0</v>
      </c>
      <c r="J118" s="1"/>
      <c r="K118" s="1"/>
      <c r="L118" s="1"/>
      <c r="M118" s="59">
        <f t="shared" si="23"/>
        <v>0</v>
      </c>
      <c r="N118" s="1"/>
      <c r="O118" s="1"/>
      <c r="P118" s="1"/>
      <c r="Q118" s="59">
        <f t="shared" si="24"/>
        <v>0</v>
      </c>
      <c r="R118" s="59">
        <f t="shared" si="25"/>
        <v>0</v>
      </c>
    </row>
    <row r="119" spans="1:20" ht="15.75" customHeight="1" x14ac:dyDescent="0.3">
      <c r="A119" s="61" t="s">
        <v>108</v>
      </c>
      <c r="B119" s="1"/>
      <c r="C119" s="1"/>
      <c r="D119" s="1"/>
      <c r="E119" s="59">
        <f t="shared" si="21"/>
        <v>0</v>
      </c>
      <c r="F119" s="1"/>
      <c r="G119" s="1"/>
      <c r="H119" s="1"/>
      <c r="I119" s="59">
        <f t="shared" si="22"/>
        <v>0</v>
      </c>
      <c r="J119" s="1"/>
      <c r="K119" s="1"/>
      <c r="L119" s="1"/>
      <c r="M119" s="59">
        <f t="shared" si="23"/>
        <v>0</v>
      </c>
      <c r="N119" s="1"/>
      <c r="O119" s="1"/>
      <c r="P119" s="1"/>
      <c r="Q119" s="59">
        <f t="shared" si="24"/>
        <v>0</v>
      </c>
      <c r="R119" s="59">
        <f t="shared" si="25"/>
        <v>0</v>
      </c>
    </row>
    <row r="120" spans="1:20" ht="15.75" customHeight="1" x14ac:dyDescent="0.3">
      <c r="A120" s="61" t="s">
        <v>109</v>
      </c>
      <c r="B120" s="1"/>
      <c r="C120" s="1"/>
      <c r="D120" s="1"/>
      <c r="E120" s="59">
        <f>SUM(B120:D120)</f>
        <v>0</v>
      </c>
      <c r="F120" s="1"/>
      <c r="G120" s="1"/>
      <c r="H120" s="1"/>
      <c r="I120" s="59">
        <f>SUM(F120:H120)</f>
        <v>0</v>
      </c>
      <c r="J120" s="1"/>
      <c r="K120" s="1"/>
      <c r="L120" s="1"/>
      <c r="M120" s="59">
        <f>SUM(J120:L120)</f>
        <v>0</v>
      </c>
      <c r="N120" s="1"/>
      <c r="O120" s="1"/>
      <c r="P120" s="1"/>
      <c r="Q120" s="59">
        <f>SUM(N120:P120)</f>
        <v>0</v>
      </c>
      <c r="R120" s="59">
        <f>+E120+I120+M120+Q120</f>
        <v>0</v>
      </c>
    </row>
    <row r="121" spans="1:20" ht="15.75" customHeight="1" x14ac:dyDescent="0.3">
      <c r="A121" s="78" t="s">
        <v>110</v>
      </c>
      <c r="B121" s="1"/>
      <c r="C121" s="1"/>
      <c r="D121" s="1"/>
      <c r="E121" s="59">
        <f>SUM(B121:D121)</f>
        <v>0</v>
      </c>
      <c r="F121" s="1"/>
      <c r="G121" s="1"/>
      <c r="H121" s="1"/>
      <c r="I121" s="59">
        <f>SUM(F121:H121)</f>
        <v>0</v>
      </c>
      <c r="J121" s="1"/>
      <c r="K121" s="1"/>
      <c r="L121" s="1"/>
      <c r="M121" s="59">
        <f>SUM(J121:L121)</f>
        <v>0</v>
      </c>
      <c r="N121" s="1"/>
      <c r="O121" s="1"/>
      <c r="P121" s="1"/>
      <c r="Q121" s="59">
        <f>SUM(N121:P121)</f>
        <v>0</v>
      </c>
      <c r="R121" s="59">
        <f>+E121+I121+M121+Q121</f>
        <v>0</v>
      </c>
      <c r="T121" s="4" t="s">
        <v>111</v>
      </c>
    </row>
    <row r="122" spans="1:20" ht="15.75" customHeight="1" x14ac:dyDescent="0.3">
      <c r="A122" s="22" t="s">
        <v>64</v>
      </c>
      <c r="B122" s="60"/>
      <c r="C122" s="60"/>
      <c r="D122" s="60"/>
      <c r="E122" s="59" t="s">
        <v>7</v>
      </c>
      <c r="F122" s="60"/>
      <c r="G122" s="60"/>
      <c r="H122" s="60"/>
      <c r="I122" s="59" t="s">
        <v>7</v>
      </c>
      <c r="J122" s="60"/>
      <c r="K122" s="60"/>
      <c r="L122" s="60"/>
      <c r="M122" s="59" t="s">
        <v>7</v>
      </c>
      <c r="N122" s="60"/>
      <c r="O122" s="60"/>
      <c r="P122" s="60"/>
      <c r="Q122" s="59" t="s">
        <v>7</v>
      </c>
      <c r="R122" s="59" t="s">
        <v>7</v>
      </c>
    </row>
    <row r="123" spans="1:20" ht="15.75" customHeight="1" x14ac:dyDescent="0.3">
      <c r="A123" s="61" t="s">
        <v>112</v>
      </c>
      <c r="B123" s="1"/>
      <c r="C123" s="1"/>
      <c r="D123" s="1"/>
      <c r="E123" s="59">
        <f>SUM(B123:D123)</f>
        <v>0</v>
      </c>
      <c r="F123" s="1"/>
      <c r="G123" s="1"/>
      <c r="H123" s="1"/>
      <c r="I123" s="59">
        <f>SUM(F123:H123)</f>
        <v>0</v>
      </c>
      <c r="J123" s="1"/>
      <c r="K123" s="1"/>
      <c r="L123" s="1"/>
      <c r="M123" s="59">
        <f>SUM(J123:L123)</f>
        <v>0</v>
      </c>
      <c r="N123" s="1"/>
      <c r="O123" s="1"/>
      <c r="P123" s="1"/>
      <c r="Q123" s="59">
        <f>SUM(N123:P123)</f>
        <v>0</v>
      </c>
      <c r="R123" s="59">
        <f>+E123+I123+M123+Q123</f>
        <v>0</v>
      </c>
    </row>
    <row r="124" spans="1:20" ht="15.75" customHeight="1" x14ac:dyDescent="0.3">
      <c r="A124" s="61" t="s">
        <v>113</v>
      </c>
      <c r="B124" s="1"/>
      <c r="C124" s="1"/>
      <c r="D124" s="1"/>
      <c r="E124" s="59">
        <f>SUM(B124:D124)</f>
        <v>0</v>
      </c>
      <c r="F124" s="1"/>
      <c r="G124" s="1"/>
      <c r="H124" s="1"/>
      <c r="I124" s="59">
        <f>SUM(F124:H124)</f>
        <v>0</v>
      </c>
      <c r="J124" s="1"/>
      <c r="K124" s="1"/>
      <c r="L124" s="1"/>
      <c r="M124" s="59">
        <f>SUM(J124:L124)</f>
        <v>0</v>
      </c>
      <c r="N124" s="1"/>
      <c r="O124" s="1"/>
      <c r="P124" s="1"/>
      <c r="Q124" s="59">
        <f>SUM(N124:P124)</f>
        <v>0</v>
      </c>
      <c r="R124" s="59">
        <f>+E124+I124+M124+Q124</f>
        <v>0</v>
      </c>
    </row>
    <row r="125" spans="1:20" ht="15.75" customHeight="1" x14ac:dyDescent="0.3">
      <c r="A125" s="22" t="s">
        <v>66</v>
      </c>
      <c r="B125" s="60"/>
      <c r="C125" s="60"/>
      <c r="D125" s="60"/>
      <c r="E125" s="59" t="s">
        <v>7</v>
      </c>
      <c r="F125" s="60"/>
      <c r="G125" s="60"/>
      <c r="H125" s="60"/>
      <c r="I125" s="59" t="s">
        <v>7</v>
      </c>
      <c r="J125" s="60"/>
      <c r="K125" s="60"/>
      <c r="L125" s="60"/>
      <c r="M125" s="59" t="s">
        <v>7</v>
      </c>
      <c r="N125" s="60"/>
      <c r="O125" s="60"/>
      <c r="P125" s="60"/>
      <c r="Q125" s="59" t="s">
        <v>7</v>
      </c>
      <c r="R125" s="59" t="s">
        <v>7</v>
      </c>
    </row>
    <row r="126" spans="1:20" ht="15.75" customHeight="1" x14ac:dyDescent="0.3">
      <c r="A126" s="61" t="s">
        <v>114</v>
      </c>
      <c r="B126" s="1"/>
      <c r="C126" s="1"/>
      <c r="D126" s="1"/>
      <c r="E126" s="59">
        <f>SUM(B126:D126)</f>
        <v>0</v>
      </c>
      <c r="F126" s="1"/>
      <c r="G126" s="1"/>
      <c r="H126" s="1"/>
      <c r="I126" s="59">
        <f>SUM(F126:H126)</f>
        <v>0</v>
      </c>
      <c r="J126" s="1"/>
      <c r="K126" s="1"/>
      <c r="L126" s="1"/>
      <c r="M126" s="59">
        <f>SUM(J126:L126)</f>
        <v>0</v>
      </c>
      <c r="N126" s="1"/>
      <c r="O126" s="1"/>
      <c r="P126" s="1"/>
      <c r="Q126" s="59">
        <f>SUM(N126:P126)</f>
        <v>0</v>
      </c>
      <c r="R126" s="59">
        <f>+E126+I126+M126+Q126</f>
        <v>0</v>
      </c>
      <c r="T126" s="4" t="s">
        <v>78</v>
      </c>
    </row>
    <row r="127" spans="1:20" ht="15.75" customHeight="1" x14ac:dyDescent="0.3">
      <c r="A127" s="22" t="s">
        <v>67</v>
      </c>
      <c r="B127" s="60"/>
      <c r="C127" s="60"/>
      <c r="D127" s="60"/>
      <c r="E127" s="59" t="s">
        <v>7</v>
      </c>
      <c r="F127" s="60"/>
      <c r="G127" s="60"/>
      <c r="H127" s="60"/>
      <c r="I127" s="59" t="s">
        <v>7</v>
      </c>
      <c r="J127" s="60"/>
      <c r="K127" s="60"/>
      <c r="L127" s="60"/>
      <c r="M127" s="59" t="s">
        <v>7</v>
      </c>
      <c r="N127" s="60"/>
      <c r="O127" s="60"/>
      <c r="P127" s="60"/>
      <c r="Q127" s="59" t="s">
        <v>7</v>
      </c>
      <c r="R127" s="59" t="s">
        <v>7</v>
      </c>
    </row>
    <row r="128" spans="1:20" ht="15.75" customHeight="1" x14ac:dyDescent="0.3">
      <c r="A128" s="61" t="s">
        <v>115</v>
      </c>
      <c r="B128" s="1"/>
      <c r="C128" s="1"/>
      <c r="D128" s="1"/>
      <c r="E128" s="59">
        <f t="shared" ref="E128:E133" si="26">SUM(B128:D128)</f>
        <v>0</v>
      </c>
      <c r="F128" s="1"/>
      <c r="G128" s="1"/>
      <c r="H128" s="1"/>
      <c r="I128" s="59">
        <f t="shared" ref="I128:I133" si="27">SUM(F128:H128)</f>
        <v>0</v>
      </c>
      <c r="J128" s="1"/>
      <c r="K128" s="1"/>
      <c r="L128" s="1"/>
      <c r="M128" s="59">
        <f t="shared" ref="M128:M133" si="28">SUM(J128:L128)</f>
        <v>0</v>
      </c>
      <c r="N128" s="1"/>
      <c r="O128" s="1"/>
      <c r="P128" s="1"/>
      <c r="Q128" s="59">
        <f t="shared" ref="Q128:Q133" si="29">SUM(N128:P128)</f>
        <v>0</v>
      </c>
      <c r="R128" s="59">
        <f t="shared" ref="R128:R133" si="30">+E128+I128+M128+Q128</f>
        <v>0</v>
      </c>
    </row>
    <row r="129" spans="1:18" ht="15.75" customHeight="1" thickBot="1" x14ac:dyDescent="0.35">
      <c r="A129" s="61" t="s">
        <v>116</v>
      </c>
      <c r="B129" s="1"/>
      <c r="C129" s="1"/>
      <c r="D129" s="1"/>
      <c r="E129" s="59">
        <f t="shared" si="26"/>
        <v>0</v>
      </c>
      <c r="F129" s="1"/>
      <c r="G129" s="1"/>
      <c r="H129" s="1"/>
      <c r="I129" s="59">
        <f t="shared" si="27"/>
        <v>0</v>
      </c>
      <c r="J129" s="1"/>
      <c r="K129" s="1"/>
      <c r="L129" s="1"/>
      <c r="M129" s="59">
        <f t="shared" si="28"/>
        <v>0</v>
      </c>
      <c r="N129" s="1"/>
      <c r="O129" s="1"/>
      <c r="P129" s="1"/>
      <c r="Q129" s="59">
        <f t="shared" si="29"/>
        <v>0</v>
      </c>
      <c r="R129" s="59">
        <f t="shared" si="30"/>
        <v>0</v>
      </c>
    </row>
    <row r="130" spans="1:18" ht="16.5" customHeight="1" thickBot="1" x14ac:dyDescent="0.35">
      <c r="A130" s="62" t="s">
        <v>68</v>
      </c>
      <c r="B130" s="63">
        <f>SUM(B125:B129)</f>
        <v>0</v>
      </c>
      <c r="C130" s="63">
        <f>SUM(C125:C129)</f>
        <v>0</v>
      </c>
      <c r="D130" s="63">
        <f>SUM(D125:D129)</f>
        <v>0</v>
      </c>
      <c r="E130" s="334">
        <f t="shared" si="26"/>
        <v>0</v>
      </c>
      <c r="F130" s="63">
        <f>SUM(F125:F129)</f>
        <v>0</v>
      </c>
      <c r="G130" s="63">
        <f>SUM(G125:G129)</f>
        <v>0</v>
      </c>
      <c r="H130" s="63">
        <f>SUM(H125:H129)</f>
        <v>0</v>
      </c>
      <c r="I130" s="334">
        <f t="shared" si="27"/>
        <v>0</v>
      </c>
      <c r="J130" s="63">
        <f>SUM(J125:J129)</f>
        <v>0</v>
      </c>
      <c r="K130" s="63">
        <f>SUM(K125:K129)</f>
        <v>0</v>
      </c>
      <c r="L130" s="63">
        <f>SUM(L125:L129)</f>
        <v>0</v>
      </c>
      <c r="M130" s="334">
        <f t="shared" si="28"/>
        <v>0</v>
      </c>
      <c r="N130" s="63">
        <f>SUM(N125:N129)</f>
        <v>0</v>
      </c>
      <c r="O130" s="63">
        <f>SUM(O125:O129)</f>
        <v>0</v>
      </c>
      <c r="P130" s="63">
        <f>SUM(P125:P129)</f>
        <v>0</v>
      </c>
      <c r="Q130" s="334">
        <f t="shared" si="29"/>
        <v>0</v>
      </c>
      <c r="R130" s="64">
        <f t="shared" si="30"/>
        <v>0</v>
      </c>
    </row>
    <row r="131" spans="1:18" ht="16.5" customHeight="1" thickBot="1" x14ac:dyDescent="0.35">
      <c r="A131" s="62" t="s">
        <v>69</v>
      </c>
      <c r="B131" s="63">
        <f>SUM(B112:B129)</f>
        <v>0</v>
      </c>
      <c r="C131" s="63">
        <f>SUM(C112:C129)</f>
        <v>0</v>
      </c>
      <c r="D131" s="63">
        <f>SUM(D112:D129)</f>
        <v>0</v>
      </c>
      <c r="E131" s="334">
        <f t="shared" si="26"/>
        <v>0</v>
      </c>
      <c r="F131" s="63">
        <f>SUM(F112:F129)</f>
        <v>0</v>
      </c>
      <c r="G131" s="63">
        <f>SUM(G112:G129)</f>
        <v>0</v>
      </c>
      <c r="H131" s="63">
        <f>SUM(H112:H129)</f>
        <v>0</v>
      </c>
      <c r="I131" s="334">
        <f t="shared" si="27"/>
        <v>0</v>
      </c>
      <c r="J131" s="63">
        <f>SUM(J112:J129)</f>
        <v>0</v>
      </c>
      <c r="K131" s="63">
        <f>SUM(K112:K129)</f>
        <v>0</v>
      </c>
      <c r="L131" s="63">
        <f>SUM(L112:L129)</f>
        <v>0</v>
      </c>
      <c r="M131" s="334">
        <f t="shared" si="28"/>
        <v>0</v>
      </c>
      <c r="N131" s="63">
        <f>SUM(N112:N129)</f>
        <v>0</v>
      </c>
      <c r="O131" s="63">
        <f>SUM(O112:O129)</f>
        <v>0</v>
      </c>
      <c r="P131" s="63">
        <f>SUM(P112:P129)</f>
        <v>0</v>
      </c>
      <c r="Q131" s="334">
        <f t="shared" si="29"/>
        <v>0</v>
      </c>
      <c r="R131" s="64">
        <f t="shared" si="30"/>
        <v>0</v>
      </c>
    </row>
    <row r="132" spans="1:18" ht="16.5" customHeight="1" thickBot="1" x14ac:dyDescent="0.35">
      <c r="A132" s="62" t="s">
        <v>70</v>
      </c>
      <c r="B132" s="63">
        <f>+B91+B98+B111+B131</f>
        <v>468</v>
      </c>
      <c r="C132" s="63">
        <f>+C91+C98+C111+C131</f>
        <v>704</v>
      </c>
      <c r="D132" s="63">
        <f>+D91+D98+D111+D131</f>
        <v>2501</v>
      </c>
      <c r="E132" s="64">
        <f t="shared" si="26"/>
        <v>3673</v>
      </c>
      <c r="F132" s="63">
        <f>+F91+F98+F111+F131</f>
        <v>4423</v>
      </c>
      <c r="G132" s="63">
        <f>+G91+G98+G111+G131</f>
        <v>5937</v>
      </c>
      <c r="H132" s="63">
        <f>+H91+H98+H111+H131</f>
        <v>5894</v>
      </c>
      <c r="I132" s="64">
        <f t="shared" si="27"/>
        <v>16254</v>
      </c>
      <c r="J132" s="63">
        <f>+J91+J98+J111+J131</f>
        <v>6298</v>
      </c>
      <c r="K132" s="63">
        <f>+K91+K98+K111+K131</f>
        <v>5683</v>
      </c>
      <c r="L132" s="63">
        <f>+L91+L98+L111+L131</f>
        <v>3648</v>
      </c>
      <c r="M132" s="64">
        <f t="shared" si="28"/>
        <v>15629</v>
      </c>
      <c r="N132" s="63">
        <f>+N91+N98+N111+N131</f>
        <v>2599</v>
      </c>
      <c r="O132" s="63">
        <f>+O91+O98+O111+O131</f>
        <v>1935</v>
      </c>
      <c r="P132" s="63">
        <f>+P91+P98+P111+P131</f>
        <v>2240</v>
      </c>
      <c r="Q132" s="64">
        <f t="shared" si="29"/>
        <v>6774</v>
      </c>
      <c r="R132" s="64">
        <f t="shared" si="30"/>
        <v>42330</v>
      </c>
    </row>
    <row r="133" spans="1:18" ht="16.5" customHeight="1" thickBot="1" x14ac:dyDescent="0.35">
      <c r="A133" s="79" t="s">
        <v>37</v>
      </c>
      <c r="B133" s="25">
        <v>173</v>
      </c>
      <c r="C133" s="25">
        <v>260</v>
      </c>
      <c r="D133" s="25">
        <v>471</v>
      </c>
      <c r="E133" s="59">
        <f t="shared" si="26"/>
        <v>904</v>
      </c>
      <c r="F133" s="25">
        <v>629</v>
      </c>
      <c r="G133" s="25">
        <v>725</v>
      </c>
      <c r="H133" s="25">
        <v>712</v>
      </c>
      <c r="I133" s="59">
        <f t="shared" si="27"/>
        <v>2066</v>
      </c>
      <c r="J133" s="25">
        <v>711</v>
      </c>
      <c r="K133" s="25">
        <v>573</v>
      </c>
      <c r="L133" s="25">
        <v>542</v>
      </c>
      <c r="M133" s="59">
        <f t="shared" si="28"/>
        <v>1826</v>
      </c>
      <c r="N133" s="25">
        <v>490</v>
      </c>
      <c r="O133" s="25">
        <v>407</v>
      </c>
      <c r="P133" s="25">
        <v>323</v>
      </c>
      <c r="Q133" s="59">
        <f t="shared" si="29"/>
        <v>1220</v>
      </c>
      <c r="R133" s="59">
        <f t="shared" si="30"/>
        <v>6016</v>
      </c>
    </row>
    <row r="134" spans="1:18" ht="16.5" customHeight="1" thickBot="1" x14ac:dyDescent="0.35">
      <c r="A134" s="80"/>
      <c r="B134" s="81"/>
      <c r="C134" s="81"/>
      <c r="D134" s="81"/>
      <c r="E134" s="64" t="s">
        <v>7</v>
      </c>
      <c r="F134" s="81"/>
      <c r="G134" s="81"/>
      <c r="H134" s="81"/>
      <c r="I134" s="64" t="s">
        <v>7</v>
      </c>
      <c r="J134" s="81"/>
      <c r="K134" s="81"/>
      <c r="L134" s="81"/>
      <c r="M134" s="64" t="s">
        <v>7</v>
      </c>
      <c r="N134" s="81"/>
      <c r="O134" s="81"/>
      <c r="P134" s="81"/>
      <c r="Q134" s="64" t="s">
        <v>7</v>
      </c>
      <c r="R134" s="64" t="s">
        <v>7</v>
      </c>
    </row>
    <row r="135" spans="1:18" ht="15.75" customHeight="1" x14ac:dyDescent="0.3">
      <c r="A135" s="335" t="s">
        <v>38</v>
      </c>
      <c r="B135" s="336">
        <f>+B132+B133</f>
        <v>641</v>
      </c>
      <c r="C135" s="336">
        <f>+C132+C133</f>
        <v>964</v>
      </c>
      <c r="D135" s="336">
        <f>+D132+D133</f>
        <v>2972</v>
      </c>
      <c r="E135" s="59">
        <f>SUM(B135:D135)</f>
        <v>4577</v>
      </c>
      <c r="F135" s="336">
        <f>+F132+F133</f>
        <v>5052</v>
      </c>
      <c r="G135" s="336">
        <f>+G132+G133</f>
        <v>6662</v>
      </c>
      <c r="H135" s="336">
        <f>+H132+H133</f>
        <v>6606</v>
      </c>
      <c r="I135" s="59">
        <f>SUM(F135:H135)</f>
        <v>18320</v>
      </c>
      <c r="J135" s="336">
        <f>+J132+J133</f>
        <v>7009</v>
      </c>
      <c r="K135" s="336">
        <f>+K132+K133</f>
        <v>6256</v>
      </c>
      <c r="L135" s="336">
        <f>+L132+L133</f>
        <v>4190</v>
      </c>
      <c r="M135" s="59">
        <f>SUM(J135:L135)</f>
        <v>17455</v>
      </c>
      <c r="N135" s="336">
        <f>+N132+N133</f>
        <v>3089</v>
      </c>
      <c r="O135" s="336">
        <f>+O132+O133</f>
        <v>2342</v>
      </c>
      <c r="P135" s="336">
        <f>+P132+P133</f>
        <v>2563</v>
      </c>
      <c r="Q135" s="59">
        <f>SUM(N135:P135)</f>
        <v>7994</v>
      </c>
      <c r="R135" s="59">
        <f>+E135+I135+M135+Q135</f>
        <v>48346</v>
      </c>
    </row>
    <row r="136" spans="1:18" ht="15.75" customHeight="1" x14ac:dyDescent="0.3">
      <c r="A136" s="84" t="s">
        <v>39</v>
      </c>
      <c r="B136" s="1">
        <f>(B135/B10)/1.983</f>
        <v>10.427342085143069</v>
      </c>
      <c r="C136" s="1">
        <f>(C135/C10)/1.983</f>
        <v>17.361861537353217</v>
      </c>
      <c r="D136" s="1">
        <f>(D135/D10)/1.983</f>
        <v>48.346428513331055</v>
      </c>
      <c r="E136" s="59" t="s">
        <v>7</v>
      </c>
      <c r="F136" s="1">
        <f>(F135/F10)/1.983</f>
        <v>84.921835602622295</v>
      </c>
      <c r="G136" s="1">
        <f>(G135/G10)/1.983</f>
        <v>108.37278154636995</v>
      </c>
      <c r="H136" s="1">
        <f>(H135/H10)/1.983</f>
        <v>111.04387291981844</v>
      </c>
      <c r="I136" s="59" t="s">
        <v>7</v>
      </c>
      <c r="J136" s="1">
        <f>(J135/J10)/1.983</f>
        <v>114.0175361540839</v>
      </c>
      <c r="K136" s="1">
        <f>(K135/K10)/1.983</f>
        <v>101.76825598230117</v>
      </c>
      <c r="L136" s="1">
        <f>(L135/L10)/1.983</f>
        <v>70.432005379055298</v>
      </c>
      <c r="M136" s="59" t="s">
        <v>7</v>
      </c>
      <c r="N136" s="1">
        <f>(N135/N10)/1.983</f>
        <v>50.249703121695703</v>
      </c>
      <c r="O136" s="1">
        <f>(O135/O10)/1.983</f>
        <v>39.367961001849046</v>
      </c>
      <c r="P136" s="1">
        <f>(P135/P10)/1.983</f>
        <v>41.693101036227283</v>
      </c>
      <c r="Q136" s="59" t="s">
        <v>7</v>
      </c>
      <c r="R136" s="59" t="s">
        <v>7</v>
      </c>
    </row>
    <row r="137" spans="1:18" ht="15.75" customHeight="1" x14ac:dyDescent="0.3">
      <c r="A137" s="85" t="s">
        <v>117</v>
      </c>
      <c r="B137" s="1">
        <f>B135+B327</f>
        <v>120970</v>
      </c>
      <c r="C137" s="1">
        <f>C135+C327</f>
        <v>110185</v>
      </c>
      <c r="D137" s="1">
        <f>D135+D327</f>
        <v>147859</v>
      </c>
      <c r="E137" s="59">
        <f>SUM(B137:D137)</f>
        <v>379014</v>
      </c>
      <c r="F137" s="1">
        <f>F135+F327</f>
        <v>162226</v>
      </c>
      <c r="G137" s="1">
        <f>G135+G327</f>
        <v>166807</v>
      </c>
      <c r="H137" s="1">
        <f>H135+H327</f>
        <v>89152</v>
      </c>
      <c r="I137" s="59">
        <f>SUM(F137:H137)</f>
        <v>418185</v>
      </c>
      <c r="J137" s="1">
        <f>J135+J327</f>
        <v>56546</v>
      </c>
      <c r="K137" s="1">
        <f>K135+K327</f>
        <v>50063</v>
      </c>
      <c r="L137" s="1">
        <f>L135+L327</f>
        <v>106933</v>
      </c>
      <c r="M137" s="59">
        <f>SUM(J137:L137)</f>
        <v>213542</v>
      </c>
      <c r="N137" s="1">
        <f>N135+N327</f>
        <v>138546</v>
      </c>
      <c r="O137" s="1">
        <f>O135+O327</f>
        <v>122979</v>
      </c>
      <c r="P137" s="1">
        <f>P135+P327</f>
        <v>85467</v>
      </c>
      <c r="Q137" s="59">
        <f>SUM(N137:P137)</f>
        <v>346992</v>
      </c>
      <c r="R137" s="59">
        <f>+E137+I137+M137+Q137</f>
        <v>1357733</v>
      </c>
    </row>
    <row r="138" spans="1:18" ht="16.5" customHeight="1" thickBot="1" x14ac:dyDescent="0.35">
      <c r="A138" s="86" t="s">
        <v>118</v>
      </c>
      <c r="B138" s="87">
        <f>(B137/B10)/1.983</f>
        <v>1967.8558066142859</v>
      </c>
      <c r="C138" s="87">
        <f>(C137/C10)/1.983</f>
        <v>1984.4571716735106</v>
      </c>
      <c r="D138" s="87">
        <f>(D137/D10)/1.983</f>
        <v>2405.26735314691</v>
      </c>
      <c r="E138" s="88" t="s">
        <v>7</v>
      </c>
      <c r="F138" s="87">
        <f>(F137/F10)/1.983</f>
        <v>2726.9457051605314</v>
      </c>
      <c r="G138" s="87">
        <f>(G137/G10)/1.983</f>
        <v>2713.5002358759129</v>
      </c>
      <c r="H138" s="87">
        <f>(H137/H10)/1.983</f>
        <v>1498.6048075306771</v>
      </c>
      <c r="I138" s="88" t="s">
        <v>7</v>
      </c>
      <c r="J138" s="87">
        <f>(J137/J10)/1.983</f>
        <v>919.8509914921998</v>
      </c>
      <c r="K138" s="87">
        <f>(K137/K10)/1.983</f>
        <v>814.39005742358438</v>
      </c>
      <c r="L138" s="87">
        <f>(L137/L10)/1.983</f>
        <v>1797.4953773743487</v>
      </c>
      <c r="M138" s="88" t="s">
        <v>7</v>
      </c>
      <c r="N138" s="87">
        <f>(N137/N10)/1.983</f>
        <v>2253.7699477819529</v>
      </c>
      <c r="O138" s="87">
        <f>(O137/O10)/1.983</f>
        <v>2067.221381744831</v>
      </c>
      <c r="P138" s="87">
        <f>(P137/P10)/1.983</f>
        <v>1390.3177004538577</v>
      </c>
      <c r="Q138" s="88" t="s">
        <v>7</v>
      </c>
      <c r="R138" s="88" t="s">
        <v>7</v>
      </c>
    </row>
    <row r="139" spans="1:18" ht="15.75" customHeight="1" x14ac:dyDescent="0.3">
      <c r="A139" s="30"/>
      <c r="B139" s="1"/>
      <c r="C139" s="1"/>
      <c r="D139" s="1"/>
      <c r="E139" s="1"/>
      <c r="F139" s="1"/>
      <c r="G139" s="1"/>
      <c r="H139" s="1"/>
      <c r="I139" s="1"/>
      <c r="J139" s="1"/>
      <c r="K139" s="1"/>
      <c r="L139" s="1"/>
      <c r="M139" s="1"/>
      <c r="N139" s="1"/>
      <c r="O139" s="1"/>
      <c r="P139" s="1"/>
      <c r="Q139" s="1"/>
      <c r="R139" s="28"/>
    </row>
    <row r="140" spans="1:18" ht="15.75" customHeight="1" thickBot="1" x14ac:dyDescent="0.35">
      <c r="A140" s="30" t="s">
        <v>7</v>
      </c>
      <c r="B140" s="1"/>
      <c r="C140" s="1"/>
      <c r="D140" s="1"/>
      <c r="E140" s="1"/>
      <c r="F140" s="1"/>
      <c r="G140" s="1"/>
      <c r="H140" s="1"/>
      <c r="I140" s="1"/>
      <c r="J140" s="1"/>
      <c r="K140" s="1"/>
      <c r="L140" s="1"/>
      <c r="M140" s="1"/>
      <c r="N140" s="1"/>
      <c r="O140" s="1"/>
      <c r="P140" s="1"/>
      <c r="Q140" s="1"/>
      <c r="R140" s="28"/>
    </row>
    <row r="141" spans="1:18" ht="16.5" customHeight="1" thickBot="1" x14ac:dyDescent="0.35">
      <c r="A141" s="31" t="s">
        <v>119</v>
      </c>
      <c r="B141" s="323" t="s">
        <v>36</v>
      </c>
      <c r="C141" s="324" t="s">
        <v>9</v>
      </c>
      <c r="D141" s="324" t="s">
        <v>10</v>
      </c>
      <c r="E141" s="325" t="s">
        <v>11</v>
      </c>
      <c r="F141" s="324" t="s">
        <v>12</v>
      </c>
      <c r="G141" s="324" t="s">
        <v>13</v>
      </c>
      <c r="H141" s="324" t="s">
        <v>14</v>
      </c>
      <c r="I141" s="34" t="s">
        <v>15</v>
      </c>
      <c r="J141" s="324" t="s">
        <v>16</v>
      </c>
      <c r="K141" s="324" t="s">
        <v>17</v>
      </c>
      <c r="L141" s="324" t="s">
        <v>18</v>
      </c>
      <c r="M141" s="34" t="s">
        <v>19</v>
      </c>
      <c r="N141" s="324" t="s">
        <v>20</v>
      </c>
      <c r="O141" s="324" t="s">
        <v>21</v>
      </c>
      <c r="P141" s="324" t="s">
        <v>22</v>
      </c>
      <c r="Q141" s="34" t="s">
        <v>23</v>
      </c>
      <c r="R141" s="326" t="s">
        <v>24</v>
      </c>
    </row>
    <row r="142" spans="1:18" ht="16.5" customHeight="1" thickBot="1" x14ac:dyDescent="0.35">
      <c r="A142" s="80"/>
      <c r="B142" s="81"/>
      <c r="C142" s="81"/>
      <c r="D142" s="81"/>
      <c r="E142" s="89"/>
      <c r="F142" s="81"/>
      <c r="G142" s="81"/>
      <c r="H142" s="81"/>
      <c r="I142" s="89"/>
      <c r="J142" s="81"/>
      <c r="K142" s="81"/>
      <c r="L142" s="81"/>
      <c r="M142" s="89"/>
      <c r="N142" s="81"/>
      <c r="O142" s="81"/>
      <c r="P142" s="81"/>
      <c r="Q142" s="89"/>
      <c r="R142" s="80"/>
    </row>
    <row r="143" spans="1:18" ht="15.75" customHeight="1" x14ac:dyDescent="0.3">
      <c r="A143" s="17" t="s">
        <v>45</v>
      </c>
      <c r="B143" s="1" t="s">
        <v>7</v>
      </c>
      <c r="C143" s="1" t="s">
        <v>7</v>
      </c>
      <c r="D143" s="1" t="s">
        <v>7</v>
      </c>
      <c r="E143" s="59" t="s">
        <v>7</v>
      </c>
      <c r="F143" s="1" t="s">
        <v>7</v>
      </c>
      <c r="G143" s="1" t="s">
        <v>7</v>
      </c>
      <c r="H143" s="1" t="s">
        <v>7</v>
      </c>
      <c r="I143" s="59" t="s">
        <v>7</v>
      </c>
      <c r="J143" s="1" t="s">
        <v>7</v>
      </c>
      <c r="K143" s="1" t="s">
        <v>7</v>
      </c>
      <c r="L143" s="1" t="s">
        <v>7</v>
      </c>
      <c r="M143" s="59" t="s">
        <v>7</v>
      </c>
      <c r="N143" s="1" t="s">
        <v>7</v>
      </c>
      <c r="O143" s="1" t="s">
        <v>7</v>
      </c>
      <c r="P143" s="1" t="s">
        <v>7</v>
      </c>
      <c r="Q143" s="59" t="s">
        <v>7</v>
      </c>
      <c r="R143" s="90" t="s">
        <v>7</v>
      </c>
    </row>
    <row r="144" spans="1:18" ht="15.75" customHeight="1" x14ac:dyDescent="0.3">
      <c r="A144" s="17" t="s">
        <v>46</v>
      </c>
      <c r="B144" s="1"/>
      <c r="C144" s="1"/>
      <c r="D144" s="1"/>
      <c r="E144" s="59" t="s">
        <v>7</v>
      </c>
      <c r="F144" s="1"/>
      <c r="G144" s="1"/>
      <c r="H144" s="1"/>
      <c r="I144" s="59" t="s">
        <v>7</v>
      </c>
      <c r="J144" s="1"/>
      <c r="K144" s="1"/>
      <c r="L144" s="1"/>
      <c r="M144" s="59" t="s">
        <v>7</v>
      </c>
      <c r="N144" s="1"/>
      <c r="O144" s="1"/>
      <c r="P144" s="1"/>
      <c r="Q144" s="59" t="s">
        <v>7</v>
      </c>
      <c r="R144" s="90"/>
    </row>
    <row r="145" spans="1:20" ht="15.75" customHeight="1" x14ac:dyDescent="0.3">
      <c r="A145" s="91" t="s">
        <v>120</v>
      </c>
      <c r="B145" s="1"/>
      <c r="C145" s="1"/>
      <c r="D145" s="1"/>
      <c r="E145" s="59">
        <f t="shared" ref="E145:E149" si="31">SUM(B145:D145)</f>
        <v>0</v>
      </c>
      <c r="F145" s="1">
        <v>582</v>
      </c>
      <c r="G145" s="1">
        <v>652</v>
      </c>
      <c r="H145" s="1">
        <v>555</v>
      </c>
      <c r="I145" s="59">
        <f t="shared" ref="I145:I194" si="32">SUM(F145:H145)</f>
        <v>1789</v>
      </c>
      <c r="J145" s="1">
        <v>543</v>
      </c>
      <c r="K145" s="1">
        <v>330</v>
      </c>
      <c r="L145" s="1">
        <v>462</v>
      </c>
      <c r="M145" s="59">
        <f t="shared" ref="M145:M194" si="33">SUM(J145:L145)</f>
        <v>1335</v>
      </c>
      <c r="N145" s="1">
        <v>810</v>
      </c>
      <c r="O145" s="1"/>
      <c r="P145" s="1"/>
      <c r="Q145" s="59">
        <f t="shared" ref="Q145:Q200" si="34">SUM(N145:P145)</f>
        <v>810</v>
      </c>
      <c r="R145" s="59">
        <f>+E145+I145+M145+Q145</f>
        <v>3934</v>
      </c>
      <c r="T145" s="4" t="s">
        <v>121</v>
      </c>
    </row>
    <row r="146" spans="1:20" ht="15.75" customHeight="1" x14ac:dyDescent="0.3">
      <c r="A146" s="91" t="s">
        <v>122</v>
      </c>
      <c r="B146" s="1"/>
      <c r="C146" s="1">
        <v>244</v>
      </c>
      <c r="D146" s="1">
        <v>1060</v>
      </c>
      <c r="E146" s="59">
        <f t="shared" si="31"/>
        <v>1304</v>
      </c>
      <c r="F146" s="1">
        <v>1713</v>
      </c>
      <c r="G146" s="1">
        <v>1910</v>
      </c>
      <c r="H146" s="1">
        <v>2084</v>
      </c>
      <c r="I146" s="59">
        <f t="shared" si="32"/>
        <v>5707</v>
      </c>
      <c r="J146" s="1">
        <v>1865</v>
      </c>
      <c r="K146" s="1">
        <v>1806</v>
      </c>
      <c r="L146" s="1">
        <v>411</v>
      </c>
      <c r="M146" s="59">
        <f>SUM(J146:L146)</f>
        <v>4082</v>
      </c>
      <c r="N146" s="1"/>
      <c r="O146" s="1"/>
      <c r="P146" s="1"/>
      <c r="Q146" s="59">
        <f t="shared" si="34"/>
        <v>0</v>
      </c>
      <c r="R146" s="59">
        <f t="shared" ref="R146:R197" si="35">+E146+I146+M146+Q146</f>
        <v>11093</v>
      </c>
      <c r="S146" s="50"/>
      <c r="T146" s="4" t="s">
        <v>121</v>
      </c>
    </row>
    <row r="147" spans="1:20" ht="15.75" customHeight="1" x14ac:dyDescent="0.3">
      <c r="A147" s="91" t="s">
        <v>123</v>
      </c>
      <c r="B147" s="1"/>
      <c r="C147" s="1"/>
      <c r="D147" s="1"/>
      <c r="E147" s="59">
        <f t="shared" si="31"/>
        <v>0</v>
      </c>
      <c r="F147" s="1">
        <v>328</v>
      </c>
      <c r="G147" s="1">
        <v>368</v>
      </c>
      <c r="H147" s="1">
        <v>314</v>
      </c>
      <c r="I147" s="59">
        <f t="shared" si="32"/>
        <v>1010</v>
      </c>
      <c r="J147" s="1">
        <v>306</v>
      </c>
      <c r="K147" s="1">
        <v>200</v>
      </c>
      <c r="L147" s="1">
        <v>260</v>
      </c>
      <c r="M147" s="59">
        <f t="shared" si="33"/>
        <v>766</v>
      </c>
      <c r="N147" s="1">
        <v>453</v>
      </c>
      <c r="O147" s="1"/>
      <c r="P147" s="1"/>
      <c r="Q147" s="59">
        <f t="shared" si="34"/>
        <v>453</v>
      </c>
      <c r="R147" s="59">
        <f t="shared" si="35"/>
        <v>2229</v>
      </c>
      <c r="T147" s="4" t="s">
        <v>121</v>
      </c>
    </row>
    <row r="148" spans="1:20" ht="15.75" customHeight="1" x14ac:dyDescent="0.3">
      <c r="A148" s="91" t="s">
        <v>124</v>
      </c>
      <c r="B148" s="1"/>
      <c r="C148" s="1"/>
      <c r="D148" s="1"/>
      <c r="E148" s="59">
        <f t="shared" si="31"/>
        <v>0</v>
      </c>
      <c r="F148" s="1">
        <v>362</v>
      </c>
      <c r="G148" s="1">
        <v>405</v>
      </c>
      <c r="H148" s="1">
        <v>345</v>
      </c>
      <c r="I148" s="59">
        <f t="shared" si="32"/>
        <v>1112</v>
      </c>
      <c r="J148" s="1">
        <v>337</v>
      </c>
      <c r="K148" s="1">
        <v>220</v>
      </c>
      <c r="L148" s="1">
        <v>285</v>
      </c>
      <c r="M148" s="59">
        <f t="shared" si="33"/>
        <v>842</v>
      </c>
      <c r="N148" s="1">
        <v>499</v>
      </c>
      <c r="O148" s="1"/>
      <c r="P148" s="1"/>
      <c r="Q148" s="59">
        <f t="shared" si="34"/>
        <v>499</v>
      </c>
      <c r="R148" s="59">
        <f t="shared" si="35"/>
        <v>2453</v>
      </c>
      <c r="T148" s="4" t="s">
        <v>121</v>
      </c>
    </row>
    <row r="149" spans="1:20" ht="15.75" customHeight="1" x14ac:dyDescent="0.3">
      <c r="A149" s="91" t="s">
        <v>125</v>
      </c>
      <c r="B149" s="1"/>
      <c r="C149" s="1"/>
      <c r="D149" s="1"/>
      <c r="E149" s="59">
        <f t="shared" si="31"/>
        <v>0</v>
      </c>
      <c r="F149" s="1"/>
      <c r="G149" s="1"/>
      <c r="H149" s="1"/>
      <c r="I149" s="59">
        <f t="shared" si="32"/>
        <v>0</v>
      </c>
      <c r="J149" s="1"/>
      <c r="K149" s="1"/>
      <c r="L149" s="1"/>
      <c r="M149" s="59">
        <f t="shared" si="33"/>
        <v>0</v>
      </c>
      <c r="N149" s="1"/>
      <c r="O149" s="1"/>
      <c r="P149" s="1"/>
      <c r="Q149" s="59">
        <f t="shared" ref="Q149" si="36">SUM(N149:P149)</f>
        <v>0</v>
      </c>
      <c r="R149" s="59">
        <f t="shared" si="35"/>
        <v>0</v>
      </c>
    </row>
    <row r="150" spans="1:20" ht="15.75" customHeight="1" x14ac:dyDescent="0.3">
      <c r="A150" s="74" t="s">
        <v>126</v>
      </c>
      <c r="B150" s="1">
        <v>66</v>
      </c>
      <c r="C150" s="1">
        <v>61</v>
      </c>
      <c r="D150" s="1">
        <v>60</v>
      </c>
      <c r="E150" s="59">
        <f t="shared" ref="E150:E151" si="37">SUM(B150:D150)</f>
        <v>187</v>
      </c>
      <c r="F150" s="1">
        <v>67</v>
      </c>
      <c r="G150" s="1">
        <v>70</v>
      </c>
      <c r="H150" s="1">
        <v>5</v>
      </c>
      <c r="I150" s="59">
        <f t="shared" si="32"/>
        <v>142</v>
      </c>
      <c r="J150" s="1">
        <v>107</v>
      </c>
      <c r="K150" s="1">
        <v>15</v>
      </c>
      <c r="L150" s="1">
        <v>26</v>
      </c>
      <c r="M150" s="59">
        <f t="shared" si="33"/>
        <v>148</v>
      </c>
      <c r="N150" s="1">
        <v>26</v>
      </c>
      <c r="O150" s="1">
        <v>19</v>
      </c>
      <c r="P150" s="1">
        <v>15</v>
      </c>
      <c r="Q150" s="59">
        <f t="shared" si="34"/>
        <v>60</v>
      </c>
      <c r="R150" s="59">
        <f t="shared" si="35"/>
        <v>537</v>
      </c>
      <c r="T150" s="4" t="s">
        <v>127</v>
      </c>
    </row>
    <row r="151" spans="1:20" ht="15.75" customHeight="1" x14ac:dyDescent="0.3">
      <c r="A151" s="74" t="s">
        <v>128</v>
      </c>
      <c r="B151" s="1"/>
      <c r="C151" s="1"/>
      <c r="D151" s="1"/>
      <c r="E151" s="59">
        <f t="shared" si="37"/>
        <v>0</v>
      </c>
      <c r="F151" s="1"/>
      <c r="G151" s="1"/>
      <c r="H151" s="1"/>
      <c r="I151" s="59">
        <f t="shared" si="32"/>
        <v>0</v>
      </c>
      <c r="J151" s="1"/>
      <c r="K151" s="1"/>
      <c r="L151" s="1"/>
      <c r="M151" s="59">
        <f t="shared" si="33"/>
        <v>0</v>
      </c>
      <c r="N151" s="1"/>
      <c r="O151" s="1"/>
      <c r="P151" s="1"/>
      <c r="Q151" s="59">
        <f t="shared" si="34"/>
        <v>0</v>
      </c>
      <c r="R151" s="59">
        <f t="shared" si="35"/>
        <v>0</v>
      </c>
    </row>
    <row r="152" spans="1:20" ht="15.75" customHeight="1" x14ac:dyDescent="0.3">
      <c r="A152" s="91" t="s">
        <v>129</v>
      </c>
      <c r="C152" s="1"/>
      <c r="D152" s="1"/>
      <c r="E152" s="59">
        <f>SUM(C152:D152)</f>
        <v>0</v>
      </c>
      <c r="F152" s="1"/>
      <c r="G152" s="1"/>
      <c r="H152" s="1">
        <v>718</v>
      </c>
      <c r="I152" s="59">
        <f t="shared" si="32"/>
        <v>718</v>
      </c>
      <c r="J152" s="1">
        <v>38</v>
      </c>
      <c r="K152" s="1">
        <v>59</v>
      </c>
      <c r="L152" s="1">
        <v>49</v>
      </c>
      <c r="M152" s="59">
        <f t="shared" si="33"/>
        <v>146</v>
      </c>
      <c r="N152" s="1">
        <v>57</v>
      </c>
      <c r="O152" s="1">
        <v>47</v>
      </c>
      <c r="P152" s="1"/>
      <c r="Q152" s="59">
        <f t="shared" si="34"/>
        <v>104</v>
      </c>
      <c r="R152" s="59">
        <f t="shared" si="35"/>
        <v>968</v>
      </c>
      <c r="T152" s="4" t="s">
        <v>121</v>
      </c>
    </row>
    <row r="153" spans="1:20" ht="15.75" customHeight="1" x14ac:dyDescent="0.3">
      <c r="A153" s="74" t="s">
        <v>130</v>
      </c>
      <c r="C153" s="1"/>
      <c r="D153" s="1"/>
      <c r="E153" s="59">
        <f>SUM(C153:D153)</f>
        <v>0</v>
      </c>
      <c r="F153" s="1">
        <v>4462</v>
      </c>
      <c r="G153" s="1">
        <v>3861</v>
      </c>
      <c r="H153" s="1">
        <v>3804</v>
      </c>
      <c r="I153" s="59">
        <f t="shared" si="32"/>
        <v>12127</v>
      </c>
      <c r="J153" s="1">
        <v>3745</v>
      </c>
      <c r="K153" s="1">
        <v>3643</v>
      </c>
      <c r="L153" s="1">
        <v>1485</v>
      </c>
      <c r="M153" s="59">
        <f t="shared" si="33"/>
        <v>8873</v>
      </c>
      <c r="N153" s="1"/>
      <c r="O153" s="1"/>
      <c r="P153" s="1"/>
      <c r="Q153" s="59">
        <f t="shared" si="34"/>
        <v>0</v>
      </c>
      <c r="R153" s="59">
        <f t="shared" si="35"/>
        <v>21000</v>
      </c>
    </row>
    <row r="154" spans="1:20" ht="15.75" customHeight="1" x14ac:dyDescent="0.3">
      <c r="A154" s="91" t="s">
        <v>131</v>
      </c>
      <c r="B154" s="1"/>
      <c r="C154" s="1"/>
      <c r="D154" s="1"/>
      <c r="E154" s="59">
        <f t="shared" ref="E154:E193" si="38">SUM(B154:D154)</f>
        <v>0</v>
      </c>
      <c r="F154" s="1"/>
      <c r="G154" s="1"/>
      <c r="H154" s="1"/>
      <c r="I154" s="59">
        <f t="shared" si="32"/>
        <v>0</v>
      </c>
      <c r="J154" s="1"/>
      <c r="K154" s="1"/>
      <c r="L154" s="1"/>
      <c r="M154" s="59">
        <f t="shared" si="33"/>
        <v>0</v>
      </c>
      <c r="N154" s="1"/>
      <c r="O154" s="1"/>
      <c r="P154" s="1"/>
      <c r="Q154" s="59">
        <f t="shared" si="34"/>
        <v>0</v>
      </c>
      <c r="R154" s="59">
        <f t="shared" si="35"/>
        <v>0</v>
      </c>
      <c r="T154" s="4" t="s">
        <v>132</v>
      </c>
    </row>
    <row r="155" spans="1:20" ht="15.75" customHeight="1" x14ac:dyDescent="0.3">
      <c r="A155" s="91" t="s">
        <v>133</v>
      </c>
      <c r="B155" s="1">
        <v>6</v>
      </c>
      <c r="C155" s="1">
        <v>1124</v>
      </c>
      <c r="D155" s="1">
        <v>1143</v>
      </c>
      <c r="E155" s="59">
        <f t="shared" si="38"/>
        <v>2273</v>
      </c>
      <c r="F155" s="1">
        <v>1500</v>
      </c>
      <c r="G155" s="1">
        <v>183</v>
      </c>
      <c r="H155" s="1"/>
      <c r="I155" s="59">
        <f t="shared" si="32"/>
        <v>1683</v>
      </c>
      <c r="J155" s="1"/>
      <c r="K155" s="1"/>
      <c r="L155" s="1"/>
      <c r="M155" s="59">
        <f t="shared" si="33"/>
        <v>0</v>
      </c>
      <c r="N155" s="1"/>
      <c r="O155" s="1"/>
      <c r="P155" s="1"/>
      <c r="Q155" s="59">
        <f t="shared" si="34"/>
        <v>0</v>
      </c>
      <c r="R155" s="59">
        <f t="shared" si="35"/>
        <v>3956</v>
      </c>
      <c r="T155" s="4" t="s">
        <v>134</v>
      </c>
    </row>
    <row r="156" spans="1:20" ht="15.75" customHeight="1" x14ac:dyDescent="0.3">
      <c r="A156" s="74" t="s">
        <v>135</v>
      </c>
      <c r="B156" s="1">
        <v>124</v>
      </c>
      <c r="C156" s="1">
        <v>112</v>
      </c>
      <c r="D156" s="1">
        <v>124</v>
      </c>
      <c r="E156" s="59">
        <f t="shared" si="38"/>
        <v>360</v>
      </c>
      <c r="F156" s="1">
        <v>120</v>
      </c>
      <c r="G156" s="1">
        <v>124</v>
      </c>
      <c r="H156" s="1">
        <v>120</v>
      </c>
      <c r="I156" s="59">
        <f t="shared" si="32"/>
        <v>364</v>
      </c>
      <c r="J156" s="1">
        <v>124</v>
      </c>
      <c r="K156" s="1">
        <v>124</v>
      </c>
      <c r="L156" s="1">
        <v>120</v>
      </c>
      <c r="M156" s="59">
        <f t="shared" si="33"/>
        <v>368</v>
      </c>
      <c r="N156" s="1">
        <v>124</v>
      </c>
      <c r="O156" s="1">
        <v>120</v>
      </c>
      <c r="P156" s="1">
        <v>124</v>
      </c>
      <c r="Q156" s="59">
        <f t="shared" si="34"/>
        <v>368</v>
      </c>
      <c r="R156" s="59">
        <f t="shared" si="35"/>
        <v>1460</v>
      </c>
      <c r="S156" s="4" t="s">
        <v>136</v>
      </c>
      <c r="T156" s="4" t="s">
        <v>137</v>
      </c>
    </row>
    <row r="157" spans="1:20" ht="15.75" customHeight="1" x14ac:dyDescent="0.3">
      <c r="A157" s="76" t="s">
        <v>138</v>
      </c>
      <c r="B157" s="1">
        <v>25</v>
      </c>
      <c r="C157" s="1">
        <v>30</v>
      </c>
      <c r="D157" s="1">
        <v>23</v>
      </c>
      <c r="E157" s="59">
        <f>SUM(B157:D157)</f>
        <v>78</v>
      </c>
      <c r="F157" s="1">
        <v>34</v>
      </c>
      <c r="G157" s="1">
        <v>109</v>
      </c>
      <c r="H157" s="1">
        <v>30</v>
      </c>
      <c r="I157" s="59">
        <f>SUM(F157:H157)</f>
        <v>173</v>
      </c>
      <c r="K157" s="1"/>
      <c r="L157" s="1"/>
      <c r="M157" s="59">
        <f>SUM(J157:L157)</f>
        <v>0</v>
      </c>
      <c r="N157" s="1"/>
      <c r="O157" s="1"/>
      <c r="P157" s="1"/>
      <c r="Q157" s="59">
        <f>SUM(N157:P157)</f>
        <v>0</v>
      </c>
      <c r="R157" s="59">
        <f>+E157+I157+M157+Q157</f>
        <v>251</v>
      </c>
      <c r="S157" s="94"/>
    </row>
    <row r="158" spans="1:20" ht="15.75" customHeight="1" x14ac:dyDescent="0.3">
      <c r="A158" s="91" t="s">
        <v>139</v>
      </c>
      <c r="B158" s="1">
        <v>604</v>
      </c>
      <c r="C158" s="1">
        <v>340</v>
      </c>
      <c r="D158" s="1"/>
      <c r="E158" s="59">
        <f t="shared" si="38"/>
        <v>944</v>
      </c>
      <c r="F158" s="1"/>
      <c r="G158" s="1"/>
      <c r="H158" s="1"/>
      <c r="I158" s="59">
        <f t="shared" si="32"/>
        <v>0</v>
      </c>
      <c r="J158" s="1"/>
      <c r="K158" s="1"/>
      <c r="L158" s="1"/>
      <c r="M158" s="59">
        <f t="shared" si="33"/>
        <v>0</v>
      </c>
      <c r="N158" s="1"/>
      <c r="O158" s="1">
        <v>236</v>
      </c>
      <c r="P158" s="1">
        <f>1250+399</f>
        <v>1649</v>
      </c>
      <c r="Q158" s="59">
        <f t="shared" si="34"/>
        <v>1885</v>
      </c>
      <c r="R158" s="59">
        <f t="shared" si="35"/>
        <v>2829</v>
      </c>
      <c r="S158" s="75" t="s">
        <v>80</v>
      </c>
      <c r="T158" s="4" t="s">
        <v>132</v>
      </c>
    </row>
    <row r="159" spans="1:20" ht="15.75" customHeight="1" x14ac:dyDescent="0.3">
      <c r="A159" s="91" t="s">
        <v>140</v>
      </c>
      <c r="B159" s="1"/>
      <c r="C159" s="1">
        <v>157</v>
      </c>
      <c r="E159" s="59">
        <f t="shared" si="38"/>
        <v>157</v>
      </c>
      <c r="F159" s="1"/>
      <c r="G159" s="1"/>
      <c r="H159" s="1"/>
      <c r="I159" s="59">
        <f t="shared" si="32"/>
        <v>0</v>
      </c>
      <c r="J159" s="1"/>
      <c r="K159" s="1"/>
      <c r="L159" s="1"/>
      <c r="M159" s="59">
        <f t="shared" si="33"/>
        <v>0</v>
      </c>
      <c r="N159" s="1"/>
      <c r="O159" s="1"/>
      <c r="P159" s="1"/>
      <c r="Q159" s="59">
        <f t="shared" si="34"/>
        <v>0</v>
      </c>
      <c r="R159" s="59">
        <f t="shared" si="35"/>
        <v>157</v>
      </c>
      <c r="S159" s="75" t="s">
        <v>80</v>
      </c>
      <c r="T159" s="4" t="s">
        <v>134</v>
      </c>
    </row>
    <row r="160" spans="1:20" ht="15.75" customHeight="1" x14ac:dyDescent="0.3">
      <c r="A160" s="91" t="s">
        <v>141</v>
      </c>
      <c r="B160" s="1"/>
      <c r="C160" s="1"/>
      <c r="D160" s="1"/>
      <c r="E160" s="59">
        <f t="shared" si="38"/>
        <v>0</v>
      </c>
      <c r="F160" s="1"/>
      <c r="G160" s="1"/>
      <c r="H160" s="1"/>
      <c r="I160" s="59">
        <f t="shared" si="32"/>
        <v>0</v>
      </c>
      <c r="J160" s="1"/>
      <c r="K160" s="1"/>
      <c r="L160" s="1"/>
      <c r="M160" s="59">
        <f t="shared" si="33"/>
        <v>0</v>
      </c>
      <c r="N160" s="1"/>
      <c r="O160" s="1"/>
      <c r="P160" s="1"/>
      <c r="Q160" s="59">
        <f t="shared" si="34"/>
        <v>0</v>
      </c>
      <c r="R160" s="59">
        <f t="shared" si="35"/>
        <v>0</v>
      </c>
      <c r="S160" s="75" t="s">
        <v>80</v>
      </c>
      <c r="T160" s="4" t="s">
        <v>121</v>
      </c>
    </row>
    <row r="161" spans="1:20" ht="15.75" customHeight="1" x14ac:dyDescent="0.3">
      <c r="A161" s="74" t="s">
        <v>142</v>
      </c>
      <c r="B161" s="1">
        <v>47</v>
      </c>
      <c r="C161" s="1">
        <v>35</v>
      </c>
      <c r="D161" s="1">
        <v>45</v>
      </c>
      <c r="E161" s="59">
        <f t="shared" si="38"/>
        <v>127</v>
      </c>
      <c r="F161" s="1">
        <v>59</v>
      </c>
      <c r="G161" s="1">
        <v>61</v>
      </c>
      <c r="H161" s="1">
        <v>67</v>
      </c>
      <c r="I161" s="59">
        <f t="shared" si="32"/>
        <v>187</v>
      </c>
      <c r="J161" s="1">
        <v>69</v>
      </c>
      <c r="K161" s="1">
        <v>68</v>
      </c>
      <c r="L161" s="1">
        <v>65</v>
      </c>
      <c r="M161" s="59">
        <f t="shared" si="33"/>
        <v>202</v>
      </c>
      <c r="N161" s="1">
        <v>51</v>
      </c>
      <c r="O161" s="1">
        <v>51</v>
      </c>
      <c r="P161" s="1">
        <v>43</v>
      </c>
      <c r="Q161" s="59">
        <f t="shared" si="34"/>
        <v>145</v>
      </c>
      <c r="R161" s="59">
        <f t="shared" si="35"/>
        <v>661</v>
      </c>
      <c r="T161" s="4" t="s">
        <v>143</v>
      </c>
    </row>
    <row r="162" spans="1:20" ht="15.75" customHeight="1" x14ac:dyDescent="0.3">
      <c r="A162" s="74" t="s">
        <v>144</v>
      </c>
      <c r="B162" s="1">
        <v>130</v>
      </c>
      <c r="C162" s="1">
        <v>118</v>
      </c>
      <c r="D162" s="1">
        <v>139</v>
      </c>
      <c r="E162" s="59">
        <f t="shared" si="38"/>
        <v>387</v>
      </c>
      <c r="F162" s="1">
        <v>149</v>
      </c>
      <c r="G162" s="1">
        <v>195</v>
      </c>
      <c r="H162" s="1">
        <v>236</v>
      </c>
      <c r="I162" s="59">
        <f t="shared" si="32"/>
        <v>580</v>
      </c>
      <c r="J162" s="1">
        <v>198</v>
      </c>
      <c r="K162" s="1">
        <v>197</v>
      </c>
      <c r="L162" s="1">
        <v>187</v>
      </c>
      <c r="M162" s="59">
        <f t="shared" si="33"/>
        <v>582</v>
      </c>
      <c r="N162" s="1">
        <v>186</v>
      </c>
      <c r="O162" s="1">
        <v>173</v>
      </c>
      <c r="P162" s="1">
        <v>136</v>
      </c>
      <c r="Q162" s="59">
        <f t="shared" si="34"/>
        <v>495</v>
      </c>
      <c r="R162" s="59">
        <f t="shared" si="35"/>
        <v>2044</v>
      </c>
      <c r="T162" s="4" t="s">
        <v>145</v>
      </c>
    </row>
    <row r="163" spans="1:20" ht="15.75" customHeight="1" x14ac:dyDescent="0.3">
      <c r="A163" s="91" t="s">
        <v>146</v>
      </c>
      <c r="B163" s="1"/>
      <c r="C163" s="1"/>
      <c r="D163" s="1"/>
      <c r="E163" s="59">
        <f t="shared" si="38"/>
        <v>0</v>
      </c>
      <c r="F163" s="1"/>
      <c r="G163" s="1"/>
      <c r="H163" s="1"/>
      <c r="I163" s="59">
        <f t="shared" si="32"/>
        <v>0</v>
      </c>
      <c r="J163" s="1"/>
      <c r="K163" s="1"/>
      <c r="L163" s="1"/>
      <c r="M163" s="59">
        <f t="shared" si="33"/>
        <v>0</v>
      </c>
      <c r="N163" s="1"/>
      <c r="O163" s="1"/>
      <c r="P163" s="1"/>
      <c r="Q163" s="59">
        <f t="shared" ref="Q163" si="39">SUM(N163:P163)</f>
        <v>0</v>
      </c>
      <c r="R163" s="59">
        <f t="shared" si="35"/>
        <v>0</v>
      </c>
    </row>
    <row r="164" spans="1:20" ht="15.75" customHeight="1" x14ac:dyDescent="0.3">
      <c r="A164" s="74" t="s">
        <v>147</v>
      </c>
      <c r="B164" s="1"/>
      <c r="C164" s="1"/>
      <c r="D164" s="1"/>
      <c r="E164" s="59">
        <f t="shared" si="38"/>
        <v>0</v>
      </c>
      <c r="F164" s="1"/>
      <c r="G164" s="1"/>
      <c r="H164" s="1">
        <v>500</v>
      </c>
      <c r="I164" s="59">
        <f t="shared" si="32"/>
        <v>500</v>
      </c>
      <c r="J164" s="1"/>
      <c r="K164" s="1">
        <v>500</v>
      </c>
      <c r="L164" s="1"/>
      <c r="M164" s="59">
        <f t="shared" si="33"/>
        <v>500</v>
      </c>
      <c r="N164" s="1"/>
      <c r="O164" s="1">
        <v>800</v>
      </c>
      <c r="P164" s="1"/>
      <c r="Q164" s="59">
        <f t="shared" si="34"/>
        <v>800</v>
      </c>
      <c r="R164" s="59">
        <f t="shared" si="35"/>
        <v>1800</v>
      </c>
      <c r="S164" s="4" t="s">
        <v>136</v>
      </c>
    </row>
    <row r="165" spans="1:20" ht="15.75" customHeight="1" x14ac:dyDescent="0.3">
      <c r="A165" s="91" t="s">
        <v>148</v>
      </c>
      <c r="B165" s="1"/>
      <c r="C165" s="1">
        <v>56</v>
      </c>
      <c r="D165" s="1">
        <v>181</v>
      </c>
      <c r="E165" s="59">
        <f>SUM(B165:D165)</f>
        <v>237</v>
      </c>
      <c r="F165" s="1">
        <v>475</v>
      </c>
      <c r="G165" s="1">
        <v>532</v>
      </c>
      <c r="H165" s="1">
        <v>453</v>
      </c>
      <c r="I165" s="59">
        <f t="shared" si="32"/>
        <v>1460</v>
      </c>
      <c r="J165" s="1">
        <v>443</v>
      </c>
      <c r="K165" s="1">
        <v>273</v>
      </c>
      <c r="L165" s="1">
        <v>343</v>
      </c>
      <c r="M165" s="59">
        <f t="shared" si="33"/>
        <v>1059</v>
      </c>
      <c r="N165" s="1">
        <v>684</v>
      </c>
      <c r="O165" s="1"/>
      <c r="P165" s="1"/>
      <c r="Q165" s="59">
        <f t="shared" si="34"/>
        <v>684</v>
      </c>
      <c r="R165" s="59">
        <f t="shared" si="35"/>
        <v>3440</v>
      </c>
      <c r="T165" s="4" t="s">
        <v>121</v>
      </c>
    </row>
    <row r="166" spans="1:20" ht="15.75" customHeight="1" x14ac:dyDescent="0.3">
      <c r="A166" s="74" t="s">
        <v>149</v>
      </c>
      <c r="B166" s="1">
        <v>376</v>
      </c>
      <c r="C166" s="1">
        <v>346</v>
      </c>
      <c r="D166" s="1">
        <v>390</v>
      </c>
      <c r="E166" s="59">
        <f t="shared" si="38"/>
        <v>1112</v>
      </c>
      <c r="F166" s="1">
        <v>366</v>
      </c>
      <c r="G166" s="1">
        <v>301</v>
      </c>
      <c r="H166" s="1">
        <v>326</v>
      </c>
      <c r="I166" s="59">
        <f t="shared" si="32"/>
        <v>993</v>
      </c>
      <c r="J166" s="1">
        <v>387</v>
      </c>
      <c r="K166" s="1">
        <v>226</v>
      </c>
      <c r="L166" s="1">
        <v>241</v>
      </c>
      <c r="M166" s="59">
        <f t="shared" si="33"/>
        <v>854</v>
      </c>
      <c r="N166" s="1">
        <v>267</v>
      </c>
      <c r="O166" s="1">
        <v>224</v>
      </c>
      <c r="P166" s="1">
        <v>160</v>
      </c>
      <c r="Q166" s="59">
        <f t="shared" si="34"/>
        <v>651</v>
      </c>
      <c r="R166" s="59">
        <f t="shared" si="35"/>
        <v>3610</v>
      </c>
      <c r="T166" s="4" t="s">
        <v>150</v>
      </c>
    </row>
    <row r="167" spans="1:20" ht="15.75" customHeight="1" x14ac:dyDescent="0.3">
      <c r="A167" s="74" t="s">
        <v>151</v>
      </c>
      <c r="B167" s="1">
        <v>14</v>
      </c>
      <c r="C167" s="1">
        <v>18</v>
      </c>
      <c r="D167" s="1">
        <v>39</v>
      </c>
      <c r="E167" s="59">
        <f t="shared" si="38"/>
        <v>71</v>
      </c>
      <c r="F167" s="1">
        <v>64</v>
      </c>
      <c r="G167" s="1">
        <v>83</v>
      </c>
      <c r="H167" s="1">
        <v>93</v>
      </c>
      <c r="I167" s="59">
        <f t="shared" si="32"/>
        <v>240</v>
      </c>
      <c r="J167" s="1">
        <v>82</v>
      </c>
      <c r="K167" s="1">
        <v>73</v>
      </c>
      <c r="L167" s="1">
        <v>56</v>
      </c>
      <c r="M167" s="59">
        <f t="shared" si="33"/>
        <v>211</v>
      </c>
      <c r="N167" s="1">
        <v>58</v>
      </c>
      <c r="O167" s="1">
        <v>27</v>
      </c>
      <c r="P167" s="1">
        <v>13</v>
      </c>
      <c r="Q167" s="59">
        <f t="shared" si="34"/>
        <v>98</v>
      </c>
      <c r="R167" s="59">
        <f t="shared" si="35"/>
        <v>620</v>
      </c>
    </row>
    <row r="168" spans="1:20" ht="15.75" customHeight="1" x14ac:dyDescent="0.3">
      <c r="A168" s="91" t="s">
        <v>152</v>
      </c>
      <c r="B168" s="1"/>
      <c r="C168" s="1"/>
      <c r="D168" s="1"/>
      <c r="E168" s="59">
        <f t="shared" si="38"/>
        <v>0</v>
      </c>
      <c r="F168" s="1"/>
      <c r="G168" s="1"/>
      <c r="H168" s="1"/>
      <c r="I168" s="59">
        <f t="shared" si="32"/>
        <v>0</v>
      </c>
      <c r="J168" s="1"/>
      <c r="K168" s="1">
        <v>508</v>
      </c>
      <c r="L168" s="1"/>
      <c r="M168" s="59">
        <f t="shared" si="33"/>
        <v>508</v>
      </c>
      <c r="N168" s="1"/>
      <c r="O168" s="1"/>
      <c r="P168" s="1"/>
      <c r="Q168" s="59">
        <f t="shared" si="34"/>
        <v>0</v>
      </c>
      <c r="R168" s="59">
        <f t="shared" si="35"/>
        <v>508</v>
      </c>
      <c r="T168" s="4" t="s">
        <v>134</v>
      </c>
    </row>
    <row r="169" spans="1:20" ht="15.75" customHeight="1" x14ac:dyDescent="0.3">
      <c r="A169" s="76" t="s">
        <v>153</v>
      </c>
      <c r="B169" s="1"/>
      <c r="C169" s="1"/>
      <c r="D169" s="1"/>
      <c r="E169" s="59">
        <f t="shared" ref="E169" si="40">SUM(B169:D169)</f>
        <v>0</v>
      </c>
      <c r="F169" s="1"/>
      <c r="G169" s="1"/>
      <c r="H169" s="1"/>
      <c r="I169" s="59">
        <f t="shared" si="32"/>
        <v>0</v>
      </c>
      <c r="J169" s="1"/>
      <c r="K169" s="1"/>
      <c r="L169" s="1"/>
      <c r="M169" s="59">
        <f t="shared" si="33"/>
        <v>0</v>
      </c>
      <c r="N169" s="1"/>
      <c r="O169" s="1"/>
      <c r="P169" s="1"/>
      <c r="Q169" s="59">
        <f t="shared" si="34"/>
        <v>0</v>
      </c>
      <c r="R169" s="59">
        <f t="shared" si="35"/>
        <v>0</v>
      </c>
    </row>
    <row r="170" spans="1:20" ht="15.75" customHeight="1" x14ac:dyDescent="0.3">
      <c r="A170" s="76" t="s">
        <v>154</v>
      </c>
      <c r="B170" s="1"/>
      <c r="C170" s="1"/>
      <c r="D170" s="1"/>
      <c r="E170" s="59">
        <f t="shared" si="38"/>
        <v>0</v>
      </c>
      <c r="F170" s="1"/>
      <c r="G170" s="1"/>
      <c r="H170" s="1"/>
      <c r="I170" s="59">
        <f t="shared" si="32"/>
        <v>0</v>
      </c>
      <c r="J170" s="1"/>
      <c r="K170" s="1"/>
      <c r="L170" s="1"/>
      <c r="M170" s="59">
        <f t="shared" si="33"/>
        <v>0</v>
      </c>
      <c r="N170" s="1"/>
      <c r="O170" s="1"/>
      <c r="P170" s="1"/>
      <c r="Q170" s="59">
        <f t="shared" si="34"/>
        <v>0</v>
      </c>
      <c r="R170" s="59">
        <f t="shared" si="35"/>
        <v>0</v>
      </c>
    </row>
    <row r="171" spans="1:20" ht="15.75" customHeight="1" x14ac:dyDescent="0.3">
      <c r="A171" s="74" t="s">
        <v>155</v>
      </c>
      <c r="B171" s="1"/>
      <c r="C171" s="1"/>
      <c r="D171" s="1"/>
      <c r="E171" s="59">
        <f t="shared" si="38"/>
        <v>0</v>
      </c>
      <c r="F171" s="1"/>
      <c r="G171" s="1"/>
      <c r="H171" s="1"/>
      <c r="I171" s="59">
        <f t="shared" si="32"/>
        <v>0</v>
      </c>
      <c r="J171" s="1"/>
      <c r="K171" s="1"/>
      <c r="L171" s="1"/>
      <c r="M171" s="59">
        <f t="shared" si="33"/>
        <v>0</v>
      </c>
      <c r="N171" s="1"/>
      <c r="O171" s="1"/>
      <c r="P171" s="1"/>
      <c r="Q171" s="59">
        <f t="shared" si="34"/>
        <v>0</v>
      </c>
      <c r="R171" s="59">
        <f t="shared" si="35"/>
        <v>0</v>
      </c>
      <c r="S171" s="4" t="s">
        <v>136</v>
      </c>
      <c r="T171" s="4" t="s">
        <v>137</v>
      </c>
    </row>
    <row r="172" spans="1:20" s="98" customFormat="1" ht="15.75" customHeight="1" x14ac:dyDescent="0.3">
      <c r="A172" s="96" t="s">
        <v>156</v>
      </c>
      <c r="B172" s="92"/>
      <c r="C172" s="92"/>
      <c r="D172" s="92"/>
      <c r="E172" s="97">
        <f t="shared" si="38"/>
        <v>0</v>
      </c>
      <c r="F172" s="92"/>
      <c r="G172" s="92"/>
      <c r="H172" s="92"/>
      <c r="I172" s="97">
        <f t="shared" si="32"/>
        <v>0</v>
      </c>
      <c r="J172" s="92"/>
      <c r="K172" s="92"/>
      <c r="L172" s="92"/>
      <c r="M172" s="97">
        <f t="shared" si="33"/>
        <v>0</v>
      </c>
      <c r="N172" s="92"/>
      <c r="O172" s="92"/>
      <c r="P172" s="92"/>
      <c r="Q172" s="97">
        <f t="shared" si="34"/>
        <v>0</v>
      </c>
      <c r="R172" s="97">
        <f t="shared" si="35"/>
        <v>0</v>
      </c>
    </row>
    <row r="173" spans="1:20" ht="15.75" customHeight="1" x14ac:dyDescent="0.3">
      <c r="A173" s="74" t="s">
        <v>157</v>
      </c>
      <c r="B173" s="1"/>
      <c r="C173" s="1"/>
      <c r="D173" s="1">
        <v>181</v>
      </c>
      <c r="E173" s="59">
        <f t="shared" si="38"/>
        <v>181</v>
      </c>
      <c r="F173" s="1">
        <v>2192</v>
      </c>
      <c r="G173" s="1">
        <v>2035</v>
      </c>
      <c r="H173" s="1">
        <v>2138</v>
      </c>
      <c r="I173" s="59">
        <f t="shared" si="32"/>
        <v>6365</v>
      </c>
      <c r="J173" s="1">
        <v>1736</v>
      </c>
      <c r="K173" s="1">
        <v>1916</v>
      </c>
      <c r="L173" s="1">
        <v>1492</v>
      </c>
      <c r="M173" s="59">
        <f t="shared" si="33"/>
        <v>5144</v>
      </c>
      <c r="N173" s="1">
        <v>1630</v>
      </c>
      <c r="O173" s="1">
        <v>1280</v>
      </c>
      <c r="P173" s="1">
        <v>1864</v>
      </c>
      <c r="Q173" s="59">
        <f t="shared" si="34"/>
        <v>4774</v>
      </c>
      <c r="R173" s="59">
        <f>+E173+I173+M173+Q173</f>
        <v>16464</v>
      </c>
      <c r="T173" s="4" t="s">
        <v>158</v>
      </c>
    </row>
    <row r="174" spans="1:20" ht="15.75" customHeight="1" x14ac:dyDescent="0.3">
      <c r="A174" s="91" t="s">
        <v>159</v>
      </c>
      <c r="B174" s="1"/>
      <c r="C174" s="1"/>
      <c r="D174" s="1"/>
      <c r="E174" s="59">
        <f t="shared" si="38"/>
        <v>0</v>
      </c>
      <c r="F174" s="1"/>
      <c r="G174" s="1"/>
      <c r="H174" s="1"/>
      <c r="I174" s="59">
        <f t="shared" si="32"/>
        <v>0</v>
      </c>
      <c r="J174" s="1"/>
      <c r="K174" s="1"/>
      <c r="L174" s="1">
        <v>500</v>
      </c>
      <c r="M174" s="59">
        <f t="shared" si="33"/>
        <v>500</v>
      </c>
      <c r="N174" s="1"/>
      <c r="O174" s="1"/>
      <c r="P174" s="1"/>
      <c r="Q174" s="59">
        <f t="shared" si="34"/>
        <v>0</v>
      </c>
      <c r="R174" s="59">
        <f t="shared" ref="R174:R180" si="41">+E174+I174+M174+Q174</f>
        <v>500</v>
      </c>
      <c r="T174" s="4" t="s">
        <v>121</v>
      </c>
    </row>
    <row r="175" spans="1:20" ht="15.75" customHeight="1" x14ac:dyDescent="0.3">
      <c r="A175" s="91" t="s">
        <v>160</v>
      </c>
      <c r="B175" s="1"/>
      <c r="C175" s="1"/>
      <c r="D175" s="1"/>
      <c r="E175" s="59">
        <f t="shared" si="38"/>
        <v>0</v>
      </c>
      <c r="F175" s="1"/>
      <c r="G175" s="1"/>
      <c r="H175" s="1"/>
      <c r="I175" s="59">
        <f t="shared" si="32"/>
        <v>0</v>
      </c>
      <c r="J175" s="1"/>
      <c r="K175" s="1"/>
      <c r="L175" s="1"/>
      <c r="M175" s="59">
        <f t="shared" si="33"/>
        <v>0</v>
      </c>
      <c r="N175" s="1"/>
      <c r="O175" s="1"/>
      <c r="P175" s="1"/>
      <c r="Q175" s="59">
        <f t="shared" si="34"/>
        <v>0</v>
      </c>
      <c r="R175" s="59">
        <f t="shared" si="41"/>
        <v>0</v>
      </c>
      <c r="T175" s="4" t="s">
        <v>134</v>
      </c>
    </row>
    <row r="176" spans="1:20" ht="15.75" customHeight="1" x14ac:dyDescent="0.3">
      <c r="A176" s="74" t="s">
        <v>161</v>
      </c>
      <c r="B176" s="1"/>
      <c r="C176" s="1"/>
      <c r="D176" s="1"/>
      <c r="E176" s="59">
        <f t="shared" si="38"/>
        <v>0</v>
      </c>
      <c r="F176" s="1"/>
      <c r="G176" s="1"/>
      <c r="H176" s="1"/>
      <c r="I176" s="59">
        <f t="shared" si="32"/>
        <v>0</v>
      </c>
      <c r="J176" s="1"/>
      <c r="K176" s="1"/>
      <c r="L176" s="1"/>
      <c r="M176" s="59">
        <f t="shared" si="33"/>
        <v>0</v>
      </c>
      <c r="N176" s="1"/>
      <c r="O176" s="1"/>
      <c r="P176" s="1"/>
      <c r="Q176" s="59">
        <f t="shared" si="34"/>
        <v>0</v>
      </c>
      <c r="R176" s="59">
        <f t="shared" si="41"/>
        <v>0</v>
      </c>
      <c r="S176" s="94" t="s">
        <v>136</v>
      </c>
      <c r="T176" s="4" t="s">
        <v>162</v>
      </c>
    </row>
    <row r="177" spans="1:21" ht="15.75" customHeight="1" x14ac:dyDescent="0.3">
      <c r="A177" s="74" t="s">
        <v>163</v>
      </c>
      <c r="B177" s="1"/>
      <c r="C177" s="1"/>
      <c r="D177" s="1"/>
      <c r="E177" s="59">
        <f t="shared" si="38"/>
        <v>0</v>
      </c>
      <c r="F177" s="1"/>
      <c r="G177" s="1"/>
      <c r="H177" s="1">
        <v>529</v>
      </c>
      <c r="I177" s="59">
        <f t="shared" si="32"/>
        <v>529</v>
      </c>
      <c r="J177" s="1">
        <v>2358</v>
      </c>
      <c r="K177" s="1">
        <v>2358</v>
      </c>
      <c r="L177" s="1">
        <v>4497</v>
      </c>
      <c r="M177" s="59">
        <f t="shared" si="33"/>
        <v>9213</v>
      </c>
      <c r="N177" s="1">
        <v>73</v>
      </c>
      <c r="O177" s="1">
        <v>469</v>
      </c>
      <c r="P177" s="1">
        <v>400</v>
      </c>
      <c r="Q177" s="59">
        <f t="shared" ref="Q177" si="42">SUM(N177:P177)</f>
        <v>942</v>
      </c>
      <c r="R177" s="59">
        <f t="shared" si="41"/>
        <v>10684</v>
      </c>
      <c r="S177" s="94"/>
    </row>
    <row r="178" spans="1:21" ht="15.75" customHeight="1" x14ac:dyDescent="0.3">
      <c r="A178" s="91" t="s">
        <v>164</v>
      </c>
      <c r="B178" s="1"/>
      <c r="C178" s="1"/>
      <c r="D178" s="1"/>
      <c r="E178" s="59">
        <f t="shared" si="38"/>
        <v>0</v>
      </c>
      <c r="F178" s="1"/>
      <c r="G178" s="1"/>
      <c r="H178" s="1"/>
      <c r="I178" s="59">
        <f t="shared" si="32"/>
        <v>0</v>
      </c>
      <c r="J178" s="1"/>
      <c r="K178" s="1"/>
      <c r="L178" s="1"/>
      <c r="M178" s="59">
        <f t="shared" si="33"/>
        <v>0</v>
      </c>
      <c r="N178" s="1"/>
      <c r="O178" s="1"/>
      <c r="P178" s="1"/>
      <c r="Q178" s="59">
        <f t="shared" si="34"/>
        <v>0</v>
      </c>
      <c r="R178" s="59">
        <f t="shared" si="41"/>
        <v>0</v>
      </c>
      <c r="T178" s="4" t="s">
        <v>132</v>
      </c>
    </row>
    <row r="179" spans="1:21" ht="15.75" customHeight="1" x14ac:dyDescent="0.3">
      <c r="A179" s="91" t="s">
        <v>165</v>
      </c>
      <c r="B179" s="1"/>
      <c r="C179" s="1"/>
      <c r="D179" s="1"/>
      <c r="E179" s="59">
        <f t="shared" si="38"/>
        <v>0</v>
      </c>
      <c r="F179" s="1"/>
      <c r="G179" s="1"/>
      <c r="H179" s="1"/>
      <c r="I179" s="59">
        <f t="shared" si="32"/>
        <v>0</v>
      </c>
      <c r="J179" s="1"/>
      <c r="K179" s="1"/>
      <c r="L179" s="1"/>
      <c r="M179" s="59">
        <f t="shared" si="33"/>
        <v>0</v>
      </c>
      <c r="N179" s="1"/>
      <c r="O179" s="1"/>
      <c r="P179" s="1"/>
      <c r="Q179" s="59">
        <f t="shared" si="34"/>
        <v>0</v>
      </c>
      <c r="R179" s="59">
        <f t="shared" si="41"/>
        <v>0</v>
      </c>
      <c r="T179" s="4" t="s">
        <v>134</v>
      </c>
    </row>
    <row r="180" spans="1:21" ht="15.75" customHeight="1" x14ac:dyDescent="0.3">
      <c r="A180" s="74" t="s">
        <v>166</v>
      </c>
      <c r="B180" s="1">
        <v>21</v>
      </c>
      <c r="C180" s="1">
        <v>27</v>
      </c>
      <c r="D180" s="1">
        <v>34</v>
      </c>
      <c r="E180" s="59">
        <f t="shared" si="38"/>
        <v>82</v>
      </c>
      <c r="F180" s="1">
        <v>59</v>
      </c>
      <c r="G180" s="1">
        <v>72</v>
      </c>
      <c r="H180" s="1">
        <v>73</v>
      </c>
      <c r="I180" s="59">
        <f t="shared" si="32"/>
        <v>204</v>
      </c>
      <c r="J180" s="1">
        <v>57</v>
      </c>
      <c r="K180" s="1">
        <v>35</v>
      </c>
      <c r="L180" s="1">
        <v>50</v>
      </c>
      <c r="M180" s="59">
        <f t="shared" si="33"/>
        <v>142</v>
      </c>
      <c r="N180" s="1">
        <v>63</v>
      </c>
      <c r="O180" s="1">
        <v>35</v>
      </c>
      <c r="P180" s="1">
        <v>15</v>
      </c>
      <c r="Q180" s="59">
        <f t="shared" si="34"/>
        <v>113</v>
      </c>
      <c r="R180" s="59">
        <f t="shared" si="41"/>
        <v>541</v>
      </c>
      <c r="T180" s="4" t="s">
        <v>127</v>
      </c>
    </row>
    <row r="181" spans="1:21" ht="15.75" customHeight="1" x14ac:dyDescent="0.3">
      <c r="A181" s="91" t="s">
        <v>167</v>
      </c>
      <c r="B181" s="1"/>
      <c r="C181" s="1"/>
      <c r="D181" s="1"/>
      <c r="E181" s="59">
        <f t="shared" si="38"/>
        <v>0</v>
      </c>
      <c r="F181" s="1">
        <v>1810</v>
      </c>
      <c r="G181" s="1">
        <v>2716</v>
      </c>
      <c r="H181" s="1"/>
      <c r="I181" s="59">
        <f t="shared" si="32"/>
        <v>4526</v>
      </c>
      <c r="J181" s="1">
        <v>1390</v>
      </c>
      <c r="K181" s="1">
        <v>2165</v>
      </c>
      <c r="L181" s="1">
        <f>812+785</f>
        <v>1597</v>
      </c>
      <c r="M181" s="59">
        <f t="shared" si="33"/>
        <v>5152</v>
      </c>
      <c r="N181" s="1">
        <f>1274+980</f>
        <v>2254</v>
      </c>
      <c r="O181" s="1">
        <f>724+334</f>
        <v>1058</v>
      </c>
      <c r="P181" s="1"/>
      <c r="Q181" s="59">
        <f t="shared" si="34"/>
        <v>3312</v>
      </c>
      <c r="R181" s="59">
        <f t="shared" si="35"/>
        <v>12990</v>
      </c>
      <c r="T181" s="4" t="s">
        <v>132</v>
      </c>
    </row>
    <row r="182" spans="1:21" ht="15.75" customHeight="1" x14ac:dyDescent="0.3">
      <c r="A182" s="91" t="s">
        <v>168</v>
      </c>
      <c r="B182" s="1"/>
      <c r="C182" s="1"/>
      <c r="D182" s="1"/>
      <c r="E182" s="59">
        <f t="shared" si="38"/>
        <v>0</v>
      </c>
      <c r="F182" s="1"/>
      <c r="G182" s="1"/>
      <c r="H182" s="1"/>
      <c r="I182" s="59">
        <f t="shared" si="32"/>
        <v>0</v>
      </c>
      <c r="J182" s="1"/>
      <c r="K182" s="1"/>
      <c r="L182" s="1"/>
      <c r="M182" s="59">
        <f t="shared" si="33"/>
        <v>0</v>
      </c>
      <c r="N182" s="1"/>
      <c r="O182" s="1"/>
      <c r="P182" s="1"/>
      <c r="Q182" s="59">
        <f t="shared" si="34"/>
        <v>0</v>
      </c>
      <c r="R182" s="59">
        <f t="shared" si="35"/>
        <v>0</v>
      </c>
      <c r="T182" s="4" t="s">
        <v>134</v>
      </c>
    </row>
    <row r="183" spans="1:21" ht="15.75" customHeight="1" x14ac:dyDescent="0.3">
      <c r="A183" s="91" t="s">
        <v>169</v>
      </c>
      <c r="B183" s="1">
        <v>19</v>
      </c>
      <c r="C183" s="1">
        <v>27</v>
      </c>
      <c r="D183" s="1">
        <v>38</v>
      </c>
      <c r="E183" s="59">
        <f t="shared" si="38"/>
        <v>84</v>
      </c>
      <c r="F183" s="1">
        <v>56</v>
      </c>
      <c r="G183" s="1">
        <v>70</v>
      </c>
      <c r="H183" s="1">
        <v>82</v>
      </c>
      <c r="I183" s="59">
        <f>SUM(F183:H183)</f>
        <v>208</v>
      </c>
      <c r="J183" s="1">
        <v>63</v>
      </c>
      <c r="K183" s="1">
        <v>52</v>
      </c>
      <c r="L183" s="1">
        <v>58</v>
      </c>
      <c r="M183" s="59">
        <f t="shared" si="33"/>
        <v>173</v>
      </c>
      <c r="N183" s="1">
        <v>55</v>
      </c>
      <c r="O183" s="1">
        <v>42</v>
      </c>
      <c r="P183" s="1">
        <v>32</v>
      </c>
      <c r="Q183" s="59">
        <f t="shared" si="34"/>
        <v>129</v>
      </c>
      <c r="R183" s="59">
        <f t="shared" si="35"/>
        <v>594</v>
      </c>
      <c r="T183" s="4" t="s">
        <v>170</v>
      </c>
    </row>
    <row r="184" spans="1:21" ht="15.75" customHeight="1" x14ac:dyDescent="0.3">
      <c r="A184" s="91" t="s">
        <v>171</v>
      </c>
      <c r="B184" s="1"/>
      <c r="C184" s="1">
        <v>1</v>
      </c>
      <c r="D184" s="1">
        <v>7</v>
      </c>
      <c r="E184" s="59">
        <f t="shared" si="38"/>
        <v>8</v>
      </c>
      <c r="F184" s="1">
        <v>32</v>
      </c>
      <c r="G184" s="1">
        <v>70</v>
      </c>
      <c r="H184" s="1">
        <v>113</v>
      </c>
      <c r="I184" s="59">
        <f t="shared" si="32"/>
        <v>215</v>
      </c>
      <c r="J184" s="1">
        <v>62</v>
      </c>
      <c r="K184" s="1">
        <v>56</v>
      </c>
      <c r="L184" s="1">
        <v>46</v>
      </c>
      <c r="M184" s="59">
        <f t="shared" si="33"/>
        <v>164</v>
      </c>
      <c r="N184" s="1">
        <v>120</v>
      </c>
      <c r="O184" s="1">
        <v>8</v>
      </c>
      <c r="P184" s="1"/>
      <c r="Q184" s="59">
        <f t="shared" si="34"/>
        <v>128</v>
      </c>
      <c r="R184" s="59">
        <f t="shared" si="35"/>
        <v>515</v>
      </c>
      <c r="T184" s="4" t="s">
        <v>127</v>
      </c>
    </row>
    <row r="185" spans="1:21" ht="15.75" customHeight="1" x14ac:dyDescent="0.3">
      <c r="A185" s="91" t="s">
        <v>172</v>
      </c>
      <c r="B185" s="1"/>
      <c r="C185" s="1"/>
      <c r="D185" s="1"/>
      <c r="E185" s="59">
        <f t="shared" si="38"/>
        <v>0</v>
      </c>
      <c r="F185" s="1"/>
      <c r="G185" s="1"/>
      <c r="H185" s="1">
        <v>6</v>
      </c>
      <c r="I185" s="59">
        <f t="shared" si="32"/>
        <v>6</v>
      </c>
      <c r="J185" s="1">
        <v>3</v>
      </c>
      <c r="K185" s="1">
        <v>3</v>
      </c>
      <c r="L185" s="1">
        <v>1</v>
      </c>
      <c r="M185" s="59">
        <f t="shared" si="33"/>
        <v>7</v>
      </c>
      <c r="N185" s="1">
        <v>6</v>
      </c>
      <c r="O185" s="1">
        <v>1</v>
      </c>
      <c r="P185" s="1">
        <v>1</v>
      </c>
      <c r="Q185" s="59">
        <f t="shared" si="34"/>
        <v>8</v>
      </c>
      <c r="R185" s="59">
        <f t="shared" si="35"/>
        <v>21</v>
      </c>
      <c r="S185" s="50"/>
      <c r="T185" s="4" t="s">
        <v>121</v>
      </c>
    </row>
    <row r="186" spans="1:21" ht="15.75" customHeight="1" x14ac:dyDescent="0.3">
      <c r="A186" s="74" t="s">
        <v>173</v>
      </c>
      <c r="B186" s="1">
        <v>830</v>
      </c>
      <c r="C186" s="1">
        <v>776</v>
      </c>
      <c r="D186" s="1">
        <v>871</v>
      </c>
      <c r="E186" s="59">
        <f t="shared" si="38"/>
        <v>2477</v>
      </c>
      <c r="F186" s="1">
        <v>936</v>
      </c>
      <c r="G186" s="1">
        <v>1047</v>
      </c>
      <c r="H186" s="1">
        <v>972</v>
      </c>
      <c r="I186" s="59">
        <f t="shared" si="32"/>
        <v>2955</v>
      </c>
      <c r="J186" s="1">
        <v>1006</v>
      </c>
      <c r="K186" s="1">
        <v>1018</v>
      </c>
      <c r="L186" s="1">
        <v>916</v>
      </c>
      <c r="M186" s="59">
        <f t="shared" si="33"/>
        <v>2940</v>
      </c>
      <c r="N186" s="1">
        <v>922</v>
      </c>
      <c r="O186" s="1">
        <v>905</v>
      </c>
      <c r="P186" s="1">
        <v>861</v>
      </c>
      <c r="Q186" s="59">
        <f t="shared" si="34"/>
        <v>2688</v>
      </c>
      <c r="R186" s="59">
        <f t="shared" si="35"/>
        <v>11060</v>
      </c>
      <c r="T186" s="4" t="s">
        <v>158</v>
      </c>
    </row>
    <row r="187" spans="1:21" ht="15.75" customHeight="1" x14ac:dyDescent="0.3">
      <c r="A187" s="74" t="s">
        <v>174</v>
      </c>
      <c r="B187" s="1"/>
      <c r="C187" s="1"/>
      <c r="D187" s="1"/>
      <c r="E187" s="59">
        <f t="shared" si="38"/>
        <v>0</v>
      </c>
      <c r="F187" s="1"/>
      <c r="G187" s="1"/>
      <c r="H187" s="1"/>
      <c r="I187" s="59">
        <f t="shared" si="32"/>
        <v>0</v>
      </c>
      <c r="J187" s="1"/>
      <c r="K187" s="1"/>
      <c r="L187" s="1"/>
      <c r="M187" s="59">
        <f t="shared" si="33"/>
        <v>0</v>
      </c>
      <c r="N187" s="1"/>
      <c r="O187" s="1"/>
      <c r="P187" s="1"/>
      <c r="Q187" s="59">
        <f t="shared" si="34"/>
        <v>0</v>
      </c>
      <c r="R187" s="59">
        <f t="shared" si="35"/>
        <v>0</v>
      </c>
      <c r="S187" s="94" t="s">
        <v>136</v>
      </c>
      <c r="T187" s="4" t="s">
        <v>137</v>
      </c>
    </row>
    <row r="188" spans="1:21" ht="15.75" customHeight="1" x14ac:dyDescent="0.3">
      <c r="A188" s="74" t="s">
        <v>175</v>
      </c>
      <c r="B188" s="1"/>
      <c r="C188" s="1"/>
      <c r="D188" s="1"/>
      <c r="E188" s="59">
        <f t="shared" si="38"/>
        <v>0</v>
      </c>
      <c r="F188" s="1"/>
      <c r="G188" s="1"/>
      <c r="H188" s="1"/>
      <c r="I188" s="59">
        <f t="shared" si="32"/>
        <v>0</v>
      </c>
      <c r="J188" s="1"/>
      <c r="K188" s="1"/>
      <c r="L188" s="1"/>
      <c r="M188" s="59">
        <f t="shared" si="33"/>
        <v>0</v>
      </c>
      <c r="N188" s="1"/>
      <c r="O188" s="1"/>
      <c r="P188" s="1"/>
      <c r="Q188" s="59">
        <f t="shared" si="34"/>
        <v>0</v>
      </c>
      <c r="R188" s="59">
        <f t="shared" si="35"/>
        <v>0</v>
      </c>
      <c r="T188" s="4" t="s">
        <v>137</v>
      </c>
    </row>
    <row r="189" spans="1:21" ht="15.75" customHeight="1" x14ac:dyDescent="0.3">
      <c r="A189" s="74" t="s">
        <v>176</v>
      </c>
      <c r="B189" s="1">
        <f>1+2546+7554</f>
        <v>10101</v>
      </c>
      <c r="C189" s="1">
        <f>1+2287+6243</f>
        <v>8531</v>
      </c>
      <c r="D189" s="1">
        <f>1+1740+6924+1+36</f>
        <v>8702</v>
      </c>
      <c r="E189" s="59">
        <f t="shared" si="38"/>
        <v>27334</v>
      </c>
      <c r="F189" s="1">
        <f>7945+721+1+1+63</f>
        <v>8731</v>
      </c>
      <c r="G189" s="1">
        <f>1+2677+7699+1+85</f>
        <v>10463</v>
      </c>
      <c r="H189" s="1">
        <f>1+2520+9776+1+91</f>
        <v>12389</v>
      </c>
      <c r="I189" s="59">
        <f t="shared" si="32"/>
        <v>31583</v>
      </c>
      <c r="J189" s="1">
        <f>8729+2560+1+1+38</f>
        <v>11329</v>
      </c>
      <c r="K189" s="1">
        <f>8446+1+2499+40+1</f>
        <v>10987</v>
      </c>
      <c r="L189" s="1">
        <f>1+2420+5764</f>
        <v>8185</v>
      </c>
      <c r="M189" s="59">
        <f t="shared" si="33"/>
        <v>30501</v>
      </c>
      <c r="N189" s="1">
        <f>5729+2907+1</f>
        <v>8637</v>
      </c>
      <c r="O189" s="1">
        <f>5348+2587+1</f>
        <v>7936</v>
      </c>
      <c r="P189" s="1">
        <f>4405+2596+1</f>
        <v>7002</v>
      </c>
      <c r="Q189" s="59">
        <f t="shared" si="34"/>
        <v>23575</v>
      </c>
      <c r="R189" s="59">
        <f t="shared" si="35"/>
        <v>112993</v>
      </c>
      <c r="S189" s="4" t="s">
        <v>136</v>
      </c>
      <c r="U189" s="4">
        <f>122204-R189</f>
        <v>9211</v>
      </c>
    </row>
    <row r="190" spans="1:21" ht="15.75" customHeight="1" x14ac:dyDescent="0.3">
      <c r="A190" s="74" t="s">
        <v>177</v>
      </c>
      <c r="B190" s="1"/>
      <c r="C190" s="1">
        <f>311+983</f>
        <v>1294</v>
      </c>
      <c r="D190" s="1">
        <f>516+4017</f>
        <v>4533</v>
      </c>
      <c r="E190" s="59">
        <f t="shared" si="38"/>
        <v>5827</v>
      </c>
      <c r="F190" s="1">
        <v>575</v>
      </c>
      <c r="G190" s="1">
        <f>492+225</f>
        <v>717</v>
      </c>
      <c r="H190" s="1">
        <v>462</v>
      </c>
      <c r="I190" s="59">
        <f t="shared" si="32"/>
        <v>1754</v>
      </c>
      <c r="J190" s="1">
        <v>439</v>
      </c>
      <c r="K190" s="1">
        <v>439</v>
      </c>
      <c r="L190" s="1"/>
      <c r="M190" s="59">
        <f t="shared" si="33"/>
        <v>878</v>
      </c>
      <c r="N190" s="1"/>
      <c r="O190" s="1">
        <f>1292</f>
        <v>1292</v>
      </c>
      <c r="P190" s="1">
        <f>3278</f>
        <v>3278</v>
      </c>
      <c r="Q190" s="59">
        <f t="shared" si="34"/>
        <v>4570</v>
      </c>
      <c r="R190" s="59">
        <f>+E190+I190+M190+Q190</f>
        <v>13029</v>
      </c>
      <c r="S190" s="94"/>
      <c r="T190" s="4" t="s">
        <v>137</v>
      </c>
    </row>
    <row r="191" spans="1:21" ht="15.75" customHeight="1" x14ac:dyDescent="0.3">
      <c r="A191" s="74" t="s">
        <v>178</v>
      </c>
      <c r="B191" s="1">
        <v>45</v>
      </c>
      <c r="C191" s="1">
        <v>50</v>
      </c>
      <c r="D191" s="1">
        <v>60</v>
      </c>
      <c r="E191" s="59">
        <f t="shared" si="38"/>
        <v>155</v>
      </c>
      <c r="F191" s="1">
        <v>65</v>
      </c>
      <c r="G191" s="1">
        <v>65</v>
      </c>
      <c r="H191" s="1">
        <v>65</v>
      </c>
      <c r="I191" s="59">
        <f t="shared" si="32"/>
        <v>195</v>
      </c>
      <c r="J191" s="1">
        <v>167</v>
      </c>
      <c r="K191" s="1">
        <v>75</v>
      </c>
      <c r="L191" s="1">
        <v>60</v>
      </c>
      <c r="M191" s="59">
        <f t="shared" si="33"/>
        <v>302</v>
      </c>
      <c r="N191" s="1">
        <v>60</v>
      </c>
      <c r="O191" s="1">
        <v>50</v>
      </c>
      <c r="P191" s="1">
        <v>50</v>
      </c>
      <c r="Q191" s="59">
        <f t="shared" si="34"/>
        <v>160</v>
      </c>
      <c r="R191" s="59">
        <f t="shared" si="35"/>
        <v>812</v>
      </c>
      <c r="S191" s="4" t="s">
        <v>136</v>
      </c>
      <c r="T191" s="4" t="s">
        <v>137</v>
      </c>
    </row>
    <row r="192" spans="1:21" ht="15.75" customHeight="1" x14ac:dyDescent="0.3">
      <c r="A192" s="91" t="s">
        <v>179</v>
      </c>
      <c r="B192" s="1"/>
      <c r="C192" s="1"/>
      <c r="D192" s="1"/>
      <c r="E192" s="59">
        <f t="shared" si="38"/>
        <v>0</v>
      </c>
      <c r="F192" s="1"/>
      <c r="G192" s="1"/>
      <c r="H192" s="1">
        <v>500</v>
      </c>
      <c r="I192" s="59">
        <f t="shared" si="32"/>
        <v>500</v>
      </c>
      <c r="J192" s="1"/>
      <c r="K192" s="1"/>
      <c r="L192" s="1"/>
      <c r="M192" s="59">
        <f t="shared" si="33"/>
        <v>0</v>
      </c>
      <c r="N192" s="1"/>
      <c r="O192" s="1"/>
      <c r="P192" s="1"/>
      <c r="Q192" s="59">
        <f t="shared" ref="Q192" si="43">SUM(N192:P192)</f>
        <v>0</v>
      </c>
      <c r="R192" s="59">
        <f t="shared" si="35"/>
        <v>500</v>
      </c>
    </row>
    <row r="193" spans="1:20" ht="15.75" customHeight="1" x14ac:dyDescent="0.3">
      <c r="A193" s="74" t="s">
        <v>180</v>
      </c>
      <c r="B193" s="1">
        <v>3283</v>
      </c>
      <c r="C193" s="1"/>
      <c r="D193" s="1"/>
      <c r="E193" s="59">
        <f t="shared" si="38"/>
        <v>3283</v>
      </c>
      <c r="F193" s="1"/>
      <c r="G193" s="1">
        <v>1120</v>
      </c>
      <c r="H193" s="1">
        <v>7256</v>
      </c>
      <c r="I193" s="59">
        <f t="shared" si="32"/>
        <v>8376</v>
      </c>
      <c r="J193" s="1">
        <v>6230</v>
      </c>
      <c r="K193" s="1">
        <v>5931</v>
      </c>
      <c r="L193" s="1">
        <f>26+5151+430+75</f>
        <v>5682</v>
      </c>
      <c r="M193" s="59">
        <f t="shared" si="33"/>
        <v>17843</v>
      </c>
      <c r="N193" s="1">
        <v>6085</v>
      </c>
      <c r="O193" s="1">
        <v>5465</v>
      </c>
      <c r="P193" s="1">
        <v>4424</v>
      </c>
      <c r="Q193" s="59">
        <f t="shared" si="34"/>
        <v>15974</v>
      </c>
      <c r="R193" s="59">
        <f>+E193+I193+M193+Q193</f>
        <v>45476</v>
      </c>
    </row>
    <row r="194" spans="1:20" ht="15.75" customHeight="1" x14ac:dyDescent="0.3">
      <c r="A194" s="74" t="s">
        <v>181</v>
      </c>
      <c r="B194" s="1"/>
      <c r="C194" s="1"/>
      <c r="D194" s="1"/>
      <c r="E194" s="59">
        <f t="shared" ref="E194" si="44">SUM(B194:D194)</f>
        <v>0</v>
      </c>
      <c r="F194" s="1"/>
      <c r="G194" s="1"/>
      <c r="H194" s="1">
        <v>98</v>
      </c>
      <c r="I194" s="59">
        <f t="shared" si="32"/>
        <v>98</v>
      </c>
      <c r="J194" s="1">
        <f>98+500</f>
        <v>598</v>
      </c>
      <c r="K194" s="1">
        <v>98</v>
      </c>
      <c r="L194" s="1">
        <v>98</v>
      </c>
      <c r="M194" s="59">
        <f t="shared" si="33"/>
        <v>794</v>
      </c>
      <c r="N194" s="1">
        <v>98</v>
      </c>
      <c r="O194" s="1">
        <v>98</v>
      </c>
      <c r="P194" s="1">
        <v>98</v>
      </c>
      <c r="Q194" s="59">
        <f t="shared" si="34"/>
        <v>294</v>
      </c>
      <c r="R194" s="59">
        <f t="shared" si="35"/>
        <v>1186</v>
      </c>
      <c r="S194" s="4" t="s">
        <v>136</v>
      </c>
    </row>
    <row r="195" spans="1:20" ht="15.75" customHeight="1" x14ac:dyDescent="0.3">
      <c r="A195" s="91" t="s">
        <v>182</v>
      </c>
      <c r="B195" s="1"/>
      <c r="C195" s="1"/>
      <c r="D195" s="1"/>
      <c r="E195" s="59">
        <f t="shared" ref="E195:E200" si="45">SUM(B195:D195)</f>
        <v>0</v>
      </c>
      <c r="F195" s="1"/>
      <c r="G195" s="1"/>
      <c r="H195" s="1"/>
      <c r="I195" s="59">
        <f t="shared" ref="I195:I200" si="46">SUM(F195:H195)</f>
        <v>0</v>
      </c>
      <c r="J195" s="1"/>
      <c r="K195" s="1"/>
      <c r="L195" s="1"/>
      <c r="M195" s="59">
        <f t="shared" ref="M195:M200" si="47">SUM(J195:L195)</f>
        <v>0</v>
      </c>
      <c r="N195" s="1"/>
      <c r="O195" s="1"/>
      <c r="P195" s="1"/>
      <c r="Q195" s="59">
        <f t="shared" si="34"/>
        <v>0</v>
      </c>
      <c r="R195" s="59">
        <f t="shared" si="35"/>
        <v>0</v>
      </c>
      <c r="T195" s="4" t="s">
        <v>132</v>
      </c>
    </row>
    <row r="196" spans="1:20" ht="15.75" customHeight="1" x14ac:dyDescent="0.3">
      <c r="A196" s="91" t="s">
        <v>183</v>
      </c>
      <c r="B196" s="1"/>
      <c r="C196" s="1"/>
      <c r="D196" s="1"/>
      <c r="E196" s="59">
        <f t="shared" si="45"/>
        <v>0</v>
      </c>
      <c r="F196" s="1"/>
      <c r="G196" s="1"/>
      <c r="H196" s="1"/>
      <c r="I196" s="59">
        <f t="shared" si="46"/>
        <v>0</v>
      </c>
      <c r="J196" s="1"/>
      <c r="K196" s="1"/>
      <c r="L196" s="1"/>
      <c r="M196" s="59">
        <f t="shared" si="47"/>
        <v>0</v>
      </c>
      <c r="N196" s="1"/>
      <c r="O196" s="1"/>
      <c r="P196" s="1"/>
      <c r="Q196" s="59">
        <f t="shared" si="34"/>
        <v>0</v>
      </c>
      <c r="R196" s="59">
        <f>+E196+I196+M196+Q196</f>
        <v>0</v>
      </c>
    </row>
    <row r="197" spans="1:20" ht="15.75" customHeight="1" x14ac:dyDescent="0.3">
      <c r="A197" s="91" t="s">
        <v>184</v>
      </c>
      <c r="B197" s="1"/>
      <c r="C197" s="1"/>
      <c r="D197" s="1"/>
      <c r="E197" s="59">
        <f t="shared" si="45"/>
        <v>0</v>
      </c>
      <c r="F197" s="1">
        <v>1000</v>
      </c>
      <c r="G197" s="1">
        <v>1000</v>
      </c>
      <c r="H197" s="1">
        <v>1000</v>
      </c>
      <c r="I197" s="59">
        <f t="shared" si="46"/>
        <v>3000</v>
      </c>
      <c r="J197" s="1">
        <v>1000</v>
      </c>
      <c r="K197" s="1">
        <v>799</v>
      </c>
      <c r="L197" s="1">
        <v>201</v>
      </c>
      <c r="M197" s="59">
        <f t="shared" si="47"/>
        <v>2000</v>
      </c>
      <c r="N197" s="1"/>
      <c r="O197" s="1"/>
      <c r="P197" s="1"/>
      <c r="Q197" s="59">
        <f t="shared" si="34"/>
        <v>0</v>
      </c>
      <c r="R197" s="59">
        <f t="shared" si="35"/>
        <v>5000</v>
      </c>
    </row>
    <row r="198" spans="1:20" ht="15.75" customHeight="1" x14ac:dyDescent="0.3">
      <c r="A198" s="74" t="s">
        <v>185</v>
      </c>
      <c r="B198" s="1">
        <v>122</v>
      </c>
      <c r="C198" s="1">
        <v>300</v>
      </c>
      <c r="D198" s="1">
        <v>350</v>
      </c>
      <c r="E198" s="59">
        <f t="shared" si="45"/>
        <v>772</v>
      </c>
      <c r="F198" s="1">
        <v>350</v>
      </c>
      <c r="G198" s="1">
        <v>400</v>
      </c>
      <c r="H198" s="1">
        <v>450</v>
      </c>
      <c r="I198" s="59">
        <f t="shared" si="46"/>
        <v>1200</v>
      </c>
      <c r="J198" s="1">
        <v>493</v>
      </c>
      <c r="K198" s="1">
        <v>500</v>
      </c>
      <c r="L198" s="1">
        <v>400</v>
      </c>
      <c r="M198" s="59">
        <f t="shared" si="47"/>
        <v>1393</v>
      </c>
      <c r="N198" s="1">
        <v>400</v>
      </c>
      <c r="O198" s="1">
        <v>300</v>
      </c>
      <c r="P198" s="1">
        <v>250</v>
      </c>
      <c r="Q198" s="59">
        <f t="shared" si="34"/>
        <v>950</v>
      </c>
      <c r="R198" s="59">
        <f>+E198+I198+M198+Q198</f>
        <v>4315</v>
      </c>
      <c r="S198" s="4" t="s">
        <v>136</v>
      </c>
      <c r="T198" s="4" t="s">
        <v>137</v>
      </c>
    </row>
    <row r="199" spans="1:20" ht="15.75" customHeight="1" x14ac:dyDescent="0.3">
      <c r="A199" s="74" t="s">
        <v>186</v>
      </c>
      <c r="B199" s="1">
        <v>2</v>
      </c>
      <c r="C199" s="1">
        <v>2</v>
      </c>
      <c r="D199" s="1">
        <v>3</v>
      </c>
      <c r="E199" s="59">
        <f t="shared" si="45"/>
        <v>7</v>
      </c>
      <c r="F199" s="1">
        <v>4</v>
      </c>
      <c r="G199" s="1">
        <v>4</v>
      </c>
      <c r="H199" s="1">
        <v>5</v>
      </c>
      <c r="I199" s="59">
        <f t="shared" si="46"/>
        <v>13</v>
      </c>
      <c r="J199" s="1">
        <v>4</v>
      </c>
      <c r="K199" s="1">
        <v>3</v>
      </c>
      <c r="L199" s="1">
        <v>3</v>
      </c>
      <c r="M199" s="59">
        <f t="shared" si="47"/>
        <v>10</v>
      </c>
      <c r="N199" s="1">
        <v>3</v>
      </c>
      <c r="O199" s="1">
        <v>3</v>
      </c>
      <c r="P199" s="1">
        <v>3</v>
      </c>
      <c r="Q199" s="59">
        <f t="shared" si="34"/>
        <v>9</v>
      </c>
      <c r="R199" s="59">
        <f>+E199+I199+M199+Q199</f>
        <v>39</v>
      </c>
      <c r="S199" s="4">
        <f>SUM(R145:R199)</f>
        <v>300269</v>
      </c>
    </row>
    <row r="200" spans="1:20" ht="15.75" customHeight="1" x14ac:dyDescent="0.3">
      <c r="A200" s="74" t="s">
        <v>187</v>
      </c>
      <c r="B200" s="1"/>
      <c r="C200" s="1"/>
      <c r="D200" s="1"/>
      <c r="E200" s="59">
        <f t="shared" si="45"/>
        <v>0</v>
      </c>
      <c r="F200" s="1"/>
      <c r="G200" s="1"/>
      <c r="H200" s="1"/>
      <c r="I200" s="59">
        <f t="shared" si="46"/>
        <v>0</v>
      </c>
      <c r="J200" s="1"/>
      <c r="K200" s="1"/>
      <c r="L200" s="1"/>
      <c r="M200" s="59">
        <f t="shared" si="47"/>
        <v>0</v>
      </c>
      <c r="N200" s="1"/>
      <c r="O200" s="1"/>
      <c r="P200" s="1"/>
      <c r="Q200" s="59">
        <f t="shared" si="34"/>
        <v>0</v>
      </c>
      <c r="R200" s="59">
        <f>+E200+I200+M200+Q200</f>
        <v>0</v>
      </c>
      <c r="S200" s="94" t="s">
        <v>136</v>
      </c>
      <c r="T200" s="4" t="s">
        <v>137</v>
      </c>
    </row>
    <row r="201" spans="1:20" ht="15.75" customHeight="1" x14ac:dyDescent="0.3">
      <c r="A201" s="17" t="s">
        <v>47</v>
      </c>
      <c r="B201" s="1"/>
      <c r="C201" s="1"/>
      <c r="D201" s="1"/>
      <c r="E201" s="59" t="s">
        <v>7</v>
      </c>
      <c r="F201" s="1"/>
      <c r="G201" s="1"/>
      <c r="H201" s="1"/>
      <c r="I201" s="59" t="s">
        <v>7</v>
      </c>
      <c r="J201" s="1"/>
      <c r="K201" s="1"/>
      <c r="L201" s="1"/>
      <c r="M201" s="59" t="s">
        <v>7</v>
      </c>
      <c r="N201" s="1"/>
      <c r="O201" s="1"/>
      <c r="P201" s="1"/>
      <c r="Q201" s="59" t="s">
        <v>7</v>
      </c>
      <c r="R201" s="59" t="s">
        <v>7</v>
      </c>
    </row>
    <row r="202" spans="1:20" ht="15.75" customHeight="1" x14ac:dyDescent="0.3">
      <c r="A202" s="74" t="s">
        <v>188</v>
      </c>
      <c r="B202" s="1"/>
      <c r="C202" s="1"/>
      <c r="D202" s="1"/>
      <c r="E202" s="59">
        <f t="shared" ref="E202:E211" si="48">SUM(B202:D202)</f>
        <v>0</v>
      </c>
      <c r="F202" s="1"/>
      <c r="G202" s="1"/>
      <c r="H202" s="1"/>
      <c r="I202" s="59">
        <f t="shared" ref="I202:I211" si="49">SUM(F202:H202)</f>
        <v>0</v>
      </c>
      <c r="J202" s="1"/>
      <c r="K202" s="1"/>
      <c r="L202" s="1"/>
      <c r="M202" s="59">
        <f t="shared" ref="M202:M211" si="50">SUM(J202:L202)</f>
        <v>0</v>
      </c>
      <c r="N202" s="1"/>
      <c r="O202" s="1"/>
      <c r="P202" s="1"/>
      <c r="Q202" s="59">
        <f t="shared" ref="Q202:Q211" si="51">SUM(N202:P202)</f>
        <v>0</v>
      </c>
      <c r="R202" s="59">
        <f t="shared" ref="R202:R211" si="52">+E202+I202+M202+Q202</f>
        <v>0</v>
      </c>
    </row>
    <row r="203" spans="1:20" ht="15.75" customHeight="1" x14ac:dyDescent="0.3">
      <c r="A203" s="74" t="s">
        <v>189</v>
      </c>
      <c r="B203" s="1"/>
      <c r="C203" s="1"/>
      <c r="D203" s="1"/>
      <c r="E203" s="59">
        <f>SUM(B203:D203)</f>
        <v>0</v>
      </c>
      <c r="F203" s="1"/>
      <c r="G203" s="1"/>
      <c r="H203" s="1"/>
      <c r="I203" s="59">
        <f>SUM(F203:H203)</f>
        <v>0</v>
      </c>
      <c r="J203" s="1"/>
      <c r="K203" s="1"/>
      <c r="L203" s="1"/>
      <c r="M203" s="59">
        <f>SUM(J203:L203)</f>
        <v>0</v>
      </c>
      <c r="N203" s="1"/>
      <c r="O203" s="1"/>
      <c r="P203" s="1"/>
      <c r="Q203" s="59">
        <f>SUM(N203:P203)</f>
        <v>0</v>
      </c>
      <c r="R203" s="59">
        <f>+E203+I203+M203+Q203</f>
        <v>0</v>
      </c>
      <c r="T203" s="4" t="s">
        <v>127</v>
      </c>
    </row>
    <row r="204" spans="1:20" ht="15.75" customHeight="1" x14ac:dyDescent="0.3">
      <c r="A204" s="74" t="s">
        <v>190</v>
      </c>
      <c r="B204" s="1"/>
      <c r="C204" s="1"/>
      <c r="D204" s="1"/>
      <c r="E204" s="59">
        <f t="shared" si="48"/>
        <v>0</v>
      </c>
      <c r="F204" s="1"/>
      <c r="G204" s="1"/>
      <c r="H204" s="1"/>
      <c r="I204" s="59">
        <f t="shared" si="49"/>
        <v>0</v>
      </c>
      <c r="J204" s="1"/>
      <c r="K204" s="1"/>
      <c r="L204" s="1"/>
      <c r="M204" s="59">
        <f t="shared" si="50"/>
        <v>0</v>
      </c>
      <c r="N204" s="1"/>
      <c r="O204" s="1"/>
      <c r="P204" s="1"/>
      <c r="Q204" s="59">
        <f t="shared" si="51"/>
        <v>0</v>
      </c>
      <c r="R204" s="59">
        <f t="shared" si="52"/>
        <v>0</v>
      </c>
    </row>
    <row r="205" spans="1:20" ht="15.75" customHeight="1" x14ac:dyDescent="0.3">
      <c r="A205" s="74" t="s">
        <v>191</v>
      </c>
      <c r="B205" s="1"/>
      <c r="C205" s="1"/>
      <c r="D205" s="1"/>
      <c r="E205" s="59">
        <f t="shared" si="48"/>
        <v>0</v>
      </c>
      <c r="F205" s="1"/>
      <c r="G205" s="1"/>
      <c r="H205" s="1"/>
      <c r="I205" s="59">
        <f t="shared" si="49"/>
        <v>0</v>
      </c>
      <c r="J205" s="1"/>
      <c r="K205" s="1"/>
      <c r="L205" s="1"/>
      <c r="M205" s="59">
        <f t="shared" si="50"/>
        <v>0</v>
      </c>
      <c r="N205" s="1"/>
      <c r="O205" s="1"/>
      <c r="P205" s="1"/>
      <c r="Q205" s="59">
        <f t="shared" si="51"/>
        <v>0</v>
      </c>
      <c r="R205" s="59">
        <f t="shared" si="52"/>
        <v>0</v>
      </c>
      <c r="T205" s="4" t="s">
        <v>137</v>
      </c>
    </row>
    <row r="206" spans="1:20" ht="15.75" customHeight="1" x14ac:dyDescent="0.3">
      <c r="A206" s="74" t="s">
        <v>192</v>
      </c>
      <c r="B206" s="1"/>
      <c r="C206" s="1"/>
      <c r="D206" s="1"/>
      <c r="E206" s="59">
        <f t="shared" si="48"/>
        <v>0</v>
      </c>
      <c r="F206" s="1"/>
      <c r="G206" s="1"/>
      <c r="H206" s="1"/>
      <c r="I206" s="59">
        <f t="shared" si="49"/>
        <v>0</v>
      </c>
      <c r="J206" s="1"/>
      <c r="K206" s="1"/>
      <c r="L206" s="1"/>
      <c r="M206" s="59">
        <f t="shared" si="50"/>
        <v>0</v>
      </c>
      <c r="N206" s="1"/>
      <c r="O206" s="1"/>
      <c r="P206" s="1"/>
      <c r="Q206" s="59">
        <f t="shared" si="51"/>
        <v>0</v>
      </c>
      <c r="R206" s="59">
        <f t="shared" si="52"/>
        <v>0</v>
      </c>
    </row>
    <row r="207" spans="1:20" ht="15.75" customHeight="1" x14ac:dyDescent="0.3">
      <c r="A207" s="74" t="s">
        <v>193</v>
      </c>
      <c r="B207" s="1"/>
      <c r="C207" s="1"/>
      <c r="D207" s="1"/>
      <c r="E207" s="59">
        <f t="shared" si="48"/>
        <v>0</v>
      </c>
      <c r="F207" s="1"/>
      <c r="G207" s="1"/>
      <c r="H207" s="1"/>
      <c r="I207" s="59">
        <f t="shared" si="49"/>
        <v>0</v>
      </c>
      <c r="J207" s="1"/>
      <c r="K207" s="1"/>
      <c r="L207" s="1"/>
      <c r="M207" s="59">
        <f t="shared" si="50"/>
        <v>0</v>
      </c>
      <c r="N207" s="1"/>
      <c r="O207" s="1"/>
      <c r="P207" s="1"/>
      <c r="Q207" s="59">
        <f t="shared" si="51"/>
        <v>0</v>
      </c>
      <c r="R207" s="59">
        <f t="shared" si="52"/>
        <v>0</v>
      </c>
    </row>
    <row r="208" spans="1:20" ht="15.75" customHeight="1" x14ac:dyDescent="0.3">
      <c r="A208" s="91" t="s">
        <v>194</v>
      </c>
      <c r="B208" s="1"/>
      <c r="C208" s="1"/>
      <c r="D208" s="1"/>
      <c r="E208" s="59">
        <f t="shared" si="48"/>
        <v>0</v>
      </c>
      <c r="F208" s="1"/>
      <c r="G208" s="1"/>
      <c r="H208" s="1"/>
      <c r="I208" s="59">
        <f t="shared" si="49"/>
        <v>0</v>
      </c>
      <c r="J208" s="1"/>
      <c r="K208" s="1"/>
      <c r="L208" s="1"/>
      <c r="M208" s="59">
        <f t="shared" si="50"/>
        <v>0</v>
      </c>
      <c r="N208" s="1"/>
      <c r="O208" s="1"/>
      <c r="P208" s="1"/>
      <c r="Q208" s="59">
        <f t="shared" si="51"/>
        <v>0</v>
      </c>
      <c r="R208" s="59">
        <f t="shared" si="52"/>
        <v>0</v>
      </c>
      <c r="T208" s="4" t="s">
        <v>121</v>
      </c>
    </row>
    <row r="209" spans="1:20" ht="15.75" customHeight="1" x14ac:dyDescent="0.3">
      <c r="A209" s="74" t="s">
        <v>195</v>
      </c>
      <c r="B209" s="1"/>
      <c r="C209" s="1"/>
      <c r="D209" s="1"/>
      <c r="E209" s="59">
        <f t="shared" si="48"/>
        <v>0</v>
      </c>
      <c r="F209" s="1"/>
      <c r="G209" s="1"/>
      <c r="H209" s="1"/>
      <c r="I209" s="59">
        <f t="shared" si="49"/>
        <v>0</v>
      </c>
      <c r="J209" s="1"/>
      <c r="K209" s="1"/>
      <c r="L209" s="1"/>
      <c r="M209" s="59">
        <f t="shared" si="50"/>
        <v>0</v>
      </c>
      <c r="N209" s="1"/>
      <c r="O209" s="1"/>
      <c r="P209" s="1"/>
      <c r="Q209" s="59">
        <f t="shared" si="51"/>
        <v>0</v>
      </c>
      <c r="R209" s="59">
        <f t="shared" si="52"/>
        <v>0</v>
      </c>
      <c r="T209" s="4" t="s">
        <v>137</v>
      </c>
    </row>
    <row r="210" spans="1:20" ht="15.75" customHeight="1" x14ac:dyDescent="0.3">
      <c r="A210" s="74" t="s">
        <v>196</v>
      </c>
      <c r="B210" s="1"/>
      <c r="C210" s="1"/>
      <c r="D210" s="1"/>
      <c r="E210" s="59">
        <f t="shared" si="48"/>
        <v>0</v>
      </c>
      <c r="F210" s="1"/>
      <c r="G210" s="1"/>
      <c r="H210" s="1"/>
      <c r="I210" s="59">
        <f t="shared" si="49"/>
        <v>0</v>
      </c>
      <c r="J210" s="1"/>
      <c r="K210" s="1"/>
      <c r="L210" s="1"/>
      <c r="M210" s="59">
        <f t="shared" si="50"/>
        <v>0</v>
      </c>
      <c r="N210" s="1"/>
      <c r="O210" s="1"/>
      <c r="P210" s="1"/>
      <c r="Q210" s="59">
        <f t="shared" si="51"/>
        <v>0</v>
      </c>
      <c r="R210" s="59">
        <f t="shared" si="52"/>
        <v>0</v>
      </c>
      <c r="T210" s="4" t="s">
        <v>197</v>
      </c>
    </row>
    <row r="211" spans="1:20" ht="15.75" customHeight="1" x14ac:dyDescent="0.3">
      <c r="A211" s="91" t="s">
        <v>198</v>
      </c>
      <c r="B211" s="1"/>
      <c r="C211" s="1"/>
      <c r="D211" s="1"/>
      <c r="E211" s="59">
        <f t="shared" si="48"/>
        <v>0</v>
      </c>
      <c r="F211" s="1"/>
      <c r="G211" s="1"/>
      <c r="H211" s="1"/>
      <c r="I211" s="59">
        <f t="shared" si="49"/>
        <v>0</v>
      </c>
      <c r="J211" s="1"/>
      <c r="K211" s="1"/>
      <c r="L211" s="1"/>
      <c r="M211" s="59">
        <f t="shared" si="50"/>
        <v>0</v>
      </c>
      <c r="N211" s="1"/>
      <c r="O211" s="1"/>
      <c r="P211" s="1"/>
      <c r="Q211" s="59">
        <f t="shared" si="51"/>
        <v>0</v>
      </c>
      <c r="R211" s="59">
        <f t="shared" si="52"/>
        <v>0</v>
      </c>
    </row>
    <row r="212" spans="1:20" ht="15.75" customHeight="1" x14ac:dyDescent="0.3">
      <c r="A212" s="17" t="s">
        <v>49</v>
      </c>
      <c r="B212" s="1"/>
      <c r="C212" s="1"/>
      <c r="D212" s="1"/>
      <c r="E212" s="59" t="s">
        <v>7</v>
      </c>
      <c r="F212" s="1"/>
      <c r="G212" s="1"/>
      <c r="H212" s="1"/>
      <c r="I212" s="59" t="s">
        <v>7</v>
      </c>
      <c r="J212" s="1"/>
      <c r="K212" s="1"/>
      <c r="L212" s="1"/>
      <c r="M212" s="59" t="s">
        <v>7</v>
      </c>
      <c r="N212" s="1"/>
      <c r="O212" s="1"/>
      <c r="P212" s="1"/>
      <c r="Q212" s="59" t="s">
        <v>7</v>
      </c>
      <c r="R212" s="59" t="s">
        <v>7</v>
      </c>
    </row>
    <row r="213" spans="1:20" ht="15.75" customHeight="1" x14ac:dyDescent="0.3">
      <c r="A213" s="99" t="s">
        <v>199</v>
      </c>
      <c r="B213" s="1"/>
      <c r="C213" s="1"/>
      <c r="D213" s="1"/>
      <c r="E213" s="59">
        <f>SUM(B213:D213)</f>
        <v>0</v>
      </c>
      <c r="F213" s="1"/>
      <c r="G213" s="1"/>
      <c r="H213" s="1"/>
      <c r="I213" s="59">
        <f>SUM(F213:H213)</f>
        <v>0</v>
      </c>
      <c r="J213" s="1"/>
      <c r="K213" s="1"/>
      <c r="L213" s="1"/>
      <c r="M213" s="59">
        <f>SUM(J213:L213)</f>
        <v>0</v>
      </c>
      <c r="N213" s="1"/>
      <c r="O213" s="1"/>
      <c r="P213" s="1"/>
      <c r="Q213" s="59">
        <f>SUM(N213:P213)</f>
        <v>0</v>
      </c>
      <c r="R213" s="59">
        <f>+E213+I213+M213+Q213</f>
        <v>0</v>
      </c>
      <c r="S213" s="77" t="s">
        <v>90</v>
      </c>
      <c r="T213" s="4" t="s">
        <v>132</v>
      </c>
    </row>
    <row r="214" spans="1:20" ht="15.75" customHeight="1" x14ac:dyDescent="0.3">
      <c r="A214" s="99" t="s">
        <v>200</v>
      </c>
      <c r="B214" s="1"/>
      <c r="C214" s="1"/>
      <c r="D214" s="1"/>
      <c r="E214" s="59">
        <f>SUM(B214:D214)</f>
        <v>0</v>
      </c>
      <c r="F214" s="1"/>
      <c r="G214" s="1"/>
      <c r="H214" s="1"/>
      <c r="I214" s="59">
        <f>SUM(F214:H214)</f>
        <v>0</v>
      </c>
      <c r="J214" s="1"/>
      <c r="K214" s="1"/>
      <c r="L214" s="1"/>
      <c r="M214" s="59">
        <f>SUM(J214:L214)</f>
        <v>0</v>
      </c>
      <c r="N214" s="1"/>
      <c r="O214" s="1"/>
      <c r="P214" s="1"/>
      <c r="Q214" s="59">
        <f>SUM(N214:P214)</f>
        <v>0</v>
      </c>
      <c r="R214" s="59">
        <f>+E214+I214+M214+Q214</f>
        <v>0</v>
      </c>
      <c r="S214" s="77" t="s">
        <v>90</v>
      </c>
      <c r="T214" s="4" t="s">
        <v>134</v>
      </c>
    </row>
    <row r="215" spans="1:20" ht="15.75" customHeight="1" x14ac:dyDescent="0.3">
      <c r="A215" s="61" t="s">
        <v>201</v>
      </c>
      <c r="B215" s="1"/>
      <c r="C215" s="1"/>
      <c r="D215" s="1"/>
      <c r="E215" s="59">
        <f>SUM(B215:D215)</f>
        <v>0</v>
      </c>
      <c r="F215" s="1"/>
      <c r="G215" s="1"/>
      <c r="H215" s="1"/>
      <c r="I215" s="59">
        <f>SUM(F215:H215)</f>
        <v>0</v>
      </c>
      <c r="J215" s="1"/>
      <c r="K215" s="1"/>
      <c r="L215" s="1"/>
      <c r="M215" s="59">
        <f>SUM(J215:L215)</f>
        <v>0</v>
      </c>
      <c r="N215" s="1"/>
      <c r="O215" s="1"/>
      <c r="P215" s="1"/>
      <c r="Q215" s="59">
        <f>SUM(N215:P215)</f>
        <v>0</v>
      </c>
      <c r="R215" s="59">
        <f>+E215+I215+M215+Q215</f>
        <v>0</v>
      </c>
      <c r="S215" s="77" t="s">
        <v>90</v>
      </c>
      <c r="T215" s="4" t="s">
        <v>202</v>
      </c>
    </row>
    <row r="216" spans="1:20" ht="15.75" customHeight="1" thickBot="1" x14ac:dyDescent="0.35">
      <c r="A216" s="17" t="s">
        <v>51</v>
      </c>
      <c r="B216" s="1"/>
      <c r="C216" s="1"/>
      <c r="D216" s="1"/>
      <c r="E216" s="59" t="s">
        <v>7</v>
      </c>
      <c r="F216" s="1"/>
      <c r="G216" s="1"/>
      <c r="H216" s="1"/>
      <c r="I216" s="59" t="s">
        <v>7</v>
      </c>
      <c r="J216" s="1"/>
      <c r="K216" s="1"/>
      <c r="L216" s="1"/>
      <c r="M216" s="59" t="s">
        <v>7</v>
      </c>
      <c r="N216" s="1"/>
      <c r="O216" s="1"/>
      <c r="P216" s="1"/>
      <c r="Q216" s="59" t="s">
        <v>7</v>
      </c>
      <c r="R216" s="59" t="s">
        <v>7</v>
      </c>
    </row>
    <row r="217" spans="1:20" ht="16.5" customHeight="1" thickBot="1" x14ac:dyDescent="0.35">
      <c r="A217" s="62" t="s">
        <v>52</v>
      </c>
      <c r="B217" s="100">
        <f>SUM(B143:B216)</f>
        <v>15815</v>
      </c>
      <c r="C217" s="101">
        <f>SUM(C143:C216)</f>
        <v>13649</v>
      </c>
      <c r="D217" s="101">
        <f>SUM(D143:D216)</f>
        <v>17983</v>
      </c>
      <c r="E217" s="64">
        <f>SUM(B217:D217)</f>
        <v>47447</v>
      </c>
      <c r="F217" s="101">
        <f>SUM(F143:F216)</f>
        <v>26091</v>
      </c>
      <c r="G217" s="101">
        <f t="shared" ref="G217:H217" si="53">SUM(G143:G216)</f>
        <v>28633</v>
      </c>
      <c r="H217" s="101">
        <f t="shared" si="53"/>
        <v>35788</v>
      </c>
      <c r="I217" s="64">
        <f>SUM(F217:H217)</f>
        <v>90512</v>
      </c>
      <c r="J217" s="101">
        <f>SUM(J143:J216)</f>
        <v>35179</v>
      </c>
      <c r="K217" s="101">
        <f>SUM(K143:K216)</f>
        <v>34677</v>
      </c>
      <c r="L217" s="101">
        <f>SUM(L143:L216)</f>
        <v>27776</v>
      </c>
      <c r="M217" s="64">
        <f>SUM(J217:L217)</f>
        <v>97632</v>
      </c>
      <c r="N217" s="101">
        <f>SUM(N143:N216)</f>
        <v>23621</v>
      </c>
      <c r="O217" s="101">
        <f>SUM(O143:O216)</f>
        <v>20639</v>
      </c>
      <c r="P217" s="101">
        <f>SUM(P143:P216)</f>
        <v>20418</v>
      </c>
      <c r="Q217" s="64">
        <f>SUM(N217:P217)</f>
        <v>64678</v>
      </c>
      <c r="R217" s="64">
        <f>+E217+I217+M217+Q217</f>
        <v>300269</v>
      </c>
    </row>
    <row r="218" spans="1:20" ht="15.75" customHeight="1" x14ac:dyDescent="0.3">
      <c r="A218" s="17" t="s">
        <v>53</v>
      </c>
      <c r="B218" s="1"/>
      <c r="C218" s="1"/>
      <c r="D218" s="1"/>
      <c r="E218" s="59" t="s">
        <v>7</v>
      </c>
      <c r="F218" s="1"/>
      <c r="G218" s="1"/>
      <c r="H218" s="1"/>
      <c r="I218" s="59" t="s">
        <v>7</v>
      </c>
      <c r="J218" s="1"/>
      <c r="K218" s="1"/>
      <c r="L218" s="1"/>
      <c r="M218" s="59" t="s">
        <v>7</v>
      </c>
      <c r="N218" s="1"/>
      <c r="O218" s="1"/>
      <c r="P218" s="1"/>
      <c r="Q218" s="59" t="s">
        <v>7</v>
      </c>
      <c r="R218" s="59" t="s">
        <v>7</v>
      </c>
    </row>
    <row r="219" spans="1:20" ht="15.75" customHeight="1" x14ac:dyDescent="0.3">
      <c r="A219" s="17" t="s">
        <v>54</v>
      </c>
      <c r="B219" s="1"/>
      <c r="C219" s="1"/>
      <c r="D219" s="1"/>
      <c r="E219" s="59" t="s">
        <v>7</v>
      </c>
      <c r="F219" s="1"/>
      <c r="G219" s="1"/>
      <c r="H219" s="1"/>
      <c r="I219" s="59" t="s">
        <v>7</v>
      </c>
      <c r="J219" s="1"/>
      <c r="K219" s="1"/>
      <c r="L219" s="1"/>
      <c r="M219" s="59" t="s">
        <v>7</v>
      </c>
      <c r="N219" s="1"/>
      <c r="O219" s="1"/>
      <c r="P219" s="1"/>
      <c r="Q219" s="59" t="s">
        <v>7</v>
      </c>
      <c r="R219" s="59" t="s">
        <v>7</v>
      </c>
    </row>
    <row r="220" spans="1:20" ht="15.75" customHeight="1" x14ac:dyDescent="0.3">
      <c r="A220" s="17" t="s">
        <v>55</v>
      </c>
      <c r="B220" s="1"/>
      <c r="C220" s="1"/>
      <c r="D220" s="1"/>
      <c r="E220" s="59" t="s">
        <v>7</v>
      </c>
      <c r="F220" s="1"/>
      <c r="G220" s="1"/>
      <c r="H220" s="1"/>
      <c r="I220" s="59" t="s">
        <v>7</v>
      </c>
      <c r="J220" s="1"/>
      <c r="K220" s="1"/>
      <c r="L220" s="1"/>
      <c r="M220" s="59" t="s">
        <v>7</v>
      </c>
      <c r="N220" s="1"/>
      <c r="O220" s="1"/>
      <c r="P220" s="1"/>
      <c r="Q220" s="59" t="s">
        <v>7</v>
      </c>
      <c r="R220" s="59" t="s">
        <v>7</v>
      </c>
    </row>
    <row r="221" spans="1:20" ht="15.75" customHeight="1" x14ac:dyDescent="0.3">
      <c r="A221" s="99" t="s">
        <v>203</v>
      </c>
      <c r="B221" s="1"/>
      <c r="C221" s="1"/>
      <c r="D221" s="1"/>
      <c r="E221" s="59">
        <f>SUM(B221:D221)</f>
        <v>0</v>
      </c>
      <c r="F221" s="1"/>
      <c r="G221" s="1"/>
      <c r="H221" s="1"/>
      <c r="I221" s="59">
        <f>SUM(F221:H221)</f>
        <v>0</v>
      </c>
      <c r="J221" s="1"/>
      <c r="K221" s="1"/>
      <c r="L221" s="1"/>
      <c r="M221" s="59">
        <f>SUM(J221:L221)</f>
        <v>0</v>
      </c>
      <c r="N221" s="1"/>
      <c r="O221" s="1"/>
      <c r="P221" s="1"/>
      <c r="Q221" s="59">
        <f>SUM(N221:P221)</f>
        <v>0</v>
      </c>
      <c r="R221" s="59">
        <f>+E221+I221+M221+Q221</f>
        <v>0</v>
      </c>
      <c r="T221" s="4" t="s">
        <v>121</v>
      </c>
    </row>
    <row r="222" spans="1:20" ht="15.75" customHeight="1" x14ac:dyDescent="0.3">
      <c r="A222" s="76" t="s">
        <v>204</v>
      </c>
      <c r="B222" s="1"/>
      <c r="C222" s="1"/>
      <c r="D222" s="1"/>
      <c r="E222" s="59">
        <f>SUM(B222:D222)</f>
        <v>0</v>
      </c>
      <c r="F222" s="1"/>
      <c r="G222" s="1"/>
      <c r="H222" s="1"/>
      <c r="I222" s="59">
        <f>SUM(F222:H222)</f>
        <v>0</v>
      </c>
      <c r="J222" s="1"/>
      <c r="K222" s="1"/>
      <c r="L222" s="1"/>
      <c r="M222" s="59">
        <f>SUM(J222:L222)</f>
        <v>0</v>
      </c>
      <c r="N222" s="1"/>
      <c r="O222" s="1"/>
      <c r="P222" s="1"/>
      <c r="Q222" s="59">
        <f>SUM(N222:P222)</f>
        <v>0</v>
      </c>
      <c r="R222" s="59">
        <f>+E222+I222+M222+Q222</f>
        <v>0</v>
      </c>
      <c r="S222" s="4" t="s">
        <v>136</v>
      </c>
      <c r="T222" s="4" t="s">
        <v>137</v>
      </c>
    </row>
    <row r="223" spans="1:20" ht="15.75" customHeight="1" thickBot="1" x14ac:dyDescent="0.35">
      <c r="A223" s="17" t="s">
        <v>56</v>
      </c>
      <c r="B223" s="1"/>
      <c r="C223" s="1"/>
      <c r="D223" s="1"/>
      <c r="E223" s="59" t="s">
        <v>7</v>
      </c>
      <c r="F223" s="1"/>
      <c r="G223" s="1"/>
      <c r="H223" s="1"/>
      <c r="I223" s="59" t="s">
        <v>7</v>
      </c>
      <c r="J223" s="1"/>
      <c r="K223" s="1"/>
      <c r="L223" s="1"/>
      <c r="M223" s="59" t="s">
        <v>7</v>
      </c>
      <c r="N223" s="1"/>
      <c r="O223" s="1"/>
      <c r="P223" s="1"/>
      <c r="Q223" s="59" t="s">
        <v>7</v>
      </c>
      <c r="R223" s="59" t="s">
        <v>7</v>
      </c>
    </row>
    <row r="224" spans="1:20" ht="16.5" customHeight="1" thickBot="1" x14ac:dyDescent="0.35">
      <c r="A224" s="62" t="s">
        <v>57</v>
      </c>
      <c r="B224" s="100">
        <f>SUM(B218:B223)</f>
        <v>0</v>
      </c>
      <c r="C224" s="101">
        <f>SUM(C218:C223)</f>
        <v>0</v>
      </c>
      <c r="D224" s="101">
        <f>SUM(D218:D223)</f>
        <v>0</v>
      </c>
      <c r="E224" s="64">
        <f>SUM(B224:D224)</f>
        <v>0</v>
      </c>
      <c r="F224" s="101"/>
      <c r="G224" s="101"/>
      <c r="H224" s="101"/>
      <c r="I224" s="64">
        <f>SUM(F224:H224)</f>
        <v>0</v>
      </c>
      <c r="J224" s="101">
        <f>SUM(J218:J223)</f>
        <v>0</v>
      </c>
      <c r="K224" s="101">
        <f>SUM(K218:K223)</f>
        <v>0</v>
      </c>
      <c r="L224" s="101">
        <f>SUM(L218:L223)</f>
        <v>0</v>
      </c>
      <c r="M224" s="64">
        <f>SUM(J224:L224)</f>
        <v>0</v>
      </c>
      <c r="N224" s="101">
        <f>SUM(N218:N223)</f>
        <v>0</v>
      </c>
      <c r="O224" s="101">
        <f>SUM(O218:O223)</f>
        <v>0</v>
      </c>
      <c r="P224" s="101">
        <f>SUM(P218:P223)</f>
        <v>0</v>
      </c>
      <c r="Q224" s="64">
        <f>SUM(N224:P224)</f>
        <v>0</v>
      </c>
      <c r="R224" s="64">
        <f>+E224+I224+M224+Q224</f>
        <v>0</v>
      </c>
    </row>
    <row r="225" spans="1:20" ht="15.75" customHeight="1" x14ac:dyDescent="0.3">
      <c r="A225" s="17" t="s">
        <v>58</v>
      </c>
      <c r="B225" s="1"/>
      <c r="C225" s="1"/>
      <c r="D225" s="1"/>
      <c r="E225" s="59" t="s">
        <v>7</v>
      </c>
      <c r="F225" s="1"/>
      <c r="G225" s="1"/>
      <c r="H225" s="1"/>
      <c r="I225" s="59" t="s">
        <v>7</v>
      </c>
      <c r="J225" s="1"/>
      <c r="K225" s="1"/>
      <c r="L225" s="1"/>
      <c r="M225" s="59" t="s">
        <v>7</v>
      </c>
      <c r="N225" s="1"/>
      <c r="O225" s="1"/>
      <c r="P225" s="1"/>
      <c r="Q225" s="59" t="s">
        <v>7</v>
      </c>
      <c r="R225" s="59" t="s">
        <v>7</v>
      </c>
    </row>
    <row r="226" spans="1:20" ht="15.75" customHeight="1" x14ac:dyDescent="0.3">
      <c r="A226" s="17" t="s">
        <v>59</v>
      </c>
      <c r="B226" s="1"/>
      <c r="C226" s="1"/>
      <c r="D226" s="1"/>
      <c r="E226" s="59" t="s">
        <v>7</v>
      </c>
      <c r="F226" s="1"/>
      <c r="G226" s="1"/>
      <c r="H226" s="1"/>
      <c r="I226" s="59" t="s">
        <v>7</v>
      </c>
      <c r="J226" s="1"/>
      <c r="K226" s="1"/>
      <c r="L226" s="1"/>
      <c r="M226" s="59" t="s">
        <v>7</v>
      </c>
      <c r="N226" s="1"/>
      <c r="O226" s="1"/>
      <c r="P226" s="1"/>
      <c r="Q226" s="59" t="s">
        <v>7</v>
      </c>
      <c r="R226" s="59" t="s">
        <v>7</v>
      </c>
    </row>
    <row r="227" spans="1:20" ht="15.75" customHeight="1" x14ac:dyDescent="0.3">
      <c r="A227" s="17" t="s">
        <v>60</v>
      </c>
      <c r="B227" s="1"/>
      <c r="C227" s="1"/>
      <c r="D227" s="1"/>
      <c r="E227" s="59" t="s">
        <v>7</v>
      </c>
      <c r="F227" s="1"/>
      <c r="G227" s="1"/>
      <c r="H227" s="1"/>
      <c r="I227" s="59" t="s">
        <v>7</v>
      </c>
      <c r="J227" s="1"/>
      <c r="K227" s="1"/>
      <c r="L227" s="1"/>
      <c r="M227" s="59" t="s">
        <v>7</v>
      </c>
      <c r="N227" s="1"/>
      <c r="O227" s="1"/>
      <c r="P227" s="1"/>
      <c r="Q227" s="59" t="s">
        <v>7</v>
      </c>
      <c r="R227" s="59" t="s">
        <v>7</v>
      </c>
    </row>
    <row r="228" spans="1:20" ht="15.75" customHeight="1" x14ac:dyDescent="0.3">
      <c r="A228" s="102" t="s">
        <v>205</v>
      </c>
      <c r="B228" s="1">
        <v>374</v>
      </c>
      <c r="C228" s="1">
        <v>256</v>
      </c>
      <c r="D228" s="1">
        <v>350</v>
      </c>
      <c r="E228" s="59">
        <f t="shared" ref="E228:E235" si="54">SUM(B228:D228)</f>
        <v>980</v>
      </c>
      <c r="F228" s="1">
        <v>422</v>
      </c>
      <c r="G228" s="1">
        <v>482</v>
      </c>
      <c r="H228" s="1">
        <v>568</v>
      </c>
      <c r="I228" s="59">
        <f t="shared" ref="I228:I235" si="55">SUM(F228:H228)</f>
        <v>1472</v>
      </c>
      <c r="J228" s="1">
        <v>462</v>
      </c>
      <c r="K228" s="1">
        <v>428</v>
      </c>
      <c r="L228" s="1">
        <v>390</v>
      </c>
      <c r="M228" s="59">
        <f t="shared" ref="M228:M235" si="56">SUM(J228:L228)</f>
        <v>1280</v>
      </c>
      <c r="N228" s="1">
        <v>425</v>
      </c>
      <c r="O228" s="1">
        <v>373</v>
      </c>
      <c r="P228" s="1">
        <v>308</v>
      </c>
      <c r="Q228" s="59">
        <f t="shared" ref="Q228:Q234" si="57">SUM(N228:P228)</f>
        <v>1106</v>
      </c>
      <c r="R228" s="59">
        <f t="shared" ref="R228:R297" si="58">+E228+I228+M228+Q228</f>
        <v>4838</v>
      </c>
      <c r="T228" s="4" t="s">
        <v>206</v>
      </c>
    </row>
    <row r="229" spans="1:20" ht="15.75" customHeight="1" x14ac:dyDescent="0.3">
      <c r="A229" s="102" t="s">
        <v>207</v>
      </c>
      <c r="B229" s="1"/>
      <c r="C229" s="1"/>
      <c r="D229" s="1">
        <v>357</v>
      </c>
      <c r="E229" s="59">
        <f t="shared" si="54"/>
        <v>357</v>
      </c>
      <c r="F229" s="1"/>
      <c r="G229" s="1"/>
      <c r="H229" s="1"/>
      <c r="I229" s="59">
        <f t="shared" si="55"/>
        <v>0</v>
      </c>
      <c r="J229" s="1"/>
      <c r="K229" s="1"/>
      <c r="L229" s="1"/>
      <c r="M229" s="59">
        <f t="shared" si="56"/>
        <v>0</v>
      </c>
      <c r="N229" s="1"/>
      <c r="O229" s="1"/>
      <c r="P229" s="1"/>
      <c r="Q229" s="59">
        <f t="shared" si="57"/>
        <v>0</v>
      </c>
      <c r="R229" s="59">
        <f t="shared" si="58"/>
        <v>357</v>
      </c>
      <c r="T229" s="4" t="s">
        <v>121</v>
      </c>
    </row>
    <row r="230" spans="1:20" ht="15.75" customHeight="1" x14ac:dyDescent="0.3">
      <c r="A230" s="76" t="s">
        <v>208</v>
      </c>
      <c r="B230" s="1"/>
      <c r="C230" s="1"/>
      <c r="D230" s="1"/>
      <c r="E230" s="59">
        <f t="shared" si="54"/>
        <v>0</v>
      </c>
      <c r="F230" s="1"/>
      <c r="G230" s="1"/>
      <c r="H230" s="1"/>
      <c r="I230" s="59">
        <f t="shared" si="55"/>
        <v>0</v>
      </c>
      <c r="J230" s="1"/>
      <c r="K230" s="1"/>
      <c r="L230" s="1"/>
      <c r="M230" s="59">
        <f t="shared" si="56"/>
        <v>0</v>
      </c>
      <c r="N230" s="1"/>
      <c r="O230" s="1"/>
      <c r="P230" s="1"/>
      <c r="Q230" s="59">
        <f t="shared" si="57"/>
        <v>0</v>
      </c>
      <c r="R230" s="59">
        <f t="shared" si="58"/>
        <v>0</v>
      </c>
    </row>
    <row r="231" spans="1:20" ht="15.75" customHeight="1" x14ac:dyDescent="0.3">
      <c r="A231" s="102" t="s">
        <v>209</v>
      </c>
      <c r="B231" s="1">
        <v>7</v>
      </c>
      <c r="C231" s="1"/>
      <c r="D231" s="1">
        <v>1</v>
      </c>
      <c r="E231" s="59">
        <f t="shared" si="54"/>
        <v>8</v>
      </c>
      <c r="F231" s="1">
        <v>15</v>
      </c>
      <c r="G231" s="1">
        <v>44</v>
      </c>
      <c r="H231" s="1">
        <f>39+51</f>
        <v>90</v>
      </c>
      <c r="I231" s="59">
        <f t="shared" si="55"/>
        <v>149</v>
      </c>
      <c r="J231" s="1">
        <f>53+40</f>
        <v>93</v>
      </c>
      <c r="K231" s="1">
        <f>106+36</f>
        <v>142</v>
      </c>
      <c r="L231" s="1">
        <f>38+50</f>
        <v>88</v>
      </c>
      <c r="M231" s="59">
        <f t="shared" si="56"/>
        <v>323</v>
      </c>
      <c r="N231" s="1">
        <f>35+28</f>
        <v>63</v>
      </c>
      <c r="O231" s="1">
        <f>65+15</f>
        <v>80</v>
      </c>
      <c r="P231" s="1">
        <f>26</f>
        <v>26</v>
      </c>
      <c r="Q231" s="59">
        <f t="shared" si="57"/>
        <v>169</v>
      </c>
      <c r="R231" s="59">
        <f t="shared" si="58"/>
        <v>649</v>
      </c>
      <c r="T231" s="4" t="s">
        <v>127</v>
      </c>
    </row>
    <row r="232" spans="1:20" ht="15.75" customHeight="1" x14ac:dyDescent="0.3">
      <c r="A232" s="102" t="s">
        <v>210</v>
      </c>
      <c r="B232" s="1"/>
      <c r="C232" s="1"/>
      <c r="D232" s="1"/>
      <c r="E232" s="59">
        <f t="shared" si="54"/>
        <v>0</v>
      </c>
      <c r="F232" s="1"/>
      <c r="G232" s="1"/>
      <c r="H232" s="1"/>
      <c r="I232" s="59">
        <f t="shared" si="55"/>
        <v>0</v>
      </c>
      <c r="J232" s="1"/>
      <c r="K232" s="1"/>
      <c r="L232" s="1"/>
      <c r="M232" s="59">
        <f t="shared" si="56"/>
        <v>0</v>
      </c>
      <c r="N232" s="1"/>
      <c r="O232" s="1">
        <v>182</v>
      </c>
      <c r="P232" s="1"/>
      <c r="Q232" s="59">
        <f t="shared" si="57"/>
        <v>182</v>
      </c>
      <c r="R232" s="59">
        <f>+E232+I232+M232+Q232</f>
        <v>182</v>
      </c>
      <c r="T232" s="4" t="s">
        <v>134</v>
      </c>
    </row>
    <row r="233" spans="1:20" ht="15.75" customHeight="1" x14ac:dyDescent="0.3">
      <c r="A233" s="102" t="s">
        <v>211</v>
      </c>
      <c r="B233" s="1"/>
      <c r="C233" s="1"/>
      <c r="D233" s="1"/>
      <c r="E233" s="59">
        <f t="shared" si="54"/>
        <v>0</v>
      </c>
      <c r="F233" s="1"/>
      <c r="G233" s="1"/>
      <c r="H233" s="1"/>
      <c r="I233" s="59">
        <f t="shared" si="55"/>
        <v>0</v>
      </c>
      <c r="J233" s="1"/>
      <c r="K233" s="1"/>
      <c r="L233" s="1">
        <v>466</v>
      </c>
      <c r="M233" s="59">
        <f t="shared" si="56"/>
        <v>466</v>
      </c>
      <c r="N233" s="1">
        <v>2612</v>
      </c>
      <c r="O233" s="1">
        <v>1922</v>
      </c>
      <c r="P233" s="1"/>
      <c r="Q233" s="59">
        <f t="shared" si="57"/>
        <v>4534</v>
      </c>
      <c r="R233" s="59">
        <f>+E233+I233+M233+Q233</f>
        <v>5000</v>
      </c>
      <c r="T233" s="4" t="s">
        <v>134</v>
      </c>
    </row>
    <row r="234" spans="1:20" ht="15.75" customHeight="1" x14ac:dyDescent="0.3">
      <c r="A234" s="76" t="s">
        <v>212</v>
      </c>
      <c r="B234" s="1"/>
      <c r="C234" s="1"/>
      <c r="D234" s="1"/>
      <c r="E234" s="59">
        <f t="shared" si="54"/>
        <v>0</v>
      </c>
      <c r="F234" s="1"/>
      <c r="G234" s="1"/>
      <c r="H234" s="1"/>
      <c r="I234" s="59">
        <f t="shared" si="55"/>
        <v>0</v>
      </c>
      <c r="J234" s="1"/>
      <c r="K234" s="1"/>
      <c r="L234" s="1"/>
      <c r="M234" s="59">
        <f t="shared" si="56"/>
        <v>0</v>
      </c>
      <c r="N234" s="1"/>
      <c r="O234" s="1"/>
      <c r="P234" s="1"/>
      <c r="Q234" s="59">
        <f t="shared" si="57"/>
        <v>0</v>
      </c>
      <c r="R234" s="59">
        <f>+E234+I234+M234+Q234</f>
        <v>0</v>
      </c>
      <c r="S234" s="94"/>
      <c r="T234" s="4" t="s">
        <v>137</v>
      </c>
    </row>
    <row r="235" spans="1:20" ht="15.75" customHeight="1" x14ac:dyDescent="0.3">
      <c r="A235" s="76" t="s">
        <v>214</v>
      </c>
      <c r="B235" s="1"/>
      <c r="C235" s="1"/>
      <c r="D235" s="1"/>
      <c r="E235" s="59">
        <f t="shared" si="54"/>
        <v>0</v>
      </c>
      <c r="F235" s="1"/>
      <c r="G235" s="1"/>
      <c r="H235" s="1"/>
      <c r="I235" s="59">
        <f t="shared" si="55"/>
        <v>0</v>
      </c>
      <c r="J235" s="1"/>
      <c r="K235" s="1"/>
      <c r="L235" s="1"/>
      <c r="M235" s="59">
        <f t="shared" si="56"/>
        <v>0</v>
      </c>
      <c r="N235" s="1"/>
      <c r="O235" s="1"/>
      <c r="P235" s="1"/>
      <c r="Q235" s="59">
        <f t="shared" ref="Q235" si="59">SUM(N235:P235)</f>
        <v>0</v>
      </c>
      <c r="R235" s="59">
        <f>+E235+I235+M235+Q235</f>
        <v>0</v>
      </c>
      <c r="S235" s="94"/>
    </row>
    <row r="236" spans="1:20" ht="15.75" customHeight="1" x14ac:dyDescent="0.3">
      <c r="A236" s="76" t="s">
        <v>215</v>
      </c>
      <c r="B236" s="1">
        <v>800</v>
      </c>
      <c r="C236" s="1"/>
      <c r="D236" s="1"/>
      <c r="E236" s="59">
        <f>SUM(B236:D236)</f>
        <v>800</v>
      </c>
      <c r="F236" s="1"/>
      <c r="G236" s="1"/>
      <c r="H236" s="1"/>
      <c r="I236" s="59">
        <f t="shared" ref="I236:I295" si="60">SUM(F236:H236)</f>
        <v>0</v>
      </c>
      <c r="J236" s="1"/>
      <c r="K236" s="1"/>
      <c r="L236" s="1"/>
      <c r="M236" s="59">
        <f t="shared" ref="M236:M295" si="61">SUM(J236:L236)</f>
        <v>0</v>
      </c>
      <c r="N236" s="1"/>
      <c r="O236" s="1"/>
      <c r="P236" s="1"/>
      <c r="Q236" s="59">
        <f t="shared" ref="Q236:Q295" si="62">SUM(N236:P236)</f>
        <v>0</v>
      </c>
      <c r="R236" s="59">
        <f t="shared" si="58"/>
        <v>800</v>
      </c>
      <c r="S236" s="4" t="s">
        <v>136</v>
      </c>
    </row>
    <row r="237" spans="1:20" ht="15.75" customHeight="1" x14ac:dyDescent="0.3">
      <c r="A237" s="103" t="s">
        <v>216</v>
      </c>
      <c r="B237" s="1"/>
      <c r="C237" s="1"/>
      <c r="D237" s="1"/>
      <c r="E237" s="59">
        <f t="shared" ref="E237" si="63">SUM(B237:D237)</f>
        <v>0</v>
      </c>
      <c r="F237" s="1"/>
      <c r="G237" s="1"/>
      <c r="H237" s="1"/>
      <c r="I237" s="59">
        <f t="shared" si="60"/>
        <v>0</v>
      </c>
      <c r="J237" s="1"/>
      <c r="K237" s="1"/>
      <c r="L237" s="1"/>
      <c r="M237" s="59">
        <f t="shared" si="61"/>
        <v>0</v>
      </c>
      <c r="N237" s="1"/>
      <c r="O237" s="1"/>
      <c r="P237" s="1"/>
      <c r="Q237" s="59">
        <f t="shared" si="62"/>
        <v>0</v>
      </c>
      <c r="R237" s="59">
        <f>+E237+I237+M237+Q237</f>
        <v>0</v>
      </c>
      <c r="T237" s="4" t="s">
        <v>217</v>
      </c>
    </row>
    <row r="238" spans="1:20" ht="15.75" customHeight="1" x14ac:dyDescent="0.3">
      <c r="A238" s="76" t="s">
        <v>218</v>
      </c>
      <c r="B238" s="1">
        <v>682</v>
      </c>
      <c r="C238" s="1"/>
      <c r="D238" s="1"/>
      <c r="E238" s="59">
        <f>SUM(B238:D238)</f>
        <v>682</v>
      </c>
      <c r="F238" s="1"/>
      <c r="G238" s="1"/>
      <c r="H238" s="1"/>
      <c r="I238" s="59">
        <f>SUM(F238:H238)</f>
        <v>0</v>
      </c>
      <c r="J238" s="1"/>
      <c r="K238" s="1"/>
      <c r="L238" s="1"/>
      <c r="M238" s="59">
        <f>SUM(J238:L238)</f>
        <v>0</v>
      </c>
      <c r="N238" s="1"/>
      <c r="O238" s="1"/>
      <c r="P238" s="1"/>
      <c r="Q238" s="59">
        <f>SUM(N238:P238)</f>
        <v>0</v>
      </c>
      <c r="R238" s="59">
        <f t="shared" si="58"/>
        <v>682</v>
      </c>
      <c r="T238" s="4" t="s">
        <v>158</v>
      </c>
    </row>
    <row r="239" spans="1:20" ht="15.75" customHeight="1" x14ac:dyDescent="0.3">
      <c r="A239" s="102" t="s">
        <v>219</v>
      </c>
      <c r="B239" s="1"/>
      <c r="C239" s="1"/>
      <c r="D239" s="1"/>
      <c r="E239" s="59">
        <f>SUM(B239:D239)</f>
        <v>0</v>
      </c>
      <c r="F239" s="1"/>
      <c r="G239" s="1"/>
      <c r="H239" s="1"/>
      <c r="I239" s="59">
        <f>SUM(F239:H239)</f>
        <v>0</v>
      </c>
      <c r="J239" s="1"/>
      <c r="K239" s="1"/>
      <c r="L239" s="1"/>
      <c r="M239" s="59">
        <f>SUM(J239:L239)</f>
        <v>0</v>
      </c>
      <c r="N239" s="1"/>
      <c r="O239" s="1"/>
      <c r="P239" s="1"/>
      <c r="Q239" s="59">
        <f>SUM(N239:P239)</f>
        <v>0</v>
      </c>
      <c r="R239" s="59">
        <f t="shared" si="58"/>
        <v>0</v>
      </c>
    </row>
    <row r="240" spans="1:20" ht="15.75" customHeight="1" x14ac:dyDescent="0.3">
      <c r="A240" s="76" t="s">
        <v>220</v>
      </c>
      <c r="B240" s="1">
        <f>1+9</f>
        <v>10</v>
      </c>
      <c r="C240" s="1">
        <f>1+20</f>
        <v>21</v>
      </c>
      <c r="D240" s="1"/>
      <c r="E240" s="59">
        <f t="shared" ref="E240:E283" si="64">SUM(B240:D240)</f>
        <v>31</v>
      </c>
      <c r="F240" s="1"/>
      <c r="G240" s="1"/>
      <c r="H240" s="1"/>
      <c r="I240" s="59">
        <f t="shared" si="60"/>
        <v>0</v>
      </c>
      <c r="J240" s="1"/>
      <c r="K240" s="1"/>
      <c r="L240" s="1"/>
      <c r="M240" s="59">
        <f t="shared" si="61"/>
        <v>0</v>
      </c>
      <c r="N240" s="1"/>
      <c r="O240" s="1"/>
      <c r="P240" s="1"/>
      <c r="Q240" s="59">
        <f t="shared" si="62"/>
        <v>0</v>
      </c>
      <c r="R240" s="59">
        <f t="shared" si="58"/>
        <v>31</v>
      </c>
    </row>
    <row r="241" spans="1:20" ht="15.75" customHeight="1" x14ac:dyDescent="0.3">
      <c r="A241" s="76" t="s">
        <v>1008</v>
      </c>
      <c r="B241" s="1">
        <v>104</v>
      </c>
      <c r="C241" s="1"/>
      <c r="D241" s="1"/>
      <c r="E241" s="59">
        <f t="shared" si="64"/>
        <v>104</v>
      </c>
      <c r="F241" s="1"/>
      <c r="G241" s="1"/>
      <c r="H241" s="1"/>
      <c r="I241" s="59">
        <f t="shared" si="60"/>
        <v>0</v>
      </c>
      <c r="J241" s="1"/>
      <c r="K241" s="1"/>
      <c r="L241" s="1"/>
      <c r="M241" s="59">
        <f t="shared" si="61"/>
        <v>0</v>
      </c>
      <c r="N241" s="1"/>
      <c r="O241" s="1"/>
      <c r="P241" s="1"/>
      <c r="Q241" s="59">
        <f t="shared" ref="Q241" si="65">SUM(N241:P241)</f>
        <v>0</v>
      </c>
      <c r="R241" s="59">
        <f t="shared" si="58"/>
        <v>104</v>
      </c>
    </row>
    <row r="242" spans="1:20" ht="15.75" customHeight="1" x14ac:dyDescent="0.3">
      <c r="A242" s="76" t="s">
        <v>221</v>
      </c>
      <c r="B242" s="1">
        <v>23</v>
      </c>
      <c r="C242" s="1"/>
      <c r="D242" s="1"/>
      <c r="E242" s="59">
        <f t="shared" si="64"/>
        <v>23</v>
      </c>
      <c r="F242" s="1"/>
      <c r="G242" s="1"/>
      <c r="H242" s="1"/>
      <c r="I242" s="59">
        <f t="shared" si="60"/>
        <v>0</v>
      </c>
      <c r="J242" s="1"/>
      <c r="K242" s="1"/>
      <c r="L242" s="1"/>
      <c r="M242" s="59">
        <f t="shared" si="61"/>
        <v>0</v>
      </c>
      <c r="N242" s="1"/>
      <c r="O242" s="1"/>
      <c r="P242" s="1"/>
      <c r="Q242" s="59">
        <f t="shared" si="62"/>
        <v>0</v>
      </c>
      <c r="R242" s="59">
        <f t="shared" si="58"/>
        <v>23</v>
      </c>
    </row>
    <row r="243" spans="1:20" ht="15.75" customHeight="1" x14ac:dyDescent="0.3">
      <c r="A243" s="76" t="s">
        <v>222</v>
      </c>
      <c r="B243" s="1">
        <v>23</v>
      </c>
      <c r="C243" s="1"/>
      <c r="D243" s="1"/>
      <c r="E243" s="59">
        <f t="shared" si="64"/>
        <v>23</v>
      </c>
      <c r="F243" s="1"/>
      <c r="G243" s="1"/>
      <c r="H243" s="1"/>
      <c r="I243" s="59">
        <f t="shared" si="60"/>
        <v>0</v>
      </c>
      <c r="J243" s="1"/>
      <c r="K243" s="1"/>
      <c r="L243" s="1"/>
      <c r="M243" s="59">
        <f t="shared" si="61"/>
        <v>0</v>
      </c>
      <c r="N243" s="1"/>
      <c r="O243" s="1"/>
      <c r="P243" s="1"/>
      <c r="Q243" s="59">
        <f t="shared" si="62"/>
        <v>0</v>
      </c>
      <c r="R243" s="59">
        <f t="shared" si="58"/>
        <v>23</v>
      </c>
      <c r="S243" s="4" t="s">
        <v>136</v>
      </c>
      <c r="T243" s="4" t="s">
        <v>137</v>
      </c>
    </row>
    <row r="244" spans="1:20" ht="15.75" customHeight="1" x14ac:dyDescent="0.3">
      <c r="A244" s="76" t="s">
        <v>223</v>
      </c>
      <c r="B244" s="1"/>
      <c r="C244" s="1"/>
      <c r="D244" s="1"/>
      <c r="E244" s="59">
        <f t="shared" si="64"/>
        <v>0</v>
      </c>
      <c r="F244" s="1"/>
      <c r="G244" s="1"/>
      <c r="H244" s="1"/>
      <c r="I244" s="59">
        <f t="shared" si="60"/>
        <v>0</v>
      </c>
      <c r="J244" s="1"/>
      <c r="K244" s="1"/>
      <c r="L244" s="1"/>
      <c r="M244" s="59">
        <f t="shared" si="61"/>
        <v>0</v>
      </c>
      <c r="N244" s="1"/>
      <c r="O244" s="1"/>
      <c r="P244" s="1"/>
      <c r="Q244" s="59">
        <f t="shared" si="62"/>
        <v>0</v>
      </c>
      <c r="R244" s="59">
        <f t="shared" si="58"/>
        <v>0</v>
      </c>
      <c r="S244" s="4" t="s">
        <v>136</v>
      </c>
      <c r="T244" s="4" t="s">
        <v>137</v>
      </c>
    </row>
    <row r="245" spans="1:20" ht="15.75" customHeight="1" x14ac:dyDescent="0.3">
      <c r="A245" s="76" t="s">
        <v>224</v>
      </c>
      <c r="B245" s="1"/>
      <c r="C245" s="1"/>
      <c r="D245" s="1"/>
      <c r="E245" s="59">
        <f t="shared" si="64"/>
        <v>0</v>
      </c>
      <c r="F245" s="1"/>
      <c r="G245" s="1"/>
      <c r="H245" s="1"/>
      <c r="I245" s="59">
        <f t="shared" si="60"/>
        <v>0</v>
      </c>
      <c r="J245" s="1"/>
      <c r="K245" s="1"/>
      <c r="L245" s="1"/>
      <c r="M245" s="59">
        <f t="shared" si="61"/>
        <v>0</v>
      </c>
      <c r="N245" s="1"/>
      <c r="O245" s="1"/>
      <c r="P245" s="1">
        <f>408+523</f>
        <v>931</v>
      </c>
      <c r="Q245" s="59">
        <f t="shared" si="62"/>
        <v>931</v>
      </c>
      <c r="R245" s="59">
        <f t="shared" si="58"/>
        <v>931</v>
      </c>
    </row>
    <row r="246" spans="1:20" ht="15.75" customHeight="1" x14ac:dyDescent="0.3">
      <c r="A246" s="76" t="s">
        <v>225</v>
      </c>
      <c r="B246" s="1"/>
      <c r="C246" s="1"/>
      <c r="D246" s="1"/>
      <c r="E246" s="59">
        <f t="shared" si="64"/>
        <v>0</v>
      </c>
      <c r="F246" s="1"/>
      <c r="H246" s="1"/>
      <c r="I246" s="59">
        <f t="shared" si="60"/>
        <v>0</v>
      </c>
      <c r="J246" s="1"/>
      <c r="K246" s="1"/>
      <c r="L246" s="1"/>
      <c r="M246" s="59">
        <f t="shared" si="61"/>
        <v>0</v>
      </c>
      <c r="N246" s="1"/>
      <c r="O246" s="1"/>
      <c r="P246" s="1">
        <f>8+1</f>
        <v>9</v>
      </c>
      <c r="Q246" s="59">
        <f t="shared" si="62"/>
        <v>9</v>
      </c>
      <c r="R246" s="59">
        <f t="shared" si="58"/>
        <v>9</v>
      </c>
    </row>
    <row r="247" spans="1:20" ht="15.75" customHeight="1" x14ac:dyDescent="0.3">
      <c r="A247" s="102" t="s">
        <v>226</v>
      </c>
      <c r="B247" s="1"/>
      <c r="C247" s="1"/>
      <c r="D247" s="1"/>
      <c r="E247" s="59">
        <f t="shared" si="64"/>
        <v>0</v>
      </c>
      <c r="F247" s="1"/>
      <c r="G247" s="1"/>
      <c r="H247" s="1"/>
      <c r="I247" s="59">
        <f t="shared" si="60"/>
        <v>0</v>
      </c>
      <c r="J247" s="1"/>
      <c r="K247" s="1"/>
      <c r="L247" s="1"/>
      <c r="M247" s="59">
        <f t="shared" si="61"/>
        <v>0</v>
      </c>
      <c r="N247" s="1"/>
      <c r="O247" s="1"/>
      <c r="P247" s="1"/>
      <c r="Q247" s="59">
        <f t="shared" si="62"/>
        <v>0</v>
      </c>
      <c r="R247" s="59">
        <f t="shared" si="58"/>
        <v>0</v>
      </c>
      <c r="T247" s="4" t="s">
        <v>121</v>
      </c>
    </row>
    <row r="248" spans="1:20" ht="15.75" customHeight="1" x14ac:dyDescent="0.3">
      <c r="A248" s="76" t="s">
        <v>227</v>
      </c>
      <c r="B248" s="1"/>
      <c r="C248" s="1"/>
      <c r="D248" s="1"/>
      <c r="E248" s="59">
        <f t="shared" si="64"/>
        <v>0</v>
      </c>
      <c r="F248" s="1"/>
      <c r="G248" s="1"/>
      <c r="H248" s="1"/>
      <c r="I248" s="59">
        <f t="shared" si="60"/>
        <v>0</v>
      </c>
      <c r="J248" s="1"/>
      <c r="K248" s="1"/>
      <c r="L248" s="1"/>
      <c r="M248" s="59">
        <f t="shared" si="61"/>
        <v>0</v>
      </c>
      <c r="N248" s="1"/>
      <c r="O248" s="1"/>
      <c r="P248" s="1"/>
      <c r="Q248" s="59">
        <f>SUM(N248:P248)</f>
        <v>0</v>
      </c>
      <c r="R248" s="59">
        <f>+E248+I248+M248+Q248</f>
        <v>0</v>
      </c>
      <c r="S248" s="94"/>
      <c r="T248" s="4" t="s">
        <v>137</v>
      </c>
    </row>
    <row r="249" spans="1:20" ht="15.75" customHeight="1" x14ac:dyDescent="0.3">
      <c r="A249" s="102" t="s">
        <v>228</v>
      </c>
      <c r="B249" s="1"/>
      <c r="C249" s="1"/>
      <c r="D249" s="1"/>
      <c r="E249" s="59">
        <f>SUM(B249:D249)</f>
        <v>0</v>
      </c>
      <c r="F249" s="1"/>
      <c r="G249" s="1"/>
      <c r="H249" s="1"/>
      <c r="I249" s="59">
        <f t="shared" si="60"/>
        <v>0</v>
      </c>
      <c r="J249" s="1"/>
      <c r="K249" s="1"/>
      <c r="L249" s="1"/>
      <c r="M249" s="59">
        <f t="shared" si="61"/>
        <v>0</v>
      </c>
      <c r="N249" s="1"/>
      <c r="O249" s="1"/>
      <c r="P249" s="1"/>
      <c r="Q249" s="59">
        <f t="shared" si="62"/>
        <v>0</v>
      </c>
      <c r="R249" s="59">
        <f t="shared" si="58"/>
        <v>0</v>
      </c>
    </row>
    <row r="250" spans="1:20" ht="15.75" customHeight="1" x14ac:dyDescent="0.3">
      <c r="A250" s="102" t="s">
        <v>229</v>
      </c>
      <c r="B250" s="1"/>
      <c r="C250" s="1"/>
      <c r="D250" s="1"/>
      <c r="E250" s="59">
        <f t="shared" si="64"/>
        <v>0</v>
      </c>
      <c r="F250" s="1"/>
      <c r="G250" s="1"/>
      <c r="H250" s="1"/>
      <c r="I250" s="59">
        <f t="shared" si="60"/>
        <v>0</v>
      </c>
      <c r="J250" s="1"/>
      <c r="K250" s="1"/>
      <c r="L250" s="1"/>
      <c r="M250" s="59">
        <f t="shared" si="61"/>
        <v>0</v>
      </c>
      <c r="N250" s="1"/>
      <c r="O250" s="1"/>
      <c r="P250" s="1"/>
      <c r="Q250" s="59">
        <f t="shared" si="62"/>
        <v>0</v>
      </c>
      <c r="R250" s="59">
        <f t="shared" si="58"/>
        <v>0</v>
      </c>
    </row>
    <row r="251" spans="1:20" ht="15.75" customHeight="1" x14ac:dyDescent="0.3">
      <c r="A251" s="76" t="s">
        <v>230</v>
      </c>
      <c r="B251" s="1"/>
      <c r="C251" s="1"/>
      <c r="D251" s="1">
        <v>1524</v>
      </c>
      <c r="E251" s="59">
        <f t="shared" si="64"/>
        <v>1524</v>
      </c>
      <c r="F251" s="1">
        <v>1365</v>
      </c>
      <c r="G251" s="1">
        <v>2358</v>
      </c>
      <c r="H251" s="1">
        <v>1753</v>
      </c>
      <c r="I251" s="59">
        <f t="shared" si="60"/>
        <v>5476</v>
      </c>
      <c r="J251" s="1"/>
      <c r="K251" s="1"/>
      <c r="L251" s="1"/>
      <c r="M251" s="59">
        <f t="shared" si="61"/>
        <v>0</v>
      </c>
      <c r="N251" s="1"/>
      <c r="O251" s="1"/>
      <c r="P251" s="1"/>
      <c r="Q251" s="59">
        <f t="shared" ref="Q251" si="66">SUM(N251:P251)</f>
        <v>0</v>
      </c>
      <c r="R251" s="59">
        <f t="shared" si="58"/>
        <v>7000</v>
      </c>
    </row>
    <row r="252" spans="1:20" ht="15.75" customHeight="1" x14ac:dyDescent="0.3">
      <c r="A252" s="102" t="s">
        <v>231</v>
      </c>
      <c r="B252" s="1">
        <v>520</v>
      </c>
      <c r="C252" s="1">
        <v>911</v>
      </c>
      <c r="D252" s="1">
        <v>2492</v>
      </c>
      <c r="E252" s="59">
        <f t="shared" ref="E252:E253" si="67">SUM(B252:D252)</f>
        <v>3923</v>
      </c>
      <c r="F252" s="1"/>
      <c r="G252" s="1"/>
      <c r="H252" s="1">
        <v>2567</v>
      </c>
      <c r="I252" s="59">
        <f t="shared" si="60"/>
        <v>2567</v>
      </c>
      <c r="J252" s="1">
        <v>510</v>
      </c>
      <c r="K252" s="1"/>
      <c r="L252" s="1"/>
      <c r="M252" s="59">
        <f t="shared" si="61"/>
        <v>510</v>
      </c>
      <c r="N252" s="1"/>
      <c r="O252" s="1"/>
      <c r="P252" s="1"/>
      <c r="Q252" s="59">
        <f t="shared" si="62"/>
        <v>0</v>
      </c>
      <c r="R252" s="59">
        <f t="shared" si="58"/>
        <v>7000</v>
      </c>
    </row>
    <row r="253" spans="1:20" ht="15.75" customHeight="1" x14ac:dyDescent="0.3">
      <c r="A253" s="102" t="s">
        <v>232</v>
      </c>
      <c r="B253" s="1"/>
      <c r="C253" s="1"/>
      <c r="D253" s="1"/>
      <c r="E253" s="59">
        <f t="shared" si="67"/>
        <v>0</v>
      </c>
      <c r="F253" s="1"/>
      <c r="G253" s="1"/>
      <c r="H253" s="1"/>
      <c r="I253" s="59">
        <f t="shared" si="60"/>
        <v>0</v>
      </c>
      <c r="J253" s="1"/>
      <c r="K253" s="1"/>
      <c r="L253" s="1"/>
      <c r="M253" s="59">
        <f t="shared" si="61"/>
        <v>0</v>
      </c>
      <c r="N253" s="1"/>
      <c r="O253" s="1"/>
      <c r="P253" s="1"/>
      <c r="Q253" s="59">
        <f t="shared" si="62"/>
        <v>0</v>
      </c>
      <c r="R253" s="59">
        <f t="shared" si="58"/>
        <v>0</v>
      </c>
    </row>
    <row r="254" spans="1:20" ht="15.75" customHeight="1" x14ac:dyDescent="0.3">
      <c r="A254" s="76" t="s">
        <v>233</v>
      </c>
      <c r="B254" s="1"/>
      <c r="C254" s="1"/>
      <c r="D254" s="1"/>
      <c r="E254" s="59">
        <f>SUM(B254:D254)</f>
        <v>0</v>
      </c>
      <c r="F254" s="1"/>
      <c r="G254" s="1"/>
      <c r="H254" s="1"/>
      <c r="I254" s="59">
        <f t="shared" ref="I254" si="68">SUM(F254:H254)</f>
        <v>0</v>
      </c>
      <c r="J254" s="1"/>
      <c r="K254" s="1"/>
      <c r="L254" s="1"/>
      <c r="M254" s="59">
        <f t="shared" si="61"/>
        <v>0</v>
      </c>
      <c r="N254" s="1"/>
      <c r="O254" s="1"/>
      <c r="P254" s="1"/>
      <c r="Q254" s="59">
        <f t="shared" si="62"/>
        <v>0</v>
      </c>
      <c r="R254" s="59">
        <f t="shared" si="58"/>
        <v>0</v>
      </c>
    </row>
    <row r="255" spans="1:20" ht="15.75" customHeight="1" x14ac:dyDescent="0.3">
      <c r="A255" s="91" t="s">
        <v>234</v>
      </c>
      <c r="B255" s="1"/>
      <c r="C255" s="1"/>
      <c r="D255" s="1"/>
      <c r="E255" s="59">
        <f>SUM(B255:D255)</f>
        <v>0</v>
      </c>
      <c r="F255" s="1"/>
      <c r="G255" s="1"/>
      <c r="H255" s="1"/>
      <c r="I255" s="59">
        <f t="shared" si="60"/>
        <v>0</v>
      </c>
      <c r="J255" s="1"/>
      <c r="K255" s="1"/>
      <c r="L255" s="1"/>
      <c r="M255" s="59">
        <f t="shared" si="61"/>
        <v>0</v>
      </c>
      <c r="N255" s="1"/>
      <c r="O255" s="1"/>
      <c r="P255" s="1"/>
      <c r="Q255" s="59">
        <f t="shared" si="62"/>
        <v>0</v>
      </c>
      <c r="R255" s="59">
        <f t="shared" si="58"/>
        <v>0</v>
      </c>
    </row>
    <row r="256" spans="1:20" ht="15.75" customHeight="1" x14ac:dyDescent="0.3">
      <c r="A256" s="91" t="s">
        <v>235</v>
      </c>
      <c r="B256" s="1"/>
      <c r="C256" s="1"/>
      <c r="D256" s="1"/>
      <c r="E256" s="59">
        <f>SUM(B256:D256)</f>
        <v>0</v>
      </c>
      <c r="F256" s="1"/>
      <c r="G256" s="1"/>
      <c r="H256" s="1"/>
      <c r="I256" s="59">
        <f t="shared" si="60"/>
        <v>0</v>
      </c>
      <c r="J256" s="1"/>
      <c r="K256" s="1"/>
      <c r="L256" s="1"/>
      <c r="M256" s="59">
        <f t="shared" si="61"/>
        <v>0</v>
      </c>
      <c r="N256" s="1"/>
      <c r="O256" s="1"/>
      <c r="P256" s="1"/>
      <c r="Q256" s="59">
        <f t="shared" si="62"/>
        <v>0</v>
      </c>
      <c r="R256" s="59">
        <f t="shared" si="58"/>
        <v>0</v>
      </c>
    </row>
    <row r="257" spans="1:21" ht="15.75" customHeight="1" x14ac:dyDescent="0.3">
      <c r="A257" s="91" t="s">
        <v>236</v>
      </c>
      <c r="B257" s="1"/>
      <c r="C257" s="1"/>
      <c r="D257" s="1"/>
      <c r="E257" s="59">
        <f>SUM(B257:D257)</f>
        <v>0</v>
      </c>
      <c r="F257" s="1"/>
      <c r="G257" s="1"/>
      <c r="H257" s="1"/>
      <c r="I257" s="59">
        <f t="shared" si="60"/>
        <v>0</v>
      </c>
      <c r="J257" s="1"/>
      <c r="K257" s="1"/>
      <c r="L257" s="1"/>
      <c r="M257" s="59">
        <f t="shared" si="61"/>
        <v>0</v>
      </c>
      <c r="N257" s="1"/>
      <c r="O257" s="1"/>
      <c r="P257" s="1"/>
      <c r="Q257" s="59">
        <f t="shared" si="62"/>
        <v>0</v>
      </c>
      <c r="R257" s="59">
        <f t="shared" si="58"/>
        <v>0</v>
      </c>
      <c r="T257" s="4" t="s">
        <v>121</v>
      </c>
    </row>
    <row r="258" spans="1:21" s="375" customFormat="1" ht="15.75" customHeight="1" x14ac:dyDescent="0.3">
      <c r="A258" s="76" t="s">
        <v>237</v>
      </c>
      <c r="B258" s="1"/>
      <c r="C258" s="1"/>
      <c r="D258" s="1"/>
      <c r="E258" s="59">
        <f t="shared" ref="E258:E261" si="69">SUM(B258:D258)</f>
        <v>0</v>
      </c>
      <c r="F258" s="1"/>
      <c r="G258" s="1"/>
      <c r="H258" s="1"/>
      <c r="I258" s="59">
        <f>SUM(F258:H258)</f>
        <v>0</v>
      </c>
      <c r="J258" s="1"/>
      <c r="K258" s="1"/>
      <c r="L258" s="1">
        <v>445</v>
      </c>
      <c r="M258" s="59">
        <f t="shared" ref="M258:M259" si="70">SUM(J258:L258)</f>
        <v>445</v>
      </c>
      <c r="N258" s="1">
        <v>439</v>
      </c>
      <c r="O258" s="1">
        <f>1185+476</f>
        <v>1661</v>
      </c>
      <c r="P258" s="1"/>
      <c r="Q258" s="59">
        <f t="shared" ref="Q258:Q259" si="71">SUM(N258:P258)</f>
        <v>2100</v>
      </c>
      <c r="R258" s="59">
        <f t="shared" si="58"/>
        <v>2545</v>
      </c>
      <c r="S258" s="374" t="s">
        <v>136</v>
      </c>
    </row>
    <row r="259" spans="1:21" s="375" customFormat="1" ht="15.75" customHeight="1" x14ac:dyDescent="0.3">
      <c r="A259" s="76" t="s">
        <v>238</v>
      </c>
      <c r="B259" s="1"/>
      <c r="C259" s="1"/>
      <c r="D259" s="1"/>
      <c r="E259" s="59">
        <f t="shared" si="69"/>
        <v>0</v>
      </c>
      <c r="F259" s="1"/>
      <c r="G259" s="1"/>
      <c r="H259" s="1"/>
      <c r="I259" s="59">
        <f>SUM(F259:H259)</f>
        <v>0</v>
      </c>
      <c r="J259" s="1"/>
      <c r="K259" s="1"/>
      <c r="L259" s="1">
        <f>54+2</f>
        <v>56</v>
      </c>
      <c r="M259" s="59">
        <f t="shared" si="70"/>
        <v>56</v>
      </c>
      <c r="N259" s="1">
        <f>58+1</f>
        <v>59</v>
      </c>
      <c r="O259" s="1">
        <f>38+1</f>
        <v>39</v>
      </c>
      <c r="P259" s="1"/>
      <c r="Q259" s="59">
        <f t="shared" si="71"/>
        <v>98</v>
      </c>
      <c r="R259" s="59">
        <f t="shared" si="58"/>
        <v>154</v>
      </c>
      <c r="S259" s="375" t="s">
        <v>136</v>
      </c>
    </row>
    <row r="260" spans="1:21" ht="15.75" customHeight="1" x14ac:dyDescent="0.3">
      <c r="A260" s="76" t="s">
        <v>239</v>
      </c>
      <c r="B260" s="1"/>
      <c r="C260" s="1"/>
      <c r="D260" s="1"/>
      <c r="E260" s="59">
        <f t="shared" si="69"/>
        <v>0</v>
      </c>
      <c r="F260" s="1">
        <v>3583</v>
      </c>
      <c r="G260" s="1">
        <v>6174</v>
      </c>
      <c r="H260" s="1"/>
      <c r="I260" s="59">
        <f t="shared" si="60"/>
        <v>9757</v>
      </c>
      <c r="J260" s="1"/>
      <c r="K260" s="1"/>
      <c r="L260" s="1"/>
      <c r="M260" s="59">
        <f t="shared" si="61"/>
        <v>0</v>
      </c>
      <c r="N260" s="1"/>
      <c r="O260" s="1"/>
      <c r="P260" s="1"/>
      <c r="Q260" s="59">
        <f t="shared" si="62"/>
        <v>0</v>
      </c>
      <c r="R260" s="59">
        <f t="shared" si="58"/>
        <v>9757</v>
      </c>
      <c r="S260" s="4" t="s">
        <v>136</v>
      </c>
    </row>
    <row r="261" spans="1:21" ht="15.75" customHeight="1" x14ac:dyDescent="0.3">
      <c r="A261" s="76" t="s">
        <v>240</v>
      </c>
      <c r="B261" s="1"/>
      <c r="C261" s="1"/>
      <c r="D261" s="1"/>
      <c r="E261" s="59">
        <f t="shared" si="69"/>
        <v>0</v>
      </c>
      <c r="F261" s="1"/>
      <c r="G261" s="1">
        <v>98</v>
      </c>
      <c r="H261" s="1"/>
      <c r="I261" s="59">
        <f t="shared" si="60"/>
        <v>98</v>
      </c>
      <c r="J261" s="1"/>
      <c r="K261" s="1"/>
      <c r="L261" s="1"/>
      <c r="M261" s="59">
        <f t="shared" si="61"/>
        <v>0</v>
      </c>
      <c r="N261" s="1"/>
      <c r="O261" s="1"/>
      <c r="P261" s="1"/>
      <c r="Q261" s="59">
        <f>SUM(N261:P261)</f>
        <v>0</v>
      </c>
      <c r="R261" s="59">
        <f t="shared" si="58"/>
        <v>98</v>
      </c>
    </row>
    <row r="262" spans="1:21" ht="15.75" customHeight="1" x14ac:dyDescent="0.3">
      <c r="A262" s="76" t="s">
        <v>241</v>
      </c>
      <c r="B262" s="1"/>
      <c r="C262" s="1"/>
      <c r="D262" s="1"/>
      <c r="E262" s="59">
        <f>SUM(B262:D262)</f>
        <v>0</v>
      </c>
      <c r="F262" s="1"/>
      <c r="G262" s="1"/>
      <c r="H262" s="1"/>
      <c r="I262" s="59">
        <f t="shared" si="60"/>
        <v>0</v>
      </c>
      <c r="J262" s="1"/>
      <c r="K262" s="1"/>
      <c r="L262" s="1"/>
      <c r="M262" s="59">
        <f t="shared" si="61"/>
        <v>0</v>
      </c>
      <c r="N262" s="1"/>
      <c r="O262" s="1"/>
      <c r="P262" s="1"/>
      <c r="Q262" s="59">
        <f t="shared" si="62"/>
        <v>0</v>
      </c>
      <c r="R262" s="59">
        <f t="shared" si="58"/>
        <v>0</v>
      </c>
      <c r="S262" s="4" t="s">
        <v>136</v>
      </c>
      <c r="T262" s="4" t="s">
        <v>137</v>
      </c>
    </row>
    <row r="263" spans="1:21" ht="15.75" customHeight="1" x14ac:dyDescent="0.3">
      <c r="A263" s="76" t="s">
        <v>213</v>
      </c>
      <c r="B263" s="1"/>
      <c r="C263" s="1"/>
      <c r="D263" s="1"/>
      <c r="E263" s="59">
        <f>SUM(B263:D263)</f>
        <v>0</v>
      </c>
      <c r="F263" s="1"/>
      <c r="G263" s="1"/>
      <c r="H263" s="1"/>
      <c r="I263" s="59">
        <f t="shared" si="60"/>
        <v>0</v>
      </c>
      <c r="J263" s="1"/>
      <c r="K263" s="1"/>
      <c r="L263" s="1">
        <v>904</v>
      </c>
      <c r="M263" s="59">
        <f t="shared" si="61"/>
        <v>904</v>
      </c>
      <c r="N263" s="1"/>
      <c r="O263" s="1"/>
      <c r="P263" s="1"/>
      <c r="Q263" s="59">
        <f t="shared" ref="Q263" si="72">SUM(N263:P263)</f>
        <v>0</v>
      </c>
      <c r="R263" s="59">
        <f t="shared" si="58"/>
        <v>904</v>
      </c>
    </row>
    <row r="264" spans="1:21" ht="15.75" customHeight="1" x14ac:dyDescent="0.3">
      <c r="A264" s="76" t="s">
        <v>242</v>
      </c>
      <c r="B264" s="1"/>
      <c r="C264" s="1"/>
      <c r="D264" s="1"/>
      <c r="E264" s="59">
        <f t="shared" ref="E264" si="73">SUM(B264:D264)</f>
        <v>0</v>
      </c>
      <c r="F264" s="1"/>
      <c r="G264" s="1"/>
      <c r="H264" s="1"/>
      <c r="I264" s="59">
        <f t="shared" si="60"/>
        <v>0</v>
      </c>
      <c r="J264" s="1"/>
      <c r="K264" s="1"/>
      <c r="L264" s="1"/>
      <c r="M264" s="59">
        <f t="shared" si="61"/>
        <v>0</v>
      </c>
      <c r="N264" s="1"/>
      <c r="O264" s="1"/>
      <c r="P264" s="1"/>
      <c r="Q264" s="59">
        <f t="shared" si="62"/>
        <v>0</v>
      </c>
      <c r="R264" s="59">
        <f t="shared" si="58"/>
        <v>0</v>
      </c>
      <c r="S264" s="106" t="s">
        <v>136</v>
      </c>
      <c r="T264" s="106" t="s">
        <v>137</v>
      </c>
      <c r="U264" s="106"/>
    </row>
    <row r="265" spans="1:21" ht="15.75" customHeight="1" x14ac:dyDescent="0.3">
      <c r="A265" s="76" t="s">
        <v>243</v>
      </c>
      <c r="B265" s="1"/>
      <c r="C265" s="1">
        <v>5</v>
      </c>
      <c r="D265" s="1">
        <v>1809</v>
      </c>
      <c r="E265" s="59">
        <f>SUM(B265:D265)</f>
        <v>1814</v>
      </c>
      <c r="F265" s="1"/>
      <c r="G265" s="1"/>
      <c r="H265" s="1"/>
      <c r="I265" s="59">
        <f>SUM(F265:H265)</f>
        <v>0</v>
      </c>
      <c r="J265" s="1"/>
      <c r="K265" s="1"/>
      <c r="L265" s="1"/>
      <c r="M265" s="59">
        <f t="shared" si="61"/>
        <v>0</v>
      </c>
      <c r="N265" s="1"/>
      <c r="O265" s="1"/>
      <c r="P265" s="1"/>
      <c r="Q265" s="59">
        <f t="shared" si="62"/>
        <v>0</v>
      </c>
      <c r="R265" s="59">
        <f t="shared" si="58"/>
        <v>1814</v>
      </c>
      <c r="T265" s="4" t="s">
        <v>244</v>
      </c>
    </row>
    <row r="266" spans="1:21" ht="15.75" customHeight="1" x14ac:dyDescent="0.3">
      <c r="A266" s="91" t="s">
        <v>245</v>
      </c>
      <c r="B266" s="1"/>
      <c r="C266" s="1"/>
      <c r="D266" s="1"/>
      <c r="E266" s="59">
        <f>SUM(B266:D266)</f>
        <v>0</v>
      </c>
      <c r="F266" s="1"/>
      <c r="G266" s="1"/>
      <c r="H266" s="1"/>
      <c r="I266" s="59">
        <f>SUM(F266:H266)</f>
        <v>0</v>
      </c>
      <c r="J266" s="1"/>
      <c r="K266" s="1"/>
      <c r="L266" s="1"/>
      <c r="M266" s="59">
        <f t="shared" si="61"/>
        <v>0</v>
      </c>
      <c r="N266" s="1"/>
      <c r="O266" s="1"/>
      <c r="P266" s="1"/>
      <c r="Q266" s="59">
        <f>SUM(N266:P266)</f>
        <v>0</v>
      </c>
      <c r="R266" s="59">
        <f>+E266+I266+M266+Q266</f>
        <v>0</v>
      </c>
      <c r="T266" s="4" t="s">
        <v>134</v>
      </c>
    </row>
    <row r="267" spans="1:21" ht="15.75" customHeight="1" x14ac:dyDescent="0.3">
      <c r="A267" s="76" t="s">
        <v>246</v>
      </c>
      <c r="B267" s="1"/>
      <c r="C267" s="1"/>
      <c r="D267" s="1"/>
      <c r="E267" s="59">
        <f t="shared" si="64"/>
        <v>0</v>
      </c>
      <c r="F267" s="1"/>
      <c r="G267" s="1"/>
      <c r="H267" s="1"/>
      <c r="I267" s="59">
        <f t="shared" si="60"/>
        <v>0</v>
      </c>
      <c r="J267" s="1"/>
      <c r="K267" s="1"/>
      <c r="L267" s="1"/>
      <c r="M267" s="59">
        <f t="shared" si="61"/>
        <v>0</v>
      </c>
      <c r="N267" s="1"/>
      <c r="O267" s="1"/>
      <c r="P267" s="1"/>
      <c r="Q267" s="59">
        <f t="shared" si="62"/>
        <v>0</v>
      </c>
      <c r="R267" s="59">
        <f t="shared" si="58"/>
        <v>0</v>
      </c>
    </row>
    <row r="268" spans="1:21" ht="15.75" customHeight="1" x14ac:dyDescent="0.3">
      <c r="A268" s="76" t="s">
        <v>247</v>
      </c>
      <c r="B268" s="1"/>
      <c r="C268" s="1"/>
      <c r="D268" s="1"/>
      <c r="E268" s="59">
        <f t="shared" si="64"/>
        <v>0</v>
      </c>
      <c r="F268" s="1"/>
      <c r="G268" s="1"/>
      <c r="H268" s="1"/>
      <c r="I268" s="59">
        <f t="shared" si="60"/>
        <v>0</v>
      </c>
      <c r="J268" s="1"/>
      <c r="K268" s="1"/>
      <c r="L268" s="1"/>
      <c r="M268" s="59">
        <f t="shared" si="61"/>
        <v>0</v>
      </c>
      <c r="N268" s="1"/>
      <c r="O268" s="1"/>
      <c r="P268" s="1">
        <v>1767</v>
      </c>
      <c r="Q268" s="59">
        <f t="shared" si="62"/>
        <v>1767</v>
      </c>
      <c r="R268" s="59">
        <f t="shared" si="58"/>
        <v>1767</v>
      </c>
    </row>
    <row r="269" spans="1:21" ht="15.75" customHeight="1" x14ac:dyDescent="0.3">
      <c r="A269" s="76" t="s">
        <v>248</v>
      </c>
      <c r="B269" s="1">
        <v>60</v>
      </c>
      <c r="C269" s="1"/>
      <c r="D269" s="1"/>
      <c r="E269" s="59">
        <f t="shared" si="64"/>
        <v>60</v>
      </c>
      <c r="F269" s="1"/>
      <c r="G269" s="1"/>
      <c r="H269" s="1"/>
      <c r="I269" s="59">
        <f t="shared" si="60"/>
        <v>0</v>
      </c>
      <c r="J269" s="1"/>
      <c r="K269" s="1"/>
      <c r="L269" s="1"/>
      <c r="M269" s="59">
        <f t="shared" si="61"/>
        <v>0</v>
      </c>
      <c r="N269" s="1"/>
      <c r="O269" s="1"/>
      <c r="P269" s="1"/>
      <c r="Q269" s="59">
        <f t="shared" si="62"/>
        <v>0</v>
      </c>
      <c r="R269" s="59">
        <f t="shared" si="58"/>
        <v>60</v>
      </c>
    </row>
    <row r="270" spans="1:21" ht="15.75" customHeight="1" x14ac:dyDescent="0.3">
      <c r="A270" s="76" t="s">
        <v>249</v>
      </c>
      <c r="B270" s="1">
        <v>60</v>
      </c>
      <c r="C270" s="1"/>
      <c r="D270" s="1"/>
      <c r="E270" s="59">
        <f t="shared" si="64"/>
        <v>60</v>
      </c>
      <c r="F270" s="1"/>
      <c r="G270" s="1"/>
      <c r="H270" s="1"/>
      <c r="I270" s="59">
        <f t="shared" si="60"/>
        <v>0</v>
      </c>
      <c r="J270" s="1"/>
      <c r="K270" s="1"/>
      <c r="L270" s="1"/>
      <c r="M270" s="59">
        <f t="shared" si="61"/>
        <v>0</v>
      </c>
      <c r="N270" s="1"/>
      <c r="O270" s="1"/>
      <c r="P270" s="1"/>
      <c r="Q270" s="59">
        <f t="shared" si="62"/>
        <v>0</v>
      </c>
      <c r="R270" s="59">
        <f t="shared" si="58"/>
        <v>60</v>
      </c>
      <c r="S270" s="4" t="s">
        <v>136</v>
      </c>
      <c r="T270" s="4" t="s">
        <v>137</v>
      </c>
    </row>
    <row r="271" spans="1:21" ht="15.75" customHeight="1" x14ac:dyDescent="0.3">
      <c r="A271" s="76" t="s">
        <v>250</v>
      </c>
      <c r="B271" s="1"/>
      <c r="C271" s="1"/>
      <c r="D271" s="1"/>
      <c r="E271" s="59">
        <f t="shared" si="64"/>
        <v>0</v>
      </c>
      <c r="F271" s="1"/>
      <c r="G271" s="1"/>
      <c r="H271" s="1"/>
      <c r="I271" s="59">
        <f t="shared" si="60"/>
        <v>0</v>
      </c>
      <c r="J271" s="1"/>
      <c r="K271" s="1"/>
      <c r="L271" s="1"/>
      <c r="M271" s="59">
        <f t="shared" si="61"/>
        <v>0</v>
      </c>
      <c r="N271" s="1"/>
      <c r="O271" s="1"/>
      <c r="P271" s="1"/>
      <c r="Q271" s="59">
        <f t="shared" si="62"/>
        <v>0</v>
      </c>
      <c r="R271" s="59">
        <f t="shared" si="58"/>
        <v>0</v>
      </c>
      <c r="T271" s="4" t="s">
        <v>137</v>
      </c>
    </row>
    <row r="272" spans="1:21" ht="15.75" customHeight="1" x14ac:dyDescent="0.3">
      <c r="A272" s="76" t="s">
        <v>251</v>
      </c>
      <c r="B272" s="1"/>
      <c r="C272" s="1"/>
      <c r="D272" s="1"/>
      <c r="E272" s="59">
        <f t="shared" ref="E272" si="74">SUM(B272:D272)</f>
        <v>0</v>
      </c>
      <c r="F272" s="1"/>
      <c r="G272" s="1">
        <v>518</v>
      </c>
      <c r="H272" s="1">
        <v>518</v>
      </c>
      <c r="I272" s="59">
        <f t="shared" ref="I272:I273" si="75">SUM(F272:H272)</f>
        <v>1036</v>
      </c>
      <c r="J272" s="1">
        <v>518</v>
      </c>
      <c r="K272" s="1">
        <v>518</v>
      </c>
      <c r="L272" s="1"/>
      <c r="M272" s="59">
        <f t="shared" ref="M272:M273" si="76">SUM(J272:L272)</f>
        <v>1036</v>
      </c>
      <c r="N272" s="1"/>
      <c r="O272" s="1"/>
      <c r="P272" s="1"/>
      <c r="Q272" s="59">
        <f t="shared" ref="Q272" si="77">SUM(N272:P272)</f>
        <v>0</v>
      </c>
      <c r="R272" s="59">
        <f t="shared" si="58"/>
        <v>2072</v>
      </c>
      <c r="S272" s="4" t="s">
        <v>136</v>
      </c>
      <c r="T272" s="4" t="s">
        <v>137</v>
      </c>
    </row>
    <row r="273" spans="1:20" ht="15.75" customHeight="1" x14ac:dyDescent="0.3">
      <c r="A273" s="76" t="s">
        <v>252</v>
      </c>
      <c r="B273" s="1"/>
      <c r="C273" s="1"/>
      <c r="D273" s="1"/>
      <c r="E273" s="59">
        <f t="shared" si="64"/>
        <v>0</v>
      </c>
      <c r="F273" s="1"/>
      <c r="G273" s="1"/>
      <c r="H273" s="1">
        <v>400</v>
      </c>
      <c r="I273" s="59">
        <f t="shared" si="75"/>
        <v>400</v>
      </c>
      <c r="J273" s="1">
        <v>400</v>
      </c>
      <c r="K273" s="1">
        <v>400</v>
      </c>
      <c r="L273" s="1"/>
      <c r="M273" s="59">
        <f t="shared" si="76"/>
        <v>800</v>
      </c>
      <c r="N273" s="1"/>
      <c r="O273" s="1"/>
      <c r="P273" s="1"/>
      <c r="Q273" s="59">
        <f t="shared" si="62"/>
        <v>0</v>
      </c>
      <c r="R273" s="59">
        <f>+E273+I273+M273+Q273</f>
        <v>1200</v>
      </c>
      <c r="S273" s="94" t="s">
        <v>136</v>
      </c>
      <c r="T273" s="4" t="s">
        <v>137</v>
      </c>
    </row>
    <row r="274" spans="1:20" ht="15.75" customHeight="1" x14ac:dyDescent="0.3">
      <c r="A274" s="91" t="s">
        <v>253</v>
      </c>
      <c r="B274" s="1"/>
      <c r="C274" s="1"/>
      <c r="D274" s="1"/>
      <c r="E274" s="59">
        <f t="shared" si="64"/>
        <v>0</v>
      </c>
      <c r="F274" s="1"/>
      <c r="G274" s="1"/>
      <c r="H274" s="1"/>
      <c r="I274" s="59">
        <f t="shared" si="60"/>
        <v>0</v>
      </c>
      <c r="J274" s="1"/>
      <c r="K274" s="1"/>
      <c r="L274" s="1"/>
      <c r="M274" s="59">
        <f t="shared" si="61"/>
        <v>0</v>
      </c>
      <c r="N274" s="1"/>
      <c r="O274" s="1"/>
      <c r="P274" s="1">
        <v>405</v>
      </c>
      <c r="Q274" s="59">
        <f>SUM(N274:P274)</f>
        <v>405</v>
      </c>
      <c r="R274" s="59">
        <f t="shared" si="58"/>
        <v>405</v>
      </c>
      <c r="T274" s="4" t="s">
        <v>132</v>
      </c>
    </row>
    <row r="275" spans="1:20" ht="15.75" customHeight="1" x14ac:dyDescent="0.3">
      <c r="A275" s="91" t="s">
        <v>254</v>
      </c>
      <c r="B275" s="1"/>
      <c r="C275" s="1">
        <v>329</v>
      </c>
      <c r="D275" s="1">
        <v>2125</v>
      </c>
      <c r="E275" s="59">
        <f>SUM(B275:D275)</f>
        <v>2454</v>
      </c>
      <c r="F275" s="1">
        <v>2606</v>
      </c>
      <c r="G275" s="1">
        <f>1120+2771</f>
        <v>3891</v>
      </c>
      <c r="H275" s="1">
        <v>427</v>
      </c>
      <c r="I275" s="59">
        <f t="shared" ref="I275:I276" si="78">SUM(F275:H275)</f>
        <v>6924</v>
      </c>
      <c r="J275" s="1"/>
      <c r="K275" s="1">
        <f>253+2</f>
        <v>255</v>
      </c>
      <c r="L275" s="1">
        <v>1747</v>
      </c>
      <c r="M275" s="59">
        <f t="shared" ref="M275" si="79">SUM(J275:L275)</f>
        <v>2002</v>
      </c>
      <c r="N275" s="1">
        <v>1647</v>
      </c>
      <c r="O275" s="1">
        <v>74</v>
      </c>
      <c r="P275" s="1">
        <v>1145</v>
      </c>
      <c r="Q275" s="59">
        <f>SUM(N275:P275)</f>
        <v>2866</v>
      </c>
      <c r="R275" s="59">
        <f t="shared" si="58"/>
        <v>14246</v>
      </c>
      <c r="T275" s="4" t="s">
        <v>134</v>
      </c>
    </row>
    <row r="276" spans="1:20" ht="15.75" customHeight="1" x14ac:dyDescent="0.3">
      <c r="A276" s="76" t="s">
        <v>255</v>
      </c>
      <c r="B276" s="1"/>
      <c r="C276" s="1">
        <v>800</v>
      </c>
      <c r="D276" s="1"/>
      <c r="E276" s="59">
        <f>SUM(B276:D276)</f>
        <v>800</v>
      </c>
      <c r="F276" s="1">
        <v>800</v>
      </c>
      <c r="G276" s="1"/>
      <c r="H276" s="1"/>
      <c r="I276" s="59">
        <f t="shared" si="78"/>
        <v>800</v>
      </c>
      <c r="J276" s="1"/>
      <c r="K276" s="1"/>
      <c r="L276" s="1"/>
      <c r="M276" s="59">
        <f>SUM(J276:L276)</f>
        <v>0</v>
      </c>
      <c r="N276" s="1"/>
      <c r="O276" s="1"/>
      <c r="P276" s="1"/>
      <c r="Q276" s="59">
        <f t="shared" si="62"/>
        <v>0</v>
      </c>
      <c r="R276" s="59">
        <f t="shared" si="58"/>
        <v>1600</v>
      </c>
      <c r="S276" s="4" t="s">
        <v>136</v>
      </c>
      <c r="T276" s="4" t="s">
        <v>137</v>
      </c>
    </row>
    <row r="277" spans="1:20" ht="15.75" customHeight="1" x14ac:dyDescent="0.3">
      <c r="A277" s="76" t="s">
        <v>256</v>
      </c>
      <c r="B277" s="1"/>
      <c r="C277" s="1"/>
      <c r="D277" s="1"/>
      <c r="E277" s="59">
        <f t="shared" ref="E277:E278" si="80">SUM(B277:D277)</f>
        <v>0</v>
      </c>
      <c r="F277" s="1"/>
      <c r="G277" s="1"/>
      <c r="H277" s="1"/>
      <c r="I277" s="59">
        <f t="shared" si="60"/>
        <v>0</v>
      </c>
      <c r="J277" s="1"/>
      <c r="K277" s="1"/>
      <c r="L277" s="1"/>
      <c r="M277" s="59">
        <f t="shared" si="61"/>
        <v>0</v>
      </c>
      <c r="N277" s="1"/>
      <c r="O277" s="1"/>
      <c r="P277" s="1"/>
      <c r="Q277" s="59">
        <f t="shared" si="62"/>
        <v>0</v>
      </c>
      <c r="R277" s="59">
        <f t="shared" si="58"/>
        <v>0</v>
      </c>
      <c r="T277" s="4" t="s">
        <v>137</v>
      </c>
    </row>
    <row r="278" spans="1:20" ht="15.75" customHeight="1" x14ac:dyDescent="0.3">
      <c r="A278" s="91" t="s">
        <v>257</v>
      </c>
      <c r="B278" s="1"/>
      <c r="C278" s="1"/>
      <c r="D278" s="1"/>
      <c r="E278" s="59">
        <f t="shared" si="80"/>
        <v>0</v>
      </c>
      <c r="F278" s="1"/>
      <c r="G278" s="1"/>
      <c r="H278" s="1"/>
      <c r="I278" s="59">
        <f t="shared" si="60"/>
        <v>0</v>
      </c>
      <c r="J278" s="1"/>
      <c r="K278" s="1"/>
      <c r="L278" s="1"/>
      <c r="M278" s="59">
        <f t="shared" si="61"/>
        <v>0</v>
      </c>
      <c r="N278" s="1"/>
      <c r="O278" s="1"/>
      <c r="P278" s="1"/>
      <c r="Q278" s="59">
        <f t="shared" ref="Q278" si="81">SUM(N278:P278)</f>
        <v>0</v>
      </c>
      <c r="R278" s="59">
        <f t="shared" si="58"/>
        <v>0</v>
      </c>
    </row>
    <row r="279" spans="1:20" ht="15.75" customHeight="1" x14ac:dyDescent="0.3">
      <c r="A279" s="76" t="s">
        <v>258</v>
      </c>
      <c r="B279" s="1">
        <v>1145</v>
      </c>
      <c r="C279" s="1">
        <v>1705</v>
      </c>
      <c r="D279" s="1"/>
      <c r="E279" s="59">
        <f t="shared" si="64"/>
        <v>2850</v>
      </c>
      <c r="F279" s="1"/>
      <c r="G279" s="1"/>
      <c r="H279" s="1"/>
      <c r="I279" s="59">
        <f t="shared" si="60"/>
        <v>0</v>
      </c>
      <c r="J279" s="1"/>
      <c r="K279" s="1"/>
      <c r="L279" s="1"/>
      <c r="M279" s="59">
        <f t="shared" si="61"/>
        <v>0</v>
      </c>
      <c r="N279" s="1"/>
      <c r="O279" s="1"/>
      <c r="P279" s="1"/>
      <c r="Q279" s="59">
        <f t="shared" si="62"/>
        <v>0</v>
      </c>
      <c r="R279" s="59">
        <f t="shared" si="58"/>
        <v>2850</v>
      </c>
      <c r="T279" s="4" t="s">
        <v>158</v>
      </c>
    </row>
    <row r="280" spans="1:20" ht="15.75" customHeight="1" x14ac:dyDescent="0.3">
      <c r="A280" s="76" t="s">
        <v>259</v>
      </c>
      <c r="B280" s="1"/>
      <c r="C280" s="1"/>
      <c r="D280" s="1"/>
      <c r="E280" s="59">
        <f t="shared" si="64"/>
        <v>0</v>
      </c>
      <c r="F280" s="1"/>
      <c r="G280" s="1"/>
      <c r="H280" s="1"/>
      <c r="I280" s="59">
        <f>SUM(F280:H280)</f>
        <v>0</v>
      </c>
      <c r="J280" s="1"/>
      <c r="K280" s="1"/>
      <c r="L280" s="1"/>
      <c r="M280" s="59">
        <f t="shared" si="61"/>
        <v>0</v>
      </c>
      <c r="N280" s="1"/>
      <c r="O280" s="1"/>
      <c r="P280" s="1"/>
      <c r="Q280" s="59">
        <f t="shared" si="62"/>
        <v>0</v>
      </c>
      <c r="R280" s="59">
        <f t="shared" si="58"/>
        <v>0</v>
      </c>
      <c r="S280" s="4" t="s">
        <v>136</v>
      </c>
    </row>
    <row r="281" spans="1:20" ht="15.75" customHeight="1" x14ac:dyDescent="0.3">
      <c r="A281" s="76" t="s">
        <v>260</v>
      </c>
      <c r="B281" s="1"/>
      <c r="C281" s="1"/>
      <c r="D281" s="1"/>
      <c r="E281" s="59">
        <f t="shared" si="64"/>
        <v>0</v>
      </c>
      <c r="F281" s="1"/>
      <c r="G281" s="1"/>
      <c r="H281" s="1"/>
      <c r="I281" s="59">
        <f>SUM(F281:H281)</f>
        <v>0</v>
      </c>
      <c r="J281" s="1"/>
      <c r="K281" s="1"/>
      <c r="L281" s="1"/>
      <c r="M281" s="59">
        <f t="shared" si="61"/>
        <v>0</v>
      </c>
      <c r="N281" s="1"/>
      <c r="O281" s="1"/>
      <c r="P281" s="1"/>
      <c r="Q281" s="59">
        <f t="shared" ref="Q281" si="82">SUM(N281:P281)</f>
        <v>0</v>
      </c>
      <c r="R281" s="59">
        <f t="shared" si="58"/>
        <v>0</v>
      </c>
    </row>
    <row r="282" spans="1:20" ht="15.75" customHeight="1" x14ac:dyDescent="0.3">
      <c r="A282" s="76" t="s">
        <v>261</v>
      </c>
      <c r="B282" s="1">
        <v>95</v>
      </c>
      <c r="C282" s="1"/>
      <c r="D282" s="1"/>
      <c r="E282" s="59">
        <f t="shared" si="64"/>
        <v>95</v>
      </c>
      <c r="F282" s="1"/>
      <c r="G282" s="1"/>
      <c r="H282" s="1"/>
      <c r="I282" s="59">
        <f t="shared" si="60"/>
        <v>0</v>
      </c>
      <c r="J282" s="1"/>
      <c r="K282" s="1"/>
      <c r="L282" s="1"/>
      <c r="M282" s="59">
        <f t="shared" si="61"/>
        <v>0</v>
      </c>
      <c r="N282" s="1"/>
      <c r="O282" s="1"/>
      <c r="P282" s="1"/>
      <c r="Q282" s="59">
        <f t="shared" si="62"/>
        <v>0</v>
      </c>
      <c r="R282" s="59">
        <f t="shared" si="58"/>
        <v>95</v>
      </c>
    </row>
    <row r="283" spans="1:20" ht="15.75" customHeight="1" x14ac:dyDescent="0.3">
      <c r="A283" s="76" t="s">
        <v>262</v>
      </c>
      <c r="B283" s="1">
        <v>95</v>
      </c>
      <c r="C283" s="1"/>
      <c r="D283" s="1"/>
      <c r="E283" s="59">
        <f t="shared" si="64"/>
        <v>95</v>
      </c>
      <c r="F283" s="1"/>
      <c r="G283" s="1"/>
      <c r="H283" s="1"/>
      <c r="I283" s="59">
        <f t="shared" si="60"/>
        <v>0</v>
      </c>
      <c r="J283" s="1"/>
      <c r="K283" s="1"/>
      <c r="L283" s="1"/>
      <c r="M283" s="59">
        <f t="shared" si="61"/>
        <v>0</v>
      </c>
      <c r="N283" s="1"/>
      <c r="O283" s="1"/>
      <c r="P283" s="1"/>
      <c r="Q283" s="59">
        <f t="shared" si="62"/>
        <v>0</v>
      </c>
      <c r="R283" s="59">
        <f t="shared" si="58"/>
        <v>95</v>
      </c>
      <c r="S283" s="4" t="s">
        <v>136</v>
      </c>
      <c r="T283" s="4" t="s">
        <v>137</v>
      </c>
    </row>
    <row r="284" spans="1:20" ht="15.75" customHeight="1" x14ac:dyDescent="0.3">
      <c r="A284" s="76" t="s">
        <v>263</v>
      </c>
      <c r="B284" s="1"/>
      <c r="C284" s="1">
        <v>1700</v>
      </c>
      <c r="D284" s="1">
        <v>1900</v>
      </c>
      <c r="E284" s="59">
        <f>SUM(B284:D284)</f>
        <v>3600</v>
      </c>
      <c r="F284" s="1">
        <v>1200</v>
      </c>
      <c r="G284" s="1">
        <v>1100</v>
      </c>
      <c r="H284" s="1">
        <v>200</v>
      </c>
      <c r="I284" s="59">
        <f>SUM(F284:H284)</f>
        <v>2500</v>
      </c>
      <c r="J284" s="1">
        <v>200</v>
      </c>
      <c r="K284" s="1">
        <v>700</v>
      </c>
      <c r="L284" s="1">
        <v>900</v>
      </c>
      <c r="M284" s="59">
        <f>SUM(J284:L284)</f>
        <v>1800</v>
      </c>
      <c r="N284" s="1">
        <v>1100</v>
      </c>
      <c r="O284" s="1">
        <v>1000</v>
      </c>
      <c r="P284" s="1">
        <v>1300</v>
      </c>
      <c r="Q284" s="59">
        <f>SUM(N284:P284)</f>
        <v>3400</v>
      </c>
      <c r="R284" s="59">
        <f t="shared" si="58"/>
        <v>11300</v>
      </c>
      <c r="S284" s="4" t="s">
        <v>136</v>
      </c>
      <c r="T284" s="4" t="s">
        <v>137</v>
      </c>
    </row>
    <row r="285" spans="1:20" ht="15.75" customHeight="1" x14ac:dyDescent="0.3">
      <c r="A285" s="76" t="s">
        <v>264</v>
      </c>
      <c r="B285" s="1"/>
      <c r="C285" s="1"/>
      <c r="D285" s="1"/>
      <c r="E285" s="59">
        <f>SUM(B285:D285)</f>
        <v>0</v>
      </c>
      <c r="F285" s="1"/>
      <c r="G285" s="1"/>
      <c r="H285" s="1">
        <v>2700</v>
      </c>
      <c r="I285" s="59">
        <f>SUM(F285:H285)</f>
        <v>2700</v>
      </c>
      <c r="J285" s="1">
        <v>794</v>
      </c>
      <c r="K285" s="1">
        <v>3455</v>
      </c>
      <c r="L285" s="1">
        <v>1751</v>
      </c>
      <c r="M285" s="59">
        <f>SUM(J285:L285)</f>
        <v>6000</v>
      </c>
      <c r="N285" s="1"/>
      <c r="O285" s="1"/>
      <c r="P285" s="1"/>
      <c r="Q285" s="59">
        <f>SUM(N285:P285)</f>
        <v>0</v>
      </c>
      <c r="R285" s="59">
        <f t="shared" si="58"/>
        <v>8700</v>
      </c>
    </row>
    <row r="286" spans="1:20" ht="15.75" customHeight="1" x14ac:dyDescent="0.3">
      <c r="A286" s="76" t="s">
        <v>265</v>
      </c>
      <c r="B286" s="1"/>
      <c r="C286" s="1"/>
      <c r="D286" s="1"/>
      <c r="E286" s="59">
        <f>SUM(B286:D286)</f>
        <v>0</v>
      </c>
      <c r="F286" s="1"/>
      <c r="G286" s="1"/>
      <c r="H286" s="1"/>
      <c r="I286" s="59">
        <f>SUM(F286:H286)</f>
        <v>0</v>
      </c>
      <c r="J286" s="1"/>
      <c r="K286" s="1"/>
      <c r="L286" s="1"/>
      <c r="M286" s="59">
        <f>SUM(J286:L286)</f>
        <v>0</v>
      </c>
      <c r="N286" s="1"/>
      <c r="O286" s="1"/>
      <c r="P286" s="1"/>
      <c r="Q286" s="59">
        <f t="shared" ref="Q286:Q289" si="83">SUM(N286:P286)</f>
        <v>0</v>
      </c>
      <c r="R286" s="59">
        <f t="shared" si="58"/>
        <v>0</v>
      </c>
      <c r="T286" s="4" t="s">
        <v>137</v>
      </c>
    </row>
    <row r="287" spans="1:20" ht="15.75" customHeight="1" x14ac:dyDescent="0.3">
      <c r="A287" s="76" t="s">
        <v>266</v>
      </c>
      <c r="B287" s="1"/>
      <c r="C287" s="1"/>
      <c r="D287" s="1"/>
      <c r="E287" s="59">
        <f t="shared" ref="E287:E290" si="84">SUM(B287:D287)</f>
        <v>0</v>
      </c>
      <c r="F287" s="1"/>
      <c r="G287" s="1"/>
      <c r="H287" s="1"/>
      <c r="I287" s="59">
        <f t="shared" ref="I287:I290" si="85">SUM(F287:H287)</f>
        <v>0</v>
      </c>
      <c r="J287" s="1"/>
      <c r="K287" s="1"/>
      <c r="L287" s="1"/>
      <c r="M287" s="59">
        <f t="shared" ref="M287:M290" si="86">SUM(J287:L287)</f>
        <v>0</v>
      </c>
      <c r="N287" s="1"/>
      <c r="O287" s="1"/>
      <c r="P287" s="1"/>
      <c r="Q287" s="59">
        <f t="shared" si="83"/>
        <v>0</v>
      </c>
      <c r="R287" s="59">
        <f t="shared" si="58"/>
        <v>0</v>
      </c>
      <c r="T287" s="4" t="s">
        <v>137</v>
      </c>
    </row>
    <row r="288" spans="1:20" ht="15.75" customHeight="1" x14ac:dyDescent="0.3">
      <c r="A288" s="91" t="s">
        <v>267</v>
      </c>
      <c r="B288" s="1"/>
      <c r="C288" s="1"/>
      <c r="D288" s="1"/>
      <c r="E288" s="59">
        <f t="shared" si="84"/>
        <v>0</v>
      </c>
      <c r="F288" s="1"/>
      <c r="G288" s="1"/>
      <c r="H288" s="1"/>
      <c r="I288" s="59">
        <f t="shared" si="85"/>
        <v>0</v>
      </c>
      <c r="J288" s="1"/>
      <c r="K288" s="1"/>
      <c r="L288" s="1"/>
      <c r="M288" s="59">
        <f t="shared" si="86"/>
        <v>0</v>
      </c>
      <c r="N288" s="1"/>
      <c r="O288" s="1"/>
      <c r="P288" s="1"/>
      <c r="Q288" s="59">
        <f t="shared" si="83"/>
        <v>0</v>
      </c>
      <c r="R288" s="59">
        <f t="shared" si="58"/>
        <v>0</v>
      </c>
    </row>
    <row r="289" spans="1:20" ht="15.75" customHeight="1" x14ac:dyDescent="0.3">
      <c r="A289" s="76" t="s">
        <v>268</v>
      </c>
      <c r="B289" s="1"/>
      <c r="C289" s="1"/>
      <c r="D289" s="1"/>
      <c r="E289" s="59">
        <f t="shared" si="84"/>
        <v>0</v>
      </c>
      <c r="F289" s="1"/>
      <c r="G289" s="1"/>
      <c r="H289" s="1"/>
      <c r="I289" s="59">
        <f t="shared" si="85"/>
        <v>0</v>
      </c>
      <c r="J289" s="1"/>
      <c r="K289" s="1"/>
      <c r="L289" s="1"/>
      <c r="M289" s="59">
        <f t="shared" si="86"/>
        <v>0</v>
      </c>
      <c r="N289" s="1"/>
      <c r="O289" s="1"/>
      <c r="P289" s="1"/>
      <c r="Q289" s="59">
        <f t="shared" si="83"/>
        <v>0</v>
      </c>
      <c r="R289" s="59">
        <f t="shared" si="58"/>
        <v>0</v>
      </c>
    </row>
    <row r="290" spans="1:20" ht="15.75" customHeight="1" x14ac:dyDescent="0.3">
      <c r="A290" s="76" t="s">
        <v>269</v>
      </c>
      <c r="B290" s="1"/>
      <c r="C290" s="1"/>
      <c r="D290" s="1"/>
      <c r="E290" s="59">
        <f t="shared" si="84"/>
        <v>0</v>
      </c>
      <c r="F290" s="1"/>
      <c r="G290" s="1">
        <v>570</v>
      </c>
      <c r="H290" s="1">
        <v>570</v>
      </c>
      <c r="I290" s="59">
        <f t="shared" si="85"/>
        <v>1140</v>
      </c>
      <c r="J290" s="1">
        <v>951</v>
      </c>
      <c r="K290" s="1">
        <v>951</v>
      </c>
      <c r="L290" s="1">
        <v>951</v>
      </c>
      <c r="M290" s="59">
        <f t="shared" si="86"/>
        <v>2853</v>
      </c>
      <c r="N290" s="1">
        <v>761</v>
      </c>
      <c r="O290" s="1">
        <v>761</v>
      </c>
      <c r="P290" s="1">
        <v>285</v>
      </c>
      <c r="Q290" s="59">
        <f t="shared" si="62"/>
        <v>1807</v>
      </c>
      <c r="R290" s="59">
        <f t="shared" si="58"/>
        <v>5800</v>
      </c>
      <c r="S290" s="4" t="s">
        <v>136</v>
      </c>
    </row>
    <row r="291" spans="1:20" ht="15.75" customHeight="1" x14ac:dyDescent="0.3">
      <c r="A291" s="76" t="s">
        <v>270</v>
      </c>
      <c r="B291" s="1">
        <v>460</v>
      </c>
      <c r="C291" s="1">
        <v>3789</v>
      </c>
      <c r="D291" s="1">
        <v>5305</v>
      </c>
      <c r="E291" s="59">
        <f>SUM(B291:D291)</f>
        <v>9554</v>
      </c>
      <c r="F291" s="1">
        <v>2946</v>
      </c>
      <c r="G291" s="1"/>
      <c r="H291" s="1"/>
      <c r="I291" s="59">
        <f>SUM(F291:H291)</f>
        <v>2946</v>
      </c>
      <c r="J291" s="1"/>
      <c r="K291" s="1"/>
      <c r="L291" s="1"/>
      <c r="M291" s="59">
        <f>SUM(J291:L291)</f>
        <v>0</v>
      </c>
      <c r="N291" s="1"/>
      <c r="O291" s="1"/>
      <c r="P291" s="1"/>
      <c r="Q291" s="59">
        <f>SUM(N291:P291)</f>
        <v>0</v>
      </c>
      <c r="R291" s="59">
        <f>+E291+I291+M291+Q291</f>
        <v>12500</v>
      </c>
      <c r="S291" s="4" t="s">
        <v>136</v>
      </c>
    </row>
    <row r="292" spans="1:20" ht="15.75" customHeight="1" x14ac:dyDescent="0.3">
      <c r="A292" s="76" t="s">
        <v>271</v>
      </c>
      <c r="B292" s="1"/>
      <c r="C292" s="1"/>
      <c r="D292" s="1"/>
      <c r="E292" s="59">
        <f>SUM(B292:D292)</f>
        <v>0</v>
      </c>
      <c r="F292" s="1"/>
      <c r="G292" s="1"/>
      <c r="H292" s="1"/>
      <c r="I292" s="59">
        <f>SUM(F292:H292)</f>
        <v>0</v>
      </c>
      <c r="J292" s="1"/>
      <c r="K292" s="1"/>
      <c r="L292" s="1"/>
      <c r="M292" s="59">
        <f>SUM(J292:L292)</f>
        <v>0</v>
      </c>
      <c r="N292" s="1"/>
      <c r="O292" s="1"/>
      <c r="P292" s="1"/>
      <c r="Q292" s="59">
        <f>SUM(N292:P292)</f>
        <v>0</v>
      </c>
      <c r="R292" s="59">
        <f>+E292+I292+M292+Q292</f>
        <v>0</v>
      </c>
    </row>
    <row r="293" spans="1:20" ht="15.75" customHeight="1" x14ac:dyDescent="0.3">
      <c r="A293" s="76" t="s">
        <v>272</v>
      </c>
      <c r="B293" s="1"/>
      <c r="C293" s="1"/>
      <c r="D293" s="1"/>
      <c r="E293" s="59">
        <f t="shared" ref="E293" si="87">SUM(B293:D293)</f>
        <v>0</v>
      </c>
      <c r="F293" s="1"/>
      <c r="G293" s="1"/>
      <c r="H293" s="1"/>
      <c r="I293" s="59">
        <f t="shared" ref="I293" si="88">SUM(F293:H293)</f>
        <v>0</v>
      </c>
      <c r="J293" s="1"/>
      <c r="K293" s="1"/>
      <c r="L293" s="1"/>
      <c r="M293" s="59">
        <f t="shared" ref="M293" si="89">SUM(J293:L293)</f>
        <v>0</v>
      </c>
      <c r="N293" s="1"/>
      <c r="O293" s="1"/>
      <c r="P293" s="1"/>
      <c r="Q293" s="59">
        <f t="shared" ref="Q293" si="90">SUM(N293:P293)</f>
        <v>0</v>
      </c>
      <c r="R293" s="59">
        <f t="shared" ref="R293" si="91">+E293+I293+M293+Q293</f>
        <v>0</v>
      </c>
    </row>
    <row r="294" spans="1:20" ht="15.75" customHeight="1" x14ac:dyDescent="0.3">
      <c r="A294" s="76" t="s">
        <v>273</v>
      </c>
      <c r="B294" s="1">
        <v>500</v>
      </c>
      <c r="C294" s="1"/>
      <c r="D294" s="1"/>
      <c r="E294" s="59">
        <f t="shared" ref="E294:E295" si="92">SUM(B294:D294)</f>
        <v>500</v>
      </c>
      <c r="F294" s="1"/>
      <c r="G294" s="1"/>
      <c r="H294" s="1"/>
      <c r="I294" s="59">
        <f t="shared" si="60"/>
        <v>0</v>
      </c>
      <c r="J294" s="1"/>
      <c r="K294" s="1"/>
      <c r="L294" s="1"/>
      <c r="M294" s="59">
        <f t="shared" si="61"/>
        <v>0</v>
      </c>
      <c r="N294" s="1"/>
      <c r="O294" s="1"/>
      <c r="P294" s="1"/>
      <c r="Q294" s="59">
        <f t="shared" si="62"/>
        <v>0</v>
      </c>
      <c r="R294" s="59">
        <f t="shared" si="58"/>
        <v>500</v>
      </c>
    </row>
    <row r="295" spans="1:20" ht="15.75" customHeight="1" x14ac:dyDescent="0.3">
      <c r="A295" s="76" t="s">
        <v>274</v>
      </c>
      <c r="B295" s="1"/>
      <c r="C295" s="1"/>
      <c r="D295" s="1"/>
      <c r="E295" s="59">
        <f t="shared" si="92"/>
        <v>0</v>
      </c>
      <c r="F295" s="1"/>
      <c r="G295" s="1"/>
      <c r="H295" s="1"/>
      <c r="I295" s="59">
        <f t="shared" si="60"/>
        <v>0</v>
      </c>
      <c r="J295" s="1"/>
      <c r="K295" s="1"/>
      <c r="L295" s="1"/>
      <c r="M295" s="59">
        <f t="shared" si="61"/>
        <v>0</v>
      </c>
      <c r="N295" s="1"/>
      <c r="O295" s="1"/>
      <c r="P295" s="1"/>
      <c r="Q295" s="59">
        <f t="shared" si="62"/>
        <v>0</v>
      </c>
      <c r="R295" s="59">
        <f t="shared" si="58"/>
        <v>0</v>
      </c>
    </row>
    <row r="296" spans="1:20" ht="15.75" customHeight="1" thickBot="1" x14ac:dyDescent="0.35">
      <c r="A296" s="76" t="s">
        <v>275</v>
      </c>
      <c r="B296" s="1"/>
      <c r="C296" s="1"/>
      <c r="D296" s="1"/>
      <c r="E296" s="59">
        <f>SUM(B296:D296)</f>
        <v>0</v>
      </c>
      <c r="F296" s="1"/>
      <c r="G296" s="1"/>
      <c r="H296" s="1"/>
      <c r="I296" s="59">
        <f>SUM(F296:H296)</f>
        <v>0</v>
      </c>
      <c r="J296" s="1"/>
      <c r="K296" s="1"/>
      <c r="L296" s="1"/>
      <c r="M296" s="59">
        <f>SUM(J296:L296)</f>
        <v>0</v>
      </c>
      <c r="N296" s="1"/>
      <c r="O296" s="1"/>
      <c r="P296" s="1"/>
      <c r="Q296" s="59">
        <f>SUM(N296:P296)</f>
        <v>0</v>
      </c>
      <c r="R296" s="59">
        <f t="shared" si="58"/>
        <v>0</v>
      </c>
      <c r="S296" s="94" t="s">
        <v>136</v>
      </c>
    </row>
    <row r="297" spans="1:20" ht="16.5" customHeight="1" thickBot="1" x14ac:dyDescent="0.35">
      <c r="A297" s="62" t="s">
        <v>61</v>
      </c>
      <c r="B297" s="101">
        <f>SUM(B225:B296)</f>
        <v>4958</v>
      </c>
      <c r="C297" s="101">
        <f>SUM(C225:C296)</f>
        <v>9516</v>
      </c>
      <c r="D297" s="101">
        <f>SUM(D225:D296)</f>
        <v>15863</v>
      </c>
      <c r="E297" s="64">
        <f t="shared" ref="E297" si="93">SUM(B297:D297)</f>
        <v>30337</v>
      </c>
      <c r="F297" s="101">
        <f>SUM(F225:F296)</f>
        <v>12937</v>
      </c>
      <c r="G297" s="101">
        <f>SUM(G225:G296)</f>
        <v>15235</v>
      </c>
      <c r="H297" s="101">
        <f>SUM(H225:H296)</f>
        <v>9793</v>
      </c>
      <c r="I297" s="64">
        <f t="shared" ref="I297" si="94">SUM(F297:H297)</f>
        <v>37965</v>
      </c>
      <c r="J297" s="101">
        <f>SUM(J225:J296)</f>
        <v>3928</v>
      </c>
      <c r="K297" s="101">
        <f>SUM(K225:K296)</f>
        <v>6849</v>
      </c>
      <c r="L297" s="101">
        <f>SUM(L225:L296)</f>
        <v>7698</v>
      </c>
      <c r="M297" s="64">
        <f t="shared" ref="M297" si="95">SUM(J297:L297)</f>
        <v>18475</v>
      </c>
      <c r="N297" s="101">
        <f>SUM(N225:N296)</f>
        <v>7106</v>
      </c>
      <c r="O297" s="101">
        <f>SUM(O225:O296)</f>
        <v>6092</v>
      </c>
      <c r="P297" s="101">
        <f>SUM(P225:P296)</f>
        <v>6176</v>
      </c>
      <c r="Q297" s="64">
        <f t="shared" ref="Q297" si="96">SUM(N297:P297)</f>
        <v>19374</v>
      </c>
      <c r="R297" s="64">
        <f t="shared" si="58"/>
        <v>106151</v>
      </c>
    </row>
    <row r="298" spans="1:20" ht="15.75" customHeight="1" x14ac:dyDescent="0.3">
      <c r="A298" s="17" t="s">
        <v>62</v>
      </c>
      <c r="B298" s="1"/>
      <c r="C298" s="1"/>
      <c r="D298" s="1"/>
      <c r="E298" s="59" t="s">
        <v>7</v>
      </c>
      <c r="F298" s="1"/>
      <c r="G298" s="1"/>
      <c r="H298" s="1"/>
      <c r="I298" s="59" t="s">
        <v>7</v>
      </c>
      <c r="J298" s="1"/>
      <c r="K298" s="1"/>
      <c r="L298" s="1"/>
      <c r="M298" s="59" t="s">
        <v>7</v>
      </c>
      <c r="N298" s="1"/>
      <c r="O298" s="1"/>
      <c r="P298" s="1"/>
      <c r="Q298" s="59" t="s">
        <v>7</v>
      </c>
      <c r="R298" s="59" t="s">
        <v>7</v>
      </c>
    </row>
    <row r="299" spans="1:20" ht="15.75" customHeight="1" x14ac:dyDescent="0.3">
      <c r="A299" s="17" t="s">
        <v>63</v>
      </c>
      <c r="B299" s="1"/>
      <c r="C299" s="1"/>
      <c r="D299" s="1"/>
      <c r="E299" s="59" t="s">
        <v>7</v>
      </c>
      <c r="F299" s="1"/>
      <c r="G299" s="1"/>
      <c r="H299" s="1"/>
      <c r="I299" s="59" t="s">
        <v>7</v>
      </c>
      <c r="J299" s="1"/>
      <c r="K299" s="1"/>
      <c r="L299" s="1"/>
      <c r="M299" s="59" t="s">
        <v>7</v>
      </c>
      <c r="N299" s="1"/>
      <c r="O299" s="1"/>
      <c r="P299" s="1"/>
      <c r="Q299" s="59" t="s">
        <v>7</v>
      </c>
      <c r="R299" s="59" t="s">
        <v>7</v>
      </c>
    </row>
    <row r="300" spans="1:20" ht="15.75" customHeight="1" x14ac:dyDescent="0.3">
      <c r="A300" s="99" t="s">
        <v>276</v>
      </c>
      <c r="B300" s="1"/>
      <c r="C300" s="1"/>
      <c r="D300" s="1"/>
      <c r="E300" s="59">
        <f>SUM(B300:D300)</f>
        <v>0</v>
      </c>
      <c r="F300" s="1"/>
      <c r="G300" s="1"/>
      <c r="H300" s="1"/>
      <c r="I300" s="59">
        <f>SUM(F300:H300)</f>
        <v>0</v>
      </c>
      <c r="J300" s="1"/>
      <c r="K300" s="1"/>
      <c r="L300" s="1"/>
      <c r="M300" s="59">
        <f>SUM(J300:L300)</f>
        <v>0</v>
      </c>
      <c r="N300" s="1"/>
      <c r="O300" s="1"/>
      <c r="P300" s="1"/>
      <c r="Q300" s="59">
        <f>SUM(N300:P300)</f>
        <v>0</v>
      </c>
      <c r="R300" s="59">
        <f>+E300+I300+M300+Q300</f>
        <v>0</v>
      </c>
      <c r="T300" s="4" t="s">
        <v>132</v>
      </c>
    </row>
    <row r="301" spans="1:20" ht="15.75" customHeight="1" x14ac:dyDescent="0.3">
      <c r="A301" s="99" t="s">
        <v>277</v>
      </c>
      <c r="B301" s="1"/>
      <c r="C301" s="1"/>
      <c r="D301" s="1"/>
      <c r="E301" s="59">
        <f>SUM(B301:D301)</f>
        <v>0</v>
      </c>
      <c r="F301" s="1"/>
      <c r="G301" s="1"/>
      <c r="H301" s="1"/>
      <c r="I301" s="59">
        <f>SUM(F301:H301)</f>
        <v>0</v>
      </c>
      <c r="J301" s="1"/>
      <c r="K301" s="1"/>
      <c r="L301" s="1"/>
      <c r="M301" s="59">
        <f>SUM(J301:L301)</f>
        <v>0</v>
      </c>
      <c r="N301" s="1"/>
      <c r="O301" s="1"/>
      <c r="P301" s="1"/>
      <c r="Q301" s="59">
        <f>SUM(N301:P301)</f>
        <v>0</v>
      </c>
      <c r="R301" s="59">
        <f>+E301+I301+M301+Q301</f>
        <v>0</v>
      </c>
      <c r="T301" s="4" t="s">
        <v>134</v>
      </c>
    </row>
    <row r="302" spans="1:20" ht="15.75" customHeight="1" x14ac:dyDescent="0.3">
      <c r="A302" s="17" t="s">
        <v>64</v>
      </c>
      <c r="B302" s="1"/>
      <c r="C302" s="1"/>
      <c r="D302" s="1"/>
      <c r="E302" s="59" t="s">
        <v>7</v>
      </c>
      <c r="F302" s="1"/>
      <c r="G302" s="1"/>
      <c r="H302" s="1"/>
      <c r="I302" s="59" t="s">
        <v>7</v>
      </c>
      <c r="J302" s="1"/>
      <c r="K302" s="1"/>
      <c r="L302" s="1"/>
      <c r="M302" s="59" t="s">
        <v>7</v>
      </c>
      <c r="N302" s="1"/>
      <c r="O302" s="1"/>
      <c r="P302" s="1"/>
      <c r="Q302" s="59" t="s">
        <v>7</v>
      </c>
      <c r="R302" s="59" t="s">
        <v>7</v>
      </c>
    </row>
    <row r="303" spans="1:20" ht="15.75" customHeight="1" x14ac:dyDescent="0.3">
      <c r="A303" s="99" t="s">
        <v>278</v>
      </c>
      <c r="B303" s="1"/>
      <c r="C303" s="1"/>
      <c r="D303" s="1"/>
      <c r="E303" s="59">
        <f>SUM(B303:D303)</f>
        <v>0</v>
      </c>
      <c r="F303" s="1"/>
      <c r="G303" s="1"/>
      <c r="H303" s="1"/>
      <c r="I303" s="59">
        <f>SUM(F303:H303)</f>
        <v>0</v>
      </c>
      <c r="J303" s="1"/>
      <c r="K303" s="1"/>
      <c r="L303" s="1"/>
      <c r="M303" s="59">
        <f>SUM(J303:L303)</f>
        <v>0</v>
      </c>
      <c r="N303" s="1"/>
      <c r="O303" s="1"/>
      <c r="P303" s="1"/>
      <c r="Q303" s="59">
        <f>SUM(N303:P303)</f>
        <v>0</v>
      </c>
      <c r="R303" s="59">
        <f>+E303+I303+M303+Q303</f>
        <v>0</v>
      </c>
    </row>
    <row r="304" spans="1:20" ht="15.75" customHeight="1" x14ac:dyDescent="0.3">
      <c r="A304" s="99" t="s">
        <v>279</v>
      </c>
      <c r="B304" s="1"/>
      <c r="C304" s="1"/>
      <c r="D304" s="1"/>
      <c r="E304" s="59">
        <f>SUM(B304:D304)</f>
        <v>0</v>
      </c>
      <c r="F304" s="1"/>
      <c r="G304" s="1"/>
      <c r="H304" s="1"/>
      <c r="I304" s="59">
        <f>SUM(F304:H304)</f>
        <v>0</v>
      </c>
      <c r="J304" s="1"/>
      <c r="K304" s="1"/>
      <c r="L304" s="1"/>
      <c r="M304" s="59">
        <f>SUM(J304:L304)</f>
        <v>0</v>
      </c>
      <c r="N304" s="1"/>
      <c r="O304" s="1"/>
      <c r="P304" s="1"/>
      <c r="Q304" s="59">
        <f>SUM(N304:P304)</f>
        <v>0</v>
      </c>
      <c r="R304" s="59">
        <f>+E304+I304+M304+Q304</f>
        <v>0</v>
      </c>
      <c r="T304" s="4">
        <f>24000-SUM(R154,R158,R178,R181,R195,R213,R250,R252,R274,R300,R303,R304)</f>
        <v>776</v>
      </c>
    </row>
    <row r="305" spans="1:20" ht="15.75" customHeight="1" x14ac:dyDescent="0.3">
      <c r="A305" s="74" t="s">
        <v>280</v>
      </c>
      <c r="B305" s="1"/>
      <c r="C305" s="1"/>
      <c r="D305" s="1"/>
      <c r="E305" s="59">
        <f t="shared" ref="E305:E310" si="97">SUM(B305:D305)</f>
        <v>0</v>
      </c>
      <c r="F305" s="1"/>
      <c r="G305" s="1"/>
      <c r="H305" s="1"/>
      <c r="I305" s="59">
        <f t="shared" ref="I305:I310" si="98">SUM(F305:H305)</f>
        <v>0</v>
      </c>
      <c r="J305" s="1"/>
      <c r="K305" s="1"/>
      <c r="L305" s="1"/>
      <c r="M305" s="59">
        <f t="shared" ref="M305:M310" si="99">SUM(J305:L305)</f>
        <v>0</v>
      </c>
      <c r="N305" s="1"/>
      <c r="O305" s="1"/>
      <c r="P305" s="1"/>
      <c r="Q305" s="59">
        <f t="shared" ref="Q305:Q310" si="100">SUM(N305:P305)</f>
        <v>0</v>
      </c>
      <c r="R305" s="59">
        <f t="shared" ref="R305:R310" si="101">+E305+I305+M305+Q305</f>
        <v>0</v>
      </c>
      <c r="S305" s="4" t="s">
        <v>136</v>
      </c>
    </row>
    <row r="306" spans="1:20" ht="15.75" customHeight="1" x14ac:dyDescent="0.3">
      <c r="A306" s="74" t="s">
        <v>281</v>
      </c>
      <c r="B306" s="1"/>
      <c r="C306" s="1"/>
      <c r="D306" s="1"/>
      <c r="E306" s="59">
        <f t="shared" si="97"/>
        <v>0</v>
      </c>
      <c r="F306" s="1"/>
      <c r="G306" s="1"/>
      <c r="H306" s="1"/>
      <c r="I306" s="59">
        <f t="shared" si="98"/>
        <v>0</v>
      </c>
      <c r="J306" s="1"/>
      <c r="K306" s="1"/>
      <c r="L306" s="1"/>
      <c r="M306" s="59">
        <f t="shared" si="99"/>
        <v>0</v>
      </c>
      <c r="N306" s="1"/>
      <c r="O306" s="1"/>
      <c r="P306" s="1"/>
      <c r="Q306" s="59">
        <f t="shared" si="100"/>
        <v>0</v>
      </c>
      <c r="R306" s="59">
        <f t="shared" si="101"/>
        <v>0</v>
      </c>
    </row>
    <row r="307" spans="1:20" ht="15.75" customHeight="1" x14ac:dyDescent="0.3">
      <c r="A307" s="91" t="s">
        <v>282</v>
      </c>
      <c r="B307" s="1"/>
      <c r="C307" s="1"/>
      <c r="D307" s="1"/>
      <c r="E307" s="59">
        <f t="shared" si="97"/>
        <v>0</v>
      </c>
      <c r="F307" s="1"/>
      <c r="G307" s="1"/>
      <c r="H307" s="1"/>
      <c r="I307" s="59">
        <f t="shared" si="98"/>
        <v>0</v>
      </c>
      <c r="J307" s="1"/>
      <c r="K307" s="1"/>
      <c r="L307" s="1"/>
      <c r="M307" s="59">
        <f t="shared" si="99"/>
        <v>0</v>
      </c>
      <c r="N307" s="1"/>
      <c r="O307" s="1"/>
      <c r="P307" s="1"/>
      <c r="Q307" s="59">
        <f t="shared" si="100"/>
        <v>0</v>
      </c>
      <c r="R307" s="59">
        <f t="shared" si="101"/>
        <v>0</v>
      </c>
    </row>
    <row r="308" spans="1:20" ht="15.75" customHeight="1" x14ac:dyDescent="0.3">
      <c r="A308" s="91" t="s">
        <v>283</v>
      </c>
      <c r="B308" s="1"/>
      <c r="C308" s="1"/>
      <c r="D308" s="1"/>
      <c r="E308" s="59">
        <f t="shared" si="97"/>
        <v>0</v>
      </c>
      <c r="F308" s="1"/>
      <c r="G308" s="1"/>
      <c r="H308" s="1"/>
      <c r="I308" s="59">
        <f t="shared" si="98"/>
        <v>0</v>
      </c>
      <c r="J308" s="1"/>
      <c r="K308" s="1"/>
      <c r="L308" s="1"/>
      <c r="M308" s="59">
        <f t="shared" si="99"/>
        <v>0</v>
      </c>
      <c r="N308" s="1"/>
      <c r="O308" s="1"/>
      <c r="P308" s="1"/>
      <c r="Q308" s="59">
        <f t="shared" si="100"/>
        <v>0</v>
      </c>
      <c r="R308" s="59">
        <f t="shared" si="101"/>
        <v>0</v>
      </c>
    </row>
    <row r="309" spans="1:20" ht="15.75" customHeight="1" x14ac:dyDescent="0.3">
      <c r="A309" s="61" t="s">
        <v>284</v>
      </c>
      <c r="B309" s="1"/>
      <c r="C309" s="1"/>
      <c r="D309" s="1"/>
      <c r="E309" s="59">
        <f t="shared" si="97"/>
        <v>0</v>
      </c>
      <c r="F309" s="1"/>
      <c r="G309" s="1"/>
      <c r="H309" s="1"/>
      <c r="I309" s="59">
        <f t="shared" si="98"/>
        <v>0</v>
      </c>
      <c r="J309" s="1"/>
      <c r="K309" s="1"/>
      <c r="L309" s="1"/>
      <c r="M309" s="59">
        <f t="shared" si="99"/>
        <v>0</v>
      </c>
      <c r="N309" s="1"/>
      <c r="O309" s="1"/>
      <c r="P309" s="1"/>
      <c r="Q309" s="59">
        <f t="shared" si="100"/>
        <v>0</v>
      </c>
      <c r="R309" s="59">
        <f t="shared" si="101"/>
        <v>0</v>
      </c>
    </row>
    <row r="310" spans="1:20" ht="15.75" customHeight="1" x14ac:dyDescent="0.3">
      <c r="A310" s="61" t="s">
        <v>285</v>
      </c>
      <c r="B310" s="1"/>
      <c r="C310" s="1"/>
      <c r="D310" s="1"/>
      <c r="E310" s="59">
        <f t="shared" si="97"/>
        <v>0</v>
      </c>
      <c r="F310" s="1"/>
      <c r="G310" s="1"/>
      <c r="H310" s="1"/>
      <c r="I310" s="59">
        <f t="shared" si="98"/>
        <v>0</v>
      </c>
      <c r="J310" s="1"/>
      <c r="K310" s="1"/>
      <c r="L310" s="1"/>
      <c r="M310" s="59">
        <f t="shared" si="99"/>
        <v>0</v>
      </c>
      <c r="N310" s="1"/>
      <c r="O310" s="1"/>
      <c r="P310" s="1"/>
      <c r="Q310" s="59">
        <f t="shared" si="100"/>
        <v>0</v>
      </c>
      <c r="R310" s="59">
        <f t="shared" si="101"/>
        <v>0</v>
      </c>
    </row>
    <row r="311" spans="1:20" ht="15.75" customHeight="1" x14ac:dyDescent="0.3">
      <c r="A311" s="17" t="s">
        <v>66</v>
      </c>
      <c r="B311" s="1"/>
      <c r="C311" s="1"/>
      <c r="D311" s="1"/>
      <c r="E311" s="59" t="s">
        <v>7</v>
      </c>
      <c r="F311" s="1"/>
      <c r="G311" s="1"/>
      <c r="H311" s="1"/>
      <c r="I311" s="59" t="s">
        <v>7</v>
      </c>
      <c r="J311" s="1"/>
      <c r="K311" s="1"/>
      <c r="L311" s="1"/>
      <c r="M311" s="59" t="s">
        <v>7</v>
      </c>
      <c r="N311" s="1"/>
      <c r="O311" s="1"/>
      <c r="P311" s="1"/>
      <c r="Q311" s="59" t="s">
        <v>7</v>
      </c>
      <c r="R311" s="59" t="s">
        <v>7</v>
      </c>
    </row>
    <row r="312" spans="1:20" ht="15.75" customHeight="1" x14ac:dyDescent="0.3">
      <c r="A312" s="99" t="s">
        <v>286</v>
      </c>
      <c r="B312" s="1"/>
      <c r="C312" s="1"/>
      <c r="D312" s="1"/>
      <c r="E312" s="59">
        <f t="shared" ref="E312" si="102">SUM(B312:D312)</f>
        <v>0</v>
      </c>
      <c r="F312" s="1"/>
      <c r="G312" s="1"/>
      <c r="H312" s="1"/>
      <c r="I312" s="59">
        <f t="shared" ref="I312" si="103">SUM(F312:H312)</f>
        <v>0</v>
      </c>
      <c r="J312" s="1"/>
      <c r="K312" s="1"/>
      <c r="L312" s="1"/>
      <c r="M312" s="59">
        <f t="shared" ref="M312" si="104">SUM(J312:L312)</f>
        <v>0</v>
      </c>
      <c r="N312" s="1"/>
      <c r="O312" s="1"/>
      <c r="P312" s="1"/>
      <c r="Q312" s="59">
        <f t="shared" ref="Q312" si="105">SUM(N312:P312)</f>
        <v>0</v>
      </c>
      <c r="R312" s="59">
        <f t="shared" ref="R312" si="106">+E312+I312+M312+Q312</f>
        <v>0</v>
      </c>
    </row>
    <row r="313" spans="1:20" ht="15.75" customHeight="1" x14ac:dyDescent="0.3">
      <c r="A313" s="17" t="s">
        <v>67</v>
      </c>
      <c r="B313" s="1"/>
      <c r="C313" s="1"/>
      <c r="D313" s="1"/>
      <c r="E313" s="59" t="s">
        <v>7</v>
      </c>
      <c r="F313" s="1"/>
      <c r="G313" s="1"/>
      <c r="H313" s="1"/>
      <c r="I313" s="59" t="s">
        <v>7</v>
      </c>
      <c r="J313" s="1"/>
      <c r="K313" s="1"/>
      <c r="L313" s="1"/>
      <c r="M313" s="59" t="s">
        <v>7</v>
      </c>
      <c r="N313" s="1"/>
      <c r="O313" s="1"/>
      <c r="P313" s="1"/>
      <c r="Q313" s="59" t="s">
        <v>7</v>
      </c>
      <c r="R313" s="59" t="s">
        <v>7</v>
      </c>
    </row>
    <row r="314" spans="1:20" ht="15.75" customHeight="1" thickBot="1" x14ac:dyDescent="0.35">
      <c r="A314" s="74" t="s">
        <v>287</v>
      </c>
      <c r="B314" s="1"/>
      <c r="C314" s="1"/>
      <c r="D314" s="1"/>
      <c r="E314" s="59">
        <f t="shared" ref="E314" si="107">SUM(B314:D314)</f>
        <v>0</v>
      </c>
      <c r="F314" s="1"/>
      <c r="G314" s="1"/>
      <c r="H314" s="1"/>
      <c r="I314" s="59">
        <f t="shared" ref="I314:I323" si="108">SUM(F314:H314)</f>
        <v>0</v>
      </c>
      <c r="J314" s="1"/>
      <c r="K314" s="1"/>
      <c r="L314" s="1"/>
      <c r="M314" s="59">
        <f t="shared" ref="M314:M323" si="109">SUM(J314:L314)</f>
        <v>0</v>
      </c>
      <c r="N314" s="1"/>
      <c r="O314" s="1"/>
      <c r="P314" s="1"/>
      <c r="Q314" s="59">
        <f t="shared" ref="Q314:Q323" si="110">SUM(N314:P314)</f>
        <v>0</v>
      </c>
      <c r="R314" s="59">
        <f t="shared" ref="R314:R323" si="111">+E314+I314+M314+Q314</f>
        <v>0</v>
      </c>
      <c r="S314" s="4" t="s">
        <v>136</v>
      </c>
    </row>
    <row r="315" spans="1:20" ht="16.5" customHeight="1" thickBot="1" x14ac:dyDescent="0.35">
      <c r="A315" s="62" t="s">
        <v>68</v>
      </c>
      <c r="B315" s="63">
        <f>SUM(B311:B314)</f>
        <v>0</v>
      </c>
      <c r="C315" s="63">
        <f>SUM(C311:C314)</f>
        <v>0</v>
      </c>
      <c r="D315" s="63">
        <f>SUM(D311:D314)</f>
        <v>0</v>
      </c>
      <c r="E315" s="334">
        <f t="shared" ref="E315:E320" si="112">SUM(B315:D315)</f>
        <v>0</v>
      </c>
      <c r="F315" s="63">
        <f>SUM(F311:F314)</f>
        <v>0</v>
      </c>
      <c r="G315" s="63">
        <f>SUM(G311:G314)</f>
        <v>0</v>
      </c>
      <c r="H315" s="63">
        <f>SUM(H311:H314)</f>
        <v>0</v>
      </c>
      <c r="I315" s="334">
        <f t="shared" si="108"/>
        <v>0</v>
      </c>
      <c r="J315" s="63">
        <f>SUM(J311:J314)</f>
        <v>0</v>
      </c>
      <c r="K315" s="63">
        <f>SUM(K311:K314)</f>
        <v>0</v>
      </c>
      <c r="L315" s="63">
        <f>SUM(L311:L314)</f>
        <v>0</v>
      </c>
      <c r="M315" s="334">
        <f t="shared" si="109"/>
        <v>0</v>
      </c>
      <c r="N315" s="63">
        <f>SUM(N311:N314)</f>
        <v>0</v>
      </c>
      <c r="O315" s="63">
        <f>SUM(O311:O314)</f>
        <v>0</v>
      </c>
      <c r="P315" s="63">
        <f>SUM(P311:P314)</f>
        <v>0</v>
      </c>
      <c r="Q315" s="334">
        <f t="shared" si="110"/>
        <v>0</v>
      </c>
      <c r="R315" s="64">
        <f t="shared" si="111"/>
        <v>0</v>
      </c>
    </row>
    <row r="316" spans="1:20" ht="16.5" customHeight="1" thickBot="1" x14ac:dyDescent="0.35">
      <c r="A316" s="62" t="s">
        <v>69</v>
      </c>
      <c r="B316" s="100">
        <f>SUM(B298:B314)</f>
        <v>0</v>
      </c>
      <c r="C316" s="101">
        <f>SUM(C298:C314)</f>
        <v>0</v>
      </c>
      <c r="D316" s="101">
        <f>SUM(D298:D314)</f>
        <v>0</v>
      </c>
      <c r="E316" s="64">
        <f t="shared" si="112"/>
        <v>0</v>
      </c>
      <c r="F316" s="101">
        <f>SUM(F298:F314)</f>
        <v>0</v>
      </c>
      <c r="G316" s="101">
        <f>SUM(G298:G314)</f>
        <v>0</v>
      </c>
      <c r="H316" s="101">
        <f>SUM(H298:H314)</f>
        <v>0</v>
      </c>
      <c r="I316" s="64">
        <f t="shared" si="108"/>
        <v>0</v>
      </c>
      <c r="J316" s="101">
        <f>SUM(J298:J314)</f>
        <v>0</v>
      </c>
      <c r="K316" s="101">
        <f>SUM(K298:K314)</f>
        <v>0</v>
      </c>
      <c r="L316" s="101">
        <f>SUM(L298:L314)</f>
        <v>0</v>
      </c>
      <c r="M316" s="64">
        <f t="shared" si="109"/>
        <v>0</v>
      </c>
      <c r="N316" s="101">
        <f>SUM(N298:N314)</f>
        <v>0</v>
      </c>
      <c r="O316" s="101">
        <f>SUM(O298:O314)</f>
        <v>0</v>
      </c>
      <c r="P316" s="101">
        <f>SUM(P298:P314)</f>
        <v>0</v>
      </c>
      <c r="Q316" s="64">
        <f t="shared" si="110"/>
        <v>0</v>
      </c>
      <c r="R316" s="64">
        <f t="shared" si="111"/>
        <v>0</v>
      </c>
    </row>
    <row r="317" spans="1:20" ht="16.5" customHeight="1" thickBot="1" x14ac:dyDescent="0.35">
      <c r="A317" s="62" t="s">
        <v>70</v>
      </c>
      <c r="B317" s="107">
        <f>+B217+B224+B297+B316</f>
        <v>20773</v>
      </c>
      <c r="C317" s="63">
        <f>+C217+C224+C297+C316</f>
        <v>23165</v>
      </c>
      <c r="D317" s="63">
        <f>+D217+D224+D297+D316</f>
        <v>33846</v>
      </c>
      <c r="E317" s="88">
        <f t="shared" si="112"/>
        <v>77784</v>
      </c>
      <c r="F317" s="63">
        <f>+F217+F224+F297+F316</f>
        <v>39028</v>
      </c>
      <c r="G317" s="63">
        <f>+G217+G224+G297+G316</f>
        <v>43868</v>
      </c>
      <c r="H317" s="63">
        <f>+H217+H224+H297+H316</f>
        <v>45581</v>
      </c>
      <c r="I317" s="88">
        <f t="shared" si="108"/>
        <v>128477</v>
      </c>
      <c r="J317" s="63">
        <f>+J217+J224+J297+J316</f>
        <v>39107</v>
      </c>
      <c r="K317" s="63">
        <f>+K217+K224+K297+K316</f>
        <v>41526</v>
      </c>
      <c r="L317" s="63">
        <f>+L217+L224+L297+L316</f>
        <v>35474</v>
      </c>
      <c r="M317" s="88">
        <f t="shared" si="109"/>
        <v>116107</v>
      </c>
      <c r="N317" s="63">
        <f>+N217+N224+N297+N316</f>
        <v>30727</v>
      </c>
      <c r="O317" s="63">
        <f>+O217+O224+O297+O316</f>
        <v>26731</v>
      </c>
      <c r="P317" s="63">
        <f>+P217+P224+P297+P316</f>
        <v>26594</v>
      </c>
      <c r="Q317" s="88">
        <f t="shared" si="110"/>
        <v>84052</v>
      </c>
      <c r="R317" s="88">
        <f t="shared" si="111"/>
        <v>406420</v>
      </c>
    </row>
    <row r="318" spans="1:20" ht="15.75" customHeight="1" x14ac:dyDescent="0.3">
      <c r="A318" s="102" t="s">
        <v>288</v>
      </c>
      <c r="B318" s="1"/>
      <c r="C318" s="1">
        <v>1500</v>
      </c>
      <c r="D318" s="1">
        <v>3973</v>
      </c>
      <c r="E318" s="59">
        <f t="shared" si="112"/>
        <v>5473</v>
      </c>
      <c r="F318" s="1">
        <v>2121</v>
      </c>
      <c r="G318" s="1">
        <v>2837</v>
      </c>
      <c r="H318" s="1">
        <v>3311</v>
      </c>
      <c r="I318" s="59">
        <f t="shared" si="108"/>
        <v>8269</v>
      </c>
      <c r="J318" s="1">
        <v>1027</v>
      </c>
      <c r="K318" s="1">
        <v>1135</v>
      </c>
      <c r="L318" s="1">
        <v>2874</v>
      </c>
      <c r="M318" s="59">
        <f t="shared" si="109"/>
        <v>5036</v>
      </c>
      <c r="N318" s="1">
        <v>3089</v>
      </c>
      <c r="O318" s="1">
        <v>4475</v>
      </c>
      <c r="P318" s="1">
        <v>2020</v>
      </c>
      <c r="Q318" s="59">
        <f t="shared" si="110"/>
        <v>9584</v>
      </c>
      <c r="R318" s="59">
        <f t="shared" si="111"/>
        <v>28362</v>
      </c>
      <c r="S318" s="50"/>
      <c r="T318" s="4" t="s">
        <v>121</v>
      </c>
    </row>
    <row r="319" spans="1:20" ht="15.75" customHeight="1" x14ac:dyDescent="0.3">
      <c r="A319" s="108" t="s">
        <v>289</v>
      </c>
      <c r="B319" s="1">
        <v>-2</v>
      </c>
      <c r="C319" s="1"/>
      <c r="D319" s="1">
        <v>3015</v>
      </c>
      <c r="E319" s="59">
        <f t="shared" si="112"/>
        <v>3013</v>
      </c>
      <c r="F319" s="1">
        <v>4981</v>
      </c>
      <c r="G319" s="1">
        <v>4060</v>
      </c>
      <c r="H319" s="1">
        <v>-8114</v>
      </c>
      <c r="I319" s="59">
        <f t="shared" si="108"/>
        <v>927</v>
      </c>
      <c r="J319" s="1">
        <v>-6021</v>
      </c>
      <c r="K319" s="1">
        <v>2362</v>
      </c>
      <c r="L319" s="1">
        <v>1</v>
      </c>
      <c r="M319" s="59">
        <f t="shared" si="109"/>
        <v>-3658</v>
      </c>
      <c r="N319" s="1">
        <v>-161</v>
      </c>
      <c r="O319" s="1">
        <v>-4569</v>
      </c>
      <c r="P319" s="1">
        <v>-6162</v>
      </c>
      <c r="Q319" s="59">
        <f t="shared" si="110"/>
        <v>-10892</v>
      </c>
      <c r="R319" s="59">
        <f t="shared" si="111"/>
        <v>-10610</v>
      </c>
    </row>
    <row r="320" spans="1:20" ht="15.75" customHeight="1" x14ac:dyDescent="0.3">
      <c r="A320" s="74" t="s">
        <v>290</v>
      </c>
      <c r="B320" s="1"/>
      <c r="C320" s="1"/>
      <c r="D320" s="1"/>
      <c r="E320" s="59">
        <f t="shared" si="112"/>
        <v>0</v>
      </c>
      <c r="F320" s="1"/>
      <c r="G320" s="1"/>
      <c r="H320" s="1"/>
      <c r="I320" s="59">
        <f t="shared" si="108"/>
        <v>0</v>
      </c>
      <c r="J320" s="1"/>
      <c r="K320" s="1"/>
      <c r="L320" s="1"/>
      <c r="M320" s="59">
        <f t="shared" si="109"/>
        <v>0</v>
      </c>
      <c r="N320" s="1"/>
      <c r="O320" s="1"/>
      <c r="P320" s="1"/>
      <c r="Q320" s="59">
        <f t="shared" si="110"/>
        <v>0</v>
      </c>
      <c r="R320" s="59">
        <f t="shared" si="111"/>
        <v>0</v>
      </c>
    </row>
    <row r="321" spans="1:18" ht="15.75" customHeight="1" x14ac:dyDescent="0.3">
      <c r="A321" s="108" t="s">
        <v>291</v>
      </c>
      <c r="B321" s="1">
        <v>47</v>
      </c>
      <c r="C321" s="1">
        <v>81</v>
      </c>
      <c r="D321" s="1">
        <v>34</v>
      </c>
      <c r="E321" s="59">
        <f>SUM(B321:D321)</f>
        <v>162</v>
      </c>
      <c r="F321" s="1">
        <v>81</v>
      </c>
      <c r="G321" s="1">
        <v>42</v>
      </c>
      <c r="H321" s="1">
        <v>118</v>
      </c>
      <c r="I321" s="59">
        <f>SUM(F321:H321)</f>
        <v>241</v>
      </c>
      <c r="J321" s="1">
        <v>104</v>
      </c>
      <c r="K321" s="1">
        <v>96</v>
      </c>
      <c r="L321" s="1">
        <v>52</v>
      </c>
      <c r="M321" s="59">
        <f>SUM(J321:L321)</f>
        <v>252</v>
      </c>
      <c r="N321" s="1">
        <v>38</v>
      </c>
      <c r="O321" s="1">
        <v>38</v>
      </c>
      <c r="P321" s="1"/>
      <c r="Q321" s="59">
        <f>SUM(N321:P321)</f>
        <v>76</v>
      </c>
      <c r="R321" s="59">
        <f t="shared" si="111"/>
        <v>731</v>
      </c>
    </row>
    <row r="322" spans="1:18" ht="15.75" customHeight="1" x14ac:dyDescent="0.3">
      <c r="A322" s="91" t="s">
        <v>292</v>
      </c>
      <c r="B322" s="1">
        <v>71569</v>
      </c>
      <c r="C322" s="1">
        <v>35134</v>
      </c>
      <c r="D322" s="1">
        <v>33356</v>
      </c>
      <c r="E322" s="59">
        <f t="shared" ref="E322" si="113">SUM(B322:D322)</f>
        <v>140059</v>
      </c>
      <c r="F322" s="1">
        <v>2171</v>
      </c>
      <c r="G322" s="1">
        <v>262</v>
      </c>
      <c r="H322" s="1"/>
      <c r="I322" s="59">
        <f t="shared" ref="I322" si="114">SUM(F322:H322)</f>
        <v>2433</v>
      </c>
      <c r="J322" s="1">
        <v>998</v>
      </c>
      <c r="K322" s="1"/>
      <c r="L322" s="1">
        <v>608</v>
      </c>
      <c r="M322" s="59">
        <f t="shared" ref="M322" si="115">SUM(J322:L322)</f>
        <v>1606</v>
      </c>
      <c r="N322" s="1">
        <v>53433</v>
      </c>
      <c r="O322" s="1">
        <v>66963</v>
      </c>
      <c r="P322" s="1">
        <v>17046</v>
      </c>
      <c r="Q322" s="59">
        <f t="shared" si="110"/>
        <v>137442</v>
      </c>
      <c r="R322" s="59">
        <f t="shared" si="111"/>
        <v>281540</v>
      </c>
    </row>
    <row r="323" spans="1:18" ht="16.5" customHeight="1" thickBot="1" x14ac:dyDescent="0.35">
      <c r="A323" s="40" t="s">
        <v>37</v>
      </c>
      <c r="B323" s="25">
        <v>104</v>
      </c>
      <c r="C323" s="25">
        <v>268</v>
      </c>
      <c r="D323" s="25">
        <v>474</v>
      </c>
      <c r="E323" s="59">
        <f>SUM(B323:D323)</f>
        <v>846</v>
      </c>
      <c r="F323" s="25">
        <v>647</v>
      </c>
      <c r="G323" s="25">
        <v>742</v>
      </c>
      <c r="H323" s="25">
        <v>781</v>
      </c>
      <c r="I323" s="59">
        <f t="shared" si="108"/>
        <v>2170</v>
      </c>
      <c r="J323" s="25">
        <v>774</v>
      </c>
      <c r="K323" s="25">
        <v>596</v>
      </c>
      <c r="L323" s="25">
        <v>546</v>
      </c>
      <c r="M323" s="59">
        <f t="shared" si="109"/>
        <v>1916</v>
      </c>
      <c r="N323" s="25">
        <v>517</v>
      </c>
      <c r="O323" s="25">
        <v>413</v>
      </c>
      <c r="P323" s="25">
        <v>302</v>
      </c>
      <c r="Q323" s="59">
        <f t="shared" si="110"/>
        <v>1232</v>
      </c>
      <c r="R323" s="59">
        <f t="shared" si="111"/>
        <v>6164</v>
      </c>
    </row>
    <row r="324" spans="1:18" ht="16.5" customHeight="1" thickBot="1" x14ac:dyDescent="0.35">
      <c r="A324" s="80"/>
      <c r="B324" s="81"/>
      <c r="C324" s="81"/>
      <c r="D324" s="81"/>
      <c r="E324" s="334"/>
      <c r="F324" s="81"/>
      <c r="G324" s="81"/>
      <c r="H324" s="81"/>
      <c r="I324" s="64"/>
      <c r="J324" s="81"/>
      <c r="K324" s="81"/>
      <c r="L324" s="81"/>
      <c r="M324" s="64"/>
      <c r="N324" s="81"/>
      <c r="O324" s="81"/>
      <c r="P324" s="81"/>
      <c r="Q324" s="64"/>
      <c r="R324" s="64" t="s">
        <v>7</v>
      </c>
    </row>
    <row r="325" spans="1:18" ht="15.75" customHeight="1" x14ac:dyDescent="0.3">
      <c r="A325" s="335" t="s">
        <v>38</v>
      </c>
      <c r="B325" s="336">
        <f>SUM(B317:B323)</f>
        <v>92491</v>
      </c>
      <c r="C325" s="336">
        <f>SUM(C317:C323)</f>
        <v>60148</v>
      </c>
      <c r="D325" s="336">
        <f>SUM(D317:D323)</f>
        <v>74698</v>
      </c>
      <c r="E325" s="334">
        <f>SUM(B325:D325)</f>
        <v>227337</v>
      </c>
      <c r="F325" s="336">
        <f>SUM(F317:F323)</f>
        <v>49029</v>
      </c>
      <c r="G325" s="336">
        <f>SUM(G317:G323)</f>
        <v>51811</v>
      </c>
      <c r="H325" s="336">
        <f>SUM(H317:H323)</f>
        <v>41677</v>
      </c>
      <c r="I325" s="334">
        <f>SUM(F325:H325)</f>
        <v>142517</v>
      </c>
      <c r="J325" s="336">
        <f>SUM(J317:J323)</f>
        <v>35989</v>
      </c>
      <c r="K325" s="336">
        <f>SUM(K317:K323)</f>
        <v>45715</v>
      </c>
      <c r="L325" s="336">
        <f>SUM(L317:L323)</f>
        <v>39555</v>
      </c>
      <c r="M325" s="334">
        <f>SUM(J325:L325)</f>
        <v>121259</v>
      </c>
      <c r="N325" s="336">
        <f>SUM(N317:N323)</f>
        <v>87643</v>
      </c>
      <c r="O325" s="336">
        <f>SUM(O317:O323)</f>
        <v>94051</v>
      </c>
      <c r="P325" s="336">
        <f>SUM(P317:P323)</f>
        <v>39800</v>
      </c>
      <c r="Q325" s="337">
        <f>SUM(N325:P325)</f>
        <v>221494</v>
      </c>
      <c r="R325" s="334">
        <f>+E325+I325+M325+Q325</f>
        <v>712607</v>
      </c>
    </row>
    <row r="326" spans="1:18" ht="15.75" customHeight="1" x14ac:dyDescent="0.3">
      <c r="A326" s="85" t="s">
        <v>39</v>
      </c>
      <c r="B326" s="1">
        <f>(B325/B10)/1.983</f>
        <v>1504.5792461731166</v>
      </c>
      <c r="C326" s="1">
        <f>(C325/C10)/1.983</f>
        <v>1083.2793026439017</v>
      </c>
      <c r="D326" s="1">
        <f>(D325/D10)/1.983</f>
        <v>1215.1350999625852</v>
      </c>
      <c r="E326" s="59" t="s">
        <v>7</v>
      </c>
      <c r="F326" s="1">
        <f>(F325/F10)/1.983</f>
        <v>824.15532022188597</v>
      </c>
      <c r="G326" s="1">
        <f>(G325/G10)/1.983</f>
        <v>842.825305418639</v>
      </c>
      <c r="H326" s="1">
        <f>(H325/H10)/1.983</f>
        <v>700.57152462598754</v>
      </c>
      <c r="I326" s="59" t="s">
        <v>7</v>
      </c>
      <c r="J326" s="1">
        <f>(J325/J10)/1.983</f>
        <v>585.4440160720967</v>
      </c>
      <c r="K326" s="1">
        <f>(K325/K10)/1.983</f>
        <v>743.65981813153746</v>
      </c>
      <c r="L326" s="1">
        <f>(L325/L10)/1.983</f>
        <v>664.90166414523446</v>
      </c>
      <c r="M326" s="59" t="s">
        <v>7</v>
      </c>
      <c r="N326" s="1">
        <f>(N325/N10)/1.983</f>
        <v>1425.7153547085711</v>
      </c>
      <c r="O326" s="1">
        <f>(O325/O10)/1.983</f>
        <v>1580.9547823163557</v>
      </c>
      <c r="P326" s="1">
        <f>(P325/P10)/1.983</f>
        <v>647.43871293088011</v>
      </c>
      <c r="Q326" s="110" t="s">
        <v>7</v>
      </c>
      <c r="R326" s="59" t="s">
        <v>7</v>
      </c>
    </row>
    <row r="327" spans="1:18" ht="15.75" customHeight="1" x14ac:dyDescent="0.3">
      <c r="A327" s="85" t="s">
        <v>293</v>
      </c>
      <c r="B327" s="1">
        <f>(+B325+B522)+B335</f>
        <v>120329</v>
      </c>
      <c r="C327" s="1">
        <f>(+C325+C522)+C335</f>
        <v>109221</v>
      </c>
      <c r="D327" s="1">
        <f>(+D325+D522)+D335</f>
        <v>144887</v>
      </c>
      <c r="E327" s="59">
        <f>SUM(B327:D327)</f>
        <v>374437</v>
      </c>
      <c r="F327" s="1">
        <f>(+F325+F522)+F335</f>
        <v>157174</v>
      </c>
      <c r="G327" s="1">
        <f>(+G325+G522)+G335</f>
        <v>160145</v>
      </c>
      <c r="H327" s="1">
        <f>(+H325+H522)+H335</f>
        <v>82546</v>
      </c>
      <c r="I327" s="59">
        <f>SUM(F327:H327)</f>
        <v>399865</v>
      </c>
      <c r="J327" s="1">
        <f>(+J325+J522)+J335</f>
        <v>49537</v>
      </c>
      <c r="K327" s="1">
        <f>(+K325+K522)+K335</f>
        <v>43807</v>
      </c>
      <c r="L327" s="1">
        <f>(+L325+L522)+L335</f>
        <v>102743</v>
      </c>
      <c r="M327" s="59">
        <f>SUM(J327:L327)</f>
        <v>196087</v>
      </c>
      <c r="N327" s="1">
        <f>(+N325+N522)+N335</f>
        <v>135457</v>
      </c>
      <c r="O327" s="1">
        <f>(+O325+O522)+O335</f>
        <v>120637</v>
      </c>
      <c r="P327" s="1">
        <f>(+P325+P522)+P335</f>
        <v>82904</v>
      </c>
      <c r="Q327" s="110">
        <f>SUM(N327:P327)</f>
        <v>338998</v>
      </c>
      <c r="R327" s="59">
        <f>+E327+I327+M327+Q327</f>
        <v>1309387</v>
      </c>
    </row>
    <row r="328" spans="1:18" ht="16.5" customHeight="1" thickBot="1" x14ac:dyDescent="0.35">
      <c r="A328" s="86" t="s">
        <v>294</v>
      </c>
      <c r="B328" s="87">
        <f>(B327/B10)/1.983</f>
        <v>1957.4284645291427</v>
      </c>
      <c r="C328" s="87">
        <f>(C327/C10)/1.983</f>
        <v>1967.0953101361572</v>
      </c>
      <c r="D328" s="87">
        <f>(D327/D10)/1.983</f>
        <v>2356.920924633579</v>
      </c>
      <c r="E328" s="88" t="s">
        <v>7</v>
      </c>
      <c r="F328" s="87">
        <f>(F327/F10)/1.983</f>
        <v>2642.0238695579087</v>
      </c>
      <c r="G328" s="87">
        <f>(G327/G10)/1.983</f>
        <v>2605.1274543295431</v>
      </c>
      <c r="H328" s="87">
        <f>(H327/H10)/1.983</f>
        <v>1387.5609346108588</v>
      </c>
      <c r="I328" s="88" t="s">
        <v>7</v>
      </c>
      <c r="J328" s="87">
        <f>(J327/J10)/1.983</f>
        <v>805.83345533811587</v>
      </c>
      <c r="K328" s="87">
        <f>(K327/K10)/1.983</f>
        <v>712.6218014412832</v>
      </c>
      <c r="L328" s="87">
        <f>(L327/L10)/1.983</f>
        <v>1727.0633719952934</v>
      </c>
      <c r="M328" s="88" t="s">
        <v>7</v>
      </c>
      <c r="N328" s="87">
        <f>(N327/N10)/1.983</f>
        <v>2203.5202446602575</v>
      </c>
      <c r="O328" s="87">
        <f>(O327/O10)/1.983</f>
        <v>2027.8534207429818</v>
      </c>
      <c r="P328" s="87">
        <f>(P327/P10)/1.983</f>
        <v>1348.6245994176306</v>
      </c>
      <c r="Q328" s="111" t="s">
        <v>7</v>
      </c>
      <c r="R328" s="88" t="s">
        <v>7</v>
      </c>
    </row>
    <row r="329" spans="1:18" ht="16.5" customHeight="1" thickBot="1" x14ac:dyDescent="0.35">
      <c r="A329" s="112" t="s">
        <v>295</v>
      </c>
      <c r="B329" s="113">
        <f>+(B327-(B145+B146+B147+B148+B149+B152+B154+B155+B158+B159+B160+B163+B165+B168++B174+B175+B178+B179+B181+B182+B183+B184+B185+B192+B195+B196+B197+B208+B211+B213+B214+B221+B228+B229+B231+B232+B233+B239+B247+B249+B250+B252+B253+B255+B256+B257+B266+B274+B275+B278+B288+B300+B301+B303+B304+B307+B308+B312+B318+B322+B331)-B335)/(B10*1.983)</f>
        <v>726.88822735184544</v>
      </c>
      <c r="C329" s="113">
        <f>+(C327-(C145+C146+C147+C148+C149+C152+C154+C155+C158+C159+C160+C163+C165+C168++C174+C175+C178+C179+C181+C182+C183+C184+C185+C192+C195+C196+C197+C208+C211+C213+C214+C221+C228+C229+C231+C232+C233+C239+C247+C249+C250+C252+C253+C255+C256+C257+C266+C274+C275+C278+C288+C300+C301+C303+C304+C307+C308+C312+C318+C322+C331)-C335)/(C10*1.983)</f>
        <v>1204.0739139831423</v>
      </c>
      <c r="D329" s="113">
        <f>+(D327-(D145+D146+D147+D148+D149+D152+D154+D155+D158+D159+D160+D163+D165+D168++D174+D175+D178+D179+D181+D182+D183+D184+D185+D192+D195+D196+D197+D208+D211+D213+D214+D221+D228+D229+D231+D232+D233+D239+D247+D249+D250+D252+D253+D255+D256+D257+D266+D274+D275+D278+D288+D300+D301+D303+D304+D307+D308+D312+D318+D322+D331)-D335)/(D10*1.983)</f>
        <v>1602.3457452865484</v>
      </c>
      <c r="E329" s="114"/>
      <c r="F329" s="113">
        <f>+(F327-(F145+F146+F147+F148+F149+F152+F154+F155+F158+F159+F160+F163+F165+F168++F174+F175+F178+F179+F181+F182+F183+F184+F185+F192+F195+F196+F197+F208+F211+F213+F214+F221+F228+F229+F231+F232+F233+F239+F247+F249+F250+F252+F253+F255+F256+F257+F266+F274+F275+F278+F288+F300+F301+F303+F304+F307+F308+F312+F318+F322+F331)-F335)/(F10*1.983)</f>
        <v>2396.2346612876113</v>
      </c>
      <c r="G329" s="113">
        <f>+(G327-(G145+G146+G147+G148+G149+G152+G154+G155+G158+G159+G160+G163+G165+G168++G174+G175+G178+G179+G181+G182+G183+G184+G185+G192+G195+G196+G197+G208+G211+G213+G214+G221+G228+G229+G231+G232+G233+G239+G247+G249+G250+G252+G253+G255+G256+G257+G266+G274+G275+G278+G288+G300+G301+G303+G304+G307+G308+G312+G318+G322+G331)-G335)/(G10*1.983)</f>
        <v>2578.5466790298178</v>
      </c>
      <c r="H329" s="113">
        <f>+(H327-(H145+H146+H147+H148+H149+H152+H154+H155+H158+H159+H160+H163+H165+H168++H174+H175+H178+H179+H181+H182+H183+H184+H185+H192+H195+H196+H197+H208+H211+H213+H214+H221+H228+H229+H231+H232+H233+H239+H247+H249+H250+H252+H253+H255+H256+H257+H266+H274+H275+H278+H288+H300+H301+H303+H304+H307+H308+H312+H318+H322+H331)-H335)/(H10*1.983)</f>
        <v>2863.7081862497898</v>
      </c>
      <c r="I329" s="114"/>
      <c r="J329" s="113">
        <f>+(J327-(J145+J146+J147+J148+J149+J152+J154+J155+J158+J159+J160+J163+J165+J168++J174+J175+J178+J179+J181+J182+J183+J184+J185+J192+J195+J196+J197+J208+J211+J213+J214+J221+J228+J229+J231+J232+J233+J239+J247+J249+J250+J252+J253+J255+J256+J257+J266+J274+J275+J278+J288+J300+J301+J303+J304+J307+J308+J312+J318+J322+J331)-J335)/(J10*1.983)</f>
        <v>1917.6386381012801</v>
      </c>
      <c r="K329" s="113">
        <f>+(K327-(K145+K146+K147+K148+K149+K152+K154+K155+K158+K159+K160+K163+K165+K168++K174+K175+K178+K179+K181+K182+K183+K184+K185+K192+K195+K196+K197+K208+K211+K213+K214+K221+K228+K229+K231+K232+K233+K239+K247+K249+K250+K252+K253+K255+K256+K257+K266+K274+K275+K278+K288+K300+K301+K303+K304+K307+K308+K312+K318+K322+K331)-K335)/(K10*1.983)</f>
        <v>1778.3905129081058</v>
      </c>
      <c r="L329" s="113">
        <f>+(L327-(L145+L146+L147+L148+L149+L152+L154+L155+L158+L159+L160+L163+L165+L168++L174+L175+L178+L179+L181+L182+L183+L184+L185+L192+L195+L196+L197+L208+L211+L213+L214+L221+L228+L229+L231+L232+L233+L239+L247+L249+L250+L252+L253+L255+L256+L257+L266+L274+L275+L278+L288+L300+L301+L303+L304+L307+L308+L312+L318+L322+L331)-L335)/(L10*1.983)</f>
        <v>1651.8742645822826</v>
      </c>
      <c r="M329" s="114"/>
      <c r="N329" s="113">
        <f>+(N327-(N145+N146+N147+N148+N149+N152+N154+N155+N158+N159+N160+N163+N165+N168++N174+N175+N178+N179+N181+N182+N183+N184+N185+N192+N195+N196+N197+N208+N211+N213+N214+N221+N228+N229+N231+N232+N233+N239+N247+N249+N250+N252+N253+N255+N256+N257+N266+N274+N275+N278+N288+N300+N301+N303+N304+N307+N308+N312+N318+N322+N331)-N335)/(N10*1.983)</f>
        <v>1079.2217721601353</v>
      </c>
      <c r="O329" s="113">
        <f>+(O327-(O145+O146+O147+O148+O149+O152+O154+O155+O158+O159+O160+O163+O165+O168++O174+O175+O178+O179+O181+O182+O183+O184+O185+O192+O195+O196+O197+O208+O211+O213+O214+O221+O228+O229+O231+O232+O233+O239+O247+O249+O250+O252+O253+O255+O256+O257+O266+O274+O275+O278+O288+O300+O301+O303+O304+O307+O308+O312+O318+O322+O331)-O335)/(O10*1.983)</f>
        <v>715.90183224071268</v>
      </c>
      <c r="P329" s="113">
        <f>+(P327-(P145+P146+P147+P148+P149+P152+P154+P155+P158+P159+P160+P163+P165+P168++P174+P175+P178+P179+P181+P182+P183+P184+P185+P192+P195+P196+P197+P208+P211+P213+P214+P221+P228+P229+P231+P232+P233+P239+P247+P249+P250+P252+P253+P255+P256+P257+P266+P274+P275+P278+P288+P300+P301+P303+P304+P307+P308+P312+P318+P322+P331)-P335)/(P10*1.983)</f>
        <v>938.23304540204629</v>
      </c>
      <c r="Q329" s="115"/>
      <c r="R329" s="114"/>
    </row>
    <row r="330" spans="1:18" ht="16.5" customHeight="1" x14ac:dyDescent="0.3">
      <c r="A330" s="142" t="s">
        <v>1009</v>
      </c>
      <c r="B330" s="376">
        <f>(B327-(B145+B146+B147+B148+B149+B152+B154+B155+B158+B159+B160+B163+B165+B168++B174+B175+B178+B179+B181+B182+B183+B184+B185+B192+B195+B196+B197+B208+B211+B213+B214+B221+B228+B229+B231+B232+B233+B239+B247+B249+B250+B252+B253+B255+B256+B257+B266+B274+B275+B278+B288+B300+B301+B303+B304+B307+B308+B312+B318+B322+B331)-B335)</f>
        <v>44684</v>
      </c>
      <c r="C330" s="376">
        <f t="shared" ref="C330:D330" si="116">(C327-(C145+C146+C147+C148+C149+C152+C154+C155+C158+C159+C160+C163+C165+C168++C174+C175+C178+C179+C181+C182+C183+C184+C185+C192+C195+C196+C197+C208+C211+C213+C214+C221+C228+C229+C231+C232+C233+C239+C247+C249+C250+C252+C253+C255+C256+C257+C266+C274+C275+C278+C288+C300+C301+C303+C304+C307+C308+C312+C318+C322+C331)-C335)</f>
        <v>66855</v>
      </c>
      <c r="D330" s="376">
        <f t="shared" si="116"/>
        <v>98501</v>
      </c>
      <c r="E330" s="377"/>
      <c r="F330" s="376">
        <f>(F327-(F145+F146+F147+F148+F149+F152+F154+F155+F158+F159+F160+F163+F165+F168++F174+F175+F178+F179+F181+F182+F183+F184+F185+F192+F195+F196+F197+F208+F211+F213+F214+F221+F228+F229+F231+F232+F233+F239+F247+F249+F250+F252+F253+F255+F256+F257+F266+F274+F275+F278+F288+F300+F301+F303+F304+F307+F308+F312+F318+F322+F331)-F335)</f>
        <v>142552</v>
      </c>
      <c r="G330" s="376">
        <f t="shared" ref="G330:H330" si="117">(G327-(G145+G146+G147+G148+G149+G152+G154+G155+G158+G159+G160+G163+G165+G168++G174+G175+G178+G179+G181+G182+G183+G184+G185+G192+G195+G196+G197+G208+G211+G213+G214+G221+G228+G229+G231+G232+G233+G239+G247+G249+G250+G252+G253+G255+G256+G257+G266+G274+G275+G278+G288+G300+G301+G303+G304+G307+G308+G312+G318+G322+G331)-G335)</f>
        <v>158511</v>
      </c>
      <c r="H330" s="376">
        <f t="shared" si="117"/>
        <v>170362</v>
      </c>
      <c r="I330" s="377"/>
      <c r="J330" s="376">
        <f>(J327-(J145+J146+J147+J148+J149+J152+J154+J155+J158+J159+J160+J163+J165+J168++J174+J175+J178+J179+J181+J182+J183+J184+J185+J192+J195+J196+J197+J208+J211+J213+J214+J221+J228+J229+J231+J232+J233+J239+J247+J249+J250+J252+J253+J255+J256+J257+J266+J274+J275+J278+J288+J300+J301+J303+J304+J307+J308+J312+J318+J322+J331)-J335)</f>
        <v>117883</v>
      </c>
      <c r="K330" s="376">
        <f t="shared" ref="K330:L330" si="118">(K327-(K145+K146+K147+K148+K149+K152+K154+K155+K158+K159+K160+K163+K165+K168++K174+K175+K178+K179+K181+K182+K183+K184+K185+K192+K195+K196+K197+K208+K211+K213+K214+K221+K228+K229+K231+K232+K233+K239+K247+K249+K250+K252+K253+K255+K256+K257+K266+K274+K275+K278+K288+K300+K301+K303+K304+K307+K308+K312+K318+K322+K331)-K335)</f>
        <v>109323</v>
      </c>
      <c r="L330" s="376">
        <f t="shared" si="118"/>
        <v>98270</v>
      </c>
      <c r="M330" s="377"/>
      <c r="N330" s="376">
        <f>(N327-(N145+N146+N147+N148+N149+N152+N154+N155+N158+N159+N160+N163+N165+N168++N174+N175+N178+N179+N181+N182+N183+N184+N185+N192+N195+N196+N197+N208+N211+N213+N214+N221+N228+N229+N231+N232+N233+N239+N247+N249+N250+N252+N253+N255+N256+N257+N266+N274+N275+N278+N288+N300+N301+N303+N304+N307+N308+N312+N318+N322+N331)-N335)</f>
        <v>66343</v>
      </c>
      <c r="O330" s="376">
        <f t="shared" ref="O330:P330" si="119">(O327-(O145+O146+O147+O148+O149+O152+O154+O155+O158+O159+O160+O163+O165+O168++O174+O175+O178+O179+O181+O182+O183+O184+O185+O192+O195+O196+O197+O208+O211+O213+O214+O221+O228+O229+O231+O232+O233+O239+O247+O249+O250+O252+O253+O255+O256+O257+O266+O274+O275+O278+O288+O300+O301+O303+O304+O307+O308+O312+O318+O322+O331)-O335)</f>
        <v>42589</v>
      </c>
      <c r="P330" s="376">
        <f t="shared" si="119"/>
        <v>57676</v>
      </c>
      <c r="Q330" s="377"/>
      <c r="R330" s="377"/>
    </row>
    <row r="331" spans="1:18" ht="15.75" customHeight="1" x14ac:dyDescent="0.3">
      <c r="A331" s="116" t="s">
        <v>296</v>
      </c>
      <c r="B331" s="1">
        <v>2546</v>
      </c>
      <c r="C331" s="1">
        <v>2287</v>
      </c>
      <c r="D331" s="1">
        <v>1740</v>
      </c>
      <c r="E331" s="28">
        <f>SUM(B331:D331)</f>
        <v>6573</v>
      </c>
      <c r="F331" s="1">
        <v>721</v>
      </c>
      <c r="G331" s="1">
        <v>2677</v>
      </c>
      <c r="H331" s="1">
        <v>2520</v>
      </c>
      <c r="I331" s="28">
        <f>SUM(F331:H331)</f>
        <v>5918</v>
      </c>
      <c r="J331" s="1">
        <v>2560</v>
      </c>
      <c r="K331" s="1">
        <v>2499</v>
      </c>
      <c r="L331" s="1">
        <v>2420</v>
      </c>
      <c r="M331" s="28">
        <f t="shared" ref="M331" si="120">SUM(J331:L331)</f>
        <v>7479</v>
      </c>
      <c r="N331" s="1">
        <v>2907</v>
      </c>
      <c r="O331" s="1">
        <v>2587</v>
      </c>
      <c r="P331" s="1">
        <v>2596</v>
      </c>
      <c r="Q331" s="28">
        <f t="shared" ref="Q331" si="121">SUM(N331:P331)</f>
        <v>8090</v>
      </c>
      <c r="R331" s="28">
        <f t="shared" ref="R331" si="122">+E331+I331+M331+Q331</f>
        <v>28060</v>
      </c>
    </row>
    <row r="332" spans="1:18" ht="15.75" customHeight="1" thickBot="1" x14ac:dyDescent="0.35">
      <c r="A332" s="30"/>
      <c r="B332" s="1"/>
      <c r="C332" s="1"/>
      <c r="D332" s="1"/>
      <c r="E332" s="1"/>
      <c r="F332" s="1"/>
      <c r="G332" s="1"/>
      <c r="H332" s="1"/>
      <c r="I332" s="1"/>
      <c r="J332" s="1"/>
      <c r="K332" s="1"/>
      <c r="L332" s="1"/>
      <c r="M332" s="1"/>
      <c r="N332" s="1"/>
      <c r="O332" s="1"/>
      <c r="P332" s="1"/>
      <c r="Q332" s="1"/>
      <c r="R332" s="28"/>
    </row>
    <row r="333" spans="1:18" ht="16.5" customHeight="1" thickBot="1" x14ac:dyDescent="0.35">
      <c r="A333" s="31" t="s">
        <v>297</v>
      </c>
      <c r="B333" s="323" t="s">
        <v>36</v>
      </c>
      <c r="C333" s="324" t="s">
        <v>9</v>
      </c>
      <c r="D333" s="324" t="s">
        <v>10</v>
      </c>
      <c r="E333" s="325" t="s">
        <v>11</v>
      </c>
      <c r="F333" s="324" t="s">
        <v>12</v>
      </c>
      <c r="G333" s="324" t="s">
        <v>13</v>
      </c>
      <c r="H333" s="324" t="s">
        <v>14</v>
      </c>
      <c r="I333" s="34" t="s">
        <v>15</v>
      </c>
      <c r="J333" s="324" t="s">
        <v>16</v>
      </c>
      <c r="K333" s="324" t="s">
        <v>17</v>
      </c>
      <c r="L333" s="324" t="s">
        <v>18</v>
      </c>
      <c r="M333" s="34" t="s">
        <v>19</v>
      </c>
      <c r="N333" s="324" t="s">
        <v>20</v>
      </c>
      <c r="O333" s="324" t="s">
        <v>21</v>
      </c>
      <c r="P333" s="324" t="s">
        <v>22</v>
      </c>
      <c r="Q333" s="34" t="s">
        <v>23</v>
      </c>
      <c r="R333" s="326" t="s">
        <v>24</v>
      </c>
    </row>
    <row r="334" spans="1:18" ht="16.5" customHeight="1" thickBot="1" x14ac:dyDescent="0.35">
      <c r="A334" s="80"/>
      <c r="B334" s="81"/>
      <c r="C334" s="81"/>
      <c r="D334" s="81"/>
      <c r="E334" s="89"/>
      <c r="F334" s="81"/>
      <c r="G334" s="81"/>
      <c r="H334" s="81"/>
      <c r="I334" s="89"/>
      <c r="J334" s="81"/>
      <c r="K334" s="81"/>
      <c r="L334" s="81"/>
      <c r="M334" s="89"/>
      <c r="N334" s="81"/>
      <c r="O334" s="81"/>
      <c r="P334" s="81"/>
      <c r="Q334" s="89"/>
      <c r="R334" s="117"/>
    </row>
    <row r="335" spans="1:18" ht="15.75" customHeight="1" thickBot="1" x14ac:dyDescent="0.35">
      <c r="A335" s="74" t="s">
        <v>298</v>
      </c>
      <c r="B335" s="1"/>
      <c r="C335" s="1"/>
      <c r="D335" s="1">
        <v>-437</v>
      </c>
      <c r="E335" s="59">
        <f>SUM(B335:D335)</f>
        <v>-437</v>
      </c>
      <c r="F335" s="1">
        <v>-1292</v>
      </c>
      <c r="G335" s="1">
        <v>-16465</v>
      </c>
      <c r="H335" s="1">
        <v>-103469</v>
      </c>
      <c r="I335" s="59">
        <f>SUM(F335:H335)</f>
        <v>-121226</v>
      </c>
      <c r="J335" s="1">
        <v>-80046</v>
      </c>
      <c r="K335" s="1">
        <v>-76446</v>
      </c>
      <c r="L335" s="1">
        <v>-8333</v>
      </c>
      <c r="M335" s="59">
        <f>SUM(J335:L335)</f>
        <v>-164825</v>
      </c>
      <c r="N335" s="1"/>
      <c r="O335" s="1"/>
      <c r="P335" s="1"/>
      <c r="Q335" s="59">
        <f>SUM(N335:P335)</f>
        <v>0</v>
      </c>
      <c r="R335" s="59">
        <f>+E335+I335+M335+Q335</f>
        <v>-286488</v>
      </c>
    </row>
    <row r="336" spans="1:18" ht="16.5" customHeight="1" thickBot="1" x14ac:dyDescent="0.35">
      <c r="A336" s="338"/>
      <c r="B336" s="339"/>
      <c r="C336" s="339"/>
      <c r="D336" s="339"/>
      <c r="E336" s="340"/>
      <c r="F336" s="339"/>
      <c r="G336" s="339"/>
      <c r="H336" s="339"/>
      <c r="I336" s="340"/>
      <c r="J336" s="339"/>
      <c r="K336" s="339"/>
      <c r="L336" s="339"/>
      <c r="M336" s="340"/>
      <c r="N336" s="339"/>
      <c r="O336" s="339"/>
      <c r="P336" s="339"/>
      <c r="Q336" s="340"/>
      <c r="R336" s="341"/>
    </row>
    <row r="337" spans="1:20" ht="15.75" customHeight="1" x14ac:dyDescent="0.3">
      <c r="A337" s="17" t="s">
        <v>32</v>
      </c>
      <c r="B337" s="1">
        <f>B335</f>
        <v>0</v>
      </c>
      <c r="C337" s="1">
        <f>C335</f>
        <v>0</v>
      </c>
      <c r="D337" s="1">
        <f>D335</f>
        <v>-437</v>
      </c>
      <c r="E337" s="59">
        <f>SUM(B337:D337)</f>
        <v>-437</v>
      </c>
      <c r="F337" s="1">
        <f>F335</f>
        <v>-1292</v>
      </c>
      <c r="G337" s="1">
        <f>G335</f>
        <v>-16465</v>
      </c>
      <c r="H337" s="1">
        <f>H335</f>
        <v>-103469</v>
      </c>
      <c r="I337" s="59">
        <f>SUM(F337:H337)</f>
        <v>-121226</v>
      </c>
      <c r="J337" s="1">
        <f>J335</f>
        <v>-80046</v>
      </c>
      <c r="K337" s="1">
        <f>K335</f>
        <v>-76446</v>
      </c>
      <c r="L337" s="1">
        <f>L335</f>
        <v>-8333</v>
      </c>
      <c r="M337" s="59">
        <f>SUM(J337:L337)</f>
        <v>-164825</v>
      </c>
      <c r="N337" s="1">
        <f>N335</f>
        <v>0</v>
      </c>
      <c r="O337" s="1">
        <f>O335</f>
        <v>0</v>
      </c>
      <c r="P337" s="1">
        <f>P335</f>
        <v>0</v>
      </c>
      <c r="Q337" s="59">
        <f>SUM(N337:P337)</f>
        <v>0</v>
      </c>
      <c r="R337" s="122">
        <f>R335</f>
        <v>-286488</v>
      </c>
    </row>
    <row r="338" spans="1:20" ht="16.5" customHeight="1" thickBot="1" x14ac:dyDescent="0.35">
      <c r="A338" s="24" t="s">
        <v>39</v>
      </c>
      <c r="B338" s="25">
        <f>(B337/B10)/1.983</f>
        <v>0</v>
      </c>
      <c r="C338" s="25">
        <f>(C337/C10)/1.983</f>
        <v>0</v>
      </c>
      <c r="D338" s="25">
        <f>(D337/D10)/1.983</f>
        <v>-7.1088119987636853</v>
      </c>
      <c r="E338" s="88"/>
      <c r="F338" s="25">
        <f>(F337/F10)/1.983</f>
        <v>-21.717935787527317</v>
      </c>
      <c r="G338" s="25">
        <f>(G337/G10)/1.983</f>
        <v>-267.84116604037541</v>
      </c>
      <c r="H338" s="25">
        <f>(H337/H10)/1.983</f>
        <v>-1739.26710371491</v>
      </c>
      <c r="I338" s="88"/>
      <c r="J338" s="25">
        <f>(J337/J10)/1.983</f>
        <v>-1302.1326435996291</v>
      </c>
      <c r="K338" s="25">
        <f>(K337/K10)/1.983</f>
        <v>-1243.5703479576398</v>
      </c>
      <c r="L338" s="25">
        <f>(L337/L10)/1.983</f>
        <v>-140.07396201042189</v>
      </c>
      <c r="M338" s="88"/>
      <c r="N338" s="25">
        <f>(N337/N10)/1.983</f>
        <v>0</v>
      </c>
      <c r="O338" s="25">
        <f>(O337/O10)/1.983</f>
        <v>0</v>
      </c>
      <c r="P338" s="25">
        <f>(P337/P10)/1.983</f>
        <v>0</v>
      </c>
      <c r="Q338" s="88"/>
      <c r="R338" s="117" t="s">
        <v>7</v>
      </c>
    </row>
    <row r="339" spans="1:20" ht="15.75" customHeight="1" x14ac:dyDescent="0.3">
      <c r="A339" s="28"/>
      <c r="B339" s="1"/>
      <c r="C339" s="1"/>
      <c r="D339" s="1"/>
      <c r="E339" s="1"/>
      <c r="F339" s="1"/>
      <c r="G339" s="1"/>
      <c r="H339" s="1"/>
      <c r="I339" s="1"/>
      <c r="J339" s="1"/>
      <c r="K339" s="1"/>
      <c r="L339" s="1"/>
      <c r="M339" s="1"/>
      <c r="N339" s="1"/>
      <c r="O339" s="1"/>
      <c r="P339" s="1"/>
      <c r="Q339" s="1"/>
      <c r="R339" s="28"/>
    </row>
    <row r="340" spans="1:20" ht="16.5" customHeight="1" thickBot="1" x14ac:dyDescent="0.35">
      <c r="A340" s="123"/>
      <c r="B340" s="25"/>
      <c r="C340" s="25"/>
      <c r="D340" s="25"/>
      <c r="E340" s="25"/>
      <c r="F340" s="25"/>
      <c r="G340" s="25"/>
      <c r="H340" s="25"/>
      <c r="I340" s="25"/>
      <c r="J340" s="25"/>
      <c r="K340" s="25"/>
      <c r="L340" s="25"/>
      <c r="M340" s="25"/>
      <c r="N340" s="25"/>
      <c r="O340" s="25"/>
      <c r="P340" s="25"/>
      <c r="Q340" s="25"/>
      <c r="R340" s="123"/>
    </row>
    <row r="341" spans="1:20" ht="16.5" customHeight="1" thickBot="1" x14ac:dyDescent="0.35">
      <c r="A341" s="342" t="s">
        <v>299</v>
      </c>
      <c r="B341" s="323" t="s">
        <v>36</v>
      </c>
      <c r="C341" s="324" t="s">
        <v>9</v>
      </c>
      <c r="D341" s="324" t="s">
        <v>10</v>
      </c>
      <c r="E341" s="325" t="s">
        <v>11</v>
      </c>
      <c r="F341" s="324" t="s">
        <v>12</v>
      </c>
      <c r="G341" s="324" t="s">
        <v>13</v>
      </c>
      <c r="H341" s="324" t="s">
        <v>14</v>
      </c>
      <c r="I341" s="34" t="s">
        <v>15</v>
      </c>
      <c r="J341" s="324" t="s">
        <v>16</v>
      </c>
      <c r="K341" s="324" t="s">
        <v>17</v>
      </c>
      <c r="L341" s="324" t="s">
        <v>18</v>
      </c>
      <c r="M341" s="34" t="s">
        <v>19</v>
      </c>
      <c r="N341" s="324" t="s">
        <v>20</v>
      </c>
      <c r="O341" s="324" t="s">
        <v>21</v>
      </c>
      <c r="P341" s="324" t="s">
        <v>22</v>
      </c>
      <c r="Q341" s="34" t="s">
        <v>23</v>
      </c>
      <c r="R341" s="326" t="s">
        <v>24</v>
      </c>
    </row>
    <row r="342" spans="1:20" ht="16.5" customHeight="1" thickBot="1" x14ac:dyDescent="0.35">
      <c r="A342" s="64"/>
      <c r="B342" s="81"/>
      <c r="C342" s="81"/>
      <c r="D342" s="81"/>
      <c r="E342" s="72"/>
      <c r="F342" s="81"/>
      <c r="G342" s="81"/>
      <c r="H342" s="81"/>
      <c r="I342" s="89"/>
      <c r="J342" s="81"/>
      <c r="K342" s="81"/>
      <c r="L342" s="81"/>
      <c r="M342" s="89"/>
      <c r="N342" s="81"/>
      <c r="O342" s="81"/>
      <c r="P342" s="81"/>
      <c r="Q342" s="89"/>
      <c r="R342" s="122"/>
    </row>
    <row r="343" spans="1:20" ht="15.75" customHeight="1" x14ac:dyDescent="0.3">
      <c r="A343" s="17" t="s">
        <v>45</v>
      </c>
      <c r="B343" s="1"/>
      <c r="C343" s="1"/>
      <c r="D343" s="1"/>
      <c r="E343" s="59" t="s">
        <v>7</v>
      </c>
      <c r="F343" s="1" t="s">
        <v>7</v>
      </c>
      <c r="G343" s="1" t="s">
        <v>7</v>
      </c>
      <c r="H343" s="1" t="s">
        <v>7</v>
      </c>
      <c r="I343" s="59" t="s">
        <v>7</v>
      </c>
      <c r="J343" s="1" t="s">
        <v>7</v>
      </c>
      <c r="K343" s="1" t="s">
        <v>7</v>
      </c>
      <c r="L343" s="1" t="s">
        <v>7</v>
      </c>
      <c r="M343" s="59" t="s">
        <v>7</v>
      </c>
      <c r="N343" s="1" t="s">
        <v>7</v>
      </c>
      <c r="O343" s="1" t="s">
        <v>7</v>
      </c>
      <c r="P343" s="1" t="s">
        <v>7</v>
      </c>
      <c r="Q343" s="59" t="s">
        <v>7</v>
      </c>
      <c r="R343" s="334" t="s">
        <v>7</v>
      </c>
    </row>
    <row r="344" spans="1:20" ht="15.75" customHeight="1" x14ac:dyDescent="0.3">
      <c r="A344" s="17" t="s">
        <v>46</v>
      </c>
      <c r="B344" s="1"/>
      <c r="C344" s="1"/>
      <c r="D344" s="1"/>
      <c r="E344" s="59" t="s">
        <v>7</v>
      </c>
      <c r="F344" s="1"/>
      <c r="G344" s="1"/>
      <c r="H344" s="1"/>
      <c r="I344" s="59" t="s">
        <v>7</v>
      </c>
      <c r="J344" s="1"/>
      <c r="K344" s="1"/>
      <c r="L344" s="1"/>
      <c r="M344" s="59" t="s">
        <v>7</v>
      </c>
      <c r="N344" s="1"/>
      <c r="O344" s="1"/>
      <c r="P344" s="1"/>
      <c r="Q344" s="59" t="s">
        <v>7</v>
      </c>
      <c r="R344" s="59" t="s">
        <v>7</v>
      </c>
    </row>
    <row r="345" spans="1:20" ht="15.75" customHeight="1" x14ac:dyDescent="0.3">
      <c r="A345" s="76" t="s">
        <v>300</v>
      </c>
      <c r="B345" s="1"/>
      <c r="C345" s="1"/>
      <c r="D345" s="1"/>
      <c r="E345" s="59">
        <f t="shared" ref="E345:E377" si="123">SUM(B345:D345)</f>
        <v>0</v>
      </c>
      <c r="F345" s="1"/>
      <c r="G345" s="1"/>
      <c r="H345" s="1"/>
      <c r="I345" s="59">
        <f t="shared" ref="I345:I377" si="124">SUM(F345:H345)</f>
        <v>0</v>
      </c>
      <c r="J345" s="1"/>
      <c r="K345" s="1">
        <f>120-117+1+2</f>
        <v>6</v>
      </c>
      <c r="L345" s="1">
        <f>1+124</f>
        <v>125</v>
      </c>
      <c r="M345" s="59">
        <f t="shared" ref="M345:M377" si="125">SUM(J345:L345)</f>
        <v>131</v>
      </c>
      <c r="N345" s="1">
        <f>145+2</f>
        <v>147</v>
      </c>
      <c r="O345" s="1">
        <f>141+101</f>
        <v>242</v>
      </c>
      <c r="P345" s="1">
        <f>123+1+129</f>
        <v>253</v>
      </c>
      <c r="Q345" s="59">
        <f t="shared" ref="Q345:Q380" si="126">SUM(N345:P345)</f>
        <v>642</v>
      </c>
      <c r="R345" s="59">
        <f t="shared" ref="R345:R380" si="127">+E345+I345+M345+Q345</f>
        <v>773</v>
      </c>
      <c r="T345" s="4" t="s">
        <v>301</v>
      </c>
    </row>
    <row r="346" spans="1:20" ht="15.75" customHeight="1" x14ac:dyDescent="0.3">
      <c r="A346" s="76" t="s">
        <v>302</v>
      </c>
      <c r="B346" s="1"/>
      <c r="C346" s="1"/>
      <c r="D346" s="1"/>
      <c r="E346" s="59">
        <f t="shared" si="123"/>
        <v>0</v>
      </c>
      <c r="F346" s="1"/>
      <c r="G346" s="1"/>
      <c r="H346" s="1"/>
      <c r="I346" s="59">
        <f t="shared" si="124"/>
        <v>0</v>
      </c>
      <c r="J346" s="1"/>
      <c r="K346" s="1"/>
      <c r="L346" s="1">
        <v>400</v>
      </c>
      <c r="M346" s="59">
        <f t="shared" si="125"/>
        <v>400</v>
      </c>
      <c r="N346" s="1"/>
      <c r="O346" s="1"/>
      <c r="P346" s="1"/>
      <c r="Q346" s="59">
        <f t="shared" ref="Q346" si="128">SUM(N346:P346)</f>
        <v>0</v>
      </c>
      <c r="R346" s="59">
        <f t="shared" si="127"/>
        <v>400</v>
      </c>
    </row>
    <row r="347" spans="1:20" ht="15.75" customHeight="1" x14ac:dyDescent="0.3">
      <c r="A347" s="76" t="s">
        <v>303</v>
      </c>
      <c r="B347" s="1"/>
      <c r="C347" s="1"/>
      <c r="D347" s="1"/>
      <c r="E347" s="59">
        <f t="shared" si="123"/>
        <v>0</v>
      </c>
      <c r="F347" s="1"/>
      <c r="G347" s="1"/>
      <c r="H347" s="1"/>
      <c r="I347" s="59">
        <f t="shared" si="124"/>
        <v>0</v>
      </c>
      <c r="J347" s="1"/>
      <c r="K347" s="1"/>
      <c r="L347" s="1">
        <v>600</v>
      </c>
      <c r="M347" s="59">
        <f t="shared" si="125"/>
        <v>600</v>
      </c>
      <c r="N347" s="1"/>
      <c r="O347" s="1"/>
      <c r="P347" s="1"/>
      <c r="Q347" s="59">
        <f t="shared" si="126"/>
        <v>0</v>
      </c>
      <c r="R347" s="59">
        <f t="shared" si="127"/>
        <v>600</v>
      </c>
    </row>
    <row r="348" spans="1:20" ht="15.75" customHeight="1" x14ac:dyDescent="0.3">
      <c r="A348" s="76" t="s">
        <v>304</v>
      </c>
      <c r="B348" s="1">
        <v>80</v>
      </c>
      <c r="C348" s="1">
        <v>122</v>
      </c>
      <c r="D348" s="1">
        <v>264</v>
      </c>
      <c r="E348" s="59">
        <f t="shared" si="123"/>
        <v>466</v>
      </c>
      <c r="F348" s="1">
        <v>163</v>
      </c>
      <c r="G348" s="1">
        <v>290</v>
      </c>
      <c r="H348" s="1">
        <v>228</v>
      </c>
      <c r="I348" s="59">
        <f t="shared" si="124"/>
        <v>681</v>
      </c>
      <c r="J348" s="1">
        <v>338</v>
      </c>
      <c r="K348" s="1">
        <v>267</v>
      </c>
      <c r="L348" s="1">
        <v>315</v>
      </c>
      <c r="M348" s="59">
        <f t="shared" si="125"/>
        <v>920</v>
      </c>
      <c r="N348" s="1">
        <v>321</v>
      </c>
      <c r="O348" s="1">
        <v>87</v>
      </c>
      <c r="P348" s="1">
        <v>65</v>
      </c>
      <c r="Q348" s="59">
        <f t="shared" si="126"/>
        <v>473</v>
      </c>
      <c r="R348" s="59">
        <f t="shared" si="127"/>
        <v>2540</v>
      </c>
      <c r="T348" s="4" t="s">
        <v>305</v>
      </c>
    </row>
    <row r="349" spans="1:20" ht="15.75" customHeight="1" x14ac:dyDescent="0.3">
      <c r="A349" s="76" t="s">
        <v>306</v>
      </c>
      <c r="B349" s="1"/>
      <c r="C349" s="1">
        <v>89</v>
      </c>
      <c r="D349" s="1">
        <v>83</v>
      </c>
      <c r="E349" s="59">
        <f>SUM(B349:D349)</f>
        <v>172</v>
      </c>
      <c r="F349" s="1">
        <v>86</v>
      </c>
      <c r="G349" s="1">
        <v>40</v>
      </c>
      <c r="H349" s="1"/>
      <c r="I349" s="59">
        <f t="shared" ref="I349" si="129">SUM(F349:H349)</f>
        <v>126</v>
      </c>
      <c r="J349" s="1"/>
      <c r="K349" s="1"/>
      <c r="L349" s="1">
        <v>37</v>
      </c>
      <c r="M349" s="59">
        <f t="shared" ref="M349" si="130">SUM(J349:L349)</f>
        <v>37</v>
      </c>
      <c r="N349" s="1">
        <v>15</v>
      </c>
      <c r="O349" s="1"/>
      <c r="P349" s="1"/>
      <c r="Q349" s="59">
        <f t="shared" ref="Q349" si="131">SUM(N349:P349)</f>
        <v>15</v>
      </c>
      <c r="R349" s="59">
        <f t="shared" si="127"/>
        <v>350</v>
      </c>
      <c r="T349" s="4" t="s">
        <v>307</v>
      </c>
    </row>
    <row r="350" spans="1:20" ht="15.75" customHeight="1" x14ac:dyDescent="0.3">
      <c r="A350" s="76" t="s">
        <v>308</v>
      </c>
      <c r="B350" s="1"/>
      <c r="C350" s="1"/>
      <c r="D350" s="1"/>
      <c r="E350" s="59">
        <f t="shared" si="123"/>
        <v>0</v>
      </c>
      <c r="F350" s="1"/>
      <c r="G350" s="1"/>
      <c r="H350" s="1"/>
      <c r="I350" s="59">
        <f t="shared" si="124"/>
        <v>0</v>
      </c>
      <c r="J350" s="1">
        <v>384</v>
      </c>
      <c r="K350" s="1">
        <v>416</v>
      </c>
      <c r="L350" s="1"/>
      <c r="M350" s="59">
        <f t="shared" si="125"/>
        <v>800</v>
      </c>
      <c r="N350" s="1"/>
      <c r="O350" s="1"/>
      <c r="P350" s="1"/>
      <c r="Q350" s="59">
        <f t="shared" si="126"/>
        <v>0</v>
      </c>
      <c r="R350" s="59">
        <f t="shared" si="127"/>
        <v>800</v>
      </c>
      <c r="T350" s="4" t="s">
        <v>307</v>
      </c>
    </row>
    <row r="351" spans="1:20" ht="15.75" customHeight="1" x14ac:dyDescent="0.3">
      <c r="A351" s="76" t="s">
        <v>309</v>
      </c>
      <c r="C351" s="1"/>
      <c r="D351" s="1"/>
      <c r="E351" s="59">
        <f>SUM(B351:D351)</f>
        <v>0</v>
      </c>
      <c r="F351" s="1"/>
      <c r="G351" s="1"/>
      <c r="H351" s="1"/>
      <c r="I351" s="59">
        <f>SUM(F351:H351)</f>
        <v>0</v>
      </c>
      <c r="J351" s="1">
        <v>2467</v>
      </c>
      <c r="K351" s="1"/>
      <c r="L351" s="1"/>
      <c r="M351" s="59">
        <f t="shared" ref="M351:M358" si="132">SUM(J351:L351)</f>
        <v>2467</v>
      </c>
      <c r="N351" s="1"/>
      <c r="O351" s="1"/>
      <c r="P351" s="1"/>
      <c r="Q351" s="59">
        <f t="shared" ref="Q351:Q356" si="133">SUM(N351:P351)</f>
        <v>0</v>
      </c>
      <c r="R351" s="59">
        <f t="shared" si="127"/>
        <v>2467</v>
      </c>
      <c r="T351" s="4" t="s">
        <v>305</v>
      </c>
    </row>
    <row r="352" spans="1:20" ht="15.75" customHeight="1" x14ac:dyDescent="0.3">
      <c r="A352" s="76" t="s">
        <v>310</v>
      </c>
      <c r="B352" s="1"/>
      <c r="C352" s="1"/>
      <c r="D352" s="1"/>
      <c r="E352" s="59">
        <f t="shared" ref="E352:E358" si="134">SUM(B352:D352)</f>
        <v>0</v>
      </c>
      <c r="F352" s="1"/>
      <c r="G352" s="1"/>
      <c r="H352" s="1"/>
      <c r="I352" s="59">
        <f t="shared" ref="I352:I358" si="135">SUM(F352:H352)</f>
        <v>0</v>
      </c>
      <c r="J352" s="1">
        <v>384</v>
      </c>
      <c r="K352" s="1">
        <v>1466</v>
      </c>
      <c r="L352" s="1"/>
      <c r="M352" s="59">
        <f t="shared" si="132"/>
        <v>1850</v>
      </c>
      <c r="N352" s="1"/>
      <c r="O352" s="1"/>
      <c r="P352" s="1"/>
      <c r="Q352" s="59">
        <f t="shared" si="133"/>
        <v>0</v>
      </c>
      <c r="R352" s="59">
        <f t="shared" si="127"/>
        <v>1850</v>
      </c>
      <c r="T352" s="4" t="s">
        <v>307</v>
      </c>
    </row>
    <row r="353" spans="1:20" ht="15.75" customHeight="1" x14ac:dyDescent="0.3">
      <c r="A353" s="76" t="s">
        <v>311</v>
      </c>
      <c r="B353" s="1"/>
      <c r="C353" s="1"/>
      <c r="D353" s="1"/>
      <c r="E353" s="59">
        <f t="shared" si="134"/>
        <v>0</v>
      </c>
      <c r="F353" s="1"/>
      <c r="G353" s="1"/>
      <c r="H353" s="1"/>
      <c r="I353" s="59">
        <f t="shared" si="135"/>
        <v>0</v>
      </c>
      <c r="J353" s="1"/>
      <c r="K353" s="1"/>
      <c r="L353" s="1"/>
      <c r="M353" s="59">
        <f t="shared" si="132"/>
        <v>0</v>
      </c>
      <c r="N353" s="1">
        <v>74</v>
      </c>
      <c r="O353" s="1">
        <v>74</v>
      </c>
      <c r="P353" s="1"/>
      <c r="Q353" s="59">
        <f t="shared" si="133"/>
        <v>148</v>
      </c>
      <c r="R353" s="59">
        <f t="shared" si="127"/>
        <v>148</v>
      </c>
    </row>
    <row r="354" spans="1:20" ht="15.75" customHeight="1" x14ac:dyDescent="0.3">
      <c r="A354" s="76" t="s">
        <v>312</v>
      </c>
      <c r="B354" s="1">
        <f>18+89</f>
        <v>107</v>
      </c>
      <c r="C354" s="1">
        <f>33+134</f>
        <v>167</v>
      </c>
      <c r="D354" s="1">
        <f>23+167</f>
        <v>190</v>
      </c>
      <c r="E354" s="59">
        <f t="shared" si="134"/>
        <v>464</v>
      </c>
      <c r="F354" s="1">
        <f>230+32</f>
        <v>262</v>
      </c>
      <c r="G354" s="1">
        <f>373+70</f>
        <v>443</v>
      </c>
      <c r="H354" s="1">
        <f>292+37</f>
        <v>329</v>
      </c>
      <c r="I354" s="59">
        <f t="shared" si="135"/>
        <v>1034</v>
      </c>
      <c r="J354" s="1">
        <f>292+31</f>
        <v>323</v>
      </c>
      <c r="K354" s="1">
        <f>142+35</f>
        <v>177</v>
      </c>
      <c r="L354" s="1">
        <f>25+161</f>
        <v>186</v>
      </c>
      <c r="M354" s="59">
        <f t="shared" si="132"/>
        <v>686</v>
      </c>
      <c r="N354" s="1">
        <f>306+51</f>
        <v>357</v>
      </c>
      <c r="O354" s="1">
        <f>197+38</f>
        <v>235</v>
      </c>
      <c r="P354" s="1">
        <f>64+14</f>
        <v>78</v>
      </c>
      <c r="Q354" s="59">
        <f t="shared" si="133"/>
        <v>670</v>
      </c>
      <c r="R354" s="59">
        <f>+E354+I354+M354+Q354</f>
        <v>2854</v>
      </c>
      <c r="T354" s="4" t="s">
        <v>313</v>
      </c>
    </row>
    <row r="355" spans="1:20" ht="15.75" customHeight="1" x14ac:dyDescent="0.3">
      <c r="A355" s="76" t="s">
        <v>314</v>
      </c>
      <c r="B355" s="1">
        <v>1600</v>
      </c>
      <c r="C355" s="1"/>
      <c r="D355" s="1"/>
      <c r="E355" s="59">
        <f t="shared" si="134"/>
        <v>1600</v>
      </c>
      <c r="F355" s="1"/>
      <c r="G355" s="1"/>
      <c r="H355" s="1"/>
      <c r="I355" s="59">
        <f t="shared" si="135"/>
        <v>0</v>
      </c>
      <c r="J355" s="1"/>
      <c r="K355" s="1"/>
      <c r="L355" s="1"/>
      <c r="M355" s="59">
        <f t="shared" si="132"/>
        <v>0</v>
      </c>
      <c r="N355" s="1"/>
      <c r="O355" s="1"/>
      <c r="P355" s="1"/>
      <c r="Q355" s="59">
        <f t="shared" si="133"/>
        <v>0</v>
      </c>
      <c r="R355" s="59">
        <f>+E355+I355+M355+Q355</f>
        <v>1600</v>
      </c>
      <c r="T355" s="4" t="s">
        <v>315</v>
      </c>
    </row>
    <row r="356" spans="1:20" ht="15.75" customHeight="1" x14ac:dyDescent="0.3">
      <c r="A356" s="76" t="s">
        <v>316</v>
      </c>
      <c r="B356" s="1"/>
      <c r="C356" s="1"/>
      <c r="D356" s="1"/>
      <c r="E356" s="59">
        <f t="shared" si="134"/>
        <v>0</v>
      </c>
      <c r="F356" s="1"/>
      <c r="G356" s="1"/>
      <c r="H356" s="1"/>
      <c r="I356" s="59">
        <f t="shared" si="135"/>
        <v>0</v>
      </c>
      <c r="J356" s="1"/>
      <c r="K356" s="1"/>
      <c r="L356" s="1"/>
      <c r="M356" s="59">
        <f t="shared" si="132"/>
        <v>0</v>
      </c>
      <c r="N356" s="1">
        <v>1604</v>
      </c>
      <c r="O356" s="1"/>
      <c r="P356" s="1"/>
      <c r="Q356" s="59">
        <f t="shared" si="133"/>
        <v>1604</v>
      </c>
      <c r="R356" s="59">
        <f>+E356+I356+M356+Q356</f>
        <v>1604</v>
      </c>
      <c r="T356" s="4" t="s">
        <v>317</v>
      </c>
    </row>
    <row r="357" spans="1:20" ht="15.75" customHeight="1" x14ac:dyDescent="0.3">
      <c r="A357" s="76" t="s">
        <v>318</v>
      </c>
      <c r="B357" s="1"/>
      <c r="C357" s="1"/>
      <c r="D357" s="1"/>
      <c r="E357" s="59">
        <f t="shared" si="134"/>
        <v>0</v>
      </c>
      <c r="F357" s="1"/>
      <c r="G357" s="1"/>
      <c r="H357" s="1"/>
      <c r="I357" s="59">
        <f t="shared" si="135"/>
        <v>0</v>
      </c>
      <c r="J357" s="1"/>
      <c r="K357" s="1"/>
      <c r="L357" s="1"/>
      <c r="M357" s="59">
        <f t="shared" si="132"/>
        <v>0</v>
      </c>
      <c r="N357" s="1"/>
      <c r="O357" s="1"/>
      <c r="P357" s="1"/>
      <c r="Q357" s="59">
        <f t="shared" ref="Q357" si="136">SUM(N357:P357)</f>
        <v>0</v>
      </c>
      <c r="R357" s="59">
        <f>+E357+I357+M357+Q357</f>
        <v>0</v>
      </c>
    </row>
    <row r="358" spans="1:20" ht="15.75" customHeight="1" x14ac:dyDescent="0.3">
      <c r="A358" s="76" t="s">
        <v>319</v>
      </c>
      <c r="B358" s="1">
        <v>325</v>
      </c>
      <c r="C358" s="1"/>
      <c r="D358" s="1"/>
      <c r="E358" s="59">
        <f t="shared" si="134"/>
        <v>325</v>
      </c>
      <c r="F358" s="1"/>
      <c r="G358" s="1"/>
      <c r="H358" s="1"/>
      <c r="I358" s="59">
        <f t="shared" si="135"/>
        <v>0</v>
      </c>
      <c r="J358" s="1"/>
      <c r="K358" s="1"/>
      <c r="L358" s="1"/>
      <c r="M358" s="59">
        <f t="shared" si="132"/>
        <v>0</v>
      </c>
      <c r="N358" s="1"/>
      <c r="O358" s="1"/>
      <c r="P358" s="1"/>
      <c r="Q358" s="59">
        <f>SUM(N358:P358)</f>
        <v>0</v>
      </c>
      <c r="R358" s="59">
        <f>+E358+I358+M358+Q358</f>
        <v>325</v>
      </c>
      <c r="S358" s="75" t="s">
        <v>80</v>
      </c>
    </row>
    <row r="359" spans="1:20" ht="15.75" customHeight="1" x14ac:dyDescent="0.3">
      <c r="A359" s="76" t="s">
        <v>320</v>
      </c>
      <c r="B359" s="1"/>
      <c r="C359" s="1"/>
      <c r="D359" s="1"/>
      <c r="E359" s="59">
        <f>SUM(B359:D359)</f>
        <v>0</v>
      </c>
      <c r="F359" s="1"/>
      <c r="G359" s="1"/>
      <c r="H359" s="1">
        <v>278</v>
      </c>
      <c r="I359" s="59">
        <f t="shared" ref="I359:I360" si="137">SUM(F359:H359)</f>
        <v>278</v>
      </c>
      <c r="J359" s="1">
        <v>1200</v>
      </c>
      <c r="K359" s="1">
        <v>1000</v>
      </c>
      <c r="L359" s="1">
        <v>600</v>
      </c>
      <c r="M359" s="59">
        <f t="shared" ref="M359:M360" si="138">SUM(J359:L359)</f>
        <v>2800</v>
      </c>
      <c r="N359" s="1"/>
      <c r="O359" s="1"/>
      <c r="P359" s="1"/>
      <c r="Q359" s="59">
        <f t="shared" ref="Q359:Q360" si="139">SUM(N359:P359)</f>
        <v>0</v>
      </c>
      <c r="R359" s="59">
        <f t="shared" ref="R359:R360" si="140">+E359+I359+M359+Q359</f>
        <v>3078</v>
      </c>
    </row>
    <row r="360" spans="1:20" ht="15.75" customHeight="1" x14ac:dyDescent="0.3">
      <c r="A360" s="76" t="s">
        <v>321</v>
      </c>
      <c r="B360" s="1"/>
      <c r="C360" s="1"/>
      <c r="D360" s="1"/>
      <c r="E360" s="59">
        <f>SUM(B360:D360)</f>
        <v>0</v>
      </c>
      <c r="F360" s="1"/>
      <c r="G360" s="1"/>
      <c r="H360" s="1"/>
      <c r="I360" s="59">
        <f t="shared" si="137"/>
        <v>0</v>
      </c>
      <c r="J360" s="1"/>
      <c r="K360" s="1"/>
      <c r="L360" s="1"/>
      <c r="M360" s="59">
        <f t="shared" si="138"/>
        <v>0</v>
      </c>
      <c r="N360" s="1"/>
      <c r="O360" s="1"/>
      <c r="P360" s="1"/>
      <c r="Q360" s="59">
        <f t="shared" si="139"/>
        <v>0</v>
      </c>
      <c r="R360" s="59">
        <f t="shared" si="140"/>
        <v>0</v>
      </c>
      <c r="T360" s="4" t="s">
        <v>315</v>
      </c>
    </row>
    <row r="361" spans="1:20" ht="15.75" customHeight="1" x14ac:dyDescent="0.3">
      <c r="A361" s="76" t="s">
        <v>322</v>
      </c>
      <c r="B361" s="1"/>
      <c r="C361" s="1"/>
      <c r="D361" s="1"/>
      <c r="E361" s="59">
        <f t="shared" ref="E361" si="141">SUM(B361:D361)</f>
        <v>0</v>
      </c>
      <c r="F361" s="1"/>
      <c r="G361" s="1"/>
      <c r="H361" s="1"/>
      <c r="I361" s="59">
        <f t="shared" ref="I361" si="142">SUM(F361:H361)</f>
        <v>0</v>
      </c>
      <c r="J361" s="1"/>
      <c r="K361" s="1"/>
      <c r="L361" s="1">
        <v>745</v>
      </c>
      <c r="M361" s="59">
        <f t="shared" ref="M361:M363" si="143">SUM(J361:L361)</f>
        <v>745</v>
      </c>
      <c r="N361" s="1">
        <v>1628</v>
      </c>
      <c r="O361" s="1">
        <v>1251</v>
      </c>
      <c r="P361" s="1">
        <v>1270</v>
      </c>
      <c r="Q361" s="59">
        <f t="shared" si="126"/>
        <v>4149</v>
      </c>
      <c r="R361" s="59">
        <f t="shared" si="127"/>
        <v>4894</v>
      </c>
      <c r="T361" s="4" t="s">
        <v>217</v>
      </c>
    </row>
    <row r="362" spans="1:20" ht="15.75" customHeight="1" x14ac:dyDescent="0.3">
      <c r="A362" s="76" t="s">
        <v>323</v>
      </c>
      <c r="B362" s="1"/>
      <c r="C362" s="1"/>
      <c r="D362" s="1"/>
      <c r="E362" s="59">
        <f>SUM(B362:D362)</f>
        <v>0</v>
      </c>
      <c r="F362" s="1"/>
      <c r="G362" s="1"/>
      <c r="H362" s="1"/>
      <c r="I362" s="59">
        <f>SUM(F362:H362)</f>
        <v>0</v>
      </c>
      <c r="J362" s="1"/>
      <c r="K362" s="1"/>
      <c r="L362" s="1"/>
      <c r="M362" s="59">
        <f>SUM(J362:L362)</f>
        <v>0</v>
      </c>
      <c r="N362" s="1"/>
      <c r="O362" s="1"/>
      <c r="P362" s="1"/>
      <c r="Q362" s="59">
        <f t="shared" ref="Q362" si="144">SUM(N362:P362)</f>
        <v>0</v>
      </c>
      <c r="R362" s="59">
        <f t="shared" si="127"/>
        <v>0</v>
      </c>
    </row>
    <row r="363" spans="1:20" ht="15.75" customHeight="1" x14ac:dyDescent="0.3">
      <c r="A363" s="76" t="s">
        <v>324</v>
      </c>
      <c r="B363" s="1">
        <v>200</v>
      </c>
      <c r="C363" s="1">
        <v>200</v>
      </c>
      <c r="D363" s="1">
        <v>200</v>
      </c>
      <c r="E363" s="59">
        <f>SUM(B363:D363)</f>
        <v>600</v>
      </c>
      <c r="F363" s="1">
        <v>200</v>
      </c>
      <c r="G363" s="1">
        <v>200</v>
      </c>
      <c r="H363" s="1">
        <v>200</v>
      </c>
      <c r="I363" s="59">
        <f>SUM(F363:H363)</f>
        <v>600</v>
      </c>
      <c r="J363" s="1">
        <v>200</v>
      </c>
      <c r="K363" s="1">
        <v>200</v>
      </c>
      <c r="L363" s="1">
        <v>200</v>
      </c>
      <c r="M363" s="59">
        <f t="shared" si="143"/>
        <v>600</v>
      </c>
      <c r="N363" s="1">
        <v>200</v>
      </c>
      <c r="O363" s="1">
        <v>70</v>
      </c>
      <c r="P363" s="1"/>
      <c r="Q363" s="59">
        <f t="shared" si="126"/>
        <v>270</v>
      </c>
      <c r="R363" s="59">
        <f t="shared" si="127"/>
        <v>2070</v>
      </c>
    </row>
    <row r="364" spans="1:20" ht="15.75" customHeight="1" x14ac:dyDescent="0.3">
      <c r="A364" s="76" t="s">
        <v>325</v>
      </c>
      <c r="B364" s="1"/>
      <c r="C364" s="1"/>
      <c r="D364" s="1"/>
      <c r="E364" s="59">
        <f t="shared" si="123"/>
        <v>0</v>
      </c>
      <c r="F364" s="1"/>
      <c r="G364" s="1"/>
      <c r="H364" s="1"/>
      <c r="I364" s="59">
        <f t="shared" si="124"/>
        <v>0</v>
      </c>
      <c r="J364" s="1"/>
      <c r="K364" s="1"/>
      <c r="L364" s="1"/>
      <c r="M364" s="59">
        <f t="shared" si="125"/>
        <v>0</v>
      </c>
      <c r="N364" s="1"/>
      <c r="O364" s="1"/>
      <c r="P364" s="1"/>
      <c r="Q364" s="59">
        <f t="shared" si="126"/>
        <v>0</v>
      </c>
      <c r="R364" s="59">
        <f t="shared" si="127"/>
        <v>0</v>
      </c>
      <c r="T364" s="4" t="s">
        <v>305</v>
      </c>
    </row>
    <row r="365" spans="1:20" ht="15.75" customHeight="1" x14ac:dyDescent="0.3">
      <c r="A365" s="76" t="s">
        <v>326</v>
      </c>
      <c r="B365" s="1">
        <v>494</v>
      </c>
      <c r="C365" s="1">
        <v>1708</v>
      </c>
      <c r="D365" s="1">
        <v>704</v>
      </c>
      <c r="E365" s="59">
        <f t="shared" si="123"/>
        <v>2906</v>
      </c>
      <c r="F365" s="1"/>
      <c r="G365" s="1"/>
      <c r="H365" s="1"/>
      <c r="I365" s="59">
        <f t="shared" si="124"/>
        <v>0</v>
      </c>
      <c r="J365" s="1"/>
      <c r="K365" s="1"/>
      <c r="L365" s="1"/>
      <c r="M365" s="59">
        <f t="shared" si="125"/>
        <v>0</v>
      </c>
      <c r="N365" s="1"/>
      <c r="O365" s="1"/>
      <c r="P365" s="1"/>
      <c r="Q365" s="59">
        <f t="shared" si="126"/>
        <v>0</v>
      </c>
      <c r="R365" s="59">
        <f t="shared" si="127"/>
        <v>2906</v>
      </c>
    </row>
    <row r="366" spans="1:20" ht="15.75" customHeight="1" x14ac:dyDescent="0.3">
      <c r="A366" s="76" t="s">
        <v>327</v>
      </c>
      <c r="B366" s="1"/>
      <c r="C366" s="1"/>
      <c r="D366" s="1"/>
      <c r="E366" s="59">
        <f>SUM(B366:D366)</f>
        <v>0</v>
      </c>
      <c r="F366" s="1"/>
      <c r="G366" s="1"/>
      <c r="H366" s="1"/>
      <c r="I366" s="59">
        <f>SUM(F366:H366)</f>
        <v>0</v>
      </c>
      <c r="J366" s="1"/>
      <c r="K366" s="1"/>
      <c r="L366" s="1"/>
      <c r="M366" s="59">
        <f t="shared" si="125"/>
        <v>0</v>
      </c>
      <c r="N366" s="1"/>
      <c r="O366" s="1"/>
      <c r="P366" s="1"/>
      <c r="Q366" s="59">
        <f>SUM(N366:P366)</f>
        <v>0</v>
      </c>
      <c r="R366" s="59">
        <f t="shared" si="127"/>
        <v>0</v>
      </c>
      <c r="T366" s="4" t="s">
        <v>315</v>
      </c>
    </row>
    <row r="367" spans="1:20" ht="15.75" customHeight="1" x14ac:dyDescent="0.3">
      <c r="A367" s="76" t="s">
        <v>328</v>
      </c>
      <c r="B367" s="1"/>
      <c r="C367" s="1"/>
      <c r="D367" s="1"/>
      <c r="E367" s="59">
        <f t="shared" ref="E367" si="145">SUM(B367:D367)</f>
        <v>0</v>
      </c>
      <c r="F367" s="1"/>
      <c r="G367" s="1"/>
      <c r="H367" s="1"/>
      <c r="I367" s="59">
        <f t="shared" ref="I367" si="146">SUM(F367:H367)</f>
        <v>0</v>
      </c>
      <c r="J367" s="1">
        <v>1006</v>
      </c>
      <c r="K367" s="1">
        <v>2073</v>
      </c>
      <c r="L367" s="1">
        <v>1908</v>
      </c>
      <c r="M367" s="59">
        <f t="shared" si="125"/>
        <v>4987</v>
      </c>
      <c r="N367" s="1">
        <v>1968</v>
      </c>
      <c r="O367" s="1">
        <v>280</v>
      </c>
      <c r="P367" s="1"/>
      <c r="Q367" s="59">
        <f t="shared" si="126"/>
        <v>2248</v>
      </c>
      <c r="R367" s="59">
        <f t="shared" si="127"/>
        <v>7235</v>
      </c>
      <c r="T367" s="4" t="s">
        <v>217</v>
      </c>
    </row>
    <row r="368" spans="1:20" ht="15.75" customHeight="1" x14ac:dyDescent="0.3">
      <c r="A368" s="76" t="s">
        <v>329</v>
      </c>
      <c r="B368" s="1"/>
      <c r="C368" s="1"/>
      <c r="D368" s="1"/>
      <c r="E368" s="59">
        <f>SUM(B368:D368)</f>
        <v>0</v>
      </c>
      <c r="F368" s="1"/>
      <c r="G368" s="1"/>
      <c r="H368" s="1"/>
      <c r="I368" s="59">
        <f>SUM(F368:H368)</f>
        <v>0</v>
      </c>
      <c r="J368" s="1"/>
      <c r="K368" s="1"/>
      <c r="L368" s="1"/>
      <c r="M368" s="59">
        <f>SUM(J368:L368)</f>
        <v>0</v>
      </c>
      <c r="N368" s="1"/>
      <c r="O368" s="1"/>
      <c r="P368" s="1"/>
      <c r="Q368" s="59">
        <f>SUM(N368:P368)</f>
        <v>0</v>
      </c>
      <c r="R368" s="59">
        <f t="shared" si="127"/>
        <v>0</v>
      </c>
      <c r="T368" s="4" t="s">
        <v>315</v>
      </c>
    </row>
    <row r="369" spans="1:20" ht="15.75" customHeight="1" x14ac:dyDescent="0.3">
      <c r="A369" s="76" t="s">
        <v>330</v>
      </c>
      <c r="B369" s="1"/>
      <c r="C369" s="1"/>
      <c r="D369" s="1"/>
      <c r="E369" s="59">
        <f t="shared" si="123"/>
        <v>0</v>
      </c>
      <c r="F369" s="1"/>
      <c r="G369" s="1"/>
      <c r="H369" s="1"/>
      <c r="I369" s="59">
        <f t="shared" si="124"/>
        <v>0</v>
      </c>
      <c r="J369" s="1"/>
      <c r="K369" s="1"/>
      <c r="L369" s="1"/>
      <c r="M369" s="59">
        <f t="shared" si="125"/>
        <v>0</v>
      </c>
      <c r="N369" s="1"/>
      <c r="O369" s="1"/>
      <c r="P369" s="1"/>
      <c r="Q369" s="59">
        <f t="shared" si="126"/>
        <v>0</v>
      </c>
      <c r="R369" s="59">
        <f t="shared" si="127"/>
        <v>0</v>
      </c>
      <c r="S369" s="125"/>
      <c r="T369" s="4" t="s">
        <v>331</v>
      </c>
    </row>
    <row r="370" spans="1:20" ht="15.75" customHeight="1" x14ac:dyDescent="0.3">
      <c r="A370" s="76" t="s">
        <v>332</v>
      </c>
      <c r="B370" s="1">
        <v>17</v>
      </c>
      <c r="C370" s="1">
        <v>28</v>
      </c>
      <c r="D370" s="1">
        <v>43</v>
      </c>
      <c r="E370" s="59">
        <f t="shared" si="123"/>
        <v>88</v>
      </c>
      <c r="F370" s="1">
        <v>52</v>
      </c>
      <c r="G370" s="1"/>
      <c r="H370" s="1"/>
      <c r="I370" s="59">
        <f>SUM(F370:H370)</f>
        <v>52</v>
      </c>
      <c r="J370" s="1">
        <v>50</v>
      </c>
      <c r="K370" s="1">
        <v>39</v>
      </c>
      <c r="L370" s="1">
        <v>34</v>
      </c>
      <c r="M370" s="59">
        <f>SUM(J370:L370)</f>
        <v>123</v>
      </c>
      <c r="N370" s="1">
        <v>46</v>
      </c>
      <c r="O370" s="1">
        <v>28</v>
      </c>
      <c r="P370" s="1">
        <v>12</v>
      </c>
      <c r="Q370" s="59">
        <f>SUM(N370:P370)</f>
        <v>86</v>
      </c>
      <c r="R370" s="59">
        <f>+E370+I370+M370+Q370</f>
        <v>349</v>
      </c>
      <c r="T370" s="4" t="s">
        <v>127</v>
      </c>
    </row>
    <row r="371" spans="1:20" ht="15.75" customHeight="1" x14ac:dyDescent="0.3">
      <c r="A371" s="76" t="s">
        <v>333</v>
      </c>
      <c r="B371" s="1">
        <v>1788</v>
      </c>
      <c r="C371" s="1">
        <f>392+578</f>
        <v>970</v>
      </c>
      <c r="D371" s="1">
        <f>204</f>
        <v>204</v>
      </c>
      <c r="E371" s="59">
        <f t="shared" ref="E371" si="147">SUM(B371:D371)</f>
        <v>2962</v>
      </c>
      <c r="F371" s="1">
        <v>1390</v>
      </c>
      <c r="G371" s="1">
        <v>217</v>
      </c>
      <c r="H371" s="1">
        <v>1600</v>
      </c>
      <c r="I371" s="59">
        <f t="shared" ref="I371" si="148">SUM(F371:H371)</f>
        <v>3207</v>
      </c>
      <c r="J371" s="1">
        <v>4159</v>
      </c>
      <c r="K371" s="1">
        <v>3948</v>
      </c>
      <c r="L371" s="1">
        <v>5687</v>
      </c>
      <c r="M371" s="59">
        <f t="shared" ref="M371" si="149">SUM(J371:L371)</f>
        <v>13794</v>
      </c>
      <c r="N371" s="1">
        <f>1804+4316</f>
        <v>6120</v>
      </c>
      <c r="O371" s="1">
        <f>3711+1748</f>
        <v>5459</v>
      </c>
      <c r="P371" s="1">
        <f>3085+1612</f>
        <v>4697</v>
      </c>
      <c r="Q371" s="59">
        <f t="shared" si="126"/>
        <v>16276</v>
      </c>
      <c r="R371" s="59">
        <f t="shared" si="127"/>
        <v>36239</v>
      </c>
      <c r="T371" s="4" t="s">
        <v>334</v>
      </c>
    </row>
    <row r="372" spans="1:20" ht="15.75" customHeight="1" x14ac:dyDescent="0.3">
      <c r="A372" s="76" t="s">
        <v>335</v>
      </c>
      <c r="B372" s="1"/>
      <c r="C372" s="1"/>
      <c r="D372" s="1"/>
      <c r="E372" s="59">
        <f t="shared" si="123"/>
        <v>0</v>
      </c>
      <c r="F372" s="1"/>
      <c r="G372" s="1"/>
      <c r="H372" s="1"/>
      <c r="I372" s="59">
        <f t="shared" si="124"/>
        <v>0</v>
      </c>
      <c r="J372" s="1"/>
      <c r="K372" s="1"/>
      <c r="L372" s="1"/>
      <c r="M372" s="59">
        <f t="shared" si="125"/>
        <v>0</v>
      </c>
      <c r="N372" s="1"/>
      <c r="O372" s="1"/>
      <c r="P372" s="1"/>
      <c r="Q372" s="59">
        <f t="shared" si="126"/>
        <v>0</v>
      </c>
      <c r="R372" s="59">
        <f t="shared" si="127"/>
        <v>0</v>
      </c>
      <c r="T372" s="4" t="s">
        <v>336</v>
      </c>
    </row>
    <row r="373" spans="1:20" ht="15.75" customHeight="1" x14ac:dyDescent="0.3">
      <c r="A373" s="76" t="s">
        <v>337</v>
      </c>
      <c r="B373" s="1"/>
      <c r="C373" s="1"/>
      <c r="D373" s="1"/>
      <c r="E373" s="59">
        <f t="shared" si="123"/>
        <v>0</v>
      </c>
      <c r="F373" s="1">
        <v>1000</v>
      </c>
      <c r="G373" s="1">
        <v>1000</v>
      </c>
      <c r="H373" s="1">
        <f>350+650</f>
        <v>1000</v>
      </c>
      <c r="I373" s="59">
        <f t="shared" si="124"/>
        <v>3000</v>
      </c>
      <c r="J373" s="1">
        <v>1000</v>
      </c>
      <c r="K373" s="1">
        <v>1000</v>
      </c>
      <c r="L373" s="1"/>
      <c r="M373" s="59">
        <f t="shared" si="125"/>
        <v>2000</v>
      </c>
      <c r="N373" s="1"/>
      <c r="O373" s="1"/>
      <c r="P373" s="1"/>
      <c r="Q373" s="59">
        <f t="shared" ref="Q373:Q374" si="150">SUM(N373:P373)</f>
        <v>0</v>
      </c>
      <c r="R373" s="59">
        <f t="shared" si="127"/>
        <v>5000</v>
      </c>
    </row>
    <row r="374" spans="1:20" ht="15.75" customHeight="1" x14ac:dyDescent="0.3">
      <c r="A374" s="76" t="s">
        <v>338</v>
      </c>
      <c r="B374" s="1"/>
      <c r="C374" s="1">
        <v>4</v>
      </c>
      <c r="D374" s="1">
        <v>65</v>
      </c>
      <c r="E374" s="59">
        <f t="shared" si="123"/>
        <v>69</v>
      </c>
      <c r="F374" s="1">
        <v>16</v>
      </c>
      <c r="G374" s="1">
        <v>32</v>
      </c>
      <c r="H374" s="1"/>
      <c r="I374" s="59">
        <f t="shared" si="124"/>
        <v>48</v>
      </c>
      <c r="J374" s="1"/>
      <c r="K374" s="1"/>
      <c r="L374" s="1"/>
      <c r="M374" s="59">
        <f t="shared" si="125"/>
        <v>0</v>
      </c>
      <c r="N374" s="1"/>
      <c r="O374" s="1"/>
      <c r="P374" s="1"/>
      <c r="Q374" s="59">
        <f t="shared" si="150"/>
        <v>0</v>
      </c>
      <c r="R374" s="59">
        <f t="shared" si="127"/>
        <v>117</v>
      </c>
    </row>
    <row r="375" spans="1:20" ht="15.75" customHeight="1" x14ac:dyDescent="0.3">
      <c r="A375" s="76" t="s">
        <v>339</v>
      </c>
      <c r="B375" s="1"/>
      <c r="C375" s="1"/>
      <c r="D375" s="1"/>
      <c r="E375" s="59">
        <f t="shared" si="123"/>
        <v>0</v>
      </c>
      <c r="F375" s="1"/>
      <c r="G375" s="1"/>
      <c r="H375" s="1"/>
      <c r="I375" s="59">
        <f t="shared" si="124"/>
        <v>0</v>
      </c>
      <c r="J375" s="1"/>
      <c r="K375" s="1">
        <v>2249</v>
      </c>
      <c r="L375" s="1">
        <v>1000</v>
      </c>
      <c r="M375" s="59">
        <f t="shared" si="125"/>
        <v>3249</v>
      </c>
      <c r="N375" s="1">
        <v>1000</v>
      </c>
      <c r="O375" s="1">
        <v>1000</v>
      </c>
      <c r="P375" s="1"/>
      <c r="Q375" s="59">
        <f t="shared" si="126"/>
        <v>2000</v>
      </c>
      <c r="R375" s="59">
        <f t="shared" si="127"/>
        <v>5249</v>
      </c>
    </row>
    <row r="376" spans="1:20" ht="15.75" customHeight="1" x14ac:dyDescent="0.3">
      <c r="A376" s="76" t="s">
        <v>340</v>
      </c>
      <c r="B376" s="1"/>
      <c r="C376" s="1"/>
      <c r="D376" s="1"/>
      <c r="E376" s="59">
        <f t="shared" si="123"/>
        <v>0</v>
      </c>
      <c r="F376" s="1"/>
      <c r="G376" s="1">
        <f>100+1716</f>
        <v>1816</v>
      </c>
      <c r="H376" s="1">
        <v>2000</v>
      </c>
      <c r="I376" s="59">
        <f t="shared" si="124"/>
        <v>3816</v>
      </c>
      <c r="J376" s="1">
        <v>1184</v>
      </c>
      <c r="K376" s="1"/>
      <c r="L376" s="1"/>
      <c r="M376" s="59">
        <f t="shared" si="125"/>
        <v>1184</v>
      </c>
      <c r="N376" s="1"/>
      <c r="O376" s="1"/>
      <c r="P376" s="1"/>
      <c r="Q376" s="59">
        <f t="shared" si="126"/>
        <v>0</v>
      </c>
      <c r="R376" s="59">
        <f t="shared" si="127"/>
        <v>5000</v>
      </c>
      <c r="S376" s="75" t="s">
        <v>80</v>
      </c>
    </row>
    <row r="377" spans="1:20" ht="15.75" customHeight="1" x14ac:dyDescent="0.3">
      <c r="A377" s="76" t="s">
        <v>341</v>
      </c>
      <c r="B377" s="1"/>
      <c r="C377" s="1"/>
      <c r="D377" s="1"/>
      <c r="E377" s="59">
        <f t="shared" si="123"/>
        <v>0</v>
      </c>
      <c r="F377" s="1"/>
      <c r="G377" s="1"/>
      <c r="H377" s="1">
        <v>355</v>
      </c>
      <c r="I377" s="59">
        <f t="shared" si="124"/>
        <v>355</v>
      </c>
      <c r="J377" s="1"/>
      <c r="K377" s="1"/>
      <c r="L377" s="1"/>
      <c r="M377" s="59">
        <f t="shared" si="125"/>
        <v>0</v>
      </c>
      <c r="N377" s="1"/>
      <c r="O377" s="1"/>
      <c r="P377" s="1"/>
      <c r="Q377" s="59">
        <f>SUM(N377:P377)</f>
        <v>0</v>
      </c>
      <c r="R377" s="59">
        <f>+E377+I377+M377+Q377</f>
        <v>355</v>
      </c>
      <c r="T377" s="4" t="s">
        <v>315</v>
      </c>
    </row>
    <row r="378" spans="1:20" ht="15.75" customHeight="1" x14ac:dyDescent="0.3">
      <c r="A378" s="76" t="s">
        <v>342</v>
      </c>
      <c r="B378" s="1">
        <v>18</v>
      </c>
      <c r="C378" s="1">
        <v>46</v>
      </c>
      <c r="D378" s="1">
        <v>37</v>
      </c>
      <c r="E378" s="59">
        <f>SUM(B378:D378)</f>
        <v>101</v>
      </c>
      <c r="F378" s="1">
        <v>59</v>
      </c>
      <c r="G378" s="1"/>
      <c r="H378" s="1"/>
      <c r="I378" s="59">
        <f>SUM(F378:H378)</f>
        <v>59</v>
      </c>
      <c r="J378" s="1">
        <v>51</v>
      </c>
      <c r="K378" s="1">
        <v>48</v>
      </c>
      <c r="L378" s="1">
        <v>36</v>
      </c>
      <c r="M378" s="59">
        <f>SUM(J378:L378)</f>
        <v>135</v>
      </c>
      <c r="N378" s="1">
        <v>69</v>
      </c>
      <c r="O378" s="1">
        <v>74</v>
      </c>
      <c r="P378" s="1">
        <v>36</v>
      </c>
      <c r="Q378" s="59">
        <f>SUM(N378:P378)</f>
        <v>179</v>
      </c>
      <c r="R378" s="59">
        <f>+E378+I378+M378+Q378</f>
        <v>474</v>
      </c>
      <c r="T378" s="4" t="s">
        <v>127</v>
      </c>
    </row>
    <row r="379" spans="1:20" ht="15.75" customHeight="1" x14ac:dyDescent="0.3">
      <c r="A379" s="74" t="s">
        <v>343</v>
      </c>
      <c r="B379" s="1"/>
      <c r="C379" s="1"/>
      <c r="D379" s="1"/>
      <c r="E379" s="59">
        <f>SUM(B379:D379)</f>
        <v>0</v>
      </c>
      <c r="F379" s="1"/>
      <c r="G379" s="1"/>
      <c r="H379" s="1"/>
      <c r="I379" s="59">
        <f>SUM(F379:H379)</f>
        <v>0</v>
      </c>
      <c r="J379" s="1"/>
      <c r="K379" s="1"/>
      <c r="L379" s="1">
        <v>27</v>
      </c>
      <c r="M379" s="59">
        <f>SUM(J379:L379)</f>
        <v>27</v>
      </c>
      <c r="N379" s="1"/>
      <c r="O379" s="1"/>
      <c r="P379" s="1"/>
      <c r="Q379" s="59">
        <f>SUM(N379:P379)</f>
        <v>0</v>
      </c>
      <c r="R379" s="59">
        <f t="shared" si="127"/>
        <v>27</v>
      </c>
    </row>
    <row r="380" spans="1:20" ht="15.75" customHeight="1" x14ac:dyDescent="0.3">
      <c r="A380" s="76" t="s">
        <v>344</v>
      </c>
      <c r="B380" s="1">
        <v>20</v>
      </c>
      <c r="C380" s="1">
        <v>20</v>
      </c>
      <c r="D380" s="1">
        <v>38</v>
      </c>
      <c r="E380" s="59">
        <f t="shared" ref="E380" si="151">SUM(B380:D380)</f>
        <v>78</v>
      </c>
      <c r="F380" s="1">
        <v>67</v>
      </c>
      <c r="G380" s="1">
        <v>89</v>
      </c>
      <c r="H380" s="1">
        <v>117</v>
      </c>
      <c r="I380" s="59">
        <f t="shared" ref="I380" si="152">SUM(F380:H380)</f>
        <v>273</v>
      </c>
      <c r="J380" s="1">
        <v>112</v>
      </c>
      <c r="K380" s="1">
        <v>32</v>
      </c>
      <c r="L380" s="1"/>
      <c r="M380" s="59">
        <f t="shared" ref="M380" si="153">SUM(J380:L380)</f>
        <v>144</v>
      </c>
      <c r="N380" s="1"/>
      <c r="O380" s="1"/>
      <c r="P380" s="1"/>
      <c r="Q380" s="59">
        <f t="shared" si="126"/>
        <v>0</v>
      </c>
      <c r="R380" s="59">
        <f t="shared" si="127"/>
        <v>495</v>
      </c>
      <c r="S380" s="4">
        <f>SUM(R345:R380)</f>
        <v>89799</v>
      </c>
      <c r="T380" s="4" t="s">
        <v>331</v>
      </c>
    </row>
    <row r="381" spans="1:20" ht="15.75" customHeight="1" x14ac:dyDescent="0.3">
      <c r="A381" s="76" t="s">
        <v>345</v>
      </c>
      <c r="B381" s="1">
        <v>2</v>
      </c>
      <c r="C381" s="1">
        <v>3</v>
      </c>
      <c r="D381" s="1">
        <v>3</v>
      </c>
      <c r="E381" s="59">
        <f>SUM(B381:D381)</f>
        <v>8</v>
      </c>
      <c r="F381" s="1">
        <v>47</v>
      </c>
      <c r="G381" s="1"/>
      <c r="H381" s="1"/>
      <c r="I381" s="59">
        <f>SUM(F381:H381)</f>
        <v>47</v>
      </c>
      <c r="J381" s="1">
        <v>41</v>
      </c>
      <c r="K381" s="1">
        <v>37</v>
      </c>
      <c r="L381" s="1">
        <v>29</v>
      </c>
      <c r="M381" s="59">
        <f>SUM(J381:L381)</f>
        <v>107</v>
      </c>
      <c r="N381" s="1">
        <v>70</v>
      </c>
      <c r="O381" s="1">
        <v>40</v>
      </c>
      <c r="P381" s="1">
        <v>12</v>
      </c>
      <c r="Q381" s="59">
        <f>SUM(N381:P381)</f>
        <v>122</v>
      </c>
      <c r="R381" s="59">
        <f>+E381+I381+M381+Q381</f>
        <v>284</v>
      </c>
      <c r="T381" s="4" t="s">
        <v>127</v>
      </c>
    </row>
    <row r="382" spans="1:20" ht="15.75" customHeight="1" x14ac:dyDescent="0.3">
      <c r="A382" s="17" t="s">
        <v>47</v>
      </c>
      <c r="B382" s="1"/>
      <c r="C382" s="1"/>
      <c r="D382" s="1"/>
      <c r="E382" s="59" t="s">
        <v>7</v>
      </c>
      <c r="F382" s="1"/>
      <c r="G382" s="1"/>
      <c r="H382" s="1"/>
      <c r="I382" s="59" t="s">
        <v>7</v>
      </c>
      <c r="J382" s="1"/>
      <c r="K382" s="1"/>
      <c r="L382" s="1"/>
      <c r="M382" s="59" t="s">
        <v>7</v>
      </c>
      <c r="N382" s="1"/>
      <c r="O382" s="1"/>
      <c r="P382" s="1"/>
      <c r="Q382" s="59" t="s">
        <v>7</v>
      </c>
      <c r="R382" s="59" t="s">
        <v>7</v>
      </c>
    </row>
    <row r="383" spans="1:20" ht="15.75" customHeight="1" x14ac:dyDescent="0.3">
      <c r="A383" s="76" t="s">
        <v>346</v>
      </c>
      <c r="B383" s="1"/>
      <c r="C383" s="1"/>
      <c r="D383" s="1"/>
      <c r="E383" s="59">
        <f t="shared" ref="E383:E393" si="154">SUM(B383:D383)</f>
        <v>0</v>
      </c>
      <c r="F383" s="1"/>
      <c r="G383" s="1"/>
      <c r="H383" s="1"/>
      <c r="I383" s="59">
        <f t="shared" ref="I383:I393" si="155">SUM(F383:H383)</f>
        <v>0</v>
      </c>
      <c r="J383" s="1"/>
      <c r="K383" s="1"/>
      <c r="L383" s="1"/>
      <c r="M383" s="59">
        <f t="shared" ref="M383:M393" si="156">SUM(J383:L383)</f>
        <v>0</v>
      </c>
      <c r="N383" s="1"/>
      <c r="O383" s="1"/>
      <c r="P383" s="1"/>
      <c r="Q383" s="59">
        <f t="shared" ref="Q383:Q393" si="157">SUM(N383:P383)</f>
        <v>0</v>
      </c>
      <c r="R383" s="59">
        <f t="shared" ref="R383:R393" si="158">+E383+I383+M383+Q383</f>
        <v>0</v>
      </c>
    </row>
    <row r="384" spans="1:20" ht="15.75" customHeight="1" x14ac:dyDescent="0.3">
      <c r="A384" s="76" t="s">
        <v>347</v>
      </c>
      <c r="B384" s="1"/>
      <c r="C384" s="1"/>
      <c r="D384" s="1"/>
      <c r="E384" s="59">
        <f>SUM(B384:D384)</f>
        <v>0</v>
      </c>
      <c r="F384" s="1"/>
      <c r="G384" s="1"/>
      <c r="H384" s="1"/>
      <c r="I384" s="59">
        <f>SUM(F384:H384)</f>
        <v>0</v>
      </c>
      <c r="J384" s="1"/>
      <c r="K384" s="1"/>
      <c r="L384" s="1"/>
      <c r="M384" s="59">
        <f>SUM(J384:L384)</f>
        <v>0</v>
      </c>
      <c r="N384" s="1"/>
      <c r="O384" s="1"/>
      <c r="P384" s="1"/>
      <c r="Q384" s="59">
        <f>SUM(N384:P384)</f>
        <v>0</v>
      </c>
      <c r="R384" s="59">
        <f>+E384+I384+M384+Q384</f>
        <v>0</v>
      </c>
      <c r="T384" s="4" t="s">
        <v>348</v>
      </c>
    </row>
    <row r="385" spans="1:23" ht="15.75" customHeight="1" x14ac:dyDescent="0.3">
      <c r="A385" s="76" t="s">
        <v>349</v>
      </c>
      <c r="B385" s="1"/>
      <c r="C385" s="1"/>
      <c r="D385" s="1"/>
      <c r="E385" s="59">
        <f>SUM(B385:D385)</f>
        <v>0</v>
      </c>
      <c r="F385" s="1"/>
      <c r="G385" s="1"/>
      <c r="H385" s="1"/>
      <c r="I385" s="59">
        <f>SUM(F385:H385)</f>
        <v>0</v>
      </c>
      <c r="J385" s="1"/>
      <c r="K385" s="1"/>
      <c r="L385" s="1"/>
      <c r="M385" s="59">
        <f>SUM(J385:L385)</f>
        <v>0</v>
      </c>
      <c r="N385" s="1"/>
      <c r="O385" s="1"/>
      <c r="P385" s="1"/>
      <c r="Q385" s="59">
        <f>SUM(N385:P385)</f>
        <v>0</v>
      </c>
      <c r="R385" s="59">
        <f>+E385+I385+M385+Q385</f>
        <v>0</v>
      </c>
      <c r="T385" s="4" t="s">
        <v>336</v>
      </c>
    </row>
    <row r="386" spans="1:23" ht="15.75" customHeight="1" x14ac:dyDescent="0.3">
      <c r="A386" s="76" t="s">
        <v>330</v>
      </c>
      <c r="B386" s="1"/>
      <c r="C386" s="1"/>
      <c r="D386" s="1"/>
      <c r="E386" s="59">
        <f t="shared" si="154"/>
        <v>0</v>
      </c>
      <c r="F386" s="1"/>
      <c r="G386" s="1"/>
      <c r="H386" s="1"/>
      <c r="I386" s="59">
        <f t="shared" si="155"/>
        <v>0</v>
      </c>
      <c r="J386" s="1"/>
      <c r="K386" s="1"/>
      <c r="L386" s="1"/>
      <c r="M386" s="59">
        <f t="shared" si="156"/>
        <v>0</v>
      </c>
      <c r="N386" s="1"/>
      <c r="O386" s="1"/>
      <c r="P386" s="1"/>
      <c r="Q386" s="59">
        <f t="shared" si="157"/>
        <v>0</v>
      </c>
      <c r="R386" s="59">
        <f>+E386+I386+M386+Q386</f>
        <v>0</v>
      </c>
      <c r="T386" s="4" t="s">
        <v>331</v>
      </c>
    </row>
    <row r="387" spans="1:23" ht="15.75" customHeight="1" x14ac:dyDescent="0.3">
      <c r="A387" s="76" t="s">
        <v>350</v>
      </c>
      <c r="B387" s="1"/>
      <c r="C387" s="1"/>
      <c r="D387" s="1"/>
      <c r="E387" s="59">
        <f>SUM(B387:D387)</f>
        <v>0</v>
      </c>
      <c r="F387" s="1"/>
      <c r="G387" s="1"/>
      <c r="H387" s="1"/>
      <c r="I387" s="59">
        <f>SUM(F387:H387)</f>
        <v>0</v>
      </c>
      <c r="J387" s="1"/>
      <c r="K387" s="1"/>
      <c r="L387" s="1"/>
      <c r="M387" s="59">
        <f>SUM(J387:L387)</f>
        <v>0</v>
      </c>
      <c r="N387" s="1"/>
      <c r="O387" s="1"/>
      <c r="P387" s="1"/>
      <c r="Q387" s="59">
        <f>SUM(N387:P387)</f>
        <v>0</v>
      </c>
      <c r="R387" s="59">
        <f>+E387+I387+M387+Q387</f>
        <v>0</v>
      </c>
      <c r="T387" s="4" t="s">
        <v>351</v>
      </c>
    </row>
    <row r="388" spans="1:23" ht="15.75" customHeight="1" x14ac:dyDescent="0.3">
      <c r="A388" s="76" t="s">
        <v>352</v>
      </c>
      <c r="B388" s="1"/>
      <c r="C388" s="1"/>
      <c r="D388" s="1"/>
      <c r="E388" s="59">
        <f t="shared" si="154"/>
        <v>0</v>
      </c>
      <c r="F388" s="1"/>
      <c r="G388" s="1"/>
      <c r="H388" s="1"/>
      <c r="I388" s="59">
        <f t="shared" si="155"/>
        <v>0</v>
      </c>
      <c r="J388" s="1"/>
      <c r="K388" s="1"/>
      <c r="L388" s="1"/>
      <c r="M388" s="59">
        <f t="shared" si="156"/>
        <v>0</v>
      </c>
      <c r="N388" s="1"/>
      <c r="O388" s="1"/>
      <c r="P388" s="1"/>
      <c r="Q388" s="59">
        <f t="shared" si="157"/>
        <v>0</v>
      </c>
      <c r="R388" s="59">
        <f t="shared" si="158"/>
        <v>0</v>
      </c>
    </row>
    <row r="389" spans="1:23" ht="15.75" customHeight="1" x14ac:dyDescent="0.3">
      <c r="A389" s="76" t="s">
        <v>353</v>
      </c>
      <c r="B389" s="1"/>
      <c r="C389" s="1"/>
      <c r="D389" s="1"/>
      <c r="E389" s="59">
        <f t="shared" si="154"/>
        <v>0</v>
      </c>
      <c r="F389" s="1"/>
      <c r="G389" s="1"/>
      <c r="H389" s="1"/>
      <c r="I389" s="59">
        <f t="shared" si="155"/>
        <v>0</v>
      </c>
      <c r="J389" s="1"/>
      <c r="K389" s="1"/>
      <c r="L389" s="1"/>
      <c r="M389" s="59">
        <f t="shared" si="156"/>
        <v>0</v>
      </c>
      <c r="N389" s="1"/>
      <c r="O389" s="1"/>
      <c r="P389" s="1"/>
      <c r="Q389" s="59">
        <f t="shared" si="157"/>
        <v>0</v>
      </c>
      <c r="R389" s="59">
        <f t="shared" si="158"/>
        <v>0</v>
      </c>
      <c r="T389" s="4" t="s">
        <v>354</v>
      </c>
    </row>
    <row r="390" spans="1:23" ht="15.75" customHeight="1" x14ac:dyDescent="0.3">
      <c r="A390" s="76" t="s">
        <v>355</v>
      </c>
      <c r="B390" s="1"/>
      <c r="C390" s="1"/>
      <c r="D390" s="1"/>
      <c r="E390" s="59">
        <f t="shared" si="154"/>
        <v>0</v>
      </c>
      <c r="F390" s="1"/>
      <c r="G390" s="1"/>
      <c r="H390" s="1"/>
      <c r="I390" s="59">
        <f t="shared" si="155"/>
        <v>0</v>
      </c>
      <c r="J390" s="1"/>
      <c r="K390" s="1"/>
      <c r="L390" s="1"/>
      <c r="M390" s="59">
        <f t="shared" si="156"/>
        <v>0</v>
      </c>
      <c r="N390" s="1"/>
      <c r="O390" s="1"/>
      <c r="P390" s="1"/>
      <c r="Q390" s="59">
        <f t="shared" si="157"/>
        <v>0</v>
      </c>
      <c r="R390" s="59">
        <f t="shared" si="158"/>
        <v>0</v>
      </c>
      <c r="T390" s="4" t="s">
        <v>354</v>
      </c>
    </row>
    <row r="391" spans="1:23" ht="15.75" customHeight="1" x14ac:dyDescent="0.3">
      <c r="A391" s="76" t="s">
        <v>356</v>
      </c>
      <c r="B391" s="1"/>
      <c r="C391" s="1"/>
      <c r="D391" s="1"/>
      <c r="E391" s="59">
        <f t="shared" si="154"/>
        <v>0</v>
      </c>
      <c r="F391" s="1"/>
      <c r="G391" s="1"/>
      <c r="H391" s="1"/>
      <c r="I391" s="59">
        <f t="shared" si="155"/>
        <v>0</v>
      </c>
      <c r="J391" s="1"/>
      <c r="K391" s="1"/>
      <c r="L391" s="1"/>
      <c r="M391" s="59">
        <f t="shared" si="156"/>
        <v>0</v>
      </c>
      <c r="N391" s="1"/>
      <c r="O391" s="1"/>
      <c r="P391" s="1"/>
      <c r="Q391" s="59">
        <f t="shared" si="157"/>
        <v>0</v>
      </c>
      <c r="R391" s="59">
        <f t="shared" si="158"/>
        <v>0</v>
      </c>
      <c r="T391" s="4" t="s">
        <v>127</v>
      </c>
    </row>
    <row r="392" spans="1:23" ht="15.75" customHeight="1" x14ac:dyDescent="0.3">
      <c r="A392" s="76" t="s">
        <v>357</v>
      </c>
      <c r="B392" s="1"/>
      <c r="C392" s="1"/>
      <c r="D392" s="1"/>
      <c r="E392" s="59">
        <f>SUM(B392:D392)</f>
        <v>0</v>
      </c>
      <c r="F392" s="1"/>
      <c r="G392" s="1"/>
      <c r="H392" s="1"/>
      <c r="I392" s="59">
        <f>SUM(F392:H392)</f>
        <v>0</v>
      </c>
      <c r="J392" s="1"/>
      <c r="K392" s="1"/>
      <c r="L392" s="1"/>
      <c r="M392" s="59">
        <f>SUM(J392:L392)</f>
        <v>0</v>
      </c>
      <c r="N392" s="1"/>
      <c r="O392" s="1"/>
      <c r="P392" s="1"/>
      <c r="Q392" s="59">
        <f>SUM(N392:P392)</f>
        <v>0</v>
      </c>
      <c r="R392" s="59">
        <f>+E392+I392+M392+Q392</f>
        <v>0</v>
      </c>
      <c r="T392" s="4" t="s">
        <v>127</v>
      </c>
    </row>
    <row r="393" spans="1:23" ht="15.75" customHeight="1" x14ac:dyDescent="0.3">
      <c r="A393" s="76" t="s">
        <v>358</v>
      </c>
      <c r="B393" s="1"/>
      <c r="C393" s="1"/>
      <c r="D393" s="1"/>
      <c r="E393" s="59">
        <f t="shared" si="154"/>
        <v>0</v>
      </c>
      <c r="F393" s="1"/>
      <c r="G393" s="1"/>
      <c r="H393" s="1"/>
      <c r="I393" s="59">
        <f t="shared" si="155"/>
        <v>0</v>
      </c>
      <c r="J393" s="1"/>
      <c r="K393" s="1"/>
      <c r="L393" s="1"/>
      <c r="M393" s="59">
        <f t="shared" si="156"/>
        <v>0</v>
      </c>
      <c r="N393" s="1"/>
      <c r="O393" s="1"/>
      <c r="P393" s="1"/>
      <c r="Q393" s="59">
        <f t="shared" si="157"/>
        <v>0</v>
      </c>
      <c r="R393" s="59">
        <f t="shared" si="158"/>
        <v>0</v>
      </c>
      <c r="T393" s="4" t="s">
        <v>359</v>
      </c>
    </row>
    <row r="394" spans="1:23" ht="15.75" customHeight="1" x14ac:dyDescent="0.3">
      <c r="A394" s="17" t="s">
        <v>49</v>
      </c>
      <c r="B394" s="1"/>
      <c r="C394" s="1"/>
      <c r="D394" s="1"/>
      <c r="E394" s="59" t="s">
        <v>7</v>
      </c>
      <c r="F394" s="1"/>
      <c r="G394" s="1"/>
      <c r="H394" s="1"/>
      <c r="I394" s="59" t="s">
        <v>7</v>
      </c>
      <c r="J394" s="1"/>
      <c r="K394" s="1"/>
      <c r="L394" s="1"/>
      <c r="M394" s="59" t="s">
        <v>7</v>
      </c>
      <c r="N394" s="1"/>
      <c r="O394" s="1"/>
      <c r="P394" s="1"/>
      <c r="Q394" s="59" t="s">
        <v>7</v>
      </c>
      <c r="R394" s="59" t="s">
        <v>7</v>
      </c>
    </row>
    <row r="395" spans="1:23" ht="15.75" customHeight="1" x14ac:dyDescent="0.3">
      <c r="A395" s="76" t="s">
        <v>360</v>
      </c>
      <c r="B395" s="1"/>
      <c r="C395" s="1"/>
      <c r="D395" s="1"/>
      <c r="E395" s="59">
        <f>SUM(B395:D395)</f>
        <v>0</v>
      </c>
      <c r="F395" s="1"/>
      <c r="G395" s="1"/>
      <c r="H395" s="1"/>
      <c r="I395" s="59">
        <f>SUM(F395:H395)</f>
        <v>0</v>
      </c>
      <c r="J395" s="1"/>
      <c r="K395" s="1"/>
      <c r="L395" s="1"/>
      <c r="M395" s="59">
        <f>SUM(J395:L395)</f>
        <v>0</v>
      </c>
      <c r="N395" s="1"/>
      <c r="O395" s="1"/>
      <c r="P395" s="1"/>
      <c r="Q395" s="59">
        <f>SUM(N395:P395)</f>
        <v>0</v>
      </c>
      <c r="R395" s="59">
        <f>+E395+I395+M395+Q395</f>
        <v>0</v>
      </c>
      <c r="S395" s="77" t="s">
        <v>90</v>
      </c>
      <c r="T395" s="4" t="s">
        <v>305</v>
      </c>
    </row>
    <row r="396" spans="1:23" ht="15.75" customHeight="1" x14ac:dyDescent="0.3">
      <c r="A396" s="76" t="s">
        <v>361</v>
      </c>
      <c r="B396" s="1"/>
      <c r="C396" s="1"/>
      <c r="D396" s="1"/>
      <c r="E396" s="59">
        <f>SUM(B396:D396)</f>
        <v>0</v>
      </c>
      <c r="F396" s="1"/>
      <c r="G396" s="1"/>
      <c r="H396" s="1"/>
      <c r="I396" s="59">
        <f>SUM(F396:H396)</f>
        <v>0</v>
      </c>
      <c r="J396" s="1"/>
      <c r="K396" s="1"/>
      <c r="L396" s="1"/>
      <c r="M396" s="59">
        <f>SUM(J396:L396)</f>
        <v>0</v>
      </c>
      <c r="N396" s="1"/>
      <c r="O396" s="1"/>
      <c r="P396" s="1"/>
      <c r="Q396" s="59">
        <f>SUM(N396:P396)</f>
        <v>0</v>
      </c>
      <c r="R396" s="59">
        <f>+E396+I396+M396+Q396</f>
        <v>0</v>
      </c>
      <c r="S396" s="77" t="s">
        <v>90</v>
      </c>
    </row>
    <row r="397" spans="1:23" ht="15.75" customHeight="1" x14ac:dyDescent="0.3">
      <c r="A397" s="76" t="s">
        <v>362</v>
      </c>
      <c r="B397" s="1"/>
      <c r="C397" s="1"/>
      <c r="D397" s="1"/>
      <c r="E397" s="59">
        <f>SUM(B397:D397)</f>
        <v>0</v>
      </c>
      <c r="F397" s="1"/>
      <c r="G397" s="1"/>
      <c r="H397" s="1"/>
      <c r="I397" s="59">
        <f>SUM(F397:H397)</f>
        <v>0</v>
      </c>
      <c r="J397" s="1"/>
      <c r="K397" s="1"/>
      <c r="L397" s="1"/>
      <c r="M397" s="59">
        <f>SUM(J397:L397)</f>
        <v>0</v>
      </c>
      <c r="N397" s="1"/>
      <c r="O397" s="1"/>
      <c r="P397" s="1"/>
      <c r="Q397" s="59">
        <f>SUM(N397:P397)</f>
        <v>0</v>
      </c>
      <c r="R397" s="59">
        <f>+E397+I397+M397+Q397</f>
        <v>0</v>
      </c>
      <c r="S397" s="77" t="s">
        <v>90</v>
      </c>
      <c r="T397" s="4" t="s">
        <v>331</v>
      </c>
    </row>
    <row r="398" spans="1:23" ht="15.75" customHeight="1" x14ac:dyDescent="0.3">
      <c r="A398" s="76" t="s">
        <v>363</v>
      </c>
      <c r="B398" s="1"/>
      <c r="C398" s="1"/>
      <c r="D398" s="1"/>
      <c r="E398" s="59">
        <f>SUM(B398:D398)</f>
        <v>0</v>
      </c>
      <c r="F398" s="1"/>
      <c r="G398" s="1"/>
      <c r="H398" s="1"/>
      <c r="I398" s="59">
        <f>SUM(F398:H398)</f>
        <v>0</v>
      </c>
      <c r="J398" s="1"/>
      <c r="K398" s="1"/>
      <c r="L398" s="1"/>
      <c r="M398" s="59">
        <f>SUM(J398:L398)</f>
        <v>0</v>
      </c>
      <c r="N398" s="1"/>
      <c r="O398" s="1"/>
      <c r="P398" s="1"/>
      <c r="Q398" s="59">
        <f>SUM(N398:P398)</f>
        <v>0</v>
      </c>
      <c r="R398" s="59">
        <f>+E398+I398+M398+Q398</f>
        <v>0</v>
      </c>
      <c r="S398" s="77" t="s">
        <v>90</v>
      </c>
      <c r="T398" s="4" t="s">
        <v>315</v>
      </c>
    </row>
    <row r="399" spans="1:23" ht="16.5" customHeight="1" thickBot="1" x14ac:dyDescent="0.35">
      <c r="A399" s="17" t="s">
        <v>51</v>
      </c>
      <c r="B399" s="1"/>
      <c r="C399" s="1"/>
      <c r="D399" s="1"/>
      <c r="E399" s="59" t="s">
        <v>7</v>
      </c>
      <c r="F399" s="1"/>
      <c r="G399" s="1"/>
      <c r="H399" s="1"/>
      <c r="I399" s="59" t="s">
        <v>7</v>
      </c>
      <c r="J399" s="1"/>
      <c r="K399" s="1"/>
      <c r="L399" s="1"/>
      <c r="M399" s="59" t="s">
        <v>7</v>
      </c>
      <c r="N399" s="1"/>
      <c r="O399" s="1"/>
      <c r="P399" s="1"/>
      <c r="Q399" s="59" t="s">
        <v>7</v>
      </c>
      <c r="R399" s="88" t="s">
        <v>7</v>
      </c>
      <c r="V399" s="4" t="s">
        <v>364</v>
      </c>
      <c r="W399" s="4" t="s">
        <v>365</v>
      </c>
    </row>
    <row r="400" spans="1:23" ht="16.5" customHeight="1" thickBot="1" x14ac:dyDescent="0.35">
      <c r="A400" s="126" t="s">
        <v>52</v>
      </c>
      <c r="B400" s="100">
        <f>SUM(B343:B399)</f>
        <v>4651</v>
      </c>
      <c r="C400" s="101">
        <f>SUM(C343:C399)</f>
        <v>3357</v>
      </c>
      <c r="D400" s="101">
        <f>SUM(D343:D399)</f>
        <v>1831</v>
      </c>
      <c r="E400" s="64">
        <f>SUM(B400:D400)</f>
        <v>9839</v>
      </c>
      <c r="F400" s="101">
        <f>SUM(F343:F399)</f>
        <v>3342</v>
      </c>
      <c r="G400" s="101">
        <f>SUM(G343:G399)</f>
        <v>4127</v>
      </c>
      <c r="H400" s="101">
        <f>SUM(H343:H399)</f>
        <v>6107</v>
      </c>
      <c r="I400" s="64">
        <f>SUM(F400:H400)</f>
        <v>13576</v>
      </c>
      <c r="J400" s="101">
        <f>SUM(J343:J399)</f>
        <v>12899</v>
      </c>
      <c r="K400" s="101">
        <f>SUM(K343:K399)</f>
        <v>12958</v>
      </c>
      <c r="L400" s="101">
        <f>SUM(L343:L399)</f>
        <v>11929</v>
      </c>
      <c r="M400" s="64">
        <f>SUM(J400:L400)</f>
        <v>37786</v>
      </c>
      <c r="N400" s="101">
        <f>SUM(N343:N399)</f>
        <v>13619</v>
      </c>
      <c r="O400" s="101">
        <f>SUM(O343:O399)</f>
        <v>8840</v>
      </c>
      <c r="P400" s="101">
        <f>SUM(P343:P399)</f>
        <v>6423</v>
      </c>
      <c r="Q400" s="64">
        <f>SUM(N400:P400)</f>
        <v>28882</v>
      </c>
      <c r="R400" s="64">
        <f>+E400+I400+M400+Q400</f>
        <v>90083</v>
      </c>
      <c r="T400" s="106"/>
      <c r="V400" s="4" t="s">
        <v>305</v>
      </c>
      <c r="W400" s="127">
        <v>0.18</v>
      </c>
    </row>
    <row r="401" spans="1:39" ht="15.75" customHeight="1" x14ac:dyDescent="0.3">
      <c r="A401" s="17" t="s">
        <v>53</v>
      </c>
      <c r="B401" s="1"/>
      <c r="C401" s="1"/>
      <c r="D401" s="1"/>
      <c r="E401" s="59" t="s">
        <v>7</v>
      </c>
      <c r="F401" s="1"/>
      <c r="G401" s="1"/>
      <c r="H401" s="1"/>
      <c r="I401" s="59" t="s">
        <v>7</v>
      </c>
      <c r="J401" s="1"/>
      <c r="K401" s="1"/>
      <c r="L401" s="1"/>
      <c r="M401" s="59" t="s">
        <v>7</v>
      </c>
      <c r="N401" s="1"/>
      <c r="O401" s="1"/>
      <c r="P401" s="1"/>
      <c r="Q401" s="59" t="s">
        <v>7</v>
      </c>
      <c r="R401" s="59" t="s">
        <v>7</v>
      </c>
      <c r="V401" s="4" t="s">
        <v>366</v>
      </c>
      <c r="W401" s="127">
        <v>0.52</v>
      </c>
    </row>
    <row r="402" spans="1:39" ht="15.75" customHeight="1" x14ac:dyDescent="0.3">
      <c r="A402" s="17" t="s">
        <v>367</v>
      </c>
      <c r="B402" s="1"/>
      <c r="C402" s="1"/>
      <c r="D402" s="1"/>
      <c r="E402" s="59"/>
      <c r="F402" s="1"/>
      <c r="G402" s="1"/>
      <c r="H402" s="1"/>
      <c r="I402" s="59"/>
      <c r="J402" s="1"/>
      <c r="K402" s="1"/>
      <c r="L402" s="1"/>
      <c r="M402" s="59"/>
      <c r="N402" s="1"/>
      <c r="O402" s="1"/>
      <c r="P402" s="1"/>
      <c r="Q402" s="59"/>
      <c r="R402" s="59"/>
      <c r="V402" s="4" t="s">
        <v>368</v>
      </c>
      <c r="W402" s="127">
        <v>0.3</v>
      </c>
    </row>
    <row r="403" spans="1:39" ht="15.75" customHeight="1" x14ac:dyDescent="0.3">
      <c r="A403" s="17" t="s">
        <v>55</v>
      </c>
      <c r="B403" s="1"/>
      <c r="C403" s="1"/>
      <c r="D403" s="1"/>
      <c r="E403" s="59" t="s">
        <v>7</v>
      </c>
      <c r="F403" s="1"/>
      <c r="G403" s="1"/>
      <c r="H403" s="1"/>
      <c r="I403" s="59" t="s">
        <v>7</v>
      </c>
      <c r="J403" s="1"/>
      <c r="K403" s="1"/>
      <c r="L403" s="1"/>
      <c r="M403" s="59" t="s">
        <v>7</v>
      </c>
      <c r="N403" s="1"/>
      <c r="O403" s="1"/>
      <c r="P403" s="1"/>
      <c r="Q403" s="59" t="s">
        <v>7</v>
      </c>
      <c r="R403" s="59" t="s">
        <v>7</v>
      </c>
      <c r="W403" s="128">
        <f>+SUM(W400:W402)</f>
        <v>1</v>
      </c>
    </row>
    <row r="404" spans="1:39" ht="15.75" customHeight="1" x14ac:dyDescent="0.3">
      <c r="A404" s="76" t="s">
        <v>369</v>
      </c>
      <c r="B404" s="1">
        <v>73</v>
      </c>
      <c r="C404" s="1">
        <v>32</v>
      </c>
      <c r="D404" s="1">
        <v>354</v>
      </c>
      <c r="E404" s="59">
        <f>SUM(B404:D404)</f>
        <v>459</v>
      </c>
      <c r="F404" s="1">
        <v>2166</v>
      </c>
      <c r="G404" s="1">
        <v>1128</v>
      </c>
      <c r="H404" s="1">
        <v>3204</v>
      </c>
      <c r="I404" s="59">
        <f>SUM(F404:H404)</f>
        <v>6498</v>
      </c>
      <c r="J404" s="1">
        <v>1931</v>
      </c>
      <c r="K404" s="1">
        <v>1744</v>
      </c>
      <c r="L404" s="1">
        <v>1593</v>
      </c>
      <c r="M404" s="59">
        <f>SUM(J404:L404)</f>
        <v>5268</v>
      </c>
      <c r="N404" s="1">
        <v>135</v>
      </c>
      <c r="O404" s="1">
        <v>363</v>
      </c>
      <c r="P404" s="1">
        <v>378</v>
      </c>
      <c r="Q404" s="59">
        <f>SUM(N404:P404)</f>
        <v>876</v>
      </c>
      <c r="R404" s="59">
        <f t="shared" ref="R404:R412" si="159">+E404+I404+M404+Q404</f>
        <v>13101</v>
      </c>
      <c r="T404" s="4" t="s">
        <v>305</v>
      </c>
      <c r="V404" s="129" t="s">
        <v>370</v>
      </c>
      <c r="W404" s="30" t="s">
        <v>36</v>
      </c>
      <c r="X404" s="2" t="s">
        <v>9</v>
      </c>
      <c r="Y404" s="2" t="s">
        <v>10</v>
      </c>
      <c r="Z404" s="130" t="s">
        <v>11</v>
      </c>
      <c r="AA404" s="2" t="s">
        <v>12</v>
      </c>
      <c r="AB404" s="2" t="s">
        <v>13</v>
      </c>
      <c r="AC404" s="2" t="s">
        <v>14</v>
      </c>
      <c r="AD404" s="130" t="s">
        <v>15</v>
      </c>
      <c r="AE404" s="2" t="s">
        <v>16</v>
      </c>
      <c r="AF404" s="2" t="s">
        <v>17</v>
      </c>
      <c r="AG404" s="2" t="s">
        <v>18</v>
      </c>
      <c r="AH404" s="130" t="s">
        <v>19</v>
      </c>
      <c r="AI404" s="2" t="s">
        <v>20</v>
      </c>
      <c r="AJ404" s="2" t="s">
        <v>21</v>
      </c>
      <c r="AK404" s="2" t="s">
        <v>22</v>
      </c>
      <c r="AL404" s="130" t="s">
        <v>23</v>
      </c>
      <c r="AM404" s="131" t="s">
        <v>24</v>
      </c>
    </row>
    <row r="405" spans="1:39" ht="15.75" customHeight="1" x14ac:dyDescent="0.3">
      <c r="A405" s="76" t="s">
        <v>371</v>
      </c>
      <c r="B405" s="1"/>
      <c r="C405" s="1"/>
      <c r="D405" s="1"/>
      <c r="E405" s="59">
        <f>SUM(B405:D405)</f>
        <v>0</v>
      </c>
      <c r="F405" s="1"/>
      <c r="G405" s="1">
        <v>16</v>
      </c>
      <c r="H405" s="1">
        <v>12</v>
      </c>
      <c r="I405" s="59">
        <f>SUM(F405:H405)</f>
        <v>28</v>
      </c>
      <c r="J405" s="1"/>
      <c r="K405" s="1"/>
      <c r="L405" s="1"/>
      <c r="M405" s="59">
        <f>SUM(J405:L405)</f>
        <v>0</v>
      </c>
      <c r="N405" s="1"/>
      <c r="O405" s="1"/>
      <c r="P405" s="1"/>
      <c r="Q405" s="59">
        <f>SUM(N405:P405)</f>
        <v>0</v>
      </c>
      <c r="R405" s="59">
        <f t="shared" si="159"/>
        <v>28</v>
      </c>
      <c r="T405" s="4" t="s">
        <v>331</v>
      </c>
      <c r="V405" s="95" t="s">
        <v>372</v>
      </c>
      <c r="W405" s="132">
        <v>1500</v>
      </c>
      <c r="X405" s="132">
        <v>1500</v>
      </c>
      <c r="Y405" s="132">
        <v>6800</v>
      </c>
      <c r="Z405" s="4">
        <f>+SUM(W405:Y405)</f>
        <v>9800</v>
      </c>
      <c r="AA405" s="132">
        <f>8000+1500</f>
        <v>9500</v>
      </c>
      <c r="AB405" s="132">
        <f>10000+2000</f>
        <v>12000</v>
      </c>
      <c r="AC405" s="132">
        <f>12000+1500</f>
        <v>13500</v>
      </c>
      <c r="AD405" s="4">
        <f>+SUM(AA405:AC405)</f>
        <v>35000</v>
      </c>
      <c r="AE405" s="132">
        <v>25500</v>
      </c>
      <c r="AF405" s="132">
        <v>19000</v>
      </c>
      <c r="AG405" s="132">
        <v>4000</v>
      </c>
      <c r="AH405" s="4">
        <f>+SUM(AE405:AG405)</f>
        <v>48500</v>
      </c>
      <c r="AI405" s="132">
        <v>1500</v>
      </c>
      <c r="AJ405" s="132">
        <v>1000</v>
      </c>
      <c r="AK405" s="132">
        <v>1069</v>
      </c>
      <c r="AL405" s="4">
        <f>+SUM(AI405:AK405)</f>
        <v>3569</v>
      </c>
      <c r="AM405" s="133">
        <f>+Z405+AD405+AH405+AL405</f>
        <v>96869</v>
      </c>
    </row>
    <row r="406" spans="1:39" ht="15.75" customHeight="1" x14ac:dyDescent="0.3">
      <c r="A406" s="76" t="s">
        <v>373</v>
      </c>
      <c r="B406" s="1">
        <v>199</v>
      </c>
      <c r="C406" s="1">
        <v>939</v>
      </c>
      <c r="D406" s="1">
        <v>2359</v>
      </c>
      <c r="E406" s="59">
        <f t="shared" ref="E406:E407" si="160">SUM(B406:D406)</f>
        <v>3497</v>
      </c>
      <c r="F406" s="1">
        <v>5364</v>
      </c>
      <c r="G406" s="1">
        <v>6058</v>
      </c>
      <c r="H406" s="1">
        <v>8764</v>
      </c>
      <c r="I406" s="59">
        <f t="shared" ref="I406:I411" si="161">SUM(F406:H406)</f>
        <v>20186</v>
      </c>
      <c r="J406" s="1">
        <v>6223</v>
      </c>
      <c r="K406" s="1"/>
      <c r="L406" s="1"/>
      <c r="M406" s="59">
        <f t="shared" ref="M406:M411" si="162">SUM(J406:L406)</f>
        <v>6223</v>
      </c>
      <c r="N406" s="1"/>
      <c r="O406" s="1"/>
      <c r="P406" s="1">
        <v>536</v>
      </c>
      <c r="Q406" s="59">
        <f t="shared" ref="Q406:Q412" si="163">SUM(N406:P406)</f>
        <v>536</v>
      </c>
      <c r="R406" s="59">
        <f t="shared" si="159"/>
        <v>30442</v>
      </c>
      <c r="T406" s="4" t="s">
        <v>307</v>
      </c>
      <c r="V406" s="95" t="s">
        <v>305</v>
      </c>
      <c r="W406" s="4">
        <f>+$W$400*W405</f>
        <v>270</v>
      </c>
      <c r="X406" s="4">
        <f>+$W$400*X405</f>
        <v>270</v>
      </c>
      <c r="Y406" s="4">
        <f>+$W$400*Y405</f>
        <v>1224</v>
      </c>
      <c r="Z406" s="4">
        <f>+SUM(W406:Y406)</f>
        <v>1764</v>
      </c>
      <c r="AA406" s="4">
        <f>+$W$400*AA405</f>
        <v>1710</v>
      </c>
      <c r="AB406" s="4">
        <f>+$W$400*AB405</f>
        <v>2160</v>
      </c>
      <c r="AC406" s="4">
        <f>+$W$400*AC405</f>
        <v>2430</v>
      </c>
      <c r="AD406" s="4">
        <f>+SUM(AA406:AC406)</f>
        <v>6300</v>
      </c>
      <c r="AE406" s="4">
        <f>+$W$400*AE405</f>
        <v>4590</v>
      </c>
      <c r="AF406" s="4">
        <f>+$W$400*AF405</f>
        <v>3420</v>
      </c>
      <c r="AG406" s="4">
        <f>+$W$400*AG405</f>
        <v>720</v>
      </c>
      <c r="AH406" s="4">
        <f>+SUM(AE406:AG406)</f>
        <v>8730</v>
      </c>
      <c r="AI406" s="4">
        <f>+$W$400*AI405</f>
        <v>270</v>
      </c>
      <c r="AJ406" s="4">
        <f>+$W$400*AJ405</f>
        <v>180</v>
      </c>
      <c r="AK406" s="4">
        <f>+$W$400*AK405</f>
        <v>192.42</v>
      </c>
      <c r="AL406" s="4">
        <f>+SUM(AI406:AK406)</f>
        <v>642.41999999999996</v>
      </c>
      <c r="AM406" s="133">
        <f>+Z406+AD406+AH406+AL406</f>
        <v>17436.419999999998</v>
      </c>
    </row>
    <row r="407" spans="1:39" ht="15.75" customHeight="1" x14ac:dyDescent="0.3">
      <c r="A407" s="76" t="s">
        <v>374</v>
      </c>
      <c r="B407" s="1">
        <v>2858</v>
      </c>
      <c r="C407" s="1">
        <v>7556</v>
      </c>
      <c r="D407" s="1">
        <v>6129</v>
      </c>
      <c r="E407" s="59">
        <f t="shared" si="160"/>
        <v>16543</v>
      </c>
      <c r="F407" s="1">
        <v>17078</v>
      </c>
      <c r="G407" s="1">
        <v>20310</v>
      </c>
      <c r="H407" s="1">
        <v>25561</v>
      </c>
      <c r="I407" s="59">
        <f t="shared" ref="I407" si="164">SUM(F407:H407)</f>
        <v>62949</v>
      </c>
      <c r="J407" s="1">
        <v>1379</v>
      </c>
      <c r="K407" s="1">
        <v>5914</v>
      </c>
      <c r="L407" s="1">
        <v>6675</v>
      </c>
      <c r="M407" s="59">
        <f t="shared" ref="M407" si="165">SUM(J407:L407)</f>
        <v>13968</v>
      </c>
      <c r="N407" s="1">
        <v>2008</v>
      </c>
      <c r="O407" s="1">
        <v>3515</v>
      </c>
      <c r="P407" s="1">
        <v>5621</v>
      </c>
      <c r="Q407" s="59">
        <f t="shared" si="163"/>
        <v>11144</v>
      </c>
      <c r="R407" s="59">
        <f t="shared" si="159"/>
        <v>104604</v>
      </c>
      <c r="T407" s="4" t="s">
        <v>305</v>
      </c>
      <c r="V407" s="95" t="s">
        <v>366</v>
      </c>
      <c r="W407" s="4">
        <f>+$W$401*W405</f>
        <v>780</v>
      </c>
      <c r="X407" s="4">
        <f>+$W$401*X405</f>
        <v>780</v>
      </c>
      <c r="Y407" s="4">
        <f>+$W$401*Y405</f>
        <v>3536</v>
      </c>
      <c r="Z407" s="4">
        <f>+SUM(W407:Y407)</f>
        <v>5096</v>
      </c>
      <c r="AA407" s="4">
        <f>+$W$401*AA405</f>
        <v>4940</v>
      </c>
      <c r="AB407" s="4">
        <f>+$W$401*AB405</f>
        <v>6240</v>
      </c>
      <c r="AC407" s="4">
        <f>+$W$401*AC405</f>
        <v>7020</v>
      </c>
      <c r="AD407" s="4">
        <f>+SUM(AA407:AC407)</f>
        <v>18200</v>
      </c>
      <c r="AE407" s="4">
        <f>+$W$401*AE405</f>
        <v>13260</v>
      </c>
      <c r="AF407" s="4">
        <f>+$W$401*AF405</f>
        <v>9880</v>
      </c>
      <c r="AG407" s="4">
        <f>+$W$401*AG405</f>
        <v>2080</v>
      </c>
      <c r="AH407" s="4">
        <f>+SUM(AE407:AG407)</f>
        <v>25220</v>
      </c>
      <c r="AI407" s="4">
        <f>+$W$401*AI405</f>
        <v>780</v>
      </c>
      <c r="AJ407" s="4">
        <f>+$W$401*AJ405</f>
        <v>520</v>
      </c>
      <c r="AK407" s="4">
        <f>+$W$401*AK405</f>
        <v>555.88</v>
      </c>
      <c r="AL407" s="4">
        <f>+SUM(AI407:AK407)</f>
        <v>1855.88</v>
      </c>
      <c r="AM407" s="133">
        <f>+Z407+AD407+AH407+AL407</f>
        <v>50371.88</v>
      </c>
    </row>
    <row r="408" spans="1:39" ht="15.75" customHeight="1" x14ac:dyDescent="0.3">
      <c r="A408" s="76" t="s">
        <v>375</v>
      </c>
      <c r="B408" s="1"/>
      <c r="C408" s="1"/>
      <c r="D408" s="1"/>
      <c r="E408" s="59">
        <f t="shared" ref="E408:E411" si="166">SUM(B408:D408)</f>
        <v>0</v>
      </c>
      <c r="F408" s="1"/>
      <c r="G408" s="1"/>
      <c r="H408" s="1"/>
      <c r="I408" s="59">
        <f t="shared" si="161"/>
        <v>0</v>
      </c>
      <c r="J408" s="1"/>
      <c r="K408" s="1"/>
      <c r="L408" s="1"/>
      <c r="M408" s="59">
        <f t="shared" si="162"/>
        <v>0</v>
      </c>
      <c r="N408" s="1"/>
      <c r="O408" s="1"/>
      <c r="P408" s="1"/>
      <c r="Q408" s="59">
        <f t="shared" si="163"/>
        <v>0</v>
      </c>
      <c r="R408" s="59">
        <f t="shared" si="159"/>
        <v>0</v>
      </c>
      <c r="T408" s="4" t="s">
        <v>376</v>
      </c>
      <c r="V408" s="95" t="s">
        <v>368</v>
      </c>
      <c r="W408" s="4">
        <f>+$W$402*W405</f>
        <v>450</v>
      </c>
      <c r="X408" s="4">
        <f>+$W$402*X405</f>
        <v>450</v>
      </c>
      <c r="Y408" s="4">
        <f>+$W$402*Y405</f>
        <v>2040</v>
      </c>
      <c r="Z408" s="4">
        <f>+SUM(W408:Y408)</f>
        <v>2940</v>
      </c>
      <c r="AA408" s="4">
        <f>+$W$402*AA405</f>
        <v>2850</v>
      </c>
      <c r="AB408" s="4">
        <f>+$W$402*AB405</f>
        <v>3600</v>
      </c>
      <c r="AC408" s="4">
        <f>+$W$402*AC405</f>
        <v>4050</v>
      </c>
      <c r="AD408" s="4">
        <f>+SUM(AA408:AC408)</f>
        <v>10500</v>
      </c>
      <c r="AE408" s="4">
        <f>+$W$402*AE405</f>
        <v>7650</v>
      </c>
      <c r="AF408" s="4">
        <f>+$W$402*AF405</f>
        <v>5700</v>
      </c>
      <c r="AG408" s="4">
        <f>+$W$402*AG405</f>
        <v>1200</v>
      </c>
      <c r="AH408" s="4">
        <f>+SUM(AE408:AG408)</f>
        <v>14550</v>
      </c>
      <c r="AI408" s="4">
        <f>+$W$402*AI405</f>
        <v>450</v>
      </c>
      <c r="AJ408" s="4">
        <f>+$W$402*AJ405</f>
        <v>300</v>
      </c>
      <c r="AK408" s="4">
        <f>+$W$402*AK405</f>
        <v>320.7</v>
      </c>
      <c r="AL408" s="4">
        <f>+$W$402*AL405</f>
        <v>1070.7</v>
      </c>
      <c r="AM408" s="133">
        <f>+Z408+AD408+AH408+AL408</f>
        <v>29060.7</v>
      </c>
    </row>
    <row r="409" spans="1:39" ht="15.75" customHeight="1" thickBot="1" x14ac:dyDescent="0.35">
      <c r="A409" s="76" t="s">
        <v>377</v>
      </c>
      <c r="B409" s="1"/>
      <c r="C409" s="1"/>
      <c r="D409" s="1"/>
      <c r="E409" s="59">
        <f t="shared" ref="E409" si="167">SUM(B409:D409)</f>
        <v>0</v>
      </c>
      <c r="F409" s="1"/>
      <c r="G409" s="1"/>
      <c r="H409" s="1"/>
      <c r="I409" s="59">
        <f t="shared" ref="I409" si="168">SUM(F409:H409)</f>
        <v>0</v>
      </c>
      <c r="J409" s="1"/>
      <c r="K409" s="1"/>
      <c r="L409" s="1"/>
      <c r="M409" s="59">
        <f t="shared" ref="M409" si="169">SUM(J409:L409)</f>
        <v>0</v>
      </c>
      <c r="N409" s="1"/>
      <c r="O409" s="1"/>
      <c r="P409" s="1"/>
      <c r="Q409" s="59">
        <f t="shared" si="163"/>
        <v>0</v>
      </c>
      <c r="R409" s="59">
        <f t="shared" si="159"/>
        <v>0</v>
      </c>
      <c r="T409" s="4" t="s">
        <v>331</v>
      </c>
      <c r="V409" s="134"/>
      <c r="W409" s="135"/>
      <c r="X409" s="135"/>
      <c r="Y409" s="135"/>
      <c r="Z409" s="135"/>
      <c r="AA409" s="135"/>
      <c r="AB409" s="135"/>
      <c r="AC409" s="135"/>
      <c r="AD409" s="135"/>
      <c r="AE409" s="135"/>
      <c r="AF409" s="135"/>
      <c r="AG409" s="135"/>
      <c r="AH409" s="135"/>
      <c r="AI409" s="135"/>
      <c r="AJ409" s="135"/>
      <c r="AK409" s="135"/>
      <c r="AL409" s="135"/>
      <c r="AM409" s="136"/>
    </row>
    <row r="410" spans="1:39" s="20" customFormat="1" ht="15.75" customHeight="1" x14ac:dyDescent="0.3">
      <c r="A410" s="104" t="s">
        <v>378</v>
      </c>
      <c r="B410" s="92"/>
      <c r="C410" s="92"/>
      <c r="D410" s="92"/>
      <c r="E410" s="93">
        <f t="shared" si="166"/>
        <v>0</v>
      </c>
      <c r="F410" s="92"/>
      <c r="G410" s="92"/>
      <c r="H410" s="92"/>
      <c r="I410" s="93">
        <f t="shared" si="161"/>
        <v>0</v>
      </c>
      <c r="J410" s="92"/>
      <c r="K410" s="92"/>
      <c r="L410" s="92"/>
      <c r="M410" s="93">
        <f t="shared" si="162"/>
        <v>0</v>
      </c>
      <c r="N410" s="92"/>
      <c r="O410" s="92"/>
      <c r="P410" s="92"/>
      <c r="Q410" s="93">
        <f t="shared" ref="Q410" si="170">SUM(N410:P410)</f>
        <v>0</v>
      </c>
      <c r="R410" s="93">
        <f t="shared" si="159"/>
        <v>0</v>
      </c>
    </row>
    <row r="411" spans="1:39" ht="15.75" customHeight="1" x14ac:dyDescent="0.3">
      <c r="A411" s="76" t="s">
        <v>379</v>
      </c>
      <c r="B411" s="1"/>
      <c r="C411" s="1"/>
      <c r="D411" s="1"/>
      <c r="E411" s="59">
        <f t="shared" si="166"/>
        <v>0</v>
      </c>
      <c r="F411" s="1"/>
      <c r="G411" s="1"/>
      <c r="H411" s="1"/>
      <c r="I411" s="59">
        <f t="shared" si="161"/>
        <v>0</v>
      </c>
      <c r="J411" s="1"/>
      <c r="K411" s="1"/>
      <c r="L411" s="1"/>
      <c r="M411" s="59">
        <f t="shared" si="162"/>
        <v>0</v>
      </c>
      <c r="N411" s="1"/>
      <c r="O411" s="1"/>
      <c r="P411" s="1">
        <v>1</v>
      </c>
      <c r="Q411" s="59">
        <f t="shared" si="163"/>
        <v>1</v>
      </c>
      <c r="R411" s="59">
        <f t="shared" si="159"/>
        <v>1</v>
      </c>
      <c r="T411" s="4" t="s">
        <v>317</v>
      </c>
    </row>
    <row r="412" spans="1:39" ht="15.75" customHeight="1" x14ac:dyDescent="0.3">
      <c r="A412" s="76" t="s">
        <v>380</v>
      </c>
      <c r="B412" s="1"/>
      <c r="C412" s="1"/>
      <c r="D412" s="1"/>
      <c r="E412" s="59">
        <f t="shared" ref="E412" si="171">SUM(B412:D412)</f>
        <v>0</v>
      </c>
      <c r="F412" s="1">
        <v>571</v>
      </c>
      <c r="G412" s="1">
        <v>1944</v>
      </c>
      <c r="H412" s="1">
        <v>2080</v>
      </c>
      <c r="I412" s="59">
        <f t="shared" ref="I412" si="172">SUM(F412:H412)</f>
        <v>4595</v>
      </c>
      <c r="J412" s="1">
        <v>1834</v>
      </c>
      <c r="K412" s="1">
        <v>897</v>
      </c>
      <c r="L412" s="1">
        <v>1093</v>
      </c>
      <c r="M412" s="59">
        <f t="shared" ref="M412" si="173">SUM(J412:L412)</f>
        <v>3824</v>
      </c>
      <c r="N412" s="1">
        <v>19</v>
      </c>
      <c r="O412" s="1">
        <v>443</v>
      </c>
      <c r="P412" s="1">
        <v>182</v>
      </c>
      <c r="Q412" s="59">
        <f t="shared" si="163"/>
        <v>644</v>
      </c>
      <c r="R412" s="59">
        <f t="shared" si="159"/>
        <v>9063</v>
      </c>
    </row>
    <row r="413" spans="1:39" ht="15.75" customHeight="1" thickBot="1" x14ac:dyDescent="0.35">
      <c r="A413" s="17" t="s">
        <v>56</v>
      </c>
      <c r="B413" s="1"/>
      <c r="C413" s="1"/>
      <c r="D413" s="1"/>
      <c r="E413" s="59" t="s">
        <v>7</v>
      </c>
      <c r="F413" s="1"/>
      <c r="G413" s="1"/>
      <c r="H413" s="1"/>
      <c r="I413" s="59" t="s">
        <v>7</v>
      </c>
      <c r="J413" s="1"/>
      <c r="K413" s="1"/>
      <c r="L413" s="1"/>
      <c r="M413" s="59" t="s">
        <v>7</v>
      </c>
      <c r="N413" s="1"/>
      <c r="O413" s="1"/>
      <c r="P413" s="1"/>
      <c r="Q413" s="59" t="s">
        <v>7</v>
      </c>
      <c r="R413" s="59" t="s">
        <v>7</v>
      </c>
    </row>
    <row r="414" spans="1:39" ht="16.5" customHeight="1" thickBot="1" x14ac:dyDescent="0.35">
      <c r="A414" s="62" t="s">
        <v>57</v>
      </c>
      <c r="B414" s="100">
        <f>SUM(B401:B413)</f>
        <v>3130</v>
      </c>
      <c r="C414" s="101">
        <f>SUM(C401:C413)</f>
        <v>8527</v>
      </c>
      <c r="D414" s="101">
        <f>SUM(D401:D413)</f>
        <v>8842</v>
      </c>
      <c r="E414" s="64">
        <f>SUM(B414:D414)</f>
        <v>20499</v>
      </c>
      <c r="F414" s="101">
        <f>SUM(F401:F413)</f>
        <v>25179</v>
      </c>
      <c r="G414" s="101">
        <f>SUM(G401:G413)</f>
        <v>29456</v>
      </c>
      <c r="H414" s="101">
        <f>SUM(H401:H413)</f>
        <v>39621</v>
      </c>
      <c r="I414" s="64">
        <f>SUM(F414:H414)</f>
        <v>94256</v>
      </c>
      <c r="J414" s="101">
        <f>SUM(J401:J413)</f>
        <v>11367</v>
      </c>
      <c r="K414" s="101">
        <f>SUM(K401:K413)</f>
        <v>8555</v>
      </c>
      <c r="L414" s="101">
        <f>SUM(L401:L413)</f>
        <v>9361</v>
      </c>
      <c r="M414" s="64">
        <f>SUM(J414:L414)</f>
        <v>29283</v>
      </c>
      <c r="N414" s="101">
        <f>SUM(N401:N413)</f>
        <v>2162</v>
      </c>
      <c r="O414" s="101">
        <f>SUM(O401:O413)</f>
        <v>4321</v>
      </c>
      <c r="P414" s="101">
        <f>SUM(P401:P413)</f>
        <v>6718</v>
      </c>
      <c r="Q414" s="64">
        <f>SUM(N414:P414)</f>
        <v>13201</v>
      </c>
      <c r="R414" s="64">
        <f>+E414+I414+M414+Q414</f>
        <v>157239</v>
      </c>
    </row>
    <row r="415" spans="1:39" ht="15.75" customHeight="1" x14ac:dyDescent="0.3">
      <c r="A415" s="17" t="s">
        <v>58</v>
      </c>
      <c r="B415" s="1"/>
      <c r="C415" s="1"/>
      <c r="D415" s="1"/>
      <c r="E415" s="59" t="s">
        <v>7</v>
      </c>
      <c r="F415" s="1"/>
      <c r="G415" s="1"/>
      <c r="H415" s="1"/>
      <c r="I415" s="59" t="s">
        <v>7</v>
      </c>
      <c r="J415" s="1"/>
      <c r="K415" s="1"/>
      <c r="L415" s="1"/>
      <c r="M415" s="59" t="s">
        <v>7</v>
      </c>
      <c r="N415" s="1"/>
      <c r="O415" s="1"/>
      <c r="P415" s="1"/>
      <c r="Q415" s="59" t="s">
        <v>7</v>
      </c>
      <c r="R415" s="59" t="s">
        <v>7</v>
      </c>
    </row>
    <row r="416" spans="1:39" ht="15.75" customHeight="1" x14ac:dyDescent="0.3">
      <c r="A416" s="17" t="s">
        <v>59</v>
      </c>
      <c r="B416" s="1"/>
      <c r="C416" s="1"/>
      <c r="D416" s="1"/>
      <c r="E416" s="59" t="s">
        <v>7</v>
      </c>
      <c r="F416" s="1"/>
      <c r="G416" s="1"/>
      <c r="H416" s="1"/>
      <c r="I416" s="59" t="s">
        <v>7</v>
      </c>
      <c r="J416" s="1"/>
      <c r="K416" s="1"/>
      <c r="L416" s="1"/>
      <c r="M416" s="59" t="s">
        <v>7</v>
      </c>
      <c r="N416" s="1"/>
      <c r="O416" s="1"/>
      <c r="P416" s="1"/>
      <c r="Q416" s="59" t="s">
        <v>7</v>
      </c>
      <c r="R416" s="59" t="s">
        <v>7</v>
      </c>
    </row>
    <row r="417" spans="1:20" ht="15.75" customHeight="1" x14ac:dyDescent="0.3">
      <c r="A417" s="76" t="s">
        <v>381</v>
      </c>
      <c r="B417" s="1">
        <v>429</v>
      </c>
      <c r="C417" s="1">
        <v>4943</v>
      </c>
      <c r="D417" s="1">
        <v>4462</v>
      </c>
      <c r="E417" s="59">
        <f>SUM(B417:D417)</f>
        <v>9834</v>
      </c>
      <c r="F417" s="1">
        <v>9024</v>
      </c>
      <c r="G417" s="1">
        <v>11879</v>
      </c>
      <c r="H417" s="1">
        <v>12217</v>
      </c>
      <c r="I417" s="59">
        <f>SUM(F417:H417)</f>
        <v>33120</v>
      </c>
      <c r="J417" s="1">
        <v>6941</v>
      </c>
      <c r="K417" s="1">
        <v>6033</v>
      </c>
      <c r="L417" s="1">
        <v>3826</v>
      </c>
      <c r="M417" s="59">
        <f>SUM(J417:L417)</f>
        <v>16800</v>
      </c>
      <c r="N417" s="1">
        <v>3415</v>
      </c>
      <c r="O417" s="1">
        <v>1350</v>
      </c>
      <c r="P417" s="1">
        <v>3070</v>
      </c>
      <c r="Q417" s="59">
        <f>SUM(N417:P417)</f>
        <v>7835</v>
      </c>
      <c r="R417" s="59">
        <f>+E417+I417+M417+Q417</f>
        <v>67589</v>
      </c>
      <c r="T417" s="4" t="s">
        <v>305</v>
      </c>
    </row>
    <row r="418" spans="1:20" ht="15.75" customHeight="1" x14ac:dyDescent="0.3">
      <c r="A418" s="76" t="s">
        <v>382</v>
      </c>
      <c r="B418" s="92"/>
      <c r="C418" s="1">
        <v>157</v>
      </c>
      <c r="D418" s="1">
        <v>252</v>
      </c>
      <c r="E418" s="59">
        <f>SUM(B418:D418)</f>
        <v>409</v>
      </c>
      <c r="F418" s="1">
        <v>3782</v>
      </c>
      <c r="G418" s="1">
        <v>4499</v>
      </c>
      <c r="H418" s="1">
        <v>5328</v>
      </c>
      <c r="I418" s="59">
        <f>SUM(F418:H418)</f>
        <v>13609</v>
      </c>
      <c r="J418" s="1">
        <v>3969</v>
      </c>
      <c r="K418" s="1">
        <v>3154</v>
      </c>
      <c r="L418" s="1">
        <v>1265</v>
      </c>
      <c r="M418" s="59">
        <f>SUM(J418:L418)</f>
        <v>8388</v>
      </c>
      <c r="N418" s="1">
        <v>199</v>
      </c>
      <c r="O418" s="1">
        <v>129</v>
      </c>
      <c r="P418" s="1"/>
      <c r="Q418" s="59">
        <f>SUM(N418:P418)</f>
        <v>328</v>
      </c>
      <c r="R418" s="59">
        <f>+E418+I418+M418+Q418</f>
        <v>22734</v>
      </c>
    </row>
    <row r="419" spans="1:20" ht="15.75" customHeight="1" x14ac:dyDescent="0.3">
      <c r="A419" s="104" t="s">
        <v>1010</v>
      </c>
      <c r="B419" s="92"/>
      <c r="C419" s="92"/>
      <c r="D419" s="92"/>
      <c r="E419" s="93">
        <f>SUM(B419:D419)</f>
        <v>0</v>
      </c>
      <c r="F419" s="92"/>
      <c r="G419" s="92"/>
      <c r="H419" s="92"/>
      <c r="I419" s="93">
        <f>SUM(F419:H419)</f>
        <v>0</v>
      </c>
      <c r="J419" s="92"/>
      <c r="K419" s="92"/>
      <c r="L419" s="92"/>
      <c r="M419" s="93">
        <f>SUM(J419:L419)</f>
        <v>0</v>
      </c>
      <c r="N419" s="92"/>
      <c r="O419" s="92"/>
      <c r="P419" s="92"/>
      <c r="Q419" s="93">
        <f>SUM(N419:P419)</f>
        <v>0</v>
      </c>
      <c r="R419" s="93">
        <f>+E419+I419+M419+Q419</f>
        <v>0</v>
      </c>
    </row>
    <row r="420" spans="1:20" ht="15.75" customHeight="1" x14ac:dyDescent="0.3">
      <c r="A420" s="76" t="s">
        <v>1011</v>
      </c>
      <c r="B420" s="1"/>
      <c r="C420" s="1">
        <f>336+621</f>
        <v>957</v>
      </c>
      <c r="D420" s="1">
        <f>866</f>
        <v>866</v>
      </c>
      <c r="E420" s="59">
        <f>SUM(B420:D420)</f>
        <v>1823</v>
      </c>
      <c r="F420" s="1">
        <f>1366+1132</f>
        <v>2498</v>
      </c>
      <c r="G420" s="1">
        <f>734</f>
        <v>734</v>
      </c>
      <c r="H420" s="1">
        <v>1249</v>
      </c>
      <c r="I420" s="59">
        <f>SUM(F420:H420)</f>
        <v>4481</v>
      </c>
      <c r="J420" s="1">
        <f>1121+119</f>
        <v>1240</v>
      </c>
      <c r="K420" s="1">
        <f>542+341</f>
        <v>883</v>
      </c>
      <c r="L420" s="1">
        <f>1305+904</f>
        <v>2209</v>
      </c>
      <c r="M420" s="59">
        <f>SUM(J420:L420)</f>
        <v>4332</v>
      </c>
      <c r="N420" s="1">
        <f>846</f>
        <v>846</v>
      </c>
      <c r="O420" s="1">
        <f>840+29</f>
        <v>869</v>
      </c>
      <c r="P420" s="1">
        <f>162+575</f>
        <v>737</v>
      </c>
      <c r="Q420" s="59">
        <f>SUM(N420:P420)</f>
        <v>2452</v>
      </c>
      <c r="R420" s="59">
        <f>+E420+I420+M420+Q420</f>
        <v>13088</v>
      </c>
    </row>
    <row r="421" spans="1:20" ht="15.75" customHeight="1" x14ac:dyDescent="0.3">
      <c r="A421" s="17" t="s">
        <v>60</v>
      </c>
      <c r="B421" s="1"/>
      <c r="C421" s="1"/>
      <c r="D421" s="1"/>
      <c r="E421" s="59" t="s">
        <v>7</v>
      </c>
      <c r="F421" s="1"/>
      <c r="G421" s="1"/>
      <c r="H421" s="1"/>
      <c r="I421" s="59" t="s">
        <v>7</v>
      </c>
      <c r="J421" s="1"/>
      <c r="K421" s="1"/>
      <c r="L421" s="1"/>
      <c r="M421" s="59" t="s">
        <v>7</v>
      </c>
      <c r="N421" s="1"/>
      <c r="O421" s="1"/>
      <c r="P421" s="1"/>
      <c r="Q421" s="59" t="s">
        <v>7</v>
      </c>
      <c r="R421" s="59" t="s">
        <v>7</v>
      </c>
    </row>
    <row r="422" spans="1:20" ht="15.75" customHeight="1" x14ac:dyDescent="0.3">
      <c r="A422" s="76" t="s">
        <v>385</v>
      </c>
      <c r="B422" s="1"/>
      <c r="C422" s="1"/>
      <c r="D422" s="1"/>
      <c r="E422" s="59">
        <f>SUM(B422:D422)</f>
        <v>0</v>
      </c>
      <c r="F422" s="1"/>
      <c r="G422" s="1"/>
      <c r="H422" s="1"/>
      <c r="I422" s="59">
        <f t="shared" ref="I422:I423" si="174">SUM(F422:H422)</f>
        <v>0</v>
      </c>
      <c r="J422" s="1"/>
      <c r="K422" s="1"/>
      <c r="L422" s="1">
        <v>2679</v>
      </c>
      <c r="M422" s="59">
        <f>SUM(J422:L422)</f>
        <v>2679</v>
      </c>
      <c r="N422" s="1">
        <v>2050</v>
      </c>
      <c r="O422" s="1">
        <v>238</v>
      </c>
      <c r="P422" s="1">
        <v>33</v>
      </c>
      <c r="Q422" s="59">
        <f>SUM(N422:P422)</f>
        <v>2321</v>
      </c>
      <c r="R422" s="59">
        <f t="shared" ref="R422:R487" si="175">+E422+I422+M422+Q422</f>
        <v>5000</v>
      </c>
    </row>
    <row r="423" spans="1:20" ht="15.75" customHeight="1" x14ac:dyDescent="0.3">
      <c r="A423" s="76" t="s">
        <v>386</v>
      </c>
      <c r="B423" s="1"/>
      <c r="C423" s="1"/>
      <c r="D423" s="1"/>
      <c r="E423" s="59">
        <f>SUM(B423:D423)</f>
        <v>0</v>
      </c>
      <c r="F423" s="1"/>
      <c r="G423" s="1">
        <v>1062</v>
      </c>
      <c r="H423" s="1"/>
      <c r="I423" s="59">
        <f t="shared" si="174"/>
        <v>1062</v>
      </c>
      <c r="J423" s="1"/>
      <c r="K423" s="1"/>
      <c r="L423" s="1"/>
      <c r="M423" s="59">
        <f>SUM(J423:L423)</f>
        <v>0</v>
      </c>
      <c r="N423" s="1"/>
      <c r="O423" s="1"/>
      <c r="P423" s="1"/>
      <c r="Q423" s="59">
        <f>SUM(N423:P423)</f>
        <v>0</v>
      </c>
      <c r="R423" s="59">
        <f t="shared" si="175"/>
        <v>1062</v>
      </c>
    </row>
    <row r="424" spans="1:20" ht="15.75" customHeight="1" x14ac:dyDescent="0.3">
      <c r="A424" s="76" t="s">
        <v>387</v>
      </c>
      <c r="B424" s="1"/>
      <c r="C424" s="1"/>
      <c r="D424" s="1"/>
      <c r="E424" s="59">
        <f>SUM(B424:D424)</f>
        <v>0</v>
      </c>
      <c r="F424" s="1"/>
      <c r="G424" s="1"/>
      <c r="H424" s="1"/>
      <c r="I424" s="59">
        <f>SUM(F424:H424)</f>
        <v>0</v>
      </c>
      <c r="J424" s="1"/>
      <c r="K424" s="1"/>
      <c r="L424" s="1"/>
      <c r="M424" s="59">
        <f>SUM(J424:L424)</f>
        <v>0</v>
      </c>
      <c r="N424" s="1"/>
      <c r="O424" s="1"/>
      <c r="P424" s="1"/>
      <c r="Q424" s="59">
        <f>SUM(N424:P424)</f>
        <v>0</v>
      </c>
      <c r="R424" s="59">
        <f t="shared" si="175"/>
        <v>0</v>
      </c>
    </row>
    <row r="425" spans="1:20" ht="15.75" customHeight="1" x14ac:dyDescent="0.3">
      <c r="A425" s="76" t="s">
        <v>1012</v>
      </c>
      <c r="B425" s="1"/>
      <c r="C425" s="1"/>
      <c r="D425" s="1">
        <v>1395</v>
      </c>
      <c r="E425" s="59">
        <f>SUM(B425:D425)</f>
        <v>1395</v>
      </c>
      <c r="F425" s="1"/>
      <c r="G425" s="1">
        <v>1376</v>
      </c>
      <c r="H425" s="1">
        <v>1321</v>
      </c>
      <c r="I425" s="59">
        <f>SUM(F425:H425)</f>
        <v>2697</v>
      </c>
      <c r="J425" s="1">
        <v>1552</v>
      </c>
      <c r="K425" s="1">
        <v>1060</v>
      </c>
      <c r="L425" s="1">
        <v>1462</v>
      </c>
      <c r="M425" s="59">
        <f>SUM(J425:L425)</f>
        <v>4074</v>
      </c>
      <c r="N425" s="1">
        <v>2965</v>
      </c>
      <c r="O425" s="1">
        <v>2869</v>
      </c>
      <c r="P425" s="1"/>
      <c r="Q425" s="59">
        <f>SUM(N425:P425)</f>
        <v>5834</v>
      </c>
      <c r="R425" s="59">
        <f>+E425+I425+M425+Q425</f>
        <v>14000</v>
      </c>
      <c r="T425" s="4" t="s">
        <v>336</v>
      </c>
    </row>
    <row r="426" spans="1:20" ht="15.75" customHeight="1" x14ac:dyDescent="0.3">
      <c r="A426" s="76" t="s">
        <v>388</v>
      </c>
      <c r="B426" s="1"/>
      <c r="C426" s="1"/>
      <c r="D426" s="1"/>
      <c r="E426" s="59">
        <f t="shared" ref="E426:E487" si="176">SUM(B426:D426)</f>
        <v>0</v>
      </c>
      <c r="F426" s="1"/>
      <c r="G426" s="1"/>
      <c r="H426" s="1"/>
      <c r="I426" s="59">
        <f t="shared" ref="I426:I487" si="177">SUM(F426:H426)</f>
        <v>0</v>
      </c>
      <c r="J426" s="1"/>
      <c r="K426" s="1"/>
      <c r="L426" s="1"/>
      <c r="M426" s="59">
        <f t="shared" ref="M426:M487" si="178">SUM(J426:L426)</f>
        <v>0</v>
      </c>
      <c r="N426" s="1"/>
      <c r="O426" s="1"/>
      <c r="P426" s="1"/>
      <c r="Q426" s="59">
        <f t="shared" ref="Q426:Q488" si="179">SUM(N426:P426)</f>
        <v>0</v>
      </c>
      <c r="R426" s="59">
        <f t="shared" si="175"/>
        <v>0</v>
      </c>
    </row>
    <row r="427" spans="1:20" ht="15.75" customHeight="1" x14ac:dyDescent="0.3">
      <c r="A427" s="76" t="s">
        <v>389</v>
      </c>
      <c r="B427" s="1">
        <v>172</v>
      </c>
      <c r="C427" s="1"/>
      <c r="D427" s="1"/>
      <c r="E427" s="59">
        <f t="shared" si="176"/>
        <v>172</v>
      </c>
      <c r="F427" s="1"/>
      <c r="G427" s="1"/>
      <c r="H427" s="1"/>
      <c r="I427" s="59">
        <f t="shared" si="177"/>
        <v>0</v>
      </c>
      <c r="J427" s="1"/>
      <c r="K427" s="1"/>
      <c r="L427" s="1"/>
      <c r="M427" s="59">
        <f t="shared" si="178"/>
        <v>0</v>
      </c>
      <c r="N427" s="1"/>
      <c r="O427" s="1"/>
      <c r="P427" s="1"/>
      <c r="Q427" s="59">
        <f t="shared" si="179"/>
        <v>0</v>
      </c>
      <c r="R427" s="59">
        <f t="shared" si="175"/>
        <v>172</v>
      </c>
      <c r="T427" s="4" t="s">
        <v>315</v>
      </c>
    </row>
    <row r="428" spans="1:20" ht="15.75" customHeight="1" x14ac:dyDescent="0.3">
      <c r="A428" s="76" t="s">
        <v>390</v>
      </c>
      <c r="B428" s="1"/>
      <c r="C428" s="1"/>
      <c r="D428" s="1"/>
      <c r="E428" s="59">
        <f t="shared" si="176"/>
        <v>0</v>
      </c>
      <c r="F428" s="1"/>
      <c r="G428" s="1"/>
      <c r="H428" s="1"/>
      <c r="I428" s="59">
        <f t="shared" si="177"/>
        <v>0</v>
      </c>
      <c r="J428" s="1"/>
      <c r="K428" s="1">
        <v>1618</v>
      </c>
      <c r="L428" s="1">
        <v>832</v>
      </c>
      <c r="M428" s="59">
        <f t="shared" si="178"/>
        <v>2450</v>
      </c>
      <c r="N428" s="1"/>
      <c r="O428" s="1"/>
      <c r="P428" s="1"/>
      <c r="Q428" s="59">
        <f t="shared" si="179"/>
        <v>0</v>
      </c>
      <c r="R428" s="59">
        <f t="shared" si="175"/>
        <v>2450</v>
      </c>
    </row>
    <row r="429" spans="1:20" ht="15.75" customHeight="1" x14ac:dyDescent="0.3">
      <c r="A429" s="76" t="s">
        <v>391</v>
      </c>
      <c r="B429" s="1">
        <v>1537</v>
      </c>
      <c r="C429" s="1"/>
      <c r="D429" s="1"/>
      <c r="E429" s="59">
        <f t="shared" si="176"/>
        <v>1537</v>
      </c>
      <c r="F429" s="1"/>
      <c r="G429" s="1"/>
      <c r="H429" s="1"/>
      <c r="I429" s="59">
        <f t="shared" si="177"/>
        <v>0</v>
      </c>
      <c r="J429" s="1"/>
      <c r="K429" s="1"/>
      <c r="L429" s="1"/>
      <c r="M429" s="59">
        <f t="shared" si="178"/>
        <v>0</v>
      </c>
      <c r="N429" s="1"/>
      <c r="O429" s="1"/>
      <c r="P429" s="1"/>
      <c r="Q429" s="59">
        <f t="shared" si="179"/>
        <v>0</v>
      </c>
      <c r="R429" s="59">
        <f t="shared" si="175"/>
        <v>1537</v>
      </c>
      <c r="T429" s="4" t="s">
        <v>217</v>
      </c>
    </row>
    <row r="430" spans="1:20" ht="15.75" customHeight="1" x14ac:dyDescent="0.3">
      <c r="A430" s="76" t="s">
        <v>392</v>
      </c>
      <c r="B430" s="1"/>
      <c r="C430" s="1"/>
      <c r="D430" s="1"/>
      <c r="E430" s="59">
        <f t="shared" si="176"/>
        <v>0</v>
      </c>
      <c r="F430" s="1"/>
      <c r="G430" s="1"/>
      <c r="H430" s="1"/>
      <c r="I430" s="59">
        <f t="shared" si="177"/>
        <v>0</v>
      </c>
      <c r="J430" s="1"/>
      <c r="K430" s="1"/>
      <c r="L430" s="1"/>
      <c r="M430" s="59">
        <f t="shared" si="178"/>
        <v>0</v>
      </c>
      <c r="N430" s="1"/>
      <c r="O430" s="1"/>
      <c r="P430" s="1"/>
      <c r="Q430" s="59">
        <f t="shared" si="179"/>
        <v>0</v>
      </c>
      <c r="R430" s="59">
        <f t="shared" si="175"/>
        <v>0</v>
      </c>
      <c r="T430" s="4" t="s">
        <v>315</v>
      </c>
    </row>
    <row r="431" spans="1:20" ht="15.75" customHeight="1" x14ac:dyDescent="0.3">
      <c r="A431" s="76" t="s">
        <v>393</v>
      </c>
      <c r="B431" s="1"/>
      <c r="C431" s="1"/>
      <c r="D431" s="1"/>
      <c r="E431" s="59">
        <f t="shared" si="176"/>
        <v>0</v>
      </c>
      <c r="F431" s="1"/>
      <c r="G431" s="1">
        <v>627</v>
      </c>
      <c r="H431" s="1"/>
      <c r="I431" s="59">
        <f t="shared" si="177"/>
        <v>627</v>
      </c>
      <c r="J431" s="1"/>
      <c r="K431" s="1"/>
      <c r="L431" s="1"/>
      <c r="M431" s="59">
        <f t="shared" si="178"/>
        <v>0</v>
      </c>
      <c r="N431" s="1"/>
      <c r="O431" s="1"/>
      <c r="P431" s="1"/>
      <c r="Q431" s="59">
        <f t="shared" si="179"/>
        <v>0</v>
      </c>
      <c r="R431" s="59">
        <f t="shared" si="175"/>
        <v>627</v>
      </c>
    </row>
    <row r="432" spans="1:20" ht="15.75" customHeight="1" x14ac:dyDescent="0.3">
      <c r="A432" s="76" t="s">
        <v>394</v>
      </c>
      <c r="B432" s="1"/>
      <c r="C432" s="1"/>
      <c r="D432" s="1"/>
      <c r="E432" s="59">
        <f t="shared" si="176"/>
        <v>0</v>
      </c>
      <c r="F432" s="1"/>
      <c r="G432" s="1"/>
      <c r="H432" s="1"/>
      <c r="I432" s="59">
        <f t="shared" si="177"/>
        <v>0</v>
      </c>
      <c r="J432" s="1"/>
      <c r="K432" s="1"/>
      <c r="L432" s="1"/>
      <c r="M432" s="59">
        <f t="shared" si="178"/>
        <v>0</v>
      </c>
      <c r="N432" s="1"/>
      <c r="O432" s="1"/>
      <c r="P432" s="1"/>
      <c r="Q432" s="59">
        <f t="shared" si="179"/>
        <v>0</v>
      </c>
      <c r="R432" s="59">
        <f t="shared" si="175"/>
        <v>0</v>
      </c>
    </row>
    <row r="433" spans="1:20" ht="15.75" customHeight="1" x14ac:dyDescent="0.3">
      <c r="A433" s="76" t="s">
        <v>395</v>
      </c>
      <c r="B433" s="1"/>
      <c r="C433" s="1"/>
      <c r="D433" s="1"/>
      <c r="E433" s="59">
        <f t="shared" si="176"/>
        <v>0</v>
      </c>
      <c r="F433" s="1"/>
      <c r="G433" s="1"/>
      <c r="H433" s="1"/>
      <c r="I433" s="59">
        <f t="shared" si="177"/>
        <v>0</v>
      </c>
      <c r="J433" s="1"/>
      <c r="K433" s="1"/>
      <c r="L433" s="1"/>
      <c r="M433" s="59">
        <f t="shared" si="178"/>
        <v>0</v>
      </c>
      <c r="N433" s="1"/>
      <c r="O433" s="1"/>
      <c r="P433" s="1"/>
      <c r="Q433" s="59">
        <f t="shared" si="179"/>
        <v>0</v>
      </c>
      <c r="R433" s="59">
        <f>+E433+I433+M433+Q433</f>
        <v>0</v>
      </c>
      <c r="T433" s="4" t="s">
        <v>317</v>
      </c>
    </row>
    <row r="434" spans="1:20" ht="15.75" customHeight="1" x14ac:dyDescent="0.3">
      <c r="A434" s="76" t="s">
        <v>396</v>
      </c>
      <c r="B434" s="1"/>
      <c r="C434" s="1"/>
      <c r="D434" s="1"/>
      <c r="E434" s="59">
        <f t="shared" si="176"/>
        <v>0</v>
      </c>
      <c r="F434" s="1"/>
      <c r="G434" s="1"/>
      <c r="H434" s="1"/>
      <c r="I434" s="59">
        <f t="shared" si="177"/>
        <v>0</v>
      </c>
      <c r="J434" s="1"/>
      <c r="K434" s="1"/>
      <c r="L434" s="1"/>
      <c r="M434" s="59">
        <f t="shared" si="178"/>
        <v>0</v>
      </c>
      <c r="N434" s="1"/>
      <c r="O434" s="1"/>
      <c r="P434" s="1"/>
      <c r="Q434" s="59">
        <f t="shared" si="179"/>
        <v>0</v>
      </c>
      <c r="R434" s="59">
        <f t="shared" si="175"/>
        <v>0</v>
      </c>
      <c r="T434" s="4" t="s">
        <v>305</v>
      </c>
    </row>
    <row r="435" spans="1:20" ht="15.75" customHeight="1" x14ac:dyDescent="0.3">
      <c r="A435" s="76" t="s">
        <v>397</v>
      </c>
      <c r="B435" s="1"/>
      <c r="C435" s="1">
        <f>316+510+67+107</f>
        <v>1000</v>
      </c>
      <c r="D435" s="1">
        <f>741+1259</f>
        <v>2000</v>
      </c>
      <c r="E435" s="59">
        <f t="shared" si="176"/>
        <v>3000</v>
      </c>
      <c r="F435" s="1">
        <v>3000</v>
      </c>
      <c r="G435" s="1">
        <v>2000</v>
      </c>
      <c r="H435" s="1">
        <v>2000</v>
      </c>
      <c r="I435" s="59">
        <f t="shared" si="177"/>
        <v>7000</v>
      </c>
      <c r="J435" s="1"/>
      <c r="K435" s="1"/>
      <c r="L435" s="1"/>
      <c r="M435" s="59">
        <f t="shared" si="178"/>
        <v>0</v>
      </c>
      <c r="N435" s="1"/>
      <c r="O435" s="1"/>
      <c r="P435" s="1"/>
      <c r="Q435" s="59">
        <f t="shared" si="179"/>
        <v>0</v>
      </c>
      <c r="R435" s="59">
        <f t="shared" si="175"/>
        <v>10000</v>
      </c>
    </row>
    <row r="436" spans="1:20" ht="15.75" customHeight="1" x14ac:dyDescent="0.3">
      <c r="A436" s="76" t="s">
        <v>398</v>
      </c>
      <c r="B436" s="1"/>
      <c r="C436" s="1"/>
      <c r="D436" s="1"/>
      <c r="E436" s="59">
        <f t="shared" si="176"/>
        <v>0</v>
      </c>
      <c r="F436" s="1"/>
      <c r="G436" s="1">
        <v>5000</v>
      </c>
      <c r="H436" s="1">
        <v>5000</v>
      </c>
      <c r="I436" s="59">
        <f t="shared" si="177"/>
        <v>10000</v>
      </c>
      <c r="J436" s="1">
        <v>5000</v>
      </c>
      <c r="K436" s="1"/>
      <c r="L436" s="1"/>
      <c r="M436" s="59">
        <f t="shared" si="178"/>
        <v>5000</v>
      </c>
      <c r="N436" s="1"/>
      <c r="O436" s="1"/>
      <c r="P436" s="1"/>
      <c r="Q436" s="59">
        <f t="shared" si="179"/>
        <v>0</v>
      </c>
      <c r="R436" s="59">
        <f t="shared" si="175"/>
        <v>15000</v>
      </c>
      <c r="T436" s="4" t="s">
        <v>305</v>
      </c>
    </row>
    <row r="437" spans="1:20" ht="15.75" customHeight="1" x14ac:dyDescent="0.3">
      <c r="A437" s="76" t="s">
        <v>399</v>
      </c>
      <c r="B437" s="1"/>
      <c r="C437" s="1"/>
      <c r="D437" s="1"/>
      <c r="E437" s="59">
        <f t="shared" si="176"/>
        <v>0</v>
      </c>
      <c r="F437" s="1"/>
      <c r="G437" s="1"/>
      <c r="H437" s="1"/>
      <c r="I437" s="59">
        <f t="shared" si="177"/>
        <v>0</v>
      </c>
      <c r="J437" s="1"/>
      <c r="K437" s="1">
        <v>4014</v>
      </c>
      <c r="L437" s="1">
        <f>4094+641</f>
        <v>4735</v>
      </c>
      <c r="M437" s="59">
        <f t="shared" si="178"/>
        <v>8749</v>
      </c>
      <c r="N437" s="1">
        <f>2369+96</f>
        <v>2465</v>
      </c>
      <c r="O437" s="1">
        <f>1487+241</f>
        <v>1728</v>
      </c>
      <c r="P437" s="1">
        <f>1708+350</f>
        <v>2058</v>
      </c>
      <c r="Q437" s="59">
        <f t="shared" si="179"/>
        <v>6251</v>
      </c>
      <c r="R437" s="59">
        <f t="shared" si="175"/>
        <v>15000</v>
      </c>
    </row>
    <row r="438" spans="1:20" ht="15.75" customHeight="1" x14ac:dyDescent="0.3">
      <c r="A438" s="76" t="s">
        <v>400</v>
      </c>
      <c r="B438" s="1"/>
      <c r="C438" s="1">
        <v>325</v>
      </c>
      <c r="D438" s="1">
        <v>147</v>
      </c>
      <c r="E438" s="59">
        <f t="shared" si="176"/>
        <v>472</v>
      </c>
      <c r="F438" s="1">
        <v>1887</v>
      </c>
      <c r="G438" s="1">
        <v>731</v>
      </c>
      <c r="H438" s="1"/>
      <c r="I438" s="59">
        <f t="shared" si="177"/>
        <v>2618</v>
      </c>
      <c r="J438" s="1">
        <v>261</v>
      </c>
      <c r="K438" s="1">
        <v>942</v>
      </c>
      <c r="L438" s="1">
        <v>707</v>
      </c>
      <c r="M438" s="59">
        <f t="shared" si="178"/>
        <v>1910</v>
      </c>
      <c r="N438" s="1"/>
      <c r="O438" s="1"/>
      <c r="P438" s="1"/>
      <c r="Q438" s="59">
        <f t="shared" ref="Q438" si="180">SUM(N438:P438)</f>
        <v>0</v>
      </c>
      <c r="R438" s="59">
        <f t="shared" si="175"/>
        <v>5000</v>
      </c>
    </row>
    <row r="439" spans="1:20" ht="15.75" customHeight="1" x14ac:dyDescent="0.3">
      <c r="A439" s="76" t="s">
        <v>401</v>
      </c>
      <c r="B439" s="1"/>
      <c r="C439" s="1"/>
      <c r="D439" s="1"/>
      <c r="E439" s="59">
        <f t="shared" si="176"/>
        <v>0</v>
      </c>
      <c r="F439" s="1"/>
      <c r="G439" s="1">
        <v>184</v>
      </c>
      <c r="H439" s="1"/>
      <c r="I439" s="59">
        <f t="shared" si="177"/>
        <v>184</v>
      </c>
      <c r="J439" s="1">
        <v>912</v>
      </c>
      <c r="K439" s="1"/>
      <c r="L439" s="1"/>
      <c r="M439" s="59">
        <f t="shared" si="178"/>
        <v>912</v>
      </c>
      <c r="N439" s="1"/>
      <c r="O439" s="1"/>
      <c r="P439" s="1"/>
      <c r="Q439" s="59">
        <f t="shared" ref="Q439:Q443" si="181">SUM(N439:P439)</f>
        <v>0</v>
      </c>
      <c r="R439" s="59">
        <f t="shared" si="175"/>
        <v>1096</v>
      </c>
    </row>
    <row r="440" spans="1:20" ht="15.75" customHeight="1" x14ac:dyDescent="0.3">
      <c r="A440" s="76" t="s">
        <v>402</v>
      </c>
      <c r="B440" s="1">
        <v>8</v>
      </c>
      <c r="C440" s="1"/>
      <c r="D440" s="1"/>
      <c r="E440" s="59">
        <f t="shared" si="176"/>
        <v>8</v>
      </c>
      <c r="F440" s="1">
        <v>20</v>
      </c>
      <c r="G440" s="1">
        <v>4</v>
      </c>
      <c r="H440" s="1">
        <v>100</v>
      </c>
      <c r="I440" s="59">
        <f t="shared" si="177"/>
        <v>124</v>
      </c>
      <c r="J440" s="1">
        <v>27</v>
      </c>
      <c r="K440" s="1">
        <v>28</v>
      </c>
      <c r="L440" s="1">
        <v>788</v>
      </c>
      <c r="M440" s="59">
        <f t="shared" si="178"/>
        <v>843</v>
      </c>
      <c r="N440" s="1">
        <f>498+7</f>
        <v>505</v>
      </c>
      <c r="O440" s="1">
        <v>17</v>
      </c>
      <c r="P440" s="1">
        <v>3</v>
      </c>
      <c r="Q440" s="59">
        <f t="shared" si="181"/>
        <v>525</v>
      </c>
      <c r="R440" s="59">
        <f t="shared" si="175"/>
        <v>1500</v>
      </c>
    </row>
    <row r="441" spans="1:20" ht="15.75" customHeight="1" x14ac:dyDescent="0.3">
      <c r="A441" s="76" t="s">
        <v>403</v>
      </c>
      <c r="B441" s="1">
        <v>604</v>
      </c>
      <c r="C441" s="1">
        <v>314</v>
      </c>
      <c r="D441" s="1">
        <v>1267</v>
      </c>
      <c r="E441" s="59">
        <f t="shared" si="176"/>
        <v>2185</v>
      </c>
      <c r="F441" s="1"/>
      <c r="G441" s="1"/>
      <c r="H441" s="1"/>
      <c r="I441" s="59">
        <f t="shared" si="177"/>
        <v>0</v>
      </c>
      <c r="J441" s="1"/>
      <c r="K441" s="1"/>
      <c r="L441" s="1"/>
      <c r="M441" s="59">
        <f t="shared" si="178"/>
        <v>0</v>
      </c>
      <c r="N441" s="1"/>
      <c r="O441" s="1"/>
      <c r="P441" s="1"/>
      <c r="Q441" s="59">
        <f t="shared" si="181"/>
        <v>0</v>
      </c>
      <c r="R441" s="59">
        <f t="shared" si="175"/>
        <v>2185</v>
      </c>
    </row>
    <row r="442" spans="1:20" ht="15.75" customHeight="1" x14ac:dyDescent="0.3">
      <c r="A442" s="76" t="s">
        <v>404</v>
      </c>
      <c r="B442" s="1"/>
      <c r="C442" s="1"/>
      <c r="D442" s="1">
        <v>2328</v>
      </c>
      <c r="E442" s="59">
        <f t="shared" si="176"/>
        <v>2328</v>
      </c>
      <c r="F442" s="1">
        <v>3908</v>
      </c>
      <c r="G442" s="1">
        <v>5566</v>
      </c>
      <c r="H442" s="1">
        <v>2473</v>
      </c>
      <c r="I442" s="59">
        <f t="shared" si="177"/>
        <v>11947</v>
      </c>
      <c r="J442" s="1">
        <v>1225</v>
      </c>
      <c r="K442" s="1"/>
      <c r="L442" s="1"/>
      <c r="M442" s="59">
        <f t="shared" si="178"/>
        <v>1225</v>
      </c>
      <c r="N442" s="1"/>
      <c r="O442" s="1"/>
      <c r="P442" s="1"/>
      <c r="Q442" s="59">
        <f t="shared" si="181"/>
        <v>0</v>
      </c>
      <c r="R442" s="59">
        <f t="shared" si="175"/>
        <v>15500</v>
      </c>
    </row>
    <row r="443" spans="1:20" ht="15.75" customHeight="1" x14ac:dyDescent="0.3">
      <c r="A443" s="76" t="s">
        <v>405</v>
      </c>
      <c r="B443" s="1"/>
      <c r="C443" s="1"/>
      <c r="D443" s="1"/>
      <c r="E443" s="59">
        <f t="shared" si="176"/>
        <v>0</v>
      </c>
      <c r="F443" s="1"/>
      <c r="G443" s="1"/>
      <c r="H443" s="1"/>
      <c r="I443" s="59">
        <f t="shared" si="177"/>
        <v>0</v>
      </c>
      <c r="J443" s="1"/>
      <c r="K443" s="1"/>
      <c r="L443" s="1"/>
      <c r="M443" s="59">
        <f t="shared" si="178"/>
        <v>0</v>
      </c>
      <c r="N443" s="1"/>
      <c r="O443" s="1"/>
      <c r="P443" s="1"/>
      <c r="Q443" s="59">
        <f t="shared" si="181"/>
        <v>0</v>
      </c>
      <c r="R443" s="59">
        <f t="shared" si="175"/>
        <v>0</v>
      </c>
    </row>
    <row r="444" spans="1:20" ht="15.75" customHeight="1" x14ac:dyDescent="0.3">
      <c r="A444" s="76" t="s">
        <v>406</v>
      </c>
      <c r="B444" s="1">
        <v>117</v>
      </c>
      <c r="C444" s="1">
        <f>103+2</f>
        <v>105</v>
      </c>
      <c r="D444" s="1">
        <f>123+1</f>
        <v>124</v>
      </c>
      <c r="E444" s="59">
        <f t="shared" si="176"/>
        <v>346</v>
      </c>
      <c r="F444" s="1">
        <f>124+1</f>
        <v>125</v>
      </c>
      <c r="G444" s="1">
        <f>129+2</f>
        <v>131</v>
      </c>
      <c r="H444" s="1">
        <f>143+2</f>
        <v>145</v>
      </c>
      <c r="I444" s="59">
        <f t="shared" si="177"/>
        <v>401</v>
      </c>
      <c r="J444" s="1">
        <f>135+1</f>
        <v>136</v>
      </c>
      <c r="K444" s="1">
        <v>117</v>
      </c>
      <c r="L444" s="1"/>
      <c r="M444" s="59">
        <f t="shared" si="178"/>
        <v>253</v>
      </c>
      <c r="N444" s="1"/>
      <c r="O444" s="1"/>
      <c r="P444" s="1"/>
      <c r="Q444" s="59">
        <f t="shared" si="179"/>
        <v>0</v>
      </c>
      <c r="R444" s="59">
        <f t="shared" si="175"/>
        <v>1000</v>
      </c>
    </row>
    <row r="445" spans="1:20" ht="15.75" customHeight="1" x14ac:dyDescent="0.3">
      <c r="A445" s="76" t="s">
        <v>407</v>
      </c>
      <c r="B445" s="1">
        <v>1500</v>
      </c>
      <c r="C445" s="1">
        <v>3396</v>
      </c>
      <c r="D445" s="1">
        <v>5939</v>
      </c>
      <c r="E445" s="59">
        <f t="shared" si="176"/>
        <v>10835</v>
      </c>
      <c r="F445" s="1">
        <v>1733</v>
      </c>
      <c r="G445" s="1">
        <v>2432</v>
      </c>
      <c r="H445" s="1"/>
      <c r="I445" s="59">
        <f t="shared" si="177"/>
        <v>4165</v>
      </c>
      <c r="J445" s="1"/>
      <c r="K445" s="1"/>
      <c r="L445" s="1"/>
      <c r="M445" s="59">
        <f t="shared" si="178"/>
        <v>0</v>
      </c>
      <c r="N445" s="1"/>
      <c r="O445" s="1"/>
      <c r="P445" s="1"/>
      <c r="Q445" s="59">
        <f t="shared" si="179"/>
        <v>0</v>
      </c>
      <c r="R445" s="59">
        <f t="shared" si="175"/>
        <v>15000</v>
      </c>
      <c r="T445" s="4" t="s">
        <v>315</v>
      </c>
    </row>
    <row r="446" spans="1:20" ht="15.75" customHeight="1" x14ac:dyDescent="0.3">
      <c r="A446" s="76" t="s">
        <v>1013</v>
      </c>
      <c r="B446" s="1"/>
      <c r="C446" s="1"/>
      <c r="D446" s="1"/>
      <c r="E446" s="59">
        <f t="shared" si="176"/>
        <v>0</v>
      </c>
      <c r="F446" s="1"/>
      <c r="G446" s="1"/>
      <c r="H446" s="1"/>
      <c r="I446" s="59">
        <f t="shared" si="177"/>
        <v>0</v>
      </c>
      <c r="J446" s="1"/>
      <c r="K446" s="1"/>
      <c r="L446" s="1"/>
      <c r="M446" s="59">
        <f t="shared" si="178"/>
        <v>0</v>
      </c>
      <c r="N446" s="1">
        <v>1002</v>
      </c>
      <c r="O446" s="1">
        <v>998</v>
      </c>
      <c r="P446" s="1"/>
      <c r="Q446" s="59">
        <f t="shared" ref="Q446" si="182">SUM(N446:P446)</f>
        <v>2000</v>
      </c>
      <c r="R446" s="59">
        <f t="shared" si="175"/>
        <v>2000</v>
      </c>
    </row>
    <row r="447" spans="1:20" ht="15.75" customHeight="1" x14ac:dyDescent="0.3">
      <c r="A447" s="76" t="s">
        <v>408</v>
      </c>
      <c r="B447" s="1">
        <v>12</v>
      </c>
      <c r="C447" s="1">
        <v>3</v>
      </c>
      <c r="D447" s="1">
        <v>24</v>
      </c>
      <c r="E447" s="59">
        <f>SUM(B447:D447)</f>
        <v>39</v>
      </c>
      <c r="F447" s="1">
        <v>27</v>
      </c>
      <c r="G447" s="1">
        <v>18</v>
      </c>
      <c r="H447" s="1">
        <v>24</v>
      </c>
      <c r="I447" s="59">
        <f t="shared" si="177"/>
        <v>69</v>
      </c>
      <c r="J447" s="1">
        <v>42</v>
      </c>
      <c r="K447" s="1">
        <v>18</v>
      </c>
      <c r="L447" s="1">
        <v>18</v>
      </c>
      <c r="M447" s="59">
        <f t="shared" si="178"/>
        <v>78</v>
      </c>
      <c r="N447" s="1">
        <v>24</v>
      </c>
      <c r="O447" s="1"/>
      <c r="P447" s="1"/>
      <c r="Q447" s="59">
        <f t="shared" si="179"/>
        <v>24</v>
      </c>
      <c r="R447" s="59">
        <f t="shared" si="175"/>
        <v>210</v>
      </c>
      <c r="T447" s="4" t="s">
        <v>348</v>
      </c>
    </row>
    <row r="448" spans="1:20" ht="15.75" customHeight="1" x14ac:dyDescent="0.3">
      <c r="A448" s="76" t="s">
        <v>409</v>
      </c>
      <c r="B448" s="1">
        <v>1529</v>
      </c>
      <c r="C448" s="1">
        <v>1218</v>
      </c>
      <c r="D448" s="1">
        <v>1622</v>
      </c>
      <c r="E448" s="59">
        <f t="shared" si="176"/>
        <v>4369</v>
      </c>
      <c r="F448" s="1">
        <v>1582</v>
      </c>
      <c r="G448" s="1">
        <v>1635</v>
      </c>
      <c r="H448" s="1">
        <v>1581</v>
      </c>
      <c r="I448" s="59">
        <f t="shared" si="177"/>
        <v>4798</v>
      </c>
      <c r="J448" s="1">
        <v>1816</v>
      </c>
      <c r="K448" s="1">
        <v>201</v>
      </c>
      <c r="L448" s="1"/>
      <c r="M448" s="59">
        <f t="shared" si="178"/>
        <v>2017</v>
      </c>
      <c r="N448" s="1"/>
      <c r="O448" s="1"/>
      <c r="P448" s="1"/>
      <c r="Q448" s="59">
        <f t="shared" si="179"/>
        <v>0</v>
      </c>
      <c r="R448" s="59">
        <f t="shared" si="175"/>
        <v>11184</v>
      </c>
      <c r="T448" s="4" t="s">
        <v>217</v>
      </c>
    </row>
    <row r="449" spans="1:20" ht="15.75" customHeight="1" x14ac:dyDescent="0.3">
      <c r="A449" s="76" t="s">
        <v>410</v>
      </c>
      <c r="B449" s="1">
        <v>211</v>
      </c>
      <c r="C449" s="1">
        <v>963</v>
      </c>
      <c r="D449" s="1">
        <v>1933</v>
      </c>
      <c r="E449" s="59">
        <f t="shared" si="176"/>
        <v>3107</v>
      </c>
      <c r="F449" s="1">
        <v>1076</v>
      </c>
      <c r="G449" s="1">
        <v>1949</v>
      </c>
      <c r="H449" s="1">
        <v>542</v>
      </c>
      <c r="I449" s="59">
        <f t="shared" si="177"/>
        <v>3567</v>
      </c>
      <c r="J449" s="1"/>
      <c r="K449" s="1"/>
      <c r="L449" s="1"/>
      <c r="M449" s="59">
        <f t="shared" si="178"/>
        <v>0</v>
      </c>
      <c r="N449" s="1"/>
      <c r="O449" s="1"/>
      <c r="P449" s="1"/>
      <c r="Q449" s="59">
        <f t="shared" si="179"/>
        <v>0</v>
      </c>
      <c r="R449" s="59">
        <f>+E449+I449+M449+Q449</f>
        <v>6674</v>
      </c>
    </row>
    <row r="450" spans="1:20" ht="15.75" customHeight="1" x14ac:dyDescent="0.3">
      <c r="A450" s="76" t="s">
        <v>411</v>
      </c>
      <c r="B450" s="1"/>
      <c r="C450" s="1"/>
      <c r="D450" s="1"/>
      <c r="E450" s="59">
        <f t="shared" si="176"/>
        <v>0</v>
      </c>
      <c r="F450" s="1"/>
      <c r="G450" s="1"/>
      <c r="H450" s="1"/>
      <c r="I450" s="59">
        <f t="shared" si="177"/>
        <v>0</v>
      </c>
      <c r="J450" s="1"/>
      <c r="K450" s="1"/>
      <c r="L450" s="1"/>
      <c r="M450" s="59">
        <f t="shared" si="178"/>
        <v>0</v>
      </c>
      <c r="N450" s="1"/>
      <c r="O450" s="1"/>
      <c r="P450" s="1"/>
      <c r="Q450" s="59">
        <f t="shared" si="179"/>
        <v>0</v>
      </c>
      <c r="R450" s="59">
        <f>+E450+I450+M450+Q450</f>
        <v>0</v>
      </c>
    </row>
    <row r="451" spans="1:20" ht="15.75" customHeight="1" x14ac:dyDescent="0.3">
      <c r="A451" s="76" t="s">
        <v>412</v>
      </c>
      <c r="B451" s="1"/>
      <c r="C451" s="1"/>
      <c r="D451" s="1"/>
      <c r="E451" s="59">
        <f t="shared" si="176"/>
        <v>0</v>
      </c>
      <c r="F451" s="1"/>
      <c r="G451" s="1"/>
      <c r="H451" s="1"/>
      <c r="I451" s="59">
        <f t="shared" si="177"/>
        <v>0</v>
      </c>
      <c r="J451" s="1"/>
      <c r="K451" s="1"/>
      <c r="L451" s="1"/>
      <c r="M451" s="59">
        <f t="shared" si="178"/>
        <v>0</v>
      </c>
      <c r="N451" s="1"/>
      <c r="O451" s="1"/>
      <c r="P451" s="1"/>
      <c r="Q451" s="59">
        <f t="shared" si="179"/>
        <v>0</v>
      </c>
      <c r="R451" s="59">
        <f>+E451+I451+M451+Q451</f>
        <v>0</v>
      </c>
    </row>
    <row r="452" spans="1:20" ht="15.75" customHeight="1" x14ac:dyDescent="0.3">
      <c r="A452" s="76" t="s">
        <v>413</v>
      </c>
      <c r="B452" s="1"/>
      <c r="C452" s="1"/>
      <c r="D452" s="1"/>
      <c r="E452" s="59">
        <f t="shared" si="176"/>
        <v>0</v>
      </c>
      <c r="F452" s="1"/>
      <c r="G452" s="1"/>
      <c r="H452" s="1"/>
      <c r="I452" s="59">
        <f t="shared" si="177"/>
        <v>0</v>
      </c>
      <c r="J452" s="1"/>
      <c r="K452" s="1"/>
      <c r="L452" s="1"/>
      <c r="M452" s="59">
        <f t="shared" si="178"/>
        <v>0</v>
      </c>
      <c r="N452" s="1"/>
      <c r="O452" s="1"/>
      <c r="P452" s="1"/>
      <c r="Q452" s="59">
        <f t="shared" si="179"/>
        <v>0</v>
      </c>
      <c r="R452" s="59">
        <f>+E452+I452+M452+Q452</f>
        <v>0</v>
      </c>
      <c r="T452" s="4" t="s">
        <v>315</v>
      </c>
    </row>
    <row r="453" spans="1:20" ht="15.75" customHeight="1" x14ac:dyDescent="0.3">
      <c r="A453" s="76" t="s">
        <v>414</v>
      </c>
      <c r="B453" s="1"/>
      <c r="C453" s="1"/>
      <c r="D453" s="1"/>
      <c r="E453" s="59">
        <f t="shared" ref="E453" si="183">SUM(B453:D453)</f>
        <v>0</v>
      </c>
      <c r="F453" s="1"/>
      <c r="G453" s="1"/>
      <c r="H453" s="1"/>
      <c r="I453" s="59">
        <f t="shared" ref="I453" si="184">SUM(F453:H453)</f>
        <v>0</v>
      </c>
      <c r="J453" s="1"/>
      <c r="K453" s="1"/>
      <c r="L453" s="1"/>
      <c r="M453" s="59">
        <f t="shared" ref="M453" si="185">SUM(J453:L453)</f>
        <v>0</v>
      </c>
      <c r="N453" s="1"/>
      <c r="O453" s="1"/>
      <c r="P453" s="1"/>
      <c r="Q453" s="59">
        <f t="shared" ref="Q453" si="186">SUM(N453:P453)</f>
        <v>0</v>
      </c>
      <c r="R453" s="59">
        <f t="shared" ref="R453:R454" si="187">+E453+I453+M453+Q453</f>
        <v>0</v>
      </c>
      <c r="T453" s="4" t="s">
        <v>317</v>
      </c>
    </row>
    <row r="454" spans="1:20" ht="16.5" customHeight="1" x14ac:dyDescent="0.3">
      <c r="A454" s="76" t="s">
        <v>415</v>
      </c>
      <c r="B454" s="1"/>
      <c r="C454" s="1">
        <v>300</v>
      </c>
      <c r="D454" s="1">
        <v>800</v>
      </c>
      <c r="E454" s="59">
        <f t="shared" si="176"/>
        <v>1100</v>
      </c>
      <c r="F454" s="1">
        <v>700</v>
      </c>
      <c r="G454" s="1">
        <v>800</v>
      </c>
      <c r="H454" s="1">
        <v>800</v>
      </c>
      <c r="I454" s="59">
        <f t="shared" si="177"/>
        <v>2300</v>
      </c>
      <c r="J454" s="1">
        <v>800</v>
      </c>
      <c r="K454" s="1"/>
      <c r="L454" s="1"/>
      <c r="M454" s="59">
        <f t="shared" si="178"/>
        <v>800</v>
      </c>
      <c r="N454" s="1"/>
      <c r="O454" s="1"/>
      <c r="P454" s="1"/>
      <c r="Q454" s="59">
        <f t="shared" ref="Q454" si="188">SUM(N454:P454)</f>
        <v>0</v>
      </c>
      <c r="R454" s="59">
        <f t="shared" si="187"/>
        <v>4200</v>
      </c>
      <c r="T454" s="4" t="s">
        <v>376</v>
      </c>
    </row>
    <row r="455" spans="1:20" ht="15.75" customHeight="1" x14ac:dyDescent="0.3">
      <c r="A455" s="76" t="s">
        <v>416</v>
      </c>
      <c r="B455" s="1"/>
      <c r="C455" s="1"/>
      <c r="D455" s="1"/>
      <c r="E455" s="59">
        <f t="shared" si="176"/>
        <v>0</v>
      </c>
      <c r="F455" s="1"/>
      <c r="G455" s="1"/>
      <c r="H455" s="1"/>
      <c r="I455" s="59">
        <f t="shared" si="177"/>
        <v>0</v>
      </c>
      <c r="J455" s="1"/>
      <c r="K455" s="1"/>
      <c r="L455" s="1"/>
      <c r="M455" s="59">
        <f t="shared" si="178"/>
        <v>0</v>
      </c>
      <c r="N455" s="1"/>
      <c r="O455" s="1"/>
      <c r="P455" s="1"/>
      <c r="Q455" s="59">
        <f t="shared" ref="Q455" si="189">SUM(N455:P455)</f>
        <v>0</v>
      </c>
      <c r="R455" s="59">
        <f t="shared" si="175"/>
        <v>0</v>
      </c>
      <c r="T455" s="4" t="s">
        <v>331</v>
      </c>
    </row>
    <row r="456" spans="1:20" ht="15.75" customHeight="1" x14ac:dyDescent="0.3">
      <c r="A456" s="76" t="s">
        <v>417</v>
      </c>
      <c r="B456" s="1"/>
      <c r="C456" s="1"/>
      <c r="D456" s="1"/>
      <c r="E456" s="59">
        <f t="shared" si="176"/>
        <v>0</v>
      </c>
      <c r="F456" s="1"/>
      <c r="G456" s="1"/>
      <c r="H456" s="1">
        <v>2061</v>
      </c>
      <c r="I456" s="59">
        <f t="shared" si="177"/>
        <v>2061</v>
      </c>
      <c r="J456" s="1">
        <v>1239</v>
      </c>
      <c r="K456" s="1"/>
      <c r="L456" s="1"/>
      <c r="M456" s="59">
        <f t="shared" si="178"/>
        <v>1239</v>
      </c>
      <c r="N456" s="1"/>
      <c r="O456" s="1"/>
      <c r="P456" s="1"/>
      <c r="Q456" s="59">
        <f t="shared" si="179"/>
        <v>0</v>
      </c>
      <c r="R456" s="59">
        <f t="shared" si="175"/>
        <v>3300</v>
      </c>
      <c r="T456" s="4" t="s">
        <v>331</v>
      </c>
    </row>
    <row r="457" spans="1:20" ht="15.75" customHeight="1" x14ac:dyDescent="0.3">
      <c r="A457" s="76" t="s">
        <v>418</v>
      </c>
      <c r="B457" s="1"/>
      <c r="C457" s="1"/>
      <c r="D457" s="1"/>
      <c r="E457" s="59">
        <f t="shared" si="176"/>
        <v>0</v>
      </c>
      <c r="F457" s="1"/>
      <c r="G457" s="1"/>
      <c r="H457" s="1"/>
      <c r="I457" s="59">
        <f t="shared" si="177"/>
        <v>0</v>
      </c>
      <c r="J457" s="1"/>
      <c r="K457" s="1"/>
      <c r="L457" s="1"/>
      <c r="M457" s="59">
        <f t="shared" si="178"/>
        <v>0</v>
      </c>
      <c r="N457" s="1"/>
      <c r="O457" s="1"/>
      <c r="P457" s="1">
        <v>125</v>
      </c>
      <c r="Q457" s="59">
        <f t="shared" si="179"/>
        <v>125</v>
      </c>
      <c r="R457" s="59">
        <f t="shared" si="175"/>
        <v>125</v>
      </c>
      <c r="T457" s="4" t="s">
        <v>217</v>
      </c>
    </row>
    <row r="458" spans="1:20" ht="15.75" customHeight="1" x14ac:dyDescent="0.3">
      <c r="A458" s="76" t="s">
        <v>419</v>
      </c>
      <c r="B458" s="1"/>
      <c r="C458" s="1"/>
      <c r="D458" s="1"/>
      <c r="E458" s="59">
        <f t="shared" si="176"/>
        <v>0</v>
      </c>
      <c r="F458" s="1"/>
      <c r="G458" s="1"/>
      <c r="H458" s="1"/>
      <c r="I458" s="59">
        <f t="shared" si="177"/>
        <v>0</v>
      </c>
      <c r="J458" s="1"/>
      <c r="K458" s="1"/>
      <c r="L458" s="1"/>
      <c r="M458" s="59">
        <f t="shared" si="178"/>
        <v>0</v>
      </c>
      <c r="N458" s="1"/>
      <c r="O458" s="1">
        <v>1241</v>
      </c>
      <c r="P458" s="1">
        <v>1021</v>
      </c>
      <c r="Q458" s="59">
        <f t="shared" si="179"/>
        <v>2262</v>
      </c>
      <c r="R458" s="59">
        <f t="shared" si="175"/>
        <v>2262</v>
      </c>
      <c r="T458" s="4" t="s">
        <v>217</v>
      </c>
    </row>
    <row r="459" spans="1:20" ht="15.75" customHeight="1" x14ac:dyDescent="0.3">
      <c r="A459" s="76" t="s">
        <v>420</v>
      </c>
      <c r="B459" s="1"/>
      <c r="C459" s="1"/>
      <c r="D459" s="1"/>
      <c r="E459" s="59">
        <f t="shared" si="176"/>
        <v>0</v>
      </c>
      <c r="F459" s="1"/>
      <c r="G459" s="1"/>
      <c r="H459" s="1">
        <v>1653</v>
      </c>
      <c r="I459" s="59">
        <f t="shared" si="177"/>
        <v>1653</v>
      </c>
      <c r="J459" s="1"/>
      <c r="K459" s="1"/>
      <c r="L459" s="1"/>
      <c r="M459" s="59">
        <f t="shared" si="178"/>
        <v>0</v>
      </c>
      <c r="N459" s="1"/>
      <c r="O459" s="1"/>
      <c r="P459" s="1"/>
      <c r="Q459" s="59">
        <f t="shared" si="179"/>
        <v>0</v>
      </c>
      <c r="R459" s="59">
        <f t="shared" si="175"/>
        <v>1653</v>
      </c>
      <c r="T459" s="4" t="s">
        <v>315</v>
      </c>
    </row>
    <row r="460" spans="1:20" ht="15.75" customHeight="1" x14ac:dyDescent="0.3">
      <c r="A460" s="76" t="s">
        <v>421</v>
      </c>
      <c r="B460" s="1"/>
      <c r="C460" s="1"/>
      <c r="D460" s="1"/>
      <c r="E460" s="59">
        <f t="shared" si="176"/>
        <v>0</v>
      </c>
      <c r="F460" s="1"/>
      <c r="G460" s="1"/>
      <c r="H460" s="1"/>
      <c r="I460" s="59">
        <f t="shared" si="177"/>
        <v>0</v>
      </c>
      <c r="J460" s="1"/>
      <c r="K460" s="1"/>
      <c r="L460" s="1"/>
      <c r="M460" s="59">
        <f t="shared" si="178"/>
        <v>0</v>
      </c>
      <c r="N460" s="1"/>
      <c r="O460" s="1"/>
      <c r="P460" s="1"/>
      <c r="Q460" s="59">
        <f t="shared" si="179"/>
        <v>0</v>
      </c>
      <c r="R460" s="59">
        <f t="shared" si="175"/>
        <v>0</v>
      </c>
    </row>
    <row r="461" spans="1:20" ht="15.75" customHeight="1" x14ac:dyDescent="0.3">
      <c r="A461" s="76" t="s">
        <v>422</v>
      </c>
      <c r="B461" s="1"/>
      <c r="C461" s="1"/>
      <c r="D461" s="1"/>
      <c r="E461" s="59">
        <f t="shared" si="176"/>
        <v>0</v>
      </c>
      <c r="F461" s="1"/>
      <c r="G461" s="1"/>
      <c r="H461" s="1"/>
      <c r="I461" s="59">
        <f t="shared" si="177"/>
        <v>0</v>
      </c>
      <c r="J461" s="1"/>
      <c r="K461" s="1"/>
      <c r="L461" s="1"/>
      <c r="M461" s="59">
        <f t="shared" si="178"/>
        <v>0</v>
      </c>
      <c r="N461" s="1"/>
      <c r="O461" s="1"/>
      <c r="P461" s="1"/>
      <c r="Q461" s="59">
        <f t="shared" si="179"/>
        <v>0</v>
      </c>
      <c r="R461" s="59">
        <f t="shared" si="175"/>
        <v>0</v>
      </c>
    </row>
    <row r="462" spans="1:20" ht="15.75" customHeight="1" x14ac:dyDescent="0.3">
      <c r="A462" s="76" t="s">
        <v>423</v>
      </c>
      <c r="B462" s="1"/>
      <c r="C462" s="1"/>
      <c r="D462" s="1"/>
      <c r="E462" s="59">
        <f t="shared" si="176"/>
        <v>0</v>
      </c>
      <c r="F462" s="1"/>
      <c r="G462" s="1"/>
      <c r="H462" s="1"/>
      <c r="I462" s="59">
        <f t="shared" si="177"/>
        <v>0</v>
      </c>
      <c r="J462" s="1"/>
      <c r="K462" s="1"/>
      <c r="L462" s="1"/>
      <c r="M462" s="59">
        <f t="shared" si="178"/>
        <v>0</v>
      </c>
      <c r="N462" s="1"/>
      <c r="O462" s="1"/>
      <c r="P462" s="1">
        <v>709</v>
      </c>
      <c r="Q462" s="59">
        <f t="shared" si="179"/>
        <v>709</v>
      </c>
      <c r="R462" s="59">
        <f t="shared" si="175"/>
        <v>709</v>
      </c>
    </row>
    <row r="463" spans="1:20" s="375" customFormat="1" ht="15.75" customHeight="1" x14ac:dyDescent="0.3">
      <c r="A463" s="76" t="s">
        <v>424</v>
      </c>
      <c r="B463" s="1"/>
      <c r="C463" s="1"/>
      <c r="D463" s="1"/>
      <c r="E463" s="59">
        <f t="shared" si="176"/>
        <v>0</v>
      </c>
      <c r="F463" s="1"/>
      <c r="G463" s="1"/>
      <c r="H463" s="1"/>
      <c r="I463" s="59">
        <f t="shared" si="177"/>
        <v>0</v>
      </c>
      <c r="J463" s="1"/>
      <c r="K463" s="1"/>
      <c r="L463" s="1"/>
      <c r="M463" s="59">
        <f t="shared" si="178"/>
        <v>0</v>
      </c>
      <c r="N463" s="1"/>
      <c r="O463" s="1"/>
      <c r="P463" s="1"/>
      <c r="Q463" s="59">
        <f t="shared" si="179"/>
        <v>0</v>
      </c>
      <c r="R463" s="59">
        <f t="shared" si="175"/>
        <v>0</v>
      </c>
    </row>
    <row r="464" spans="1:20" s="375" customFormat="1" ht="15.75" customHeight="1" x14ac:dyDescent="0.3">
      <c r="A464" s="76" t="s">
        <v>425</v>
      </c>
      <c r="B464" s="1"/>
      <c r="C464" s="1"/>
      <c r="D464" s="1"/>
      <c r="E464" s="59">
        <f t="shared" si="176"/>
        <v>0</v>
      </c>
      <c r="F464" s="1"/>
      <c r="G464" s="1"/>
      <c r="H464" s="1"/>
      <c r="I464" s="59">
        <f t="shared" si="177"/>
        <v>0</v>
      </c>
      <c r="J464" s="1"/>
      <c r="K464" s="1"/>
      <c r="L464" s="1"/>
      <c r="M464" s="59">
        <f t="shared" si="178"/>
        <v>0</v>
      </c>
      <c r="N464" s="1">
        <v>546</v>
      </c>
      <c r="O464" s="1">
        <v>874</v>
      </c>
      <c r="P464" s="1"/>
      <c r="Q464" s="59">
        <f t="shared" si="179"/>
        <v>1420</v>
      </c>
      <c r="R464" s="59">
        <f t="shared" si="175"/>
        <v>1420</v>
      </c>
    </row>
    <row r="465" spans="1:20" ht="15.75" customHeight="1" x14ac:dyDescent="0.3">
      <c r="A465" s="76" t="s">
        <v>426</v>
      </c>
      <c r="B465" s="1"/>
      <c r="C465" s="1"/>
      <c r="D465" s="1"/>
      <c r="E465" s="59">
        <f t="shared" si="176"/>
        <v>0</v>
      </c>
      <c r="F465" s="1"/>
      <c r="G465" s="1"/>
      <c r="H465" s="1"/>
      <c r="I465" s="59">
        <f t="shared" si="177"/>
        <v>0</v>
      </c>
      <c r="J465" s="1"/>
      <c r="K465" s="1"/>
      <c r="L465" s="1"/>
      <c r="M465" s="59">
        <f t="shared" si="178"/>
        <v>0</v>
      </c>
      <c r="N465" s="1"/>
      <c r="O465" s="1"/>
      <c r="P465" s="1"/>
      <c r="Q465" s="59">
        <f t="shared" si="179"/>
        <v>0</v>
      </c>
      <c r="R465" s="59">
        <f t="shared" si="175"/>
        <v>0</v>
      </c>
    </row>
    <row r="466" spans="1:20" ht="15.75" customHeight="1" x14ac:dyDescent="0.3">
      <c r="A466" s="76" t="s">
        <v>427</v>
      </c>
      <c r="B466" s="1"/>
      <c r="C466" s="1"/>
      <c r="D466" s="1"/>
      <c r="E466" s="59">
        <f t="shared" si="176"/>
        <v>0</v>
      </c>
      <c r="F466" s="1"/>
      <c r="G466" s="1"/>
      <c r="H466" s="1"/>
      <c r="I466" s="59">
        <f t="shared" si="177"/>
        <v>0</v>
      </c>
      <c r="J466" s="1"/>
      <c r="K466" s="1"/>
      <c r="L466" s="1"/>
      <c r="M466" s="59">
        <f t="shared" si="178"/>
        <v>0</v>
      </c>
      <c r="N466" s="1"/>
      <c r="O466" s="1"/>
      <c r="P466" s="1"/>
      <c r="Q466" s="59">
        <f t="shared" si="179"/>
        <v>0</v>
      </c>
      <c r="R466" s="59">
        <f t="shared" si="175"/>
        <v>0</v>
      </c>
    </row>
    <row r="467" spans="1:20" ht="15.75" customHeight="1" x14ac:dyDescent="0.3">
      <c r="A467" s="76" t="s">
        <v>428</v>
      </c>
      <c r="B467" s="1"/>
      <c r="C467" s="1"/>
      <c r="D467" s="1"/>
      <c r="E467" s="59">
        <f t="shared" si="176"/>
        <v>0</v>
      </c>
      <c r="F467" s="1"/>
      <c r="G467" s="1">
        <v>2145</v>
      </c>
      <c r="H467" s="1"/>
      <c r="I467" s="59">
        <f t="shared" si="177"/>
        <v>2145</v>
      </c>
      <c r="J467" s="1"/>
      <c r="K467" s="1"/>
      <c r="L467" s="1"/>
      <c r="M467" s="59">
        <f t="shared" si="178"/>
        <v>0</v>
      </c>
      <c r="N467" s="1"/>
      <c r="O467" s="1"/>
      <c r="P467" s="1"/>
      <c r="Q467" s="59">
        <f>SUM(N467:P467)</f>
        <v>0</v>
      </c>
      <c r="R467" s="59">
        <f t="shared" si="175"/>
        <v>2145</v>
      </c>
    </row>
    <row r="468" spans="1:20" ht="15.75" customHeight="1" x14ac:dyDescent="0.3">
      <c r="A468" s="76" t="s">
        <v>429</v>
      </c>
      <c r="B468" s="1"/>
      <c r="C468" s="1"/>
      <c r="D468" s="1"/>
      <c r="E468" s="59">
        <f t="shared" si="176"/>
        <v>0</v>
      </c>
      <c r="F468" s="1"/>
      <c r="G468" s="1"/>
      <c r="H468" s="1"/>
      <c r="I468" s="59">
        <f t="shared" si="177"/>
        <v>0</v>
      </c>
      <c r="J468" s="1"/>
      <c r="K468" s="1"/>
      <c r="L468" s="1"/>
      <c r="M468" s="59">
        <f t="shared" si="178"/>
        <v>0</v>
      </c>
      <c r="N468" s="1"/>
      <c r="O468" s="1"/>
      <c r="P468" s="1"/>
      <c r="Q468" s="59">
        <f t="shared" si="179"/>
        <v>0</v>
      </c>
      <c r="R468" s="59">
        <f t="shared" si="175"/>
        <v>0</v>
      </c>
    </row>
    <row r="469" spans="1:20" ht="15.75" customHeight="1" x14ac:dyDescent="0.3">
      <c r="A469" s="76" t="s">
        <v>430</v>
      </c>
      <c r="B469" s="1"/>
      <c r="C469" s="1"/>
      <c r="D469" s="1"/>
      <c r="E469" s="59">
        <f t="shared" si="176"/>
        <v>0</v>
      </c>
      <c r="F469" s="1"/>
      <c r="G469" s="1"/>
      <c r="H469" s="1"/>
      <c r="I469" s="59">
        <f t="shared" si="177"/>
        <v>0</v>
      </c>
      <c r="J469" s="1"/>
      <c r="K469" s="1"/>
      <c r="L469" s="1"/>
      <c r="M469" s="59">
        <f t="shared" si="178"/>
        <v>0</v>
      </c>
      <c r="N469" s="1"/>
      <c r="O469" s="1"/>
      <c r="P469" s="1"/>
      <c r="Q469" s="59">
        <f t="shared" si="179"/>
        <v>0</v>
      </c>
      <c r="R469" s="59">
        <f t="shared" si="175"/>
        <v>0</v>
      </c>
    </row>
    <row r="470" spans="1:20" ht="15.75" customHeight="1" x14ac:dyDescent="0.3">
      <c r="A470" s="76" t="s">
        <v>431</v>
      </c>
      <c r="B470" s="1"/>
      <c r="C470" s="1"/>
      <c r="D470" s="1"/>
      <c r="E470" s="59">
        <f t="shared" si="176"/>
        <v>0</v>
      </c>
      <c r="F470" s="1"/>
      <c r="G470" s="1"/>
      <c r="H470" s="1"/>
      <c r="I470" s="59">
        <f t="shared" si="177"/>
        <v>0</v>
      </c>
      <c r="J470" s="1"/>
      <c r="K470" s="1"/>
      <c r="L470" s="1"/>
      <c r="M470" s="59">
        <f t="shared" si="178"/>
        <v>0</v>
      </c>
      <c r="N470" s="1"/>
      <c r="O470" s="1"/>
      <c r="P470" s="1"/>
      <c r="Q470" s="59">
        <f t="shared" si="179"/>
        <v>0</v>
      </c>
      <c r="R470" s="59">
        <f t="shared" si="175"/>
        <v>0</v>
      </c>
    </row>
    <row r="471" spans="1:20" ht="15.75" customHeight="1" x14ac:dyDescent="0.3">
      <c r="A471" s="76" t="s">
        <v>432</v>
      </c>
      <c r="B471" s="1"/>
      <c r="C471" s="1"/>
      <c r="D471" s="1"/>
      <c r="E471" s="59">
        <f t="shared" si="176"/>
        <v>0</v>
      </c>
      <c r="F471" s="1"/>
      <c r="G471" s="1"/>
      <c r="H471" s="1"/>
      <c r="I471" s="59">
        <f t="shared" si="177"/>
        <v>0</v>
      </c>
      <c r="J471" s="1"/>
      <c r="K471" s="1"/>
      <c r="L471" s="1"/>
      <c r="M471" s="59">
        <f t="shared" si="178"/>
        <v>0</v>
      </c>
      <c r="N471" s="1"/>
      <c r="O471" s="1"/>
      <c r="P471" s="1"/>
      <c r="Q471" s="59">
        <f t="shared" si="179"/>
        <v>0</v>
      </c>
      <c r="R471" s="59">
        <f t="shared" si="175"/>
        <v>0</v>
      </c>
      <c r="T471" s="4" t="s">
        <v>217</v>
      </c>
    </row>
    <row r="472" spans="1:20" ht="15.75" customHeight="1" x14ac:dyDescent="0.3">
      <c r="A472" s="76" t="s">
        <v>433</v>
      </c>
      <c r="B472" s="1"/>
      <c r="C472" s="1"/>
      <c r="D472" s="1"/>
      <c r="E472" s="59">
        <f t="shared" si="176"/>
        <v>0</v>
      </c>
      <c r="F472" s="1"/>
      <c r="G472" s="1"/>
      <c r="H472" s="1"/>
      <c r="I472" s="59">
        <f t="shared" si="177"/>
        <v>0</v>
      </c>
      <c r="J472" s="1"/>
      <c r="K472" s="1"/>
      <c r="L472" s="1"/>
      <c r="M472" s="59">
        <f t="shared" si="178"/>
        <v>0</v>
      </c>
      <c r="N472" s="1"/>
      <c r="O472" s="1"/>
      <c r="P472" s="1"/>
      <c r="Q472" s="59">
        <f t="shared" si="179"/>
        <v>0</v>
      </c>
      <c r="R472" s="59">
        <f t="shared" si="175"/>
        <v>0</v>
      </c>
      <c r="T472" s="4" t="s">
        <v>217</v>
      </c>
    </row>
    <row r="473" spans="1:20" ht="15.75" customHeight="1" x14ac:dyDescent="0.3">
      <c r="A473" s="76" t="s">
        <v>434</v>
      </c>
      <c r="B473" s="1"/>
      <c r="C473" s="1"/>
      <c r="D473" s="1"/>
      <c r="E473" s="59">
        <f t="shared" si="176"/>
        <v>0</v>
      </c>
      <c r="F473" s="1"/>
      <c r="G473" s="1">
        <v>693</v>
      </c>
      <c r="H473" s="1">
        <v>2205</v>
      </c>
      <c r="I473" s="59">
        <f t="shared" si="177"/>
        <v>2898</v>
      </c>
      <c r="J473" s="1">
        <v>1190</v>
      </c>
      <c r="K473" s="1"/>
      <c r="L473" s="1"/>
      <c r="M473" s="59">
        <f t="shared" si="178"/>
        <v>1190</v>
      </c>
      <c r="N473" s="1"/>
      <c r="O473" s="1"/>
      <c r="P473" s="1"/>
      <c r="Q473" s="59">
        <f t="shared" si="179"/>
        <v>0</v>
      </c>
      <c r="R473" s="59">
        <f t="shared" si="175"/>
        <v>4088</v>
      </c>
      <c r="T473" s="4" t="s">
        <v>217</v>
      </c>
    </row>
    <row r="474" spans="1:20" ht="15.75" customHeight="1" x14ac:dyDescent="0.3">
      <c r="A474" s="76" t="s">
        <v>435</v>
      </c>
      <c r="B474" s="1"/>
      <c r="C474" s="1"/>
      <c r="D474" s="1"/>
      <c r="E474" s="59">
        <f t="shared" si="176"/>
        <v>0</v>
      </c>
      <c r="F474" s="1"/>
      <c r="G474" s="1"/>
      <c r="H474" s="1"/>
      <c r="I474" s="59">
        <f t="shared" si="177"/>
        <v>0</v>
      </c>
      <c r="J474" s="1"/>
      <c r="K474" s="1"/>
      <c r="L474" s="1"/>
      <c r="M474" s="59">
        <f t="shared" si="178"/>
        <v>0</v>
      </c>
      <c r="N474" s="1"/>
      <c r="O474" s="1"/>
      <c r="P474" s="1"/>
      <c r="Q474" s="59">
        <f t="shared" si="179"/>
        <v>0</v>
      </c>
      <c r="R474" s="59">
        <f t="shared" si="175"/>
        <v>0</v>
      </c>
      <c r="T474" s="4" t="s">
        <v>315</v>
      </c>
    </row>
    <row r="475" spans="1:20" ht="15.75" customHeight="1" x14ac:dyDescent="0.3">
      <c r="A475" s="76" t="s">
        <v>436</v>
      </c>
      <c r="B475" s="1"/>
      <c r="C475" s="1"/>
      <c r="D475" s="1"/>
      <c r="E475" s="59">
        <f t="shared" si="176"/>
        <v>0</v>
      </c>
      <c r="F475" s="1"/>
      <c r="G475" s="1">
        <v>1135</v>
      </c>
      <c r="H475" s="1">
        <v>93</v>
      </c>
      <c r="I475" s="59">
        <f t="shared" si="177"/>
        <v>1228</v>
      </c>
      <c r="J475" s="1"/>
      <c r="K475" s="1"/>
      <c r="L475" s="1"/>
      <c r="M475" s="59">
        <f t="shared" si="178"/>
        <v>0</v>
      </c>
      <c r="N475" s="1"/>
      <c r="O475" s="1"/>
      <c r="P475" s="1"/>
      <c r="Q475" s="59">
        <f t="shared" si="179"/>
        <v>0</v>
      </c>
      <c r="R475" s="59">
        <f t="shared" si="175"/>
        <v>1228</v>
      </c>
    </row>
    <row r="476" spans="1:20" ht="15.75" customHeight="1" x14ac:dyDescent="0.3">
      <c r="A476" s="76" t="s">
        <v>437</v>
      </c>
      <c r="B476" s="1"/>
      <c r="C476" s="1"/>
      <c r="D476" s="1"/>
      <c r="E476" s="59">
        <f t="shared" si="176"/>
        <v>0</v>
      </c>
      <c r="F476" s="1"/>
      <c r="G476" s="1"/>
      <c r="H476" s="1"/>
      <c r="I476" s="59">
        <f t="shared" si="177"/>
        <v>0</v>
      </c>
      <c r="J476" s="1"/>
      <c r="K476" s="1"/>
      <c r="L476" s="1"/>
      <c r="M476" s="59">
        <f t="shared" si="178"/>
        <v>0</v>
      </c>
      <c r="N476" s="1"/>
      <c r="O476" s="1"/>
      <c r="P476" s="1"/>
      <c r="Q476" s="59">
        <f t="shared" si="179"/>
        <v>0</v>
      </c>
      <c r="R476" s="59">
        <f t="shared" si="175"/>
        <v>0</v>
      </c>
      <c r="T476" s="4" t="s">
        <v>315</v>
      </c>
    </row>
    <row r="477" spans="1:20" ht="15.75" customHeight="1" x14ac:dyDescent="0.3">
      <c r="A477" s="76" t="s">
        <v>438</v>
      </c>
      <c r="B477" s="1">
        <v>1061</v>
      </c>
      <c r="C477" s="1">
        <v>1525</v>
      </c>
      <c r="D477" s="1"/>
      <c r="E477" s="59">
        <f t="shared" si="176"/>
        <v>2586</v>
      </c>
      <c r="F477" s="1"/>
      <c r="G477" s="1"/>
      <c r="H477" s="1"/>
      <c r="I477" s="59">
        <f t="shared" si="177"/>
        <v>0</v>
      </c>
      <c r="J477" s="1"/>
      <c r="K477" s="1"/>
      <c r="L477" s="1"/>
      <c r="M477" s="59">
        <f t="shared" si="178"/>
        <v>0</v>
      </c>
      <c r="N477" s="1"/>
      <c r="O477" s="1"/>
      <c r="P477" s="1"/>
      <c r="Q477" s="59">
        <f t="shared" si="179"/>
        <v>0</v>
      </c>
      <c r="R477" s="59">
        <f t="shared" si="175"/>
        <v>2586</v>
      </c>
    </row>
    <row r="478" spans="1:20" ht="15.75" customHeight="1" x14ac:dyDescent="0.3">
      <c r="A478" s="76" t="s">
        <v>439</v>
      </c>
      <c r="B478" s="1"/>
      <c r="C478" s="1"/>
      <c r="D478" s="1"/>
      <c r="E478" s="59">
        <f t="shared" si="176"/>
        <v>0</v>
      </c>
      <c r="F478" s="1"/>
      <c r="G478" s="1"/>
      <c r="H478" s="1"/>
      <c r="I478" s="59">
        <f t="shared" si="177"/>
        <v>0</v>
      </c>
      <c r="J478" s="1"/>
      <c r="K478" s="1"/>
      <c r="L478" s="1"/>
      <c r="M478" s="59">
        <f t="shared" si="178"/>
        <v>0</v>
      </c>
      <c r="N478" s="1"/>
      <c r="O478" s="1"/>
      <c r="P478" s="1"/>
      <c r="Q478" s="59">
        <f t="shared" si="179"/>
        <v>0</v>
      </c>
      <c r="R478" s="59">
        <f t="shared" si="175"/>
        <v>0</v>
      </c>
      <c r="T478" s="4" t="s">
        <v>217</v>
      </c>
    </row>
    <row r="479" spans="1:20" ht="15.75" customHeight="1" x14ac:dyDescent="0.3">
      <c r="A479" s="76" t="s">
        <v>440</v>
      </c>
      <c r="B479" s="1"/>
      <c r="C479" s="1"/>
      <c r="D479" s="1"/>
      <c r="E479" s="59">
        <f t="shared" si="176"/>
        <v>0</v>
      </c>
      <c r="F479" s="1"/>
      <c r="G479" s="1">
        <v>1000</v>
      </c>
      <c r="H479" s="1">
        <v>922</v>
      </c>
      <c r="I479" s="59">
        <f t="shared" si="177"/>
        <v>1922</v>
      </c>
      <c r="J479" s="1"/>
      <c r="K479" s="1"/>
      <c r="L479" s="1"/>
      <c r="M479" s="59">
        <f t="shared" si="178"/>
        <v>0</v>
      </c>
      <c r="N479" s="1"/>
      <c r="O479" s="1"/>
      <c r="P479" s="1"/>
      <c r="Q479" s="59">
        <f t="shared" si="179"/>
        <v>0</v>
      </c>
      <c r="R479" s="59">
        <f>+E479+I479+M479+Q479</f>
        <v>1922</v>
      </c>
    </row>
    <row r="480" spans="1:20" ht="15.75" customHeight="1" x14ac:dyDescent="0.3">
      <c r="A480" s="76" t="s">
        <v>441</v>
      </c>
      <c r="B480" s="1"/>
      <c r="C480" s="1">
        <v>542</v>
      </c>
      <c r="D480" s="1"/>
      <c r="E480" s="59">
        <f t="shared" si="176"/>
        <v>542</v>
      </c>
      <c r="F480" s="1"/>
      <c r="G480" s="1"/>
      <c r="H480" s="1"/>
      <c r="I480" s="59">
        <f t="shared" si="177"/>
        <v>0</v>
      </c>
      <c r="J480" s="1"/>
      <c r="K480" s="1"/>
      <c r="L480" s="1"/>
      <c r="M480" s="59">
        <f t="shared" si="178"/>
        <v>0</v>
      </c>
      <c r="N480" s="1"/>
      <c r="O480" s="1"/>
      <c r="P480" s="1"/>
      <c r="Q480" s="59">
        <f t="shared" si="179"/>
        <v>0</v>
      </c>
      <c r="R480" s="59">
        <f>+E480+I480+M480+Q480</f>
        <v>542</v>
      </c>
      <c r="T480" s="4" t="s">
        <v>315</v>
      </c>
    </row>
    <row r="481" spans="1:21" ht="15.75" customHeight="1" x14ac:dyDescent="0.3">
      <c r="A481" s="76" t="s">
        <v>442</v>
      </c>
      <c r="B481" s="1">
        <v>96</v>
      </c>
      <c r="C481" s="1">
        <v>1408</v>
      </c>
      <c r="D481" s="1">
        <v>1709</v>
      </c>
      <c r="E481" s="59">
        <f t="shared" si="176"/>
        <v>3213</v>
      </c>
      <c r="F481" s="1">
        <v>1827</v>
      </c>
      <c r="G481" s="1">
        <v>1384</v>
      </c>
      <c r="H481" s="1"/>
      <c r="I481" s="59">
        <f t="shared" si="177"/>
        <v>3211</v>
      </c>
      <c r="J481" s="1"/>
      <c r="K481" s="1"/>
      <c r="L481" s="1"/>
      <c r="M481" s="59">
        <f t="shared" si="178"/>
        <v>0</v>
      </c>
      <c r="N481" s="1"/>
      <c r="O481" s="1"/>
      <c r="P481" s="1"/>
      <c r="Q481" s="59">
        <f t="shared" si="179"/>
        <v>0</v>
      </c>
      <c r="R481" s="59">
        <f t="shared" si="175"/>
        <v>6424</v>
      </c>
      <c r="T481" s="4" t="s">
        <v>217</v>
      </c>
    </row>
    <row r="482" spans="1:21" ht="15.75" customHeight="1" x14ac:dyDescent="0.3">
      <c r="A482" s="76" t="s">
        <v>443</v>
      </c>
      <c r="B482" s="1"/>
      <c r="C482" s="1"/>
      <c r="D482" s="1"/>
      <c r="E482" s="59">
        <f t="shared" si="176"/>
        <v>0</v>
      </c>
      <c r="F482" s="1"/>
      <c r="G482" s="1"/>
      <c r="H482" s="1"/>
      <c r="I482" s="59">
        <f t="shared" si="177"/>
        <v>0</v>
      </c>
      <c r="J482" s="1"/>
      <c r="K482" s="1"/>
      <c r="L482" s="1"/>
      <c r="M482" s="59">
        <f t="shared" si="178"/>
        <v>0</v>
      </c>
      <c r="N482" s="1"/>
      <c r="O482" s="1"/>
      <c r="P482" s="1"/>
      <c r="Q482" s="59">
        <f t="shared" si="179"/>
        <v>0</v>
      </c>
      <c r="R482" s="59">
        <f t="shared" si="175"/>
        <v>0</v>
      </c>
      <c r="T482" s="4" t="s">
        <v>315</v>
      </c>
    </row>
    <row r="483" spans="1:21" ht="15.75" customHeight="1" x14ac:dyDescent="0.3">
      <c r="A483" s="76" t="s">
        <v>444</v>
      </c>
      <c r="B483" s="1"/>
      <c r="C483" s="1"/>
      <c r="D483" s="1"/>
      <c r="E483" s="59">
        <f t="shared" ref="E483:E484" si="190">SUM(B483:D483)</f>
        <v>0</v>
      </c>
      <c r="F483" s="1"/>
      <c r="G483" s="1">
        <v>76</v>
      </c>
      <c r="H483" s="1">
        <v>67</v>
      </c>
      <c r="I483" s="59">
        <f t="shared" ref="I483:I485" si="191">SUM(F483:H483)</f>
        <v>143</v>
      </c>
      <c r="J483" s="1"/>
      <c r="K483" s="1"/>
      <c r="L483" s="1"/>
      <c r="M483" s="59">
        <f t="shared" ref="M483:M485" si="192">SUM(J483:L483)</f>
        <v>0</v>
      </c>
      <c r="N483" s="1"/>
      <c r="O483" s="1"/>
      <c r="P483" s="1"/>
      <c r="Q483" s="59">
        <f t="shared" ref="Q483:Q485" si="193">SUM(N483:P483)</f>
        <v>0</v>
      </c>
      <c r="R483" s="59">
        <f t="shared" si="175"/>
        <v>143</v>
      </c>
    </row>
    <row r="484" spans="1:21" ht="15.75" customHeight="1" x14ac:dyDescent="0.3">
      <c r="A484" s="76" t="s">
        <v>445</v>
      </c>
      <c r="B484" s="1"/>
      <c r="C484" s="1"/>
      <c r="D484" s="1"/>
      <c r="E484" s="59">
        <f t="shared" si="190"/>
        <v>0</v>
      </c>
      <c r="F484" s="1"/>
      <c r="G484" s="1">
        <v>82</v>
      </c>
      <c r="H484" s="1">
        <v>61</v>
      </c>
      <c r="I484" s="59">
        <f t="shared" si="191"/>
        <v>143</v>
      </c>
      <c r="J484" s="1"/>
      <c r="K484" s="1"/>
      <c r="L484" s="1"/>
      <c r="M484" s="59">
        <f t="shared" si="192"/>
        <v>0</v>
      </c>
      <c r="N484" s="1"/>
      <c r="O484" s="1"/>
      <c r="P484" s="1"/>
      <c r="Q484" s="59">
        <f t="shared" si="193"/>
        <v>0</v>
      </c>
      <c r="R484" s="59">
        <f>+E484+I484+M484+Q484</f>
        <v>143</v>
      </c>
    </row>
    <row r="485" spans="1:21" ht="15.75" customHeight="1" x14ac:dyDescent="0.3">
      <c r="A485" s="76" t="s">
        <v>446</v>
      </c>
      <c r="B485" s="1"/>
      <c r="C485" s="1"/>
      <c r="D485" s="1"/>
      <c r="E485" s="59">
        <f>SUM(B485:D485)</f>
        <v>0</v>
      </c>
      <c r="F485" s="1"/>
      <c r="G485" s="1">
        <v>85</v>
      </c>
      <c r="H485" s="1">
        <v>70</v>
      </c>
      <c r="I485" s="59">
        <f t="shared" si="191"/>
        <v>155</v>
      </c>
      <c r="J485" s="1"/>
      <c r="K485" s="1"/>
      <c r="L485" s="1"/>
      <c r="M485" s="59">
        <f t="shared" si="192"/>
        <v>0</v>
      </c>
      <c r="N485" s="1"/>
      <c r="O485" s="1"/>
      <c r="P485" s="1"/>
      <c r="Q485" s="59">
        <f t="shared" si="193"/>
        <v>0</v>
      </c>
      <c r="R485" s="59">
        <f t="shared" si="175"/>
        <v>155</v>
      </c>
    </row>
    <row r="486" spans="1:21" ht="15.75" customHeight="1" x14ac:dyDescent="0.3">
      <c r="A486" s="76" t="s">
        <v>449</v>
      </c>
      <c r="B486" s="1"/>
      <c r="C486" s="1"/>
      <c r="D486" s="1"/>
      <c r="E486" s="59">
        <f t="shared" si="176"/>
        <v>0</v>
      </c>
      <c r="F486" s="1"/>
      <c r="G486" s="1"/>
      <c r="H486" s="1">
        <v>2622</v>
      </c>
      <c r="I486" s="59">
        <f t="shared" si="177"/>
        <v>2622</v>
      </c>
      <c r="J486" s="1"/>
      <c r="K486" s="1"/>
      <c r="L486" s="1"/>
      <c r="M486" s="59">
        <f t="shared" si="178"/>
        <v>0</v>
      </c>
      <c r="N486" s="1"/>
      <c r="O486" s="1"/>
      <c r="P486" s="1"/>
      <c r="Q486" s="59">
        <f t="shared" si="179"/>
        <v>0</v>
      </c>
      <c r="R486" s="59">
        <f t="shared" si="175"/>
        <v>2622</v>
      </c>
    </row>
    <row r="487" spans="1:21" ht="15.75" customHeight="1" thickBot="1" x14ac:dyDescent="0.35">
      <c r="A487" s="76" t="s">
        <v>450</v>
      </c>
      <c r="B487" s="1">
        <f>281+143+31+579</f>
        <v>1034</v>
      </c>
      <c r="C487" s="1">
        <f>353</f>
        <v>353</v>
      </c>
      <c r="D487" s="1">
        <f>399+100+2957</f>
        <v>3456</v>
      </c>
      <c r="E487" s="59">
        <f t="shared" si="176"/>
        <v>4843</v>
      </c>
      <c r="F487" s="1">
        <f>745+259+841</f>
        <v>1845</v>
      </c>
      <c r="G487" s="1">
        <f>1117</f>
        <v>1117</v>
      </c>
      <c r="H487" s="1">
        <f>1034+1640</f>
        <v>2674</v>
      </c>
      <c r="I487" s="59">
        <f t="shared" si="177"/>
        <v>5636</v>
      </c>
      <c r="J487" s="1"/>
      <c r="K487" s="1">
        <f>304+895</f>
        <v>1199</v>
      </c>
      <c r="L487" s="1">
        <f>1878+1659+49+271</f>
        <v>3857</v>
      </c>
      <c r="M487" s="59">
        <f t="shared" si="178"/>
        <v>5056</v>
      </c>
      <c r="N487" s="1">
        <f>1254+970+1115</f>
        <v>3339</v>
      </c>
      <c r="O487" s="1">
        <f>526+641+699</f>
        <v>1866</v>
      </c>
      <c r="P487" s="1">
        <f>829+683+387+327</f>
        <v>2226</v>
      </c>
      <c r="Q487" s="59">
        <f t="shared" si="179"/>
        <v>7431</v>
      </c>
      <c r="R487" s="59">
        <f t="shared" si="175"/>
        <v>22966</v>
      </c>
    </row>
    <row r="488" spans="1:21" ht="16.5" customHeight="1" thickBot="1" x14ac:dyDescent="0.35">
      <c r="A488" s="137" t="s">
        <v>61</v>
      </c>
      <c r="B488" s="107">
        <f>SUM(B415:B487)</f>
        <v>8310</v>
      </c>
      <c r="C488" s="63">
        <f>SUM(C415:C487)</f>
        <v>17509</v>
      </c>
      <c r="D488" s="63">
        <f>SUM(D415:D487)</f>
        <v>28324</v>
      </c>
      <c r="E488" s="64">
        <f t="shared" ref="E488" si="194">SUM(B488:D488)</f>
        <v>54143</v>
      </c>
      <c r="F488" s="63">
        <f>SUM(F415:F487)</f>
        <v>33034</v>
      </c>
      <c r="G488" s="63">
        <f>SUM(G415:G487)</f>
        <v>48344</v>
      </c>
      <c r="H488" s="63">
        <f>SUM(H415:H487)</f>
        <v>45208</v>
      </c>
      <c r="I488" s="64">
        <f t="shared" ref="I488" si="195">SUM(F488:H488)</f>
        <v>126586</v>
      </c>
      <c r="J488" s="63">
        <f>SUM(J415:J487)</f>
        <v>26350</v>
      </c>
      <c r="K488" s="63">
        <f>SUM(K415:K487)</f>
        <v>19267</v>
      </c>
      <c r="L488" s="63">
        <f>SUM(L415:L487)</f>
        <v>22378</v>
      </c>
      <c r="M488" s="64">
        <f t="shared" ref="M488" si="196">SUM(J488:L488)</f>
        <v>67995</v>
      </c>
      <c r="N488" s="63">
        <f>SUM(N415:N487)</f>
        <v>17356</v>
      </c>
      <c r="O488" s="63">
        <f>SUM(O415:O487)</f>
        <v>12179</v>
      </c>
      <c r="P488" s="63">
        <f>SUM(P415:P487)</f>
        <v>9982</v>
      </c>
      <c r="Q488" s="64">
        <f t="shared" si="179"/>
        <v>39517</v>
      </c>
      <c r="R488" s="64">
        <f>+E488+I488+M488+Q488</f>
        <v>288241</v>
      </c>
      <c r="T488" s="106"/>
    </row>
    <row r="489" spans="1:21" ht="15.75" customHeight="1" x14ac:dyDescent="0.3">
      <c r="A489" s="17" t="s">
        <v>62</v>
      </c>
      <c r="B489" s="1"/>
      <c r="C489" s="1"/>
      <c r="D489" s="1"/>
      <c r="E489" s="59" t="s">
        <v>7</v>
      </c>
      <c r="F489" s="1"/>
      <c r="G489" s="1"/>
      <c r="H489" s="1"/>
      <c r="I489" s="59" t="s">
        <v>7</v>
      </c>
      <c r="J489" s="1"/>
      <c r="K489" s="1"/>
      <c r="L489" s="1"/>
      <c r="M489" s="59" t="s">
        <v>7</v>
      </c>
      <c r="N489" s="1"/>
      <c r="O489" s="1"/>
      <c r="P489" s="1"/>
      <c r="Q489" s="59" t="s">
        <v>7</v>
      </c>
      <c r="R489" s="59" t="s">
        <v>7</v>
      </c>
    </row>
    <row r="490" spans="1:21" ht="15.75" customHeight="1" x14ac:dyDescent="0.3">
      <c r="A490" s="17" t="s">
        <v>63</v>
      </c>
      <c r="B490" s="1"/>
      <c r="C490" s="1"/>
      <c r="D490" s="1"/>
      <c r="E490" s="59" t="s">
        <v>7</v>
      </c>
      <c r="F490" s="1"/>
      <c r="G490" s="1"/>
      <c r="H490" s="1"/>
      <c r="I490" s="59" t="s">
        <v>7</v>
      </c>
      <c r="J490" s="1"/>
      <c r="K490" s="1"/>
      <c r="L490" s="1"/>
      <c r="M490" s="59" t="s">
        <v>7</v>
      </c>
      <c r="N490" s="1"/>
      <c r="O490" s="1"/>
      <c r="P490" s="1"/>
      <c r="Q490" s="59" t="s">
        <v>7</v>
      </c>
      <c r="R490" s="59" t="s">
        <v>7</v>
      </c>
    </row>
    <row r="491" spans="1:21" ht="15.75" customHeight="1" x14ac:dyDescent="0.3">
      <c r="A491" s="76" t="s">
        <v>451</v>
      </c>
      <c r="B491" s="1"/>
      <c r="C491" s="1"/>
      <c r="D491" s="1"/>
      <c r="E491" s="59">
        <f>SUM(B491:D491)</f>
        <v>0</v>
      </c>
      <c r="F491" s="1"/>
      <c r="G491" s="1"/>
      <c r="H491" s="1"/>
      <c r="I491" s="59">
        <f>SUM(F491:H491)</f>
        <v>0</v>
      </c>
      <c r="J491" s="1"/>
      <c r="K491" s="1"/>
      <c r="L491" s="1"/>
      <c r="M491" s="59">
        <f>SUM(J491:L491)</f>
        <v>0</v>
      </c>
      <c r="N491" s="1"/>
      <c r="O491" s="1"/>
      <c r="P491" s="1"/>
      <c r="Q491" s="59">
        <f>SUM(N491:P491)</f>
        <v>0</v>
      </c>
      <c r="R491" s="59">
        <f>+E491+I491+M491+Q491</f>
        <v>0</v>
      </c>
      <c r="U491" s="20"/>
    </row>
    <row r="492" spans="1:21" ht="15.75" customHeight="1" x14ac:dyDescent="0.3">
      <c r="A492" s="17" t="s">
        <v>64</v>
      </c>
      <c r="B492" s="1"/>
      <c r="C492" s="1"/>
      <c r="D492" s="1"/>
      <c r="E492" s="59" t="s">
        <v>7</v>
      </c>
      <c r="F492" s="1"/>
      <c r="G492" s="1"/>
      <c r="H492" s="1"/>
      <c r="I492" s="59" t="s">
        <v>7</v>
      </c>
      <c r="J492" s="1"/>
      <c r="K492" s="1"/>
      <c r="L492" s="1"/>
      <c r="M492" s="59" t="s">
        <v>7</v>
      </c>
      <c r="N492" s="1"/>
      <c r="O492" s="1"/>
      <c r="P492" s="1"/>
      <c r="Q492" s="59" t="s">
        <v>7</v>
      </c>
      <c r="R492" s="59" t="s">
        <v>7</v>
      </c>
    </row>
    <row r="493" spans="1:21" ht="15.75" customHeight="1" x14ac:dyDescent="0.3">
      <c r="A493" s="76" t="s">
        <v>452</v>
      </c>
      <c r="B493" s="1"/>
      <c r="C493" s="1"/>
      <c r="D493" s="1"/>
      <c r="E493" s="59">
        <f>SUM(B493:D493)</f>
        <v>0</v>
      </c>
      <c r="F493" s="1"/>
      <c r="G493" s="1"/>
      <c r="H493" s="1"/>
      <c r="I493" s="59">
        <f>SUM(F493:H493)</f>
        <v>0</v>
      </c>
      <c r="J493" s="1"/>
      <c r="K493" s="1"/>
      <c r="L493" s="1"/>
      <c r="M493" s="59">
        <f>SUM(J493:L493)</f>
        <v>0</v>
      </c>
      <c r="N493" s="1"/>
      <c r="O493" s="1"/>
      <c r="P493" s="1"/>
      <c r="Q493" s="59">
        <f>SUM(N493:P493)</f>
        <v>0</v>
      </c>
      <c r="R493" s="59">
        <f>+E493+I493+M493+Q493</f>
        <v>0</v>
      </c>
    </row>
    <row r="494" spans="1:21" ht="15.75" customHeight="1" x14ac:dyDescent="0.3">
      <c r="A494" s="76" t="s">
        <v>453</v>
      </c>
      <c r="B494" s="1"/>
      <c r="C494" s="1"/>
      <c r="D494" s="1"/>
      <c r="E494" s="59">
        <f>SUM(B494:D494)</f>
        <v>0</v>
      </c>
      <c r="F494" s="1"/>
      <c r="G494" s="1"/>
      <c r="H494" s="1"/>
      <c r="I494" s="59">
        <f>SUM(F494:H494)</f>
        <v>0</v>
      </c>
      <c r="J494" s="1"/>
      <c r="K494" s="1"/>
      <c r="L494" s="1"/>
      <c r="M494" s="59">
        <f>SUM(J494:L494)</f>
        <v>0</v>
      </c>
      <c r="N494" s="1"/>
      <c r="O494" s="1"/>
      <c r="P494" s="1"/>
      <c r="Q494" s="59">
        <f>SUM(N494:P494)</f>
        <v>0</v>
      </c>
      <c r="R494" s="59">
        <f>+E494+I494+M494+Q494</f>
        <v>0</v>
      </c>
    </row>
    <row r="495" spans="1:21" ht="15.75" customHeight="1" x14ac:dyDescent="0.3">
      <c r="A495" s="17" t="s">
        <v>66</v>
      </c>
      <c r="B495" s="1"/>
      <c r="C495" s="1"/>
      <c r="D495" s="1"/>
      <c r="E495" s="59" t="s">
        <v>7</v>
      </c>
      <c r="F495" s="1"/>
      <c r="G495" s="1"/>
      <c r="H495" s="1"/>
      <c r="I495" s="59" t="s">
        <v>7</v>
      </c>
      <c r="J495" s="1"/>
      <c r="K495" s="1"/>
      <c r="L495" s="1"/>
      <c r="M495" s="59" t="s">
        <v>7</v>
      </c>
      <c r="N495" s="1"/>
      <c r="O495" s="1"/>
      <c r="P495" s="1"/>
      <c r="Q495" s="59" t="s">
        <v>7</v>
      </c>
      <c r="R495" s="59" t="s">
        <v>7</v>
      </c>
    </row>
    <row r="496" spans="1:21" ht="15.75" customHeight="1" x14ac:dyDescent="0.3">
      <c r="A496" s="76" t="s">
        <v>454</v>
      </c>
      <c r="B496" s="1"/>
      <c r="C496" s="1"/>
      <c r="D496" s="1"/>
      <c r="E496" s="59">
        <f t="shared" ref="E496:E501" si="197">SUM(B496:D496)</f>
        <v>0</v>
      </c>
      <c r="F496" s="1"/>
      <c r="G496" s="1"/>
      <c r="H496" s="1"/>
      <c r="I496" s="59">
        <f t="shared" ref="I496:I501" si="198">SUM(F496:H496)</f>
        <v>0</v>
      </c>
      <c r="J496" s="1"/>
      <c r="K496" s="1"/>
      <c r="L496" s="1"/>
      <c r="M496" s="59">
        <f t="shared" ref="M496:M501" si="199">SUM(J496:L496)</f>
        <v>0</v>
      </c>
      <c r="N496" s="1"/>
      <c r="O496" s="1"/>
      <c r="P496" s="1"/>
      <c r="Q496" s="59">
        <f t="shared" ref="Q496:Q501" si="200">SUM(N496:P496)</f>
        <v>0</v>
      </c>
      <c r="R496" s="59">
        <f t="shared" ref="R496:R501" si="201">+E496+I496+M496+Q496</f>
        <v>0</v>
      </c>
      <c r="T496" s="4" t="s">
        <v>317</v>
      </c>
    </row>
    <row r="497" spans="1:21" ht="15.75" customHeight="1" x14ac:dyDescent="0.3">
      <c r="A497" s="76" t="s">
        <v>455</v>
      </c>
      <c r="B497" s="1"/>
      <c r="C497" s="1"/>
      <c r="D497" s="1"/>
      <c r="E497" s="59">
        <f t="shared" ref="E497" si="202">SUM(B497:D497)</f>
        <v>0</v>
      </c>
      <c r="F497" s="1"/>
      <c r="G497" s="1"/>
      <c r="H497" s="1"/>
      <c r="I497" s="59">
        <f t="shared" si="198"/>
        <v>0</v>
      </c>
      <c r="J497" s="1"/>
      <c r="K497" s="1"/>
      <c r="L497" s="1"/>
      <c r="M497" s="59">
        <f t="shared" si="199"/>
        <v>0</v>
      </c>
      <c r="N497" s="1"/>
      <c r="O497" s="1"/>
      <c r="P497" s="1"/>
      <c r="Q497" s="59">
        <f t="shared" si="200"/>
        <v>0</v>
      </c>
      <c r="R497" s="59">
        <f t="shared" si="201"/>
        <v>0</v>
      </c>
      <c r="T497" s="4" t="s">
        <v>317</v>
      </c>
    </row>
    <row r="498" spans="1:21" ht="15.75" customHeight="1" x14ac:dyDescent="0.3">
      <c r="A498" s="76" t="s">
        <v>456</v>
      </c>
      <c r="B498" s="1"/>
      <c r="C498" s="1"/>
      <c r="D498" s="1"/>
      <c r="E498" s="59">
        <f t="shared" si="197"/>
        <v>0</v>
      </c>
      <c r="F498" s="1"/>
      <c r="G498" s="1"/>
      <c r="H498" s="1"/>
      <c r="I498" s="59">
        <f t="shared" si="198"/>
        <v>0</v>
      </c>
      <c r="J498" s="1"/>
      <c r="K498" s="1"/>
      <c r="L498" s="1"/>
      <c r="M498" s="59">
        <f t="shared" si="199"/>
        <v>0</v>
      </c>
      <c r="N498" s="1"/>
      <c r="O498" s="1"/>
      <c r="P498" s="1"/>
      <c r="Q498" s="59">
        <f t="shared" si="200"/>
        <v>0</v>
      </c>
      <c r="R498" s="59">
        <f t="shared" si="201"/>
        <v>0</v>
      </c>
      <c r="T498" s="4" t="s">
        <v>331</v>
      </c>
    </row>
    <row r="499" spans="1:21" ht="15.75" customHeight="1" x14ac:dyDescent="0.3">
      <c r="A499" s="76" t="s">
        <v>457</v>
      </c>
      <c r="B499" s="1"/>
      <c r="C499" s="1"/>
      <c r="D499" s="1"/>
      <c r="E499" s="59">
        <f t="shared" si="197"/>
        <v>0</v>
      </c>
      <c r="F499" s="1"/>
      <c r="G499" s="1"/>
      <c r="H499" s="1"/>
      <c r="I499" s="59">
        <f t="shared" si="198"/>
        <v>0</v>
      </c>
      <c r="J499" s="1"/>
      <c r="K499" s="1"/>
      <c r="L499" s="1"/>
      <c r="M499" s="59">
        <f t="shared" si="199"/>
        <v>0</v>
      </c>
      <c r="N499" s="1"/>
      <c r="O499" s="1"/>
      <c r="P499" s="1"/>
      <c r="Q499" s="59">
        <f t="shared" si="200"/>
        <v>0</v>
      </c>
      <c r="R499" s="59">
        <f t="shared" si="201"/>
        <v>0</v>
      </c>
    </row>
    <row r="500" spans="1:21" ht="15.75" customHeight="1" x14ac:dyDescent="0.3">
      <c r="A500" s="76" t="s">
        <v>458</v>
      </c>
      <c r="B500" s="1"/>
      <c r="C500" s="1"/>
      <c r="D500" s="1"/>
      <c r="E500" s="59">
        <f t="shared" si="197"/>
        <v>0</v>
      </c>
      <c r="F500" s="1"/>
      <c r="G500" s="1"/>
      <c r="H500" s="1"/>
      <c r="I500" s="59">
        <f t="shared" si="198"/>
        <v>0</v>
      </c>
      <c r="J500" s="1"/>
      <c r="K500" s="1"/>
      <c r="L500" s="1"/>
      <c r="M500" s="59">
        <f t="shared" si="199"/>
        <v>0</v>
      </c>
      <c r="N500" s="1"/>
      <c r="O500" s="1"/>
      <c r="P500" s="1"/>
      <c r="Q500" s="59">
        <f t="shared" si="200"/>
        <v>0</v>
      </c>
      <c r="R500" s="59">
        <f t="shared" si="201"/>
        <v>0</v>
      </c>
    </row>
    <row r="501" spans="1:21" ht="15.75" customHeight="1" x14ac:dyDescent="0.3">
      <c r="A501" s="76" t="s">
        <v>459</v>
      </c>
      <c r="B501" s="1"/>
      <c r="C501" s="1"/>
      <c r="D501" s="1"/>
      <c r="E501" s="59">
        <f t="shared" si="197"/>
        <v>0</v>
      </c>
      <c r="F501" s="1"/>
      <c r="G501" s="1"/>
      <c r="H501" s="1"/>
      <c r="I501" s="59">
        <f t="shared" si="198"/>
        <v>0</v>
      </c>
      <c r="J501" s="1"/>
      <c r="K501" s="1"/>
      <c r="L501" s="1"/>
      <c r="M501" s="59">
        <f t="shared" si="199"/>
        <v>0</v>
      </c>
      <c r="N501" s="1"/>
      <c r="O501" s="1"/>
      <c r="P501" s="1"/>
      <c r="Q501" s="59">
        <f t="shared" si="200"/>
        <v>0</v>
      </c>
      <c r="R501" s="59">
        <f t="shared" si="201"/>
        <v>0</v>
      </c>
      <c r="T501" s="4" t="s">
        <v>317</v>
      </c>
    </row>
    <row r="502" spans="1:21" ht="15.75" customHeight="1" x14ac:dyDescent="0.3">
      <c r="A502" s="17" t="s">
        <v>67</v>
      </c>
      <c r="B502" s="1"/>
      <c r="C502" s="1"/>
      <c r="D502" s="1"/>
      <c r="E502" s="59" t="s">
        <v>7</v>
      </c>
      <c r="F502" s="1"/>
      <c r="G502" s="1"/>
      <c r="H502" s="1"/>
      <c r="I502" s="59" t="s">
        <v>7</v>
      </c>
      <c r="J502" s="1"/>
      <c r="K502" s="1"/>
      <c r="L502" s="1"/>
      <c r="M502" s="59" t="s">
        <v>7</v>
      </c>
      <c r="N502" s="1"/>
      <c r="O502" s="1"/>
      <c r="P502" s="1"/>
      <c r="Q502" s="59" t="s">
        <v>7</v>
      </c>
      <c r="R502" s="59" t="s">
        <v>7</v>
      </c>
    </row>
    <row r="503" spans="1:21" ht="15.75" customHeight="1" x14ac:dyDescent="0.3">
      <c r="A503" s="76" t="s">
        <v>460</v>
      </c>
      <c r="B503" s="1"/>
      <c r="C503" s="1"/>
      <c r="D503" s="1"/>
      <c r="E503" s="59">
        <f>SUM(B503:D503)</f>
        <v>0</v>
      </c>
      <c r="F503" s="1"/>
      <c r="G503" s="1"/>
      <c r="H503" s="1"/>
      <c r="I503" s="59">
        <f>SUM(F503:H503)</f>
        <v>0</v>
      </c>
      <c r="J503" s="1"/>
      <c r="K503" s="1"/>
      <c r="L503" s="1"/>
      <c r="M503" s="59">
        <f>SUM(J503:L503)</f>
        <v>0</v>
      </c>
      <c r="N503" s="1"/>
      <c r="O503" s="1"/>
      <c r="P503" s="1"/>
      <c r="Q503" s="59">
        <f>SUM(N503:P503)</f>
        <v>0</v>
      </c>
      <c r="R503" s="59">
        <f>+E503+I503+M503+Q503</f>
        <v>0</v>
      </c>
      <c r="T503" s="4" t="s">
        <v>305</v>
      </c>
    </row>
    <row r="504" spans="1:21" ht="15.75" customHeight="1" x14ac:dyDescent="0.3">
      <c r="A504" s="76" t="s">
        <v>461</v>
      </c>
      <c r="B504" s="1"/>
      <c r="C504" s="1"/>
      <c r="D504" s="1"/>
      <c r="E504" s="59">
        <f>SUM(B504:D504)</f>
        <v>0</v>
      </c>
      <c r="F504" s="1"/>
      <c r="G504" s="1"/>
      <c r="H504" s="1"/>
      <c r="I504" s="59">
        <f>SUM(F504:H504)</f>
        <v>0</v>
      </c>
      <c r="J504" s="1"/>
      <c r="K504" s="1"/>
      <c r="L504" s="1"/>
      <c r="M504" s="59">
        <f>SUM(J504:L504)</f>
        <v>0</v>
      </c>
      <c r="N504" s="1"/>
      <c r="O504" s="1"/>
      <c r="P504" s="1"/>
      <c r="Q504" s="59">
        <f>SUM(N504:P504)</f>
        <v>0</v>
      </c>
      <c r="R504" s="59">
        <f>+E504+I504+M504+Q504</f>
        <v>0</v>
      </c>
      <c r="T504" s="4" t="s">
        <v>305</v>
      </c>
    </row>
    <row r="505" spans="1:21" ht="15.75" customHeight="1" x14ac:dyDescent="0.3">
      <c r="A505" s="76" t="s">
        <v>462</v>
      </c>
      <c r="B505" s="1"/>
      <c r="C505" s="1"/>
      <c r="D505" s="1"/>
      <c r="E505" s="59">
        <f>SUM(B505:D505)</f>
        <v>0</v>
      </c>
      <c r="F505" s="1"/>
      <c r="G505" s="1"/>
      <c r="H505" s="1"/>
      <c r="I505" s="59">
        <f>SUM(F505:H505)</f>
        <v>0</v>
      </c>
      <c r="J505" s="1"/>
      <c r="K505" s="1"/>
      <c r="L505" s="1"/>
      <c r="M505" s="59">
        <f>SUM(J505:L505)</f>
        <v>0</v>
      </c>
      <c r="N505" s="1"/>
      <c r="O505" s="1"/>
      <c r="P505" s="1"/>
      <c r="Q505" s="59">
        <f>SUM(N505:P505)</f>
        <v>0</v>
      </c>
      <c r="R505" s="59">
        <f>+E505+I505+M505+Q505</f>
        <v>0</v>
      </c>
    </row>
    <row r="506" spans="1:21" ht="15.75" customHeight="1" x14ac:dyDescent="0.3">
      <c r="A506" s="76" t="s">
        <v>463</v>
      </c>
      <c r="B506" s="1"/>
      <c r="C506" s="1"/>
      <c r="D506" s="1"/>
      <c r="E506" s="59">
        <f>SUM(B506:D506)</f>
        <v>0</v>
      </c>
      <c r="F506" s="1"/>
      <c r="G506" s="1"/>
      <c r="H506" s="1"/>
      <c r="I506" s="59">
        <f>SUM(F506:H506)</f>
        <v>0</v>
      </c>
      <c r="J506" s="1"/>
      <c r="K506" s="1"/>
      <c r="L506" s="1"/>
      <c r="M506" s="59">
        <f>SUM(J506:L506)</f>
        <v>0</v>
      </c>
      <c r="N506" s="1"/>
      <c r="O506" s="1"/>
      <c r="P506" s="1"/>
      <c r="Q506" s="59">
        <f>SUM(N506:P506)</f>
        <v>0</v>
      </c>
      <c r="R506" s="59">
        <f>+E506+I506+M506+Q506</f>
        <v>0</v>
      </c>
    </row>
    <row r="507" spans="1:21" ht="15.75" customHeight="1" x14ac:dyDescent="0.3">
      <c r="A507" s="76" t="s">
        <v>464</v>
      </c>
      <c r="B507" s="1"/>
      <c r="C507" s="1"/>
      <c r="D507" s="1"/>
      <c r="E507" s="59">
        <f t="shared" ref="E507" si="203">SUM(B507:D507)</f>
        <v>0</v>
      </c>
      <c r="F507" s="1"/>
      <c r="G507" s="1"/>
      <c r="H507" s="1"/>
      <c r="I507" s="59">
        <f t="shared" ref="I507" si="204">SUM(F507:H507)</f>
        <v>0</v>
      </c>
      <c r="J507" s="1"/>
      <c r="K507" s="1"/>
      <c r="L507" s="1"/>
      <c r="M507" s="59">
        <f t="shared" ref="M507" si="205">SUM(J507:L507)</f>
        <v>0</v>
      </c>
      <c r="N507" s="1"/>
      <c r="O507" s="1"/>
      <c r="P507" s="1"/>
      <c r="Q507" s="59">
        <f t="shared" ref="Q507:Q518" si="206">SUM(N507:P507)</f>
        <v>0</v>
      </c>
      <c r="R507" s="59">
        <f t="shared" ref="R507:R518" si="207">+E507+I507+M507+Q507</f>
        <v>0</v>
      </c>
    </row>
    <row r="508" spans="1:21" ht="15.75" customHeight="1" x14ac:dyDescent="0.3">
      <c r="A508" s="76" t="s">
        <v>465</v>
      </c>
      <c r="B508" s="1"/>
      <c r="C508" s="1"/>
      <c r="D508" s="1"/>
      <c r="E508" s="59">
        <f>SUM(B508:D508)</f>
        <v>0</v>
      </c>
      <c r="F508" s="1"/>
      <c r="G508" s="1"/>
      <c r="H508" s="1"/>
      <c r="I508" s="59">
        <f>SUM(F508:H508)</f>
        <v>0</v>
      </c>
      <c r="J508" s="1"/>
      <c r="K508" s="1"/>
      <c r="L508" s="1"/>
      <c r="M508" s="59">
        <f>SUM(J508:L508)</f>
        <v>0</v>
      </c>
      <c r="N508" s="1"/>
      <c r="O508" s="1"/>
      <c r="P508" s="1"/>
      <c r="Q508" s="59">
        <f>SUM(N508:P508)</f>
        <v>0</v>
      </c>
      <c r="R508" s="59">
        <f>+E508+I508+M508+Q508</f>
        <v>0</v>
      </c>
    </row>
    <row r="509" spans="1:21" ht="15.75" customHeight="1" x14ac:dyDescent="0.3">
      <c r="A509" s="76" t="s">
        <v>466</v>
      </c>
      <c r="B509" s="1"/>
      <c r="C509" s="1"/>
      <c r="D509" s="1"/>
      <c r="E509" s="59">
        <f>SUM(B509:D509)</f>
        <v>0</v>
      </c>
      <c r="F509" s="1"/>
      <c r="G509" s="1"/>
      <c r="H509" s="1"/>
      <c r="I509" s="59">
        <f>SUM(F509:H509)</f>
        <v>0</v>
      </c>
      <c r="J509" s="1"/>
      <c r="K509" s="1"/>
      <c r="L509" s="1"/>
      <c r="M509" s="59">
        <f>SUM(J509:L509)</f>
        <v>0</v>
      </c>
      <c r="N509" s="1"/>
      <c r="O509" s="1"/>
      <c r="P509" s="1"/>
      <c r="Q509" s="59">
        <f>SUM(N509:P509)</f>
        <v>0</v>
      </c>
      <c r="R509" s="59">
        <f>+E509+I509+M509+Q509</f>
        <v>0</v>
      </c>
      <c r="T509" s="4" t="s">
        <v>305</v>
      </c>
      <c r="U509" s="20"/>
    </row>
    <row r="510" spans="1:21" ht="15.75" customHeight="1" x14ac:dyDescent="0.3">
      <c r="A510" s="76" t="s">
        <v>467</v>
      </c>
      <c r="B510" s="1"/>
      <c r="C510" s="1"/>
      <c r="D510" s="1"/>
      <c r="E510" s="59">
        <f>SUM(B510:D510)</f>
        <v>0</v>
      </c>
      <c r="F510" s="1"/>
      <c r="G510" s="1"/>
      <c r="H510" s="1"/>
      <c r="I510" s="59">
        <f>SUM(F510:H510)</f>
        <v>0</v>
      </c>
      <c r="J510" s="1"/>
      <c r="K510" s="1"/>
      <c r="L510" s="1"/>
      <c r="M510" s="59">
        <f>SUM(J510:L510)</f>
        <v>0</v>
      </c>
      <c r="N510" s="1"/>
      <c r="O510" s="1"/>
      <c r="P510" s="1"/>
      <c r="Q510" s="59">
        <f>SUM(N510:P510)</f>
        <v>0</v>
      </c>
      <c r="R510" s="59">
        <f>+E510+I510+M510+Q510</f>
        <v>0</v>
      </c>
    </row>
    <row r="511" spans="1:21" ht="15.75" customHeight="1" x14ac:dyDescent="0.3">
      <c r="A511" s="76" t="s">
        <v>468</v>
      </c>
      <c r="B511" s="1"/>
      <c r="C511" s="1"/>
      <c r="D511" s="1"/>
      <c r="E511" s="59">
        <f>SUM(B511:D511)</f>
        <v>0</v>
      </c>
      <c r="F511" s="1"/>
      <c r="G511" s="1"/>
      <c r="H511" s="1"/>
      <c r="I511" s="59">
        <f>SUM(F511:H511)</f>
        <v>0</v>
      </c>
      <c r="J511" s="1"/>
      <c r="K511" s="1"/>
      <c r="L511" s="1"/>
      <c r="M511" s="59">
        <f>SUM(J511:L511)</f>
        <v>0</v>
      </c>
      <c r="N511" s="1"/>
      <c r="O511" s="1"/>
      <c r="P511" s="1"/>
      <c r="Q511" s="59">
        <f>SUM(N511:P511)</f>
        <v>0</v>
      </c>
      <c r="R511" s="59">
        <f>+E511+I511+M511+Q511</f>
        <v>0</v>
      </c>
      <c r="T511" s="4" t="s">
        <v>331</v>
      </c>
    </row>
    <row r="512" spans="1:21" ht="15.75" customHeight="1" thickBot="1" x14ac:dyDescent="0.35">
      <c r="A512" s="76" t="s">
        <v>469</v>
      </c>
      <c r="B512" s="1"/>
      <c r="C512" s="1"/>
      <c r="D512" s="1"/>
      <c r="E512" s="59">
        <f>SUM(B512:D512)</f>
        <v>0</v>
      </c>
      <c r="F512" s="1"/>
      <c r="G512" s="1"/>
      <c r="H512" s="1"/>
      <c r="I512" s="59">
        <f>SUM(F512:H512)</f>
        <v>0</v>
      </c>
      <c r="J512" s="1"/>
      <c r="K512" s="1"/>
      <c r="L512" s="1"/>
      <c r="M512" s="59">
        <f>SUM(J512:L512)</f>
        <v>0</v>
      </c>
      <c r="N512" s="1"/>
      <c r="O512" s="1"/>
      <c r="P512" s="1"/>
      <c r="Q512" s="59">
        <f>SUM(N512:P512)</f>
        <v>0</v>
      </c>
      <c r="R512" s="59">
        <f>+E512+I512+M512+Q512</f>
        <v>0</v>
      </c>
      <c r="T512" s="4" t="s">
        <v>331</v>
      </c>
    </row>
    <row r="513" spans="1:18" ht="16.5" customHeight="1" thickBot="1" x14ac:dyDescent="0.35">
      <c r="A513" s="62" t="s">
        <v>68</v>
      </c>
      <c r="B513" s="63">
        <f>SUM(B495:B512)</f>
        <v>0</v>
      </c>
      <c r="C513" s="63">
        <f>SUM(C495:C512)</f>
        <v>0</v>
      </c>
      <c r="D513" s="63">
        <f>SUM(D495:D512)</f>
        <v>0</v>
      </c>
      <c r="E513" s="334">
        <f t="shared" ref="E513:E518" si="208">SUM(B513:D513)</f>
        <v>0</v>
      </c>
      <c r="F513" s="63">
        <f>SUM(F495:F512)</f>
        <v>0</v>
      </c>
      <c r="G513" s="63">
        <f>SUM(G495:G512)</f>
        <v>0</v>
      </c>
      <c r="H513" s="63">
        <f>SUM(H495:H512)</f>
        <v>0</v>
      </c>
      <c r="I513" s="334">
        <f t="shared" ref="I513:I518" si="209">SUM(F513:H513)</f>
        <v>0</v>
      </c>
      <c r="J513" s="63">
        <f>SUM(J495:J512)</f>
        <v>0</v>
      </c>
      <c r="K513" s="63">
        <f>SUM(K495:K512)</f>
        <v>0</v>
      </c>
      <c r="L513" s="63">
        <f>SUM(L495:L512)</f>
        <v>0</v>
      </c>
      <c r="M513" s="334">
        <f t="shared" ref="M513:M518" si="210">SUM(J513:L513)</f>
        <v>0</v>
      </c>
      <c r="N513" s="63">
        <f>SUM(N495:N512)</f>
        <v>0</v>
      </c>
      <c r="O513" s="63">
        <f>SUM(O495:O512)</f>
        <v>0</v>
      </c>
      <c r="P513" s="63">
        <f>SUM(P495:P512)</f>
        <v>0</v>
      </c>
      <c r="Q513" s="334">
        <f t="shared" si="206"/>
        <v>0</v>
      </c>
      <c r="R513" s="64">
        <f t="shared" si="207"/>
        <v>0</v>
      </c>
    </row>
    <row r="514" spans="1:18" ht="16.5" customHeight="1" thickBot="1" x14ac:dyDescent="0.35">
      <c r="A514" s="137" t="s">
        <v>69</v>
      </c>
      <c r="B514" s="100">
        <f>SUM(B489:B512)</f>
        <v>0</v>
      </c>
      <c r="C514" s="101">
        <f>SUM(C489:C512)</f>
        <v>0</v>
      </c>
      <c r="D514" s="138">
        <f>SUM(D489:D512)</f>
        <v>0</v>
      </c>
      <c r="E514" s="334">
        <f t="shared" si="208"/>
        <v>0</v>
      </c>
      <c r="F514" s="101">
        <f>SUM(F489:F512)</f>
        <v>0</v>
      </c>
      <c r="G514" s="101">
        <f>SUM(G489:G512)</f>
        <v>0</v>
      </c>
      <c r="H514" s="101">
        <f>SUM(H489:H512)</f>
        <v>0</v>
      </c>
      <c r="I514" s="334">
        <f t="shared" si="209"/>
        <v>0</v>
      </c>
      <c r="J514" s="101">
        <f>SUM(J489:J512)</f>
        <v>0</v>
      </c>
      <c r="K514" s="101">
        <f>SUM(K489:K512)</f>
        <v>0</v>
      </c>
      <c r="L514" s="101">
        <f>SUM(L489:L512)</f>
        <v>0</v>
      </c>
      <c r="M514" s="334">
        <f t="shared" si="210"/>
        <v>0</v>
      </c>
      <c r="N514" s="101">
        <f>SUM(N489:N512)</f>
        <v>0</v>
      </c>
      <c r="O514" s="101">
        <f>SUM(O489:O512)</f>
        <v>0</v>
      </c>
      <c r="P514" s="101">
        <f>SUM(P489:P512)</f>
        <v>0</v>
      </c>
      <c r="Q514" s="334">
        <f t="shared" si="206"/>
        <v>0</v>
      </c>
      <c r="R514" s="64">
        <f t="shared" si="207"/>
        <v>0</v>
      </c>
    </row>
    <row r="515" spans="1:18" ht="16.5" customHeight="1" thickBot="1" x14ac:dyDescent="0.35">
      <c r="A515" s="62" t="s">
        <v>70</v>
      </c>
      <c r="B515" s="107">
        <f>+B400+B414+B488+B514</f>
        <v>16091</v>
      </c>
      <c r="C515" s="63">
        <f>+C400+C414+C488+C514</f>
        <v>29393</v>
      </c>
      <c r="D515" s="63">
        <f>+D400+D414+D488+D514</f>
        <v>38997</v>
      </c>
      <c r="E515" s="64">
        <f t="shared" si="208"/>
        <v>84481</v>
      </c>
      <c r="F515" s="63">
        <f>+F400+F414+F488+F514</f>
        <v>61555</v>
      </c>
      <c r="G515" s="63">
        <f>+G400+G414+G488+G514</f>
        <v>81927</v>
      </c>
      <c r="H515" s="63">
        <f>+H400+H414+H488+H514</f>
        <v>90936</v>
      </c>
      <c r="I515" s="64">
        <f t="shared" si="209"/>
        <v>234418</v>
      </c>
      <c r="J515" s="63">
        <f>+J400+J414+J488+J514</f>
        <v>50616</v>
      </c>
      <c r="K515" s="63">
        <f>+K400+K414+K488+K514</f>
        <v>40780</v>
      </c>
      <c r="L515" s="63">
        <f>+L400+L414+L488+L514</f>
        <v>43668</v>
      </c>
      <c r="M515" s="64">
        <f t="shared" si="210"/>
        <v>135064</v>
      </c>
      <c r="N515" s="63">
        <f>+N400+N414+N488+N514</f>
        <v>33137</v>
      </c>
      <c r="O515" s="63">
        <f>+O400+O414+O488+O514</f>
        <v>25340</v>
      </c>
      <c r="P515" s="63">
        <f>+P400+P414+P488+P514</f>
        <v>23123</v>
      </c>
      <c r="Q515" s="64">
        <f t="shared" si="206"/>
        <v>81600</v>
      </c>
      <c r="R515" s="88">
        <f t="shared" si="207"/>
        <v>535563</v>
      </c>
    </row>
    <row r="516" spans="1:18" ht="15.75" customHeight="1" x14ac:dyDescent="0.3">
      <c r="A516" s="74" t="s">
        <v>470</v>
      </c>
      <c r="B516" s="1"/>
      <c r="C516" s="1"/>
      <c r="D516" s="1"/>
      <c r="E516" s="59">
        <f t="shared" si="208"/>
        <v>0</v>
      </c>
      <c r="F516" s="1"/>
      <c r="G516" s="1"/>
      <c r="H516" s="1"/>
      <c r="I516" s="59">
        <f t="shared" si="209"/>
        <v>0</v>
      </c>
      <c r="J516" s="1"/>
      <c r="K516" s="1"/>
      <c r="L516" s="1"/>
      <c r="M516" s="59">
        <f t="shared" si="210"/>
        <v>0</v>
      </c>
      <c r="N516" s="1"/>
      <c r="O516" s="1"/>
      <c r="P516" s="1"/>
      <c r="Q516" s="59">
        <f t="shared" si="206"/>
        <v>0</v>
      </c>
      <c r="R516" s="59">
        <f t="shared" si="207"/>
        <v>0</v>
      </c>
    </row>
    <row r="517" spans="1:18" ht="15.75" customHeight="1" x14ac:dyDescent="0.3">
      <c r="A517" s="74" t="s">
        <v>471</v>
      </c>
      <c r="B517" s="1"/>
      <c r="C517" s="1"/>
      <c r="D517" s="1"/>
      <c r="E517" s="59">
        <f t="shared" si="208"/>
        <v>0</v>
      </c>
      <c r="F517" s="1"/>
      <c r="G517" s="1"/>
      <c r="H517" s="1"/>
      <c r="I517" s="59">
        <f t="shared" si="209"/>
        <v>0</v>
      </c>
      <c r="J517" s="1"/>
      <c r="K517" s="1"/>
      <c r="L517" s="1"/>
      <c r="M517" s="59">
        <f t="shared" si="210"/>
        <v>0</v>
      </c>
      <c r="N517" s="1"/>
      <c r="O517" s="1"/>
      <c r="P517" s="1"/>
      <c r="Q517" s="59">
        <f t="shared" si="206"/>
        <v>0</v>
      </c>
      <c r="R517" s="59">
        <f t="shared" si="207"/>
        <v>0</v>
      </c>
    </row>
    <row r="518" spans="1:18" ht="16.5" customHeight="1" thickBot="1" x14ac:dyDescent="0.35">
      <c r="A518" s="79" t="s">
        <v>37</v>
      </c>
      <c r="B518" s="25">
        <v>155</v>
      </c>
      <c r="C518" s="25">
        <v>283</v>
      </c>
      <c r="D518" s="25">
        <v>435</v>
      </c>
      <c r="E518" s="88">
        <f t="shared" si="208"/>
        <v>873</v>
      </c>
      <c r="F518" s="25">
        <v>602</v>
      </c>
      <c r="G518" s="25">
        <v>711</v>
      </c>
      <c r="H518" s="25">
        <v>722</v>
      </c>
      <c r="I518" s="88">
        <f t="shared" si="209"/>
        <v>2035</v>
      </c>
      <c r="J518" s="25">
        <v>686</v>
      </c>
      <c r="K518" s="25">
        <v>519</v>
      </c>
      <c r="L518" s="25">
        <v>531</v>
      </c>
      <c r="M518" s="88">
        <f t="shared" si="210"/>
        <v>1736</v>
      </c>
      <c r="N518" s="25">
        <v>489</v>
      </c>
      <c r="O518" s="25">
        <v>389</v>
      </c>
      <c r="P518" s="25">
        <v>275</v>
      </c>
      <c r="Q518" s="88">
        <f t="shared" si="206"/>
        <v>1153</v>
      </c>
      <c r="R518" s="59">
        <f t="shared" si="207"/>
        <v>5797</v>
      </c>
    </row>
    <row r="519" spans="1:18" ht="16.5" customHeight="1" thickBot="1" x14ac:dyDescent="0.35">
      <c r="A519" s="80"/>
      <c r="B519" s="81"/>
      <c r="C519" s="81"/>
      <c r="D519" s="81"/>
      <c r="E519" s="64"/>
      <c r="F519" s="81"/>
      <c r="G519" s="81"/>
      <c r="H519" s="81"/>
      <c r="I519" s="64"/>
      <c r="J519" s="81"/>
      <c r="K519" s="81"/>
      <c r="L519" s="81"/>
      <c r="M519" s="64"/>
      <c r="N519" s="81"/>
      <c r="O519" s="81"/>
      <c r="P519" s="81"/>
      <c r="Q519" s="64"/>
      <c r="R519" s="64" t="s">
        <v>7</v>
      </c>
    </row>
    <row r="520" spans="1:18" ht="15.75" customHeight="1" x14ac:dyDescent="0.3">
      <c r="A520" s="335" t="s">
        <v>38</v>
      </c>
      <c r="B520" s="336">
        <f>SUM(B515:B518)</f>
        <v>16246</v>
      </c>
      <c r="C520" s="336">
        <f>SUM(C515:C518)</f>
        <v>29676</v>
      </c>
      <c r="D520" s="336">
        <f>SUM(D515:D518)</f>
        <v>39432</v>
      </c>
      <c r="E520" s="334">
        <f>SUM(B520:D520)</f>
        <v>85354</v>
      </c>
      <c r="F520" s="336">
        <f>SUM(F515:F518)</f>
        <v>62157</v>
      </c>
      <c r="G520" s="336">
        <f>SUM(G515:G518)</f>
        <v>82638</v>
      </c>
      <c r="H520" s="336">
        <f>SUM(H515:H518)</f>
        <v>91658</v>
      </c>
      <c r="I520" s="334">
        <f>SUM(F520:H520)</f>
        <v>236453</v>
      </c>
      <c r="J520" s="336">
        <f>SUM(J515:J518)</f>
        <v>51302</v>
      </c>
      <c r="K520" s="336">
        <f>SUM(K515:K518)</f>
        <v>41299</v>
      </c>
      <c r="L520" s="336">
        <f>SUM(L515:L518)</f>
        <v>44199</v>
      </c>
      <c r="M520" s="334">
        <f>SUM(J520:L520)</f>
        <v>136800</v>
      </c>
      <c r="N520" s="336">
        <f>SUM(N515:N518)</f>
        <v>33626</v>
      </c>
      <c r="O520" s="336">
        <f>SUM(O515:O518)</f>
        <v>25729</v>
      </c>
      <c r="P520" s="336">
        <f>SUM(P515:P518)</f>
        <v>23398</v>
      </c>
      <c r="Q520" s="334">
        <f>SUM(N520:P520)</f>
        <v>82753</v>
      </c>
      <c r="R520" s="334">
        <f>+E520+I520+M520+Q520</f>
        <v>541360</v>
      </c>
    </row>
    <row r="521" spans="1:18" ht="15.75" customHeight="1" x14ac:dyDescent="0.3">
      <c r="A521" s="85" t="s">
        <v>39</v>
      </c>
      <c r="B521" s="1">
        <f>(B520/B10)/1.983</f>
        <v>264.27862638882112</v>
      </c>
      <c r="C521" s="1">
        <f>(C520/C10)/1.983</f>
        <v>534.47157985735896</v>
      </c>
      <c r="D521" s="1">
        <f>(D520/D10)/1.983</f>
        <v>641.45234493192129</v>
      </c>
      <c r="E521" s="59" t="s">
        <v>7</v>
      </c>
      <c r="F521" s="1">
        <f>(F520/F10)/1.983</f>
        <v>1044.8310640443772</v>
      </c>
      <c r="G521" s="1">
        <f>(G520/G10)/1.983</f>
        <v>1344.2974964618611</v>
      </c>
      <c r="H521" s="1">
        <f>(H520/H10)/1.983</f>
        <v>1540.7295343755254</v>
      </c>
      <c r="I521" s="59" t="s">
        <v>7</v>
      </c>
      <c r="J521" s="1">
        <f>(J520/J10)/1.983</f>
        <v>834.54524750703558</v>
      </c>
      <c r="K521" s="1">
        <f>(K520/K10)/1.983</f>
        <v>671.82340214403064</v>
      </c>
      <c r="L521" s="1">
        <f>(L520/L10)/1.983</f>
        <v>742.965204236006</v>
      </c>
      <c r="M521" s="59" t="s">
        <v>7</v>
      </c>
      <c r="N521" s="1">
        <f>(N520/N10)/1.983</f>
        <v>547.00437590486877</v>
      </c>
      <c r="O521" s="1">
        <f>(O520/O10)/1.983</f>
        <v>432.49285594217514</v>
      </c>
      <c r="P521" s="1">
        <f>(P520/P10)/1.983</f>
        <v>380.62238706423955</v>
      </c>
      <c r="Q521" s="59" t="s">
        <v>7</v>
      </c>
      <c r="R521" s="59" t="s">
        <v>7</v>
      </c>
    </row>
    <row r="522" spans="1:18" ht="15.75" customHeight="1" x14ac:dyDescent="0.3">
      <c r="A522" s="85" t="s">
        <v>472</v>
      </c>
      <c r="B522" s="1">
        <f>B520+B573</f>
        <v>27838</v>
      </c>
      <c r="C522" s="1">
        <f>C520+C573</f>
        <v>49073</v>
      </c>
      <c r="D522" s="1">
        <f>D520+D573</f>
        <v>70626</v>
      </c>
      <c r="E522" s="59">
        <f>SUM(B522:D522)</f>
        <v>147537</v>
      </c>
      <c r="F522" s="1">
        <f>F520+F573</f>
        <v>109437</v>
      </c>
      <c r="G522" s="1">
        <f>G520+G573</f>
        <v>124799</v>
      </c>
      <c r="H522" s="1">
        <f>H520+H573</f>
        <v>144338</v>
      </c>
      <c r="I522" s="59">
        <f>SUM(F522:H522)</f>
        <v>378574</v>
      </c>
      <c r="J522" s="1">
        <f>J520+J573</f>
        <v>93594</v>
      </c>
      <c r="K522" s="1">
        <f>K520+K573</f>
        <v>74538</v>
      </c>
      <c r="L522" s="1">
        <f>L520+L573</f>
        <v>71521</v>
      </c>
      <c r="M522" s="59">
        <f>SUM(J522:L522)</f>
        <v>239653</v>
      </c>
      <c r="N522" s="1">
        <f>N520+N573</f>
        <v>47814</v>
      </c>
      <c r="O522" s="1">
        <f>O520+O573</f>
        <v>26586</v>
      </c>
      <c r="P522" s="1">
        <f>P520+P573</f>
        <v>43104</v>
      </c>
      <c r="Q522" s="59">
        <f>SUM(N522:P522)</f>
        <v>117504</v>
      </c>
      <c r="R522" s="59">
        <f>+E522+I522+M522+Q522</f>
        <v>883268</v>
      </c>
    </row>
    <row r="523" spans="1:18" s="50" customFormat="1" ht="16.5" customHeight="1" thickBot="1" x14ac:dyDescent="0.35">
      <c r="A523" s="139" t="s">
        <v>473</v>
      </c>
      <c r="B523" s="140">
        <f>(B522/B10)/1.983</f>
        <v>452.8492183560262</v>
      </c>
      <c r="C523" s="140">
        <f>(C522/C10)/1.983</f>
        <v>883.81600749225561</v>
      </c>
      <c r="D523" s="140">
        <f>(D522/D10)/1.983</f>
        <v>1148.8946366697576</v>
      </c>
      <c r="E523" s="141" t="s">
        <v>7</v>
      </c>
      <c r="F523" s="140">
        <f>(F522/F10)/1.983</f>
        <v>1839.5864851235501</v>
      </c>
      <c r="G523" s="140">
        <f>(G522/G10)/1.983</f>
        <v>2030.1433149512795</v>
      </c>
      <c r="H523" s="140">
        <f>(H522/H10)/1.983</f>
        <v>2426.2565136997814</v>
      </c>
      <c r="I523" s="141" t="s">
        <v>7</v>
      </c>
      <c r="J523" s="140">
        <f>(J522/J10)/1.983</f>
        <v>1522.5220828656481</v>
      </c>
      <c r="K523" s="140">
        <f>(K522/K10)/1.983</f>
        <v>1212.5323312673856</v>
      </c>
      <c r="L523" s="140">
        <f>(L522/L10)/1.983</f>
        <v>1202.2356698604806</v>
      </c>
      <c r="M523" s="141" t="s">
        <v>7</v>
      </c>
      <c r="N523" s="140">
        <f>(N522/N10)/1.983</f>
        <v>777.80488995168616</v>
      </c>
      <c r="O523" s="140">
        <f>(O522/O10)/1.983</f>
        <v>446.89863842662635</v>
      </c>
      <c r="P523" s="140">
        <f>(P522/P10)/1.983</f>
        <v>701.18588648675029</v>
      </c>
      <c r="Q523" s="141" t="s">
        <v>7</v>
      </c>
      <c r="R523" s="141" t="s">
        <v>7</v>
      </c>
    </row>
    <row r="524" spans="1:18" ht="15.75" customHeight="1" x14ac:dyDescent="0.3">
      <c r="A524" s="142" t="s">
        <v>474</v>
      </c>
      <c r="B524" s="143">
        <f>B$525+(SUMIF($T$336:$T$499,"FLG",B$343:B$517)/B10/1.98)+(SUMIF($T$336:$T$499,"FCA",B$343:B$517)/B10/1.98)+(SUMIF($T$336:$T$499,"NSC",B$343:B$517)/B10/1.98)</f>
        <v>309.89675684175705</v>
      </c>
      <c r="C524" s="143">
        <f>C$525+(SUMIF($T$336:$T$499,"FLG",C$343:C$517)/C10/1.98)+(SUMIF($T$336:$T$499,"FCA",C$343:C$517)/C10/1.98)+(SUMIF($T$336:$T$499,"NSC",C$343:C$517)/C10/1.98)</f>
        <v>531.7217725122415</v>
      </c>
      <c r="D524" s="143">
        <f>D$525+(SUMIF($T$336:$T$499,"FLG",D$343:D$517)/D10/1.98)+(SUMIF($T$336:$T$499,"FCA",D$343:D$517)/D10/1.98)+(SUMIF($T$336:$T$499,"NSC",D$343:D$517)/D10/1.98)</f>
        <v>688.49475182255424</v>
      </c>
      <c r="E524" s="144"/>
      <c r="F524" s="143">
        <f>F$525+(SUMIF($T$336:$T$499,"FLG",F$343:F$517)/F10/1.98)+(SUMIF($T$336:$T$499,"FCA",F$343:F$517)/F10/1.98)+(SUMIF($T$336:$T$499,"NSC",F$343:F$517)/F10/1.98)</f>
        <v>1253.8294951532471</v>
      </c>
      <c r="G524" s="143">
        <f>G$525+(SUMIF($T$336:$T$499,"FLG",G$343:G$517)/G10/1.98)+(SUMIF($T$336:$T$499,"FCA",G$343:G$517)/G10/1.98)+(SUMIF($T$336:$T$499,"NSC",G$343:G$517)/G10/1.98)</f>
        <v>1182.3104649540644</v>
      </c>
      <c r="H524" s="143">
        <f>H$525+(SUMIF($T$336:$T$499,"FLG",H$343:H$517)/H10/1.98)+(SUMIF($T$336:$T$499,"FCA",H$343:H$517)/H10/1.98)+(SUMIF($T$336:$T$499,"NSC",H$343:H$517)/H10/1.98)</f>
        <v>1592.9512217484985</v>
      </c>
      <c r="I524" s="52"/>
      <c r="J524" s="143">
        <f>J$525+(SUMIF($T$336:$T$499,"FLG",J$343:J$517)/J10/1.98)+(SUMIF($T$336:$T$499,"FCA",J$343:J$517)/J10/1.98)+(SUMIF($T$336:$T$499,"NSC",J$343:J$517)/J10/1.98)</f>
        <v>953.9592400506948</v>
      </c>
      <c r="K524" s="143">
        <f>K$525+(SUMIF($T$336:$T$499,"FLG",K$343:K$517)/K10/1.98)+(SUMIF($T$336:$T$499,"FCA",K$343:K$517)/K10/1.98)+(SUMIF($T$336:$T$499,"NSC",K$343:K$517)/K10/1.98)</f>
        <v>744.40720217646674</v>
      </c>
      <c r="L524" s="143">
        <f>L$525+(SUMIF($T$336:$T$499,"FLG",L$343:L$517)/L10/1.98)+(SUMIF($T$336:$T$499,"FCA",L$343:L$517)/L10/1.98)+(SUMIF($T$336:$T$499,"NSC",L$343:L$517)/L10/1.98)</f>
        <v>713.05834441235356</v>
      </c>
      <c r="M524" s="52"/>
      <c r="N524" s="143">
        <f>N$525+(SUMIF($T$336:$T$499,"FLG",N$343:N$517)/N10/1.98)+(SUMIF($T$336:$T$499,"FCA",N$343:N$517)/N10/1.98)+(SUMIF($T$336:$T$499,"NSC",N$343:N$517)/N10/1.98)</f>
        <v>365.73045865418123</v>
      </c>
      <c r="O524" s="143">
        <f>O$525+(SUMIF($T$336:$T$499,"FLG",O$343:O$517)/O10/1.98)+(SUMIF($T$336:$T$499,"FCA",O$343:O$517)/O10/1.98)+(SUMIF($T$336:$T$499,"NSC",O$343:O$517)/O10/1.98)</f>
        <v>179.05224713091582</v>
      </c>
      <c r="P524" s="143">
        <f>P$525+(SUMIF($T$336:$T$499,"FLG",P$343:P$517)/P10/1.98)+(SUMIF($T$336:$T$499,"FCA",P$343:P$517)/P10/1.98)+(SUMIF($T$336:$T$499,"NSC",P$343:P$517)/P10/1.98)</f>
        <v>506.55242089530304</v>
      </c>
      <c r="Q524" s="52"/>
      <c r="R524" s="52"/>
    </row>
    <row r="525" spans="1:18" ht="15.75" customHeight="1" x14ac:dyDescent="0.3">
      <c r="A525" s="142" t="s">
        <v>475</v>
      </c>
      <c r="B525" s="143">
        <f>B$526+(SUMIF($T$336:$T$499,"FCI",B$343:B$517)/B10/1.98)+(SUMIF($T$336:$T$499,"FCC",B$343:B$517)/B10/1.98)</f>
        <v>309.89675684175705</v>
      </c>
      <c r="C525" s="143">
        <f>C$526+(SUMIF($T$336:$T$499,"FCI",C$343:C$517)/C10/1.98)+(SUMIF($T$336:$T$499,"FCC",C$343:C$517)/C10/1.98)</f>
        <v>531.7217725122415</v>
      </c>
      <c r="D525" s="143">
        <f>D$526+(SUMIF($T$336:$T$499,"FCI",D$343:D$517)/D10/1.98)+(SUMIF($T$336:$T$499,"FCC",D$343:D$517)/D10/1.98)</f>
        <v>688.49475182255424</v>
      </c>
      <c r="E525" s="144"/>
      <c r="F525" s="143">
        <f>F$526+(SUMIF($T$336:$T$499,"FCI",F$343:F$517)/F10/1.98)+(SUMIF($T$336:$T$499,"FCC",F$343:F$517)/F10/1.98)</f>
        <v>1253.8294951532471</v>
      </c>
      <c r="G525" s="143">
        <f>G$526+(SUMIF($T$336:$T$499,"FCI",G$343:G$517)/G10/1.98)+(SUMIF($T$336:$T$499,"FCC",G$343:G$517)/G10/1.98)</f>
        <v>1182.3104649540644</v>
      </c>
      <c r="H525" s="143">
        <f>H$526+(SUMIF($T$336:$T$499,"FCI",H$343:H$517)/H10/1.98)+(SUMIF($T$336:$T$499,"FCC",H$343:H$517)/H10/1.98)</f>
        <v>1592.9512217484985</v>
      </c>
      <c r="I525" s="52"/>
      <c r="J525" s="143">
        <f>J$526+(SUMIF($T$336:$T$499,"FCI",J$343:J$517)/J10/1.98)+(SUMIF($T$336:$T$499,"FCC",J$343:J$517)/J10/1.98)</f>
        <v>953.9592400506948</v>
      </c>
      <c r="K525" s="143">
        <f>K$526+(SUMIF($T$336:$T$499,"FCI",K$343:K$517)/K10/1.98)+(SUMIF($T$336:$T$499,"FCC",K$343:K$517)/K10/1.98)</f>
        <v>744.40720217646674</v>
      </c>
      <c r="L525" s="143">
        <f>L$526+(SUMIF($T$336:$T$499,"FCI",L$343:L$517)/L10/1.98)+(SUMIF($T$336:$T$499,"FCC",L$343:L$517)/L10/1.98)</f>
        <v>713.05834441235356</v>
      </c>
      <c r="M525" s="52"/>
      <c r="N525" s="143">
        <f>N$526+(SUMIF($T$336:$T$499,"FCI",N$343:N$517)/N10/1.98)+(SUMIF($T$336:$T$499,"FCC",N$343:N$517)/N10/1.98)</f>
        <v>365.73045865418123</v>
      </c>
      <c r="O525" s="143">
        <f>O$526+(SUMIF($T$336:$T$499,"FCI",O$343:O$517)/O10/1.98)+(SUMIF($T$336:$T$499,"FCC",O$343:O$517)/O10/1.98)</f>
        <v>179.05224713091582</v>
      </c>
      <c r="P525" s="143">
        <f>P$526+(SUMIF($T$336:$T$499,"FCI",P$343:P$517)/P10/1.98)+(SUMIF($T$336:$T$499,"FCC",P$343:P$517)/P10/1.98)</f>
        <v>506.55242089530304</v>
      </c>
      <c r="Q525" s="52"/>
      <c r="R525" s="52"/>
    </row>
    <row r="526" spans="1:18" ht="15.75" customHeight="1" x14ac:dyDescent="0.3">
      <c r="A526" s="142" t="s">
        <v>476</v>
      </c>
      <c r="B526" s="143">
        <f>B$527+(SUMIF($T$336:$T$499,"PIL",B$343:B$517)/B10/1.98)+(SUMIF($T$336:$T$499,"KLK",B$343:B$517)/B10/1.98)</f>
        <v>309.89675684175705</v>
      </c>
      <c r="C526" s="143">
        <f>C$527+(SUMIF($T$336:$T$499,"PIL",C$343:C$517)/C10/1.98)+(SUMIF($T$336:$T$499,"KLK",C$343:C$517)/C10/1.98)</f>
        <v>531.7217725122415</v>
      </c>
      <c r="D526" s="143">
        <f>D$527+(SUMIF($T$336:$T$499,"PIL",D$343:D$517)/D10/1.98)+(SUMIF($T$336:$T$499,"KLK",D$343:D$517)/D10/1.98)</f>
        <v>688.49475182255424</v>
      </c>
      <c r="E526" s="144"/>
      <c r="F526" s="143">
        <f>F$527+(SUMIF($T$336:$T$499,"PIL",F$343:F$517)/F10/1.98)+(SUMIF($T$336:$T$499,"KLK",F$343:F$517)/F10/1.98)</f>
        <v>1253.8294951532471</v>
      </c>
      <c r="G526" s="143">
        <f>G$527+(SUMIF($T$336:$T$499,"PIL",G$343:G$517)/G10/1.98)+(SUMIF($T$336:$T$499,"KLK",G$343:G$517)/G10/1.98)</f>
        <v>1182.3104649540644</v>
      </c>
      <c r="H526" s="143">
        <f>H$527+(SUMIF($T$336:$T$499,"PIL",H$343:H$517)/H10/1.98)+(SUMIF($T$336:$T$499,"KLK",H$343:H$517)/H10/1.98)</f>
        <v>1592.9512217484985</v>
      </c>
      <c r="I526" s="52"/>
      <c r="J526" s="143">
        <f>J$527+(SUMIF($T$336:$T$499,"PIL",J$343:J$517)/J10/1.98)+(SUMIF($T$336:$T$499,"KLK",J$343:J$517)/J10/1.98)</f>
        <v>953.9592400506948</v>
      </c>
      <c r="K526" s="143">
        <f>K$527+(SUMIF($T$336:$T$499,"PIL",K$343:K$517)/K10/1.98)+(SUMIF($T$336:$T$499,"KLK",K$343:K$517)/K10/1.98)</f>
        <v>744.40720217646674</v>
      </c>
      <c r="L526" s="143">
        <f>L$527+(SUMIF($T$336:$T$499,"PIL",L$343:L$517)/L10/1.98)+(SUMIF($T$336:$T$499,"KLK",L$343:L$517)/L10/1.98)</f>
        <v>713.05834441235356</v>
      </c>
      <c r="M526" s="52"/>
      <c r="N526" s="143">
        <f>N$527+(SUMIF($T$336:$T$499,"PIL",N$343:N$517)/N10/1.98)+(SUMIF($T$336:$T$499,"KLK",N$343:N$517)/N10/1.98)</f>
        <v>365.73045865418123</v>
      </c>
      <c r="O526" s="143">
        <f>O$527+(SUMIF($T$336:$T$499,"PIL",O$343:O$517)/O10/1.98)+(SUMIF($T$336:$T$499,"KLK",O$343:O$517)/O10/1.98)</f>
        <v>179.05224713091582</v>
      </c>
      <c r="P526" s="143">
        <f>P$527+(SUMIF($T$336:$T$499,"PIL",P$343:P$517)/P10/1.98)+(SUMIF($T$336:$T$499,"KLK",P$343:P$517)/P10/1.98)</f>
        <v>506.55242089530304</v>
      </c>
      <c r="Q526" s="52"/>
      <c r="R526" s="52"/>
    </row>
    <row r="527" spans="1:18" ht="15.75" customHeight="1" x14ac:dyDescent="0.3">
      <c r="A527" s="142" t="s">
        <v>477</v>
      </c>
      <c r="B527" s="143">
        <f>B$528+(SUMIF($T$336:$T$499,"CGE",B$343:B$517)/B10/1.98)</f>
        <v>309.89675684175705</v>
      </c>
      <c r="C527" s="143">
        <f>C$528+(SUMIF($T$336:$T$499,"CGE",C$343:C$517)/C10/1.98)</f>
        <v>531.7217725122415</v>
      </c>
      <c r="D527" s="143">
        <f>D$528+(SUMIF($T$336:$T$499,"CGE",D$343:D$517)/D10/1.98)</f>
        <v>688.49475182255424</v>
      </c>
      <c r="E527" s="144"/>
      <c r="F527" s="143">
        <f>F$528+(SUMIF($T$336:$T$499,"CGE",F$343:F$517)/F10/1.98)</f>
        <v>1253.8294951532471</v>
      </c>
      <c r="G527" s="143">
        <f>G$528+(SUMIF($T$336:$T$499,"CGE",G$343:G$517)/G10/1.98)</f>
        <v>1182.3104649540644</v>
      </c>
      <c r="H527" s="143">
        <f>H$528+(SUMIF($T$336:$T$499,"CGE",H$343:H$517)/H10/1.98)</f>
        <v>1592.9512217484985</v>
      </c>
      <c r="I527" s="52"/>
      <c r="J527" s="143">
        <f>J$528+(SUMIF($T$336:$T$499,"CGE",J$343:J$517)/J10/1.98)</f>
        <v>953.9592400506948</v>
      </c>
      <c r="K527" s="143">
        <f>K$528+(SUMIF($T$336:$T$499,"CGE",K$343:K$517)/K10/1.98)</f>
        <v>744.40720217646674</v>
      </c>
      <c r="L527" s="143">
        <f>L$528+(SUMIF($T$336:$T$499,"CGE",L$343:L$517)/L10/1.98)</f>
        <v>712.60379895780807</v>
      </c>
      <c r="M527" s="52"/>
      <c r="N527" s="143">
        <f>N$528+(SUMIF($T$336:$T$499,"CGE",N$343:N$517)/N10/1.98)</f>
        <v>365.73045865418123</v>
      </c>
      <c r="O527" s="143">
        <f>O$528+(SUMIF($T$336:$T$499,"CGE",O$343:O$517)/O10/1.98)</f>
        <v>179.05224713091582</v>
      </c>
      <c r="P527" s="143">
        <f>P$528+(SUMIF($T$336:$T$499,"CGE",P$343:P$517)/P10/1.98)</f>
        <v>506.55242089530304</v>
      </c>
      <c r="Q527" s="52"/>
      <c r="R527" s="52"/>
    </row>
    <row r="528" spans="1:18" ht="15.75" customHeight="1" x14ac:dyDescent="0.3">
      <c r="A528" s="142" t="s">
        <v>478</v>
      </c>
      <c r="B528" s="143">
        <f>B$529+(SUMIF($T$336:$T$499,"SRO",B$343:B$517)/B10/1.98)</f>
        <v>309.89675684175705</v>
      </c>
      <c r="C528" s="143">
        <f>C$529+(SUMIF($T$336:$T$499,"SRO",C$343:C$517)/C10/1.98)</f>
        <v>526.31051710098609</v>
      </c>
      <c r="D528" s="143">
        <f>D$529+(SUMIF($T$336:$T$499,"SRO",D$343:D$517)/D10/1.98)</f>
        <v>675.46119040189603</v>
      </c>
      <c r="E528" s="144"/>
      <c r="F528" s="143">
        <f>F$529+(SUMIF($T$336:$T$499,"SRO",F$343:F$517)/F10/1.98)</f>
        <v>1242.0449833687353</v>
      </c>
      <c r="G528" s="143">
        <f>G$529+(SUMIF($T$336:$T$499,"SRO",G$343:G$517)/G10/1.98)</f>
        <v>1169.2769035334063</v>
      </c>
      <c r="H528" s="143">
        <f>H$529+(SUMIF($T$336:$T$499,"SRO",H$343:H$517)/H10/1.98)</f>
        <v>1579.4832082804851</v>
      </c>
      <c r="I528" s="52"/>
      <c r="J528" s="143">
        <f>J$529+(SUMIF($T$336:$T$499,"SRO",J$343:J$517)/J10/1.98)</f>
        <v>940.9256786300366</v>
      </c>
      <c r="K528" s="143">
        <f>K$529+(SUMIF($T$336:$T$499,"SRO",K$343:K$517)/K10/1.98)</f>
        <v>744.40720217646674</v>
      </c>
      <c r="L528" s="143">
        <f>L$529+(SUMIF($T$336:$T$499,"SRO",L$343:L$517)/L10/1.98)</f>
        <v>712.60379895780807</v>
      </c>
      <c r="M528" s="52"/>
      <c r="N528" s="143">
        <f>N$529+(SUMIF($T$336:$T$499,"SRO",N$343:N$517)/N10/1.98)</f>
        <v>365.73045865418123</v>
      </c>
      <c r="O528" s="143">
        <f>O$529+(SUMIF($T$336:$T$499,"SRO",O$343:O$517)/O10/1.98)</f>
        <v>179.05224713091582</v>
      </c>
      <c r="P528" s="143">
        <f>P$529+(SUMIF($T$336:$T$499,"SRO",P$343:P$517)/P10/1.98)</f>
        <v>506.55242089530304</v>
      </c>
      <c r="Q528" s="52"/>
      <c r="R528" s="52"/>
    </row>
    <row r="529" spans="1:20" ht="15.75" customHeight="1" x14ac:dyDescent="0.3">
      <c r="A529" s="142" t="s">
        <v>479</v>
      </c>
      <c r="B529" s="143">
        <f>B$573/B10/1.983</f>
        <v>188.5705919672051</v>
      </c>
      <c r="C529" s="143">
        <f>C$573/C10/1.983</f>
        <v>349.34442763489659</v>
      </c>
      <c r="D529" s="143">
        <f>D$573/D10/1.983</f>
        <v>507.44229173783611</v>
      </c>
      <c r="E529" s="98"/>
      <c r="F529" s="143">
        <f>F$573/F10/1.983</f>
        <v>794.75542107917295</v>
      </c>
      <c r="G529" s="143">
        <f>G$573/G10/1.983</f>
        <v>685.84581848941809</v>
      </c>
      <c r="H529" s="143">
        <f>H$573/H10/1.983</f>
        <v>885.5269793242561</v>
      </c>
      <c r="I529" s="1"/>
      <c r="J529" s="143">
        <f>J$573/J10/1.983</f>
        <v>687.97683535861268</v>
      </c>
      <c r="K529" s="143">
        <f>K$573/K10/1.983</f>
        <v>540.70892912335501</v>
      </c>
      <c r="L529" s="143">
        <f>L$573/L10/1.983</f>
        <v>459.2704656244747</v>
      </c>
      <c r="N529" s="143">
        <f>N$573/N10/1.983</f>
        <v>230.80051404681728</v>
      </c>
      <c r="O529" s="143">
        <f>O$573/O10/1.983</f>
        <v>14.405782484451167</v>
      </c>
      <c r="P529" s="143">
        <f>P$573/P10/1.983</f>
        <v>320.56349942251063</v>
      </c>
      <c r="R529" s="52"/>
    </row>
    <row r="530" spans="1:20" ht="15.75" customHeight="1" x14ac:dyDescent="0.3">
      <c r="A530" s="142"/>
      <c r="B530" s="143"/>
      <c r="C530" s="143"/>
      <c r="D530" s="143"/>
      <c r="E530" s="98"/>
      <c r="F530" s="143"/>
      <c r="G530" s="143"/>
      <c r="H530" s="143"/>
      <c r="I530" s="1"/>
      <c r="J530" s="143"/>
      <c r="K530" s="143"/>
      <c r="L530" s="143"/>
      <c r="N530" s="143"/>
      <c r="O530" s="143"/>
      <c r="P530" s="143"/>
      <c r="R530" s="52"/>
    </row>
    <row r="531" spans="1:20" ht="15.75" customHeight="1" thickBot="1" x14ac:dyDescent="0.35">
      <c r="A531" s="30"/>
      <c r="B531" s="1"/>
      <c r="C531" s="1"/>
      <c r="D531" s="1"/>
      <c r="E531" s="1"/>
      <c r="F531" s="1"/>
      <c r="G531" s="1"/>
      <c r="H531" s="1"/>
      <c r="I531" s="1"/>
      <c r="J531" s="1"/>
      <c r="K531" s="1"/>
      <c r="L531" s="1"/>
      <c r="M531" s="1"/>
      <c r="N531" s="1"/>
      <c r="O531" s="1"/>
      <c r="P531" s="1"/>
      <c r="Q531" s="1"/>
      <c r="R531" s="28"/>
    </row>
    <row r="532" spans="1:20" ht="16.5" customHeight="1" thickBot="1" x14ac:dyDescent="0.35">
      <c r="A532" s="31" t="s">
        <v>480</v>
      </c>
      <c r="B532" s="323" t="s">
        <v>36</v>
      </c>
      <c r="C532" s="324" t="s">
        <v>9</v>
      </c>
      <c r="D532" s="324" t="s">
        <v>10</v>
      </c>
      <c r="E532" s="325" t="s">
        <v>11</v>
      </c>
      <c r="F532" s="324" t="s">
        <v>12</v>
      </c>
      <c r="G532" s="324" t="s">
        <v>13</v>
      </c>
      <c r="H532" s="324" t="s">
        <v>14</v>
      </c>
      <c r="I532" s="34" t="s">
        <v>15</v>
      </c>
      <c r="J532" s="324" t="s">
        <v>16</v>
      </c>
      <c r="K532" s="324" t="s">
        <v>17</v>
      </c>
      <c r="L532" s="324" t="s">
        <v>18</v>
      </c>
      <c r="M532" s="34" t="s">
        <v>19</v>
      </c>
      <c r="N532" s="324" t="s">
        <v>20</v>
      </c>
      <c r="O532" s="324" t="s">
        <v>21</v>
      </c>
      <c r="P532" s="324" t="s">
        <v>22</v>
      </c>
      <c r="Q532" s="34" t="s">
        <v>23</v>
      </c>
      <c r="R532" s="326" t="s">
        <v>24</v>
      </c>
    </row>
    <row r="533" spans="1:20" ht="16.5" customHeight="1" thickBot="1" x14ac:dyDescent="0.35">
      <c r="A533" s="64"/>
      <c r="B533" s="81"/>
      <c r="C533" s="81"/>
      <c r="D533" s="81"/>
      <c r="E533" s="72"/>
      <c r="F533" s="81"/>
      <c r="G533" s="81"/>
      <c r="H533" s="81"/>
      <c r="I533" s="89"/>
      <c r="J533" s="81"/>
      <c r="K533" s="81"/>
      <c r="L533" s="81"/>
      <c r="M533" s="89"/>
      <c r="N533" s="81"/>
      <c r="O533" s="81"/>
      <c r="P533" s="81"/>
      <c r="Q533" s="89"/>
      <c r="R533" s="117"/>
    </row>
    <row r="534" spans="1:20" ht="15.75" customHeight="1" x14ac:dyDescent="0.3">
      <c r="A534" s="17" t="s">
        <v>45</v>
      </c>
      <c r="B534" s="1" t="s">
        <v>7</v>
      </c>
      <c r="C534" s="1" t="s">
        <v>7</v>
      </c>
      <c r="D534" s="1" t="s">
        <v>7</v>
      </c>
      <c r="E534" s="59" t="s">
        <v>7</v>
      </c>
      <c r="F534" s="1"/>
      <c r="G534" s="1"/>
      <c r="H534" s="1"/>
      <c r="I534" s="59" t="s">
        <v>7</v>
      </c>
      <c r="J534" s="1" t="s">
        <v>7</v>
      </c>
      <c r="K534" s="1" t="s">
        <v>7</v>
      </c>
      <c r="L534" s="1" t="s">
        <v>7</v>
      </c>
      <c r="M534" s="59" t="s">
        <v>7</v>
      </c>
      <c r="N534" s="1" t="s">
        <v>7</v>
      </c>
      <c r="O534" s="1" t="s">
        <v>7</v>
      </c>
      <c r="P534" s="1" t="s">
        <v>7</v>
      </c>
      <c r="Q534" s="59" t="s">
        <v>7</v>
      </c>
      <c r="R534" s="59" t="s">
        <v>7</v>
      </c>
    </row>
    <row r="535" spans="1:20" ht="15.75" customHeight="1" x14ac:dyDescent="0.3">
      <c r="A535" s="17" t="s">
        <v>46</v>
      </c>
      <c r="B535" s="1"/>
      <c r="C535" s="1"/>
      <c r="D535" s="1"/>
      <c r="E535" s="59" t="s">
        <v>7</v>
      </c>
      <c r="F535" s="1"/>
      <c r="G535" s="1"/>
      <c r="H535" s="1"/>
      <c r="I535" s="59" t="s">
        <v>7</v>
      </c>
      <c r="J535" s="1"/>
      <c r="K535" s="1"/>
      <c r="L535" s="1"/>
      <c r="M535" s="59" t="s">
        <v>7</v>
      </c>
      <c r="N535" s="1"/>
      <c r="O535" s="1"/>
      <c r="P535" s="1"/>
      <c r="Q535" s="59" t="s">
        <v>7</v>
      </c>
      <c r="R535" s="59" t="s">
        <v>7</v>
      </c>
    </row>
    <row r="536" spans="1:20" ht="15.75" customHeight="1" x14ac:dyDescent="0.3">
      <c r="A536" s="74" t="s">
        <v>481</v>
      </c>
      <c r="B536" s="1"/>
      <c r="C536" s="1"/>
      <c r="D536" s="1">
        <v>8</v>
      </c>
      <c r="E536" s="59">
        <f t="shared" ref="E536:E540" si="211">SUM(B536:D536)</f>
        <v>8</v>
      </c>
      <c r="F536" s="1">
        <v>17</v>
      </c>
      <c r="G536" s="1">
        <v>16</v>
      </c>
      <c r="H536" s="1">
        <v>10</v>
      </c>
      <c r="I536" s="59">
        <f t="shared" ref="I536:I540" si="212">SUM(F536:H536)</f>
        <v>43</v>
      </c>
      <c r="J536" s="1">
        <v>4</v>
      </c>
      <c r="K536" s="1"/>
      <c r="L536" s="1">
        <v>2</v>
      </c>
      <c r="M536" s="59">
        <f t="shared" ref="M536:M540" si="213">SUM(J536:L536)</f>
        <v>6</v>
      </c>
      <c r="N536" s="1">
        <v>3</v>
      </c>
      <c r="O536" s="1"/>
      <c r="P536" s="1"/>
      <c r="Q536" s="59">
        <f t="shared" ref="Q536:Q540" si="214">SUM(N536:P536)</f>
        <v>3</v>
      </c>
      <c r="R536" s="59">
        <f t="shared" ref="R536:R540" si="215">+E536+I536+M536+Q536</f>
        <v>60</v>
      </c>
      <c r="T536" s="4" t="s">
        <v>366</v>
      </c>
    </row>
    <row r="537" spans="1:20" ht="15.75" customHeight="1" x14ac:dyDescent="0.3">
      <c r="A537" s="74" t="s">
        <v>482</v>
      </c>
      <c r="B537" s="1"/>
      <c r="C537" s="1"/>
      <c r="D537" s="1"/>
      <c r="E537" s="59">
        <f>SUM(B537:D537)</f>
        <v>0</v>
      </c>
      <c r="F537" s="1"/>
      <c r="G537" s="1"/>
      <c r="H537" s="1"/>
      <c r="I537" s="59">
        <f>SUM(F537:H537)</f>
        <v>0</v>
      </c>
      <c r="J537" s="1"/>
      <c r="K537" s="1"/>
      <c r="L537" s="1"/>
      <c r="M537" s="59">
        <f t="shared" si="213"/>
        <v>0</v>
      </c>
      <c r="N537" s="1"/>
      <c r="O537" s="1"/>
      <c r="P537" s="1"/>
      <c r="Q537" s="59">
        <f t="shared" si="214"/>
        <v>0</v>
      </c>
      <c r="R537" s="59">
        <f t="shared" si="215"/>
        <v>0</v>
      </c>
      <c r="T537" s="4" t="s">
        <v>366</v>
      </c>
    </row>
    <row r="538" spans="1:20" ht="15.75" customHeight="1" x14ac:dyDescent="0.3">
      <c r="A538" s="74" t="s">
        <v>483</v>
      </c>
      <c r="B538" s="1"/>
      <c r="C538" s="1"/>
      <c r="D538" s="1"/>
      <c r="E538" s="59">
        <f t="shared" si="211"/>
        <v>0</v>
      </c>
      <c r="F538" s="1"/>
      <c r="G538" s="1"/>
      <c r="H538" s="1"/>
      <c r="I538" s="59">
        <f t="shared" si="212"/>
        <v>0</v>
      </c>
      <c r="J538" s="1"/>
      <c r="K538" s="1"/>
      <c r="L538" s="1"/>
      <c r="M538" s="59">
        <f t="shared" si="213"/>
        <v>0</v>
      </c>
      <c r="N538" s="1"/>
      <c r="O538" s="1"/>
      <c r="P538" s="1"/>
      <c r="Q538" s="59">
        <f t="shared" si="214"/>
        <v>0</v>
      </c>
      <c r="R538" s="59">
        <f t="shared" si="215"/>
        <v>0</v>
      </c>
    </row>
    <row r="539" spans="1:20" ht="15.75" customHeight="1" x14ac:dyDescent="0.3">
      <c r="A539" s="74" t="s">
        <v>484</v>
      </c>
      <c r="C539" s="1"/>
      <c r="D539" s="1"/>
      <c r="E539" s="59">
        <f t="shared" si="211"/>
        <v>0</v>
      </c>
      <c r="F539" s="1"/>
      <c r="G539" s="1"/>
      <c r="H539" s="1">
        <v>2467</v>
      </c>
      <c r="I539" s="59">
        <f t="shared" si="212"/>
        <v>2467</v>
      </c>
      <c r="J539" s="1"/>
      <c r="K539" s="1"/>
      <c r="L539" s="1"/>
      <c r="M539" s="59">
        <f t="shared" si="213"/>
        <v>0</v>
      </c>
      <c r="N539" s="1"/>
      <c r="O539" s="1"/>
      <c r="P539" s="1"/>
      <c r="Q539" s="59">
        <f t="shared" si="214"/>
        <v>0</v>
      </c>
      <c r="R539" s="59">
        <f t="shared" si="215"/>
        <v>2467</v>
      </c>
      <c r="T539" s="4" t="s">
        <v>366</v>
      </c>
    </row>
    <row r="540" spans="1:20" ht="15.75" customHeight="1" x14ac:dyDescent="0.3">
      <c r="A540" s="76" t="s">
        <v>485</v>
      </c>
      <c r="B540" s="1"/>
      <c r="C540" s="1"/>
      <c r="D540" s="1"/>
      <c r="E540" s="59">
        <f t="shared" si="211"/>
        <v>0</v>
      </c>
      <c r="F540" s="1"/>
      <c r="G540" s="1"/>
      <c r="H540" s="1"/>
      <c r="I540" s="59">
        <f t="shared" si="212"/>
        <v>0</v>
      </c>
      <c r="J540" s="1"/>
      <c r="K540" s="1"/>
      <c r="L540" s="1"/>
      <c r="M540" s="59">
        <f t="shared" si="213"/>
        <v>0</v>
      </c>
      <c r="N540" s="1"/>
      <c r="O540" s="1"/>
      <c r="P540" s="1"/>
      <c r="Q540" s="59">
        <f t="shared" si="214"/>
        <v>0</v>
      </c>
      <c r="R540" s="59">
        <f t="shared" si="215"/>
        <v>0</v>
      </c>
      <c r="T540" s="4" t="s">
        <v>366</v>
      </c>
    </row>
    <row r="541" spans="1:20" ht="15.75" customHeight="1" x14ac:dyDescent="0.3">
      <c r="A541" s="17" t="s">
        <v>47</v>
      </c>
      <c r="B541" s="1"/>
      <c r="C541" s="1"/>
      <c r="D541" s="1"/>
      <c r="E541" s="59" t="s">
        <v>7</v>
      </c>
      <c r="F541" s="1"/>
      <c r="G541" s="1"/>
      <c r="H541" s="1"/>
      <c r="I541" s="59" t="s">
        <v>7</v>
      </c>
      <c r="J541" s="1"/>
      <c r="K541" s="1"/>
      <c r="L541" s="1"/>
      <c r="M541" s="59" t="s">
        <v>7</v>
      </c>
      <c r="N541" s="1"/>
      <c r="O541" s="1"/>
      <c r="P541" s="1"/>
      <c r="Q541" s="59" t="s">
        <v>7</v>
      </c>
      <c r="R541" s="59" t="s">
        <v>7</v>
      </c>
    </row>
    <row r="542" spans="1:20" ht="15.75" customHeight="1" x14ac:dyDescent="0.3">
      <c r="A542" s="74" t="s">
        <v>486</v>
      </c>
      <c r="B542" s="1"/>
      <c r="C542" s="1"/>
      <c r="D542" s="1"/>
      <c r="E542" s="59">
        <f>SUM(B542:D542)</f>
        <v>0</v>
      </c>
      <c r="F542" s="1"/>
      <c r="G542" s="1"/>
      <c r="H542" s="1"/>
      <c r="I542" s="59">
        <f>SUM(F542:H542)</f>
        <v>0</v>
      </c>
      <c r="J542" s="1"/>
      <c r="K542" s="1"/>
      <c r="L542" s="1"/>
      <c r="M542" s="59">
        <f>SUM(J542:L542)</f>
        <v>0</v>
      </c>
      <c r="N542" s="1"/>
      <c r="O542" s="1"/>
      <c r="P542" s="1"/>
      <c r="Q542" s="59">
        <f>SUM(N542:P542)</f>
        <v>0</v>
      </c>
      <c r="R542" s="59">
        <f>+E542+I542+M542+Q542</f>
        <v>0</v>
      </c>
    </row>
    <row r="543" spans="1:20" ht="15.75" customHeight="1" x14ac:dyDescent="0.3">
      <c r="A543" s="74" t="s">
        <v>487</v>
      </c>
      <c r="B543" s="1"/>
      <c r="C543" s="1"/>
      <c r="D543" s="1"/>
      <c r="E543" s="59">
        <f>SUM(B543:D543)</f>
        <v>0</v>
      </c>
      <c r="F543" s="1"/>
      <c r="G543" s="1"/>
      <c r="H543" s="1"/>
      <c r="I543" s="59">
        <f>SUM(F543:H543)</f>
        <v>0</v>
      </c>
      <c r="J543" s="1"/>
      <c r="K543" s="1"/>
      <c r="L543" s="1"/>
      <c r="M543" s="59">
        <f>SUM(J543:L543)</f>
        <v>0</v>
      </c>
      <c r="N543" s="1"/>
      <c r="O543" s="1"/>
      <c r="P543" s="1"/>
      <c r="Q543" s="59">
        <f>SUM(N543:P543)</f>
        <v>0</v>
      </c>
      <c r="R543" s="59">
        <f>+E543+I543+M543+Q543</f>
        <v>0</v>
      </c>
    </row>
    <row r="544" spans="1:20" ht="15.75" customHeight="1" x14ac:dyDescent="0.3">
      <c r="A544" s="17" t="s">
        <v>49</v>
      </c>
      <c r="B544" s="1"/>
      <c r="C544" s="1"/>
      <c r="D544" s="1"/>
      <c r="E544" s="59" t="s">
        <v>7</v>
      </c>
      <c r="F544" s="1"/>
      <c r="G544" s="1"/>
      <c r="H544" s="1"/>
      <c r="I544" s="59" t="s">
        <v>7</v>
      </c>
      <c r="J544" s="1"/>
      <c r="K544" s="1"/>
      <c r="L544" s="1"/>
      <c r="M544" s="59" t="s">
        <v>7</v>
      </c>
      <c r="N544" s="1"/>
      <c r="O544" s="1"/>
      <c r="P544" s="1"/>
      <c r="Q544" s="59" t="s">
        <v>7</v>
      </c>
      <c r="R544" s="59" t="s">
        <v>7</v>
      </c>
    </row>
    <row r="545" spans="1:20" ht="15.75" customHeight="1" thickBot="1" x14ac:dyDescent="0.35">
      <c r="A545" s="17" t="s">
        <v>51</v>
      </c>
      <c r="B545" s="1"/>
      <c r="C545" s="1"/>
      <c r="D545" s="1"/>
      <c r="E545" s="59" t="s">
        <v>7</v>
      </c>
      <c r="F545" s="1"/>
      <c r="G545" s="1"/>
      <c r="H545" s="1"/>
      <c r="I545" s="59" t="s">
        <v>7</v>
      </c>
      <c r="J545" s="1"/>
      <c r="K545" s="1"/>
      <c r="L545" s="1"/>
      <c r="M545" s="59" t="s">
        <v>7</v>
      </c>
      <c r="N545" s="1"/>
      <c r="O545" s="1"/>
      <c r="P545" s="1"/>
      <c r="Q545" s="59" t="s">
        <v>7</v>
      </c>
      <c r="R545" s="59" t="s">
        <v>7</v>
      </c>
    </row>
    <row r="546" spans="1:20" ht="16.5" customHeight="1" thickBot="1" x14ac:dyDescent="0.35">
      <c r="A546" s="126" t="s">
        <v>52</v>
      </c>
      <c r="B546" s="100">
        <f>SUM(B534:B545)</f>
        <v>0</v>
      </c>
      <c r="C546" s="101">
        <f>SUM(C534:C545)</f>
        <v>0</v>
      </c>
      <c r="D546" s="101">
        <f>SUM(D534:D545)</f>
        <v>8</v>
      </c>
      <c r="E546" s="64">
        <f>SUM(B546:D546)</f>
        <v>8</v>
      </c>
      <c r="F546" s="101">
        <f>SUM(F534:F545)</f>
        <v>17</v>
      </c>
      <c r="G546" s="101">
        <f>SUM(G534:G545)</f>
        <v>16</v>
      </c>
      <c r="H546" s="101">
        <f>SUM(H534:H545)</f>
        <v>2477</v>
      </c>
      <c r="I546" s="64">
        <f>SUM(F546:H546)</f>
        <v>2510</v>
      </c>
      <c r="J546" s="101">
        <f>SUM(J534:J545)</f>
        <v>4</v>
      </c>
      <c r="K546" s="101">
        <f>SUM(K534:K545)</f>
        <v>0</v>
      </c>
      <c r="L546" s="101">
        <f>SUM(L534:L545)</f>
        <v>2</v>
      </c>
      <c r="M546" s="64">
        <f>SUM(J546:L546)</f>
        <v>6</v>
      </c>
      <c r="N546" s="101">
        <f>SUM(N534:N545)</f>
        <v>3</v>
      </c>
      <c r="O546" s="101">
        <f>SUM(O534:O545)</f>
        <v>0</v>
      </c>
      <c r="P546" s="101">
        <f>SUM(P534:P545)</f>
        <v>0</v>
      </c>
      <c r="Q546" s="64">
        <f>SUM(N546:P546)</f>
        <v>3</v>
      </c>
      <c r="R546" s="64">
        <f>+E546+I546+M546+Q546</f>
        <v>2527</v>
      </c>
    </row>
    <row r="547" spans="1:20" ht="15.75" customHeight="1" x14ac:dyDescent="0.3">
      <c r="A547" s="17" t="s">
        <v>53</v>
      </c>
      <c r="B547" s="1"/>
      <c r="C547" s="1"/>
      <c r="D547" s="1"/>
      <c r="E547" s="59" t="s">
        <v>7</v>
      </c>
      <c r="F547" s="1"/>
      <c r="G547" s="1"/>
      <c r="H547" s="1"/>
      <c r="I547" s="59" t="s">
        <v>7</v>
      </c>
      <c r="J547" s="1"/>
      <c r="K547" s="1"/>
      <c r="L547" s="1"/>
      <c r="M547" s="59" t="s">
        <v>7</v>
      </c>
      <c r="N547" s="1" t="s">
        <v>7</v>
      </c>
      <c r="O547" s="1"/>
      <c r="P547" s="1"/>
      <c r="Q547" s="59" t="s">
        <v>7</v>
      </c>
      <c r="R547" s="59" t="s">
        <v>7</v>
      </c>
    </row>
    <row r="548" spans="1:20" ht="15.75" customHeight="1" x14ac:dyDescent="0.3">
      <c r="A548" s="17" t="s">
        <v>55</v>
      </c>
      <c r="B548" s="1"/>
      <c r="C548" s="1"/>
      <c r="D548" s="1"/>
      <c r="E548" s="59" t="s">
        <v>7</v>
      </c>
      <c r="F548" s="1"/>
      <c r="G548" s="1"/>
      <c r="H548" s="1"/>
      <c r="I548" s="59" t="s">
        <v>7</v>
      </c>
      <c r="J548" s="1"/>
      <c r="K548" s="1"/>
      <c r="L548" s="1"/>
      <c r="M548" s="59" t="s">
        <v>7</v>
      </c>
      <c r="N548" s="1"/>
      <c r="O548" s="1"/>
      <c r="P548" s="1"/>
      <c r="Q548" s="59" t="s">
        <v>7</v>
      </c>
      <c r="R548" s="59" t="s">
        <v>7</v>
      </c>
    </row>
    <row r="549" spans="1:20" ht="15.75" customHeight="1" x14ac:dyDescent="0.3">
      <c r="A549" s="74" t="s">
        <v>488</v>
      </c>
      <c r="B549" s="1"/>
      <c r="C549" s="1">
        <v>645</v>
      </c>
      <c r="D549" s="1">
        <v>4062</v>
      </c>
      <c r="E549" s="59">
        <f>SUM(B549:D549)</f>
        <v>4707</v>
      </c>
      <c r="F549" s="1">
        <v>12469</v>
      </c>
      <c r="G549" s="1">
        <f>5565+2500</f>
        <v>8065</v>
      </c>
      <c r="H549" s="1">
        <v>5792</v>
      </c>
      <c r="I549" s="59">
        <f>SUM(F549:H549)</f>
        <v>26326</v>
      </c>
      <c r="J549" s="1"/>
      <c r="K549" s="1">
        <v>2897</v>
      </c>
      <c r="L549" s="1">
        <v>2868</v>
      </c>
      <c r="M549" s="59">
        <f>SUM(J549:L549)</f>
        <v>5765</v>
      </c>
      <c r="N549" s="1"/>
      <c r="O549" s="1">
        <v>33</v>
      </c>
      <c r="P549" s="1">
        <v>443</v>
      </c>
      <c r="Q549" s="59">
        <f>SUM(N549:P549)</f>
        <v>476</v>
      </c>
      <c r="R549" s="59">
        <f>+E549+I549+M549+Q549</f>
        <v>37274</v>
      </c>
    </row>
    <row r="550" spans="1:20" ht="15.75" customHeight="1" thickBot="1" x14ac:dyDescent="0.35">
      <c r="A550" s="17" t="s">
        <v>56</v>
      </c>
      <c r="B550" s="1"/>
      <c r="C550" s="1"/>
      <c r="D550" s="1"/>
      <c r="E550" s="59" t="s">
        <v>7</v>
      </c>
      <c r="F550" s="1"/>
      <c r="G550" s="1"/>
      <c r="H550" s="1"/>
      <c r="I550" s="59" t="s">
        <v>7</v>
      </c>
      <c r="J550" s="1"/>
      <c r="K550" s="1"/>
      <c r="L550" s="1"/>
      <c r="M550" s="59" t="s">
        <v>7</v>
      </c>
      <c r="N550" s="1"/>
      <c r="O550" s="1"/>
      <c r="P550" s="1"/>
      <c r="Q550" s="59" t="s">
        <v>7</v>
      </c>
      <c r="R550" s="59" t="s">
        <v>7</v>
      </c>
    </row>
    <row r="551" spans="1:20" ht="16.5" customHeight="1" thickBot="1" x14ac:dyDescent="0.35">
      <c r="A551" s="62" t="s">
        <v>57</v>
      </c>
      <c r="B551" s="100">
        <f>SUM(B547:B550)</f>
        <v>0</v>
      </c>
      <c r="C551" s="101">
        <f>SUM(C547:C550)</f>
        <v>645</v>
      </c>
      <c r="D551" s="101">
        <f>SUM(D547:D550)</f>
        <v>4062</v>
      </c>
      <c r="E551" s="64">
        <f>SUM(B551:D551)</f>
        <v>4707</v>
      </c>
      <c r="F551" s="101">
        <f>SUM(F547:F550)</f>
        <v>12469</v>
      </c>
      <c r="G551" s="101">
        <f>SUM(G547:G550)</f>
        <v>8065</v>
      </c>
      <c r="H551" s="101">
        <f>SUM(H547:H550)</f>
        <v>5792</v>
      </c>
      <c r="I551" s="64">
        <f>SUM(F551:H551)</f>
        <v>26326</v>
      </c>
      <c r="J551" s="101">
        <f>SUM(J547:J550)</f>
        <v>0</v>
      </c>
      <c r="K551" s="101">
        <f>SUM(K547:K550)</f>
        <v>2897</v>
      </c>
      <c r="L551" s="101">
        <f>SUM(L547:L550)</f>
        <v>2868</v>
      </c>
      <c r="M551" s="64">
        <f>SUM(J551:L551)</f>
        <v>5765</v>
      </c>
      <c r="N551" s="101">
        <f>SUM(N547:N550)</f>
        <v>0</v>
      </c>
      <c r="O551" s="101">
        <f>SUM(O547:O550)</f>
        <v>33</v>
      </c>
      <c r="P551" s="101">
        <f>SUM(P547:P550)</f>
        <v>443</v>
      </c>
      <c r="Q551" s="64">
        <f>SUM(N551:P551)</f>
        <v>476</v>
      </c>
      <c r="R551" s="64">
        <f>+E551+I551+M551+Q551</f>
        <v>37274</v>
      </c>
    </row>
    <row r="552" spans="1:20" ht="15.75" customHeight="1" x14ac:dyDescent="0.3">
      <c r="A552" s="17" t="s">
        <v>58</v>
      </c>
      <c r="B552" s="1"/>
      <c r="C552" s="1"/>
      <c r="D552" s="1"/>
      <c r="E552" s="59" t="s">
        <v>7</v>
      </c>
      <c r="F552" s="1"/>
      <c r="G552" s="1"/>
      <c r="H552" s="1"/>
      <c r="I552" s="59" t="s">
        <v>7</v>
      </c>
      <c r="J552" s="1"/>
      <c r="K552" s="1"/>
      <c r="L552" s="1"/>
      <c r="M552" s="59" t="s">
        <v>7</v>
      </c>
      <c r="N552" s="1"/>
      <c r="O552" s="1"/>
      <c r="P552" s="1"/>
      <c r="Q552" s="59" t="s">
        <v>7</v>
      </c>
      <c r="R552" s="59" t="s">
        <v>7</v>
      </c>
    </row>
    <row r="553" spans="1:20" ht="15.75" customHeight="1" x14ac:dyDescent="0.3">
      <c r="A553" s="17" t="s">
        <v>59</v>
      </c>
      <c r="B553" s="1"/>
      <c r="C553" s="1"/>
      <c r="D553" s="1"/>
      <c r="E553" s="59" t="s">
        <v>7</v>
      </c>
      <c r="F553" s="1"/>
      <c r="G553" s="1"/>
      <c r="H553" s="1"/>
      <c r="I553" s="59" t="s">
        <v>7</v>
      </c>
      <c r="J553" s="1"/>
      <c r="K553" s="1"/>
      <c r="L553" s="1"/>
      <c r="M553" s="59" t="s">
        <v>7</v>
      </c>
      <c r="N553" s="1"/>
      <c r="O553" s="1"/>
      <c r="P553" s="1"/>
      <c r="Q553" s="59" t="s">
        <v>7</v>
      </c>
      <c r="R553" s="59" t="s">
        <v>7</v>
      </c>
    </row>
    <row r="554" spans="1:20" ht="15.75" customHeight="1" x14ac:dyDescent="0.3">
      <c r="A554" s="17" t="s">
        <v>60</v>
      </c>
      <c r="B554" s="1"/>
      <c r="C554" s="1"/>
      <c r="D554" s="1"/>
      <c r="E554" s="59" t="s">
        <v>7</v>
      </c>
      <c r="F554" s="1"/>
      <c r="G554" s="1"/>
      <c r="H554" s="1"/>
      <c r="I554" s="59" t="s">
        <v>7</v>
      </c>
      <c r="J554" s="1"/>
      <c r="K554" s="1"/>
      <c r="L554" s="1"/>
      <c r="M554" s="59" t="s">
        <v>7</v>
      </c>
      <c r="N554" s="1"/>
      <c r="O554" s="1"/>
      <c r="P554" s="1"/>
      <c r="Q554" s="59" t="s">
        <v>7</v>
      </c>
      <c r="R554" s="59" t="s">
        <v>7</v>
      </c>
    </row>
    <row r="555" spans="1:20" ht="15.75" customHeight="1" x14ac:dyDescent="0.3">
      <c r="A555" s="74" t="s">
        <v>489</v>
      </c>
      <c r="B555" s="1"/>
      <c r="C555" s="1"/>
      <c r="D555" s="1"/>
      <c r="E555" s="59">
        <f>SUM(B555:D555)</f>
        <v>0</v>
      </c>
      <c r="F555" s="1"/>
      <c r="G555" s="1"/>
      <c r="H555" s="1"/>
      <c r="I555" s="59">
        <f>SUM(F555:H555)</f>
        <v>0</v>
      </c>
      <c r="J555" s="1"/>
      <c r="K555" s="1"/>
      <c r="L555" s="1"/>
      <c r="M555" s="59">
        <f>SUM(J555:L555)</f>
        <v>0</v>
      </c>
      <c r="N555" s="1"/>
      <c r="O555" s="1"/>
      <c r="P555" s="1"/>
      <c r="Q555" s="59">
        <f>SUM(N555:P555)</f>
        <v>0</v>
      </c>
      <c r="R555" s="59">
        <f>+E555+I555+M555+Q555</f>
        <v>0</v>
      </c>
      <c r="T555" s="4" t="s">
        <v>366</v>
      </c>
    </row>
    <row r="556" spans="1:20" ht="15.75" customHeight="1" x14ac:dyDescent="0.3">
      <c r="A556" s="29" t="s">
        <v>490</v>
      </c>
      <c r="B556" s="1"/>
      <c r="C556" s="1"/>
      <c r="D556" s="1"/>
      <c r="E556" s="59">
        <f>SUM(B556:D556)</f>
        <v>0</v>
      </c>
      <c r="F556" s="1"/>
      <c r="G556" s="1"/>
      <c r="H556" s="1"/>
      <c r="I556" s="59">
        <f>SUM(F556:H556)</f>
        <v>0</v>
      </c>
      <c r="J556" s="1">
        <v>3500</v>
      </c>
      <c r="K556" s="1">
        <v>2000</v>
      </c>
      <c r="L556" s="1"/>
      <c r="M556" s="59">
        <f>SUM(J556:L556)</f>
        <v>5500</v>
      </c>
      <c r="N556" s="1"/>
      <c r="O556" s="1"/>
      <c r="P556" s="1"/>
      <c r="Q556" s="59">
        <f>SUM(N556:P556)</f>
        <v>0</v>
      </c>
      <c r="R556" s="59">
        <f>+E556+I556+M556+Q556</f>
        <v>5500</v>
      </c>
    </row>
    <row r="557" spans="1:20" ht="15.75" customHeight="1" thickBot="1" x14ac:dyDescent="0.35">
      <c r="A557" s="103" t="s">
        <v>396</v>
      </c>
      <c r="B557" s="1"/>
      <c r="C557" s="1"/>
      <c r="E557" s="59">
        <f>SUM(B557:D557)</f>
        <v>0</v>
      </c>
      <c r="F557" s="1"/>
      <c r="G557" s="1"/>
      <c r="H557" s="1">
        <v>7500</v>
      </c>
      <c r="I557" s="59">
        <f>SUM(F557:H557)</f>
        <v>7500</v>
      </c>
      <c r="J557" s="1">
        <v>7500</v>
      </c>
      <c r="K557" s="1"/>
      <c r="L557" s="1"/>
      <c r="M557" s="59">
        <f>SUM(J557:L557)</f>
        <v>7500</v>
      </c>
      <c r="N557" s="1"/>
      <c r="O557" s="1"/>
      <c r="P557" s="1"/>
      <c r="Q557" s="59">
        <f>SUM(N557:P557)</f>
        <v>0</v>
      </c>
      <c r="R557" s="59">
        <f>+E557+I557+M557+Q557</f>
        <v>15000</v>
      </c>
      <c r="T557" s="4" t="s">
        <v>366</v>
      </c>
    </row>
    <row r="558" spans="1:20" ht="16.5" customHeight="1" thickBot="1" x14ac:dyDescent="0.35">
      <c r="A558" s="137" t="s">
        <v>61</v>
      </c>
      <c r="B558" s="100">
        <f>SUM(B552:B557)</f>
        <v>0</v>
      </c>
      <c r="C558" s="101">
        <f>SUM(C552:C557)</f>
        <v>0</v>
      </c>
      <c r="D558" s="101">
        <f>SUM(D552:D557)</f>
        <v>0</v>
      </c>
      <c r="E558" s="64">
        <f>SUM(B558:D558)</f>
        <v>0</v>
      </c>
      <c r="F558" s="101">
        <f>SUM(F552:F557)</f>
        <v>0</v>
      </c>
      <c r="G558" s="101">
        <f>SUM(G552:G557)</f>
        <v>0</v>
      </c>
      <c r="H558" s="101">
        <f>SUM(H552:H557)</f>
        <v>7500</v>
      </c>
      <c r="I558" s="64">
        <f>SUM(F558:H558)</f>
        <v>7500</v>
      </c>
      <c r="J558" s="101">
        <f>SUM(J552:J557)</f>
        <v>11000</v>
      </c>
      <c r="K558" s="101">
        <f>SUM(K552:K557)</f>
        <v>2000</v>
      </c>
      <c r="L558" s="101">
        <f>SUM(L552:L557)</f>
        <v>0</v>
      </c>
      <c r="M558" s="64">
        <f>SUM(J558:L558)</f>
        <v>13000</v>
      </c>
      <c r="N558" s="101">
        <f>SUM(N552:N557)</f>
        <v>0</v>
      </c>
      <c r="O558" s="101">
        <f>SUM(O552:O557)</f>
        <v>0</v>
      </c>
      <c r="P558" s="101">
        <f>SUM(P552:P557)</f>
        <v>0</v>
      </c>
      <c r="Q558" s="64">
        <f>SUM(N558:P558)</f>
        <v>0</v>
      </c>
      <c r="R558" s="64">
        <f>+E558+I558+M558+Q558</f>
        <v>20500</v>
      </c>
    </row>
    <row r="559" spans="1:20" ht="15.75" customHeight="1" x14ac:dyDescent="0.3">
      <c r="A559" s="17" t="s">
        <v>62</v>
      </c>
      <c r="B559" s="1"/>
      <c r="C559" s="1"/>
      <c r="D559" s="1"/>
      <c r="E559" s="59" t="s">
        <v>7</v>
      </c>
      <c r="F559" s="1"/>
      <c r="G559" s="1"/>
      <c r="H559" s="1"/>
      <c r="I559" s="59" t="s">
        <v>7</v>
      </c>
      <c r="J559" s="1"/>
      <c r="K559" s="1"/>
      <c r="L559" s="1"/>
      <c r="M559" s="59" t="s">
        <v>7</v>
      </c>
      <c r="N559" s="1"/>
      <c r="O559" s="1"/>
      <c r="P559" s="1"/>
      <c r="Q559" s="59" t="s">
        <v>7</v>
      </c>
      <c r="R559" s="59" t="s">
        <v>7</v>
      </c>
    </row>
    <row r="560" spans="1:20" ht="15.75" customHeight="1" x14ac:dyDescent="0.3">
      <c r="A560" s="17" t="s">
        <v>63</v>
      </c>
      <c r="B560" s="1"/>
      <c r="C560" s="1"/>
      <c r="D560" s="1"/>
      <c r="E560" s="59" t="s">
        <v>7</v>
      </c>
      <c r="F560" s="1"/>
      <c r="G560" s="1"/>
      <c r="H560" s="1"/>
      <c r="I560" s="59" t="s">
        <v>7</v>
      </c>
      <c r="J560" s="1"/>
      <c r="K560" s="1"/>
      <c r="L560" s="1"/>
      <c r="M560" s="59" t="s">
        <v>7</v>
      </c>
      <c r="N560" s="1"/>
      <c r="O560" s="1"/>
      <c r="P560" s="1"/>
      <c r="Q560" s="59" t="s">
        <v>7</v>
      </c>
      <c r="R560" s="59" t="s">
        <v>7</v>
      </c>
    </row>
    <row r="561" spans="1:20" ht="15.75" customHeight="1" x14ac:dyDescent="0.3">
      <c r="A561" s="17" t="s">
        <v>64</v>
      </c>
      <c r="B561" s="1"/>
      <c r="C561" s="1"/>
      <c r="D561" s="1"/>
      <c r="E561" s="59" t="s">
        <v>7</v>
      </c>
      <c r="F561" s="1"/>
      <c r="G561" s="1"/>
      <c r="H561" s="1"/>
      <c r="I561" s="59" t="s">
        <v>7</v>
      </c>
      <c r="J561" s="1"/>
      <c r="K561" s="1"/>
      <c r="L561" s="1"/>
      <c r="M561" s="59" t="s">
        <v>7</v>
      </c>
      <c r="N561" s="1"/>
      <c r="O561" s="1"/>
      <c r="P561" s="1"/>
      <c r="Q561" s="59" t="s">
        <v>7</v>
      </c>
      <c r="R561" s="59" t="s">
        <v>7</v>
      </c>
    </row>
    <row r="562" spans="1:20" ht="15.75" customHeight="1" x14ac:dyDescent="0.3">
      <c r="A562" s="17" t="s">
        <v>66</v>
      </c>
      <c r="B562" s="1"/>
      <c r="C562" s="1"/>
      <c r="D562" s="1"/>
      <c r="E562" s="59" t="s">
        <v>7</v>
      </c>
      <c r="F562" s="1"/>
      <c r="G562" s="1"/>
      <c r="H562" s="1"/>
      <c r="I562" s="59" t="s">
        <v>7</v>
      </c>
      <c r="J562" s="1"/>
      <c r="K562" s="1"/>
      <c r="L562" s="1"/>
      <c r="M562" s="59" t="s">
        <v>7</v>
      </c>
      <c r="N562" s="1"/>
      <c r="O562" s="1"/>
      <c r="P562" s="1"/>
      <c r="Q562" s="59" t="s">
        <v>7</v>
      </c>
      <c r="R562" s="59" t="s">
        <v>7</v>
      </c>
    </row>
    <row r="563" spans="1:20" ht="15.75" customHeight="1" x14ac:dyDescent="0.3">
      <c r="A563" s="17" t="s">
        <v>67</v>
      </c>
      <c r="B563" s="1"/>
      <c r="C563" s="1"/>
      <c r="D563" s="1"/>
      <c r="E563" s="59" t="s">
        <v>7</v>
      </c>
      <c r="F563" s="1"/>
      <c r="G563" s="1"/>
      <c r="H563" s="1"/>
      <c r="I563" s="59" t="s">
        <v>7</v>
      </c>
      <c r="J563" s="1"/>
      <c r="K563" s="1"/>
      <c r="L563" s="1"/>
      <c r="M563" s="59" t="s">
        <v>7</v>
      </c>
      <c r="N563" s="1"/>
      <c r="O563" s="1"/>
      <c r="P563" s="1"/>
      <c r="Q563" s="59" t="s">
        <v>7</v>
      </c>
      <c r="R563" s="59" t="s">
        <v>7</v>
      </c>
    </row>
    <row r="564" spans="1:20" ht="15.75" customHeight="1" x14ac:dyDescent="0.3">
      <c r="A564" s="74" t="s">
        <v>460</v>
      </c>
      <c r="B564" s="1"/>
      <c r="C564" s="1"/>
      <c r="D564" s="1"/>
      <c r="E564" s="59">
        <f t="shared" ref="E564:E565" si="216">SUM(B564:D564)</f>
        <v>0</v>
      </c>
      <c r="F564" s="1"/>
      <c r="G564" s="1"/>
      <c r="H564" s="1"/>
      <c r="I564" s="59">
        <f t="shared" ref="I564:I565" si="217">SUM(F564:H564)</f>
        <v>0</v>
      </c>
      <c r="J564" s="1"/>
      <c r="K564" s="1"/>
      <c r="L564" s="1"/>
      <c r="M564" s="59">
        <f t="shared" ref="M564:M565" si="218">SUM(J564:L564)</f>
        <v>0</v>
      </c>
      <c r="N564" s="1"/>
      <c r="O564" s="1"/>
      <c r="P564" s="1"/>
      <c r="Q564" s="59">
        <f t="shared" ref="Q564:Q565" si="219">SUM(N564:P564)</f>
        <v>0</v>
      </c>
      <c r="R564" s="59">
        <f t="shared" ref="R564:R569" si="220">+E564+I564+M564+Q564</f>
        <v>0</v>
      </c>
      <c r="T564" s="4" t="s">
        <v>366</v>
      </c>
    </row>
    <row r="565" spans="1:20" ht="15.75" customHeight="1" thickBot="1" x14ac:dyDescent="0.35">
      <c r="A565" s="74" t="s">
        <v>491</v>
      </c>
      <c r="B565" s="1"/>
      <c r="C565" s="1"/>
      <c r="D565" s="1"/>
      <c r="E565" s="59">
        <f t="shared" si="216"/>
        <v>0</v>
      </c>
      <c r="F565" s="1"/>
      <c r="G565" s="1"/>
      <c r="H565" s="1"/>
      <c r="I565" s="59">
        <f t="shared" si="217"/>
        <v>0</v>
      </c>
      <c r="J565" s="1"/>
      <c r="K565" s="1"/>
      <c r="L565" s="1"/>
      <c r="M565" s="59">
        <f t="shared" si="218"/>
        <v>0</v>
      </c>
      <c r="N565" s="1"/>
      <c r="O565" s="1"/>
      <c r="P565" s="1"/>
      <c r="Q565" s="59">
        <f t="shared" si="219"/>
        <v>0</v>
      </c>
      <c r="R565" s="59">
        <f t="shared" si="220"/>
        <v>0</v>
      </c>
      <c r="T565" s="4" t="s">
        <v>366</v>
      </c>
    </row>
    <row r="566" spans="1:20" ht="16.5" customHeight="1" thickBot="1" x14ac:dyDescent="0.35">
      <c r="A566" s="62" t="s">
        <v>68</v>
      </c>
      <c r="B566" s="63">
        <f>SUM(B562:B565)</f>
        <v>0</v>
      </c>
      <c r="C566" s="63">
        <f>SUM(C562:C565)</f>
        <v>0</v>
      </c>
      <c r="D566" s="63">
        <f>SUM(D562:D565)</f>
        <v>0</v>
      </c>
      <c r="E566" s="334">
        <f t="shared" ref="E566:E569" si="221">SUM(B566:D566)</f>
        <v>0</v>
      </c>
      <c r="F566" s="63">
        <f>SUM(F562:F565)</f>
        <v>0</v>
      </c>
      <c r="G566" s="63">
        <f>SUM(G562:G565)</f>
        <v>0</v>
      </c>
      <c r="H566" s="63">
        <f>SUM(H562:H565)</f>
        <v>0</v>
      </c>
      <c r="I566" s="334">
        <f t="shared" ref="I566:I569" si="222">SUM(F566:H566)</f>
        <v>0</v>
      </c>
      <c r="J566" s="63">
        <f>SUM(J562:J565)</f>
        <v>0</v>
      </c>
      <c r="K566" s="63">
        <f>SUM(K562:K565)</f>
        <v>0</v>
      </c>
      <c r="L566" s="63">
        <f>SUM(L562:L565)</f>
        <v>0</v>
      </c>
      <c r="M566" s="334">
        <f t="shared" ref="M566:M569" si="223">SUM(J566:L566)</f>
        <v>0</v>
      </c>
      <c r="N566" s="63">
        <f>SUM(N562:N565)</f>
        <v>0</v>
      </c>
      <c r="O566" s="63">
        <f>SUM(O562:O565)</f>
        <v>0</v>
      </c>
      <c r="P566" s="63">
        <f>SUM(P562:P565)</f>
        <v>0</v>
      </c>
      <c r="Q566" s="334">
        <f t="shared" ref="Q566:Q569" si="224">SUM(N566:P566)</f>
        <v>0</v>
      </c>
      <c r="R566" s="64">
        <f t="shared" si="220"/>
        <v>0</v>
      </c>
    </row>
    <row r="567" spans="1:20" ht="16.5" customHeight="1" thickBot="1" x14ac:dyDescent="0.35">
      <c r="A567" s="137" t="s">
        <v>69</v>
      </c>
      <c r="B567" s="100">
        <f>SUM(B559:B565)</f>
        <v>0</v>
      </c>
      <c r="C567" s="101">
        <f>SUM(C559:C565)</f>
        <v>0</v>
      </c>
      <c r="D567" s="138">
        <f>SUM(D559:D565)</f>
        <v>0</v>
      </c>
      <c r="E567" s="334">
        <f t="shared" si="221"/>
        <v>0</v>
      </c>
      <c r="F567" s="101">
        <f>SUM(F559:F565)</f>
        <v>0</v>
      </c>
      <c r="G567" s="101">
        <f>SUM(G559:G565)</f>
        <v>0</v>
      </c>
      <c r="H567" s="101">
        <f>SUM(H559:H565)</f>
        <v>0</v>
      </c>
      <c r="I567" s="334">
        <f t="shared" si="222"/>
        <v>0</v>
      </c>
      <c r="J567" s="101">
        <f>SUM(J559:J565)</f>
        <v>0</v>
      </c>
      <c r="K567" s="101">
        <f>SUM(K559:K565)</f>
        <v>0</v>
      </c>
      <c r="L567" s="101">
        <f>SUM(L559:L565)</f>
        <v>0</v>
      </c>
      <c r="M567" s="334">
        <f t="shared" si="223"/>
        <v>0</v>
      </c>
      <c r="N567" s="101">
        <f>SUM(N559:N565)</f>
        <v>0</v>
      </c>
      <c r="O567" s="101">
        <f>SUM(O559:O565)</f>
        <v>0</v>
      </c>
      <c r="P567" s="101">
        <f>SUM(P559:P565)</f>
        <v>0</v>
      </c>
      <c r="Q567" s="334">
        <f t="shared" si="224"/>
        <v>0</v>
      </c>
      <c r="R567" s="64">
        <f t="shared" si="220"/>
        <v>0</v>
      </c>
    </row>
    <row r="568" spans="1:20" ht="16.5" customHeight="1" thickBot="1" x14ac:dyDescent="0.35">
      <c r="A568" s="62" t="s">
        <v>70</v>
      </c>
      <c r="B568" s="107">
        <f>+B546+B551+B558+B567</f>
        <v>0</v>
      </c>
      <c r="C568" s="63">
        <f>+C546+C551+C558+C567</f>
        <v>645</v>
      </c>
      <c r="D568" s="63">
        <f>+D546+D551+D558+D567</f>
        <v>4070</v>
      </c>
      <c r="E568" s="64">
        <f t="shared" si="221"/>
        <v>4715</v>
      </c>
      <c r="F568" s="63">
        <f>+F546+F551+F558+F567</f>
        <v>12486</v>
      </c>
      <c r="G568" s="63">
        <f>+G546+G551+G558+G567</f>
        <v>8081</v>
      </c>
      <c r="H568" s="63">
        <f>+H546+H551+H558+H567</f>
        <v>15769</v>
      </c>
      <c r="I568" s="64">
        <f t="shared" si="222"/>
        <v>36336</v>
      </c>
      <c r="J568" s="63">
        <f>+J546+J551+J558+J567</f>
        <v>11004</v>
      </c>
      <c r="K568" s="63">
        <f>+K546+K551+K558+K567</f>
        <v>4897</v>
      </c>
      <c r="L568" s="63">
        <f>+L546+L551+L558+L567</f>
        <v>2870</v>
      </c>
      <c r="M568" s="64">
        <f t="shared" si="223"/>
        <v>18771</v>
      </c>
      <c r="N568" s="63">
        <f>+N546+N551+N558+N567</f>
        <v>3</v>
      </c>
      <c r="O568" s="63">
        <f>+O546+O551+O558+O567</f>
        <v>33</v>
      </c>
      <c r="P568" s="63">
        <f>+P546+P551+P558+P567</f>
        <v>443</v>
      </c>
      <c r="Q568" s="64">
        <f t="shared" si="224"/>
        <v>479</v>
      </c>
      <c r="R568" s="88">
        <f>+E568+I568+M568+Q568</f>
        <v>60301</v>
      </c>
    </row>
    <row r="569" spans="1:20" ht="16.5" customHeight="1" thickBot="1" x14ac:dyDescent="0.35">
      <c r="A569" s="40" t="s">
        <v>37</v>
      </c>
      <c r="B569" s="25">
        <v>9</v>
      </c>
      <c r="C569" s="25">
        <v>16</v>
      </c>
      <c r="D569" s="25">
        <v>25</v>
      </c>
      <c r="E569" s="59">
        <f t="shared" si="221"/>
        <v>50</v>
      </c>
      <c r="F569" s="25">
        <v>34</v>
      </c>
      <c r="G569" s="25">
        <v>41</v>
      </c>
      <c r="H569" s="25">
        <v>41</v>
      </c>
      <c r="I569" s="59">
        <f t="shared" si="222"/>
        <v>116</v>
      </c>
      <c r="J569" s="25">
        <v>39</v>
      </c>
      <c r="K569" s="25">
        <v>30</v>
      </c>
      <c r="L569" s="25">
        <v>30</v>
      </c>
      <c r="M569" s="59">
        <f t="shared" si="223"/>
        <v>99</v>
      </c>
      <c r="N569" s="25">
        <v>28</v>
      </c>
      <c r="O569" s="25">
        <v>22</v>
      </c>
      <c r="P569" s="25">
        <v>16</v>
      </c>
      <c r="Q569" s="59">
        <f t="shared" si="224"/>
        <v>66</v>
      </c>
      <c r="R569" s="59">
        <f t="shared" si="220"/>
        <v>331</v>
      </c>
    </row>
    <row r="570" spans="1:20" ht="16.5" customHeight="1" thickBot="1" x14ac:dyDescent="0.35">
      <c r="A570" s="80"/>
      <c r="B570" s="81"/>
      <c r="C570" s="81"/>
      <c r="D570" s="81"/>
      <c r="E570" s="64"/>
      <c r="F570" s="81"/>
      <c r="G570" s="81"/>
      <c r="H570" s="81"/>
      <c r="I570" s="64"/>
      <c r="J570" s="81"/>
      <c r="K570" s="81"/>
      <c r="L570" s="81"/>
      <c r="M570" s="64"/>
      <c r="N570" s="81"/>
      <c r="O570" s="81"/>
      <c r="P570" s="81"/>
      <c r="Q570" s="64"/>
      <c r="R570" s="64" t="s">
        <v>7</v>
      </c>
    </row>
    <row r="571" spans="1:20" ht="15.75" customHeight="1" x14ac:dyDescent="0.3">
      <c r="A571" s="335" t="s">
        <v>38</v>
      </c>
      <c r="B571" s="336">
        <f>SUM(B568:B569)</f>
        <v>9</v>
      </c>
      <c r="C571" s="336">
        <f>SUM(C568:C569)</f>
        <v>661</v>
      </c>
      <c r="D571" s="336">
        <f>SUM(D568:D569)</f>
        <v>4095</v>
      </c>
      <c r="E571" s="334">
        <f>SUM(B571:D571)</f>
        <v>4765</v>
      </c>
      <c r="F571" s="336">
        <f>SUM(F568:F569)</f>
        <v>12520</v>
      </c>
      <c r="G571" s="336">
        <f>SUM(G568:G569)</f>
        <v>8122</v>
      </c>
      <c r="H571" s="336">
        <f>SUM(H568:H569)</f>
        <v>15810</v>
      </c>
      <c r="I571" s="334">
        <f>SUM(F571:H571)</f>
        <v>36452</v>
      </c>
      <c r="J571" s="336">
        <f>SUM(J568:J569)</f>
        <v>11043</v>
      </c>
      <c r="K571" s="336">
        <f>SUM(K568:K569)</f>
        <v>4927</v>
      </c>
      <c r="L571" s="336">
        <f>SUM(L568:L569)</f>
        <v>2900</v>
      </c>
      <c r="M571" s="334">
        <f>SUM(J571:L571)</f>
        <v>18870</v>
      </c>
      <c r="N571" s="336">
        <f>SUM(N568:N569)</f>
        <v>31</v>
      </c>
      <c r="O571" s="336">
        <f>SUM(O568:O569)</f>
        <v>55</v>
      </c>
      <c r="P571" s="336">
        <f>SUM(P568:P569)</f>
        <v>459</v>
      </c>
      <c r="Q571" s="334">
        <f>SUM(N571:P571)</f>
        <v>545</v>
      </c>
      <c r="R571" s="334">
        <f>+E571+I571+M571+Q571</f>
        <v>60632</v>
      </c>
    </row>
    <row r="572" spans="1:20" ht="15.75" customHeight="1" x14ac:dyDescent="0.3">
      <c r="A572" s="85" t="s">
        <v>39</v>
      </c>
      <c r="B572" s="1">
        <f>(B571/B10)/1.983</f>
        <v>0.14640573910497293</v>
      </c>
      <c r="C572" s="1">
        <f>(C571/C10)/1.983</f>
        <v>11.904761904761905</v>
      </c>
      <c r="D572" s="1">
        <f>(D571/D10)/1.983</f>
        <v>66.614611292762675</v>
      </c>
      <c r="E572" s="59" t="s">
        <v>7</v>
      </c>
      <c r="F572" s="1">
        <f>(F571/F10)/1.983</f>
        <v>210.4555387460077</v>
      </c>
      <c r="G572" s="1">
        <f>(G571/G10)/1.983</f>
        <v>132.12304589006555</v>
      </c>
      <c r="H572" s="1">
        <f>(H571/H10)/1.983</f>
        <v>265.75895108421582</v>
      </c>
      <c r="I572" s="59" t="s">
        <v>7</v>
      </c>
      <c r="J572" s="1">
        <f>(J571/J10)/1.983</f>
        <v>179.63984188180177</v>
      </c>
      <c r="K572" s="1">
        <f>(K571/K10)/1.983</f>
        <v>80.149008507800175</v>
      </c>
      <c r="L572" s="1">
        <f>(L571/L10)/1.983</f>
        <v>48.747688687174318</v>
      </c>
      <c r="M572" s="59" t="s">
        <v>7</v>
      </c>
      <c r="N572" s="1">
        <f>(N571/N10)/1.983</f>
        <v>0.50428643469490664</v>
      </c>
      <c r="O572" s="1">
        <f>(O571/O10)/1.983</f>
        <v>0.92452513027399552</v>
      </c>
      <c r="P572" s="1">
        <f>(P571/P10)/1.983</f>
        <v>7.4666926943536183</v>
      </c>
      <c r="Q572" s="59" t="s">
        <v>7</v>
      </c>
      <c r="R572" s="59" t="s">
        <v>7</v>
      </c>
    </row>
    <row r="573" spans="1:20" ht="15.75" customHeight="1" x14ac:dyDescent="0.3">
      <c r="A573" s="85" t="s">
        <v>492</v>
      </c>
      <c r="B573" s="1">
        <f>B571+B618</f>
        <v>11592</v>
      </c>
      <c r="C573" s="1">
        <f>C571+C618</f>
        <v>19397</v>
      </c>
      <c r="D573" s="1">
        <f>D571+D618</f>
        <v>31194</v>
      </c>
      <c r="E573" s="59">
        <f>SUM(B573:D573)</f>
        <v>62183</v>
      </c>
      <c r="F573" s="1">
        <f>F571+F618</f>
        <v>47280</v>
      </c>
      <c r="G573" s="1">
        <f>G571+G618</f>
        <v>42161</v>
      </c>
      <c r="H573" s="1">
        <f>H571+H618</f>
        <v>52680</v>
      </c>
      <c r="I573" s="59">
        <f>SUM(F573:H573)</f>
        <v>142121</v>
      </c>
      <c r="J573" s="1">
        <f>J571+J618</f>
        <v>42292</v>
      </c>
      <c r="K573" s="1">
        <f>K571+K618</f>
        <v>33239</v>
      </c>
      <c r="L573" s="1">
        <f>L571+L618</f>
        <v>27322</v>
      </c>
      <c r="M573" s="59">
        <f>SUM(J573:L573)</f>
        <v>102853</v>
      </c>
      <c r="N573" s="1">
        <f>N571+N618</f>
        <v>14188</v>
      </c>
      <c r="O573" s="1">
        <f>O571+O618</f>
        <v>857</v>
      </c>
      <c r="P573" s="1">
        <f>P571+P618</f>
        <v>19706</v>
      </c>
      <c r="Q573" s="59">
        <f>SUM(N573:P573)</f>
        <v>34751</v>
      </c>
      <c r="R573" s="59">
        <f>+E573+I573+M573+Q573</f>
        <v>341908</v>
      </c>
    </row>
    <row r="574" spans="1:20" ht="16.5" customHeight="1" thickBot="1" x14ac:dyDescent="0.35">
      <c r="A574" s="86" t="s">
        <v>493</v>
      </c>
      <c r="B574" s="87">
        <f>(B573/B10)/1.983</f>
        <v>188.5705919672051</v>
      </c>
      <c r="C574" s="87">
        <f>(C573/C10)/1.983</f>
        <v>349.34442763489659</v>
      </c>
      <c r="D574" s="87">
        <f>(D573/D10)/1.983</f>
        <v>507.44229173783611</v>
      </c>
      <c r="E574" s="88" t="s">
        <v>7</v>
      </c>
      <c r="F574" s="87">
        <f>(F573/F10)/1.983</f>
        <v>794.75542107917295</v>
      </c>
      <c r="G574" s="87">
        <f>(G573/G10)/1.983</f>
        <v>685.84581848941809</v>
      </c>
      <c r="H574" s="87">
        <f>(H573/H10)/1.983</f>
        <v>885.5269793242561</v>
      </c>
      <c r="I574" s="88" t="s">
        <v>7</v>
      </c>
      <c r="J574" s="87">
        <f>(J573/J10)/1.983</f>
        <v>687.97683535861268</v>
      </c>
      <c r="K574" s="87">
        <f>(K573/K10)/1.983</f>
        <v>540.70892912335501</v>
      </c>
      <c r="L574" s="87">
        <f>(L573/L10)/1.983</f>
        <v>459.2704656244747</v>
      </c>
      <c r="M574" s="88" t="s">
        <v>7</v>
      </c>
      <c r="N574" s="87">
        <f>(N573/N10)/1.983</f>
        <v>230.80051404681728</v>
      </c>
      <c r="O574" s="87">
        <f>(O573/O10)/1.983</f>
        <v>14.405782484451167</v>
      </c>
      <c r="P574" s="87">
        <f>(P573/P10)/1.983</f>
        <v>320.56349942251063</v>
      </c>
      <c r="Q574" s="88" t="s">
        <v>7</v>
      </c>
      <c r="R574" s="88" t="s">
        <v>7</v>
      </c>
    </row>
    <row r="575" spans="1:20" ht="15.75" customHeight="1" x14ac:dyDescent="0.3">
      <c r="A575" s="28"/>
      <c r="B575" s="1"/>
      <c r="C575" s="1"/>
      <c r="D575" s="1"/>
      <c r="E575" s="1"/>
      <c r="F575" s="1"/>
      <c r="G575" s="1"/>
      <c r="H575" s="1"/>
      <c r="I575" s="1"/>
      <c r="J575" s="1"/>
      <c r="K575" s="1"/>
      <c r="L575" s="1"/>
      <c r="M575" s="1"/>
      <c r="N575" s="1"/>
      <c r="O575" s="1"/>
      <c r="P575" s="1"/>
      <c r="Q575" s="1"/>
      <c r="R575" s="28"/>
    </row>
    <row r="576" spans="1:20" ht="15.75" customHeight="1" thickBot="1" x14ac:dyDescent="0.35">
      <c r="A576" s="28"/>
      <c r="B576" s="1"/>
      <c r="C576" s="1"/>
      <c r="D576" s="1"/>
      <c r="E576" s="1"/>
      <c r="F576" s="1"/>
      <c r="G576" s="1"/>
      <c r="H576" s="1"/>
      <c r="I576" s="1"/>
      <c r="J576" s="1"/>
      <c r="K576" s="1"/>
      <c r="L576" s="1"/>
      <c r="M576" s="1"/>
      <c r="N576" s="1"/>
      <c r="O576" s="1"/>
      <c r="P576" s="1"/>
      <c r="Q576" s="1"/>
      <c r="R576" s="28"/>
    </row>
    <row r="577" spans="1:20" ht="16.5" customHeight="1" thickBot="1" x14ac:dyDescent="0.35">
      <c r="A577" s="343" t="s">
        <v>494</v>
      </c>
      <c r="B577" s="323" t="s">
        <v>36</v>
      </c>
      <c r="C577" s="324" t="s">
        <v>9</v>
      </c>
      <c r="D577" s="324" t="s">
        <v>10</v>
      </c>
      <c r="E577" s="325" t="s">
        <v>11</v>
      </c>
      <c r="F577" s="324" t="s">
        <v>12</v>
      </c>
      <c r="G577" s="324" t="s">
        <v>13</v>
      </c>
      <c r="H577" s="324" t="s">
        <v>14</v>
      </c>
      <c r="I577" s="34" t="s">
        <v>15</v>
      </c>
      <c r="J577" s="324" t="s">
        <v>16</v>
      </c>
      <c r="K577" s="324" t="s">
        <v>17</v>
      </c>
      <c r="L577" s="324" t="s">
        <v>18</v>
      </c>
      <c r="M577" s="34" t="s">
        <v>19</v>
      </c>
      <c r="N577" s="324" t="s">
        <v>20</v>
      </c>
      <c r="O577" s="324" t="s">
        <v>21</v>
      </c>
      <c r="P577" s="324" t="s">
        <v>22</v>
      </c>
      <c r="Q577" s="34" t="s">
        <v>23</v>
      </c>
      <c r="R577" s="326" t="s">
        <v>24</v>
      </c>
    </row>
    <row r="578" spans="1:20" ht="16.5" customHeight="1" thickBot="1" x14ac:dyDescent="0.35">
      <c r="A578" s="64"/>
      <c r="B578" s="81"/>
      <c r="C578" s="81"/>
      <c r="D578" s="81"/>
      <c r="E578" s="72"/>
      <c r="F578" s="81"/>
      <c r="G578" s="81"/>
      <c r="H578" s="81"/>
      <c r="I578" s="89"/>
      <c r="J578" s="81"/>
      <c r="K578" s="81"/>
      <c r="L578" s="81"/>
      <c r="M578" s="89"/>
      <c r="N578" s="81"/>
      <c r="O578" s="81"/>
      <c r="P578" s="81"/>
      <c r="Q578" s="89"/>
      <c r="R578" s="117"/>
    </row>
    <row r="579" spans="1:20" ht="15.75" customHeight="1" x14ac:dyDescent="0.3">
      <c r="A579" s="17" t="s">
        <v>45</v>
      </c>
      <c r="B579" s="1" t="s">
        <v>7</v>
      </c>
      <c r="C579" s="1" t="s">
        <v>7</v>
      </c>
      <c r="D579" s="1" t="s">
        <v>7</v>
      </c>
      <c r="E579" s="59" t="s">
        <v>7</v>
      </c>
      <c r="F579" s="1"/>
      <c r="G579" s="1"/>
      <c r="H579" s="1"/>
      <c r="I579" s="59" t="s">
        <v>7</v>
      </c>
      <c r="J579" s="1" t="s">
        <v>7</v>
      </c>
      <c r="K579" s="1" t="s">
        <v>7</v>
      </c>
      <c r="L579" s="1" t="s">
        <v>7</v>
      </c>
      <c r="M579" s="59" t="s">
        <v>7</v>
      </c>
      <c r="N579" s="1" t="s">
        <v>7</v>
      </c>
      <c r="O579" s="1" t="s">
        <v>7</v>
      </c>
      <c r="P579" s="1" t="s">
        <v>7</v>
      </c>
      <c r="Q579" s="59" t="s">
        <v>7</v>
      </c>
      <c r="R579" s="59" t="s">
        <v>7</v>
      </c>
    </row>
    <row r="580" spans="1:20" ht="15.75" customHeight="1" x14ac:dyDescent="0.3">
      <c r="A580" s="17" t="s">
        <v>46</v>
      </c>
      <c r="B580" s="1"/>
      <c r="C580" s="1"/>
      <c r="D580" s="1"/>
      <c r="E580" s="59" t="s">
        <v>7</v>
      </c>
      <c r="F580" s="1"/>
      <c r="G580" s="1"/>
      <c r="H580" s="1"/>
      <c r="I580" s="59" t="s">
        <v>7</v>
      </c>
      <c r="J580" s="1"/>
      <c r="K580" s="1"/>
      <c r="L580" s="1"/>
      <c r="M580" s="59" t="s">
        <v>7</v>
      </c>
      <c r="N580" s="1"/>
      <c r="O580" s="1"/>
      <c r="P580" s="1"/>
      <c r="Q580" s="59" t="s">
        <v>7</v>
      </c>
      <c r="R580" s="59" t="s">
        <v>7</v>
      </c>
    </row>
    <row r="581" spans="1:20" ht="15.75" customHeight="1" x14ac:dyDescent="0.3">
      <c r="A581" s="17" t="s">
        <v>495</v>
      </c>
      <c r="C581" s="1"/>
      <c r="D581" s="1"/>
      <c r="E581" s="59">
        <f>SUM(B581:D581)</f>
        <v>0</v>
      </c>
      <c r="F581" s="1"/>
      <c r="G581" s="1"/>
      <c r="H581" s="1"/>
      <c r="I581" s="59">
        <f>SUM(F581:H581)</f>
        <v>0</v>
      </c>
      <c r="J581" s="1"/>
      <c r="K581" s="1"/>
      <c r="L581" s="1"/>
      <c r="M581" s="59">
        <f>SUM(J581:L581)</f>
        <v>0</v>
      </c>
      <c r="N581" s="1"/>
      <c r="O581" s="1"/>
      <c r="P581" s="1"/>
      <c r="Q581" s="59">
        <f>SUM(N581:P581)</f>
        <v>0</v>
      </c>
      <c r="R581" s="59">
        <f>+E581+I581+M581+Q581</f>
        <v>0</v>
      </c>
      <c r="T581" s="4" t="s">
        <v>368</v>
      </c>
    </row>
    <row r="582" spans="1:20" ht="15.75" customHeight="1" x14ac:dyDescent="0.3">
      <c r="A582" s="74" t="s">
        <v>496</v>
      </c>
      <c r="B582" s="1"/>
      <c r="C582" s="1">
        <v>205</v>
      </c>
      <c r="D582" s="1">
        <v>170</v>
      </c>
      <c r="E582" s="59">
        <f>SUM(B582:D582)</f>
        <v>375</v>
      </c>
      <c r="F582" s="1">
        <v>564</v>
      </c>
      <c r="G582" s="1">
        <v>61</v>
      </c>
      <c r="H582" s="1"/>
      <c r="I582" s="59">
        <f>SUM(F582:H582)</f>
        <v>625</v>
      </c>
      <c r="J582" s="1"/>
      <c r="K582" s="1"/>
      <c r="L582" s="1"/>
      <c r="M582" s="59">
        <f>SUM(J582:L582)</f>
        <v>0</v>
      </c>
      <c r="N582" s="1"/>
      <c r="O582" s="1"/>
      <c r="P582" s="1"/>
      <c r="Q582" s="59">
        <f>SUM(N582:P582)</f>
        <v>0</v>
      </c>
      <c r="R582" s="59">
        <f>+E582+I582+M582+Q582</f>
        <v>1000</v>
      </c>
    </row>
    <row r="583" spans="1:20" ht="15.75" customHeight="1" x14ac:dyDescent="0.3">
      <c r="A583" s="74" t="s">
        <v>497</v>
      </c>
      <c r="B583" s="1"/>
      <c r="C583" s="1"/>
      <c r="D583" s="1"/>
      <c r="E583" s="59">
        <f>SUM(B583:D583)</f>
        <v>0</v>
      </c>
      <c r="F583" s="1"/>
      <c r="G583" s="1">
        <v>1072</v>
      </c>
      <c r="H583" s="1">
        <v>1106</v>
      </c>
      <c r="I583" s="59">
        <f>SUM(F583:H583)</f>
        <v>2178</v>
      </c>
      <c r="J583" s="1">
        <v>792</v>
      </c>
      <c r="K583" s="1">
        <v>896</v>
      </c>
      <c r="L583" s="1">
        <v>112</v>
      </c>
      <c r="M583" s="59">
        <f>SUM(J583:L583)</f>
        <v>1800</v>
      </c>
      <c r="N583" s="1">
        <v>22</v>
      </c>
      <c r="O583" s="1"/>
      <c r="P583" s="1"/>
      <c r="Q583" s="59">
        <f>SUM(N583:P583)</f>
        <v>22</v>
      </c>
      <c r="R583" s="59">
        <f>+E583+I583+M583+Q583</f>
        <v>4000</v>
      </c>
    </row>
    <row r="584" spans="1:20" ht="15.75" customHeight="1" x14ac:dyDescent="0.3">
      <c r="A584" s="74" t="s">
        <v>498</v>
      </c>
      <c r="B584" s="1"/>
      <c r="C584" s="1"/>
      <c r="D584" s="1"/>
      <c r="E584" s="59">
        <f>SUM(B584:D584)</f>
        <v>0</v>
      </c>
      <c r="F584" s="1"/>
      <c r="G584" s="1"/>
      <c r="H584" s="1"/>
      <c r="I584" s="59">
        <f>SUM(F584:H584)</f>
        <v>0</v>
      </c>
      <c r="J584" s="1"/>
      <c r="K584" s="1"/>
      <c r="L584" s="1">
        <v>1176</v>
      </c>
      <c r="M584" s="59">
        <f>SUM(J584:L584)</f>
        <v>1176</v>
      </c>
      <c r="N584" s="1">
        <v>112</v>
      </c>
      <c r="O584" s="1"/>
      <c r="P584" s="1"/>
      <c r="Q584" s="59">
        <f>SUM(N584:P584)</f>
        <v>112</v>
      </c>
      <c r="R584" s="59">
        <f>+E584+I584+M584+Q584</f>
        <v>1288</v>
      </c>
    </row>
    <row r="585" spans="1:20" ht="15.75" customHeight="1" x14ac:dyDescent="0.3">
      <c r="A585" s="74" t="s">
        <v>499</v>
      </c>
      <c r="B585" s="1"/>
      <c r="C585" s="1"/>
      <c r="D585" s="1"/>
      <c r="E585" s="59">
        <f>SUM(B585:D585)</f>
        <v>0</v>
      </c>
      <c r="F585" s="1"/>
      <c r="G585" s="1"/>
      <c r="H585" s="1"/>
      <c r="I585" s="59">
        <f>SUM(F585:H585)</f>
        <v>0</v>
      </c>
      <c r="J585" s="1"/>
      <c r="K585" s="1">
        <v>257</v>
      </c>
      <c r="L585" s="1"/>
      <c r="M585" s="59">
        <f>SUM(J585:L585)</f>
        <v>257</v>
      </c>
      <c r="N585" s="1"/>
      <c r="O585" s="1"/>
      <c r="P585" s="1"/>
      <c r="Q585" s="59">
        <f>SUM(N585:P585)</f>
        <v>0</v>
      </c>
      <c r="R585" s="59">
        <f>+E585+I585+M585+Q585</f>
        <v>257</v>
      </c>
    </row>
    <row r="586" spans="1:20" ht="15.75" customHeight="1" x14ac:dyDescent="0.3">
      <c r="A586" s="17" t="s">
        <v>47</v>
      </c>
      <c r="B586" s="1"/>
      <c r="C586" s="1"/>
      <c r="D586" s="1"/>
      <c r="E586" s="59" t="s">
        <v>7</v>
      </c>
      <c r="F586" s="1"/>
      <c r="G586" s="1"/>
      <c r="H586" s="1"/>
      <c r="I586" s="59" t="s">
        <v>7</v>
      </c>
      <c r="J586" s="1"/>
      <c r="K586" s="1"/>
      <c r="L586" s="1"/>
      <c r="M586" s="59" t="s">
        <v>7</v>
      </c>
      <c r="N586" s="1"/>
      <c r="O586" s="1"/>
      <c r="P586" s="1"/>
      <c r="Q586" s="59" t="s">
        <v>7</v>
      </c>
      <c r="R586" s="59" t="s">
        <v>7</v>
      </c>
    </row>
    <row r="587" spans="1:20" ht="15.75" customHeight="1" x14ac:dyDescent="0.3">
      <c r="A587" s="17" t="s">
        <v>49</v>
      </c>
      <c r="B587" s="1"/>
      <c r="C587" s="1"/>
      <c r="D587" s="1"/>
      <c r="E587" s="59" t="s">
        <v>7</v>
      </c>
      <c r="F587" s="1"/>
      <c r="G587" s="1"/>
      <c r="H587" s="1"/>
      <c r="I587" s="59" t="s">
        <v>7</v>
      </c>
      <c r="J587" s="1"/>
      <c r="K587" s="1"/>
      <c r="L587" s="1"/>
      <c r="M587" s="59" t="s">
        <v>7</v>
      </c>
      <c r="N587" s="1"/>
      <c r="O587" s="1"/>
      <c r="P587" s="1"/>
      <c r="Q587" s="59" t="s">
        <v>7</v>
      </c>
      <c r="R587" s="59" t="s">
        <v>7</v>
      </c>
    </row>
    <row r="588" spans="1:20" ht="15.75" customHeight="1" thickBot="1" x14ac:dyDescent="0.35">
      <c r="A588" s="17" t="s">
        <v>51</v>
      </c>
      <c r="B588" s="1"/>
      <c r="C588" s="1"/>
      <c r="D588" s="1"/>
      <c r="E588" s="59" t="s">
        <v>7</v>
      </c>
      <c r="F588" s="1"/>
      <c r="G588" s="1"/>
      <c r="H588" s="1"/>
      <c r="I588" s="59" t="s">
        <v>7</v>
      </c>
      <c r="J588" s="1"/>
      <c r="K588" s="1"/>
      <c r="L588" s="1"/>
      <c r="M588" s="59" t="s">
        <v>7</v>
      </c>
      <c r="N588" s="1"/>
      <c r="O588" s="1"/>
      <c r="P588" s="1"/>
      <c r="Q588" s="59" t="s">
        <v>7</v>
      </c>
      <c r="R588" s="59" t="s">
        <v>7</v>
      </c>
    </row>
    <row r="589" spans="1:20" ht="16.5" customHeight="1" thickBot="1" x14ac:dyDescent="0.35">
      <c r="A589" s="126" t="s">
        <v>52</v>
      </c>
      <c r="B589" s="100">
        <f>SUM(B579:B588)</f>
        <v>0</v>
      </c>
      <c r="C589" s="101">
        <f>SUM(C579:C588)</f>
        <v>205</v>
      </c>
      <c r="D589" s="101">
        <f>SUM(D579:D588)</f>
        <v>170</v>
      </c>
      <c r="E589" s="64">
        <f>SUM(B589:D589)</f>
        <v>375</v>
      </c>
      <c r="F589" s="101">
        <f>SUM(F579:F588)</f>
        <v>564</v>
      </c>
      <c r="G589" s="101">
        <f>SUM(G579:G588)</f>
        <v>1133</v>
      </c>
      <c r="H589" s="101">
        <f>SUM(H579:H588)</f>
        <v>1106</v>
      </c>
      <c r="I589" s="64">
        <f>SUM(F589:H589)</f>
        <v>2803</v>
      </c>
      <c r="J589" s="101">
        <f>SUM(J579:J588)</f>
        <v>792</v>
      </c>
      <c r="K589" s="101">
        <f>SUM(K579:K588)</f>
        <v>1153</v>
      </c>
      <c r="L589" s="101">
        <f>SUM(L579:L588)</f>
        <v>1288</v>
      </c>
      <c r="M589" s="64">
        <f>SUM(J589:L589)</f>
        <v>3233</v>
      </c>
      <c r="N589" s="101">
        <f>SUM(N579:N588)</f>
        <v>134</v>
      </c>
      <c r="O589" s="101">
        <f>SUM(O579:O588)</f>
        <v>0</v>
      </c>
      <c r="P589" s="101">
        <f>SUM(P579:P588)</f>
        <v>0</v>
      </c>
      <c r="Q589" s="64">
        <f>SUM(N589:P589)</f>
        <v>134</v>
      </c>
      <c r="R589" s="64">
        <f>+E589+I589+M589+Q589</f>
        <v>6545</v>
      </c>
    </row>
    <row r="590" spans="1:20" ht="15.75" customHeight="1" x14ac:dyDescent="0.3">
      <c r="A590" s="17" t="s">
        <v>53</v>
      </c>
      <c r="B590" s="1"/>
      <c r="C590" s="1"/>
      <c r="D590" s="1"/>
      <c r="E590" s="334" t="s">
        <v>7</v>
      </c>
      <c r="F590" s="1"/>
      <c r="G590" s="1"/>
      <c r="H590" s="1"/>
      <c r="I590" s="334" t="s">
        <v>7</v>
      </c>
      <c r="J590" s="1"/>
      <c r="K590" s="1"/>
      <c r="L590" s="1"/>
      <c r="M590" s="334" t="s">
        <v>7</v>
      </c>
      <c r="N590" s="1"/>
      <c r="O590" s="1"/>
      <c r="P590" s="1"/>
      <c r="Q590" s="334" t="s">
        <v>7</v>
      </c>
      <c r="R590" s="146" t="s">
        <v>7</v>
      </c>
    </row>
    <row r="591" spans="1:20" ht="15.75" customHeight="1" x14ac:dyDescent="0.3">
      <c r="A591" s="17" t="s">
        <v>55</v>
      </c>
      <c r="B591" s="1"/>
      <c r="C591" s="1"/>
      <c r="D591" s="1"/>
      <c r="E591" s="59" t="s">
        <v>7</v>
      </c>
      <c r="F591" s="1"/>
      <c r="G591" s="1"/>
      <c r="H591" s="1"/>
      <c r="I591" s="59" t="s">
        <v>7</v>
      </c>
      <c r="J591" s="1"/>
      <c r="K591" s="1"/>
      <c r="L591" s="1"/>
      <c r="M591" s="59" t="s">
        <v>7</v>
      </c>
      <c r="N591" s="1"/>
      <c r="O591" s="1"/>
      <c r="P591" s="1"/>
      <c r="Q591" s="59" t="s">
        <v>7</v>
      </c>
      <c r="R591" s="146" t="s">
        <v>7</v>
      </c>
    </row>
    <row r="592" spans="1:20" ht="15.75" customHeight="1" x14ac:dyDescent="0.3">
      <c r="A592" s="74" t="s">
        <v>500</v>
      </c>
      <c r="B592" s="1">
        <v>49</v>
      </c>
      <c r="C592" s="1">
        <v>357</v>
      </c>
      <c r="D592" s="1">
        <v>1086</v>
      </c>
      <c r="E592" s="59">
        <f>SUM(B592:D592)</f>
        <v>1492</v>
      </c>
      <c r="F592" s="1">
        <v>5154</v>
      </c>
      <c r="G592" s="1">
        <v>3832</v>
      </c>
      <c r="H592" s="1">
        <v>5002</v>
      </c>
      <c r="I592" s="59">
        <f>SUM(F592:H592)</f>
        <v>13988</v>
      </c>
      <c r="J592" s="1">
        <v>3635</v>
      </c>
      <c r="K592" s="1">
        <v>1834</v>
      </c>
      <c r="L592" s="1">
        <v>777</v>
      </c>
      <c r="M592" s="59">
        <f>SUM(J592:L592)</f>
        <v>6246</v>
      </c>
      <c r="N592" s="1">
        <v>26</v>
      </c>
      <c r="O592" s="1"/>
      <c r="P592" s="1">
        <v>36</v>
      </c>
      <c r="Q592" s="59">
        <f>SUM(N592:P592)</f>
        <v>62</v>
      </c>
      <c r="R592" s="59">
        <f>+E592+I592+M592+Q592</f>
        <v>21788</v>
      </c>
      <c r="S592" s="4">
        <f>+SUM(R592,R549,R404)</f>
        <v>72163</v>
      </c>
      <c r="T592" s="4" t="s">
        <v>501</v>
      </c>
    </row>
    <row r="593" spans="1:20" ht="15.75" customHeight="1" x14ac:dyDescent="0.3">
      <c r="A593" s="74" t="s">
        <v>502</v>
      </c>
      <c r="B593" s="1"/>
      <c r="C593" s="1"/>
      <c r="D593" s="1"/>
      <c r="E593" s="59">
        <f>SUM(B593:D593)</f>
        <v>0</v>
      </c>
      <c r="F593" s="1"/>
      <c r="G593" s="1"/>
      <c r="H593" s="1"/>
      <c r="I593" s="59">
        <f>SUM(F593:H593)</f>
        <v>0</v>
      </c>
      <c r="J593" s="1"/>
      <c r="K593" s="1"/>
      <c r="L593" s="1"/>
      <c r="M593" s="59">
        <f>SUM(J593:L593)</f>
        <v>0</v>
      </c>
      <c r="N593" s="1"/>
      <c r="O593" s="1"/>
      <c r="P593" s="1"/>
      <c r="Q593" s="59">
        <f>SUM(N593:P593)</f>
        <v>0</v>
      </c>
      <c r="R593" s="59">
        <f>+E593+I593+M593+Q593</f>
        <v>0</v>
      </c>
    </row>
    <row r="594" spans="1:20" ht="15.75" customHeight="1" thickBot="1" x14ac:dyDescent="0.35">
      <c r="A594" s="17" t="s">
        <v>56</v>
      </c>
      <c r="B594" s="1"/>
      <c r="C594" s="1"/>
      <c r="D594" s="1"/>
      <c r="E594" s="59" t="s">
        <v>7</v>
      </c>
      <c r="F594" s="1"/>
      <c r="G594" s="1"/>
      <c r="H594" s="1"/>
      <c r="I594" s="59" t="s">
        <v>7</v>
      </c>
      <c r="J594" s="1"/>
      <c r="K594" s="1"/>
      <c r="L594" s="1"/>
      <c r="M594" s="59" t="s">
        <v>7</v>
      </c>
      <c r="N594" s="1"/>
      <c r="O594" s="1"/>
      <c r="P594" s="1"/>
      <c r="Q594" s="59" t="s">
        <v>7</v>
      </c>
      <c r="R594" s="146" t="s">
        <v>7</v>
      </c>
    </row>
    <row r="595" spans="1:20" ht="16.5" customHeight="1" thickBot="1" x14ac:dyDescent="0.35">
      <c r="A595" s="62" t="s">
        <v>57</v>
      </c>
      <c r="B595" s="100">
        <f>SUM(B590:B594)</f>
        <v>49</v>
      </c>
      <c r="C595" s="101">
        <f>SUM(C590:C594)</f>
        <v>357</v>
      </c>
      <c r="D595" s="101">
        <f>SUM(D590:D594)</f>
        <v>1086</v>
      </c>
      <c r="E595" s="64">
        <f>SUM(B595:D595)</f>
        <v>1492</v>
      </c>
      <c r="F595" s="101">
        <f>SUM(F590:F594)</f>
        <v>5154</v>
      </c>
      <c r="G595" s="101">
        <f>SUM(G590:G594)</f>
        <v>3832</v>
      </c>
      <c r="H595" s="101">
        <f>SUM(H590:H594)</f>
        <v>5002</v>
      </c>
      <c r="I595" s="64">
        <f>SUM(F595:H595)</f>
        <v>13988</v>
      </c>
      <c r="J595" s="101">
        <f>SUM(J590:J594)</f>
        <v>3635</v>
      </c>
      <c r="K595" s="101">
        <f>SUM(K590:K594)</f>
        <v>1834</v>
      </c>
      <c r="L595" s="101">
        <f>SUM(L590:L594)</f>
        <v>777</v>
      </c>
      <c r="M595" s="64">
        <f>SUM(J595:L595)</f>
        <v>6246</v>
      </c>
      <c r="N595" s="101">
        <f>SUM(N590:N594)</f>
        <v>26</v>
      </c>
      <c r="O595" s="101">
        <f>SUM(O590:O594)</f>
        <v>0</v>
      </c>
      <c r="P595" s="101">
        <f>SUM(P590:P594)</f>
        <v>36</v>
      </c>
      <c r="Q595" s="64">
        <f>SUM(N595:P595)</f>
        <v>62</v>
      </c>
      <c r="R595" s="64">
        <f>+E595+I595+M595+Q595</f>
        <v>21788</v>
      </c>
    </row>
    <row r="596" spans="1:20" ht="15.75" customHeight="1" x14ac:dyDescent="0.3">
      <c r="A596" s="17" t="s">
        <v>58</v>
      </c>
      <c r="B596" s="1"/>
      <c r="C596" s="1"/>
      <c r="D596" s="1"/>
      <c r="E596" s="59" t="s">
        <v>7</v>
      </c>
      <c r="F596" s="1"/>
      <c r="G596" s="1"/>
      <c r="H596" s="1"/>
      <c r="I596" s="59" t="s">
        <v>7</v>
      </c>
      <c r="J596" s="1"/>
      <c r="K596" s="1"/>
      <c r="L596" s="1"/>
      <c r="M596" s="59" t="s">
        <v>7</v>
      </c>
      <c r="N596" s="1"/>
      <c r="O596" s="1"/>
      <c r="P596" s="1"/>
      <c r="Q596" s="59" t="s">
        <v>7</v>
      </c>
      <c r="R596" s="59" t="s">
        <v>7</v>
      </c>
    </row>
    <row r="597" spans="1:20" ht="15.75" customHeight="1" x14ac:dyDescent="0.3">
      <c r="A597" s="17" t="s">
        <v>59</v>
      </c>
      <c r="B597" s="1"/>
      <c r="C597" s="1"/>
      <c r="D597" s="1"/>
      <c r="E597" s="59" t="s">
        <v>7</v>
      </c>
      <c r="F597" s="1"/>
      <c r="G597" s="1"/>
      <c r="H597" s="1"/>
      <c r="I597" s="59" t="s">
        <v>7</v>
      </c>
      <c r="J597" s="1"/>
      <c r="K597" s="1"/>
      <c r="L597" s="1"/>
      <c r="M597" s="59" t="s">
        <v>7</v>
      </c>
      <c r="N597" s="1"/>
      <c r="O597" s="1"/>
      <c r="P597" s="1"/>
      <c r="Q597" s="59" t="s">
        <v>7</v>
      </c>
      <c r="R597" s="59" t="s">
        <v>7</v>
      </c>
    </row>
    <row r="598" spans="1:20" ht="15.75" customHeight="1" x14ac:dyDescent="0.3">
      <c r="A598" s="17" t="s">
        <v>60</v>
      </c>
      <c r="B598" s="1"/>
      <c r="C598" s="1"/>
      <c r="D598" s="1"/>
      <c r="E598" s="59" t="s">
        <v>7</v>
      </c>
      <c r="F598" s="1"/>
      <c r="G598" s="1"/>
      <c r="H598" s="1"/>
      <c r="I598" s="59" t="s">
        <v>7</v>
      </c>
      <c r="J598" s="1"/>
      <c r="K598" s="1"/>
      <c r="L598" s="1"/>
      <c r="M598" s="59" t="s">
        <v>7</v>
      </c>
      <c r="N598" s="1"/>
      <c r="O598" s="1"/>
      <c r="P598" s="1"/>
      <c r="Q598" s="59" t="s">
        <v>7</v>
      </c>
      <c r="R598" s="59" t="s">
        <v>7</v>
      </c>
    </row>
    <row r="599" spans="1:20" ht="15.75" customHeight="1" thickBot="1" x14ac:dyDescent="0.35">
      <c r="A599" s="103" t="s">
        <v>396</v>
      </c>
      <c r="B599" s="1"/>
      <c r="C599" s="1"/>
      <c r="D599" s="1"/>
      <c r="E599" s="59">
        <f>SUM(B599:D599)</f>
        <v>0</v>
      </c>
      <c r="F599" s="1"/>
      <c r="G599" s="1"/>
      <c r="H599" s="1"/>
      <c r="I599" s="59">
        <f>SUM(F599:H599)</f>
        <v>0</v>
      </c>
      <c r="J599" s="1"/>
      <c r="K599" s="1"/>
      <c r="L599" s="1"/>
      <c r="M599" s="59">
        <f>SUM(J599:L599)</f>
        <v>0</v>
      </c>
      <c r="N599" s="1"/>
      <c r="O599" s="1"/>
      <c r="P599" s="1"/>
      <c r="Q599" s="59">
        <f>SUM(N599:P599)</f>
        <v>0</v>
      </c>
      <c r="R599" s="59">
        <f>+E599+I599+M599+Q599</f>
        <v>0</v>
      </c>
      <c r="T599" s="4" t="s">
        <v>368</v>
      </c>
    </row>
    <row r="600" spans="1:20" ht="16.5" customHeight="1" thickBot="1" x14ac:dyDescent="0.35">
      <c r="A600" s="137" t="s">
        <v>61</v>
      </c>
      <c r="B600" s="100">
        <f>SUM(B596:B599)</f>
        <v>0</v>
      </c>
      <c r="C600" s="101">
        <f>SUM(C596:C599)</f>
        <v>0</v>
      </c>
      <c r="D600" s="101">
        <f>SUM(D596:D599)</f>
        <v>0</v>
      </c>
      <c r="E600" s="64">
        <f>SUM(B600:D600)</f>
        <v>0</v>
      </c>
      <c r="F600" s="101">
        <f>SUM(F596:F599)</f>
        <v>0</v>
      </c>
      <c r="G600" s="101">
        <f>SUM(G596:G599)</f>
        <v>0</v>
      </c>
      <c r="H600" s="101">
        <f>SUM(H596:H599)</f>
        <v>0</v>
      </c>
      <c r="I600" s="64">
        <f>SUM(F600:H600)</f>
        <v>0</v>
      </c>
      <c r="J600" s="101">
        <f>SUM(J596:J599)</f>
        <v>0</v>
      </c>
      <c r="K600" s="101">
        <f>SUM(K596:K599)</f>
        <v>0</v>
      </c>
      <c r="L600" s="101">
        <f>SUM(L596:L599)</f>
        <v>0</v>
      </c>
      <c r="M600" s="64">
        <f>SUM(J600:L600)</f>
        <v>0</v>
      </c>
      <c r="N600" s="101">
        <f>SUM(N596:N599)</f>
        <v>0</v>
      </c>
      <c r="O600" s="101">
        <f>SUM(O596:O599)</f>
        <v>0</v>
      </c>
      <c r="P600" s="101">
        <f>SUM(P596:P599)</f>
        <v>0</v>
      </c>
      <c r="Q600" s="64">
        <f>SUM(N600:P600)</f>
        <v>0</v>
      </c>
      <c r="R600" s="64">
        <f>+E600+I600+M600+Q600</f>
        <v>0</v>
      </c>
    </row>
    <row r="601" spans="1:20" ht="15.75" customHeight="1" x14ac:dyDescent="0.3">
      <c r="A601" s="17" t="s">
        <v>62</v>
      </c>
      <c r="B601" s="1"/>
      <c r="C601" s="1"/>
      <c r="D601" s="1"/>
      <c r="E601" s="59" t="s">
        <v>7</v>
      </c>
      <c r="F601" s="1"/>
      <c r="G601" s="1"/>
      <c r="H601" s="1"/>
      <c r="I601" s="59" t="s">
        <v>7</v>
      </c>
      <c r="J601" s="1"/>
      <c r="K601" s="1"/>
      <c r="L601" s="1"/>
      <c r="M601" s="59" t="s">
        <v>7</v>
      </c>
      <c r="N601" s="1"/>
      <c r="O601" s="1"/>
      <c r="P601" s="1"/>
      <c r="Q601" s="59" t="s">
        <v>7</v>
      </c>
      <c r="R601" s="59" t="s">
        <v>7</v>
      </c>
    </row>
    <row r="602" spans="1:20" ht="15.75" customHeight="1" x14ac:dyDescent="0.3">
      <c r="A602" s="17" t="s">
        <v>63</v>
      </c>
      <c r="B602" s="1"/>
      <c r="C602" s="1"/>
      <c r="D602" s="1"/>
      <c r="E602" s="59" t="s">
        <v>7</v>
      </c>
      <c r="F602" s="1"/>
      <c r="G602" s="1"/>
      <c r="H602" s="1"/>
      <c r="I602" s="59" t="s">
        <v>7</v>
      </c>
      <c r="J602" s="1"/>
      <c r="K602" s="1"/>
      <c r="L602" s="1"/>
      <c r="M602" s="59" t="s">
        <v>7</v>
      </c>
      <c r="N602" s="1"/>
      <c r="O602" s="1"/>
      <c r="P602" s="1"/>
      <c r="Q602" s="59" t="s">
        <v>7</v>
      </c>
      <c r="R602" s="59" t="s">
        <v>7</v>
      </c>
    </row>
    <row r="603" spans="1:20" ht="15.75" customHeight="1" x14ac:dyDescent="0.3">
      <c r="A603" s="17" t="s">
        <v>64</v>
      </c>
      <c r="B603" s="1"/>
      <c r="C603" s="1"/>
      <c r="D603" s="1"/>
      <c r="E603" s="59" t="s">
        <v>7</v>
      </c>
      <c r="F603" s="1"/>
      <c r="G603" s="1"/>
      <c r="H603" s="1"/>
      <c r="I603" s="59" t="s">
        <v>7</v>
      </c>
      <c r="J603" s="1"/>
      <c r="K603" s="1"/>
      <c r="L603" s="1"/>
      <c r="M603" s="59" t="s">
        <v>7</v>
      </c>
      <c r="N603" s="1"/>
      <c r="O603" s="1"/>
      <c r="P603" s="1"/>
      <c r="Q603" s="59" t="s">
        <v>7</v>
      </c>
      <c r="R603" s="59" t="s">
        <v>7</v>
      </c>
    </row>
    <row r="604" spans="1:20" ht="15.75" customHeight="1" x14ac:dyDescent="0.3">
      <c r="A604" s="17" t="s">
        <v>66</v>
      </c>
      <c r="B604" s="1"/>
      <c r="C604" s="1"/>
      <c r="D604" s="1"/>
      <c r="E604" s="59" t="s">
        <v>7</v>
      </c>
      <c r="F604" s="1"/>
      <c r="G604" s="1"/>
      <c r="H604" s="1"/>
      <c r="I604" s="59" t="s">
        <v>7</v>
      </c>
      <c r="J604" s="1"/>
      <c r="K604" s="1"/>
      <c r="L604" s="1"/>
      <c r="M604" s="59" t="s">
        <v>7</v>
      </c>
      <c r="N604" s="1"/>
      <c r="O604" s="1"/>
      <c r="P604" s="1"/>
      <c r="Q604" s="59" t="s">
        <v>7</v>
      </c>
      <c r="R604" s="59" t="s">
        <v>7</v>
      </c>
    </row>
    <row r="605" spans="1:20" ht="15.75" customHeight="1" x14ac:dyDescent="0.3">
      <c r="A605" s="74" t="s">
        <v>503</v>
      </c>
      <c r="B605" s="1"/>
      <c r="C605" s="1"/>
      <c r="D605" s="1"/>
      <c r="E605" s="59">
        <f>SUM(B605:D605)</f>
        <v>0</v>
      </c>
      <c r="F605" s="1"/>
      <c r="G605" s="1"/>
      <c r="H605" s="1"/>
      <c r="I605" s="59">
        <f>SUM(F605:H605)</f>
        <v>0</v>
      </c>
      <c r="J605" s="1"/>
      <c r="K605" s="1"/>
      <c r="L605" s="1"/>
      <c r="M605" s="59">
        <f>SUM(J605:L605)</f>
        <v>0</v>
      </c>
      <c r="N605" s="1"/>
      <c r="O605" s="1"/>
      <c r="P605" s="1"/>
      <c r="Q605" s="59">
        <f>SUM(N605:P605)</f>
        <v>0</v>
      </c>
      <c r="R605" s="59">
        <f>+E605+I605+M605+Q605</f>
        <v>0</v>
      </c>
    </row>
    <row r="606" spans="1:20" ht="15.75" customHeight="1" x14ac:dyDescent="0.3">
      <c r="A606" s="17" t="s">
        <v>67</v>
      </c>
      <c r="B606" s="1"/>
      <c r="C606" s="1"/>
      <c r="D606" s="1"/>
      <c r="E606" s="59"/>
      <c r="F606" s="1"/>
      <c r="G606" s="1"/>
      <c r="H606" s="1"/>
      <c r="I606" s="59"/>
      <c r="J606" s="1"/>
      <c r="K606" s="1"/>
      <c r="L606" s="1"/>
      <c r="M606" s="59"/>
      <c r="N606" s="1"/>
      <c r="O606" s="1"/>
      <c r="P606" s="1"/>
      <c r="Q606" s="59"/>
      <c r="R606" s="59" t="s">
        <v>7</v>
      </c>
    </row>
    <row r="607" spans="1:20" ht="15.75" customHeight="1" x14ac:dyDescent="0.3">
      <c r="A607" s="74" t="s">
        <v>460</v>
      </c>
      <c r="B607" s="1"/>
      <c r="C607" s="1"/>
      <c r="D607" s="1"/>
      <c r="E607" s="59">
        <f t="shared" ref="E607:E614" si="225">SUM(B607:D607)</f>
        <v>0</v>
      </c>
      <c r="F607" s="1"/>
      <c r="G607" s="1"/>
      <c r="H607" s="1"/>
      <c r="I607" s="59">
        <f t="shared" ref="I607:I614" si="226">SUM(F607:H607)</f>
        <v>0</v>
      </c>
      <c r="J607" s="1"/>
      <c r="K607" s="1"/>
      <c r="L607" s="1"/>
      <c r="M607" s="59">
        <f t="shared" ref="M607:M614" si="227">SUM(J607:L607)</f>
        <v>0</v>
      </c>
      <c r="N607" s="1"/>
      <c r="O607" s="1"/>
      <c r="P607" s="1"/>
      <c r="Q607" s="59">
        <f t="shared" ref="Q607:Q614" si="228">SUM(N607:P607)</f>
        <v>0</v>
      </c>
      <c r="R607" s="59">
        <f t="shared" ref="R607:R614" si="229">+E607+I607+M607+Q607</f>
        <v>0</v>
      </c>
      <c r="T607" s="4" t="s">
        <v>368</v>
      </c>
    </row>
    <row r="608" spans="1:20" ht="15.75" customHeight="1" x14ac:dyDescent="0.3">
      <c r="A608" s="74" t="s">
        <v>504</v>
      </c>
      <c r="B608" s="1"/>
      <c r="C608" s="1"/>
      <c r="D608" s="1"/>
      <c r="E608" s="59">
        <f>SUM(B608:D608)</f>
        <v>0</v>
      </c>
      <c r="F608" s="1"/>
      <c r="G608" s="1"/>
      <c r="H608" s="1"/>
      <c r="I608" s="59">
        <f>SUM(F608:H608)</f>
        <v>0</v>
      </c>
      <c r="J608" s="1"/>
      <c r="K608" s="1"/>
      <c r="L608" s="1"/>
      <c r="M608" s="59">
        <f>SUM(J608:L608)</f>
        <v>0</v>
      </c>
      <c r="N608" s="1"/>
      <c r="O608" s="1"/>
      <c r="P608" s="1"/>
      <c r="Q608" s="59">
        <f>SUM(N608:P608)</f>
        <v>0</v>
      </c>
      <c r="R608" s="59">
        <f>+E608+I608+M608+Q608</f>
        <v>0</v>
      </c>
      <c r="T608" s="4" t="s">
        <v>368</v>
      </c>
    </row>
    <row r="609" spans="1:18" ht="15.75" customHeight="1" x14ac:dyDescent="0.3">
      <c r="A609" s="74" t="s">
        <v>505</v>
      </c>
      <c r="B609" s="1"/>
      <c r="C609" s="1"/>
      <c r="D609" s="1"/>
      <c r="E609" s="59">
        <f t="shared" ref="E609" si="230">SUM(B609:D609)</f>
        <v>0</v>
      </c>
      <c r="F609" s="1"/>
      <c r="G609" s="1"/>
      <c r="H609" s="1"/>
      <c r="I609" s="59">
        <f t="shared" ref="I609" si="231">SUM(F609:H609)</f>
        <v>0</v>
      </c>
      <c r="J609" s="1"/>
      <c r="K609" s="1"/>
      <c r="L609" s="1"/>
      <c r="M609" s="59">
        <f t="shared" ref="M609" si="232">SUM(J609:L609)</f>
        <v>0</v>
      </c>
      <c r="N609" s="1"/>
      <c r="O609" s="1"/>
      <c r="P609" s="1"/>
      <c r="Q609" s="59">
        <f t="shared" ref="Q609" si="233">SUM(N609:P609)</f>
        <v>0</v>
      </c>
      <c r="R609" s="59">
        <f t="shared" ref="R609" si="234">+E609+I609+M609+Q609</f>
        <v>0</v>
      </c>
    </row>
    <row r="610" spans="1:18" ht="15.75" customHeight="1" thickBot="1" x14ac:dyDescent="0.35">
      <c r="A610" s="74" t="s">
        <v>506</v>
      </c>
      <c r="B610" s="1"/>
      <c r="C610" s="1"/>
      <c r="D610" s="1"/>
      <c r="E610" s="59">
        <f t="shared" si="225"/>
        <v>0</v>
      </c>
      <c r="F610" s="1"/>
      <c r="G610" s="1"/>
      <c r="H610" s="1"/>
      <c r="I610" s="59">
        <f t="shared" si="226"/>
        <v>0</v>
      </c>
      <c r="J610" s="1"/>
      <c r="K610" s="1"/>
      <c r="L610" s="1"/>
      <c r="M610" s="59">
        <f t="shared" si="227"/>
        <v>0</v>
      </c>
      <c r="N610" s="1"/>
      <c r="O610" s="1"/>
      <c r="P610" s="1"/>
      <c r="Q610" s="59">
        <f t="shared" si="228"/>
        <v>0</v>
      </c>
      <c r="R610" s="59">
        <f t="shared" si="229"/>
        <v>0</v>
      </c>
    </row>
    <row r="611" spans="1:18" ht="16.5" customHeight="1" thickBot="1" x14ac:dyDescent="0.35">
      <c r="A611" s="62" t="s">
        <v>68</v>
      </c>
      <c r="B611" s="63">
        <f>SUM(B604:B610)</f>
        <v>0</v>
      </c>
      <c r="C611" s="63">
        <f>SUM(C604:C610)</f>
        <v>0</v>
      </c>
      <c r="D611" s="63">
        <f>SUM(D604:D610)</f>
        <v>0</v>
      </c>
      <c r="E611" s="334">
        <f t="shared" si="225"/>
        <v>0</v>
      </c>
      <c r="F611" s="63">
        <f>SUM(F604:F610)</f>
        <v>0</v>
      </c>
      <c r="G611" s="63">
        <f>SUM(G604:G610)</f>
        <v>0</v>
      </c>
      <c r="H611" s="63">
        <f>SUM(H604:H610)</f>
        <v>0</v>
      </c>
      <c r="I611" s="334">
        <f t="shared" si="226"/>
        <v>0</v>
      </c>
      <c r="J611" s="63">
        <f>SUM(J604:J610)</f>
        <v>0</v>
      </c>
      <c r="K611" s="63">
        <f>SUM(K604:K610)</f>
        <v>0</v>
      </c>
      <c r="L611" s="63">
        <f>SUM(L604:L610)</f>
        <v>0</v>
      </c>
      <c r="M611" s="334">
        <f t="shared" si="227"/>
        <v>0</v>
      </c>
      <c r="N611" s="63">
        <f>SUM(N604:N610)</f>
        <v>0</v>
      </c>
      <c r="O611" s="63">
        <f>SUM(O604:O610)</f>
        <v>0</v>
      </c>
      <c r="P611" s="63">
        <f>SUM(P604:P610)</f>
        <v>0</v>
      </c>
      <c r="Q611" s="334">
        <f t="shared" si="228"/>
        <v>0</v>
      </c>
      <c r="R611" s="64">
        <f t="shared" si="229"/>
        <v>0</v>
      </c>
    </row>
    <row r="612" spans="1:18" ht="16.5" customHeight="1" thickBot="1" x14ac:dyDescent="0.35">
      <c r="A612" s="137" t="s">
        <v>69</v>
      </c>
      <c r="B612" s="100">
        <f>SUM(B601:B610)</f>
        <v>0</v>
      </c>
      <c r="C612" s="101">
        <f>SUM(C601:C610)</f>
        <v>0</v>
      </c>
      <c r="D612" s="138">
        <f>SUM(D601:D610)</f>
        <v>0</v>
      </c>
      <c r="E612" s="334">
        <f t="shared" si="225"/>
        <v>0</v>
      </c>
      <c r="F612" s="101">
        <f>SUM(F601:F610)</f>
        <v>0</v>
      </c>
      <c r="G612" s="101">
        <f>SUM(G601:G610)</f>
        <v>0</v>
      </c>
      <c r="H612" s="101">
        <f>SUM(H601:H610)</f>
        <v>0</v>
      </c>
      <c r="I612" s="334">
        <f t="shared" si="226"/>
        <v>0</v>
      </c>
      <c r="J612" s="101">
        <f>SUM(J601:J610)</f>
        <v>0</v>
      </c>
      <c r="K612" s="101">
        <f>SUM(K601:K610)</f>
        <v>0</v>
      </c>
      <c r="L612" s="101">
        <f>SUM(L601:L610)</f>
        <v>0</v>
      </c>
      <c r="M612" s="334">
        <f t="shared" si="227"/>
        <v>0</v>
      </c>
      <c r="N612" s="101">
        <f>SUM(N601:N610)</f>
        <v>0</v>
      </c>
      <c r="O612" s="101">
        <f>SUM(O601:O610)</f>
        <v>0</v>
      </c>
      <c r="P612" s="101">
        <f>SUM(P601:P610)</f>
        <v>0</v>
      </c>
      <c r="Q612" s="334">
        <f t="shared" si="228"/>
        <v>0</v>
      </c>
      <c r="R612" s="64">
        <f t="shared" si="229"/>
        <v>0</v>
      </c>
    </row>
    <row r="613" spans="1:18" ht="16.5" customHeight="1" thickBot="1" x14ac:dyDescent="0.35">
      <c r="A613" s="62" t="s">
        <v>70</v>
      </c>
      <c r="B613" s="107">
        <f>+B589+B595+B600+B612</f>
        <v>49</v>
      </c>
      <c r="C613" s="63">
        <f>+C589+C595+C600+C612</f>
        <v>562</v>
      </c>
      <c r="D613" s="63">
        <f>+D589+D595+D600+D612</f>
        <v>1256</v>
      </c>
      <c r="E613" s="64">
        <f t="shared" si="225"/>
        <v>1867</v>
      </c>
      <c r="F613" s="63">
        <f>+F589+F595+F600+F612</f>
        <v>5718</v>
      </c>
      <c r="G613" s="63">
        <f>+G589+G595+G600+G612</f>
        <v>4965</v>
      </c>
      <c r="H613" s="63">
        <f>+H589+H595+H600+H612</f>
        <v>6108</v>
      </c>
      <c r="I613" s="64">
        <f t="shared" si="226"/>
        <v>16791</v>
      </c>
      <c r="J613" s="63">
        <f>+J589+J595+J600+J612</f>
        <v>4427</v>
      </c>
      <c r="K613" s="63">
        <f>+K589+K595+K600+K612</f>
        <v>2987</v>
      </c>
      <c r="L613" s="63">
        <f>+L589+L595+L600+L612</f>
        <v>2065</v>
      </c>
      <c r="M613" s="64">
        <f t="shared" si="227"/>
        <v>9479</v>
      </c>
      <c r="N613" s="63">
        <f>+N589+N595+N600+N612</f>
        <v>160</v>
      </c>
      <c r="O613" s="63">
        <f>+O589+O595+O600+O612</f>
        <v>0</v>
      </c>
      <c r="P613" s="63">
        <f>+P589+P595+P600+P612</f>
        <v>36</v>
      </c>
      <c r="Q613" s="64">
        <f t="shared" si="228"/>
        <v>196</v>
      </c>
      <c r="R613" s="88">
        <f t="shared" si="229"/>
        <v>28333</v>
      </c>
    </row>
    <row r="614" spans="1:18" ht="16.5" customHeight="1" thickBot="1" x14ac:dyDescent="0.35">
      <c r="A614" s="40" t="s">
        <v>37</v>
      </c>
      <c r="B614" s="25">
        <v>23</v>
      </c>
      <c r="C614" s="25">
        <v>43</v>
      </c>
      <c r="D614" s="25">
        <v>66</v>
      </c>
      <c r="E614" s="88">
        <f t="shared" si="225"/>
        <v>132</v>
      </c>
      <c r="F614" s="25">
        <v>91</v>
      </c>
      <c r="G614" s="25">
        <v>108</v>
      </c>
      <c r="H614" s="25">
        <v>109</v>
      </c>
      <c r="I614" s="88">
        <f t="shared" si="226"/>
        <v>308</v>
      </c>
      <c r="J614" s="25">
        <v>104</v>
      </c>
      <c r="K614" s="25">
        <v>79</v>
      </c>
      <c r="L614" s="25">
        <v>80</v>
      </c>
      <c r="M614" s="88">
        <f t="shared" si="227"/>
        <v>263</v>
      </c>
      <c r="N614" s="25">
        <v>74</v>
      </c>
      <c r="O614" s="25">
        <v>58</v>
      </c>
      <c r="P614" s="25">
        <v>42</v>
      </c>
      <c r="Q614" s="88">
        <f t="shared" si="228"/>
        <v>174</v>
      </c>
      <c r="R614" s="59">
        <f t="shared" si="229"/>
        <v>877</v>
      </c>
    </row>
    <row r="615" spans="1:18" ht="16.5" customHeight="1" thickBot="1" x14ac:dyDescent="0.35">
      <c r="A615" s="42"/>
      <c r="B615" s="37"/>
      <c r="C615" s="37"/>
      <c r="D615" s="37"/>
      <c r="E615" s="43"/>
      <c r="F615" s="37"/>
      <c r="G615" s="37"/>
      <c r="H615" s="37"/>
      <c r="I615" s="147"/>
      <c r="J615" s="37"/>
      <c r="K615" s="37"/>
      <c r="L615" s="37"/>
      <c r="M615" s="147"/>
      <c r="N615" s="37"/>
      <c r="O615" s="37"/>
      <c r="P615" s="37"/>
      <c r="Q615" s="147"/>
      <c r="R615" s="43"/>
    </row>
    <row r="616" spans="1:18" ht="15.75" customHeight="1" x14ac:dyDescent="0.3">
      <c r="A616" s="17" t="s">
        <v>507</v>
      </c>
      <c r="B616" s="336">
        <f>SUM(B613:B614)</f>
        <v>72</v>
      </c>
      <c r="C616" s="336">
        <f>SUM(C613:C614)</f>
        <v>605</v>
      </c>
      <c r="D616" s="336">
        <f>SUM(D613:D614)</f>
        <v>1322</v>
      </c>
      <c r="E616" s="334">
        <f>SUM(B616:D616)</f>
        <v>1999</v>
      </c>
      <c r="F616" s="336">
        <f>SUM(F613:F614)</f>
        <v>5809</v>
      </c>
      <c r="G616" s="336">
        <f>SUM(G613:G614)</f>
        <v>5073</v>
      </c>
      <c r="H616" s="336">
        <f>SUM(H613:H614)</f>
        <v>6217</v>
      </c>
      <c r="I616" s="334">
        <f>SUM(F616:H616)</f>
        <v>17099</v>
      </c>
      <c r="J616" s="336">
        <f>SUM(J613:J614)</f>
        <v>4531</v>
      </c>
      <c r="K616" s="336">
        <f>SUM(K613:K614)</f>
        <v>3066</v>
      </c>
      <c r="L616" s="336">
        <f>SUM(L613:L614)</f>
        <v>2145</v>
      </c>
      <c r="M616" s="334">
        <f>SUM(J616:L616)</f>
        <v>9742</v>
      </c>
      <c r="N616" s="336">
        <f>SUM(N613:N614)</f>
        <v>234</v>
      </c>
      <c r="O616" s="336">
        <f>SUM(O613:O614)</f>
        <v>58</v>
      </c>
      <c r="P616" s="336">
        <f>SUM(P613:P614)</f>
        <v>78</v>
      </c>
      <c r="Q616" s="334">
        <f>SUM(N616:P616)</f>
        <v>370</v>
      </c>
      <c r="R616" s="334">
        <f>+E616+I616+M616+Q616</f>
        <v>29210</v>
      </c>
    </row>
    <row r="617" spans="1:18" ht="15.75" customHeight="1" x14ac:dyDescent="0.3">
      <c r="A617" s="17" t="s">
        <v>39</v>
      </c>
      <c r="B617" s="1">
        <f>(B616/B10)/1.983</f>
        <v>1.1712459128397834</v>
      </c>
      <c r="C617" s="1">
        <f>(C616/C10)/1.983</f>
        <v>10.896189035372091</v>
      </c>
      <c r="D617" s="1">
        <f>(D616/D10)/1.983</f>
        <v>21.505376344086024</v>
      </c>
      <c r="E617" s="59" t="s">
        <v>7</v>
      </c>
      <c r="F617" s="1">
        <f>(F616/F10)/1.983</f>
        <v>97.646663304757098</v>
      </c>
      <c r="G617" s="1">
        <f>(G616/G10)/1.983</f>
        <v>82.524034942169735</v>
      </c>
      <c r="H617" s="1">
        <f>(H616/H10)/1.983</f>
        <v>104.50495881660783</v>
      </c>
      <c r="I617" s="59" t="s">
        <v>7</v>
      </c>
      <c r="J617" s="1">
        <f>(J616/J10)/1.983</f>
        <v>73.707155987181352</v>
      </c>
      <c r="K617" s="1">
        <f>(K616/K10)/1.983</f>
        <v>49.875555121760769</v>
      </c>
      <c r="L617" s="1">
        <f>(L616/L10)/1.983</f>
        <v>36.05648008068583</v>
      </c>
      <c r="M617" s="59" t="s">
        <v>7</v>
      </c>
      <c r="N617" s="1">
        <f>(N616/N10)/1.983</f>
        <v>3.8065492167292958</v>
      </c>
      <c r="O617" s="1">
        <f>(O616/O10)/1.983</f>
        <v>0.97495377374348624</v>
      </c>
      <c r="P617" s="1">
        <f>(P616/P10)/1.983</f>
        <v>1.2688497389097653</v>
      </c>
      <c r="Q617" s="59" t="s">
        <v>7</v>
      </c>
      <c r="R617" s="59" t="s">
        <v>7</v>
      </c>
    </row>
    <row r="618" spans="1:18" ht="15.75" customHeight="1" x14ac:dyDescent="0.3">
      <c r="A618" s="17" t="s">
        <v>508</v>
      </c>
      <c r="B618" s="1">
        <f>B616+B684</f>
        <v>11583</v>
      </c>
      <c r="C618" s="1">
        <f>C616+C684</f>
        <v>18736</v>
      </c>
      <c r="D618" s="1">
        <f>D616+D684</f>
        <v>27099</v>
      </c>
      <c r="E618" s="59">
        <f>SUM(B618:D618)</f>
        <v>57418</v>
      </c>
      <c r="F618" s="1">
        <f>F616+F684</f>
        <v>34760</v>
      </c>
      <c r="G618" s="1">
        <f>G616+G684</f>
        <v>34039</v>
      </c>
      <c r="H618" s="1">
        <f>H616+H684</f>
        <v>36870</v>
      </c>
      <c r="I618" s="59">
        <f>SUM(F618:H618)</f>
        <v>105669</v>
      </c>
      <c r="J618" s="1">
        <f>J616+J684</f>
        <v>31249</v>
      </c>
      <c r="K618" s="1">
        <f>K616+K684</f>
        <v>28312</v>
      </c>
      <c r="L618" s="1">
        <f>L616+L684</f>
        <v>24422</v>
      </c>
      <c r="M618" s="59">
        <f>SUM(J618:L618)</f>
        <v>83983</v>
      </c>
      <c r="N618" s="1">
        <f>N616+N684</f>
        <v>14157</v>
      </c>
      <c r="O618" s="1">
        <f>O616+O684</f>
        <v>802</v>
      </c>
      <c r="P618" s="1">
        <f>P616+P684</f>
        <v>19247</v>
      </c>
      <c r="Q618" s="59">
        <f>SUM(N618:P618)</f>
        <v>34206</v>
      </c>
      <c r="R618" s="59">
        <f>+E618+I618+M618+Q618</f>
        <v>281276</v>
      </c>
    </row>
    <row r="619" spans="1:18" ht="16.5" customHeight="1" thickBot="1" x14ac:dyDescent="0.35">
      <c r="A619" s="24" t="s">
        <v>509</v>
      </c>
      <c r="B619" s="87">
        <f>(B618/B10)/1.983</f>
        <v>188.42418622810013</v>
      </c>
      <c r="C619" s="87">
        <f>(C618/C10)/1.983</f>
        <v>337.43966573013466</v>
      </c>
      <c r="D619" s="87">
        <f>(D618/D10)/1.983</f>
        <v>440.82768044507338</v>
      </c>
      <c r="E619" s="88" t="s">
        <v>7</v>
      </c>
      <c r="F619" s="87">
        <f>(F618/F10)/1.983</f>
        <v>584.29988233316521</v>
      </c>
      <c r="G619" s="87">
        <f>(G618/G10)/1.983</f>
        <v>553.72277259935254</v>
      </c>
      <c r="H619" s="87">
        <f>(H618/H10)/1.983</f>
        <v>619.76802824004028</v>
      </c>
      <c r="I619" s="88" t="s">
        <v>7</v>
      </c>
      <c r="J619" s="87">
        <f>(J618/J10)/1.983</f>
        <v>508.3369934768109</v>
      </c>
      <c r="K619" s="87">
        <f>(K618/K10)/1.983</f>
        <v>460.55992061555474</v>
      </c>
      <c r="L619" s="87">
        <f>(L618/L10)/1.983</f>
        <v>410.52277693730042</v>
      </c>
      <c r="M619" s="88" t="s">
        <v>7</v>
      </c>
      <c r="N619" s="87">
        <f>(N618/N10)/1.983</f>
        <v>230.29622761212238</v>
      </c>
      <c r="O619" s="87">
        <f>(O618/O10)/1.983</f>
        <v>13.481257354177172</v>
      </c>
      <c r="P619" s="87">
        <f>(P618/P10)/1.983</f>
        <v>313.09680672815705</v>
      </c>
      <c r="Q619" s="88" t="s">
        <v>7</v>
      </c>
      <c r="R619" s="88" t="s">
        <v>7</v>
      </c>
    </row>
    <row r="620" spans="1:18" ht="15.75" customHeight="1" x14ac:dyDescent="0.3">
      <c r="A620" s="28"/>
      <c r="B620" s="1"/>
      <c r="C620" s="1"/>
      <c r="D620" s="1"/>
      <c r="E620" s="1"/>
      <c r="F620" s="1"/>
      <c r="G620" s="1"/>
      <c r="H620" s="1"/>
      <c r="I620" s="1"/>
      <c r="J620" s="1"/>
      <c r="K620" s="1"/>
      <c r="L620" s="1"/>
      <c r="M620" s="1"/>
      <c r="N620" s="1"/>
      <c r="O620" s="1"/>
      <c r="P620" s="1"/>
      <c r="Q620" s="1"/>
      <c r="R620" s="28"/>
    </row>
    <row r="621" spans="1:18" ht="15.75" customHeight="1" thickBot="1" x14ac:dyDescent="0.35">
      <c r="A621" s="28"/>
      <c r="B621" s="1"/>
      <c r="C621" s="1"/>
      <c r="D621" s="1"/>
      <c r="E621" s="1"/>
      <c r="F621" s="1"/>
      <c r="G621" s="1"/>
      <c r="H621" s="1"/>
      <c r="I621" s="1"/>
      <c r="J621" s="1"/>
      <c r="K621" s="1"/>
      <c r="L621" s="1"/>
      <c r="M621" s="1"/>
      <c r="N621" s="1"/>
      <c r="O621" s="1"/>
      <c r="P621" s="1"/>
      <c r="Q621" s="1"/>
      <c r="R621" s="28"/>
    </row>
    <row r="622" spans="1:18" ht="16.5" customHeight="1" thickBot="1" x14ac:dyDescent="0.35">
      <c r="A622" s="343" t="s">
        <v>510</v>
      </c>
      <c r="B622" s="323" t="s">
        <v>36</v>
      </c>
      <c r="C622" s="324" t="s">
        <v>9</v>
      </c>
      <c r="D622" s="324" t="s">
        <v>10</v>
      </c>
      <c r="E622" s="325" t="s">
        <v>11</v>
      </c>
      <c r="F622" s="324" t="s">
        <v>12</v>
      </c>
      <c r="G622" s="324" t="s">
        <v>13</v>
      </c>
      <c r="H622" s="324" t="s">
        <v>14</v>
      </c>
      <c r="I622" s="34" t="s">
        <v>15</v>
      </c>
      <c r="J622" s="324" t="s">
        <v>16</v>
      </c>
      <c r="K622" s="324" t="s">
        <v>17</v>
      </c>
      <c r="L622" s="324" t="s">
        <v>18</v>
      </c>
      <c r="M622" s="34" t="s">
        <v>19</v>
      </c>
      <c r="N622" s="324" t="s">
        <v>20</v>
      </c>
      <c r="O622" s="324" t="s">
        <v>21</v>
      </c>
      <c r="P622" s="324" t="s">
        <v>22</v>
      </c>
      <c r="Q622" s="34" t="s">
        <v>23</v>
      </c>
      <c r="R622" s="326" t="s">
        <v>24</v>
      </c>
    </row>
    <row r="623" spans="1:18" ht="16.5" customHeight="1" thickBot="1" x14ac:dyDescent="0.35">
      <c r="A623" s="64"/>
      <c r="B623" s="81"/>
      <c r="C623" s="81"/>
      <c r="D623" s="81"/>
      <c r="E623" s="72"/>
      <c r="F623" s="81"/>
      <c r="G623" s="81"/>
      <c r="H623" s="81"/>
      <c r="I623" s="89"/>
      <c r="J623" s="81"/>
      <c r="K623" s="81"/>
      <c r="L623" s="81"/>
      <c r="M623" s="89"/>
      <c r="N623" s="81"/>
      <c r="O623" s="81"/>
      <c r="P623" s="81"/>
      <c r="Q623" s="89"/>
      <c r="R623" s="117"/>
    </row>
    <row r="624" spans="1:18" ht="15.75" customHeight="1" x14ac:dyDescent="0.3">
      <c r="A624" s="17" t="s">
        <v>45</v>
      </c>
      <c r="B624" s="1"/>
      <c r="C624" s="1"/>
      <c r="D624" s="1"/>
      <c r="E624" s="59" t="s">
        <v>7</v>
      </c>
      <c r="F624" s="1"/>
      <c r="G624" s="1"/>
      <c r="H624" s="1"/>
      <c r="I624" s="59" t="s">
        <v>7</v>
      </c>
      <c r="J624" s="1" t="s">
        <v>7</v>
      </c>
      <c r="K624" s="1" t="s">
        <v>7</v>
      </c>
      <c r="L624" s="1" t="s">
        <v>7</v>
      </c>
      <c r="M624" s="59" t="s">
        <v>7</v>
      </c>
      <c r="N624" s="1" t="s">
        <v>7</v>
      </c>
      <c r="O624" s="1" t="s">
        <v>7</v>
      </c>
      <c r="P624" s="1" t="s">
        <v>7</v>
      </c>
      <c r="Q624" s="59" t="s">
        <v>7</v>
      </c>
      <c r="R624" s="59" t="s">
        <v>7</v>
      </c>
    </row>
    <row r="625" spans="1:20" ht="15.75" customHeight="1" x14ac:dyDescent="0.3">
      <c r="A625" s="17" t="s">
        <v>46</v>
      </c>
      <c r="B625" s="1"/>
      <c r="C625" s="1"/>
      <c r="D625" s="1"/>
      <c r="E625" s="59" t="s">
        <v>7</v>
      </c>
      <c r="F625" s="1"/>
      <c r="G625" s="1"/>
      <c r="H625" s="1"/>
      <c r="I625" s="59" t="s">
        <v>7</v>
      </c>
      <c r="J625" s="1"/>
      <c r="K625" s="1"/>
      <c r="L625" s="1"/>
      <c r="M625" s="59" t="s">
        <v>7</v>
      </c>
      <c r="N625" s="1"/>
      <c r="O625" s="1"/>
      <c r="P625" s="1"/>
      <c r="Q625" s="59" t="s">
        <v>7</v>
      </c>
      <c r="R625" s="59" t="s">
        <v>7</v>
      </c>
    </row>
    <row r="626" spans="1:20" ht="15.75" customHeight="1" x14ac:dyDescent="0.3">
      <c r="A626" s="74" t="s">
        <v>511</v>
      </c>
      <c r="B626" s="1"/>
      <c r="C626" s="1"/>
      <c r="D626" s="1"/>
      <c r="E626" s="59">
        <f t="shared" ref="E626" si="235">SUM(B626:D626)</f>
        <v>0</v>
      </c>
      <c r="F626" s="1"/>
      <c r="G626" s="1"/>
      <c r="H626" s="1"/>
      <c r="I626" s="59">
        <f t="shared" ref="I626" si="236">SUM(F626:H626)</f>
        <v>0</v>
      </c>
      <c r="J626" s="1"/>
      <c r="K626" s="1"/>
      <c r="L626" s="1"/>
      <c r="M626" s="59">
        <f t="shared" ref="M626" si="237">SUM(J626:L626)</f>
        <v>0</v>
      </c>
      <c r="N626" s="1"/>
      <c r="O626" s="1"/>
      <c r="P626" s="1"/>
      <c r="Q626" s="59">
        <f t="shared" ref="Q626:Q634" si="238">SUM(N626:P626)</f>
        <v>0</v>
      </c>
      <c r="R626" s="59">
        <f t="shared" ref="R626:R636" si="239">+E626+I626+M626+Q626</f>
        <v>0</v>
      </c>
    </row>
    <row r="627" spans="1:20" ht="15.75" customHeight="1" x14ac:dyDescent="0.3">
      <c r="A627" s="74" t="s">
        <v>512</v>
      </c>
      <c r="B627" s="1"/>
      <c r="C627" s="1"/>
      <c r="D627" s="1"/>
      <c r="E627" s="59">
        <f>SUM(B627:D627)</f>
        <v>0</v>
      </c>
      <c r="F627" s="1"/>
      <c r="G627" s="1"/>
      <c r="H627" s="1"/>
      <c r="I627" s="59">
        <f>SUM(F627:H627)</f>
        <v>0</v>
      </c>
      <c r="J627" s="1"/>
      <c r="K627" s="1"/>
      <c r="L627" s="1">
        <v>1000</v>
      </c>
      <c r="M627" s="59">
        <f>SUM(J627:L627)</f>
        <v>1000</v>
      </c>
      <c r="N627" s="1"/>
      <c r="O627" s="1"/>
      <c r="P627" s="1"/>
      <c r="Q627" s="59">
        <f>SUM(N627:P627)</f>
        <v>0</v>
      </c>
      <c r="R627" s="59">
        <f>+E627+I627+M627+Q627</f>
        <v>1000</v>
      </c>
    </row>
    <row r="628" spans="1:20" ht="15.75" customHeight="1" x14ac:dyDescent="0.3">
      <c r="A628" s="74" t="s">
        <v>513</v>
      </c>
      <c r="B628" s="1"/>
      <c r="C628" s="1">
        <v>560</v>
      </c>
      <c r="D628" s="1">
        <v>614</v>
      </c>
      <c r="E628" s="59">
        <f t="shared" ref="E628" si="240">SUM(B628:D628)</f>
        <v>1174</v>
      </c>
      <c r="F628" s="1">
        <v>1434</v>
      </c>
      <c r="G628" s="1">
        <v>806</v>
      </c>
      <c r="H628" s="1">
        <v>2292</v>
      </c>
      <c r="I628" s="59">
        <f t="shared" ref="I628" si="241">SUM(F628:H628)</f>
        <v>4532</v>
      </c>
      <c r="J628" s="1">
        <v>770</v>
      </c>
      <c r="K628" s="1">
        <v>1110</v>
      </c>
      <c r="L628" s="1">
        <v>373</v>
      </c>
      <c r="M628" s="59">
        <f t="shared" ref="M628" si="242">SUM(J628:L628)</f>
        <v>2253</v>
      </c>
      <c r="N628" s="1">
        <v>1</v>
      </c>
      <c r="O628" s="1"/>
      <c r="P628" s="1"/>
      <c r="Q628" s="59">
        <f t="shared" si="238"/>
        <v>1</v>
      </c>
      <c r="R628" s="59">
        <f t="shared" si="239"/>
        <v>7960</v>
      </c>
      <c r="T628" s="4" t="s">
        <v>514</v>
      </c>
    </row>
    <row r="629" spans="1:20" ht="15.75" customHeight="1" x14ac:dyDescent="0.3">
      <c r="A629" s="74" t="s">
        <v>515</v>
      </c>
      <c r="B629" s="1"/>
      <c r="C629" s="1"/>
      <c r="D629" s="1"/>
      <c r="E629" s="59">
        <f>SUM(B629:D629)</f>
        <v>0</v>
      </c>
      <c r="F629" s="1"/>
      <c r="G629" s="1"/>
      <c r="H629" s="1"/>
      <c r="I629" s="59">
        <f>SUM(F629:H629)</f>
        <v>0</v>
      </c>
      <c r="J629" s="1"/>
      <c r="K629" s="1"/>
      <c r="L629" s="1"/>
      <c r="M629" s="59">
        <f>SUM(J629:L629)</f>
        <v>0</v>
      </c>
      <c r="N629" s="1"/>
      <c r="O629" s="1"/>
      <c r="P629" s="1"/>
      <c r="Q629" s="59">
        <f>SUM(N629:P629)</f>
        <v>0</v>
      </c>
      <c r="R629" s="59">
        <f>+E629+I629+M629+Q629</f>
        <v>0</v>
      </c>
      <c r="T629" s="4" t="s">
        <v>516</v>
      </c>
    </row>
    <row r="630" spans="1:20" ht="15.75" customHeight="1" x14ac:dyDescent="0.3">
      <c r="A630" s="74" t="s">
        <v>517</v>
      </c>
      <c r="B630" s="1">
        <v>300</v>
      </c>
      <c r="C630" s="1">
        <v>300</v>
      </c>
      <c r="D630" s="1">
        <v>300</v>
      </c>
      <c r="E630" s="59">
        <f t="shared" ref="E630" si="243">SUM(B630:D630)</f>
        <v>900</v>
      </c>
      <c r="F630" s="1">
        <v>300</v>
      </c>
      <c r="G630" s="1">
        <v>300</v>
      </c>
      <c r="H630" s="1">
        <v>200</v>
      </c>
      <c r="I630" s="59">
        <f t="shared" ref="I630" si="244">SUM(F630:H630)</f>
        <v>800</v>
      </c>
      <c r="J630" s="1">
        <v>200</v>
      </c>
      <c r="K630" s="1">
        <v>200</v>
      </c>
      <c r="L630" s="1">
        <v>200</v>
      </c>
      <c r="M630" s="59">
        <f t="shared" ref="M630" si="245">SUM(J630:L630)</f>
        <v>600</v>
      </c>
      <c r="N630" s="1">
        <v>200</v>
      </c>
      <c r="O630" s="1"/>
      <c r="P630" s="1">
        <v>305</v>
      </c>
      <c r="Q630" s="59">
        <f t="shared" si="238"/>
        <v>505</v>
      </c>
      <c r="R630" s="59">
        <f t="shared" si="239"/>
        <v>2805</v>
      </c>
      <c r="T630" s="4" t="s">
        <v>516</v>
      </c>
    </row>
    <row r="631" spans="1:20" ht="15.75" customHeight="1" x14ac:dyDescent="0.3">
      <c r="A631" s="74" t="s">
        <v>518</v>
      </c>
      <c r="B631" s="1"/>
      <c r="C631" s="1"/>
      <c r="D631" s="1"/>
      <c r="E631" s="59">
        <f>SUM(B631:D631)</f>
        <v>0</v>
      </c>
      <c r="F631" s="1"/>
      <c r="G631" s="1"/>
      <c r="H631" s="1"/>
      <c r="I631" s="59">
        <f>SUM(F631:H631)</f>
        <v>0</v>
      </c>
      <c r="J631" s="1">
        <v>594</v>
      </c>
      <c r="K631" s="1">
        <v>1001</v>
      </c>
      <c r="L631" s="1"/>
      <c r="M631" s="59">
        <f>SUM(J631:L631)</f>
        <v>1595</v>
      </c>
      <c r="N631" s="1"/>
      <c r="O631" s="1"/>
      <c r="P631" s="1"/>
      <c r="Q631" s="59">
        <f>SUM(N631:P631)</f>
        <v>0</v>
      </c>
      <c r="R631" s="59">
        <f t="shared" si="239"/>
        <v>1595</v>
      </c>
    </row>
    <row r="632" spans="1:20" ht="15.75" customHeight="1" x14ac:dyDescent="0.3">
      <c r="A632" s="74" t="s">
        <v>519</v>
      </c>
      <c r="B632" s="1"/>
      <c r="C632" s="1"/>
      <c r="D632" s="1"/>
      <c r="E632" s="59">
        <f t="shared" ref="E632:E636" si="246">SUM(B632:D632)</f>
        <v>0</v>
      </c>
      <c r="F632" s="1"/>
      <c r="G632" s="1"/>
      <c r="H632" s="1"/>
      <c r="I632" s="59">
        <f t="shared" ref="I632:I636" si="247">SUM(F632:H632)</f>
        <v>0</v>
      </c>
      <c r="J632" s="1">
        <v>800</v>
      </c>
      <c r="K632" s="1">
        <v>500</v>
      </c>
      <c r="L632" s="1">
        <v>1500</v>
      </c>
      <c r="M632" s="59">
        <f t="shared" ref="M632:M636" si="248">SUM(J632:L632)</f>
        <v>2800</v>
      </c>
      <c r="N632" s="1"/>
      <c r="O632" s="1"/>
      <c r="P632" s="1"/>
      <c r="Q632" s="59">
        <f t="shared" si="238"/>
        <v>0</v>
      </c>
      <c r="R632" s="59">
        <f t="shared" si="239"/>
        <v>2800</v>
      </c>
      <c r="T632" s="4" t="s">
        <v>516</v>
      </c>
    </row>
    <row r="633" spans="1:20" ht="15.75" customHeight="1" x14ac:dyDescent="0.3">
      <c r="A633" s="74" t="s">
        <v>520</v>
      </c>
      <c r="B633" s="1"/>
      <c r="C633" s="1"/>
      <c r="D633" s="1">
        <v>300</v>
      </c>
      <c r="E633" s="59">
        <f t="shared" si="246"/>
        <v>300</v>
      </c>
      <c r="F633" s="1">
        <v>436</v>
      </c>
      <c r="G633" s="1">
        <v>400</v>
      </c>
      <c r="H633" s="1">
        <v>400</v>
      </c>
      <c r="I633" s="59">
        <f t="shared" si="247"/>
        <v>1236</v>
      </c>
      <c r="J633" s="1">
        <v>400</v>
      </c>
      <c r="K633" s="1">
        <v>400</v>
      </c>
      <c r="L633" s="1"/>
      <c r="M633" s="59">
        <f t="shared" si="248"/>
        <v>800</v>
      </c>
      <c r="N633" s="1"/>
      <c r="O633" s="1"/>
      <c r="P633" s="1"/>
      <c r="Q633" s="59">
        <f>SUM(N633:P633)</f>
        <v>0</v>
      </c>
      <c r="R633" s="59">
        <f>+E633+I633+M633+Q633</f>
        <v>2336</v>
      </c>
    </row>
    <row r="634" spans="1:20" ht="15.75" customHeight="1" x14ac:dyDescent="0.3">
      <c r="A634" s="74" t="s">
        <v>521</v>
      </c>
      <c r="B634" s="1"/>
      <c r="C634" s="1"/>
      <c r="D634" s="1"/>
      <c r="E634" s="59">
        <f t="shared" si="246"/>
        <v>0</v>
      </c>
      <c r="F634" s="1"/>
      <c r="G634" s="1"/>
      <c r="H634" s="1"/>
      <c r="I634" s="59">
        <f t="shared" si="247"/>
        <v>0</v>
      </c>
      <c r="J634" s="1"/>
      <c r="K634" s="1"/>
      <c r="L634" s="1"/>
      <c r="M634" s="59">
        <f t="shared" si="248"/>
        <v>0</v>
      </c>
      <c r="N634" s="1"/>
      <c r="O634" s="1"/>
      <c r="P634" s="1"/>
      <c r="Q634" s="59">
        <f t="shared" si="238"/>
        <v>0</v>
      </c>
      <c r="R634" s="59">
        <f t="shared" si="239"/>
        <v>0</v>
      </c>
      <c r="T634" s="4" t="s">
        <v>516</v>
      </c>
    </row>
    <row r="635" spans="1:20" ht="15.75" customHeight="1" x14ac:dyDescent="0.3">
      <c r="A635" s="74" t="s">
        <v>522</v>
      </c>
      <c r="B635" s="1">
        <v>210</v>
      </c>
      <c r="C635" s="1">
        <v>440</v>
      </c>
      <c r="D635" s="1">
        <v>600</v>
      </c>
      <c r="E635" s="59">
        <f t="shared" si="246"/>
        <v>1250</v>
      </c>
      <c r="F635" s="1">
        <v>1084</v>
      </c>
      <c r="G635" s="1">
        <v>400</v>
      </c>
      <c r="H635" s="1">
        <v>3</v>
      </c>
      <c r="I635" s="59">
        <f t="shared" si="247"/>
        <v>1487</v>
      </c>
      <c r="J635" s="1"/>
      <c r="K635" s="1"/>
      <c r="L635" s="1"/>
      <c r="M635" s="59">
        <f t="shared" si="248"/>
        <v>0</v>
      </c>
      <c r="N635" s="1"/>
      <c r="O635" s="1"/>
      <c r="P635" s="1"/>
      <c r="Q635" s="59">
        <f t="shared" ref="Q635" si="249">SUM(N635:P635)</f>
        <v>0</v>
      </c>
      <c r="R635" s="59">
        <f t="shared" si="239"/>
        <v>2737</v>
      </c>
    </row>
    <row r="636" spans="1:20" ht="15.75" customHeight="1" x14ac:dyDescent="0.3">
      <c r="A636" s="74" t="s">
        <v>523</v>
      </c>
      <c r="B636" s="1"/>
      <c r="C636" s="1"/>
      <c r="D636" s="1"/>
      <c r="E636" s="59">
        <f t="shared" si="246"/>
        <v>0</v>
      </c>
      <c r="F636" s="1"/>
      <c r="G636" s="1">
        <v>110</v>
      </c>
      <c r="H636" s="1">
        <v>390</v>
      </c>
      <c r="I636" s="59">
        <f t="shared" si="247"/>
        <v>500</v>
      </c>
      <c r="J636" s="1">
        <v>500</v>
      </c>
      <c r="K636" s="1">
        <v>500</v>
      </c>
      <c r="L636" s="1"/>
      <c r="M636" s="59">
        <f t="shared" si="248"/>
        <v>1000</v>
      </c>
      <c r="N636" s="1"/>
      <c r="O636" s="1"/>
      <c r="P636" s="1"/>
      <c r="Q636" s="59">
        <f t="shared" ref="Q636" si="250">SUM(N636:P636)</f>
        <v>0</v>
      </c>
      <c r="R636" s="59">
        <f t="shared" si="239"/>
        <v>1500</v>
      </c>
    </row>
    <row r="637" spans="1:20" ht="15.75" customHeight="1" x14ac:dyDescent="0.3">
      <c r="A637" s="74" t="s">
        <v>524</v>
      </c>
      <c r="B637" s="1">
        <v>1603</v>
      </c>
      <c r="C637" s="1">
        <v>2792</v>
      </c>
      <c r="D637" s="1">
        <v>3744</v>
      </c>
      <c r="E637" s="59">
        <f>SUM(B637:D637)</f>
        <v>8139</v>
      </c>
      <c r="F637" s="1">
        <v>1858</v>
      </c>
      <c r="G637" s="1">
        <v>1498</v>
      </c>
      <c r="H637" s="1">
        <v>3525</v>
      </c>
      <c r="I637" s="59">
        <f>SUM(F637:H637)</f>
        <v>6881</v>
      </c>
      <c r="J637" s="1">
        <v>1604</v>
      </c>
      <c r="K637" s="1">
        <v>418</v>
      </c>
      <c r="L637" s="1">
        <v>2292</v>
      </c>
      <c r="M637" s="59">
        <f>SUM(J637:L637)</f>
        <v>4314</v>
      </c>
      <c r="N637" s="1">
        <v>1956</v>
      </c>
      <c r="O637" s="1"/>
      <c r="P637" s="1">
        <v>3210</v>
      </c>
      <c r="Q637" s="59">
        <f>SUM(N637:P637)</f>
        <v>5166</v>
      </c>
      <c r="R637" s="59">
        <f>+E637+I637+M637+Q637</f>
        <v>24500</v>
      </c>
      <c r="T637" s="4" t="s">
        <v>514</v>
      </c>
    </row>
    <row r="638" spans="1:20" ht="15.75" customHeight="1" x14ac:dyDescent="0.3">
      <c r="A638" s="17" t="s">
        <v>47</v>
      </c>
      <c r="B638" s="1"/>
      <c r="C638" s="1"/>
      <c r="D638" s="1"/>
      <c r="E638" s="59" t="s">
        <v>7</v>
      </c>
      <c r="F638" s="1"/>
      <c r="G638" s="1"/>
      <c r="H638" s="1"/>
      <c r="I638" s="59" t="s">
        <v>7</v>
      </c>
      <c r="J638" s="1"/>
      <c r="K638" s="1"/>
      <c r="L638" s="1"/>
      <c r="M638" s="59" t="s">
        <v>7</v>
      </c>
      <c r="N638" s="1"/>
      <c r="O638" s="1"/>
      <c r="P638" s="1"/>
      <c r="Q638" s="59" t="s">
        <v>7</v>
      </c>
      <c r="R638" s="59" t="s">
        <v>7</v>
      </c>
    </row>
    <row r="639" spans="1:20" ht="15.75" customHeight="1" x14ac:dyDescent="0.3">
      <c r="A639" s="74" t="s">
        <v>521</v>
      </c>
      <c r="B639" s="1"/>
      <c r="C639" s="1"/>
      <c r="D639" s="1"/>
      <c r="E639" s="59">
        <f>SUM(B639:D639)</f>
        <v>0</v>
      </c>
      <c r="F639" s="1"/>
      <c r="G639" s="1"/>
      <c r="H639" s="1"/>
      <c r="I639" s="59">
        <f>SUM(F639:H639)</f>
        <v>0</v>
      </c>
      <c r="J639" s="1"/>
      <c r="K639" s="1"/>
      <c r="L639" s="1"/>
      <c r="M639" s="59">
        <f>SUM(J639:L639)</f>
        <v>0</v>
      </c>
      <c r="N639" s="1"/>
      <c r="O639" s="1"/>
      <c r="P639" s="1"/>
      <c r="Q639" s="59">
        <f>SUM(N639:P639)</f>
        <v>0</v>
      </c>
      <c r="R639" s="59">
        <f>+E639+I639+M639+Q639</f>
        <v>0</v>
      </c>
      <c r="T639" s="4" t="s">
        <v>516</v>
      </c>
    </row>
    <row r="640" spans="1:20" ht="15.75" customHeight="1" x14ac:dyDescent="0.3">
      <c r="A640" s="17" t="s">
        <v>49</v>
      </c>
      <c r="B640" s="1"/>
      <c r="C640" s="1"/>
      <c r="D640" s="1"/>
      <c r="E640" s="59" t="s">
        <v>7</v>
      </c>
      <c r="F640" s="1"/>
      <c r="G640" s="1"/>
      <c r="H640" s="1"/>
      <c r="I640" s="59" t="s">
        <v>7</v>
      </c>
      <c r="J640" s="1"/>
      <c r="K640" s="1"/>
      <c r="L640" s="1"/>
      <c r="M640" s="59" t="s">
        <v>7</v>
      </c>
      <c r="N640" s="1"/>
      <c r="O640" s="1"/>
      <c r="P640" s="1"/>
      <c r="Q640" s="59" t="s">
        <v>7</v>
      </c>
      <c r="R640" s="59" t="s">
        <v>7</v>
      </c>
    </row>
    <row r="641" spans="1:20" ht="15.75" customHeight="1" x14ac:dyDescent="0.3">
      <c r="A641" s="74" t="s">
        <v>525</v>
      </c>
      <c r="B641" s="1"/>
      <c r="C641" s="1"/>
      <c r="D641" s="1"/>
      <c r="E641" s="59">
        <f>SUM(B641:D641)</f>
        <v>0</v>
      </c>
      <c r="F641" s="1"/>
      <c r="G641" s="1"/>
      <c r="H641" s="1"/>
      <c r="I641" s="59">
        <f>SUM(F641:H641)</f>
        <v>0</v>
      </c>
      <c r="J641" s="1"/>
      <c r="K641" s="1"/>
      <c r="L641" s="1"/>
      <c r="M641" s="59">
        <f>SUM(J641:L641)</f>
        <v>0</v>
      </c>
      <c r="N641" s="1"/>
      <c r="O641" s="1"/>
      <c r="P641" s="1"/>
      <c r="Q641" s="59">
        <f>SUM(N641:P641)</f>
        <v>0</v>
      </c>
      <c r="R641" s="59">
        <f>+E641+I641+M641+Q641</f>
        <v>0</v>
      </c>
      <c r="S641" s="77" t="s">
        <v>90</v>
      </c>
      <c r="T641" s="4" t="s">
        <v>516</v>
      </c>
    </row>
    <row r="642" spans="1:20" ht="15.75" customHeight="1" thickBot="1" x14ac:dyDescent="0.35">
      <c r="A642" s="17" t="s">
        <v>51</v>
      </c>
      <c r="B642" s="1"/>
      <c r="C642" s="1"/>
      <c r="D642" s="1"/>
      <c r="E642" s="59" t="s">
        <v>7</v>
      </c>
      <c r="F642" s="1"/>
      <c r="G642" s="1"/>
      <c r="H642" s="1"/>
      <c r="I642" s="59" t="s">
        <v>7</v>
      </c>
      <c r="J642" s="1"/>
      <c r="K642" s="1"/>
      <c r="L642" s="1"/>
      <c r="M642" s="59" t="s">
        <v>7</v>
      </c>
      <c r="N642" s="1"/>
      <c r="O642" s="1"/>
      <c r="P642" s="1"/>
      <c r="Q642" s="59" t="s">
        <v>7</v>
      </c>
      <c r="R642" s="59" t="s">
        <v>7</v>
      </c>
    </row>
    <row r="643" spans="1:20" ht="16.5" customHeight="1" thickBot="1" x14ac:dyDescent="0.35">
      <c r="A643" s="126" t="s">
        <v>52</v>
      </c>
      <c r="B643" s="100">
        <f>SUM(B624:B642)</f>
        <v>2113</v>
      </c>
      <c r="C643" s="101">
        <f>SUM(C624:C642)</f>
        <v>4092</v>
      </c>
      <c r="D643" s="101">
        <f>SUM(D624:D642)</f>
        <v>5558</v>
      </c>
      <c r="E643" s="64">
        <f>SUM(B643:D643)</f>
        <v>11763</v>
      </c>
      <c r="F643" s="101">
        <f>SUM(F624:F642)</f>
        <v>5112</v>
      </c>
      <c r="G643" s="101">
        <f>SUM(G624:G642)</f>
        <v>3514</v>
      </c>
      <c r="H643" s="101">
        <f>SUM(H624:H642)</f>
        <v>6810</v>
      </c>
      <c r="I643" s="64">
        <f>SUM(F643:H643)</f>
        <v>15436</v>
      </c>
      <c r="J643" s="101">
        <f>SUM(J624:J642)</f>
        <v>4868</v>
      </c>
      <c r="K643" s="101">
        <f>SUM(K624:K642)</f>
        <v>4129</v>
      </c>
      <c r="L643" s="101">
        <f>SUM(L624:L642)</f>
        <v>5365</v>
      </c>
      <c r="M643" s="64">
        <f>SUM(J643:L643)</f>
        <v>14362</v>
      </c>
      <c r="N643" s="101">
        <f>SUM(N624:N642)</f>
        <v>2157</v>
      </c>
      <c r="O643" s="101">
        <f>SUM(O624:O642)</f>
        <v>0</v>
      </c>
      <c r="P643" s="101">
        <f>SUM(P624:P642)</f>
        <v>3515</v>
      </c>
      <c r="Q643" s="64">
        <f>SUM(N643:P643)</f>
        <v>5672</v>
      </c>
      <c r="R643" s="64">
        <f>+E643+I643+M643+Q643</f>
        <v>47233</v>
      </c>
    </row>
    <row r="644" spans="1:20" ht="15.75" customHeight="1" x14ac:dyDescent="0.3">
      <c r="A644" s="17" t="s">
        <v>53</v>
      </c>
      <c r="B644" s="1"/>
      <c r="C644" s="1"/>
      <c r="D644" s="1"/>
      <c r="E644" s="59" t="s">
        <v>7</v>
      </c>
      <c r="F644" s="1"/>
      <c r="G644" s="1"/>
      <c r="H644" s="1"/>
      <c r="I644" s="59" t="s">
        <v>7</v>
      </c>
      <c r="J644" s="1"/>
      <c r="K644" s="1"/>
      <c r="L644" s="1"/>
      <c r="M644" s="59" t="s">
        <v>7</v>
      </c>
      <c r="N644" s="1"/>
      <c r="O644" s="1"/>
      <c r="P644" s="1"/>
      <c r="Q644" s="59" t="s">
        <v>7</v>
      </c>
      <c r="R644" s="59" t="s">
        <v>7</v>
      </c>
    </row>
    <row r="645" spans="1:20" ht="15.75" customHeight="1" x14ac:dyDescent="0.3">
      <c r="A645" s="17" t="s">
        <v>55</v>
      </c>
      <c r="B645" s="1"/>
      <c r="C645" s="1"/>
      <c r="D645" s="1"/>
      <c r="E645" s="59" t="s">
        <v>7</v>
      </c>
      <c r="F645" s="1"/>
      <c r="G645" s="1"/>
      <c r="H645" s="1"/>
      <c r="I645" s="59" t="s">
        <v>7</v>
      </c>
      <c r="J645" s="1"/>
      <c r="K645" s="1"/>
      <c r="L645" s="1"/>
      <c r="M645" s="59" t="s">
        <v>7</v>
      </c>
      <c r="N645" s="1"/>
      <c r="O645" s="1"/>
      <c r="P645" s="1"/>
      <c r="Q645" s="59" t="s">
        <v>7</v>
      </c>
      <c r="R645" s="59" t="s">
        <v>7</v>
      </c>
    </row>
    <row r="646" spans="1:20" ht="15.75" customHeight="1" x14ac:dyDescent="0.3">
      <c r="A646" s="74" t="s">
        <v>526</v>
      </c>
      <c r="B646" s="1"/>
      <c r="C646" s="1"/>
      <c r="D646" s="1"/>
      <c r="E646" s="59">
        <f>SUM(B646:D646)</f>
        <v>0</v>
      </c>
      <c r="F646" s="1"/>
      <c r="G646" s="1"/>
      <c r="H646" s="1"/>
      <c r="I646" s="59">
        <f>SUM(F646:H646)</f>
        <v>0</v>
      </c>
      <c r="J646" s="1"/>
      <c r="K646" s="1"/>
      <c r="L646" s="1"/>
      <c r="M646" s="59">
        <f>SUM(J646:L646)</f>
        <v>0</v>
      </c>
      <c r="N646" s="1"/>
      <c r="O646" s="1"/>
      <c r="P646" s="1"/>
      <c r="Q646" s="59">
        <f>SUM(N646:P646)</f>
        <v>0</v>
      </c>
      <c r="R646" s="59">
        <f>+E646+I646+M646+Q646</f>
        <v>0</v>
      </c>
    </row>
    <row r="647" spans="1:20" ht="15.75" customHeight="1" x14ac:dyDescent="0.3">
      <c r="A647" s="74" t="s">
        <v>527</v>
      </c>
      <c r="B647" s="1"/>
      <c r="C647" s="1"/>
      <c r="D647" s="1"/>
      <c r="E647" s="59">
        <f>SUM(B647:D647)</f>
        <v>0</v>
      </c>
      <c r="F647" s="1"/>
      <c r="G647" s="1"/>
      <c r="H647" s="1"/>
      <c r="I647" s="59">
        <f>SUM(F647:H647)</f>
        <v>0</v>
      </c>
      <c r="J647" s="1"/>
      <c r="K647" s="1"/>
      <c r="L647" s="1"/>
      <c r="M647" s="59">
        <f>SUM(J647:L647)</f>
        <v>0</v>
      </c>
      <c r="N647" s="1"/>
      <c r="O647" s="1"/>
      <c r="P647" s="1"/>
      <c r="Q647" s="59">
        <f>SUM(N647:P647)</f>
        <v>0</v>
      </c>
      <c r="R647" s="59">
        <f>+E647+I647+M647+Q647</f>
        <v>0</v>
      </c>
    </row>
    <row r="648" spans="1:20" ht="15.75" customHeight="1" thickBot="1" x14ac:dyDescent="0.35">
      <c r="A648" s="17" t="s">
        <v>56</v>
      </c>
      <c r="B648" s="1"/>
      <c r="C648" s="1"/>
      <c r="D648" s="1"/>
      <c r="E648" s="59" t="s">
        <v>7</v>
      </c>
      <c r="F648" s="1"/>
      <c r="G648" s="1"/>
      <c r="H648" s="1"/>
      <c r="I648" s="59" t="s">
        <v>7</v>
      </c>
      <c r="J648" s="1"/>
      <c r="K648" s="1"/>
      <c r="L648" s="1"/>
      <c r="M648" s="59" t="s">
        <v>7</v>
      </c>
      <c r="N648" s="1"/>
      <c r="O648" s="1"/>
      <c r="P648" s="1"/>
      <c r="Q648" s="59" t="s">
        <v>7</v>
      </c>
      <c r="R648" s="59" t="s">
        <v>7</v>
      </c>
    </row>
    <row r="649" spans="1:20" ht="16.5" customHeight="1" thickBot="1" x14ac:dyDescent="0.35">
      <c r="A649" s="62" t="s">
        <v>57</v>
      </c>
      <c r="B649" s="100">
        <f>SUM(B644:B648)</f>
        <v>0</v>
      </c>
      <c r="C649" s="101">
        <f>SUM(C644:C648)</f>
        <v>0</v>
      </c>
      <c r="D649" s="101">
        <f>SUM(D644:D648)</f>
        <v>0</v>
      </c>
      <c r="E649" s="64">
        <f>SUM(B649:D649)</f>
        <v>0</v>
      </c>
      <c r="F649" s="101">
        <f>SUM(F644:F648)</f>
        <v>0</v>
      </c>
      <c r="G649" s="101">
        <f>SUM(G644:G648)</f>
        <v>0</v>
      </c>
      <c r="H649" s="101">
        <f>SUM(H644:H648)</f>
        <v>0</v>
      </c>
      <c r="I649" s="64">
        <f>SUM(F649:H649)</f>
        <v>0</v>
      </c>
      <c r="J649" s="101">
        <f>SUM(J644:J648)</f>
        <v>0</v>
      </c>
      <c r="K649" s="101">
        <f>SUM(K644:K648)</f>
        <v>0</v>
      </c>
      <c r="L649" s="101">
        <f>SUM(L644:L648)</f>
        <v>0</v>
      </c>
      <c r="M649" s="64">
        <f>SUM(J649:L649)</f>
        <v>0</v>
      </c>
      <c r="N649" s="101">
        <f>SUM(N644:N648)</f>
        <v>0</v>
      </c>
      <c r="O649" s="101">
        <f>SUM(O644:O648)</f>
        <v>0</v>
      </c>
      <c r="P649" s="101">
        <f>SUM(P644:P648)</f>
        <v>0</v>
      </c>
      <c r="Q649" s="64">
        <f>SUM(N649:P649)</f>
        <v>0</v>
      </c>
      <c r="R649" s="64">
        <f>+E649+I649+M649+Q649</f>
        <v>0</v>
      </c>
    </row>
    <row r="650" spans="1:20" ht="15.75" customHeight="1" x14ac:dyDescent="0.3">
      <c r="A650" s="17" t="s">
        <v>58</v>
      </c>
      <c r="B650" s="1"/>
      <c r="C650" s="1"/>
      <c r="D650" s="1"/>
      <c r="E650" s="59" t="s">
        <v>7</v>
      </c>
      <c r="F650" s="1"/>
      <c r="G650" s="1"/>
      <c r="H650" s="1"/>
      <c r="I650" s="59" t="s">
        <v>7</v>
      </c>
      <c r="J650" s="1"/>
      <c r="K650" s="1"/>
      <c r="L650" s="1"/>
      <c r="M650" s="59" t="s">
        <v>7</v>
      </c>
      <c r="N650" s="1"/>
      <c r="O650" s="1"/>
      <c r="P650" s="1"/>
      <c r="Q650" s="59" t="s">
        <v>7</v>
      </c>
      <c r="R650" s="59" t="s">
        <v>7</v>
      </c>
    </row>
    <row r="651" spans="1:20" ht="15.75" customHeight="1" x14ac:dyDescent="0.3">
      <c r="A651" s="17" t="s">
        <v>59</v>
      </c>
      <c r="B651" s="1"/>
      <c r="C651" s="1"/>
      <c r="D651" s="1"/>
      <c r="E651" s="59" t="s">
        <v>7</v>
      </c>
      <c r="F651" s="1"/>
      <c r="G651" s="1"/>
      <c r="H651" s="1"/>
      <c r="I651" s="59" t="s">
        <v>7</v>
      </c>
      <c r="J651" s="1"/>
      <c r="K651" s="1"/>
      <c r="L651" s="1"/>
      <c r="M651" s="59" t="s">
        <v>7</v>
      </c>
      <c r="N651" s="1"/>
      <c r="O651" s="1"/>
      <c r="P651" s="1"/>
      <c r="Q651" s="59" t="s">
        <v>7</v>
      </c>
      <c r="R651" s="59" t="s">
        <v>7</v>
      </c>
    </row>
    <row r="652" spans="1:20" ht="15.75" customHeight="1" x14ac:dyDescent="0.3">
      <c r="A652" s="17" t="s">
        <v>60</v>
      </c>
      <c r="B652" s="1"/>
      <c r="C652" s="1"/>
      <c r="D652" s="1"/>
      <c r="E652" s="59" t="s">
        <v>7</v>
      </c>
      <c r="F652" s="1"/>
      <c r="G652" s="1"/>
      <c r="H652" s="1"/>
      <c r="I652" s="59" t="s">
        <v>7</v>
      </c>
      <c r="J652" s="1"/>
      <c r="K652" s="1"/>
      <c r="L652" s="1"/>
      <c r="M652" s="59" t="s">
        <v>7</v>
      </c>
      <c r="N652" s="1"/>
      <c r="O652" s="1"/>
      <c r="P652" s="1"/>
      <c r="Q652" s="59" t="s">
        <v>7</v>
      </c>
      <c r="R652" s="59" t="s">
        <v>7</v>
      </c>
    </row>
    <row r="653" spans="1:20" ht="15.75" customHeight="1" x14ac:dyDescent="0.3">
      <c r="A653" s="74" t="s">
        <v>528</v>
      </c>
      <c r="B653" s="1"/>
      <c r="C653" s="1"/>
      <c r="D653" s="1"/>
      <c r="E653" s="59">
        <f t="shared" ref="E653:E655" si="251">SUM(B653:D653)</f>
        <v>0</v>
      </c>
      <c r="F653" s="1"/>
      <c r="G653" s="1"/>
      <c r="H653" s="1"/>
      <c r="I653" s="59">
        <f t="shared" ref="I653:I654" si="252">SUM(F653:H653)</f>
        <v>0</v>
      </c>
      <c r="J653" s="1"/>
      <c r="K653" s="1"/>
      <c r="L653" s="1"/>
      <c r="M653" s="59">
        <f t="shared" ref="M653:M655" si="253">SUM(J653:L653)</f>
        <v>0</v>
      </c>
      <c r="N653" s="1"/>
      <c r="O653" s="1"/>
      <c r="P653" s="1">
        <v>402</v>
      </c>
      <c r="Q653" s="59">
        <f>SUM(N653:P653)</f>
        <v>402</v>
      </c>
      <c r="R653" s="59">
        <f>+E653+I653+M653+Q653</f>
        <v>402</v>
      </c>
      <c r="T653" s="4" t="s">
        <v>516</v>
      </c>
    </row>
    <row r="654" spans="1:20" ht="15.75" customHeight="1" x14ac:dyDescent="0.3">
      <c r="A654" s="74" t="s">
        <v>529</v>
      </c>
      <c r="B654" s="1"/>
      <c r="C654" s="1"/>
      <c r="D654" s="1"/>
      <c r="E654" s="59">
        <f t="shared" si="251"/>
        <v>0</v>
      </c>
      <c r="F654" s="1"/>
      <c r="G654" s="1"/>
      <c r="H654" s="1"/>
      <c r="I654" s="59">
        <f t="shared" si="252"/>
        <v>0</v>
      </c>
      <c r="J654" s="1"/>
      <c r="K654" s="1"/>
      <c r="L654" s="1"/>
      <c r="M654" s="59">
        <f t="shared" si="253"/>
        <v>0</v>
      </c>
      <c r="N654" s="1"/>
      <c r="O654" s="1"/>
      <c r="P654" s="1"/>
      <c r="Q654" s="59">
        <f t="shared" ref="Q654" si="254">SUM(N654:P654)</f>
        <v>0</v>
      </c>
      <c r="R654" s="59">
        <f t="shared" ref="R654:R658" si="255">+E654+I654+M654+Q654</f>
        <v>0</v>
      </c>
    </row>
    <row r="655" spans="1:20" ht="15.75" customHeight="1" x14ac:dyDescent="0.3">
      <c r="A655" s="74" t="s">
        <v>530</v>
      </c>
      <c r="B655" s="1">
        <v>500</v>
      </c>
      <c r="C655" s="1">
        <v>500</v>
      </c>
      <c r="D655" s="1"/>
      <c r="E655" s="59">
        <f t="shared" si="251"/>
        <v>1000</v>
      </c>
      <c r="F655" s="1"/>
      <c r="G655" s="1"/>
      <c r="H655" s="1"/>
      <c r="I655" s="59">
        <f t="shared" ref="I655" si="256">SUM(F655:H655)</f>
        <v>0</v>
      </c>
      <c r="J655" s="1"/>
      <c r="K655" s="1"/>
      <c r="L655" s="1"/>
      <c r="M655" s="59">
        <f t="shared" si="253"/>
        <v>0</v>
      </c>
      <c r="N655" s="1"/>
      <c r="O655" s="1"/>
      <c r="P655" s="1"/>
      <c r="Q655" s="59">
        <f t="shared" ref="Q655:Q657" si="257">SUM(N655:P655)</f>
        <v>0</v>
      </c>
      <c r="R655" s="59">
        <f t="shared" si="255"/>
        <v>1000</v>
      </c>
    </row>
    <row r="656" spans="1:20" ht="15.75" customHeight="1" x14ac:dyDescent="0.3">
      <c r="A656" s="74" t="s">
        <v>531</v>
      </c>
      <c r="B656" s="1"/>
      <c r="C656" s="1"/>
      <c r="D656" s="1"/>
      <c r="E656" s="59">
        <f>SUM(B656:D656)</f>
        <v>0</v>
      </c>
      <c r="F656" s="1"/>
      <c r="G656" s="1"/>
      <c r="H656" s="1"/>
      <c r="I656" s="59">
        <f>SUM(F656:H656)</f>
        <v>0</v>
      </c>
      <c r="J656" s="1"/>
      <c r="K656" s="1"/>
      <c r="L656" s="1"/>
      <c r="M656" s="59">
        <f>SUM(J656:L656)</f>
        <v>0</v>
      </c>
      <c r="N656" s="1"/>
      <c r="O656" s="1"/>
      <c r="P656" s="1"/>
      <c r="Q656" s="59">
        <f t="shared" si="257"/>
        <v>0</v>
      </c>
      <c r="R656" s="59">
        <f t="shared" si="255"/>
        <v>0</v>
      </c>
    </row>
    <row r="657" spans="1:20" ht="15.75" customHeight="1" x14ac:dyDescent="0.3">
      <c r="A657" s="74" t="s">
        <v>532</v>
      </c>
      <c r="B657" s="1"/>
      <c r="C657" s="1"/>
      <c r="D657" s="1"/>
      <c r="E657" s="59">
        <f>SUM(B657:D657)</f>
        <v>0</v>
      </c>
      <c r="F657" s="1"/>
      <c r="G657" s="1"/>
      <c r="H657" s="1"/>
      <c r="I657" s="59">
        <f>SUM(F657:H657)</f>
        <v>0</v>
      </c>
      <c r="J657" s="1"/>
      <c r="K657" s="1"/>
      <c r="L657" s="1"/>
      <c r="M657" s="59">
        <f>SUM(J657:L657)</f>
        <v>0</v>
      </c>
      <c r="N657" s="1"/>
      <c r="O657" s="1"/>
      <c r="P657" s="1">
        <v>403</v>
      </c>
      <c r="Q657" s="59">
        <f t="shared" si="257"/>
        <v>403</v>
      </c>
      <c r="R657" s="59">
        <f t="shared" si="255"/>
        <v>403</v>
      </c>
    </row>
    <row r="658" spans="1:20" s="375" customFormat="1" ht="15.75" customHeight="1" x14ac:dyDescent="0.3">
      <c r="A658" s="76" t="s">
        <v>533</v>
      </c>
      <c r="B658" s="1"/>
      <c r="C658" s="1"/>
      <c r="D658" s="1"/>
      <c r="E658" s="59">
        <f>SUM(B658:D658)</f>
        <v>0</v>
      </c>
      <c r="F658" s="1"/>
      <c r="G658" s="1"/>
      <c r="H658" s="1"/>
      <c r="I658" s="59">
        <f>SUM(F658:H658)</f>
        <v>0</v>
      </c>
      <c r="J658" s="1"/>
      <c r="K658" s="1"/>
      <c r="L658" s="1">
        <v>866</v>
      </c>
      <c r="M658" s="59">
        <f>SUM(J658:L658)</f>
        <v>866</v>
      </c>
      <c r="N658" s="1">
        <v>546</v>
      </c>
      <c r="O658" s="1">
        <v>90</v>
      </c>
      <c r="P658" s="1"/>
      <c r="Q658" s="59">
        <f>SUM(N658:P658)</f>
        <v>636</v>
      </c>
      <c r="R658" s="59">
        <f t="shared" si="255"/>
        <v>1502</v>
      </c>
    </row>
    <row r="659" spans="1:20" ht="15.75" customHeight="1" thickBot="1" x14ac:dyDescent="0.35">
      <c r="A659" s="74" t="s">
        <v>534</v>
      </c>
      <c r="B659" s="1"/>
      <c r="C659" s="1"/>
      <c r="D659" s="1"/>
      <c r="E659" s="59">
        <f>SUM(B659:D659)</f>
        <v>0</v>
      </c>
      <c r="F659" s="1"/>
      <c r="G659" s="1"/>
      <c r="H659" s="1"/>
      <c r="I659" s="59">
        <f>SUM(F659:H659)</f>
        <v>0</v>
      </c>
      <c r="J659" s="1"/>
      <c r="K659" s="1"/>
      <c r="L659" s="1"/>
      <c r="M659" s="59">
        <f>SUM(J659:L659)</f>
        <v>0</v>
      </c>
      <c r="N659" s="1"/>
      <c r="O659" s="1"/>
      <c r="P659" s="1"/>
      <c r="Q659" s="59">
        <f>SUM(N659:P659)</f>
        <v>0</v>
      </c>
      <c r="R659" s="59">
        <f>+E659+I659+M659+Q659</f>
        <v>0</v>
      </c>
      <c r="T659" s="4" t="s">
        <v>516</v>
      </c>
    </row>
    <row r="660" spans="1:20" ht="16.5" customHeight="1" thickBot="1" x14ac:dyDescent="0.35">
      <c r="A660" s="137" t="s">
        <v>61</v>
      </c>
      <c r="B660" s="100">
        <f>SUM(B650:B659)</f>
        <v>500</v>
      </c>
      <c r="C660" s="101">
        <f>SUM(C650:C659)</f>
        <v>500</v>
      </c>
      <c r="D660" s="101">
        <f>SUM(D650:D659)</f>
        <v>0</v>
      </c>
      <c r="E660" s="64">
        <f>SUM(B660:D660)</f>
        <v>1000</v>
      </c>
      <c r="F660" s="101">
        <f>SUM(F650:F659)</f>
        <v>0</v>
      </c>
      <c r="G660" s="101">
        <f>SUM(G650:G659)</f>
        <v>0</v>
      </c>
      <c r="H660" s="101">
        <f>SUM(H650:H659)</f>
        <v>0</v>
      </c>
      <c r="I660" s="64">
        <f>SUM(F660:H660)</f>
        <v>0</v>
      </c>
      <c r="J660" s="101">
        <f>SUM(J650:J659)</f>
        <v>0</v>
      </c>
      <c r="K660" s="101">
        <f>SUM(K650:K659)</f>
        <v>0</v>
      </c>
      <c r="L660" s="101">
        <f>SUM(L650:L659)</f>
        <v>866</v>
      </c>
      <c r="M660" s="64">
        <f>SUM(J660:L660)</f>
        <v>866</v>
      </c>
      <c r="N660" s="101">
        <f>SUM(N650:N659)</f>
        <v>546</v>
      </c>
      <c r="O660" s="101">
        <f>SUM(O650:O659)</f>
        <v>90</v>
      </c>
      <c r="P660" s="101">
        <f>SUM(P650:P659)</f>
        <v>805</v>
      </c>
      <c r="Q660" s="64">
        <f>SUM(N660:P660)</f>
        <v>1441</v>
      </c>
      <c r="R660" s="64">
        <f>+E660+I660+M660+Q660</f>
        <v>3307</v>
      </c>
    </row>
    <row r="661" spans="1:20" ht="15.75" customHeight="1" x14ac:dyDescent="0.3">
      <c r="A661" s="17" t="s">
        <v>62</v>
      </c>
      <c r="B661" s="1"/>
      <c r="C661" s="1"/>
      <c r="D661" s="1"/>
      <c r="E661" s="59" t="s">
        <v>7</v>
      </c>
      <c r="F661" s="1"/>
      <c r="G661" s="1"/>
      <c r="H661" s="1"/>
      <c r="I661" s="59" t="s">
        <v>7</v>
      </c>
      <c r="J661" s="1"/>
      <c r="K661" s="1"/>
      <c r="L661" s="1"/>
      <c r="M661" s="59" t="s">
        <v>7</v>
      </c>
      <c r="N661" s="1"/>
      <c r="O661" s="1"/>
      <c r="P661" s="1"/>
      <c r="Q661" s="59" t="s">
        <v>7</v>
      </c>
      <c r="R661" s="59" t="s">
        <v>7</v>
      </c>
    </row>
    <row r="662" spans="1:20" ht="15.75" customHeight="1" x14ac:dyDescent="0.3">
      <c r="A662" s="17" t="s">
        <v>63</v>
      </c>
      <c r="B662" s="1"/>
      <c r="C662" s="1"/>
      <c r="D662" s="1"/>
      <c r="E662" s="59" t="s">
        <v>7</v>
      </c>
      <c r="F662" s="1"/>
      <c r="G662" s="1"/>
      <c r="H662" s="1"/>
      <c r="I662" s="59" t="s">
        <v>7</v>
      </c>
      <c r="J662" s="1"/>
      <c r="K662" s="1"/>
      <c r="L662" s="1"/>
      <c r="M662" s="59" t="s">
        <v>7</v>
      </c>
      <c r="N662" s="1"/>
      <c r="O662" s="1"/>
      <c r="P662" s="1"/>
      <c r="Q662" s="59" t="s">
        <v>7</v>
      </c>
      <c r="R662" s="59" t="s">
        <v>7</v>
      </c>
    </row>
    <row r="663" spans="1:20" ht="15.75" customHeight="1" x14ac:dyDescent="0.3">
      <c r="A663" s="74" t="s">
        <v>535</v>
      </c>
      <c r="B663" s="1"/>
      <c r="C663" s="1"/>
      <c r="D663" s="1"/>
      <c r="E663" s="59">
        <f>SUM(B663:D663)</f>
        <v>0</v>
      </c>
      <c r="F663" s="1"/>
      <c r="G663" s="1"/>
      <c r="H663" s="1"/>
      <c r="I663" s="59">
        <f>SUM(F663:H663)</f>
        <v>0</v>
      </c>
      <c r="J663" s="1"/>
      <c r="K663" s="1"/>
      <c r="L663" s="1"/>
      <c r="M663" s="59">
        <f>SUM(J663:L663)</f>
        <v>0</v>
      </c>
      <c r="N663" s="1"/>
      <c r="O663" s="1"/>
      <c r="P663" s="1"/>
      <c r="Q663" s="59">
        <f>SUM(N663:P663)</f>
        <v>0</v>
      </c>
      <c r="R663" s="59">
        <f>+E663+I663+M663+Q663</f>
        <v>0</v>
      </c>
      <c r="T663" s="4" t="s">
        <v>516</v>
      </c>
    </row>
    <row r="664" spans="1:20" ht="15.75" customHeight="1" x14ac:dyDescent="0.3">
      <c r="A664" s="74" t="s">
        <v>536</v>
      </c>
      <c r="B664" s="1"/>
      <c r="C664" s="1"/>
      <c r="D664" s="1"/>
      <c r="E664" s="59">
        <f>SUM(B664:D664)</f>
        <v>0</v>
      </c>
      <c r="F664" s="1"/>
      <c r="G664" s="1"/>
      <c r="H664" s="1"/>
      <c r="I664" s="59">
        <f>SUM(F664:H664)</f>
        <v>0</v>
      </c>
      <c r="J664" s="1"/>
      <c r="K664" s="1"/>
      <c r="L664" s="1"/>
      <c r="M664" s="59">
        <f>SUM(J664:L664)</f>
        <v>0</v>
      </c>
      <c r="N664" s="1"/>
      <c r="O664" s="1"/>
      <c r="P664" s="1"/>
      <c r="Q664" s="59">
        <f>SUM(N664:P664)</f>
        <v>0</v>
      </c>
      <c r="R664" s="59">
        <f>+E664+I664+M664+Q664</f>
        <v>0</v>
      </c>
      <c r="T664" s="4" t="s">
        <v>516</v>
      </c>
    </row>
    <row r="665" spans="1:20" ht="15.75" customHeight="1" x14ac:dyDescent="0.3">
      <c r="A665" s="17" t="s">
        <v>64</v>
      </c>
      <c r="B665" s="1"/>
      <c r="C665" s="1"/>
      <c r="D665" s="1"/>
      <c r="E665" s="59" t="s">
        <v>7</v>
      </c>
      <c r="F665" s="1"/>
      <c r="G665" s="1"/>
      <c r="H665" s="1"/>
      <c r="I665" s="59" t="s">
        <v>7</v>
      </c>
      <c r="J665" s="1"/>
      <c r="K665" s="1"/>
      <c r="L665" s="1"/>
      <c r="M665" s="59" t="s">
        <v>7</v>
      </c>
      <c r="N665" s="1"/>
      <c r="O665" s="1"/>
      <c r="P665" s="1"/>
      <c r="Q665" s="59" t="s">
        <v>7</v>
      </c>
      <c r="R665" s="59" t="s">
        <v>7</v>
      </c>
    </row>
    <row r="666" spans="1:20" ht="15.75" customHeight="1" x14ac:dyDescent="0.3">
      <c r="A666" s="74" t="s">
        <v>537</v>
      </c>
      <c r="B666" s="1"/>
      <c r="C666" s="1"/>
      <c r="D666" s="1"/>
      <c r="E666" s="59">
        <f>SUM(B666:D666)</f>
        <v>0</v>
      </c>
      <c r="F666" s="1"/>
      <c r="G666" s="1"/>
      <c r="H666" s="1"/>
      <c r="I666" s="59">
        <f>SUM(F666:H666)</f>
        <v>0</v>
      </c>
      <c r="J666" s="1"/>
      <c r="K666" s="1"/>
      <c r="L666" s="1"/>
      <c r="M666" s="59">
        <f>SUM(J666:L666)</f>
        <v>0</v>
      </c>
      <c r="N666" s="1"/>
      <c r="O666" s="1"/>
      <c r="P666" s="1"/>
      <c r="Q666" s="59">
        <f>SUM(N666:P666)</f>
        <v>0</v>
      </c>
      <c r="R666" s="59">
        <f>+E666+I666+M666+Q666</f>
        <v>0</v>
      </c>
    </row>
    <row r="667" spans="1:20" ht="15.75" customHeight="1" x14ac:dyDescent="0.3">
      <c r="A667" s="74" t="s">
        <v>538</v>
      </c>
      <c r="B667" s="1"/>
      <c r="C667" s="1"/>
      <c r="D667" s="1"/>
      <c r="E667" s="59">
        <f>SUM(B667:D667)</f>
        <v>0</v>
      </c>
      <c r="F667" s="1"/>
      <c r="G667" s="1"/>
      <c r="H667" s="1"/>
      <c r="I667" s="59">
        <f>SUM(F667:H667)</f>
        <v>0</v>
      </c>
      <c r="J667" s="1"/>
      <c r="K667" s="1"/>
      <c r="L667" s="1"/>
      <c r="M667" s="59">
        <f>SUM(J667:L667)</f>
        <v>0</v>
      </c>
      <c r="N667" s="1"/>
      <c r="O667" s="1"/>
      <c r="P667" s="1"/>
      <c r="Q667" s="59">
        <f>SUM(N667:P667)</f>
        <v>0</v>
      </c>
      <c r="R667" s="59">
        <f>+E667+I667+M667+Q667</f>
        <v>0</v>
      </c>
    </row>
    <row r="668" spans="1:20" ht="15.75" customHeight="1" x14ac:dyDescent="0.3">
      <c r="A668" s="74" t="s">
        <v>539</v>
      </c>
      <c r="B668" s="1"/>
      <c r="C668" s="1"/>
      <c r="D668" s="1"/>
      <c r="E668" s="59">
        <f>SUM(B668:D668)</f>
        <v>0</v>
      </c>
      <c r="F668" s="1"/>
      <c r="G668" s="1"/>
      <c r="H668" s="1"/>
      <c r="I668" s="59">
        <f>SUM(F668:H668)</f>
        <v>0</v>
      </c>
      <c r="J668" s="1"/>
      <c r="K668" s="1"/>
      <c r="L668" s="1"/>
      <c r="M668" s="59">
        <f>SUM(J668:L668)</f>
        <v>0</v>
      </c>
      <c r="N668" s="1"/>
      <c r="O668" s="1"/>
      <c r="P668" s="1"/>
      <c r="Q668" s="59">
        <f>SUM(N668:P668)</f>
        <v>0</v>
      </c>
      <c r="R668" s="59">
        <f>+E668+I668+M668+Q668</f>
        <v>0</v>
      </c>
      <c r="T668" s="4" t="s">
        <v>516</v>
      </c>
    </row>
    <row r="669" spans="1:20" ht="15.75" customHeight="1" x14ac:dyDescent="0.3">
      <c r="A669" s="74" t="s">
        <v>540</v>
      </c>
      <c r="B669" s="1"/>
      <c r="C669" s="1"/>
      <c r="D669" s="1"/>
      <c r="E669" s="59">
        <f>SUM(B669:D669)</f>
        <v>0</v>
      </c>
      <c r="F669" s="1"/>
      <c r="G669" s="1"/>
      <c r="H669" s="1"/>
      <c r="I669" s="59">
        <f>SUM(F669:H669)</f>
        <v>0</v>
      </c>
      <c r="J669" s="1"/>
      <c r="K669" s="1"/>
      <c r="L669" s="1"/>
      <c r="M669" s="59">
        <f>SUM(J669:L669)</f>
        <v>0</v>
      </c>
      <c r="N669" s="1"/>
      <c r="O669" s="1"/>
      <c r="P669" s="1"/>
      <c r="Q669" s="59">
        <f>SUM(N669:P669)</f>
        <v>0</v>
      </c>
      <c r="R669" s="59">
        <f>+E669+I669+M669+Q669</f>
        <v>0</v>
      </c>
      <c r="T669" s="4" t="s">
        <v>516</v>
      </c>
    </row>
    <row r="670" spans="1:20" ht="15.75" customHeight="1" x14ac:dyDescent="0.3">
      <c r="A670" s="17" t="s">
        <v>66</v>
      </c>
      <c r="B670" s="1"/>
      <c r="C670" s="1"/>
      <c r="D670" s="1"/>
      <c r="E670" s="59" t="s">
        <v>7</v>
      </c>
      <c r="F670" s="1"/>
      <c r="G670" s="1"/>
      <c r="H670" s="1"/>
      <c r="I670" s="59" t="s">
        <v>7</v>
      </c>
      <c r="J670" s="1"/>
      <c r="K670" s="1"/>
      <c r="L670" s="1"/>
      <c r="M670" s="59" t="s">
        <v>7</v>
      </c>
      <c r="N670" s="1"/>
      <c r="O670" s="1"/>
      <c r="P670" s="1"/>
      <c r="Q670" s="59" t="s">
        <v>7</v>
      </c>
      <c r="R670" s="59" t="s">
        <v>7</v>
      </c>
    </row>
    <row r="671" spans="1:20" ht="15.75" customHeight="1" x14ac:dyDescent="0.3">
      <c r="A671" s="74" t="s">
        <v>541</v>
      </c>
      <c r="B671" s="1"/>
      <c r="C671" s="1"/>
      <c r="D671" s="1"/>
      <c r="E671" s="59">
        <f>SUM(B671:D671)</f>
        <v>0</v>
      </c>
      <c r="F671" s="1"/>
      <c r="G671" s="1"/>
      <c r="H671" s="1"/>
      <c r="I671" s="59">
        <f>SUM(F671:H671)</f>
        <v>0</v>
      </c>
      <c r="J671" s="1"/>
      <c r="K671" s="1"/>
      <c r="L671" s="1"/>
      <c r="M671" s="59">
        <f>SUM(J671:L671)</f>
        <v>0</v>
      </c>
      <c r="N671" s="1"/>
      <c r="O671" s="1"/>
      <c r="P671" s="1"/>
      <c r="Q671" s="59">
        <f>SUM(N671:P671)</f>
        <v>0</v>
      </c>
      <c r="R671" s="59">
        <f>+E671+I671+M671+Q671</f>
        <v>0</v>
      </c>
    </row>
    <row r="672" spans="1:20" ht="15.75" customHeight="1" x14ac:dyDescent="0.3">
      <c r="A672" s="74" t="s">
        <v>542</v>
      </c>
      <c r="B672" s="1"/>
      <c r="C672" s="1"/>
      <c r="D672" s="1"/>
      <c r="E672" s="59">
        <f>SUM(B672:D672)</f>
        <v>0</v>
      </c>
      <c r="F672" s="1"/>
      <c r="G672" s="1"/>
      <c r="H672" s="1"/>
      <c r="I672" s="59">
        <f>SUM(F672:H672)</f>
        <v>0</v>
      </c>
      <c r="J672" s="1"/>
      <c r="K672" s="1"/>
      <c r="L672" s="1"/>
      <c r="M672" s="59">
        <f>SUM(J672:L672)</f>
        <v>0</v>
      </c>
      <c r="N672" s="1"/>
      <c r="O672" s="1"/>
      <c r="P672" s="1"/>
      <c r="Q672" s="59">
        <f>SUM(N672:P672)</f>
        <v>0</v>
      </c>
      <c r="R672" s="59">
        <f>+E672+I672+M672+Q672</f>
        <v>0</v>
      </c>
    </row>
    <row r="673" spans="1:18" ht="15.75" customHeight="1" x14ac:dyDescent="0.3">
      <c r="A673" s="17" t="s">
        <v>67</v>
      </c>
      <c r="B673" s="1"/>
      <c r="C673" s="1"/>
      <c r="D673" s="1"/>
      <c r="E673" s="59" t="s">
        <v>7</v>
      </c>
      <c r="F673" s="1"/>
      <c r="G673" s="1"/>
      <c r="H673" s="1"/>
      <c r="I673" s="59" t="s">
        <v>7</v>
      </c>
      <c r="J673" s="1"/>
      <c r="K673" s="1"/>
      <c r="L673" s="1"/>
      <c r="M673" s="59" t="s">
        <v>7</v>
      </c>
      <c r="N673" s="1"/>
      <c r="O673" s="1"/>
      <c r="P673" s="1"/>
      <c r="Q673" s="59" t="s">
        <v>7</v>
      </c>
      <c r="R673" s="59" t="s">
        <v>7</v>
      </c>
    </row>
    <row r="674" spans="1:18" ht="15.75" customHeight="1" x14ac:dyDescent="0.3">
      <c r="A674" s="74" t="s">
        <v>543</v>
      </c>
      <c r="B674" s="1"/>
      <c r="C674" s="1"/>
      <c r="D674" s="1"/>
      <c r="E674" s="59">
        <f t="shared" ref="E674:E676" si="258">SUM(B674:D674)</f>
        <v>0</v>
      </c>
      <c r="F674" s="1"/>
      <c r="G674" s="1"/>
      <c r="H674" s="1"/>
      <c r="I674" s="59">
        <f t="shared" ref="I674:I676" si="259">SUM(F674:H674)</f>
        <v>0</v>
      </c>
      <c r="J674" s="1"/>
      <c r="K674" s="1"/>
      <c r="L674" s="1"/>
      <c r="M674" s="59">
        <f t="shared" ref="M674:M676" si="260">SUM(J674:L674)</f>
        <v>0</v>
      </c>
      <c r="N674" s="1"/>
      <c r="O674" s="1"/>
      <c r="P674" s="1"/>
      <c r="Q674" s="59">
        <f t="shared" ref="Q674:Q680" si="261">SUM(N674:P674)</f>
        <v>0</v>
      </c>
      <c r="R674" s="59">
        <f t="shared" ref="R674:R680" si="262">+E674+I674+M674+Q674</f>
        <v>0</v>
      </c>
    </row>
    <row r="675" spans="1:18" ht="15.75" customHeight="1" x14ac:dyDescent="0.3">
      <c r="A675" s="74" t="s">
        <v>544</v>
      </c>
      <c r="B675" s="1"/>
      <c r="C675" s="1"/>
      <c r="D675" s="1"/>
      <c r="E675" s="59">
        <f t="shared" ref="E675" si="263">SUM(B675:D675)</f>
        <v>0</v>
      </c>
      <c r="F675" s="1"/>
      <c r="G675" s="1"/>
      <c r="H675" s="1"/>
      <c r="I675" s="59">
        <f t="shared" ref="I675" si="264">SUM(F675:H675)</f>
        <v>0</v>
      </c>
      <c r="J675" s="1"/>
      <c r="K675" s="1"/>
      <c r="L675" s="1"/>
      <c r="M675" s="59">
        <f t="shared" ref="M675" si="265">SUM(J675:L675)</f>
        <v>0</v>
      </c>
      <c r="N675" s="1"/>
      <c r="O675" s="1"/>
      <c r="P675" s="1"/>
      <c r="Q675" s="59">
        <f t="shared" ref="Q675" si="266">SUM(N675:P675)</f>
        <v>0</v>
      </c>
      <c r="R675" s="59">
        <f t="shared" si="262"/>
        <v>0</v>
      </c>
    </row>
    <row r="676" spans="1:18" ht="15.75" customHeight="1" thickBot="1" x14ac:dyDescent="0.35">
      <c r="A676" s="74" t="s">
        <v>545</v>
      </c>
      <c r="B676" s="1"/>
      <c r="C676" s="1"/>
      <c r="D676" s="1"/>
      <c r="E676" s="59">
        <f t="shared" si="258"/>
        <v>0</v>
      </c>
      <c r="F676" s="1"/>
      <c r="G676" s="1"/>
      <c r="H676" s="1"/>
      <c r="I676" s="59">
        <f t="shared" si="259"/>
        <v>0</v>
      </c>
      <c r="J676" s="1"/>
      <c r="K676" s="1"/>
      <c r="L676" s="1"/>
      <c r="M676" s="59">
        <f t="shared" si="260"/>
        <v>0</v>
      </c>
      <c r="N676" s="1"/>
      <c r="O676" s="1"/>
      <c r="P676" s="1"/>
      <c r="Q676" s="59">
        <f t="shared" si="261"/>
        <v>0</v>
      </c>
      <c r="R676" s="59">
        <f t="shared" si="262"/>
        <v>0</v>
      </c>
    </row>
    <row r="677" spans="1:18" ht="16.5" customHeight="1" thickBot="1" x14ac:dyDescent="0.35">
      <c r="A677" s="62" t="s">
        <v>68</v>
      </c>
      <c r="B677" s="344">
        <f>SUM(B670:B676)</f>
        <v>0</v>
      </c>
      <c r="C677" s="344">
        <f>SUM(C670:C676)</f>
        <v>0</v>
      </c>
      <c r="D677" s="344">
        <f>SUM(D670:D676)</f>
        <v>0</v>
      </c>
      <c r="E677" s="334">
        <f t="shared" ref="E677:E680" si="267">SUM(B677:D677)</f>
        <v>0</v>
      </c>
      <c r="F677" s="344">
        <f>SUM(F670:F676)</f>
        <v>0</v>
      </c>
      <c r="G677" s="344">
        <f>SUM(G670:G676)</f>
        <v>0</v>
      </c>
      <c r="H677" s="344">
        <f>SUM(H670:H676)</f>
        <v>0</v>
      </c>
      <c r="I677" s="334">
        <f t="shared" ref="I677:I680" si="268">SUM(F677:H677)</f>
        <v>0</v>
      </c>
      <c r="J677" s="344">
        <f>SUM(J670:J676)</f>
        <v>0</v>
      </c>
      <c r="K677" s="344">
        <f>SUM(K670:K676)</f>
        <v>0</v>
      </c>
      <c r="L677" s="344">
        <f>SUM(L670:L676)</f>
        <v>0</v>
      </c>
      <c r="M677" s="334">
        <f t="shared" ref="M677:M680" si="269">SUM(J677:L677)</f>
        <v>0</v>
      </c>
      <c r="N677" s="344">
        <f>SUM(N670:N676)</f>
        <v>0</v>
      </c>
      <c r="O677" s="344">
        <f>SUM(O670:O676)</f>
        <v>0</v>
      </c>
      <c r="P677" s="344">
        <f>SUM(P670:P676)</f>
        <v>0</v>
      </c>
      <c r="Q677" s="334">
        <f t="shared" si="261"/>
        <v>0</v>
      </c>
      <c r="R677" s="64">
        <f t="shared" si="262"/>
        <v>0</v>
      </c>
    </row>
    <row r="678" spans="1:18" ht="16.5" customHeight="1" thickBot="1" x14ac:dyDescent="0.35">
      <c r="A678" s="137" t="s">
        <v>69</v>
      </c>
      <c r="B678" s="100">
        <f>SUM(B661:B676)</f>
        <v>0</v>
      </c>
      <c r="C678" s="101">
        <f>SUM(C661:C676)</f>
        <v>0</v>
      </c>
      <c r="D678" s="138">
        <f>SUM(D661:D676)</f>
        <v>0</v>
      </c>
      <c r="E678" s="334">
        <f t="shared" si="267"/>
        <v>0</v>
      </c>
      <c r="F678" s="100">
        <f>SUM(F661:F676)</f>
        <v>0</v>
      </c>
      <c r="G678" s="101">
        <f>SUM(G661:G676)</f>
        <v>0</v>
      </c>
      <c r="H678" s="138">
        <f>SUM(H661:H676)</f>
        <v>0</v>
      </c>
      <c r="I678" s="334">
        <f t="shared" si="268"/>
        <v>0</v>
      </c>
      <c r="J678" s="100">
        <f>SUM(J661:J676)</f>
        <v>0</v>
      </c>
      <c r="K678" s="101">
        <f>SUM(K661:K676)</f>
        <v>0</v>
      </c>
      <c r="L678" s="138">
        <f>SUM(L661:L676)</f>
        <v>0</v>
      </c>
      <c r="M678" s="334">
        <f t="shared" si="269"/>
        <v>0</v>
      </c>
      <c r="N678" s="100">
        <f>SUM(N661:N676)</f>
        <v>0</v>
      </c>
      <c r="O678" s="101">
        <f>SUM(O661:O676)</f>
        <v>0</v>
      </c>
      <c r="P678" s="138">
        <f>SUM(P661:P676)</f>
        <v>0</v>
      </c>
      <c r="Q678" s="334">
        <f t="shared" si="261"/>
        <v>0</v>
      </c>
      <c r="R678" s="64">
        <f t="shared" si="262"/>
        <v>0</v>
      </c>
    </row>
    <row r="679" spans="1:18" ht="16.5" customHeight="1" thickBot="1" x14ac:dyDescent="0.35">
      <c r="A679" s="62" t="s">
        <v>70</v>
      </c>
      <c r="B679" s="149">
        <f>+B643+B649+B660+B678</f>
        <v>2613</v>
      </c>
      <c r="C679" s="150">
        <f>+C643+C649+C660+C678</f>
        <v>4592</v>
      </c>
      <c r="D679" s="150">
        <f>+D643+D649+D660+D678</f>
        <v>5558</v>
      </c>
      <c r="E679" s="64">
        <f t="shared" si="267"/>
        <v>12763</v>
      </c>
      <c r="F679" s="63">
        <f>+F643+F649+F660+F678</f>
        <v>5112</v>
      </c>
      <c r="G679" s="63">
        <f>+G643+G649+G660+G678</f>
        <v>3514</v>
      </c>
      <c r="H679" s="63">
        <f>+H643+H649+H660+H678</f>
        <v>6810</v>
      </c>
      <c r="I679" s="64">
        <f t="shared" si="268"/>
        <v>15436</v>
      </c>
      <c r="J679" s="63">
        <f>+J643+J649+J660+J678</f>
        <v>4868</v>
      </c>
      <c r="K679" s="63">
        <f>+K643+K649+K660+K678</f>
        <v>4129</v>
      </c>
      <c r="L679" s="63">
        <f>+L643+L649+L660+L678</f>
        <v>6231</v>
      </c>
      <c r="M679" s="64">
        <f t="shared" si="269"/>
        <v>15228</v>
      </c>
      <c r="N679" s="63">
        <f>+N643+N649+N660+N678</f>
        <v>2703</v>
      </c>
      <c r="O679" s="63">
        <f>+O643+O649+O660+O678</f>
        <v>90</v>
      </c>
      <c r="P679" s="63">
        <f>+P643+P649+P660+P678</f>
        <v>4320</v>
      </c>
      <c r="Q679" s="64">
        <f t="shared" si="261"/>
        <v>7113</v>
      </c>
      <c r="R679" s="88">
        <f t="shared" si="262"/>
        <v>50540</v>
      </c>
    </row>
    <row r="680" spans="1:18" ht="16.5" customHeight="1" thickBot="1" x14ac:dyDescent="0.35">
      <c r="A680" s="40" t="s">
        <v>37</v>
      </c>
      <c r="B680" s="25">
        <v>17</v>
      </c>
      <c r="C680" s="25">
        <v>47</v>
      </c>
      <c r="D680" s="25">
        <v>84</v>
      </c>
      <c r="E680" s="59">
        <f t="shared" si="267"/>
        <v>148</v>
      </c>
      <c r="F680" s="25">
        <v>116</v>
      </c>
      <c r="G680" s="25">
        <v>132</v>
      </c>
      <c r="H680" s="25">
        <v>138</v>
      </c>
      <c r="I680" s="59">
        <f t="shared" si="268"/>
        <v>386</v>
      </c>
      <c r="J680" s="25">
        <v>126</v>
      </c>
      <c r="K680" s="25">
        <v>95</v>
      </c>
      <c r="L680" s="25">
        <v>99</v>
      </c>
      <c r="M680" s="59">
        <f t="shared" si="269"/>
        <v>320</v>
      </c>
      <c r="N680" s="25">
        <v>91</v>
      </c>
      <c r="O680" s="25">
        <v>67</v>
      </c>
      <c r="P680" s="25">
        <v>38</v>
      </c>
      <c r="Q680" s="59">
        <f t="shared" si="261"/>
        <v>196</v>
      </c>
      <c r="R680" s="59">
        <f t="shared" si="262"/>
        <v>1050</v>
      </c>
    </row>
    <row r="681" spans="1:18" ht="16.5" customHeight="1" thickBot="1" x14ac:dyDescent="0.35">
      <c r="A681" s="42"/>
      <c r="B681" s="37"/>
      <c r="C681" s="37"/>
      <c r="D681" s="37"/>
      <c r="E681" s="43"/>
      <c r="F681" s="37"/>
      <c r="G681" s="37"/>
      <c r="H681" s="37"/>
      <c r="I681" s="43"/>
      <c r="J681" s="37"/>
      <c r="K681" s="37"/>
      <c r="L681" s="37"/>
      <c r="M681" s="43"/>
      <c r="N681" s="37"/>
      <c r="O681" s="37"/>
      <c r="P681" s="37"/>
      <c r="Q681" s="43"/>
      <c r="R681" s="43"/>
    </row>
    <row r="682" spans="1:18" ht="15.75" customHeight="1" x14ac:dyDescent="0.3">
      <c r="A682" s="335" t="s">
        <v>507</v>
      </c>
      <c r="B682" s="336">
        <f>SUM(B679:B680)</f>
        <v>2630</v>
      </c>
      <c r="C682" s="336">
        <f>SUM(C679:C680)</f>
        <v>4639</v>
      </c>
      <c r="D682" s="336">
        <f>SUM(D679:D680)</f>
        <v>5642</v>
      </c>
      <c r="E682" s="334">
        <f>SUM(B682:D682)</f>
        <v>12911</v>
      </c>
      <c r="F682" s="336">
        <f>SUM(F679:F680)</f>
        <v>5228</v>
      </c>
      <c r="G682" s="336">
        <f>SUM(G679:G680)</f>
        <v>3646</v>
      </c>
      <c r="H682" s="336">
        <f>SUM(H679:H680)</f>
        <v>6948</v>
      </c>
      <c r="I682" s="334">
        <f>SUM(F682:H682)</f>
        <v>15822</v>
      </c>
      <c r="J682" s="336">
        <f>SUM(J679:J680)</f>
        <v>4994</v>
      </c>
      <c r="K682" s="336">
        <f>SUM(K679:K680)</f>
        <v>4224</v>
      </c>
      <c r="L682" s="336">
        <f>SUM(L679:L680)</f>
        <v>6330</v>
      </c>
      <c r="M682" s="334">
        <f>SUM(J682:L682)</f>
        <v>15548</v>
      </c>
      <c r="N682" s="336">
        <f>SUM(N679:N680)</f>
        <v>2794</v>
      </c>
      <c r="O682" s="336">
        <f>SUM(O679:O680)</f>
        <v>157</v>
      </c>
      <c r="P682" s="336">
        <f>SUM(P679:P680)</f>
        <v>4358</v>
      </c>
      <c r="Q682" s="334">
        <f>SUM(N682:P682)</f>
        <v>7309</v>
      </c>
      <c r="R682" s="334">
        <f>+E682+I682+M682+Q682</f>
        <v>51590</v>
      </c>
    </row>
    <row r="683" spans="1:18" ht="15.75" customHeight="1" x14ac:dyDescent="0.3">
      <c r="A683" s="85" t="s">
        <v>39</v>
      </c>
      <c r="B683" s="1">
        <f>(B682/B10)/1.983</f>
        <v>42.783010427342084</v>
      </c>
      <c r="C683" s="1">
        <f>(C682/C10)/1.983</f>
        <v>83.54945609105971</v>
      </c>
      <c r="D683" s="1">
        <f>(D682/D10)/1.983</f>
        <v>91.780131114473022</v>
      </c>
      <c r="E683" s="59" t="s">
        <v>7</v>
      </c>
      <c r="F683" s="1">
        <f>(F682/F10)/1.983</f>
        <v>87.880316019499077</v>
      </c>
      <c r="G683" s="1">
        <f>(G682/G10)/1.983</f>
        <v>59.31059164185902</v>
      </c>
      <c r="H683" s="1">
        <f>(H682/H10)/1.983</f>
        <v>116.79273827534038</v>
      </c>
      <c r="I683" s="59" t="s">
        <v>7</v>
      </c>
      <c r="J683" s="1">
        <f>(J682/J10)/1.983</f>
        <v>81.238917898914963</v>
      </c>
      <c r="K683" s="1">
        <f>(K682/K10)/1.983</f>
        <v>68.713093553267285</v>
      </c>
      <c r="L683" s="1">
        <f>(L682/L10)/1.983</f>
        <v>106.40443772062531</v>
      </c>
      <c r="M683" s="59" t="s">
        <v>7</v>
      </c>
      <c r="N683" s="1">
        <f>(N682/N10)/1.983</f>
        <v>45.450848339921585</v>
      </c>
      <c r="O683" s="1">
        <f>(O682/O10)/1.983</f>
        <v>2.6390990082366783</v>
      </c>
      <c r="P683" s="1">
        <f>(P682/P10)/1.983</f>
        <v>70.892912335496888</v>
      </c>
      <c r="Q683" s="59" t="s">
        <v>7</v>
      </c>
      <c r="R683" s="59" t="s">
        <v>7</v>
      </c>
    </row>
    <row r="684" spans="1:18" ht="15.75" customHeight="1" x14ac:dyDescent="0.3">
      <c r="A684" s="85" t="s">
        <v>546</v>
      </c>
      <c r="B684" s="1">
        <f>B682+B694</f>
        <v>11511</v>
      </c>
      <c r="C684" s="1">
        <f>C682+C694</f>
        <v>18131</v>
      </c>
      <c r="D684" s="1">
        <f>D682+D694</f>
        <v>25777</v>
      </c>
      <c r="E684" s="59">
        <f>SUM(B684:D684)</f>
        <v>55419</v>
      </c>
      <c r="F684" s="1">
        <f>F682+F694</f>
        <v>28951</v>
      </c>
      <c r="G684" s="1">
        <f>G682+G694</f>
        <v>28966</v>
      </c>
      <c r="H684" s="1">
        <f>H682+H694</f>
        <v>30653</v>
      </c>
      <c r="I684" s="59">
        <f>SUM(F684:H684)</f>
        <v>88570</v>
      </c>
      <c r="J684" s="1">
        <f>J682+J694</f>
        <v>26718</v>
      </c>
      <c r="K684" s="1">
        <f>K682+K694</f>
        <v>25246</v>
      </c>
      <c r="L684" s="1">
        <f>L682+L694</f>
        <v>22277</v>
      </c>
      <c r="M684" s="59">
        <f>SUM(J684:L684)</f>
        <v>74241</v>
      </c>
      <c r="N684" s="1">
        <f>N682+N694</f>
        <v>13923</v>
      </c>
      <c r="O684" s="1">
        <f>O682+O694</f>
        <v>744</v>
      </c>
      <c r="P684" s="1">
        <f>P682+P694</f>
        <v>19169</v>
      </c>
      <c r="Q684" s="59">
        <f>SUM(N684:P684)</f>
        <v>33836</v>
      </c>
      <c r="R684" s="59">
        <f>+E684+I684+M684+Q684</f>
        <v>252066</v>
      </c>
    </row>
    <row r="685" spans="1:18" ht="16.5" customHeight="1" thickBot="1" x14ac:dyDescent="0.35">
      <c r="A685" s="86" t="s">
        <v>547</v>
      </c>
      <c r="B685" s="87">
        <f>(B684/B10)/1.983</f>
        <v>187.25294031526033</v>
      </c>
      <c r="C685" s="87">
        <f>(C684/C10)/1.983</f>
        <v>326.54347669476266</v>
      </c>
      <c r="D685" s="87">
        <f>(D684/D10)/1.983</f>
        <v>419.32230410098742</v>
      </c>
      <c r="E685" s="88" t="s">
        <v>7</v>
      </c>
      <c r="F685" s="87">
        <f>(F684/F10)/1.983</f>
        <v>486.6532190284081</v>
      </c>
      <c r="G685" s="87">
        <f>(G684/G10)/1.983</f>
        <v>471.19873765718279</v>
      </c>
      <c r="H685" s="87">
        <f>(H684/H10)/1.983</f>
        <v>515.26306942343251</v>
      </c>
      <c r="I685" s="88" t="s">
        <v>7</v>
      </c>
      <c r="J685" s="87">
        <f>(J684/J10)/1.983</f>
        <v>434.62983748962955</v>
      </c>
      <c r="K685" s="87">
        <f>(K684/K10)/1.983</f>
        <v>410.68436549379402</v>
      </c>
      <c r="L685" s="87">
        <f>(L684/L10)/1.983</f>
        <v>374.46629685661458</v>
      </c>
      <c r="M685" s="88" t="s">
        <v>7</v>
      </c>
      <c r="N685" s="87">
        <f>(N684/N10)/1.983</f>
        <v>226.4896783953931</v>
      </c>
      <c r="O685" s="87">
        <f>(O684/O10)/1.983</f>
        <v>12.506303580433686</v>
      </c>
      <c r="P685" s="87">
        <f>(P684/P10)/1.983</f>
        <v>311.8279569892473</v>
      </c>
      <c r="Q685" s="88" t="s">
        <v>7</v>
      </c>
      <c r="R685" s="88" t="s">
        <v>7</v>
      </c>
    </row>
    <row r="686" spans="1:18" ht="15.75" customHeight="1" x14ac:dyDescent="0.3">
      <c r="A686" s="28"/>
      <c r="B686" s="1"/>
      <c r="C686" s="1"/>
      <c r="D686" s="1"/>
      <c r="E686" s="1"/>
      <c r="F686" s="1"/>
      <c r="G686" s="1"/>
      <c r="H686" s="1"/>
      <c r="I686" s="1"/>
      <c r="J686" s="1"/>
      <c r="K686" s="1"/>
      <c r="L686" s="1"/>
      <c r="M686" s="1"/>
      <c r="N686" s="1"/>
      <c r="O686" s="1"/>
      <c r="P686" s="1"/>
      <c r="Q686" s="1"/>
      <c r="R686" s="28"/>
    </row>
    <row r="687" spans="1:18" ht="16.5" customHeight="1" thickBot="1" x14ac:dyDescent="0.35">
      <c r="A687" s="123"/>
      <c r="B687" s="25"/>
      <c r="C687" s="25"/>
      <c r="D687" s="25"/>
      <c r="E687" s="25"/>
      <c r="F687" s="25"/>
      <c r="G687" s="25"/>
      <c r="H687" s="25"/>
      <c r="I687" s="25"/>
      <c r="J687" s="25"/>
      <c r="K687" s="25"/>
      <c r="L687" s="25"/>
      <c r="M687" s="25"/>
      <c r="N687" s="25"/>
      <c r="O687" s="25"/>
      <c r="P687" s="25"/>
      <c r="Q687" s="25"/>
      <c r="R687" s="123"/>
    </row>
    <row r="688" spans="1:18" ht="16.5" customHeight="1" thickBot="1" x14ac:dyDescent="0.35">
      <c r="A688" s="343" t="s">
        <v>548</v>
      </c>
      <c r="B688" s="323" t="s">
        <v>36</v>
      </c>
      <c r="C688" s="324" t="s">
        <v>9</v>
      </c>
      <c r="D688" s="324" t="s">
        <v>10</v>
      </c>
      <c r="E688" s="325" t="s">
        <v>11</v>
      </c>
      <c r="F688" s="324" t="s">
        <v>12</v>
      </c>
      <c r="G688" s="324" t="s">
        <v>13</v>
      </c>
      <c r="H688" s="324" t="s">
        <v>14</v>
      </c>
      <c r="I688" s="34" t="s">
        <v>15</v>
      </c>
      <c r="J688" s="324" t="s">
        <v>16</v>
      </c>
      <c r="K688" s="324" t="s">
        <v>17</v>
      </c>
      <c r="L688" s="324" t="s">
        <v>18</v>
      </c>
      <c r="M688" s="34" t="s">
        <v>19</v>
      </c>
      <c r="N688" s="324" t="s">
        <v>20</v>
      </c>
      <c r="O688" s="324" t="s">
        <v>21</v>
      </c>
      <c r="P688" s="324" t="s">
        <v>22</v>
      </c>
      <c r="Q688" s="325" t="s">
        <v>23</v>
      </c>
      <c r="R688" s="332" t="s">
        <v>24</v>
      </c>
    </row>
    <row r="689" spans="1:18" ht="16.5" customHeight="1" thickBot="1" x14ac:dyDescent="0.35">
      <c r="A689" s="42"/>
      <c r="B689" s="37"/>
      <c r="C689" s="37"/>
      <c r="D689" s="37"/>
      <c r="E689" s="38"/>
      <c r="F689" s="37"/>
      <c r="G689" s="37"/>
      <c r="H689" s="37"/>
      <c r="I689" s="38"/>
      <c r="J689" s="37"/>
      <c r="K689" s="37"/>
      <c r="L689" s="37"/>
      <c r="M689" s="38"/>
      <c r="N689" s="37"/>
      <c r="O689" s="37"/>
      <c r="P689" s="37"/>
      <c r="Q689" s="151"/>
      <c r="R689" s="152"/>
    </row>
    <row r="690" spans="1:18" ht="16.5" customHeight="1" thickBot="1" x14ac:dyDescent="0.35">
      <c r="A690" s="40" t="s">
        <v>37</v>
      </c>
      <c r="B690" s="25">
        <v>20</v>
      </c>
      <c r="C690" s="25">
        <v>22</v>
      </c>
      <c r="D690" s="25">
        <v>28</v>
      </c>
      <c r="E690" s="59">
        <f>SUM(B690:D690)</f>
        <v>70</v>
      </c>
      <c r="F690" s="25">
        <v>37</v>
      </c>
      <c r="G690" s="25">
        <v>42</v>
      </c>
      <c r="H690" s="25">
        <v>44</v>
      </c>
      <c r="I690" s="59">
        <f>SUM(F690:H690)</f>
        <v>123</v>
      </c>
      <c r="J690" s="25">
        <v>39</v>
      </c>
      <c r="K690" s="25">
        <v>36</v>
      </c>
      <c r="L690" s="25">
        <v>34</v>
      </c>
      <c r="M690" s="59">
        <f>SUM(J690:L690)</f>
        <v>109</v>
      </c>
      <c r="N690" s="25">
        <v>29</v>
      </c>
      <c r="O690" s="25">
        <v>23</v>
      </c>
      <c r="P690" s="25">
        <v>19</v>
      </c>
      <c r="Q690" s="59">
        <f>SUM(N690:P690)</f>
        <v>71</v>
      </c>
      <c r="R690" s="59">
        <f>+E690+I690+M690+Q690</f>
        <v>373</v>
      </c>
    </row>
    <row r="691" spans="1:18" ht="16.5" customHeight="1" thickBot="1" x14ac:dyDescent="0.35">
      <c r="A691" s="42"/>
      <c r="B691" s="37"/>
      <c r="C691" s="37"/>
      <c r="D691" s="37"/>
      <c r="E691" s="16"/>
      <c r="F691" s="37"/>
      <c r="G691" s="37"/>
      <c r="H691" s="37"/>
      <c r="I691" s="16"/>
      <c r="J691" s="37"/>
      <c r="K691" s="37"/>
      <c r="L691" s="37"/>
      <c r="M691" s="16"/>
      <c r="N691" s="37"/>
      <c r="O691" s="37"/>
      <c r="P691" s="37"/>
      <c r="Q691" s="16"/>
      <c r="R691" s="43"/>
    </row>
    <row r="692" spans="1:18" ht="15.75" customHeight="1" x14ac:dyDescent="0.3">
      <c r="A692" s="335" t="s">
        <v>507</v>
      </c>
      <c r="B692" s="336">
        <f>B690</f>
        <v>20</v>
      </c>
      <c r="C692" s="336">
        <f>C690</f>
        <v>22</v>
      </c>
      <c r="D692" s="336">
        <f>D690</f>
        <v>28</v>
      </c>
      <c r="E692" s="334">
        <f>SUM(B692:D692)</f>
        <v>70</v>
      </c>
      <c r="F692" s="336">
        <f>F690</f>
        <v>37</v>
      </c>
      <c r="G692" s="336">
        <f>G690</f>
        <v>42</v>
      </c>
      <c r="H692" s="336">
        <f>H690</f>
        <v>44</v>
      </c>
      <c r="I692" s="334">
        <f>SUM(F692:H692)</f>
        <v>123</v>
      </c>
      <c r="J692" s="336">
        <f>J690</f>
        <v>39</v>
      </c>
      <c r="K692" s="336">
        <f>K690</f>
        <v>36</v>
      </c>
      <c r="L692" s="336">
        <f>L690</f>
        <v>34</v>
      </c>
      <c r="M692" s="334">
        <f>SUM(J692:L692)</f>
        <v>109</v>
      </c>
      <c r="N692" s="336">
        <f>N690</f>
        <v>29</v>
      </c>
      <c r="O692" s="336">
        <f>O690</f>
        <v>23</v>
      </c>
      <c r="P692" s="336">
        <f>P690</f>
        <v>19</v>
      </c>
      <c r="Q692" s="334">
        <f>SUM(N692:P692)</f>
        <v>71</v>
      </c>
      <c r="R692" s="334">
        <f>+E692+I692+M692+Q692</f>
        <v>373</v>
      </c>
    </row>
    <row r="693" spans="1:18" ht="15.75" customHeight="1" x14ac:dyDescent="0.3">
      <c r="A693" s="85" t="s">
        <v>39</v>
      </c>
      <c r="B693" s="1">
        <f>(B692/B10)/1.983</f>
        <v>0.32534608689993977</v>
      </c>
      <c r="C693" s="1">
        <f>(C692/C10)/1.983</f>
        <v>0.39622505583171236</v>
      </c>
      <c r="D693" s="1">
        <f>(D692/D10)/1.983</f>
        <v>0.45548452165991571</v>
      </c>
      <c r="E693" s="59" t="s">
        <v>7</v>
      </c>
      <c r="F693" s="1">
        <f>(F692/F10)/1.983</f>
        <v>0.62195326945705165</v>
      </c>
      <c r="G693" s="1">
        <f>(G692/G10)/1.983</f>
        <v>0.68322678248987356</v>
      </c>
      <c r="H693" s="1">
        <f>(H692/H10)/1.983</f>
        <v>0.73962010421919644</v>
      </c>
      <c r="I693" s="59" t="s">
        <v>7</v>
      </c>
      <c r="J693" s="1">
        <f>(J692/J10)/1.983</f>
        <v>0.63442486945488263</v>
      </c>
      <c r="K693" s="1">
        <f>(K692/K10)/1.983</f>
        <v>0.5856229564198917</v>
      </c>
      <c r="L693" s="1">
        <f>(L692/L10)/1.983</f>
        <v>0.57152462598756093</v>
      </c>
      <c r="M693" s="59" t="s">
        <v>7</v>
      </c>
      <c r="N693" s="1">
        <f>(N692/N10)/1.983</f>
        <v>0.47175182600491267</v>
      </c>
      <c r="O693" s="1">
        <f>(O692/O10)/1.983</f>
        <v>0.38661959993276179</v>
      </c>
      <c r="P693" s="1">
        <f>(P692/P10)/1.983</f>
        <v>0.30907878255494281</v>
      </c>
      <c r="Q693" s="59" t="s">
        <v>7</v>
      </c>
      <c r="R693" s="59" t="s">
        <v>7</v>
      </c>
    </row>
    <row r="694" spans="1:18" ht="15.75" customHeight="1" x14ac:dyDescent="0.3">
      <c r="A694" s="85" t="s">
        <v>549</v>
      </c>
      <c r="B694" s="1">
        <f>B692+B730</f>
        <v>8881</v>
      </c>
      <c r="C694" s="1">
        <f>C692+C730</f>
        <v>13492</v>
      </c>
      <c r="D694" s="1">
        <f>D692+D730</f>
        <v>20135</v>
      </c>
      <c r="E694" s="59">
        <f>SUM(B694:D694)</f>
        <v>42508</v>
      </c>
      <c r="F694" s="1">
        <f>F692+F730</f>
        <v>23723</v>
      </c>
      <c r="G694" s="1">
        <f>G692+G730</f>
        <v>25320</v>
      </c>
      <c r="H694" s="1">
        <f>H692+H730</f>
        <v>23705</v>
      </c>
      <c r="I694" s="59">
        <f>SUM(F694:H694)</f>
        <v>72748</v>
      </c>
      <c r="J694" s="1">
        <f>J692+J730</f>
        <v>21724</v>
      </c>
      <c r="K694" s="1">
        <f>K692+K730</f>
        <v>21022</v>
      </c>
      <c r="L694" s="1">
        <f>L692+L730</f>
        <v>15947</v>
      </c>
      <c r="M694" s="59">
        <f>SUM(J694:L694)</f>
        <v>58693</v>
      </c>
      <c r="N694" s="1">
        <f>N692+N730</f>
        <v>11129</v>
      </c>
      <c r="O694" s="1">
        <f>O692+O730</f>
        <v>587</v>
      </c>
      <c r="P694" s="1">
        <f>P692+P730</f>
        <v>14811</v>
      </c>
      <c r="Q694" s="59">
        <f>SUM(N694:P694)</f>
        <v>26527</v>
      </c>
      <c r="R694" s="59">
        <f>+E694+I694+M694+Q694</f>
        <v>200476</v>
      </c>
    </row>
    <row r="695" spans="1:18" ht="16.5" customHeight="1" thickBot="1" x14ac:dyDescent="0.35">
      <c r="A695" s="86" t="s">
        <v>550</v>
      </c>
      <c r="B695" s="87">
        <f>(B694/B10)/1.983</f>
        <v>144.46992988791828</v>
      </c>
      <c r="C695" s="87">
        <f>(C694/C10)/1.983</f>
        <v>242.99402060370289</v>
      </c>
      <c r="D695" s="87">
        <f>(D694/D10)/1.983</f>
        <v>327.5421729865144</v>
      </c>
      <c r="E695" s="88" t="s">
        <v>7</v>
      </c>
      <c r="F695" s="87">
        <f>(F694/F10)/1.983</f>
        <v>398.77290300890905</v>
      </c>
      <c r="G695" s="87">
        <f>(G694/G10)/1.983</f>
        <v>411.88814601532374</v>
      </c>
      <c r="H695" s="87">
        <f>(H694/H10)/1.983</f>
        <v>398.4703311480921</v>
      </c>
      <c r="I695" s="88" t="s">
        <v>7</v>
      </c>
      <c r="J695" s="87">
        <f>(J694/J10)/1.983</f>
        <v>353.39091959071459</v>
      </c>
      <c r="K695" s="87">
        <f>(K694/K10)/1.983</f>
        <v>341.97127194052672</v>
      </c>
      <c r="L695" s="87">
        <f>(L694/L10)/1.983</f>
        <v>268.06185913598927</v>
      </c>
      <c r="M695" s="88" t="s">
        <v>7</v>
      </c>
      <c r="N695" s="87">
        <f>(N694/N10)/1.983</f>
        <v>181.03883005547149</v>
      </c>
      <c r="O695" s="87">
        <f>(O694/O10)/1.983</f>
        <v>9.8672045721970072</v>
      </c>
      <c r="P695" s="87">
        <f>(P694/P10)/1.983</f>
        <v>240.9350446537504</v>
      </c>
      <c r="Q695" s="88" t="s">
        <v>7</v>
      </c>
      <c r="R695" s="88" t="s">
        <v>7</v>
      </c>
    </row>
    <row r="696" spans="1:18" ht="15.75" customHeight="1" x14ac:dyDescent="0.3">
      <c r="A696" s="30"/>
      <c r="B696" s="1"/>
      <c r="C696" s="1"/>
      <c r="D696" s="1"/>
      <c r="E696" s="1"/>
      <c r="F696" s="1"/>
      <c r="G696" s="1"/>
      <c r="H696" s="1"/>
      <c r="I696" s="1"/>
      <c r="J696" s="1"/>
      <c r="K696" s="1"/>
      <c r="L696" s="1"/>
      <c r="M696" s="1"/>
      <c r="N696" s="1"/>
      <c r="O696" s="1"/>
      <c r="P696" s="1"/>
      <c r="Q696" s="1"/>
      <c r="R696" s="28"/>
    </row>
    <row r="697" spans="1:18" ht="15.75" customHeight="1" thickBot="1" x14ac:dyDescent="0.35">
      <c r="A697" s="30"/>
      <c r="B697" s="1"/>
      <c r="C697" s="1"/>
      <c r="D697" s="1"/>
      <c r="E697" s="1"/>
      <c r="F697" s="1"/>
      <c r="G697" s="1"/>
      <c r="H697" s="1"/>
      <c r="I697" s="1"/>
      <c r="J697" s="1"/>
      <c r="K697" s="1"/>
      <c r="L697" s="1"/>
      <c r="M697" s="1"/>
      <c r="N697" s="1"/>
      <c r="O697" s="1"/>
      <c r="P697" s="1"/>
      <c r="Q697" s="1"/>
      <c r="R697" s="28"/>
    </row>
    <row r="698" spans="1:18" ht="16.5" customHeight="1" thickBot="1" x14ac:dyDescent="0.35">
      <c r="A698" s="31" t="s">
        <v>551</v>
      </c>
      <c r="B698" s="323" t="s">
        <v>36</v>
      </c>
      <c r="C698" s="324" t="s">
        <v>9</v>
      </c>
      <c r="D698" s="324" t="s">
        <v>10</v>
      </c>
      <c r="E698" s="325" t="s">
        <v>11</v>
      </c>
      <c r="F698" s="324" t="s">
        <v>12</v>
      </c>
      <c r="G698" s="324" t="s">
        <v>13</v>
      </c>
      <c r="H698" s="324" t="s">
        <v>14</v>
      </c>
      <c r="I698" s="34" t="s">
        <v>15</v>
      </c>
      <c r="J698" s="324" t="s">
        <v>16</v>
      </c>
      <c r="K698" s="324" t="s">
        <v>17</v>
      </c>
      <c r="L698" s="324" t="s">
        <v>18</v>
      </c>
      <c r="M698" s="34" t="s">
        <v>19</v>
      </c>
      <c r="N698" s="324" t="s">
        <v>20</v>
      </c>
      <c r="O698" s="324" t="s">
        <v>21</v>
      </c>
      <c r="P698" s="324" t="s">
        <v>22</v>
      </c>
      <c r="Q698" s="34" t="s">
        <v>23</v>
      </c>
      <c r="R698" s="326" t="s">
        <v>24</v>
      </c>
    </row>
    <row r="699" spans="1:18" ht="16.5" customHeight="1" thickBot="1" x14ac:dyDescent="0.35">
      <c r="A699" s="42"/>
      <c r="B699" s="37"/>
      <c r="C699" s="37"/>
      <c r="D699" s="37"/>
      <c r="E699" s="16"/>
      <c r="F699" s="37"/>
      <c r="G699" s="37"/>
      <c r="H699" s="37"/>
      <c r="I699" s="16"/>
      <c r="J699" s="37"/>
      <c r="K699" s="37"/>
      <c r="L699" s="37"/>
      <c r="M699" s="16"/>
      <c r="N699" s="37"/>
      <c r="O699" s="37"/>
      <c r="P699" s="37"/>
      <c r="Q699" s="16"/>
      <c r="R699" s="39"/>
    </row>
    <row r="700" spans="1:18" ht="15.75" customHeight="1" x14ac:dyDescent="0.3">
      <c r="A700" s="17" t="s">
        <v>45</v>
      </c>
      <c r="B700" s="1" t="s">
        <v>7</v>
      </c>
      <c r="C700" s="1" t="s">
        <v>7</v>
      </c>
      <c r="D700" s="1" t="s">
        <v>7</v>
      </c>
      <c r="E700" s="59" t="s">
        <v>7</v>
      </c>
      <c r="F700" s="1" t="s">
        <v>7</v>
      </c>
      <c r="G700" s="1" t="s">
        <v>7</v>
      </c>
      <c r="H700" s="1" t="s">
        <v>7</v>
      </c>
      <c r="I700" s="59" t="s">
        <v>7</v>
      </c>
      <c r="J700" s="1" t="s">
        <v>7</v>
      </c>
      <c r="K700" s="1" t="s">
        <v>7</v>
      </c>
      <c r="L700" s="1" t="s">
        <v>7</v>
      </c>
      <c r="M700" s="59" t="s">
        <v>7</v>
      </c>
      <c r="N700" s="1" t="s">
        <v>7</v>
      </c>
      <c r="O700" s="1" t="s">
        <v>7</v>
      </c>
      <c r="P700" s="1" t="s">
        <v>7</v>
      </c>
      <c r="Q700" s="59" t="s">
        <v>7</v>
      </c>
      <c r="R700" s="59" t="s">
        <v>7</v>
      </c>
    </row>
    <row r="701" spans="1:18" ht="15.75" customHeight="1" x14ac:dyDescent="0.3">
      <c r="A701" s="17" t="s">
        <v>46</v>
      </c>
      <c r="B701" s="1"/>
      <c r="C701" s="1"/>
      <c r="D701" s="1"/>
      <c r="E701" s="59" t="s">
        <v>7</v>
      </c>
      <c r="F701" s="1"/>
      <c r="G701" s="1"/>
      <c r="H701" s="1"/>
      <c r="I701" s="59" t="s">
        <v>7</v>
      </c>
      <c r="J701" s="1"/>
      <c r="K701" s="1"/>
      <c r="L701" s="1"/>
      <c r="M701" s="59" t="s">
        <v>7</v>
      </c>
      <c r="N701" s="1"/>
      <c r="O701" s="1"/>
      <c r="P701" s="1"/>
      <c r="Q701" s="59" t="s">
        <v>7</v>
      </c>
      <c r="R701" s="59" t="s">
        <v>7</v>
      </c>
    </row>
    <row r="702" spans="1:18" ht="15.75" customHeight="1" x14ac:dyDescent="0.3">
      <c r="A702" s="74" t="s">
        <v>552</v>
      </c>
      <c r="B702" s="1">
        <f>823+167</f>
        <v>990</v>
      </c>
      <c r="C702" s="1">
        <f>936+137</f>
        <v>1073</v>
      </c>
      <c r="D702" s="1">
        <f>229+3</f>
        <v>232</v>
      </c>
      <c r="E702" s="59">
        <f>SUM(B702:D702)</f>
        <v>2295</v>
      </c>
      <c r="F702" s="1">
        <f>1136+329</f>
        <v>1465</v>
      </c>
      <c r="G702" s="1">
        <f>980+191</f>
        <v>1171</v>
      </c>
      <c r="H702" s="1">
        <f>947+322</f>
        <v>1269</v>
      </c>
      <c r="I702" s="59">
        <f>SUM(F702:H702)</f>
        <v>3905</v>
      </c>
      <c r="J702" s="1">
        <f>51+176</f>
        <v>227</v>
      </c>
      <c r="K702" s="1">
        <f>166+133</f>
        <v>299</v>
      </c>
      <c r="L702" s="1">
        <f>99+3</f>
        <v>102</v>
      </c>
      <c r="M702" s="59">
        <f>SUM(J702:L702)</f>
        <v>628</v>
      </c>
      <c r="N702" s="1">
        <f>599</f>
        <v>599</v>
      </c>
      <c r="O702" s="1">
        <f>237</f>
        <v>237</v>
      </c>
      <c r="P702" s="1">
        <f>160</f>
        <v>160</v>
      </c>
      <c r="Q702" s="59">
        <f>SUM(N702:P702)</f>
        <v>996</v>
      </c>
      <c r="R702" s="59">
        <f>+E702+I702+M702+Q702</f>
        <v>7824</v>
      </c>
    </row>
    <row r="703" spans="1:18" ht="15.75" customHeight="1" x14ac:dyDescent="0.3">
      <c r="A703" s="74" t="s">
        <v>553</v>
      </c>
      <c r="B703" s="1">
        <v>401</v>
      </c>
      <c r="C703" s="1">
        <v>844</v>
      </c>
      <c r="D703" s="1">
        <v>466</v>
      </c>
      <c r="E703" s="59">
        <f>SUM(B703:D703)</f>
        <v>1711</v>
      </c>
      <c r="F703" s="1">
        <v>442</v>
      </c>
      <c r="G703" s="1">
        <v>772</v>
      </c>
      <c r="H703" s="1">
        <v>694</v>
      </c>
      <c r="I703" s="59">
        <f>SUM(F703:H703)</f>
        <v>1908</v>
      </c>
      <c r="J703" s="1">
        <v>557</v>
      </c>
      <c r="K703" s="1">
        <v>656</v>
      </c>
      <c r="L703" s="1">
        <v>155</v>
      </c>
      <c r="M703" s="59">
        <f>SUM(J703:L703)</f>
        <v>1368</v>
      </c>
      <c r="N703" s="1"/>
      <c r="O703" s="1"/>
      <c r="P703" s="1"/>
      <c r="Q703" s="59">
        <f>SUM(N703:P703)</f>
        <v>0</v>
      </c>
      <c r="R703" s="59">
        <f>+E703+I703+M703+Q703</f>
        <v>4987</v>
      </c>
    </row>
    <row r="704" spans="1:18" ht="15.75" customHeight="1" x14ac:dyDescent="0.3">
      <c r="A704" s="74" t="s">
        <v>554</v>
      </c>
      <c r="B704" s="1">
        <v>78</v>
      </c>
      <c r="C704" s="1">
        <v>42</v>
      </c>
      <c r="D704" s="1">
        <v>82</v>
      </c>
      <c r="E704" s="59">
        <f>SUM(B704:D704)</f>
        <v>202</v>
      </c>
      <c r="F704" s="1">
        <v>160</v>
      </c>
      <c r="G704" s="1">
        <v>114</v>
      </c>
      <c r="H704" s="1"/>
      <c r="I704" s="59">
        <f>SUM(F704:H704)</f>
        <v>274</v>
      </c>
      <c r="J704" s="1"/>
      <c r="K704" s="1"/>
      <c r="L704" s="1"/>
      <c r="M704" s="59">
        <f>SUM(J704:L704)</f>
        <v>0</v>
      </c>
      <c r="N704" s="1"/>
      <c r="O704" s="1"/>
      <c r="P704" s="1"/>
      <c r="Q704" s="59">
        <f>SUM(N704:P704)</f>
        <v>0</v>
      </c>
      <c r="R704" s="59">
        <f>+E704+I704+M704+Q704</f>
        <v>476</v>
      </c>
    </row>
    <row r="705" spans="1:18" ht="15.75" customHeight="1" x14ac:dyDescent="0.3">
      <c r="A705" s="17" t="s">
        <v>47</v>
      </c>
      <c r="B705" s="1"/>
      <c r="C705" s="1"/>
      <c r="D705" s="1"/>
      <c r="E705" s="59" t="s">
        <v>7</v>
      </c>
      <c r="F705" s="1"/>
      <c r="G705" s="1"/>
      <c r="H705" s="1"/>
      <c r="I705" s="59" t="s">
        <v>7</v>
      </c>
      <c r="J705" s="1"/>
      <c r="K705" s="1"/>
      <c r="L705" s="1"/>
      <c r="M705" s="59" t="s">
        <v>7</v>
      </c>
      <c r="N705" s="1"/>
      <c r="O705" s="1"/>
      <c r="P705" s="1"/>
      <c r="Q705" s="59" t="s">
        <v>7</v>
      </c>
      <c r="R705" s="59" t="s">
        <v>7</v>
      </c>
    </row>
    <row r="706" spans="1:18" ht="15.75" customHeight="1" x14ac:dyDescent="0.3">
      <c r="A706" s="17" t="s">
        <v>49</v>
      </c>
      <c r="B706" s="1"/>
      <c r="C706" s="1"/>
      <c r="D706" s="1"/>
      <c r="E706" s="59" t="s">
        <v>7</v>
      </c>
      <c r="F706" s="1"/>
      <c r="G706" s="1"/>
      <c r="H706" s="1"/>
      <c r="I706" s="59" t="s">
        <v>7</v>
      </c>
      <c r="J706" s="1"/>
      <c r="K706" s="1"/>
      <c r="L706" s="1"/>
      <c r="M706" s="59" t="s">
        <v>7</v>
      </c>
      <c r="N706" s="1"/>
      <c r="O706" s="1"/>
      <c r="P706" s="1"/>
      <c r="Q706" s="59" t="s">
        <v>7</v>
      </c>
      <c r="R706" s="59" t="s">
        <v>7</v>
      </c>
    </row>
    <row r="707" spans="1:18" ht="15.75" customHeight="1" thickBot="1" x14ac:dyDescent="0.35">
      <c r="A707" s="17" t="s">
        <v>51</v>
      </c>
      <c r="B707" s="1"/>
      <c r="C707" s="1"/>
      <c r="D707" s="1"/>
      <c r="E707" s="59" t="s">
        <v>7</v>
      </c>
      <c r="F707" s="1"/>
      <c r="G707" s="1"/>
      <c r="H707" s="1"/>
      <c r="I707" s="59" t="s">
        <v>7</v>
      </c>
      <c r="J707" s="1"/>
      <c r="K707" s="1"/>
      <c r="L707" s="1"/>
      <c r="M707" s="59" t="s">
        <v>7</v>
      </c>
      <c r="N707" s="1"/>
      <c r="O707" s="1"/>
      <c r="P707" s="1"/>
      <c r="Q707" s="59" t="s">
        <v>7</v>
      </c>
      <c r="R707" s="59" t="s">
        <v>7</v>
      </c>
    </row>
    <row r="708" spans="1:18" ht="16.5" customHeight="1" thickBot="1" x14ac:dyDescent="0.35">
      <c r="A708" s="126" t="s">
        <v>52</v>
      </c>
      <c r="B708" s="100">
        <f>SUM(B700:B707)</f>
        <v>1469</v>
      </c>
      <c r="C708" s="101">
        <f>SUM(C700:C707)</f>
        <v>1959</v>
      </c>
      <c r="D708" s="101">
        <f>SUM(D700:D707)</f>
        <v>780</v>
      </c>
      <c r="E708" s="64">
        <f>SUM(B708:D708)</f>
        <v>4208</v>
      </c>
      <c r="F708" s="101">
        <f>SUM(F700:F707)</f>
        <v>2067</v>
      </c>
      <c r="G708" s="101">
        <f>SUM(G700:G707)</f>
        <v>2057</v>
      </c>
      <c r="H708" s="101">
        <f>SUM(H700:H707)</f>
        <v>1963</v>
      </c>
      <c r="I708" s="64">
        <f>SUM(F708:H708)</f>
        <v>6087</v>
      </c>
      <c r="J708" s="101">
        <f>SUM(J700:J707)</f>
        <v>784</v>
      </c>
      <c r="K708" s="101">
        <f>SUM(K700:K707)</f>
        <v>955</v>
      </c>
      <c r="L708" s="101">
        <f>SUM(L700:L707)</f>
        <v>257</v>
      </c>
      <c r="M708" s="64">
        <f>SUM(J708:L708)</f>
        <v>1996</v>
      </c>
      <c r="N708" s="101">
        <f>SUM(N700:N707)</f>
        <v>599</v>
      </c>
      <c r="O708" s="101">
        <f>SUM(O700:O707)</f>
        <v>237</v>
      </c>
      <c r="P708" s="101">
        <f>SUM(P700:P707)</f>
        <v>160</v>
      </c>
      <c r="Q708" s="64">
        <f>SUM(N708:P708)</f>
        <v>996</v>
      </c>
      <c r="R708" s="64">
        <f>+E708+I708+M708+Q708</f>
        <v>13287</v>
      </c>
    </row>
    <row r="709" spans="1:18" ht="15.75" customHeight="1" x14ac:dyDescent="0.3">
      <c r="A709" s="17" t="s">
        <v>53</v>
      </c>
      <c r="B709" s="1"/>
      <c r="C709" s="1"/>
      <c r="D709" s="1"/>
      <c r="E709" s="59" t="s">
        <v>7</v>
      </c>
      <c r="F709" s="1"/>
      <c r="G709" s="1"/>
      <c r="H709" s="1"/>
      <c r="I709" s="59" t="s">
        <v>7</v>
      </c>
      <c r="J709" s="1"/>
      <c r="K709" s="1"/>
      <c r="L709" s="1"/>
      <c r="M709" s="59" t="s">
        <v>7</v>
      </c>
      <c r="N709" s="1"/>
      <c r="O709" s="1"/>
      <c r="P709" s="1"/>
      <c r="Q709" s="59" t="s">
        <v>7</v>
      </c>
      <c r="R709" s="59" t="s">
        <v>7</v>
      </c>
    </row>
    <row r="710" spans="1:18" ht="15.75" customHeight="1" x14ac:dyDescent="0.3">
      <c r="A710" s="17" t="s">
        <v>55</v>
      </c>
      <c r="B710" s="1"/>
      <c r="C710" s="1"/>
      <c r="D710" s="1"/>
      <c r="E710" s="59" t="s">
        <v>7</v>
      </c>
      <c r="F710" s="1"/>
      <c r="G710" s="1"/>
      <c r="H710" s="1"/>
      <c r="I710" s="59" t="s">
        <v>7</v>
      </c>
      <c r="J710" s="1"/>
      <c r="K710" s="1"/>
      <c r="L710" s="1"/>
      <c r="M710" s="59" t="s">
        <v>7</v>
      </c>
      <c r="N710" s="1"/>
      <c r="O710" s="1"/>
      <c r="P710" s="1"/>
      <c r="Q710" s="59" t="s">
        <v>7</v>
      </c>
      <c r="R710" s="59" t="s">
        <v>7</v>
      </c>
    </row>
    <row r="711" spans="1:18" ht="15.75" customHeight="1" thickBot="1" x14ac:dyDescent="0.35">
      <c r="A711" s="17" t="s">
        <v>56</v>
      </c>
      <c r="B711" s="1"/>
      <c r="C711" s="1"/>
      <c r="D711" s="1"/>
      <c r="E711" s="59" t="s">
        <v>7</v>
      </c>
      <c r="F711" s="1"/>
      <c r="G711" s="1"/>
      <c r="H711" s="1"/>
      <c r="I711" s="59" t="s">
        <v>7</v>
      </c>
      <c r="J711" s="1"/>
      <c r="K711" s="1"/>
      <c r="L711" s="1"/>
      <c r="M711" s="59" t="s">
        <v>7</v>
      </c>
      <c r="N711" s="1"/>
      <c r="O711" s="1"/>
      <c r="P711" s="1"/>
      <c r="Q711" s="59" t="s">
        <v>7</v>
      </c>
      <c r="R711" s="59" t="s">
        <v>7</v>
      </c>
    </row>
    <row r="712" spans="1:18" ht="16.5" customHeight="1" thickBot="1" x14ac:dyDescent="0.35">
      <c r="A712" s="62" t="s">
        <v>57</v>
      </c>
      <c r="B712" s="100">
        <f>SUM(B709:B711)</f>
        <v>0</v>
      </c>
      <c r="C712" s="101">
        <f>SUM(C709:C711)</f>
        <v>0</v>
      </c>
      <c r="D712" s="101">
        <f>SUM(D709:D711)</f>
        <v>0</v>
      </c>
      <c r="E712" s="64">
        <f>SUM(B712:D712)</f>
        <v>0</v>
      </c>
      <c r="F712" s="101">
        <f>SUM(F709:F711)</f>
        <v>0</v>
      </c>
      <c r="G712" s="101">
        <f>SUM(G709:G711)</f>
        <v>0</v>
      </c>
      <c r="H712" s="101">
        <f>SUM(H709:H711)</f>
        <v>0</v>
      </c>
      <c r="I712" s="64">
        <f>SUM(F712:H712)</f>
        <v>0</v>
      </c>
      <c r="J712" s="101">
        <f>SUM(J709:J711)</f>
        <v>0</v>
      </c>
      <c r="K712" s="101">
        <f>SUM(K709:K711)</f>
        <v>0</v>
      </c>
      <c r="L712" s="101">
        <f>SUM(L709:L711)</f>
        <v>0</v>
      </c>
      <c r="M712" s="64">
        <f>SUM(J712:L712)</f>
        <v>0</v>
      </c>
      <c r="N712" s="101">
        <f>SUM(N709:N711)</f>
        <v>0</v>
      </c>
      <c r="O712" s="101">
        <f>SUM(O709:O711)</f>
        <v>0</v>
      </c>
      <c r="P712" s="101">
        <f>SUM(P709:P711)</f>
        <v>0</v>
      </c>
      <c r="Q712" s="64">
        <f>SUM(N712:P712)</f>
        <v>0</v>
      </c>
      <c r="R712" s="64">
        <f>+E712+I712+M712+Q712</f>
        <v>0</v>
      </c>
    </row>
    <row r="713" spans="1:18" ht="15.75" customHeight="1" x14ac:dyDescent="0.3">
      <c r="A713" s="17" t="s">
        <v>58</v>
      </c>
      <c r="B713" s="1"/>
      <c r="C713" s="1"/>
      <c r="D713" s="1"/>
      <c r="E713" s="59" t="s">
        <v>7</v>
      </c>
      <c r="F713" s="1"/>
      <c r="G713" s="1"/>
      <c r="H713" s="1"/>
      <c r="I713" s="59" t="s">
        <v>7</v>
      </c>
      <c r="J713" s="1"/>
      <c r="K713" s="1"/>
      <c r="L713" s="1"/>
      <c r="M713" s="59" t="s">
        <v>7</v>
      </c>
      <c r="N713" s="1"/>
      <c r="O713" s="1"/>
      <c r="P713" s="1"/>
      <c r="Q713" s="59" t="s">
        <v>7</v>
      </c>
      <c r="R713" s="59" t="s">
        <v>7</v>
      </c>
    </row>
    <row r="714" spans="1:18" ht="15.75" customHeight="1" x14ac:dyDescent="0.3">
      <c r="A714" s="17" t="s">
        <v>59</v>
      </c>
      <c r="B714" s="1"/>
      <c r="C714" s="1"/>
      <c r="D714" s="1"/>
      <c r="E714" s="59" t="s">
        <v>7</v>
      </c>
      <c r="F714" s="1"/>
      <c r="G714" s="1"/>
      <c r="H714" s="1"/>
      <c r="I714" s="59" t="s">
        <v>7</v>
      </c>
      <c r="J714" s="1"/>
      <c r="K714" s="1"/>
      <c r="L714" s="1"/>
      <c r="M714" s="59" t="s">
        <v>7</v>
      </c>
      <c r="N714" s="1"/>
      <c r="O714" s="1"/>
      <c r="P714" s="1"/>
      <c r="Q714" s="59" t="s">
        <v>7</v>
      </c>
      <c r="R714" s="59" t="s">
        <v>7</v>
      </c>
    </row>
    <row r="715" spans="1:18" ht="15.75" customHeight="1" thickBot="1" x14ac:dyDescent="0.35">
      <c r="A715" s="17" t="s">
        <v>60</v>
      </c>
      <c r="B715" s="1"/>
      <c r="C715" s="1"/>
      <c r="D715" s="1"/>
      <c r="E715" s="59" t="s">
        <v>7</v>
      </c>
      <c r="F715" s="1"/>
      <c r="G715" s="1"/>
      <c r="H715" s="1"/>
      <c r="I715" s="59" t="s">
        <v>7</v>
      </c>
      <c r="J715" s="1"/>
      <c r="K715" s="1"/>
      <c r="L715" s="1"/>
      <c r="M715" s="59" t="s">
        <v>7</v>
      </c>
      <c r="N715" s="1"/>
      <c r="O715" s="1"/>
      <c r="P715" s="1"/>
      <c r="Q715" s="59" t="s">
        <v>7</v>
      </c>
      <c r="R715" s="59" t="s">
        <v>7</v>
      </c>
    </row>
    <row r="716" spans="1:18" ht="16.5" customHeight="1" thickBot="1" x14ac:dyDescent="0.35">
      <c r="A716" s="137" t="s">
        <v>61</v>
      </c>
      <c r="B716" s="100">
        <f>SUM(B713:B715)</f>
        <v>0</v>
      </c>
      <c r="C716" s="101">
        <f>SUM(C713:C715)</f>
        <v>0</v>
      </c>
      <c r="D716" s="101">
        <f>SUM(D713:D715)</f>
        <v>0</v>
      </c>
      <c r="E716" s="64">
        <f>SUM(B716:D716)</f>
        <v>0</v>
      </c>
      <c r="F716" s="101">
        <f>SUM(F713:F715)</f>
        <v>0</v>
      </c>
      <c r="G716" s="101">
        <f>SUM(G713:G715)</f>
        <v>0</v>
      </c>
      <c r="H716" s="101">
        <f>SUM(H713:H715)</f>
        <v>0</v>
      </c>
      <c r="I716" s="64">
        <f>SUM(F716:H716)</f>
        <v>0</v>
      </c>
      <c r="J716" s="101">
        <f>SUM(J713:J715)</f>
        <v>0</v>
      </c>
      <c r="K716" s="101">
        <f>SUM(K713:K715)</f>
        <v>0</v>
      </c>
      <c r="L716" s="101">
        <f>SUM(L713:L715)</f>
        <v>0</v>
      </c>
      <c r="M716" s="64">
        <f>SUM(J716:L716)</f>
        <v>0</v>
      </c>
      <c r="N716" s="101">
        <f>SUM(N713:N715)</f>
        <v>0</v>
      </c>
      <c r="O716" s="101">
        <f>SUM(O713:O715)</f>
        <v>0</v>
      </c>
      <c r="P716" s="101">
        <f>SUM(P713:P715)</f>
        <v>0</v>
      </c>
      <c r="Q716" s="64">
        <f>SUM(N716:P716)</f>
        <v>0</v>
      </c>
      <c r="R716" s="64">
        <f>+E716+I716+M716+Q716</f>
        <v>0</v>
      </c>
    </row>
    <row r="717" spans="1:18" ht="15.75" customHeight="1" x14ac:dyDescent="0.3">
      <c r="A717" s="17" t="s">
        <v>62</v>
      </c>
      <c r="B717" s="1"/>
      <c r="C717" s="1"/>
      <c r="D717" s="1"/>
      <c r="E717" s="59" t="s">
        <v>7</v>
      </c>
      <c r="F717" s="1"/>
      <c r="G717" s="1"/>
      <c r="H717" s="1"/>
      <c r="I717" s="59" t="s">
        <v>7</v>
      </c>
      <c r="J717" s="1"/>
      <c r="K717" s="1"/>
      <c r="L717" s="1"/>
      <c r="M717" s="59" t="s">
        <v>7</v>
      </c>
      <c r="N717" s="1"/>
      <c r="O717" s="1"/>
      <c r="P717" s="1"/>
      <c r="Q717" s="59" t="s">
        <v>7</v>
      </c>
      <c r="R717" s="59" t="s">
        <v>7</v>
      </c>
    </row>
    <row r="718" spans="1:18" ht="15.75" customHeight="1" x14ac:dyDescent="0.3">
      <c r="A718" s="17" t="s">
        <v>63</v>
      </c>
      <c r="B718" s="1"/>
      <c r="C718" s="1"/>
      <c r="D718" s="1"/>
      <c r="E718" s="59" t="s">
        <v>7</v>
      </c>
      <c r="F718" s="1"/>
      <c r="G718" s="1"/>
      <c r="H718" s="1"/>
      <c r="I718" s="59" t="s">
        <v>7</v>
      </c>
      <c r="J718" s="1"/>
      <c r="K718" s="1"/>
      <c r="L718" s="1"/>
      <c r="M718" s="59" t="s">
        <v>7</v>
      </c>
      <c r="N718" s="1"/>
      <c r="O718" s="1"/>
      <c r="P718" s="1"/>
      <c r="Q718" s="59" t="s">
        <v>7</v>
      </c>
      <c r="R718" s="59" t="s">
        <v>7</v>
      </c>
    </row>
    <row r="719" spans="1:18" ht="15.75" customHeight="1" x14ac:dyDescent="0.3">
      <c r="A719" s="17" t="s">
        <v>64</v>
      </c>
      <c r="B719" s="1"/>
      <c r="C719" s="1"/>
      <c r="D719" s="1"/>
      <c r="E719" s="59" t="s">
        <v>7</v>
      </c>
      <c r="F719" s="1"/>
      <c r="G719" s="1"/>
      <c r="H719" s="1"/>
      <c r="I719" s="59" t="s">
        <v>7</v>
      </c>
      <c r="J719" s="1"/>
      <c r="K719" s="1"/>
      <c r="L719" s="1"/>
      <c r="M719" s="59" t="s">
        <v>7</v>
      </c>
      <c r="N719" s="1"/>
      <c r="O719" s="1"/>
      <c r="P719" s="1"/>
      <c r="Q719" s="59" t="s">
        <v>7</v>
      </c>
      <c r="R719" s="59" t="s">
        <v>7</v>
      </c>
    </row>
    <row r="720" spans="1:18" ht="15.75" customHeight="1" x14ac:dyDescent="0.3">
      <c r="A720" s="74" t="s">
        <v>555</v>
      </c>
      <c r="B720" s="1"/>
      <c r="C720" s="1"/>
      <c r="D720" s="1"/>
      <c r="E720" s="59">
        <f>SUM(B720:D720)</f>
        <v>0</v>
      </c>
      <c r="F720" s="1"/>
      <c r="G720" s="1"/>
      <c r="H720" s="1"/>
      <c r="I720" s="59">
        <f>SUM(F720:H720)</f>
        <v>0</v>
      </c>
      <c r="J720" s="1"/>
      <c r="K720" s="1"/>
      <c r="L720" s="1"/>
      <c r="M720" s="59">
        <f>SUM(J720:L720)</f>
        <v>0</v>
      </c>
      <c r="N720" s="1"/>
      <c r="O720" s="1"/>
      <c r="P720" s="1"/>
      <c r="Q720" s="59">
        <f>SUM(N720:P720)</f>
        <v>0</v>
      </c>
      <c r="R720" s="59">
        <f>+E720+I720+M720+Q720</f>
        <v>0</v>
      </c>
    </row>
    <row r="721" spans="1:18" ht="15.75" customHeight="1" x14ac:dyDescent="0.3">
      <c r="A721" s="17" t="s">
        <v>66</v>
      </c>
      <c r="B721" s="1"/>
      <c r="C721" s="1"/>
      <c r="D721" s="1"/>
      <c r="E721" s="59" t="s">
        <v>7</v>
      </c>
      <c r="F721" s="1"/>
      <c r="G721" s="1"/>
      <c r="H721" s="1"/>
      <c r="I721" s="59" t="s">
        <v>7</v>
      </c>
      <c r="J721" s="1"/>
      <c r="K721" s="1"/>
      <c r="L721" s="1"/>
      <c r="M721" s="59" t="s">
        <v>7</v>
      </c>
      <c r="N721" s="1"/>
      <c r="O721" s="1"/>
      <c r="P721" s="1"/>
      <c r="Q721" s="59" t="s">
        <v>7</v>
      </c>
      <c r="R721" s="59" t="s">
        <v>7</v>
      </c>
    </row>
    <row r="722" spans="1:18" ht="15.75" customHeight="1" thickBot="1" x14ac:dyDescent="0.35">
      <c r="A722" s="17" t="s">
        <v>67</v>
      </c>
      <c r="B722" s="1"/>
      <c r="C722" s="1"/>
      <c r="D722" s="1"/>
      <c r="E722" s="59" t="s">
        <v>7</v>
      </c>
      <c r="F722" s="1"/>
      <c r="G722" s="1"/>
      <c r="H722" s="1"/>
      <c r="I722" s="59" t="s">
        <v>7</v>
      </c>
      <c r="J722" s="1"/>
      <c r="K722" s="1"/>
      <c r="L722" s="1"/>
      <c r="M722" s="59" t="s">
        <v>7</v>
      </c>
      <c r="N722" s="1"/>
      <c r="O722" s="1"/>
      <c r="P722" s="1"/>
      <c r="Q722" s="59" t="s">
        <v>7</v>
      </c>
      <c r="R722" s="59" t="s">
        <v>7</v>
      </c>
    </row>
    <row r="723" spans="1:18" ht="16.5" customHeight="1" thickBot="1" x14ac:dyDescent="0.35">
      <c r="A723" s="62" t="s">
        <v>68</v>
      </c>
      <c r="B723" s="63">
        <f>SUM(B721:B722)</f>
        <v>0</v>
      </c>
      <c r="C723" s="63">
        <f>SUM(C721:C722)</f>
        <v>0</v>
      </c>
      <c r="D723" s="63">
        <f>SUM(D721:D722)</f>
        <v>0</v>
      </c>
      <c r="E723" s="334">
        <f>SUM(B723:D723)</f>
        <v>0</v>
      </c>
      <c r="F723" s="63">
        <f>SUM(F721:F722)</f>
        <v>0</v>
      </c>
      <c r="G723" s="63">
        <f>SUM(G721:G722)</f>
        <v>0</v>
      </c>
      <c r="H723" s="63">
        <f>SUM(H721:H722)</f>
        <v>0</v>
      </c>
      <c r="I723" s="334">
        <f>SUM(F723:H723)</f>
        <v>0</v>
      </c>
      <c r="J723" s="63">
        <f>SUM(J721:J722)</f>
        <v>0</v>
      </c>
      <c r="K723" s="63">
        <f>SUM(K721:K722)</f>
        <v>0</v>
      </c>
      <c r="L723" s="63">
        <f>SUM(L721:L722)</f>
        <v>0</v>
      </c>
      <c r="M723" s="334">
        <f>SUM(J723:L723)</f>
        <v>0</v>
      </c>
      <c r="N723" s="63">
        <f>SUM(N721:N722)</f>
        <v>0</v>
      </c>
      <c r="O723" s="63">
        <f>SUM(O721:O722)</f>
        <v>0</v>
      </c>
      <c r="P723" s="63">
        <f>SUM(P721:P722)</f>
        <v>0</v>
      </c>
      <c r="Q723" s="334">
        <f>SUM(N723:P723)</f>
        <v>0</v>
      </c>
      <c r="R723" s="64">
        <f>+E723+I723+M723+Q723</f>
        <v>0</v>
      </c>
    </row>
    <row r="724" spans="1:18" ht="16.5" customHeight="1" thickBot="1" x14ac:dyDescent="0.35">
      <c r="A724" s="137" t="s">
        <v>69</v>
      </c>
      <c r="B724" s="100">
        <f>SUM(B717:B722)</f>
        <v>0</v>
      </c>
      <c r="C724" s="101">
        <f>SUM(C717:C722)</f>
        <v>0</v>
      </c>
      <c r="D724" s="138">
        <f>SUM(D717:D722)</f>
        <v>0</v>
      </c>
      <c r="E724" s="334">
        <f>SUM(B724:D724)</f>
        <v>0</v>
      </c>
      <c r="F724" s="101">
        <f>SUM(F717:F722)</f>
        <v>0</v>
      </c>
      <c r="G724" s="101">
        <f>SUM(G717:G722)</f>
        <v>0</v>
      </c>
      <c r="H724" s="101">
        <f>SUM(H717:H722)</f>
        <v>0</v>
      </c>
      <c r="I724" s="334">
        <f>SUM(F724:H724)</f>
        <v>0</v>
      </c>
      <c r="J724" s="101">
        <f>SUM(J717:J722)</f>
        <v>0</v>
      </c>
      <c r="K724" s="101">
        <f>SUM(K717:K722)</f>
        <v>0</v>
      </c>
      <c r="L724" s="101">
        <f>SUM(L717:L722)</f>
        <v>0</v>
      </c>
      <c r="M724" s="334">
        <f>SUM(J724:L724)</f>
        <v>0</v>
      </c>
      <c r="N724" s="101">
        <f>SUM(N717:N722)</f>
        <v>0</v>
      </c>
      <c r="O724" s="101">
        <f>SUM(O717:O722)</f>
        <v>0</v>
      </c>
      <c r="P724" s="101">
        <f>SUM(P717:P722)</f>
        <v>0</v>
      </c>
      <c r="Q724" s="334">
        <f>SUM(N724:P724)</f>
        <v>0</v>
      </c>
      <c r="R724" s="64">
        <f>+E724+I724+M724+Q724</f>
        <v>0</v>
      </c>
    </row>
    <row r="725" spans="1:18" ht="16.5" customHeight="1" thickBot="1" x14ac:dyDescent="0.35">
      <c r="A725" s="62" t="s">
        <v>70</v>
      </c>
      <c r="B725" s="107">
        <f>+B708+B712+B716+B724</f>
        <v>1469</v>
      </c>
      <c r="C725" s="63">
        <f>+C708+C712+C716+C724</f>
        <v>1959</v>
      </c>
      <c r="D725" s="63">
        <f>+D708+D712+D716+D724</f>
        <v>780</v>
      </c>
      <c r="E725" s="64">
        <f>SUM(B725:D725)</f>
        <v>4208</v>
      </c>
      <c r="F725" s="63">
        <f>+F708+F712+F716+F724</f>
        <v>2067</v>
      </c>
      <c r="G725" s="63">
        <f>+G708+G712+G716+G724</f>
        <v>2057</v>
      </c>
      <c r="H725" s="63">
        <f>+H708+H712+H716+H724</f>
        <v>1963</v>
      </c>
      <c r="I725" s="64">
        <f>SUM(F725:H725)</f>
        <v>6087</v>
      </c>
      <c r="J725" s="63">
        <f>+J708+J712+J716+J724</f>
        <v>784</v>
      </c>
      <c r="K725" s="63">
        <f>+K708+K712+K716+K724</f>
        <v>955</v>
      </c>
      <c r="L725" s="63">
        <f>+L708+L712+L716+L724</f>
        <v>257</v>
      </c>
      <c r="M725" s="64">
        <f>SUM(J725:L725)</f>
        <v>1996</v>
      </c>
      <c r="N725" s="63">
        <f>+N708+N712+N716+N724</f>
        <v>599</v>
      </c>
      <c r="O725" s="63">
        <f>+O708+O712+O716+O724</f>
        <v>237</v>
      </c>
      <c r="P725" s="63">
        <f>+P708+P712+P716+P724</f>
        <v>160</v>
      </c>
      <c r="Q725" s="64">
        <f>SUM(N725:P725)</f>
        <v>996</v>
      </c>
      <c r="R725" s="88">
        <f>+E725+I725+M725+Q725</f>
        <v>13287</v>
      </c>
    </row>
    <row r="726" spans="1:18" ht="16.5" customHeight="1" thickBot="1" x14ac:dyDescent="0.35">
      <c r="A726" s="40" t="s">
        <v>37</v>
      </c>
      <c r="B726" s="25">
        <v>10</v>
      </c>
      <c r="C726" s="25">
        <v>11</v>
      </c>
      <c r="D726" s="25">
        <v>14</v>
      </c>
      <c r="E726" s="59">
        <f>SUM(B726:D726)</f>
        <v>35</v>
      </c>
      <c r="F726" s="25">
        <v>18</v>
      </c>
      <c r="G726" s="25">
        <v>21</v>
      </c>
      <c r="H726" s="25">
        <v>22</v>
      </c>
      <c r="I726" s="59">
        <f>SUM(F726:H726)</f>
        <v>61</v>
      </c>
      <c r="J726" s="25">
        <v>19</v>
      </c>
      <c r="K726" s="25">
        <v>17</v>
      </c>
      <c r="L726" s="25">
        <v>17</v>
      </c>
      <c r="M726" s="59">
        <f>SUM(J726:L726)</f>
        <v>53</v>
      </c>
      <c r="N726" s="25">
        <v>14</v>
      </c>
      <c r="O726" s="25">
        <v>11</v>
      </c>
      <c r="P726" s="25">
        <v>9</v>
      </c>
      <c r="Q726" s="59">
        <f>SUM(N726:P726)</f>
        <v>34</v>
      </c>
      <c r="R726" s="59">
        <f>+E726+I726+M726+Q726</f>
        <v>183</v>
      </c>
    </row>
    <row r="727" spans="1:18" ht="16.5" customHeight="1" thickBot="1" x14ac:dyDescent="0.35">
      <c r="A727" s="42"/>
      <c r="B727" s="37"/>
      <c r="C727" s="37"/>
      <c r="D727" s="37"/>
      <c r="E727" s="16"/>
      <c r="F727" s="37"/>
      <c r="G727" s="37"/>
      <c r="H727" s="37"/>
      <c r="I727" s="16"/>
      <c r="J727" s="37"/>
      <c r="K727" s="37"/>
      <c r="L727" s="37"/>
      <c r="M727" s="345"/>
      <c r="N727" s="37"/>
      <c r="O727" s="37"/>
      <c r="P727" s="37"/>
      <c r="Q727" s="345"/>
      <c r="R727" s="327"/>
    </row>
    <row r="728" spans="1:18" ht="15.75" customHeight="1" x14ac:dyDescent="0.3">
      <c r="A728" s="17" t="s">
        <v>507</v>
      </c>
      <c r="B728" s="1">
        <f>SUM(B725:B726)</f>
        <v>1479</v>
      </c>
      <c r="C728" s="1">
        <f>SUM(C725:C726)</f>
        <v>1970</v>
      </c>
      <c r="D728" s="1">
        <f>SUM(D725:D726)</f>
        <v>794</v>
      </c>
      <c r="E728" s="59">
        <f>SUM(B728:D728)</f>
        <v>4243</v>
      </c>
      <c r="F728" s="1">
        <f>SUM(F725:F726)</f>
        <v>2085</v>
      </c>
      <c r="G728" s="1">
        <f>SUM(G725:G726)</f>
        <v>2078</v>
      </c>
      <c r="H728" s="1">
        <f>SUM(H725:H726)</f>
        <v>1985</v>
      </c>
      <c r="I728" s="334">
        <f>SUM(F728:H728)</f>
        <v>6148</v>
      </c>
      <c r="J728" s="1">
        <f>SUM(J725:J726)</f>
        <v>803</v>
      </c>
      <c r="K728" s="1">
        <f>SUM(K725:K726)</f>
        <v>972</v>
      </c>
      <c r="L728" s="1">
        <f>SUM(L725:L726)</f>
        <v>274</v>
      </c>
      <c r="M728" s="334">
        <f>SUM(J728:L728)</f>
        <v>2049</v>
      </c>
      <c r="N728" s="1">
        <f>SUM(N725:N726)</f>
        <v>613</v>
      </c>
      <c r="O728" s="1">
        <f>SUM(O725:O726)</f>
        <v>248</v>
      </c>
      <c r="P728" s="1">
        <f>SUM(P725:P726)</f>
        <v>169</v>
      </c>
      <c r="Q728" s="334">
        <f>SUM(N728:P728)</f>
        <v>1030</v>
      </c>
      <c r="R728" s="334">
        <f>+E728+I728+M728+Q728</f>
        <v>13470</v>
      </c>
    </row>
    <row r="729" spans="1:18" ht="15.75" customHeight="1" x14ac:dyDescent="0.3">
      <c r="A729" s="17" t="s">
        <v>39</v>
      </c>
      <c r="B729" s="1">
        <f>(B728/B10)/1.983</f>
        <v>24.05934312625055</v>
      </c>
      <c r="C729" s="1">
        <f>(C728/C10)/1.983</f>
        <v>35.480152726748791</v>
      </c>
      <c r="D729" s="1">
        <f>(D728/D10)/1.983</f>
        <v>12.91623964992761</v>
      </c>
      <c r="E729" s="59" t="s">
        <v>7</v>
      </c>
      <c r="F729" s="1">
        <f>(F728/F10)/1.983</f>
        <v>35.047907211296014</v>
      </c>
      <c r="G729" s="1">
        <f>(G728/G10)/1.983</f>
        <v>33.803458428903745</v>
      </c>
      <c r="H729" s="1">
        <f>(H728/H10)/1.983</f>
        <v>33.366952428979658</v>
      </c>
      <c r="I729" s="59" t="s">
        <v>7</v>
      </c>
      <c r="J729" s="1">
        <f>(J728/J10)/1.983</f>
        <v>13.062645389032582</v>
      </c>
      <c r="K729" s="1">
        <f>(K728/K10)/1.983</f>
        <v>15.811819823337075</v>
      </c>
      <c r="L729" s="1">
        <f>(L728/L10)/1.983</f>
        <v>4.6058161035468137</v>
      </c>
      <c r="M729" s="59" t="s">
        <v>7</v>
      </c>
      <c r="N729" s="1">
        <f>(N728/N10)/1.983</f>
        <v>9.9718575634831552</v>
      </c>
      <c r="O729" s="1">
        <f>(O728/O10)/1.983</f>
        <v>4.1687678601445626</v>
      </c>
      <c r="P729" s="1">
        <f>(P728/P10)/1.983</f>
        <v>2.749174434304491</v>
      </c>
      <c r="Q729" s="59" t="s">
        <v>7</v>
      </c>
      <c r="R729" s="59" t="s">
        <v>7</v>
      </c>
    </row>
    <row r="730" spans="1:18" ht="15.75" customHeight="1" x14ac:dyDescent="0.3">
      <c r="A730" s="17" t="s">
        <v>556</v>
      </c>
      <c r="B730" s="1">
        <f>B728+B782</f>
        <v>8861</v>
      </c>
      <c r="C730" s="1">
        <f>C728+C782</f>
        <v>13470</v>
      </c>
      <c r="D730" s="1">
        <f>D728+D782</f>
        <v>20107</v>
      </c>
      <c r="E730" s="59">
        <f>SUM(B730:D730)</f>
        <v>42438</v>
      </c>
      <c r="F730" s="1">
        <f>F728+F782</f>
        <v>23686</v>
      </c>
      <c r="G730" s="1">
        <f>G728+G782</f>
        <v>25278</v>
      </c>
      <c r="H730" s="1">
        <f>H728+H782</f>
        <v>23661</v>
      </c>
      <c r="I730" s="59">
        <f>SUM(F730:H730)</f>
        <v>72625</v>
      </c>
      <c r="J730" s="1">
        <f>J728+J782</f>
        <v>21685</v>
      </c>
      <c r="K730" s="1">
        <f>K728+K782</f>
        <v>20986</v>
      </c>
      <c r="L730" s="1">
        <f>L728+L782</f>
        <v>15913</v>
      </c>
      <c r="M730" s="59">
        <f>SUM(J730:L730)</f>
        <v>58584</v>
      </c>
      <c r="N730" s="1">
        <f>N728+N782</f>
        <v>11100</v>
      </c>
      <c r="O730" s="1">
        <f>O728+O782</f>
        <v>564</v>
      </c>
      <c r="P730" s="1">
        <f>P728+P782</f>
        <v>14792</v>
      </c>
      <c r="Q730" s="59">
        <f>SUM(N730:P730)</f>
        <v>26456</v>
      </c>
      <c r="R730" s="59">
        <f>+E730+I730+M730+Q730</f>
        <v>200103</v>
      </c>
    </row>
    <row r="731" spans="1:18" ht="16.5" customHeight="1" thickBot="1" x14ac:dyDescent="0.35">
      <c r="A731" s="24" t="s">
        <v>557</v>
      </c>
      <c r="B731" s="25">
        <f>(B730/B10)/1.983</f>
        <v>144.14458380101831</v>
      </c>
      <c r="C731" s="25">
        <f>(C730/C10)/1.983</f>
        <v>242.59779554787116</v>
      </c>
      <c r="D731" s="25">
        <f>(D730/D10)/1.983</f>
        <v>327.08668846485449</v>
      </c>
      <c r="E731" s="88" t="s">
        <v>7</v>
      </c>
      <c r="F731" s="25">
        <f>(F730/F10)/1.983</f>
        <v>398.15094973945196</v>
      </c>
      <c r="G731" s="25">
        <f>(G730/G10)/1.983</f>
        <v>411.2049192328339</v>
      </c>
      <c r="H731" s="25">
        <f>(H730/H10)/1.983</f>
        <v>397.73071104387293</v>
      </c>
      <c r="I731" s="88" t="s">
        <v>7</v>
      </c>
      <c r="J731" s="25">
        <f>(J730/J10)/1.983</f>
        <v>352.75649472125974</v>
      </c>
      <c r="K731" s="25">
        <f>(K730/K10)/1.983</f>
        <v>341.38564898410687</v>
      </c>
      <c r="L731" s="25">
        <f>(L730/L10)/1.983</f>
        <v>267.49033451000162</v>
      </c>
      <c r="M731" s="88" t="s">
        <v>7</v>
      </c>
      <c r="N731" s="25">
        <f>(N730/N10)/1.983</f>
        <v>180.56707822946657</v>
      </c>
      <c r="O731" s="25">
        <f>(O730/O10)/1.983</f>
        <v>9.4805849722642463</v>
      </c>
      <c r="P731" s="25">
        <f>(P730/P10)/1.983</f>
        <v>240.62596587119549</v>
      </c>
      <c r="Q731" s="88" t="s">
        <v>7</v>
      </c>
      <c r="R731" s="88" t="s">
        <v>7</v>
      </c>
    </row>
    <row r="732" spans="1:18" ht="15.75" customHeight="1" x14ac:dyDescent="0.3">
      <c r="A732" s="28"/>
      <c r="B732" s="1"/>
      <c r="C732" s="1"/>
      <c r="D732" s="1"/>
      <c r="E732" s="1"/>
      <c r="F732" s="1"/>
      <c r="G732" s="1"/>
      <c r="H732" s="1"/>
      <c r="I732" s="1"/>
      <c r="J732" s="1"/>
      <c r="K732" s="1"/>
      <c r="L732" s="1"/>
      <c r="M732" s="1"/>
      <c r="N732" s="1"/>
      <c r="O732" s="1"/>
      <c r="P732" s="1"/>
      <c r="Q732" s="1"/>
      <c r="R732" s="28"/>
    </row>
    <row r="733" spans="1:18" ht="16.5" customHeight="1" thickBot="1" x14ac:dyDescent="0.35">
      <c r="A733" s="123"/>
      <c r="B733" s="25"/>
      <c r="C733" s="25"/>
      <c r="D733" s="25"/>
      <c r="E733" s="25"/>
      <c r="F733" s="25"/>
      <c r="G733" s="25"/>
      <c r="H733" s="25"/>
      <c r="I733" s="25"/>
      <c r="J733" s="25"/>
      <c r="K733" s="25"/>
      <c r="L733" s="25"/>
      <c r="M733" s="25"/>
      <c r="N733" s="25"/>
      <c r="O733" s="25"/>
      <c r="P733" s="25"/>
      <c r="Q733" s="25"/>
      <c r="R733" s="123"/>
    </row>
    <row r="734" spans="1:18" ht="15.75" customHeight="1" thickBot="1" x14ac:dyDescent="0.35">
      <c r="A734" s="342" t="s">
        <v>558</v>
      </c>
      <c r="B734" s="330" t="s">
        <v>36</v>
      </c>
      <c r="C734" s="331" t="s">
        <v>9</v>
      </c>
      <c r="D734" s="331" t="s">
        <v>10</v>
      </c>
      <c r="E734" s="325" t="s">
        <v>11</v>
      </c>
      <c r="F734" s="331" t="s">
        <v>12</v>
      </c>
      <c r="G734" s="331" t="s">
        <v>13</v>
      </c>
      <c r="H734" s="331" t="s">
        <v>14</v>
      </c>
      <c r="I734" s="325" t="s">
        <v>15</v>
      </c>
      <c r="J734" s="331" t="s">
        <v>16</v>
      </c>
      <c r="K734" s="331" t="s">
        <v>17</v>
      </c>
      <c r="L734" s="331" t="s">
        <v>18</v>
      </c>
      <c r="M734" s="325" t="s">
        <v>19</v>
      </c>
      <c r="N734" s="331" t="s">
        <v>20</v>
      </c>
      <c r="O734" s="331" t="s">
        <v>21</v>
      </c>
      <c r="P734" s="331" t="s">
        <v>22</v>
      </c>
      <c r="Q734" s="325" t="s">
        <v>23</v>
      </c>
      <c r="R734" s="332" t="s">
        <v>24</v>
      </c>
    </row>
    <row r="735" spans="1:18" ht="16.5" customHeight="1" thickBot="1" x14ac:dyDescent="0.35">
      <c r="A735" s="154"/>
      <c r="B735" s="56"/>
      <c r="C735" s="56"/>
      <c r="D735" s="56"/>
      <c r="E735" s="16"/>
      <c r="F735" s="56"/>
      <c r="G735" s="56"/>
      <c r="H735" s="56"/>
      <c r="I735" s="16"/>
      <c r="J735" s="56"/>
      <c r="K735" s="56"/>
      <c r="L735" s="56"/>
      <c r="M735" s="16"/>
      <c r="N735" s="56"/>
      <c r="O735" s="56"/>
      <c r="P735" s="56"/>
      <c r="Q735" s="16"/>
      <c r="R735" s="57"/>
    </row>
    <row r="736" spans="1:18" ht="15.75" customHeight="1" x14ac:dyDescent="0.3">
      <c r="A736" s="17" t="s">
        <v>45</v>
      </c>
      <c r="B736" s="1" t="s">
        <v>7</v>
      </c>
      <c r="C736" s="1" t="s">
        <v>7</v>
      </c>
      <c r="D736" s="1" t="s">
        <v>7</v>
      </c>
      <c r="E736" s="59" t="s">
        <v>7</v>
      </c>
      <c r="F736" s="1" t="s">
        <v>7</v>
      </c>
      <c r="G736" s="1" t="s">
        <v>7</v>
      </c>
      <c r="H736" s="1" t="s">
        <v>7</v>
      </c>
      <c r="I736" s="59" t="s">
        <v>7</v>
      </c>
      <c r="J736" s="1" t="s">
        <v>7</v>
      </c>
      <c r="K736" s="1" t="s">
        <v>7</v>
      </c>
      <c r="L736" s="1" t="s">
        <v>7</v>
      </c>
      <c r="M736" s="59" t="s">
        <v>7</v>
      </c>
      <c r="N736" s="1" t="s">
        <v>7</v>
      </c>
      <c r="O736" s="1" t="s">
        <v>7</v>
      </c>
      <c r="P736" s="1" t="s">
        <v>7</v>
      </c>
      <c r="Q736" s="59" t="s">
        <v>7</v>
      </c>
      <c r="R736" s="59" t="s">
        <v>7</v>
      </c>
    </row>
    <row r="737" spans="1:18" ht="15.75" customHeight="1" x14ac:dyDescent="0.3">
      <c r="A737" s="17" t="s">
        <v>46</v>
      </c>
      <c r="B737" s="1"/>
      <c r="C737" s="1"/>
      <c r="D737" s="1"/>
      <c r="E737" s="59" t="s">
        <v>7</v>
      </c>
      <c r="F737" s="1"/>
      <c r="G737" s="1"/>
      <c r="H737" s="1"/>
      <c r="I737" s="59" t="s">
        <v>7</v>
      </c>
      <c r="J737" s="1"/>
      <c r="K737" s="1"/>
      <c r="L737" s="1"/>
      <c r="M737" s="59" t="s">
        <v>7</v>
      </c>
      <c r="N737" s="1"/>
      <c r="O737" s="1"/>
      <c r="P737" s="1"/>
      <c r="Q737" s="59" t="s">
        <v>7</v>
      </c>
      <c r="R737" s="59" t="s">
        <v>7</v>
      </c>
    </row>
    <row r="738" spans="1:18" ht="15.75" customHeight="1" x14ac:dyDescent="0.3">
      <c r="A738" s="74" t="s">
        <v>559</v>
      </c>
      <c r="B738" s="1">
        <f>1735</f>
        <v>1735</v>
      </c>
      <c r="C738" s="1">
        <f>3926</f>
        <v>3926</v>
      </c>
      <c r="D738" s="1">
        <f>6607</f>
        <v>6607</v>
      </c>
      <c r="E738" s="59">
        <f t="shared" ref="E738:E739" si="270">SUM(B738:D738)</f>
        <v>12268</v>
      </c>
      <c r="F738" s="1">
        <v>7200</v>
      </c>
      <c r="G738" s="1">
        <v>7524</v>
      </c>
      <c r="H738" s="1">
        <v>7269</v>
      </c>
      <c r="I738" s="59">
        <f t="shared" ref="I738:I739" si="271">SUM(F738:H738)</f>
        <v>21993</v>
      </c>
      <c r="J738" s="1">
        <v>7444</v>
      </c>
      <c r="K738" s="1">
        <v>7359</v>
      </c>
      <c r="L738" s="1">
        <v>5986</v>
      </c>
      <c r="M738" s="59">
        <f t="shared" ref="M738:M739" si="272">SUM(J738:L738)</f>
        <v>20789</v>
      </c>
      <c r="N738" s="1">
        <v>3040</v>
      </c>
      <c r="O738" s="1">
        <v>32</v>
      </c>
      <c r="P738" s="1">
        <v>3952</v>
      </c>
      <c r="Q738" s="59">
        <f t="shared" ref="Q738:Q743" si="273">SUM(N738:P738)</f>
        <v>7024</v>
      </c>
      <c r="R738" s="59">
        <f>+E738+I738+M738+Q738</f>
        <v>62074</v>
      </c>
    </row>
    <row r="739" spans="1:18" ht="15.75" customHeight="1" x14ac:dyDescent="0.3">
      <c r="A739" s="74" t="s">
        <v>560</v>
      </c>
      <c r="B739" s="1">
        <v>695</v>
      </c>
      <c r="C739" s="1">
        <v>421</v>
      </c>
      <c r="D739" s="1">
        <v>4220</v>
      </c>
      <c r="E739" s="59">
        <f t="shared" si="270"/>
        <v>5336</v>
      </c>
      <c r="F739" s="1">
        <v>2604</v>
      </c>
      <c r="G739" s="1">
        <v>4929</v>
      </c>
      <c r="H739" s="1">
        <v>1594</v>
      </c>
      <c r="I739" s="59">
        <f t="shared" si="271"/>
        <v>9127</v>
      </c>
      <c r="J739" s="1">
        <v>1905</v>
      </c>
      <c r="K739" s="1">
        <v>1701</v>
      </c>
      <c r="L739" s="1"/>
      <c r="M739" s="59">
        <f t="shared" si="272"/>
        <v>3606</v>
      </c>
      <c r="N739" s="1"/>
      <c r="O739" s="1">
        <v>53</v>
      </c>
      <c r="P739" s="1">
        <v>1937</v>
      </c>
      <c r="Q739" s="59">
        <f t="shared" si="273"/>
        <v>1990</v>
      </c>
      <c r="R739" s="59">
        <f t="shared" ref="R739:R743" si="274">+E739+I739+M739+Q739</f>
        <v>20059</v>
      </c>
    </row>
    <row r="740" spans="1:18" ht="15.75" customHeight="1" x14ac:dyDescent="0.3">
      <c r="A740" s="74" t="s">
        <v>561</v>
      </c>
      <c r="B740" s="1"/>
      <c r="C740" s="1"/>
      <c r="D740" s="1"/>
      <c r="E740" s="59">
        <f t="shared" ref="E740:E743" si="275">SUM(B740:D740)</f>
        <v>0</v>
      </c>
      <c r="F740" s="1"/>
      <c r="G740" s="1"/>
      <c r="H740" s="1"/>
      <c r="I740" s="59">
        <f t="shared" ref="I740:I743" si="276">SUM(F740:H740)</f>
        <v>0</v>
      </c>
      <c r="J740" s="1"/>
      <c r="K740" s="1"/>
      <c r="L740" s="1"/>
      <c r="M740" s="59">
        <f t="shared" ref="M740:M743" si="277">SUM(J740:L740)</f>
        <v>0</v>
      </c>
      <c r="N740" s="1"/>
      <c r="O740" s="1"/>
      <c r="P740" s="1"/>
      <c r="Q740" s="59">
        <f t="shared" si="273"/>
        <v>0</v>
      </c>
      <c r="R740" s="59">
        <f t="shared" si="274"/>
        <v>0</v>
      </c>
    </row>
    <row r="741" spans="1:18" ht="15.75" customHeight="1" x14ac:dyDescent="0.3">
      <c r="A741" s="74" t="s">
        <v>562</v>
      </c>
      <c r="B741" s="1"/>
      <c r="C741" s="1">
        <v>1499</v>
      </c>
      <c r="D741" s="1">
        <v>2800</v>
      </c>
      <c r="E741" s="59">
        <f t="shared" si="275"/>
        <v>4299</v>
      </c>
      <c r="F741" s="1">
        <v>4200</v>
      </c>
      <c r="G741" s="1">
        <v>3000</v>
      </c>
      <c r="H741" s="1">
        <v>6100</v>
      </c>
      <c r="I741" s="59">
        <f t="shared" si="276"/>
        <v>13300</v>
      </c>
      <c r="J741" s="1">
        <v>6100</v>
      </c>
      <c r="K741" s="1">
        <v>1915</v>
      </c>
      <c r="L741" s="1"/>
      <c r="M741" s="59">
        <f t="shared" si="277"/>
        <v>8015</v>
      </c>
      <c r="N741" s="1"/>
      <c r="O741" s="1"/>
      <c r="P741" s="1"/>
      <c r="Q741" s="59">
        <f t="shared" si="273"/>
        <v>0</v>
      </c>
      <c r="R741" s="59">
        <f t="shared" si="274"/>
        <v>25614</v>
      </c>
    </row>
    <row r="742" spans="1:18" ht="15.75" customHeight="1" x14ac:dyDescent="0.3">
      <c r="A742" s="74" t="s">
        <v>563</v>
      </c>
      <c r="B742" s="1">
        <v>350</v>
      </c>
      <c r="C742" s="1"/>
      <c r="D742" s="1">
        <v>350</v>
      </c>
      <c r="E742" s="59">
        <f t="shared" si="275"/>
        <v>700</v>
      </c>
      <c r="F742" s="1">
        <v>350</v>
      </c>
      <c r="G742" s="1">
        <v>350</v>
      </c>
      <c r="H742" s="1">
        <v>350</v>
      </c>
      <c r="I742" s="59">
        <f t="shared" si="276"/>
        <v>1050</v>
      </c>
      <c r="J742" s="1">
        <v>350</v>
      </c>
      <c r="K742" s="1">
        <v>350</v>
      </c>
      <c r="L742" s="1">
        <v>350</v>
      </c>
      <c r="M742" s="59">
        <f t="shared" si="277"/>
        <v>1050</v>
      </c>
      <c r="N742" s="1">
        <v>350</v>
      </c>
      <c r="O742" s="1"/>
      <c r="P742" s="1">
        <v>350</v>
      </c>
      <c r="Q742" s="59">
        <f t="shared" si="273"/>
        <v>700</v>
      </c>
      <c r="R742" s="59">
        <f t="shared" si="274"/>
        <v>3500</v>
      </c>
    </row>
    <row r="743" spans="1:18" ht="15.75" customHeight="1" x14ac:dyDescent="0.3">
      <c r="A743" s="74" t="s">
        <v>564</v>
      </c>
      <c r="B743" s="1"/>
      <c r="C743" s="1">
        <v>280</v>
      </c>
      <c r="D743" s="1">
        <v>140</v>
      </c>
      <c r="E743" s="59">
        <f t="shared" si="275"/>
        <v>420</v>
      </c>
      <c r="F743" s="1">
        <v>140</v>
      </c>
      <c r="G743" s="1">
        <v>140</v>
      </c>
      <c r="H743" s="1">
        <v>140</v>
      </c>
      <c r="I743" s="59">
        <f t="shared" si="276"/>
        <v>420</v>
      </c>
      <c r="J743" s="1">
        <v>125</v>
      </c>
      <c r="K743" s="1">
        <v>225</v>
      </c>
      <c r="L743" s="1">
        <v>225</v>
      </c>
      <c r="M743" s="59">
        <f t="shared" si="277"/>
        <v>575</v>
      </c>
      <c r="N743" s="1">
        <v>125</v>
      </c>
      <c r="O743" s="1">
        <v>0</v>
      </c>
      <c r="P743" s="1">
        <v>60</v>
      </c>
      <c r="Q743" s="59">
        <f t="shared" si="273"/>
        <v>185</v>
      </c>
      <c r="R743" s="59">
        <f t="shared" si="274"/>
        <v>1600</v>
      </c>
    </row>
    <row r="744" spans="1:18" ht="15.75" customHeight="1" x14ac:dyDescent="0.3">
      <c r="A744" s="17" t="s">
        <v>47</v>
      </c>
      <c r="B744" s="1"/>
      <c r="C744" s="1"/>
      <c r="D744" s="1"/>
      <c r="E744" s="59" t="s">
        <v>7</v>
      </c>
      <c r="F744" s="1"/>
      <c r="G744" s="1"/>
      <c r="H744" s="1"/>
      <c r="I744" s="59" t="s">
        <v>7</v>
      </c>
      <c r="J744" s="1"/>
      <c r="K744" s="1"/>
      <c r="L744" s="1"/>
      <c r="M744" s="59" t="s">
        <v>7</v>
      </c>
      <c r="N744" s="1"/>
      <c r="O744" s="1"/>
      <c r="P744" s="1"/>
      <c r="Q744" s="59" t="s">
        <v>7</v>
      </c>
      <c r="R744" s="59" t="s">
        <v>7</v>
      </c>
    </row>
    <row r="745" spans="1:18" ht="15.75" customHeight="1" x14ac:dyDescent="0.3">
      <c r="A745" s="17" t="s">
        <v>49</v>
      </c>
      <c r="B745" s="1"/>
      <c r="C745" s="1"/>
      <c r="D745" s="1"/>
      <c r="E745" s="59" t="s">
        <v>7</v>
      </c>
      <c r="F745" s="1"/>
      <c r="G745" s="1"/>
      <c r="H745" s="1"/>
      <c r="I745" s="59" t="s">
        <v>7</v>
      </c>
      <c r="J745" s="1"/>
      <c r="K745" s="1"/>
      <c r="L745" s="1"/>
      <c r="M745" s="59" t="s">
        <v>7</v>
      </c>
      <c r="N745" s="1"/>
      <c r="O745" s="1"/>
      <c r="P745" s="1"/>
      <c r="Q745" s="59" t="s">
        <v>7</v>
      </c>
      <c r="R745" s="59" t="s">
        <v>7</v>
      </c>
    </row>
    <row r="746" spans="1:18" ht="15.75" customHeight="1" thickBot="1" x14ac:dyDescent="0.35">
      <c r="A746" s="17" t="s">
        <v>51</v>
      </c>
      <c r="B746" s="1"/>
      <c r="C746" s="1"/>
      <c r="D746" s="1"/>
      <c r="E746" s="59" t="s">
        <v>7</v>
      </c>
      <c r="F746" s="1"/>
      <c r="G746" s="1"/>
      <c r="H746" s="1"/>
      <c r="I746" s="59" t="s">
        <v>7</v>
      </c>
      <c r="J746" s="1"/>
      <c r="K746" s="1"/>
      <c r="L746" s="1"/>
      <c r="M746" s="59" t="s">
        <v>7</v>
      </c>
      <c r="N746" s="1"/>
      <c r="O746" s="1"/>
      <c r="P746" s="1"/>
      <c r="Q746" s="59" t="s">
        <v>7</v>
      </c>
      <c r="R746" s="59" t="s">
        <v>7</v>
      </c>
    </row>
    <row r="747" spans="1:18" ht="16.5" customHeight="1" thickBot="1" x14ac:dyDescent="0.35">
      <c r="A747" s="126" t="s">
        <v>52</v>
      </c>
      <c r="B747" s="100">
        <f>SUM(B736:B746)</f>
        <v>2780</v>
      </c>
      <c r="C747" s="101">
        <f>SUM(C736:C746)</f>
        <v>6126</v>
      </c>
      <c r="D747" s="101">
        <f>SUM(D736:D746)</f>
        <v>14117</v>
      </c>
      <c r="E747" s="64">
        <f>SUM(B747:D747)</f>
        <v>23023</v>
      </c>
      <c r="F747" s="101">
        <f>SUM(F736:F746)</f>
        <v>14494</v>
      </c>
      <c r="G747" s="101">
        <f>SUM(G736:G746)</f>
        <v>15943</v>
      </c>
      <c r="H747" s="101">
        <f>SUM(H736:H746)</f>
        <v>15453</v>
      </c>
      <c r="I747" s="64">
        <f>SUM(F747:H747)</f>
        <v>45890</v>
      </c>
      <c r="J747" s="101">
        <f>SUM(J736:J746)</f>
        <v>15924</v>
      </c>
      <c r="K747" s="101">
        <f>SUM(K736:K746)</f>
        <v>11550</v>
      </c>
      <c r="L747" s="101">
        <f>SUM(L736:L746)</f>
        <v>6561</v>
      </c>
      <c r="M747" s="64">
        <f>SUM(J747:L747)</f>
        <v>34035</v>
      </c>
      <c r="N747" s="101">
        <f>SUM(N736:N746)</f>
        <v>3515</v>
      </c>
      <c r="O747" s="101">
        <f>SUM(O736:O746)</f>
        <v>85</v>
      </c>
      <c r="P747" s="101">
        <f>SUM(P736:P746)</f>
        <v>6299</v>
      </c>
      <c r="Q747" s="64">
        <f>SUM(N747:P747)</f>
        <v>9899</v>
      </c>
      <c r="R747" s="64">
        <f>+E747+I747+M747+Q747</f>
        <v>112847</v>
      </c>
    </row>
    <row r="748" spans="1:18" ht="15.75" customHeight="1" x14ac:dyDescent="0.3">
      <c r="A748" s="17" t="s">
        <v>53</v>
      </c>
      <c r="B748" s="1"/>
      <c r="C748" s="1"/>
      <c r="D748" s="1"/>
      <c r="E748" s="59" t="s">
        <v>7</v>
      </c>
      <c r="F748" s="1"/>
      <c r="G748" s="1"/>
      <c r="H748" s="1"/>
      <c r="I748" s="59" t="s">
        <v>7</v>
      </c>
      <c r="J748" s="1"/>
      <c r="K748" s="1"/>
      <c r="L748" s="1"/>
      <c r="M748" s="59" t="s">
        <v>7</v>
      </c>
      <c r="N748" s="1"/>
      <c r="O748" s="1"/>
      <c r="P748" s="1"/>
      <c r="Q748" s="59" t="s">
        <v>7</v>
      </c>
      <c r="R748" s="59" t="s">
        <v>7</v>
      </c>
    </row>
    <row r="749" spans="1:18" ht="15.75" customHeight="1" x14ac:dyDescent="0.3">
      <c r="A749" s="17" t="s">
        <v>55</v>
      </c>
      <c r="B749" s="1"/>
      <c r="C749" s="1"/>
      <c r="D749" s="1"/>
      <c r="E749" s="59" t="s">
        <v>7</v>
      </c>
      <c r="F749" s="1"/>
      <c r="G749" s="1"/>
      <c r="H749" s="1"/>
      <c r="I749" s="59" t="s">
        <v>7</v>
      </c>
      <c r="J749" s="1"/>
      <c r="K749" s="1"/>
      <c r="L749" s="1"/>
      <c r="M749" s="59" t="s">
        <v>7</v>
      </c>
      <c r="N749" s="1"/>
      <c r="O749" s="1"/>
      <c r="P749" s="1"/>
      <c r="Q749" s="59" t="s">
        <v>7</v>
      </c>
      <c r="R749" s="59" t="s">
        <v>7</v>
      </c>
    </row>
    <row r="750" spans="1:18" ht="15.75" customHeight="1" thickBot="1" x14ac:dyDescent="0.35">
      <c r="A750" s="17" t="s">
        <v>56</v>
      </c>
      <c r="B750" s="1"/>
      <c r="C750" s="1"/>
      <c r="D750" s="1"/>
      <c r="E750" s="59" t="s">
        <v>7</v>
      </c>
      <c r="F750" s="1"/>
      <c r="G750" s="1"/>
      <c r="H750" s="1"/>
      <c r="I750" s="59" t="s">
        <v>7</v>
      </c>
      <c r="J750" s="1"/>
      <c r="K750" s="1"/>
      <c r="L750" s="1"/>
      <c r="M750" s="59" t="s">
        <v>7</v>
      </c>
      <c r="N750" s="1"/>
      <c r="O750" s="1"/>
      <c r="P750" s="1"/>
      <c r="Q750" s="59" t="s">
        <v>7</v>
      </c>
      <c r="R750" s="59" t="s">
        <v>7</v>
      </c>
    </row>
    <row r="751" spans="1:18" ht="16.5" customHeight="1" thickBot="1" x14ac:dyDescent="0.35">
      <c r="A751" s="62" t="s">
        <v>57</v>
      </c>
      <c r="B751" s="100">
        <f>SUM(B748:B750)</f>
        <v>0</v>
      </c>
      <c r="C751" s="101">
        <f>SUM(C748:C750)</f>
        <v>0</v>
      </c>
      <c r="D751" s="101">
        <f>SUM(D748:D750)</f>
        <v>0</v>
      </c>
      <c r="E751" s="64">
        <f>SUM(B751:D751)</f>
        <v>0</v>
      </c>
      <c r="F751" s="101">
        <f>SUM(F748:F750)</f>
        <v>0</v>
      </c>
      <c r="G751" s="101">
        <f>SUM(G748:G750)</f>
        <v>0</v>
      </c>
      <c r="H751" s="101">
        <f>SUM(H748:H750)</f>
        <v>0</v>
      </c>
      <c r="I751" s="64">
        <f>SUM(F751:H751)</f>
        <v>0</v>
      </c>
      <c r="J751" s="101">
        <f>SUM(J748:J750)</f>
        <v>0</v>
      </c>
      <c r="K751" s="101">
        <f>SUM(K748:K750)</f>
        <v>0</v>
      </c>
      <c r="L751" s="101">
        <f>SUM(L748:L750)</f>
        <v>0</v>
      </c>
      <c r="M751" s="64">
        <f>SUM(J751:L751)</f>
        <v>0</v>
      </c>
      <c r="N751" s="101">
        <f>SUM(N748:N750)</f>
        <v>0</v>
      </c>
      <c r="O751" s="101">
        <f>SUM(O748:O750)</f>
        <v>0</v>
      </c>
      <c r="P751" s="101">
        <f>SUM(P748:P750)</f>
        <v>0</v>
      </c>
      <c r="Q751" s="64">
        <f>SUM(N751:P751)</f>
        <v>0</v>
      </c>
      <c r="R751" s="64">
        <f>+E751+I751+M751+Q751</f>
        <v>0</v>
      </c>
    </row>
    <row r="752" spans="1:18" ht="15.75" customHeight="1" x14ac:dyDescent="0.3">
      <c r="A752" s="17" t="s">
        <v>58</v>
      </c>
      <c r="B752" s="1"/>
      <c r="C752" s="1"/>
      <c r="D752" s="1"/>
      <c r="E752" s="59" t="s">
        <v>7</v>
      </c>
      <c r="F752" s="1"/>
      <c r="G752" s="1"/>
      <c r="H752" s="1"/>
      <c r="I752" s="59" t="s">
        <v>7</v>
      </c>
      <c r="J752" s="1"/>
      <c r="K752" s="1"/>
      <c r="L752" s="1"/>
      <c r="M752" s="59" t="s">
        <v>7</v>
      </c>
      <c r="N752" s="1"/>
      <c r="O752" s="1"/>
      <c r="P752" s="1"/>
      <c r="Q752" s="59" t="s">
        <v>7</v>
      </c>
      <c r="R752" s="59" t="s">
        <v>7</v>
      </c>
    </row>
    <row r="753" spans="1:20" ht="15.75" customHeight="1" x14ac:dyDescent="0.3">
      <c r="A753" s="17" t="s">
        <v>59</v>
      </c>
      <c r="B753" s="1"/>
      <c r="C753" s="1"/>
      <c r="D753" s="1"/>
      <c r="E753" s="59" t="s">
        <v>7</v>
      </c>
      <c r="F753" s="1"/>
      <c r="G753" s="1"/>
      <c r="H753" s="1"/>
      <c r="I753" s="59" t="s">
        <v>7</v>
      </c>
      <c r="J753" s="1"/>
      <c r="K753" s="1"/>
      <c r="L753" s="1"/>
      <c r="M753" s="59" t="s">
        <v>7</v>
      </c>
      <c r="N753" s="1"/>
      <c r="O753" s="1"/>
      <c r="P753" s="1"/>
      <c r="Q753" s="59" t="s">
        <v>7</v>
      </c>
      <c r="R753" s="59" t="s">
        <v>7</v>
      </c>
    </row>
    <row r="754" spans="1:20" ht="15.75" customHeight="1" x14ac:dyDescent="0.3">
      <c r="A754" s="74" t="s">
        <v>565</v>
      </c>
      <c r="B754" s="1">
        <v>1169</v>
      </c>
      <c r="C754" s="1">
        <v>714</v>
      </c>
      <c r="D754" s="1">
        <v>957</v>
      </c>
      <c r="E754" s="59">
        <f>SUM(B754:D754)</f>
        <v>2840</v>
      </c>
      <c r="F754" s="1">
        <v>2552</v>
      </c>
      <c r="G754" s="1">
        <v>1446</v>
      </c>
      <c r="H754" s="1">
        <v>1228</v>
      </c>
      <c r="I754" s="59">
        <f>SUM(F754:H754)</f>
        <v>5226</v>
      </c>
      <c r="J754" s="1">
        <v>897</v>
      </c>
      <c r="K754" s="1">
        <v>711</v>
      </c>
      <c r="L754" s="1">
        <v>515</v>
      </c>
      <c r="M754" s="59">
        <f>SUM(J754:L754)</f>
        <v>2123</v>
      </c>
      <c r="N754" s="1">
        <v>454</v>
      </c>
      <c r="O754" s="1"/>
      <c r="P754" s="1">
        <v>407</v>
      </c>
      <c r="Q754" s="59">
        <f>SUM(N754:P754)</f>
        <v>861</v>
      </c>
      <c r="R754" s="59">
        <f>+E754+I754+M754+Q754</f>
        <v>11050</v>
      </c>
      <c r="T754" s="4" t="s">
        <v>566</v>
      </c>
    </row>
    <row r="755" spans="1:20" ht="15.75" customHeight="1" x14ac:dyDescent="0.3">
      <c r="A755" s="17" t="s">
        <v>60</v>
      </c>
      <c r="B755" s="1"/>
      <c r="C755" s="1"/>
      <c r="D755" s="1"/>
      <c r="E755" s="59" t="s">
        <v>7</v>
      </c>
      <c r="F755" s="1"/>
      <c r="G755" s="1"/>
      <c r="H755" s="1"/>
      <c r="I755" s="59" t="s">
        <v>7</v>
      </c>
      <c r="J755" s="1"/>
      <c r="K755" s="1"/>
      <c r="L755" s="1"/>
      <c r="M755" s="59" t="s">
        <v>7</v>
      </c>
      <c r="N755" s="1"/>
      <c r="O755" s="1"/>
      <c r="P755" s="1"/>
      <c r="Q755" s="59" t="s">
        <v>7</v>
      </c>
      <c r="R755" s="59" t="s">
        <v>7</v>
      </c>
    </row>
    <row r="756" spans="1:20" ht="15.75" customHeight="1" x14ac:dyDescent="0.3">
      <c r="A756" s="74" t="s">
        <v>567</v>
      </c>
      <c r="B756" s="1"/>
      <c r="C756" s="1"/>
      <c r="D756" s="1"/>
      <c r="E756" s="59">
        <f t="shared" ref="E756:E765" si="278">SUM(B756:D756)</f>
        <v>0</v>
      </c>
      <c r="F756" s="1"/>
      <c r="G756" s="1"/>
      <c r="H756" s="1"/>
      <c r="I756" s="59">
        <f t="shared" ref="I756:I765" si="279">SUM(F756:H756)</f>
        <v>0</v>
      </c>
      <c r="J756" s="1"/>
      <c r="K756" s="1"/>
      <c r="L756" s="1"/>
      <c r="M756" s="59">
        <f t="shared" ref="M756:M765" si="280">SUM(J756:L756)</f>
        <v>0</v>
      </c>
      <c r="N756" s="1"/>
      <c r="O756" s="1"/>
      <c r="P756" s="1"/>
      <c r="Q756" s="59">
        <f t="shared" ref="Q756:Q765" si="281">SUM(N756:P756)</f>
        <v>0</v>
      </c>
      <c r="R756" s="59">
        <f t="shared" ref="R756:R765" si="282">+E756+I756+M756+Q756</f>
        <v>0</v>
      </c>
      <c r="T756" s="4" t="s">
        <v>568</v>
      </c>
    </row>
    <row r="757" spans="1:20" ht="15.75" customHeight="1" x14ac:dyDescent="0.3">
      <c r="A757" s="74" t="s">
        <v>569</v>
      </c>
      <c r="B757" s="1"/>
      <c r="C757" s="1"/>
      <c r="D757" s="1"/>
      <c r="E757" s="59">
        <f t="shared" si="278"/>
        <v>0</v>
      </c>
      <c r="F757" s="1"/>
      <c r="G757" s="1"/>
      <c r="H757" s="1"/>
      <c r="I757" s="59">
        <f>SUM(F757:H757)</f>
        <v>0</v>
      </c>
      <c r="J757" s="1"/>
      <c r="K757" s="1"/>
      <c r="L757" s="1"/>
      <c r="M757" s="59">
        <f t="shared" si="280"/>
        <v>0</v>
      </c>
      <c r="N757" s="1"/>
      <c r="O757" s="1"/>
      <c r="P757" s="1"/>
      <c r="Q757" s="59">
        <f t="shared" si="281"/>
        <v>0</v>
      </c>
      <c r="R757" s="59">
        <f t="shared" si="282"/>
        <v>0</v>
      </c>
      <c r="T757" s="4" t="s">
        <v>568</v>
      </c>
    </row>
    <row r="758" spans="1:20" ht="15.75" customHeight="1" x14ac:dyDescent="0.3">
      <c r="A758" s="74" t="s">
        <v>570</v>
      </c>
      <c r="B758" s="1"/>
      <c r="C758" s="1">
        <v>250</v>
      </c>
      <c r="D758" s="1">
        <v>125</v>
      </c>
      <c r="E758" s="59">
        <f t="shared" si="278"/>
        <v>375</v>
      </c>
      <c r="F758" s="1">
        <v>125</v>
      </c>
      <c r="G758" s="1">
        <v>125</v>
      </c>
      <c r="H758" s="1">
        <v>125</v>
      </c>
      <c r="I758" s="59">
        <f t="shared" si="279"/>
        <v>375</v>
      </c>
      <c r="J758" s="1">
        <v>125</v>
      </c>
      <c r="K758" s="1">
        <v>125</v>
      </c>
      <c r="L758" s="1">
        <v>165</v>
      </c>
      <c r="M758" s="59">
        <f t="shared" si="280"/>
        <v>415</v>
      </c>
      <c r="N758" s="1">
        <v>250</v>
      </c>
      <c r="O758" s="1">
        <v>0</v>
      </c>
      <c r="P758" s="1">
        <v>177</v>
      </c>
      <c r="Q758" s="59">
        <f t="shared" si="281"/>
        <v>427</v>
      </c>
      <c r="R758" s="59">
        <f t="shared" si="282"/>
        <v>1592</v>
      </c>
      <c r="T758" s="4" t="s">
        <v>568</v>
      </c>
    </row>
    <row r="759" spans="1:20" ht="15.75" customHeight="1" x14ac:dyDescent="0.3">
      <c r="A759" s="74" t="s">
        <v>571</v>
      </c>
      <c r="B759" s="1"/>
      <c r="C759" s="1">
        <v>1001</v>
      </c>
      <c r="D759" s="1"/>
      <c r="E759" s="59">
        <f t="shared" si="278"/>
        <v>1001</v>
      </c>
      <c r="F759" s="1"/>
      <c r="G759" s="1"/>
      <c r="H759" s="1"/>
      <c r="I759" s="59">
        <f t="shared" si="279"/>
        <v>0</v>
      </c>
      <c r="J759" s="1"/>
      <c r="K759" s="1"/>
      <c r="L759" s="1"/>
      <c r="M759" s="59">
        <f t="shared" si="280"/>
        <v>0</v>
      </c>
      <c r="N759" s="1"/>
      <c r="O759" s="1"/>
      <c r="P759" s="1"/>
      <c r="Q759" s="59">
        <f t="shared" ref="Q759" si="283">SUM(N759:P759)</f>
        <v>0</v>
      </c>
      <c r="R759" s="59">
        <f t="shared" si="282"/>
        <v>1001</v>
      </c>
    </row>
    <row r="760" spans="1:20" ht="15.75" customHeight="1" x14ac:dyDescent="0.3">
      <c r="A760" s="74" t="s">
        <v>572</v>
      </c>
      <c r="B760" s="1"/>
      <c r="C760" s="1"/>
      <c r="D760" s="1"/>
      <c r="E760" s="59">
        <f t="shared" si="278"/>
        <v>0</v>
      </c>
      <c r="F760" s="1"/>
      <c r="G760" s="1"/>
      <c r="H760" s="1"/>
      <c r="I760" s="59">
        <f t="shared" si="279"/>
        <v>0</v>
      </c>
      <c r="J760" s="1"/>
      <c r="K760" s="1">
        <v>4285</v>
      </c>
      <c r="L760" s="1">
        <v>465</v>
      </c>
      <c r="M760" s="59">
        <f t="shared" si="280"/>
        <v>4750</v>
      </c>
      <c r="N760" s="1"/>
      <c r="O760" s="1"/>
      <c r="P760" s="1"/>
      <c r="Q760" s="59">
        <f t="shared" si="281"/>
        <v>0</v>
      </c>
      <c r="R760" s="59">
        <f t="shared" si="282"/>
        <v>4750</v>
      </c>
    </row>
    <row r="761" spans="1:20" s="375" customFormat="1" ht="15.75" customHeight="1" x14ac:dyDescent="0.3">
      <c r="A761" s="76" t="s">
        <v>573</v>
      </c>
      <c r="B761" s="1"/>
      <c r="C761" s="1"/>
      <c r="D761" s="1"/>
      <c r="E761" s="59">
        <f t="shared" si="278"/>
        <v>0</v>
      </c>
      <c r="F761" s="1"/>
      <c r="G761" s="1"/>
      <c r="H761" s="1"/>
      <c r="I761" s="59">
        <f t="shared" si="279"/>
        <v>0</v>
      </c>
      <c r="J761" s="1"/>
      <c r="K761" s="1"/>
      <c r="L761" s="1">
        <v>4178</v>
      </c>
      <c r="M761" s="59">
        <f t="shared" si="280"/>
        <v>4178</v>
      </c>
      <c r="N761" s="1">
        <v>2946</v>
      </c>
      <c r="O761" s="1"/>
      <c r="P761" s="1">
        <v>2255</v>
      </c>
      <c r="Q761" s="59">
        <f t="shared" si="281"/>
        <v>5201</v>
      </c>
      <c r="R761" s="59">
        <f t="shared" si="282"/>
        <v>9379</v>
      </c>
    </row>
    <row r="762" spans="1:20" ht="15.75" customHeight="1" x14ac:dyDescent="0.3">
      <c r="A762" s="74" t="s">
        <v>574</v>
      </c>
      <c r="B762" s="1"/>
      <c r="C762" s="1"/>
      <c r="D762" s="1"/>
      <c r="E762" s="59">
        <f t="shared" si="278"/>
        <v>0</v>
      </c>
      <c r="F762" s="1"/>
      <c r="G762" s="1"/>
      <c r="H762" s="1"/>
      <c r="I762" s="59">
        <f t="shared" si="279"/>
        <v>0</v>
      </c>
      <c r="J762" s="1"/>
      <c r="K762" s="1"/>
      <c r="L762" s="1"/>
      <c r="M762" s="59">
        <f t="shared" si="280"/>
        <v>0</v>
      </c>
      <c r="N762" s="1"/>
      <c r="O762" s="1"/>
      <c r="P762" s="1"/>
      <c r="Q762" s="59">
        <f t="shared" si="281"/>
        <v>0</v>
      </c>
      <c r="R762" s="59">
        <f t="shared" si="282"/>
        <v>0</v>
      </c>
    </row>
    <row r="763" spans="1:20" ht="15.75" customHeight="1" x14ac:dyDescent="0.3">
      <c r="A763" s="74" t="s">
        <v>575</v>
      </c>
      <c r="B763" s="1"/>
      <c r="C763" s="1"/>
      <c r="D763" s="1"/>
      <c r="E763" s="59">
        <f t="shared" si="278"/>
        <v>0</v>
      </c>
      <c r="F763" s="1"/>
      <c r="G763" s="1"/>
      <c r="H763" s="1"/>
      <c r="I763" s="59">
        <f t="shared" si="279"/>
        <v>0</v>
      </c>
      <c r="J763" s="1"/>
      <c r="K763" s="1"/>
      <c r="L763" s="1"/>
      <c r="M763" s="59">
        <f t="shared" si="280"/>
        <v>0</v>
      </c>
      <c r="N763" s="1"/>
      <c r="O763" s="1"/>
      <c r="P763" s="1">
        <v>1256</v>
      </c>
      <c r="Q763" s="59">
        <f t="shared" ref="Q763" si="284">SUM(N763:P763)</f>
        <v>1256</v>
      </c>
      <c r="R763" s="59">
        <f t="shared" si="282"/>
        <v>1256</v>
      </c>
    </row>
    <row r="764" spans="1:20" ht="15.75" customHeight="1" thickBot="1" x14ac:dyDescent="0.35">
      <c r="A764" s="74" t="s">
        <v>576</v>
      </c>
      <c r="B764" s="1"/>
      <c r="C764" s="1"/>
      <c r="D764" s="1"/>
      <c r="E764" s="59">
        <f t="shared" si="278"/>
        <v>0</v>
      </c>
      <c r="F764" s="1"/>
      <c r="G764" s="1"/>
      <c r="H764" s="1"/>
      <c r="I764" s="59">
        <f t="shared" si="279"/>
        <v>0</v>
      </c>
      <c r="J764" s="1"/>
      <c r="K764" s="1"/>
      <c r="L764" s="1"/>
      <c r="M764" s="59">
        <f t="shared" si="280"/>
        <v>0</v>
      </c>
      <c r="N764" s="1"/>
      <c r="O764" s="1"/>
      <c r="P764" s="1"/>
      <c r="Q764" s="59">
        <f t="shared" si="281"/>
        <v>0</v>
      </c>
      <c r="R764" s="59">
        <f t="shared" si="282"/>
        <v>0</v>
      </c>
      <c r="T764" s="4" t="s">
        <v>568</v>
      </c>
    </row>
    <row r="765" spans="1:20" ht="16.5" customHeight="1" thickBot="1" x14ac:dyDescent="0.35">
      <c r="A765" s="62" t="s">
        <v>61</v>
      </c>
      <c r="B765" s="100">
        <f>SUM(B752:B764)</f>
        <v>1169</v>
      </c>
      <c r="C765" s="101">
        <f>SUM(C752:C764)</f>
        <v>1965</v>
      </c>
      <c r="D765" s="101">
        <f>SUM(D752:D764)</f>
        <v>1082</v>
      </c>
      <c r="E765" s="64">
        <f t="shared" si="278"/>
        <v>4216</v>
      </c>
      <c r="F765" s="101">
        <f>SUM(F752:F764)</f>
        <v>2677</v>
      </c>
      <c r="G765" s="101">
        <f>SUM(G752:G764)</f>
        <v>1571</v>
      </c>
      <c r="H765" s="101">
        <f>SUM(H752:H764)</f>
        <v>1353</v>
      </c>
      <c r="I765" s="64">
        <f t="shared" si="279"/>
        <v>5601</v>
      </c>
      <c r="J765" s="101">
        <f>SUM(J752:J764)</f>
        <v>1022</v>
      </c>
      <c r="K765" s="101">
        <f>SUM(K752:K764)</f>
        <v>5121</v>
      </c>
      <c r="L765" s="101">
        <f>SUM(L752:L764)</f>
        <v>5323</v>
      </c>
      <c r="M765" s="64">
        <f t="shared" si="280"/>
        <v>11466</v>
      </c>
      <c r="N765" s="101">
        <f>SUM(N752:N764)</f>
        <v>3650</v>
      </c>
      <c r="O765" s="101">
        <f>SUM(O752:O764)</f>
        <v>0</v>
      </c>
      <c r="P765" s="101">
        <f>SUM(P752:P764)</f>
        <v>4095</v>
      </c>
      <c r="Q765" s="64">
        <f t="shared" si="281"/>
        <v>7745</v>
      </c>
      <c r="R765" s="138">
        <f t="shared" si="282"/>
        <v>29028</v>
      </c>
    </row>
    <row r="766" spans="1:20" ht="15.75" customHeight="1" x14ac:dyDescent="0.3">
      <c r="A766" s="17" t="s">
        <v>62</v>
      </c>
      <c r="B766" s="1"/>
      <c r="C766" s="1"/>
      <c r="D766" s="1"/>
      <c r="E766" s="59" t="s">
        <v>7</v>
      </c>
      <c r="F766" s="1"/>
      <c r="G766" s="1"/>
      <c r="H766" s="1"/>
      <c r="I766" s="59" t="s">
        <v>7</v>
      </c>
      <c r="J766" s="1"/>
      <c r="K766" s="1"/>
      <c r="L766" s="1"/>
      <c r="M766" s="59" t="s">
        <v>7</v>
      </c>
      <c r="N766" s="1"/>
      <c r="O766" s="1"/>
      <c r="P766" s="1"/>
      <c r="Q766" s="59" t="s">
        <v>7</v>
      </c>
      <c r="R766" s="59" t="s">
        <v>7</v>
      </c>
    </row>
    <row r="767" spans="1:20" ht="15.75" customHeight="1" x14ac:dyDescent="0.3">
      <c r="A767" s="17" t="s">
        <v>63</v>
      </c>
      <c r="B767" s="1"/>
      <c r="C767" s="1"/>
      <c r="D767" s="1"/>
      <c r="E767" s="59" t="s">
        <v>7</v>
      </c>
      <c r="F767" s="1"/>
      <c r="G767" s="1"/>
      <c r="H767" s="1"/>
      <c r="I767" s="59" t="s">
        <v>7</v>
      </c>
      <c r="J767" s="1"/>
      <c r="K767" s="1"/>
      <c r="L767" s="1"/>
      <c r="M767" s="59" t="s">
        <v>7</v>
      </c>
      <c r="N767" s="1"/>
      <c r="O767" s="1"/>
      <c r="P767" s="1"/>
      <c r="Q767" s="59" t="s">
        <v>7</v>
      </c>
      <c r="R767" s="59" t="s">
        <v>7</v>
      </c>
    </row>
    <row r="768" spans="1:20" ht="15.75" customHeight="1" x14ac:dyDescent="0.3">
      <c r="A768" s="17" t="s">
        <v>64</v>
      </c>
      <c r="B768" s="1"/>
      <c r="C768" s="1"/>
      <c r="D768" s="1"/>
      <c r="E768" s="59" t="s">
        <v>7</v>
      </c>
      <c r="F768" s="1"/>
      <c r="G768" s="1"/>
      <c r="H768" s="1"/>
      <c r="I768" s="59" t="s">
        <v>7</v>
      </c>
      <c r="J768" s="1"/>
      <c r="K768" s="1"/>
      <c r="L768" s="1"/>
      <c r="M768" s="59" t="s">
        <v>7</v>
      </c>
      <c r="N768" s="1"/>
      <c r="O768" s="1"/>
      <c r="P768" s="1"/>
      <c r="Q768" s="59" t="s">
        <v>7</v>
      </c>
      <c r="R768" s="59" t="s">
        <v>7</v>
      </c>
    </row>
    <row r="769" spans="1:18" ht="15.75" customHeight="1" x14ac:dyDescent="0.3">
      <c r="A769" s="74" t="s">
        <v>577</v>
      </c>
      <c r="B769" s="1"/>
      <c r="C769" s="1"/>
      <c r="D769" s="1"/>
      <c r="E769" s="59">
        <f>SUM(B769:D769)</f>
        <v>0</v>
      </c>
      <c r="F769" s="1"/>
      <c r="G769" s="1"/>
      <c r="H769" s="1"/>
      <c r="I769" s="59">
        <f>SUM(F769:H769)</f>
        <v>0</v>
      </c>
      <c r="J769" s="1"/>
      <c r="K769" s="1"/>
      <c r="L769" s="1"/>
      <c r="M769" s="59">
        <f>SUM(J769:L769)</f>
        <v>0</v>
      </c>
      <c r="N769" s="1"/>
      <c r="O769" s="1"/>
      <c r="P769" s="1"/>
      <c r="Q769" s="59">
        <f>SUM(N769:P769)</f>
        <v>0</v>
      </c>
      <c r="R769" s="59">
        <f>+E769+I769+M769+Q769</f>
        <v>0</v>
      </c>
    </row>
    <row r="770" spans="1:18" ht="15.75" customHeight="1" x14ac:dyDescent="0.3">
      <c r="A770" s="74" t="s">
        <v>578</v>
      </c>
      <c r="B770" s="1"/>
      <c r="C770" s="1"/>
      <c r="D770" s="1"/>
      <c r="E770" s="59">
        <f>SUM(B770:D770)</f>
        <v>0</v>
      </c>
      <c r="F770" s="1"/>
      <c r="G770" s="1"/>
      <c r="H770" s="1"/>
      <c r="I770" s="59">
        <f>SUM(F770:H770)</f>
        <v>0</v>
      </c>
      <c r="J770" s="1"/>
      <c r="K770" s="1"/>
      <c r="L770" s="1"/>
      <c r="M770" s="59">
        <f>SUM(J770:L770)</f>
        <v>0</v>
      </c>
      <c r="N770" s="1"/>
      <c r="O770" s="1"/>
      <c r="P770" s="1"/>
      <c r="Q770" s="59">
        <f>SUM(N770:P770)</f>
        <v>0</v>
      </c>
      <c r="R770" s="59">
        <f>+E770+I770+M770+Q770</f>
        <v>0</v>
      </c>
    </row>
    <row r="771" spans="1:18" ht="15.75" customHeight="1" x14ac:dyDescent="0.3">
      <c r="A771" s="74" t="s">
        <v>579</v>
      </c>
      <c r="B771" s="1"/>
      <c r="C771" s="1"/>
      <c r="D771" s="1"/>
      <c r="E771" s="59">
        <f>SUM(B771:D771)</f>
        <v>0</v>
      </c>
      <c r="F771" s="1"/>
      <c r="G771" s="1"/>
      <c r="H771" s="1"/>
      <c r="I771" s="59">
        <f>SUM(F771:H771)</f>
        <v>0</v>
      </c>
      <c r="J771" s="1"/>
      <c r="K771" s="1"/>
      <c r="L771" s="1"/>
      <c r="M771" s="59">
        <f>SUM(J771:L771)</f>
        <v>0</v>
      </c>
      <c r="N771" s="1"/>
      <c r="O771" s="1"/>
      <c r="P771" s="1"/>
      <c r="Q771" s="59">
        <f>SUM(N771:P771)</f>
        <v>0</v>
      </c>
      <c r="R771" s="59">
        <f>+E771+I771+M771+Q771</f>
        <v>0</v>
      </c>
    </row>
    <row r="772" spans="1:18" ht="15.75" customHeight="1" x14ac:dyDescent="0.3">
      <c r="A772" s="74" t="s">
        <v>580</v>
      </c>
      <c r="B772" s="1"/>
      <c r="C772" s="1"/>
      <c r="D772" s="1"/>
      <c r="E772" s="59">
        <f>SUM(B772:D772)</f>
        <v>0</v>
      </c>
      <c r="F772" s="1"/>
      <c r="G772" s="1"/>
      <c r="H772" s="1"/>
      <c r="I772" s="59">
        <f>SUM(F772:H772)</f>
        <v>0</v>
      </c>
      <c r="J772" s="1"/>
      <c r="K772" s="1"/>
      <c r="L772" s="1"/>
      <c r="M772" s="59">
        <f>SUM(J772:L772)</f>
        <v>0</v>
      </c>
      <c r="N772" s="1"/>
      <c r="O772" s="1"/>
      <c r="P772" s="1"/>
      <c r="Q772" s="59">
        <f>SUM(N772:P772)</f>
        <v>0</v>
      </c>
      <c r="R772" s="59">
        <f>+E772+I772+M772+Q772</f>
        <v>0</v>
      </c>
    </row>
    <row r="773" spans="1:18" ht="15.75" customHeight="1" x14ac:dyDescent="0.3">
      <c r="A773" s="17" t="s">
        <v>66</v>
      </c>
      <c r="B773" s="1"/>
      <c r="C773" s="1"/>
      <c r="D773" s="1"/>
      <c r="E773" s="59" t="s">
        <v>7</v>
      </c>
      <c r="F773" s="1"/>
      <c r="G773" s="1"/>
      <c r="H773" s="1"/>
      <c r="I773" s="59" t="s">
        <v>7</v>
      </c>
      <c r="J773" s="1"/>
      <c r="K773" s="1"/>
      <c r="L773" s="1"/>
      <c r="M773" s="59" t="s">
        <v>7</v>
      </c>
      <c r="N773" s="1"/>
      <c r="O773" s="1"/>
      <c r="P773" s="1"/>
      <c r="Q773" s="59" t="s">
        <v>7</v>
      </c>
      <c r="R773" s="59" t="s">
        <v>7</v>
      </c>
    </row>
    <row r="774" spans="1:18" ht="15.75" customHeight="1" thickBot="1" x14ac:dyDescent="0.35">
      <c r="A774" s="17" t="s">
        <v>67</v>
      </c>
      <c r="B774" s="1"/>
      <c r="C774" s="1"/>
      <c r="D774" s="1"/>
      <c r="E774" s="59" t="s">
        <v>7</v>
      </c>
      <c r="F774" s="1"/>
      <c r="G774" s="1"/>
      <c r="H774" s="1"/>
      <c r="I774" s="59" t="s">
        <v>7</v>
      </c>
      <c r="J774" s="1"/>
      <c r="K774" s="1"/>
      <c r="L774" s="1"/>
      <c r="M774" s="59" t="s">
        <v>7</v>
      </c>
      <c r="N774" s="1"/>
      <c r="O774" s="1"/>
      <c r="P774" s="1"/>
      <c r="Q774" s="59" t="s">
        <v>7</v>
      </c>
      <c r="R774" s="59" t="s">
        <v>7</v>
      </c>
    </row>
    <row r="775" spans="1:18" ht="16.5" customHeight="1" thickBot="1" x14ac:dyDescent="0.35">
      <c r="A775" s="62" t="s">
        <v>68</v>
      </c>
      <c r="B775" s="63">
        <f>SUM(B773:B774)</f>
        <v>0</v>
      </c>
      <c r="C775" s="63">
        <f>SUM(C773:C774)</f>
        <v>0</v>
      </c>
      <c r="D775" s="63">
        <f>SUM(D773:D774)</f>
        <v>0</v>
      </c>
      <c r="E775" s="334">
        <f>SUM(B775:D775)</f>
        <v>0</v>
      </c>
      <c r="F775" s="63">
        <f>SUM(F773:F774)</f>
        <v>0</v>
      </c>
      <c r="G775" s="63">
        <f>SUM(G773:G774)</f>
        <v>0</v>
      </c>
      <c r="H775" s="63">
        <f>SUM(H773:H774)</f>
        <v>0</v>
      </c>
      <c r="I775" s="334">
        <f>SUM(F775:H775)</f>
        <v>0</v>
      </c>
      <c r="J775" s="63">
        <f>SUM(J773:J774)</f>
        <v>0</v>
      </c>
      <c r="K775" s="63">
        <f>SUM(K773:K774)</f>
        <v>0</v>
      </c>
      <c r="L775" s="63">
        <f>SUM(L773:L774)</f>
        <v>0</v>
      </c>
      <c r="M775" s="334">
        <f>SUM(J775:L775)</f>
        <v>0</v>
      </c>
      <c r="N775" s="63">
        <f>SUM(N773:N774)</f>
        <v>0</v>
      </c>
      <c r="O775" s="63">
        <f>SUM(O773:O774)</f>
        <v>0</v>
      </c>
      <c r="P775" s="63">
        <f>SUM(P773:P774)</f>
        <v>0</v>
      </c>
      <c r="Q775" s="334">
        <f>SUM(N775:P775)</f>
        <v>0</v>
      </c>
      <c r="R775" s="64">
        <f>+E775+I775+M775+Q775</f>
        <v>0</v>
      </c>
    </row>
    <row r="776" spans="1:18" ht="16.5" customHeight="1" thickBot="1" x14ac:dyDescent="0.35">
      <c r="A776" s="137" t="s">
        <v>69</v>
      </c>
      <c r="B776" s="100">
        <f>SUM(B766:B774)</f>
        <v>0</v>
      </c>
      <c r="C776" s="101">
        <f>SUM(C766:C774)</f>
        <v>0</v>
      </c>
      <c r="D776" s="138">
        <f>SUM(D766:D774)</f>
        <v>0</v>
      </c>
      <c r="E776" s="334">
        <f>SUM(B776:D776)</f>
        <v>0</v>
      </c>
      <c r="F776" s="101">
        <f>SUM(F766:F774)</f>
        <v>0</v>
      </c>
      <c r="G776" s="101">
        <f>SUM(G766:G774)</f>
        <v>0</v>
      </c>
      <c r="H776" s="101">
        <f>SUM(H766:H774)</f>
        <v>0</v>
      </c>
      <c r="I776" s="334">
        <f>SUM(F776:H776)</f>
        <v>0</v>
      </c>
      <c r="J776" s="101">
        <f>SUM(J766:J774)</f>
        <v>0</v>
      </c>
      <c r="K776" s="101">
        <f>SUM(K766:K774)</f>
        <v>0</v>
      </c>
      <c r="L776" s="101">
        <f>SUM(L766:L774)</f>
        <v>0</v>
      </c>
      <c r="M776" s="334">
        <f>SUM(J776:L776)</f>
        <v>0</v>
      </c>
      <c r="N776" s="101">
        <f>SUM(N766:N774)</f>
        <v>0</v>
      </c>
      <c r="O776" s="101">
        <f>SUM(O766:O774)</f>
        <v>0</v>
      </c>
      <c r="P776" s="101">
        <f>SUM(P766:P774)</f>
        <v>0</v>
      </c>
      <c r="Q776" s="334">
        <f>SUM(N776:P776)</f>
        <v>0</v>
      </c>
      <c r="R776" s="64">
        <f>+E776+I776+M776+Q776</f>
        <v>0</v>
      </c>
    </row>
    <row r="777" spans="1:18" ht="16.5" customHeight="1" thickBot="1" x14ac:dyDescent="0.35">
      <c r="A777" s="62" t="s">
        <v>70</v>
      </c>
      <c r="B777" s="107">
        <f>+B747+B751+B765+B776</f>
        <v>3949</v>
      </c>
      <c r="C777" s="63">
        <f>+C747+C751+C765+C776</f>
        <v>8091</v>
      </c>
      <c r="D777" s="63">
        <f>+D747+D751+D765+D776</f>
        <v>15199</v>
      </c>
      <c r="E777" s="64">
        <f>SUM(B777:D777)</f>
        <v>27239</v>
      </c>
      <c r="F777" s="63">
        <f>+F747+F751+F765+F776</f>
        <v>17171</v>
      </c>
      <c r="G777" s="63">
        <f>+G747+G751+G765+G776</f>
        <v>17514</v>
      </c>
      <c r="H777" s="63">
        <f>+H747+H751+H765+H776</f>
        <v>16806</v>
      </c>
      <c r="I777" s="64">
        <f>SUM(F777:H777)</f>
        <v>51491</v>
      </c>
      <c r="J777" s="63">
        <f>+J747+J751+J765+J776</f>
        <v>16946</v>
      </c>
      <c r="K777" s="63">
        <f>+K747+K751+K765+K776</f>
        <v>16671</v>
      </c>
      <c r="L777" s="63">
        <f>+L747+L751+L765+L776</f>
        <v>11884</v>
      </c>
      <c r="M777" s="64">
        <f>SUM(J777:L777)</f>
        <v>45501</v>
      </c>
      <c r="N777" s="63">
        <f>+N747+N751+N765+N776</f>
        <v>7165</v>
      </c>
      <c r="O777" s="63">
        <f>+O747+O751+O765+O776</f>
        <v>85</v>
      </c>
      <c r="P777" s="63">
        <f>+P747+P751+P765+P776</f>
        <v>10394</v>
      </c>
      <c r="Q777" s="64">
        <f>SUM(N777:P777)</f>
        <v>17644</v>
      </c>
      <c r="R777" s="88">
        <f>+E777+I777+M777+Q777</f>
        <v>141875</v>
      </c>
    </row>
    <row r="778" spans="1:18" ht="16.5" customHeight="1" thickBot="1" x14ac:dyDescent="0.35">
      <c r="A778" s="66" t="s">
        <v>37</v>
      </c>
      <c r="B778" s="25">
        <v>22</v>
      </c>
      <c r="C778" s="25">
        <v>24</v>
      </c>
      <c r="D778" s="25">
        <v>31</v>
      </c>
      <c r="E778" s="64">
        <f>SUM(B778:D778)</f>
        <v>77</v>
      </c>
      <c r="F778" s="25">
        <v>40</v>
      </c>
      <c r="G778" s="25">
        <v>45</v>
      </c>
      <c r="H778" s="25">
        <v>48</v>
      </c>
      <c r="I778" s="64">
        <f>SUM(F778:H778)</f>
        <v>133</v>
      </c>
      <c r="J778" s="25">
        <v>42</v>
      </c>
      <c r="K778" s="25">
        <v>39</v>
      </c>
      <c r="L778" s="25">
        <v>38</v>
      </c>
      <c r="M778" s="64">
        <f>SUM(J778:L778)</f>
        <v>119</v>
      </c>
      <c r="N778" s="25">
        <v>32</v>
      </c>
      <c r="O778" s="25">
        <v>25</v>
      </c>
      <c r="P778" s="25">
        <v>21</v>
      </c>
      <c r="Q778" s="64">
        <f>SUM(N778:P778)</f>
        <v>78</v>
      </c>
      <c r="R778" s="334">
        <f>+E778+I778+M778+Q778</f>
        <v>407</v>
      </c>
    </row>
    <row r="779" spans="1:18" ht="16.5" customHeight="1" thickBot="1" x14ac:dyDescent="0.35">
      <c r="A779" s="42"/>
      <c r="B779" s="37"/>
      <c r="C779" s="37"/>
      <c r="D779" s="37"/>
      <c r="E779" s="16"/>
      <c r="F779" s="37"/>
      <c r="G779" s="37"/>
      <c r="H779" s="37"/>
      <c r="I779" s="16"/>
      <c r="J779" s="37"/>
      <c r="K779" s="37"/>
      <c r="L779" s="37"/>
      <c r="M779" s="16"/>
      <c r="N779" s="37"/>
      <c r="O779" s="37"/>
      <c r="P779" s="37"/>
      <c r="Q779" s="16"/>
      <c r="R779" s="43"/>
    </row>
    <row r="780" spans="1:18" ht="15.75" customHeight="1" x14ac:dyDescent="0.3">
      <c r="A780" s="17" t="s">
        <v>507</v>
      </c>
      <c r="B780" s="1">
        <f>+SUM(B777:B778)</f>
        <v>3971</v>
      </c>
      <c r="C780" s="1">
        <f>+SUM(C777:C778)</f>
        <v>8115</v>
      </c>
      <c r="D780" s="1">
        <f>+SUM(D777:D778)</f>
        <v>15230</v>
      </c>
      <c r="E780" s="334">
        <f>SUM(B780:D780)</f>
        <v>27316</v>
      </c>
      <c r="F780" s="1">
        <f>+SUM(F777:F778)</f>
        <v>17211</v>
      </c>
      <c r="G780" s="1">
        <f>+SUM(G777:G778)</f>
        <v>17559</v>
      </c>
      <c r="H780" s="1">
        <f>+SUM(H777:H778)</f>
        <v>16854</v>
      </c>
      <c r="I780" s="334">
        <f>SUM(F780:H780)</f>
        <v>51624</v>
      </c>
      <c r="J780" s="1">
        <f>+SUM(J777:J778)</f>
        <v>16988</v>
      </c>
      <c r="K780" s="1">
        <f>+SUM(K777:K778)</f>
        <v>16710</v>
      </c>
      <c r="L780" s="1">
        <f>+SUM(L777:L778)</f>
        <v>11922</v>
      </c>
      <c r="M780" s="334">
        <f>SUM(J780:L780)</f>
        <v>45620</v>
      </c>
      <c r="N780" s="1">
        <f>+SUM(N777:N778)</f>
        <v>7197</v>
      </c>
      <c r="O780" s="1">
        <f>+SUM(O777:O778)</f>
        <v>110</v>
      </c>
      <c r="P780" s="1">
        <f>+SUM(P777:P778)</f>
        <v>10415</v>
      </c>
      <c r="Q780" s="334">
        <f>SUM(N780:P780)</f>
        <v>17722</v>
      </c>
      <c r="R780" s="334">
        <f>+E780+I780+M780+Q780</f>
        <v>142282</v>
      </c>
    </row>
    <row r="781" spans="1:18" ht="15.75" customHeight="1" x14ac:dyDescent="0.3">
      <c r="A781" s="17" t="s">
        <v>39</v>
      </c>
      <c r="B781" s="1">
        <f>(B780/B10)/1.983</f>
        <v>64.597465553983042</v>
      </c>
      <c r="C781" s="1">
        <f>(C780/C10)/1.983</f>
        <v>146.15301491247027</v>
      </c>
      <c r="D781" s="1">
        <f>(D780/D10)/1.983</f>
        <v>247.75104517430415</v>
      </c>
      <c r="E781" s="59" t="s">
        <v>7</v>
      </c>
      <c r="F781" s="1">
        <f>(F780/F10)/1.983</f>
        <v>289.309127584468</v>
      </c>
      <c r="G781" s="1">
        <f>(G780/G10)/1.983</f>
        <v>285.63759699380211</v>
      </c>
      <c r="H781" s="1">
        <f>(H780/H10)/1.983</f>
        <v>283.30811901159854</v>
      </c>
      <c r="I781" s="59" t="s">
        <v>7</v>
      </c>
      <c r="J781" s="1">
        <f>(J780/J10)/1.983</f>
        <v>276.34896621280888</v>
      </c>
      <c r="K781" s="1">
        <f>(K780/K10)/1.983</f>
        <v>271.82665560489966</v>
      </c>
      <c r="L781" s="1">
        <f>(L780/L10)/1.983</f>
        <v>200.4034291477559</v>
      </c>
      <c r="M781" s="59" t="s">
        <v>7</v>
      </c>
      <c r="N781" s="1">
        <f>(N780/N10)/1.983</f>
        <v>117.07578937094333</v>
      </c>
      <c r="O781" s="1">
        <f>(O780/O10)/1.983</f>
        <v>1.849050260547991</v>
      </c>
      <c r="P781" s="1">
        <f>(P780/P10)/1.983</f>
        <v>169.42397475314363</v>
      </c>
      <c r="Q781" s="59" t="s">
        <v>7</v>
      </c>
      <c r="R781" s="59" t="s">
        <v>7</v>
      </c>
    </row>
    <row r="782" spans="1:18" ht="15.75" customHeight="1" x14ac:dyDescent="0.3">
      <c r="A782" s="17" t="s">
        <v>581</v>
      </c>
      <c r="B782" s="1">
        <f>B780+B792</f>
        <v>7382</v>
      </c>
      <c r="C782" s="1">
        <f>C780+C792</f>
        <v>11500</v>
      </c>
      <c r="D782" s="1">
        <f>D780+D792</f>
        <v>19313</v>
      </c>
      <c r="E782" s="59">
        <f>SUM(B782:D782)</f>
        <v>38195</v>
      </c>
      <c r="F782" s="1">
        <f>F780+F792</f>
        <v>21601</v>
      </c>
      <c r="G782" s="1">
        <f>G780+G792</f>
        <v>23200</v>
      </c>
      <c r="H782" s="1">
        <f>H780+H792</f>
        <v>21676</v>
      </c>
      <c r="I782" s="59">
        <f>SUM(F782:H782)</f>
        <v>66477</v>
      </c>
      <c r="J782" s="1">
        <f>J780+J792</f>
        <v>20882</v>
      </c>
      <c r="K782" s="1">
        <f>K780+K792</f>
        <v>20014</v>
      </c>
      <c r="L782" s="1">
        <f>L780+L792</f>
        <v>15639</v>
      </c>
      <c r="M782" s="59">
        <f>SUM(J782:L782)</f>
        <v>56535</v>
      </c>
      <c r="N782" s="1">
        <f>N780+N792</f>
        <v>10487</v>
      </c>
      <c r="O782" s="1">
        <f>O780+O792</f>
        <v>316</v>
      </c>
      <c r="P782" s="1">
        <f>P780+P792</f>
        <v>14623</v>
      </c>
      <c r="Q782" s="59">
        <f>SUM(N782:P782)</f>
        <v>25426</v>
      </c>
      <c r="R782" s="59">
        <f>+E782+I782+M782+Q782</f>
        <v>186633</v>
      </c>
    </row>
    <row r="783" spans="1:18" ht="16.5" customHeight="1" thickBot="1" x14ac:dyDescent="0.35">
      <c r="A783" s="24" t="s">
        <v>582</v>
      </c>
      <c r="B783" s="25">
        <f>(B782/B10)/1.983</f>
        <v>120.08524067476777</v>
      </c>
      <c r="C783" s="25">
        <f>(C782/C10)/1.983</f>
        <v>207.11764282112239</v>
      </c>
      <c r="D783" s="25">
        <f>(D782/D10)/1.983</f>
        <v>314.17044881492689</v>
      </c>
      <c r="E783" s="88" t="s">
        <v>7</v>
      </c>
      <c r="F783" s="25">
        <f>(F782/F10)/1.983</f>
        <v>363.10304252815598</v>
      </c>
      <c r="G783" s="25">
        <f>(G782/G10)/1.983</f>
        <v>377.40146080393015</v>
      </c>
      <c r="H783" s="25">
        <f>(H782/H10)/1.983</f>
        <v>364.36375861489324</v>
      </c>
      <c r="I783" s="88" t="s">
        <v>7</v>
      </c>
      <c r="J783" s="25">
        <f>(J782/J10)/1.983</f>
        <v>339.69384933222716</v>
      </c>
      <c r="K783" s="25">
        <f>(K782/K10)/1.983</f>
        <v>325.57382916076978</v>
      </c>
      <c r="L783" s="25">
        <f>(L782/L10)/1.983</f>
        <v>262.88451840645484</v>
      </c>
      <c r="M783" s="88" t="s">
        <v>7</v>
      </c>
      <c r="N783" s="25">
        <f>(N782/N10)/1.983</f>
        <v>170.59522066598345</v>
      </c>
      <c r="O783" s="25">
        <f>(O782/O10)/1.983</f>
        <v>5.3118171121196838</v>
      </c>
      <c r="P783" s="25">
        <f>(P782/P10)/1.983</f>
        <v>237.87679143689098</v>
      </c>
      <c r="Q783" s="88" t="s">
        <v>7</v>
      </c>
      <c r="R783" s="88" t="s">
        <v>7</v>
      </c>
    </row>
    <row r="784" spans="1:18" ht="15.75" customHeight="1" x14ac:dyDescent="0.3">
      <c r="A784" s="28"/>
      <c r="B784" s="1"/>
      <c r="C784" s="1"/>
      <c r="D784" s="1"/>
      <c r="E784" s="1"/>
      <c r="F784" s="1"/>
      <c r="G784" s="1"/>
      <c r="H784" s="1"/>
      <c r="I784" s="1"/>
      <c r="J784" s="1"/>
      <c r="K784" s="1"/>
      <c r="L784" s="1"/>
      <c r="M784" s="1"/>
      <c r="N784" s="1"/>
      <c r="O784" s="1"/>
      <c r="P784" s="1"/>
      <c r="Q784" s="1"/>
      <c r="R784" s="28"/>
    </row>
    <row r="785" spans="1:18" ht="15.75" customHeight="1" thickBot="1" x14ac:dyDescent="0.35">
      <c r="A785" s="28"/>
      <c r="B785" s="1"/>
      <c r="C785" s="1"/>
      <c r="D785" s="1"/>
      <c r="E785" s="1"/>
      <c r="F785" s="1"/>
      <c r="G785" s="1"/>
      <c r="H785" s="1"/>
      <c r="I785" s="1"/>
      <c r="J785" s="1"/>
      <c r="K785" s="1"/>
      <c r="L785" s="1"/>
      <c r="M785" s="1"/>
      <c r="N785" s="1"/>
      <c r="O785" s="1"/>
      <c r="P785" s="1"/>
      <c r="Q785" s="1"/>
      <c r="R785" s="28"/>
    </row>
    <row r="786" spans="1:18" ht="16.5" customHeight="1" thickBot="1" x14ac:dyDescent="0.35">
      <c r="A786" s="343" t="s">
        <v>583</v>
      </c>
      <c r="B786" s="323" t="s">
        <v>36</v>
      </c>
      <c r="C786" s="324" t="s">
        <v>9</v>
      </c>
      <c r="D786" s="324" t="s">
        <v>10</v>
      </c>
      <c r="E786" s="325" t="s">
        <v>11</v>
      </c>
      <c r="F786" s="324" t="s">
        <v>12</v>
      </c>
      <c r="G786" s="324" t="s">
        <v>13</v>
      </c>
      <c r="H786" s="324" t="s">
        <v>14</v>
      </c>
      <c r="I786" s="34" t="s">
        <v>15</v>
      </c>
      <c r="J786" s="324" t="s">
        <v>16</v>
      </c>
      <c r="K786" s="324" t="s">
        <v>17</v>
      </c>
      <c r="L786" s="324" t="s">
        <v>18</v>
      </c>
      <c r="M786" s="34" t="s">
        <v>19</v>
      </c>
      <c r="N786" s="324" t="s">
        <v>20</v>
      </c>
      <c r="O786" s="324" t="s">
        <v>21</v>
      </c>
      <c r="P786" s="324" t="s">
        <v>22</v>
      </c>
      <c r="Q786" s="34" t="s">
        <v>23</v>
      </c>
      <c r="R786" s="326" t="s">
        <v>24</v>
      </c>
    </row>
    <row r="787" spans="1:18" ht="16.5" customHeight="1" thickBot="1" x14ac:dyDescent="0.35">
      <c r="A787" s="42"/>
      <c r="B787" s="37"/>
      <c r="C787" s="37"/>
      <c r="D787" s="37"/>
      <c r="E787" s="38"/>
      <c r="F787" s="37"/>
      <c r="G787" s="37"/>
      <c r="H787" s="37"/>
      <c r="I787" s="38"/>
      <c r="J787" s="37"/>
      <c r="K787" s="37"/>
      <c r="L787" s="37"/>
      <c r="M787" s="38"/>
      <c r="N787" s="37"/>
      <c r="O787" s="37"/>
      <c r="P787" s="37"/>
      <c r="Q787" s="38"/>
      <c r="R787" s="42"/>
    </row>
    <row r="788" spans="1:18" ht="16.5" customHeight="1" thickBot="1" x14ac:dyDescent="0.35">
      <c r="A788" s="40" t="s">
        <v>37</v>
      </c>
      <c r="B788" s="25">
        <v>2</v>
      </c>
      <c r="C788" s="25">
        <v>3</v>
      </c>
      <c r="D788" s="25">
        <v>5</v>
      </c>
      <c r="E788" s="59">
        <f>SUM(B788:D788)</f>
        <v>10</v>
      </c>
      <c r="F788" s="25">
        <v>7</v>
      </c>
      <c r="G788" s="25">
        <v>8</v>
      </c>
      <c r="H788" s="25">
        <v>9</v>
      </c>
      <c r="I788" s="59">
        <f>SUM(F788:H788)</f>
        <v>24</v>
      </c>
      <c r="J788" s="25">
        <v>7</v>
      </c>
      <c r="K788" s="25">
        <v>6</v>
      </c>
      <c r="L788" s="25">
        <v>6</v>
      </c>
      <c r="M788" s="59">
        <f>SUM(J788:L788)</f>
        <v>19</v>
      </c>
      <c r="N788" s="25">
        <v>5</v>
      </c>
      <c r="O788" s="25">
        <v>3</v>
      </c>
      <c r="P788" s="25">
        <v>2</v>
      </c>
      <c r="Q788" s="59">
        <f>SUM(N788:P788)</f>
        <v>10</v>
      </c>
      <c r="R788" s="334">
        <f>+E788+I788+M788+Q788</f>
        <v>63</v>
      </c>
    </row>
    <row r="789" spans="1:18" ht="16.5" customHeight="1" thickBot="1" x14ac:dyDescent="0.35">
      <c r="A789" s="42"/>
      <c r="B789" s="37"/>
      <c r="C789" s="37"/>
      <c r="D789" s="37"/>
      <c r="E789" s="16"/>
      <c r="F789" s="37"/>
      <c r="G789" s="37"/>
      <c r="H789" s="37"/>
      <c r="I789" s="16"/>
      <c r="J789" s="37"/>
      <c r="K789" s="37"/>
      <c r="L789" s="37"/>
      <c r="M789" s="16"/>
      <c r="N789" s="37"/>
      <c r="O789" s="37"/>
      <c r="P789" s="37"/>
      <c r="Q789" s="16"/>
      <c r="R789" s="43"/>
    </row>
    <row r="790" spans="1:18" ht="15.75" customHeight="1" x14ac:dyDescent="0.3">
      <c r="A790" s="17" t="s">
        <v>507</v>
      </c>
      <c r="B790" s="1">
        <f>B788</f>
        <v>2</v>
      </c>
      <c r="C790" s="1">
        <f>C788</f>
        <v>3</v>
      </c>
      <c r="D790" s="1">
        <f>D788</f>
        <v>5</v>
      </c>
      <c r="E790" s="334">
        <f>SUM(B790:D790)</f>
        <v>10</v>
      </c>
      <c r="F790" s="1">
        <f>F788</f>
        <v>7</v>
      </c>
      <c r="G790" s="1">
        <f>G788</f>
        <v>8</v>
      </c>
      <c r="H790" s="1">
        <f>H788</f>
        <v>9</v>
      </c>
      <c r="I790" s="334">
        <f>SUM(F790:H790)</f>
        <v>24</v>
      </c>
      <c r="J790" s="1">
        <f>J788</f>
        <v>7</v>
      </c>
      <c r="K790" s="1">
        <f>K788</f>
        <v>6</v>
      </c>
      <c r="L790" s="1">
        <f>L788</f>
        <v>6</v>
      </c>
      <c r="M790" s="334">
        <f>SUM(J790:L790)</f>
        <v>19</v>
      </c>
      <c r="N790" s="1">
        <f>N788</f>
        <v>5</v>
      </c>
      <c r="O790" s="1">
        <f>O788</f>
        <v>3</v>
      </c>
      <c r="P790" s="1">
        <f>P788</f>
        <v>2</v>
      </c>
      <c r="Q790" s="334">
        <f>SUM(N790:P790)</f>
        <v>10</v>
      </c>
      <c r="R790" s="334">
        <f>+E790+I790+M790+Q790</f>
        <v>63</v>
      </c>
    </row>
    <row r="791" spans="1:18" ht="15.75" customHeight="1" x14ac:dyDescent="0.3">
      <c r="A791" s="17" t="s">
        <v>39</v>
      </c>
      <c r="B791" s="1">
        <f>(B790/B10)/1.983</f>
        <v>3.2534608689993978E-2</v>
      </c>
      <c r="C791" s="1">
        <f>(C790/C10)/1.983</f>
        <v>5.403068943159714E-2</v>
      </c>
      <c r="D791" s="1">
        <f>(D790/D10)/1.983</f>
        <v>8.1336521724984942E-2</v>
      </c>
      <c r="E791" s="59" t="s">
        <v>7</v>
      </c>
      <c r="F791" s="1">
        <f>(F790/F10)/1.983</f>
        <v>0.1176668347621449</v>
      </c>
      <c r="G791" s="1">
        <f>(G790/G10)/1.983</f>
        <v>0.13013843475997591</v>
      </c>
      <c r="H791" s="1">
        <f>(H790/H10)/1.983</f>
        <v>0.15128593040847199</v>
      </c>
      <c r="I791" s="59" t="s">
        <v>7</v>
      </c>
      <c r="J791" s="1">
        <f>(J790/J10)/1.983</f>
        <v>0.11387113041497893</v>
      </c>
      <c r="K791" s="1">
        <f>(K790/K10)/1.983</f>
        <v>9.7603826069981942E-2</v>
      </c>
      <c r="L791" s="1">
        <f>(L790/L10)/1.983</f>
        <v>0.10085728693898134</v>
      </c>
      <c r="M791" s="59" t="s">
        <v>7</v>
      </c>
      <c r="N791" s="1">
        <f>(N790/N10)/1.983</f>
        <v>8.1336521724984942E-2</v>
      </c>
      <c r="O791" s="1">
        <f>(O790/O10)/1.983</f>
        <v>5.0428643469490671E-2</v>
      </c>
      <c r="P791" s="1">
        <f>(P790/P10)/1.983</f>
        <v>3.2534608689993978E-2</v>
      </c>
      <c r="Q791" s="59" t="s">
        <v>7</v>
      </c>
      <c r="R791" s="59" t="s">
        <v>7</v>
      </c>
    </row>
    <row r="792" spans="1:18" ht="15.75" customHeight="1" x14ac:dyDescent="0.3">
      <c r="A792" s="17" t="s">
        <v>584</v>
      </c>
      <c r="B792" s="1">
        <f>B790+B826+B879-B821</f>
        <v>3411</v>
      </c>
      <c r="C792" s="1">
        <f>C790+C826+C879-C821</f>
        <v>3385</v>
      </c>
      <c r="D792" s="1">
        <f>D790+D826+D879-D821</f>
        <v>4083</v>
      </c>
      <c r="E792" s="59">
        <f>SUM(B792:D792)</f>
        <v>10879</v>
      </c>
      <c r="F792" s="1">
        <f>F790+F826+F879-F821</f>
        <v>4390</v>
      </c>
      <c r="G792" s="1">
        <f>G790+G826+G879-G821</f>
        <v>5641</v>
      </c>
      <c r="H792" s="1">
        <f>H790+H826+H879-H821</f>
        <v>4822</v>
      </c>
      <c r="I792" s="59">
        <f>SUM(F792:H792)</f>
        <v>14853</v>
      </c>
      <c r="J792" s="1">
        <f>J790+J826+J879-J821</f>
        <v>3894</v>
      </c>
      <c r="K792" s="1">
        <f>K790+K826+K879-K821</f>
        <v>3304</v>
      </c>
      <c r="L792" s="1">
        <f>L790+L826+L879-L821</f>
        <v>3717</v>
      </c>
      <c r="M792" s="59">
        <f>SUM(J792:L792)</f>
        <v>10915</v>
      </c>
      <c r="N792" s="1">
        <f>N790+N826+N879-N821</f>
        <v>3290</v>
      </c>
      <c r="O792" s="1">
        <f>O790+O826+O879-O821</f>
        <v>206</v>
      </c>
      <c r="P792" s="1">
        <f>P790+P826+P879-P821</f>
        <v>4208</v>
      </c>
      <c r="Q792" s="59">
        <f>SUM(N792:P792)</f>
        <v>7704</v>
      </c>
      <c r="R792" s="59">
        <f>+E792+I792+M792+Q792</f>
        <v>44351</v>
      </c>
    </row>
    <row r="793" spans="1:18" ht="16.5" customHeight="1" thickBot="1" x14ac:dyDescent="0.35">
      <c r="A793" s="24" t="s">
        <v>585</v>
      </c>
      <c r="B793" s="25">
        <f>(B792/B10)/1.983</f>
        <v>55.487775120784733</v>
      </c>
      <c r="C793" s="25">
        <f>(C792/C10)/1.983</f>
        <v>60.964627908652112</v>
      </c>
      <c r="D793" s="25">
        <f>(D792/D10)/1.983</f>
        <v>66.419403640622718</v>
      </c>
      <c r="E793" s="88" t="s">
        <v>7</v>
      </c>
      <c r="F793" s="25">
        <f>(F792/F10)/1.983</f>
        <v>73.793914943688023</v>
      </c>
      <c r="G793" s="25">
        <f>(G792/G10)/1.983</f>
        <v>91.763863810128015</v>
      </c>
      <c r="H793" s="25">
        <f>(H792/H10)/1.983</f>
        <v>81.055639603294665</v>
      </c>
      <c r="I793" s="88" t="s">
        <v>7</v>
      </c>
      <c r="J793" s="25">
        <f>(J792/J10)/1.983</f>
        <v>63.344883119418277</v>
      </c>
      <c r="K793" s="25">
        <f>(K792/K10)/1.983</f>
        <v>53.747173555870056</v>
      </c>
      <c r="L793" s="25">
        <f>(L792/L10)/1.983</f>
        <v>62.481089258698944</v>
      </c>
      <c r="M793" s="88" t="s">
        <v>7</v>
      </c>
      <c r="N793" s="25">
        <f>(N792/N10)/1.983</f>
        <v>53.519431295040093</v>
      </c>
      <c r="O793" s="25">
        <f>(O792/O10)/1.983</f>
        <v>3.4627668515716925</v>
      </c>
      <c r="P793" s="25">
        <f>(P792/P10)/1.983</f>
        <v>68.452816683747344</v>
      </c>
      <c r="Q793" s="88" t="s">
        <v>7</v>
      </c>
      <c r="R793" s="88" t="s">
        <v>7</v>
      </c>
    </row>
    <row r="794" spans="1:18" ht="15.75" customHeight="1" x14ac:dyDescent="0.3">
      <c r="A794" s="28"/>
      <c r="B794" s="1"/>
      <c r="C794" s="1"/>
      <c r="D794" s="1"/>
      <c r="E794" s="1"/>
      <c r="F794" s="1"/>
      <c r="G794" s="1"/>
      <c r="H794" s="1"/>
      <c r="I794" s="1"/>
      <c r="J794" s="1"/>
      <c r="K794" s="1"/>
      <c r="L794" s="1"/>
      <c r="M794" s="1"/>
      <c r="N794" s="1"/>
      <c r="O794" s="1"/>
      <c r="P794" s="1"/>
      <c r="Q794" s="1"/>
      <c r="R794" s="28"/>
    </row>
    <row r="795" spans="1:18" ht="15.75" customHeight="1" thickBot="1" x14ac:dyDescent="0.35">
      <c r="A795" s="28"/>
      <c r="B795" s="1"/>
      <c r="C795" s="1"/>
      <c r="D795" s="1"/>
      <c r="E795" s="1"/>
      <c r="F795" s="1"/>
      <c r="G795" s="1"/>
      <c r="H795" s="1"/>
      <c r="I795" s="1"/>
      <c r="J795" s="1"/>
      <c r="K795" s="1"/>
      <c r="L795" s="1"/>
      <c r="M795" s="1"/>
      <c r="N795" s="1"/>
      <c r="O795" s="1"/>
      <c r="P795" s="1"/>
      <c r="Q795" s="1"/>
      <c r="R795" s="28"/>
    </row>
    <row r="796" spans="1:18" ht="16.5" customHeight="1" thickBot="1" x14ac:dyDescent="0.35">
      <c r="A796" s="343" t="s">
        <v>586</v>
      </c>
      <c r="B796" s="323" t="s">
        <v>36</v>
      </c>
      <c r="C796" s="324" t="s">
        <v>9</v>
      </c>
      <c r="D796" s="324" t="s">
        <v>10</v>
      </c>
      <c r="E796" s="34" t="s">
        <v>11</v>
      </c>
      <c r="F796" s="324" t="s">
        <v>12</v>
      </c>
      <c r="G796" s="324" t="s">
        <v>13</v>
      </c>
      <c r="H796" s="324" t="s">
        <v>14</v>
      </c>
      <c r="I796" s="34" t="s">
        <v>15</v>
      </c>
      <c r="J796" s="324" t="s">
        <v>16</v>
      </c>
      <c r="K796" s="324" t="s">
        <v>17</v>
      </c>
      <c r="L796" s="324" t="s">
        <v>18</v>
      </c>
      <c r="M796" s="34" t="s">
        <v>19</v>
      </c>
      <c r="N796" s="324" t="s">
        <v>20</v>
      </c>
      <c r="O796" s="324" t="s">
        <v>21</v>
      </c>
      <c r="P796" s="324" t="s">
        <v>22</v>
      </c>
      <c r="Q796" s="34" t="s">
        <v>23</v>
      </c>
      <c r="R796" s="346" t="s">
        <v>24</v>
      </c>
    </row>
    <row r="797" spans="1:18" ht="16.5" customHeight="1" thickBot="1" x14ac:dyDescent="0.35">
      <c r="A797" s="42"/>
      <c r="B797" s="37"/>
      <c r="C797" s="37"/>
      <c r="D797" s="37"/>
      <c r="E797" s="156"/>
      <c r="F797" s="37"/>
      <c r="G797" s="37"/>
      <c r="H797" s="37"/>
      <c r="I797" s="156"/>
      <c r="J797" s="37"/>
      <c r="K797" s="37"/>
      <c r="L797" s="37"/>
      <c r="M797" s="156"/>
      <c r="N797" s="37"/>
      <c r="O797" s="37"/>
      <c r="P797" s="37"/>
      <c r="Q797" s="156"/>
      <c r="R797" s="39"/>
    </row>
    <row r="798" spans="1:18" ht="15.75" customHeight="1" x14ac:dyDescent="0.3">
      <c r="A798" s="17" t="s">
        <v>45</v>
      </c>
      <c r="B798" s="1" t="s">
        <v>7</v>
      </c>
      <c r="C798" s="1" t="s">
        <v>7</v>
      </c>
      <c r="D798" s="1" t="s">
        <v>7</v>
      </c>
      <c r="E798" s="59" t="s">
        <v>7</v>
      </c>
      <c r="F798" s="1" t="s">
        <v>7</v>
      </c>
      <c r="G798" s="1" t="s">
        <v>7</v>
      </c>
      <c r="H798" s="1" t="s">
        <v>7</v>
      </c>
      <c r="I798" s="59" t="s">
        <v>7</v>
      </c>
      <c r="J798" s="1" t="s">
        <v>7</v>
      </c>
      <c r="K798" s="1" t="s">
        <v>7</v>
      </c>
      <c r="L798" s="1" t="s">
        <v>7</v>
      </c>
      <c r="M798" s="59" t="s">
        <v>7</v>
      </c>
      <c r="N798" s="1" t="s">
        <v>7</v>
      </c>
      <c r="O798" s="1" t="s">
        <v>7</v>
      </c>
      <c r="P798" s="1" t="s">
        <v>7</v>
      </c>
      <c r="Q798" s="59" t="s">
        <v>7</v>
      </c>
      <c r="R798" s="59" t="s">
        <v>7</v>
      </c>
    </row>
    <row r="799" spans="1:18" ht="15.75" customHeight="1" x14ac:dyDescent="0.3">
      <c r="A799" s="17" t="s">
        <v>46</v>
      </c>
      <c r="B799" s="1"/>
      <c r="C799" s="1"/>
      <c r="D799" s="1"/>
      <c r="E799" s="59" t="s">
        <v>7</v>
      </c>
      <c r="F799" s="1"/>
      <c r="G799" s="1"/>
      <c r="H799" s="1"/>
      <c r="I799" s="59" t="s">
        <v>7</v>
      </c>
      <c r="J799" s="1"/>
      <c r="K799" s="1"/>
      <c r="L799" s="1"/>
      <c r="M799" s="59" t="s">
        <v>7</v>
      </c>
      <c r="N799" s="1"/>
      <c r="O799" s="1"/>
      <c r="P799" s="1"/>
      <c r="Q799" s="59" t="s">
        <v>7</v>
      </c>
      <c r="R799" s="59" t="s">
        <v>7</v>
      </c>
    </row>
    <row r="800" spans="1:18" ht="15.75" customHeight="1" x14ac:dyDescent="0.3">
      <c r="A800" s="74" t="s">
        <v>587</v>
      </c>
      <c r="B800" s="1"/>
      <c r="C800" s="1"/>
      <c r="D800" s="1"/>
      <c r="E800" s="59">
        <f>SUM(B800:D800)</f>
        <v>0</v>
      </c>
      <c r="F800" s="1"/>
      <c r="G800" s="1">
        <v>46</v>
      </c>
      <c r="H800" s="1"/>
      <c r="I800" s="59">
        <f>SUM(F800:H800)</f>
        <v>46</v>
      </c>
      <c r="J800" s="1"/>
      <c r="K800" s="1"/>
      <c r="L800" s="1"/>
      <c r="M800" s="59">
        <f>SUM(J800:L800)</f>
        <v>0</v>
      </c>
      <c r="N800" s="1"/>
      <c r="O800" s="1"/>
      <c r="P800" s="1"/>
      <c r="Q800" s="59">
        <f>SUM(N800:P800)</f>
        <v>0</v>
      </c>
      <c r="R800" s="59">
        <f>+E800+I800+M800+Q800</f>
        <v>46</v>
      </c>
    </row>
    <row r="801" spans="1:18" ht="15.75" customHeight="1" x14ac:dyDescent="0.3">
      <c r="A801" s="17" t="s">
        <v>47</v>
      </c>
      <c r="B801" s="1"/>
      <c r="C801" s="1"/>
      <c r="D801" s="1"/>
      <c r="E801" s="59" t="s">
        <v>7</v>
      </c>
      <c r="F801" s="1"/>
      <c r="G801" s="1"/>
      <c r="H801" s="1"/>
      <c r="I801" s="59" t="s">
        <v>7</v>
      </c>
      <c r="J801" s="1"/>
      <c r="K801" s="1"/>
      <c r="L801" s="1"/>
      <c r="M801" s="59" t="s">
        <v>7</v>
      </c>
      <c r="N801" s="1"/>
      <c r="O801" s="1"/>
      <c r="P801" s="1"/>
      <c r="Q801" s="59" t="s">
        <v>7</v>
      </c>
      <c r="R801" s="59" t="s">
        <v>7</v>
      </c>
    </row>
    <row r="802" spans="1:18" ht="15.75" customHeight="1" x14ac:dyDescent="0.3">
      <c r="A802" s="17" t="s">
        <v>49</v>
      </c>
      <c r="B802" s="1"/>
      <c r="C802" s="1"/>
      <c r="D802" s="1"/>
      <c r="E802" s="59" t="s">
        <v>7</v>
      </c>
      <c r="F802" s="1"/>
      <c r="G802" s="1"/>
      <c r="H802" s="1"/>
      <c r="I802" s="59" t="s">
        <v>7</v>
      </c>
      <c r="J802" s="1"/>
      <c r="K802" s="1"/>
      <c r="L802" s="1"/>
      <c r="M802" s="59" t="s">
        <v>7</v>
      </c>
      <c r="N802" s="1"/>
      <c r="O802" s="1"/>
      <c r="P802" s="1"/>
      <c r="Q802" s="59" t="s">
        <v>7</v>
      </c>
      <c r="R802" s="59" t="s">
        <v>7</v>
      </c>
    </row>
    <row r="803" spans="1:18" ht="15.75" customHeight="1" thickBot="1" x14ac:dyDescent="0.35">
      <c r="A803" s="17" t="s">
        <v>51</v>
      </c>
      <c r="B803" s="1"/>
      <c r="C803" s="1"/>
      <c r="D803" s="1"/>
      <c r="E803" s="59" t="s">
        <v>7</v>
      </c>
      <c r="F803" s="1"/>
      <c r="G803" s="1"/>
      <c r="H803" s="1"/>
      <c r="I803" s="59" t="s">
        <v>7</v>
      </c>
      <c r="J803" s="1"/>
      <c r="K803" s="1"/>
      <c r="L803" s="1"/>
      <c r="M803" s="59" t="s">
        <v>7</v>
      </c>
      <c r="N803" s="1"/>
      <c r="O803" s="1"/>
      <c r="P803" s="1"/>
      <c r="Q803" s="59" t="s">
        <v>7</v>
      </c>
      <c r="R803" s="59" t="s">
        <v>7</v>
      </c>
    </row>
    <row r="804" spans="1:18" ht="16.5" customHeight="1" thickBot="1" x14ac:dyDescent="0.35">
      <c r="A804" s="62" t="s">
        <v>52</v>
      </c>
      <c r="B804" s="100">
        <f>SUM(B798:B803)</f>
        <v>0</v>
      </c>
      <c r="C804" s="101">
        <f>SUM(C798:C803)</f>
        <v>0</v>
      </c>
      <c r="D804" s="101">
        <f>SUM(D798:D803)</f>
        <v>0</v>
      </c>
      <c r="E804" s="64">
        <f>SUM(B804:D804)</f>
        <v>0</v>
      </c>
      <c r="F804" s="101">
        <f>SUM(F798:F803)</f>
        <v>0</v>
      </c>
      <c r="G804" s="101">
        <f>SUM(G798:G803)</f>
        <v>46</v>
      </c>
      <c r="H804" s="101">
        <f>SUM(H798:H803)</f>
        <v>0</v>
      </c>
      <c r="I804" s="64">
        <f>SUM(F804:H804)</f>
        <v>46</v>
      </c>
      <c r="J804" s="101">
        <f>SUM(J798:J803)</f>
        <v>0</v>
      </c>
      <c r="K804" s="101">
        <f>SUM(K798:K803)</f>
        <v>0</v>
      </c>
      <c r="L804" s="101">
        <f>SUM(L798:L803)</f>
        <v>0</v>
      </c>
      <c r="M804" s="64">
        <f>SUM(J804:L804)</f>
        <v>0</v>
      </c>
      <c r="N804" s="101">
        <f>SUM(N798:N803)</f>
        <v>0</v>
      </c>
      <c r="O804" s="101">
        <f>SUM(O798:O803)</f>
        <v>0</v>
      </c>
      <c r="P804" s="101">
        <f>SUM(P798:P803)</f>
        <v>0</v>
      </c>
      <c r="Q804" s="64">
        <f>SUM(N804:P804)</f>
        <v>0</v>
      </c>
      <c r="R804" s="64">
        <f>+E804+I804+M804+Q804</f>
        <v>46</v>
      </c>
    </row>
    <row r="805" spans="1:18" ht="15.75" customHeight="1" x14ac:dyDescent="0.3">
      <c r="A805" s="17" t="s">
        <v>53</v>
      </c>
      <c r="B805" s="1"/>
      <c r="C805" s="1"/>
      <c r="D805" s="1"/>
      <c r="E805" s="59" t="s">
        <v>7</v>
      </c>
      <c r="F805" s="1"/>
      <c r="G805" s="1"/>
      <c r="H805" s="1"/>
      <c r="I805" s="59" t="s">
        <v>7</v>
      </c>
      <c r="J805" s="1"/>
      <c r="K805" s="1"/>
      <c r="L805" s="1"/>
      <c r="M805" s="59" t="s">
        <v>7</v>
      </c>
      <c r="N805" s="1"/>
      <c r="O805" s="1"/>
      <c r="P805" s="1"/>
      <c r="Q805" s="59" t="s">
        <v>7</v>
      </c>
      <c r="R805" s="59" t="s">
        <v>7</v>
      </c>
    </row>
    <row r="806" spans="1:18" ht="15.75" customHeight="1" x14ac:dyDescent="0.3">
      <c r="A806" s="17" t="s">
        <v>55</v>
      </c>
      <c r="B806" s="1"/>
      <c r="C806" s="1"/>
      <c r="D806" s="1"/>
      <c r="E806" s="59" t="s">
        <v>7</v>
      </c>
      <c r="F806" s="1"/>
      <c r="G806" s="1"/>
      <c r="H806" s="1"/>
      <c r="I806" s="59" t="s">
        <v>7</v>
      </c>
      <c r="J806" s="1"/>
      <c r="K806" s="1"/>
      <c r="L806" s="1"/>
      <c r="M806" s="59" t="s">
        <v>7</v>
      </c>
      <c r="N806" s="1"/>
      <c r="O806" s="1"/>
      <c r="P806" s="1"/>
      <c r="Q806" s="59" t="s">
        <v>7</v>
      </c>
      <c r="R806" s="59" t="s">
        <v>7</v>
      </c>
    </row>
    <row r="807" spans="1:18" ht="15.75" customHeight="1" thickBot="1" x14ac:dyDescent="0.35">
      <c r="A807" s="17" t="s">
        <v>56</v>
      </c>
      <c r="B807" s="1"/>
      <c r="C807" s="1"/>
      <c r="D807" s="1"/>
      <c r="E807" s="59" t="s">
        <v>7</v>
      </c>
      <c r="F807" s="1"/>
      <c r="G807" s="1"/>
      <c r="H807" s="1"/>
      <c r="I807" s="59" t="s">
        <v>7</v>
      </c>
      <c r="J807" s="1"/>
      <c r="K807" s="1"/>
      <c r="L807" s="1"/>
      <c r="M807" s="59" t="s">
        <v>7</v>
      </c>
      <c r="N807" s="1"/>
      <c r="O807" s="1"/>
      <c r="P807" s="1"/>
      <c r="Q807" s="59" t="s">
        <v>7</v>
      </c>
      <c r="R807" s="59" t="s">
        <v>7</v>
      </c>
    </row>
    <row r="808" spans="1:18" ht="16.5" customHeight="1" thickBot="1" x14ac:dyDescent="0.35">
      <c r="A808" s="62" t="s">
        <v>57</v>
      </c>
      <c r="B808" s="100">
        <f>SUM(B805:B807)</f>
        <v>0</v>
      </c>
      <c r="C808" s="101">
        <f>SUM(C805:C807)</f>
        <v>0</v>
      </c>
      <c r="D808" s="101">
        <f>SUM(D805:D807)</f>
        <v>0</v>
      </c>
      <c r="E808" s="64">
        <f>SUM(B808:D808)</f>
        <v>0</v>
      </c>
      <c r="F808" s="101">
        <f>SUM(F805:F807)</f>
        <v>0</v>
      </c>
      <c r="G808" s="101">
        <f>SUM(G805:G807)</f>
        <v>0</v>
      </c>
      <c r="H808" s="101">
        <f>SUM(H805:H807)</f>
        <v>0</v>
      </c>
      <c r="I808" s="64">
        <f>SUM(F808:H808)</f>
        <v>0</v>
      </c>
      <c r="J808" s="101">
        <f>SUM(J805:J807)</f>
        <v>0</v>
      </c>
      <c r="K808" s="101">
        <f>SUM(K805:K807)</f>
        <v>0</v>
      </c>
      <c r="L808" s="101">
        <f>SUM(L805:L807)</f>
        <v>0</v>
      </c>
      <c r="M808" s="64">
        <f>SUM(J808:L808)</f>
        <v>0</v>
      </c>
      <c r="N808" s="101">
        <f>SUM(N805:N807)</f>
        <v>0</v>
      </c>
      <c r="O808" s="101">
        <f>SUM(O805:O807)</f>
        <v>0</v>
      </c>
      <c r="P808" s="101">
        <f>SUM(P805:P807)</f>
        <v>0</v>
      </c>
      <c r="Q808" s="64">
        <f>SUM(N808:P808)</f>
        <v>0</v>
      </c>
      <c r="R808" s="64">
        <f>+E808+I808+M808+Q808</f>
        <v>0</v>
      </c>
    </row>
    <row r="809" spans="1:18" ht="15.75" customHeight="1" x14ac:dyDescent="0.3">
      <c r="A809" s="17" t="s">
        <v>58</v>
      </c>
      <c r="B809" s="1"/>
      <c r="C809" s="1"/>
      <c r="D809" s="1"/>
      <c r="E809" s="59" t="s">
        <v>7</v>
      </c>
      <c r="F809" s="1"/>
      <c r="G809" s="1"/>
      <c r="H809" s="1"/>
      <c r="I809" s="59" t="s">
        <v>7</v>
      </c>
      <c r="J809" s="1"/>
      <c r="K809" s="1"/>
      <c r="L809" s="1"/>
      <c r="M809" s="59" t="s">
        <v>7</v>
      </c>
      <c r="N809" s="1"/>
      <c r="O809" s="1"/>
      <c r="P809" s="1"/>
      <c r="Q809" s="59" t="s">
        <v>7</v>
      </c>
      <c r="R809" s="59" t="s">
        <v>7</v>
      </c>
    </row>
    <row r="810" spans="1:18" ht="15.75" customHeight="1" x14ac:dyDescent="0.3">
      <c r="A810" s="17" t="s">
        <v>59</v>
      </c>
      <c r="B810" s="1"/>
      <c r="C810" s="1"/>
      <c r="D810" s="1"/>
      <c r="E810" s="59" t="s">
        <v>7</v>
      </c>
      <c r="F810" s="1"/>
      <c r="G810" s="1"/>
      <c r="H810" s="1"/>
      <c r="I810" s="59" t="s">
        <v>7</v>
      </c>
      <c r="J810" s="1"/>
      <c r="K810" s="1"/>
      <c r="L810" s="1"/>
      <c r="M810" s="59" t="s">
        <v>7</v>
      </c>
      <c r="N810" s="1"/>
      <c r="O810" s="1"/>
      <c r="P810" s="1"/>
      <c r="Q810" s="59" t="s">
        <v>7</v>
      </c>
      <c r="R810" s="59" t="s">
        <v>7</v>
      </c>
    </row>
    <row r="811" spans="1:18" ht="15.75" customHeight="1" thickBot="1" x14ac:dyDescent="0.35">
      <c r="A811" s="17" t="s">
        <v>60</v>
      </c>
      <c r="B811" s="1"/>
      <c r="C811" s="1"/>
      <c r="D811" s="1"/>
      <c r="E811" s="59" t="s">
        <v>7</v>
      </c>
      <c r="F811" s="1"/>
      <c r="G811" s="1"/>
      <c r="H811" s="1"/>
      <c r="I811" s="59" t="s">
        <v>7</v>
      </c>
      <c r="J811" s="1"/>
      <c r="K811" s="1"/>
      <c r="L811" s="1"/>
      <c r="M811" s="59" t="s">
        <v>7</v>
      </c>
      <c r="N811" s="1"/>
      <c r="O811" s="1"/>
      <c r="P811" s="1"/>
      <c r="Q811" s="59" t="s">
        <v>7</v>
      </c>
      <c r="R811" s="59" t="s">
        <v>7</v>
      </c>
    </row>
    <row r="812" spans="1:18" ht="16.5" customHeight="1" thickBot="1" x14ac:dyDescent="0.35">
      <c r="A812" s="62" t="s">
        <v>61</v>
      </c>
      <c r="B812" s="100">
        <f>SUM(B809:B811)</f>
        <v>0</v>
      </c>
      <c r="C812" s="101">
        <f>SUM(C809:C811)</f>
        <v>0</v>
      </c>
      <c r="D812" s="101">
        <f>SUM(D809:D811)</f>
        <v>0</v>
      </c>
      <c r="E812" s="64">
        <f>SUM(B812:D812)</f>
        <v>0</v>
      </c>
      <c r="F812" s="101">
        <f>SUM(F809:F811)</f>
        <v>0</v>
      </c>
      <c r="G812" s="101">
        <f>SUM(G809:G811)</f>
        <v>0</v>
      </c>
      <c r="H812" s="101">
        <f>SUM(H809:H811)</f>
        <v>0</v>
      </c>
      <c r="I812" s="64">
        <f>SUM(F812:H812)</f>
        <v>0</v>
      </c>
      <c r="J812" s="101">
        <f>SUM(J809:J811)</f>
        <v>0</v>
      </c>
      <c r="K812" s="101">
        <f>SUM(K809:K811)</f>
        <v>0</v>
      </c>
      <c r="L812" s="101">
        <f>SUM(L809:L811)</f>
        <v>0</v>
      </c>
      <c r="M812" s="64">
        <f>SUM(J812:L812)</f>
        <v>0</v>
      </c>
      <c r="N812" s="101">
        <f>SUM(N809:N811)</f>
        <v>0</v>
      </c>
      <c r="O812" s="101">
        <f>SUM(O809:O811)</f>
        <v>0</v>
      </c>
      <c r="P812" s="101">
        <f>SUM(P809:P811)</f>
        <v>0</v>
      </c>
      <c r="Q812" s="64">
        <f>SUM(N812:P812)</f>
        <v>0</v>
      </c>
      <c r="R812" s="64">
        <f>+E812+I812+M812+Q812</f>
        <v>0</v>
      </c>
    </row>
    <row r="813" spans="1:18" ht="15.75" customHeight="1" x14ac:dyDescent="0.3">
      <c r="A813" s="17" t="s">
        <v>62</v>
      </c>
      <c r="B813" s="1"/>
      <c r="C813" s="1"/>
      <c r="D813" s="1"/>
      <c r="E813" s="59" t="s">
        <v>7</v>
      </c>
      <c r="F813" s="1"/>
      <c r="G813" s="1"/>
      <c r="H813" s="1"/>
      <c r="I813" s="59" t="s">
        <v>7</v>
      </c>
      <c r="J813" s="1"/>
      <c r="K813" s="1"/>
      <c r="L813" s="1"/>
      <c r="M813" s="59" t="s">
        <v>7</v>
      </c>
      <c r="N813" s="1"/>
      <c r="O813" s="1"/>
      <c r="P813" s="1"/>
      <c r="Q813" s="59" t="s">
        <v>7</v>
      </c>
      <c r="R813" s="59" t="s">
        <v>7</v>
      </c>
    </row>
    <row r="814" spans="1:18" ht="15.75" customHeight="1" x14ac:dyDescent="0.3">
      <c r="A814" s="17" t="s">
        <v>63</v>
      </c>
      <c r="B814" s="1"/>
      <c r="C814" s="1"/>
      <c r="D814" s="1"/>
      <c r="E814" s="59" t="s">
        <v>7</v>
      </c>
      <c r="F814" s="1"/>
      <c r="G814" s="1"/>
      <c r="H814" s="1"/>
      <c r="I814" s="59" t="s">
        <v>7</v>
      </c>
      <c r="J814" s="1"/>
      <c r="K814" s="1"/>
      <c r="L814" s="1"/>
      <c r="M814" s="59" t="s">
        <v>7</v>
      </c>
      <c r="N814" s="1"/>
      <c r="O814" s="1"/>
      <c r="P814" s="1"/>
      <c r="Q814" s="59" t="s">
        <v>7</v>
      </c>
      <c r="R814" s="59" t="s">
        <v>7</v>
      </c>
    </row>
    <row r="815" spans="1:18" ht="15.75" customHeight="1" x14ac:dyDescent="0.3">
      <c r="A815" s="17" t="s">
        <v>64</v>
      </c>
      <c r="B815" s="1"/>
      <c r="C815" s="1"/>
      <c r="D815" s="1"/>
      <c r="E815" s="59" t="s">
        <v>7</v>
      </c>
      <c r="F815" s="1"/>
      <c r="G815" s="1"/>
      <c r="H815" s="1"/>
      <c r="I815" s="59" t="s">
        <v>7</v>
      </c>
      <c r="J815" s="1"/>
      <c r="K815" s="1"/>
      <c r="L815" s="1"/>
      <c r="M815" s="59" t="s">
        <v>7</v>
      </c>
      <c r="N815" s="1"/>
      <c r="O815" s="1"/>
      <c r="P815" s="1"/>
      <c r="Q815" s="59" t="s">
        <v>7</v>
      </c>
      <c r="R815" s="59" t="s">
        <v>7</v>
      </c>
    </row>
    <row r="816" spans="1:18" ht="15.75" customHeight="1" x14ac:dyDescent="0.3">
      <c r="A816" s="17" t="s">
        <v>66</v>
      </c>
      <c r="B816" s="1"/>
      <c r="C816" s="1"/>
      <c r="D816" s="1"/>
      <c r="E816" s="59" t="s">
        <v>7</v>
      </c>
      <c r="F816" s="1"/>
      <c r="G816" s="1"/>
      <c r="H816" s="1"/>
      <c r="I816" s="59" t="s">
        <v>7</v>
      </c>
      <c r="J816" s="1"/>
      <c r="K816" s="1"/>
      <c r="L816" s="1"/>
      <c r="M816" s="59" t="s">
        <v>7</v>
      </c>
      <c r="N816" s="1"/>
      <c r="O816" s="1"/>
      <c r="P816" s="1"/>
      <c r="Q816" s="59" t="s">
        <v>7</v>
      </c>
      <c r="R816" s="59" t="s">
        <v>7</v>
      </c>
    </row>
    <row r="817" spans="1:18" ht="15.75" customHeight="1" thickBot="1" x14ac:dyDescent="0.35">
      <c r="A817" s="17" t="s">
        <v>67</v>
      </c>
      <c r="B817" s="1"/>
      <c r="C817" s="1"/>
      <c r="D817" s="1"/>
      <c r="E817" s="59" t="s">
        <v>7</v>
      </c>
      <c r="F817" s="1"/>
      <c r="G817" s="1"/>
      <c r="H817" s="1"/>
      <c r="I817" s="59" t="s">
        <v>7</v>
      </c>
      <c r="J817" s="1"/>
      <c r="K817" s="1"/>
      <c r="L817" s="1"/>
      <c r="M817" s="59" t="s">
        <v>7</v>
      </c>
      <c r="N817" s="1"/>
      <c r="O817" s="1"/>
      <c r="P817" s="1"/>
      <c r="Q817" s="59" t="s">
        <v>7</v>
      </c>
      <c r="R817" s="59" t="s">
        <v>7</v>
      </c>
    </row>
    <row r="818" spans="1:18" ht="16.5" customHeight="1" thickBot="1" x14ac:dyDescent="0.35">
      <c r="A818" s="62" t="s">
        <v>68</v>
      </c>
      <c r="B818" s="63">
        <f>SUM(B816:B817)</f>
        <v>0</v>
      </c>
      <c r="C818" s="63">
        <f>SUM(C816:C817)</f>
        <v>0</v>
      </c>
      <c r="D818" s="63">
        <f>SUM(D816:D817)</f>
        <v>0</v>
      </c>
      <c r="E818" s="334">
        <f>SUM(B818:D818)</f>
        <v>0</v>
      </c>
      <c r="F818" s="63">
        <f>SUM(F816:F817)</f>
        <v>0</v>
      </c>
      <c r="G818" s="63">
        <f>SUM(G816:G817)</f>
        <v>0</v>
      </c>
      <c r="H818" s="63">
        <f>SUM(H816:H817)</f>
        <v>0</v>
      </c>
      <c r="I818" s="334">
        <f>SUM(F818:H818)</f>
        <v>0</v>
      </c>
      <c r="J818" s="63">
        <f>SUM(J816:J817)</f>
        <v>0</v>
      </c>
      <c r="K818" s="63">
        <f>SUM(K816:K817)</f>
        <v>0</v>
      </c>
      <c r="L818" s="63">
        <f>SUM(L816:L817)</f>
        <v>0</v>
      </c>
      <c r="M818" s="334">
        <f>SUM(J818:L818)</f>
        <v>0</v>
      </c>
      <c r="N818" s="63">
        <f>SUM(N816:N817)</f>
        <v>0</v>
      </c>
      <c r="O818" s="63">
        <f>SUM(O816:O817)</f>
        <v>0</v>
      </c>
      <c r="P818" s="63">
        <f>SUM(P816:P817)</f>
        <v>0</v>
      </c>
      <c r="Q818" s="334">
        <f>SUM(N818:P818)</f>
        <v>0</v>
      </c>
      <c r="R818" s="64">
        <f>+E818+I818+M818+Q818</f>
        <v>0</v>
      </c>
    </row>
    <row r="819" spans="1:18" ht="16.5" customHeight="1" thickBot="1" x14ac:dyDescent="0.35">
      <c r="A819" s="62" t="s">
        <v>69</v>
      </c>
      <c r="B819" s="100">
        <f>SUM(B813:B817)</f>
        <v>0</v>
      </c>
      <c r="C819" s="101">
        <f>SUM(C813:C817)</f>
        <v>0</v>
      </c>
      <c r="D819" s="138">
        <f>SUM(D813:D817)</f>
        <v>0</v>
      </c>
      <c r="E819" s="334">
        <f>SUM(B819:D819)</f>
        <v>0</v>
      </c>
      <c r="F819" s="101">
        <f>SUM(F813:F817)</f>
        <v>0</v>
      </c>
      <c r="G819" s="101">
        <f>SUM(G813:G817)</f>
        <v>0</v>
      </c>
      <c r="H819" s="101">
        <f>SUM(H813:H817)</f>
        <v>0</v>
      </c>
      <c r="I819" s="334">
        <f>SUM(F819:H819)</f>
        <v>0</v>
      </c>
      <c r="J819" s="101">
        <f>SUM(J813:J817)</f>
        <v>0</v>
      </c>
      <c r="K819" s="101">
        <f>SUM(K813:K817)</f>
        <v>0</v>
      </c>
      <c r="L819" s="101">
        <f>SUM(L813:L817)</f>
        <v>0</v>
      </c>
      <c r="M819" s="334">
        <f>SUM(J819:L819)</f>
        <v>0</v>
      </c>
      <c r="N819" s="101">
        <f>SUM(N813:N817)</f>
        <v>0</v>
      </c>
      <c r="O819" s="101">
        <f>SUM(O813:O817)</f>
        <v>0</v>
      </c>
      <c r="P819" s="101">
        <f>SUM(P813:P817)</f>
        <v>0</v>
      </c>
      <c r="Q819" s="334">
        <f>SUM(N819:P819)</f>
        <v>0</v>
      </c>
      <c r="R819" s="64">
        <f>+E819+I819+M819+Q819</f>
        <v>0</v>
      </c>
    </row>
    <row r="820" spans="1:18" ht="16.5" customHeight="1" thickBot="1" x14ac:dyDescent="0.35">
      <c r="A820" s="62" t="s">
        <v>70</v>
      </c>
      <c r="B820" s="107">
        <f>+B804+B808+B812+B819</f>
        <v>0</v>
      </c>
      <c r="C820" s="63">
        <f>+C804+C808+C812+C819</f>
        <v>0</v>
      </c>
      <c r="D820" s="63">
        <f>+D804+D808+D812+D819</f>
        <v>0</v>
      </c>
      <c r="E820" s="64">
        <f>SUM(B820:D820)</f>
        <v>0</v>
      </c>
      <c r="F820" s="63">
        <f>+F804+F808+F812+F819</f>
        <v>0</v>
      </c>
      <c r="G820" s="63">
        <f>+G804+G808+G812+G819</f>
        <v>46</v>
      </c>
      <c r="H820" s="63">
        <f>+H804+H808+H812+H819</f>
        <v>0</v>
      </c>
      <c r="I820" s="64">
        <f>SUM(F820:H820)</f>
        <v>46</v>
      </c>
      <c r="J820" s="63">
        <f>+J804+J808+J812+J819</f>
        <v>0</v>
      </c>
      <c r="K820" s="63">
        <f>+K804+K808+K812+K819</f>
        <v>0</v>
      </c>
      <c r="L820" s="63">
        <f>+L804+L808+L812+L819</f>
        <v>0</v>
      </c>
      <c r="M820" s="64">
        <f>SUM(J820:L820)</f>
        <v>0</v>
      </c>
      <c r="N820" s="63">
        <f>+N804+N808+N812+N819</f>
        <v>0</v>
      </c>
      <c r="O820" s="63">
        <f>+O804+O808+O812+O819</f>
        <v>0</v>
      </c>
      <c r="P820" s="63">
        <f>+P804+P808+P812+P819</f>
        <v>0</v>
      </c>
      <c r="Q820" s="64">
        <f>SUM(N820:P820)</f>
        <v>0</v>
      </c>
      <c r="R820" s="88">
        <f>+E820+I820+M820+Q820</f>
        <v>46</v>
      </c>
    </row>
    <row r="821" spans="1:18" ht="15.75" customHeight="1" x14ac:dyDescent="0.3">
      <c r="A821" s="74" t="s">
        <v>588</v>
      </c>
      <c r="B821" s="1">
        <v>4731</v>
      </c>
      <c r="C821" s="1">
        <v>4711</v>
      </c>
      <c r="D821" s="1">
        <v>5045</v>
      </c>
      <c r="E821" s="59">
        <f>SUM(B821:D821)</f>
        <v>14487</v>
      </c>
      <c r="F821" s="1">
        <v>4952</v>
      </c>
      <c r="G821" s="1">
        <v>6086</v>
      </c>
      <c r="H821" s="1">
        <v>7137</v>
      </c>
      <c r="I821" s="59">
        <f>SUM(F821:H821)</f>
        <v>18175</v>
      </c>
      <c r="J821" s="1">
        <v>5843</v>
      </c>
      <c r="K821" s="1">
        <v>5899</v>
      </c>
      <c r="L821" s="1">
        <v>3190</v>
      </c>
      <c r="M821" s="59">
        <f>SUM(J821:L821)</f>
        <v>14932</v>
      </c>
      <c r="N821" s="1">
        <v>255</v>
      </c>
      <c r="O821" s="1">
        <v>5332</v>
      </c>
      <c r="P821" s="1">
        <v>5291</v>
      </c>
      <c r="Q821" s="59">
        <f>SUM(N821:P821)</f>
        <v>10878</v>
      </c>
      <c r="R821" s="59">
        <f>+E821+I821+M821+Q821</f>
        <v>58472</v>
      </c>
    </row>
    <row r="822" spans="1:18" ht="15.75" customHeight="1" thickBot="1" x14ac:dyDescent="0.35">
      <c r="A822" s="74" t="s">
        <v>37</v>
      </c>
      <c r="B822" s="1">
        <v>0</v>
      </c>
      <c r="C822" s="1">
        <v>0</v>
      </c>
      <c r="D822" s="1">
        <v>0</v>
      </c>
      <c r="E822" s="59">
        <f>SUM(B822:D822)</f>
        <v>0</v>
      </c>
      <c r="F822" s="1">
        <v>0</v>
      </c>
      <c r="G822" s="1">
        <v>0</v>
      </c>
      <c r="H822" s="1">
        <v>0</v>
      </c>
      <c r="I822" s="59">
        <f>SUM(F822:H822)</f>
        <v>0</v>
      </c>
      <c r="J822" s="1">
        <v>0</v>
      </c>
      <c r="K822" s="1">
        <v>0</v>
      </c>
      <c r="L822" s="1">
        <v>0</v>
      </c>
      <c r="M822" s="59">
        <f>SUM(J822:L822)</f>
        <v>0</v>
      </c>
      <c r="N822" s="1">
        <v>0</v>
      </c>
      <c r="O822" s="1">
        <v>0</v>
      </c>
      <c r="P822" s="1">
        <v>0</v>
      </c>
      <c r="Q822" s="59">
        <f>SUM(N822:P822)</f>
        <v>0</v>
      </c>
      <c r="R822" s="59">
        <f>+E822+I822+M822+Q822</f>
        <v>0</v>
      </c>
    </row>
    <row r="823" spans="1:18" ht="16.5" customHeight="1" thickBot="1" x14ac:dyDescent="0.35">
      <c r="A823" s="154"/>
      <c r="B823" s="56"/>
      <c r="C823" s="56"/>
      <c r="D823" s="56"/>
      <c r="E823" s="64" t="s">
        <v>7</v>
      </c>
      <c r="F823" s="56"/>
      <c r="G823" s="56"/>
      <c r="H823" s="56"/>
      <c r="I823" s="64" t="s">
        <v>7</v>
      </c>
      <c r="J823" s="56"/>
      <c r="K823" s="56"/>
      <c r="L823" s="56"/>
      <c r="M823" s="64" t="s">
        <v>7</v>
      </c>
      <c r="N823" s="56"/>
      <c r="O823" s="56"/>
      <c r="P823" s="56"/>
      <c r="Q823" s="64"/>
      <c r="R823" s="64"/>
    </row>
    <row r="824" spans="1:18" ht="15.75" customHeight="1" x14ac:dyDescent="0.3">
      <c r="A824" s="17" t="s">
        <v>38</v>
      </c>
      <c r="B824" s="1">
        <f>SUM(B820:B822)</f>
        <v>4731</v>
      </c>
      <c r="C824" s="1">
        <f>SUM(C820:C822)</f>
        <v>4711</v>
      </c>
      <c r="D824" s="1">
        <f>SUM(D820:D822)</f>
        <v>5045</v>
      </c>
      <c r="E824" s="334">
        <f>SUM(B824:D824)</f>
        <v>14487</v>
      </c>
      <c r="F824" s="1">
        <f>SUM(F820:F822)</f>
        <v>4952</v>
      </c>
      <c r="G824" s="1">
        <f>SUM(G820:G822)</f>
        <v>6132</v>
      </c>
      <c r="H824" s="1">
        <f>SUM(H820:H822)</f>
        <v>7137</v>
      </c>
      <c r="I824" s="334">
        <f>SUM(F824:H824)</f>
        <v>18221</v>
      </c>
      <c r="J824" s="1">
        <f>SUM(J820:J822)</f>
        <v>5843</v>
      </c>
      <c r="K824" s="1">
        <f>SUM(K820:K822)</f>
        <v>5899</v>
      </c>
      <c r="L824" s="1">
        <f>SUM(L820:L822)</f>
        <v>3190</v>
      </c>
      <c r="M824" s="334">
        <f>SUM(J824:L824)</f>
        <v>14932</v>
      </c>
      <c r="N824" s="1">
        <f>SUM(N820:N822)</f>
        <v>255</v>
      </c>
      <c r="O824" s="1">
        <f>SUM(O820:O822)</f>
        <v>5332</v>
      </c>
      <c r="P824" s="1">
        <f>SUM(P820:P822)</f>
        <v>5291</v>
      </c>
      <c r="Q824" s="334">
        <f>SUM(N824:P824)</f>
        <v>10878</v>
      </c>
      <c r="R824" s="334">
        <f>+E824+I824+M824+Q824</f>
        <v>58518</v>
      </c>
    </row>
    <row r="825" spans="1:18" ht="15.75" customHeight="1" x14ac:dyDescent="0.3">
      <c r="A825" s="17" t="s">
        <v>39</v>
      </c>
      <c r="B825" s="1">
        <f>(B824/B10)/1.983</f>
        <v>76.960616856180764</v>
      </c>
      <c r="C825" s="1">
        <f>(C824/C10)/1.983</f>
        <v>84.846192637418056</v>
      </c>
      <c r="D825" s="1">
        <f>(D824/D10)/1.983</f>
        <v>82.068550420509823</v>
      </c>
      <c r="E825" s="59" t="s">
        <v>7</v>
      </c>
      <c r="F825" s="1">
        <f>(F824/F10)/1.983</f>
        <v>83.240880820305932</v>
      </c>
      <c r="G825" s="1">
        <f>(G824/G10)/1.983</f>
        <v>99.751110243521538</v>
      </c>
      <c r="H825" s="1">
        <f>(H824/H10)/1.983</f>
        <v>119.9697428139183</v>
      </c>
      <c r="I825" s="59" t="s">
        <v>7</v>
      </c>
      <c r="J825" s="1">
        <f>(J824/J10)/1.983</f>
        <v>95.049859287817398</v>
      </c>
      <c r="K825" s="1">
        <f>(K824/K10)/1.983</f>
        <v>95.960828331137236</v>
      </c>
      <c r="L825" s="1">
        <f>(L824/L10)/1.983</f>
        <v>53.622457555891742</v>
      </c>
      <c r="M825" s="59" t="s">
        <v>7</v>
      </c>
      <c r="N825" s="1">
        <f>(N824/N10)/1.983</f>
        <v>4.1481626079742329</v>
      </c>
      <c r="O825" s="1">
        <f>(O824/O10)/1.983</f>
        <v>89.628508993108071</v>
      </c>
      <c r="P825" s="1">
        <f>(P824/P10)/1.983</f>
        <v>86.070307289379073</v>
      </c>
      <c r="Q825" s="59" t="s">
        <v>7</v>
      </c>
      <c r="R825" s="59" t="s">
        <v>7</v>
      </c>
    </row>
    <row r="826" spans="1:18" ht="15.75" customHeight="1" x14ac:dyDescent="0.3">
      <c r="A826" s="17" t="s">
        <v>589</v>
      </c>
      <c r="B826" s="1">
        <f>B824</f>
        <v>4731</v>
      </c>
      <c r="C826" s="1">
        <f>C824</f>
        <v>4711</v>
      </c>
      <c r="D826" s="1">
        <f>D824</f>
        <v>5045</v>
      </c>
      <c r="E826" s="59">
        <f>SUM(B826:D826)</f>
        <v>14487</v>
      </c>
      <c r="F826" s="1">
        <f>F824</f>
        <v>4952</v>
      </c>
      <c r="G826" s="1">
        <f>G824</f>
        <v>6132</v>
      </c>
      <c r="H826" s="1">
        <f>H824</f>
        <v>7137</v>
      </c>
      <c r="I826" s="59">
        <f>SUM(F826:H826)</f>
        <v>18221</v>
      </c>
      <c r="J826" s="1">
        <f>J824</f>
        <v>5843</v>
      </c>
      <c r="K826" s="1">
        <f>K824</f>
        <v>5899</v>
      </c>
      <c r="L826" s="1">
        <f>L824</f>
        <v>3190</v>
      </c>
      <c r="M826" s="59">
        <f>SUM(J826:L826)</f>
        <v>14932</v>
      </c>
      <c r="N826" s="1">
        <f>N824</f>
        <v>255</v>
      </c>
      <c r="O826" s="1">
        <f>O824</f>
        <v>5332</v>
      </c>
      <c r="P826" s="1">
        <f>P824</f>
        <v>5291</v>
      </c>
      <c r="Q826" s="59">
        <f>SUM(N826:P826)</f>
        <v>10878</v>
      </c>
      <c r="R826" s="59">
        <f>+E826+I826+M826+Q826</f>
        <v>58518</v>
      </c>
    </row>
    <row r="827" spans="1:18" ht="16.5" customHeight="1" thickBot="1" x14ac:dyDescent="0.35">
      <c r="A827" s="24" t="s">
        <v>590</v>
      </c>
      <c r="B827" s="25">
        <f>(B826/B10)/1.983</f>
        <v>76.960616856180764</v>
      </c>
      <c r="C827" s="25">
        <f>(C826/C10)/1.983</f>
        <v>84.846192637418056</v>
      </c>
      <c r="D827" s="25">
        <f>(D826/D10)/1.983</f>
        <v>82.068550420509823</v>
      </c>
      <c r="E827" s="88" t="s">
        <v>7</v>
      </c>
      <c r="F827" s="25">
        <f>(F826/F10)/1.983</f>
        <v>83.240880820305932</v>
      </c>
      <c r="G827" s="25">
        <f>(G826/G10)/1.983</f>
        <v>99.751110243521538</v>
      </c>
      <c r="H827" s="25">
        <f>(H826/H10)/1.983</f>
        <v>119.9697428139183</v>
      </c>
      <c r="I827" s="88" t="s">
        <v>7</v>
      </c>
      <c r="J827" s="25">
        <f>(J826/J10)/1.983</f>
        <v>95.049859287817398</v>
      </c>
      <c r="K827" s="25">
        <f>(K826/K10)/1.983</f>
        <v>95.960828331137236</v>
      </c>
      <c r="L827" s="25">
        <f>(L826/L10)/1.983</f>
        <v>53.622457555891742</v>
      </c>
      <c r="M827" s="88" t="s">
        <v>7</v>
      </c>
      <c r="N827" s="25">
        <f>(N826/N10)/1.983</f>
        <v>4.1481626079742329</v>
      </c>
      <c r="O827" s="25">
        <f>(O826/O10)/1.983</f>
        <v>89.628508993108071</v>
      </c>
      <c r="P827" s="25">
        <f>(P826/P10)/1.983</f>
        <v>86.070307289379073</v>
      </c>
      <c r="Q827" s="88" t="s">
        <v>7</v>
      </c>
      <c r="R827" s="88" t="s">
        <v>7</v>
      </c>
    </row>
    <row r="828" spans="1:18" ht="15.75" customHeight="1" x14ac:dyDescent="0.3">
      <c r="A828" s="28"/>
      <c r="B828" s="1"/>
      <c r="C828" s="1"/>
      <c r="D828" s="1"/>
      <c r="E828" s="1"/>
      <c r="F828" s="1"/>
      <c r="G828" s="1"/>
      <c r="H828" s="1"/>
      <c r="I828" s="1"/>
      <c r="J828" s="1"/>
      <c r="K828" s="1"/>
      <c r="L828" s="1"/>
      <c r="M828" s="1"/>
      <c r="N828" s="1"/>
      <c r="O828" s="1"/>
      <c r="P828" s="1"/>
      <c r="Q828" s="1"/>
      <c r="R828" s="28"/>
    </row>
    <row r="829" spans="1:18" ht="15.75" customHeight="1" thickBot="1" x14ac:dyDescent="0.35">
      <c r="A829" s="28"/>
      <c r="B829" s="1"/>
      <c r="C829" s="1"/>
      <c r="D829" s="1"/>
      <c r="E829" s="1"/>
      <c r="F829" s="1"/>
      <c r="G829" s="1"/>
      <c r="H829" s="1"/>
      <c r="I829" s="1"/>
      <c r="J829" s="1"/>
      <c r="K829" s="1"/>
      <c r="L829" s="1"/>
      <c r="M829" s="1"/>
      <c r="N829" s="1"/>
      <c r="O829" s="1"/>
      <c r="P829" s="1"/>
      <c r="Q829" s="1"/>
      <c r="R829" s="28"/>
    </row>
    <row r="830" spans="1:18" ht="16.5" customHeight="1" thickBot="1" x14ac:dyDescent="0.35">
      <c r="A830" s="343" t="s">
        <v>591</v>
      </c>
      <c r="B830" s="323" t="s">
        <v>36</v>
      </c>
      <c r="C830" s="324" t="s">
        <v>9</v>
      </c>
      <c r="D830" s="324" t="s">
        <v>10</v>
      </c>
      <c r="E830" s="325" t="s">
        <v>11</v>
      </c>
      <c r="F830" s="324" t="s">
        <v>12</v>
      </c>
      <c r="G830" s="324" t="s">
        <v>13</v>
      </c>
      <c r="H830" s="324" t="s">
        <v>14</v>
      </c>
      <c r="I830" s="34" t="s">
        <v>15</v>
      </c>
      <c r="J830" s="324" t="s">
        <v>16</v>
      </c>
      <c r="K830" s="324" t="s">
        <v>17</v>
      </c>
      <c r="L830" s="324" t="s">
        <v>18</v>
      </c>
      <c r="M830" s="34" t="s">
        <v>19</v>
      </c>
      <c r="N830" s="324" t="s">
        <v>20</v>
      </c>
      <c r="O830" s="324" t="s">
        <v>21</v>
      </c>
      <c r="P830" s="324" t="s">
        <v>22</v>
      </c>
      <c r="Q830" s="34" t="s">
        <v>23</v>
      </c>
      <c r="R830" s="157" t="s">
        <v>24</v>
      </c>
    </row>
    <row r="831" spans="1:18" ht="16.5" customHeight="1" thickBot="1" x14ac:dyDescent="0.35">
      <c r="A831" s="42"/>
      <c r="B831" s="37"/>
      <c r="C831" s="37"/>
      <c r="D831" s="37"/>
      <c r="E831" s="16"/>
      <c r="F831" s="37"/>
      <c r="G831" s="37"/>
      <c r="H831" s="37"/>
      <c r="I831" s="156"/>
      <c r="J831" s="37"/>
      <c r="K831" s="37"/>
      <c r="L831" s="37"/>
      <c r="M831" s="156"/>
      <c r="N831" s="37"/>
      <c r="O831" s="37"/>
      <c r="P831" s="37"/>
      <c r="Q831" s="158"/>
      <c r="R831" s="159"/>
    </row>
    <row r="832" spans="1:18" ht="15.75" customHeight="1" x14ac:dyDescent="0.3">
      <c r="A832" s="17" t="s">
        <v>45</v>
      </c>
      <c r="B832" s="1" t="s">
        <v>7</v>
      </c>
      <c r="C832" s="1" t="s">
        <v>7</v>
      </c>
      <c r="D832" s="1" t="s">
        <v>7</v>
      </c>
      <c r="E832" s="160"/>
      <c r="F832" s="1" t="s">
        <v>7</v>
      </c>
      <c r="G832" s="1" t="s">
        <v>7</v>
      </c>
      <c r="H832" s="1" t="s">
        <v>7</v>
      </c>
      <c r="I832" s="160"/>
      <c r="J832" s="1" t="s">
        <v>7</v>
      </c>
      <c r="K832" s="1" t="s">
        <v>7</v>
      </c>
      <c r="L832" s="1" t="s">
        <v>7</v>
      </c>
      <c r="M832" s="160"/>
      <c r="N832" s="1" t="s">
        <v>7</v>
      </c>
      <c r="O832" s="1" t="s">
        <v>7</v>
      </c>
      <c r="P832" s="1" t="s">
        <v>7</v>
      </c>
      <c r="Q832" s="161"/>
      <c r="R832" s="162" t="s">
        <v>7</v>
      </c>
    </row>
    <row r="833" spans="1:20" ht="15.75" customHeight="1" x14ac:dyDescent="0.3">
      <c r="A833" s="17" t="s">
        <v>46</v>
      </c>
      <c r="B833" s="1"/>
      <c r="C833" s="1"/>
      <c r="D833" s="1"/>
      <c r="E833" s="59" t="s">
        <v>7</v>
      </c>
      <c r="F833" s="1"/>
      <c r="G833" s="1"/>
      <c r="H833" s="1"/>
      <c r="I833" s="59" t="s">
        <v>7</v>
      </c>
      <c r="J833" s="1"/>
      <c r="K833" s="1"/>
      <c r="L833" s="1"/>
      <c r="M833" s="59" t="s">
        <v>7</v>
      </c>
      <c r="N833" s="1"/>
      <c r="O833" s="1"/>
      <c r="P833" s="1"/>
      <c r="Q833" s="59" t="s">
        <v>7</v>
      </c>
      <c r="R833" s="59" t="s">
        <v>7</v>
      </c>
    </row>
    <row r="834" spans="1:20" ht="15.75" customHeight="1" x14ac:dyDescent="0.3">
      <c r="A834" s="74" t="s">
        <v>592</v>
      </c>
      <c r="B834" s="1"/>
      <c r="C834" s="1"/>
      <c r="D834" s="1"/>
      <c r="E834" s="59">
        <f t="shared" ref="E834:E839" si="285">SUM(B834:D834)</f>
        <v>0</v>
      </c>
      <c r="F834" s="1"/>
      <c r="G834" s="1"/>
      <c r="H834" s="1"/>
      <c r="I834" s="59">
        <f t="shared" ref="I834:I839" si="286">SUM(F834:H834)</f>
        <v>0</v>
      </c>
      <c r="J834" s="1"/>
      <c r="K834" s="1"/>
      <c r="L834" s="1"/>
      <c r="M834" s="59">
        <f t="shared" ref="M834:M839" si="287">SUM(J834:L834)</f>
        <v>0</v>
      </c>
      <c r="N834" s="1"/>
      <c r="O834" s="1"/>
      <c r="P834" s="1"/>
      <c r="Q834" s="59">
        <f t="shared" ref="Q834:Q839" si="288">SUM(N834:P834)</f>
        <v>0</v>
      </c>
      <c r="R834" s="59">
        <f t="shared" ref="R834:R839" si="289">+E834+I834+M834+Q834</f>
        <v>0</v>
      </c>
      <c r="T834" s="4" t="s">
        <v>593</v>
      </c>
    </row>
    <row r="835" spans="1:20" ht="15.75" customHeight="1" x14ac:dyDescent="0.3">
      <c r="A835" s="74" t="s">
        <v>594</v>
      </c>
      <c r="B835" s="1"/>
      <c r="C835" s="1"/>
      <c r="D835" s="1"/>
      <c r="E835" s="59">
        <f t="shared" si="285"/>
        <v>0</v>
      </c>
      <c r="F835" s="1"/>
      <c r="G835" s="1"/>
      <c r="H835" s="1"/>
      <c r="I835" s="59">
        <f t="shared" si="286"/>
        <v>0</v>
      </c>
      <c r="J835" s="1"/>
      <c r="K835" s="1"/>
      <c r="L835" s="1"/>
      <c r="M835" s="59">
        <f t="shared" si="287"/>
        <v>0</v>
      </c>
      <c r="N835" s="1"/>
      <c r="O835" s="1"/>
      <c r="P835" s="1"/>
      <c r="Q835" s="59">
        <f t="shared" si="288"/>
        <v>0</v>
      </c>
      <c r="R835" s="59">
        <f t="shared" si="289"/>
        <v>0</v>
      </c>
    </row>
    <row r="836" spans="1:20" ht="15.75" customHeight="1" x14ac:dyDescent="0.3">
      <c r="A836" s="74" t="s">
        <v>595</v>
      </c>
      <c r="B836" s="1"/>
      <c r="C836" s="1"/>
      <c r="D836" s="1"/>
      <c r="E836" s="59">
        <f t="shared" si="285"/>
        <v>0</v>
      </c>
      <c r="F836" s="1"/>
      <c r="G836" s="1"/>
      <c r="H836" s="1"/>
      <c r="I836" s="59">
        <f t="shared" si="286"/>
        <v>0</v>
      </c>
      <c r="J836" s="1"/>
      <c r="K836" s="1"/>
      <c r="L836" s="1"/>
      <c r="M836" s="59">
        <f t="shared" si="287"/>
        <v>0</v>
      </c>
      <c r="N836" s="1"/>
      <c r="O836" s="1"/>
      <c r="P836" s="1"/>
      <c r="Q836" s="59">
        <f t="shared" si="288"/>
        <v>0</v>
      </c>
      <c r="R836" s="59">
        <f t="shared" si="289"/>
        <v>0</v>
      </c>
    </row>
    <row r="837" spans="1:20" ht="15.75" customHeight="1" x14ac:dyDescent="0.3">
      <c r="A837" s="74" t="s">
        <v>596</v>
      </c>
      <c r="B837" s="1">
        <v>300</v>
      </c>
      <c r="C837" s="1"/>
      <c r="D837" s="1"/>
      <c r="E837" s="59">
        <f t="shared" si="285"/>
        <v>300</v>
      </c>
      <c r="F837" s="1"/>
      <c r="G837" s="1"/>
      <c r="H837" s="1"/>
      <c r="I837" s="59">
        <f t="shared" si="286"/>
        <v>0</v>
      </c>
      <c r="J837" s="1"/>
      <c r="K837" s="1"/>
      <c r="L837" s="1"/>
      <c r="M837" s="59">
        <f t="shared" si="287"/>
        <v>0</v>
      </c>
      <c r="N837" s="1"/>
      <c r="O837" s="1"/>
      <c r="P837" s="1"/>
      <c r="Q837" s="59">
        <f t="shared" si="288"/>
        <v>0</v>
      </c>
      <c r="R837" s="59">
        <f t="shared" si="289"/>
        <v>300</v>
      </c>
    </row>
    <row r="838" spans="1:20" ht="15.75" customHeight="1" x14ac:dyDescent="0.3">
      <c r="A838" s="74" t="s">
        <v>597</v>
      </c>
      <c r="B838" s="1"/>
      <c r="C838" s="1"/>
      <c r="D838" s="1"/>
      <c r="E838" s="59">
        <f t="shared" si="285"/>
        <v>0</v>
      </c>
      <c r="F838" s="1"/>
      <c r="G838" s="1"/>
      <c r="H838" s="1"/>
      <c r="I838" s="59">
        <f t="shared" si="286"/>
        <v>0</v>
      </c>
      <c r="J838" s="1"/>
      <c r="K838" s="1">
        <v>85</v>
      </c>
      <c r="L838" s="1">
        <v>959</v>
      </c>
      <c r="M838" s="59">
        <f t="shared" si="287"/>
        <v>1044</v>
      </c>
      <c r="N838" s="1">
        <v>690</v>
      </c>
      <c r="O838" s="1"/>
      <c r="P838" s="1"/>
      <c r="Q838" s="59">
        <f t="shared" si="288"/>
        <v>690</v>
      </c>
      <c r="R838" s="59">
        <f t="shared" si="289"/>
        <v>1734</v>
      </c>
    </row>
    <row r="839" spans="1:20" ht="15.75" customHeight="1" x14ac:dyDescent="0.3">
      <c r="A839" s="74" t="s">
        <v>598</v>
      </c>
      <c r="B839" s="1">
        <v>1567</v>
      </c>
      <c r="C839" s="1">
        <v>1761</v>
      </c>
      <c r="D839" s="1">
        <v>2029</v>
      </c>
      <c r="E839" s="59">
        <f t="shared" si="285"/>
        <v>5357</v>
      </c>
      <c r="F839" s="1">
        <v>1829</v>
      </c>
      <c r="G839" s="1">
        <v>2139</v>
      </c>
      <c r="H839" s="1">
        <v>1905</v>
      </c>
      <c r="I839" s="59">
        <f t="shared" si="286"/>
        <v>5873</v>
      </c>
      <c r="J839" s="1">
        <v>2357</v>
      </c>
      <c r="K839" s="1">
        <v>1709</v>
      </c>
      <c r="L839" s="1">
        <v>1729</v>
      </c>
      <c r="M839" s="59">
        <f t="shared" si="287"/>
        <v>5795</v>
      </c>
      <c r="N839" s="1">
        <v>1392</v>
      </c>
      <c r="O839" s="1"/>
      <c r="P839" s="1">
        <v>1083</v>
      </c>
      <c r="Q839" s="59">
        <f t="shared" si="288"/>
        <v>2475</v>
      </c>
      <c r="R839" s="59">
        <f t="shared" si="289"/>
        <v>19500</v>
      </c>
    </row>
    <row r="840" spans="1:20" ht="15.75" customHeight="1" x14ac:dyDescent="0.3">
      <c r="A840" s="17" t="s">
        <v>47</v>
      </c>
      <c r="B840" s="1"/>
      <c r="C840" s="1"/>
      <c r="D840" s="1"/>
      <c r="E840" s="59" t="s">
        <v>7</v>
      </c>
      <c r="F840" s="1"/>
      <c r="G840" s="1"/>
      <c r="H840" s="1"/>
      <c r="I840" s="59" t="s">
        <v>7</v>
      </c>
      <c r="J840" s="1"/>
      <c r="K840" s="1"/>
      <c r="L840" s="1"/>
      <c r="M840" s="59" t="s">
        <v>7</v>
      </c>
      <c r="N840" s="1"/>
      <c r="O840" s="1"/>
      <c r="P840" s="1"/>
      <c r="Q840" s="59" t="s">
        <v>7</v>
      </c>
      <c r="R840" s="59" t="s">
        <v>7</v>
      </c>
    </row>
    <row r="841" spans="1:20" ht="15.75" customHeight="1" x14ac:dyDescent="0.3">
      <c r="A841" s="17" t="s">
        <v>49</v>
      </c>
      <c r="B841" s="1"/>
      <c r="C841" s="1"/>
      <c r="D841" s="1"/>
      <c r="E841" s="59" t="s">
        <v>7</v>
      </c>
      <c r="F841" s="1"/>
      <c r="G841" s="1"/>
      <c r="H841" s="1"/>
      <c r="I841" s="59" t="s">
        <v>7</v>
      </c>
      <c r="J841" s="1"/>
      <c r="K841" s="1"/>
      <c r="L841" s="1"/>
      <c r="M841" s="59" t="s">
        <v>7</v>
      </c>
      <c r="N841" s="1"/>
      <c r="O841" s="1"/>
      <c r="P841" s="1"/>
      <c r="Q841" s="59" t="s">
        <v>7</v>
      </c>
      <c r="R841" s="59" t="s">
        <v>7</v>
      </c>
    </row>
    <row r="842" spans="1:20" ht="15.75" customHeight="1" x14ac:dyDescent="0.3">
      <c r="A842" s="74" t="s">
        <v>599</v>
      </c>
      <c r="B842" s="1"/>
      <c r="C842" s="1"/>
      <c r="D842" s="1"/>
      <c r="E842" s="59">
        <f>SUM(B842:D842)</f>
        <v>0</v>
      </c>
      <c r="F842" s="1"/>
      <c r="G842" s="1"/>
      <c r="H842" s="1"/>
      <c r="I842" s="59">
        <f>SUM(F842:H842)</f>
        <v>0</v>
      </c>
      <c r="J842" s="1"/>
      <c r="K842" s="1"/>
      <c r="L842" s="1"/>
      <c r="M842" s="59">
        <f>SUM(J842:L842)</f>
        <v>0</v>
      </c>
      <c r="N842" s="1"/>
      <c r="O842" s="1"/>
      <c r="P842" s="1"/>
      <c r="Q842" s="59">
        <f>SUM(N842:P842)</f>
        <v>0</v>
      </c>
      <c r="R842" s="59">
        <f>+E842+I842+M842+Q842</f>
        <v>0</v>
      </c>
      <c r="S842" s="77" t="s">
        <v>90</v>
      </c>
    </row>
    <row r="843" spans="1:20" ht="15.75" customHeight="1" thickBot="1" x14ac:dyDescent="0.35">
      <c r="A843" s="17" t="s">
        <v>51</v>
      </c>
      <c r="B843" s="1"/>
      <c r="C843" s="1"/>
      <c r="D843" s="1"/>
      <c r="E843" s="59" t="s">
        <v>7</v>
      </c>
      <c r="F843" s="1"/>
      <c r="G843" s="1"/>
      <c r="H843" s="1"/>
      <c r="I843" s="59" t="s">
        <v>7</v>
      </c>
      <c r="J843" s="1"/>
      <c r="K843" s="1"/>
      <c r="L843" s="1"/>
      <c r="M843" s="59" t="s">
        <v>7</v>
      </c>
      <c r="N843" s="1"/>
      <c r="O843" s="1"/>
      <c r="P843" s="1"/>
      <c r="Q843" s="59" t="s">
        <v>7</v>
      </c>
      <c r="R843" s="59" t="s">
        <v>7</v>
      </c>
    </row>
    <row r="844" spans="1:20" ht="16.5" customHeight="1" thickBot="1" x14ac:dyDescent="0.35">
      <c r="A844" s="62" t="s">
        <v>52</v>
      </c>
      <c r="B844" s="100">
        <f>SUM(B832:B843)</f>
        <v>1867</v>
      </c>
      <c r="C844" s="101">
        <f>SUM(C832:C843)</f>
        <v>1761</v>
      </c>
      <c r="D844" s="101">
        <f>SUM(D832:D843)</f>
        <v>2029</v>
      </c>
      <c r="E844" s="64">
        <f>SUM(B844:D844)</f>
        <v>5657</v>
      </c>
      <c r="F844" s="101">
        <f>SUM(F832:F843)</f>
        <v>1829</v>
      </c>
      <c r="G844" s="101">
        <f>SUM(G832:G843)</f>
        <v>2139</v>
      </c>
      <c r="H844" s="101">
        <f>SUM(H832:H843)</f>
        <v>1905</v>
      </c>
      <c r="I844" s="64">
        <f>SUM(F844:H844)</f>
        <v>5873</v>
      </c>
      <c r="J844" s="101">
        <f>SUM(J832:J843)</f>
        <v>2357</v>
      </c>
      <c r="K844" s="101">
        <f>SUM(K832:K843)</f>
        <v>1794</v>
      </c>
      <c r="L844" s="101">
        <f>SUM(L832:L843)</f>
        <v>2688</v>
      </c>
      <c r="M844" s="64">
        <f>SUM(J844:L844)</f>
        <v>6839</v>
      </c>
      <c r="N844" s="101">
        <f>SUM(N832:N843)</f>
        <v>2082</v>
      </c>
      <c r="O844" s="101">
        <f>SUM(O832:O843)</f>
        <v>0</v>
      </c>
      <c r="P844" s="101">
        <f>SUM(P832:P843)</f>
        <v>1083</v>
      </c>
      <c r="Q844" s="64">
        <f>SUM(N844:P844)</f>
        <v>3165</v>
      </c>
      <c r="R844" s="64">
        <f>+E844+I844+M844+Q844</f>
        <v>21534</v>
      </c>
    </row>
    <row r="845" spans="1:20" ht="15.75" customHeight="1" x14ac:dyDescent="0.3">
      <c r="A845" s="17" t="s">
        <v>53</v>
      </c>
      <c r="B845" s="1"/>
      <c r="C845" s="1"/>
      <c r="D845" s="1"/>
      <c r="E845" s="59" t="s">
        <v>7</v>
      </c>
      <c r="F845" s="1"/>
      <c r="G845" s="1"/>
      <c r="H845" s="1"/>
      <c r="I845" s="59" t="s">
        <v>7</v>
      </c>
      <c r="J845" s="1"/>
      <c r="K845" s="1"/>
      <c r="L845" s="1"/>
      <c r="M845" s="59" t="s">
        <v>7</v>
      </c>
      <c r="N845" s="1"/>
      <c r="O845" s="1"/>
      <c r="P845" s="1"/>
      <c r="Q845" s="59" t="s">
        <v>7</v>
      </c>
      <c r="R845" s="59" t="s">
        <v>7</v>
      </c>
    </row>
    <row r="846" spans="1:20" ht="15.75" customHeight="1" x14ac:dyDescent="0.3">
      <c r="A846" s="17" t="s">
        <v>55</v>
      </c>
      <c r="B846" s="1"/>
      <c r="C846" s="1"/>
      <c r="D846" s="1"/>
      <c r="E846" s="59" t="s">
        <v>7</v>
      </c>
      <c r="F846" s="1"/>
      <c r="G846" s="1"/>
      <c r="H846" s="1"/>
      <c r="I846" s="59" t="s">
        <v>7</v>
      </c>
      <c r="J846" s="1"/>
      <c r="K846" s="1"/>
      <c r="L846" s="1"/>
      <c r="M846" s="59" t="s">
        <v>7</v>
      </c>
      <c r="N846" s="1"/>
      <c r="O846" s="1"/>
      <c r="P846" s="1"/>
      <c r="Q846" s="59" t="s">
        <v>7</v>
      </c>
      <c r="R846" s="59" t="s">
        <v>7</v>
      </c>
    </row>
    <row r="847" spans="1:20" ht="15.75" customHeight="1" x14ac:dyDescent="0.3">
      <c r="A847" s="74" t="s">
        <v>600</v>
      </c>
      <c r="B847" s="1"/>
      <c r="C847" s="1"/>
      <c r="D847" s="1"/>
      <c r="E847" s="59">
        <f>SUM(B847:D847)</f>
        <v>0</v>
      </c>
      <c r="F847" s="1"/>
      <c r="G847" s="1"/>
      <c r="H847" s="1"/>
      <c r="I847" s="59">
        <f>SUM(F847:H847)</f>
        <v>0</v>
      </c>
      <c r="J847" s="1"/>
      <c r="K847" s="1"/>
      <c r="L847" s="1"/>
      <c r="M847" s="59">
        <f>SUM(J847:L847)</f>
        <v>0</v>
      </c>
      <c r="N847" s="1"/>
      <c r="O847" s="1"/>
      <c r="P847" s="1"/>
      <c r="Q847" s="59">
        <f>SUM(N847:P847)</f>
        <v>0</v>
      </c>
      <c r="R847" s="59">
        <f>+E847+I847+M847+Q847</f>
        <v>0</v>
      </c>
    </row>
    <row r="848" spans="1:20" ht="15.75" customHeight="1" thickBot="1" x14ac:dyDescent="0.35">
      <c r="A848" s="17" t="s">
        <v>56</v>
      </c>
      <c r="B848" s="1"/>
      <c r="C848" s="1"/>
      <c r="D848" s="1"/>
      <c r="E848" s="59" t="s">
        <v>7</v>
      </c>
      <c r="F848" s="1"/>
      <c r="G848" s="1"/>
      <c r="H848" s="1"/>
      <c r="I848" s="59" t="s">
        <v>7</v>
      </c>
      <c r="J848" s="1"/>
      <c r="K848" s="1"/>
      <c r="L848" s="1"/>
      <c r="M848" s="59" t="s">
        <v>7</v>
      </c>
      <c r="N848" s="1"/>
      <c r="O848" s="1"/>
      <c r="P848" s="1"/>
      <c r="Q848" s="59" t="s">
        <v>7</v>
      </c>
      <c r="R848" s="59" t="s">
        <v>7</v>
      </c>
    </row>
    <row r="849" spans="1:20" ht="16.5" customHeight="1" thickBot="1" x14ac:dyDescent="0.35">
      <c r="A849" s="62" t="s">
        <v>57</v>
      </c>
      <c r="B849" s="100">
        <f>SUM(B845:B848)</f>
        <v>0</v>
      </c>
      <c r="C849" s="101">
        <f>SUM(C845:C848)</f>
        <v>0</v>
      </c>
      <c r="D849" s="101">
        <f>SUM(D845:D848)</f>
        <v>0</v>
      </c>
      <c r="E849" s="64">
        <f>SUM(B849:D849)</f>
        <v>0</v>
      </c>
      <c r="F849" s="101">
        <f>SUM(F845:F848)</f>
        <v>0</v>
      </c>
      <c r="G849" s="101">
        <f>SUM(G845:G848)</f>
        <v>0</v>
      </c>
      <c r="H849" s="101">
        <f>SUM(H845:H848)</f>
        <v>0</v>
      </c>
      <c r="I849" s="64">
        <f>SUM(F849:H849)</f>
        <v>0</v>
      </c>
      <c r="J849" s="101">
        <f>SUM(J845:J848)</f>
        <v>0</v>
      </c>
      <c r="K849" s="101">
        <f>SUM(K845:K848)</f>
        <v>0</v>
      </c>
      <c r="L849" s="101">
        <f>SUM(L845:L848)</f>
        <v>0</v>
      </c>
      <c r="M849" s="64">
        <f>SUM(J849:L849)</f>
        <v>0</v>
      </c>
      <c r="N849" s="101">
        <f>SUM(N845:N848)</f>
        <v>0</v>
      </c>
      <c r="O849" s="101">
        <f>SUM(O845:O848)</f>
        <v>0</v>
      </c>
      <c r="P849" s="101">
        <f>SUM(P845:P848)</f>
        <v>0</v>
      </c>
      <c r="Q849" s="64">
        <f>SUM(N849:P849)</f>
        <v>0</v>
      </c>
      <c r="R849" s="64">
        <f>+E849+I849+M849+Q849</f>
        <v>0</v>
      </c>
    </row>
    <row r="850" spans="1:20" ht="15.75" customHeight="1" x14ac:dyDescent="0.3">
      <c r="A850" s="17" t="s">
        <v>58</v>
      </c>
      <c r="B850" s="1"/>
      <c r="C850" s="1"/>
      <c r="D850" s="1"/>
      <c r="E850" s="59" t="s">
        <v>7</v>
      </c>
      <c r="F850" s="1"/>
      <c r="G850" s="1"/>
      <c r="H850" s="1"/>
      <c r="I850" s="59" t="s">
        <v>7</v>
      </c>
      <c r="J850" s="1" t="s">
        <v>7</v>
      </c>
      <c r="K850" s="1"/>
      <c r="L850" s="1"/>
      <c r="M850" s="59" t="s">
        <v>7</v>
      </c>
      <c r="N850" s="1"/>
      <c r="O850" s="1"/>
      <c r="P850" s="1"/>
      <c r="Q850" s="59" t="s">
        <v>7</v>
      </c>
      <c r="R850" s="59" t="s">
        <v>7</v>
      </c>
    </row>
    <row r="851" spans="1:20" ht="18" customHeight="1" x14ac:dyDescent="0.3">
      <c r="A851" s="17" t="s">
        <v>59</v>
      </c>
      <c r="B851" s="1"/>
      <c r="C851" s="1"/>
      <c r="D851" s="1"/>
      <c r="E851" s="59" t="s">
        <v>7</v>
      </c>
      <c r="F851" s="1"/>
      <c r="G851" s="1"/>
      <c r="H851" s="1"/>
      <c r="I851" s="59" t="s">
        <v>7</v>
      </c>
      <c r="J851" s="1"/>
      <c r="K851" s="1"/>
      <c r="L851" s="1"/>
      <c r="M851" s="59" t="s">
        <v>7</v>
      </c>
      <c r="N851" s="1"/>
      <c r="O851" s="1"/>
      <c r="P851" s="1"/>
      <c r="Q851" s="59" t="s">
        <v>7</v>
      </c>
      <c r="R851" s="59" t="s">
        <v>7</v>
      </c>
    </row>
    <row r="852" spans="1:20" ht="15.75" customHeight="1" x14ac:dyDescent="0.3">
      <c r="A852" s="74" t="s">
        <v>601</v>
      </c>
      <c r="B852" s="1">
        <v>369</v>
      </c>
      <c r="C852" s="1">
        <v>339</v>
      </c>
      <c r="D852" s="1">
        <f>359+3</f>
        <v>362</v>
      </c>
      <c r="E852" s="59">
        <f>SUM(B852:D852)</f>
        <v>1070</v>
      </c>
      <c r="F852" s="1">
        <v>907</v>
      </c>
      <c r="G852" s="1">
        <v>1125</v>
      </c>
      <c r="H852" s="1">
        <v>535</v>
      </c>
      <c r="I852" s="59">
        <f>SUM(F852:H852)</f>
        <v>2567</v>
      </c>
      <c r="J852" s="1">
        <v>53</v>
      </c>
      <c r="K852" s="1">
        <v>24</v>
      </c>
      <c r="L852" s="1">
        <v>381</v>
      </c>
      <c r="M852" s="59">
        <f>SUM(J852:L852)</f>
        <v>458</v>
      </c>
      <c r="N852" s="1">
        <v>646</v>
      </c>
      <c r="O852" s="1">
        <v>80</v>
      </c>
      <c r="P852" s="1">
        <v>920</v>
      </c>
      <c r="Q852" s="59">
        <f>SUM(N852:P852)</f>
        <v>1646</v>
      </c>
      <c r="R852" s="59">
        <f>+E852+I852+M852+Q852</f>
        <v>5741</v>
      </c>
      <c r="T852" s="4" t="s">
        <v>602</v>
      </c>
    </row>
    <row r="853" spans="1:20" ht="15.75" customHeight="1" x14ac:dyDescent="0.3">
      <c r="A853" s="74" t="s">
        <v>603</v>
      </c>
      <c r="B853" s="1">
        <v>30</v>
      </c>
      <c r="C853" s="1">
        <v>26</v>
      </c>
      <c r="D853" s="1">
        <v>50</v>
      </c>
      <c r="E853" s="59">
        <f>SUM(B853:D853)</f>
        <v>106</v>
      </c>
      <c r="F853" s="1">
        <v>68</v>
      </c>
      <c r="G853" s="1">
        <v>85</v>
      </c>
      <c r="H853" s="1">
        <v>86</v>
      </c>
      <c r="I853" s="59">
        <f t="shared" ref="I853" si="290">SUM(F853:H853)</f>
        <v>239</v>
      </c>
      <c r="J853" s="1">
        <v>40</v>
      </c>
      <c r="K853" s="1">
        <v>37</v>
      </c>
      <c r="L853" s="1">
        <v>66</v>
      </c>
      <c r="M853" s="59">
        <f>SUM(J853:L853)</f>
        <v>143</v>
      </c>
      <c r="N853" s="1">
        <v>12</v>
      </c>
      <c r="O853" s="1"/>
      <c r="P853" s="1"/>
      <c r="Q853" s="59">
        <f>SUM(N853:P853)</f>
        <v>12</v>
      </c>
      <c r="R853" s="59">
        <f>+E853+I853+M853+Q853</f>
        <v>500</v>
      </c>
      <c r="T853" s="4" t="s">
        <v>604</v>
      </c>
    </row>
    <row r="854" spans="1:20" ht="15.75" customHeight="1" x14ac:dyDescent="0.3">
      <c r="A854" s="17" t="s">
        <v>60</v>
      </c>
      <c r="B854" s="1"/>
      <c r="C854" s="1"/>
      <c r="D854" s="1"/>
      <c r="E854" s="59" t="s">
        <v>7</v>
      </c>
      <c r="F854" s="1"/>
      <c r="G854" s="1"/>
      <c r="H854" s="1"/>
      <c r="I854" s="59" t="s">
        <v>7</v>
      </c>
      <c r="J854" s="1"/>
      <c r="K854" s="1"/>
      <c r="L854" s="1"/>
      <c r="M854" s="59" t="s">
        <v>7</v>
      </c>
      <c r="N854" s="1"/>
      <c r="O854" s="1"/>
      <c r="P854" s="1"/>
      <c r="Q854" s="59" t="s">
        <v>7</v>
      </c>
      <c r="R854" s="59" t="s">
        <v>7</v>
      </c>
    </row>
    <row r="855" spans="1:20" ht="15.75" customHeight="1" x14ac:dyDescent="0.3">
      <c r="A855" s="74" t="s">
        <v>605</v>
      </c>
      <c r="B855" s="1"/>
      <c r="C855" s="1"/>
      <c r="D855" s="1">
        <v>906</v>
      </c>
      <c r="E855" s="59">
        <f t="shared" ref="E855:E862" si="291">SUM(B855:D855)</f>
        <v>906</v>
      </c>
      <c r="F855" s="1">
        <v>1046</v>
      </c>
      <c r="G855" s="1">
        <v>1495</v>
      </c>
      <c r="H855" s="1">
        <v>1537</v>
      </c>
      <c r="I855" s="59">
        <f t="shared" ref="I855:I862" si="292">SUM(F855:H855)</f>
        <v>4078</v>
      </c>
      <c r="J855" s="1">
        <v>738</v>
      </c>
      <c r="K855" s="1">
        <v>778</v>
      </c>
      <c r="L855" s="1"/>
      <c r="M855" s="59">
        <f t="shared" ref="M855:M862" si="293">SUM(J855:L855)</f>
        <v>1516</v>
      </c>
      <c r="N855" s="1"/>
      <c r="O855" s="1"/>
      <c r="P855" s="1"/>
      <c r="Q855" s="59">
        <f t="shared" ref="Q855:Q862" si="294">SUM(N855:P855)</f>
        <v>0</v>
      </c>
      <c r="R855" s="59">
        <f t="shared" ref="R855:R862" si="295">+E855+I855+M855+Q855</f>
        <v>6500</v>
      </c>
      <c r="T855" s="4" t="s">
        <v>604</v>
      </c>
    </row>
    <row r="856" spans="1:20" ht="15.75" customHeight="1" x14ac:dyDescent="0.3">
      <c r="A856" s="74" t="s">
        <v>1014</v>
      </c>
      <c r="B856" s="1"/>
      <c r="C856" s="1"/>
      <c r="D856" s="1"/>
      <c r="E856" s="59">
        <f t="shared" si="291"/>
        <v>0</v>
      </c>
      <c r="F856" s="1"/>
      <c r="G856" s="1"/>
      <c r="H856" s="1"/>
      <c r="I856" s="59">
        <f t="shared" si="292"/>
        <v>0</v>
      </c>
      <c r="J856" s="1"/>
      <c r="K856" s="1"/>
      <c r="L856" s="1"/>
      <c r="M856" s="59">
        <f t="shared" si="293"/>
        <v>0</v>
      </c>
      <c r="N856" s="1"/>
      <c r="O856" s="1"/>
      <c r="P856" s="1">
        <v>1585</v>
      </c>
      <c r="Q856" s="59">
        <f t="shared" ref="Q856" si="296">SUM(N856:P856)</f>
        <v>1585</v>
      </c>
      <c r="R856" s="59">
        <f t="shared" si="295"/>
        <v>1585</v>
      </c>
    </row>
    <row r="857" spans="1:20" ht="15.75" customHeight="1" x14ac:dyDescent="0.3">
      <c r="A857" s="74" t="s">
        <v>606</v>
      </c>
      <c r="B857" s="1"/>
      <c r="C857" s="1"/>
      <c r="D857" s="1"/>
      <c r="E857" s="59">
        <f t="shared" si="291"/>
        <v>0</v>
      </c>
      <c r="F857" s="1"/>
      <c r="G857" s="1"/>
      <c r="H857" s="1"/>
      <c r="I857" s="59">
        <f t="shared" si="292"/>
        <v>0</v>
      </c>
      <c r="J857" s="1"/>
      <c r="K857" s="1"/>
      <c r="L857" s="1"/>
      <c r="M857" s="59">
        <f t="shared" si="293"/>
        <v>0</v>
      </c>
      <c r="N857" s="1"/>
      <c r="O857" s="1"/>
      <c r="P857" s="1"/>
      <c r="Q857" s="59">
        <f t="shared" si="294"/>
        <v>0</v>
      </c>
      <c r="R857" s="59">
        <f t="shared" si="295"/>
        <v>0</v>
      </c>
    </row>
    <row r="858" spans="1:20" ht="15.75" customHeight="1" x14ac:dyDescent="0.3">
      <c r="A858" s="74" t="s">
        <v>607</v>
      </c>
      <c r="B858" s="1"/>
      <c r="C858" s="1"/>
      <c r="D858" s="1"/>
      <c r="E858" s="59">
        <f t="shared" si="291"/>
        <v>0</v>
      </c>
      <c r="F858" s="1"/>
      <c r="G858" s="1"/>
      <c r="H858" s="1"/>
      <c r="I858" s="59">
        <f t="shared" si="292"/>
        <v>0</v>
      </c>
      <c r="J858" s="1"/>
      <c r="K858" s="1"/>
      <c r="L858" s="1"/>
      <c r="M858" s="59">
        <f t="shared" si="293"/>
        <v>0</v>
      </c>
      <c r="N858" s="1">
        <v>56</v>
      </c>
      <c r="O858" s="1">
        <v>42</v>
      </c>
      <c r="P858" s="1">
        <v>18</v>
      </c>
      <c r="Q858" s="59">
        <f t="shared" si="294"/>
        <v>116</v>
      </c>
      <c r="R858" s="59">
        <f t="shared" si="295"/>
        <v>116</v>
      </c>
    </row>
    <row r="859" spans="1:20" ht="15.75" customHeight="1" x14ac:dyDescent="0.3">
      <c r="A859" s="74" t="s">
        <v>608</v>
      </c>
      <c r="B859" s="1">
        <v>500</v>
      </c>
      <c r="C859" s="1">
        <v>500</v>
      </c>
      <c r="D859" s="1"/>
      <c r="E859" s="59">
        <f t="shared" si="291"/>
        <v>1000</v>
      </c>
      <c r="F859" s="1"/>
      <c r="G859" s="1"/>
      <c r="H859" s="1"/>
      <c r="I859" s="59">
        <f t="shared" si="292"/>
        <v>0</v>
      </c>
      <c r="J859" s="1"/>
      <c r="K859" s="1"/>
      <c r="L859" s="1"/>
      <c r="M859" s="59">
        <f t="shared" si="293"/>
        <v>0</v>
      </c>
      <c r="N859" s="1"/>
      <c r="O859" s="1"/>
      <c r="P859" s="1"/>
      <c r="Q859" s="59">
        <f t="shared" si="294"/>
        <v>0</v>
      </c>
      <c r="R859" s="59">
        <f t="shared" si="295"/>
        <v>1000</v>
      </c>
      <c r="T859" s="4" t="s">
        <v>593</v>
      </c>
    </row>
    <row r="860" spans="1:20" ht="15.75" customHeight="1" x14ac:dyDescent="0.3">
      <c r="A860" s="74" t="s">
        <v>609</v>
      </c>
      <c r="B860" s="1"/>
      <c r="C860" s="1"/>
      <c r="D860" s="1"/>
      <c r="E860" s="59">
        <f t="shared" si="291"/>
        <v>0</v>
      </c>
      <c r="F860" s="1"/>
      <c r="G860" s="1"/>
      <c r="H860" s="1"/>
      <c r="I860" s="59">
        <f t="shared" si="292"/>
        <v>0</v>
      </c>
      <c r="J860" s="1"/>
      <c r="K860" s="1"/>
      <c r="L860" s="1"/>
      <c r="M860" s="59">
        <f t="shared" si="293"/>
        <v>0</v>
      </c>
      <c r="N860" s="1"/>
      <c r="O860" s="1"/>
      <c r="P860" s="1"/>
      <c r="Q860" s="59">
        <f t="shared" si="294"/>
        <v>0</v>
      </c>
      <c r="R860" s="59">
        <f t="shared" si="295"/>
        <v>0</v>
      </c>
      <c r="T860" s="4" t="s">
        <v>593</v>
      </c>
    </row>
    <row r="861" spans="1:20" ht="15.75" customHeight="1" thickBot="1" x14ac:dyDescent="0.35">
      <c r="A861" s="74" t="s">
        <v>610</v>
      </c>
      <c r="B861" s="1">
        <f>120+512</f>
        <v>632</v>
      </c>
      <c r="C861" s="1">
        <f>233+510</f>
        <v>743</v>
      </c>
      <c r="D861" s="1">
        <f>150+564</f>
        <v>714</v>
      </c>
      <c r="E861" s="59">
        <f t="shared" si="291"/>
        <v>2089</v>
      </c>
      <c r="F861" s="1">
        <f>131+381</f>
        <v>512</v>
      </c>
      <c r="G861" s="1">
        <f>227+493</f>
        <v>720</v>
      </c>
      <c r="H861" s="1">
        <f>166+559</f>
        <v>725</v>
      </c>
      <c r="I861" s="59">
        <f t="shared" si="292"/>
        <v>1957</v>
      </c>
      <c r="J861" s="1">
        <f>113+561</f>
        <v>674</v>
      </c>
      <c r="K861" s="1">
        <f>106+538</f>
        <v>644</v>
      </c>
      <c r="L861" s="1">
        <f>21+536</f>
        <v>557</v>
      </c>
      <c r="M861" s="59">
        <f t="shared" si="293"/>
        <v>1875</v>
      </c>
      <c r="N861" s="1">
        <f>226+246</f>
        <v>472</v>
      </c>
      <c r="O861" s="1">
        <f>65+3</f>
        <v>68</v>
      </c>
      <c r="P861" s="1">
        <f>73+516</f>
        <v>589</v>
      </c>
      <c r="Q861" s="59">
        <f t="shared" si="294"/>
        <v>1129</v>
      </c>
      <c r="R861" s="59">
        <f t="shared" si="295"/>
        <v>7050</v>
      </c>
      <c r="T861" s="4" t="s">
        <v>611</v>
      </c>
    </row>
    <row r="862" spans="1:20" ht="16.5" customHeight="1" thickBot="1" x14ac:dyDescent="0.35">
      <c r="A862" s="62" t="s">
        <v>61</v>
      </c>
      <c r="B862" s="100">
        <f>SUM(B850:B861)</f>
        <v>1531</v>
      </c>
      <c r="C862" s="101">
        <f>SUM(C850:C861)</f>
        <v>1608</v>
      </c>
      <c r="D862" s="101">
        <f>SUM(D850:D861)</f>
        <v>2032</v>
      </c>
      <c r="E862" s="64">
        <f t="shared" si="291"/>
        <v>5171</v>
      </c>
      <c r="F862" s="101">
        <f>SUM(F850:F861)</f>
        <v>2533</v>
      </c>
      <c r="G862" s="101">
        <f>SUM(G850:G861)</f>
        <v>3425</v>
      </c>
      <c r="H862" s="101">
        <f>SUM(H850:H861)</f>
        <v>2883</v>
      </c>
      <c r="I862" s="64">
        <f t="shared" si="292"/>
        <v>8841</v>
      </c>
      <c r="J862" s="101">
        <f>SUM(J850:J861)</f>
        <v>1505</v>
      </c>
      <c r="K862" s="101">
        <f>SUM(K850:K861)</f>
        <v>1483</v>
      </c>
      <c r="L862" s="101">
        <f>SUM(L850:L861)</f>
        <v>1004</v>
      </c>
      <c r="M862" s="64">
        <f t="shared" si="293"/>
        <v>3992</v>
      </c>
      <c r="N862" s="101">
        <f>SUM(N850:N861)</f>
        <v>1186</v>
      </c>
      <c r="O862" s="101">
        <f>SUM(O850:O861)</f>
        <v>190</v>
      </c>
      <c r="P862" s="101">
        <f>SUM(P850:P861)</f>
        <v>3112</v>
      </c>
      <c r="Q862" s="64">
        <f t="shared" si="294"/>
        <v>4488</v>
      </c>
      <c r="R862" s="64">
        <f t="shared" si="295"/>
        <v>22492</v>
      </c>
    </row>
    <row r="863" spans="1:20" ht="15.75" customHeight="1" x14ac:dyDescent="0.3">
      <c r="A863" s="17" t="s">
        <v>62</v>
      </c>
      <c r="B863" s="1"/>
      <c r="C863" s="1"/>
      <c r="D863" s="1"/>
      <c r="E863" s="59" t="s">
        <v>7</v>
      </c>
      <c r="F863" s="1"/>
      <c r="G863" s="1"/>
      <c r="H863" s="1"/>
      <c r="I863" s="59" t="s">
        <v>7</v>
      </c>
      <c r="J863" s="1"/>
      <c r="K863" s="1"/>
      <c r="L863" s="1"/>
      <c r="M863" s="59" t="s">
        <v>7</v>
      </c>
      <c r="N863" s="1"/>
      <c r="O863" s="1"/>
      <c r="P863" s="1"/>
      <c r="Q863" s="59" t="s">
        <v>7</v>
      </c>
      <c r="R863" s="59" t="s">
        <v>7</v>
      </c>
    </row>
    <row r="864" spans="1:20" ht="15.75" customHeight="1" x14ac:dyDescent="0.3">
      <c r="A864" s="17" t="s">
        <v>63</v>
      </c>
      <c r="B864" s="1"/>
      <c r="C864" s="29"/>
      <c r="D864" s="1"/>
      <c r="E864" s="59" t="s">
        <v>7</v>
      </c>
      <c r="F864" s="1"/>
      <c r="G864" s="1"/>
      <c r="H864" s="1"/>
      <c r="I864" s="59" t="s">
        <v>7</v>
      </c>
      <c r="J864" s="1"/>
      <c r="K864" s="1"/>
      <c r="L864" s="1"/>
      <c r="M864" s="59" t="s">
        <v>7</v>
      </c>
      <c r="N864" s="1"/>
      <c r="O864" s="1"/>
      <c r="P864" s="1"/>
      <c r="Q864" s="59" t="s">
        <v>7</v>
      </c>
      <c r="R864" s="59" t="s">
        <v>7</v>
      </c>
    </row>
    <row r="865" spans="1:18" ht="15.75" customHeight="1" x14ac:dyDescent="0.3">
      <c r="A865" s="74" t="s">
        <v>612</v>
      </c>
      <c r="B865" s="1"/>
      <c r="C865" s="1"/>
      <c r="D865" s="1"/>
      <c r="E865" s="59">
        <f>SUM(B865:D865)</f>
        <v>0</v>
      </c>
      <c r="F865" s="1"/>
      <c r="G865" s="1"/>
      <c r="H865" s="1"/>
      <c r="I865" s="59">
        <f>SUM(F865:H865)</f>
        <v>0</v>
      </c>
      <c r="J865" s="1"/>
      <c r="K865" s="1"/>
      <c r="L865" s="1"/>
      <c r="M865" s="59">
        <f>SUM(J865:L865)</f>
        <v>0</v>
      </c>
      <c r="N865" s="1"/>
      <c r="O865" s="1"/>
      <c r="P865" s="1"/>
      <c r="Q865" s="59">
        <f>SUM(N865:P865)</f>
        <v>0</v>
      </c>
      <c r="R865" s="59">
        <f>+E865+I865+M865+Q865</f>
        <v>0</v>
      </c>
    </row>
    <row r="866" spans="1:18" ht="15.75" customHeight="1" x14ac:dyDescent="0.3">
      <c r="A866" s="74" t="s">
        <v>613</v>
      </c>
      <c r="B866" s="1"/>
      <c r="C866" s="1"/>
      <c r="D866" s="1"/>
      <c r="E866" s="59">
        <f>SUM(B866:D866)</f>
        <v>0</v>
      </c>
      <c r="F866" s="1"/>
      <c r="G866" s="1"/>
      <c r="H866" s="1"/>
      <c r="I866" s="59">
        <f>SUM(F866:H866)</f>
        <v>0</v>
      </c>
      <c r="J866" s="1"/>
      <c r="K866" s="1"/>
      <c r="L866" s="1"/>
      <c r="M866" s="59">
        <f>SUM(J866:L866)</f>
        <v>0</v>
      </c>
      <c r="N866" s="1"/>
      <c r="O866" s="1"/>
      <c r="P866" s="1"/>
      <c r="Q866" s="59">
        <f>SUM(N866:P866)</f>
        <v>0</v>
      </c>
      <c r="R866" s="59">
        <f>+E866+I866+M866+Q866</f>
        <v>0</v>
      </c>
    </row>
    <row r="867" spans="1:18" ht="15.75" customHeight="1" x14ac:dyDescent="0.3">
      <c r="A867" s="17" t="s">
        <v>64</v>
      </c>
      <c r="B867" s="1"/>
      <c r="C867" s="1"/>
      <c r="D867" s="1"/>
      <c r="E867" s="59" t="s">
        <v>7</v>
      </c>
      <c r="F867" s="1"/>
      <c r="G867" s="1"/>
      <c r="H867" s="1"/>
      <c r="I867" s="59" t="s">
        <v>7</v>
      </c>
      <c r="J867" s="1"/>
      <c r="K867" s="1"/>
      <c r="L867" s="1"/>
      <c r="M867" s="59" t="s">
        <v>7</v>
      </c>
      <c r="N867" s="1"/>
      <c r="O867" s="1"/>
      <c r="P867" s="1"/>
      <c r="Q867" s="59" t="s">
        <v>7</v>
      </c>
      <c r="R867" s="59" t="s">
        <v>7</v>
      </c>
    </row>
    <row r="868" spans="1:18" ht="15.75" customHeight="1" x14ac:dyDescent="0.3">
      <c r="A868" s="74" t="s">
        <v>614</v>
      </c>
      <c r="B868" s="1"/>
      <c r="C868" s="1"/>
      <c r="D868" s="1"/>
      <c r="E868" s="59">
        <f>SUM(B868:D868)</f>
        <v>0</v>
      </c>
      <c r="F868" s="1"/>
      <c r="G868" s="1"/>
      <c r="H868" s="1"/>
      <c r="I868" s="59">
        <f>SUM(F868:H868)</f>
        <v>0</v>
      </c>
      <c r="J868" s="1"/>
      <c r="K868" s="1"/>
      <c r="L868" s="1"/>
      <c r="M868" s="59">
        <f>SUM(J868:L868)</f>
        <v>0</v>
      </c>
      <c r="N868" s="1"/>
      <c r="O868" s="1"/>
      <c r="P868" s="1"/>
      <c r="Q868" s="59">
        <f>SUM(N868:P868)</f>
        <v>0</v>
      </c>
      <c r="R868" s="59">
        <f>+E868+I868+M868+Q868</f>
        <v>0</v>
      </c>
    </row>
    <row r="869" spans="1:18" ht="15.75" customHeight="1" x14ac:dyDescent="0.3">
      <c r="A869" s="74" t="s">
        <v>615</v>
      </c>
      <c r="B869" s="1"/>
      <c r="C869" s="1"/>
      <c r="D869" s="1"/>
      <c r="E869" s="59">
        <f>SUM(B869:D869)</f>
        <v>0</v>
      </c>
      <c r="F869" s="1"/>
      <c r="G869" s="1"/>
      <c r="H869" s="1"/>
      <c r="I869" s="59">
        <f>SUM(F869:H869)</f>
        <v>0</v>
      </c>
      <c r="J869" s="1"/>
      <c r="K869" s="1"/>
      <c r="L869" s="1"/>
      <c r="M869" s="59">
        <f>SUM(J869:L869)</f>
        <v>0</v>
      </c>
      <c r="N869" s="1"/>
      <c r="O869" s="1"/>
      <c r="P869" s="1"/>
      <c r="Q869" s="59">
        <f>SUM(N869:P869)</f>
        <v>0</v>
      </c>
      <c r="R869" s="59">
        <f>+E869+I869+M869+Q869</f>
        <v>0</v>
      </c>
    </row>
    <row r="870" spans="1:18" ht="15.75" customHeight="1" x14ac:dyDescent="0.3">
      <c r="A870" s="17" t="s">
        <v>66</v>
      </c>
      <c r="B870" s="1"/>
      <c r="C870" s="1"/>
      <c r="D870" s="1"/>
      <c r="E870" s="59" t="s">
        <v>7</v>
      </c>
      <c r="F870" s="1"/>
      <c r="G870" s="1"/>
      <c r="H870" s="1"/>
      <c r="I870" s="59" t="s">
        <v>7</v>
      </c>
      <c r="J870" s="1"/>
      <c r="K870" s="1"/>
      <c r="L870" s="1"/>
      <c r="M870" s="59" t="s">
        <v>7</v>
      </c>
      <c r="N870" s="1"/>
      <c r="O870" s="1"/>
      <c r="P870" s="1"/>
      <c r="Q870" s="59" t="s">
        <v>7</v>
      </c>
      <c r="R870" s="59" t="s">
        <v>7</v>
      </c>
    </row>
    <row r="871" spans="1:18" ht="15.75" customHeight="1" thickBot="1" x14ac:dyDescent="0.35">
      <c r="A871" s="17" t="s">
        <v>67</v>
      </c>
      <c r="B871" s="1"/>
      <c r="C871" s="1"/>
      <c r="D871" s="1"/>
      <c r="E871" s="59" t="s">
        <v>7</v>
      </c>
      <c r="F871" s="1"/>
      <c r="G871" s="1"/>
      <c r="H871" s="1"/>
      <c r="I871" s="59" t="s">
        <v>7</v>
      </c>
      <c r="J871" s="1"/>
      <c r="K871" s="1"/>
      <c r="L871" s="1"/>
      <c r="M871" s="59" t="s">
        <v>7</v>
      </c>
      <c r="N871" s="1"/>
      <c r="O871" s="1"/>
      <c r="P871" s="1"/>
      <c r="Q871" s="59" t="s">
        <v>7</v>
      </c>
      <c r="R871" s="59" t="s">
        <v>7</v>
      </c>
    </row>
    <row r="872" spans="1:18" ht="16.5" customHeight="1" thickBot="1" x14ac:dyDescent="0.35">
      <c r="A872" s="62" t="s">
        <v>68</v>
      </c>
      <c r="B872" s="63">
        <f>SUM(B870:B871)</f>
        <v>0</v>
      </c>
      <c r="C872" s="63">
        <f>SUM(C870:C871)</f>
        <v>0</v>
      </c>
      <c r="D872" s="63">
        <f>SUM(D870:D871)</f>
        <v>0</v>
      </c>
      <c r="E872" s="334">
        <f>SUM(B872:D872)</f>
        <v>0</v>
      </c>
      <c r="F872" s="63">
        <f>SUM(F870:F871)</f>
        <v>0</v>
      </c>
      <c r="G872" s="63">
        <f>SUM(G870:G871)</f>
        <v>0</v>
      </c>
      <c r="H872" s="63">
        <f>SUM(H870:H871)</f>
        <v>0</v>
      </c>
      <c r="I872" s="334">
        <f>SUM(F872:H872)</f>
        <v>0</v>
      </c>
      <c r="J872" s="63">
        <f>SUM(J870:J871)</f>
        <v>0</v>
      </c>
      <c r="K872" s="63">
        <f>SUM(K870:K871)</f>
        <v>0</v>
      </c>
      <c r="L872" s="63">
        <f>SUM(L870:L871)</f>
        <v>0</v>
      </c>
      <c r="M872" s="334">
        <f>SUM(J872:L872)</f>
        <v>0</v>
      </c>
      <c r="N872" s="63">
        <f>SUM(N870:N871)</f>
        <v>0</v>
      </c>
      <c r="O872" s="63">
        <f>SUM(O870:O871)</f>
        <v>0</v>
      </c>
      <c r="P872" s="63">
        <f>SUM(P870:P871)</f>
        <v>0</v>
      </c>
      <c r="Q872" s="334">
        <f>SUM(N872:P872)</f>
        <v>0</v>
      </c>
      <c r="R872" s="64">
        <f>+E872+I872+M872+Q872</f>
        <v>0</v>
      </c>
    </row>
    <row r="873" spans="1:18" ht="16.5" customHeight="1" thickBot="1" x14ac:dyDescent="0.35">
      <c r="A873" s="62" t="s">
        <v>69</v>
      </c>
      <c r="B873" s="100">
        <f>SUM(B863:B871)</f>
        <v>0</v>
      </c>
      <c r="C873" s="101">
        <f>SUM(C863:C871)</f>
        <v>0</v>
      </c>
      <c r="D873" s="138">
        <f>SUM(D863:D871)</f>
        <v>0</v>
      </c>
      <c r="E873" s="334">
        <f>SUM(B873:D873)</f>
        <v>0</v>
      </c>
      <c r="F873" s="101">
        <f>SUM(F863:F871)</f>
        <v>0</v>
      </c>
      <c r="G873" s="101">
        <f>SUM(G863:G871)</f>
        <v>0</v>
      </c>
      <c r="H873" s="101">
        <f>SUM(H863:H871)</f>
        <v>0</v>
      </c>
      <c r="I873" s="334">
        <f>SUM(F873:H873)</f>
        <v>0</v>
      </c>
      <c r="J873" s="101">
        <f>SUM(J863:J871)</f>
        <v>0</v>
      </c>
      <c r="K873" s="101">
        <f>SUM(K863:K871)</f>
        <v>0</v>
      </c>
      <c r="L873" s="101">
        <f>SUM(L863:L871)</f>
        <v>0</v>
      </c>
      <c r="M873" s="334">
        <f>SUM(J873:L873)</f>
        <v>0</v>
      </c>
      <c r="N873" s="101">
        <f>SUM(N863:N871)</f>
        <v>0</v>
      </c>
      <c r="O873" s="101">
        <f>SUM(O863:O871)</f>
        <v>0</v>
      </c>
      <c r="P873" s="101">
        <f>SUM(P863:P871)</f>
        <v>0</v>
      </c>
      <c r="Q873" s="334">
        <f>SUM(N873:P873)</f>
        <v>0</v>
      </c>
      <c r="R873" s="64">
        <f>+E873+I873+M873+Q873</f>
        <v>0</v>
      </c>
    </row>
    <row r="874" spans="1:18" ht="16.5" customHeight="1" thickBot="1" x14ac:dyDescent="0.35">
      <c r="A874" s="62" t="s">
        <v>70</v>
      </c>
      <c r="B874" s="107">
        <f>+B844+B849+B862+B873</f>
        <v>3398</v>
      </c>
      <c r="C874" s="63">
        <f>+C844+C849+C862+C873</f>
        <v>3369</v>
      </c>
      <c r="D874" s="63">
        <f>+D844+D849+D862+D873</f>
        <v>4061</v>
      </c>
      <c r="E874" s="64">
        <f>SUM(B874:D874)</f>
        <v>10828</v>
      </c>
      <c r="F874" s="63">
        <f>+F844+F849+F862+F873</f>
        <v>4362</v>
      </c>
      <c r="G874" s="63">
        <f>+G844+G849+G862+G873</f>
        <v>5564</v>
      </c>
      <c r="H874" s="63">
        <f>+H844+H849+H862+H873</f>
        <v>4788</v>
      </c>
      <c r="I874" s="64">
        <f>SUM(F874:H874)</f>
        <v>14714</v>
      </c>
      <c r="J874" s="63">
        <f>+J844+J849+J862+J873</f>
        <v>3862</v>
      </c>
      <c r="K874" s="63">
        <f>+K844+K849+K862+K873</f>
        <v>3277</v>
      </c>
      <c r="L874" s="63">
        <f>+L844+L849+L862+L873</f>
        <v>3692</v>
      </c>
      <c r="M874" s="64">
        <f>SUM(J874:L874)</f>
        <v>10831</v>
      </c>
      <c r="N874" s="63">
        <f>+N844+N849+N862+N873</f>
        <v>3268</v>
      </c>
      <c r="O874" s="63">
        <f>+O844+O849+O862+O873</f>
        <v>190</v>
      </c>
      <c r="P874" s="63">
        <f>+P844+P849+P862+P873</f>
        <v>4195</v>
      </c>
      <c r="Q874" s="64">
        <f>SUM(N874:P874)</f>
        <v>7653</v>
      </c>
      <c r="R874" s="88">
        <f>+E874+I874+M874+Q874</f>
        <v>44026</v>
      </c>
    </row>
    <row r="875" spans="1:18" ht="16.5" customHeight="1" thickBot="1" x14ac:dyDescent="0.35">
      <c r="A875" s="40" t="s">
        <v>37</v>
      </c>
      <c r="B875" s="25">
        <v>11</v>
      </c>
      <c r="C875" s="25">
        <v>13</v>
      </c>
      <c r="D875" s="25">
        <v>17</v>
      </c>
      <c r="E875" s="59">
        <f>SUM(B875:D875)</f>
        <v>41</v>
      </c>
      <c r="F875" s="25">
        <v>21</v>
      </c>
      <c r="G875" s="25">
        <v>23</v>
      </c>
      <c r="H875" s="25">
        <v>25</v>
      </c>
      <c r="I875" s="59">
        <f>SUM(F875:H875)</f>
        <v>69</v>
      </c>
      <c r="J875" s="25">
        <v>25</v>
      </c>
      <c r="K875" s="25">
        <v>21</v>
      </c>
      <c r="L875" s="25">
        <v>19</v>
      </c>
      <c r="M875" s="59">
        <f>SUM(J875:L875)</f>
        <v>65</v>
      </c>
      <c r="N875" s="25">
        <v>17</v>
      </c>
      <c r="O875" s="25">
        <v>13</v>
      </c>
      <c r="P875" s="25">
        <v>11</v>
      </c>
      <c r="Q875" s="59">
        <f>SUM(N875:P875)</f>
        <v>41</v>
      </c>
      <c r="R875" s="59">
        <f>+E875+I875+M875+Q875</f>
        <v>216</v>
      </c>
    </row>
    <row r="876" spans="1:18" ht="16.5" customHeight="1" thickBot="1" x14ac:dyDescent="0.35">
      <c r="A876" s="42"/>
      <c r="B876" s="37"/>
      <c r="C876" s="37"/>
      <c r="D876" s="37"/>
      <c r="E876" s="64" t="s">
        <v>7</v>
      </c>
      <c r="F876" s="37"/>
      <c r="G876" s="37"/>
      <c r="H876" s="37"/>
      <c r="I876" s="64" t="s">
        <v>7</v>
      </c>
      <c r="J876" s="37"/>
      <c r="K876" s="37"/>
      <c r="L876" s="37"/>
      <c r="M876" s="64" t="s">
        <v>7</v>
      </c>
      <c r="N876" s="37"/>
      <c r="O876" s="37"/>
      <c r="P876" s="37"/>
      <c r="Q876" s="64" t="s">
        <v>7</v>
      </c>
      <c r="R876" s="64" t="s">
        <v>7</v>
      </c>
    </row>
    <row r="877" spans="1:18" ht="15.75" customHeight="1" x14ac:dyDescent="0.3">
      <c r="A877" s="17" t="s">
        <v>38</v>
      </c>
      <c r="B877" s="1">
        <f>SUM(B874:B875)</f>
        <v>3409</v>
      </c>
      <c r="C877" s="1">
        <f>SUM(C874:C875)</f>
        <v>3382</v>
      </c>
      <c r="D877" s="1">
        <f>SUM(D874:D875)</f>
        <v>4078</v>
      </c>
      <c r="E877" s="334">
        <f>SUM(B877:D877)</f>
        <v>10869</v>
      </c>
      <c r="F877" s="1">
        <f>SUM(F874:F875)</f>
        <v>4383</v>
      </c>
      <c r="G877" s="1">
        <f>SUM(G874:G875)</f>
        <v>5587</v>
      </c>
      <c r="H877" s="1">
        <f>SUM(H874:H875)</f>
        <v>4813</v>
      </c>
      <c r="I877" s="334">
        <f>SUM(F877:H877)</f>
        <v>14783</v>
      </c>
      <c r="J877" s="1">
        <f>SUM(J874:J875)</f>
        <v>3887</v>
      </c>
      <c r="K877" s="1">
        <f>SUM(K874:K875)</f>
        <v>3298</v>
      </c>
      <c r="L877" s="1">
        <f>SUM(L874:L875)</f>
        <v>3711</v>
      </c>
      <c r="M877" s="334">
        <f>SUM(J877:L877)</f>
        <v>10896</v>
      </c>
      <c r="N877" s="1">
        <f>SUM(N874:N875)</f>
        <v>3285</v>
      </c>
      <c r="O877" s="1">
        <f>SUM(O874:O875)</f>
        <v>203</v>
      </c>
      <c r="P877" s="1">
        <f>SUM(P874:P875)</f>
        <v>4206</v>
      </c>
      <c r="Q877" s="334">
        <f>SUM(N877:P877)</f>
        <v>7694</v>
      </c>
      <c r="R877" s="334">
        <f>+E877+I877+M877+Q877</f>
        <v>44242</v>
      </c>
    </row>
    <row r="878" spans="1:18" ht="15.75" customHeight="1" x14ac:dyDescent="0.3">
      <c r="A878" s="17" t="s">
        <v>39</v>
      </c>
      <c r="B878" s="1">
        <f>(B877/B10)/1.983</f>
        <v>55.45524051209474</v>
      </c>
      <c r="C878" s="1">
        <f>(C877/C10)/1.983</f>
        <v>60.91059721922052</v>
      </c>
      <c r="D878" s="1">
        <f>(D877/D10)/1.983</f>
        <v>66.338067118897726</v>
      </c>
      <c r="E878" s="59" t="s">
        <v>7</v>
      </c>
      <c r="F878" s="1">
        <f>(F877/F10)/1.983</f>
        <v>73.676248108925861</v>
      </c>
      <c r="G878" s="1">
        <f>(G877/G10)/1.983</f>
        <v>90.885429375498177</v>
      </c>
      <c r="H878" s="1">
        <f>(H877/H10)/1.983</f>
        <v>80.904353672886202</v>
      </c>
      <c r="I878" s="59" t="s">
        <v>7</v>
      </c>
      <c r="J878" s="1">
        <f>(J877/J10)/1.983</f>
        <v>63.231011989003299</v>
      </c>
      <c r="K878" s="1">
        <f>(K877/K10)/1.983</f>
        <v>53.649569729800071</v>
      </c>
      <c r="L878" s="1">
        <f>(L877/L10)/1.983</f>
        <v>62.380231971759962</v>
      </c>
      <c r="M878" s="59" t="s">
        <v>7</v>
      </c>
      <c r="N878" s="1">
        <f>(N877/N10)/1.983</f>
        <v>53.438094773315115</v>
      </c>
      <c r="O878" s="1">
        <f>(O877/O10)/1.983</f>
        <v>3.4123382081022018</v>
      </c>
      <c r="P878" s="1">
        <f>(P877/P10)/1.983</f>
        <v>68.420282075057344</v>
      </c>
      <c r="Q878" s="59" t="s">
        <v>7</v>
      </c>
      <c r="R878" s="59" t="s">
        <v>7</v>
      </c>
    </row>
    <row r="879" spans="1:18" ht="15.75" customHeight="1" x14ac:dyDescent="0.3">
      <c r="A879" s="17" t="s">
        <v>616</v>
      </c>
      <c r="B879" s="1">
        <f>B877</f>
        <v>3409</v>
      </c>
      <c r="C879" s="1">
        <f>C877</f>
        <v>3382</v>
      </c>
      <c r="D879" s="1">
        <f>D877</f>
        <v>4078</v>
      </c>
      <c r="E879" s="59">
        <f>SUM(B879:D879)</f>
        <v>10869</v>
      </c>
      <c r="F879" s="1">
        <f>F877</f>
        <v>4383</v>
      </c>
      <c r="G879" s="1">
        <f>G877</f>
        <v>5587</v>
      </c>
      <c r="H879" s="1">
        <f>H877</f>
        <v>4813</v>
      </c>
      <c r="I879" s="59">
        <f>SUM(F879:H879)</f>
        <v>14783</v>
      </c>
      <c r="J879" s="1">
        <f>J877</f>
        <v>3887</v>
      </c>
      <c r="K879" s="1">
        <f>K877</f>
        <v>3298</v>
      </c>
      <c r="L879" s="1">
        <f>L877</f>
        <v>3711</v>
      </c>
      <c r="M879" s="59">
        <f>SUM(J879:L879)</f>
        <v>10896</v>
      </c>
      <c r="N879" s="1">
        <f>N877</f>
        <v>3285</v>
      </c>
      <c r="O879" s="1">
        <f>O877</f>
        <v>203</v>
      </c>
      <c r="P879" s="1">
        <f>P877</f>
        <v>4206</v>
      </c>
      <c r="Q879" s="59">
        <f>SUM(N879:P879)</f>
        <v>7694</v>
      </c>
      <c r="R879" s="59">
        <f>+E879+I879+M879+Q879</f>
        <v>44242</v>
      </c>
    </row>
    <row r="880" spans="1:18" ht="16.5" customHeight="1" thickBot="1" x14ac:dyDescent="0.35">
      <c r="A880" s="24" t="s">
        <v>617</v>
      </c>
      <c r="B880" s="25">
        <f>(B879/B10)/1.983</f>
        <v>55.45524051209474</v>
      </c>
      <c r="C880" s="25">
        <f>(C879/C10)/1.983</f>
        <v>60.91059721922052</v>
      </c>
      <c r="D880" s="25">
        <f>(D879/D10)/1.983</f>
        <v>66.338067118897726</v>
      </c>
      <c r="E880" s="88" t="s">
        <v>7</v>
      </c>
      <c r="F880" s="25">
        <f>(F879/F10)/1.983</f>
        <v>73.676248108925861</v>
      </c>
      <c r="G880" s="25">
        <f>(G879/G10)/1.983</f>
        <v>90.885429375498177</v>
      </c>
      <c r="H880" s="25">
        <f>(H879/H10)/1.983</f>
        <v>80.904353672886202</v>
      </c>
      <c r="I880" s="88" t="s">
        <v>7</v>
      </c>
      <c r="J880" s="25">
        <f>(J879/J10)/1.983</f>
        <v>63.231011989003299</v>
      </c>
      <c r="K880" s="25">
        <f>(K879/K10)/1.983</f>
        <v>53.649569729800071</v>
      </c>
      <c r="L880" s="25">
        <f>(L879/L10)/1.983</f>
        <v>62.380231971759962</v>
      </c>
      <c r="M880" s="88" t="s">
        <v>7</v>
      </c>
      <c r="N880" s="25">
        <f>(N879/N10)/1.983</f>
        <v>53.438094773315115</v>
      </c>
      <c r="O880" s="25">
        <f>(O879/O10)/1.983</f>
        <v>3.4123382081022018</v>
      </c>
      <c r="P880" s="25">
        <f>(P879/P10)/1.983</f>
        <v>68.420282075057344</v>
      </c>
      <c r="Q880" s="88" t="s">
        <v>7</v>
      </c>
      <c r="R880" s="88" t="s">
        <v>7</v>
      </c>
    </row>
    <row r="881" spans="1:18" ht="15.75" customHeight="1" x14ac:dyDescent="0.3">
      <c r="A881" s="30"/>
      <c r="B881" s="1"/>
      <c r="C881" s="1"/>
      <c r="D881" s="1"/>
      <c r="E881" s="28"/>
      <c r="F881" s="1"/>
      <c r="G881" s="1"/>
      <c r="H881" s="1"/>
      <c r="I881" s="28"/>
      <c r="J881" s="1"/>
      <c r="K881" s="1"/>
      <c r="L881" s="1"/>
      <c r="M881" s="28"/>
      <c r="N881" s="1"/>
      <c r="O881" s="1"/>
      <c r="P881" s="1"/>
      <c r="Q881" s="28"/>
      <c r="R881" s="28"/>
    </row>
    <row r="882" spans="1:18" ht="15.75" customHeight="1" x14ac:dyDescent="0.3">
      <c r="A882" s="30"/>
      <c r="B882" s="1"/>
      <c r="C882" s="1"/>
      <c r="D882" s="1"/>
      <c r="E882" s="1"/>
      <c r="F882" s="1"/>
      <c r="G882" s="1"/>
      <c r="H882" s="1"/>
      <c r="I882" s="1"/>
      <c r="J882" s="1"/>
      <c r="K882" s="1"/>
      <c r="L882" s="1"/>
      <c r="M882" s="1"/>
      <c r="N882" s="1"/>
      <c r="O882" s="1"/>
      <c r="P882" s="1"/>
      <c r="Q882" s="2" t="str">
        <f>+Q1</f>
        <v xml:space="preserve">PRINTED:  </v>
      </c>
      <c r="R882" s="163">
        <f ca="1">+R1</f>
        <v>44894.658168402777</v>
      </c>
    </row>
    <row r="883" spans="1:18" ht="15.75" customHeight="1" x14ac:dyDescent="0.3">
      <c r="A883" s="383" t="s">
        <v>1</v>
      </c>
      <c r="B883" s="383"/>
      <c r="C883" s="383"/>
      <c r="D883" s="383"/>
      <c r="E883" s="383"/>
      <c r="F883" s="383"/>
      <c r="G883" s="383"/>
      <c r="H883" s="383"/>
      <c r="I883" s="383"/>
      <c r="J883" s="383"/>
      <c r="K883" s="383"/>
      <c r="L883" s="383"/>
      <c r="M883" s="383"/>
      <c r="N883" s="383"/>
      <c r="O883" s="383"/>
      <c r="P883" s="383"/>
      <c r="Q883" s="383"/>
      <c r="R883" s="383"/>
    </row>
    <row r="884" spans="1:18" ht="15.75" customHeight="1" x14ac:dyDescent="0.3">
      <c r="A884" s="383" t="s">
        <v>2</v>
      </c>
      <c r="B884" s="383"/>
      <c r="C884" s="383"/>
      <c r="D884" s="383"/>
      <c r="E884" s="383"/>
      <c r="F884" s="383"/>
      <c r="G884" s="383"/>
      <c r="H884" s="383"/>
      <c r="I884" s="383"/>
      <c r="J884" s="383"/>
      <c r="K884" s="383"/>
      <c r="L884" s="383"/>
      <c r="M884" s="383"/>
      <c r="N884" s="383"/>
      <c r="O884" s="383"/>
      <c r="P884" s="383"/>
      <c r="Q884" s="383"/>
      <c r="R884" s="383"/>
    </row>
    <row r="885" spans="1:18" ht="15.75" customHeight="1" x14ac:dyDescent="0.3">
      <c r="A885" s="383" t="s">
        <v>3</v>
      </c>
      <c r="B885" s="383"/>
      <c r="C885" s="383"/>
      <c r="D885" s="383"/>
      <c r="E885" s="383"/>
      <c r="F885" s="383"/>
      <c r="G885" s="383"/>
      <c r="H885" s="383"/>
      <c r="I885" s="383"/>
      <c r="J885" s="383"/>
      <c r="K885" s="383"/>
      <c r="L885" s="383"/>
      <c r="M885" s="383"/>
      <c r="N885" s="383"/>
      <c r="O885" s="383"/>
      <c r="P885" s="383"/>
      <c r="Q885" s="383"/>
      <c r="R885" s="383"/>
    </row>
    <row r="886" spans="1:18" ht="15.75" customHeight="1" x14ac:dyDescent="0.3">
      <c r="A886" s="391">
        <f>+A5</f>
        <v>2021</v>
      </c>
      <c r="B886" s="391"/>
      <c r="C886" s="391"/>
      <c r="D886" s="391"/>
      <c r="E886" s="391"/>
      <c r="F886" s="391"/>
      <c r="G886" s="391"/>
      <c r="H886" s="391"/>
      <c r="I886" s="391"/>
      <c r="J886" s="391"/>
      <c r="K886" s="391"/>
      <c r="L886" s="391"/>
      <c r="M886" s="391"/>
      <c r="N886" s="391"/>
      <c r="O886" s="391"/>
      <c r="P886" s="391"/>
      <c r="Q886" s="391"/>
      <c r="R886" s="391"/>
    </row>
    <row r="887" spans="1:18" ht="15.75" customHeight="1" x14ac:dyDescent="0.3">
      <c r="A887" s="1"/>
      <c r="B887" s="1"/>
      <c r="C887" s="1"/>
      <c r="D887" s="7"/>
      <c r="E887" s="7"/>
      <c r="F887" s="7"/>
      <c r="G887" s="8"/>
      <c r="H887" s="7"/>
      <c r="I887" s="7"/>
      <c r="J887" s="8"/>
      <c r="K887" s="8"/>
      <c r="L887" s="8"/>
      <c r="M887" s="8"/>
      <c r="N887" s="1"/>
      <c r="O887" s="8"/>
      <c r="P887" s="8"/>
      <c r="Q887" s="8"/>
      <c r="R887" s="8"/>
    </row>
    <row r="888" spans="1:18" ht="15.75" customHeight="1" x14ac:dyDescent="0.3">
      <c r="A888" s="383" t="str">
        <f>+A8</f>
        <v>Revised:  10/27/2021</v>
      </c>
      <c r="B888" s="383"/>
      <c r="C888" s="383"/>
      <c r="D888" s="383"/>
      <c r="E888" s="383"/>
      <c r="F888" s="383"/>
      <c r="G888" s="383"/>
      <c r="H888" s="383"/>
      <c r="I888" s="383"/>
      <c r="J888" s="383"/>
      <c r="K888" s="383"/>
      <c r="L888" s="383"/>
      <c r="M888" s="383"/>
      <c r="N888" s="383"/>
      <c r="O888" s="383"/>
      <c r="P888" s="383"/>
      <c r="Q888" s="383"/>
      <c r="R888" s="383"/>
    </row>
    <row r="889" spans="1:18" ht="15.75" customHeight="1" x14ac:dyDescent="0.3">
      <c r="A889" s="6"/>
      <c r="B889" s="6"/>
      <c r="C889" s="6"/>
      <c r="D889" s="6"/>
      <c r="E889" s="6"/>
      <c r="F889" s="6"/>
      <c r="G889" s="6"/>
      <c r="H889" s="6"/>
      <c r="I889" s="6"/>
      <c r="J889" s="6"/>
      <c r="K889" s="6"/>
      <c r="L889" s="6"/>
      <c r="M889" s="6"/>
      <c r="N889" s="6"/>
      <c r="O889" s="6"/>
      <c r="P889" s="6"/>
      <c r="Q889" s="6"/>
      <c r="R889" s="6"/>
    </row>
    <row r="890" spans="1:18" ht="15.75" customHeight="1" x14ac:dyDescent="0.3">
      <c r="A890" s="6"/>
      <c r="B890" s="6"/>
      <c r="C890" s="6"/>
      <c r="D890" s="6"/>
      <c r="E890" s="6"/>
      <c r="F890" s="6"/>
      <c r="G890" s="6"/>
      <c r="H890" s="6"/>
      <c r="I890" s="6"/>
      <c r="J890" s="6"/>
      <c r="K890" s="6"/>
      <c r="L890" s="6"/>
      <c r="M890" s="6"/>
      <c r="N890" s="6"/>
      <c r="O890" s="6"/>
      <c r="P890" s="6"/>
      <c r="Q890" s="6"/>
      <c r="R890" s="6"/>
    </row>
    <row r="891" spans="1:18" ht="15.75" customHeight="1" thickBot="1" x14ac:dyDescent="0.35">
      <c r="A891" s="30"/>
      <c r="B891" s="1"/>
      <c r="C891" s="1"/>
      <c r="D891" s="1"/>
      <c r="E891" s="1"/>
      <c r="F891" s="1"/>
      <c r="G891" s="1"/>
      <c r="H891" s="1"/>
      <c r="I891" s="1"/>
      <c r="J891" s="1"/>
      <c r="K891" s="1"/>
      <c r="L891" s="1"/>
      <c r="M891" s="1"/>
      <c r="N891" s="1"/>
      <c r="O891" s="1"/>
      <c r="P891" s="1"/>
      <c r="Q891" s="1"/>
      <c r="R891" s="28"/>
    </row>
    <row r="892" spans="1:18" ht="16.5" customHeight="1" thickBot="1" x14ac:dyDescent="0.35">
      <c r="A892" s="343" t="s">
        <v>618</v>
      </c>
      <c r="B892" s="323" t="s">
        <v>36</v>
      </c>
      <c r="C892" s="324" t="s">
        <v>9</v>
      </c>
      <c r="D892" s="324" t="s">
        <v>10</v>
      </c>
      <c r="E892" s="325" t="s">
        <v>11</v>
      </c>
      <c r="F892" s="324" t="s">
        <v>12</v>
      </c>
      <c r="G892" s="324" t="s">
        <v>13</v>
      </c>
      <c r="H892" s="324" t="s">
        <v>14</v>
      </c>
      <c r="I892" s="34" t="s">
        <v>15</v>
      </c>
      <c r="J892" s="324" t="s">
        <v>16</v>
      </c>
      <c r="K892" s="324" t="s">
        <v>17</v>
      </c>
      <c r="L892" s="324" t="s">
        <v>18</v>
      </c>
      <c r="M892" s="34" t="s">
        <v>19</v>
      </c>
      <c r="N892" s="324" t="s">
        <v>20</v>
      </c>
      <c r="O892" s="324" t="s">
        <v>21</v>
      </c>
      <c r="P892" s="324" t="s">
        <v>22</v>
      </c>
      <c r="Q892" s="34" t="s">
        <v>23</v>
      </c>
      <c r="R892" s="157" t="s">
        <v>24</v>
      </c>
    </row>
    <row r="893" spans="1:18" ht="16.5" customHeight="1" thickBot="1" x14ac:dyDescent="0.35">
      <c r="A893" s="42"/>
      <c r="B893" s="37"/>
      <c r="C893" s="37"/>
      <c r="D893" s="37"/>
      <c r="E893" s="16"/>
      <c r="F893" s="37"/>
      <c r="G893" s="37"/>
      <c r="H893" s="37"/>
      <c r="I893" s="156"/>
      <c r="J893" s="37"/>
      <c r="K893" s="37"/>
      <c r="L893" s="37"/>
      <c r="M893" s="156"/>
      <c r="N893" s="37"/>
      <c r="O893" s="37"/>
      <c r="P893" s="37"/>
      <c r="Q893" s="158"/>
      <c r="R893" s="159"/>
    </row>
    <row r="894" spans="1:18" ht="15.75" customHeight="1" x14ac:dyDescent="0.3">
      <c r="A894" s="17" t="s">
        <v>45</v>
      </c>
      <c r="B894" s="1" t="s">
        <v>7</v>
      </c>
      <c r="C894" s="1" t="s">
        <v>7</v>
      </c>
      <c r="D894" s="1" t="s">
        <v>7</v>
      </c>
      <c r="E894" s="160"/>
      <c r="F894" s="1" t="s">
        <v>7</v>
      </c>
      <c r="G894" s="1" t="s">
        <v>7</v>
      </c>
      <c r="H894" s="1" t="s">
        <v>7</v>
      </c>
      <c r="I894" s="160"/>
      <c r="J894" s="1" t="s">
        <v>7</v>
      </c>
      <c r="K894" s="1" t="s">
        <v>7</v>
      </c>
      <c r="L894" s="1" t="s">
        <v>7</v>
      </c>
      <c r="M894" s="160"/>
      <c r="N894" s="1" t="s">
        <v>7</v>
      </c>
      <c r="O894" s="1" t="s">
        <v>7</v>
      </c>
      <c r="P894" s="1" t="s">
        <v>7</v>
      </c>
      <c r="Q894" s="161"/>
      <c r="R894" s="162" t="s">
        <v>7</v>
      </c>
    </row>
    <row r="895" spans="1:18" ht="15.75" customHeight="1" x14ac:dyDescent="0.3">
      <c r="A895" s="164" t="s">
        <v>46</v>
      </c>
      <c r="B895" s="1">
        <f>+SUM(B73:B84)+SUM(B144:B200)+SUM(B344:B381)+SUM(B535:B540)+SUM(B580:B585)+SUM(B625:B637)+SUM(B701:B704)+SUM(B737:B743)+SUM(B799:B800)+SUM(B833:B839)</f>
        <v>28695</v>
      </c>
      <c r="C895" s="1">
        <f>+SUM(C73:C84)+SUM(C144:C200)+SUM(C344:C381)+SUM(C535:C540)+SUM(C580:C585)+SUM(C625:C637)+SUM(C701:C704)+SUM(C737:C743)+SUM(C799:C800)+SUM(C833:C839)</f>
        <v>31149</v>
      </c>
      <c r="D895" s="1">
        <f>+SUM(D73:D84)+SUM(D144:D200)+SUM(D344:D381)+SUM(D535:D540)+SUM(D580:D585)+SUM(D625:D637)+SUM(D701:D704)+SUM(D737:D743)+SUM(D799:D800)+SUM(D833:D839)</f>
        <v>42476</v>
      </c>
      <c r="E895" s="59">
        <f t="shared" ref="E895:E901" si="297">SUM(B895:D895)</f>
        <v>102320</v>
      </c>
      <c r="F895" s="1">
        <f>+SUM(F73:F84)+SUM(F144:F200)+SUM(F344:F381)+SUM(F535:F540)+SUM(F580:F585)+SUM(F625:F637)+SUM(F701:F704)+SUM(F737:F743)+SUM(F799:F800)+SUM(F833:F839)</f>
        <v>53516</v>
      </c>
      <c r="G895" s="1">
        <f>+SUM(G73:G84)+SUM(G144:G200)+SUM(G344:G381)+SUM(G535:G540)+SUM(G580:G585)+SUM(G625:G637)+SUM(G701:G704)+SUM(G737:G743)+SUM(G799:G800)+SUM(G833:G839)</f>
        <v>58120</v>
      </c>
      <c r="H895" s="1">
        <f>+SUM(H73:H84)+SUM(H144:H200)+SUM(H344:H381)+SUM(H535:H540)+SUM(H580:H585)+SUM(H625:H637)+SUM(H701:H704)+SUM(H737:H743)+SUM(H799:H800)+SUM(H833:H839)</f>
        <v>72121</v>
      </c>
      <c r="I895" s="59">
        <f t="shared" ref="I895:I901" si="298">SUM(F895:H895)</f>
        <v>183757</v>
      </c>
      <c r="J895" s="1">
        <f>+SUM(J73:J84)+SUM(J144:J200)+SUM(J344:J381)+SUM(J535:J540)+SUM(J580:J585)+SUM(J625:J637)+SUM(J701:J704)+SUM(J737:J743)+SUM(J799:J800)+SUM(J833:J839)</f>
        <v>73319</v>
      </c>
      <c r="K895" s="1">
        <f>+SUM(K73:K84)+SUM(K144:K200)+SUM(K344:K381)+SUM(K535:K540)+SUM(K580:K585)+SUM(K625:K637)+SUM(K701:K704)+SUM(K737:K743)+SUM(K799:K800)+SUM(K833:K839)</f>
        <v>67728</v>
      </c>
      <c r="L895" s="1">
        <f>+SUM(L73:L84)+SUM(L144:L200)+SUM(L344:L381)+SUM(L535:L540)+SUM(L580:L585)+SUM(L625:L637)+SUM(L701:L704)+SUM(L737:L743)+SUM(L799:L800)+SUM(L833:L839)</f>
        <v>55866</v>
      </c>
      <c r="M895" s="59">
        <f t="shared" ref="M895:M901" si="299">SUM(J895:L895)</f>
        <v>196913</v>
      </c>
      <c r="N895" s="1">
        <f>+SUM(N73:N84)+SUM(N144:N200)+SUM(N344:N381)+SUM(N535:N540)+SUM(N580:N585)+SUM(N625:N637)+SUM(N701:N704)+SUM(N737:N743)+SUM(N799:N800)+SUM(N833:N839)</f>
        <v>45730</v>
      </c>
      <c r="O895" s="1">
        <f>+SUM(O73:O84)+SUM(O144:O200)+SUM(O344:O381)+SUM(O535:O540)+SUM(O580:O585)+SUM(O625:O637)+SUM(O701:O704)+SUM(O737:O743)+SUM(O799:O800)+SUM(O833:O839)</f>
        <v>29801</v>
      </c>
      <c r="P895" s="1">
        <f>+SUM(P73:P84)+SUM(P144:P200)+SUM(P344:P381)+SUM(P535:P540)+SUM(P580:P585)+SUM(P625:P637)+SUM(P701:P704)+SUM(P737:P743)+SUM(P799:P800)+SUM(P833:P839)</f>
        <v>37898</v>
      </c>
      <c r="Q895" s="59">
        <f t="shared" ref="Q895:Q901" si="300">SUM(N895:P895)</f>
        <v>113429</v>
      </c>
      <c r="R895" s="59">
        <f t="shared" ref="R895:R901" si="301">+E895+I895+M895+Q895</f>
        <v>596419</v>
      </c>
    </row>
    <row r="896" spans="1:18" ht="15.75" customHeight="1" x14ac:dyDescent="0.3">
      <c r="A896" s="17" t="s">
        <v>619</v>
      </c>
      <c r="B896" s="1">
        <f>+B40+SUM(B85:B86)+SUM(B202:B211)+SUM(B383:B393)+SUM(B542:B543)+B586+SUM(B638:B639)+B705+B744+B801+SUM(B840:B840)</f>
        <v>0</v>
      </c>
      <c r="C896" s="1">
        <f>+C40+SUM(C85:C86)+SUM(C202:C211)+SUM(C383:C393)+SUM(C542:C543)+C586+SUM(C638:C639)+C705+C744+C801+SUM(C840:C840)</f>
        <v>0</v>
      </c>
      <c r="D896" s="1">
        <f>+D40+SUM(D85:D86)+SUM(D202:D211)+SUM(D383:D393)+SUM(D542:D543)+D586+SUM(D638:D639)+D705+D744+D801+SUM(D840:D840)</f>
        <v>0</v>
      </c>
      <c r="E896" s="59">
        <f t="shared" si="297"/>
        <v>0</v>
      </c>
      <c r="F896" s="1">
        <f>+F40+SUM(F85:F86)+SUM(F202:F211)+SUM(F383:F393)+SUM(F542:F543)+F586+SUM(F638:F639)+F705+F744+F801+SUM(F840:F840)</f>
        <v>0</v>
      </c>
      <c r="G896" s="1">
        <f>+G40+SUM(G85:G86)+SUM(G202:G211)+SUM(G383:G393)+SUM(G542:G543)+G586+SUM(G638:G639)+G705+G744+G801+SUM(G840:G840)</f>
        <v>0</v>
      </c>
      <c r="H896" s="1">
        <f>+H40+SUM(H85:H86)+SUM(H202:H211)+SUM(H383:H393)+SUM(H542:H543)+H586+SUM(H638:H639)+H705+H744+H801+SUM(H840:H840)</f>
        <v>0</v>
      </c>
      <c r="I896" s="59">
        <f t="shared" si="298"/>
        <v>0</v>
      </c>
      <c r="J896" s="1">
        <f>+J40+SUM(J85:J86)+SUM(J202:J211)+SUM(J383:J393)+SUM(J542:J543)+J586+SUM(J638:J639)+J705+J744+J801+SUM(J840:J840)</f>
        <v>0</v>
      </c>
      <c r="K896" s="1">
        <f>+K40+SUM(K85:K86)+SUM(K202:K211)+SUM(K383:K393)+SUM(K542:K543)+K586+SUM(K638:K639)+K705+K744+K801+SUM(K840:K840)</f>
        <v>0</v>
      </c>
      <c r="L896" s="1">
        <f>+L40+SUM(L85:L86)+SUM(L202:L211)+SUM(L383:L393)+SUM(L542:L543)+L586+SUM(L638:L639)+L705+L744+L801+SUM(L840:L840)</f>
        <v>0</v>
      </c>
      <c r="M896" s="59">
        <f t="shared" si="299"/>
        <v>0</v>
      </c>
      <c r="N896" s="1">
        <f>+N40+SUM(N85:N86)+SUM(N202:N211)+SUM(N383:N393)+SUM(N542:N543)+N586+SUM(N638:N639)+N705+N744+N801+SUM(N840:N840)</f>
        <v>0</v>
      </c>
      <c r="O896" s="1">
        <f>+O40+SUM(O85:O86)+SUM(O202:O211)+SUM(O383:O393)+SUM(O542:O543)+O586+SUM(O638:O639)+O705+O744+O801+SUM(O840:O840)</f>
        <v>0</v>
      </c>
      <c r="P896" s="1">
        <f>+P40+SUM(P85:P86)+SUM(P202:P211)+SUM(P383:P393)+SUM(P542:P543)+P586+SUM(P638:P639)+P705+P744+P801+SUM(P840:P840)</f>
        <v>0</v>
      </c>
      <c r="Q896" s="59">
        <f t="shared" si="300"/>
        <v>0</v>
      </c>
      <c r="R896" s="59">
        <f t="shared" si="301"/>
        <v>0</v>
      </c>
    </row>
    <row r="897" spans="1:20" ht="15.75" customHeight="1" x14ac:dyDescent="0.3">
      <c r="A897" s="164" t="s">
        <v>620</v>
      </c>
      <c r="B897" s="1">
        <f>+SUM(B87:B89)+SUM(B212:B215)+SUM(B394:B398)+B544+B587+SUM(B640:B641)+B706+B745+B802+SUM(B841:B842)</f>
        <v>0</v>
      </c>
      <c r="C897" s="1">
        <f>+SUM(C87:C89)+SUM(C212:C215)+SUM(C394:C398)+C544+C587+SUM(C640:C641)+C706+C745+C802+SUM(C841:C842)</f>
        <v>0</v>
      </c>
      <c r="D897" s="1">
        <f>+SUM(D87:D89)+SUM(D212:D215)+SUM(D394:D398)+D544+D587+SUM(D640:D641)+D706+D745+D802+SUM(D841:D842)</f>
        <v>0</v>
      </c>
      <c r="E897" s="59">
        <f t="shared" si="297"/>
        <v>0</v>
      </c>
      <c r="F897" s="1">
        <f>+SUM(F87:F89)+SUM(F212:F215)+SUM(F394:F398)+F544+F587+SUM(F640:F641)+F706+F745+F802+SUM(F841:F842)</f>
        <v>0</v>
      </c>
      <c r="G897" s="1">
        <f>+SUM(G87:G89)+SUM(G212:G215)+SUM(G394:G398)+G544+G587+SUM(G640:G641)+G706+G745+G802+SUM(G841:G842)</f>
        <v>0</v>
      </c>
      <c r="H897" s="1">
        <f>+SUM(H87:H89)+SUM(H212:H215)+SUM(H394:H398)+H544+H587+SUM(H640:H641)+H706+H745+H802+SUM(H841:H842)</f>
        <v>0</v>
      </c>
      <c r="I897" s="59">
        <f t="shared" si="298"/>
        <v>0</v>
      </c>
      <c r="J897" s="1">
        <f>+SUM(J87:J89)+SUM(J212:J215)+SUM(J394:J398)+J544+J587+SUM(J640:J641)+J706+J745+J802+SUM(J841:J842)</f>
        <v>0</v>
      </c>
      <c r="K897" s="1">
        <f>+SUM(K87:K89)+SUM(K212:K215)+SUM(K394:K398)+K544+K587+SUM(K640:K641)+K706+K745+K802+SUM(K841:K842)</f>
        <v>0</v>
      </c>
      <c r="L897" s="1">
        <f>+SUM(L87:L89)+SUM(L212:L215)+SUM(L394:L398)+L544+L587+SUM(L640:L641)+L706+L745+L802+SUM(L841:L842)</f>
        <v>0</v>
      </c>
      <c r="M897" s="59">
        <f t="shared" si="299"/>
        <v>0</v>
      </c>
      <c r="N897" s="1">
        <f>+SUM(N87:N89)+SUM(N212:N215)+SUM(N394:N398)+N544+N587+SUM(N640:N641)+N706+N745+N802+SUM(N841:N842)</f>
        <v>0</v>
      </c>
      <c r="O897" s="1">
        <f>+SUM(O87:O89)+SUM(O212:O215)+SUM(O394:O398)+O544+O587+SUM(O640:O641)+O706+O745+O802+SUM(O841:O842)</f>
        <v>0</v>
      </c>
      <c r="P897" s="1">
        <f>+SUM(P87:P89)+SUM(P212:P215)+SUM(P394:P398)+P544+P587+SUM(P640:P641)+P706+P745+P802+SUM(P841:P842)</f>
        <v>0</v>
      </c>
      <c r="Q897" s="59">
        <f t="shared" si="300"/>
        <v>0</v>
      </c>
      <c r="R897" s="59">
        <f>+E897+I897+M897+Q897</f>
        <v>0</v>
      </c>
    </row>
    <row r="898" spans="1:20" ht="15.75" customHeight="1" x14ac:dyDescent="0.3">
      <c r="A898" s="17" t="s">
        <v>621</v>
      </c>
      <c r="B898" s="1">
        <f>+B320+B516+B517</f>
        <v>0</v>
      </c>
      <c r="C898" s="1">
        <f>+C320+C516+C517</f>
        <v>0</v>
      </c>
      <c r="D898" s="1">
        <f>+D320+D516+D517</f>
        <v>0</v>
      </c>
      <c r="E898" s="59">
        <f t="shared" si="297"/>
        <v>0</v>
      </c>
      <c r="F898" s="1">
        <f>+F320+F516+F517</f>
        <v>0</v>
      </c>
      <c r="G898" s="1">
        <f>+G320+G516+G517</f>
        <v>0</v>
      </c>
      <c r="H898" s="1">
        <f>+H320+H516+H517</f>
        <v>0</v>
      </c>
      <c r="I898" s="59">
        <f t="shared" si="298"/>
        <v>0</v>
      </c>
      <c r="J898" s="1">
        <f>+J320+J516+J517</f>
        <v>0</v>
      </c>
      <c r="K898" s="1">
        <f>+K320+K516+K517</f>
        <v>0</v>
      </c>
      <c r="L898" s="1">
        <f>+L320+L516+L517</f>
        <v>0</v>
      </c>
      <c r="M898" s="59">
        <f t="shared" si="299"/>
        <v>0</v>
      </c>
      <c r="N898" s="1">
        <f>+N320+N516+N517</f>
        <v>0</v>
      </c>
      <c r="O898" s="1">
        <f>+O320+O516+O517</f>
        <v>0</v>
      </c>
      <c r="P898" s="1">
        <f>+P320+P516+P517</f>
        <v>0</v>
      </c>
      <c r="Q898" s="59">
        <f t="shared" si="300"/>
        <v>0</v>
      </c>
      <c r="R898" s="59">
        <f t="shared" si="301"/>
        <v>0</v>
      </c>
    </row>
    <row r="899" spans="1:20" ht="15.75" customHeight="1" x14ac:dyDescent="0.3">
      <c r="A899" s="164" t="s">
        <v>622</v>
      </c>
      <c r="B899" s="1">
        <f>B321</f>
        <v>47</v>
      </c>
      <c r="C899" s="1">
        <f>C321</f>
        <v>81</v>
      </c>
      <c r="D899" s="1">
        <f>D321</f>
        <v>34</v>
      </c>
      <c r="E899" s="59">
        <f>SUM(B899:D899)</f>
        <v>162</v>
      </c>
      <c r="F899" s="1">
        <f>F321</f>
        <v>81</v>
      </c>
      <c r="G899" s="1">
        <f>G321</f>
        <v>42</v>
      </c>
      <c r="H899" s="1">
        <f>H321</f>
        <v>118</v>
      </c>
      <c r="I899" s="59">
        <f>SUM(F899:H899)</f>
        <v>241</v>
      </c>
      <c r="J899" s="1">
        <f>J321</f>
        <v>104</v>
      </c>
      <c r="K899" s="1">
        <f>K321</f>
        <v>96</v>
      </c>
      <c r="L899" s="1">
        <f>L321</f>
        <v>52</v>
      </c>
      <c r="M899" s="59">
        <f>SUM(J899:L899)</f>
        <v>252</v>
      </c>
      <c r="N899" s="1">
        <f>N321</f>
        <v>38</v>
      </c>
      <c r="O899" s="1">
        <f>O321</f>
        <v>38</v>
      </c>
      <c r="P899" s="1">
        <f>P321</f>
        <v>0</v>
      </c>
      <c r="Q899" s="59">
        <f t="shared" si="300"/>
        <v>76</v>
      </c>
      <c r="R899" s="59">
        <f>+E899+I899+M899+Q899</f>
        <v>731</v>
      </c>
    </row>
    <row r="900" spans="1:20" ht="15.75" customHeight="1" thickBot="1" x14ac:dyDescent="0.35">
      <c r="A900" s="17" t="s">
        <v>51</v>
      </c>
      <c r="B900" s="1">
        <f>+B90+B545+B588+B642+B707+B746+B803+B843</f>
        <v>0</v>
      </c>
      <c r="C900" s="1">
        <f>+C90+C545+C588+C642+C707+C746+C803+C843</f>
        <v>0</v>
      </c>
      <c r="D900" s="1">
        <f>+D90+D545+D588+D642+D707+D746+D803+D843</f>
        <v>0</v>
      </c>
      <c r="E900" s="59">
        <f t="shared" si="297"/>
        <v>0</v>
      </c>
      <c r="F900" s="1">
        <f>+F90+F545+F588+F642+F707+F746+F803+F843</f>
        <v>0</v>
      </c>
      <c r="G900" s="1">
        <f>+G90+G545+G588+G642+G707+G746+G803+G843</f>
        <v>0</v>
      </c>
      <c r="H900" s="1">
        <f>+H90+H545+H588+H642+H707+H746+H803+H843</f>
        <v>0</v>
      </c>
      <c r="I900" s="59">
        <f t="shared" si="298"/>
        <v>0</v>
      </c>
      <c r="J900" s="1">
        <f>+J90+J545+J588+J642+J707+J746+J803+J843</f>
        <v>0</v>
      </c>
      <c r="K900" s="1">
        <f>+K90+K545+K588+K642+K707+K746+K803+K843</f>
        <v>0</v>
      </c>
      <c r="L900" s="1">
        <f>+L90+L545+L588+L642+L707+L746+L803+L843</f>
        <v>0</v>
      </c>
      <c r="M900" s="59">
        <f t="shared" si="299"/>
        <v>0</v>
      </c>
      <c r="N900" s="1">
        <f>+N90+N545+N588+N642+N707+N746+N803+N843</f>
        <v>0</v>
      </c>
      <c r="O900" s="1">
        <f>+O90+O545+O588+O642+O707+O746+O803+O843</f>
        <v>0</v>
      </c>
      <c r="P900" s="1">
        <f>+P90+P545+P588+P642+P707+P746+P803+P843</f>
        <v>0</v>
      </c>
      <c r="Q900" s="59">
        <f t="shared" si="300"/>
        <v>0</v>
      </c>
      <c r="R900" s="59">
        <f t="shared" si="301"/>
        <v>0</v>
      </c>
    </row>
    <row r="901" spans="1:20" ht="16.5" customHeight="1" thickBot="1" x14ac:dyDescent="0.35">
      <c r="A901" s="62" t="s">
        <v>52</v>
      </c>
      <c r="B901" s="100">
        <f>SUM(B894:B900)</f>
        <v>28742</v>
      </c>
      <c r="C901" s="101">
        <f>SUM(C894:C900)</f>
        <v>31230</v>
      </c>
      <c r="D901" s="101">
        <f>SUM(D894:D900)</f>
        <v>42510</v>
      </c>
      <c r="E901" s="64">
        <f t="shared" si="297"/>
        <v>102482</v>
      </c>
      <c r="F901" s="101">
        <f>SUM(F894:F900)</f>
        <v>53597</v>
      </c>
      <c r="G901" s="101">
        <f>SUM(G894:G900)</f>
        <v>58162</v>
      </c>
      <c r="H901" s="101">
        <f>SUM(H894:H900)</f>
        <v>72239</v>
      </c>
      <c r="I901" s="64">
        <f t="shared" si="298"/>
        <v>183998</v>
      </c>
      <c r="J901" s="101">
        <f>SUM(J894:J900)</f>
        <v>73423</v>
      </c>
      <c r="K901" s="101">
        <f>SUM(K894:K900)</f>
        <v>67824</v>
      </c>
      <c r="L901" s="101">
        <f>SUM(L894:L900)</f>
        <v>55918</v>
      </c>
      <c r="M901" s="64">
        <f t="shared" si="299"/>
        <v>197165</v>
      </c>
      <c r="N901" s="101">
        <f>SUM(N894:N900)</f>
        <v>45768</v>
      </c>
      <c r="O901" s="101">
        <f>SUM(O894:O900)</f>
        <v>29839</v>
      </c>
      <c r="P901" s="101">
        <f>SUM(P894:P900)</f>
        <v>37898</v>
      </c>
      <c r="Q901" s="64">
        <f t="shared" si="300"/>
        <v>113505</v>
      </c>
      <c r="R901" s="64">
        <f t="shared" si="301"/>
        <v>597150</v>
      </c>
      <c r="T901" s="4">
        <f>+R901-R898-R897</f>
        <v>597150</v>
      </c>
    </row>
    <row r="902" spans="1:20" ht="15.75" customHeight="1" x14ac:dyDescent="0.3">
      <c r="A902" s="17" t="s">
        <v>53</v>
      </c>
      <c r="B902" s="1"/>
      <c r="C902" s="1"/>
      <c r="D902" s="1"/>
      <c r="E902" s="59" t="s">
        <v>7</v>
      </c>
      <c r="F902" s="1"/>
      <c r="G902" s="1"/>
      <c r="H902" s="1"/>
      <c r="I902" s="59" t="s">
        <v>7</v>
      </c>
      <c r="J902" s="1"/>
      <c r="K902" s="1"/>
      <c r="L902" s="1"/>
      <c r="M902" s="59" t="s">
        <v>7</v>
      </c>
      <c r="N902" s="1"/>
      <c r="O902" s="1"/>
      <c r="P902" s="1"/>
      <c r="Q902" s="59" t="s">
        <v>7</v>
      </c>
      <c r="R902" s="59" t="s">
        <v>7</v>
      </c>
    </row>
    <row r="903" spans="1:20" ht="15.75" customHeight="1" x14ac:dyDescent="0.3">
      <c r="A903" s="17" t="s">
        <v>54</v>
      </c>
      <c r="B903" s="1">
        <f>SUM(B45:B45)+SUM(B219:B219)+SUM(B93:B93)+SUM(B402:B402)</f>
        <v>0</v>
      </c>
      <c r="C903" s="1">
        <f>SUM(C45:C45)+SUM(C219:C219)+SUM(C93:C93)+SUM(C402:C402)</f>
        <v>0</v>
      </c>
      <c r="D903" s="1">
        <f>SUM(D45:D45)+SUM(D219:D219)+SUM(D93:D93)+SUM(D402:D402)</f>
        <v>0</v>
      </c>
      <c r="E903" s="59">
        <f>SUM(B903:D903)</f>
        <v>0</v>
      </c>
      <c r="F903" s="1">
        <f>SUM(F45:F45)+SUM(F219:F219)+SUM(F93:F93)+SUM(F402:F402)</f>
        <v>0</v>
      </c>
      <c r="G903" s="1">
        <f>SUM(G45:G45)+SUM(G219:G219)+SUM(G93:G93)+SUM(G402:G402)</f>
        <v>0</v>
      </c>
      <c r="H903" s="1">
        <f>SUM(H45:H45)+SUM(H219:H219)+SUM(H93:H93)+SUM(H402:H402)</f>
        <v>0</v>
      </c>
      <c r="I903" s="59">
        <f>SUM(F903:H903)</f>
        <v>0</v>
      </c>
      <c r="J903" s="1">
        <f>SUM(J45:J45)+SUM(J219:J219)+SUM(J93:J93)+SUM(J402:J402)</f>
        <v>0</v>
      </c>
      <c r="K903" s="1">
        <f>SUM(K45:K45)+SUM(K219:K219)+SUM(K93:K93)+SUM(K402:K402)</f>
        <v>0</v>
      </c>
      <c r="L903" s="1">
        <f>SUM(L45:L45)+SUM(L219:L219)+SUM(L93:L93)+SUM(L402:L402)</f>
        <v>0</v>
      </c>
      <c r="M903" s="59">
        <f>SUM(J903:L903)</f>
        <v>0</v>
      </c>
      <c r="N903" s="1">
        <f>SUM(N45:N45)+SUM(N219:N219)+SUM(N93:N93)+SUM(N402:N402)</f>
        <v>0</v>
      </c>
      <c r="O903" s="1">
        <f>SUM(O45:O45)+SUM(O219:O219)+SUM(O93:O93)+SUM(O402:O402)</f>
        <v>0</v>
      </c>
      <c r="P903" s="1">
        <f>SUM(P45:P45)+SUM(P219:P219)+SUM(P93:P93)+SUM(P402:P402)</f>
        <v>0</v>
      </c>
      <c r="Q903" s="59">
        <f>SUM(N903:P903)</f>
        <v>0</v>
      </c>
      <c r="R903" s="59">
        <f>+E903+I903+M903+Q903</f>
        <v>0</v>
      </c>
    </row>
    <row r="904" spans="1:20" ht="15.75" customHeight="1" x14ac:dyDescent="0.3">
      <c r="A904" s="164" t="s">
        <v>55</v>
      </c>
      <c r="B904" s="1">
        <f>+SUM(B95:B96)+SUM(B220:B222)+SUM(B403:B412)+B549+SUM(B591:B593)+SUM(B645:B647)+SUM(B710:B710)+B749+B806+SUM(B846:B847)</f>
        <v>3486</v>
      </c>
      <c r="C904" s="1">
        <f>+SUM(C95:C96)+SUM(C220:C222)+SUM(C403:C412)+C549+SUM(C591:C593)+SUM(C645:C647)+SUM(C710:C710)+C749+C806+SUM(C846:C847)</f>
        <v>10005</v>
      </c>
      <c r="D904" s="1">
        <f>+SUM(D95:D96)+SUM(D220:D222)+SUM(D403:D412)+D549+SUM(D591:D593)+SUM(D645:D647)+SUM(D710:D710)+D749+D806+SUM(D846:D847)</f>
        <v>15380</v>
      </c>
      <c r="E904" s="59">
        <f>SUM(B904:D904)</f>
        <v>28871</v>
      </c>
      <c r="F904" s="1">
        <f>+SUM(F95:F96)+SUM(F220:F222)+SUM(F403:F412)+F549+SUM(F591:F593)+SUM(F645:F647)+SUM(F710:F710)+F749+F806+SUM(F846:F847)</f>
        <v>45425</v>
      </c>
      <c r="G904" s="1">
        <f>+SUM(G95:G96)+SUM(G220:G222)+SUM(G403:G412)+G549+SUM(G591:G593)+SUM(G645:G647)+SUM(G710:G710)+G749+G806+SUM(G846:G847)</f>
        <v>45486</v>
      </c>
      <c r="H904" s="1">
        <f>+SUM(H95:H96)+SUM(H220:H222)+SUM(H403:H412)+H549+SUM(H591:H593)+SUM(H645:H647)+SUM(H710:H710)+H749+H806+SUM(H846:H847)</f>
        <v>54573</v>
      </c>
      <c r="I904" s="59">
        <f>SUM(F904:H904)</f>
        <v>145484</v>
      </c>
      <c r="J904" s="1">
        <f>+SUM(J95:J96)+SUM(J220:J222)+SUM(J403:J412)+J549+SUM(J591:J593)+SUM(J645:J647)+SUM(J710:J710)+J749+J806+SUM(J846:J847)</f>
        <v>19932</v>
      </c>
      <c r="K904" s="1">
        <f>+SUM(K95:K96)+SUM(K220:K222)+SUM(K403:K412)+K549+SUM(K591:K593)+SUM(K645:K647)+SUM(K710:K710)+K749+K806+SUM(K846:K847)</f>
        <v>17163</v>
      </c>
      <c r="L904" s="1">
        <f>+SUM(L95:L96)+SUM(L220:L222)+SUM(L403:L412)+L549+SUM(L591:L593)+SUM(L645:L647)+SUM(L710:L710)+L749+L806+SUM(L846:L847)</f>
        <v>15572</v>
      </c>
      <c r="M904" s="59">
        <f>SUM(J904:L904)</f>
        <v>52667</v>
      </c>
      <c r="N904" s="1">
        <f>+SUM(N95:N96)+SUM(N220:N222)+SUM(N403:N412)+N549+SUM(N591:N593)+SUM(N645:N647)+SUM(N710:N710)+N749+N806+SUM(N846:N847)</f>
        <v>4407</v>
      </c>
      <c r="O904" s="1">
        <f>+SUM(O95:O96)+SUM(O220:O222)+SUM(O403:O412)+O549+SUM(O591:O593)+SUM(O645:O647)+SUM(O710:O710)+O749+O806+SUM(O846:O847)</f>
        <v>5598</v>
      </c>
      <c r="P904" s="1">
        <f>+SUM(P95:P96)+SUM(P220:P222)+SUM(P403:P412)+P549+SUM(P591:P593)+SUM(P645:P647)+SUM(P710:P710)+P749+P806+SUM(P846:P847)</f>
        <v>9056</v>
      </c>
      <c r="Q904" s="59">
        <f>SUM(N904:P904)</f>
        <v>19061</v>
      </c>
      <c r="R904" s="59">
        <f>+E904+I904+M904+Q904</f>
        <v>246083</v>
      </c>
    </row>
    <row r="905" spans="1:20" ht="15.75" customHeight="1" thickBot="1" x14ac:dyDescent="0.35">
      <c r="A905" s="17" t="s">
        <v>56</v>
      </c>
      <c r="B905" s="1">
        <f>+B97+B550+B594+B648+B711+B750+B807+B848+B413+B223+B47</f>
        <v>0</v>
      </c>
      <c r="C905" s="1">
        <f>+C97+C550+C594+C648+C711+C750+C807+C848+C413+C223+C47</f>
        <v>0</v>
      </c>
      <c r="D905" s="1">
        <f>+D97+D550+D594+D648+D711+D750+D807+D848+D413+D223+D47</f>
        <v>0</v>
      </c>
      <c r="E905" s="59">
        <f>SUM(B905:D905)</f>
        <v>0</v>
      </c>
      <c r="F905" s="1">
        <f>+F97+F550+F594+F648+F711+F750+F807+F848+F413+F223+F47</f>
        <v>0</v>
      </c>
      <c r="G905" s="1">
        <f>+G97+G550+G594+G648+G711+G750+G807+G848+G413+G223+G47</f>
        <v>0</v>
      </c>
      <c r="H905" s="1">
        <f>+H97+H550+H594+H648+H711+H750+H807+H848+H413+H223+H47</f>
        <v>0</v>
      </c>
      <c r="I905" s="59">
        <f>SUM(F905:H905)</f>
        <v>0</v>
      </c>
      <c r="J905" s="1">
        <f>+J97+J550+J594+J648+J711+J750+J807+J848+J413+J223+J47</f>
        <v>0</v>
      </c>
      <c r="K905" s="1">
        <f>+K97+K550+K594+K648+K711+K750+K807+K848+K413+K223+K47</f>
        <v>0</v>
      </c>
      <c r="L905" s="1">
        <f>+L97+L550+L594+L648+L711+L750+L807+L848+L413+L223+L47</f>
        <v>0</v>
      </c>
      <c r="M905" s="59">
        <f>SUM(J905:L905)</f>
        <v>0</v>
      </c>
      <c r="N905" s="1">
        <f>+N97+N550+N594+N648+N711+N750+N807+N848+N413+N223+N47</f>
        <v>0</v>
      </c>
      <c r="O905" s="1">
        <f>+O97+O550+O594+O648+O711+O750+O807+O848+O413+O223+O47</f>
        <v>0</v>
      </c>
      <c r="P905" s="1">
        <f>+P97+P550+P594+P648+P711+P750+P807+P848+P413+P223+P47</f>
        <v>0</v>
      </c>
      <c r="Q905" s="59">
        <f>SUM(N905:P905)</f>
        <v>0</v>
      </c>
      <c r="R905" s="59">
        <f>+E905+I905+M905+Q905</f>
        <v>0</v>
      </c>
    </row>
    <row r="906" spans="1:20" ht="16.5" customHeight="1" thickBot="1" x14ac:dyDescent="0.35">
      <c r="A906" s="62" t="s">
        <v>57</v>
      </c>
      <c r="B906" s="100">
        <f>SUM(B902:B905)</f>
        <v>3486</v>
      </c>
      <c r="C906" s="101">
        <f>SUM(C902:C905)</f>
        <v>10005</v>
      </c>
      <c r="D906" s="101">
        <f>SUM(D902:D905)</f>
        <v>15380</v>
      </c>
      <c r="E906" s="64">
        <f>SUM(B906:D906)</f>
        <v>28871</v>
      </c>
      <c r="F906" s="101">
        <f>SUM(F902:F905)</f>
        <v>45425</v>
      </c>
      <c r="G906" s="101">
        <f>SUM(G902:G905)</f>
        <v>45486</v>
      </c>
      <c r="H906" s="101">
        <f>SUM(H902:H905)</f>
        <v>54573</v>
      </c>
      <c r="I906" s="64">
        <f>SUM(F906:H906)</f>
        <v>145484</v>
      </c>
      <c r="J906" s="101">
        <f>SUM(J902:J905)</f>
        <v>19932</v>
      </c>
      <c r="K906" s="101">
        <f>SUM(K902:K905)</f>
        <v>17163</v>
      </c>
      <c r="L906" s="101">
        <f>SUM(L902:L905)</f>
        <v>15572</v>
      </c>
      <c r="M906" s="64">
        <f>SUM(J906:L906)</f>
        <v>52667</v>
      </c>
      <c r="N906" s="101">
        <f>SUM(N902:N905)</f>
        <v>4407</v>
      </c>
      <c r="O906" s="101">
        <f>SUM(O902:O905)</f>
        <v>5598</v>
      </c>
      <c r="P906" s="101">
        <f>SUM(P902:P905)</f>
        <v>9056</v>
      </c>
      <c r="Q906" s="64">
        <f>SUM(N906:P906)</f>
        <v>19061</v>
      </c>
      <c r="R906" s="64">
        <f>+E906+I906+M906+Q906</f>
        <v>246083</v>
      </c>
    </row>
    <row r="907" spans="1:20" ht="15.75" customHeight="1" x14ac:dyDescent="0.3">
      <c r="A907" s="17" t="s">
        <v>58</v>
      </c>
      <c r="B907" s="1"/>
      <c r="C907" s="1"/>
      <c r="D907" s="1"/>
      <c r="E907" s="59" t="s">
        <v>7</v>
      </c>
      <c r="F907" s="1"/>
      <c r="G907" s="1"/>
      <c r="H907" s="1"/>
      <c r="I907" s="59" t="s">
        <v>7</v>
      </c>
      <c r="J907" s="1"/>
      <c r="K907" s="1"/>
      <c r="L907" s="1"/>
      <c r="M907" s="59" t="s">
        <v>7</v>
      </c>
      <c r="N907" s="1"/>
      <c r="O907" s="1"/>
      <c r="P907" s="1"/>
      <c r="Q907" s="59" t="s">
        <v>7</v>
      </c>
      <c r="R907" s="59" t="s">
        <v>7</v>
      </c>
    </row>
    <row r="908" spans="1:20" ht="15.75" customHeight="1" x14ac:dyDescent="0.3">
      <c r="A908" s="164" t="s">
        <v>59</v>
      </c>
      <c r="B908" s="1">
        <f>+B50+B100+B226+SUM(B416:B420)+B553+B597+B651+B714+SUM(B753:B754)+B810+SUM(B851:B853)</f>
        <v>1997</v>
      </c>
      <c r="C908" s="1">
        <f>+C50+C100+C226+SUM(C416:C420)+C553+C597+C651+C714+SUM(C753:C754)+C810+SUM(C851:C853)</f>
        <v>7136</v>
      </c>
      <c r="D908" s="1">
        <f>+D50+D100+D226+SUM(D416:D420)+D553+D597+D651+D714+SUM(D753:D754)+D810+SUM(D851:D853)</f>
        <v>6949</v>
      </c>
      <c r="E908" s="59">
        <f>SUM(B908:D908)</f>
        <v>16082</v>
      </c>
      <c r="F908" s="1">
        <f>+F50+F100+F226+SUM(F416:F420)+F553+F597+F651+F714+SUM(F753:F754)+F810+SUM(F851:F853)</f>
        <v>18831</v>
      </c>
      <c r="G908" s="1">
        <f>+G50+G100+G226+SUM(G416:G420)+G553+G597+G651+G714+SUM(G753:G754)+G810+SUM(G851:G853)</f>
        <v>19768</v>
      </c>
      <c r="H908" s="1">
        <f>+H50+H100+H226+SUM(H416:H420)+H553+H597+H651+H714+SUM(H753:H754)+H810+SUM(H851:H853)</f>
        <v>20643</v>
      </c>
      <c r="I908" s="59">
        <f>SUM(F908:H908)</f>
        <v>59242</v>
      </c>
      <c r="J908" s="1">
        <f>+J50+J100+J226+SUM(J416:J420)+J553+J597+J651+J714+SUM(J753:J754)+J810+SUM(J851:J853)</f>
        <v>13140</v>
      </c>
      <c r="K908" s="1">
        <f>+K50+K100+K226+SUM(K416:K420)+K553+K597+K651+K714+SUM(K753:K754)+K810+SUM(K851:K853)</f>
        <v>10842</v>
      </c>
      <c r="L908" s="1">
        <f>+L50+L100+L226+SUM(L416:L420)+L553+L597+L651+L714+SUM(L753:L754)+L810+SUM(L851:L853)</f>
        <v>8262</v>
      </c>
      <c r="M908" s="59">
        <f>SUM(J908:L908)</f>
        <v>32244</v>
      </c>
      <c r="N908" s="1">
        <f>+N50+N100+N226+SUM(N416:N420)+N553+N597+N651+N714+SUM(N753:N754)+N810+SUM(N851:N853)</f>
        <v>5572</v>
      </c>
      <c r="O908" s="1">
        <f>+O50+O100+O226+SUM(O416:O420)+O553+O597+O651+O714+SUM(O753:O754)+O810+SUM(O851:O853)</f>
        <v>2428</v>
      </c>
      <c r="P908" s="1">
        <f>+P50+P100+P226+SUM(P416:P420)+P553+P597+P651+P714+SUM(P753:P754)+P810+SUM(P851:P853)</f>
        <v>5134</v>
      </c>
      <c r="Q908" s="59">
        <f>SUM(N908:P908)</f>
        <v>13134</v>
      </c>
      <c r="R908" s="59">
        <f>+E908+I908+M908+Q908</f>
        <v>120702</v>
      </c>
    </row>
    <row r="909" spans="1:20" ht="15.75" customHeight="1" thickBot="1" x14ac:dyDescent="0.35">
      <c r="A909" s="164" t="s">
        <v>60</v>
      </c>
      <c r="B909" s="1">
        <f>+B51+SUM(B101:B110)+SUM(B227:B296)+SUM(B421:B487)+SUM(B554:B557)+SUM(B598:B599)+SUM(B652:B659)+B715+SUM(B755:B764)+B811+SUM(B854:B861)</f>
        <v>14632</v>
      </c>
      <c r="C909" s="1">
        <f>+C51+SUM(C101:C110)+SUM(C227:C296)+SUM(C421:C487)+SUM(C554:C557)+SUM(C598:C599)+SUM(C652:C659)+C715+SUM(C755:C764)+C811+SUM(C854:C861)</f>
        <v>24190</v>
      </c>
      <c r="D909" s="1">
        <f>+D51+SUM(D101:D110)+SUM(D227:D296)+SUM(D421:D487)+SUM(D554:D557)+SUM(D598:D599)+SUM(D652:D659)+D715+SUM(D755:D764)+D811+SUM(D854:D861)</f>
        <v>41463</v>
      </c>
      <c r="E909" s="59">
        <f>SUM(B909:D909)</f>
        <v>80285</v>
      </c>
      <c r="F909" s="1">
        <f>+F51+SUM(F101:F110)+SUM(F227:F296)+SUM(F421:F487)+SUM(F554:F557)+SUM(F598:F599)+SUM(F652:F659)+F715+SUM(F755:F764)+F811+SUM(F854:F861)</f>
        <v>34150</v>
      </c>
      <c r="G909" s="1">
        <f>+G51+SUM(G101:G110)+SUM(G227:G296)+SUM(G421:G487)+SUM(G554:G557)+SUM(G598:G599)+SUM(G652:G659)+G715+SUM(G755:G764)+G811+SUM(G854:G861)</f>
        <v>50099</v>
      </c>
      <c r="H909" s="1">
        <f>+H51+SUM(H101:H110)+SUM(H227:H296)+SUM(H421:H487)+SUM(H554:H557)+SUM(H598:H599)+SUM(H652:H659)+H715+SUM(H755:H764)+H811+SUM(H854:H861)</f>
        <v>47318</v>
      </c>
      <c r="I909" s="59">
        <f>SUM(F909:H909)</f>
        <v>131567</v>
      </c>
      <c r="J909" s="1">
        <f>+J51+SUM(J101:J110)+SUM(J227:J296)+SUM(J421:J487)+SUM(J554:J557)+SUM(J598:J599)+SUM(J652:J659)+J715+SUM(J755:J764)+J811+SUM(J854:J861)</f>
        <v>31521</v>
      </c>
      <c r="K909" s="1">
        <f>+K51+SUM(K101:K110)+SUM(K227:K296)+SUM(K421:K487)+SUM(K554:K557)+SUM(K598:K599)+SUM(K652:K659)+K715+SUM(K755:K764)+K811+SUM(K854:K861)</f>
        <v>25172</v>
      </c>
      <c r="L909" s="1">
        <f>+L51+SUM(L101:L110)+SUM(L227:L296)+SUM(L421:L487)+SUM(L554:L557)+SUM(L598:L599)+SUM(L652:L659)+L715+SUM(L755:L764)+L811+SUM(L854:L861)</f>
        <v>30089</v>
      </c>
      <c r="M909" s="59">
        <f>SUM(J909:L909)</f>
        <v>86782</v>
      </c>
      <c r="N909" s="1">
        <f>+N51+SUM(N101:N110)+SUM(N227:N296)+SUM(N421:N487)+SUM(N554:N557)+SUM(N598:N599)+SUM(N652:N659)+N715+SUM(N755:N764)+N811+SUM(N854:N861)</f>
        <v>24652</v>
      </c>
      <c r="O909" s="1">
        <f>+O51+SUM(O101:O110)+SUM(O227:O296)+SUM(O421:O487)+SUM(O554:O557)+SUM(O598:O599)+SUM(O652:O659)+O715+SUM(O755:O764)+O811+SUM(O854:O861)</f>
        <v>16814</v>
      </c>
      <c r="P909" s="1">
        <f>+P51+SUM(P101:P110)+SUM(P227:P296)+SUM(P421:P487)+SUM(P554:P557)+SUM(P598:P599)+SUM(P652:P659)+P715+SUM(P755:P764)+P811+SUM(P854:P861)</f>
        <v>19417</v>
      </c>
      <c r="Q909" s="59">
        <f>SUM(N909:P909)</f>
        <v>60883</v>
      </c>
      <c r="R909" s="59">
        <f>+E909+I909+M909+Q909</f>
        <v>359517</v>
      </c>
    </row>
    <row r="910" spans="1:20" ht="16.5" customHeight="1" thickBot="1" x14ac:dyDescent="0.35">
      <c r="A910" s="62" t="s">
        <v>61</v>
      </c>
      <c r="B910" s="100">
        <f>SUM(B907:B909)</f>
        <v>16629</v>
      </c>
      <c r="C910" s="101">
        <f>SUM(C907:C909)</f>
        <v>31326</v>
      </c>
      <c r="D910" s="138">
        <f>SUM(D907:D909)</f>
        <v>48412</v>
      </c>
      <c r="E910" s="64">
        <f>SUM(B910:D910)</f>
        <v>96367</v>
      </c>
      <c r="F910" s="101">
        <f>SUM(F907:F909)</f>
        <v>52981</v>
      </c>
      <c r="G910" s="101">
        <f>SUM(G907:G909)</f>
        <v>69867</v>
      </c>
      <c r="H910" s="101">
        <f>SUM(H907:H909)</f>
        <v>67961</v>
      </c>
      <c r="I910" s="64">
        <f>SUM(F910:H910)</f>
        <v>190809</v>
      </c>
      <c r="J910" s="101">
        <f>SUM(J907:J909)</f>
        <v>44661</v>
      </c>
      <c r="K910" s="101">
        <f>SUM(K907:K909)</f>
        <v>36014</v>
      </c>
      <c r="L910" s="101">
        <f>SUM(L907:L909)</f>
        <v>38351</v>
      </c>
      <c r="M910" s="64">
        <f>SUM(J910:L910)</f>
        <v>119026</v>
      </c>
      <c r="N910" s="101">
        <f>SUM(N907:N909)</f>
        <v>30224</v>
      </c>
      <c r="O910" s="101">
        <f>SUM(O907:O909)</f>
        <v>19242</v>
      </c>
      <c r="P910" s="101">
        <f>SUM(P907:P909)</f>
        <v>24551</v>
      </c>
      <c r="Q910" s="64">
        <f>SUM(N910:P910)</f>
        <v>74017</v>
      </c>
      <c r="R910" s="64">
        <f>+E910+I910+M910+Q910</f>
        <v>480219</v>
      </c>
      <c r="T910" s="4">
        <v>1600000</v>
      </c>
    </row>
    <row r="911" spans="1:20" ht="20.25" customHeight="1" x14ac:dyDescent="0.3">
      <c r="A911" s="17" t="s">
        <v>623</v>
      </c>
      <c r="B911" s="1"/>
      <c r="C911" s="1"/>
      <c r="D911" s="1"/>
      <c r="E911" s="59" t="s">
        <v>7</v>
      </c>
      <c r="F911" s="1"/>
      <c r="G911" s="1"/>
      <c r="H911" s="1"/>
      <c r="I911" s="59" t="s">
        <v>7</v>
      </c>
      <c r="J911" s="1"/>
      <c r="K911" s="1"/>
      <c r="L911" s="1"/>
      <c r="M911" s="59" t="s">
        <v>7</v>
      </c>
      <c r="N911" s="1"/>
      <c r="O911" s="1"/>
      <c r="P911" s="1"/>
      <c r="Q911" s="59" t="s">
        <v>7</v>
      </c>
      <c r="R911" s="59" t="s">
        <v>7</v>
      </c>
      <c r="T911" s="4">
        <f>+T910-28000-R895-R896-400000-R908-R909+12000</f>
        <v>107362</v>
      </c>
    </row>
    <row r="912" spans="1:20" ht="15.75" customHeight="1" x14ac:dyDescent="0.3">
      <c r="A912" s="17" t="s">
        <v>624</v>
      </c>
      <c r="B912" s="1">
        <f>SUM(B54:B54)+SUM(B113:B121)+SUM(B299:B301)+SUM(B490:B491)+SUM(B560:B560)+B602+SUM(B662:B664)+B718+B767+B814+SUM(B864:B866)</f>
        <v>0</v>
      </c>
      <c r="C912" s="1">
        <f>SUM(C54:C54)+SUM(C113:C121)+SUM(C299:C301)+SUM(C490:C491)+SUM(C560:C560)+C602+SUM(C662:C664)+C718+C767+C814+SUM(C864:C866)</f>
        <v>0</v>
      </c>
      <c r="D912" s="1">
        <f>SUM(D54:D54)+SUM(D113:D121)+SUM(D299:D301)+SUM(D490:D491)+SUM(D560:D560)+D602+SUM(D662:D664)+D718+D767+D814+SUM(D864:D866)</f>
        <v>0</v>
      </c>
      <c r="E912" s="59">
        <f t="shared" ref="E912:E920" si="302">SUM(B912:D912)</f>
        <v>0</v>
      </c>
      <c r="F912" s="1">
        <f>SUM(F54:F54)+SUM(F113:F121)+SUM(F299:F301)+SUM(F490:F491)+SUM(F560:F560)+F602+SUM(F662:F664)+F718+F767+F814+SUM(F864:F866)</f>
        <v>0</v>
      </c>
      <c r="G912" s="1">
        <f>SUM(G54:G54)+SUM(G113:G121)+SUM(G299:G301)+SUM(G490:G491)+SUM(G560:G560)+G602+SUM(G662:G664)+G718+G767+G814+SUM(G864:G866)</f>
        <v>0</v>
      </c>
      <c r="H912" s="1">
        <f>SUM(H54:H54)+SUM(H113:H121)+SUM(H299:H301)+SUM(H490:H491)+SUM(H560:H560)+H602+SUM(H662:H664)+H718+H767+H814+SUM(H864:H866)</f>
        <v>0</v>
      </c>
      <c r="I912" s="59">
        <f t="shared" ref="I912:I920" si="303">SUM(F912:H912)</f>
        <v>0</v>
      </c>
      <c r="J912" s="1">
        <f>SUM(J54:J54)+SUM(J113:J121)+SUM(J299:J301)+SUM(J490:J491)+SUM(J560:J560)+J602+SUM(J662:J664)+J718+J767+J814+SUM(J864:J866)</f>
        <v>0</v>
      </c>
      <c r="K912" s="1">
        <f>SUM(K54:K54)+SUM(K113:K121)+SUM(K299:K301)+SUM(K490:K491)+SUM(K560:K560)+K602+SUM(K662:K664)+K718+K767+K814+SUM(K864:K866)</f>
        <v>0</v>
      </c>
      <c r="L912" s="1">
        <f>SUM(L54:L54)+SUM(L113:L121)+SUM(L299:L301)+SUM(L490:L491)+SUM(L560:L560)+L602+SUM(L662:L664)+L718+L767+L814+SUM(L864:L866)</f>
        <v>0</v>
      </c>
      <c r="M912" s="59">
        <f t="shared" ref="M912:M920" si="304">SUM(J912:L912)</f>
        <v>0</v>
      </c>
      <c r="N912" s="1">
        <f>SUM(N54:N54)+SUM(N113:N121)+SUM(N299:N301)+SUM(N490:N491)+SUM(N560:N560)+N602+SUM(N662:N664)+N718+N767+N814+SUM(N864:N866)</f>
        <v>0</v>
      </c>
      <c r="O912" s="1">
        <f>SUM(O54:O54)+SUM(O113:O121)+SUM(O299:O301)+SUM(O490:O491)+SUM(O560:O560)+O602+SUM(O662:O664)+O718+O767+O814+SUM(O864:O866)</f>
        <v>0</v>
      </c>
      <c r="P912" s="1">
        <f>SUM(P54:P54)+SUM(P113:P121)+SUM(P299:P301)+SUM(P490:P491)+SUM(P560:P560)+P602+SUM(P662:P664)+P718+P767+P814+SUM(P864:P866)</f>
        <v>0</v>
      </c>
      <c r="Q912" s="59">
        <f t="shared" ref="Q912:Q920" si="305">SUM(N912:P912)</f>
        <v>0</v>
      </c>
      <c r="R912" s="59">
        <f>+E912+I912+M912+Q912</f>
        <v>0</v>
      </c>
    </row>
    <row r="913" spans="1:18" ht="15.75" customHeight="1" x14ac:dyDescent="0.3">
      <c r="A913" s="17" t="s">
        <v>64</v>
      </c>
      <c r="B913" s="1">
        <f>SUM(B55:B56)+SUM(B122:B123)+SUM(B302:B303)+B305+B307+B309+B310+SUM(B492:B494)+B561+B603+SUM(B665:B666)+B668+SUM(B719:B720)+B769+B771+B815+SUM(B867:B868)</f>
        <v>0</v>
      </c>
      <c r="C913" s="1">
        <f>SUM(C55:C56)+SUM(C122:C123)+SUM(C302:C303)+C305+C307+C309+C310+SUM(C492:C494)+C561+C603+SUM(C665:C666)+C668+SUM(C719:C720)+C769+C771+C815+SUM(C867:C868)</f>
        <v>0</v>
      </c>
      <c r="D913" s="1">
        <f>SUM(D55:D56)+SUM(D122:D123)+SUM(D302:D303)+D305+D307+D309+D310+SUM(D492:D494)+D561+D603+SUM(D665:D666)+D668+SUM(D719:D720)+D769+D771+D815+SUM(D867:D868)</f>
        <v>0</v>
      </c>
      <c r="E913" s="59">
        <f t="shared" si="302"/>
        <v>0</v>
      </c>
      <c r="F913" s="1">
        <f>SUM(F55:F56)+SUM(F122:F123)+SUM(F302:F303)+F305+F307+F309+F310+SUM(F492:F494)+F561+F603+SUM(F665:F666)+F668+SUM(F719:F720)+F769+F771+F815+SUM(F867:F868)</f>
        <v>0</v>
      </c>
      <c r="G913" s="1">
        <f>SUM(G55:G56)+SUM(G122:G123)+SUM(G302:G303)+G305+G307+G309+G310+SUM(G492:G494)+G561+G603+SUM(G665:G666)+G668+SUM(G719:G720)+G769+G771+G815+SUM(G867:G868)</f>
        <v>0</v>
      </c>
      <c r="H913" s="1">
        <f>SUM(H55:H56)+SUM(H122:H123)+SUM(H302:H303)+H305+H307+H309+H310+SUM(H492:H494)+H561+H603+SUM(H665:H666)+H668+SUM(H719:H720)+H769+H771+H815+SUM(H867:H868)</f>
        <v>0</v>
      </c>
      <c r="I913" s="59">
        <f t="shared" si="303"/>
        <v>0</v>
      </c>
      <c r="J913" s="1">
        <f>SUM(J55:J56)+SUM(J122:J123)+SUM(J302:J303)+J305+J307+J309+J310+SUM(J492:J494)+J561+J603+SUM(J665:J666)+J668+SUM(J719:J720)+J769+J771+J815+SUM(J867:J868)</f>
        <v>0</v>
      </c>
      <c r="K913" s="1">
        <f>SUM(K55:K56)+SUM(K122:K123)+SUM(K302:K303)+K305+K307+K309+K310+SUM(K492:K494)+K561+K603+SUM(K665:K666)+K668+SUM(K719:K720)+K769+K771+K815+SUM(K867:K868)</f>
        <v>0</v>
      </c>
      <c r="L913" s="1">
        <f>SUM(L55:L56)+SUM(L122:L123)+SUM(L302:L303)+L305+L307+L309+L310+SUM(L492:L494)+L561+L603+SUM(L665:L666)+L668+SUM(L719:L720)+L769+L771+L815+SUM(L867:L868)</f>
        <v>0</v>
      </c>
      <c r="M913" s="59">
        <f t="shared" si="304"/>
        <v>0</v>
      </c>
      <c r="N913" s="1">
        <f>SUM(N55:N56)+SUM(N122:N123)+SUM(N302:N303)+N305+N307+N309+N310+SUM(N492:N494)+N561+N603+SUM(N665:N666)+N668+SUM(N719:N720)+N769+N771+N815+SUM(N867:N868)</f>
        <v>0</v>
      </c>
      <c r="O913" s="1">
        <f>SUM(O55:O56)+SUM(O122:O123)+SUM(O302:O303)+O305+O307+O309+O310+SUM(O492:O494)+O561+O603+SUM(O665:O666)+O668+SUM(O719:O720)+O769+O771+O815+SUM(O867:O868)</f>
        <v>0</v>
      </c>
      <c r="P913" s="1">
        <f>SUM(P55:P56)+SUM(P122:P123)+SUM(P302:P303)+P305+P307+P309+P310+SUM(P492:P494)+P561+P603+SUM(P665:P666)+P668+SUM(P719:P720)+P769+P771+P815+SUM(P867:P868)</f>
        <v>0</v>
      </c>
      <c r="Q913" s="59">
        <f t="shared" si="305"/>
        <v>0</v>
      </c>
      <c r="R913" s="59">
        <f t="shared" ref="R913:R920" si="306">+E913+I913+M913+Q913</f>
        <v>0</v>
      </c>
    </row>
    <row r="914" spans="1:18" ht="18" customHeight="1" x14ac:dyDescent="0.3">
      <c r="A914" s="74" t="s">
        <v>625</v>
      </c>
      <c r="B914" s="1">
        <f>B124+B304+B306+B308+B667+B669+B770+B772+B869</f>
        <v>0</v>
      </c>
      <c r="C914" s="1">
        <f>C124+C304+C306+C308+C667+C669+C770+C772+C869</f>
        <v>0</v>
      </c>
      <c r="D914" s="1">
        <f>D124+D304+D306+D308+D667+D669+D770+D772+D869</f>
        <v>0</v>
      </c>
      <c r="E914" s="59">
        <f t="shared" si="302"/>
        <v>0</v>
      </c>
      <c r="F914" s="1">
        <f>F124+F304+F306+F308+F667+F669+F770+F772+F869</f>
        <v>0</v>
      </c>
      <c r="G914" s="1">
        <f>G124+G304+G306+G308+G667+G669+G770+G772+G869</f>
        <v>0</v>
      </c>
      <c r="H914" s="1">
        <f>H124+H304+H306+H308+H667+H669+H770+H772+H869</f>
        <v>0</v>
      </c>
      <c r="I914" s="59">
        <f t="shared" si="303"/>
        <v>0</v>
      </c>
      <c r="J914" s="1">
        <f>J124+J304+J306+J308+J667+J669+J770+J772+J869</f>
        <v>0</v>
      </c>
      <c r="K914" s="1">
        <f>K124+K304+K306+K308+K667+K669+K770+K772+K869</f>
        <v>0</v>
      </c>
      <c r="L914" s="1">
        <f>L124+L304+L306+L308+L667+L669+L770+L772+L869</f>
        <v>0</v>
      </c>
      <c r="M914" s="59">
        <f t="shared" si="304"/>
        <v>0</v>
      </c>
      <c r="N914" s="1">
        <f>N124+N304+N306+N308+N667+N669+N770+N772+N869</f>
        <v>0</v>
      </c>
      <c r="O914" s="1">
        <f>O124+O304+O306+O308+O667+O669+O770+O772+O869</f>
        <v>0</v>
      </c>
      <c r="P914" s="1">
        <f>P124+P304+P306+P308+P667+P669+P770+P772+P869</f>
        <v>0</v>
      </c>
      <c r="Q914" s="59">
        <f t="shared" si="305"/>
        <v>0</v>
      </c>
      <c r="R914" s="59">
        <f t="shared" si="306"/>
        <v>0</v>
      </c>
    </row>
    <row r="915" spans="1:18" ht="15.75" customHeight="1" x14ac:dyDescent="0.3">
      <c r="A915" s="17" t="s">
        <v>626</v>
      </c>
      <c r="B915" s="1">
        <f>+B57+SUM(B125:B126)+SUM(B311:B312)+SUM(B495:B501)+SUM(B562:B562)+SUM(B604:B605)+SUM(B670:B672)+B721+B773+B870+B870+B816</f>
        <v>0</v>
      </c>
      <c r="C915" s="1">
        <f>+C57+SUM(C125:C126)+SUM(C311:C312)+SUM(C495:C501)+SUM(C562:C562)+SUM(C604:C605)+SUM(C670:C672)+C721+C773+C870+C870+C816</f>
        <v>0</v>
      </c>
      <c r="D915" s="1">
        <f>+D57+SUM(D125:D126)+SUM(D311:D312)+SUM(D495:D501)+SUM(D562:D562)+SUM(D604:D605)+SUM(D670:D672)+D721+D773+D870+D870+D816</f>
        <v>0</v>
      </c>
      <c r="E915" s="59">
        <f t="shared" si="302"/>
        <v>0</v>
      </c>
      <c r="F915" s="1">
        <f>+F57+SUM(F125:F126)+SUM(F311:F312)+SUM(F495:F501)+SUM(F562:F562)+SUM(F604:F605)+SUM(F670:F672)+F721+F773+F870+F870+F816</f>
        <v>0</v>
      </c>
      <c r="G915" s="1">
        <f>+G57+SUM(G125:G126)+SUM(G311:G312)+SUM(G495:G501)+SUM(G562:G562)+SUM(G604:G605)+SUM(G670:G672)+G721+G773+G870+G870+G816</f>
        <v>0</v>
      </c>
      <c r="H915" s="1">
        <f>+H57+SUM(H125:H126)+SUM(H311:H312)+SUM(H495:H501)+SUM(H562:H562)+SUM(H604:H605)+SUM(H670:H672)+H721+H773+H870+H870+H816</f>
        <v>0</v>
      </c>
      <c r="I915" s="59">
        <f t="shared" si="303"/>
        <v>0</v>
      </c>
      <c r="J915" s="1">
        <f>+J57+SUM(J125:J126)+SUM(J311:J312)+SUM(J495:J501)+SUM(J562:J562)+SUM(J604:J605)+SUM(J670:J672)+J721+J773+J870+J870+J816</f>
        <v>0</v>
      </c>
      <c r="K915" s="1">
        <f>+K57+SUM(K125:K126)+SUM(K311:K312)+SUM(K495:K501)+SUM(K562:K562)+SUM(K604:K605)+SUM(K670:K672)+K721+K773+K870+K870+K816</f>
        <v>0</v>
      </c>
      <c r="L915" s="1">
        <f>+L57+SUM(L125:L126)+SUM(L311:L312)+SUM(L495:L501)+SUM(L562:L562)+SUM(L604:L605)+SUM(L670:L672)+L721+L773+L870+L870+L816</f>
        <v>0</v>
      </c>
      <c r="M915" s="59">
        <f t="shared" si="304"/>
        <v>0</v>
      </c>
      <c r="N915" s="1">
        <f>+N57+SUM(N125:N126)+SUM(N311:N312)+SUM(N495:N501)+SUM(N562:N562)+SUM(N604:N605)+SUM(N670:N672)+N721+N773+N870+N870+N816</f>
        <v>0</v>
      </c>
      <c r="O915" s="1">
        <f>+O57+SUM(O125:O126)+SUM(O311:O312)+SUM(O495:O501)+SUM(O562:O562)+SUM(O604:O605)+SUM(O670:O672)+O721+O773+O870+O870+O816</f>
        <v>0</v>
      </c>
      <c r="P915" s="1">
        <f>+P57+SUM(P125:P126)+SUM(P311:P312)+SUM(P495:P501)+SUM(P562:P562)+SUM(P604:P605)+SUM(P670:P672)+P721+P773+P870+P870+P816</f>
        <v>0</v>
      </c>
      <c r="Q915" s="59">
        <f t="shared" si="305"/>
        <v>0</v>
      </c>
      <c r="R915" s="59">
        <f>+E915+I915+M915+Q915</f>
        <v>0</v>
      </c>
    </row>
    <row r="916" spans="1:18" ht="22.5" customHeight="1" x14ac:dyDescent="0.3">
      <c r="A916" s="17" t="s">
        <v>67</v>
      </c>
      <c r="B916" s="1">
        <f>SUM(B129:B129)+SUM(B313:B314)+B503+B506+B507+B509+B512+SUM(B563:B564)+B607+B610+B673+B674+B676+B722+B774+B817+B871</f>
        <v>0</v>
      </c>
      <c r="C916" s="1">
        <f>SUM(C129:C129)+SUM(C313:C314)+C503+C506+C507+C509+C512+SUM(C563:C564)+C607+C610+C673+C674+C676+C722+C774+C817+C871</f>
        <v>0</v>
      </c>
      <c r="D916" s="1">
        <f>SUM(D129:D129)+SUM(D313:D314)+D503+D506+D507+D509+D512+SUM(D563:D564)+D607+D610+D673+D674+D676+D722+D774+D817+D871</f>
        <v>0</v>
      </c>
      <c r="E916" s="59">
        <f t="shared" si="302"/>
        <v>0</v>
      </c>
      <c r="F916" s="1">
        <f>SUM(F129:F129)+SUM(F313:F314)+F503+F506+F507+F509+F512+SUM(F563:F564)+F607+F610+F673+F674+F676+F722+F774+F817+F871</f>
        <v>0</v>
      </c>
      <c r="G916" s="1">
        <f>SUM(G129:G129)+SUM(G313:G314)+G503+G506+G507+G509+G512+SUM(G563:G564)+G607+G610+G673+G674+G676+G722+G774+G817+G871</f>
        <v>0</v>
      </c>
      <c r="H916" s="1">
        <f>SUM(H129:H129)+SUM(H313:H314)+H503+H506+H507+H509+H512+SUM(H563:H564)+H607+H610+H673+H674+H676+H722+H774+H817+H871</f>
        <v>0</v>
      </c>
      <c r="I916" s="59">
        <f t="shared" si="303"/>
        <v>0</v>
      </c>
      <c r="J916" s="1">
        <f>SUM(J129:J129)+SUM(J313:J314)+J503+J506+J507+J509+J512+SUM(J563:J564)+J607+J610+J673+J674+J676+J722+J774+J817+J871</f>
        <v>0</v>
      </c>
      <c r="K916" s="1">
        <f>SUM(K129:K129)+SUM(K313:K314)+K503+K506+K507+K509+K512+SUM(K563:K564)+K607+K610+K673+K674+K676+K722+K774+K817+K871</f>
        <v>0</v>
      </c>
      <c r="L916" s="1">
        <f>SUM(L129:L129)+SUM(L313:L314)+L503+L506+L507+L509+L512+SUM(L563:L564)+L607+L610+L673+L674+L676+L722+L774+L817+L871</f>
        <v>0</v>
      </c>
      <c r="M916" s="59">
        <f t="shared" si="304"/>
        <v>0</v>
      </c>
      <c r="N916" s="1">
        <f>SUM(N129:N129)+SUM(N313:N314)+N503+N506+N507+N509+N512+SUM(N563:N564)+N607+N610+N673+N674+N676+N722+N774+N817+N871</f>
        <v>0</v>
      </c>
      <c r="O916" s="1">
        <f>SUM(O129:O129)+SUM(O313:O314)+O503+O506+O507+O509+O512+SUM(O563:O564)+O607+O610+O673+O674+O676+O722+O774+O817+O871</f>
        <v>0</v>
      </c>
      <c r="P916" s="1">
        <f>SUM(P129:P129)+SUM(P313:P314)+P503+P506+P507+P509+P512+SUM(P563:P564)+P607+P610+P673+P674+P676+P722+P774+P817+P871</f>
        <v>0</v>
      </c>
      <c r="Q916" s="59">
        <f t="shared" si="305"/>
        <v>0</v>
      </c>
      <c r="R916" s="59">
        <f>+E916+I916+M916+Q916</f>
        <v>0</v>
      </c>
    </row>
    <row r="917" spans="1:18" ht="18" customHeight="1" thickBot="1" x14ac:dyDescent="0.35">
      <c r="A917" s="74" t="s">
        <v>627</v>
      </c>
      <c r="B917" s="1">
        <f>+B504+B508+B510+B565+B128+B505+B511+B608+B609+B675</f>
        <v>0</v>
      </c>
      <c r="C917" s="1">
        <f>+C504+C508+C510+C565+C128+C505+C511+C608+C609+C675</f>
        <v>0</v>
      </c>
      <c r="D917" s="1">
        <f>+D504+D508+D510+D565+D128+D505+D511+D608+D609+D675</f>
        <v>0</v>
      </c>
      <c r="E917" s="59">
        <f>SUM(B917:D917)</f>
        <v>0</v>
      </c>
      <c r="F917" s="1">
        <f>+F504+F508+F510+F565+F128+F505+F511+F608+F609+F675</f>
        <v>0</v>
      </c>
      <c r="G917" s="1">
        <f>+G504+G508+G510+G565+G128+G505+G511+G608+G609+G675</f>
        <v>0</v>
      </c>
      <c r="H917" s="1">
        <f>+H504+H508+H510+H565+H128+H505+H511+H608+H609+H675</f>
        <v>0</v>
      </c>
      <c r="I917" s="59">
        <f>SUM(F917:H917)</f>
        <v>0</v>
      </c>
      <c r="J917" s="1">
        <f>+J504+J508+J510+J565+J128+J505+J511+J608+J609+J675</f>
        <v>0</v>
      </c>
      <c r="K917" s="1">
        <f>+K504+K508+K510+K565+K128+K505+K511+K608+K609+K675</f>
        <v>0</v>
      </c>
      <c r="L917" s="1">
        <f>+L504+L508+L510+L565+L128+L505+L511+L608+L609+L675</f>
        <v>0</v>
      </c>
      <c r="M917" s="59">
        <f>SUM(J917:L917)</f>
        <v>0</v>
      </c>
      <c r="N917" s="1">
        <f>+N504+N508+N510+N565+N128+N505+N511+N608+N609+N675</f>
        <v>0</v>
      </c>
      <c r="O917" s="1">
        <f>+O504+O508+O510+O565+O128+O505+O511+O608+O609+O675</f>
        <v>0</v>
      </c>
      <c r="P917" s="1">
        <f>+P504+P508+P510+P565+P128+P505+P511+P608+P609+P675</f>
        <v>0</v>
      </c>
      <c r="Q917" s="59">
        <f>SUM(N917:P917)</f>
        <v>0</v>
      </c>
      <c r="R917" s="59">
        <f>+E917+I917+M917+Q917</f>
        <v>0</v>
      </c>
    </row>
    <row r="918" spans="1:18" ht="16.5" customHeight="1" thickBot="1" x14ac:dyDescent="0.35">
      <c r="A918" s="62" t="s">
        <v>68</v>
      </c>
      <c r="B918" s="344">
        <f>SUM(B915:B917)</f>
        <v>0</v>
      </c>
      <c r="C918" s="344">
        <f>SUM(C915:C917)</f>
        <v>0</v>
      </c>
      <c r="D918" s="344">
        <f>SUM(D915:D917)</f>
        <v>0</v>
      </c>
      <c r="E918" s="334">
        <f t="shared" si="302"/>
        <v>0</v>
      </c>
      <c r="F918" s="344">
        <f>SUM(F915:F917)</f>
        <v>0</v>
      </c>
      <c r="G918" s="344">
        <f>SUM(G915:G917)</f>
        <v>0</v>
      </c>
      <c r="H918" s="344">
        <f>SUM(H915:H917)</f>
        <v>0</v>
      </c>
      <c r="I918" s="334">
        <f t="shared" si="303"/>
        <v>0</v>
      </c>
      <c r="J918" s="344">
        <f>SUM(J915:J917)</f>
        <v>0</v>
      </c>
      <c r="K918" s="344">
        <f>SUM(K915:K917)</f>
        <v>0</v>
      </c>
      <c r="L918" s="344">
        <f>SUM(L915:L917)</f>
        <v>0</v>
      </c>
      <c r="M918" s="334">
        <f t="shared" si="304"/>
        <v>0</v>
      </c>
      <c r="N918" s="344">
        <f>SUM(N915:N917)</f>
        <v>0</v>
      </c>
      <c r="O918" s="344">
        <f>SUM(O915:O917)</f>
        <v>0</v>
      </c>
      <c r="P918" s="344">
        <f>SUM(P915:P917)</f>
        <v>0</v>
      </c>
      <c r="Q918" s="334">
        <f t="shared" si="305"/>
        <v>0</v>
      </c>
      <c r="R918" s="64">
        <f t="shared" si="306"/>
        <v>0</v>
      </c>
    </row>
    <row r="919" spans="1:18" ht="16.5" customHeight="1" thickBot="1" x14ac:dyDescent="0.35">
      <c r="A919" s="137" t="s">
        <v>69</v>
      </c>
      <c r="B919" s="100">
        <f>SUM(B911:B917)</f>
        <v>0</v>
      </c>
      <c r="C919" s="101">
        <f>SUM(C911:C917)</f>
        <v>0</v>
      </c>
      <c r="D919" s="138">
        <f>SUM(D911:D917)</f>
        <v>0</v>
      </c>
      <c r="E919" s="347">
        <f t="shared" si="302"/>
        <v>0</v>
      </c>
      <c r="F919" s="100">
        <f>SUM(F911:F917)</f>
        <v>0</v>
      </c>
      <c r="G919" s="101">
        <f>SUM(G911:G917)</f>
        <v>0</v>
      </c>
      <c r="H919" s="138">
        <f>SUM(H911:H917)</f>
        <v>0</v>
      </c>
      <c r="I919" s="334">
        <f t="shared" si="303"/>
        <v>0</v>
      </c>
      <c r="J919" s="100">
        <f>SUM(J911:J917)</f>
        <v>0</v>
      </c>
      <c r="K919" s="101">
        <f>SUM(K911:K917)</f>
        <v>0</v>
      </c>
      <c r="L919" s="138">
        <f>SUM(L911:L917)</f>
        <v>0</v>
      </c>
      <c r="M919" s="334">
        <f t="shared" si="304"/>
        <v>0</v>
      </c>
      <c r="N919" s="100">
        <f>SUM(N911:N917)</f>
        <v>0</v>
      </c>
      <c r="O919" s="101">
        <f>SUM(O911:O917)</f>
        <v>0</v>
      </c>
      <c r="P919" s="138">
        <f>SUM(P911:P917)</f>
        <v>0</v>
      </c>
      <c r="Q919" s="334">
        <f t="shared" si="305"/>
        <v>0</v>
      </c>
      <c r="R919" s="64">
        <f t="shared" si="306"/>
        <v>0</v>
      </c>
    </row>
    <row r="920" spans="1:18" ht="16.5" customHeight="1" thickBot="1" x14ac:dyDescent="0.35">
      <c r="A920" s="62" t="s">
        <v>70</v>
      </c>
      <c r="B920" s="149">
        <f>+B901+B906+B910+B919</f>
        <v>48857</v>
      </c>
      <c r="C920" s="150">
        <f>+C901+C906+C910+C919</f>
        <v>72561</v>
      </c>
      <c r="D920" s="150">
        <f>+D901+D906+D910+D919</f>
        <v>106302</v>
      </c>
      <c r="E920" s="64">
        <f t="shared" si="302"/>
        <v>227720</v>
      </c>
      <c r="F920" s="63">
        <f>+F901+F906+F910+F919</f>
        <v>152003</v>
      </c>
      <c r="G920" s="63">
        <f>+G901+G906+G910+G919</f>
        <v>173515</v>
      </c>
      <c r="H920" s="63">
        <f>+H901+H906+H910+H919</f>
        <v>194773</v>
      </c>
      <c r="I920" s="64">
        <f t="shared" si="303"/>
        <v>520291</v>
      </c>
      <c r="J920" s="63">
        <f>+J901+J906+J910+J919</f>
        <v>138016</v>
      </c>
      <c r="K920" s="63">
        <f>+K901+K906+K910+K919</f>
        <v>121001</v>
      </c>
      <c r="L920" s="63">
        <f>+L901+L906+L910+L919</f>
        <v>109841</v>
      </c>
      <c r="M920" s="64">
        <f t="shared" si="304"/>
        <v>368858</v>
      </c>
      <c r="N920" s="63">
        <f>+N901+N906+N910+N919</f>
        <v>80399</v>
      </c>
      <c r="O920" s="63">
        <f>+O901+O906+O910+O919</f>
        <v>54679</v>
      </c>
      <c r="P920" s="63">
        <f>+P901+P906+P910+P919</f>
        <v>71505</v>
      </c>
      <c r="Q920" s="64">
        <f t="shared" si="305"/>
        <v>206583</v>
      </c>
      <c r="R920" s="88">
        <f t="shared" si="306"/>
        <v>1323452</v>
      </c>
    </row>
    <row r="921" spans="1:18" ht="15.75" customHeight="1" x14ac:dyDescent="0.3">
      <c r="A921" s="1" t="s">
        <v>628</v>
      </c>
      <c r="B921" s="1"/>
      <c r="C921" s="1"/>
      <c r="D921" s="1"/>
      <c r="E921" s="1"/>
      <c r="F921" s="1"/>
      <c r="G921" s="1"/>
      <c r="H921" s="1"/>
      <c r="I921" s="1"/>
      <c r="J921" s="1"/>
      <c r="K921" s="1"/>
      <c r="L921" s="1"/>
      <c r="M921" s="1"/>
      <c r="N921" s="1"/>
      <c r="O921" s="166"/>
      <c r="P921" s="1"/>
      <c r="Q921" s="1"/>
      <c r="R921" s="28"/>
    </row>
    <row r="922" spans="1:18" ht="15.75" customHeight="1" x14ac:dyDescent="0.3">
      <c r="A922" s="1" t="s">
        <v>629</v>
      </c>
      <c r="B922" s="1"/>
      <c r="C922" s="1"/>
      <c r="D922" s="1"/>
      <c r="E922" s="1"/>
      <c r="F922" s="1"/>
      <c r="G922" s="1"/>
      <c r="H922" s="1"/>
      <c r="I922" s="1"/>
      <c r="J922" s="1"/>
      <c r="K922" s="1"/>
      <c r="L922" s="1"/>
      <c r="M922" s="1"/>
      <c r="N922" s="1"/>
      <c r="O922" s="166"/>
      <c r="P922" s="1"/>
      <c r="Q922" s="1"/>
      <c r="R922" s="28"/>
    </row>
    <row r="923" spans="1:18" ht="15.75" customHeight="1" x14ac:dyDescent="0.3">
      <c r="A923" s="1"/>
      <c r="B923" s="1"/>
      <c r="C923" s="1"/>
      <c r="D923" s="1"/>
      <c r="E923" s="1"/>
      <c r="F923" s="1"/>
      <c r="G923" s="1"/>
      <c r="H923" s="1"/>
      <c r="I923" s="1"/>
      <c r="J923" s="1"/>
      <c r="K923" s="1"/>
      <c r="L923" s="1"/>
      <c r="M923" s="1"/>
      <c r="N923" s="1"/>
      <c r="O923" s="166"/>
      <c r="P923" s="1"/>
      <c r="Q923" s="2" t="str">
        <f>+Q1</f>
        <v xml:space="preserve">PRINTED:  </v>
      </c>
      <c r="R923" s="163">
        <f ca="1">+R1</f>
        <v>44894.658168402777</v>
      </c>
    </row>
    <row r="924" spans="1:18" ht="15.75" customHeight="1" x14ac:dyDescent="0.3">
      <c r="A924" s="383" t="s">
        <v>1</v>
      </c>
      <c r="B924" s="383"/>
      <c r="C924" s="383"/>
      <c r="D924" s="383"/>
      <c r="E924" s="383"/>
      <c r="F924" s="383"/>
      <c r="G924" s="383"/>
      <c r="H924" s="383"/>
      <c r="I924" s="383"/>
      <c r="J924" s="383"/>
      <c r="K924" s="383"/>
      <c r="L924" s="383"/>
      <c r="M924" s="383"/>
      <c r="N924" s="383"/>
      <c r="O924" s="383"/>
      <c r="P924" s="383"/>
      <c r="Q924" s="383"/>
      <c r="R924" s="383"/>
    </row>
    <row r="925" spans="1:18" ht="15.75" customHeight="1" x14ac:dyDescent="0.3">
      <c r="A925" s="383" t="s">
        <v>2</v>
      </c>
      <c r="B925" s="383"/>
      <c r="C925" s="383"/>
      <c r="D925" s="383"/>
      <c r="E925" s="383"/>
      <c r="F925" s="383"/>
      <c r="G925" s="383"/>
      <c r="H925" s="383"/>
      <c r="I925" s="383"/>
      <c r="J925" s="383"/>
      <c r="K925" s="383"/>
      <c r="L925" s="383"/>
      <c r="M925" s="383"/>
      <c r="N925" s="383"/>
      <c r="O925" s="383"/>
      <c r="P925" s="383"/>
      <c r="Q925" s="383"/>
      <c r="R925" s="383"/>
    </row>
    <row r="926" spans="1:18" ht="15.75" customHeight="1" x14ac:dyDescent="0.3">
      <c r="A926" s="383" t="s">
        <v>3</v>
      </c>
      <c r="B926" s="383"/>
      <c r="C926" s="383"/>
      <c r="D926" s="383"/>
      <c r="E926" s="383"/>
      <c r="F926" s="383"/>
      <c r="G926" s="383"/>
      <c r="H926" s="383"/>
      <c r="I926" s="383"/>
      <c r="J926" s="383"/>
      <c r="K926" s="383"/>
      <c r="L926" s="383"/>
      <c r="M926" s="383"/>
      <c r="N926" s="383"/>
      <c r="O926" s="383"/>
      <c r="P926" s="383"/>
      <c r="Q926" s="383"/>
      <c r="R926" s="383"/>
    </row>
    <row r="927" spans="1:18" ht="15.75" customHeight="1" x14ac:dyDescent="0.3">
      <c r="A927" s="392">
        <f>+A5</f>
        <v>2021</v>
      </c>
      <c r="B927" s="392"/>
      <c r="C927" s="392"/>
      <c r="D927" s="392"/>
      <c r="E927" s="392"/>
      <c r="F927" s="392"/>
      <c r="G927" s="392"/>
      <c r="H927" s="392"/>
      <c r="I927" s="392"/>
      <c r="J927" s="392"/>
      <c r="K927" s="392"/>
      <c r="L927" s="392"/>
      <c r="M927" s="392"/>
      <c r="N927" s="392"/>
      <c r="O927" s="392"/>
      <c r="P927" s="392"/>
      <c r="Q927" s="392"/>
      <c r="R927" s="392"/>
    </row>
    <row r="928" spans="1:18" ht="15.75" customHeight="1" x14ac:dyDescent="0.3">
      <c r="A928" s="1"/>
      <c r="B928" s="1"/>
      <c r="C928" s="1"/>
      <c r="D928" s="7"/>
      <c r="E928" s="7"/>
      <c r="F928" s="7"/>
      <c r="G928" s="8"/>
      <c r="H928" s="7"/>
      <c r="I928" s="7"/>
      <c r="J928" s="8"/>
      <c r="K928" s="8"/>
      <c r="L928" s="8"/>
      <c r="M928" s="8"/>
      <c r="N928" s="1"/>
      <c r="O928" s="8"/>
      <c r="P928" s="8"/>
      <c r="Q928" s="8"/>
      <c r="R928" s="8"/>
    </row>
    <row r="929" spans="1:46" ht="15.75" customHeight="1" x14ac:dyDescent="0.3">
      <c r="A929" s="383" t="str">
        <f>+A8</f>
        <v>Revised:  10/27/2021</v>
      </c>
      <c r="B929" s="383"/>
      <c r="C929" s="383"/>
      <c r="D929" s="383"/>
      <c r="E929" s="383"/>
      <c r="F929" s="383"/>
      <c r="G929" s="383"/>
      <c r="H929" s="383"/>
      <c r="I929" s="383"/>
      <c r="J929" s="383"/>
      <c r="K929" s="383"/>
      <c r="L929" s="383"/>
      <c r="M929" s="383"/>
      <c r="N929" s="383"/>
      <c r="O929" s="383"/>
      <c r="P929" s="383"/>
      <c r="Q929" s="383"/>
      <c r="R929" s="383"/>
    </row>
    <row r="930" spans="1:46" ht="15.75" customHeight="1" x14ac:dyDescent="0.3">
      <c r="A930" s="6"/>
      <c r="B930" s="6"/>
      <c r="C930" s="6"/>
      <c r="D930" s="6"/>
      <c r="E930" s="6"/>
      <c r="F930" s="6"/>
      <c r="G930" s="6"/>
      <c r="H930" s="6"/>
      <c r="I930" s="6"/>
      <c r="J930" s="6"/>
      <c r="K930" s="6"/>
      <c r="L930" s="6"/>
      <c r="M930" s="6"/>
      <c r="N930" s="6"/>
      <c r="O930" s="6"/>
      <c r="P930" s="6"/>
      <c r="Q930" s="6"/>
      <c r="R930" s="6"/>
    </row>
    <row r="931" spans="1:46" ht="15.75" customHeight="1" x14ac:dyDescent="0.3">
      <c r="A931" s="30"/>
      <c r="B931" s="1"/>
      <c r="C931" s="1"/>
      <c r="D931" s="1"/>
      <c r="E931" s="1"/>
      <c r="F931" s="1"/>
      <c r="G931" s="1"/>
      <c r="H931" s="1"/>
      <c r="I931" s="1"/>
      <c r="J931" s="1"/>
      <c r="K931" s="1"/>
      <c r="L931" s="1"/>
      <c r="M931" s="1"/>
      <c r="N931" s="1"/>
      <c r="O931" s="1"/>
      <c r="P931" s="1"/>
      <c r="Q931" s="1"/>
      <c r="R931" s="28"/>
    </row>
    <row r="932" spans="1:46" ht="15.75" customHeight="1" thickBot="1" x14ac:dyDescent="0.35">
      <c r="A932" s="1"/>
      <c r="B932" s="1"/>
      <c r="C932" s="1"/>
      <c r="D932" s="1"/>
      <c r="E932" s="1"/>
      <c r="F932" s="1"/>
      <c r="G932" s="1"/>
      <c r="H932" s="1"/>
      <c r="I932" s="1"/>
      <c r="J932" s="1"/>
      <c r="K932" s="1"/>
      <c r="L932" s="1"/>
      <c r="M932" s="1"/>
      <c r="N932" s="1"/>
      <c r="O932" s="166"/>
      <c r="P932" s="1"/>
      <c r="Q932" s="1"/>
      <c r="R932" s="28"/>
    </row>
    <row r="933" spans="1:46" ht="15.75" customHeight="1" thickBot="1" x14ac:dyDescent="0.35">
      <c r="A933" s="342" t="s">
        <v>630</v>
      </c>
      <c r="B933" s="330" t="s">
        <v>36</v>
      </c>
      <c r="C933" s="331" t="s">
        <v>9</v>
      </c>
      <c r="D933" s="331" t="s">
        <v>10</v>
      </c>
      <c r="E933" s="325" t="s">
        <v>11</v>
      </c>
      <c r="F933" s="331" t="s">
        <v>12</v>
      </c>
      <c r="G933" s="331" t="s">
        <v>13</v>
      </c>
      <c r="H933" s="331" t="s">
        <v>14</v>
      </c>
      <c r="I933" s="325" t="s">
        <v>15</v>
      </c>
      <c r="J933" s="331" t="s">
        <v>16</v>
      </c>
      <c r="K933" s="331" t="s">
        <v>17</v>
      </c>
      <c r="L933" s="331" t="s">
        <v>18</v>
      </c>
      <c r="M933" s="325" t="s">
        <v>19</v>
      </c>
      <c r="N933" s="331" t="s">
        <v>20</v>
      </c>
      <c r="O933" s="331" t="s">
        <v>21</v>
      </c>
      <c r="P933" s="331" t="s">
        <v>22</v>
      </c>
      <c r="Q933" s="325" t="s">
        <v>23</v>
      </c>
      <c r="R933" s="348" t="s">
        <v>24</v>
      </c>
    </row>
    <row r="934" spans="1:46" ht="16.5" customHeight="1" thickBot="1" x14ac:dyDescent="0.35">
      <c r="A934" s="168"/>
      <c r="B934" s="169"/>
      <c r="C934" s="169"/>
      <c r="D934" s="169"/>
      <c r="E934" s="16"/>
      <c r="F934" s="169"/>
      <c r="G934" s="169"/>
      <c r="H934" s="169"/>
      <c r="I934" s="38"/>
      <c r="J934" s="169"/>
      <c r="K934" s="169"/>
      <c r="L934" s="169"/>
      <c r="M934" s="38"/>
      <c r="N934" s="169"/>
      <c r="O934" s="169"/>
      <c r="P934" s="169"/>
      <c r="Q934" s="151"/>
      <c r="R934" s="349"/>
    </row>
    <row r="935" spans="1:46" ht="16.5" customHeight="1" thickBot="1" x14ac:dyDescent="0.35">
      <c r="A935" s="171" t="s">
        <v>26</v>
      </c>
      <c r="B935" s="172">
        <f>+B901</f>
        <v>28742</v>
      </c>
      <c r="C935" s="172">
        <f>+C901</f>
        <v>31230</v>
      </c>
      <c r="D935" s="172">
        <f>+D901</f>
        <v>42510</v>
      </c>
      <c r="E935" s="100">
        <f>+SUM(B935:D935)</f>
        <v>102482</v>
      </c>
      <c r="F935" s="172">
        <f>+F901</f>
        <v>53597</v>
      </c>
      <c r="G935" s="172">
        <f>+G901</f>
        <v>58162</v>
      </c>
      <c r="H935" s="172">
        <f>+H901</f>
        <v>72239</v>
      </c>
      <c r="I935" s="100">
        <f>+SUM(F935:H935)</f>
        <v>183998</v>
      </c>
      <c r="J935" s="172">
        <f>+J901</f>
        <v>73423</v>
      </c>
      <c r="K935" s="172">
        <f>+K901</f>
        <v>67824</v>
      </c>
      <c r="L935" s="172">
        <f>+L901</f>
        <v>55918</v>
      </c>
      <c r="M935" s="100">
        <f>+SUM(J935:L935)</f>
        <v>197165</v>
      </c>
      <c r="N935" s="172">
        <f>+N901</f>
        <v>45768</v>
      </c>
      <c r="O935" s="172">
        <f>+O901</f>
        <v>29839</v>
      </c>
      <c r="P935" s="172">
        <f>+P901</f>
        <v>37898</v>
      </c>
      <c r="Q935" s="100">
        <f>+SUM(N935:P935)</f>
        <v>113505</v>
      </c>
      <c r="R935" s="64">
        <f>+E935+I935+M935+Q935</f>
        <v>597150</v>
      </c>
    </row>
    <row r="936" spans="1:46" ht="16.5" customHeight="1" thickBot="1" x14ac:dyDescent="0.35">
      <c r="A936" s="34"/>
      <c r="B936" s="100"/>
      <c r="C936" s="100"/>
      <c r="D936" s="100"/>
      <c r="E936" s="100"/>
      <c r="F936" s="100"/>
      <c r="G936" s="100"/>
      <c r="H936" s="100"/>
      <c r="I936" s="100"/>
      <c r="J936" s="100"/>
      <c r="K936" s="100"/>
      <c r="L936" s="100"/>
      <c r="M936" s="100"/>
      <c r="N936" s="100"/>
      <c r="O936" s="100"/>
      <c r="P936" s="100"/>
      <c r="Q936" s="100"/>
      <c r="R936" s="64"/>
    </row>
    <row r="937" spans="1:46" ht="16.5" customHeight="1" thickBot="1" x14ac:dyDescent="0.35">
      <c r="A937" s="171" t="s">
        <v>631</v>
      </c>
      <c r="B937" s="172">
        <f>+B906</f>
        <v>3486</v>
      </c>
      <c r="C937" s="172">
        <f>+C906</f>
        <v>10005</v>
      </c>
      <c r="D937" s="172">
        <f>+D906</f>
        <v>15380</v>
      </c>
      <c r="E937" s="100">
        <f>+SUM(B937:D937)</f>
        <v>28871</v>
      </c>
      <c r="F937" s="172">
        <f>+F906</f>
        <v>45425</v>
      </c>
      <c r="G937" s="172">
        <f>+G906</f>
        <v>45486</v>
      </c>
      <c r="H937" s="172">
        <f>+H906</f>
        <v>54573</v>
      </c>
      <c r="I937" s="100">
        <f>+SUM(F937:H937)</f>
        <v>145484</v>
      </c>
      <c r="J937" s="172">
        <f>+J906</f>
        <v>19932</v>
      </c>
      <c r="K937" s="172">
        <f>+K906</f>
        <v>17163</v>
      </c>
      <c r="L937" s="172">
        <f>+L906</f>
        <v>15572</v>
      </c>
      <c r="M937" s="100">
        <f>+SUM(J937:L937)</f>
        <v>52667</v>
      </c>
      <c r="N937" s="172">
        <f>+N906</f>
        <v>4407</v>
      </c>
      <c r="O937" s="172">
        <f>+O906</f>
        <v>5598</v>
      </c>
      <c r="P937" s="172">
        <f>+P906</f>
        <v>9056</v>
      </c>
      <c r="Q937" s="100">
        <f>+SUM(N937:P937)</f>
        <v>19061</v>
      </c>
      <c r="R937" s="64">
        <f>+E937+I937+M937+Q937</f>
        <v>246083</v>
      </c>
    </row>
    <row r="938" spans="1:46" ht="16.5" customHeight="1" thickBot="1" x14ac:dyDescent="0.35">
      <c r="A938" s="34"/>
      <c r="B938" s="100"/>
      <c r="C938" s="100"/>
      <c r="D938" s="100"/>
      <c r="E938" s="100"/>
      <c r="F938" s="100"/>
      <c r="G938" s="100"/>
      <c r="H938" s="100"/>
      <c r="I938" s="100"/>
      <c r="J938" s="100"/>
      <c r="K938" s="100"/>
      <c r="L938" s="100"/>
      <c r="M938" s="100"/>
      <c r="N938" s="100"/>
      <c r="O938" s="100"/>
      <c r="P938" s="100"/>
      <c r="Q938" s="100"/>
      <c r="R938" s="64"/>
      <c r="AC938" s="180"/>
      <c r="AD938" s="180"/>
      <c r="AE938" s="199"/>
      <c r="AF938" s="180"/>
      <c r="AG938" s="180"/>
      <c r="AH938" s="180"/>
      <c r="AI938" s="180"/>
      <c r="AJ938" s="180"/>
      <c r="AK938" s="180"/>
      <c r="AL938" s="180"/>
      <c r="AM938" s="180"/>
      <c r="AN938" s="202"/>
      <c r="AO938" s="180"/>
      <c r="AP938" s="180"/>
      <c r="AQ938" s="180"/>
      <c r="AR938" s="180"/>
      <c r="AS938" s="378"/>
      <c r="AT938" s="379"/>
    </row>
    <row r="939" spans="1:46" ht="16.5" customHeight="1" thickBot="1" x14ac:dyDescent="0.35">
      <c r="A939" s="171" t="s">
        <v>28</v>
      </c>
      <c r="B939" s="172">
        <f>+B910</f>
        <v>16629</v>
      </c>
      <c r="C939" s="172">
        <f>+C910</f>
        <v>31326</v>
      </c>
      <c r="D939" s="172">
        <f>+D910</f>
        <v>48412</v>
      </c>
      <c r="E939" s="100">
        <f>+SUM(B939:D939)</f>
        <v>96367</v>
      </c>
      <c r="F939" s="172">
        <f>+F910</f>
        <v>52981</v>
      </c>
      <c r="G939" s="172">
        <f>+G910</f>
        <v>69867</v>
      </c>
      <c r="H939" s="172">
        <f>+H910</f>
        <v>67961</v>
      </c>
      <c r="I939" s="100">
        <f>+SUM(F939:H939)</f>
        <v>190809</v>
      </c>
      <c r="J939" s="172">
        <f>+J910</f>
        <v>44661</v>
      </c>
      <c r="K939" s="172">
        <f>+K910</f>
        <v>36014</v>
      </c>
      <c r="L939" s="172">
        <f>+L910</f>
        <v>38351</v>
      </c>
      <c r="M939" s="100">
        <f>+SUM(J939:L939)</f>
        <v>119026</v>
      </c>
      <c r="N939" s="172">
        <f>+N910</f>
        <v>30224</v>
      </c>
      <c r="O939" s="172">
        <f>+O910</f>
        <v>19242</v>
      </c>
      <c r="P939" s="172">
        <f>+P910</f>
        <v>24551</v>
      </c>
      <c r="Q939" s="100">
        <f>+SUM(N939:P939)</f>
        <v>74017</v>
      </c>
      <c r="R939" s="64">
        <f>+E939+I939+M939+Q939</f>
        <v>480219</v>
      </c>
      <c r="AC939" s="180"/>
      <c r="AD939" s="180"/>
      <c r="AE939" s="180"/>
      <c r="AF939" s="180"/>
      <c r="AG939" s="180"/>
      <c r="AH939" s="180"/>
      <c r="AI939" s="180"/>
      <c r="AJ939" s="180"/>
      <c r="AK939" s="180"/>
      <c r="AL939" s="180"/>
      <c r="AM939" s="180"/>
      <c r="AN939" s="180"/>
      <c r="AO939" s="180"/>
      <c r="AP939" s="180"/>
      <c r="AQ939" s="180"/>
      <c r="AR939" s="180"/>
      <c r="AS939" s="180"/>
      <c r="AT939" s="180"/>
    </row>
    <row r="940" spans="1:46" ht="16.5" customHeight="1" thickBot="1" x14ac:dyDescent="0.35">
      <c r="A940" s="34"/>
      <c r="B940" s="100"/>
      <c r="C940" s="100"/>
      <c r="D940" s="100"/>
      <c r="E940" s="100"/>
      <c r="F940" s="100"/>
      <c r="G940" s="100"/>
      <c r="H940" s="100"/>
      <c r="I940" s="100"/>
      <c r="J940" s="100"/>
      <c r="K940" s="100"/>
      <c r="L940" s="100"/>
      <c r="M940" s="100"/>
      <c r="N940" s="100"/>
      <c r="O940" s="100"/>
      <c r="P940" s="100"/>
      <c r="Q940" s="100"/>
      <c r="R940" s="64"/>
      <c r="AC940" s="180"/>
      <c r="AD940" s="180"/>
      <c r="AE940" s="180"/>
      <c r="AF940" s="180"/>
      <c r="AG940" s="180"/>
      <c r="AH940" s="180"/>
      <c r="AI940" s="180"/>
      <c r="AJ940" s="180"/>
      <c r="AK940" s="180"/>
      <c r="AL940" s="180"/>
      <c r="AM940" s="180"/>
      <c r="AN940" s="180"/>
      <c r="AO940" s="180"/>
      <c r="AP940" s="180"/>
      <c r="AQ940" s="180"/>
      <c r="AR940" s="180"/>
      <c r="AS940" s="180"/>
      <c r="AT940" s="180"/>
    </row>
    <row r="941" spans="1:46" ht="16.5" customHeight="1" thickBot="1" x14ac:dyDescent="0.35">
      <c r="A941" s="171" t="s">
        <v>634</v>
      </c>
      <c r="B941" s="172">
        <f>+B919</f>
        <v>0</v>
      </c>
      <c r="C941" s="172">
        <f>+C919</f>
        <v>0</v>
      </c>
      <c r="D941" s="172">
        <f>+D919</f>
        <v>0</v>
      </c>
      <c r="E941" s="100">
        <f>+SUM(B941:D941)</f>
        <v>0</v>
      </c>
      <c r="F941" s="172">
        <f>+F919</f>
        <v>0</v>
      </c>
      <c r="G941" s="172">
        <f>+G919</f>
        <v>0</v>
      </c>
      <c r="H941" s="172">
        <f>+H919</f>
        <v>0</v>
      </c>
      <c r="I941" s="100">
        <f>+SUM(F941:H941)</f>
        <v>0</v>
      </c>
      <c r="J941" s="172">
        <f>+J919</f>
        <v>0</v>
      </c>
      <c r="K941" s="172">
        <f>+K919</f>
        <v>0</v>
      </c>
      <c r="L941" s="172">
        <f>+L919</f>
        <v>0</v>
      </c>
      <c r="M941" s="100">
        <f>+SUM(J941:L941)</f>
        <v>0</v>
      </c>
      <c r="N941" s="172">
        <f>+N919</f>
        <v>0</v>
      </c>
      <c r="O941" s="172">
        <f>+O919</f>
        <v>0</v>
      </c>
      <c r="P941" s="172">
        <f>+P919</f>
        <v>0</v>
      </c>
      <c r="Q941" s="100">
        <f>+SUM(N941:P941)</f>
        <v>0</v>
      </c>
      <c r="R941" s="64">
        <f>+E941+I941+M941+Q941</f>
        <v>0</v>
      </c>
      <c r="AC941" s="180"/>
      <c r="AD941" s="180"/>
      <c r="AE941" s="180"/>
      <c r="AF941" s="180"/>
      <c r="AG941" s="180"/>
      <c r="AH941" s="180"/>
      <c r="AI941" s="182"/>
      <c r="AJ941" s="180"/>
      <c r="AK941" s="180"/>
      <c r="AL941" s="180"/>
      <c r="AM941" s="180"/>
      <c r="AN941" s="180"/>
      <c r="AO941" s="180"/>
      <c r="AP941" s="180"/>
      <c r="AQ941" s="180"/>
      <c r="AR941" s="180"/>
      <c r="AS941" s="180"/>
      <c r="AT941" s="180"/>
    </row>
    <row r="942" spans="1:46" ht="16.5" customHeight="1" thickBot="1" x14ac:dyDescent="0.35">
      <c r="A942" s="34"/>
      <c r="B942" s="100"/>
      <c r="C942" s="100"/>
      <c r="D942" s="100"/>
      <c r="E942" s="100"/>
      <c r="F942" s="100"/>
      <c r="G942" s="100"/>
      <c r="H942" s="100"/>
      <c r="I942" s="100"/>
      <c r="J942" s="100"/>
      <c r="K942" s="100"/>
      <c r="L942" s="100"/>
      <c r="M942" s="100"/>
      <c r="N942" s="100"/>
      <c r="O942" s="100"/>
      <c r="P942" s="100"/>
      <c r="Q942" s="100"/>
      <c r="R942" s="64"/>
      <c r="AC942" s="180"/>
      <c r="AD942" s="180"/>
      <c r="AE942" s="180"/>
      <c r="AF942" s="182"/>
      <c r="AG942" s="182"/>
      <c r="AH942" s="182"/>
      <c r="AI942" s="182"/>
      <c r="AJ942" s="182"/>
      <c r="AK942" s="182"/>
      <c r="AL942" s="182"/>
      <c r="AM942" s="180"/>
      <c r="AN942" s="182"/>
      <c r="AO942" s="182"/>
      <c r="AP942" s="182"/>
      <c r="AQ942" s="180"/>
      <c r="AR942" s="180"/>
      <c r="AS942" s="180"/>
      <c r="AT942" s="180"/>
    </row>
    <row r="943" spans="1:46" ht="16.5" customHeight="1" thickBot="1" x14ac:dyDescent="0.4">
      <c r="A943" s="34" t="s">
        <v>643</v>
      </c>
      <c r="B943" s="107">
        <f t="shared" ref="B943:Q943" si="307">+SUM(B935:B941)</f>
        <v>48857</v>
      </c>
      <c r="C943" s="107">
        <f t="shared" si="307"/>
        <v>72561</v>
      </c>
      <c r="D943" s="107">
        <f t="shared" si="307"/>
        <v>106302</v>
      </c>
      <c r="E943" s="107">
        <f t="shared" si="307"/>
        <v>227720</v>
      </c>
      <c r="F943" s="107">
        <f t="shared" si="307"/>
        <v>152003</v>
      </c>
      <c r="G943" s="107">
        <f t="shared" si="307"/>
        <v>173515</v>
      </c>
      <c r="H943" s="107">
        <f t="shared" si="307"/>
        <v>194773</v>
      </c>
      <c r="I943" s="107">
        <f t="shared" si="307"/>
        <v>520291</v>
      </c>
      <c r="J943" s="107">
        <f t="shared" si="307"/>
        <v>138016</v>
      </c>
      <c r="K943" s="107">
        <f t="shared" si="307"/>
        <v>121001</v>
      </c>
      <c r="L943" s="107">
        <f t="shared" si="307"/>
        <v>109841</v>
      </c>
      <c r="M943" s="107">
        <f t="shared" si="307"/>
        <v>368858</v>
      </c>
      <c r="N943" s="107">
        <f t="shared" si="307"/>
        <v>80399</v>
      </c>
      <c r="O943" s="107">
        <f t="shared" si="307"/>
        <v>54679</v>
      </c>
      <c r="P943" s="107">
        <f t="shared" si="307"/>
        <v>71505</v>
      </c>
      <c r="Q943" s="107">
        <f t="shared" si="307"/>
        <v>206583</v>
      </c>
      <c r="R943" s="183">
        <f>+SUM(R935:R941)</f>
        <v>1323452</v>
      </c>
      <c r="AC943" s="180"/>
      <c r="AD943" s="182"/>
      <c r="AE943" s="182"/>
      <c r="AF943" s="182"/>
      <c r="AG943" s="182"/>
      <c r="AH943" s="182"/>
      <c r="AI943" s="184"/>
      <c r="AJ943" s="182"/>
      <c r="AK943" s="182"/>
      <c r="AL943" s="182"/>
      <c r="AM943" s="180"/>
      <c r="AN943" s="182"/>
      <c r="AO943" s="182"/>
      <c r="AP943" s="182"/>
      <c r="AQ943" s="180"/>
      <c r="AR943" s="180"/>
      <c r="AS943" s="180"/>
      <c r="AT943" s="180"/>
    </row>
    <row r="944" spans="1:46" ht="15.75" customHeight="1" x14ac:dyDescent="0.35">
      <c r="A944" s="185"/>
      <c r="B944" s="186"/>
      <c r="C944" s="186"/>
      <c r="D944" s="186"/>
      <c r="E944" s="186"/>
      <c r="F944" s="186"/>
      <c r="G944" s="186"/>
      <c r="H944" s="187" t="s">
        <v>654</v>
      </c>
      <c r="I944" s="186"/>
      <c r="J944" s="186"/>
      <c r="K944" s="186"/>
      <c r="L944" s="186"/>
      <c r="M944" s="186"/>
      <c r="N944" s="186"/>
      <c r="O944" s="186"/>
      <c r="P944" s="186"/>
      <c r="Q944" s="186"/>
      <c r="R944" s="186"/>
      <c r="AC944" s="180"/>
      <c r="AD944" s="182"/>
      <c r="AE944" s="182"/>
      <c r="AF944" s="182"/>
      <c r="AG944" s="182"/>
      <c r="AH944" s="182"/>
      <c r="AI944" s="182"/>
      <c r="AJ944" s="182"/>
      <c r="AK944" s="182"/>
      <c r="AL944" s="182"/>
      <c r="AM944" s="180"/>
      <c r="AN944" s="182"/>
      <c r="AO944" s="182"/>
      <c r="AP944" s="182"/>
      <c r="AQ944" s="180"/>
      <c r="AR944" s="180"/>
      <c r="AS944" s="180"/>
      <c r="AT944" s="180"/>
    </row>
    <row r="945" spans="1:46" ht="15.75" customHeight="1" x14ac:dyDescent="0.35">
      <c r="A945" s="185"/>
      <c r="B945" s="186"/>
      <c r="C945" s="186"/>
      <c r="D945" s="186"/>
      <c r="E945" s="186"/>
      <c r="F945" s="186"/>
      <c r="G945" s="186"/>
      <c r="H945" s="186"/>
      <c r="I945" s="186"/>
      <c r="J945" s="186"/>
      <c r="K945" s="186"/>
      <c r="L945" s="186"/>
      <c r="M945" s="186"/>
      <c r="N945" s="186"/>
      <c r="O945" s="186"/>
      <c r="P945" s="186"/>
      <c r="Q945" s="186"/>
      <c r="R945" s="186"/>
      <c r="AC945" s="180"/>
      <c r="AD945" s="182"/>
      <c r="AE945" s="182"/>
      <c r="AF945" s="182"/>
      <c r="AG945" s="182"/>
      <c r="AH945" s="182"/>
      <c r="AI945" s="182"/>
      <c r="AJ945" s="182"/>
      <c r="AK945" s="182"/>
      <c r="AL945" s="182"/>
      <c r="AM945" s="180"/>
      <c r="AN945" s="182"/>
      <c r="AO945" s="182"/>
      <c r="AP945" s="182"/>
      <c r="AQ945" s="180"/>
      <c r="AR945" s="180"/>
      <c r="AS945" s="180"/>
      <c r="AT945" s="180"/>
    </row>
    <row r="946" spans="1:46" ht="15.75" customHeight="1" thickBot="1" x14ac:dyDescent="0.4">
      <c r="A946" s="185"/>
      <c r="B946" s="186"/>
      <c r="C946" s="186"/>
      <c r="D946" s="186"/>
      <c r="E946" s="186"/>
      <c r="F946" s="186"/>
      <c r="G946" s="186"/>
      <c r="H946" s="187"/>
      <c r="I946" s="186"/>
      <c r="J946" s="186"/>
      <c r="K946" s="186"/>
      <c r="L946" s="186"/>
      <c r="M946" s="186"/>
      <c r="N946" s="186"/>
      <c r="O946" s="186"/>
      <c r="P946" s="186"/>
      <c r="Q946" s="186"/>
      <c r="R946" s="186"/>
      <c r="AC946" s="180"/>
      <c r="AD946" s="180"/>
      <c r="AE946" s="180"/>
      <c r="AF946" s="180"/>
      <c r="AG946" s="180"/>
      <c r="AH946" s="180"/>
      <c r="AI946" s="180"/>
      <c r="AJ946" s="180"/>
      <c r="AK946" s="180"/>
      <c r="AL946" s="180"/>
      <c r="AM946" s="180"/>
      <c r="AN946" s="180"/>
      <c r="AO946" s="180"/>
      <c r="AP946" s="180"/>
      <c r="AQ946" s="180"/>
      <c r="AR946" s="180"/>
      <c r="AS946" s="180"/>
      <c r="AT946" s="180"/>
    </row>
    <row r="947" spans="1:46" ht="15.75" customHeight="1" x14ac:dyDescent="0.3">
      <c r="A947" s="356"/>
      <c r="B947" s="423" t="s">
        <v>667</v>
      </c>
      <c r="C947" s="423"/>
      <c r="D947" s="423"/>
      <c r="E947" s="423"/>
      <c r="F947" s="423"/>
      <c r="G947" s="423"/>
      <c r="H947" s="423"/>
      <c r="I947" s="423"/>
      <c r="J947" s="423"/>
      <c r="K947" s="423"/>
      <c r="L947" s="423"/>
      <c r="M947" s="423"/>
      <c r="N947" s="423"/>
      <c r="O947" s="423"/>
      <c r="P947" s="423"/>
      <c r="Q947" s="354" t="str">
        <f>+Q1</f>
        <v xml:space="preserve">PRINTED:  </v>
      </c>
      <c r="R947" s="355">
        <f ca="1">+R1</f>
        <v>44894.658168402777</v>
      </c>
      <c r="AC947" s="182"/>
      <c r="AD947" s="180"/>
      <c r="AE947" s="180"/>
      <c r="AF947" s="180"/>
      <c r="AG947" s="180"/>
      <c r="AH947" s="180"/>
      <c r="AI947" s="180"/>
      <c r="AJ947" s="180"/>
      <c r="AK947" s="180"/>
      <c r="AL947" s="180"/>
      <c r="AM947" s="180"/>
      <c r="AN947" s="180"/>
      <c r="AO947" s="180"/>
      <c r="AP947" s="180"/>
      <c r="AQ947" s="180"/>
      <c r="AR947" s="180"/>
      <c r="AS947" s="180"/>
      <c r="AT947" s="180"/>
    </row>
    <row r="948" spans="1:46" ht="15.75" customHeight="1" x14ac:dyDescent="0.3">
      <c r="A948" s="189"/>
      <c r="B948" s="394" t="str">
        <f>+A8</f>
        <v>Revised:  10/27/2021</v>
      </c>
      <c r="C948" s="394"/>
      <c r="D948" s="394"/>
      <c r="E948" s="394"/>
      <c r="F948" s="394"/>
      <c r="G948" s="394"/>
      <c r="H948" s="394"/>
      <c r="I948" s="394"/>
      <c r="J948" s="394"/>
      <c r="K948" s="394"/>
      <c r="L948" s="394"/>
      <c r="M948" s="394"/>
      <c r="N948" s="394"/>
      <c r="O948" s="394"/>
      <c r="P948" s="394"/>
      <c r="Q948" s="180"/>
      <c r="R948" s="181"/>
      <c r="AC948" s="182"/>
      <c r="AD948" s="180"/>
      <c r="AE948" s="180"/>
      <c r="AF948" s="180"/>
      <c r="AG948" s="180"/>
      <c r="AH948" s="180"/>
      <c r="AI948" s="180"/>
      <c r="AJ948" s="180"/>
      <c r="AK948" s="180"/>
      <c r="AL948" s="180"/>
      <c r="AM948" s="180"/>
      <c r="AN948" s="180"/>
      <c r="AO948" s="180"/>
      <c r="AP948" s="180"/>
      <c r="AQ948" s="180"/>
      <c r="AR948" s="180"/>
      <c r="AS948" s="180"/>
      <c r="AT948" s="180"/>
    </row>
    <row r="949" spans="1:46" ht="15.75" customHeight="1" x14ac:dyDescent="0.3">
      <c r="A949" s="189"/>
      <c r="B949" s="394" t="s">
        <v>670</v>
      </c>
      <c r="C949" s="394"/>
      <c r="D949" s="394"/>
      <c r="E949" s="394"/>
      <c r="F949" s="394"/>
      <c r="G949" s="394"/>
      <c r="H949" s="394"/>
      <c r="I949" s="394"/>
      <c r="J949" s="394"/>
      <c r="K949" s="394"/>
      <c r="L949" s="394"/>
      <c r="M949" s="394"/>
      <c r="N949" s="394"/>
      <c r="O949" s="394"/>
      <c r="P949" s="394"/>
      <c r="Q949" s="180"/>
      <c r="R949" s="181"/>
      <c r="AC949" s="182"/>
      <c r="AD949" s="180"/>
      <c r="AE949" s="180"/>
      <c r="AF949" s="180"/>
      <c r="AG949" s="180"/>
      <c r="AH949" s="180"/>
      <c r="AI949" s="180"/>
      <c r="AJ949" s="180"/>
      <c r="AK949" s="180"/>
      <c r="AL949" s="180"/>
      <c r="AM949" s="180"/>
      <c r="AN949" s="180"/>
      <c r="AO949" s="180"/>
      <c r="AP949" s="180"/>
      <c r="AQ949" s="180"/>
      <c r="AR949" s="180"/>
      <c r="AS949" s="180"/>
      <c r="AT949" s="180"/>
    </row>
    <row r="950" spans="1:46" ht="15.75" customHeight="1" x14ac:dyDescent="0.3">
      <c r="A950" s="189"/>
      <c r="B950" s="394"/>
      <c r="C950" s="394"/>
      <c r="D950" s="394"/>
      <c r="E950" s="394"/>
      <c r="F950" s="394"/>
      <c r="G950" s="394"/>
      <c r="H950" s="394"/>
      <c r="I950" s="394"/>
      <c r="J950" s="394"/>
      <c r="K950" s="394"/>
      <c r="L950" s="394"/>
      <c r="M950" s="394"/>
      <c r="N950" s="394"/>
      <c r="O950" s="394"/>
      <c r="P950" s="394"/>
      <c r="Q950" s="180"/>
      <c r="R950" s="181"/>
      <c r="AC950" s="182"/>
      <c r="AD950" s="180"/>
      <c r="AE950" s="180"/>
      <c r="AF950" s="180"/>
      <c r="AG950" s="180"/>
      <c r="AH950" s="180"/>
      <c r="AI950" s="180"/>
      <c r="AJ950" s="180"/>
      <c r="AK950" s="180"/>
      <c r="AL950" s="180"/>
      <c r="AM950" s="180"/>
      <c r="AN950" s="180"/>
      <c r="AO950" s="180"/>
      <c r="AP950" s="180"/>
      <c r="AQ950" s="180"/>
      <c r="AR950" s="180"/>
      <c r="AS950" s="180"/>
      <c r="AT950" s="180"/>
    </row>
    <row r="951" spans="1:46" ht="15.75" customHeight="1" x14ac:dyDescent="0.3">
      <c r="A951" s="189"/>
      <c r="B951" s="395">
        <f>+A5</f>
        <v>2021</v>
      </c>
      <c r="C951" s="395"/>
      <c r="D951" s="395"/>
      <c r="E951" s="395"/>
      <c r="F951" s="395"/>
      <c r="G951" s="395"/>
      <c r="H951" s="395"/>
      <c r="I951" s="395"/>
      <c r="J951" s="395"/>
      <c r="K951" s="395"/>
      <c r="L951" s="395"/>
      <c r="M951" s="395"/>
      <c r="N951" s="395"/>
      <c r="O951" s="395"/>
      <c r="P951" s="395"/>
      <c r="Q951" s="180"/>
      <c r="R951" s="181"/>
      <c r="AC951" s="182"/>
      <c r="AD951" s="180"/>
      <c r="AE951" s="180"/>
      <c r="AF951" s="180"/>
      <c r="AG951" s="180"/>
      <c r="AH951" s="180"/>
      <c r="AI951" s="180"/>
      <c r="AJ951" s="180"/>
      <c r="AK951" s="180"/>
      <c r="AL951" s="180"/>
      <c r="AM951" s="180"/>
      <c r="AN951" s="180"/>
      <c r="AO951" s="180"/>
      <c r="AP951" s="180"/>
      <c r="AQ951" s="180"/>
      <c r="AR951" s="180"/>
      <c r="AS951" s="180"/>
      <c r="AT951" s="180"/>
    </row>
    <row r="952" spans="1:46" ht="15.75" customHeight="1" thickBot="1" x14ac:dyDescent="0.35">
      <c r="A952" s="189"/>
      <c r="B952" s="394" t="s">
        <v>674</v>
      </c>
      <c r="C952" s="394"/>
      <c r="D952" s="394"/>
      <c r="E952" s="394"/>
      <c r="F952" s="394"/>
      <c r="G952" s="394"/>
      <c r="H952" s="394"/>
      <c r="I952" s="394"/>
      <c r="J952" s="394"/>
      <c r="K952" s="394"/>
      <c r="L952" s="394"/>
      <c r="M952" s="394"/>
      <c r="N952" s="394"/>
      <c r="O952" s="394"/>
      <c r="P952" s="394"/>
      <c r="Q952" s="180"/>
      <c r="R952" s="181"/>
      <c r="AC952" s="182"/>
      <c r="AD952" s="180"/>
      <c r="AE952" s="180"/>
      <c r="AF952" s="180"/>
      <c r="AG952" s="180"/>
      <c r="AH952" s="180"/>
      <c r="AI952" s="180"/>
      <c r="AJ952" s="180"/>
      <c r="AK952" s="180"/>
      <c r="AL952" s="180"/>
      <c r="AM952" s="180"/>
      <c r="AN952" s="180"/>
      <c r="AO952" s="180"/>
      <c r="AP952" s="180"/>
      <c r="AQ952" s="180"/>
      <c r="AR952" s="180"/>
      <c r="AS952" s="180"/>
      <c r="AT952" s="180"/>
    </row>
    <row r="953" spans="1:46" ht="15.75" customHeight="1" x14ac:dyDescent="0.3">
      <c r="A953" s="189"/>
      <c r="B953" s="180"/>
      <c r="C953" s="180"/>
      <c r="D953" s="180"/>
      <c r="E953" s="180"/>
      <c r="F953" s="180"/>
      <c r="G953" s="180"/>
      <c r="H953" s="180"/>
      <c r="I953" s="180"/>
      <c r="J953" s="180"/>
      <c r="K953" s="180"/>
      <c r="L953" s="180"/>
      <c r="M953" s="180"/>
      <c r="N953" s="180"/>
      <c r="O953" s="180"/>
      <c r="P953" s="180"/>
      <c r="Q953" s="180"/>
      <c r="R953" s="181"/>
      <c r="T953" s="450" t="s">
        <v>690</v>
      </c>
      <c r="U953" s="451"/>
      <c r="AC953" s="182"/>
      <c r="AD953" s="180"/>
      <c r="AE953" s="180"/>
      <c r="AF953" s="180"/>
      <c r="AG953" s="180"/>
      <c r="AH953" s="180"/>
      <c r="AI953" s="180"/>
      <c r="AJ953" s="180"/>
      <c r="AK953" s="180"/>
      <c r="AL953" s="180"/>
      <c r="AM953" s="180"/>
      <c r="AN953" s="180"/>
      <c r="AO953" s="180"/>
      <c r="AP953" s="180"/>
      <c r="AQ953" s="180"/>
      <c r="AR953" s="180"/>
      <c r="AS953" s="180"/>
      <c r="AT953" s="180"/>
    </row>
    <row r="954" spans="1:46" ht="15.75" customHeight="1" thickBot="1" x14ac:dyDescent="0.35">
      <c r="A954" s="189" t="s">
        <v>647</v>
      </c>
      <c r="B954" s="191" t="s">
        <v>677</v>
      </c>
      <c r="C954" s="191" t="s">
        <v>678</v>
      </c>
      <c r="D954" s="191" t="s">
        <v>679</v>
      </c>
      <c r="E954" s="191" t="s">
        <v>680</v>
      </c>
      <c r="F954" s="191" t="s">
        <v>644</v>
      </c>
      <c r="G954" s="191" t="s">
        <v>644</v>
      </c>
      <c r="H954" s="191" t="s">
        <v>681</v>
      </c>
      <c r="I954" s="191" t="s">
        <v>682</v>
      </c>
      <c r="J954" s="191" t="s">
        <v>683</v>
      </c>
      <c r="K954" s="191" t="s">
        <v>684</v>
      </c>
      <c r="L954" s="191" t="s">
        <v>685</v>
      </c>
      <c r="M954" s="191" t="s">
        <v>686</v>
      </c>
      <c r="N954" s="191" t="s">
        <v>687</v>
      </c>
      <c r="O954" s="191" t="s">
        <v>688</v>
      </c>
      <c r="P954" s="191" t="s">
        <v>689</v>
      </c>
      <c r="Q954" s="191" t="s">
        <v>638</v>
      </c>
      <c r="R954" s="181"/>
      <c r="T954" s="452"/>
      <c r="U954" s="453"/>
      <c r="AC954" s="182"/>
      <c r="AD954" s="180"/>
      <c r="AE954" s="180"/>
      <c r="AF954" s="180"/>
      <c r="AG954" s="180"/>
      <c r="AH954" s="180"/>
      <c r="AI954" s="180"/>
      <c r="AJ954" s="180"/>
      <c r="AK954" s="180"/>
      <c r="AL954" s="180"/>
      <c r="AM954" s="180"/>
      <c r="AN954" s="180"/>
      <c r="AO954" s="180"/>
      <c r="AP954" s="180"/>
      <c r="AQ954" s="180"/>
      <c r="AR954" s="180"/>
      <c r="AS954" s="180"/>
      <c r="AT954" s="180"/>
    </row>
    <row r="955" spans="1:46" ht="15.75" customHeight="1" thickBot="1" x14ac:dyDescent="0.35">
      <c r="A955" s="189"/>
      <c r="B955" s="180"/>
      <c r="C955" s="180"/>
      <c r="D955" s="180"/>
      <c r="E955" s="180"/>
      <c r="F955" s="182" t="s">
        <v>127</v>
      </c>
      <c r="G955" s="182" t="s">
        <v>653</v>
      </c>
      <c r="H955" s="180"/>
      <c r="I955" s="180"/>
      <c r="J955" s="180"/>
      <c r="K955" s="180"/>
      <c r="L955" s="180"/>
      <c r="M955" s="180"/>
      <c r="N955" s="180"/>
      <c r="O955" s="180"/>
      <c r="P955" s="180"/>
      <c r="Q955" s="180"/>
      <c r="R955" s="181"/>
      <c r="T955" s="454"/>
      <c r="U955" s="455"/>
      <c r="AC955" s="182"/>
      <c r="AD955" s="180"/>
      <c r="AE955" s="180"/>
      <c r="AF955" s="180"/>
      <c r="AG955" s="180"/>
      <c r="AH955" s="180"/>
      <c r="AI955" s="180"/>
      <c r="AJ955" s="180"/>
      <c r="AK955" s="180"/>
      <c r="AL955" s="180"/>
      <c r="AM955" s="180"/>
      <c r="AN955" s="180"/>
      <c r="AO955" s="180"/>
      <c r="AP955" s="180"/>
      <c r="AQ955" s="180"/>
      <c r="AR955" s="180"/>
      <c r="AS955" s="180"/>
      <c r="AT955" s="180"/>
    </row>
    <row r="956" spans="1:46" ht="15.75" customHeight="1" x14ac:dyDescent="0.3">
      <c r="A956" s="192" t="s">
        <v>8</v>
      </c>
      <c r="B956" s="180">
        <f>+B31</f>
        <v>121163</v>
      </c>
      <c r="C956" s="180">
        <f>+B66</f>
        <v>121066</v>
      </c>
      <c r="D956" s="180">
        <f>+B137</f>
        <v>120970</v>
      </c>
      <c r="E956" s="180">
        <f>+B327</f>
        <v>120329</v>
      </c>
      <c r="F956" s="180">
        <f>+B322</f>
        <v>71569</v>
      </c>
      <c r="G956" s="180">
        <f>+B335</f>
        <v>0</v>
      </c>
      <c r="H956" s="180">
        <f>+B522</f>
        <v>27838</v>
      </c>
      <c r="I956" s="180">
        <f>+B573</f>
        <v>11592</v>
      </c>
      <c r="J956" s="180">
        <f>+B618</f>
        <v>11583</v>
      </c>
      <c r="K956" s="180">
        <f>+B684</f>
        <v>11511</v>
      </c>
      <c r="L956" s="180">
        <f>+B694</f>
        <v>8881</v>
      </c>
      <c r="M956" s="180">
        <f>+B730</f>
        <v>8861</v>
      </c>
      <c r="N956" s="180">
        <f>+B782</f>
        <v>7382</v>
      </c>
      <c r="O956" s="180">
        <f>+B792</f>
        <v>3411</v>
      </c>
      <c r="P956" s="180">
        <f>+B826</f>
        <v>4731</v>
      </c>
      <c r="Q956" s="180">
        <f>+B879</f>
        <v>3409</v>
      </c>
      <c r="R956" s="181"/>
      <c r="T956" s="211" t="s">
        <v>8</v>
      </c>
      <c r="U956" s="380">
        <f>'[2]Lake Pleasant Forecast'!B35</f>
        <v>1690.1998116000643</v>
      </c>
      <c r="AC956" s="182"/>
      <c r="AD956" s="180"/>
      <c r="AE956" s="180"/>
      <c r="AF956" s="180"/>
      <c r="AG956" s="180"/>
      <c r="AH956" s="180"/>
      <c r="AI956" s="180"/>
      <c r="AJ956" s="180"/>
      <c r="AK956" s="180"/>
      <c r="AL956" s="180"/>
      <c r="AM956" s="180"/>
      <c r="AN956" s="180"/>
      <c r="AO956" s="180"/>
      <c r="AP956" s="180"/>
      <c r="AQ956" s="180"/>
      <c r="AR956" s="180"/>
      <c r="AS956" s="180"/>
      <c r="AT956" s="180"/>
    </row>
    <row r="957" spans="1:46" ht="15.75" customHeight="1" x14ac:dyDescent="0.3">
      <c r="A957" s="192" t="s">
        <v>9</v>
      </c>
      <c r="B957" s="180">
        <f>+C31</f>
        <v>110478</v>
      </c>
      <c r="C957" s="180">
        <f>+C66</f>
        <v>110330</v>
      </c>
      <c r="D957" s="180">
        <f>+C137</f>
        <v>110185</v>
      </c>
      <c r="E957" s="180">
        <f>+C327</f>
        <v>109221</v>
      </c>
      <c r="F957" s="180">
        <f>+C322</f>
        <v>35134</v>
      </c>
      <c r="G957" s="180">
        <f>+C335</f>
        <v>0</v>
      </c>
      <c r="H957" s="180">
        <f>+C522</f>
        <v>49073</v>
      </c>
      <c r="I957" s="180">
        <f>+C573</f>
        <v>19397</v>
      </c>
      <c r="J957" s="180">
        <f>+C618</f>
        <v>18736</v>
      </c>
      <c r="K957" s="180">
        <f>+C684</f>
        <v>18131</v>
      </c>
      <c r="L957" s="180">
        <f>+C694</f>
        <v>13492</v>
      </c>
      <c r="M957" s="180">
        <f>+C730</f>
        <v>13470</v>
      </c>
      <c r="N957" s="180">
        <f>+C782</f>
        <v>11500</v>
      </c>
      <c r="O957" s="180">
        <f>+C792</f>
        <v>3385</v>
      </c>
      <c r="P957" s="180">
        <f>+C826</f>
        <v>4711</v>
      </c>
      <c r="Q957" s="180">
        <f>+C879</f>
        <v>3382</v>
      </c>
      <c r="R957" s="181"/>
      <c r="T957" s="211" t="s">
        <v>9</v>
      </c>
      <c r="U957" s="380">
        <f>'[2]Lake Pleasant Forecast'!B37</f>
        <v>1693.66</v>
      </c>
      <c r="AC957" s="182"/>
      <c r="AD957" s="180"/>
      <c r="AE957" s="180"/>
      <c r="AF957" s="180"/>
      <c r="AG957" s="180"/>
      <c r="AH957" s="180"/>
      <c r="AI957" s="180"/>
      <c r="AJ957" s="180"/>
      <c r="AK957" s="180"/>
      <c r="AL957" s="180"/>
      <c r="AM957" s="180"/>
      <c r="AN957" s="180"/>
      <c r="AO957" s="180"/>
      <c r="AP957" s="180"/>
      <c r="AQ957" s="180"/>
      <c r="AR957" s="180"/>
      <c r="AS957" s="180"/>
      <c r="AT957" s="180"/>
    </row>
    <row r="958" spans="1:46" ht="15.75" customHeight="1" x14ac:dyDescent="0.3">
      <c r="A958" s="192" t="s">
        <v>10</v>
      </c>
      <c r="B958" s="180">
        <f>+D31</f>
        <v>148394</v>
      </c>
      <c r="C958" s="180">
        <f>+D66</f>
        <v>148120</v>
      </c>
      <c r="D958" s="180">
        <f>+D137</f>
        <v>147859</v>
      </c>
      <c r="E958" s="180">
        <f>+D327</f>
        <v>144887</v>
      </c>
      <c r="F958" s="180">
        <f>+D322</f>
        <v>33356</v>
      </c>
      <c r="G958" s="180">
        <f>+D335</f>
        <v>-437</v>
      </c>
      <c r="H958" s="180">
        <f>+D522</f>
        <v>70626</v>
      </c>
      <c r="I958" s="180">
        <f>+D573</f>
        <v>31194</v>
      </c>
      <c r="J958" s="180">
        <f>+D618</f>
        <v>27099</v>
      </c>
      <c r="K958" s="180">
        <f>+D684</f>
        <v>25777</v>
      </c>
      <c r="L958" s="180">
        <f>+D694</f>
        <v>20135</v>
      </c>
      <c r="M958" s="180">
        <f>+D730</f>
        <v>20107</v>
      </c>
      <c r="N958" s="180">
        <f>+D782</f>
        <v>19313</v>
      </c>
      <c r="O958" s="180">
        <f>+D792</f>
        <v>4083</v>
      </c>
      <c r="P958" s="180">
        <f>+D826</f>
        <v>5045</v>
      </c>
      <c r="Q958" s="180">
        <f>+D879</f>
        <v>4078</v>
      </c>
      <c r="R958" s="181"/>
      <c r="T958" s="211" t="s">
        <v>10</v>
      </c>
      <c r="U958" s="380">
        <f>'[2]Lake Pleasant Forecast'!B39</f>
        <v>1696.7</v>
      </c>
      <c r="AC958" s="182"/>
      <c r="AD958" s="180"/>
      <c r="AE958" s="180"/>
      <c r="AF958" s="180"/>
      <c r="AG958" s="180"/>
      <c r="AH958" s="180"/>
      <c r="AI958" s="180"/>
      <c r="AJ958" s="180"/>
      <c r="AK958" s="180"/>
      <c r="AL958" s="180"/>
      <c r="AM958" s="180"/>
      <c r="AN958" s="180"/>
      <c r="AO958" s="180"/>
      <c r="AP958" s="180"/>
      <c r="AQ958" s="180"/>
      <c r="AR958" s="180"/>
      <c r="AS958" s="180"/>
      <c r="AT958" s="180"/>
    </row>
    <row r="959" spans="1:46" ht="15.75" customHeight="1" x14ac:dyDescent="0.3">
      <c r="A959" s="192" t="s">
        <v>12</v>
      </c>
      <c r="B959" s="180">
        <f>+F31</f>
        <v>162943</v>
      </c>
      <c r="C959" s="180">
        <f>+F66</f>
        <v>162576</v>
      </c>
      <c r="D959" s="180">
        <f>+F137</f>
        <v>162226</v>
      </c>
      <c r="E959" s="180">
        <f>+F327</f>
        <v>157174</v>
      </c>
      <c r="F959" s="180">
        <f>+F322</f>
        <v>2171</v>
      </c>
      <c r="G959" s="180">
        <f>+F335</f>
        <v>-1292</v>
      </c>
      <c r="H959" s="180">
        <f>+F522</f>
        <v>109437</v>
      </c>
      <c r="I959" s="180">
        <f>+F573</f>
        <v>47280</v>
      </c>
      <c r="J959" s="180">
        <f>+F618</f>
        <v>34760</v>
      </c>
      <c r="K959" s="180">
        <f>+F684</f>
        <v>28951</v>
      </c>
      <c r="L959" s="180">
        <f>+F694</f>
        <v>23723</v>
      </c>
      <c r="M959" s="180">
        <f>+F730</f>
        <v>23686</v>
      </c>
      <c r="N959" s="180">
        <f>+F782</f>
        <v>21601</v>
      </c>
      <c r="O959" s="180">
        <f>+F792</f>
        <v>4390</v>
      </c>
      <c r="P959" s="180">
        <f>+F826</f>
        <v>4952</v>
      </c>
      <c r="Q959" s="180">
        <f>+F879</f>
        <v>4383</v>
      </c>
      <c r="R959" s="181"/>
      <c r="T959" s="211" t="s">
        <v>12</v>
      </c>
      <c r="U959" s="380">
        <f>'[2]Lake Pleasant Forecast'!B41</f>
        <v>1696.11085484296</v>
      </c>
      <c r="AC959" s="180"/>
      <c r="AD959" s="180"/>
      <c r="AE959" s="180"/>
      <c r="AF959" s="180"/>
      <c r="AG959" s="180"/>
      <c r="AH959" s="180"/>
      <c r="AI959" s="180"/>
      <c r="AJ959" s="180"/>
      <c r="AK959" s="180"/>
      <c r="AL959" s="180"/>
      <c r="AM959" s="180"/>
      <c r="AN959" s="180"/>
      <c r="AO959" s="180"/>
      <c r="AP959" s="180"/>
      <c r="AQ959" s="180"/>
      <c r="AR959" s="180"/>
      <c r="AS959" s="180"/>
      <c r="AT959" s="180"/>
    </row>
    <row r="960" spans="1:46" ht="15.75" customHeight="1" x14ac:dyDescent="0.3">
      <c r="A960" s="192" t="s">
        <v>13</v>
      </c>
      <c r="B960" s="180">
        <f>+G31</f>
        <v>167634</v>
      </c>
      <c r="C960" s="180">
        <f>+G66</f>
        <v>167209</v>
      </c>
      <c r="D960" s="180">
        <f>+G137</f>
        <v>166807</v>
      </c>
      <c r="E960" s="180">
        <f>+G327</f>
        <v>160145</v>
      </c>
      <c r="F960" s="180">
        <f>+G322</f>
        <v>262</v>
      </c>
      <c r="G960" s="180">
        <f>+G335</f>
        <v>-16465</v>
      </c>
      <c r="H960" s="180">
        <f>+G522</f>
        <v>124799</v>
      </c>
      <c r="I960" s="180">
        <f>+G573</f>
        <v>42161</v>
      </c>
      <c r="J960" s="180">
        <f>+G618</f>
        <v>34039</v>
      </c>
      <c r="K960" s="180">
        <f>+G684</f>
        <v>28966</v>
      </c>
      <c r="L960" s="180">
        <f>+G694</f>
        <v>25320</v>
      </c>
      <c r="M960" s="180">
        <f>+G730</f>
        <v>25278</v>
      </c>
      <c r="N960" s="180">
        <f>+G782</f>
        <v>23200</v>
      </c>
      <c r="O960" s="180">
        <f>+G792</f>
        <v>5641</v>
      </c>
      <c r="P960" s="180">
        <f>+G826</f>
        <v>6132</v>
      </c>
      <c r="Q960" s="180">
        <f>+G879</f>
        <v>5587</v>
      </c>
      <c r="R960" s="181"/>
      <c r="T960" s="211" t="s">
        <v>13</v>
      </c>
      <c r="U960" s="380">
        <f>'[2]Lake Pleasant Forecast'!B43</f>
        <v>1693.7800000000002</v>
      </c>
      <c r="AC960" s="180"/>
      <c r="AD960" s="180"/>
      <c r="AE960" s="180"/>
      <c r="AF960" s="180"/>
      <c r="AG960" s="180"/>
      <c r="AH960" s="180"/>
      <c r="AI960" s="180"/>
      <c r="AJ960" s="180"/>
      <c r="AK960" s="180"/>
      <c r="AL960" s="180"/>
      <c r="AM960" s="180"/>
      <c r="AN960" s="180"/>
      <c r="AO960" s="180"/>
      <c r="AP960" s="180"/>
      <c r="AQ960" s="180"/>
      <c r="AR960" s="180"/>
      <c r="AS960" s="180"/>
      <c r="AT960" s="180"/>
    </row>
    <row r="961" spans="1:50" ht="15.75" customHeight="1" x14ac:dyDescent="0.3">
      <c r="A961" s="192" t="s">
        <v>14</v>
      </c>
      <c r="B961" s="180">
        <f>+H31</f>
        <v>89965</v>
      </c>
      <c r="C961" s="180">
        <f>+H66</f>
        <v>89548</v>
      </c>
      <c r="D961" s="180">
        <f>+H137</f>
        <v>89152</v>
      </c>
      <c r="E961" s="180">
        <f>+H327</f>
        <v>82546</v>
      </c>
      <c r="F961" s="180">
        <f>+H322</f>
        <v>0</v>
      </c>
      <c r="G961" s="180">
        <f>+H335</f>
        <v>-103469</v>
      </c>
      <c r="H961" s="180">
        <f>+H522</f>
        <v>144338</v>
      </c>
      <c r="I961" s="180">
        <f>+H573</f>
        <v>52680</v>
      </c>
      <c r="J961" s="180">
        <f>+H618</f>
        <v>36870</v>
      </c>
      <c r="K961" s="180">
        <f>+H684</f>
        <v>30653</v>
      </c>
      <c r="L961" s="180">
        <f>+H694</f>
        <v>23705</v>
      </c>
      <c r="M961" s="180">
        <f>+H730</f>
        <v>23661</v>
      </c>
      <c r="N961" s="180">
        <f>+H782</f>
        <v>21676</v>
      </c>
      <c r="O961" s="180">
        <f>+H792</f>
        <v>4822</v>
      </c>
      <c r="P961" s="180">
        <f>+H826</f>
        <v>7137</v>
      </c>
      <c r="Q961" s="180">
        <f>+H879</f>
        <v>4813</v>
      </c>
      <c r="R961" s="181"/>
      <c r="T961" s="211" t="s">
        <v>14</v>
      </c>
      <c r="U961" s="380">
        <f>'[2]Lake Pleasant Forecast'!B45</f>
        <v>1681.1000000000001</v>
      </c>
      <c r="AC961" s="180"/>
      <c r="AD961" s="180"/>
      <c r="AE961" s="180"/>
      <c r="AF961" s="180"/>
      <c r="AG961" s="180"/>
      <c r="AH961" s="180"/>
      <c r="AI961" s="180"/>
      <c r="AJ961" s="180"/>
      <c r="AK961" s="180"/>
      <c r="AL961" s="180"/>
      <c r="AM961" s="180"/>
      <c r="AN961" s="180"/>
      <c r="AO961" s="180"/>
      <c r="AP961" s="180"/>
      <c r="AQ961" s="180"/>
      <c r="AR961" s="180"/>
      <c r="AS961" s="180"/>
      <c r="AT961" s="180"/>
    </row>
    <row r="962" spans="1:50" ht="15.75" customHeight="1" x14ac:dyDescent="0.3">
      <c r="A962" s="192" t="s">
        <v>16</v>
      </c>
      <c r="B962" s="180">
        <f>+J31</f>
        <v>57356</v>
      </c>
      <c r="C962" s="180">
        <f>+J66</f>
        <v>56940</v>
      </c>
      <c r="D962" s="180">
        <f>+J137</f>
        <v>56546</v>
      </c>
      <c r="E962" s="180">
        <f>+J327</f>
        <v>49537</v>
      </c>
      <c r="F962" s="180">
        <f>+J322</f>
        <v>998</v>
      </c>
      <c r="G962" s="180">
        <f>+J335</f>
        <v>-80046</v>
      </c>
      <c r="H962" s="180">
        <f>+J522</f>
        <v>93594</v>
      </c>
      <c r="I962" s="180">
        <f>+J573</f>
        <v>42292</v>
      </c>
      <c r="J962" s="180">
        <f>+J618</f>
        <v>31249</v>
      </c>
      <c r="K962" s="180">
        <f>+J684</f>
        <v>26718</v>
      </c>
      <c r="L962" s="180">
        <f>+J694</f>
        <v>21724</v>
      </c>
      <c r="M962" s="180">
        <f>+J730</f>
        <v>21685</v>
      </c>
      <c r="N962" s="180">
        <f>+J782</f>
        <v>20882</v>
      </c>
      <c r="O962" s="180">
        <f>+J792</f>
        <v>3894</v>
      </c>
      <c r="P962" s="180">
        <f>+J826</f>
        <v>5843</v>
      </c>
      <c r="Q962" s="180">
        <f>+J879</f>
        <v>3887</v>
      </c>
      <c r="R962" s="181"/>
      <c r="T962" s="211" t="s">
        <v>16</v>
      </c>
      <c r="U962" s="380">
        <f>'[2]Lake Pleasant Forecast'!B47</f>
        <v>1671.6699725311105</v>
      </c>
      <c r="AC962" s="180"/>
      <c r="AD962" s="180"/>
      <c r="AE962" s="180"/>
      <c r="AF962" s="180"/>
      <c r="AG962" s="180"/>
      <c r="AH962" s="180"/>
      <c r="AI962" s="180"/>
      <c r="AJ962" s="180"/>
      <c r="AK962" s="180"/>
      <c r="AL962" s="180"/>
      <c r="AM962" s="180"/>
      <c r="AN962" s="180"/>
      <c r="AO962" s="180"/>
      <c r="AP962" s="180"/>
      <c r="AQ962" s="180"/>
      <c r="AR962" s="180"/>
      <c r="AS962" s="180"/>
      <c r="AT962" s="180"/>
    </row>
    <row r="963" spans="1:50" ht="15.75" customHeight="1" x14ac:dyDescent="0.3">
      <c r="A963" s="192" t="s">
        <v>17</v>
      </c>
      <c r="B963" s="180">
        <f>+K31</f>
        <v>50715</v>
      </c>
      <c r="C963" s="180">
        <f>+K66</f>
        <v>50381</v>
      </c>
      <c r="D963" s="180">
        <f>+K137</f>
        <v>50063</v>
      </c>
      <c r="E963" s="180">
        <f>+K327</f>
        <v>43807</v>
      </c>
      <c r="F963" s="180">
        <f>+K322</f>
        <v>0</v>
      </c>
      <c r="G963" s="180">
        <f>+K335</f>
        <v>-76446</v>
      </c>
      <c r="H963" s="180">
        <f>+K522</f>
        <v>74538</v>
      </c>
      <c r="I963" s="180">
        <f>+K573</f>
        <v>33239</v>
      </c>
      <c r="J963" s="180">
        <f>+K618</f>
        <v>28312</v>
      </c>
      <c r="K963" s="180">
        <f>+K684</f>
        <v>25246</v>
      </c>
      <c r="L963" s="180">
        <f>+K694</f>
        <v>21022</v>
      </c>
      <c r="M963" s="180">
        <f>+K730</f>
        <v>20986</v>
      </c>
      <c r="N963" s="180">
        <f>+K782</f>
        <v>20014</v>
      </c>
      <c r="O963" s="180">
        <f>+K792</f>
        <v>3304</v>
      </c>
      <c r="P963" s="180">
        <f>+K826</f>
        <v>5899</v>
      </c>
      <c r="Q963" s="180">
        <f>+K879</f>
        <v>3298</v>
      </c>
      <c r="R963" s="181"/>
      <c r="T963" s="211" t="s">
        <v>17</v>
      </c>
      <c r="U963" s="380">
        <f>'[2]Lake Pleasant Forecast'!B49</f>
        <v>1661.2798188452823</v>
      </c>
      <c r="AC963" s="180"/>
      <c r="AD963" s="180"/>
      <c r="AE963" s="180"/>
      <c r="AF963" s="180"/>
      <c r="AG963" s="180"/>
      <c r="AH963" s="180"/>
      <c r="AI963" s="180"/>
      <c r="AJ963" s="180"/>
      <c r="AK963" s="180"/>
      <c r="AL963" s="180"/>
      <c r="AM963" s="180"/>
      <c r="AN963" s="180"/>
      <c r="AO963" s="180"/>
      <c r="AP963" s="180"/>
      <c r="AQ963" s="180"/>
      <c r="AR963" s="180"/>
      <c r="AS963" s="180"/>
      <c r="AT963" s="180"/>
    </row>
    <row r="964" spans="1:50" ht="15.75" customHeight="1" x14ac:dyDescent="0.3">
      <c r="A964" s="192" t="s">
        <v>18</v>
      </c>
      <c r="B964" s="180">
        <f>+L31</f>
        <v>107550</v>
      </c>
      <c r="C964" s="180">
        <f>+L66</f>
        <v>107234</v>
      </c>
      <c r="D964" s="180">
        <f>+L137</f>
        <v>106933</v>
      </c>
      <c r="E964" s="180">
        <f>+L327</f>
        <v>102743</v>
      </c>
      <c r="F964" s="180">
        <f>+L322</f>
        <v>608</v>
      </c>
      <c r="G964" s="180">
        <f>+L335</f>
        <v>-8333</v>
      </c>
      <c r="H964" s="180">
        <f>+L522</f>
        <v>71521</v>
      </c>
      <c r="I964" s="180">
        <f>+L573</f>
        <v>27322</v>
      </c>
      <c r="J964" s="180">
        <f>+L618</f>
        <v>24422</v>
      </c>
      <c r="K964" s="180">
        <f>+L684</f>
        <v>22277</v>
      </c>
      <c r="L964" s="180">
        <f>+L694</f>
        <v>15947</v>
      </c>
      <c r="M964" s="180">
        <f>+L730</f>
        <v>15913</v>
      </c>
      <c r="N964" s="180">
        <f>+L782</f>
        <v>15639</v>
      </c>
      <c r="O964" s="180">
        <f>+L792</f>
        <v>3717</v>
      </c>
      <c r="P964" s="180">
        <f>+L826</f>
        <v>3190</v>
      </c>
      <c r="Q964" s="180">
        <f>+L879</f>
        <v>3711</v>
      </c>
      <c r="R964" s="181"/>
      <c r="T964" s="211" t="s">
        <v>18</v>
      </c>
      <c r="U964" s="380">
        <f>'[2]Lake Pleasant Forecast'!B51</f>
        <v>1659.68</v>
      </c>
      <c r="AC964" s="180"/>
      <c r="AD964" s="180"/>
      <c r="AE964" s="180"/>
      <c r="AF964" s="180"/>
      <c r="AG964" s="180"/>
      <c r="AH964" s="180"/>
      <c r="AI964" s="180"/>
      <c r="AJ964" s="180"/>
      <c r="AK964" s="180"/>
      <c r="AL964" s="180"/>
      <c r="AM964" s="180"/>
      <c r="AN964" s="180"/>
      <c r="AO964" s="180"/>
      <c r="AP964" s="180"/>
      <c r="AQ964" s="180"/>
      <c r="AR964" s="180"/>
      <c r="AS964" s="180"/>
      <c r="AT964" s="180"/>
    </row>
    <row r="965" spans="1:50" ht="15.75" customHeight="1" x14ac:dyDescent="0.3">
      <c r="A965" s="192" t="s">
        <v>20</v>
      </c>
      <c r="B965" s="180">
        <f>+N31</f>
        <v>139103</v>
      </c>
      <c r="C965" s="180">
        <f>+N66</f>
        <v>138818</v>
      </c>
      <c r="D965" s="180">
        <f>+N137</f>
        <v>138546</v>
      </c>
      <c r="E965" s="180">
        <f>+N327</f>
        <v>135457</v>
      </c>
      <c r="F965" s="180">
        <f>+N322</f>
        <v>53433</v>
      </c>
      <c r="G965" s="180">
        <f>+N335</f>
        <v>0</v>
      </c>
      <c r="H965" s="180">
        <f>+N522</f>
        <v>47814</v>
      </c>
      <c r="I965" s="180">
        <f>+N573</f>
        <v>14188</v>
      </c>
      <c r="J965" s="180">
        <f>+N618</f>
        <v>14157</v>
      </c>
      <c r="K965" s="180">
        <f>+N684</f>
        <v>13923</v>
      </c>
      <c r="L965" s="180">
        <f>+N694</f>
        <v>11129</v>
      </c>
      <c r="M965" s="180">
        <f>+N730</f>
        <v>11100</v>
      </c>
      <c r="N965" s="180">
        <f>+N782</f>
        <v>10487</v>
      </c>
      <c r="O965" s="180">
        <f>+N792</f>
        <v>3290</v>
      </c>
      <c r="P965" s="180">
        <f>+N826</f>
        <v>255</v>
      </c>
      <c r="Q965" s="180">
        <f>+N879</f>
        <v>3285</v>
      </c>
      <c r="R965" s="181"/>
      <c r="T965" s="211" t="s">
        <v>20</v>
      </c>
      <c r="U965" s="380">
        <f>'[2]Lake Pleasant Forecast'!B53</f>
        <v>1666.2699999999998</v>
      </c>
      <c r="AC965" s="180"/>
      <c r="AD965" s="180"/>
      <c r="AE965" s="180"/>
      <c r="AF965" s="180"/>
      <c r="AG965" s="180"/>
      <c r="AH965" s="180"/>
      <c r="AI965" s="180"/>
      <c r="AJ965" s="180"/>
      <c r="AK965" s="180"/>
      <c r="AL965" s="180"/>
      <c r="AM965" s="180"/>
      <c r="AN965" s="180"/>
      <c r="AO965" s="180"/>
      <c r="AP965" s="180"/>
      <c r="AQ965" s="180"/>
      <c r="AR965" s="180"/>
      <c r="AS965" s="180"/>
      <c r="AT965" s="180"/>
    </row>
    <row r="966" spans="1:50" ht="15.75" customHeight="1" x14ac:dyDescent="0.3">
      <c r="A966" s="192" t="s">
        <v>21</v>
      </c>
      <c r="B966" s="180">
        <f>+O31</f>
        <v>123440</v>
      </c>
      <c r="C966" s="180">
        <f>+O66</f>
        <v>123205</v>
      </c>
      <c r="D966" s="180">
        <f>+O137</f>
        <v>122979</v>
      </c>
      <c r="E966" s="180">
        <f>+O327</f>
        <v>120637</v>
      </c>
      <c r="F966" s="180">
        <f>+O322</f>
        <v>66963</v>
      </c>
      <c r="G966" s="180">
        <f>+O335</f>
        <v>0</v>
      </c>
      <c r="H966" s="180">
        <f>+O522</f>
        <v>26586</v>
      </c>
      <c r="I966" s="180">
        <f>+O573</f>
        <v>857</v>
      </c>
      <c r="J966" s="180">
        <f>+O618</f>
        <v>802</v>
      </c>
      <c r="K966" s="180">
        <f>+O684</f>
        <v>744</v>
      </c>
      <c r="L966" s="180">
        <f>+O694</f>
        <v>587</v>
      </c>
      <c r="M966" s="180">
        <f>+O730</f>
        <v>564</v>
      </c>
      <c r="N966" s="180">
        <f>+O782</f>
        <v>316</v>
      </c>
      <c r="O966" s="180">
        <f>+O792</f>
        <v>206</v>
      </c>
      <c r="P966" s="180">
        <f>+O826</f>
        <v>5332</v>
      </c>
      <c r="Q966" s="180">
        <f>+O879</f>
        <v>203</v>
      </c>
      <c r="R966" s="181"/>
      <c r="T966" s="211" t="s">
        <v>21</v>
      </c>
      <c r="U966" s="380">
        <f>'[2]Lake Pleasant Forecast'!B55</f>
        <v>1674.31</v>
      </c>
      <c r="AC966" s="180"/>
      <c r="AD966" s="180"/>
      <c r="AE966" s="180"/>
      <c r="AF966" s="180"/>
      <c r="AG966" s="180"/>
      <c r="AH966" s="180"/>
      <c r="AI966" s="180"/>
      <c r="AJ966" s="180"/>
      <c r="AK966" s="180"/>
      <c r="AL966" s="180"/>
      <c r="AM966" s="180"/>
      <c r="AN966" s="180"/>
      <c r="AO966" s="180"/>
      <c r="AP966" s="180"/>
      <c r="AQ966" s="180"/>
      <c r="AR966" s="180"/>
      <c r="AS966" s="180"/>
      <c r="AT966" s="180"/>
    </row>
    <row r="967" spans="1:50" ht="15.75" customHeight="1" thickBot="1" x14ac:dyDescent="0.35">
      <c r="A967" s="192" t="s">
        <v>22</v>
      </c>
      <c r="B967" s="180">
        <f>+P31</f>
        <v>85832</v>
      </c>
      <c r="C967" s="180">
        <f>+P66</f>
        <v>85646</v>
      </c>
      <c r="D967" s="180">
        <f>+P137</f>
        <v>85467</v>
      </c>
      <c r="E967" s="180">
        <f>+P327</f>
        <v>82904</v>
      </c>
      <c r="F967" s="180">
        <f>+P322</f>
        <v>17046</v>
      </c>
      <c r="G967" s="180">
        <f>+P335</f>
        <v>0</v>
      </c>
      <c r="H967" s="180">
        <f>+P522</f>
        <v>43104</v>
      </c>
      <c r="I967" s="180">
        <f>+P573</f>
        <v>19706</v>
      </c>
      <c r="J967" s="180">
        <f>+P618</f>
        <v>19247</v>
      </c>
      <c r="K967" s="180">
        <f>+P684</f>
        <v>19169</v>
      </c>
      <c r="L967" s="180">
        <f>+P694</f>
        <v>14811</v>
      </c>
      <c r="M967" s="180">
        <f>+P730</f>
        <v>14792</v>
      </c>
      <c r="N967" s="180">
        <f>+P782</f>
        <v>14623</v>
      </c>
      <c r="O967" s="180">
        <f>+P792</f>
        <v>4208</v>
      </c>
      <c r="P967" s="180">
        <f>+P826</f>
        <v>5291</v>
      </c>
      <c r="Q967" s="180">
        <f>+P879</f>
        <v>4206</v>
      </c>
      <c r="R967" s="181"/>
      <c r="T967" s="220" t="s">
        <v>22</v>
      </c>
      <c r="U967" s="381">
        <f>'[2]Lake Pleasant Forecast'!B57</f>
        <v>1677.029882034898</v>
      </c>
      <c r="AC967" s="180"/>
      <c r="AD967" s="180"/>
      <c r="AE967" s="180"/>
      <c r="AF967" s="180"/>
      <c r="AG967" s="180"/>
      <c r="AH967" s="180"/>
      <c r="AI967" s="180"/>
      <c r="AJ967" s="180"/>
      <c r="AK967" s="180"/>
      <c r="AL967" s="180"/>
      <c r="AM967" s="180"/>
      <c r="AN967" s="180"/>
      <c r="AO967" s="180"/>
      <c r="AP967" s="180"/>
      <c r="AQ967" s="180"/>
      <c r="AR967" s="180"/>
      <c r="AS967" s="180"/>
      <c r="AT967" s="180"/>
    </row>
    <row r="968" spans="1:50" ht="15.75" customHeight="1" x14ac:dyDescent="0.3">
      <c r="A968" s="189"/>
      <c r="B968" s="180"/>
      <c r="C968" s="180"/>
      <c r="D968" s="180"/>
      <c r="E968" s="180"/>
      <c r="F968" s="180"/>
      <c r="G968" s="180"/>
      <c r="H968" s="180"/>
      <c r="I968" s="180"/>
      <c r="J968" s="180"/>
      <c r="K968" s="180"/>
      <c r="L968" s="180"/>
      <c r="M968" s="180"/>
      <c r="N968" s="180"/>
      <c r="O968" s="180"/>
      <c r="P968" s="180"/>
      <c r="Q968" s="180"/>
      <c r="R968" s="181"/>
    </row>
    <row r="969" spans="1:50" ht="15.75" customHeight="1" x14ac:dyDescent="0.3">
      <c r="A969" s="189" t="s">
        <v>641</v>
      </c>
      <c r="B969" s="180">
        <f t="shared" ref="B969:Q969" si="308">SUM(B956:B967)</f>
        <v>1364573</v>
      </c>
      <c r="C969" s="180">
        <f t="shared" si="308"/>
        <v>1361073</v>
      </c>
      <c r="D969" s="180">
        <f>SUM(D956:D967)</f>
        <v>1357733</v>
      </c>
      <c r="E969" s="180">
        <f t="shared" si="308"/>
        <v>1309387</v>
      </c>
      <c r="F969" s="180">
        <f t="shared" si="308"/>
        <v>281540</v>
      </c>
      <c r="G969" s="180">
        <f t="shared" si="308"/>
        <v>-286488</v>
      </c>
      <c r="H969" s="180">
        <f t="shared" si="308"/>
        <v>883268</v>
      </c>
      <c r="I969" s="180">
        <f t="shared" si="308"/>
        <v>341908</v>
      </c>
      <c r="J969" s="180">
        <f t="shared" si="308"/>
        <v>281276</v>
      </c>
      <c r="K969" s="180">
        <f t="shared" si="308"/>
        <v>252066</v>
      </c>
      <c r="L969" s="180">
        <f t="shared" si="308"/>
        <v>200476</v>
      </c>
      <c r="M969" s="180">
        <f t="shared" si="308"/>
        <v>200103</v>
      </c>
      <c r="N969" s="180">
        <f t="shared" si="308"/>
        <v>186633</v>
      </c>
      <c r="O969" s="180">
        <f t="shared" si="308"/>
        <v>44351</v>
      </c>
      <c r="P969" s="180">
        <f t="shared" si="308"/>
        <v>58518</v>
      </c>
      <c r="Q969" s="180">
        <f t="shared" si="308"/>
        <v>44242</v>
      </c>
      <c r="R969" s="181"/>
    </row>
    <row r="970" spans="1:50" ht="15.75" customHeight="1" thickBot="1" x14ac:dyDescent="0.35">
      <c r="A970" s="135"/>
      <c r="B970" s="135"/>
      <c r="C970" s="135"/>
      <c r="D970" s="135"/>
      <c r="E970" s="135"/>
      <c r="F970" s="135"/>
      <c r="G970" s="135"/>
      <c r="H970" s="135"/>
      <c r="I970" s="135"/>
      <c r="J970" s="135"/>
      <c r="K970" s="135"/>
      <c r="L970" s="135"/>
      <c r="M970" s="135"/>
      <c r="N970" s="135"/>
      <c r="O970" s="135"/>
      <c r="P970" s="135"/>
      <c r="Q970" s="135"/>
      <c r="R970" s="196"/>
      <c r="AC970" s="180"/>
      <c r="AD970" s="180"/>
      <c r="AE970" s="180"/>
      <c r="AF970" s="180"/>
      <c r="AG970" s="180"/>
      <c r="AH970" s="180"/>
      <c r="AI970" s="180"/>
      <c r="AJ970" s="180"/>
      <c r="AK970" s="180"/>
      <c r="AL970" s="180"/>
      <c r="AM970" s="180"/>
      <c r="AN970" s="180"/>
      <c r="AO970" s="180"/>
      <c r="AP970" s="180"/>
      <c r="AQ970" s="180"/>
      <c r="AR970" s="180"/>
      <c r="AS970" s="378"/>
      <c r="AT970" s="379"/>
      <c r="AW970" s="199"/>
      <c r="AX970" s="180"/>
    </row>
    <row r="971" spans="1:50" ht="15.75" customHeight="1" x14ac:dyDescent="0.35">
      <c r="A971" s="359"/>
      <c r="B971" s="359"/>
      <c r="C971" s="359"/>
      <c r="D971" s="359"/>
      <c r="E971" s="359"/>
      <c r="F971" s="359"/>
      <c r="G971" s="359"/>
      <c r="H971" s="359"/>
      <c r="I971" s="359"/>
      <c r="J971" s="359"/>
      <c r="K971" s="359"/>
      <c r="L971" s="359"/>
      <c r="M971" s="359"/>
      <c r="N971" s="359"/>
      <c r="O971" s="359"/>
      <c r="P971" s="359"/>
      <c r="Q971" s="359"/>
      <c r="R971" s="351"/>
      <c r="AC971" s="180"/>
      <c r="AD971" s="180"/>
      <c r="AE971" s="199"/>
      <c r="AF971" s="180"/>
      <c r="AG971" s="180"/>
      <c r="AH971" s="180"/>
      <c r="AI971" s="180"/>
      <c r="AJ971" s="180"/>
      <c r="AK971" s="180"/>
      <c r="AL971" s="180"/>
      <c r="AM971" s="180"/>
      <c r="AN971" s="201"/>
      <c r="AO971" s="199"/>
      <c r="AP971" s="180"/>
      <c r="AQ971" s="180"/>
      <c r="AR971" s="180"/>
      <c r="AS971" s="180"/>
      <c r="AT971" s="180"/>
      <c r="AW971" s="180"/>
      <c r="AX971" s="180"/>
    </row>
    <row r="972" spans="1:50" ht="16.5" customHeight="1" x14ac:dyDescent="0.3">
      <c r="A972" s="189" t="s">
        <v>7</v>
      </c>
      <c r="B972" s="180"/>
      <c r="C972" s="180"/>
      <c r="D972" s="180"/>
      <c r="E972" s="180"/>
      <c r="F972" s="180"/>
      <c r="G972" s="180"/>
      <c r="H972" s="180"/>
      <c r="I972" s="180"/>
      <c r="J972" s="180"/>
      <c r="K972" s="180"/>
      <c r="L972" s="180"/>
      <c r="M972" s="180"/>
      <c r="N972" s="180"/>
      <c r="O972" s="180"/>
      <c r="P972" s="180"/>
      <c r="Q972" s="180"/>
      <c r="R972" s="180"/>
      <c r="AC972" s="180"/>
      <c r="AD972" s="180"/>
      <c r="AE972" s="180"/>
      <c r="AF972" s="180"/>
      <c r="AG972" s="180"/>
      <c r="AH972" s="202"/>
      <c r="AI972" s="180"/>
      <c r="AJ972" s="180"/>
      <c r="AK972" s="180"/>
      <c r="AL972" s="180"/>
      <c r="AM972" s="180"/>
      <c r="AN972" s="180"/>
      <c r="AO972" s="180"/>
      <c r="AP972" s="180"/>
      <c r="AQ972" s="180"/>
      <c r="AR972" s="180"/>
      <c r="AS972" s="202"/>
      <c r="AT972" s="180"/>
      <c r="AW972" s="180"/>
      <c r="AX972" s="180"/>
    </row>
    <row r="973" spans="1:50" ht="15.75" customHeight="1" x14ac:dyDescent="0.3">
      <c r="A973" s="182"/>
      <c r="B973" s="180"/>
      <c r="C973" s="180"/>
      <c r="D973" s="180"/>
      <c r="E973" s="180"/>
      <c r="F973" s="180"/>
      <c r="G973" s="180"/>
      <c r="H973" s="180"/>
      <c r="I973" s="180"/>
      <c r="J973" s="180"/>
      <c r="K973" s="180"/>
      <c r="L973" s="180"/>
      <c r="M973" s="180"/>
      <c r="N973" s="180"/>
      <c r="O973" s="180"/>
      <c r="P973" s="180"/>
      <c r="Q973" s="180"/>
      <c r="R973" s="180"/>
      <c r="AC973" s="180"/>
      <c r="AD973" s="180"/>
      <c r="AE973" s="180"/>
      <c r="AF973" s="180"/>
      <c r="AG973" s="180"/>
      <c r="AH973" s="180"/>
      <c r="AI973" s="180"/>
      <c r="AJ973" s="180"/>
      <c r="AK973" s="180"/>
      <c r="AL973" s="180"/>
      <c r="AM973" s="180"/>
      <c r="AN973" s="180"/>
      <c r="AO973" s="180"/>
      <c r="AP973" s="180"/>
      <c r="AQ973" s="180"/>
      <c r="AR973" s="180"/>
      <c r="AS973" s="180"/>
      <c r="AT973" s="180"/>
      <c r="AW973" s="180"/>
      <c r="AX973" s="182"/>
    </row>
    <row r="974" spans="1:50" ht="15.75" customHeight="1" x14ac:dyDescent="0.3">
      <c r="A974" s="192"/>
      <c r="AC974" s="180"/>
      <c r="AD974" s="180"/>
      <c r="AE974" s="180"/>
      <c r="AF974" s="180"/>
      <c r="AG974" s="180"/>
      <c r="AH974" s="180"/>
      <c r="AI974" s="180"/>
      <c r="AJ974" s="180"/>
      <c r="AK974" s="180"/>
      <c r="AL974" s="180"/>
      <c r="AM974" s="180"/>
      <c r="AN974" s="180"/>
      <c r="AO974" s="180"/>
      <c r="AP974" s="180"/>
      <c r="AQ974" s="180"/>
      <c r="AR974" s="180"/>
      <c r="AS974" s="180"/>
      <c r="AT974" s="180"/>
      <c r="AW974" s="182"/>
      <c r="AX974" s="182"/>
    </row>
    <row r="975" spans="1:50" ht="15.75" customHeight="1" thickBot="1" x14ac:dyDescent="0.35">
      <c r="A975" s="192"/>
      <c r="AC975" s="180"/>
      <c r="AD975" s="180"/>
      <c r="AE975" s="180"/>
      <c r="AF975" s="180"/>
      <c r="AG975" s="180"/>
      <c r="AH975" s="180"/>
      <c r="AI975" s="180"/>
      <c r="AJ975" s="180"/>
      <c r="AK975" s="180"/>
      <c r="AL975" s="180"/>
      <c r="AM975" s="180"/>
      <c r="AN975" s="180"/>
      <c r="AO975" s="180"/>
      <c r="AP975" s="180"/>
      <c r="AQ975" s="180"/>
      <c r="AR975" s="180"/>
      <c r="AS975" s="180"/>
      <c r="AT975" s="180"/>
      <c r="AW975" s="182"/>
      <c r="AX975" s="182"/>
    </row>
    <row r="976" spans="1:50" ht="15.75" customHeight="1" x14ac:dyDescent="0.3">
      <c r="A976" s="356"/>
      <c r="B976" s="423" t="s">
        <v>707</v>
      </c>
      <c r="C976" s="423"/>
      <c r="D976" s="423"/>
      <c r="E976" s="423"/>
      <c r="F976" s="423"/>
      <c r="G976" s="423"/>
      <c r="H976" s="423"/>
      <c r="I976" s="423"/>
      <c r="J976" s="423"/>
      <c r="K976" s="423"/>
      <c r="L976" s="423"/>
      <c r="M976" s="423"/>
      <c r="N976" s="423"/>
      <c r="O976" s="423"/>
      <c r="P976" s="423"/>
      <c r="Q976" s="354" t="str">
        <f>+Q1</f>
        <v xml:space="preserve">PRINTED:  </v>
      </c>
      <c r="R976" s="355">
        <f ca="1">+R1</f>
        <v>44894.658168402777</v>
      </c>
      <c r="AC976" s="180"/>
      <c r="AD976" s="180"/>
      <c r="AE976" s="180"/>
      <c r="AF976" s="180"/>
      <c r="AG976" s="180"/>
      <c r="AH976" s="180"/>
      <c r="AI976" s="180"/>
      <c r="AJ976" s="180"/>
      <c r="AK976" s="180"/>
      <c r="AL976" s="180"/>
      <c r="AM976" s="180"/>
      <c r="AN976" s="180"/>
      <c r="AO976" s="180"/>
      <c r="AP976" s="180"/>
      <c r="AQ976" s="180"/>
      <c r="AR976" s="180"/>
      <c r="AS976" s="180"/>
      <c r="AT976" s="180"/>
      <c r="AW976" s="182"/>
      <c r="AX976" s="182"/>
    </row>
    <row r="977" spans="1:50" ht="15.75" customHeight="1" x14ac:dyDescent="0.3">
      <c r="A977" s="189"/>
      <c r="B977" s="394" t="str">
        <f>+A8</f>
        <v>Revised:  10/27/2021</v>
      </c>
      <c r="C977" s="394"/>
      <c r="D977" s="394"/>
      <c r="E977" s="394"/>
      <c r="F977" s="394"/>
      <c r="G977" s="394"/>
      <c r="H977" s="394"/>
      <c r="I977" s="394"/>
      <c r="J977" s="394"/>
      <c r="K977" s="394"/>
      <c r="L977" s="394"/>
      <c r="M977" s="394"/>
      <c r="N977" s="394"/>
      <c r="O977" s="394"/>
      <c r="P977" s="394"/>
      <c r="Q977" s="180"/>
      <c r="R977" s="181"/>
      <c r="AC977" s="180"/>
      <c r="AD977" s="180"/>
      <c r="AE977" s="180"/>
      <c r="AF977" s="180"/>
      <c r="AG977" s="180"/>
      <c r="AH977" s="180"/>
      <c r="AI977" s="180"/>
      <c r="AJ977" s="180"/>
      <c r="AK977" s="180"/>
      <c r="AL977" s="180"/>
      <c r="AM977" s="180"/>
      <c r="AN977" s="180"/>
      <c r="AO977" s="180"/>
      <c r="AP977" s="180"/>
      <c r="AQ977" s="180"/>
      <c r="AR977" s="180"/>
      <c r="AS977" s="180"/>
      <c r="AT977" s="180"/>
      <c r="AW977" s="180"/>
      <c r="AX977" s="203"/>
    </row>
    <row r="978" spans="1:50" ht="15.75" customHeight="1" x14ac:dyDescent="0.3">
      <c r="A978" s="189"/>
      <c r="B978" s="394" t="s">
        <v>670</v>
      </c>
      <c r="C978" s="394"/>
      <c r="D978" s="394"/>
      <c r="E978" s="394"/>
      <c r="F978" s="394"/>
      <c r="G978" s="394"/>
      <c r="H978" s="394"/>
      <c r="I978" s="394"/>
      <c r="J978" s="394"/>
      <c r="K978" s="394"/>
      <c r="L978" s="394"/>
      <c r="M978" s="394"/>
      <c r="N978" s="394"/>
      <c r="O978" s="394"/>
      <c r="P978" s="394"/>
      <c r="Q978" s="180"/>
      <c r="R978" s="181"/>
      <c r="AC978" s="180"/>
      <c r="AD978" s="182"/>
      <c r="AE978" s="182"/>
      <c r="AF978" s="182"/>
      <c r="AG978" s="182"/>
      <c r="AH978" s="182"/>
      <c r="AI978" s="180"/>
      <c r="AJ978" s="182"/>
      <c r="AK978" s="180"/>
      <c r="AL978" s="180"/>
      <c r="AM978" s="180"/>
      <c r="AN978" s="180"/>
      <c r="AO978" s="182"/>
      <c r="AP978" s="182"/>
      <c r="AQ978" s="182"/>
      <c r="AR978" s="182"/>
      <c r="AS978" s="182"/>
      <c r="AT978" s="182"/>
      <c r="AW978" s="180"/>
      <c r="AX978" s="203"/>
    </row>
    <row r="979" spans="1:50" ht="15.75" customHeight="1" x14ac:dyDescent="0.3">
      <c r="A979" s="189"/>
      <c r="B979" s="394"/>
      <c r="C979" s="394"/>
      <c r="D979" s="394"/>
      <c r="E979" s="394"/>
      <c r="F979" s="394"/>
      <c r="G979" s="394"/>
      <c r="H979" s="394"/>
      <c r="I979" s="394"/>
      <c r="J979" s="394"/>
      <c r="K979" s="394"/>
      <c r="L979" s="394"/>
      <c r="M979" s="394"/>
      <c r="N979" s="394"/>
      <c r="O979" s="394"/>
      <c r="P979" s="394"/>
      <c r="Q979" s="180"/>
      <c r="R979" s="181"/>
      <c r="AC979" s="180"/>
      <c r="AD979" s="180"/>
      <c r="AE979" s="180"/>
      <c r="AF979" s="180"/>
      <c r="AG979" s="180"/>
      <c r="AH979" s="182"/>
      <c r="AI979" s="180"/>
      <c r="AJ979" s="182"/>
      <c r="AK979" s="180"/>
      <c r="AL979" s="180"/>
      <c r="AM979" s="180"/>
      <c r="AN979" s="180"/>
      <c r="AO979" s="180"/>
      <c r="AP979" s="180"/>
      <c r="AQ979" s="180"/>
      <c r="AR979" s="180"/>
      <c r="AS979" s="182"/>
      <c r="AT979" s="182"/>
      <c r="AW979" s="180"/>
      <c r="AX979" s="203"/>
    </row>
    <row r="980" spans="1:50" ht="15.75" customHeight="1" x14ac:dyDescent="0.3">
      <c r="A980" s="189"/>
      <c r="B980" s="395">
        <f>+A5</f>
        <v>2021</v>
      </c>
      <c r="C980" s="395"/>
      <c r="D980" s="395"/>
      <c r="E980" s="395"/>
      <c r="F980" s="395"/>
      <c r="G980" s="395"/>
      <c r="H980" s="395"/>
      <c r="I980" s="395"/>
      <c r="J980" s="395"/>
      <c r="K980" s="395"/>
      <c r="L980" s="395"/>
      <c r="M980" s="395"/>
      <c r="N980" s="395"/>
      <c r="O980" s="395"/>
      <c r="P980" s="395"/>
      <c r="Q980" s="180"/>
      <c r="R980" s="181"/>
      <c r="AC980" s="180"/>
      <c r="AD980" s="180"/>
      <c r="AE980" s="180"/>
      <c r="AF980" s="180"/>
      <c r="AG980" s="180"/>
      <c r="AH980" s="180"/>
      <c r="AI980" s="180"/>
      <c r="AJ980" s="182"/>
      <c r="AK980" s="180"/>
      <c r="AL980" s="180"/>
      <c r="AM980" s="180"/>
      <c r="AN980" s="180"/>
      <c r="AO980" s="180"/>
      <c r="AP980" s="180"/>
      <c r="AQ980" s="180"/>
      <c r="AR980" s="180"/>
      <c r="AS980" s="180"/>
      <c r="AT980" s="182"/>
      <c r="AW980" s="180"/>
      <c r="AX980" s="203"/>
    </row>
    <row r="981" spans="1:50" ht="15.75" customHeight="1" x14ac:dyDescent="0.3">
      <c r="A981" s="189"/>
      <c r="B981" s="394" t="s">
        <v>713</v>
      </c>
      <c r="C981" s="394"/>
      <c r="D981" s="394"/>
      <c r="E981" s="394"/>
      <c r="F981" s="394"/>
      <c r="G981" s="394"/>
      <c r="H981" s="394"/>
      <c r="I981" s="394"/>
      <c r="J981" s="394"/>
      <c r="K981" s="394"/>
      <c r="L981" s="394"/>
      <c r="M981" s="394"/>
      <c r="N981" s="394"/>
      <c r="O981" s="394"/>
      <c r="P981" s="394"/>
      <c r="Q981" s="180"/>
      <c r="R981" s="181"/>
      <c r="AC981" s="180"/>
      <c r="AD981" s="180"/>
      <c r="AE981" s="180"/>
      <c r="AF981" s="180"/>
      <c r="AG981" s="180"/>
      <c r="AH981" s="180"/>
      <c r="AI981" s="180"/>
      <c r="AJ981" s="180"/>
      <c r="AK981" s="180"/>
      <c r="AL981" s="180"/>
      <c r="AM981" s="180"/>
      <c r="AN981" s="180"/>
      <c r="AO981" s="180"/>
      <c r="AP981" s="180"/>
      <c r="AQ981" s="180"/>
      <c r="AR981" s="180"/>
      <c r="AS981" s="180"/>
      <c r="AT981" s="180"/>
      <c r="AW981" s="180"/>
      <c r="AX981" s="203"/>
    </row>
    <row r="982" spans="1:50" ht="15.75" customHeight="1" x14ac:dyDescent="0.3">
      <c r="A982" s="189"/>
      <c r="B982" s="180"/>
      <c r="C982" s="180"/>
      <c r="D982" s="180"/>
      <c r="E982" s="180"/>
      <c r="F982" s="180"/>
      <c r="G982" s="180"/>
      <c r="H982" s="180"/>
      <c r="I982" s="180"/>
      <c r="J982" s="180"/>
      <c r="K982" s="180"/>
      <c r="L982" s="180"/>
      <c r="M982" s="180"/>
      <c r="N982" s="180"/>
      <c r="O982" s="180"/>
      <c r="P982" s="180"/>
      <c r="Q982" s="180"/>
      <c r="R982" s="181"/>
      <c r="AC982" s="182"/>
      <c r="AD982" s="180"/>
      <c r="AE982" s="180"/>
      <c r="AF982" s="180"/>
      <c r="AG982" s="180"/>
      <c r="AH982" s="180"/>
      <c r="AI982" s="180"/>
      <c r="AJ982" s="180"/>
      <c r="AK982" s="180"/>
      <c r="AL982" s="180"/>
      <c r="AM982" s="180"/>
      <c r="AN982" s="182"/>
      <c r="AO982" s="180"/>
      <c r="AP982" s="180"/>
      <c r="AQ982" s="180"/>
      <c r="AR982" s="180"/>
      <c r="AS982" s="180"/>
      <c r="AT982" s="180"/>
      <c r="AW982" s="180"/>
      <c r="AX982" s="203"/>
    </row>
    <row r="983" spans="1:50" ht="15.75" customHeight="1" thickBot="1" x14ac:dyDescent="0.35">
      <c r="A983" s="189" t="s">
        <v>647</v>
      </c>
      <c r="B983" s="191" t="s">
        <v>677</v>
      </c>
      <c r="C983" s="191" t="s">
        <v>678</v>
      </c>
      <c r="D983" s="191" t="s">
        <v>679</v>
      </c>
      <c r="E983" s="191" t="s">
        <v>680</v>
      </c>
      <c r="F983" s="191" t="s">
        <v>644</v>
      </c>
      <c r="G983" s="191" t="s">
        <v>644</v>
      </c>
      <c r="H983" s="191" t="s">
        <v>681</v>
      </c>
      <c r="I983" s="191" t="s">
        <v>682</v>
      </c>
      <c r="J983" s="191" t="s">
        <v>683</v>
      </c>
      <c r="K983" s="191" t="s">
        <v>684</v>
      </c>
      <c r="L983" s="191" t="s">
        <v>685</v>
      </c>
      <c r="M983" s="191" t="s">
        <v>686</v>
      </c>
      <c r="N983" s="191" t="s">
        <v>687</v>
      </c>
      <c r="O983" s="191" t="s">
        <v>688</v>
      </c>
      <c r="P983" s="191" t="s">
        <v>689</v>
      </c>
      <c r="Q983" s="191" t="s">
        <v>638</v>
      </c>
      <c r="R983" s="181"/>
      <c r="AC983" s="182"/>
      <c r="AD983" s="180"/>
      <c r="AE983" s="180"/>
      <c r="AF983" s="180"/>
      <c r="AG983" s="180"/>
      <c r="AH983" s="180"/>
      <c r="AI983" s="180"/>
      <c r="AJ983" s="180"/>
      <c r="AK983" s="180"/>
      <c r="AL983" s="180"/>
      <c r="AM983" s="180"/>
      <c r="AN983" s="182"/>
      <c r="AO983" s="180"/>
      <c r="AP983" s="180"/>
      <c r="AQ983" s="180"/>
      <c r="AR983" s="180"/>
      <c r="AS983" s="180"/>
      <c r="AT983" s="180"/>
      <c r="AW983" s="180"/>
      <c r="AX983" s="203"/>
    </row>
    <row r="984" spans="1:50" ht="15.75" customHeight="1" x14ac:dyDescent="0.3">
      <c r="A984" s="189"/>
      <c r="B984" s="180"/>
      <c r="C984" s="180"/>
      <c r="D984" s="180"/>
      <c r="E984" s="180"/>
      <c r="F984" s="182" t="s">
        <v>127</v>
      </c>
      <c r="G984" s="182" t="s">
        <v>653</v>
      </c>
      <c r="H984" s="180"/>
      <c r="I984" s="180"/>
      <c r="J984" s="180"/>
      <c r="K984" s="180"/>
      <c r="L984" s="180"/>
      <c r="M984" s="180"/>
      <c r="N984" s="180"/>
      <c r="O984" s="180"/>
      <c r="P984" s="180"/>
      <c r="Q984" s="180"/>
      <c r="R984" s="181"/>
      <c r="AC984" s="182"/>
      <c r="AD984" s="180"/>
      <c r="AE984" s="180"/>
      <c r="AF984" s="180"/>
      <c r="AG984" s="180"/>
      <c r="AH984" s="180"/>
      <c r="AI984" s="180"/>
      <c r="AJ984" s="180"/>
      <c r="AK984" s="180"/>
      <c r="AL984" s="180"/>
      <c r="AM984" s="180"/>
      <c r="AN984" s="182"/>
      <c r="AO984" s="180"/>
      <c r="AP984" s="180"/>
      <c r="AQ984" s="180"/>
      <c r="AR984" s="180"/>
      <c r="AS984" s="180"/>
      <c r="AT984" s="180"/>
      <c r="AW984" s="180"/>
      <c r="AX984" s="203"/>
    </row>
    <row r="985" spans="1:50" ht="15.75" customHeight="1" x14ac:dyDescent="0.3">
      <c r="A985" s="192" t="s">
        <v>8</v>
      </c>
      <c r="B985" s="180">
        <f t="shared" ref="B985:Q985" si="309">(B956/$B$10/1.983)</f>
        <v>1970.9953963528703</v>
      </c>
      <c r="C985" s="180">
        <f t="shared" si="309"/>
        <v>1969.4174678314057</v>
      </c>
      <c r="D985" s="180">
        <f t="shared" si="309"/>
        <v>1967.8558066142859</v>
      </c>
      <c r="E985" s="180">
        <f t="shared" si="309"/>
        <v>1957.4284645291427</v>
      </c>
      <c r="F985" s="180">
        <f t="shared" si="309"/>
        <v>1164.2347046670895</v>
      </c>
      <c r="G985" s="180">
        <f t="shared" si="309"/>
        <v>0</v>
      </c>
      <c r="H985" s="180">
        <f t="shared" si="309"/>
        <v>452.8492183560262</v>
      </c>
      <c r="I985" s="180">
        <f t="shared" si="309"/>
        <v>188.5705919672051</v>
      </c>
      <c r="J985" s="180">
        <f t="shared" si="309"/>
        <v>188.42418622810013</v>
      </c>
      <c r="K985" s="180">
        <f t="shared" si="309"/>
        <v>187.25294031526033</v>
      </c>
      <c r="L985" s="180">
        <f t="shared" si="309"/>
        <v>144.46992988791828</v>
      </c>
      <c r="M985" s="180">
        <f t="shared" si="309"/>
        <v>144.14458380101831</v>
      </c>
      <c r="N985" s="180">
        <f t="shared" si="309"/>
        <v>120.08524067476777</v>
      </c>
      <c r="O985" s="180">
        <f t="shared" si="309"/>
        <v>55.487775120784733</v>
      </c>
      <c r="P985" s="180">
        <f t="shared" si="309"/>
        <v>76.960616856180764</v>
      </c>
      <c r="Q985" s="180">
        <f t="shared" si="309"/>
        <v>55.45524051209474</v>
      </c>
      <c r="R985" s="181"/>
      <c r="AC985" s="182"/>
      <c r="AD985" s="180"/>
      <c r="AE985" s="180"/>
      <c r="AF985" s="180"/>
      <c r="AG985" s="180"/>
      <c r="AH985" s="180"/>
      <c r="AI985" s="180"/>
      <c r="AJ985" s="180"/>
      <c r="AK985" s="180"/>
      <c r="AL985" s="180"/>
      <c r="AM985" s="180"/>
      <c r="AN985" s="182"/>
      <c r="AO985" s="180"/>
      <c r="AP985" s="180"/>
      <c r="AQ985" s="180"/>
      <c r="AR985" s="180"/>
      <c r="AS985" s="180"/>
      <c r="AT985" s="180"/>
      <c r="AW985" s="180"/>
      <c r="AX985" s="203"/>
    </row>
    <row r="986" spans="1:50" ht="15.75" customHeight="1" x14ac:dyDescent="0.3">
      <c r="A986" s="192" t="s">
        <v>9</v>
      </c>
      <c r="B986" s="180">
        <f t="shared" ref="B986:Q986" si="310">(B957/$C$10/1.983)</f>
        <v>1989.7341690079966</v>
      </c>
      <c r="C986" s="180">
        <f t="shared" si="310"/>
        <v>1987.0686549960376</v>
      </c>
      <c r="D986" s="180">
        <f t="shared" si="310"/>
        <v>1984.4571716735106</v>
      </c>
      <c r="E986" s="180">
        <f t="shared" si="310"/>
        <v>1967.0953101361572</v>
      </c>
      <c r="F986" s="180">
        <f t="shared" si="310"/>
        <v>632.77141416324469</v>
      </c>
      <c r="G986" s="180">
        <f t="shared" si="310"/>
        <v>0</v>
      </c>
      <c r="H986" s="180">
        <f t="shared" si="310"/>
        <v>883.81600749225561</v>
      </c>
      <c r="I986" s="180">
        <f t="shared" si="310"/>
        <v>349.34442763489659</v>
      </c>
      <c r="J986" s="180">
        <f t="shared" si="310"/>
        <v>337.43966573013466</v>
      </c>
      <c r="K986" s="180">
        <f t="shared" si="310"/>
        <v>326.54347669476266</v>
      </c>
      <c r="L986" s="180">
        <f t="shared" si="310"/>
        <v>242.99402060370289</v>
      </c>
      <c r="M986" s="180">
        <f t="shared" si="310"/>
        <v>242.59779554787116</v>
      </c>
      <c r="N986" s="180">
        <f t="shared" si="310"/>
        <v>207.11764282112239</v>
      </c>
      <c r="O986" s="180">
        <f t="shared" si="310"/>
        <v>60.964627908652112</v>
      </c>
      <c r="P986" s="180">
        <f t="shared" si="310"/>
        <v>84.846192637418056</v>
      </c>
      <c r="Q986" s="180">
        <f t="shared" si="310"/>
        <v>60.91059721922052</v>
      </c>
      <c r="R986" s="181"/>
      <c r="AC986" s="182"/>
      <c r="AD986" s="180"/>
      <c r="AE986" s="180"/>
      <c r="AF986" s="180"/>
      <c r="AG986" s="180"/>
      <c r="AH986" s="180"/>
      <c r="AI986" s="180"/>
      <c r="AJ986" s="180"/>
      <c r="AK986" s="180"/>
      <c r="AL986" s="180"/>
      <c r="AM986" s="180"/>
      <c r="AN986" s="182"/>
      <c r="AO986" s="180"/>
      <c r="AP986" s="180"/>
      <c r="AQ986" s="180"/>
      <c r="AR986" s="180"/>
      <c r="AS986" s="180"/>
      <c r="AT986" s="180"/>
      <c r="AW986" s="180"/>
      <c r="AX986" s="203"/>
    </row>
    <row r="987" spans="1:50" ht="15.75" customHeight="1" x14ac:dyDescent="0.3">
      <c r="A987" s="192" t="s">
        <v>10</v>
      </c>
      <c r="B987" s="180">
        <f t="shared" ref="B987:Q987" si="311">(B958/$D$10/1.983)</f>
        <v>2413.9703609714834</v>
      </c>
      <c r="C987" s="180">
        <f t="shared" si="311"/>
        <v>2409.513119580954</v>
      </c>
      <c r="D987" s="180">
        <f t="shared" si="311"/>
        <v>2405.26735314691</v>
      </c>
      <c r="E987" s="180">
        <f t="shared" si="311"/>
        <v>2356.920924633579</v>
      </c>
      <c r="F987" s="180">
        <f t="shared" si="311"/>
        <v>542.61220373171955</v>
      </c>
      <c r="G987" s="180">
        <f t="shared" si="311"/>
        <v>-7.1088119987636853</v>
      </c>
      <c r="H987" s="180">
        <f t="shared" si="311"/>
        <v>1148.8946366697576</v>
      </c>
      <c r="I987" s="180">
        <f t="shared" si="311"/>
        <v>507.44229173783611</v>
      </c>
      <c r="J987" s="180">
        <f t="shared" si="311"/>
        <v>440.82768044507338</v>
      </c>
      <c r="K987" s="180">
        <f t="shared" si="311"/>
        <v>419.32230410098742</v>
      </c>
      <c r="L987" s="180">
        <f t="shared" si="311"/>
        <v>327.5421729865144</v>
      </c>
      <c r="M987" s="180">
        <f t="shared" si="311"/>
        <v>327.08668846485449</v>
      </c>
      <c r="N987" s="180">
        <f t="shared" si="311"/>
        <v>314.17044881492689</v>
      </c>
      <c r="O987" s="180">
        <f t="shared" si="311"/>
        <v>66.419403640622718</v>
      </c>
      <c r="P987" s="180">
        <f t="shared" si="311"/>
        <v>82.068550420509823</v>
      </c>
      <c r="Q987" s="180">
        <f t="shared" si="311"/>
        <v>66.338067118897726</v>
      </c>
      <c r="R987" s="181"/>
      <c r="AC987" s="182"/>
      <c r="AD987" s="180"/>
      <c r="AE987" s="180"/>
      <c r="AF987" s="180"/>
      <c r="AG987" s="180"/>
      <c r="AH987" s="180"/>
      <c r="AI987" s="180"/>
      <c r="AJ987" s="180"/>
      <c r="AK987" s="180"/>
      <c r="AL987" s="180"/>
      <c r="AM987" s="180"/>
      <c r="AN987" s="182"/>
      <c r="AO987" s="180"/>
      <c r="AP987" s="180"/>
      <c r="AQ987" s="180"/>
      <c r="AR987" s="180"/>
      <c r="AS987" s="180"/>
      <c r="AT987" s="180"/>
      <c r="AW987" s="180"/>
      <c r="AX987" s="203"/>
    </row>
    <row r="988" spans="1:50" ht="15.75" customHeight="1" x14ac:dyDescent="0.3">
      <c r="A988" s="192" t="s">
        <v>12</v>
      </c>
      <c r="B988" s="180">
        <f t="shared" ref="B988:Q988" si="312">(B959/$F$10/1.983)</f>
        <v>2738.9981509497393</v>
      </c>
      <c r="C988" s="180">
        <f t="shared" si="312"/>
        <v>2732.8290468986384</v>
      </c>
      <c r="D988" s="180">
        <f t="shared" si="312"/>
        <v>2726.9457051605314</v>
      </c>
      <c r="E988" s="180">
        <f t="shared" si="312"/>
        <v>2642.0238695579087</v>
      </c>
      <c r="F988" s="180">
        <f t="shared" si="312"/>
        <v>36.493528324088075</v>
      </c>
      <c r="G988" s="180">
        <f t="shared" si="312"/>
        <v>-21.717935787527317</v>
      </c>
      <c r="H988" s="180">
        <f t="shared" si="312"/>
        <v>1839.5864851235501</v>
      </c>
      <c r="I988" s="180">
        <f t="shared" si="312"/>
        <v>794.75542107917295</v>
      </c>
      <c r="J988" s="180">
        <f t="shared" si="312"/>
        <v>584.29988233316521</v>
      </c>
      <c r="K988" s="180">
        <f t="shared" si="312"/>
        <v>486.6532190284081</v>
      </c>
      <c r="L988" s="180">
        <f t="shared" si="312"/>
        <v>398.77290300890905</v>
      </c>
      <c r="M988" s="180">
        <f t="shared" si="312"/>
        <v>398.15094973945196</v>
      </c>
      <c r="N988" s="180">
        <f t="shared" si="312"/>
        <v>363.10304252815598</v>
      </c>
      <c r="O988" s="180">
        <f t="shared" si="312"/>
        <v>73.793914943688023</v>
      </c>
      <c r="P988" s="180">
        <f t="shared" si="312"/>
        <v>83.240880820305932</v>
      </c>
      <c r="Q988" s="180">
        <f t="shared" si="312"/>
        <v>73.676248108925861</v>
      </c>
      <c r="R988" s="181"/>
      <c r="AC988" s="182"/>
      <c r="AD988" s="180"/>
      <c r="AE988" s="180"/>
      <c r="AF988" s="180"/>
      <c r="AG988" s="180"/>
      <c r="AH988" s="180"/>
      <c r="AI988" s="180"/>
      <c r="AJ988" s="180"/>
      <c r="AK988" s="180"/>
      <c r="AL988" s="180"/>
      <c r="AM988" s="180"/>
      <c r="AN988" s="182"/>
      <c r="AO988" s="180"/>
      <c r="AP988" s="180"/>
      <c r="AQ988" s="180"/>
      <c r="AR988" s="180"/>
      <c r="AS988" s="180"/>
      <c r="AT988" s="180"/>
      <c r="AW988" s="180"/>
      <c r="AX988" s="203"/>
    </row>
    <row r="989" spans="1:50" ht="15.75" customHeight="1" x14ac:dyDescent="0.3">
      <c r="A989" s="192" t="s">
        <v>13</v>
      </c>
      <c r="B989" s="180">
        <f t="shared" ref="B989:Q989" si="313">(B960/$G$10/1.983)</f>
        <v>2726.9532965692256</v>
      </c>
      <c r="C989" s="180">
        <f t="shared" si="313"/>
        <v>2720.0396922226018</v>
      </c>
      <c r="D989" s="180">
        <f t="shared" si="313"/>
        <v>2713.5002358759129</v>
      </c>
      <c r="E989" s="180">
        <f t="shared" si="313"/>
        <v>2605.1274543295431</v>
      </c>
      <c r="F989" s="180">
        <f t="shared" si="313"/>
        <v>4.2620337383892108</v>
      </c>
      <c r="G989" s="180">
        <f>(G960/$G$10/1.983)</f>
        <v>-267.84116604037541</v>
      </c>
      <c r="H989" s="180">
        <f t="shared" si="313"/>
        <v>2030.1433149512795</v>
      </c>
      <c r="I989" s="180">
        <f t="shared" si="313"/>
        <v>685.84581848941809</v>
      </c>
      <c r="J989" s="180">
        <f t="shared" si="313"/>
        <v>553.72277259935254</v>
      </c>
      <c r="K989" s="180">
        <f t="shared" si="313"/>
        <v>471.19873765718279</v>
      </c>
      <c r="L989" s="180">
        <f t="shared" si="313"/>
        <v>411.88814601532374</v>
      </c>
      <c r="M989" s="180">
        <f t="shared" si="313"/>
        <v>411.2049192328339</v>
      </c>
      <c r="N989" s="180">
        <f t="shared" si="313"/>
        <v>377.40146080393015</v>
      </c>
      <c r="O989" s="180">
        <f t="shared" si="313"/>
        <v>91.763863810128015</v>
      </c>
      <c r="P989" s="180">
        <f t="shared" si="313"/>
        <v>99.751110243521538</v>
      </c>
      <c r="Q989" s="180">
        <f t="shared" si="313"/>
        <v>90.885429375498177</v>
      </c>
      <c r="R989" s="181"/>
      <c r="AC989" s="182"/>
      <c r="AD989" s="180"/>
      <c r="AE989" s="180"/>
      <c r="AF989" s="180"/>
      <c r="AG989" s="180"/>
      <c r="AH989" s="180"/>
      <c r="AI989" s="180"/>
      <c r="AJ989" s="180"/>
      <c r="AK989" s="180"/>
      <c r="AL989" s="180"/>
      <c r="AM989" s="180"/>
      <c r="AN989" s="182"/>
      <c r="AO989" s="180"/>
      <c r="AP989" s="180"/>
      <c r="AQ989" s="180"/>
      <c r="AR989" s="180"/>
      <c r="AS989" s="180"/>
      <c r="AT989" s="180"/>
      <c r="AW989" s="180"/>
      <c r="AX989" s="203"/>
    </row>
    <row r="990" spans="1:50" ht="15.75" customHeight="1" x14ac:dyDescent="0.3">
      <c r="A990" s="192" t="s">
        <v>14</v>
      </c>
      <c r="B990" s="180">
        <f t="shared" ref="B990:Q990" si="314">(B961/$H$10/1.983)</f>
        <v>1512.2709699109093</v>
      </c>
      <c r="C990" s="180">
        <f t="shared" si="314"/>
        <v>1505.2613884686502</v>
      </c>
      <c r="D990" s="180">
        <f t="shared" si="314"/>
        <v>1498.6048075306771</v>
      </c>
      <c r="E990" s="180">
        <f t="shared" si="314"/>
        <v>1387.5609346108588</v>
      </c>
      <c r="F990" s="180">
        <f t="shared" si="314"/>
        <v>0</v>
      </c>
      <c r="G990" s="180">
        <f t="shared" si="314"/>
        <v>-1739.26710371491</v>
      </c>
      <c r="H990" s="180">
        <f t="shared" si="314"/>
        <v>2426.2565136997814</v>
      </c>
      <c r="I990" s="180">
        <f t="shared" si="314"/>
        <v>885.5269793242561</v>
      </c>
      <c r="J990" s="180">
        <f t="shared" si="314"/>
        <v>619.76802824004028</v>
      </c>
      <c r="K990" s="180">
        <f t="shared" si="314"/>
        <v>515.26306942343251</v>
      </c>
      <c r="L990" s="180">
        <f t="shared" si="314"/>
        <v>398.4703311480921</v>
      </c>
      <c r="M990" s="180">
        <f t="shared" si="314"/>
        <v>397.73071104387293</v>
      </c>
      <c r="N990" s="180">
        <f t="shared" si="314"/>
        <v>364.36375861489324</v>
      </c>
      <c r="O990" s="180">
        <f t="shared" si="314"/>
        <v>81.055639603294665</v>
      </c>
      <c r="P990" s="180">
        <f t="shared" si="314"/>
        <v>119.9697428139183</v>
      </c>
      <c r="Q990" s="180">
        <f t="shared" si="314"/>
        <v>80.904353672886202</v>
      </c>
      <c r="R990" s="181"/>
      <c r="AC990" s="182"/>
      <c r="AD990" s="180"/>
      <c r="AE990" s="180"/>
      <c r="AF990" s="180"/>
      <c r="AG990" s="180"/>
      <c r="AH990" s="180"/>
      <c r="AI990" s="180"/>
      <c r="AJ990" s="180"/>
      <c r="AK990" s="180"/>
      <c r="AL990" s="180"/>
      <c r="AM990" s="180"/>
      <c r="AN990" s="182"/>
      <c r="AO990" s="180"/>
      <c r="AP990" s="180"/>
      <c r="AQ990" s="180"/>
      <c r="AR990" s="180"/>
      <c r="AS990" s="180"/>
      <c r="AT990" s="180"/>
      <c r="AW990" s="180"/>
      <c r="AX990" s="203"/>
    </row>
    <row r="991" spans="1:50" ht="15.75" customHeight="1" x14ac:dyDescent="0.3">
      <c r="A991" s="192" t="s">
        <v>16</v>
      </c>
      <c r="B991" s="180">
        <f t="shared" ref="B991:Q991" si="315">(B962/$J$10/1.983)</f>
        <v>933.02750801164734</v>
      </c>
      <c r="C991" s="180">
        <f t="shared" si="315"/>
        <v>926.26030940412863</v>
      </c>
      <c r="D991" s="180">
        <f t="shared" si="315"/>
        <v>919.8509914921998</v>
      </c>
      <c r="E991" s="180">
        <f t="shared" si="315"/>
        <v>805.83345533811587</v>
      </c>
      <c r="F991" s="180">
        <f t="shared" si="315"/>
        <v>16.234769736306998</v>
      </c>
      <c r="G991" s="180">
        <f t="shared" si="315"/>
        <v>-1302.1326435996291</v>
      </c>
      <c r="H991" s="180">
        <f t="shared" si="315"/>
        <v>1522.5220828656481</v>
      </c>
      <c r="I991" s="180">
        <f t="shared" si="315"/>
        <v>687.97683535861268</v>
      </c>
      <c r="J991" s="180">
        <f t="shared" si="315"/>
        <v>508.3369934768109</v>
      </c>
      <c r="K991" s="180">
        <f t="shared" si="315"/>
        <v>434.62983748962955</v>
      </c>
      <c r="L991" s="180">
        <f t="shared" si="315"/>
        <v>353.39091959071459</v>
      </c>
      <c r="M991" s="180">
        <f t="shared" si="315"/>
        <v>352.75649472125974</v>
      </c>
      <c r="N991" s="180">
        <f t="shared" si="315"/>
        <v>339.69384933222716</v>
      </c>
      <c r="O991" s="180">
        <f t="shared" si="315"/>
        <v>63.344883119418277</v>
      </c>
      <c r="P991" s="180">
        <f t="shared" si="315"/>
        <v>95.049859287817398</v>
      </c>
      <c r="Q991" s="180">
        <f t="shared" si="315"/>
        <v>63.231011989003299</v>
      </c>
      <c r="R991" s="181"/>
      <c r="AC991" s="182"/>
      <c r="AD991" s="180"/>
      <c r="AE991" s="180"/>
      <c r="AF991" s="180"/>
      <c r="AG991" s="180"/>
      <c r="AH991" s="180"/>
      <c r="AI991" s="180"/>
      <c r="AJ991" s="180"/>
      <c r="AK991" s="180"/>
      <c r="AL991" s="180"/>
      <c r="AM991" s="180"/>
      <c r="AN991" s="182"/>
      <c r="AO991" s="180"/>
      <c r="AP991" s="180"/>
      <c r="AQ991" s="180"/>
      <c r="AR991" s="180"/>
      <c r="AS991" s="180"/>
      <c r="AT991" s="180"/>
    </row>
    <row r="992" spans="1:50" ht="15.75" customHeight="1" x14ac:dyDescent="0.3">
      <c r="A992" s="192" t="s">
        <v>17</v>
      </c>
      <c r="B992" s="180">
        <f t="shared" ref="B992:Q992" si="316">(B963/$K$10/1.983)</f>
        <v>824.99633985652235</v>
      </c>
      <c r="C992" s="180">
        <f t="shared" si="316"/>
        <v>819.56306020529337</v>
      </c>
      <c r="D992" s="180">
        <f t="shared" si="316"/>
        <v>814.39005742358438</v>
      </c>
      <c r="E992" s="180">
        <f t="shared" si="316"/>
        <v>712.6218014412832</v>
      </c>
      <c r="F992" s="180">
        <f t="shared" si="316"/>
        <v>0</v>
      </c>
      <c r="G992" s="180">
        <f t="shared" si="316"/>
        <v>-1243.5703479576398</v>
      </c>
      <c r="H992" s="180">
        <f t="shared" si="316"/>
        <v>1212.5323312673856</v>
      </c>
      <c r="I992" s="180">
        <f t="shared" si="316"/>
        <v>540.70892912335501</v>
      </c>
      <c r="J992" s="180">
        <f t="shared" si="316"/>
        <v>460.55992061555474</v>
      </c>
      <c r="K992" s="180">
        <f t="shared" si="316"/>
        <v>410.68436549379402</v>
      </c>
      <c r="L992" s="180">
        <f t="shared" si="316"/>
        <v>341.97127194052672</v>
      </c>
      <c r="M992" s="180">
        <f t="shared" si="316"/>
        <v>341.38564898410687</v>
      </c>
      <c r="N992" s="180">
        <f t="shared" si="316"/>
        <v>325.57382916076978</v>
      </c>
      <c r="O992" s="180">
        <f t="shared" si="316"/>
        <v>53.747173555870056</v>
      </c>
      <c r="P992" s="180">
        <f t="shared" si="316"/>
        <v>95.960828331137236</v>
      </c>
      <c r="Q992" s="180">
        <f t="shared" si="316"/>
        <v>53.649569729800071</v>
      </c>
      <c r="R992" s="181"/>
      <c r="AC992" s="182"/>
      <c r="AD992" s="180"/>
      <c r="AE992" s="180"/>
      <c r="AF992" s="180"/>
      <c r="AG992" s="180"/>
      <c r="AH992" s="180"/>
      <c r="AI992" s="180"/>
      <c r="AJ992" s="180"/>
      <c r="AK992" s="180"/>
      <c r="AL992" s="180"/>
      <c r="AM992" s="180"/>
      <c r="AN992" s="182"/>
      <c r="AO992" s="180"/>
      <c r="AP992" s="180"/>
      <c r="AQ992" s="180"/>
      <c r="AR992" s="180"/>
      <c r="AS992" s="180"/>
      <c r="AT992" s="180"/>
    </row>
    <row r="993" spans="1:46" ht="15.75" customHeight="1" x14ac:dyDescent="0.3">
      <c r="A993" s="192" t="s">
        <v>18</v>
      </c>
      <c r="B993" s="180">
        <f t="shared" ref="B993:Q993" si="317">(B964/$L$10/1.983)</f>
        <v>1807.8668683812405</v>
      </c>
      <c r="C993" s="180">
        <f t="shared" si="317"/>
        <v>1802.5550512691209</v>
      </c>
      <c r="D993" s="180">
        <f t="shared" si="317"/>
        <v>1797.4953773743487</v>
      </c>
      <c r="E993" s="180">
        <f t="shared" si="317"/>
        <v>1727.0633719952934</v>
      </c>
      <c r="F993" s="180">
        <f t="shared" si="317"/>
        <v>10.220205076483442</v>
      </c>
      <c r="G993" s="180">
        <f t="shared" si="317"/>
        <v>-140.07396201042189</v>
      </c>
      <c r="H993" s="180">
        <f t="shared" si="317"/>
        <v>1202.2356698604806</v>
      </c>
      <c r="I993" s="180">
        <f t="shared" si="317"/>
        <v>459.2704656244747</v>
      </c>
      <c r="J993" s="180">
        <f t="shared" si="317"/>
        <v>410.52277693730042</v>
      </c>
      <c r="K993" s="180">
        <f t="shared" si="317"/>
        <v>374.46629685661458</v>
      </c>
      <c r="L993" s="180">
        <f t="shared" si="317"/>
        <v>268.06185913598927</v>
      </c>
      <c r="M993" s="180">
        <f t="shared" si="317"/>
        <v>267.49033451000162</v>
      </c>
      <c r="N993" s="180">
        <f t="shared" si="317"/>
        <v>262.88451840645484</v>
      </c>
      <c r="O993" s="180">
        <f t="shared" si="317"/>
        <v>62.481089258698944</v>
      </c>
      <c r="P993" s="180">
        <f t="shared" si="317"/>
        <v>53.622457555891742</v>
      </c>
      <c r="Q993" s="180">
        <f t="shared" si="317"/>
        <v>62.380231971759962</v>
      </c>
      <c r="R993" s="181"/>
      <c r="AC993" s="182"/>
      <c r="AD993" s="180"/>
      <c r="AE993" s="180"/>
      <c r="AF993" s="180"/>
      <c r="AG993" s="180"/>
      <c r="AH993" s="180"/>
      <c r="AI993" s="180"/>
      <c r="AJ993" s="180"/>
      <c r="AK993" s="180"/>
      <c r="AL993" s="180"/>
      <c r="AM993" s="180"/>
      <c r="AN993" s="182"/>
      <c r="AO993" s="180"/>
      <c r="AP993" s="180"/>
      <c r="AQ993" s="180"/>
      <c r="AR993" s="180"/>
      <c r="AS993" s="180"/>
      <c r="AT993" s="180"/>
    </row>
    <row r="994" spans="1:46" ht="15.75" customHeight="1" x14ac:dyDescent="0.3">
      <c r="A994" s="192" t="s">
        <v>20</v>
      </c>
      <c r="B994" s="180">
        <f t="shared" ref="B994:Q994" si="318">(B965/$N$10/1.983)</f>
        <v>2262.830836302116</v>
      </c>
      <c r="C994" s="180">
        <f t="shared" si="318"/>
        <v>2258.194654563792</v>
      </c>
      <c r="D994" s="180">
        <f t="shared" si="318"/>
        <v>2253.7699477819529</v>
      </c>
      <c r="E994" s="180">
        <f t="shared" si="318"/>
        <v>2203.5202446602575</v>
      </c>
      <c r="F994" s="180">
        <f t="shared" si="318"/>
        <v>869.21087306622417</v>
      </c>
      <c r="G994" s="180">
        <f t="shared" si="318"/>
        <v>0</v>
      </c>
      <c r="H994" s="180">
        <f t="shared" si="318"/>
        <v>777.80488995168616</v>
      </c>
      <c r="I994" s="180">
        <f t="shared" si="318"/>
        <v>230.80051404681728</v>
      </c>
      <c r="J994" s="180">
        <f t="shared" si="318"/>
        <v>230.29622761212238</v>
      </c>
      <c r="K994" s="180">
        <f t="shared" si="318"/>
        <v>226.4896783953931</v>
      </c>
      <c r="L994" s="180">
        <f t="shared" si="318"/>
        <v>181.03883005547149</v>
      </c>
      <c r="M994" s="180">
        <f t="shared" si="318"/>
        <v>180.56707822946657</v>
      </c>
      <c r="N994" s="180">
        <f t="shared" si="318"/>
        <v>170.59522066598345</v>
      </c>
      <c r="O994" s="180">
        <f t="shared" si="318"/>
        <v>53.519431295040093</v>
      </c>
      <c r="P994" s="180">
        <f t="shared" si="318"/>
        <v>4.1481626079742329</v>
      </c>
      <c r="Q994" s="180">
        <f t="shared" si="318"/>
        <v>53.438094773315115</v>
      </c>
      <c r="R994" s="181"/>
      <c r="AC994" s="180"/>
      <c r="AD994" s="180"/>
      <c r="AE994" s="180"/>
      <c r="AF994" s="180"/>
      <c r="AG994" s="180"/>
      <c r="AH994" s="180"/>
      <c r="AI994" s="180"/>
      <c r="AJ994" s="180"/>
      <c r="AK994" s="180"/>
      <c r="AL994" s="180"/>
      <c r="AM994" s="180"/>
      <c r="AN994" s="180"/>
      <c r="AO994" s="180"/>
      <c r="AP994" s="180"/>
      <c r="AQ994" s="180"/>
      <c r="AR994" s="180"/>
      <c r="AS994" s="180"/>
      <c r="AT994" s="180"/>
    </row>
    <row r="995" spans="1:46" ht="15.75" customHeight="1" x14ac:dyDescent="0.3">
      <c r="A995" s="192" t="s">
        <v>21</v>
      </c>
      <c r="B995" s="180">
        <f t="shared" ref="B995:Q995" si="319">(B966/$O$10/1.983)</f>
        <v>2074.9705832913096</v>
      </c>
      <c r="C995" s="180">
        <f t="shared" si="319"/>
        <v>2071.0203395528656</v>
      </c>
      <c r="D995" s="180">
        <f t="shared" si="319"/>
        <v>2067.221381744831</v>
      </c>
      <c r="E995" s="180">
        <f t="shared" si="319"/>
        <v>2027.8534207429818</v>
      </c>
      <c r="F995" s="180">
        <f t="shared" si="319"/>
        <v>1125.6177508825012</v>
      </c>
      <c r="G995" s="180">
        <f t="shared" si="319"/>
        <v>0</v>
      </c>
      <c r="H995" s="180">
        <f t="shared" si="319"/>
        <v>446.89863842662635</v>
      </c>
      <c r="I995" s="180">
        <f t="shared" si="319"/>
        <v>14.405782484451167</v>
      </c>
      <c r="J995" s="180">
        <f t="shared" si="319"/>
        <v>13.481257354177172</v>
      </c>
      <c r="K995" s="180">
        <f t="shared" si="319"/>
        <v>12.506303580433686</v>
      </c>
      <c r="L995" s="180">
        <f t="shared" si="319"/>
        <v>9.8672045721970072</v>
      </c>
      <c r="M995" s="180">
        <f t="shared" si="319"/>
        <v>9.4805849722642463</v>
      </c>
      <c r="N995" s="180">
        <f t="shared" si="319"/>
        <v>5.3118171121196838</v>
      </c>
      <c r="O995" s="180">
        <f t="shared" si="319"/>
        <v>3.4627668515716925</v>
      </c>
      <c r="P995" s="180">
        <f t="shared" si="319"/>
        <v>89.628508993108071</v>
      </c>
      <c r="Q995" s="180">
        <f t="shared" si="319"/>
        <v>3.4123382081022018</v>
      </c>
      <c r="R995" s="181"/>
      <c r="AC995" s="182"/>
      <c r="AD995" s="180"/>
      <c r="AE995" s="180"/>
      <c r="AF995" s="180"/>
      <c r="AG995" s="180"/>
      <c r="AH995" s="180"/>
      <c r="AI995" s="180"/>
      <c r="AJ995" s="180"/>
      <c r="AK995" s="180"/>
      <c r="AL995" s="180"/>
      <c r="AM995" s="180"/>
      <c r="AN995" s="182"/>
      <c r="AO995" s="180"/>
      <c r="AP995" s="180"/>
      <c r="AQ995" s="180"/>
      <c r="AR995" s="180"/>
      <c r="AS995" s="180"/>
      <c r="AT995" s="180"/>
    </row>
    <row r="996" spans="1:46" ht="15.75" customHeight="1" thickBot="1" x14ac:dyDescent="0.35">
      <c r="A996" s="206" t="s">
        <v>22</v>
      </c>
      <c r="B996" s="195">
        <f t="shared" ref="B996:Q996" si="320">(B967/$P$10/1.983)</f>
        <v>1396.2552665397818</v>
      </c>
      <c r="C996" s="195">
        <f t="shared" si="320"/>
        <v>1393.2295479316124</v>
      </c>
      <c r="D996" s="195">
        <f t="shared" si="320"/>
        <v>1390.3177004538577</v>
      </c>
      <c r="E996" s="195">
        <f t="shared" si="320"/>
        <v>1348.6245994176306</v>
      </c>
      <c r="F996" s="195">
        <f t="shared" si="320"/>
        <v>277.29246986481871</v>
      </c>
      <c r="G996" s="195">
        <f t="shared" si="320"/>
        <v>0</v>
      </c>
      <c r="H996" s="195">
        <f t="shared" si="320"/>
        <v>701.18588648675029</v>
      </c>
      <c r="I996" s="195">
        <f t="shared" si="320"/>
        <v>320.56349942251063</v>
      </c>
      <c r="J996" s="195">
        <f t="shared" si="320"/>
        <v>313.09680672815705</v>
      </c>
      <c r="K996" s="195">
        <f t="shared" si="320"/>
        <v>311.8279569892473</v>
      </c>
      <c r="L996" s="195">
        <f t="shared" si="320"/>
        <v>240.9350446537504</v>
      </c>
      <c r="M996" s="195">
        <f t="shared" si="320"/>
        <v>240.62596587119549</v>
      </c>
      <c r="N996" s="195">
        <f t="shared" si="320"/>
        <v>237.87679143689098</v>
      </c>
      <c r="O996" s="195">
        <f t="shared" si="320"/>
        <v>68.452816683747344</v>
      </c>
      <c r="P996" s="195">
        <f t="shared" si="320"/>
        <v>86.070307289379073</v>
      </c>
      <c r="Q996" s="195">
        <f t="shared" si="320"/>
        <v>68.420282075057344</v>
      </c>
      <c r="R996" s="196"/>
    </row>
    <row r="997" spans="1:46" ht="15.75" customHeight="1" x14ac:dyDescent="0.3">
      <c r="R997" s="351"/>
      <c r="AD997" s="449"/>
      <c r="AE997" s="397"/>
      <c r="AF997" s="397"/>
      <c r="AG997" s="397"/>
      <c r="AH997" s="397"/>
      <c r="AI997" s="397"/>
      <c r="AJ997" s="397"/>
      <c r="AK997" s="397"/>
      <c r="AL997" s="397"/>
      <c r="AM997" s="397"/>
      <c r="AN997" s="397"/>
      <c r="AO997" s="397"/>
      <c r="AP997" s="397"/>
      <c r="AQ997" s="397"/>
      <c r="AR997" s="378"/>
      <c r="AS997" s="382"/>
    </row>
    <row r="998" spans="1:46" ht="15.75" customHeight="1" x14ac:dyDescent="0.3">
      <c r="R998" s="180"/>
      <c r="AD998" s="394"/>
      <c r="AE998" s="396"/>
      <c r="AF998" s="396"/>
      <c r="AG998" s="396"/>
      <c r="AH998" s="396"/>
      <c r="AI998" s="396"/>
      <c r="AJ998" s="396"/>
      <c r="AK998" s="396"/>
      <c r="AL998" s="396"/>
      <c r="AM998" s="396"/>
      <c r="AN998" s="396"/>
      <c r="AO998" s="396"/>
      <c r="AP998" s="396"/>
      <c r="AQ998" s="396"/>
      <c r="AR998" s="192"/>
    </row>
    <row r="999" spans="1:46" ht="15.75" customHeight="1" x14ac:dyDescent="0.3">
      <c r="A999" s="192"/>
      <c r="AD999" s="394"/>
      <c r="AE999" s="397"/>
      <c r="AF999" s="397"/>
      <c r="AG999" s="397"/>
      <c r="AH999" s="397"/>
      <c r="AI999" s="397"/>
      <c r="AJ999" s="397"/>
      <c r="AK999" s="397"/>
      <c r="AL999" s="397"/>
      <c r="AM999" s="397"/>
      <c r="AN999" s="397"/>
      <c r="AO999" s="397"/>
      <c r="AP999" s="397"/>
      <c r="AQ999" s="397"/>
    </row>
    <row r="1000" spans="1:46" ht="15.75" customHeight="1" x14ac:dyDescent="0.3">
      <c r="A1000" s="192"/>
    </row>
    <row r="1001" spans="1:46" ht="15.75" customHeight="1" thickBot="1" x14ac:dyDescent="0.35">
      <c r="A1001" s="192"/>
      <c r="AD1001" s="395"/>
      <c r="AE1001" s="397"/>
      <c r="AF1001" s="397"/>
      <c r="AG1001" s="397"/>
      <c r="AH1001" s="397"/>
      <c r="AI1001" s="397"/>
      <c r="AJ1001" s="397"/>
      <c r="AK1001" s="397"/>
      <c r="AL1001" s="397"/>
      <c r="AM1001" s="397"/>
      <c r="AN1001" s="397"/>
      <c r="AO1001" s="397"/>
      <c r="AP1001" s="397"/>
      <c r="AQ1001" s="397"/>
    </row>
    <row r="1002" spans="1:46" ht="15.75" customHeight="1" x14ac:dyDescent="0.3">
      <c r="A1002" s="356"/>
      <c r="B1002" s="423" t="s">
        <v>716</v>
      </c>
      <c r="C1002" s="423"/>
      <c r="D1002" s="423"/>
      <c r="E1002" s="423"/>
      <c r="F1002" s="423"/>
      <c r="G1002" s="423"/>
      <c r="H1002" s="423"/>
      <c r="I1002" s="423"/>
      <c r="J1002" s="423"/>
      <c r="K1002" s="423"/>
      <c r="L1002" s="423"/>
      <c r="M1002" s="423"/>
      <c r="N1002" s="423"/>
      <c r="O1002" s="423"/>
      <c r="P1002" s="423"/>
      <c r="Q1002" s="354" t="str">
        <f>+Q1</f>
        <v xml:space="preserve">PRINTED:  </v>
      </c>
      <c r="R1002" s="355">
        <f ca="1">+R1</f>
        <v>44894.658168402777</v>
      </c>
      <c r="AD1002" s="394"/>
      <c r="AE1002" s="396"/>
      <c r="AF1002" s="396"/>
      <c r="AG1002" s="396"/>
      <c r="AH1002" s="396"/>
      <c r="AI1002" s="396"/>
      <c r="AJ1002" s="396"/>
      <c r="AK1002" s="396"/>
      <c r="AL1002" s="396"/>
      <c r="AM1002" s="396"/>
      <c r="AN1002" s="396"/>
      <c r="AO1002" s="396"/>
      <c r="AP1002" s="396"/>
      <c r="AQ1002" s="396"/>
      <c r="AR1002" s="182"/>
    </row>
    <row r="1003" spans="1:46" ht="16.5" customHeight="1" x14ac:dyDescent="0.3">
      <c r="A1003" s="189"/>
      <c r="B1003" s="394" t="str">
        <f>+A8</f>
        <v>Revised:  10/27/2021</v>
      </c>
      <c r="C1003" s="394"/>
      <c r="D1003" s="394"/>
      <c r="E1003" s="394"/>
      <c r="F1003" s="394"/>
      <c r="G1003" s="394"/>
      <c r="H1003" s="394"/>
      <c r="I1003" s="394"/>
      <c r="J1003" s="394"/>
      <c r="K1003" s="394"/>
      <c r="L1003" s="394"/>
      <c r="M1003" s="394"/>
      <c r="N1003" s="394"/>
      <c r="O1003" s="394"/>
      <c r="P1003" s="394"/>
      <c r="Q1003" s="180"/>
      <c r="R1003" s="181"/>
      <c r="AK1003" s="190"/>
    </row>
    <row r="1004" spans="1:46" ht="15.75" customHeight="1" x14ac:dyDescent="0.3">
      <c r="A1004" s="189"/>
      <c r="B1004" s="394" t="s">
        <v>670</v>
      </c>
      <c r="C1004" s="394"/>
      <c r="D1004" s="394"/>
      <c r="E1004" s="394"/>
      <c r="F1004" s="394"/>
      <c r="G1004" s="394"/>
      <c r="H1004" s="394"/>
      <c r="I1004" s="394"/>
      <c r="J1004" s="394"/>
      <c r="K1004" s="394"/>
      <c r="L1004" s="394"/>
      <c r="M1004" s="394"/>
      <c r="N1004" s="394"/>
      <c r="O1004" s="394"/>
      <c r="P1004" s="394"/>
      <c r="Q1004" s="180"/>
      <c r="R1004" s="181"/>
      <c r="AD1004" s="270"/>
      <c r="AE1004" s="270"/>
      <c r="AF1004" s="270"/>
      <c r="AG1004" s="270"/>
      <c r="AH1004" s="270"/>
      <c r="AI1004" s="270"/>
      <c r="AJ1004" s="270"/>
      <c r="AK1004" s="270"/>
      <c r="AL1004" s="270"/>
      <c r="AM1004" s="270"/>
      <c r="AN1004" s="270"/>
      <c r="AO1004" s="270"/>
      <c r="AP1004" s="270"/>
      <c r="AQ1004" s="270"/>
      <c r="AR1004" s="270"/>
      <c r="AS1004" s="270"/>
    </row>
    <row r="1005" spans="1:46" ht="15.75" customHeight="1" x14ac:dyDescent="0.3">
      <c r="A1005" s="189"/>
      <c r="B1005" s="180"/>
      <c r="C1005" s="180"/>
      <c r="D1005" s="180"/>
      <c r="E1005" s="180"/>
      <c r="F1005" s="180"/>
      <c r="G1005" s="180"/>
      <c r="H1005" s="180"/>
      <c r="I1005" s="180"/>
      <c r="J1005" s="180"/>
      <c r="K1005" s="180"/>
      <c r="L1005" s="180"/>
      <c r="M1005" s="180"/>
      <c r="N1005" s="180"/>
      <c r="O1005" s="180"/>
      <c r="P1005" s="180"/>
      <c r="Q1005" s="180"/>
      <c r="R1005" s="181"/>
      <c r="AD1005" s="180"/>
      <c r="AE1005" s="180"/>
      <c r="AF1005" s="180"/>
      <c r="AG1005" s="180"/>
      <c r="AH1005" s="182"/>
      <c r="AI1005" s="180"/>
      <c r="AJ1005" s="180"/>
      <c r="AK1005" s="180"/>
      <c r="AL1005" s="180"/>
      <c r="AM1005" s="180"/>
      <c r="AN1005" s="180"/>
      <c r="AO1005" s="180"/>
      <c r="AP1005" s="180"/>
      <c r="AQ1005" s="180"/>
      <c r="AR1005" s="180"/>
      <c r="AS1005" s="180"/>
    </row>
    <row r="1006" spans="1:46" ht="15.75" customHeight="1" x14ac:dyDescent="0.3">
      <c r="A1006" s="189"/>
      <c r="B1006" s="395">
        <f>A5</f>
        <v>2021</v>
      </c>
      <c r="C1006" s="395"/>
      <c r="D1006" s="395"/>
      <c r="E1006" s="395"/>
      <c r="F1006" s="395"/>
      <c r="G1006" s="395"/>
      <c r="H1006" s="395"/>
      <c r="I1006" s="395"/>
      <c r="J1006" s="395"/>
      <c r="K1006" s="395"/>
      <c r="L1006" s="395"/>
      <c r="M1006" s="395"/>
      <c r="N1006" s="395"/>
      <c r="O1006" s="395"/>
      <c r="P1006" s="395"/>
      <c r="Q1006" s="180"/>
      <c r="R1006" s="181"/>
      <c r="S1006" s="180"/>
      <c r="AC1006" s="192"/>
      <c r="AD1006" s="212"/>
      <c r="AE1006" s="212"/>
      <c r="AF1006" s="212"/>
      <c r="AG1006" s="212"/>
      <c r="AH1006" s="212"/>
      <c r="AI1006" s="212"/>
      <c r="AJ1006" s="212"/>
      <c r="AK1006" s="212"/>
      <c r="AL1006" s="212"/>
      <c r="AM1006" s="212"/>
      <c r="AN1006" s="212"/>
      <c r="AO1006" s="212"/>
      <c r="AP1006" s="212"/>
      <c r="AQ1006" s="212"/>
      <c r="AR1006" s="212"/>
      <c r="AS1006" s="182"/>
    </row>
    <row r="1007" spans="1:46" ht="15.75" customHeight="1" x14ac:dyDescent="0.3">
      <c r="A1007" s="189"/>
      <c r="B1007" s="394" t="s">
        <v>717</v>
      </c>
      <c r="C1007" s="394"/>
      <c r="D1007" s="394"/>
      <c r="E1007" s="394"/>
      <c r="F1007" s="394"/>
      <c r="G1007" s="394"/>
      <c r="H1007" s="394"/>
      <c r="I1007" s="394"/>
      <c r="J1007" s="394"/>
      <c r="K1007" s="394"/>
      <c r="L1007" s="394"/>
      <c r="M1007" s="394"/>
      <c r="N1007" s="394"/>
      <c r="O1007" s="394"/>
      <c r="P1007" s="394"/>
      <c r="Q1007" s="180"/>
      <c r="R1007" s="181"/>
      <c r="S1007" s="180"/>
      <c r="AC1007" s="192"/>
      <c r="AD1007" s="212"/>
      <c r="AE1007" s="212"/>
      <c r="AF1007" s="212"/>
      <c r="AG1007" s="212"/>
      <c r="AH1007" s="212"/>
      <c r="AI1007" s="212"/>
      <c r="AJ1007" s="212"/>
      <c r="AK1007" s="212"/>
      <c r="AL1007" s="212"/>
      <c r="AM1007" s="212"/>
      <c r="AN1007" s="212"/>
      <c r="AO1007" s="212"/>
      <c r="AP1007" s="212"/>
      <c r="AQ1007" s="212"/>
      <c r="AR1007" s="212"/>
      <c r="AS1007" s="182"/>
    </row>
    <row r="1008" spans="1:46" ht="15.75" customHeight="1" x14ac:dyDescent="0.3">
      <c r="A1008" s="189"/>
      <c r="B1008" s="180"/>
      <c r="C1008" s="180"/>
      <c r="D1008" s="180"/>
      <c r="E1008" s="180"/>
      <c r="F1008" s="180"/>
      <c r="G1008" s="180"/>
      <c r="H1008" s="180"/>
      <c r="I1008" s="180"/>
      <c r="J1008" s="180"/>
      <c r="K1008" s="180"/>
      <c r="L1008" s="180"/>
      <c r="M1008" s="180"/>
      <c r="N1008" s="180"/>
      <c r="O1008" s="180"/>
      <c r="P1008" s="180"/>
      <c r="Q1008" s="180"/>
      <c r="R1008" s="181"/>
      <c r="S1008" s="180"/>
      <c r="AC1008" s="192"/>
      <c r="AD1008" s="212"/>
      <c r="AE1008" s="212"/>
      <c r="AF1008" s="212"/>
      <c r="AG1008" s="212"/>
      <c r="AH1008" s="212"/>
      <c r="AI1008" s="212"/>
      <c r="AJ1008" s="212"/>
      <c r="AK1008" s="212"/>
      <c r="AL1008" s="212"/>
      <c r="AM1008" s="212"/>
      <c r="AN1008" s="212"/>
      <c r="AO1008" s="212"/>
      <c r="AP1008" s="212"/>
      <c r="AQ1008" s="212"/>
      <c r="AR1008" s="212"/>
      <c r="AS1008" s="182"/>
    </row>
    <row r="1009" spans="1:47" ht="15.75" customHeight="1" thickBot="1" x14ac:dyDescent="0.35">
      <c r="A1009" s="189" t="s">
        <v>647</v>
      </c>
      <c r="B1009" s="191" t="s">
        <v>677</v>
      </c>
      <c r="C1009" s="191" t="s">
        <v>678</v>
      </c>
      <c r="D1009" s="191" t="s">
        <v>679</v>
      </c>
      <c r="E1009" s="191" t="s">
        <v>680</v>
      </c>
      <c r="F1009" s="191" t="s">
        <v>644</v>
      </c>
      <c r="G1009" s="191" t="s">
        <v>644</v>
      </c>
      <c r="H1009" s="191" t="s">
        <v>681</v>
      </c>
      <c r="I1009" s="191" t="s">
        <v>682</v>
      </c>
      <c r="J1009" s="191" t="s">
        <v>683</v>
      </c>
      <c r="K1009" s="191" t="s">
        <v>684</v>
      </c>
      <c r="L1009" s="191" t="s">
        <v>685</v>
      </c>
      <c r="M1009" s="191" t="s">
        <v>686</v>
      </c>
      <c r="N1009" s="191" t="s">
        <v>687</v>
      </c>
      <c r="O1009" s="191" t="s">
        <v>688</v>
      </c>
      <c r="P1009" s="191" t="s">
        <v>689</v>
      </c>
      <c r="Q1009" s="191" t="s">
        <v>638</v>
      </c>
      <c r="R1009" s="209" t="s">
        <v>641</v>
      </c>
      <c r="S1009" s="182"/>
      <c r="AC1009" s="192"/>
      <c r="AD1009" s="212"/>
      <c r="AE1009" s="212"/>
      <c r="AF1009" s="212"/>
      <c r="AG1009" s="212"/>
      <c r="AH1009" s="212"/>
      <c r="AI1009" s="212"/>
      <c r="AJ1009" s="212"/>
      <c r="AK1009" s="212"/>
      <c r="AL1009" s="212"/>
      <c r="AM1009" s="212"/>
      <c r="AN1009" s="212"/>
      <c r="AO1009" s="212"/>
      <c r="AP1009" s="212"/>
      <c r="AQ1009" s="212"/>
      <c r="AR1009" s="212"/>
      <c r="AS1009" s="182"/>
    </row>
    <row r="1010" spans="1:47" ht="15.75" customHeight="1" x14ac:dyDescent="0.3">
      <c r="A1010" s="189"/>
      <c r="B1010" s="180"/>
      <c r="C1010" s="180"/>
      <c r="D1010" s="180"/>
      <c r="E1010" s="180"/>
      <c r="F1010" s="182" t="s">
        <v>127</v>
      </c>
      <c r="G1010" s="182" t="s">
        <v>653</v>
      </c>
      <c r="H1010" s="180"/>
      <c r="I1010" s="180"/>
      <c r="J1010" s="180"/>
      <c r="K1010" s="180"/>
      <c r="L1010" s="180"/>
      <c r="M1010" s="180"/>
      <c r="N1010" s="180"/>
      <c r="O1010" s="180"/>
      <c r="P1010" s="180"/>
      <c r="Q1010" s="180"/>
      <c r="R1010" s="213" t="s">
        <v>722</v>
      </c>
      <c r="S1010" s="182"/>
      <c r="AC1010" s="192"/>
      <c r="AD1010" s="212"/>
      <c r="AE1010" s="212"/>
      <c r="AF1010" s="212"/>
      <c r="AG1010" s="212"/>
      <c r="AH1010" s="212"/>
      <c r="AI1010" s="212"/>
      <c r="AJ1010" s="212"/>
      <c r="AK1010" s="212"/>
      <c r="AL1010" s="212"/>
      <c r="AM1010" s="212"/>
      <c r="AN1010" s="212"/>
      <c r="AO1010" s="212"/>
      <c r="AP1010" s="212"/>
      <c r="AQ1010" s="212"/>
      <c r="AR1010" s="212"/>
      <c r="AS1010" s="182"/>
    </row>
    <row r="1011" spans="1:47" ht="15.75" customHeight="1" x14ac:dyDescent="0.3">
      <c r="A1011" s="189" t="s">
        <v>724</v>
      </c>
      <c r="B1011" s="214">
        <v>957</v>
      </c>
      <c r="C1011" s="214">
        <v>122</v>
      </c>
      <c r="D1011" s="214">
        <v>128</v>
      </c>
      <c r="E1011" s="214">
        <v>219</v>
      </c>
      <c r="F1011" s="214"/>
      <c r="G1011" s="214"/>
      <c r="H1011" s="214">
        <v>97</v>
      </c>
      <c r="I1011" s="214">
        <v>160</v>
      </c>
      <c r="J1011" s="214">
        <v>250</v>
      </c>
      <c r="K1011" s="214">
        <v>260</v>
      </c>
      <c r="L1011" s="214">
        <v>100</v>
      </c>
      <c r="M1011" s="214">
        <v>118</v>
      </c>
      <c r="N1011" s="214">
        <v>250</v>
      </c>
      <c r="O1011" s="214">
        <v>190</v>
      </c>
      <c r="P1011" s="214">
        <v>340</v>
      </c>
      <c r="Q1011" s="214">
        <v>450</v>
      </c>
      <c r="R1011" s="213" t="s">
        <v>658</v>
      </c>
      <c r="S1011" s="182"/>
      <c r="AC1011" s="192"/>
      <c r="AD1011" s="215"/>
      <c r="AE1011" s="215"/>
      <c r="AF1011" s="215"/>
      <c r="AG1011" s="215"/>
      <c r="AH1011" s="215"/>
      <c r="AI1011" s="215"/>
      <c r="AJ1011" s="215"/>
      <c r="AK1011" s="215"/>
      <c r="AL1011" s="215"/>
      <c r="AM1011" s="215"/>
      <c r="AN1011" s="215"/>
      <c r="AO1011" s="215"/>
      <c r="AP1011" s="215"/>
      <c r="AQ1011" s="215"/>
      <c r="AR1011" s="215"/>
      <c r="AS1011" s="182"/>
      <c r="AU1011" s="192"/>
    </row>
    <row r="1012" spans="1:47" ht="15.75" customHeight="1" x14ac:dyDescent="0.3">
      <c r="A1012" s="189"/>
      <c r="B1012" s="182" t="s">
        <v>666</v>
      </c>
      <c r="C1012" s="182" t="s">
        <v>666</v>
      </c>
      <c r="D1012" s="182" t="s">
        <v>666</v>
      </c>
      <c r="E1012" s="182" t="s">
        <v>666</v>
      </c>
      <c r="F1012" s="182" t="s">
        <v>666</v>
      </c>
      <c r="G1012" s="182" t="s">
        <v>666</v>
      </c>
      <c r="H1012" s="182" t="s">
        <v>666</v>
      </c>
      <c r="I1012" s="182" t="s">
        <v>666</v>
      </c>
      <c r="J1012" s="182" t="s">
        <v>666</v>
      </c>
      <c r="K1012" s="182" t="s">
        <v>666</v>
      </c>
      <c r="L1012" s="182" t="s">
        <v>666</v>
      </c>
      <c r="M1012" s="182" t="s">
        <v>666</v>
      </c>
      <c r="N1012" s="182" t="s">
        <v>666</v>
      </c>
      <c r="O1012" s="182" t="s">
        <v>666</v>
      </c>
      <c r="P1012" s="182" t="s">
        <v>666</v>
      </c>
      <c r="Q1012" s="182" t="s">
        <v>666</v>
      </c>
      <c r="R1012" s="213" t="s">
        <v>714</v>
      </c>
      <c r="S1012" s="182"/>
      <c r="T1012" s="182"/>
      <c r="AC1012" s="182"/>
      <c r="AD1012" s="182"/>
      <c r="AE1012" s="182"/>
      <c r="AF1012" s="182"/>
      <c r="AG1012" s="182"/>
      <c r="AH1012" s="182"/>
      <c r="AI1012" s="182"/>
      <c r="AJ1012" s="182"/>
      <c r="AK1012" s="182"/>
      <c r="AL1012" s="182"/>
      <c r="AM1012" s="182"/>
      <c r="AN1012" s="182"/>
      <c r="AO1012" s="182"/>
      <c r="AP1012" s="182"/>
      <c r="AQ1012" s="182"/>
      <c r="AR1012" s="182"/>
      <c r="AS1012" s="182"/>
    </row>
    <row r="1013" spans="1:47" ht="15.75" customHeight="1" x14ac:dyDescent="0.3">
      <c r="A1013" s="192" t="s">
        <v>8</v>
      </c>
      <c r="B1013" s="180">
        <f>ROUND((B956*$B$1011)/1000,0)</f>
        <v>115953</v>
      </c>
      <c r="C1013" s="180">
        <f t="shared" ref="C1013:C1024" si="321">ROUND((C956*$C$1011)/1000,0)</f>
        <v>14770</v>
      </c>
      <c r="D1013" s="180">
        <f t="shared" ref="D1013:D1024" si="322">ROUND((D956*$D$1011)/1000,0)</f>
        <v>15484</v>
      </c>
      <c r="E1013" s="180">
        <f t="shared" ref="E1013:E1024" si="323">ROUND((E956*$E$1011)/1000,0)</f>
        <v>26352</v>
      </c>
      <c r="F1013" s="180">
        <f t="shared" ref="F1013:F1024" si="324">(F956*((U956-1526.8)/0.7702))/1000</f>
        <v>15183.538193203072</v>
      </c>
      <c r="G1013" s="180">
        <f t="shared" ref="G1013:G1024" si="325">(G956*((U956-1591.4)/0.6635))/1000</f>
        <v>0</v>
      </c>
      <c r="H1013" s="180">
        <f t="shared" ref="H1013:H1024" si="326">ROUND((H956*$H$1011)/1000,0)</f>
        <v>2700</v>
      </c>
      <c r="I1013" s="180">
        <f t="shared" ref="I1013:I1024" si="327">ROUND((I956*$I$1011)/1000,0)</f>
        <v>1855</v>
      </c>
      <c r="J1013" s="180">
        <f t="shared" ref="J1013:J1024" si="328">ROUND((J956*$J$1011)/1000,0)</f>
        <v>2896</v>
      </c>
      <c r="K1013" s="180">
        <f t="shared" ref="K1013:K1024" si="329">ROUND((K956*$K$1011)/1000,0)</f>
        <v>2993</v>
      </c>
      <c r="L1013" s="180">
        <f t="shared" ref="L1013:L1024" si="330">ROUND((L956*$L$1011)/1000,0)</f>
        <v>888</v>
      </c>
      <c r="M1013" s="180">
        <f t="shared" ref="M1013:M1024" si="331">ROUND((M956*$M$1011)/1000,0)</f>
        <v>1046</v>
      </c>
      <c r="N1013" s="180">
        <f t="shared" ref="N1013:N1024" si="332">ROUND((N956*$N$1011)/1000,0)</f>
        <v>1846</v>
      </c>
      <c r="O1013" s="180">
        <f t="shared" ref="O1013:O1024" si="333">ROUND((O956*$O$1011)/1000,0)</f>
        <v>648</v>
      </c>
      <c r="P1013" s="180">
        <f t="shared" ref="P1013:P1024" si="334">ROUND((P956*$P$1011)/1000,0)</f>
        <v>1609</v>
      </c>
      <c r="Q1013" s="180">
        <f t="shared" ref="Q1013:Q1024" si="335">ROUND((Q956*$Q$1011)/1000,0)</f>
        <v>1534</v>
      </c>
      <c r="R1013" s="216">
        <f>(SUM(B1013:Q1013))</f>
        <v>205757.53819320307</v>
      </c>
      <c r="S1013" s="217"/>
      <c r="AC1013" s="192"/>
      <c r="AD1013" s="180"/>
      <c r="AE1013" s="180"/>
      <c r="AF1013" s="180"/>
      <c r="AG1013" s="180"/>
      <c r="AH1013" s="180"/>
      <c r="AI1013" s="180"/>
      <c r="AJ1013" s="180"/>
      <c r="AK1013" s="180"/>
      <c r="AL1013" s="180"/>
      <c r="AM1013" s="180"/>
      <c r="AN1013" s="180"/>
      <c r="AO1013" s="180"/>
      <c r="AP1013" s="180"/>
      <c r="AQ1013" s="180"/>
      <c r="AR1013" s="180"/>
      <c r="AS1013" s="180"/>
      <c r="AU1013" s="218"/>
    </row>
    <row r="1014" spans="1:47" ht="15.75" customHeight="1" x14ac:dyDescent="0.3">
      <c r="A1014" s="192" t="s">
        <v>9</v>
      </c>
      <c r="B1014" s="180">
        <f t="shared" ref="B1014:B1024" si="336">ROUND((B957*$B$1011)/1000,0)</f>
        <v>105727</v>
      </c>
      <c r="C1014" s="180">
        <f t="shared" si="321"/>
        <v>13460</v>
      </c>
      <c r="D1014" s="180">
        <f t="shared" si="322"/>
        <v>14104</v>
      </c>
      <c r="E1014" s="180">
        <f t="shared" si="323"/>
        <v>23919</v>
      </c>
      <c r="F1014" s="180">
        <f t="shared" si="324"/>
        <v>7611.6063879511876</v>
      </c>
      <c r="G1014" s="180">
        <f t="shared" si="325"/>
        <v>0</v>
      </c>
      <c r="H1014" s="180">
        <f t="shared" si="326"/>
        <v>4760</v>
      </c>
      <c r="I1014" s="180">
        <f t="shared" si="327"/>
        <v>3104</v>
      </c>
      <c r="J1014" s="180">
        <f t="shared" si="328"/>
        <v>4684</v>
      </c>
      <c r="K1014" s="180">
        <f t="shared" si="329"/>
        <v>4714</v>
      </c>
      <c r="L1014" s="180">
        <f t="shared" si="330"/>
        <v>1349</v>
      </c>
      <c r="M1014" s="180">
        <f t="shared" si="331"/>
        <v>1589</v>
      </c>
      <c r="N1014" s="180">
        <f t="shared" si="332"/>
        <v>2875</v>
      </c>
      <c r="O1014" s="180">
        <f t="shared" si="333"/>
        <v>643</v>
      </c>
      <c r="P1014" s="180">
        <f t="shared" si="334"/>
        <v>1602</v>
      </c>
      <c r="Q1014" s="180">
        <f t="shared" si="335"/>
        <v>1522</v>
      </c>
      <c r="R1014" s="216">
        <f>(SUM(B1014:Q1014))</f>
        <v>191663.60638795118</v>
      </c>
      <c r="S1014" s="217"/>
      <c r="AC1014" s="192"/>
      <c r="AD1014" s="180"/>
      <c r="AE1014" s="180"/>
      <c r="AF1014" s="180"/>
      <c r="AG1014" s="180"/>
      <c r="AH1014" s="180"/>
      <c r="AI1014" s="180"/>
      <c r="AJ1014" s="180"/>
      <c r="AK1014" s="180"/>
      <c r="AL1014" s="180"/>
      <c r="AM1014" s="180"/>
      <c r="AN1014" s="180"/>
      <c r="AO1014" s="180"/>
      <c r="AP1014" s="180"/>
      <c r="AQ1014" s="180"/>
      <c r="AR1014" s="180"/>
      <c r="AS1014" s="180"/>
      <c r="AU1014" s="218"/>
    </row>
    <row r="1015" spans="1:47" ht="15.75" customHeight="1" x14ac:dyDescent="0.3">
      <c r="A1015" s="192" t="s">
        <v>10</v>
      </c>
      <c r="B1015" s="180">
        <f t="shared" si="336"/>
        <v>142013</v>
      </c>
      <c r="C1015" s="180">
        <f t="shared" si="321"/>
        <v>18071</v>
      </c>
      <c r="D1015" s="180">
        <f t="shared" si="322"/>
        <v>18926</v>
      </c>
      <c r="E1015" s="180">
        <f t="shared" si="323"/>
        <v>31730</v>
      </c>
      <c r="F1015" s="180">
        <f t="shared" si="324"/>
        <v>7358.0685536224391</v>
      </c>
      <c r="G1015" s="180">
        <f t="shared" si="325"/>
        <v>-69.353579502637501</v>
      </c>
      <c r="H1015" s="180">
        <f t="shared" si="326"/>
        <v>6851</v>
      </c>
      <c r="I1015" s="180">
        <f t="shared" si="327"/>
        <v>4991</v>
      </c>
      <c r="J1015" s="180">
        <f t="shared" si="328"/>
        <v>6775</v>
      </c>
      <c r="K1015" s="180">
        <f t="shared" si="329"/>
        <v>6702</v>
      </c>
      <c r="L1015" s="180">
        <f t="shared" si="330"/>
        <v>2014</v>
      </c>
      <c r="M1015" s="180">
        <f t="shared" si="331"/>
        <v>2373</v>
      </c>
      <c r="N1015" s="180">
        <f t="shared" si="332"/>
        <v>4828</v>
      </c>
      <c r="O1015" s="180">
        <f t="shared" si="333"/>
        <v>776</v>
      </c>
      <c r="P1015" s="180">
        <f t="shared" si="334"/>
        <v>1715</v>
      </c>
      <c r="Q1015" s="180">
        <f t="shared" si="335"/>
        <v>1835</v>
      </c>
      <c r="R1015" s="216">
        <f t="shared" ref="R1015:R1024" si="337">(SUM(B1015:Q1015))</f>
        <v>256888.71497411979</v>
      </c>
      <c r="S1015" s="217"/>
      <c r="AC1015" s="192"/>
      <c r="AD1015" s="180"/>
      <c r="AE1015" s="180"/>
      <c r="AF1015" s="180"/>
      <c r="AG1015" s="180"/>
      <c r="AH1015" s="180"/>
      <c r="AI1015" s="180"/>
      <c r="AJ1015" s="180"/>
      <c r="AK1015" s="180"/>
      <c r="AL1015" s="180"/>
      <c r="AM1015" s="180"/>
      <c r="AN1015" s="180"/>
      <c r="AO1015" s="180"/>
      <c r="AP1015" s="180"/>
      <c r="AQ1015" s="180"/>
      <c r="AR1015" s="180"/>
      <c r="AS1015" s="180"/>
      <c r="AU1015" s="218"/>
    </row>
    <row r="1016" spans="1:47" ht="15.75" customHeight="1" x14ac:dyDescent="0.3">
      <c r="A1016" s="192" t="s">
        <v>12</v>
      </c>
      <c r="B1016" s="180">
        <f t="shared" si="336"/>
        <v>155936</v>
      </c>
      <c r="C1016" s="180">
        <f t="shared" si="321"/>
        <v>19834</v>
      </c>
      <c r="D1016" s="180">
        <f t="shared" si="322"/>
        <v>20765</v>
      </c>
      <c r="E1016" s="180">
        <f t="shared" si="323"/>
        <v>34421</v>
      </c>
      <c r="F1016" s="180">
        <f t="shared" si="324"/>
        <v>477.24469730468212</v>
      </c>
      <c r="G1016" s="180">
        <f t="shared" si="325"/>
        <v>-203.89815291198815</v>
      </c>
      <c r="H1016" s="180">
        <f t="shared" si="326"/>
        <v>10615</v>
      </c>
      <c r="I1016" s="180">
        <f t="shared" si="327"/>
        <v>7565</v>
      </c>
      <c r="J1016" s="180">
        <f t="shared" si="328"/>
        <v>8690</v>
      </c>
      <c r="K1016" s="180">
        <f t="shared" si="329"/>
        <v>7527</v>
      </c>
      <c r="L1016" s="180">
        <f t="shared" si="330"/>
        <v>2372</v>
      </c>
      <c r="M1016" s="180">
        <f t="shared" si="331"/>
        <v>2795</v>
      </c>
      <c r="N1016" s="180">
        <f t="shared" si="332"/>
        <v>5400</v>
      </c>
      <c r="O1016" s="180">
        <f t="shared" si="333"/>
        <v>834</v>
      </c>
      <c r="P1016" s="180">
        <f t="shared" si="334"/>
        <v>1684</v>
      </c>
      <c r="Q1016" s="180">
        <f t="shared" si="335"/>
        <v>1972</v>
      </c>
      <c r="R1016" s="216">
        <f t="shared" si="337"/>
        <v>280683.3465443927</v>
      </c>
      <c r="S1016" s="217"/>
      <c r="AC1016" s="192"/>
      <c r="AD1016" s="180"/>
      <c r="AE1016" s="180"/>
      <c r="AF1016" s="180"/>
      <c r="AG1016" s="180"/>
      <c r="AH1016" s="180"/>
      <c r="AI1016" s="180"/>
      <c r="AJ1016" s="180"/>
      <c r="AK1016" s="180"/>
      <c r="AL1016" s="180"/>
      <c r="AM1016" s="180"/>
      <c r="AN1016" s="180"/>
      <c r="AO1016" s="180"/>
      <c r="AP1016" s="180"/>
      <c r="AQ1016" s="180"/>
      <c r="AR1016" s="180"/>
      <c r="AS1016" s="180"/>
      <c r="AU1016" s="218"/>
    </row>
    <row r="1017" spans="1:47" ht="15.75" customHeight="1" x14ac:dyDescent="0.3">
      <c r="A1017" s="192" t="s">
        <v>13</v>
      </c>
      <c r="B1017" s="180">
        <f t="shared" si="336"/>
        <v>160426</v>
      </c>
      <c r="C1017" s="180">
        <f t="shared" si="321"/>
        <v>20399</v>
      </c>
      <c r="D1017" s="180">
        <f t="shared" si="322"/>
        <v>21351</v>
      </c>
      <c r="E1017" s="180">
        <f t="shared" si="323"/>
        <v>35072</v>
      </c>
      <c r="F1017" s="180">
        <f t="shared" si="324"/>
        <v>56.801817709685878</v>
      </c>
      <c r="G1017" s="180">
        <f t="shared" si="325"/>
        <v>-2540.5978899773954</v>
      </c>
      <c r="H1017" s="180">
        <f t="shared" si="326"/>
        <v>12106</v>
      </c>
      <c r="I1017" s="180">
        <f t="shared" si="327"/>
        <v>6746</v>
      </c>
      <c r="J1017" s="180">
        <f t="shared" si="328"/>
        <v>8510</v>
      </c>
      <c r="K1017" s="180">
        <f t="shared" si="329"/>
        <v>7531</v>
      </c>
      <c r="L1017" s="180">
        <f t="shared" si="330"/>
        <v>2532</v>
      </c>
      <c r="M1017" s="180">
        <f t="shared" si="331"/>
        <v>2983</v>
      </c>
      <c r="N1017" s="180">
        <f t="shared" si="332"/>
        <v>5800</v>
      </c>
      <c r="O1017" s="180">
        <f t="shared" si="333"/>
        <v>1072</v>
      </c>
      <c r="P1017" s="180">
        <f t="shared" si="334"/>
        <v>2085</v>
      </c>
      <c r="Q1017" s="180">
        <f t="shared" si="335"/>
        <v>2514</v>
      </c>
      <c r="R1017" s="216">
        <f t="shared" si="337"/>
        <v>286643.20392773231</v>
      </c>
      <c r="S1017" s="217"/>
      <c r="AC1017" s="192"/>
      <c r="AD1017" s="180"/>
      <c r="AE1017" s="180"/>
      <c r="AF1017" s="180"/>
      <c r="AG1017" s="180"/>
      <c r="AH1017" s="180"/>
      <c r="AI1017" s="180"/>
      <c r="AJ1017" s="180"/>
      <c r="AK1017" s="180"/>
      <c r="AL1017" s="180"/>
      <c r="AM1017" s="180"/>
      <c r="AN1017" s="180"/>
      <c r="AO1017" s="180"/>
      <c r="AP1017" s="180"/>
      <c r="AQ1017" s="180"/>
      <c r="AR1017" s="180"/>
      <c r="AS1017" s="180"/>
      <c r="AU1017" s="218"/>
    </row>
    <row r="1018" spans="1:47" ht="15.75" customHeight="1" x14ac:dyDescent="0.3">
      <c r="A1018" s="192" t="s">
        <v>14</v>
      </c>
      <c r="B1018" s="180">
        <f t="shared" si="336"/>
        <v>86097</v>
      </c>
      <c r="C1018" s="180">
        <f t="shared" si="321"/>
        <v>10925</v>
      </c>
      <c r="D1018" s="180">
        <f t="shared" si="322"/>
        <v>11411</v>
      </c>
      <c r="E1018" s="180">
        <f t="shared" si="323"/>
        <v>18078</v>
      </c>
      <c r="F1018" s="180">
        <f t="shared" si="324"/>
        <v>0</v>
      </c>
      <c r="G1018" s="180">
        <f t="shared" si="325"/>
        <v>-13988.197889977399</v>
      </c>
      <c r="H1018" s="180">
        <f t="shared" si="326"/>
        <v>14001</v>
      </c>
      <c r="I1018" s="180">
        <f t="shared" si="327"/>
        <v>8429</v>
      </c>
      <c r="J1018" s="180">
        <f t="shared" si="328"/>
        <v>9218</v>
      </c>
      <c r="K1018" s="180">
        <f t="shared" si="329"/>
        <v>7970</v>
      </c>
      <c r="L1018" s="180">
        <f t="shared" si="330"/>
        <v>2371</v>
      </c>
      <c r="M1018" s="180">
        <f t="shared" si="331"/>
        <v>2792</v>
      </c>
      <c r="N1018" s="180">
        <f t="shared" si="332"/>
        <v>5419</v>
      </c>
      <c r="O1018" s="180">
        <f t="shared" si="333"/>
        <v>916</v>
      </c>
      <c r="P1018" s="180">
        <f t="shared" si="334"/>
        <v>2427</v>
      </c>
      <c r="Q1018" s="180">
        <f t="shared" si="335"/>
        <v>2166</v>
      </c>
      <c r="R1018" s="216">
        <f>(SUM(B1018:Q1018))</f>
        <v>168231.8021100226</v>
      </c>
      <c r="S1018" s="217"/>
      <c r="AC1018" s="192"/>
      <c r="AD1018" s="180"/>
      <c r="AE1018" s="180"/>
      <c r="AF1018" s="180"/>
      <c r="AG1018" s="180"/>
      <c r="AH1018" s="180"/>
      <c r="AI1018" s="180"/>
      <c r="AJ1018" s="180"/>
      <c r="AK1018" s="180"/>
      <c r="AL1018" s="180"/>
      <c r="AM1018" s="180"/>
      <c r="AN1018" s="180"/>
      <c r="AO1018" s="180"/>
      <c r="AP1018" s="180"/>
      <c r="AQ1018" s="180"/>
      <c r="AR1018" s="180"/>
      <c r="AS1018" s="180"/>
      <c r="AU1018" s="218"/>
    </row>
    <row r="1019" spans="1:47" ht="15.75" customHeight="1" x14ac:dyDescent="0.3">
      <c r="A1019" s="192" t="s">
        <v>16</v>
      </c>
      <c r="B1019" s="180">
        <f t="shared" si="336"/>
        <v>54890</v>
      </c>
      <c r="C1019" s="180">
        <f t="shared" si="321"/>
        <v>6947</v>
      </c>
      <c r="D1019" s="180">
        <f t="shared" si="322"/>
        <v>7238</v>
      </c>
      <c r="E1019" s="180">
        <f t="shared" si="323"/>
        <v>10849</v>
      </c>
      <c r="F1019" s="180">
        <f t="shared" si="324"/>
        <v>187.71777796163116</v>
      </c>
      <c r="G1019" s="180">
        <f t="shared" si="325"/>
        <v>-9683.9340184254161</v>
      </c>
      <c r="H1019" s="180">
        <f t="shared" si="326"/>
        <v>9079</v>
      </c>
      <c r="I1019" s="180">
        <f t="shared" si="327"/>
        <v>6767</v>
      </c>
      <c r="J1019" s="180">
        <f t="shared" si="328"/>
        <v>7812</v>
      </c>
      <c r="K1019" s="180">
        <f t="shared" si="329"/>
        <v>6947</v>
      </c>
      <c r="L1019" s="180">
        <f t="shared" si="330"/>
        <v>2172</v>
      </c>
      <c r="M1019" s="180">
        <f t="shared" si="331"/>
        <v>2559</v>
      </c>
      <c r="N1019" s="180">
        <f t="shared" si="332"/>
        <v>5221</v>
      </c>
      <c r="O1019" s="180">
        <f t="shared" si="333"/>
        <v>740</v>
      </c>
      <c r="P1019" s="180">
        <f t="shared" si="334"/>
        <v>1987</v>
      </c>
      <c r="Q1019" s="180">
        <f t="shared" si="335"/>
        <v>1749</v>
      </c>
      <c r="R1019" s="216">
        <f t="shared" si="337"/>
        <v>115460.78375953622</v>
      </c>
      <c r="S1019" s="217"/>
      <c r="AC1019" s="192"/>
      <c r="AD1019" s="180"/>
      <c r="AE1019" s="180"/>
      <c r="AF1019" s="180"/>
      <c r="AG1019" s="180"/>
      <c r="AH1019" s="180"/>
      <c r="AI1019" s="180"/>
      <c r="AJ1019" s="180"/>
      <c r="AK1019" s="180"/>
      <c r="AL1019" s="180"/>
      <c r="AM1019" s="180"/>
      <c r="AN1019" s="180"/>
      <c r="AO1019" s="180"/>
      <c r="AP1019" s="180"/>
      <c r="AQ1019" s="180"/>
      <c r="AR1019" s="180"/>
      <c r="AS1019" s="180"/>
      <c r="AU1019" s="218"/>
    </row>
    <row r="1020" spans="1:47" ht="15.75" customHeight="1" x14ac:dyDescent="0.3">
      <c r="A1020" s="192" t="s">
        <v>17</v>
      </c>
      <c r="B1020" s="180">
        <f t="shared" si="336"/>
        <v>48534</v>
      </c>
      <c r="C1020" s="180">
        <f t="shared" si="321"/>
        <v>6146</v>
      </c>
      <c r="D1020" s="180">
        <f t="shared" si="322"/>
        <v>6408</v>
      </c>
      <c r="E1020" s="180">
        <f t="shared" si="323"/>
        <v>9594</v>
      </c>
      <c r="F1020" s="180">
        <f t="shared" si="324"/>
        <v>0</v>
      </c>
      <c r="G1020" s="180">
        <f t="shared" si="325"/>
        <v>-8051.2925869577166</v>
      </c>
      <c r="H1020" s="180">
        <f t="shared" si="326"/>
        <v>7230</v>
      </c>
      <c r="I1020" s="180">
        <f t="shared" si="327"/>
        <v>5318</v>
      </c>
      <c r="J1020" s="180">
        <f t="shared" si="328"/>
        <v>7078</v>
      </c>
      <c r="K1020" s="180">
        <f t="shared" si="329"/>
        <v>6564</v>
      </c>
      <c r="L1020" s="180">
        <f t="shared" si="330"/>
        <v>2102</v>
      </c>
      <c r="M1020" s="180">
        <f t="shared" si="331"/>
        <v>2476</v>
      </c>
      <c r="N1020" s="180">
        <f t="shared" si="332"/>
        <v>5004</v>
      </c>
      <c r="O1020" s="180">
        <f t="shared" si="333"/>
        <v>628</v>
      </c>
      <c r="P1020" s="180">
        <f t="shared" si="334"/>
        <v>2006</v>
      </c>
      <c r="Q1020" s="180">
        <f t="shared" si="335"/>
        <v>1484</v>
      </c>
      <c r="R1020" s="216">
        <f t="shared" si="337"/>
        <v>102520.70741304228</v>
      </c>
      <c r="S1020" s="217"/>
      <c r="AC1020" s="192"/>
      <c r="AD1020" s="180"/>
      <c r="AE1020" s="180"/>
      <c r="AF1020" s="180"/>
      <c r="AG1020" s="180"/>
      <c r="AH1020" s="180"/>
      <c r="AI1020" s="180"/>
      <c r="AJ1020" s="180"/>
      <c r="AK1020" s="180"/>
      <c r="AL1020" s="180"/>
      <c r="AM1020" s="180"/>
      <c r="AN1020" s="180"/>
      <c r="AO1020" s="180"/>
      <c r="AP1020" s="180"/>
      <c r="AQ1020" s="180"/>
      <c r="AR1020" s="180"/>
      <c r="AS1020" s="180"/>
      <c r="AU1020" s="218"/>
    </row>
    <row r="1021" spans="1:47" ht="15.75" customHeight="1" x14ac:dyDescent="0.3">
      <c r="A1021" s="192" t="s">
        <v>18</v>
      </c>
      <c r="B1021" s="180">
        <f t="shared" si="336"/>
        <v>102925</v>
      </c>
      <c r="C1021" s="180">
        <f t="shared" si="321"/>
        <v>13083</v>
      </c>
      <c r="D1021" s="180">
        <f t="shared" si="322"/>
        <v>13687</v>
      </c>
      <c r="E1021" s="180">
        <f t="shared" si="323"/>
        <v>22501</v>
      </c>
      <c r="F1021" s="180">
        <f t="shared" si="324"/>
        <v>104.8961828096599</v>
      </c>
      <c r="G1021" s="180">
        <f t="shared" si="325"/>
        <v>-857.53917106254676</v>
      </c>
      <c r="H1021" s="180">
        <f t="shared" si="326"/>
        <v>6938</v>
      </c>
      <c r="I1021" s="180">
        <f t="shared" si="327"/>
        <v>4372</v>
      </c>
      <c r="J1021" s="180">
        <f t="shared" si="328"/>
        <v>6106</v>
      </c>
      <c r="K1021" s="180">
        <f t="shared" si="329"/>
        <v>5792</v>
      </c>
      <c r="L1021" s="180">
        <f t="shared" si="330"/>
        <v>1595</v>
      </c>
      <c r="M1021" s="180">
        <f t="shared" si="331"/>
        <v>1878</v>
      </c>
      <c r="N1021" s="180">
        <f t="shared" si="332"/>
        <v>3910</v>
      </c>
      <c r="O1021" s="180">
        <f t="shared" si="333"/>
        <v>706</v>
      </c>
      <c r="P1021" s="180">
        <f t="shared" si="334"/>
        <v>1085</v>
      </c>
      <c r="Q1021" s="180">
        <f t="shared" si="335"/>
        <v>1670</v>
      </c>
      <c r="R1021" s="216">
        <f t="shared" si="337"/>
        <v>185495.35701174711</v>
      </c>
      <c r="S1021" s="217"/>
      <c r="AC1021" s="192"/>
      <c r="AD1021" s="180"/>
      <c r="AE1021" s="180"/>
      <c r="AF1021" s="180"/>
      <c r="AG1021" s="180"/>
      <c r="AH1021" s="180"/>
      <c r="AI1021" s="180"/>
      <c r="AJ1021" s="180"/>
      <c r="AK1021" s="180"/>
      <c r="AL1021" s="180"/>
      <c r="AM1021" s="180"/>
      <c r="AN1021" s="180"/>
      <c r="AO1021" s="180"/>
      <c r="AP1021" s="180"/>
      <c r="AQ1021" s="180"/>
      <c r="AR1021" s="180"/>
      <c r="AS1021" s="180"/>
      <c r="AU1021" s="218"/>
    </row>
    <row r="1022" spans="1:47" ht="15.75" customHeight="1" x14ac:dyDescent="0.3">
      <c r="A1022" s="192" t="s">
        <v>20</v>
      </c>
      <c r="B1022" s="180">
        <f t="shared" si="336"/>
        <v>133122</v>
      </c>
      <c r="C1022" s="180">
        <f t="shared" si="321"/>
        <v>16936</v>
      </c>
      <c r="D1022" s="180">
        <f t="shared" si="322"/>
        <v>17734</v>
      </c>
      <c r="E1022" s="180">
        <f t="shared" si="323"/>
        <v>29665</v>
      </c>
      <c r="F1022" s="180">
        <f t="shared" si="324"/>
        <v>9675.7991560633454</v>
      </c>
      <c r="G1022" s="180">
        <f t="shared" si="325"/>
        <v>0</v>
      </c>
      <c r="H1022" s="180">
        <f t="shared" si="326"/>
        <v>4638</v>
      </c>
      <c r="I1022" s="180">
        <f t="shared" si="327"/>
        <v>2270</v>
      </c>
      <c r="J1022" s="180">
        <f t="shared" si="328"/>
        <v>3539</v>
      </c>
      <c r="K1022" s="180">
        <f t="shared" si="329"/>
        <v>3620</v>
      </c>
      <c r="L1022" s="180">
        <f t="shared" si="330"/>
        <v>1113</v>
      </c>
      <c r="M1022" s="180">
        <f t="shared" si="331"/>
        <v>1310</v>
      </c>
      <c r="N1022" s="180">
        <f t="shared" si="332"/>
        <v>2622</v>
      </c>
      <c r="O1022" s="180">
        <f t="shared" si="333"/>
        <v>625</v>
      </c>
      <c r="P1022" s="180">
        <f t="shared" si="334"/>
        <v>87</v>
      </c>
      <c r="Q1022" s="180">
        <f t="shared" si="335"/>
        <v>1478</v>
      </c>
      <c r="R1022" s="216">
        <f t="shared" si="337"/>
        <v>228434.79915606335</v>
      </c>
      <c r="S1022" s="217"/>
      <c r="AC1022" s="192"/>
      <c r="AD1022" s="180"/>
      <c r="AE1022" s="180"/>
      <c r="AF1022" s="180"/>
      <c r="AG1022" s="180"/>
      <c r="AH1022" s="180"/>
      <c r="AI1022" s="180"/>
      <c r="AJ1022" s="180"/>
      <c r="AK1022" s="180"/>
      <c r="AL1022" s="180"/>
      <c r="AM1022" s="180"/>
      <c r="AN1022" s="180"/>
      <c r="AO1022" s="180"/>
      <c r="AP1022" s="180"/>
      <c r="AQ1022" s="180"/>
      <c r="AR1022" s="180"/>
      <c r="AS1022" s="180"/>
      <c r="AU1022" s="218"/>
    </row>
    <row r="1023" spans="1:47" ht="15.75" customHeight="1" x14ac:dyDescent="0.3">
      <c r="A1023" s="192" t="s">
        <v>21</v>
      </c>
      <c r="B1023" s="180">
        <f t="shared" si="336"/>
        <v>118132</v>
      </c>
      <c r="C1023" s="180">
        <f t="shared" si="321"/>
        <v>15031</v>
      </c>
      <c r="D1023" s="180">
        <f t="shared" si="322"/>
        <v>15741</v>
      </c>
      <c r="E1023" s="180">
        <f t="shared" si="323"/>
        <v>26420</v>
      </c>
      <c r="F1023" s="180">
        <f t="shared" si="324"/>
        <v>12824.866437289014</v>
      </c>
      <c r="G1023" s="180">
        <f t="shared" si="325"/>
        <v>0</v>
      </c>
      <c r="H1023" s="180">
        <f t="shared" si="326"/>
        <v>2579</v>
      </c>
      <c r="I1023" s="180">
        <f t="shared" si="327"/>
        <v>137</v>
      </c>
      <c r="J1023" s="180">
        <f t="shared" si="328"/>
        <v>201</v>
      </c>
      <c r="K1023" s="180">
        <f t="shared" si="329"/>
        <v>193</v>
      </c>
      <c r="L1023" s="180">
        <f t="shared" si="330"/>
        <v>59</v>
      </c>
      <c r="M1023" s="180">
        <f t="shared" si="331"/>
        <v>67</v>
      </c>
      <c r="N1023" s="180">
        <f t="shared" si="332"/>
        <v>79</v>
      </c>
      <c r="O1023" s="180">
        <f t="shared" si="333"/>
        <v>39</v>
      </c>
      <c r="P1023" s="180">
        <f t="shared" si="334"/>
        <v>1813</v>
      </c>
      <c r="Q1023" s="180">
        <f t="shared" si="335"/>
        <v>91</v>
      </c>
      <c r="R1023" s="216">
        <f t="shared" si="337"/>
        <v>193406.86643728902</v>
      </c>
      <c r="S1023" s="217"/>
      <c r="AC1023" s="192"/>
      <c r="AD1023" s="180"/>
      <c r="AE1023" s="180"/>
      <c r="AF1023" s="180"/>
      <c r="AG1023" s="180"/>
      <c r="AH1023" s="180"/>
      <c r="AI1023" s="180"/>
      <c r="AJ1023" s="180"/>
      <c r="AK1023" s="180"/>
      <c r="AL1023" s="180"/>
      <c r="AM1023" s="180"/>
      <c r="AN1023" s="180"/>
      <c r="AO1023" s="180"/>
      <c r="AP1023" s="180"/>
      <c r="AQ1023" s="180"/>
      <c r="AR1023" s="180"/>
      <c r="AS1023" s="180"/>
      <c r="AU1023" s="218"/>
    </row>
    <row r="1024" spans="1:47" ht="15.75" customHeight="1" x14ac:dyDescent="0.3">
      <c r="A1024" s="192" t="s">
        <v>22</v>
      </c>
      <c r="B1024" s="180">
        <f t="shared" si="336"/>
        <v>82141</v>
      </c>
      <c r="C1024" s="180">
        <f t="shared" si="321"/>
        <v>10449</v>
      </c>
      <c r="D1024" s="180">
        <f t="shared" si="322"/>
        <v>10940</v>
      </c>
      <c r="E1024" s="180">
        <f t="shared" si="323"/>
        <v>18156</v>
      </c>
      <c r="F1024" s="180">
        <f t="shared" si="324"/>
        <v>3324.8747976718678</v>
      </c>
      <c r="G1024" s="180">
        <f t="shared" si="325"/>
        <v>0</v>
      </c>
      <c r="H1024" s="180">
        <f t="shared" si="326"/>
        <v>4181</v>
      </c>
      <c r="I1024" s="180">
        <f t="shared" si="327"/>
        <v>3153</v>
      </c>
      <c r="J1024" s="180">
        <f t="shared" si="328"/>
        <v>4812</v>
      </c>
      <c r="K1024" s="180">
        <f t="shared" si="329"/>
        <v>4984</v>
      </c>
      <c r="L1024" s="180">
        <f t="shared" si="330"/>
        <v>1481</v>
      </c>
      <c r="M1024" s="180">
        <f t="shared" si="331"/>
        <v>1745</v>
      </c>
      <c r="N1024" s="180">
        <f t="shared" si="332"/>
        <v>3656</v>
      </c>
      <c r="O1024" s="180">
        <f t="shared" si="333"/>
        <v>800</v>
      </c>
      <c r="P1024" s="180">
        <f t="shared" si="334"/>
        <v>1799</v>
      </c>
      <c r="Q1024" s="180">
        <f t="shared" si="335"/>
        <v>1893</v>
      </c>
      <c r="R1024" s="216">
        <f t="shared" si="337"/>
        <v>153514.87479767186</v>
      </c>
      <c r="S1024" s="217"/>
      <c r="AC1024" s="192"/>
      <c r="AD1024" s="180"/>
      <c r="AE1024" s="180"/>
      <c r="AF1024" s="180"/>
      <c r="AG1024" s="180"/>
      <c r="AH1024" s="180"/>
      <c r="AI1024" s="180"/>
      <c r="AJ1024" s="180"/>
      <c r="AK1024" s="180"/>
      <c r="AL1024" s="180"/>
      <c r="AM1024" s="180"/>
      <c r="AN1024" s="180"/>
      <c r="AO1024" s="180"/>
      <c r="AP1024" s="180"/>
      <c r="AQ1024" s="180"/>
      <c r="AR1024" s="180"/>
      <c r="AS1024" s="180"/>
      <c r="AU1024" s="218"/>
    </row>
    <row r="1025" spans="1:47" ht="15.75" customHeight="1" x14ac:dyDescent="0.3">
      <c r="A1025" s="189"/>
      <c r="B1025" s="180"/>
      <c r="C1025" s="180"/>
      <c r="D1025" s="180"/>
      <c r="E1025" s="180"/>
      <c r="F1025" s="180"/>
      <c r="G1025" s="180"/>
      <c r="H1025" s="180"/>
      <c r="I1025" s="180"/>
      <c r="J1025" s="180"/>
      <c r="K1025" s="180"/>
      <c r="L1025" s="180"/>
      <c r="M1025" s="180"/>
      <c r="N1025" s="180"/>
      <c r="O1025" s="180"/>
      <c r="P1025" s="180"/>
      <c r="Q1025" s="180"/>
      <c r="R1025" s="210"/>
      <c r="S1025" s="217"/>
      <c r="AD1025" s="180"/>
      <c r="AE1025" s="180"/>
      <c r="AF1025" s="180"/>
      <c r="AG1025" s="180"/>
      <c r="AH1025" s="180"/>
      <c r="AI1025" s="180"/>
      <c r="AJ1025" s="180"/>
      <c r="AK1025" s="180"/>
      <c r="AL1025" s="180"/>
      <c r="AM1025" s="180"/>
      <c r="AN1025" s="180"/>
      <c r="AO1025" s="180"/>
      <c r="AP1025" s="180"/>
      <c r="AQ1025" s="180"/>
      <c r="AR1025" s="180"/>
      <c r="AS1025" s="180"/>
    </row>
    <row r="1026" spans="1:47" ht="15.75" customHeight="1" x14ac:dyDescent="0.3">
      <c r="A1026" s="189" t="s">
        <v>641</v>
      </c>
      <c r="B1026" s="180">
        <f>SUM(B1013:B1024)</f>
        <v>1305896</v>
      </c>
      <c r="C1026" s="180">
        <f t="shared" ref="C1026:Q1026" si="338">SUM(C1013:C1024)</f>
        <v>166051</v>
      </c>
      <c r="D1026" s="180">
        <f t="shared" si="338"/>
        <v>173789</v>
      </c>
      <c r="E1026" s="180">
        <f t="shared" si="338"/>
        <v>286757</v>
      </c>
      <c r="F1026" s="180">
        <f t="shared" si="338"/>
        <v>56805.414001586585</v>
      </c>
      <c r="G1026" s="180">
        <f t="shared" si="338"/>
        <v>-35394.813288815101</v>
      </c>
      <c r="H1026" s="180">
        <f t="shared" si="338"/>
        <v>85678</v>
      </c>
      <c r="I1026" s="180">
        <f t="shared" si="338"/>
        <v>54707</v>
      </c>
      <c r="J1026" s="180">
        <f t="shared" si="338"/>
        <v>70321</v>
      </c>
      <c r="K1026" s="180">
        <f t="shared" si="338"/>
        <v>65537</v>
      </c>
      <c r="L1026" s="180">
        <f t="shared" si="338"/>
        <v>20048</v>
      </c>
      <c r="M1026" s="180">
        <f t="shared" si="338"/>
        <v>23613</v>
      </c>
      <c r="N1026" s="180">
        <f t="shared" si="338"/>
        <v>46660</v>
      </c>
      <c r="O1026" s="180">
        <f t="shared" si="338"/>
        <v>8427</v>
      </c>
      <c r="P1026" s="180">
        <f t="shared" si="338"/>
        <v>19899</v>
      </c>
      <c r="Q1026" s="180">
        <f t="shared" si="338"/>
        <v>19908</v>
      </c>
      <c r="R1026" s="219">
        <f>SUM(R1013:R1024)</f>
        <v>2368701.6007127715</v>
      </c>
      <c r="S1026" s="217"/>
      <c r="AC1026" s="192"/>
      <c r="AD1026" s="180"/>
      <c r="AE1026" s="180"/>
      <c r="AF1026" s="180"/>
      <c r="AG1026" s="180"/>
      <c r="AH1026" s="180"/>
      <c r="AI1026" s="180"/>
      <c r="AJ1026" s="180"/>
      <c r="AK1026" s="180"/>
      <c r="AL1026" s="180"/>
      <c r="AM1026" s="180"/>
      <c r="AN1026" s="180"/>
      <c r="AO1026" s="180"/>
      <c r="AP1026" s="180"/>
      <c r="AQ1026" s="180"/>
      <c r="AR1026" s="180"/>
      <c r="AS1026" s="180"/>
      <c r="AU1026" s="218"/>
    </row>
    <row r="1027" spans="1:47" ht="16.5" customHeight="1" thickBot="1" x14ac:dyDescent="0.35">
      <c r="A1027" s="204" t="s">
        <v>7</v>
      </c>
      <c r="B1027" s="195"/>
      <c r="C1027" s="195"/>
      <c r="D1027" s="195"/>
      <c r="E1027" s="195"/>
      <c r="F1027" s="195"/>
      <c r="G1027" s="195"/>
      <c r="H1027" s="195"/>
      <c r="I1027" s="195"/>
      <c r="J1027" s="195"/>
      <c r="K1027" s="195"/>
      <c r="L1027" s="195"/>
      <c r="M1027" s="195"/>
      <c r="N1027" s="195"/>
      <c r="O1027" s="195"/>
      <c r="P1027" s="195"/>
      <c r="Q1027" s="195"/>
      <c r="R1027" s="221"/>
      <c r="S1027" s="180"/>
    </row>
    <row r="1028" spans="1:47" ht="15.75" customHeight="1" x14ac:dyDescent="0.3">
      <c r="A1028" s="180"/>
      <c r="B1028" s="180"/>
      <c r="C1028" s="180"/>
      <c r="D1028" s="180"/>
      <c r="E1028" s="180"/>
      <c r="F1028" s="180"/>
      <c r="G1028" s="180"/>
      <c r="H1028" s="180"/>
      <c r="I1028" s="180"/>
      <c r="J1028" s="180"/>
      <c r="K1028" s="180"/>
      <c r="L1028" s="180"/>
      <c r="M1028" s="180"/>
      <c r="N1028" s="180"/>
      <c r="O1028" s="180"/>
      <c r="P1028" s="180"/>
      <c r="Q1028" s="180"/>
      <c r="R1028" s="180"/>
    </row>
    <row r="1029" spans="1:47" ht="15.75" customHeight="1" x14ac:dyDescent="0.3"/>
  </sheetData>
  <scenarios current="0">
    <scenario name="Jan" count="1" user="Windows User" comment="Created by Windows User on 4/11/2013">
      <inputCells r="B322" val="57771.3688407242" numFmtId="37"/>
    </scenario>
  </scenarios>
  <autoFilter ref="A33:R967" xr:uid="{00000000-0009-0000-0000-000004000000}"/>
  <mergeCells count="39">
    <mergeCell ref="B1004:P1004"/>
    <mergeCell ref="B1006:P1006"/>
    <mergeCell ref="B1007:P1007"/>
    <mergeCell ref="AD998:AQ998"/>
    <mergeCell ref="AD999:AQ999"/>
    <mergeCell ref="AD1001:AQ1001"/>
    <mergeCell ref="B1002:P1002"/>
    <mergeCell ref="AD1002:AQ1002"/>
    <mergeCell ref="B1003:P1003"/>
    <mergeCell ref="AD997:AQ997"/>
    <mergeCell ref="B949:P949"/>
    <mergeCell ref="B950:P950"/>
    <mergeCell ref="B951:P951"/>
    <mergeCell ref="B952:P952"/>
    <mergeCell ref="T953:U955"/>
    <mergeCell ref="B976:P976"/>
    <mergeCell ref="B977:P977"/>
    <mergeCell ref="B978:P978"/>
    <mergeCell ref="B979:P979"/>
    <mergeCell ref="B980:P980"/>
    <mergeCell ref="B981:P981"/>
    <mergeCell ref="B948:P948"/>
    <mergeCell ref="A883:R883"/>
    <mergeCell ref="A884:R884"/>
    <mergeCell ref="A885:R885"/>
    <mergeCell ref="A886:R886"/>
    <mergeCell ref="A888:R888"/>
    <mergeCell ref="A924:R924"/>
    <mergeCell ref="A925:R925"/>
    <mergeCell ref="A926:R926"/>
    <mergeCell ref="A927:R927"/>
    <mergeCell ref="A929:R929"/>
    <mergeCell ref="B947:P947"/>
    <mergeCell ref="A8:R8"/>
    <mergeCell ref="A2:R2"/>
    <mergeCell ref="A3:R3"/>
    <mergeCell ref="A4:R4"/>
    <mergeCell ref="A5:R5"/>
    <mergeCell ref="A6:R6"/>
  </mergeCells>
  <printOptions horizontalCentered="1"/>
  <pageMargins left="0.25" right="0.25" top="0.25" bottom="0.25" header="0" footer="0"/>
  <pageSetup paperSize="17" scale="10" orientation="landscape" r:id="rId1"/>
  <headerFooter alignWithMargins="0"/>
  <rowBreaks count="5" manualBreakCount="5">
    <brk id="893" max="17" man="1"/>
    <brk id="933" max="17" man="1"/>
    <brk id="986" max="18" man="1"/>
    <brk id="1014" max="18" man="1"/>
    <brk id="982" min="28" max="46"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7E89C-E962-45B0-AC08-40C150B57E27}">
  <sheetPr codeName="Sheet36">
    <pageSetUpPr fitToPage="1"/>
  </sheetPr>
  <dimension ref="A1:AX1174"/>
  <sheetViews>
    <sheetView topLeftCell="A10" zoomScale="60" zoomScaleNormal="60" workbookViewId="0">
      <pane ySplit="11" topLeftCell="A926" activePane="bottomLeft" state="frozen"/>
      <selection activeCell="A11" sqref="A11"/>
      <selection pane="bottomLeft" activeCell="B10" sqref="B10:P10"/>
    </sheetView>
  </sheetViews>
  <sheetFormatPr defaultColWidth="8.77734375" defaultRowHeight="15.6" x14ac:dyDescent="0.3"/>
  <cols>
    <col min="1" max="1" width="48.21875" style="4" customWidth="1"/>
    <col min="2" max="3" width="11.21875" style="4" customWidth="1"/>
    <col min="4" max="4" width="12.44140625" style="4" customWidth="1"/>
    <col min="5" max="5" width="13.88671875" style="4" customWidth="1"/>
    <col min="6" max="7" width="11.21875" style="4" customWidth="1"/>
    <col min="8" max="8" width="11.77734375" style="4" bestFit="1" customWidth="1"/>
    <col min="9" max="9" width="13.109375" style="4" customWidth="1"/>
    <col min="10" max="10" width="11.77734375" style="4" bestFit="1" customWidth="1"/>
    <col min="11" max="12" width="11.21875" style="4" bestFit="1" customWidth="1"/>
    <col min="13" max="13" width="15" style="4" customWidth="1"/>
    <col min="14" max="14" width="11.21875" style="4" bestFit="1" customWidth="1"/>
    <col min="15" max="15" width="11.77734375" style="4" bestFit="1" customWidth="1"/>
    <col min="16" max="16" width="11.21875" style="4" bestFit="1" customWidth="1"/>
    <col min="17" max="17" width="13" style="4" customWidth="1"/>
    <col min="18" max="18" width="14.21875" style="4" customWidth="1"/>
    <col min="19" max="19" width="15.109375" style="4" customWidth="1"/>
    <col min="20" max="20" width="11.21875" style="4" bestFit="1" customWidth="1"/>
    <col min="21" max="21" width="8.77734375" style="4"/>
    <col min="22" max="22" width="11.6640625" style="4" customWidth="1"/>
    <col min="23" max="23" width="13.6640625" style="4" customWidth="1"/>
    <col min="24" max="24" width="12.44140625" style="4" customWidth="1"/>
    <col min="25" max="25" width="13.21875" style="4" customWidth="1"/>
    <col min="26" max="26" width="12.33203125" style="4" bestFit="1" customWidth="1"/>
    <col min="27" max="28" width="8.77734375" style="4"/>
    <col min="29" max="29" width="13.6640625" style="4" customWidth="1"/>
    <col min="30" max="34" width="8.77734375" style="4"/>
    <col min="35" max="35" width="11.6640625" style="4" customWidth="1"/>
    <col min="36" max="48" width="8.77734375" style="4"/>
    <col min="49" max="49" width="21.5546875" style="4" customWidth="1"/>
    <col min="50" max="50" width="20.88671875" style="4" bestFit="1" customWidth="1"/>
    <col min="51" max="16384" width="8.77734375" style="4"/>
  </cols>
  <sheetData>
    <row r="1" spans="1:36" x14ac:dyDescent="0.3">
      <c r="A1" s="1"/>
      <c r="B1" s="1"/>
      <c r="C1" s="1"/>
      <c r="D1" s="1"/>
      <c r="E1" s="1"/>
      <c r="F1" s="1"/>
      <c r="G1" s="1"/>
      <c r="H1" s="1"/>
      <c r="I1" s="1"/>
      <c r="J1" s="1"/>
      <c r="K1" s="1"/>
      <c r="L1" s="1"/>
      <c r="M1" s="1"/>
      <c r="N1" s="1"/>
      <c r="O1" s="1"/>
      <c r="P1" s="1"/>
      <c r="Q1" s="2" t="s">
        <v>0</v>
      </c>
      <c r="R1" s="3">
        <f ca="1">NOW()</f>
        <v>44894.65816875</v>
      </c>
    </row>
    <row r="2" spans="1:36" ht="19.5" customHeight="1" x14ac:dyDescent="0.35">
      <c r="A2" s="384" t="s">
        <v>1</v>
      </c>
      <c r="B2" s="384"/>
      <c r="C2" s="384"/>
      <c r="D2" s="384"/>
      <c r="E2" s="384"/>
      <c r="F2" s="384"/>
      <c r="G2" s="384"/>
      <c r="H2" s="384"/>
      <c r="I2" s="384"/>
      <c r="J2" s="384"/>
      <c r="K2" s="384"/>
      <c r="L2" s="384"/>
      <c r="M2" s="384"/>
      <c r="N2" s="384"/>
      <c r="O2" s="384"/>
      <c r="P2" s="384"/>
      <c r="Q2" s="384"/>
      <c r="R2" s="384"/>
    </row>
    <row r="3" spans="1:36" ht="19.5" customHeight="1" x14ac:dyDescent="0.35">
      <c r="A3" s="384" t="s">
        <v>2</v>
      </c>
      <c r="B3" s="384"/>
      <c r="C3" s="384"/>
      <c r="D3" s="384"/>
      <c r="E3" s="384"/>
      <c r="F3" s="384"/>
      <c r="G3" s="384"/>
      <c r="H3" s="384"/>
      <c r="I3" s="384"/>
      <c r="J3" s="384"/>
      <c r="K3" s="384"/>
      <c r="L3" s="384"/>
      <c r="M3" s="384"/>
      <c r="N3" s="384"/>
      <c r="O3" s="384"/>
      <c r="P3" s="384"/>
      <c r="Q3" s="384"/>
      <c r="R3" s="384"/>
    </row>
    <row r="4" spans="1:36" ht="19.5" customHeight="1" x14ac:dyDescent="0.35">
      <c r="A4" s="385" t="s">
        <v>3</v>
      </c>
      <c r="B4" s="385"/>
      <c r="C4" s="385"/>
      <c r="D4" s="385"/>
      <c r="E4" s="385"/>
      <c r="F4" s="385"/>
      <c r="G4" s="385"/>
      <c r="H4" s="385"/>
      <c r="I4" s="385"/>
      <c r="J4" s="385"/>
      <c r="K4" s="385"/>
      <c r="L4" s="385"/>
      <c r="M4" s="385"/>
      <c r="N4" s="385"/>
      <c r="O4" s="385"/>
      <c r="P4" s="385"/>
      <c r="Q4" s="385"/>
      <c r="R4" s="385"/>
    </row>
    <row r="5" spans="1:36" ht="19.5" customHeight="1" x14ac:dyDescent="0.35">
      <c r="A5" s="386">
        <v>2021</v>
      </c>
      <c r="B5" s="386"/>
      <c r="C5" s="386"/>
      <c r="D5" s="386"/>
      <c r="E5" s="386"/>
      <c r="F5" s="386"/>
      <c r="G5" s="386"/>
      <c r="H5" s="386"/>
      <c r="I5" s="386"/>
      <c r="J5" s="386"/>
      <c r="K5" s="386"/>
      <c r="L5" s="386"/>
      <c r="M5" s="386"/>
      <c r="N5" s="386"/>
      <c r="O5" s="386"/>
      <c r="P5" s="386"/>
      <c r="Q5" s="386"/>
      <c r="R5" s="386"/>
    </row>
    <row r="6" spans="1:36" ht="19.5" customHeight="1" x14ac:dyDescent="0.35">
      <c r="A6" s="385" t="s">
        <v>4</v>
      </c>
      <c r="B6" s="385"/>
      <c r="C6" s="385"/>
      <c r="D6" s="385"/>
      <c r="E6" s="385"/>
      <c r="F6" s="385"/>
      <c r="G6" s="385"/>
      <c r="H6" s="385"/>
      <c r="I6" s="385"/>
      <c r="J6" s="385"/>
      <c r="K6" s="385"/>
      <c r="L6" s="385"/>
      <c r="M6" s="385"/>
      <c r="N6" s="385"/>
      <c r="O6" s="385"/>
      <c r="P6" s="385"/>
      <c r="Q6" s="385"/>
      <c r="R6" s="385"/>
    </row>
    <row r="7" spans="1:36" ht="19.5" customHeight="1" x14ac:dyDescent="0.35">
      <c r="A7" s="5"/>
      <c r="B7" s="5"/>
      <c r="C7" s="5"/>
      <c r="D7" s="5"/>
      <c r="E7" s="5"/>
      <c r="F7" s="5"/>
      <c r="G7" s="5"/>
      <c r="H7" s="5"/>
      <c r="I7" s="5"/>
      <c r="J7" s="5"/>
      <c r="K7" s="5"/>
      <c r="L7" s="5"/>
      <c r="M7" s="5"/>
      <c r="N7" s="5"/>
      <c r="O7" s="5"/>
      <c r="P7" s="5"/>
      <c r="Q7" s="5"/>
      <c r="R7" s="5"/>
    </row>
    <row r="8" spans="1:36" ht="15.75" customHeight="1" x14ac:dyDescent="0.3">
      <c r="A8" s="383" t="s">
        <v>5</v>
      </c>
      <c r="B8" s="383"/>
      <c r="C8" s="383"/>
      <c r="D8" s="383"/>
      <c r="E8" s="383"/>
      <c r="F8" s="383"/>
      <c r="G8" s="383"/>
      <c r="H8" s="383"/>
      <c r="I8" s="383"/>
      <c r="J8" s="383"/>
      <c r="K8" s="383"/>
      <c r="L8" s="383"/>
      <c r="M8" s="383"/>
      <c r="N8" s="383"/>
      <c r="O8" s="383"/>
      <c r="P8" s="383"/>
      <c r="Q8" s="383"/>
      <c r="R8" s="383"/>
    </row>
    <row r="9" spans="1:36" ht="15.75" customHeight="1" x14ac:dyDescent="0.3">
      <c r="A9" s="7"/>
      <c r="B9" s="8"/>
      <c r="C9" s="8"/>
      <c r="D9" s="8"/>
      <c r="E9" s="8"/>
      <c r="F9" s="8"/>
      <c r="G9" s="8"/>
      <c r="H9" s="8"/>
      <c r="I9" s="8"/>
      <c r="J9" s="8"/>
      <c r="K9" s="8"/>
      <c r="L9" s="8"/>
      <c r="M9" s="8"/>
      <c r="N9" s="8"/>
      <c r="O9" s="8"/>
      <c r="P9" s="8"/>
      <c r="Q9" s="8"/>
      <c r="R9" s="8"/>
    </row>
    <row r="10" spans="1:36" ht="16.2" thickBot="1" x14ac:dyDescent="0.35">
      <c r="A10" s="1" t="s">
        <v>6</v>
      </c>
      <c r="B10" s="1">
        <v>31</v>
      </c>
      <c r="C10" s="1">
        <v>28</v>
      </c>
      <c r="D10" s="1">
        <v>31</v>
      </c>
      <c r="E10" s="1"/>
      <c r="F10" s="1">
        <v>30</v>
      </c>
      <c r="G10" s="1">
        <v>31</v>
      </c>
      <c r="H10" s="1">
        <v>30</v>
      </c>
      <c r="I10" s="1"/>
      <c r="J10" s="1">
        <v>31</v>
      </c>
      <c r="K10" s="1">
        <v>31</v>
      </c>
      <c r="L10" s="1">
        <v>30</v>
      </c>
      <c r="M10" s="1"/>
      <c r="N10" s="1">
        <v>31</v>
      </c>
      <c r="O10" s="1">
        <v>30</v>
      </c>
      <c r="P10" s="1">
        <v>31</v>
      </c>
      <c r="Q10" s="1"/>
      <c r="R10" s="1"/>
    </row>
    <row r="11" spans="1:36" ht="15.75" customHeight="1" thickBot="1" x14ac:dyDescent="0.35">
      <c r="A11" s="9" t="s">
        <v>7</v>
      </c>
      <c r="B11" s="10" t="s">
        <v>8</v>
      </c>
      <c r="C11" s="11" t="s">
        <v>9</v>
      </c>
      <c r="D11" s="11" t="s">
        <v>10</v>
      </c>
      <c r="E11" s="12" t="s">
        <v>11</v>
      </c>
      <c r="F11" s="11" t="s">
        <v>12</v>
      </c>
      <c r="G11" s="11" t="s">
        <v>13</v>
      </c>
      <c r="H11" s="11" t="s">
        <v>14</v>
      </c>
      <c r="I11" s="12" t="s">
        <v>15</v>
      </c>
      <c r="J11" s="11" t="s">
        <v>16</v>
      </c>
      <c r="K11" s="11" t="s">
        <v>17</v>
      </c>
      <c r="L11" s="11" t="s">
        <v>18</v>
      </c>
      <c r="M11" s="12" t="s">
        <v>19</v>
      </c>
      <c r="N11" s="11" t="s">
        <v>20</v>
      </c>
      <c r="O11" s="11" t="s">
        <v>21</v>
      </c>
      <c r="P11" s="11" t="s">
        <v>22</v>
      </c>
      <c r="Q11" s="12" t="s">
        <v>23</v>
      </c>
      <c r="R11" s="13" t="s">
        <v>24</v>
      </c>
    </row>
    <row r="12" spans="1:36" ht="16.5" customHeight="1" thickBot="1" x14ac:dyDescent="0.35">
      <c r="A12" s="14"/>
      <c r="B12" s="15"/>
      <c r="C12" s="15"/>
      <c r="D12" s="15"/>
      <c r="E12" s="16"/>
      <c r="F12" s="15"/>
      <c r="G12" s="15"/>
      <c r="H12" s="15"/>
      <c r="I12" s="16"/>
      <c r="J12" s="15"/>
      <c r="K12" s="15"/>
      <c r="L12" s="15"/>
      <c r="M12" s="16"/>
      <c r="N12" s="15"/>
      <c r="O12" s="15"/>
      <c r="P12" s="15"/>
      <c r="Q12" s="16"/>
      <c r="R12" s="16"/>
    </row>
    <row r="13" spans="1:36" ht="15.75" customHeight="1" x14ac:dyDescent="0.3">
      <c r="A13" s="17" t="s">
        <v>25</v>
      </c>
      <c r="B13" s="1">
        <f>+B934</f>
        <v>68492</v>
      </c>
      <c r="C13" s="1">
        <f>+C934</f>
        <v>76605</v>
      </c>
      <c r="D13" s="1">
        <f>+D934</f>
        <v>113554</v>
      </c>
      <c r="E13" s="18">
        <f>SUM(B13:D13)</f>
        <v>258651</v>
      </c>
      <c r="F13" s="1">
        <f>+F934</f>
        <v>152458</v>
      </c>
      <c r="G13" s="1">
        <f>+G934</f>
        <v>166528</v>
      </c>
      <c r="H13" s="1">
        <f>+H934</f>
        <v>187161</v>
      </c>
      <c r="I13" s="18">
        <f t="shared" ref="I13:I19" si="0">SUM(F13:H13)</f>
        <v>506147</v>
      </c>
      <c r="J13" s="1">
        <f>+J934</f>
        <v>187612</v>
      </c>
      <c r="K13" s="1">
        <f>+K934</f>
        <v>145600</v>
      </c>
      <c r="L13" s="1">
        <f>+L934</f>
        <v>108856</v>
      </c>
      <c r="M13" s="18">
        <f t="shared" ref="M13:M20" si="1">SUM(J13:L13)</f>
        <v>442068</v>
      </c>
      <c r="N13" s="1">
        <f>+N934</f>
        <v>79315</v>
      </c>
      <c r="O13" s="1">
        <f>+O934</f>
        <v>51572</v>
      </c>
      <c r="P13" s="1">
        <f>+P934</f>
        <v>55616</v>
      </c>
      <c r="Q13" s="19">
        <f t="shared" ref="Q13:Q19" si="2">SUM(N13:P13)</f>
        <v>186503</v>
      </c>
      <c r="R13" s="18">
        <f t="shared" ref="R13:R20" si="3">+E13+I13+M13+Q13</f>
        <v>1393369</v>
      </c>
      <c r="V13" s="21"/>
      <c r="W13" s="21"/>
      <c r="X13" s="21"/>
      <c r="Z13" s="21"/>
      <c r="AA13" s="21"/>
      <c r="AB13" s="21"/>
      <c r="AD13" s="21"/>
      <c r="AE13" s="21"/>
      <c r="AF13" s="21"/>
      <c r="AH13" s="21"/>
      <c r="AI13" s="21"/>
      <c r="AJ13" s="21"/>
    </row>
    <row r="14" spans="1:36" ht="15.75" customHeight="1" x14ac:dyDescent="0.3">
      <c r="A14" s="17" t="s">
        <v>27</v>
      </c>
      <c r="B14" s="1">
        <f>B25+B60+B130+B318+B510+B561+B606+B672+B682+B718+B770+B780+B814+B866</f>
        <v>739</v>
      </c>
      <c r="C14" s="1">
        <f>C25+C60+C130+C318+C510+C561+C606+C672+C682+C718+C770+C780+C814+C866</f>
        <v>1283</v>
      </c>
      <c r="D14" s="1">
        <f>D25+D60+D130+D318+D510+D561+D606+D672+D682+D718+D770+D780+D814+D866</f>
        <v>2185</v>
      </c>
      <c r="E14" s="18">
        <f t="shared" ref="E14:E19" si="4">SUM(B14:D14)</f>
        <v>4207</v>
      </c>
      <c r="F14" s="1">
        <f>F25+F60+F130+F318+F510+F561+F606+F672+F682+F718+F770+F780+F814+F866</f>
        <v>2959</v>
      </c>
      <c r="G14" s="1">
        <f>G25+G60+G130+G318+G510+G561+G606+G672+G682+G718+G770+G780+G814+G866</f>
        <v>3425</v>
      </c>
      <c r="H14" s="1">
        <f>H25+H60+H130+H318+H510+H561+H606+H672+H682+H718+H770+H780+H814+H866</f>
        <v>3464</v>
      </c>
      <c r="I14" s="18">
        <f t="shared" si="0"/>
        <v>9848</v>
      </c>
      <c r="J14" s="1">
        <f>J25+J60+J130+J318+J510+J561+J606+J672+J682+J718+J770+J780+J814+J866</f>
        <v>3382</v>
      </c>
      <c r="K14" s="1">
        <f>K25+K60+K130+K318+K510+K561+K606+K672+K682+K718+K770+K780+K814+K866</f>
        <v>2663</v>
      </c>
      <c r="L14" s="1">
        <f>L25+L60+L130+L318+L510+L561+L606+L672+L682+L718+L770+L780+L814+L866</f>
        <v>2559</v>
      </c>
      <c r="M14" s="18">
        <f t="shared" si="1"/>
        <v>8604</v>
      </c>
      <c r="N14" s="1">
        <f>N25+N60+N130+N318+N510+N561+N606+N672+N682+N718+N770+N780+N814+N866</f>
        <v>2343</v>
      </c>
      <c r="O14" s="1">
        <f>O25+O60+O130+O318+O510+O561+O606+O672+O682+O718+O770+O780+O814+O866</f>
        <v>1892</v>
      </c>
      <c r="P14" s="1">
        <f>P25+P60+P130+P318+P510+P561+P606+P672+P682+P718+P770+P780+P814+P866</f>
        <v>1423</v>
      </c>
      <c r="Q14" s="19">
        <f t="shared" si="2"/>
        <v>5658</v>
      </c>
      <c r="R14" s="18">
        <f t="shared" si="3"/>
        <v>28317</v>
      </c>
    </row>
    <row r="15" spans="1:36" ht="15.75" customHeight="1" x14ac:dyDescent="0.3">
      <c r="A15" s="17" t="s">
        <v>29</v>
      </c>
      <c r="B15" s="1">
        <f>B313</f>
        <v>0</v>
      </c>
      <c r="C15" s="1">
        <f>C313</f>
        <v>588</v>
      </c>
      <c r="D15" s="1">
        <f>D313</f>
        <v>235</v>
      </c>
      <c r="E15" s="18">
        <f t="shared" si="4"/>
        <v>823</v>
      </c>
      <c r="F15" s="1">
        <f>F313</f>
        <v>1652</v>
      </c>
      <c r="G15" s="1">
        <f>G313</f>
        <v>3027</v>
      </c>
      <c r="H15" s="1">
        <f>H313</f>
        <v>3007</v>
      </c>
      <c r="I15" s="18">
        <f t="shared" si="0"/>
        <v>7686</v>
      </c>
      <c r="J15" s="1">
        <f>J313</f>
        <v>1898</v>
      </c>
      <c r="K15" s="1">
        <f>K313</f>
        <v>1984</v>
      </c>
      <c r="L15" s="1">
        <f>L313</f>
        <v>1977</v>
      </c>
      <c r="M15" s="18">
        <f t="shared" si="1"/>
        <v>5859</v>
      </c>
      <c r="N15" s="1">
        <f>N313</f>
        <v>2881</v>
      </c>
      <c r="O15" s="1">
        <f>O313</f>
        <v>3310</v>
      </c>
      <c r="P15" s="1">
        <f>P313</f>
        <v>941</v>
      </c>
      <c r="Q15" s="19">
        <f t="shared" si="2"/>
        <v>7132</v>
      </c>
      <c r="R15" s="18">
        <f t="shared" si="3"/>
        <v>21500</v>
      </c>
    </row>
    <row r="16" spans="1:36" ht="15.75" customHeight="1" x14ac:dyDescent="0.3">
      <c r="A16" s="22" t="s">
        <v>30</v>
      </c>
      <c r="B16" s="1">
        <f>+B314</f>
        <v>0</v>
      </c>
      <c r="C16" s="1">
        <f>+C314</f>
        <v>0</v>
      </c>
      <c r="D16" s="1">
        <f>+D314</f>
        <v>0</v>
      </c>
      <c r="E16" s="18">
        <f t="shared" si="4"/>
        <v>0</v>
      </c>
      <c r="F16" s="1">
        <f>+F314</f>
        <v>0</v>
      </c>
      <c r="G16" s="1">
        <f>+G314</f>
        <v>0</v>
      </c>
      <c r="H16" s="1">
        <f>+H314</f>
        <v>0</v>
      </c>
      <c r="I16" s="18">
        <f t="shared" si="0"/>
        <v>0</v>
      </c>
      <c r="J16" s="1">
        <f>+J314</f>
        <v>0</v>
      </c>
      <c r="K16" s="1">
        <f>+K314</f>
        <v>0</v>
      </c>
      <c r="L16" s="1">
        <f>+L314</f>
        <v>0</v>
      </c>
      <c r="M16" s="18">
        <f t="shared" si="1"/>
        <v>0</v>
      </c>
      <c r="N16" s="1">
        <f>+N314</f>
        <v>0</v>
      </c>
      <c r="O16" s="1">
        <f>+O314</f>
        <v>0</v>
      </c>
      <c r="P16" s="1">
        <f>+P314</f>
        <v>0</v>
      </c>
      <c r="Q16" s="19">
        <f t="shared" si="2"/>
        <v>0</v>
      </c>
      <c r="R16" s="18">
        <f t="shared" si="3"/>
        <v>0</v>
      </c>
    </row>
    <row r="17" spans="1:20" ht="15.75" customHeight="1" x14ac:dyDescent="0.3">
      <c r="A17" s="23" t="s">
        <v>31</v>
      </c>
      <c r="B17" s="1">
        <f>B317</f>
        <v>54000</v>
      </c>
      <c r="C17" s="1">
        <f>C317</f>
        <v>57000</v>
      </c>
      <c r="D17" s="1">
        <f>D317</f>
        <v>29000</v>
      </c>
      <c r="E17" s="18">
        <f t="shared" si="4"/>
        <v>140000</v>
      </c>
      <c r="F17" s="1">
        <f>F317</f>
        <v>0</v>
      </c>
      <c r="G17" s="1">
        <f>G317</f>
        <v>0</v>
      </c>
      <c r="H17" s="1">
        <f>H317</f>
        <v>0</v>
      </c>
      <c r="I17" s="18">
        <f t="shared" si="0"/>
        <v>0</v>
      </c>
      <c r="J17" s="1">
        <f>J317</f>
        <v>0</v>
      </c>
      <c r="K17" s="1">
        <f>K317</f>
        <v>0</v>
      </c>
      <c r="L17" s="1">
        <f>L317</f>
        <v>17000</v>
      </c>
      <c r="M17" s="18">
        <f t="shared" si="1"/>
        <v>17000</v>
      </c>
      <c r="N17" s="1">
        <f>N317</f>
        <v>60000</v>
      </c>
      <c r="O17" s="1">
        <f>O317</f>
        <v>82000</v>
      </c>
      <c r="P17" s="1">
        <f>P317</f>
        <v>50000</v>
      </c>
      <c r="Q17" s="19">
        <f t="shared" si="2"/>
        <v>192000</v>
      </c>
      <c r="R17" s="18">
        <f t="shared" si="3"/>
        <v>349000</v>
      </c>
    </row>
    <row r="18" spans="1:20" ht="15.75" customHeight="1" x14ac:dyDescent="0.3">
      <c r="A18" s="23" t="s">
        <v>32</v>
      </c>
      <c r="B18" s="1">
        <f>B329</f>
        <v>0</v>
      </c>
      <c r="C18" s="1">
        <f>C329</f>
        <v>0</v>
      </c>
      <c r="D18" s="1">
        <f>D329</f>
        <v>0</v>
      </c>
      <c r="E18" s="18">
        <f t="shared" si="4"/>
        <v>0</v>
      </c>
      <c r="F18" s="1">
        <f>F329</f>
        <v>-10000</v>
      </c>
      <c r="G18" s="1">
        <f>G329</f>
        <v>0</v>
      </c>
      <c r="H18" s="1">
        <f>H329</f>
        <v>-119000</v>
      </c>
      <c r="I18" s="18">
        <f t="shared" si="0"/>
        <v>-129000</v>
      </c>
      <c r="J18" s="1">
        <f>J329</f>
        <v>-141000</v>
      </c>
      <c r="K18" s="1">
        <f>K329</f>
        <v>-98000</v>
      </c>
      <c r="L18" s="1">
        <f>L329</f>
        <v>0</v>
      </c>
      <c r="M18" s="18">
        <f t="shared" si="1"/>
        <v>-239000</v>
      </c>
      <c r="N18" s="1">
        <f>N329</f>
        <v>0</v>
      </c>
      <c r="O18" s="1">
        <f>O329</f>
        <v>0</v>
      </c>
      <c r="P18" s="1">
        <f>P329</f>
        <v>0</v>
      </c>
      <c r="Q18" s="19">
        <f t="shared" si="2"/>
        <v>0</v>
      </c>
      <c r="R18" s="18">
        <f t="shared" si="3"/>
        <v>-368000</v>
      </c>
    </row>
    <row r="19" spans="1:20" ht="16.5" customHeight="1" thickBot="1" x14ac:dyDescent="0.35">
      <c r="A19" s="24" t="s">
        <v>33</v>
      </c>
      <c r="B19" s="25">
        <f>(B29)</f>
        <v>123231</v>
      </c>
      <c r="C19" s="25">
        <f>(C29)</f>
        <v>135476</v>
      </c>
      <c r="D19" s="25">
        <f>(D29)</f>
        <v>144974</v>
      </c>
      <c r="E19" s="26">
        <f t="shared" si="4"/>
        <v>403681</v>
      </c>
      <c r="F19" s="25">
        <f>(F29)</f>
        <v>147069</v>
      </c>
      <c r="G19" s="25">
        <f>(G29)</f>
        <v>172980</v>
      </c>
      <c r="H19" s="25">
        <f>(H29)</f>
        <v>74632</v>
      </c>
      <c r="I19" s="26">
        <f t="shared" si="0"/>
        <v>394681</v>
      </c>
      <c r="J19" s="25">
        <f>(J29)</f>
        <v>51892</v>
      </c>
      <c r="K19" s="25">
        <f>(K29)</f>
        <v>52247</v>
      </c>
      <c r="L19" s="25">
        <f>(L29)</f>
        <v>130392</v>
      </c>
      <c r="M19" s="26">
        <f t="shared" si="1"/>
        <v>234531</v>
      </c>
      <c r="N19" s="25">
        <f>(N29)</f>
        <v>144539</v>
      </c>
      <c r="O19" s="25">
        <f>(O29)</f>
        <v>138774</v>
      </c>
      <c r="P19" s="25">
        <f>(P29)</f>
        <v>107980</v>
      </c>
      <c r="Q19" s="27">
        <f t="shared" si="2"/>
        <v>391293</v>
      </c>
      <c r="R19" s="26">
        <f t="shared" si="3"/>
        <v>1424186</v>
      </c>
    </row>
    <row r="20" spans="1:20" ht="16.5" customHeight="1" thickBot="1" x14ac:dyDescent="0.35">
      <c r="A20" s="24" t="s">
        <v>34</v>
      </c>
      <c r="B20" s="25">
        <f>+B19</f>
        <v>123231</v>
      </c>
      <c r="C20" s="25">
        <f>+C19</f>
        <v>135476</v>
      </c>
      <c r="D20" s="25">
        <f>+D19</f>
        <v>144974</v>
      </c>
      <c r="E20" s="26">
        <f>SUM(B20:D20)</f>
        <v>403681</v>
      </c>
      <c r="F20" s="25">
        <f>+F19</f>
        <v>147069</v>
      </c>
      <c r="G20" s="25">
        <f>+G19</f>
        <v>172980</v>
      </c>
      <c r="H20" s="25">
        <f>+H19</f>
        <v>74632</v>
      </c>
      <c r="I20" s="26">
        <f>SUM(F20:H20)</f>
        <v>394681</v>
      </c>
      <c r="J20" s="25">
        <f>+J19</f>
        <v>51892</v>
      </c>
      <c r="K20" s="25">
        <f>+K19</f>
        <v>52247</v>
      </c>
      <c r="L20" s="25">
        <f>+L19</f>
        <v>130392</v>
      </c>
      <c r="M20" s="26">
        <f t="shared" si="1"/>
        <v>234531</v>
      </c>
      <c r="N20" s="25">
        <f>+N19</f>
        <v>144539</v>
      </c>
      <c r="O20" s="25">
        <f>+O19</f>
        <v>138774</v>
      </c>
      <c r="P20" s="25">
        <f>+P19</f>
        <v>107980</v>
      </c>
      <c r="Q20" s="27">
        <f>SUM(N20:P20)</f>
        <v>391293</v>
      </c>
      <c r="R20" s="26">
        <f t="shared" si="3"/>
        <v>1424186</v>
      </c>
    </row>
    <row r="21" spans="1:20" ht="15.75" customHeight="1" x14ac:dyDescent="0.3">
      <c r="A21" s="1"/>
      <c r="B21" s="1"/>
      <c r="C21" s="1"/>
      <c r="D21" s="1"/>
      <c r="E21" s="1"/>
      <c r="F21" s="1"/>
      <c r="G21" s="1"/>
      <c r="H21" s="1"/>
      <c r="I21" s="1"/>
      <c r="J21" s="1"/>
      <c r="K21" s="1"/>
      <c r="L21" s="1"/>
      <c r="M21" s="1"/>
      <c r="N21" s="1"/>
      <c r="O21" s="1"/>
      <c r="P21" s="1"/>
      <c r="Q21" s="1"/>
      <c r="R21" s="28"/>
    </row>
    <row r="22" spans="1:20" ht="15.75" customHeight="1" thickBot="1" x14ac:dyDescent="0.35">
      <c r="A22" s="1"/>
      <c r="B22" s="1"/>
      <c r="C22" s="1"/>
      <c r="D22" s="1"/>
      <c r="E22" s="1"/>
      <c r="F22" s="29" t="s">
        <v>7</v>
      </c>
      <c r="G22" s="29" t="s">
        <v>7</v>
      </c>
      <c r="H22" s="1"/>
      <c r="I22" s="1"/>
      <c r="J22" s="1"/>
      <c r="K22" s="1"/>
      <c r="L22" s="1"/>
      <c r="M22" s="1"/>
      <c r="N22" s="29" t="s">
        <v>7</v>
      </c>
      <c r="O22" s="29" t="s">
        <v>7</v>
      </c>
      <c r="P22" s="29" t="s">
        <v>7</v>
      </c>
      <c r="Q22" s="29"/>
      <c r="R22" s="30" t="s">
        <v>7</v>
      </c>
    </row>
    <row r="23" spans="1:20" ht="16.5" customHeight="1" thickBot="1" x14ac:dyDescent="0.35">
      <c r="A23" s="31" t="s">
        <v>35</v>
      </c>
      <c r="B23" s="32" t="s">
        <v>36</v>
      </c>
      <c r="C23" s="33" t="s">
        <v>9</v>
      </c>
      <c r="D23" s="33" t="s">
        <v>10</v>
      </c>
      <c r="E23" s="12" t="s">
        <v>11</v>
      </c>
      <c r="F23" s="33" t="s">
        <v>12</v>
      </c>
      <c r="G23" s="33" t="s">
        <v>13</v>
      </c>
      <c r="H23" s="33" t="s">
        <v>14</v>
      </c>
      <c r="I23" s="34" t="s">
        <v>15</v>
      </c>
      <c r="J23" s="33" t="s">
        <v>16</v>
      </c>
      <c r="K23" s="33" t="s">
        <v>17</v>
      </c>
      <c r="L23" s="33" t="s">
        <v>18</v>
      </c>
      <c r="M23" s="34" t="s">
        <v>19</v>
      </c>
      <c r="N23" s="33" t="s">
        <v>20</v>
      </c>
      <c r="O23" s="33" t="s">
        <v>21</v>
      </c>
      <c r="P23" s="33" t="s">
        <v>22</v>
      </c>
      <c r="Q23" s="34" t="s">
        <v>23</v>
      </c>
      <c r="R23" s="35" t="s">
        <v>24</v>
      </c>
    </row>
    <row r="24" spans="1:20" ht="16.5" customHeight="1" thickBot="1" x14ac:dyDescent="0.35">
      <c r="A24" s="36"/>
      <c r="B24" s="37"/>
      <c r="C24" s="37"/>
      <c r="D24" s="37"/>
      <c r="E24" s="38"/>
      <c r="F24" s="37"/>
      <c r="G24" s="37"/>
      <c r="H24" s="37"/>
      <c r="I24" s="38"/>
      <c r="J24" s="37"/>
      <c r="K24" s="37"/>
      <c r="L24" s="37"/>
      <c r="M24" s="38"/>
      <c r="N24" s="37"/>
      <c r="O24" s="37"/>
      <c r="P24" s="37"/>
      <c r="Q24" s="38"/>
      <c r="R24" s="39"/>
    </row>
    <row r="25" spans="1:20" ht="16.5" customHeight="1" thickBot="1" x14ac:dyDescent="0.35">
      <c r="A25" s="40" t="s">
        <v>37</v>
      </c>
      <c r="B25" s="25">
        <v>97</v>
      </c>
      <c r="C25" s="25">
        <v>148</v>
      </c>
      <c r="D25" s="25">
        <v>274</v>
      </c>
      <c r="E25" s="41">
        <f>SUM(B25:D25)</f>
        <v>519</v>
      </c>
      <c r="F25" s="25">
        <v>367</v>
      </c>
      <c r="G25" s="25">
        <v>425</v>
      </c>
      <c r="H25" s="25">
        <v>417</v>
      </c>
      <c r="I25" s="41">
        <f>SUM(F25:H25)</f>
        <v>1209</v>
      </c>
      <c r="J25" s="25">
        <v>416</v>
      </c>
      <c r="K25" s="25">
        <v>334</v>
      </c>
      <c r="L25" s="25">
        <v>316</v>
      </c>
      <c r="M25" s="41">
        <f>SUM(J25:L25)</f>
        <v>1066</v>
      </c>
      <c r="N25" s="25">
        <v>285</v>
      </c>
      <c r="O25" s="25">
        <v>235</v>
      </c>
      <c r="P25" s="25">
        <v>186</v>
      </c>
      <c r="Q25" s="41">
        <f>SUM(N25:P25)</f>
        <v>706</v>
      </c>
      <c r="R25" s="26">
        <f>+E25+I25+M25+Q25</f>
        <v>3500</v>
      </c>
    </row>
    <row r="26" spans="1:20" ht="17.25" customHeight="1" thickBot="1" x14ac:dyDescent="0.35">
      <c r="A26" s="42"/>
      <c r="B26" s="37"/>
      <c r="C26" s="37"/>
      <c r="D26" s="37"/>
      <c r="E26" s="43"/>
      <c r="F26" s="37"/>
      <c r="G26" s="37"/>
      <c r="H26" s="37"/>
      <c r="I26" s="43"/>
      <c r="J26" s="37"/>
      <c r="K26" s="37"/>
      <c r="L26" s="37"/>
      <c r="M26" s="43"/>
      <c r="N26" s="37"/>
      <c r="O26" s="37"/>
      <c r="P26" s="37"/>
      <c r="Q26" s="43"/>
      <c r="R26" s="44"/>
    </row>
    <row r="27" spans="1:20" ht="15.75" customHeight="1" x14ac:dyDescent="0.3">
      <c r="A27" s="17" t="s">
        <v>38</v>
      </c>
      <c r="B27" s="1">
        <f>B25</f>
        <v>97</v>
      </c>
      <c r="C27" s="1">
        <f>C25</f>
        <v>148</v>
      </c>
      <c r="D27" s="1">
        <f>D25</f>
        <v>274</v>
      </c>
      <c r="E27" s="41">
        <f>SUM(B27:D27)</f>
        <v>519</v>
      </c>
      <c r="F27" s="1">
        <f>F25</f>
        <v>367</v>
      </c>
      <c r="G27" s="1">
        <f>G25</f>
        <v>425</v>
      </c>
      <c r="H27" s="1">
        <f>H25</f>
        <v>417</v>
      </c>
      <c r="I27" s="41">
        <f>SUM(F27:H27)</f>
        <v>1209</v>
      </c>
      <c r="J27" s="1">
        <f>J25</f>
        <v>416</v>
      </c>
      <c r="K27" s="1">
        <f>K25</f>
        <v>334</v>
      </c>
      <c r="L27" s="1">
        <f>L25</f>
        <v>316</v>
      </c>
      <c r="M27" s="41">
        <f>SUM(J27:L27)</f>
        <v>1066</v>
      </c>
      <c r="N27" s="1">
        <f>N25</f>
        <v>285</v>
      </c>
      <c r="O27" s="1">
        <f>O25</f>
        <v>235</v>
      </c>
      <c r="P27" s="1">
        <f>P25</f>
        <v>186</v>
      </c>
      <c r="Q27" s="45">
        <f>SUM(N27:P27)</f>
        <v>706</v>
      </c>
      <c r="R27" s="41">
        <f>+E27+I27+M27+Q27</f>
        <v>3500</v>
      </c>
    </row>
    <row r="28" spans="1:20" ht="15.75" customHeight="1" x14ac:dyDescent="0.3">
      <c r="A28" s="17" t="s">
        <v>39</v>
      </c>
      <c r="B28" s="1">
        <f>(B27/B10)/1.983</f>
        <v>1.5779285214647079</v>
      </c>
      <c r="C28" s="1">
        <f>(C27/C10)/1.983</f>
        <v>2.6655140119587926</v>
      </c>
      <c r="D28" s="1">
        <f>(D27/D10)/1.983</f>
        <v>4.457241390529175</v>
      </c>
      <c r="E28" s="18"/>
      <c r="F28" s="1">
        <f>(F27/F10)/1.983</f>
        <v>6.1691040511010247</v>
      </c>
      <c r="G28" s="1">
        <f>(G27/G10)/1.983</f>
        <v>6.9136043466237203</v>
      </c>
      <c r="H28" s="1">
        <f>(H27/H10)/1.983</f>
        <v>7.0095814422592033</v>
      </c>
      <c r="I28" s="18"/>
      <c r="J28" s="1">
        <f>(J27/J10)/1.983</f>
        <v>6.7671986075187478</v>
      </c>
      <c r="K28" s="1">
        <f>(K27/K10)/1.983</f>
        <v>5.433279651228994</v>
      </c>
      <c r="L28" s="1">
        <f>(L27/L10)/1.983</f>
        <v>5.3118171121196838</v>
      </c>
      <c r="M28" s="18"/>
      <c r="N28" s="1">
        <f>(N27/N10)/1.983</f>
        <v>4.6361817383241419</v>
      </c>
      <c r="O28" s="1">
        <f>(O27/O10)/1.983</f>
        <v>3.9502437384434357</v>
      </c>
      <c r="P28" s="1">
        <f>(P27/P10)/1.983</f>
        <v>3.02571860816944</v>
      </c>
      <c r="Q28" s="19"/>
      <c r="R28" s="18"/>
    </row>
    <row r="29" spans="1:20" ht="15.75" customHeight="1" x14ac:dyDescent="0.3">
      <c r="A29" s="17" t="s">
        <v>40</v>
      </c>
      <c r="B29" s="1">
        <f>B27+B64</f>
        <v>123231</v>
      </c>
      <c r="C29" s="1">
        <f>C27+C64</f>
        <v>135476</v>
      </c>
      <c r="D29" s="1">
        <f>D27+D64</f>
        <v>144974</v>
      </c>
      <c r="E29" s="18">
        <f>SUM(B29:D29)</f>
        <v>403681</v>
      </c>
      <c r="F29" s="1">
        <f>F27+F64</f>
        <v>147069</v>
      </c>
      <c r="G29" s="1">
        <f>G27+G64</f>
        <v>172980</v>
      </c>
      <c r="H29" s="1">
        <f>H27+H64</f>
        <v>74632</v>
      </c>
      <c r="I29" s="18">
        <f>SUM(F29:H29)</f>
        <v>394681</v>
      </c>
      <c r="J29" s="1">
        <f>J27+J64</f>
        <v>51892</v>
      </c>
      <c r="K29" s="1">
        <f>K27+K64</f>
        <v>52247</v>
      </c>
      <c r="L29" s="1">
        <f>L27+L64</f>
        <v>130392</v>
      </c>
      <c r="M29" s="18">
        <f>SUM(J29:L29)</f>
        <v>234531</v>
      </c>
      <c r="N29" s="1">
        <f>N27+N64</f>
        <v>144539</v>
      </c>
      <c r="O29" s="1">
        <f>O27+O64</f>
        <v>138774</v>
      </c>
      <c r="P29" s="1">
        <f>P27+P64</f>
        <v>107980</v>
      </c>
      <c r="Q29" s="19">
        <f>SUM(N29:P29)</f>
        <v>391293</v>
      </c>
      <c r="R29" s="18">
        <f>+E29+I29+M29+Q29</f>
        <v>1424186</v>
      </c>
    </row>
    <row r="30" spans="1:20" s="50" customFormat="1" ht="16.5" customHeight="1" thickBot="1" x14ac:dyDescent="0.35">
      <c r="A30" s="46" t="s">
        <v>41</v>
      </c>
      <c r="B30" s="47">
        <f>(B29/B10)/1.983</f>
        <v>2004.636181738324</v>
      </c>
      <c r="C30" s="47">
        <f>(C29/C10)/1.983</f>
        <v>2439.9538938116848</v>
      </c>
      <c r="D30" s="47">
        <f>(D29/D10)/1.983</f>
        <v>2358.3361801115939</v>
      </c>
      <c r="E30" s="48"/>
      <c r="F30" s="47">
        <f>(F29/F10)/1.983</f>
        <v>2472.1633888048409</v>
      </c>
      <c r="G30" s="47">
        <f>(G29/G10)/1.983</f>
        <v>2813.9183055975791</v>
      </c>
      <c r="H30" s="47">
        <f>(H29/H10)/1.983</f>
        <v>1254.5301731383424</v>
      </c>
      <c r="I30" s="48"/>
      <c r="J30" s="47">
        <f>(J29/J10)/1.983</f>
        <v>844.14295707058386</v>
      </c>
      <c r="K30" s="47">
        <f>(K29/K10)/1.983</f>
        <v>849.91785011305774</v>
      </c>
      <c r="L30" s="47">
        <f>(L29/L10)/1.983</f>
        <v>2191.8305597579424</v>
      </c>
      <c r="M30" s="48"/>
      <c r="N30" s="47">
        <f>(N29/N10)/1.983</f>
        <v>2351.2599027215201</v>
      </c>
      <c r="O30" s="47">
        <f>(O29/O10)/1.983</f>
        <v>2332.7281896116992</v>
      </c>
      <c r="P30" s="47">
        <f>(P29/P10)/1.983</f>
        <v>1756.5435231727749</v>
      </c>
      <c r="Q30" s="49"/>
      <c r="R30" s="48"/>
      <c r="T30" s="51" t="s">
        <v>42</v>
      </c>
    </row>
    <row r="31" spans="1:20" ht="15.75" customHeight="1" x14ac:dyDescent="0.3">
      <c r="A31" s="28"/>
      <c r="B31" s="1"/>
      <c r="C31" s="1"/>
      <c r="D31" s="1"/>
      <c r="E31" s="1"/>
      <c r="F31" s="1"/>
      <c r="G31" s="1"/>
      <c r="H31" s="1"/>
      <c r="I31" s="1"/>
      <c r="J31" s="1"/>
      <c r="K31" s="1"/>
      <c r="L31" s="1"/>
      <c r="M31" s="1"/>
      <c r="N31" s="1"/>
      <c r="O31" s="1"/>
      <c r="P31" s="1"/>
      <c r="Q31" s="1"/>
      <c r="R31" s="28"/>
      <c r="T31" s="52" t="s">
        <v>43</v>
      </c>
    </row>
    <row r="32" spans="1:20" ht="15.75" customHeight="1" thickBot="1" x14ac:dyDescent="0.35">
      <c r="A32" s="28"/>
      <c r="B32" s="1"/>
      <c r="C32" s="1"/>
      <c r="D32" s="1"/>
      <c r="E32" s="1"/>
      <c r="F32" s="1"/>
      <c r="G32" s="1"/>
      <c r="H32" s="1"/>
      <c r="I32" s="1"/>
      <c r="J32" s="1"/>
      <c r="K32" s="1"/>
      <c r="L32" s="1"/>
      <c r="M32" s="1"/>
      <c r="N32" s="1"/>
      <c r="O32" s="1"/>
      <c r="P32" s="1"/>
      <c r="Q32" s="1"/>
      <c r="R32" s="28"/>
    </row>
    <row r="33" spans="1:18" ht="15.75" customHeight="1" thickBot="1" x14ac:dyDescent="0.35">
      <c r="A33" s="53" t="s">
        <v>44</v>
      </c>
      <c r="B33" s="54" t="s">
        <v>36</v>
      </c>
      <c r="C33" s="11" t="s">
        <v>9</v>
      </c>
      <c r="D33" s="11" t="s">
        <v>10</v>
      </c>
      <c r="E33" s="12" t="s">
        <v>11</v>
      </c>
      <c r="F33" s="11" t="s">
        <v>12</v>
      </c>
      <c r="G33" s="11" t="s">
        <v>13</v>
      </c>
      <c r="H33" s="11" t="s">
        <v>14</v>
      </c>
      <c r="I33" s="12" t="s">
        <v>15</v>
      </c>
      <c r="J33" s="11" t="s">
        <v>16</v>
      </c>
      <c r="K33" s="11" t="s">
        <v>17</v>
      </c>
      <c r="L33" s="11" t="s">
        <v>18</v>
      </c>
      <c r="M33" s="12" t="s">
        <v>19</v>
      </c>
      <c r="N33" s="11" t="s">
        <v>20</v>
      </c>
      <c r="O33" s="11" t="s">
        <v>21</v>
      </c>
      <c r="P33" s="11" t="s">
        <v>22</v>
      </c>
      <c r="Q33" s="12" t="s">
        <v>23</v>
      </c>
      <c r="R33" s="13" t="s">
        <v>24</v>
      </c>
    </row>
    <row r="34" spans="1:18" ht="16.5" customHeight="1" thickBot="1" x14ac:dyDescent="0.35">
      <c r="A34" s="43"/>
      <c r="B34" s="55"/>
      <c r="C34" s="56"/>
      <c r="D34" s="56"/>
      <c r="E34" s="16"/>
      <c r="F34" s="56"/>
      <c r="G34" s="56"/>
      <c r="H34" s="56"/>
      <c r="I34" s="16"/>
      <c r="J34" s="56"/>
      <c r="K34" s="56"/>
      <c r="L34" s="56"/>
      <c r="M34" s="16"/>
      <c r="N34" s="56"/>
      <c r="O34" s="56"/>
      <c r="P34" s="56"/>
      <c r="Q34" s="16"/>
      <c r="R34" s="57"/>
    </row>
    <row r="35" spans="1:18" ht="15.75" customHeight="1" x14ac:dyDescent="0.3">
      <c r="A35" s="58" t="s">
        <v>45</v>
      </c>
      <c r="B35" s="30"/>
      <c r="C35" s="30"/>
      <c r="D35" s="30"/>
      <c r="E35" s="59" t="s">
        <v>7</v>
      </c>
      <c r="F35" s="30"/>
      <c r="G35" s="30"/>
      <c r="H35" s="30"/>
      <c r="I35" s="59" t="s">
        <v>7</v>
      </c>
      <c r="J35" s="30"/>
      <c r="K35" s="30"/>
      <c r="L35" s="30"/>
      <c r="M35" s="59" t="s">
        <v>7</v>
      </c>
      <c r="N35" s="30"/>
      <c r="O35" s="30"/>
      <c r="P35" s="30"/>
      <c r="Q35" s="59" t="s">
        <v>7</v>
      </c>
      <c r="R35" s="59" t="s">
        <v>7</v>
      </c>
    </row>
    <row r="36" spans="1:18" ht="15.75" customHeight="1" x14ac:dyDescent="0.3">
      <c r="A36" s="22" t="s">
        <v>46</v>
      </c>
      <c r="B36" s="30" t="s">
        <v>7</v>
      </c>
      <c r="C36" s="60"/>
      <c r="D36" s="60"/>
      <c r="E36" s="59" t="s">
        <v>7</v>
      </c>
      <c r="F36" s="60"/>
      <c r="G36" s="60"/>
      <c r="H36" s="60"/>
      <c r="I36" s="59" t="s">
        <v>7</v>
      </c>
      <c r="J36" s="60"/>
      <c r="K36" s="60"/>
      <c r="L36" s="60"/>
      <c r="M36" s="59" t="s">
        <v>7</v>
      </c>
      <c r="N36" s="60"/>
      <c r="O36" s="60"/>
      <c r="P36" s="60"/>
      <c r="Q36" s="59" t="s">
        <v>7</v>
      </c>
      <c r="R36" s="59" t="s">
        <v>7</v>
      </c>
    </row>
    <row r="37" spans="1:18" ht="15.75" customHeight="1" x14ac:dyDescent="0.3">
      <c r="A37" s="22" t="s">
        <v>47</v>
      </c>
      <c r="B37" s="30"/>
      <c r="C37" s="30"/>
      <c r="D37" s="30"/>
      <c r="E37" s="59" t="s">
        <v>7</v>
      </c>
      <c r="F37" s="30"/>
      <c r="G37" s="30"/>
      <c r="H37" s="30"/>
      <c r="I37" s="59" t="s">
        <v>7</v>
      </c>
      <c r="J37" s="30"/>
      <c r="K37" s="30"/>
      <c r="L37" s="30"/>
      <c r="M37" s="59" t="s">
        <v>7</v>
      </c>
      <c r="N37" s="30"/>
      <c r="O37" s="30"/>
      <c r="P37" s="30"/>
      <c r="Q37" s="59" t="s">
        <v>7</v>
      </c>
      <c r="R37" s="59" t="s">
        <v>7</v>
      </c>
    </row>
    <row r="38" spans="1:18" ht="15.75" customHeight="1" x14ac:dyDescent="0.3">
      <c r="A38" s="61" t="s">
        <v>48</v>
      </c>
      <c r="B38" s="1"/>
      <c r="C38" s="1"/>
      <c r="D38" s="1"/>
      <c r="E38" s="59">
        <f>SUM(B38:D38)</f>
        <v>0</v>
      </c>
      <c r="F38" s="1"/>
      <c r="G38" s="1"/>
      <c r="H38" s="1"/>
      <c r="I38" s="59">
        <f>SUM(F38:H38)</f>
        <v>0</v>
      </c>
      <c r="J38" s="1"/>
      <c r="K38" s="1"/>
      <c r="L38" s="1"/>
      <c r="M38" s="59">
        <f>SUM(J38:L38)</f>
        <v>0</v>
      </c>
      <c r="N38" s="1"/>
      <c r="O38" s="1"/>
      <c r="P38" s="1"/>
      <c r="Q38" s="59">
        <f>SUM(N38:P38)</f>
        <v>0</v>
      </c>
      <c r="R38" s="59">
        <f>+E38+I38+M38+Q38</f>
        <v>0</v>
      </c>
    </row>
    <row r="39" spans="1:18" ht="15.75" customHeight="1" x14ac:dyDescent="0.3">
      <c r="A39" s="22" t="s">
        <v>49</v>
      </c>
      <c r="B39" s="30"/>
      <c r="C39" s="30"/>
      <c r="D39" s="30"/>
      <c r="E39" s="59" t="s">
        <v>50</v>
      </c>
      <c r="F39" s="30"/>
      <c r="G39" s="30"/>
      <c r="H39" s="30"/>
      <c r="I39" s="59" t="s">
        <v>50</v>
      </c>
      <c r="J39" s="30"/>
      <c r="K39" s="30"/>
      <c r="L39" s="30"/>
      <c r="M39" s="59" t="s">
        <v>50</v>
      </c>
      <c r="N39" s="30"/>
      <c r="O39" s="30"/>
      <c r="P39" s="30"/>
      <c r="Q39" s="59" t="s">
        <v>50</v>
      </c>
      <c r="R39" s="59" t="s">
        <v>50</v>
      </c>
    </row>
    <row r="40" spans="1:18" ht="15.75" customHeight="1" thickBot="1" x14ac:dyDescent="0.35">
      <c r="A40" s="22" t="s">
        <v>51</v>
      </c>
      <c r="B40" s="60"/>
      <c r="C40" s="60"/>
      <c r="D40" s="60"/>
      <c r="E40" s="59" t="s">
        <v>7</v>
      </c>
      <c r="F40" s="60"/>
      <c r="G40" s="60"/>
      <c r="H40" s="60"/>
      <c r="I40" s="59" t="s">
        <v>7</v>
      </c>
      <c r="J40" s="60"/>
      <c r="K40" s="60"/>
      <c r="L40" s="60"/>
      <c r="M40" s="59" t="s">
        <v>7</v>
      </c>
      <c r="N40" s="60"/>
      <c r="O40" s="60"/>
      <c r="P40" s="60"/>
      <c r="Q40" s="59" t="s">
        <v>7</v>
      </c>
      <c r="R40" s="59" t="s">
        <v>7</v>
      </c>
    </row>
    <row r="41" spans="1:18" ht="16.5" customHeight="1" thickBot="1" x14ac:dyDescent="0.35">
      <c r="A41" s="62" t="s">
        <v>52</v>
      </c>
      <c r="B41" s="63">
        <f>SUM(B35:B40)</f>
        <v>0</v>
      </c>
      <c r="C41" s="63">
        <f>SUM(C35:C40)</f>
        <v>0</v>
      </c>
      <c r="D41" s="63">
        <f>SUM(D35:D40)</f>
        <v>0</v>
      </c>
      <c r="E41" s="64">
        <f>SUM(B41:D41)</f>
        <v>0</v>
      </c>
      <c r="F41" s="63">
        <f>SUM(F35:F40)</f>
        <v>0</v>
      </c>
      <c r="G41" s="63">
        <f>SUM(G35:G40)</f>
        <v>0</v>
      </c>
      <c r="H41" s="63">
        <f>SUM(H35:H40)</f>
        <v>0</v>
      </c>
      <c r="I41" s="64">
        <f>SUM(F41:H41)</f>
        <v>0</v>
      </c>
      <c r="J41" s="63">
        <f>SUM(J35:J40)</f>
        <v>0</v>
      </c>
      <c r="K41" s="63">
        <f>SUM(K35:K40)</f>
        <v>0</v>
      </c>
      <c r="L41" s="63">
        <f>SUM(L35:L40)</f>
        <v>0</v>
      </c>
      <c r="M41" s="64">
        <f>SUM(J41:L41)</f>
        <v>0</v>
      </c>
      <c r="N41" s="63">
        <f>SUM(N35:N40)</f>
        <v>0</v>
      </c>
      <c r="O41" s="63">
        <f>SUM(O35:O40)</f>
        <v>0</v>
      </c>
      <c r="P41" s="63">
        <f>SUM(P35:P40)</f>
        <v>0</v>
      </c>
      <c r="Q41" s="64">
        <f>SUM(N41:P41)</f>
        <v>0</v>
      </c>
      <c r="R41" s="64">
        <f>+E41+I41+M41+Q41</f>
        <v>0</v>
      </c>
    </row>
    <row r="42" spans="1:18" ht="15.75" customHeight="1" x14ac:dyDescent="0.3">
      <c r="A42" s="22" t="s">
        <v>53</v>
      </c>
      <c r="B42" s="60"/>
      <c r="C42" s="60"/>
      <c r="D42" s="60"/>
      <c r="E42" s="59" t="s">
        <v>7</v>
      </c>
      <c r="F42" s="60"/>
      <c r="G42" s="60"/>
      <c r="H42" s="60"/>
      <c r="I42" s="59" t="s">
        <v>7</v>
      </c>
      <c r="J42" s="60"/>
      <c r="K42" s="60"/>
      <c r="L42" s="60"/>
      <c r="M42" s="59" t="s">
        <v>7</v>
      </c>
      <c r="N42" s="60"/>
      <c r="O42" s="60"/>
      <c r="P42" s="60"/>
      <c r="Q42" s="59" t="s">
        <v>7</v>
      </c>
      <c r="R42" s="65" t="s">
        <v>7</v>
      </c>
    </row>
    <row r="43" spans="1:18" ht="15.75" customHeight="1" x14ac:dyDescent="0.3">
      <c r="A43" s="22" t="s">
        <v>54</v>
      </c>
      <c r="B43" s="60"/>
      <c r="C43" s="60"/>
      <c r="D43" s="60"/>
      <c r="E43" s="59"/>
      <c r="F43" s="60"/>
      <c r="G43" s="60"/>
      <c r="H43" s="60"/>
      <c r="I43" s="59"/>
      <c r="J43" s="60"/>
      <c r="K43" s="60"/>
      <c r="L43" s="60"/>
      <c r="M43" s="59"/>
      <c r="N43" s="60"/>
      <c r="O43" s="60"/>
      <c r="P43" s="60"/>
      <c r="Q43" s="59"/>
      <c r="R43" s="59"/>
    </row>
    <row r="44" spans="1:18" ht="15.75" customHeight="1" x14ac:dyDescent="0.3">
      <c r="A44" s="22" t="s">
        <v>55</v>
      </c>
      <c r="B44" s="60"/>
      <c r="C44" s="60"/>
      <c r="D44" s="60"/>
      <c r="E44" s="59" t="s">
        <v>7</v>
      </c>
      <c r="F44" s="60"/>
      <c r="G44" s="60"/>
      <c r="H44" s="60"/>
      <c r="I44" s="59" t="s">
        <v>7</v>
      </c>
      <c r="J44" s="60"/>
      <c r="K44" s="60"/>
      <c r="L44" s="60"/>
      <c r="M44" s="59" t="s">
        <v>7</v>
      </c>
      <c r="N44" s="60"/>
      <c r="O44" s="60"/>
      <c r="P44" s="60"/>
      <c r="Q44" s="59" t="s">
        <v>7</v>
      </c>
      <c r="R44" s="59" t="s">
        <v>7</v>
      </c>
    </row>
    <row r="45" spans="1:18" ht="15.75" customHeight="1" thickBot="1" x14ac:dyDescent="0.35">
      <c r="A45" s="22" t="s">
        <v>56</v>
      </c>
      <c r="B45" s="60"/>
      <c r="C45" s="60"/>
      <c r="D45" s="60"/>
      <c r="E45" s="59" t="s">
        <v>7</v>
      </c>
      <c r="F45" s="60"/>
      <c r="G45" s="60"/>
      <c r="H45" s="60"/>
      <c r="I45" s="59" t="s">
        <v>7</v>
      </c>
      <c r="J45" s="60"/>
      <c r="K45" s="60"/>
      <c r="L45" s="60"/>
      <c r="M45" s="59" t="s">
        <v>7</v>
      </c>
      <c r="N45" s="60"/>
      <c r="O45" s="60"/>
      <c r="P45" s="60"/>
      <c r="Q45" s="59" t="s">
        <v>7</v>
      </c>
      <c r="R45" s="59" t="s">
        <v>7</v>
      </c>
    </row>
    <row r="46" spans="1:18" ht="16.5" customHeight="1" thickBot="1" x14ac:dyDescent="0.35">
      <c r="A46" s="62" t="s">
        <v>57</v>
      </c>
      <c r="B46" s="63">
        <f>SUM(B42:B45)</f>
        <v>0</v>
      </c>
      <c r="C46" s="63">
        <f>SUM(C42:C45)</f>
        <v>0</v>
      </c>
      <c r="D46" s="63">
        <f>SUM(D42:D45)</f>
        <v>0</v>
      </c>
      <c r="E46" s="64">
        <f>SUM(B46:D46)</f>
        <v>0</v>
      </c>
      <c r="F46" s="63">
        <f>SUM(F42:F45)</f>
        <v>0</v>
      </c>
      <c r="G46" s="63">
        <f>SUM(G42:G45)</f>
        <v>0</v>
      </c>
      <c r="H46" s="63">
        <f>SUM(H42:H45)</f>
        <v>0</v>
      </c>
      <c r="I46" s="64">
        <f>SUM(F46:H46)</f>
        <v>0</v>
      </c>
      <c r="J46" s="63">
        <f>SUM(J42:J45)</f>
        <v>0</v>
      </c>
      <c r="K46" s="63">
        <f>SUM(K42:K45)</f>
        <v>0</v>
      </c>
      <c r="L46" s="63">
        <f>SUM(L42:L45)</f>
        <v>0</v>
      </c>
      <c r="M46" s="64">
        <f>SUM(J46:L46)</f>
        <v>0</v>
      </c>
      <c r="N46" s="63">
        <f>SUM(N42:N45)</f>
        <v>0</v>
      </c>
      <c r="O46" s="63">
        <f>SUM(O42:O45)</f>
        <v>0</v>
      </c>
      <c r="P46" s="63">
        <f>SUM(P42:P45)</f>
        <v>0</v>
      </c>
      <c r="Q46" s="64">
        <f>SUM(N46:P46)</f>
        <v>0</v>
      </c>
      <c r="R46" s="64">
        <f>+E46+I46+M46+Q46</f>
        <v>0</v>
      </c>
    </row>
    <row r="47" spans="1:18" ht="15.75" customHeight="1" x14ac:dyDescent="0.3">
      <c r="A47" s="22" t="s">
        <v>58</v>
      </c>
      <c r="B47" s="60"/>
      <c r="C47" s="60"/>
      <c r="D47" s="60"/>
      <c r="E47" s="59" t="s">
        <v>7</v>
      </c>
      <c r="F47" s="60"/>
      <c r="G47" s="60"/>
      <c r="H47" s="60"/>
      <c r="I47" s="59" t="s">
        <v>7</v>
      </c>
      <c r="J47" s="60"/>
      <c r="K47" s="60"/>
      <c r="L47" s="60"/>
      <c r="M47" s="59" t="s">
        <v>7</v>
      </c>
      <c r="N47" s="60"/>
      <c r="O47" s="60"/>
      <c r="P47" s="60"/>
      <c r="Q47" s="59" t="s">
        <v>7</v>
      </c>
      <c r="R47" s="59" t="s">
        <v>7</v>
      </c>
    </row>
    <row r="48" spans="1:18" ht="15.75" customHeight="1" x14ac:dyDescent="0.3">
      <c r="A48" s="22" t="s">
        <v>59</v>
      </c>
      <c r="B48" s="60"/>
      <c r="C48" s="60"/>
      <c r="D48" s="60"/>
      <c r="E48" s="59" t="s">
        <v>7</v>
      </c>
      <c r="F48" s="60"/>
      <c r="G48" s="60"/>
      <c r="H48" s="60"/>
      <c r="I48" s="59" t="s">
        <v>7</v>
      </c>
      <c r="J48" s="60"/>
      <c r="K48" s="60"/>
      <c r="L48" s="60"/>
      <c r="M48" s="59" t="s">
        <v>7</v>
      </c>
      <c r="N48" s="60"/>
      <c r="O48" s="60"/>
      <c r="P48" s="60"/>
      <c r="Q48" s="59" t="s">
        <v>7</v>
      </c>
      <c r="R48" s="59" t="s">
        <v>7</v>
      </c>
    </row>
    <row r="49" spans="1:18" ht="15.75" customHeight="1" thickBot="1" x14ac:dyDescent="0.35">
      <c r="A49" s="22" t="s">
        <v>60</v>
      </c>
      <c r="B49" s="60"/>
      <c r="C49" s="60"/>
      <c r="D49" s="60"/>
      <c r="E49" s="59"/>
      <c r="F49" s="60"/>
      <c r="G49" s="60"/>
      <c r="H49" s="60"/>
      <c r="I49" s="59"/>
      <c r="J49" s="60"/>
      <c r="K49" s="60"/>
      <c r="L49" s="60"/>
      <c r="M49" s="59"/>
      <c r="N49" s="60"/>
      <c r="O49" s="60"/>
      <c r="P49" s="60"/>
      <c r="Q49" s="59"/>
      <c r="R49" s="59"/>
    </row>
    <row r="50" spans="1:18" ht="16.5" customHeight="1" thickBot="1" x14ac:dyDescent="0.35">
      <c r="A50" s="62" t="s">
        <v>61</v>
      </c>
      <c r="B50" s="63">
        <f>SUM(B47:B49)</f>
        <v>0</v>
      </c>
      <c r="C50" s="63">
        <f>SUM(C47:C49)</f>
        <v>0</v>
      </c>
      <c r="D50" s="63">
        <f>SUM(D47:D49)</f>
        <v>0</v>
      </c>
      <c r="E50" s="64">
        <f>SUM(B50:D50)</f>
        <v>0</v>
      </c>
      <c r="F50" s="63">
        <f>SUM(F47:F49)</f>
        <v>0</v>
      </c>
      <c r="G50" s="63">
        <f>SUM(G47:G49)</f>
        <v>0</v>
      </c>
      <c r="H50" s="63">
        <f>SUM(H47:H49)</f>
        <v>0</v>
      </c>
      <c r="I50" s="64">
        <f>SUM(F50:H50)</f>
        <v>0</v>
      </c>
      <c r="J50" s="63">
        <f>SUM(J47:J49)</f>
        <v>0</v>
      </c>
      <c r="K50" s="63">
        <f>SUM(K47:K49)</f>
        <v>0</v>
      </c>
      <c r="L50" s="63">
        <f>SUM(L47:L49)</f>
        <v>0</v>
      </c>
      <c r="M50" s="64">
        <f>SUM(J50:L50)</f>
        <v>0</v>
      </c>
      <c r="N50" s="63">
        <f>SUM(N47:N49)</f>
        <v>0</v>
      </c>
      <c r="O50" s="63">
        <f>SUM(O47:O49)</f>
        <v>0</v>
      </c>
      <c r="P50" s="63">
        <f>SUM(P47:P49)</f>
        <v>0</v>
      </c>
      <c r="Q50" s="64">
        <f>SUM(N50:P50)</f>
        <v>0</v>
      </c>
      <c r="R50" s="64">
        <f>+E50+I50+M50+Q50</f>
        <v>0</v>
      </c>
    </row>
    <row r="51" spans="1:18" ht="15.75" customHeight="1" x14ac:dyDescent="0.3">
      <c r="A51" s="22" t="s">
        <v>62</v>
      </c>
      <c r="B51" s="60"/>
      <c r="C51" s="60"/>
      <c r="D51" s="60"/>
      <c r="E51" s="59" t="s">
        <v>7</v>
      </c>
      <c r="F51" s="60"/>
      <c r="G51" s="60"/>
      <c r="H51" s="60"/>
      <c r="I51" s="59" t="s">
        <v>7</v>
      </c>
      <c r="J51" s="60"/>
      <c r="K51" s="60"/>
      <c r="L51" s="60"/>
      <c r="M51" s="59" t="s">
        <v>7</v>
      </c>
      <c r="N51" s="60"/>
      <c r="O51" s="60"/>
      <c r="P51" s="60"/>
      <c r="Q51" s="59" t="s">
        <v>7</v>
      </c>
      <c r="R51" s="59" t="s">
        <v>7</v>
      </c>
    </row>
    <row r="52" spans="1:18" ht="15.75" customHeight="1" x14ac:dyDescent="0.3">
      <c r="A52" s="22" t="s">
        <v>63</v>
      </c>
      <c r="B52" s="60"/>
      <c r="C52" s="60"/>
      <c r="D52" s="60"/>
      <c r="E52" s="59" t="s">
        <v>7</v>
      </c>
      <c r="F52" s="60"/>
      <c r="G52" s="60"/>
      <c r="H52" s="60"/>
      <c r="I52" s="59" t="s">
        <v>7</v>
      </c>
      <c r="J52" s="60"/>
      <c r="K52" s="60"/>
      <c r="L52" s="60"/>
      <c r="M52" s="59" t="s">
        <v>7</v>
      </c>
      <c r="N52" s="60"/>
      <c r="O52" s="60"/>
      <c r="P52" s="60"/>
      <c r="Q52" s="59" t="s">
        <v>7</v>
      </c>
      <c r="R52" s="59" t="s">
        <v>7</v>
      </c>
    </row>
    <row r="53" spans="1:18" ht="15.75" customHeight="1" x14ac:dyDescent="0.3">
      <c r="A53" s="22" t="s">
        <v>64</v>
      </c>
      <c r="B53" s="60"/>
      <c r="C53" s="60"/>
      <c r="D53" s="60"/>
      <c r="E53" s="59" t="s">
        <v>7</v>
      </c>
      <c r="F53" s="60"/>
      <c r="G53" s="60"/>
      <c r="H53" s="60"/>
      <c r="I53" s="59" t="s">
        <v>7</v>
      </c>
      <c r="J53" s="60"/>
      <c r="K53" s="60"/>
      <c r="L53" s="60"/>
      <c r="M53" s="59" t="s">
        <v>7</v>
      </c>
      <c r="N53" s="60"/>
      <c r="O53" s="60"/>
      <c r="P53" s="60"/>
      <c r="Q53" s="59" t="s">
        <v>7</v>
      </c>
      <c r="R53" s="59" t="s">
        <v>7</v>
      </c>
    </row>
    <row r="54" spans="1:18" ht="15.75" customHeight="1" x14ac:dyDescent="0.3">
      <c r="A54" s="61" t="s">
        <v>65</v>
      </c>
      <c r="B54" s="1"/>
      <c r="C54" s="1"/>
      <c r="D54" s="1"/>
      <c r="E54" s="59">
        <f>SUM(B54:D54)</f>
        <v>0</v>
      </c>
      <c r="F54" s="1"/>
      <c r="G54" s="1"/>
      <c r="H54" s="1"/>
      <c r="I54" s="59">
        <f>SUM(F54:H54)</f>
        <v>0</v>
      </c>
      <c r="J54" s="1"/>
      <c r="K54" s="1"/>
      <c r="L54" s="1"/>
      <c r="M54" s="59">
        <f>SUM(J54:L54)</f>
        <v>0</v>
      </c>
      <c r="N54" s="1"/>
      <c r="O54" s="1"/>
      <c r="P54" s="1"/>
      <c r="Q54" s="59">
        <f>SUM(N54:P54)</f>
        <v>0</v>
      </c>
      <c r="R54" s="59">
        <f>+E54+I54+M54+Q54</f>
        <v>0</v>
      </c>
    </row>
    <row r="55" spans="1:18" ht="15.75" customHeight="1" x14ac:dyDescent="0.3">
      <c r="A55" s="22" t="s">
        <v>66</v>
      </c>
      <c r="B55" s="60"/>
      <c r="C55" s="60"/>
      <c r="D55" s="60"/>
      <c r="E55" s="59" t="s">
        <v>7</v>
      </c>
      <c r="F55" s="60"/>
      <c r="G55" s="60"/>
      <c r="H55" s="60"/>
      <c r="I55" s="59" t="s">
        <v>7</v>
      </c>
      <c r="J55" s="60"/>
      <c r="K55" s="60"/>
      <c r="L55" s="60"/>
      <c r="M55" s="59" t="s">
        <v>7</v>
      </c>
      <c r="N55" s="60"/>
      <c r="O55" s="60"/>
      <c r="P55" s="60"/>
      <c r="Q55" s="59" t="s">
        <v>7</v>
      </c>
      <c r="R55" s="59" t="s">
        <v>7</v>
      </c>
    </row>
    <row r="56" spans="1:18" ht="15.75" customHeight="1" thickBot="1" x14ac:dyDescent="0.35">
      <c r="A56" s="22" t="s">
        <v>67</v>
      </c>
      <c r="B56" s="60"/>
      <c r="C56" s="60"/>
      <c r="D56" s="60"/>
      <c r="E56" s="59" t="s">
        <v>7</v>
      </c>
      <c r="F56" s="60"/>
      <c r="G56" s="60"/>
      <c r="H56" s="60"/>
      <c r="I56" s="59" t="s">
        <v>7</v>
      </c>
      <c r="J56" s="60"/>
      <c r="K56" s="60"/>
      <c r="L56" s="60"/>
      <c r="M56" s="59" t="s">
        <v>7</v>
      </c>
      <c r="N56" s="60"/>
      <c r="O56" s="60"/>
      <c r="P56" s="60"/>
      <c r="Q56" s="59" t="s">
        <v>7</v>
      </c>
      <c r="R56" s="59" t="s">
        <v>7</v>
      </c>
    </row>
    <row r="57" spans="1:18" ht="16.5" customHeight="1" thickBot="1" x14ac:dyDescent="0.35">
      <c r="A57" s="62" t="s">
        <v>68</v>
      </c>
      <c r="B57" s="63">
        <f>SUM(B55:B56)</f>
        <v>0</v>
      </c>
      <c r="C57" s="63">
        <f>SUM(C55:C56)</f>
        <v>0</v>
      </c>
      <c r="D57" s="63">
        <f>SUM(D55:D56)</f>
        <v>0</v>
      </c>
      <c r="E57" s="65">
        <f>SUM(B57:D57)</f>
        <v>0</v>
      </c>
      <c r="F57" s="63">
        <f>SUM(F55:F56)</f>
        <v>0</v>
      </c>
      <c r="G57" s="63">
        <f>SUM(G55:G56)</f>
        <v>0</v>
      </c>
      <c r="H57" s="63">
        <f>SUM(H55:H56)</f>
        <v>0</v>
      </c>
      <c r="I57" s="65">
        <f>SUM(F57:H57)</f>
        <v>0</v>
      </c>
      <c r="J57" s="63">
        <f>SUM(J55:J56)</f>
        <v>0</v>
      </c>
      <c r="K57" s="63">
        <f>SUM(K55:K56)</f>
        <v>0</v>
      </c>
      <c r="L57" s="63">
        <f>SUM(L55:L56)</f>
        <v>0</v>
      </c>
      <c r="M57" s="65">
        <f>SUM(J57:L57)</f>
        <v>0</v>
      </c>
      <c r="N57" s="63">
        <f>SUM(N55:N56)</f>
        <v>0</v>
      </c>
      <c r="O57" s="63">
        <f>SUM(O55:O56)</f>
        <v>0</v>
      </c>
      <c r="P57" s="63">
        <f>SUM(P55:P56)</f>
        <v>0</v>
      </c>
      <c r="Q57" s="65">
        <f>SUM(N57:P57)</f>
        <v>0</v>
      </c>
      <c r="R57" s="64">
        <f>+E57+I57+M57+Q57</f>
        <v>0</v>
      </c>
    </row>
    <row r="58" spans="1:18" ht="16.5" customHeight="1" thickBot="1" x14ac:dyDescent="0.35">
      <c r="A58" s="62" t="s">
        <v>69</v>
      </c>
      <c r="B58" s="63">
        <f>SUM(B51:B56)</f>
        <v>0</v>
      </c>
      <c r="C58" s="63">
        <f>SUM(C51:C56)</f>
        <v>0</v>
      </c>
      <c r="D58" s="63">
        <f>SUM(D51:D56)</f>
        <v>0</v>
      </c>
      <c r="E58" s="65">
        <f>SUM(B58:D58)</f>
        <v>0</v>
      </c>
      <c r="F58" s="63">
        <f>SUM(F51:F56)</f>
        <v>0</v>
      </c>
      <c r="G58" s="63">
        <f>SUM(G51:G56)</f>
        <v>0</v>
      </c>
      <c r="H58" s="63">
        <f>SUM(H51:H56)</f>
        <v>0</v>
      </c>
      <c r="I58" s="65">
        <f>SUM(F58:H58)</f>
        <v>0</v>
      </c>
      <c r="J58" s="63">
        <f>SUM(J51:J56)</f>
        <v>0</v>
      </c>
      <c r="K58" s="63">
        <f>SUM(K51:K56)</f>
        <v>0</v>
      </c>
      <c r="L58" s="63">
        <f>SUM(L51:L56)</f>
        <v>0</v>
      </c>
      <c r="M58" s="65">
        <f>SUM(J58:L58)</f>
        <v>0</v>
      </c>
      <c r="N58" s="63">
        <f>SUM(N51:N56)</f>
        <v>0</v>
      </c>
      <c r="O58" s="63">
        <f>SUM(O51:O56)</f>
        <v>0</v>
      </c>
      <c r="P58" s="63">
        <f>SUM(P51:P56)</f>
        <v>0</v>
      </c>
      <c r="Q58" s="65">
        <f>SUM(N58:P58)</f>
        <v>0</v>
      </c>
      <c r="R58" s="64">
        <f>+E58+I58+M58+Q58</f>
        <v>0</v>
      </c>
    </row>
    <row r="59" spans="1:18" ht="16.5" customHeight="1" thickBot="1" x14ac:dyDescent="0.35">
      <c r="A59" s="62" t="s">
        <v>70</v>
      </c>
      <c r="B59" s="63">
        <f>+B41+B46+B50+B58</f>
        <v>0</v>
      </c>
      <c r="C59" s="63">
        <f>+C41+C46+C50+C58</f>
        <v>0</v>
      </c>
      <c r="D59" s="63">
        <f>+D41+D46+D50+D58</f>
        <v>0</v>
      </c>
      <c r="E59" s="64">
        <f>SUM(B59:D59)</f>
        <v>0</v>
      </c>
      <c r="F59" s="63">
        <f>+F41+F46+F50+F58</f>
        <v>0</v>
      </c>
      <c r="G59" s="63">
        <f>+G41+G46+G50+G58</f>
        <v>0</v>
      </c>
      <c r="H59" s="63">
        <f>+H41+H46+H50+H58</f>
        <v>0</v>
      </c>
      <c r="I59" s="64">
        <f>SUM(F59:H59)</f>
        <v>0</v>
      </c>
      <c r="J59" s="63">
        <f>+J41+J46+J50+J58</f>
        <v>0</v>
      </c>
      <c r="K59" s="63">
        <f>+K41+K46+K50+K58</f>
        <v>0</v>
      </c>
      <c r="L59" s="63">
        <f>+L41+L46+L50+L58</f>
        <v>0</v>
      </c>
      <c r="M59" s="64">
        <f>SUM(J59:L59)</f>
        <v>0</v>
      </c>
      <c r="N59" s="63">
        <f>+N41+N46+N50+N58</f>
        <v>0</v>
      </c>
      <c r="O59" s="63">
        <f>+O41+O46+O50+O58</f>
        <v>0</v>
      </c>
      <c r="P59" s="63">
        <f>+P41+P46+P50+P58</f>
        <v>0</v>
      </c>
      <c r="Q59" s="64">
        <f>SUM(N59:P59)</f>
        <v>0</v>
      </c>
      <c r="R59" s="64">
        <f>+E59+I59+M59+Q59</f>
        <v>0</v>
      </c>
    </row>
    <row r="60" spans="1:18" ht="16.5" customHeight="1" thickBot="1" x14ac:dyDescent="0.35">
      <c r="A60" s="66" t="s">
        <v>37</v>
      </c>
      <c r="B60" s="67">
        <v>96</v>
      </c>
      <c r="C60" s="67">
        <v>145</v>
      </c>
      <c r="D60" s="67">
        <v>261</v>
      </c>
      <c r="E60" s="43">
        <f>SUM(B60:D60)</f>
        <v>502</v>
      </c>
      <c r="F60" s="67">
        <v>350</v>
      </c>
      <c r="G60" s="67">
        <v>402</v>
      </c>
      <c r="H60" s="67">
        <v>396</v>
      </c>
      <c r="I60" s="43">
        <f>SUM(F60:H60)</f>
        <v>1148</v>
      </c>
      <c r="J60" s="67">
        <v>394</v>
      </c>
      <c r="K60" s="67">
        <v>318</v>
      </c>
      <c r="L60" s="67">
        <v>301</v>
      </c>
      <c r="M60" s="43">
        <f>SUM(J60:L60)</f>
        <v>1013</v>
      </c>
      <c r="N60" s="67">
        <v>272</v>
      </c>
      <c r="O60" s="67">
        <v>226</v>
      </c>
      <c r="P60" s="67">
        <v>179</v>
      </c>
      <c r="Q60" s="43">
        <f>SUM(N60:P60)</f>
        <v>677</v>
      </c>
      <c r="R60" s="43">
        <f>+E60+I60+M60+Q60</f>
        <v>3340</v>
      </c>
    </row>
    <row r="61" spans="1:18" ht="16.5" customHeight="1" thickBot="1" x14ac:dyDescent="0.35">
      <c r="A61" s="42"/>
      <c r="B61" s="37"/>
      <c r="C61" s="37"/>
      <c r="D61" s="37"/>
      <c r="E61" s="26"/>
      <c r="F61" s="37"/>
      <c r="G61" s="37"/>
      <c r="H61" s="37"/>
      <c r="I61" s="26"/>
      <c r="J61" s="37"/>
      <c r="K61" s="37"/>
      <c r="L61" s="37"/>
      <c r="M61" s="26"/>
      <c r="N61" s="37"/>
      <c r="O61" s="37"/>
      <c r="P61" s="37"/>
      <c r="Q61" s="26"/>
      <c r="R61" s="42"/>
    </row>
    <row r="62" spans="1:18" ht="15.75" customHeight="1" x14ac:dyDescent="0.3">
      <c r="A62" s="17" t="s">
        <v>38</v>
      </c>
      <c r="B62" s="1">
        <f>+B59+B60</f>
        <v>96</v>
      </c>
      <c r="C62" s="1">
        <f>+C59+C60</f>
        <v>145</v>
      </c>
      <c r="D62" s="1">
        <f>+D59+D60</f>
        <v>261</v>
      </c>
      <c r="E62" s="41">
        <f>SUM(B62:D62)</f>
        <v>502</v>
      </c>
      <c r="F62" s="1">
        <f>+F59+F60</f>
        <v>350</v>
      </c>
      <c r="G62" s="1">
        <f>+G59+G60</f>
        <v>402</v>
      </c>
      <c r="H62" s="1">
        <f>+H59+H60</f>
        <v>396</v>
      </c>
      <c r="I62" s="41">
        <f>SUM(F62:H62)</f>
        <v>1148</v>
      </c>
      <c r="J62" s="1">
        <f>+J59+J60</f>
        <v>394</v>
      </c>
      <c r="K62" s="1">
        <f>+K59+K60</f>
        <v>318</v>
      </c>
      <c r="L62" s="1">
        <f>+L59+L60</f>
        <v>301</v>
      </c>
      <c r="M62" s="41">
        <f>SUM(J62:L62)</f>
        <v>1013</v>
      </c>
      <c r="N62" s="1">
        <f>+N59+N60</f>
        <v>272</v>
      </c>
      <c r="O62" s="1">
        <f>+O59+O60</f>
        <v>226</v>
      </c>
      <c r="P62" s="1">
        <f>+P59+P60</f>
        <v>179</v>
      </c>
      <c r="Q62" s="45">
        <f>SUM(N62:P62)</f>
        <v>677</v>
      </c>
      <c r="R62" s="18">
        <f>+E62+I62+M62+Q62</f>
        <v>3340</v>
      </c>
    </row>
    <row r="63" spans="1:18" ht="15.75" customHeight="1" x14ac:dyDescent="0.3">
      <c r="A63" s="17" t="s">
        <v>39</v>
      </c>
      <c r="B63" s="1">
        <f>(B62/B10)/1.983</f>
        <v>1.5616612171197111</v>
      </c>
      <c r="C63" s="1">
        <f>(C62/C10)/1.983</f>
        <v>2.6114833225271954</v>
      </c>
      <c r="D63" s="1">
        <f>(D62/D10)/1.983</f>
        <v>4.2457664340442145</v>
      </c>
      <c r="E63" s="18"/>
      <c r="F63" s="1">
        <f>(F62/F10)/1.983</f>
        <v>5.8833417381072444</v>
      </c>
      <c r="G63" s="1">
        <f>(G62/G10)/1.983</f>
        <v>6.5394563466887892</v>
      </c>
      <c r="H63" s="1">
        <f>(H62/H10)/1.983</f>
        <v>6.6565809379727678</v>
      </c>
      <c r="I63" s="18"/>
      <c r="J63" s="1">
        <f>(J62/J10)/1.983</f>
        <v>6.4093179119288139</v>
      </c>
      <c r="K63" s="1">
        <f>(K62/K10)/1.983</f>
        <v>5.1730027817090427</v>
      </c>
      <c r="L63" s="1">
        <f>(L62/L10)/1.983</f>
        <v>5.0596738947722306</v>
      </c>
      <c r="M63" s="18"/>
      <c r="N63" s="1">
        <f>(N62/N10)/1.983</f>
        <v>4.4247067818391805</v>
      </c>
      <c r="O63" s="1">
        <f>(O62/O10)/1.983</f>
        <v>3.7989578080349635</v>
      </c>
      <c r="P63" s="1">
        <f>(P62/P10)/1.983</f>
        <v>2.9118474777544612</v>
      </c>
      <c r="Q63" s="19"/>
      <c r="R63" s="68"/>
    </row>
    <row r="64" spans="1:18" ht="15.75" customHeight="1" x14ac:dyDescent="0.3">
      <c r="A64" s="17" t="s">
        <v>71</v>
      </c>
      <c r="B64" s="1">
        <f>B62+B134</f>
        <v>123134</v>
      </c>
      <c r="C64" s="1">
        <f>C62+C134</f>
        <v>135328</v>
      </c>
      <c r="D64" s="1">
        <f>D62+D134</f>
        <v>144700</v>
      </c>
      <c r="E64" s="18">
        <f>SUM(B64:D64)</f>
        <v>403162</v>
      </c>
      <c r="F64" s="1">
        <f>F62+F134</f>
        <v>146702</v>
      </c>
      <c r="G64" s="1">
        <f>G62+G134</f>
        <v>172555</v>
      </c>
      <c r="H64" s="1">
        <f>H62+H134</f>
        <v>74215</v>
      </c>
      <c r="I64" s="18">
        <f>SUM(F64:H64)</f>
        <v>393472</v>
      </c>
      <c r="J64" s="1">
        <f>J62+J134</f>
        <v>51476</v>
      </c>
      <c r="K64" s="1">
        <f>K62+K134</f>
        <v>51913</v>
      </c>
      <c r="L64" s="1">
        <f>L62+L134</f>
        <v>130076</v>
      </c>
      <c r="M64" s="18">
        <f>SUM(J64:L64)</f>
        <v>233465</v>
      </c>
      <c r="N64" s="1">
        <f>N62+N134</f>
        <v>144254</v>
      </c>
      <c r="O64" s="1">
        <f>O62+O134</f>
        <v>138539</v>
      </c>
      <c r="P64" s="1">
        <f>P62+P134</f>
        <v>107794</v>
      </c>
      <c r="Q64" s="19">
        <f>SUM(N64:P64)</f>
        <v>390587</v>
      </c>
      <c r="R64" s="18">
        <f>+E64+I64+M64+Q64</f>
        <v>1420686</v>
      </c>
    </row>
    <row r="65" spans="1:20" ht="16.5" customHeight="1" thickBot="1" x14ac:dyDescent="0.35">
      <c r="A65" s="24" t="s">
        <v>72</v>
      </c>
      <c r="B65" s="25">
        <f>(B64/B10)/1.983</f>
        <v>2003.0582532168594</v>
      </c>
      <c r="C65" s="25">
        <f>(C64/C10)/1.983</f>
        <v>2437.288379799726</v>
      </c>
      <c r="D65" s="25">
        <f>(D64/D10)/1.983</f>
        <v>2353.8789387210645</v>
      </c>
      <c r="E65" s="26"/>
      <c r="F65" s="25">
        <f>(F64/F10)/1.983</f>
        <v>2465.99428475374</v>
      </c>
      <c r="G65" s="25">
        <f>(G64/G10)/1.983</f>
        <v>2807.0047012509553</v>
      </c>
      <c r="H65" s="25">
        <f>(H64/H10)/1.983</f>
        <v>1247.5205916960833</v>
      </c>
      <c r="I65" s="26"/>
      <c r="J65" s="25">
        <f>(J64/J10)/1.983</f>
        <v>837.37575846306504</v>
      </c>
      <c r="K65" s="25">
        <f>(K64/K10)/1.983</f>
        <v>844.48457046182864</v>
      </c>
      <c r="L65" s="25">
        <f>(L64/L10)/1.983</f>
        <v>2186.5187426458228</v>
      </c>
      <c r="M65" s="26"/>
      <c r="N65" s="25">
        <f>(N64/N10)/1.983</f>
        <v>2346.6237209831957</v>
      </c>
      <c r="O65" s="25">
        <f>(O64/O10)/1.983</f>
        <v>2328.7779458732557</v>
      </c>
      <c r="P65" s="25">
        <f>(P64/P10)/1.983</f>
        <v>1753.5178045646055</v>
      </c>
      <c r="Q65" s="27"/>
      <c r="R65" s="69" t="s">
        <v>7</v>
      </c>
    </row>
    <row r="66" spans="1:20" ht="15.75" customHeight="1" x14ac:dyDescent="0.3">
      <c r="A66" s="28"/>
      <c r="B66" s="1"/>
      <c r="C66" s="1"/>
      <c r="D66" s="1"/>
      <c r="E66" s="1"/>
      <c r="F66" s="1"/>
      <c r="G66" s="1"/>
      <c r="H66" s="1"/>
      <c r="I66" s="1"/>
      <c r="J66" s="1"/>
      <c r="K66" s="1"/>
      <c r="L66" s="1"/>
      <c r="M66" s="1"/>
      <c r="N66" s="1"/>
      <c r="O66" s="1"/>
      <c r="P66" s="1"/>
      <c r="Q66" s="1"/>
      <c r="R66" s="28"/>
    </row>
    <row r="67" spans="1:20" ht="15.75" customHeight="1" thickBot="1" x14ac:dyDescent="0.35">
      <c r="A67" s="28"/>
      <c r="B67" s="1"/>
      <c r="C67" s="1"/>
      <c r="D67" s="1"/>
      <c r="E67" s="1"/>
      <c r="F67" s="1"/>
      <c r="G67" s="1"/>
      <c r="H67" s="1"/>
      <c r="I67" s="1"/>
      <c r="J67" s="1"/>
      <c r="K67" s="1"/>
      <c r="L67" s="1"/>
      <c r="M67" s="1"/>
      <c r="N67" s="1"/>
      <c r="O67" s="1"/>
      <c r="P67" s="1"/>
      <c r="Q67" s="1"/>
      <c r="R67" s="28"/>
    </row>
    <row r="68" spans="1:20" ht="16.5" customHeight="1" thickBot="1" x14ac:dyDescent="0.35">
      <c r="A68" s="31" t="s">
        <v>73</v>
      </c>
      <c r="B68" s="32" t="s">
        <v>36</v>
      </c>
      <c r="C68" s="33" t="s">
        <v>9</v>
      </c>
      <c r="D68" s="33" t="s">
        <v>10</v>
      </c>
      <c r="E68" s="12" t="s">
        <v>11</v>
      </c>
      <c r="F68" s="33" t="s">
        <v>12</v>
      </c>
      <c r="G68" s="33" t="s">
        <v>13</v>
      </c>
      <c r="H68" s="33" t="s">
        <v>14</v>
      </c>
      <c r="I68" s="34" t="s">
        <v>15</v>
      </c>
      <c r="J68" s="33" t="s">
        <v>16</v>
      </c>
      <c r="K68" s="33" t="s">
        <v>17</v>
      </c>
      <c r="L68" s="33" t="s">
        <v>18</v>
      </c>
      <c r="M68" s="34" t="s">
        <v>19</v>
      </c>
      <c r="N68" s="33" t="s">
        <v>20</v>
      </c>
      <c r="O68" s="33" t="s">
        <v>21</v>
      </c>
      <c r="P68" s="33" t="s">
        <v>22</v>
      </c>
      <c r="Q68" s="34" t="s">
        <v>23</v>
      </c>
      <c r="R68" s="35" t="s">
        <v>24</v>
      </c>
    </row>
    <row r="69" spans="1:20" ht="16.5" customHeight="1" thickBot="1" x14ac:dyDescent="0.35">
      <c r="A69" s="70"/>
      <c r="B69" s="14"/>
      <c r="C69" s="71"/>
      <c r="D69" s="71"/>
      <c r="E69" s="72"/>
      <c r="F69" s="71"/>
      <c r="G69" s="71"/>
      <c r="H69" s="71"/>
      <c r="I69" s="72"/>
      <c r="J69" s="71"/>
      <c r="K69" s="71"/>
      <c r="L69" s="71"/>
      <c r="M69" s="72"/>
      <c r="N69" s="71"/>
      <c r="O69" s="71"/>
      <c r="P69" s="73"/>
      <c r="Q69" s="72"/>
      <c r="R69" s="64"/>
    </row>
    <row r="70" spans="1:20" ht="15.75" customHeight="1" x14ac:dyDescent="0.3">
      <c r="A70" s="58" t="s">
        <v>45</v>
      </c>
      <c r="B70" s="30"/>
      <c r="C70" s="30"/>
      <c r="D70" s="30"/>
      <c r="E70" s="59" t="s">
        <v>7</v>
      </c>
      <c r="F70" s="30"/>
      <c r="G70" s="30"/>
      <c r="H70" s="30"/>
      <c r="I70" s="59" t="s">
        <v>7</v>
      </c>
      <c r="J70" s="30"/>
      <c r="K70" s="30"/>
      <c r="L70" s="30"/>
      <c r="M70" s="59" t="s">
        <v>7</v>
      </c>
      <c r="N70" s="30"/>
      <c r="O70" s="30"/>
      <c r="P70" s="30"/>
      <c r="Q70" s="59" t="s">
        <v>7</v>
      </c>
      <c r="R70" s="59" t="s">
        <v>7</v>
      </c>
    </row>
    <row r="71" spans="1:20" ht="15.75" customHeight="1" x14ac:dyDescent="0.3">
      <c r="A71" s="22" t="s">
        <v>46</v>
      </c>
      <c r="B71" s="30"/>
      <c r="C71" s="60"/>
      <c r="D71" s="60"/>
      <c r="E71" s="59" t="s">
        <v>7</v>
      </c>
      <c r="F71" s="60"/>
      <c r="G71" s="60"/>
      <c r="H71" s="60"/>
      <c r="I71" s="59" t="s">
        <v>7</v>
      </c>
      <c r="J71" s="60"/>
      <c r="K71" s="60"/>
      <c r="L71" s="60"/>
      <c r="M71" s="59" t="s">
        <v>7</v>
      </c>
      <c r="N71" s="60"/>
      <c r="O71" s="60"/>
      <c r="P71" s="60"/>
      <c r="Q71" s="59" t="s">
        <v>7</v>
      </c>
      <c r="R71" s="59" t="s">
        <v>7</v>
      </c>
    </row>
    <row r="72" spans="1:20" ht="15.75" customHeight="1" x14ac:dyDescent="0.3">
      <c r="A72" s="74" t="s">
        <v>74</v>
      </c>
      <c r="B72" s="1"/>
      <c r="C72" s="1"/>
      <c r="D72" s="1"/>
      <c r="E72" s="59">
        <f t="shared" ref="E72:E82" si="5">SUM(B72:D72)</f>
        <v>0</v>
      </c>
      <c r="F72" s="1"/>
      <c r="G72" s="1"/>
      <c r="H72" s="1"/>
      <c r="I72" s="59">
        <f t="shared" ref="I72:I82" si="6">SUM(F72:H72)</f>
        <v>0</v>
      </c>
      <c r="J72" s="1"/>
      <c r="K72" s="1"/>
      <c r="L72" s="1"/>
      <c r="M72" s="59">
        <f t="shared" ref="M72:M82" si="7">SUM(J72:L72)</f>
        <v>0</v>
      </c>
      <c r="N72" s="1"/>
      <c r="O72" s="1"/>
      <c r="P72" s="1"/>
      <c r="Q72" s="59">
        <f t="shared" ref="Q72:Q82" si="8">SUM(N72:P72)</f>
        <v>0</v>
      </c>
      <c r="R72" s="59">
        <f t="shared" ref="R72:R82" si="9">+E72+I72+M72+Q72</f>
        <v>0</v>
      </c>
    </row>
    <row r="73" spans="1:20" ht="15.75" customHeight="1" x14ac:dyDescent="0.3">
      <c r="A73" s="74" t="s">
        <v>75</v>
      </c>
      <c r="B73" s="1"/>
      <c r="C73" s="1"/>
      <c r="D73" s="1"/>
      <c r="E73" s="59">
        <f>SUM(B73:D73)</f>
        <v>0</v>
      </c>
      <c r="F73" s="1"/>
      <c r="G73" s="1"/>
      <c r="H73" s="1"/>
      <c r="I73" s="59">
        <f>SUM(F73:H73)</f>
        <v>0</v>
      </c>
      <c r="J73" s="1"/>
      <c r="K73" s="1"/>
      <c r="L73" s="1"/>
      <c r="M73" s="59">
        <f>SUM(J73:L73)</f>
        <v>0</v>
      </c>
      <c r="N73" s="1"/>
      <c r="O73" s="1"/>
      <c r="P73" s="1"/>
      <c r="Q73" s="59">
        <f>SUM(N73:P73)</f>
        <v>0</v>
      </c>
      <c r="R73" s="59">
        <f>+E73+I73+M73+Q73</f>
        <v>0</v>
      </c>
    </row>
    <row r="74" spans="1:20" ht="15.75" customHeight="1" x14ac:dyDescent="0.3">
      <c r="A74" s="74" t="s">
        <v>76</v>
      </c>
      <c r="B74" s="1"/>
      <c r="C74" s="1"/>
      <c r="D74" s="1"/>
      <c r="E74" s="59">
        <f t="shared" si="5"/>
        <v>0</v>
      </c>
      <c r="F74" s="1"/>
      <c r="G74" s="1"/>
      <c r="H74" s="1"/>
      <c r="I74" s="59">
        <f t="shared" si="6"/>
        <v>0</v>
      </c>
      <c r="J74" s="1"/>
      <c r="K74" s="1"/>
      <c r="L74" s="1"/>
      <c r="M74" s="59">
        <f t="shared" si="7"/>
        <v>0</v>
      </c>
      <c r="N74" s="1"/>
      <c r="O74" s="1"/>
      <c r="P74" s="1"/>
      <c r="Q74" s="59">
        <f t="shared" si="8"/>
        <v>0</v>
      </c>
      <c r="R74" s="59">
        <f t="shared" si="9"/>
        <v>0</v>
      </c>
    </row>
    <row r="75" spans="1:20" ht="15.75" customHeight="1" x14ac:dyDescent="0.3">
      <c r="A75" s="74" t="s">
        <v>77</v>
      </c>
      <c r="B75" s="1"/>
      <c r="C75" s="1"/>
      <c r="D75" s="1"/>
      <c r="E75" s="59">
        <f t="shared" si="5"/>
        <v>0</v>
      </c>
      <c r="F75" s="1"/>
      <c r="G75" s="1"/>
      <c r="H75" s="1"/>
      <c r="I75" s="59">
        <f t="shared" si="6"/>
        <v>0</v>
      </c>
      <c r="K75" s="1"/>
      <c r="L75" s="1"/>
      <c r="M75" s="59">
        <f t="shared" si="7"/>
        <v>0</v>
      </c>
      <c r="N75" s="1"/>
      <c r="O75" s="1"/>
      <c r="P75" s="1"/>
      <c r="Q75" s="59">
        <f t="shared" si="8"/>
        <v>0</v>
      </c>
      <c r="R75" s="59">
        <f t="shared" si="9"/>
        <v>0</v>
      </c>
      <c r="T75" s="4" t="s">
        <v>78</v>
      </c>
    </row>
    <row r="76" spans="1:20" ht="15.75" customHeight="1" x14ac:dyDescent="0.3">
      <c r="A76" s="74" t="s">
        <v>79</v>
      </c>
      <c r="B76" s="1"/>
      <c r="C76" s="1"/>
      <c r="D76" s="1"/>
      <c r="E76" s="59">
        <f t="shared" si="5"/>
        <v>0</v>
      </c>
      <c r="F76" s="1"/>
      <c r="G76" s="1"/>
      <c r="H76" s="1"/>
      <c r="I76" s="59">
        <f t="shared" si="6"/>
        <v>0</v>
      </c>
      <c r="J76" s="1"/>
      <c r="K76" s="1"/>
      <c r="L76" s="1"/>
      <c r="M76" s="59">
        <f t="shared" si="7"/>
        <v>0</v>
      </c>
      <c r="N76" s="1"/>
      <c r="O76" s="1"/>
      <c r="P76" s="1"/>
      <c r="Q76" s="59">
        <f t="shared" si="8"/>
        <v>0</v>
      </c>
      <c r="R76" s="59">
        <f t="shared" si="9"/>
        <v>0</v>
      </c>
      <c r="S76" s="75" t="s">
        <v>80</v>
      </c>
      <c r="T76" s="4" t="s">
        <v>78</v>
      </c>
    </row>
    <row r="77" spans="1:20" ht="15.75" customHeight="1" x14ac:dyDescent="0.3">
      <c r="A77" s="74" t="s">
        <v>81</v>
      </c>
      <c r="B77" s="1"/>
      <c r="C77" s="1"/>
      <c r="D77" s="1"/>
      <c r="E77" s="59">
        <f t="shared" si="5"/>
        <v>0</v>
      </c>
      <c r="F77" s="1"/>
      <c r="G77" s="1"/>
      <c r="H77" s="1"/>
      <c r="I77" s="59">
        <f t="shared" si="6"/>
        <v>0</v>
      </c>
      <c r="J77" s="1"/>
      <c r="K77" s="1"/>
      <c r="L77" s="1"/>
      <c r="M77" s="59">
        <f t="shared" si="7"/>
        <v>0</v>
      </c>
      <c r="N77" s="1"/>
      <c r="O77" s="1"/>
      <c r="P77" s="1"/>
      <c r="Q77" s="59">
        <f t="shared" si="8"/>
        <v>0</v>
      </c>
      <c r="R77" s="59">
        <f t="shared" si="9"/>
        <v>0</v>
      </c>
    </row>
    <row r="78" spans="1:20" ht="15.75" customHeight="1" x14ac:dyDescent="0.3">
      <c r="A78" s="74" t="s">
        <v>82</v>
      </c>
      <c r="B78" s="1"/>
      <c r="C78" s="1"/>
      <c r="D78" s="1"/>
      <c r="E78" s="59">
        <f t="shared" si="5"/>
        <v>0</v>
      </c>
      <c r="F78" s="1"/>
      <c r="G78" s="1"/>
      <c r="H78" s="1"/>
      <c r="I78" s="59">
        <f t="shared" si="6"/>
        <v>0</v>
      </c>
      <c r="J78" s="1"/>
      <c r="K78" s="1"/>
      <c r="L78" s="1"/>
      <c r="M78" s="59">
        <f t="shared" si="7"/>
        <v>0</v>
      </c>
      <c r="N78" s="1"/>
      <c r="O78" s="1"/>
      <c r="P78" s="1"/>
      <c r="Q78" s="59">
        <f t="shared" si="8"/>
        <v>0</v>
      </c>
      <c r="R78" s="59">
        <f t="shared" si="9"/>
        <v>0</v>
      </c>
      <c r="T78" s="4" t="s">
        <v>83</v>
      </c>
    </row>
    <row r="79" spans="1:20" ht="15.75" customHeight="1" x14ac:dyDescent="0.3">
      <c r="A79" s="76" t="s">
        <v>84</v>
      </c>
      <c r="B79" s="1"/>
      <c r="C79" s="1"/>
      <c r="D79" s="1"/>
      <c r="E79" s="59">
        <f t="shared" si="5"/>
        <v>0</v>
      </c>
      <c r="F79" s="1"/>
      <c r="G79" s="1">
        <v>512</v>
      </c>
      <c r="H79" s="1">
        <v>512</v>
      </c>
      <c r="I79" s="59">
        <f t="shared" si="6"/>
        <v>1024</v>
      </c>
      <c r="J79" s="1">
        <v>512</v>
      </c>
      <c r="K79" s="1">
        <v>512</v>
      </c>
      <c r="L79" s="1"/>
      <c r="M79" s="59">
        <f t="shared" si="7"/>
        <v>1024</v>
      </c>
      <c r="N79" s="1"/>
      <c r="O79" s="1"/>
      <c r="P79" s="1"/>
      <c r="Q79" s="59">
        <f t="shared" si="8"/>
        <v>0</v>
      </c>
      <c r="R79" s="59">
        <f t="shared" si="9"/>
        <v>2048</v>
      </c>
    </row>
    <row r="80" spans="1:20" ht="15.75" customHeight="1" x14ac:dyDescent="0.3">
      <c r="A80" s="76" t="s">
        <v>85</v>
      </c>
      <c r="B80" s="1"/>
      <c r="C80" s="1"/>
      <c r="D80" s="1"/>
      <c r="E80" s="59">
        <f t="shared" si="5"/>
        <v>0</v>
      </c>
      <c r="F80" s="1"/>
      <c r="G80" s="1"/>
      <c r="H80" s="1"/>
      <c r="I80" s="59">
        <f t="shared" si="6"/>
        <v>0</v>
      </c>
      <c r="J80" s="1"/>
      <c r="K80" s="1"/>
      <c r="L80" s="1"/>
      <c r="M80" s="59">
        <f t="shared" si="7"/>
        <v>0</v>
      </c>
      <c r="N80" s="1"/>
      <c r="O80" s="1"/>
      <c r="P80" s="1"/>
      <c r="Q80" s="59">
        <f t="shared" si="8"/>
        <v>0</v>
      </c>
      <c r="R80" s="59">
        <f t="shared" si="9"/>
        <v>0</v>
      </c>
    </row>
    <row r="81" spans="1:20" ht="15.75" customHeight="1" x14ac:dyDescent="0.3">
      <c r="A81" s="76" t="s">
        <v>86</v>
      </c>
      <c r="B81" s="1"/>
      <c r="C81" s="1"/>
      <c r="D81" s="1"/>
      <c r="E81" s="59">
        <f>SUM(B81:D81)</f>
        <v>0</v>
      </c>
      <c r="F81" s="1"/>
      <c r="G81" s="1"/>
      <c r="H81" s="1"/>
      <c r="I81" s="59">
        <f>SUM(F81:H81)</f>
        <v>0</v>
      </c>
      <c r="J81" s="1"/>
      <c r="K81" s="1"/>
      <c r="L81" s="1"/>
      <c r="M81" s="59">
        <f>SUM(J81:L81)</f>
        <v>0</v>
      </c>
      <c r="N81" s="1"/>
      <c r="O81" s="1"/>
      <c r="P81" s="1"/>
      <c r="Q81" s="59">
        <f>SUM(N81:P81)</f>
        <v>0</v>
      </c>
      <c r="R81" s="59">
        <f t="shared" si="9"/>
        <v>0</v>
      </c>
    </row>
    <row r="82" spans="1:20" ht="15.75" customHeight="1" x14ac:dyDescent="0.3">
      <c r="A82" s="76" t="s">
        <v>87</v>
      </c>
      <c r="B82" s="1"/>
      <c r="C82" s="1"/>
      <c r="D82" s="1"/>
      <c r="E82" s="59">
        <f t="shared" si="5"/>
        <v>0</v>
      </c>
      <c r="F82" s="1"/>
      <c r="G82" s="1"/>
      <c r="H82" s="1"/>
      <c r="I82" s="59">
        <f t="shared" si="6"/>
        <v>0</v>
      </c>
      <c r="J82" s="1"/>
      <c r="K82" s="1"/>
      <c r="L82" s="1"/>
      <c r="M82" s="59">
        <f t="shared" si="7"/>
        <v>0</v>
      </c>
      <c r="N82" s="1"/>
      <c r="O82" s="1"/>
      <c r="P82" s="1"/>
      <c r="Q82" s="59">
        <f t="shared" si="8"/>
        <v>0</v>
      </c>
      <c r="R82" s="59">
        <f t="shared" si="9"/>
        <v>0</v>
      </c>
      <c r="S82" s="4">
        <f>SUM(R72:R82)</f>
        <v>2048</v>
      </c>
    </row>
    <row r="83" spans="1:20" ht="15.75" customHeight="1" x14ac:dyDescent="0.3">
      <c r="A83" s="22" t="s">
        <v>47</v>
      </c>
      <c r="B83" s="30"/>
      <c r="C83" s="30"/>
      <c r="D83" s="30"/>
      <c r="E83" s="59" t="s">
        <v>7</v>
      </c>
      <c r="F83" s="30"/>
      <c r="G83" s="30"/>
      <c r="H83" s="30"/>
      <c r="I83" s="59" t="s">
        <v>7</v>
      </c>
      <c r="J83" s="30"/>
      <c r="K83" s="30"/>
      <c r="L83" s="30"/>
      <c r="M83" s="59" t="s">
        <v>7</v>
      </c>
      <c r="N83" s="30"/>
      <c r="O83" s="30"/>
      <c r="P83" s="30"/>
      <c r="Q83" s="59" t="s">
        <v>7</v>
      </c>
      <c r="R83" s="59" t="s">
        <v>7</v>
      </c>
    </row>
    <row r="84" spans="1:20" ht="15.75" customHeight="1" x14ac:dyDescent="0.3">
      <c r="A84" s="76" t="s">
        <v>88</v>
      </c>
      <c r="B84" s="1"/>
      <c r="C84" s="1"/>
      <c r="D84" s="1"/>
      <c r="E84" s="59">
        <f>SUM(B84:D84)</f>
        <v>0</v>
      </c>
      <c r="F84" s="1"/>
      <c r="G84" s="1"/>
      <c r="H84" s="1"/>
      <c r="I84" s="59">
        <f>SUM(F84:H84)</f>
        <v>0</v>
      </c>
      <c r="J84" s="1"/>
      <c r="K84" s="1"/>
      <c r="L84" s="1"/>
      <c r="M84" s="59">
        <f>SUM(J84:L84)</f>
        <v>0</v>
      </c>
      <c r="N84" s="1"/>
      <c r="O84" s="1"/>
      <c r="P84" s="1"/>
      <c r="Q84" s="59">
        <f>SUM(N84:P84)</f>
        <v>0</v>
      </c>
      <c r="R84" s="59">
        <f>+E84+I84+M84+Q84</f>
        <v>0</v>
      </c>
    </row>
    <row r="85" spans="1:20" ht="15.75" customHeight="1" x14ac:dyDescent="0.3">
      <c r="A85" s="22" t="s">
        <v>49</v>
      </c>
      <c r="B85" s="30"/>
      <c r="C85" s="30"/>
      <c r="D85" s="30"/>
      <c r="E85" s="59" t="s">
        <v>50</v>
      </c>
      <c r="F85" s="30"/>
      <c r="G85" s="30"/>
      <c r="H85" s="30"/>
      <c r="I85" s="59" t="s">
        <v>50</v>
      </c>
      <c r="J85" s="30"/>
      <c r="K85" s="30"/>
      <c r="L85" s="30"/>
      <c r="M85" s="59" t="s">
        <v>50</v>
      </c>
      <c r="N85" s="30"/>
      <c r="O85" s="30"/>
      <c r="P85" s="30"/>
      <c r="Q85" s="59" t="s">
        <v>50</v>
      </c>
      <c r="R85" s="59" t="s">
        <v>50</v>
      </c>
    </row>
    <row r="86" spans="1:20" ht="15.75" customHeight="1" x14ac:dyDescent="0.3">
      <c r="A86" s="61" t="s">
        <v>89</v>
      </c>
      <c r="B86" s="1"/>
      <c r="C86" s="1"/>
      <c r="D86" s="1"/>
      <c r="E86" s="59">
        <f>SUM(B86:D86)</f>
        <v>0</v>
      </c>
      <c r="F86" s="1"/>
      <c r="G86" s="1"/>
      <c r="H86" s="1"/>
      <c r="I86" s="59">
        <f>SUM(F86:H86)</f>
        <v>0</v>
      </c>
      <c r="J86" s="1"/>
      <c r="K86" s="1"/>
      <c r="L86" s="1"/>
      <c r="M86" s="59">
        <f>SUM(J86:L86)</f>
        <v>0</v>
      </c>
      <c r="N86" s="1"/>
      <c r="O86" s="1"/>
      <c r="P86" s="1"/>
      <c r="Q86" s="59">
        <f>SUM(N86:P86)</f>
        <v>0</v>
      </c>
      <c r="R86" s="59">
        <f>+E86+I86+M86+Q86</f>
        <v>0</v>
      </c>
      <c r="S86" s="77" t="s">
        <v>90</v>
      </c>
    </row>
    <row r="87" spans="1:20" ht="15.75" customHeight="1" x14ac:dyDescent="0.3">
      <c r="A87" s="61" t="s">
        <v>91</v>
      </c>
      <c r="B87" s="1"/>
      <c r="C87" s="1"/>
      <c r="D87" s="1"/>
      <c r="E87" s="59">
        <f>SUM(B87:D87)</f>
        <v>0</v>
      </c>
      <c r="F87" s="1"/>
      <c r="G87" s="1"/>
      <c r="H87" s="1"/>
      <c r="I87" s="59">
        <f>SUM(F87:H87)</f>
        <v>0</v>
      </c>
      <c r="J87" s="1"/>
      <c r="K87" s="1"/>
      <c r="L87" s="1"/>
      <c r="M87" s="59">
        <f>SUM(J87:L87)</f>
        <v>0</v>
      </c>
      <c r="N87" s="1"/>
      <c r="O87" s="1"/>
      <c r="P87" s="1"/>
      <c r="Q87" s="59">
        <f>SUM(N87:P87)</f>
        <v>0</v>
      </c>
      <c r="R87" s="59">
        <f>+E87+I87+M87+Q87</f>
        <v>0</v>
      </c>
      <c r="S87" s="77" t="s">
        <v>90</v>
      </c>
      <c r="T87" s="4" t="s">
        <v>78</v>
      </c>
    </row>
    <row r="88" spans="1:20" ht="15.75" customHeight="1" thickBot="1" x14ac:dyDescent="0.35">
      <c r="A88" s="22" t="s">
        <v>51</v>
      </c>
      <c r="B88" s="60"/>
      <c r="C88" s="60"/>
      <c r="D88" s="60"/>
      <c r="E88" s="59" t="s">
        <v>7</v>
      </c>
      <c r="F88" s="60"/>
      <c r="G88" s="60"/>
      <c r="H88" s="60"/>
      <c r="I88" s="59" t="s">
        <v>7</v>
      </c>
      <c r="J88" s="60"/>
      <c r="K88" s="60"/>
      <c r="L88" s="60"/>
      <c r="M88" s="59" t="s">
        <v>7</v>
      </c>
      <c r="N88" s="60"/>
      <c r="O88" s="60"/>
      <c r="P88" s="60"/>
      <c r="Q88" s="59" t="s">
        <v>7</v>
      </c>
      <c r="R88" s="59" t="s">
        <v>7</v>
      </c>
    </row>
    <row r="89" spans="1:20" ht="16.5" customHeight="1" thickBot="1" x14ac:dyDescent="0.35">
      <c r="A89" s="62" t="s">
        <v>52</v>
      </c>
      <c r="B89" s="63">
        <f>SUM(B70:B88)</f>
        <v>0</v>
      </c>
      <c r="C89" s="63">
        <f>SUM(C70:C88)</f>
        <v>0</v>
      </c>
      <c r="D89" s="63">
        <f>SUM(D70:D88)</f>
        <v>0</v>
      </c>
      <c r="E89" s="64">
        <f>SUM(B89:D89)</f>
        <v>0</v>
      </c>
      <c r="F89" s="63">
        <f>SUM(F70:F88)</f>
        <v>0</v>
      </c>
      <c r="G89" s="63">
        <f>SUM(G70:G88)</f>
        <v>512</v>
      </c>
      <c r="H89" s="63">
        <f>SUM(H70:H88)</f>
        <v>512</v>
      </c>
      <c r="I89" s="64">
        <f>SUM(F89:H89)</f>
        <v>1024</v>
      </c>
      <c r="J89" s="63">
        <f>SUM(J70:J88)</f>
        <v>512</v>
      </c>
      <c r="K89" s="63">
        <f>SUM(K70:K88)</f>
        <v>512</v>
      </c>
      <c r="L89" s="63">
        <f>SUM(L70:L88)</f>
        <v>0</v>
      </c>
      <c r="M89" s="64">
        <f>SUM(J89:L89)</f>
        <v>1024</v>
      </c>
      <c r="N89" s="63">
        <f>SUM(N70:N88)</f>
        <v>0</v>
      </c>
      <c r="O89" s="63">
        <f>SUM(O70:O88)</f>
        <v>0</v>
      </c>
      <c r="P89" s="63">
        <f>SUM(P70:P88)</f>
        <v>0</v>
      </c>
      <c r="Q89" s="64">
        <f>SUM(N89:P89)</f>
        <v>0</v>
      </c>
      <c r="R89" s="64">
        <f>+E89+I89+M89+Q89</f>
        <v>2048</v>
      </c>
    </row>
    <row r="90" spans="1:20" ht="15.75" customHeight="1" x14ac:dyDescent="0.3">
      <c r="A90" s="22" t="s">
        <v>53</v>
      </c>
      <c r="B90" s="60"/>
      <c r="C90" s="60"/>
      <c r="D90" s="60"/>
      <c r="E90" s="59" t="s">
        <v>7</v>
      </c>
      <c r="F90" s="60"/>
      <c r="G90" s="60"/>
      <c r="H90" s="60"/>
      <c r="I90" s="59" t="s">
        <v>7</v>
      </c>
      <c r="J90" s="60"/>
      <c r="K90" s="60"/>
      <c r="L90" s="60"/>
      <c r="M90" s="59" t="s">
        <v>7</v>
      </c>
      <c r="N90" s="60"/>
      <c r="O90" s="60"/>
      <c r="P90" s="60"/>
      <c r="Q90" s="59" t="s">
        <v>7</v>
      </c>
      <c r="R90" s="65" t="s">
        <v>7</v>
      </c>
    </row>
    <row r="91" spans="1:20" ht="15.75" customHeight="1" x14ac:dyDescent="0.3">
      <c r="A91" s="22" t="s">
        <v>54</v>
      </c>
      <c r="B91" s="60"/>
      <c r="C91" s="60"/>
      <c r="D91" s="60"/>
      <c r="E91" s="59" t="s">
        <v>7</v>
      </c>
      <c r="F91" s="60"/>
      <c r="G91" s="60"/>
      <c r="H91" s="60"/>
      <c r="I91" s="59" t="s">
        <v>7</v>
      </c>
      <c r="J91" s="60"/>
      <c r="K91" s="60"/>
      <c r="L91" s="60"/>
      <c r="M91" s="59" t="s">
        <v>7</v>
      </c>
      <c r="N91" s="60"/>
      <c r="O91" s="60"/>
      <c r="P91" s="60"/>
      <c r="Q91" s="59" t="s">
        <v>7</v>
      </c>
      <c r="R91" s="59" t="s">
        <v>7</v>
      </c>
    </row>
    <row r="92" spans="1:20" ht="15.75" customHeight="1" x14ac:dyDescent="0.3">
      <c r="A92" s="22" t="s">
        <v>55</v>
      </c>
      <c r="B92" s="60"/>
      <c r="C92" s="60"/>
      <c r="D92" s="60"/>
      <c r="E92" s="59" t="s">
        <v>7</v>
      </c>
      <c r="F92" s="60"/>
      <c r="G92" s="60"/>
      <c r="H92" s="60"/>
      <c r="I92" s="59" t="s">
        <v>7</v>
      </c>
      <c r="J92" s="60"/>
      <c r="K92" s="60"/>
      <c r="L92" s="60"/>
      <c r="M92" s="59" t="s">
        <v>7</v>
      </c>
      <c r="N92" s="60"/>
      <c r="O92" s="60"/>
      <c r="P92" s="60"/>
      <c r="Q92" s="59" t="s">
        <v>7</v>
      </c>
      <c r="R92" s="59" t="s">
        <v>7</v>
      </c>
    </row>
    <row r="93" spans="1:20" ht="15.75" customHeight="1" x14ac:dyDescent="0.3">
      <c r="A93" s="76" t="s">
        <v>92</v>
      </c>
      <c r="B93" s="1">
        <v>500</v>
      </c>
      <c r="C93" s="1">
        <v>500</v>
      </c>
      <c r="D93" s="1">
        <v>2000</v>
      </c>
      <c r="E93" s="59">
        <f>SUM(B93:D93)</f>
        <v>3000</v>
      </c>
      <c r="F93" s="1">
        <v>3141</v>
      </c>
      <c r="G93" s="1">
        <v>4500</v>
      </c>
      <c r="H93" s="1">
        <v>4406</v>
      </c>
      <c r="I93" s="59">
        <f>SUM(F93:H93)</f>
        <v>12047</v>
      </c>
      <c r="J93" s="1">
        <v>4000</v>
      </c>
      <c r="K93" s="1">
        <v>3000</v>
      </c>
      <c r="L93" s="1">
        <v>1500</v>
      </c>
      <c r="M93" s="59">
        <f>SUM(J93:L93)</f>
        <v>8500</v>
      </c>
      <c r="N93" s="1">
        <v>1000</v>
      </c>
      <c r="O93" s="1">
        <v>403</v>
      </c>
      <c r="P93" s="1">
        <v>600</v>
      </c>
      <c r="Q93" s="59">
        <f>SUM(N93:P93)</f>
        <v>2003</v>
      </c>
      <c r="R93" s="59">
        <f>+E93+I93+M93+Q93</f>
        <v>25550</v>
      </c>
      <c r="T93" s="4" t="s">
        <v>93</v>
      </c>
    </row>
    <row r="94" spans="1:20" ht="15.75" customHeight="1" x14ac:dyDescent="0.3">
      <c r="A94" s="76" t="s">
        <v>94</v>
      </c>
      <c r="B94" s="1">
        <v>100</v>
      </c>
      <c r="C94" s="1">
        <v>100</v>
      </c>
      <c r="D94" s="1">
        <v>150</v>
      </c>
      <c r="E94" s="59">
        <f>SUM(B94:D94)</f>
        <v>350</v>
      </c>
      <c r="F94" s="1">
        <v>150</v>
      </c>
      <c r="G94" s="1">
        <f>200+200</f>
        <v>400</v>
      </c>
      <c r="H94" s="1">
        <f>250+200</f>
        <v>450</v>
      </c>
      <c r="I94" s="59">
        <f>SUM(F94:H94)</f>
        <v>1000</v>
      </c>
      <c r="J94" s="1">
        <f>335+200</f>
        <v>535</v>
      </c>
      <c r="K94" s="1">
        <f>335+150</f>
        <v>485</v>
      </c>
      <c r="L94" s="1">
        <f>515+186</f>
        <v>701</v>
      </c>
      <c r="M94" s="59">
        <f>SUM(J94:L94)</f>
        <v>1721</v>
      </c>
      <c r="N94" s="1">
        <f>715+22</f>
        <v>737</v>
      </c>
      <c r="O94" s="1">
        <v>245</v>
      </c>
      <c r="P94" s="1">
        <v>0</v>
      </c>
      <c r="Q94" s="59">
        <f>SUM(N94:P94)</f>
        <v>982</v>
      </c>
      <c r="R94" s="59">
        <f>+E94+I94+M94+Q94</f>
        <v>4053</v>
      </c>
      <c r="T94" s="4" t="s">
        <v>78</v>
      </c>
    </row>
    <row r="95" spans="1:20" ht="15.75" customHeight="1" thickBot="1" x14ac:dyDescent="0.35">
      <c r="A95" s="22" t="s">
        <v>56</v>
      </c>
      <c r="B95" s="60"/>
      <c r="C95" s="60"/>
      <c r="D95" s="60"/>
      <c r="E95" s="59" t="s">
        <v>7</v>
      </c>
      <c r="F95" s="60"/>
      <c r="G95" s="60"/>
      <c r="H95" s="60"/>
      <c r="I95" s="59" t="s">
        <v>7</v>
      </c>
      <c r="J95" s="60"/>
      <c r="K95" s="60"/>
      <c r="L95" s="60"/>
      <c r="M95" s="59" t="s">
        <v>7</v>
      </c>
      <c r="N95" s="60"/>
      <c r="O95" s="60"/>
      <c r="P95" s="60"/>
      <c r="Q95" s="59" t="s">
        <v>7</v>
      </c>
      <c r="R95" s="59" t="s">
        <v>7</v>
      </c>
    </row>
    <row r="96" spans="1:20" ht="16.5" customHeight="1" thickBot="1" x14ac:dyDescent="0.35">
      <c r="A96" s="62" t="s">
        <v>57</v>
      </c>
      <c r="B96" s="63">
        <f>SUM(B90:B95)</f>
        <v>600</v>
      </c>
      <c r="C96" s="63">
        <f>SUM(C90:C95)</f>
        <v>600</v>
      </c>
      <c r="D96" s="63">
        <f>SUM(D90:D95)</f>
        <v>2150</v>
      </c>
      <c r="E96" s="64">
        <f>SUM(B96:D96)</f>
        <v>3350</v>
      </c>
      <c r="F96" s="63">
        <f>SUM(F90:F95)</f>
        <v>3291</v>
      </c>
      <c r="G96" s="63">
        <f>SUM(G90:G95)</f>
        <v>4900</v>
      </c>
      <c r="H96" s="63">
        <f>SUM(H90:H95)</f>
        <v>4856</v>
      </c>
      <c r="I96" s="64">
        <f>SUM(F96:H96)</f>
        <v>13047</v>
      </c>
      <c r="J96" s="63">
        <f>SUM(J90:J95)</f>
        <v>4535</v>
      </c>
      <c r="K96" s="63">
        <f>SUM(K90:K95)</f>
        <v>3485</v>
      </c>
      <c r="L96" s="63">
        <f>SUM(L90:L95)</f>
        <v>2201</v>
      </c>
      <c r="M96" s="64">
        <f>SUM(J96:L96)</f>
        <v>10221</v>
      </c>
      <c r="N96" s="63">
        <f>SUM(N90:N95)</f>
        <v>1737</v>
      </c>
      <c r="O96" s="63">
        <f>SUM(O90:O95)</f>
        <v>648</v>
      </c>
      <c r="P96" s="63">
        <f>SUM(P90:P95)</f>
        <v>600</v>
      </c>
      <c r="Q96" s="64">
        <f>SUM(N96:P96)</f>
        <v>2985</v>
      </c>
      <c r="R96" s="64">
        <f>+E96+I96+M96+Q96</f>
        <v>29603</v>
      </c>
    </row>
    <row r="97" spans="1:20" ht="15.75" customHeight="1" x14ac:dyDescent="0.3">
      <c r="A97" s="22" t="s">
        <v>58</v>
      </c>
      <c r="B97" s="60"/>
      <c r="C97" s="60"/>
      <c r="D97" s="60"/>
      <c r="E97" s="59" t="s">
        <v>7</v>
      </c>
      <c r="F97" s="60"/>
      <c r="G97" s="60"/>
      <c r="H97" s="60"/>
      <c r="I97" s="59" t="s">
        <v>7</v>
      </c>
      <c r="J97" s="60"/>
      <c r="K97" s="60"/>
      <c r="L97" s="60"/>
      <c r="M97" s="59" t="s">
        <v>7</v>
      </c>
      <c r="N97" s="60"/>
      <c r="O97" s="60"/>
      <c r="P97" s="60"/>
      <c r="Q97" s="59" t="s">
        <v>7</v>
      </c>
      <c r="R97" s="59" t="s">
        <v>7</v>
      </c>
    </row>
    <row r="98" spans="1:20" ht="15.75" customHeight="1" x14ac:dyDescent="0.3">
      <c r="A98" s="22" t="s">
        <v>59</v>
      </c>
      <c r="B98" s="60"/>
      <c r="C98" s="60"/>
      <c r="D98" s="60"/>
      <c r="E98" s="59" t="s">
        <v>7</v>
      </c>
      <c r="F98" s="60"/>
      <c r="G98" s="60"/>
      <c r="H98" s="60"/>
      <c r="I98" s="59" t="s">
        <v>7</v>
      </c>
      <c r="J98" s="60"/>
      <c r="K98" s="60"/>
      <c r="L98" s="60"/>
      <c r="M98" s="59" t="s">
        <v>7</v>
      </c>
      <c r="N98" s="60"/>
      <c r="O98" s="60"/>
      <c r="P98" s="60"/>
      <c r="Q98" s="59" t="s">
        <v>7</v>
      </c>
      <c r="R98" s="59" t="s">
        <v>7</v>
      </c>
    </row>
    <row r="99" spans="1:20" ht="15.75" customHeight="1" x14ac:dyDescent="0.3">
      <c r="A99" s="22" t="s">
        <v>60</v>
      </c>
      <c r="B99" s="60"/>
      <c r="C99" s="60"/>
      <c r="D99" s="60"/>
      <c r="E99" s="59"/>
      <c r="F99" s="60"/>
      <c r="G99" s="60"/>
      <c r="H99" s="60"/>
      <c r="I99" s="59"/>
      <c r="J99" s="60"/>
      <c r="K99" s="60"/>
      <c r="L99" s="60"/>
      <c r="M99" s="59"/>
      <c r="N99" s="60"/>
      <c r="O99" s="60"/>
      <c r="P99" s="60"/>
      <c r="Q99" s="59"/>
      <c r="R99" s="59"/>
    </row>
    <row r="100" spans="1:20" ht="15.75" customHeight="1" x14ac:dyDescent="0.3">
      <c r="A100" s="76" t="s">
        <v>95</v>
      </c>
      <c r="B100" s="1"/>
      <c r="C100" s="1"/>
      <c r="D100" s="1"/>
      <c r="E100" s="59">
        <f t="shared" ref="E100:E108" si="10">SUM(B100:D100)</f>
        <v>0</v>
      </c>
      <c r="F100" s="1"/>
      <c r="G100" s="1"/>
      <c r="H100" s="1"/>
      <c r="I100" s="59">
        <f t="shared" ref="I100:I108" si="11">SUM(F100:H100)</f>
        <v>0</v>
      </c>
      <c r="J100" s="1"/>
      <c r="K100" s="1"/>
      <c r="L100" s="1"/>
      <c r="M100" s="59">
        <f t="shared" ref="M100:M108" si="12">SUM(J100:L100)</f>
        <v>0</v>
      </c>
      <c r="N100" s="1"/>
      <c r="O100" s="1"/>
      <c r="P100" s="1"/>
      <c r="Q100" s="59">
        <f t="shared" ref="Q100:Q108" si="13">SUM(N100:P100)</f>
        <v>0</v>
      </c>
      <c r="R100" s="59">
        <f t="shared" ref="R100:R108" si="14">+E100+I100+M100+Q100</f>
        <v>0</v>
      </c>
    </row>
    <row r="101" spans="1:20" ht="15.75" customHeight="1" x14ac:dyDescent="0.3">
      <c r="A101" s="76" t="s">
        <v>96</v>
      </c>
      <c r="B101" s="1"/>
      <c r="C101" s="1"/>
      <c r="D101" s="1"/>
      <c r="E101" s="59">
        <f t="shared" si="10"/>
        <v>0</v>
      </c>
      <c r="F101" s="1"/>
      <c r="G101" s="1"/>
      <c r="H101" s="1"/>
      <c r="I101" s="59">
        <f t="shared" si="11"/>
        <v>0</v>
      </c>
      <c r="J101" s="1"/>
      <c r="K101" s="1"/>
      <c r="L101" s="1"/>
      <c r="M101" s="59">
        <f t="shared" si="12"/>
        <v>0</v>
      </c>
      <c r="N101" s="1"/>
      <c r="O101" s="1"/>
      <c r="P101" s="1"/>
      <c r="Q101" s="59">
        <f t="shared" si="13"/>
        <v>0</v>
      </c>
      <c r="R101" s="59">
        <f t="shared" si="14"/>
        <v>0</v>
      </c>
    </row>
    <row r="102" spans="1:20" ht="15.75" customHeight="1" x14ac:dyDescent="0.3">
      <c r="A102" s="76" t="s">
        <v>97</v>
      </c>
      <c r="B102" s="1"/>
      <c r="C102" s="1"/>
      <c r="D102" s="1"/>
      <c r="E102" s="59">
        <f>SUM(B102:D102)</f>
        <v>0</v>
      </c>
      <c r="F102" s="1"/>
      <c r="G102" s="1"/>
      <c r="H102" s="1"/>
      <c r="I102" s="59">
        <f>SUM(F102:H102)</f>
        <v>0</v>
      </c>
      <c r="J102" s="1"/>
      <c r="K102" s="1"/>
      <c r="L102" s="1"/>
      <c r="M102" s="59">
        <f>SUM(J102:L102)</f>
        <v>0</v>
      </c>
      <c r="N102" s="1"/>
      <c r="O102" s="1"/>
      <c r="P102" s="1"/>
      <c r="Q102" s="59">
        <f>SUM(N102:P102)</f>
        <v>0</v>
      </c>
      <c r="R102" s="59">
        <f>+E102+I102+M102+Q102</f>
        <v>0</v>
      </c>
    </row>
    <row r="103" spans="1:20" ht="15.75" customHeight="1" x14ac:dyDescent="0.3">
      <c r="A103" s="76" t="s">
        <v>98</v>
      </c>
      <c r="B103" s="1"/>
      <c r="C103" s="1"/>
      <c r="D103" s="1"/>
      <c r="E103" s="59">
        <f>SUM(B103:D103)</f>
        <v>0</v>
      </c>
      <c r="F103" s="1"/>
      <c r="G103" s="1"/>
      <c r="H103" s="1"/>
      <c r="I103" s="59">
        <f>SUM(F103:H103)</f>
        <v>0</v>
      </c>
      <c r="J103" s="1"/>
      <c r="K103" s="1"/>
      <c r="L103" s="1"/>
      <c r="M103" s="59">
        <f>SUM(J103:L103)</f>
        <v>0</v>
      </c>
      <c r="N103" s="1"/>
      <c r="O103" s="1"/>
      <c r="P103" s="1"/>
      <c r="Q103" s="59">
        <f>SUM(N103:P103)</f>
        <v>0</v>
      </c>
      <c r="R103" s="59">
        <f>+E103+I103+M103+Q103</f>
        <v>0</v>
      </c>
      <c r="T103" s="4" t="s">
        <v>83</v>
      </c>
    </row>
    <row r="104" spans="1:20" ht="15.75" customHeight="1" x14ac:dyDescent="0.3">
      <c r="A104" s="76" t="s">
        <v>99</v>
      </c>
      <c r="B104" s="1"/>
      <c r="C104" s="1"/>
      <c r="D104" s="1"/>
      <c r="E104" s="59">
        <f>SUM(B104:D104)</f>
        <v>0</v>
      </c>
      <c r="F104" s="1"/>
      <c r="G104" s="1"/>
      <c r="H104" s="1"/>
      <c r="I104" s="59">
        <f>SUM(F104:H104)</f>
        <v>0</v>
      </c>
      <c r="J104" s="1"/>
      <c r="K104" s="1"/>
      <c r="L104" s="1"/>
      <c r="M104" s="59">
        <f>SUM(J104:L104)</f>
        <v>0</v>
      </c>
      <c r="N104" s="1"/>
      <c r="O104" s="1"/>
      <c r="P104" s="1"/>
      <c r="Q104" s="59">
        <f>SUM(N104:P104)</f>
        <v>0</v>
      </c>
      <c r="R104" s="59">
        <f>+E104+I104+M104+Q104</f>
        <v>0</v>
      </c>
    </row>
    <row r="105" spans="1:20" ht="15.75" customHeight="1" x14ac:dyDescent="0.3">
      <c r="A105" s="76" t="s">
        <v>100</v>
      </c>
      <c r="B105" s="1"/>
      <c r="C105" s="1"/>
      <c r="D105" s="1"/>
      <c r="E105" s="59">
        <f t="shared" si="10"/>
        <v>0</v>
      </c>
      <c r="F105" s="1"/>
      <c r="G105" s="1"/>
      <c r="H105" s="1"/>
      <c r="I105" s="59">
        <f t="shared" si="11"/>
        <v>0</v>
      </c>
      <c r="J105" s="1"/>
      <c r="K105" s="1"/>
      <c r="L105" s="1"/>
      <c r="M105" s="59">
        <f t="shared" si="12"/>
        <v>0</v>
      </c>
      <c r="N105" s="1"/>
      <c r="O105" s="1"/>
      <c r="P105" s="1"/>
      <c r="Q105" s="59">
        <f t="shared" si="13"/>
        <v>0</v>
      </c>
      <c r="R105" s="59">
        <f t="shared" si="14"/>
        <v>0</v>
      </c>
    </row>
    <row r="106" spans="1:20" ht="15.75" customHeight="1" x14ac:dyDescent="0.3">
      <c r="A106" s="76" t="s">
        <v>101</v>
      </c>
      <c r="B106" s="1"/>
      <c r="C106" s="1"/>
      <c r="D106" s="1"/>
      <c r="E106" s="59">
        <f t="shared" si="10"/>
        <v>0</v>
      </c>
      <c r="F106" s="1"/>
      <c r="G106" s="1"/>
      <c r="H106" s="1"/>
      <c r="I106" s="59">
        <f t="shared" si="11"/>
        <v>0</v>
      </c>
      <c r="J106" s="1"/>
      <c r="K106" s="1"/>
      <c r="L106" s="1"/>
      <c r="M106" s="59">
        <f t="shared" si="12"/>
        <v>0</v>
      </c>
      <c r="N106" s="1"/>
      <c r="O106" s="1"/>
      <c r="P106" s="1"/>
      <c r="Q106" s="59">
        <f t="shared" ref="Q106" si="15">SUM(N106:P106)</f>
        <v>0</v>
      </c>
      <c r="R106" s="59">
        <f t="shared" si="14"/>
        <v>0</v>
      </c>
    </row>
    <row r="107" spans="1:20" ht="15.75" customHeight="1" thickBot="1" x14ac:dyDescent="0.35">
      <c r="A107" s="76" t="s">
        <v>102</v>
      </c>
      <c r="B107" s="1">
        <v>200</v>
      </c>
      <c r="C107" s="1">
        <v>200</v>
      </c>
      <c r="D107" s="1">
        <v>1100</v>
      </c>
      <c r="E107" s="59">
        <f t="shared" si="10"/>
        <v>1500</v>
      </c>
      <c r="F107" s="1">
        <v>1700</v>
      </c>
      <c r="G107" s="1">
        <v>1200</v>
      </c>
      <c r="H107" s="1">
        <v>1300</v>
      </c>
      <c r="I107" s="59">
        <f t="shared" si="11"/>
        <v>4200</v>
      </c>
      <c r="J107" s="1">
        <v>1100</v>
      </c>
      <c r="K107" s="1">
        <v>1200</v>
      </c>
      <c r="L107" s="1">
        <v>900</v>
      </c>
      <c r="M107" s="59">
        <f t="shared" si="12"/>
        <v>3200</v>
      </c>
      <c r="N107" s="1">
        <v>300</v>
      </c>
      <c r="O107" s="1">
        <v>100</v>
      </c>
      <c r="P107" s="1">
        <v>200</v>
      </c>
      <c r="Q107" s="59">
        <f t="shared" si="13"/>
        <v>600</v>
      </c>
      <c r="R107" s="59">
        <f t="shared" si="14"/>
        <v>9500</v>
      </c>
    </row>
    <row r="108" spans="1:20" ht="16.5" customHeight="1" thickBot="1" x14ac:dyDescent="0.35">
      <c r="A108" s="62" t="s">
        <v>61</v>
      </c>
      <c r="B108" s="63">
        <f>SUM(B97:B107)</f>
        <v>200</v>
      </c>
      <c r="C108" s="63">
        <f>SUM(C97:C107)</f>
        <v>200</v>
      </c>
      <c r="D108" s="63">
        <f>SUM(D97:D107)</f>
        <v>1100</v>
      </c>
      <c r="E108" s="64">
        <f t="shared" si="10"/>
        <v>1500</v>
      </c>
      <c r="F108" s="63">
        <f>SUM(F97:F107)</f>
        <v>1700</v>
      </c>
      <c r="G108" s="63">
        <f>SUM(G97:G107)</f>
        <v>1200</v>
      </c>
      <c r="H108" s="63">
        <f>SUM(H97:H107)</f>
        <v>1300</v>
      </c>
      <c r="I108" s="64">
        <f t="shared" si="11"/>
        <v>4200</v>
      </c>
      <c r="J108" s="63">
        <f>SUM(J97:J107)</f>
        <v>1100</v>
      </c>
      <c r="K108" s="63">
        <f>SUM(K97:K107)</f>
        <v>1200</v>
      </c>
      <c r="L108" s="63">
        <f>SUM(L97:L107)</f>
        <v>900</v>
      </c>
      <c r="M108" s="64">
        <f t="shared" si="12"/>
        <v>3200</v>
      </c>
      <c r="N108" s="63">
        <f>SUM(N97:N107)</f>
        <v>300</v>
      </c>
      <c r="O108" s="63">
        <f>SUM(O97:O107)</f>
        <v>100</v>
      </c>
      <c r="P108" s="63">
        <f>SUM(P97:P107)</f>
        <v>200</v>
      </c>
      <c r="Q108" s="64">
        <f t="shared" si="13"/>
        <v>600</v>
      </c>
      <c r="R108" s="64">
        <f t="shared" si="14"/>
        <v>9500</v>
      </c>
    </row>
    <row r="109" spans="1:20" ht="15.75" customHeight="1" x14ac:dyDescent="0.3">
      <c r="A109" s="22" t="s">
        <v>62</v>
      </c>
      <c r="B109" s="60"/>
      <c r="C109" s="60"/>
      <c r="D109" s="60"/>
      <c r="E109" s="59" t="s">
        <v>7</v>
      </c>
      <c r="F109" s="60"/>
      <c r="G109" s="60"/>
      <c r="H109" s="60"/>
      <c r="I109" s="59" t="s">
        <v>7</v>
      </c>
      <c r="J109" s="60"/>
      <c r="K109" s="60"/>
      <c r="L109" s="60"/>
      <c r="M109" s="59" t="s">
        <v>7</v>
      </c>
      <c r="N109" s="60"/>
      <c r="O109" s="60"/>
      <c r="P109" s="60"/>
      <c r="Q109" s="59" t="s">
        <v>7</v>
      </c>
      <c r="R109" s="59" t="s">
        <v>7</v>
      </c>
    </row>
    <row r="110" spans="1:20" ht="15.75" customHeight="1" x14ac:dyDescent="0.3">
      <c r="A110" s="22" t="s">
        <v>63</v>
      </c>
      <c r="B110" s="60"/>
      <c r="C110" s="60"/>
      <c r="D110" s="60"/>
      <c r="E110" s="59" t="s">
        <v>7</v>
      </c>
      <c r="F110" s="60"/>
      <c r="G110" s="60"/>
      <c r="H110" s="60"/>
      <c r="I110" s="59" t="s">
        <v>7</v>
      </c>
      <c r="J110" s="60"/>
      <c r="K110" s="60"/>
      <c r="L110" s="60"/>
      <c r="M110" s="59" t="s">
        <v>7</v>
      </c>
      <c r="N110" s="60"/>
      <c r="O110" s="60"/>
      <c r="P110" s="60"/>
      <c r="Q110" s="59" t="s">
        <v>7</v>
      </c>
      <c r="R110" s="59" t="s">
        <v>7</v>
      </c>
    </row>
    <row r="111" spans="1:20" ht="15.75" customHeight="1" x14ac:dyDescent="0.3">
      <c r="A111" s="61" t="s">
        <v>103</v>
      </c>
      <c r="B111" s="1"/>
      <c r="C111" s="1"/>
      <c r="D111" s="1"/>
      <c r="E111" s="59">
        <f t="shared" ref="E111:E116" si="16">SUM(B111:D111)</f>
        <v>0</v>
      </c>
      <c r="F111" s="1"/>
      <c r="G111" s="1"/>
      <c r="H111" s="1"/>
      <c r="I111" s="59">
        <f t="shared" ref="I111:I116" si="17">SUM(F111:H111)</f>
        <v>0</v>
      </c>
      <c r="J111" s="1"/>
      <c r="K111" s="1"/>
      <c r="L111" s="1"/>
      <c r="M111" s="59">
        <f t="shared" ref="M111:M116" si="18">SUM(J111:L111)</f>
        <v>0</v>
      </c>
      <c r="N111" s="1"/>
      <c r="O111" s="1"/>
      <c r="P111" s="1"/>
      <c r="Q111" s="59">
        <f t="shared" ref="Q111:Q116" si="19">SUM(N111:P111)</f>
        <v>0</v>
      </c>
      <c r="R111" s="59">
        <f t="shared" ref="R111:R116" si="20">+E111+I111+M111+Q111</f>
        <v>0</v>
      </c>
    </row>
    <row r="112" spans="1:20" ht="15.75" customHeight="1" x14ac:dyDescent="0.3">
      <c r="A112" s="61" t="s">
        <v>104</v>
      </c>
      <c r="B112" s="1"/>
      <c r="C112" s="1"/>
      <c r="D112" s="1"/>
      <c r="E112" s="59">
        <f t="shared" si="16"/>
        <v>0</v>
      </c>
      <c r="F112" s="1"/>
      <c r="G112" s="1"/>
      <c r="H112" s="1"/>
      <c r="I112" s="59">
        <f t="shared" si="17"/>
        <v>0</v>
      </c>
      <c r="J112" s="1"/>
      <c r="K112" s="1"/>
      <c r="L112" s="1"/>
      <c r="M112" s="59">
        <f t="shared" si="18"/>
        <v>0</v>
      </c>
      <c r="N112" s="1"/>
      <c r="O112" s="1"/>
      <c r="P112" s="1"/>
      <c r="Q112" s="59">
        <f t="shared" si="19"/>
        <v>0</v>
      </c>
      <c r="R112" s="59">
        <f t="shared" si="20"/>
        <v>0</v>
      </c>
    </row>
    <row r="113" spans="1:20" ht="15.75" customHeight="1" x14ac:dyDescent="0.3">
      <c r="A113" s="61" t="s">
        <v>105</v>
      </c>
      <c r="B113" s="1"/>
      <c r="C113" s="1"/>
      <c r="D113" s="1"/>
      <c r="E113" s="59">
        <f t="shared" si="16"/>
        <v>0</v>
      </c>
      <c r="F113" s="1"/>
      <c r="G113" s="1"/>
      <c r="H113" s="1"/>
      <c r="I113" s="59">
        <f t="shared" si="17"/>
        <v>0</v>
      </c>
      <c r="J113" s="1"/>
      <c r="K113" s="1"/>
      <c r="L113" s="1"/>
      <c r="M113" s="59">
        <f t="shared" si="18"/>
        <v>0</v>
      </c>
      <c r="N113" s="1"/>
      <c r="O113" s="1"/>
      <c r="P113" s="1"/>
      <c r="Q113" s="59">
        <f t="shared" si="19"/>
        <v>0</v>
      </c>
      <c r="R113" s="59">
        <f t="shared" si="20"/>
        <v>0</v>
      </c>
    </row>
    <row r="114" spans="1:20" ht="15.75" customHeight="1" x14ac:dyDescent="0.3">
      <c r="A114" s="61" t="s">
        <v>106</v>
      </c>
      <c r="B114" s="1"/>
      <c r="C114" s="1"/>
      <c r="D114" s="1"/>
      <c r="E114" s="59">
        <f t="shared" si="16"/>
        <v>0</v>
      </c>
      <c r="F114" s="1"/>
      <c r="G114" s="1"/>
      <c r="H114" s="1"/>
      <c r="I114" s="59">
        <f t="shared" si="17"/>
        <v>0</v>
      </c>
      <c r="J114" s="1"/>
      <c r="K114" s="1"/>
      <c r="L114" s="1"/>
      <c r="M114" s="59">
        <f t="shared" si="18"/>
        <v>0</v>
      </c>
      <c r="N114" s="1"/>
      <c r="O114" s="1"/>
      <c r="P114" s="1"/>
      <c r="Q114" s="59">
        <f t="shared" si="19"/>
        <v>0</v>
      </c>
      <c r="R114" s="59">
        <f t="shared" si="20"/>
        <v>0</v>
      </c>
    </row>
    <row r="115" spans="1:20" ht="15.75" customHeight="1" x14ac:dyDescent="0.3">
      <c r="A115" s="61" t="s">
        <v>107</v>
      </c>
      <c r="B115" s="1"/>
      <c r="C115" s="1"/>
      <c r="D115" s="1"/>
      <c r="E115" s="59">
        <f t="shared" si="16"/>
        <v>0</v>
      </c>
      <c r="F115" s="1"/>
      <c r="G115" s="1"/>
      <c r="H115" s="1"/>
      <c r="I115" s="59">
        <f t="shared" si="17"/>
        <v>0</v>
      </c>
      <c r="J115" s="1"/>
      <c r="K115" s="1"/>
      <c r="L115" s="1"/>
      <c r="M115" s="59">
        <f t="shared" si="18"/>
        <v>0</v>
      </c>
      <c r="N115" s="1"/>
      <c r="O115" s="1"/>
      <c r="P115" s="1"/>
      <c r="Q115" s="59">
        <f t="shared" si="19"/>
        <v>0</v>
      </c>
      <c r="R115" s="59">
        <f t="shared" si="20"/>
        <v>0</v>
      </c>
    </row>
    <row r="116" spans="1:20" ht="15.75" customHeight="1" x14ac:dyDescent="0.3">
      <c r="A116" s="61" t="s">
        <v>108</v>
      </c>
      <c r="B116" s="1"/>
      <c r="C116" s="1"/>
      <c r="D116" s="1"/>
      <c r="E116" s="59">
        <f t="shared" si="16"/>
        <v>0</v>
      </c>
      <c r="F116" s="1"/>
      <c r="G116" s="1"/>
      <c r="H116" s="1"/>
      <c r="I116" s="59">
        <f t="shared" si="17"/>
        <v>0</v>
      </c>
      <c r="J116" s="1"/>
      <c r="K116" s="1"/>
      <c r="L116" s="1"/>
      <c r="M116" s="59">
        <f t="shared" si="18"/>
        <v>0</v>
      </c>
      <c r="N116" s="1"/>
      <c r="O116" s="1"/>
      <c r="P116" s="1"/>
      <c r="Q116" s="59">
        <f t="shared" si="19"/>
        <v>0</v>
      </c>
      <c r="R116" s="59">
        <f t="shared" si="20"/>
        <v>0</v>
      </c>
    </row>
    <row r="117" spans="1:20" ht="15.75" customHeight="1" x14ac:dyDescent="0.3">
      <c r="A117" s="61" t="s">
        <v>109</v>
      </c>
      <c r="B117" s="1"/>
      <c r="C117" s="1"/>
      <c r="D117" s="1"/>
      <c r="E117" s="59">
        <f>SUM(B117:D117)</f>
        <v>0</v>
      </c>
      <c r="F117" s="1"/>
      <c r="G117" s="1"/>
      <c r="H117" s="1"/>
      <c r="I117" s="59">
        <f>SUM(F117:H117)</f>
        <v>0</v>
      </c>
      <c r="J117" s="1"/>
      <c r="K117" s="1"/>
      <c r="L117" s="1"/>
      <c r="M117" s="59">
        <f>SUM(J117:L117)</f>
        <v>0</v>
      </c>
      <c r="N117" s="1"/>
      <c r="O117" s="1"/>
      <c r="P117" s="1"/>
      <c r="Q117" s="59">
        <f>SUM(N117:P117)</f>
        <v>0</v>
      </c>
      <c r="R117" s="59">
        <f>+E117+I117+M117+Q117</f>
        <v>0</v>
      </c>
    </row>
    <row r="118" spans="1:20" ht="15.75" customHeight="1" x14ac:dyDescent="0.3">
      <c r="A118" s="78" t="s">
        <v>110</v>
      </c>
      <c r="B118" s="1"/>
      <c r="C118" s="1"/>
      <c r="D118" s="1"/>
      <c r="E118" s="59">
        <f>SUM(B118:D118)</f>
        <v>0</v>
      </c>
      <c r="F118" s="1"/>
      <c r="G118" s="1"/>
      <c r="H118" s="1"/>
      <c r="I118" s="59">
        <f>SUM(F118:H118)</f>
        <v>0</v>
      </c>
      <c r="J118" s="1"/>
      <c r="K118" s="1"/>
      <c r="L118" s="1"/>
      <c r="M118" s="59">
        <f>SUM(J118:L118)</f>
        <v>0</v>
      </c>
      <c r="N118" s="1"/>
      <c r="O118" s="1"/>
      <c r="P118" s="1"/>
      <c r="Q118" s="59">
        <f>SUM(N118:P118)</f>
        <v>0</v>
      </c>
      <c r="R118" s="59">
        <f>+E118+I118+M118+Q118</f>
        <v>0</v>
      </c>
      <c r="T118" s="4" t="s">
        <v>111</v>
      </c>
    </row>
    <row r="119" spans="1:20" ht="15.75" customHeight="1" x14ac:dyDescent="0.3">
      <c r="A119" s="22" t="s">
        <v>64</v>
      </c>
      <c r="B119" s="60"/>
      <c r="C119" s="60"/>
      <c r="D119" s="60"/>
      <c r="E119" s="59" t="s">
        <v>7</v>
      </c>
      <c r="F119" s="60"/>
      <c r="G119" s="60"/>
      <c r="H119" s="60"/>
      <c r="I119" s="59" t="s">
        <v>7</v>
      </c>
      <c r="J119" s="60"/>
      <c r="K119" s="60"/>
      <c r="L119" s="60"/>
      <c r="M119" s="59" t="s">
        <v>7</v>
      </c>
      <c r="N119" s="60"/>
      <c r="O119" s="60"/>
      <c r="P119" s="60"/>
      <c r="Q119" s="59" t="s">
        <v>7</v>
      </c>
      <c r="R119" s="59" t="s">
        <v>7</v>
      </c>
    </row>
    <row r="120" spans="1:20" ht="15.75" customHeight="1" x14ac:dyDescent="0.3">
      <c r="A120" s="61" t="s">
        <v>112</v>
      </c>
      <c r="B120" s="1"/>
      <c r="C120" s="1"/>
      <c r="D120" s="1"/>
      <c r="E120" s="59">
        <f>SUM(B120:D120)</f>
        <v>0</v>
      </c>
      <c r="F120" s="1"/>
      <c r="G120" s="1"/>
      <c r="H120" s="1"/>
      <c r="I120" s="59">
        <f>SUM(F120:H120)</f>
        <v>0</v>
      </c>
      <c r="J120" s="1"/>
      <c r="K120" s="1"/>
      <c r="L120" s="1"/>
      <c r="M120" s="59">
        <f>SUM(J120:L120)</f>
        <v>0</v>
      </c>
      <c r="N120" s="1"/>
      <c r="O120" s="1"/>
      <c r="P120" s="1"/>
      <c r="Q120" s="59">
        <f>SUM(N120:P120)</f>
        <v>0</v>
      </c>
      <c r="R120" s="59">
        <f>+E120+I120+M120+Q120</f>
        <v>0</v>
      </c>
    </row>
    <row r="121" spans="1:20" ht="15.75" customHeight="1" x14ac:dyDescent="0.3">
      <c r="A121" s="61" t="s">
        <v>113</v>
      </c>
      <c r="B121" s="1"/>
      <c r="C121" s="1"/>
      <c r="D121" s="1"/>
      <c r="E121" s="59">
        <f>SUM(B121:D121)</f>
        <v>0</v>
      </c>
      <c r="F121" s="1"/>
      <c r="G121" s="1"/>
      <c r="H121" s="1"/>
      <c r="I121" s="59">
        <f>SUM(F121:H121)</f>
        <v>0</v>
      </c>
      <c r="J121" s="1"/>
      <c r="K121" s="1"/>
      <c r="L121" s="1"/>
      <c r="M121" s="59">
        <f>SUM(J121:L121)</f>
        <v>0</v>
      </c>
      <c r="N121" s="1"/>
      <c r="O121" s="1"/>
      <c r="P121" s="1"/>
      <c r="Q121" s="59">
        <f>SUM(N121:P121)</f>
        <v>0</v>
      </c>
      <c r="R121" s="59">
        <f>+E121+I121+M121+Q121</f>
        <v>0</v>
      </c>
    </row>
    <row r="122" spans="1:20" ht="15.75" customHeight="1" x14ac:dyDescent="0.3">
      <c r="A122" s="22" t="s">
        <v>66</v>
      </c>
      <c r="B122" s="60"/>
      <c r="C122" s="60"/>
      <c r="D122" s="60"/>
      <c r="E122" s="59" t="s">
        <v>7</v>
      </c>
      <c r="F122" s="60"/>
      <c r="G122" s="60"/>
      <c r="H122" s="60"/>
      <c r="I122" s="59" t="s">
        <v>7</v>
      </c>
      <c r="J122" s="60"/>
      <c r="K122" s="60"/>
      <c r="L122" s="60"/>
      <c r="M122" s="59" t="s">
        <v>7</v>
      </c>
      <c r="N122" s="60"/>
      <c r="O122" s="60"/>
      <c r="P122" s="60"/>
      <c r="Q122" s="59" t="s">
        <v>7</v>
      </c>
      <c r="R122" s="59" t="s">
        <v>7</v>
      </c>
    </row>
    <row r="123" spans="1:20" ht="15.75" customHeight="1" x14ac:dyDescent="0.3">
      <c r="A123" s="61" t="s">
        <v>114</v>
      </c>
      <c r="B123" s="1"/>
      <c r="C123" s="1"/>
      <c r="D123" s="1"/>
      <c r="E123" s="59">
        <f>SUM(B123:D123)</f>
        <v>0</v>
      </c>
      <c r="F123" s="1"/>
      <c r="G123" s="1"/>
      <c r="H123" s="1"/>
      <c r="I123" s="59">
        <f>SUM(F123:H123)</f>
        <v>0</v>
      </c>
      <c r="J123" s="1"/>
      <c r="K123" s="1"/>
      <c r="L123" s="1"/>
      <c r="M123" s="59">
        <f>SUM(J123:L123)</f>
        <v>0</v>
      </c>
      <c r="N123" s="1"/>
      <c r="O123" s="1"/>
      <c r="P123" s="1"/>
      <c r="Q123" s="59">
        <f>SUM(N123:P123)</f>
        <v>0</v>
      </c>
      <c r="R123" s="59">
        <f>+E123+I123+M123+Q123</f>
        <v>0</v>
      </c>
      <c r="T123" s="4" t="s">
        <v>78</v>
      </c>
    </row>
    <row r="124" spans="1:20" ht="15.75" customHeight="1" x14ac:dyDescent="0.3">
      <c r="A124" s="22" t="s">
        <v>67</v>
      </c>
      <c r="B124" s="60"/>
      <c r="C124" s="60"/>
      <c r="D124" s="60"/>
      <c r="E124" s="59" t="s">
        <v>7</v>
      </c>
      <c r="F124" s="60"/>
      <c r="G124" s="60"/>
      <c r="H124" s="60"/>
      <c r="I124" s="59" t="s">
        <v>7</v>
      </c>
      <c r="J124" s="60"/>
      <c r="K124" s="60"/>
      <c r="L124" s="60"/>
      <c r="M124" s="59" t="s">
        <v>7</v>
      </c>
      <c r="N124" s="60"/>
      <c r="O124" s="60"/>
      <c r="P124" s="60"/>
      <c r="Q124" s="59" t="s">
        <v>7</v>
      </c>
      <c r="R124" s="59" t="s">
        <v>7</v>
      </c>
    </row>
    <row r="125" spans="1:20" ht="15.75" customHeight="1" x14ac:dyDescent="0.3">
      <c r="A125" s="61" t="s">
        <v>115</v>
      </c>
      <c r="B125" s="1"/>
      <c r="C125" s="1"/>
      <c r="D125" s="1"/>
      <c r="E125" s="59">
        <f t="shared" ref="E125:E130" si="21">SUM(B125:D125)</f>
        <v>0</v>
      </c>
      <c r="F125" s="1"/>
      <c r="G125" s="1"/>
      <c r="H125" s="1"/>
      <c r="I125" s="59">
        <f t="shared" ref="I125:I130" si="22">SUM(F125:H125)</f>
        <v>0</v>
      </c>
      <c r="J125" s="1"/>
      <c r="K125" s="1"/>
      <c r="L125" s="1"/>
      <c r="M125" s="59">
        <f t="shared" ref="M125:M130" si="23">SUM(J125:L125)</f>
        <v>0</v>
      </c>
      <c r="N125" s="1"/>
      <c r="O125" s="1"/>
      <c r="P125" s="1"/>
      <c r="Q125" s="59">
        <f t="shared" ref="Q125:Q130" si="24">SUM(N125:P125)</f>
        <v>0</v>
      </c>
      <c r="R125" s="59">
        <f t="shared" ref="R125:R130" si="25">+E125+I125+M125+Q125</f>
        <v>0</v>
      </c>
    </row>
    <row r="126" spans="1:20" ht="15.75" customHeight="1" thickBot="1" x14ac:dyDescent="0.35">
      <c r="A126" s="61" t="s">
        <v>116</v>
      </c>
      <c r="B126" s="1"/>
      <c r="C126" s="1"/>
      <c r="D126" s="1"/>
      <c r="E126" s="59">
        <f t="shared" si="21"/>
        <v>0</v>
      </c>
      <c r="F126" s="1"/>
      <c r="G126" s="1"/>
      <c r="H126" s="1"/>
      <c r="I126" s="59">
        <f t="shared" si="22"/>
        <v>0</v>
      </c>
      <c r="J126" s="1"/>
      <c r="K126" s="1"/>
      <c r="L126" s="1"/>
      <c r="M126" s="59">
        <f t="shared" si="23"/>
        <v>0</v>
      </c>
      <c r="N126" s="1"/>
      <c r="O126" s="1"/>
      <c r="P126" s="1"/>
      <c r="Q126" s="59">
        <f t="shared" si="24"/>
        <v>0</v>
      </c>
      <c r="R126" s="59">
        <f t="shared" si="25"/>
        <v>0</v>
      </c>
    </row>
    <row r="127" spans="1:20" ht="16.5" customHeight="1" thickBot="1" x14ac:dyDescent="0.35">
      <c r="A127" s="62" t="s">
        <v>68</v>
      </c>
      <c r="B127" s="63">
        <f>SUM(B122:B126)</f>
        <v>0</v>
      </c>
      <c r="C127" s="63">
        <f>SUM(C122:C126)</f>
        <v>0</v>
      </c>
      <c r="D127" s="63">
        <f>SUM(D122:D126)</f>
        <v>0</v>
      </c>
      <c r="E127" s="65">
        <f t="shared" si="21"/>
        <v>0</v>
      </c>
      <c r="F127" s="63">
        <f>SUM(F122:F126)</f>
        <v>0</v>
      </c>
      <c r="G127" s="63">
        <f>SUM(G122:G126)</f>
        <v>0</v>
      </c>
      <c r="H127" s="63">
        <f>SUM(H122:H126)</f>
        <v>0</v>
      </c>
      <c r="I127" s="65">
        <f t="shared" si="22"/>
        <v>0</v>
      </c>
      <c r="J127" s="63">
        <f>SUM(J122:J126)</f>
        <v>0</v>
      </c>
      <c r="K127" s="63">
        <f>SUM(K122:K126)</f>
        <v>0</v>
      </c>
      <c r="L127" s="63">
        <f>SUM(L122:L126)</f>
        <v>0</v>
      </c>
      <c r="M127" s="65">
        <f t="shared" si="23"/>
        <v>0</v>
      </c>
      <c r="N127" s="63">
        <f>SUM(N122:N126)</f>
        <v>0</v>
      </c>
      <c r="O127" s="63">
        <f>SUM(O122:O126)</f>
        <v>0</v>
      </c>
      <c r="P127" s="63">
        <f>SUM(P122:P126)</f>
        <v>0</v>
      </c>
      <c r="Q127" s="65">
        <f t="shared" si="24"/>
        <v>0</v>
      </c>
      <c r="R127" s="64">
        <f t="shared" si="25"/>
        <v>0</v>
      </c>
    </row>
    <row r="128" spans="1:20" ht="16.5" customHeight="1" thickBot="1" x14ac:dyDescent="0.35">
      <c r="A128" s="62" t="s">
        <v>69</v>
      </c>
      <c r="B128" s="63">
        <f>SUM(B109:B126)</f>
        <v>0</v>
      </c>
      <c r="C128" s="63">
        <f>SUM(C109:C126)</f>
        <v>0</v>
      </c>
      <c r="D128" s="63">
        <f>SUM(D109:D126)</f>
        <v>0</v>
      </c>
      <c r="E128" s="65">
        <f t="shared" si="21"/>
        <v>0</v>
      </c>
      <c r="F128" s="63">
        <f>SUM(F109:F126)</f>
        <v>0</v>
      </c>
      <c r="G128" s="63">
        <f>SUM(G109:G126)</f>
        <v>0</v>
      </c>
      <c r="H128" s="63">
        <f>SUM(H109:H126)</f>
        <v>0</v>
      </c>
      <c r="I128" s="65">
        <f t="shared" si="22"/>
        <v>0</v>
      </c>
      <c r="J128" s="63">
        <f>SUM(J109:J126)</f>
        <v>0</v>
      </c>
      <c r="K128" s="63">
        <f>SUM(K109:K126)</f>
        <v>0</v>
      </c>
      <c r="L128" s="63">
        <f>SUM(L109:L126)</f>
        <v>0</v>
      </c>
      <c r="M128" s="65">
        <f t="shared" si="23"/>
        <v>0</v>
      </c>
      <c r="N128" s="63">
        <f>SUM(N109:N126)</f>
        <v>0</v>
      </c>
      <c r="O128" s="63">
        <f>SUM(O109:O126)</f>
        <v>0</v>
      </c>
      <c r="P128" s="63">
        <f>SUM(P109:P126)</f>
        <v>0</v>
      </c>
      <c r="Q128" s="65">
        <f t="shared" si="24"/>
        <v>0</v>
      </c>
      <c r="R128" s="64">
        <f t="shared" si="25"/>
        <v>0</v>
      </c>
    </row>
    <row r="129" spans="1:20" ht="16.5" customHeight="1" thickBot="1" x14ac:dyDescent="0.35">
      <c r="A129" s="62" t="s">
        <v>70</v>
      </c>
      <c r="B129" s="63">
        <f>+B89+B96+B108+B128</f>
        <v>800</v>
      </c>
      <c r="C129" s="63">
        <f>+C89+C96+C108+C128</f>
        <v>800</v>
      </c>
      <c r="D129" s="63">
        <f>+D89+D96+D108+D128</f>
        <v>3250</v>
      </c>
      <c r="E129" s="64">
        <f t="shared" si="21"/>
        <v>4850</v>
      </c>
      <c r="F129" s="63">
        <f>+F89+F96+F108+F128</f>
        <v>4991</v>
      </c>
      <c r="G129" s="63">
        <f>+G89+G96+G108+G128</f>
        <v>6612</v>
      </c>
      <c r="H129" s="63">
        <f>+H89+H96+H108+H128</f>
        <v>6668</v>
      </c>
      <c r="I129" s="64">
        <f t="shared" si="22"/>
        <v>18271</v>
      </c>
      <c r="J129" s="63">
        <f>+J89+J96+J108+J128</f>
        <v>6147</v>
      </c>
      <c r="K129" s="63">
        <f>+K89+K96+K108+K128</f>
        <v>5197</v>
      </c>
      <c r="L129" s="63">
        <f>+L89+L96+L108+L128</f>
        <v>3101</v>
      </c>
      <c r="M129" s="64">
        <f t="shared" si="23"/>
        <v>14445</v>
      </c>
      <c r="N129" s="63">
        <f>+N89+N96+N108+N128</f>
        <v>2037</v>
      </c>
      <c r="O129" s="63">
        <f>+O89+O96+O108+O128</f>
        <v>748</v>
      </c>
      <c r="P129" s="63">
        <f>+P89+P96+P108+P128</f>
        <v>800</v>
      </c>
      <c r="Q129" s="64">
        <f t="shared" si="24"/>
        <v>3585</v>
      </c>
      <c r="R129" s="64">
        <f t="shared" si="25"/>
        <v>41151</v>
      </c>
    </row>
    <row r="130" spans="1:20" ht="16.5" customHeight="1" thickBot="1" x14ac:dyDescent="0.35">
      <c r="A130" s="79" t="s">
        <v>37</v>
      </c>
      <c r="B130" s="25">
        <v>173</v>
      </c>
      <c r="C130" s="25">
        <v>260</v>
      </c>
      <c r="D130" s="25">
        <v>471</v>
      </c>
      <c r="E130" s="59">
        <f t="shared" si="21"/>
        <v>904</v>
      </c>
      <c r="F130" s="25">
        <v>629</v>
      </c>
      <c r="G130" s="25">
        <v>725</v>
      </c>
      <c r="H130" s="25">
        <v>712</v>
      </c>
      <c r="I130" s="59">
        <f t="shared" si="22"/>
        <v>2066</v>
      </c>
      <c r="J130" s="25">
        <v>711</v>
      </c>
      <c r="K130" s="25">
        <v>573</v>
      </c>
      <c r="L130" s="25">
        <v>542</v>
      </c>
      <c r="M130" s="59">
        <f t="shared" si="23"/>
        <v>1826</v>
      </c>
      <c r="N130" s="25">
        <v>490</v>
      </c>
      <c r="O130" s="25">
        <v>407</v>
      </c>
      <c r="P130" s="25">
        <v>323</v>
      </c>
      <c r="Q130" s="59">
        <f t="shared" si="24"/>
        <v>1220</v>
      </c>
      <c r="R130" s="59">
        <f t="shared" si="25"/>
        <v>6016</v>
      </c>
    </row>
    <row r="131" spans="1:20" ht="16.5" customHeight="1" thickBot="1" x14ac:dyDescent="0.35">
      <c r="A131" s="80"/>
      <c r="B131" s="81"/>
      <c r="C131" s="81"/>
      <c r="D131" s="81"/>
      <c r="E131" s="64" t="s">
        <v>7</v>
      </c>
      <c r="F131" s="81"/>
      <c r="G131" s="81"/>
      <c r="H131" s="81"/>
      <c r="I131" s="64" t="s">
        <v>7</v>
      </c>
      <c r="J131" s="81"/>
      <c r="K131" s="81"/>
      <c r="L131" s="81"/>
      <c r="M131" s="64" t="s">
        <v>7</v>
      </c>
      <c r="N131" s="81"/>
      <c r="O131" s="81"/>
      <c r="P131" s="81"/>
      <c r="Q131" s="64" t="s">
        <v>7</v>
      </c>
      <c r="R131" s="64" t="s">
        <v>7</v>
      </c>
    </row>
    <row r="132" spans="1:20" ht="15.75" customHeight="1" x14ac:dyDescent="0.3">
      <c r="A132" s="82" t="s">
        <v>38</v>
      </c>
      <c r="B132" s="83">
        <f>+B129+B130</f>
        <v>973</v>
      </c>
      <c r="C132" s="83">
        <f>+C129+C130</f>
        <v>1060</v>
      </c>
      <c r="D132" s="83">
        <f>+D129+D130</f>
        <v>3721</v>
      </c>
      <c r="E132" s="59">
        <f>SUM(B132:D132)</f>
        <v>5754</v>
      </c>
      <c r="F132" s="83">
        <f>+F129+F130</f>
        <v>5620</v>
      </c>
      <c r="G132" s="83">
        <f>+G129+G130</f>
        <v>7337</v>
      </c>
      <c r="H132" s="83">
        <f>+H129+H130</f>
        <v>7380</v>
      </c>
      <c r="I132" s="59">
        <f>SUM(F132:H132)</f>
        <v>20337</v>
      </c>
      <c r="J132" s="83">
        <f>+J129+J130</f>
        <v>6858</v>
      </c>
      <c r="K132" s="83">
        <f>+K129+K130</f>
        <v>5770</v>
      </c>
      <c r="L132" s="83">
        <f>+L129+L130</f>
        <v>3643</v>
      </c>
      <c r="M132" s="59">
        <f>SUM(J132:L132)</f>
        <v>16271</v>
      </c>
      <c r="N132" s="83">
        <f>+N129+N130</f>
        <v>2527</v>
      </c>
      <c r="O132" s="83">
        <f>+O129+O130</f>
        <v>1155</v>
      </c>
      <c r="P132" s="83">
        <f>+P129+P130</f>
        <v>1123</v>
      </c>
      <c r="Q132" s="59">
        <f>SUM(N132:P132)</f>
        <v>4805</v>
      </c>
      <c r="R132" s="59">
        <f>+E132+I132+M132+Q132</f>
        <v>47167</v>
      </c>
    </row>
    <row r="133" spans="1:20" ht="15.75" customHeight="1" x14ac:dyDescent="0.3">
      <c r="A133" s="84" t="s">
        <v>39</v>
      </c>
      <c r="B133" s="1">
        <f>(B132/B10)/1.983</f>
        <v>15.828087127682071</v>
      </c>
      <c r="C133" s="1">
        <f>(C132/C10)/1.983</f>
        <v>19.090843599164323</v>
      </c>
      <c r="D133" s="1">
        <f>(D132/D10)/1.983</f>
        <v>60.530639467733799</v>
      </c>
      <c r="E133" s="59" t="s">
        <v>7</v>
      </c>
      <c r="F133" s="1">
        <f>(F132/F10)/1.983</f>
        <v>94.469658766179194</v>
      </c>
      <c r="G133" s="1">
        <f>(G132/G10)/1.983</f>
        <v>119.35321197924291</v>
      </c>
      <c r="H133" s="1">
        <f>(H132/H10)/1.983</f>
        <v>124.05446293494704</v>
      </c>
      <c r="I133" s="59" t="s">
        <v>7</v>
      </c>
      <c r="J133" s="1">
        <f>(J132/J10)/1.983</f>
        <v>111.56117319798935</v>
      </c>
      <c r="K133" s="1">
        <f>(K132/K10)/1.983</f>
        <v>93.862346070632626</v>
      </c>
      <c r="L133" s="1">
        <f>(L132/L10)/1.983</f>
        <v>61.237182719784833</v>
      </c>
      <c r="M133" s="59" t="s">
        <v>7</v>
      </c>
      <c r="N133" s="1">
        <f>(N132/N10)/1.983</f>
        <v>41.107478079807393</v>
      </c>
      <c r="O133" s="1">
        <f>(O132/O10)/1.983</f>
        <v>19.415027735753906</v>
      </c>
      <c r="P133" s="1">
        <f>(P132/P10)/1.983</f>
        <v>18.268182779431619</v>
      </c>
      <c r="Q133" s="59" t="s">
        <v>7</v>
      </c>
      <c r="R133" s="59" t="s">
        <v>7</v>
      </c>
    </row>
    <row r="134" spans="1:20" ht="15.75" customHeight="1" x14ac:dyDescent="0.3">
      <c r="A134" s="85" t="s">
        <v>117</v>
      </c>
      <c r="B134" s="1">
        <f>B132+B322</f>
        <v>123038</v>
      </c>
      <c r="C134" s="1">
        <f>C132+C322</f>
        <v>135183</v>
      </c>
      <c r="D134" s="1">
        <f>D132+D322</f>
        <v>144439</v>
      </c>
      <c r="E134" s="59">
        <f>SUM(B134:D134)</f>
        <v>402660</v>
      </c>
      <c r="F134" s="1">
        <f>F132+F322</f>
        <v>146352</v>
      </c>
      <c r="G134" s="1">
        <f>G132+G322</f>
        <v>172153</v>
      </c>
      <c r="H134" s="1">
        <f>H132+H322</f>
        <v>73819</v>
      </c>
      <c r="I134" s="59">
        <f>SUM(F134:H134)</f>
        <v>392324</v>
      </c>
      <c r="J134" s="1">
        <f>J132+J322</f>
        <v>51082</v>
      </c>
      <c r="K134" s="1">
        <f>K132+K322</f>
        <v>51595</v>
      </c>
      <c r="L134" s="1">
        <f>L132+L322</f>
        <v>129775</v>
      </c>
      <c r="M134" s="59">
        <f>SUM(J134:L134)</f>
        <v>232452</v>
      </c>
      <c r="N134" s="1">
        <f>N132+N322</f>
        <v>143982</v>
      </c>
      <c r="O134" s="1">
        <f>O132+O322</f>
        <v>138313</v>
      </c>
      <c r="P134" s="1">
        <f>P132+P322</f>
        <v>107615</v>
      </c>
      <c r="Q134" s="59">
        <f>SUM(N134:P134)</f>
        <v>389910</v>
      </c>
      <c r="R134" s="59">
        <f>+E134+I134+M134+Q134</f>
        <v>1417346</v>
      </c>
    </row>
    <row r="135" spans="1:20" ht="16.5" customHeight="1" thickBot="1" x14ac:dyDescent="0.35">
      <c r="A135" s="86" t="s">
        <v>118</v>
      </c>
      <c r="B135" s="87">
        <f>(B134/B10)/1.983</f>
        <v>2001.4965919997396</v>
      </c>
      <c r="C135" s="87">
        <f>(C134/C10)/1.983</f>
        <v>2434.6768964771986</v>
      </c>
      <c r="D135" s="87">
        <f>(D134/D10)/1.983</f>
        <v>2349.63317228702</v>
      </c>
      <c r="E135" s="88" t="s">
        <v>7</v>
      </c>
      <c r="F135" s="87">
        <f>(F134/F10)/1.983</f>
        <v>2460.1109430156325</v>
      </c>
      <c r="G135" s="87">
        <f>(G134/G10)/1.983</f>
        <v>2800.4652449042665</v>
      </c>
      <c r="H135" s="87">
        <f>(H134/H10)/1.983</f>
        <v>1240.8640107581105</v>
      </c>
      <c r="I135" s="88" t="s">
        <v>7</v>
      </c>
      <c r="J135" s="87">
        <f>(J134/J10)/1.983</f>
        <v>830.9664405511362</v>
      </c>
      <c r="K135" s="87">
        <f>(K134/K10)/1.983</f>
        <v>839.31156768011965</v>
      </c>
      <c r="L135" s="87">
        <f>(L134/L10)/1.983</f>
        <v>2181.4590687510504</v>
      </c>
      <c r="M135" s="88" t="s">
        <v>7</v>
      </c>
      <c r="N135" s="87">
        <f>(N134/N10)/1.983</f>
        <v>2342.1990142013569</v>
      </c>
      <c r="O135" s="87">
        <f>(O134/O10)/1.983</f>
        <v>2324.9789880652211</v>
      </c>
      <c r="P135" s="87">
        <f>(P134/P10)/1.983</f>
        <v>1750.605957086851</v>
      </c>
      <c r="Q135" s="88" t="s">
        <v>7</v>
      </c>
      <c r="R135" s="88" t="s">
        <v>7</v>
      </c>
    </row>
    <row r="136" spans="1:20" ht="15.75" customHeight="1" x14ac:dyDescent="0.3">
      <c r="A136" s="30"/>
      <c r="B136" s="1"/>
      <c r="C136" s="1"/>
      <c r="D136" s="1"/>
      <c r="E136" s="1"/>
      <c r="F136" s="1"/>
      <c r="G136" s="1"/>
      <c r="H136" s="1"/>
      <c r="I136" s="1"/>
      <c r="J136" s="1"/>
      <c r="K136" s="1"/>
      <c r="L136" s="1"/>
      <c r="M136" s="1"/>
      <c r="N136" s="1"/>
      <c r="O136" s="1"/>
      <c r="P136" s="1"/>
      <c r="Q136" s="1"/>
      <c r="R136" s="28"/>
    </row>
    <row r="137" spans="1:20" ht="15.75" customHeight="1" thickBot="1" x14ac:dyDescent="0.35">
      <c r="A137" s="30" t="s">
        <v>7</v>
      </c>
      <c r="B137" s="1"/>
      <c r="C137" s="1"/>
      <c r="D137" s="1"/>
      <c r="E137" s="1"/>
      <c r="F137" s="1"/>
      <c r="G137" s="1"/>
      <c r="H137" s="1"/>
      <c r="I137" s="1"/>
      <c r="J137" s="1"/>
      <c r="K137" s="1"/>
      <c r="L137" s="1"/>
      <c r="M137" s="1"/>
      <c r="N137" s="1"/>
      <c r="O137" s="1"/>
      <c r="P137" s="1"/>
      <c r="Q137" s="1"/>
      <c r="R137" s="28"/>
    </row>
    <row r="138" spans="1:20" ht="16.5" customHeight="1" thickBot="1" x14ac:dyDescent="0.35">
      <c r="A138" s="31" t="s">
        <v>119</v>
      </c>
      <c r="B138" s="32" t="s">
        <v>36</v>
      </c>
      <c r="C138" s="33" t="s">
        <v>9</v>
      </c>
      <c r="D138" s="33" t="s">
        <v>10</v>
      </c>
      <c r="E138" s="12" t="s">
        <v>11</v>
      </c>
      <c r="F138" s="33" t="s">
        <v>12</v>
      </c>
      <c r="G138" s="33" t="s">
        <v>13</v>
      </c>
      <c r="H138" s="33" t="s">
        <v>14</v>
      </c>
      <c r="I138" s="34" t="s">
        <v>15</v>
      </c>
      <c r="J138" s="33" t="s">
        <v>16</v>
      </c>
      <c r="K138" s="33" t="s">
        <v>17</v>
      </c>
      <c r="L138" s="33" t="s">
        <v>18</v>
      </c>
      <c r="M138" s="34" t="s">
        <v>19</v>
      </c>
      <c r="N138" s="33" t="s">
        <v>20</v>
      </c>
      <c r="O138" s="33" t="s">
        <v>21</v>
      </c>
      <c r="P138" s="33" t="s">
        <v>22</v>
      </c>
      <c r="Q138" s="34" t="s">
        <v>23</v>
      </c>
      <c r="R138" s="35" t="s">
        <v>24</v>
      </c>
    </row>
    <row r="139" spans="1:20" ht="16.5" customHeight="1" thickBot="1" x14ac:dyDescent="0.35">
      <c r="A139" s="80"/>
      <c r="B139" s="81"/>
      <c r="C139" s="81"/>
      <c r="D139" s="81"/>
      <c r="E139" s="89"/>
      <c r="F139" s="81"/>
      <c r="G139" s="81"/>
      <c r="H139" s="81"/>
      <c r="I139" s="89"/>
      <c r="J139" s="81"/>
      <c r="K139" s="81"/>
      <c r="L139" s="81"/>
      <c r="M139" s="89"/>
      <c r="N139" s="81"/>
      <c r="O139" s="81"/>
      <c r="P139" s="81"/>
      <c r="Q139" s="89"/>
      <c r="R139" s="80"/>
    </row>
    <row r="140" spans="1:20" ht="15.75" customHeight="1" x14ac:dyDescent="0.3">
      <c r="A140" s="17" t="s">
        <v>45</v>
      </c>
      <c r="B140" s="1" t="s">
        <v>7</v>
      </c>
      <c r="C140" s="1" t="s">
        <v>7</v>
      </c>
      <c r="D140" s="1" t="s">
        <v>7</v>
      </c>
      <c r="E140" s="59" t="s">
        <v>7</v>
      </c>
      <c r="F140" s="1" t="s">
        <v>7</v>
      </c>
      <c r="G140" s="1" t="s">
        <v>7</v>
      </c>
      <c r="H140" s="1" t="s">
        <v>7</v>
      </c>
      <c r="I140" s="59" t="s">
        <v>7</v>
      </c>
      <c r="J140" s="1" t="s">
        <v>7</v>
      </c>
      <c r="K140" s="1" t="s">
        <v>7</v>
      </c>
      <c r="L140" s="1" t="s">
        <v>7</v>
      </c>
      <c r="M140" s="59" t="s">
        <v>7</v>
      </c>
      <c r="N140" s="1" t="s">
        <v>7</v>
      </c>
      <c r="O140" s="1" t="s">
        <v>7</v>
      </c>
      <c r="P140" s="1" t="s">
        <v>7</v>
      </c>
      <c r="Q140" s="59" t="s">
        <v>7</v>
      </c>
      <c r="R140" s="90" t="s">
        <v>7</v>
      </c>
    </row>
    <row r="141" spans="1:20" ht="15.75" customHeight="1" x14ac:dyDescent="0.3">
      <c r="A141" s="17" t="s">
        <v>46</v>
      </c>
      <c r="B141" s="1"/>
      <c r="C141" s="1"/>
      <c r="D141" s="1"/>
      <c r="E141" s="59" t="s">
        <v>7</v>
      </c>
      <c r="F141" s="1"/>
      <c r="G141" s="1"/>
      <c r="H141" s="1"/>
      <c r="I141" s="59" t="s">
        <v>7</v>
      </c>
      <c r="J141" s="1"/>
      <c r="K141" s="1"/>
      <c r="L141" s="1"/>
      <c r="M141" s="59" t="s">
        <v>7</v>
      </c>
      <c r="N141" s="1"/>
      <c r="O141" s="1"/>
      <c r="P141" s="1"/>
      <c r="Q141" s="59" t="s">
        <v>7</v>
      </c>
      <c r="R141" s="90"/>
    </row>
    <row r="142" spans="1:20" ht="15.75" customHeight="1" x14ac:dyDescent="0.3">
      <c r="A142" s="91" t="s">
        <v>120</v>
      </c>
      <c r="B142" s="1"/>
      <c r="C142" s="1"/>
      <c r="D142" s="1">
        <v>599</v>
      </c>
      <c r="E142" s="59">
        <f t="shared" ref="E142:E146" si="26">SUM(B142:D142)</f>
        <v>599</v>
      </c>
      <c r="F142" s="1">
        <v>599</v>
      </c>
      <c r="G142" s="1">
        <v>599</v>
      </c>
      <c r="H142" s="1">
        <v>598</v>
      </c>
      <c r="I142" s="59">
        <f t="shared" ref="I142:I191" si="27">SUM(F142:H142)</f>
        <v>1796</v>
      </c>
      <c r="J142" s="1">
        <v>598</v>
      </c>
      <c r="K142" s="1">
        <v>598</v>
      </c>
      <c r="L142" s="1">
        <v>598</v>
      </c>
      <c r="M142" s="59">
        <f t="shared" ref="M142:M191" si="28">SUM(J142:L142)</f>
        <v>1794</v>
      </c>
      <c r="N142" s="1"/>
      <c r="O142" s="1"/>
      <c r="P142" s="1"/>
      <c r="Q142" s="59">
        <f t="shared" ref="Q142:Q197" si="29">SUM(N142:P142)</f>
        <v>0</v>
      </c>
      <c r="R142" s="59">
        <f>+E142+I142+M142+Q142</f>
        <v>4189</v>
      </c>
      <c r="T142" s="4" t="s">
        <v>121</v>
      </c>
    </row>
    <row r="143" spans="1:20" ht="15.75" customHeight="1" x14ac:dyDescent="0.3">
      <c r="A143" s="91" t="s">
        <v>122</v>
      </c>
      <c r="B143" s="1"/>
      <c r="C143" s="1">
        <v>150</v>
      </c>
      <c r="D143" s="1">
        <v>600</v>
      </c>
      <c r="E143" s="59">
        <f t="shared" si="26"/>
        <v>750</v>
      </c>
      <c r="F143" s="1">
        <v>1400</v>
      </c>
      <c r="G143" s="1">
        <v>1600</v>
      </c>
      <c r="H143" s="1">
        <v>1650</v>
      </c>
      <c r="I143" s="59">
        <f t="shared" si="27"/>
        <v>4650</v>
      </c>
      <c r="J143" s="1">
        <v>1600</v>
      </c>
      <c r="K143" s="1">
        <v>1500</v>
      </c>
      <c r="L143" s="1">
        <v>1400</v>
      </c>
      <c r="M143" s="59">
        <f>SUM(J143:L143)</f>
        <v>4500</v>
      </c>
      <c r="N143" s="1">
        <v>1193</v>
      </c>
      <c r="O143" s="1"/>
      <c r="P143" s="1"/>
      <c r="Q143" s="59">
        <f t="shared" si="29"/>
        <v>1193</v>
      </c>
      <c r="R143" s="59">
        <f t="shared" ref="R143:R194" si="30">+E143+I143+M143+Q143</f>
        <v>11093</v>
      </c>
      <c r="S143" s="50"/>
      <c r="T143" s="4" t="s">
        <v>121</v>
      </c>
    </row>
    <row r="144" spans="1:20" ht="15.75" customHeight="1" x14ac:dyDescent="0.3">
      <c r="A144" s="91" t="s">
        <v>123</v>
      </c>
      <c r="B144" s="1"/>
      <c r="C144" s="1"/>
      <c r="D144" s="1">
        <v>339</v>
      </c>
      <c r="E144" s="59">
        <f t="shared" si="26"/>
        <v>339</v>
      </c>
      <c r="F144" s="1">
        <v>339</v>
      </c>
      <c r="G144" s="1">
        <v>339</v>
      </c>
      <c r="H144" s="1">
        <v>339</v>
      </c>
      <c r="I144" s="59">
        <f t="shared" si="27"/>
        <v>1017</v>
      </c>
      <c r="J144" s="1">
        <v>339</v>
      </c>
      <c r="K144" s="1">
        <v>339</v>
      </c>
      <c r="L144" s="1">
        <v>338</v>
      </c>
      <c r="M144" s="59">
        <f t="shared" si="28"/>
        <v>1016</v>
      </c>
      <c r="N144" s="1"/>
      <c r="O144" s="1"/>
      <c r="P144" s="1"/>
      <c r="Q144" s="59">
        <f t="shared" si="29"/>
        <v>0</v>
      </c>
      <c r="R144" s="59">
        <f t="shared" si="30"/>
        <v>2372</v>
      </c>
      <c r="T144" s="4" t="s">
        <v>121</v>
      </c>
    </row>
    <row r="145" spans="1:20" ht="15.75" customHeight="1" x14ac:dyDescent="0.3">
      <c r="A145" s="91" t="s">
        <v>124</v>
      </c>
      <c r="B145" s="1"/>
      <c r="C145" s="1"/>
      <c r="D145" s="1">
        <v>370</v>
      </c>
      <c r="E145" s="59">
        <f t="shared" si="26"/>
        <v>370</v>
      </c>
      <c r="F145" s="1">
        <v>375</v>
      </c>
      <c r="G145" s="1">
        <v>375</v>
      </c>
      <c r="H145" s="1">
        <v>375</v>
      </c>
      <c r="I145" s="59">
        <f t="shared" si="27"/>
        <v>1125</v>
      </c>
      <c r="J145" s="1">
        <v>375</v>
      </c>
      <c r="K145" s="1">
        <v>375</v>
      </c>
      <c r="L145" s="1">
        <v>366</v>
      </c>
      <c r="M145" s="59">
        <f t="shared" si="28"/>
        <v>1116</v>
      </c>
      <c r="N145" s="1"/>
      <c r="O145" s="1"/>
      <c r="P145" s="1"/>
      <c r="Q145" s="59">
        <f t="shared" si="29"/>
        <v>0</v>
      </c>
      <c r="R145" s="59">
        <f t="shared" si="30"/>
        <v>2611</v>
      </c>
      <c r="T145" s="4" t="s">
        <v>121</v>
      </c>
    </row>
    <row r="146" spans="1:20" ht="15.75" customHeight="1" x14ac:dyDescent="0.3">
      <c r="A146" s="91" t="s">
        <v>125</v>
      </c>
      <c r="B146" s="1"/>
      <c r="C146" s="1"/>
      <c r="D146" s="1"/>
      <c r="E146" s="59">
        <f t="shared" si="26"/>
        <v>0</v>
      </c>
      <c r="F146" s="1"/>
      <c r="G146" s="1"/>
      <c r="H146" s="1">
        <v>92</v>
      </c>
      <c r="I146" s="59">
        <f t="shared" si="27"/>
        <v>92</v>
      </c>
      <c r="J146" s="1"/>
      <c r="K146" s="1"/>
      <c r="L146" s="1"/>
      <c r="M146" s="59">
        <f t="shared" si="28"/>
        <v>0</v>
      </c>
      <c r="N146" s="1"/>
      <c r="O146" s="1"/>
      <c r="P146" s="1"/>
      <c r="Q146" s="59">
        <f t="shared" ref="Q146" si="31">SUM(N146:P146)</f>
        <v>0</v>
      </c>
      <c r="R146" s="59">
        <f t="shared" si="30"/>
        <v>92</v>
      </c>
    </row>
    <row r="147" spans="1:20" ht="15.75" customHeight="1" x14ac:dyDescent="0.3">
      <c r="A147" s="74" t="s">
        <v>126</v>
      </c>
      <c r="B147" s="1">
        <v>108</v>
      </c>
      <c r="C147" s="1">
        <v>108</v>
      </c>
      <c r="D147" s="1">
        <v>108</v>
      </c>
      <c r="E147" s="59">
        <f t="shared" ref="E147:E148" si="32">SUM(B147:D147)</f>
        <v>324</v>
      </c>
      <c r="F147" s="1">
        <v>108</v>
      </c>
      <c r="G147" s="1">
        <v>108</v>
      </c>
      <c r="H147" s="1">
        <v>108</v>
      </c>
      <c r="I147" s="59">
        <f t="shared" si="27"/>
        <v>324</v>
      </c>
      <c r="J147" s="1">
        <v>108</v>
      </c>
      <c r="K147" s="1">
        <v>108</v>
      </c>
      <c r="L147" s="1">
        <v>109</v>
      </c>
      <c r="M147" s="59">
        <f t="shared" si="28"/>
        <v>325</v>
      </c>
      <c r="N147" s="1">
        <v>109</v>
      </c>
      <c r="O147" s="1">
        <v>109</v>
      </c>
      <c r="P147" s="1">
        <v>109</v>
      </c>
      <c r="Q147" s="59">
        <f t="shared" si="29"/>
        <v>327</v>
      </c>
      <c r="R147" s="59">
        <f t="shared" si="30"/>
        <v>1300</v>
      </c>
      <c r="T147" s="4" t="s">
        <v>127</v>
      </c>
    </row>
    <row r="148" spans="1:20" ht="15.75" customHeight="1" x14ac:dyDescent="0.3">
      <c r="A148" s="74" t="s">
        <v>128</v>
      </c>
      <c r="B148" s="1"/>
      <c r="C148" s="1"/>
      <c r="D148" s="1"/>
      <c r="E148" s="59">
        <f t="shared" si="32"/>
        <v>0</v>
      </c>
      <c r="F148" s="1"/>
      <c r="G148" s="1"/>
      <c r="H148" s="1"/>
      <c r="I148" s="59">
        <f t="shared" si="27"/>
        <v>0</v>
      </c>
      <c r="J148" s="1"/>
      <c r="K148" s="1"/>
      <c r="L148" s="1"/>
      <c r="M148" s="59">
        <f t="shared" si="28"/>
        <v>0</v>
      </c>
      <c r="N148" s="1"/>
      <c r="O148" s="1"/>
      <c r="P148" s="1"/>
      <c r="Q148" s="59">
        <f t="shared" si="29"/>
        <v>0</v>
      </c>
      <c r="R148" s="59">
        <f t="shared" si="30"/>
        <v>0</v>
      </c>
    </row>
    <row r="149" spans="1:20" ht="15.75" customHeight="1" x14ac:dyDescent="0.3">
      <c r="A149" s="91" t="s">
        <v>129</v>
      </c>
      <c r="C149" s="1">
        <v>251</v>
      </c>
      <c r="D149" s="1"/>
      <c r="E149" s="59">
        <f>SUM(C149:D149)</f>
        <v>251</v>
      </c>
      <c r="F149" s="1"/>
      <c r="G149" s="1"/>
      <c r="H149" s="1">
        <v>717</v>
      </c>
      <c r="I149" s="59">
        <f t="shared" si="27"/>
        <v>717</v>
      </c>
      <c r="J149" s="1"/>
      <c r="K149" s="1"/>
      <c r="L149" s="1"/>
      <c r="M149" s="59">
        <f t="shared" si="28"/>
        <v>0</v>
      </c>
      <c r="N149" s="1"/>
      <c r="O149" s="1"/>
      <c r="P149" s="1"/>
      <c r="Q149" s="59">
        <f t="shared" si="29"/>
        <v>0</v>
      </c>
      <c r="R149" s="59">
        <f t="shared" si="30"/>
        <v>968</v>
      </c>
      <c r="T149" s="4" t="s">
        <v>121</v>
      </c>
    </row>
    <row r="150" spans="1:20" ht="15.75" customHeight="1" x14ac:dyDescent="0.3">
      <c r="A150" s="74" t="s">
        <v>130</v>
      </c>
      <c r="C150" s="1"/>
      <c r="D150" s="1"/>
      <c r="E150" s="59">
        <f>SUM(C150:D150)</f>
        <v>0</v>
      </c>
      <c r="F150" s="1">
        <v>3720</v>
      </c>
      <c r="G150" s="1">
        <v>3844</v>
      </c>
      <c r="H150" s="1">
        <v>3720</v>
      </c>
      <c r="I150" s="59">
        <f t="shared" si="27"/>
        <v>11284</v>
      </c>
      <c r="J150" s="1">
        <v>3844</v>
      </c>
      <c r="K150" s="1">
        <v>3844</v>
      </c>
      <c r="L150" s="1">
        <v>2028</v>
      </c>
      <c r="M150" s="59">
        <f t="shared" si="28"/>
        <v>9716</v>
      </c>
      <c r="N150" s="1"/>
      <c r="O150" s="1"/>
      <c r="P150" s="1"/>
      <c r="Q150" s="59">
        <f t="shared" si="29"/>
        <v>0</v>
      </c>
      <c r="R150" s="59">
        <f t="shared" si="30"/>
        <v>21000</v>
      </c>
    </row>
    <row r="151" spans="1:20" ht="15.75" customHeight="1" x14ac:dyDescent="0.3">
      <c r="A151" s="91" t="s">
        <v>131</v>
      </c>
      <c r="B151" s="1"/>
      <c r="C151" s="1"/>
      <c r="D151" s="1"/>
      <c r="E151" s="59">
        <f t="shared" ref="E151:E190" si="33">SUM(B151:D151)</f>
        <v>0</v>
      </c>
      <c r="F151" s="1"/>
      <c r="G151" s="1"/>
      <c r="H151" s="1"/>
      <c r="I151" s="59">
        <f t="shared" si="27"/>
        <v>0</v>
      </c>
      <c r="J151" s="1"/>
      <c r="K151" s="1"/>
      <c r="L151" s="1"/>
      <c r="M151" s="59">
        <f t="shared" si="28"/>
        <v>0</v>
      </c>
      <c r="N151" s="1"/>
      <c r="O151" s="1"/>
      <c r="P151" s="1"/>
      <c r="Q151" s="59">
        <f t="shared" si="29"/>
        <v>0</v>
      </c>
      <c r="R151" s="59">
        <f t="shared" si="30"/>
        <v>0</v>
      </c>
      <c r="T151" s="4" t="s">
        <v>132</v>
      </c>
    </row>
    <row r="152" spans="1:20" ht="15.75" customHeight="1" x14ac:dyDescent="0.3">
      <c r="A152" s="91" t="s">
        <v>133</v>
      </c>
      <c r="B152" s="1">
        <v>565</v>
      </c>
      <c r="C152" s="1">
        <v>565</v>
      </c>
      <c r="D152" s="1">
        <v>565</v>
      </c>
      <c r="E152" s="59">
        <f t="shared" si="33"/>
        <v>1695</v>
      </c>
      <c r="F152" s="1">
        <v>565</v>
      </c>
      <c r="G152" s="1">
        <v>565</v>
      </c>
      <c r="H152" s="1">
        <v>565</v>
      </c>
      <c r="I152" s="59">
        <f t="shared" si="27"/>
        <v>1695</v>
      </c>
      <c r="J152" s="1">
        <v>566</v>
      </c>
      <c r="K152" s="1"/>
      <c r="L152" s="1"/>
      <c r="M152" s="59">
        <f t="shared" si="28"/>
        <v>566</v>
      </c>
      <c r="N152" s="1"/>
      <c r="O152" s="1"/>
      <c r="P152" s="1"/>
      <c r="Q152" s="59">
        <f t="shared" si="29"/>
        <v>0</v>
      </c>
      <c r="R152" s="59">
        <f t="shared" si="30"/>
        <v>3956</v>
      </c>
      <c r="T152" s="4" t="s">
        <v>134</v>
      </c>
    </row>
    <row r="153" spans="1:20" ht="15.75" customHeight="1" x14ac:dyDescent="0.3">
      <c r="A153" s="74" t="s">
        <v>135</v>
      </c>
      <c r="B153" s="1">
        <v>124</v>
      </c>
      <c r="C153" s="1">
        <v>112</v>
      </c>
      <c r="D153" s="1">
        <v>124</v>
      </c>
      <c r="E153" s="59">
        <f t="shared" si="33"/>
        <v>360</v>
      </c>
      <c r="F153" s="1">
        <v>120</v>
      </c>
      <c r="G153" s="1">
        <v>124</v>
      </c>
      <c r="H153" s="1">
        <v>120</v>
      </c>
      <c r="I153" s="59">
        <f t="shared" si="27"/>
        <v>364</v>
      </c>
      <c r="J153" s="1">
        <v>124</v>
      </c>
      <c r="K153" s="1">
        <v>124</v>
      </c>
      <c r="L153" s="1">
        <v>120</v>
      </c>
      <c r="M153" s="59">
        <f t="shared" si="28"/>
        <v>368</v>
      </c>
      <c r="N153" s="1">
        <v>124</v>
      </c>
      <c r="O153" s="1">
        <v>120</v>
      </c>
      <c r="P153" s="1">
        <v>124</v>
      </c>
      <c r="Q153" s="59">
        <f t="shared" si="29"/>
        <v>368</v>
      </c>
      <c r="R153" s="59">
        <f t="shared" si="30"/>
        <v>1460</v>
      </c>
      <c r="S153" s="4" t="s">
        <v>136</v>
      </c>
      <c r="T153" s="4" t="s">
        <v>137</v>
      </c>
    </row>
    <row r="154" spans="1:20" ht="15.75" customHeight="1" x14ac:dyDescent="0.3">
      <c r="A154" s="76" t="s">
        <v>138</v>
      </c>
      <c r="B154" s="1">
        <v>25</v>
      </c>
      <c r="C154" s="1">
        <v>23</v>
      </c>
      <c r="D154" s="1">
        <v>49</v>
      </c>
      <c r="E154" s="59">
        <f>SUM(B154:D154)</f>
        <v>97</v>
      </c>
      <c r="F154" s="1">
        <v>72</v>
      </c>
      <c r="G154" s="1">
        <v>80</v>
      </c>
      <c r="H154" s="1">
        <v>2</v>
      </c>
      <c r="I154" s="59">
        <f>SUM(F154:H154)</f>
        <v>154</v>
      </c>
      <c r="K154" s="1"/>
      <c r="L154" s="1"/>
      <c r="M154" s="59">
        <f>SUM(J154:L154)</f>
        <v>0</v>
      </c>
      <c r="N154" s="1"/>
      <c r="O154" s="1"/>
      <c r="P154" s="1"/>
      <c r="Q154" s="59">
        <f>SUM(N154:P154)</f>
        <v>0</v>
      </c>
      <c r="R154" s="59">
        <f>+E154+I154+M154+Q154</f>
        <v>251</v>
      </c>
      <c r="S154" s="94"/>
    </row>
    <row r="155" spans="1:20" ht="15.75" customHeight="1" x14ac:dyDescent="0.3">
      <c r="A155" s="91" t="s">
        <v>139</v>
      </c>
      <c r="B155" s="1">
        <v>944</v>
      </c>
      <c r="C155" s="1"/>
      <c r="D155" s="1"/>
      <c r="E155" s="59">
        <f t="shared" si="33"/>
        <v>944</v>
      </c>
      <c r="F155" s="1"/>
      <c r="G155" s="1"/>
      <c r="H155" s="1"/>
      <c r="I155" s="59">
        <f t="shared" si="27"/>
        <v>0</v>
      </c>
      <c r="J155" s="1"/>
      <c r="K155" s="1"/>
      <c r="L155" s="1"/>
      <c r="M155" s="59">
        <f t="shared" si="28"/>
        <v>0</v>
      </c>
      <c r="N155" s="1">
        <v>685</v>
      </c>
      <c r="O155" s="1">
        <v>600</v>
      </c>
      <c r="P155" s="1">
        <v>600</v>
      </c>
      <c r="Q155" s="59">
        <f t="shared" si="29"/>
        <v>1885</v>
      </c>
      <c r="R155" s="59">
        <f t="shared" si="30"/>
        <v>2829</v>
      </c>
      <c r="S155" s="75" t="s">
        <v>80</v>
      </c>
      <c r="T155" s="4" t="s">
        <v>132</v>
      </c>
    </row>
    <row r="156" spans="1:20" ht="15.75" customHeight="1" x14ac:dyDescent="0.3">
      <c r="A156" s="91" t="s">
        <v>140</v>
      </c>
      <c r="B156" s="1">
        <v>157</v>
      </c>
      <c r="C156" s="1"/>
      <c r="E156" s="59">
        <f t="shared" si="33"/>
        <v>157</v>
      </c>
      <c r="F156" s="1"/>
      <c r="G156" s="1"/>
      <c r="H156" s="1"/>
      <c r="I156" s="59">
        <f t="shared" si="27"/>
        <v>0</v>
      </c>
      <c r="J156" s="1"/>
      <c r="K156" s="1"/>
      <c r="L156" s="1"/>
      <c r="M156" s="59">
        <f t="shared" si="28"/>
        <v>0</v>
      </c>
      <c r="N156" s="1"/>
      <c r="O156" s="1"/>
      <c r="P156" s="1"/>
      <c r="Q156" s="59">
        <f t="shared" si="29"/>
        <v>0</v>
      </c>
      <c r="R156" s="59">
        <f t="shared" si="30"/>
        <v>157</v>
      </c>
      <c r="S156" s="75" t="s">
        <v>80</v>
      </c>
      <c r="T156" s="4" t="s">
        <v>134</v>
      </c>
    </row>
    <row r="157" spans="1:20" ht="15.75" customHeight="1" x14ac:dyDescent="0.3">
      <c r="A157" s="91" t="s">
        <v>141</v>
      </c>
      <c r="B157" s="1"/>
      <c r="C157" s="1"/>
      <c r="D157" s="1"/>
      <c r="E157" s="59">
        <f t="shared" si="33"/>
        <v>0</v>
      </c>
      <c r="F157" s="1"/>
      <c r="G157" s="1"/>
      <c r="H157" s="1"/>
      <c r="I157" s="59">
        <f t="shared" si="27"/>
        <v>0</v>
      </c>
      <c r="J157" s="1"/>
      <c r="K157" s="1"/>
      <c r="L157" s="1"/>
      <c r="M157" s="59">
        <f t="shared" si="28"/>
        <v>0</v>
      </c>
      <c r="N157" s="1"/>
      <c r="O157" s="1"/>
      <c r="P157" s="1"/>
      <c r="Q157" s="59">
        <f t="shared" si="29"/>
        <v>0</v>
      </c>
      <c r="R157" s="59">
        <f t="shared" si="30"/>
        <v>0</v>
      </c>
      <c r="S157" s="75" t="s">
        <v>80</v>
      </c>
      <c r="T157" s="4" t="s">
        <v>121</v>
      </c>
    </row>
    <row r="158" spans="1:20" ht="15.75" customHeight="1" x14ac:dyDescent="0.3">
      <c r="A158" s="74" t="s">
        <v>142</v>
      </c>
      <c r="B158" s="1">
        <f>0+45</f>
        <v>45</v>
      </c>
      <c r="C158" s="1">
        <f>0+45</f>
        <v>45</v>
      </c>
      <c r="D158" s="1">
        <f>0+54</f>
        <v>54</v>
      </c>
      <c r="E158" s="59">
        <f t="shared" si="33"/>
        <v>144</v>
      </c>
      <c r="F158" s="1">
        <f>0+55</f>
        <v>55</v>
      </c>
      <c r="G158" s="1">
        <f>0+55</f>
        <v>55</v>
      </c>
      <c r="H158" s="1">
        <f>0+63</f>
        <v>63</v>
      </c>
      <c r="I158" s="59">
        <f t="shared" si="27"/>
        <v>173</v>
      </c>
      <c r="J158" s="1">
        <f>6+56</f>
        <v>62</v>
      </c>
      <c r="K158" s="1">
        <f>6+56</f>
        <v>62</v>
      </c>
      <c r="L158" s="1">
        <f>6+48</f>
        <v>54</v>
      </c>
      <c r="M158" s="59">
        <f t="shared" si="28"/>
        <v>178</v>
      </c>
      <c r="N158" s="1">
        <f>10+48</f>
        <v>58</v>
      </c>
      <c r="O158" s="1">
        <f>10+48</f>
        <v>58</v>
      </c>
      <c r="P158" s="1">
        <f>10+39</f>
        <v>49</v>
      </c>
      <c r="Q158" s="59">
        <f t="shared" si="29"/>
        <v>165</v>
      </c>
      <c r="R158" s="59">
        <f t="shared" si="30"/>
        <v>660</v>
      </c>
      <c r="T158" s="4" t="s">
        <v>143</v>
      </c>
    </row>
    <row r="159" spans="1:20" ht="15.75" customHeight="1" x14ac:dyDescent="0.3">
      <c r="A159" s="74" t="s">
        <v>144</v>
      </c>
      <c r="B159" s="1">
        <v>150</v>
      </c>
      <c r="C159" s="1">
        <v>140</v>
      </c>
      <c r="D159" s="1">
        <v>140</v>
      </c>
      <c r="E159" s="59">
        <f t="shared" si="33"/>
        <v>430</v>
      </c>
      <c r="F159" s="1">
        <v>180</v>
      </c>
      <c r="G159" s="1">
        <v>260</v>
      </c>
      <c r="H159" s="1">
        <v>235</v>
      </c>
      <c r="I159" s="59">
        <f t="shared" si="27"/>
        <v>675</v>
      </c>
      <c r="J159" s="1">
        <v>220</v>
      </c>
      <c r="K159" s="1">
        <v>225</v>
      </c>
      <c r="L159" s="1">
        <v>210</v>
      </c>
      <c r="M159" s="59">
        <f t="shared" si="28"/>
        <v>655</v>
      </c>
      <c r="N159" s="1">
        <v>200</v>
      </c>
      <c r="O159" s="1">
        <v>165</v>
      </c>
      <c r="P159" s="1">
        <v>175</v>
      </c>
      <c r="Q159" s="59">
        <f t="shared" si="29"/>
        <v>540</v>
      </c>
      <c r="R159" s="59">
        <f t="shared" si="30"/>
        <v>2300</v>
      </c>
      <c r="T159" s="4" t="s">
        <v>145</v>
      </c>
    </row>
    <row r="160" spans="1:20" ht="15.75" customHeight="1" x14ac:dyDescent="0.3">
      <c r="A160" s="91" t="s">
        <v>146</v>
      </c>
      <c r="B160" s="1"/>
      <c r="C160" s="1"/>
      <c r="D160" s="1"/>
      <c r="E160" s="59">
        <f t="shared" si="33"/>
        <v>0</v>
      </c>
      <c r="F160" s="1"/>
      <c r="G160" s="1"/>
      <c r="H160" s="1"/>
      <c r="I160" s="59">
        <f t="shared" si="27"/>
        <v>0</v>
      </c>
      <c r="J160" s="1"/>
      <c r="K160" s="1"/>
      <c r="L160" s="1"/>
      <c r="M160" s="59">
        <f t="shared" si="28"/>
        <v>0</v>
      </c>
      <c r="N160" s="1"/>
      <c r="O160" s="1"/>
      <c r="P160" s="1"/>
      <c r="Q160" s="59">
        <f t="shared" ref="Q160" si="34">SUM(N160:P160)</f>
        <v>0</v>
      </c>
      <c r="R160" s="59">
        <f t="shared" si="30"/>
        <v>0</v>
      </c>
    </row>
    <row r="161" spans="1:20" ht="15.75" customHeight="1" x14ac:dyDescent="0.3">
      <c r="A161" s="74" t="s">
        <v>147</v>
      </c>
      <c r="B161" s="1"/>
      <c r="C161" s="1"/>
      <c r="D161" s="1"/>
      <c r="E161" s="59">
        <f t="shared" si="33"/>
        <v>0</v>
      </c>
      <c r="F161" s="1"/>
      <c r="G161" s="1"/>
      <c r="H161" s="1"/>
      <c r="I161" s="59">
        <f t="shared" si="27"/>
        <v>0</v>
      </c>
      <c r="J161" s="1"/>
      <c r="K161" s="1">
        <v>500</v>
      </c>
      <c r="L161" s="1"/>
      <c r="M161" s="59">
        <f t="shared" si="28"/>
        <v>500</v>
      </c>
      <c r="N161" s="1"/>
      <c r="O161" s="1">
        <v>800</v>
      </c>
      <c r="P161" s="1"/>
      <c r="Q161" s="59">
        <f t="shared" si="29"/>
        <v>800</v>
      </c>
      <c r="R161" s="59">
        <f t="shared" si="30"/>
        <v>1300</v>
      </c>
      <c r="S161" s="4" t="s">
        <v>136</v>
      </c>
    </row>
    <row r="162" spans="1:20" ht="15.75" customHeight="1" x14ac:dyDescent="0.3">
      <c r="A162" s="91" t="s">
        <v>148</v>
      </c>
      <c r="B162" s="1"/>
      <c r="C162" s="1">
        <v>300</v>
      </c>
      <c r="D162" s="1">
        <v>300</v>
      </c>
      <c r="E162" s="59">
        <f>SUM(B162:D162)</f>
        <v>600</v>
      </c>
      <c r="F162" s="1">
        <v>300</v>
      </c>
      <c r="G162" s="1">
        <v>375</v>
      </c>
      <c r="H162" s="1">
        <v>450</v>
      </c>
      <c r="I162" s="59">
        <f t="shared" si="27"/>
        <v>1125</v>
      </c>
      <c r="J162" s="1">
        <v>450</v>
      </c>
      <c r="K162" s="1">
        <v>450</v>
      </c>
      <c r="L162" s="1">
        <v>375</v>
      </c>
      <c r="M162" s="59">
        <f t="shared" si="28"/>
        <v>1275</v>
      </c>
      <c r="N162" s="1">
        <v>300</v>
      </c>
      <c r="O162" s="1">
        <v>300</v>
      </c>
      <c r="P162" s="1"/>
      <c r="Q162" s="59">
        <f t="shared" si="29"/>
        <v>600</v>
      </c>
      <c r="R162" s="59">
        <f t="shared" si="30"/>
        <v>3600</v>
      </c>
      <c r="T162" s="4" t="s">
        <v>121</v>
      </c>
    </row>
    <row r="163" spans="1:20" ht="15.75" customHeight="1" x14ac:dyDescent="0.3">
      <c r="A163" s="74" t="s">
        <v>149</v>
      </c>
      <c r="B163" s="1">
        <v>498</v>
      </c>
      <c r="C163" s="1">
        <v>427</v>
      </c>
      <c r="D163" s="1">
        <v>512</v>
      </c>
      <c r="E163" s="59">
        <f t="shared" si="33"/>
        <v>1437</v>
      </c>
      <c r="F163" s="1">
        <v>517</v>
      </c>
      <c r="G163" s="1">
        <v>573</v>
      </c>
      <c r="H163" s="1">
        <v>545</v>
      </c>
      <c r="I163" s="59">
        <f t="shared" si="27"/>
        <v>1635</v>
      </c>
      <c r="J163" s="1">
        <v>494</v>
      </c>
      <c r="K163" s="1">
        <v>494</v>
      </c>
      <c r="L163" s="1">
        <v>598</v>
      </c>
      <c r="M163" s="59">
        <f t="shared" si="28"/>
        <v>1586</v>
      </c>
      <c r="N163" s="1">
        <v>377</v>
      </c>
      <c r="O163" s="1">
        <v>96</v>
      </c>
      <c r="P163" s="1">
        <v>178</v>
      </c>
      <c r="Q163" s="59">
        <f t="shared" si="29"/>
        <v>651</v>
      </c>
      <c r="R163" s="59">
        <f t="shared" si="30"/>
        <v>5309</v>
      </c>
      <c r="T163" s="4" t="s">
        <v>150</v>
      </c>
    </row>
    <row r="164" spans="1:20" ht="15.75" customHeight="1" x14ac:dyDescent="0.3">
      <c r="A164" s="74" t="s">
        <v>151</v>
      </c>
      <c r="B164" s="1">
        <v>14</v>
      </c>
      <c r="C164" s="1">
        <v>18</v>
      </c>
      <c r="D164" s="1">
        <v>39</v>
      </c>
      <c r="E164" s="59">
        <f t="shared" si="33"/>
        <v>71</v>
      </c>
      <c r="F164" s="1">
        <v>64</v>
      </c>
      <c r="G164" s="1">
        <v>83</v>
      </c>
      <c r="H164" s="1">
        <v>93</v>
      </c>
      <c r="I164" s="59">
        <f t="shared" si="27"/>
        <v>240</v>
      </c>
      <c r="J164" s="1">
        <v>82</v>
      </c>
      <c r="K164" s="1">
        <v>73</v>
      </c>
      <c r="L164" s="1">
        <v>56</v>
      </c>
      <c r="M164" s="59">
        <f t="shared" si="28"/>
        <v>211</v>
      </c>
      <c r="N164" s="1">
        <v>58</v>
      </c>
      <c r="O164" s="1">
        <v>27</v>
      </c>
      <c r="P164" s="1">
        <v>13</v>
      </c>
      <c r="Q164" s="59">
        <f t="shared" si="29"/>
        <v>98</v>
      </c>
      <c r="R164" s="59">
        <f t="shared" si="30"/>
        <v>620</v>
      </c>
    </row>
    <row r="165" spans="1:20" ht="15.75" customHeight="1" x14ac:dyDescent="0.3">
      <c r="A165" s="91" t="s">
        <v>152</v>
      </c>
      <c r="B165" s="1"/>
      <c r="C165" s="1"/>
      <c r="D165" s="1"/>
      <c r="E165" s="59">
        <f t="shared" si="33"/>
        <v>0</v>
      </c>
      <c r="F165" s="1"/>
      <c r="G165" s="1"/>
      <c r="H165" s="1"/>
      <c r="I165" s="59">
        <f t="shared" si="27"/>
        <v>0</v>
      </c>
      <c r="J165" s="1">
        <v>85</v>
      </c>
      <c r="K165" s="1">
        <v>85</v>
      </c>
      <c r="L165" s="1">
        <v>85</v>
      </c>
      <c r="M165" s="59">
        <f t="shared" si="28"/>
        <v>255</v>
      </c>
      <c r="N165" s="1">
        <v>85</v>
      </c>
      <c r="O165" s="1">
        <v>84</v>
      </c>
      <c r="P165" s="1">
        <v>84</v>
      </c>
      <c r="Q165" s="59">
        <f t="shared" si="29"/>
        <v>253</v>
      </c>
      <c r="R165" s="59">
        <f t="shared" si="30"/>
        <v>508</v>
      </c>
      <c r="T165" s="4" t="s">
        <v>134</v>
      </c>
    </row>
    <row r="166" spans="1:20" ht="15.75" customHeight="1" x14ac:dyDescent="0.3">
      <c r="A166" s="76" t="s">
        <v>153</v>
      </c>
      <c r="B166" s="1"/>
      <c r="C166" s="1"/>
      <c r="D166" s="1"/>
      <c r="E166" s="59">
        <f t="shared" ref="E166" si="35">SUM(B166:D166)</f>
        <v>0</v>
      </c>
      <c r="F166" s="1"/>
      <c r="G166" s="1"/>
      <c r="H166" s="1"/>
      <c r="I166" s="59">
        <f t="shared" si="27"/>
        <v>0</v>
      </c>
      <c r="J166" s="1"/>
      <c r="K166" s="1"/>
      <c r="L166" s="1"/>
      <c r="M166" s="59">
        <f t="shared" si="28"/>
        <v>0</v>
      </c>
      <c r="N166" s="1"/>
      <c r="O166" s="1"/>
      <c r="P166" s="1"/>
      <c r="Q166" s="59">
        <f t="shared" si="29"/>
        <v>0</v>
      </c>
      <c r="R166" s="59">
        <f t="shared" si="30"/>
        <v>0</v>
      </c>
    </row>
    <row r="167" spans="1:20" ht="15.75" customHeight="1" x14ac:dyDescent="0.3">
      <c r="A167" s="76" t="s">
        <v>154</v>
      </c>
      <c r="B167" s="1"/>
      <c r="C167" s="1"/>
      <c r="D167" s="1"/>
      <c r="E167" s="59">
        <f t="shared" si="33"/>
        <v>0</v>
      </c>
      <c r="F167" s="1"/>
      <c r="G167" s="1"/>
      <c r="H167" s="1"/>
      <c r="I167" s="59">
        <f t="shared" si="27"/>
        <v>0</v>
      </c>
      <c r="J167" s="1"/>
      <c r="K167" s="1"/>
      <c r="L167" s="1"/>
      <c r="M167" s="59">
        <f t="shared" si="28"/>
        <v>0</v>
      </c>
      <c r="N167" s="1"/>
      <c r="O167" s="1"/>
      <c r="P167" s="1"/>
      <c r="Q167" s="59">
        <f t="shared" si="29"/>
        <v>0</v>
      </c>
      <c r="R167" s="59">
        <f t="shared" si="30"/>
        <v>0</v>
      </c>
    </row>
    <row r="168" spans="1:20" ht="15.75" customHeight="1" x14ac:dyDescent="0.3">
      <c r="A168" s="74" t="s">
        <v>155</v>
      </c>
      <c r="B168" s="1"/>
      <c r="C168" s="1"/>
      <c r="D168" s="1"/>
      <c r="E168" s="59">
        <f t="shared" si="33"/>
        <v>0</v>
      </c>
      <c r="F168" s="1"/>
      <c r="G168" s="1"/>
      <c r="H168" s="1"/>
      <c r="I168" s="59">
        <f t="shared" si="27"/>
        <v>0</v>
      </c>
      <c r="J168" s="1"/>
      <c r="K168" s="1"/>
      <c r="L168" s="1"/>
      <c r="M168" s="59">
        <f t="shared" si="28"/>
        <v>0</v>
      </c>
      <c r="N168" s="1"/>
      <c r="O168" s="1"/>
      <c r="P168" s="1"/>
      <c r="Q168" s="59">
        <f t="shared" si="29"/>
        <v>0</v>
      </c>
      <c r="R168" s="59">
        <f t="shared" si="30"/>
        <v>0</v>
      </c>
      <c r="S168" s="4" t="s">
        <v>136</v>
      </c>
      <c r="T168" s="4" t="s">
        <v>137</v>
      </c>
    </row>
    <row r="169" spans="1:20" s="98" customFormat="1" ht="15.75" customHeight="1" x14ac:dyDescent="0.3">
      <c r="A169" s="96" t="s">
        <v>156</v>
      </c>
      <c r="B169" s="92"/>
      <c r="C169" s="92"/>
      <c r="D169" s="92"/>
      <c r="E169" s="97">
        <f t="shared" si="33"/>
        <v>0</v>
      </c>
      <c r="F169" s="92"/>
      <c r="G169" s="92"/>
      <c r="H169" s="92"/>
      <c r="I169" s="97">
        <f t="shared" si="27"/>
        <v>0</v>
      </c>
      <c r="J169" s="92"/>
      <c r="K169" s="92"/>
      <c r="L169" s="92"/>
      <c r="M169" s="97">
        <f t="shared" si="28"/>
        <v>0</v>
      </c>
      <c r="N169" s="92"/>
      <c r="O169" s="92"/>
      <c r="P169" s="92"/>
      <c r="Q169" s="97">
        <f t="shared" si="29"/>
        <v>0</v>
      </c>
      <c r="R169" s="97">
        <f t="shared" si="30"/>
        <v>0</v>
      </c>
    </row>
    <row r="170" spans="1:20" ht="15.75" customHeight="1" x14ac:dyDescent="0.3">
      <c r="A170" s="74" t="s">
        <v>157</v>
      </c>
      <c r="B170" s="1"/>
      <c r="C170" s="1"/>
      <c r="D170" s="1">
        <v>654</v>
      </c>
      <c r="E170" s="59">
        <f t="shared" si="33"/>
        <v>654</v>
      </c>
      <c r="F170" s="1">
        <v>2000</v>
      </c>
      <c r="G170" s="1">
        <v>2000</v>
      </c>
      <c r="H170" s="1">
        <v>2082</v>
      </c>
      <c r="I170" s="59">
        <f t="shared" si="27"/>
        <v>6082</v>
      </c>
      <c r="J170" s="1">
        <v>1900</v>
      </c>
      <c r="K170" s="1">
        <v>1900</v>
      </c>
      <c r="L170" s="1">
        <v>1900</v>
      </c>
      <c r="M170" s="59">
        <f t="shared" si="28"/>
        <v>5700</v>
      </c>
      <c r="N170" s="1">
        <v>1100</v>
      </c>
      <c r="O170" s="1">
        <v>1600</v>
      </c>
      <c r="P170" s="1">
        <v>1600</v>
      </c>
      <c r="Q170" s="59">
        <f t="shared" si="29"/>
        <v>4300</v>
      </c>
      <c r="R170" s="59">
        <f>+E170+I170+M170+Q170</f>
        <v>16736</v>
      </c>
      <c r="T170" s="4" t="s">
        <v>158</v>
      </c>
    </row>
    <row r="171" spans="1:20" ht="15.75" customHeight="1" x14ac:dyDescent="0.3">
      <c r="A171" s="91" t="s">
        <v>159</v>
      </c>
      <c r="B171" s="1"/>
      <c r="C171" s="1"/>
      <c r="D171" s="1"/>
      <c r="E171" s="59">
        <f t="shared" si="33"/>
        <v>0</v>
      </c>
      <c r="F171" s="1"/>
      <c r="G171" s="1"/>
      <c r="H171" s="1"/>
      <c r="I171" s="59">
        <f t="shared" si="27"/>
        <v>0</v>
      </c>
      <c r="J171" s="1"/>
      <c r="K171" s="1"/>
      <c r="L171" s="1">
        <v>500</v>
      </c>
      <c r="M171" s="59">
        <f t="shared" si="28"/>
        <v>500</v>
      </c>
      <c r="N171" s="1"/>
      <c r="O171" s="1"/>
      <c r="P171" s="1"/>
      <c r="Q171" s="59">
        <f t="shared" si="29"/>
        <v>0</v>
      </c>
      <c r="R171" s="59">
        <f t="shared" ref="R171:R177" si="36">+E171+I171+M171+Q171</f>
        <v>500</v>
      </c>
      <c r="T171" s="4" t="s">
        <v>121</v>
      </c>
    </row>
    <row r="172" spans="1:20" ht="15.75" customHeight="1" x14ac:dyDescent="0.3">
      <c r="A172" s="91" t="s">
        <v>160</v>
      </c>
      <c r="B172" s="1"/>
      <c r="C172" s="1"/>
      <c r="D172" s="1"/>
      <c r="E172" s="59">
        <f t="shared" si="33"/>
        <v>0</v>
      </c>
      <c r="F172" s="1"/>
      <c r="G172" s="1"/>
      <c r="H172" s="1"/>
      <c r="I172" s="59">
        <f t="shared" si="27"/>
        <v>0</v>
      </c>
      <c r="J172" s="1"/>
      <c r="K172" s="1"/>
      <c r="L172" s="1"/>
      <c r="M172" s="59">
        <f t="shared" si="28"/>
        <v>0</v>
      </c>
      <c r="N172" s="1"/>
      <c r="O172" s="1"/>
      <c r="P172" s="1"/>
      <c r="Q172" s="59">
        <f t="shared" si="29"/>
        <v>0</v>
      </c>
      <c r="R172" s="59">
        <f t="shared" si="36"/>
        <v>0</v>
      </c>
      <c r="T172" s="4" t="s">
        <v>134</v>
      </c>
    </row>
    <row r="173" spans="1:20" ht="15.75" customHeight="1" x14ac:dyDescent="0.3">
      <c r="A173" s="74" t="s">
        <v>161</v>
      </c>
      <c r="B173" s="1"/>
      <c r="C173" s="1"/>
      <c r="D173" s="1"/>
      <c r="E173" s="59">
        <f t="shared" si="33"/>
        <v>0</v>
      </c>
      <c r="F173" s="1"/>
      <c r="G173" s="1"/>
      <c r="H173" s="1"/>
      <c r="I173" s="59">
        <f t="shared" si="27"/>
        <v>0</v>
      </c>
      <c r="J173" s="1"/>
      <c r="K173" s="1"/>
      <c r="L173" s="1"/>
      <c r="M173" s="59">
        <f t="shared" si="28"/>
        <v>0</v>
      </c>
      <c r="N173" s="1"/>
      <c r="O173" s="1"/>
      <c r="P173" s="1"/>
      <c r="Q173" s="59">
        <f t="shared" si="29"/>
        <v>0</v>
      </c>
      <c r="R173" s="59">
        <f t="shared" si="36"/>
        <v>0</v>
      </c>
      <c r="S173" s="94" t="s">
        <v>136</v>
      </c>
      <c r="T173" s="4" t="s">
        <v>162</v>
      </c>
    </row>
    <row r="174" spans="1:20" ht="15.75" customHeight="1" x14ac:dyDescent="0.3">
      <c r="A174" s="74" t="s">
        <v>163</v>
      </c>
      <c r="B174" s="1"/>
      <c r="C174" s="1"/>
      <c r="D174" s="1"/>
      <c r="E174" s="59">
        <f t="shared" si="33"/>
        <v>0</v>
      </c>
      <c r="F174" s="1"/>
      <c r="G174" s="1">
        <v>173</v>
      </c>
      <c r="H174" s="1">
        <v>2391</v>
      </c>
      <c r="I174" s="59">
        <f t="shared" si="27"/>
        <v>2564</v>
      </c>
      <c r="J174" s="1">
        <v>2396</v>
      </c>
      <c r="K174" s="1">
        <v>2391</v>
      </c>
      <c r="L174" s="1">
        <f>249+2391</f>
        <v>2640</v>
      </c>
      <c r="M174" s="59">
        <f t="shared" si="28"/>
        <v>7427</v>
      </c>
      <c r="N174" s="1">
        <v>251</v>
      </c>
      <c r="O174" s="1">
        <v>249</v>
      </c>
      <c r="P174" s="1">
        <v>251</v>
      </c>
      <c r="Q174" s="59">
        <f t="shared" ref="Q174" si="37">SUM(N174:P174)</f>
        <v>751</v>
      </c>
      <c r="R174" s="59">
        <f t="shared" si="36"/>
        <v>10742</v>
      </c>
      <c r="S174" s="94"/>
    </row>
    <row r="175" spans="1:20" ht="15.75" customHeight="1" x14ac:dyDescent="0.3">
      <c r="A175" s="91" t="s">
        <v>164</v>
      </c>
      <c r="B175" s="1"/>
      <c r="C175" s="1"/>
      <c r="D175" s="1"/>
      <c r="E175" s="59">
        <f t="shared" si="33"/>
        <v>0</v>
      </c>
      <c r="F175" s="1"/>
      <c r="G175" s="1"/>
      <c r="H175" s="1"/>
      <c r="I175" s="59">
        <f t="shared" si="27"/>
        <v>0</v>
      </c>
      <c r="J175" s="1"/>
      <c r="K175" s="1"/>
      <c r="L175" s="1"/>
      <c r="M175" s="59">
        <f t="shared" si="28"/>
        <v>0</v>
      </c>
      <c r="N175" s="1"/>
      <c r="O175" s="1"/>
      <c r="P175" s="1"/>
      <c r="Q175" s="59">
        <f t="shared" si="29"/>
        <v>0</v>
      </c>
      <c r="R175" s="59">
        <f t="shared" si="36"/>
        <v>0</v>
      </c>
      <c r="T175" s="4" t="s">
        <v>132</v>
      </c>
    </row>
    <row r="176" spans="1:20" ht="15.75" customHeight="1" x14ac:dyDescent="0.3">
      <c r="A176" s="91" t="s">
        <v>165</v>
      </c>
      <c r="B176" s="1"/>
      <c r="C176" s="1"/>
      <c r="D176" s="1"/>
      <c r="E176" s="59">
        <f t="shared" si="33"/>
        <v>0</v>
      </c>
      <c r="F176" s="1"/>
      <c r="G176" s="1"/>
      <c r="H176" s="1"/>
      <c r="I176" s="59">
        <f t="shared" si="27"/>
        <v>0</v>
      </c>
      <c r="J176" s="1"/>
      <c r="K176" s="1"/>
      <c r="L176" s="1"/>
      <c r="M176" s="59">
        <f t="shared" si="28"/>
        <v>0</v>
      </c>
      <c r="N176" s="1"/>
      <c r="O176" s="1"/>
      <c r="P176" s="1"/>
      <c r="Q176" s="59">
        <f t="shared" si="29"/>
        <v>0</v>
      </c>
      <c r="R176" s="59">
        <f t="shared" si="36"/>
        <v>0</v>
      </c>
      <c r="T176" s="4" t="s">
        <v>134</v>
      </c>
    </row>
    <row r="177" spans="1:21" ht="15.75" customHeight="1" x14ac:dyDescent="0.3">
      <c r="A177" s="74" t="s">
        <v>166</v>
      </c>
      <c r="B177" s="1">
        <v>25</v>
      </c>
      <c r="C177" s="1">
        <v>25</v>
      </c>
      <c r="D177" s="1">
        <v>50</v>
      </c>
      <c r="E177" s="59">
        <f t="shared" si="33"/>
        <v>100</v>
      </c>
      <c r="F177" s="1">
        <v>70</v>
      </c>
      <c r="G177" s="1">
        <v>70</v>
      </c>
      <c r="H177" s="1">
        <v>70</v>
      </c>
      <c r="I177" s="59">
        <f t="shared" si="27"/>
        <v>210</v>
      </c>
      <c r="J177" s="1">
        <v>70</v>
      </c>
      <c r="K177" s="1">
        <v>70</v>
      </c>
      <c r="L177" s="1">
        <v>70</v>
      </c>
      <c r="M177" s="59">
        <f t="shared" si="28"/>
        <v>210</v>
      </c>
      <c r="N177" s="1">
        <v>75</v>
      </c>
      <c r="O177" s="1">
        <v>35</v>
      </c>
      <c r="P177" s="1">
        <v>35</v>
      </c>
      <c r="Q177" s="59">
        <f t="shared" si="29"/>
        <v>145</v>
      </c>
      <c r="R177" s="59">
        <f t="shared" si="36"/>
        <v>665</v>
      </c>
      <c r="T177" s="4" t="s">
        <v>127</v>
      </c>
    </row>
    <row r="178" spans="1:21" ht="15.75" customHeight="1" x14ac:dyDescent="0.3">
      <c r="A178" s="91" t="s">
        <v>167</v>
      </c>
      <c r="B178" s="1">
        <v>0</v>
      </c>
      <c r="C178" s="1">
        <v>0</v>
      </c>
      <c r="D178" s="1">
        <v>0</v>
      </c>
      <c r="E178" s="59">
        <f t="shared" si="33"/>
        <v>0</v>
      </c>
      <c r="F178" s="1">
        <v>0</v>
      </c>
      <c r="G178" s="1">
        <v>0</v>
      </c>
      <c r="H178" s="1">
        <v>1165</v>
      </c>
      <c r="I178" s="59">
        <f t="shared" si="27"/>
        <v>1165</v>
      </c>
      <c r="J178" s="1">
        <v>1360</v>
      </c>
      <c r="K178" s="1">
        <v>1360</v>
      </c>
      <c r="L178" s="1">
        <v>1360</v>
      </c>
      <c r="M178" s="59">
        <f t="shared" si="28"/>
        <v>4080</v>
      </c>
      <c r="N178" s="1">
        <v>1360</v>
      </c>
      <c r="O178" s="1">
        <v>1360</v>
      </c>
      <c r="P178" s="1">
        <v>1360</v>
      </c>
      <c r="Q178" s="59">
        <f t="shared" si="29"/>
        <v>4080</v>
      </c>
      <c r="R178" s="59">
        <f t="shared" si="30"/>
        <v>9325</v>
      </c>
      <c r="T178" s="4" t="s">
        <v>132</v>
      </c>
    </row>
    <row r="179" spans="1:21" ht="15.75" customHeight="1" x14ac:dyDescent="0.3">
      <c r="A179" s="91" t="s">
        <v>168</v>
      </c>
      <c r="B179" s="1">
        <v>292</v>
      </c>
      <c r="C179" s="1">
        <v>292</v>
      </c>
      <c r="D179" s="1">
        <v>292</v>
      </c>
      <c r="E179" s="59">
        <f t="shared" si="33"/>
        <v>876</v>
      </c>
      <c r="F179" s="1">
        <v>292</v>
      </c>
      <c r="G179" s="1">
        <v>292</v>
      </c>
      <c r="H179" s="1">
        <v>292</v>
      </c>
      <c r="I179" s="59">
        <f t="shared" si="27"/>
        <v>876</v>
      </c>
      <c r="J179" s="1">
        <v>292</v>
      </c>
      <c r="K179" s="1">
        <v>292</v>
      </c>
      <c r="L179" s="1">
        <v>291</v>
      </c>
      <c r="M179" s="59">
        <f t="shared" si="28"/>
        <v>875</v>
      </c>
      <c r="N179" s="1">
        <v>291</v>
      </c>
      <c r="O179" s="1">
        <v>291</v>
      </c>
      <c r="P179" s="1">
        <v>291</v>
      </c>
      <c r="Q179" s="59">
        <f t="shared" si="29"/>
        <v>873</v>
      </c>
      <c r="R179" s="59">
        <f t="shared" si="30"/>
        <v>3500</v>
      </c>
      <c r="T179" s="4" t="s">
        <v>134</v>
      </c>
    </row>
    <row r="180" spans="1:21" ht="15.75" customHeight="1" x14ac:dyDescent="0.3">
      <c r="A180" s="91" t="s">
        <v>169</v>
      </c>
      <c r="B180" s="1">
        <v>22</v>
      </c>
      <c r="C180" s="1">
        <v>22</v>
      </c>
      <c r="D180" s="1">
        <v>30</v>
      </c>
      <c r="E180" s="59">
        <f t="shared" si="33"/>
        <v>74</v>
      </c>
      <c r="F180" s="1">
        <v>48</v>
      </c>
      <c r="G180" s="1">
        <v>71</v>
      </c>
      <c r="H180" s="1">
        <v>85</v>
      </c>
      <c r="I180" s="59">
        <f>SUM(F180:H180)</f>
        <v>204</v>
      </c>
      <c r="J180" s="1">
        <v>81</v>
      </c>
      <c r="K180" s="1">
        <v>71</v>
      </c>
      <c r="L180" s="1">
        <v>64</v>
      </c>
      <c r="M180" s="59">
        <f t="shared" si="28"/>
        <v>216</v>
      </c>
      <c r="N180" s="1">
        <v>62</v>
      </c>
      <c r="O180" s="1">
        <v>33</v>
      </c>
      <c r="P180" s="1">
        <v>27</v>
      </c>
      <c r="Q180" s="59">
        <f t="shared" si="29"/>
        <v>122</v>
      </c>
      <c r="R180" s="59">
        <f t="shared" si="30"/>
        <v>616</v>
      </c>
      <c r="T180" s="4" t="s">
        <v>170</v>
      </c>
    </row>
    <row r="181" spans="1:21" ht="15.75" customHeight="1" x14ac:dyDescent="0.3">
      <c r="A181" s="91" t="s">
        <v>171</v>
      </c>
      <c r="B181" s="1">
        <v>1</v>
      </c>
      <c r="C181" s="1">
        <v>1</v>
      </c>
      <c r="D181" s="1">
        <v>2</v>
      </c>
      <c r="E181" s="59">
        <f t="shared" si="33"/>
        <v>4</v>
      </c>
      <c r="F181" s="1">
        <v>20</v>
      </c>
      <c r="G181" s="1">
        <v>60</v>
      </c>
      <c r="H181" s="1">
        <v>107</v>
      </c>
      <c r="I181" s="59">
        <f t="shared" si="27"/>
        <v>187</v>
      </c>
      <c r="J181" s="1">
        <v>103</v>
      </c>
      <c r="K181" s="1">
        <v>78</v>
      </c>
      <c r="L181" s="1">
        <v>57</v>
      </c>
      <c r="M181" s="59">
        <f t="shared" si="28"/>
        <v>238</v>
      </c>
      <c r="N181" s="1">
        <v>66</v>
      </c>
      <c r="O181" s="1">
        <v>26</v>
      </c>
      <c r="P181" s="1">
        <v>0</v>
      </c>
      <c r="Q181" s="59">
        <f t="shared" si="29"/>
        <v>92</v>
      </c>
      <c r="R181" s="59">
        <f t="shared" si="30"/>
        <v>521</v>
      </c>
      <c r="T181" s="4" t="s">
        <v>127</v>
      </c>
    </row>
    <row r="182" spans="1:21" ht="15.75" customHeight="1" x14ac:dyDescent="0.3">
      <c r="A182" s="91" t="s">
        <v>172</v>
      </c>
      <c r="B182" s="1"/>
      <c r="C182" s="1"/>
      <c r="D182" s="1">
        <v>1</v>
      </c>
      <c r="E182" s="59">
        <f t="shared" si="33"/>
        <v>1</v>
      </c>
      <c r="F182" s="1">
        <v>3</v>
      </c>
      <c r="G182" s="1">
        <v>5</v>
      </c>
      <c r="H182" s="1">
        <v>12</v>
      </c>
      <c r="I182" s="59">
        <f t="shared" si="27"/>
        <v>20</v>
      </c>
      <c r="J182" s="1">
        <v>15</v>
      </c>
      <c r="K182" s="1">
        <v>20</v>
      </c>
      <c r="L182" s="1">
        <v>25</v>
      </c>
      <c r="M182" s="59">
        <f t="shared" si="28"/>
        <v>60</v>
      </c>
      <c r="N182" s="1">
        <v>25</v>
      </c>
      <c r="O182" s="1">
        <v>5</v>
      </c>
      <c r="P182" s="1">
        <v>1</v>
      </c>
      <c r="Q182" s="59">
        <f t="shared" si="29"/>
        <v>31</v>
      </c>
      <c r="R182" s="59">
        <f t="shared" si="30"/>
        <v>112</v>
      </c>
      <c r="S182" s="50"/>
      <c r="T182" s="4" t="s">
        <v>121</v>
      </c>
    </row>
    <row r="183" spans="1:21" ht="15.75" customHeight="1" x14ac:dyDescent="0.3">
      <c r="A183" s="74" t="s">
        <v>173</v>
      </c>
      <c r="B183" s="1">
        <v>801</v>
      </c>
      <c r="C183" s="1">
        <v>745</v>
      </c>
      <c r="D183" s="1">
        <v>833</v>
      </c>
      <c r="E183" s="59">
        <f t="shared" si="33"/>
        <v>2379</v>
      </c>
      <c r="F183" s="1">
        <v>918</v>
      </c>
      <c r="G183" s="1">
        <v>1044</v>
      </c>
      <c r="H183" s="1">
        <v>1051</v>
      </c>
      <c r="I183" s="59">
        <f t="shared" si="27"/>
        <v>3013</v>
      </c>
      <c r="J183" s="1">
        <v>1090</v>
      </c>
      <c r="K183" s="1">
        <v>1050</v>
      </c>
      <c r="L183" s="1">
        <v>996</v>
      </c>
      <c r="M183" s="59">
        <f t="shared" si="28"/>
        <v>3136</v>
      </c>
      <c r="N183" s="1">
        <v>980</v>
      </c>
      <c r="O183" s="1">
        <v>891</v>
      </c>
      <c r="P183" s="1">
        <v>763</v>
      </c>
      <c r="Q183" s="59">
        <f t="shared" si="29"/>
        <v>2634</v>
      </c>
      <c r="R183" s="59">
        <f t="shared" si="30"/>
        <v>11162</v>
      </c>
      <c r="T183" s="4" t="s">
        <v>158</v>
      </c>
    </row>
    <row r="184" spans="1:21" ht="15.75" customHeight="1" x14ac:dyDescent="0.3">
      <c r="A184" s="74" t="s">
        <v>174</v>
      </c>
      <c r="B184" s="1"/>
      <c r="C184" s="1"/>
      <c r="D184" s="1"/>
      <c r="E184" s="59">
        <f t="shared" si="33"/>
        <v>0</v>
      </c>
      <c r="F184" s="1"/>
      <c r="G184" s="1"/>
      <c r="H184" s="1"/>
      <c r="I184" s="59">
        <f t="shared" si="27"/>
        <v>0</v>
      </c>
      <c r="J184" s="1"/>
      <c r="K184" s="1"/>
      <c r="L184" s="1"/>
      <c r="M184" s="59">
        <f t="shared" si="28"/>
        <v>0</v>
      </c>
      <c r="N184" s="1"/>
      <c r="O184" s="1"/>
      <c r="P184" s="1"/>
      <c r="Q184" s="59">
        <f t="shared" si="29"/>
        <v>0</v>
      </c>
      <c r="R184" s="59">
        <f t="shared" si="30"/>
        <v>0</v>
      </c>
      <c r="S184" s="94" t="s">
        <v>136</v>
      </c>
      <c r="T184" s="4" t="s">
        <v>137</v>
      </c>
    </row>
    <row r="185" spans="1:21" ht="15.75" customHeight="1" x14ac:dyDescent="0.3">
      <c r="A185" s="74" t="s">
        <v>175</v>
      </c>
      <c r="B185" s="1"/>
      <c r="C185" s="1"/>
      <c r="D185" s="1"/>
      <c r="E185" s="59">
        <f t="shared" si="33"/>
        <v>0</v>
      </c>
      <c r="F185" s="1"/>
      <c r="G185" s="1"/>
      <c r="H185" s="1"/>
      <c r="I185" s="59">
        <f t="shared" si="27"/>
        <v>0</v>
      </c>
      <c r="J185" s="1"/>
      <c r="K185" s="1"/>
      <c r="L185" s="1"/>
      <c r="M185" s="59">
        <f t="shared" si="28"/>
        <v>0</v>
      </c>
      <c r="N185" s="1"/>
      <c r="O185" s="1"/>
      <c r="P185" s="1"/>
      <c r="Q185" s="59">
        <f t="shared" si="29"/>
        <v>0</v>
      </c>
      <c r="R185" s="59">
        <f t="shared" si="30"/>
        <v>0</v>
      </c>
      <c r="T185" s="4" t="s">
        <v>137</v>
      </c>
    </row>
    <row r="186" spans="1:21" ht="15.75" customHeight="1" x14ac:dyDescent="0.3">
      <c r="A186" s="74" t="s">
        <v>176</v>
      </c>
      <c r="B186" s="1">
        <f>9514+1+2521+2+26</f>
        <v>12064</v>
      </c>
      <c r="C186" s="1">
        <f>6296+1+2277+2+28</f>
        <v>8604</v>
      </c>
      <c r="D186" s="1">
        <f>6281+1+2521+2+45</f>
        <v>8850</v>
      </c>
      <c r="E186" s="59">
        <f t="shared" si="33"/>
        <v>29518</v>
      </c>
      <c r="F186" s="1">
        <f>6143+2440+1+2+83</f>
        <v>8669</v>
      </c>
      <c r="G186" s="1">
        <f>6757+1+2521+2+105</f>
        <v>9386</v>
      </c>
      <c r="H186" s="1">
        <f>8445+1+2440+2+117</f>
        <v>11005</v>
      </c>
      <c r="I186" s="59">
        <f t="shared" si="27"/>
        <v>29060</v>
      </c>
      <c r="J186" s="1">
        <f>10464+2521+1+3+94</f>
        <v>13083</v>
      </c>
      <c r="K186" s="1">
        <f>9100+1+2521</f>
        <v>11622</v>
      </c>
      <c r="L186" s="1">
        <f>8445+1+2440</f>
        <v>10886</v>
      </c>
      <c r="M186" s="59">
        <f t="shared" si="28"/>
        <v>35591</v>
      </c>
      <c r="N186" s="1">
        <f>8660+1+2521</f>
        <v>11182</v>
      </c>
      <c r="O186" s="1">
        <f>8445+1+2311</f>
        <v>10757</v>
      </c>
      <c r="P186" s="1">
        <f>6608+1</f>
        <v>6609</v>
      </c>
      <c r="Q186" s="59">
        <f t="shared" si="29"/>
        <v>28548</v>
      </c>
      <c r="R186" s="59">
        <f t="shared" si="30"/>
        <v>122717</v>
      </c>
      <c r="S186" s="4" t="s">
        <v>136</v>
      </c>
      <c r="U186" s="4">
        <f>122204-R186</f>
        <v>-513</v>
      </c>
    </row>
    <row r="187" spans="1:21" ht="15.75" customHeight="1" x14ac:dyDescent="0.3">
      <c r="A187" s="74" t="s">
        <v>177</v>
      </c>
      <c r="B187" s="1">
        <v>104</v>
      </c>
      <c r="C187" s="1">
        <v>311</v>
      </c>
      <c r="D187" s="1">
        <v>516</v>
      </c>
      <c r="E187" s="59">
        <f t="shared" si="33"/>
        <v>931</v>
      </c>
      <c r="F187" s="1">
        <v>575</v>
      </c>
      <c r="G187" s="1">
        <f>492+225</f>
        <v>717</v>
      </c>
      <c r="H187" s="1">
        <v>458</v>
      </c>
      <c r="I187" s="59">
        <f t="shared" si="27"/>
        <v>1750</v>
      </c>
      <c r="J187" s="1">
        <v>435</v>
      </c>
      <c r="K187" s="1"/>
      <c r="L187" s="1"/>
      <c r="M187" s="59">
        <f t="shared" si="28"/>
        <v>435</v>
      </c>
      <c r="N187" s="1"/>
      <c r="O187" s="1"/>
      <c r="P187" s="1"/>
      <c r="Q187" s="59">
        <f t="shared" si="29"/>
        <v>0</v>
      </c>
      <c r="R187" s="59">
        <f>+E187+I187+M187+Q187</f>
        <v>3116</v>
      </c>
      <c r="S187" s="94"/>
      <c r="T187" s="4" t="s">
        <v>137</v>
      </c>
    </row>
    <row r="188" spans="1:21" ht="15.75" customHeight="1" x14ac:dyDescent="0.3">
      <c r="A188" s="74" t="s">
        <v>178</v>
      </c>
      <c r="B188" s="1">
        <v>45</v>
      </c>
      <c r="C188" s="1">
        <v>50</v>
      </c>
      <c r="D188" s="1">
        <v>60</v>
      </c>
      <c r="E188" s="59">
        <f t="shared" si="33"/>
        <v>155</v>
      </c>
      <c r="F188" s="1">
        <v>65</v>
      </c>
      <c r="G188" s="1">
        <v>65</v>
      </c>
      <c r="H188" s="1">
        <v>65</v>
      </c>
      <c r="I188" s="59">
        <f t="shared" si="27"/>
        <v>195</v>
      </c>
      <c r="J188" s="1">
        <v>75</v>
      </c>
      <c r="K188" s="1">
        <v>75</v>
      </c>
      <c r="L188" s="1">
        <v>60</v>
      </c>
      <c r="M188" s="59">
        <f t="shared" si="28"/>
        <v>210</v>
      </c>
      <c r="N188" s="1">
        <v>60</v>
      </c>
      <c r="O188" s="1">
        <v>50</v>
      </c>
      <c r="P188" s="1">
        <v>50</v>
      </c>
      <c r="Q188" s="59">
        <f t="shared" si="29"/>
        <v>160</v>
      </c>
      <c r="R188" s="59">
        <f t="shared" si="30"/>
        <v>720</v>
      </c>
      <c r="S188" s="4" t="s">
        <v>136</v>
      </c>
      <c r="T188" s="4" t="s">
        <v>137</v>
      </c>
    </row>
    <row r="189" spans="1:21" ht="15.75" customHeight="1" x14ac:dyDescent="0.3">
      <c r="A189" s="91" t="s">
        <v>179</v>
      </c>
      <c r="B189" s="1"/>
      <c r="C189" s="1"/>
      <c r="D189" s="1"/>
      <c r="E189" s="59">
        <f t="shared" si="33"/>
        <v>0</v>
      </c>
      <c r="F189" s="1"/>
      <c r="G189" s="1"/>
      <c r="H189" s="1"/>
      <c r="I189" s="59">
        <f t="shared" si="27"/>
        <v>0</v>
      </c>
      <c r="J189" s="1">
        <v>500</v>
      </c>
      <c r="K189" s="1"/>
      <c r="L189" s="1"/>
      <c r="M189" s="59">
        <f t="shared" si="28"/>
        <v>500</v>
      </c>
      <c r="N189" s="1"/>
      <c r="O189" s="1"/>
      <c r="P189" s="1"/>
      <c r="Q189" s="59">
        <f t="shared" ref="Q189" si="38">SUM(N189:P189)</f>
        <v>0</v>
      </c>
      <c r="R189" s="59">
        <f t="shared" si="30"/>
        <v>500</v>
      </c>
    </row>
    <row r="190" spans="1:21" ht="15.75" customHeight="1" x14ac:dyDescent="0.3">
      <c r="A190" s="74" t="s">
        <v>180</v>
      </c>
      <c r="B190" s="1">
        <v>3283</v>
      </c>
      <c r="C190" s="1"/>
      <c r="D190" s="1"/>
      <c r="E190" s="59">
        <f t="shared" si="33"/>
        <v>3283</v>
      </c>
      <c r="F190" s="1"/>
      <c r="G190" s="1"/>
      <c r="H190" s="1">
        <f>3497+740+120+60</f>
        <v>4417</v>
      </c>
      <c r="I190" s="59">
        <f t="shared" si="27"/>
        <v>4417</v>
      </c>
      <c r="J190" s="1">
        <f>5900+670+120+50</f>
        <v>6740</v>
      </c>
      <c r="K190" s="1">
        <f>5870+380+120+40</f>
        <v>6410</v>
      </c>
      <c r="L190" s="1">
        <f>6040+370+100+30</f>
        <v>6540</v>
      </c>
      <c r="M190" s="59">
        <f t="shared" si="28"/>
        <v>19690</v>
      </c>
      <c r="N190" s="1">
        <f>6330+190+110+50</f>
        <v>6680</v>
      </c>
      <c r="O190" s="1">
        <f>5290+80+30</f>
        <v>5400</v>
      </c>
      <c r="P190" s="1">
        <f>5130+80+20</f>
        <v>5230</v>
      </c>
      <c r="Q190" s="59">
        <f t="shared" si="29"/>
        <v>17310</v>
      </c>
      <c r="R190" s="59">
        <f>+E190+I190+M190+Q190</f>
        <v>44700</v>
      </c>
    </row>
    <row r="191" spans="1:21" ht="15.75" customHeight="1" x14ac:dyDescent="0.3">
      <c r="A191" s="74" t="s">
        <v>181</v>
      </c>
      <c r="B191" s="1"/>
      <c r="C191" s="1"/>
      <c r="D191" s="1"/>
      <c r="E191" s="59">
        <f t="shared" ref="E191" si="39">SUM(B191:D191)</f>
        <v>0</v>
      </c>
      <c r="F191" s="1"/>
      <c r="G191" s="1"/>
      <c r="H191" s="1">
        <v>98</v>
      </c>
      <c r="I191" s="59">
        <f t="shared" si="27"/>
        <v>98</v>
      </c>
      <c r="J191" s="1">
        <f>98+500</f>
        <v>598</v>
      </c>
      <c r="K191" s="1">
        <v>98</v>
      </c>
      <c r="L191" s="1">
        <v>98</v>
      </c>
      <c r="M191" s="59">
        <f t="shared" si="28"/>
        <v>794</v>
      </c>
      <c r="N191" s="1">
        <v>98</v>
      </c>
      <c r="O191" s="1">
        <v>98</v>
      </c>
      <c r="P191" s="1">
        <v>98</v>
      </c>
      <c r="Q191" s="59">
        <f t="shared" si="29"/>
        <v>294</v>
      </c>
      <c r="R191" s="59">
        <f t="shared" si="30"/>
        <v>1186</v>
      </c>
      <c r="S191" s="4" t="s">
        <v>136</v>
      </c>
    </row>
    <row r="192" spans="1:21" ht="15.75" customHeight="1" x14ac:dyDescent="0.3">
      <c r="A192" s="91" t="s">
        <v>182</v>
      </c>
      <c r="B192" s="1"/>
      <c r="C192" s="1"/>
      <c r="D192" s="1"/>
      <c r="E192" s="59">
        <f t="shared" ref="E192:E197" si="40">SUM(B192:D192)</f>
        <v>0</v>
      </c>
      <c r="F192" s="1"/>
      <c r="G192" s="1"/>
      <c r="H192" s="1"/>
      <c r="I192" s="59">
        <f t="shared" ref="I192:I197" si="41">SUM(F192:H192)</f>
        <v>0</v>
      </c>
      <c r="J192" s="1"/>
      <c r="K192" s="1"/>
      <c r="L192" s="1"/>
      <c r="M192" s="59">
        <f t="shared" ref="M192:M197" si="42">SUM(J192:L192)</f>
        <v>0</v>
      </c>
      <c r="N192" s="1"/>
      <c r="O192" s="1"/>
      <c r="P192" s="1"/>
      <c r="Q192" s="59">
        <f t="shared" si="29"/>
        <v>0</v>
      </c>
      <c r="R192" s="59">
        <f t="shared" si="30"/>
        <v>0</v>
      </c>
      <c r="T192" s="4" t="s">
        <v>132</v>
      </c>
    </row>
    <row r="193" spans="1:20" ht="15.75" customHeight="1" x14ac:dyDescent="0.3">
      <c r="A193" s="91" t="s">
        <v>183</v>
      </c>
      <c r="B193" s="1"/>
      <c r="C193" s="1"/>
      <c r="D193" s="1"/>
      <c r="E193" s="59">
        <f t="shared" si="40"/>
        <v>0</v>
      </c>
      <c r="F193" s="1"/>
      <c r="G193" s="1"/>
      <c r="H193" s="1"/>
      <c r="I193" s="59">
        <f t="shared" si="41"/>
        <v>0</v>
      </c>
      <c r="J193" s="1"/>
      <c r="K193" s="1"/>
      <c r="L193" s="1"/>
      <c r="M193" s="59">
        <f t="shared" si="42"/>
        <v>0</v>
      </c>
      <c r="N193" s="1"/>
      <c r="O193" s="1"/>
      <c r="P193" s="1"/>
      <c r="Q193" s="59">
        <f t="shared" si="29"/>
        <v>0</v>
      </c>
      <c r="R193" s="59">
        <f>+E193+I193+M193+Q193</f>
        <v>0</v>
      </c>
    </row>
    <row r="194" spans="1:20" ht="15.75" customHeight="1" x14ac:dyDescent="0.3">
      <c r="A194" s="91" t="s">
        <v>184</v>
      </c>
      <c r="B194" s="1"/>
      <c r="C194" s="1"/>
      <c r="D194" s="1"/>
      <c r="E194" s="59">
        <f t="shared" si="40"/>
        <v>0</v>
      </c>
      <c r="F194" s="1">
        <v>1000</v>
      </c>
      <c r="G194" s="1">
        <v>1000</v>
      </c>
      <c r="H194" s="1">
        <v>1000</v>
      </c>
      <c r="I194" s="59">
        <f t="shared" si="41"/>
        <v>3000</v>
      </c>
      <c r="J194" s="1">
        <v>1000</v>
      </c>
      <c r="K194" s="1">
        <v>799</v>
      </c>
      <c r="L194" s="1">
        <v>201</v>
      </c>
      <c r="M194" s="59">
        <f t="shared" si="42"/>
        <v>2000</v>
      </c>
      <c r="N194" s="1"/>
      <c r="O194" s="1"/>
      <c r="P194" s="1"/>
      <c r="Q194" s="59">
        <f t="shared" si="29"/>
        <v>0</v>
      </c>
      <c r="R194" s="59">
        <f t="shared" si="30"/>
        <v>5000</v>
      </c>
    </row>
    <row r="195" spans="1:20" ht="15.75" customHeight="1" x14ac:dyDescent="0.3">
      <c r="A195" s="74" t="s">
        <v>185</v>
      </c>
      <c r="B195" s="1">
        <v>122</v>
      </c>
      <c r="C195" s="1">
        <v>300</v>
      </c>
      <c r="D195" s="1">
        <v>350</v>
      </c>
      <c r="E195" s="59">
        <f t="shared" si="40"/>
        <v>772</v>
      </c>
      <c r="F195" s="1">
        <v>350</v>
      </c>
      <c r="G195" s="1">
        <v>400</v>
      </c>
      <c r="H195" s="1">
        <v>450</v>
      </c>
      <c r="I195" s="59">
        <f t="shared" si="41"/>
        <v>1200</v>
      </c>
      <c r="J195" s="1">
        <v>493</v>
      </c>
      <c r="K195" s="1">
        <v>500</v>
      </c>
      <c r="L195" s="1">
        <v>400</v>
      </c>
      <c r="M195" s="59">
        <f t="shared" si="42"/>
        <v>1393</v>
      </c>
      <c r="N195" s="1">
        <v>400</v>
      </c>
      <c r="O195" s="1">
        <v>300</v>
      </c>
      <c r="P195" s="1">
        <v>250</v>
      </c>
      <c r="Q195" s="59">
        <f t="shared" si="29"/>
        <v>950</v>
      </c>
      <c r="R195" s="59">
        <f>+E195+I195+M195+Q195</f>
        <v>4315</v>
      </c>
      <c r="S195" s="4" t="s">
        <v>136</v>
      </c>
      <c r="T195" s="4" t="s">
        <v>137</v>
      </c>
    </row>
    <row r="196" spans="1:20" ht="15.75" customHeight="1" x14ac:dyDescent="0.3">
      <c r="A196" s="74" t="s">
        <v>186</v>
      </c>
      <c r="B196" s="1">
        <v>3</v>
      </c>
      <c r="C196" s="1">
        <v>2</v>
      </c>
      <c r="D196" s="1">
        <v>2</v>
      </c>
      <c r="E196" s="59">
        <f t="shared" si="40"/>
        <v>7</v>
      </c>
      <c r="F196" s="1">
        <f>4+5</f>
        <v>9</v>
      </c>
      <c r="G196" s="1">
        <v>4</v>
      </c>
      <c r="H196" s="1">
        <v>4</v>
      </c>
      <c r="I196" s="59">
        <f t="shared" si="41"/>
        <v>17</v>
      </c>
      <c r="J196" s="1">
        <v>4</v>
      </c>
      <c r="K196" s="1">
        <v>4</v>
      </c>
      <c r="L196" s="1">
        <v>3</v>
      </c>
      <c r="M196" s="59">
        <f t="shared" si="42"/>
        <v>11</v>
      </c>
      <c r="N196" s="1">
        <v>3</v>
      </c>
      <c r="O196" s="1">
        <v>3</v>
      </c>
      <c r="P196" s="1">
        <v>3</v>
      </c>
      <c r="Q196" s="59">
        <f t="shared" si="29"/>
        <v>9</v>
      </c>
      <c r="R196" s="59">
        <f>+E196+I196+M196+Q196</f>
        <v>44</v>
      </c>
      <c r="S196" s="4">
        <f>SUM(R142:R196)</f>
        <v>302752</v>
      </c>
    </row>
    <row r="197" spans="1:20" ht="15.75" customHeight="1" x14ac:dyDescent="0.3">
      <c r="A197" s="74" t="s">
        <v>187</v>
      </c>
      <c r="B197" s="1"/>
      <c r="C197" s="1"/>
      <c r="D197" s="1"/>
      <c r="E197" s="59">
        <f t="shared" si="40"/>
        <v>0</v>
      </c>
      <c r="F197" s="1"/>
      <c r="G197" s="1"/>
      <c r="H197" s="1"/>
      <c r="I197" s="59">
        <f t="shared" si="41"/>
        <v>0</v>
      </c>
      <c r="J197" s="1"/>
      <c r="K197" s="1"/>
      <c r="L197" s="1"/>
      <c r="M197" s="59">
        <f t="shared" si="42"/>
        <v>0</v>
      </c>
      <c r="N197" s="1"/>
      <c r="O197" s="1"/>
      <c r="P197" s="1"/>
      <c r="Q197" s="59">
        <f t="shared" si="29"/>
        <v>0</v>
      </c>
      <c r="R197" s="59">
        <f>+E197+I197+M197+Q197</f>
        <v>0</v>
      </c>
      <c r="S197" s="94" t="s">
        <v>136</v>
      </c>
      <c r="T197" s="4" t="s">
        <v>137</v>
      </c>
    </row>
    <row r="198" spans="1:20" ht="15.75" customHeight="1" x14ac:dyDescent="0.3">
      <c r="A198" s="17" t="s">
        <v>47</v>
      </c>
      <c r="B198" s="1"/>
      <c r="C198" s="1"/>
      <c r="D198" s="1"/>
      <c r="E198" s="59" t="s">
        <v>7</v>
      </c>
      <c r="F198" s="1"/>
      <c r="G198" s="1"/>
      <c r="H198" s="1"/>
      <c r="I198" s="59" t="s">
        <v>7</v>
      </c>
      <c r="J198" s="1"/>
      <c r="K198" s="1"/>
      <c r="L198" s="1"/>
      <c r="M198" s="59" t="s">
        <v>7</v>
      </c>
      <c r="N198" s="1"/>
      <c r="O198" s="1"/>
      <c r="P198" s="1"/>
      <c r="Q198" s="59" t="s">
        <v>7</v>
      </c>
      <c r="R198" s="59" t="s">
        <v>7</v>
      </c>
    </row>
    <row r="199" spans="1:20" ht="15.75" customHeight="1" x14ac:dyDescent="0.3">
      <c r="A199" s="74" t="s">
        <v>188</v>
      </c>
      <c r="B199" s="1"/>
      <c r="C199" s="1"/>
      <c r="D199" s="1"/>
      <c r="E199" s="59">
        <f t="shared" ref="E199:E208" si="43">SUM(B199:D199)</f>
        <v>0</v>
      </c>
      <c r="F199" s="1"/>
      <c r="G199" s="1"/>
      <c r="H199" s="1"/>
      <c r="I199" s="59">
        <f t="shared" ref="I199:I208" si="44">SUM(F199:H199)</f>
        <v>0</v>
      </c>
      <c r="J199" s="1"/>
      <c r="K199" s="1"/>
      <c r="L199" s="1"/>
      <c r="M199" s="59">
        <f t="shared" ref="M199:M208" si="45">SUM(J199:L199)</f>
        <v>0</v>
      </c>
      <c r="N199" s="1"/>
      <c r="O199" s="1"/>
      <c r="P199" s="1"/>
      <c r="Q199" s="59">
        <f t="shared" ref="Q199:Q208" si="46">SUM(N199:P199)</f>
        <v>0</v>
      </c>
      <c r="R199" s="59">
        <f t="shared" ref="R199:R208" si="47">+E199+I199+M199+Q199</f>
        <v>0</v>
      </c>
    </row>
    <row r="200" spans="1:20" ht="15.75" customHeight="1" x14ac:dyDescent="0.3">
      <c r="A200" s="74" t="s">
        <v>189</v>
      </c>
      <c r="B200" s="1"/>
      <c r="C200" s="1"/>
      <c r="D200" s="1"/>
      <c r="E200" s="59">
        <f>SUM(B200:D200)</f>
        <v>0</v>
      </c>
      <c r="F200" s="1"/>
      <c r="G200" s="1"/>
      <c r="H200" s="1"/>
      <c r="I200" s="59">
        <f>SUM(F200:H200)</f>
        <v>0</v>
      </c>
      <c r="J200" s="1"/>
      <c r="K200" s="1"/>
      <c r="L200" s="1"/>
      <c r="M200" s="59">
        <f>SUM(J200:L200)</f>
        <v>0</v>
      </c>
      <c r="N200" s="1"/>
      <c r="O200" s="1"/>
      <c r="P200" s="1"/>
      <c r="Q200" s="59">
        <f>SUM(N200:P200)</f>
        <v>0</v>
      </c>
      <c r="R200" s="59">
        <f>+E200+I200+M200+Q200</f>
        <v>0</v>
      </c>
      <c r="T200" s="4" t="s">
        <v>127</v>
      </c>
    </row>
    <row r="201" spans="1:20" ht="15.75" customHeight="1" x14ac:dyDescent="0.3">
      <c r="A201" s="74" t="s">
        <v>190</v>
      </c>
      <c r="B201" s="1"/>
      <c r="C201" s="1"/>
      <c r="D201" s="1"/>
      <c r="E201" s="59">
        <f t="shared" si="43"/>
        <v>0</v>
      </c>
      <c r="F201" s="1"/>
      <c r="G201" s="1"/>
      <c r="H201" s="1"/>
      <c r="I201" s="59">
        <f t="shared" si="44"/>
        <v>0</v>
      </c>
      <c r="J201" s="1"/>
      <c r="K201" s="1"/>
      <c r="L201" s="1"/>
      <c r="M201" s="59">
        <f t="shared" si="45"/>
        <v>0</v>
      </c>
      <c r="N201" s="1"/>
      <c r="O201" s="1"/>
      <c r="P201" s="1"/>
      <c r="Q201" s="59">
        <f t="shared" si="46"/>
        <v>0</v>
      </c>
      <c r="R201" s="59">
        <f t="shared" si="47"/>
        <v>0</v>
      </c>
    </row>
    <row r="202" spans="1:20" ht="15.75" customHeight="1" x14ac:dyDescent="0.3">
      <c r="A202" s="74" t="s">
        <v>191</v>
      </c>
      <c r="B202" s="1"/>
      <c r="C202" s="1"/>
      <c r="D202" s="1"/>
      <c r="E202" s="59">
        <f t="shared" si="43"/>
        <v>0</v>
      </c>
      <c r="F202" s="1"/>
      <c r="G202" s="1"/>
      <c r="H202" s="1"/>
      <c r="I202" s="59">
        <f t="shared" si="44"/>
        <v>0</v>
      </c>
      <c r="J202" s="1"/>
      <c r="K202" s="1"/>
      <c r="L202" s="1"/>
      <c r="M202" s="59">
        <f t="shared" si="45"/>
        <v>0</v>
      </c>
      <c r="N202" s="1"/>
      <c r="O202" s="1"/>
      <c r="P202" s="1"/>
      <c r="Q202" s="59">
        <f t="shared" si="46"/>
        <v>0</v>
      </c>
      <c r="R202" s="59">
        <f t="shared" si="47"/>
        <v>0</v>
      </c>
      <c r="T202" s="4" t="s">
        <v>137</v>
      </c>
    </row>
    <row r="203" spans="1:20" ht="15.75" customHeight="1" x14ac:dyDescent="0.3">
      <c r="A203" s="74" t="s">
        <v>192</v>
      </c>
      <c r="B203" s="1"/>
      <c r="C203" s="1"/>
      <c r="D203" s="1"/>
      <c r="E203" s="59">
        <f t="shared" si="43"/>
        <v>0</v>
      </c>
      <c r="F203" s="1"/>
      <c r="G203" s="1"/>
      <c r="H203" s="1"/>
      <c r="I203" s="59">
        <f t="shared" si="44"/>
        <v>0</v>
      </c>
      <c r="J203" s="1"/>
      <c r="K203" s="1"/>
      <c r="L203" s="1"/>
      <c r="M203" s="59">
        <f t="shared" si="45"/>
        <v>0</v>
      </c>
      <c r="N203" s="1"/>
      <c r="O203" s="1"/>
      <c r="P203" s="1"/>
      <c r="Q203" s="59">
        <f t="shared" si="46"/>
        <v>0</v>
      </c>
      <c r="R203" s="59">
        <f t="shared" si="47"/>
        <v>0</v>
      </c>
    </row>
    <row r="204" spans="1:20" ht="15.75" customHeight="1" x14ac:dyDescent="0.3">
      <c r="A204" s="74" t="s">
        <v>193</v>
      </c>
      <c r="B204" s="1"/>
      <c r="C204" s="1"/>
      <c r="D204" s="1"/>
      <c r="E204" s="59">
        <f t="shared" si="43"/>
        <v>0</v>
      </c>
      <c r="F204" s="1"/>
      <c r="G204" s="1"/>
      <c r="H204" s="1"/>
      <c r="I204" s="59">
        <f t="shared" si="44"/>
        <v>0</v>
      </c>
      <c r="J204" s="1"/>
      <c r="K204" s="1"/>
      <c r="L204" s="1"/>
      <c r="M204" s="59">
        <f t="shared" si="45"/>
        <v>0</v>
      </c>
      <c r="N204" s="1"/>
      <c r="O204" s="1"/>
      <c r="P204" s="1"/>
      <c r="Q204" s="59">
        <f t="shared" si="46"/>
        <v>0</v>
      </c>
      <c r="R204" s="59">
        <f t="shared" si="47"/>
        <v>0</v>
      </c>
    </row>
    <row r="205" spans="1:20" ht="15.75" customHeight="1" x14ac:dyDescent="0.3">
      <c r="A205" s="91" t="s">
        <v>194</v>
      </c>
      <c r="B205" s="1"/>
      <c r="C205" s="1"/>
      <c r="D205" s="1"/>
      <c r="E205" s="59">
        <f t="shared" si="43"/>
        <v>0</v>
      </c>
      <c r="F205" s="1"/>
      <c r="G205" s="1"/>
      <c r="H205" s="1"/>
      <c r="I205" s="59">
        <f t="shared" si="44"/>
        <v>0</v>
      </c>
      <c r="J205" s="1"/>
      <c r="K205" s="1"/>
      <c r="L205" s="1"/>
      <c r="M205" s="59">
        <f t="shared" si="45"/>
        <v>0</v>
      </c>
      <c r="N205" s="1"/>
      <c r="O205" s="1"/>
      <c r="P205" s="1"/>
      <c r="Q205" s="59">
        <f t="shared" si="46"/>
        <v>0</v>
      </c>
      <c r="R205" s="59">
        <f t="shared" si="47"/>
        <v>0</v>
      </c>
      <c r="T205" s="4" t="s">
        <v>121</v>
      </c>
    </row>
    <row r="206" spans="1:20" ht="15.75" customHeight="1" x14ac:dyDescent="0.3">
      <c r="A206" s="74" t="s">
        <v>195</v>
      </c>
      <c r="B206" s="1"/>
      <c r="C206" s="1"/>
      <c r="D206" s="1"/>
      <c r="E206" s="59">
        <f t="shared" si="43"/>
        <v>0</v>
      </c>
      <c r="F206" s="1"/>
      <c r="G206" s="1"/>
      <c r="H206" s="1"/>
      <c r="I206" s="59">
        <f t="shared" si="44"/>
        <v>0</v>
      </c>
      <c r="J206" s="1"/>
      <c r="K206" s="1"/>
      <c r="L206" s="1"/>
      <c r="M206" s="59">
        <f t="shared" si="45"/>
        <v>0</v>
      </c>
      <c r="N206" s="1"/>
      <c r="O206" s="1"/>
      <c r="P206" s="1"/>
      <c r="Q206" s="59">
        <f t="shared" si="46"/>
        <v>0</v>
      </c>
      <c r="R206" s="59">
        <f t="shared" si="47"/>
        <v>0</v>
      </c>
      <c r="T206" s="4" t="s">
        <v>137</v>
      </c>
    </row>
    <row r="207" spans="1:20" ht="15.75" customHeight="1" x14ac:dyDescent="0.3">
      <c r="A207" s="74" t="s">
        <v>196</v>
      </c>
      <c r="B207" s="1"/>
      <c r="C207" s="1"/>
      <c r="D207" s="1"/>
      <c r="E207" s="59">
        <f t="shared" si="43"/>
        <v>0</v>
      </c>
      <c r="F207" s="1"/>
      <c r="G207" s="1"/>
      <c r="H207" s="1"/>
      <c r="I207" s="59">
        <f t="shared" si="44"/>
        <v>0</v>
      </c>
      <c r="J207" s="1"/>
      <c r="K207" s="1"/>
      <c r="L207" s="1"/>
      <c r="M207" s="59">
        <f t="shared" si="45"/>
        <v>0</v>
      </c>
      <c r="N207" s="1"/>
      <c r="O207" s="1"/>
      <c r="P207" s="1"/>
      <c r="Q207" s="59">
        <f t="shared" si="46"/>
        <v>0</v>
      </c>
      <c r="R207" s="59">
        <f t="shared" si="47"/>
        <v>0</v>
      </c>
      <c r="T207" s="4" t="s">
        <v>197</v>
      </c>
    </row>
    <row r="208" spans="1:20" ht="15.75" customHeight="1" x14ac:dyDescent="0.3">
      <c r="A208" s="91" t="s">
        <v>198</v>
      </c>
      <c r="B208" s="1"/>
      <c r="C208" s="1"/>
      <c r="D208" s="1"/>
      <c r="E208" s="59">
        <f t="shared" si="43"/>
        <v>0</v>
      </c>
      <c r="F208" s="1"/>
      <c r="G208" s="1"/>
      <c r="H208" s="1"/>
      <c r="I208" s="59">
        <f t="shared" si="44"/>
        <v>0</v>
      </c>
      <c r="J208" s="1"/>
      <c r="K208" s="1"/>
      <c r="L208" s="1"/>
      <c r="M208" s="59">
        <f t="shared" si="45"/>
        <v>0</v>
      </c>
      <c r="N208" s="1"/>
      <c r="O208" s="1"/>
      <c r="P208" s="1"/>
      <c r="Q208" s="59">
        <f t="shared" si="46"/>
        <v>0</v>
      </c>
      <c r="R208" s="59">
        <f t="shared" si="47"/>
        <v>0</v>
      </c>
    </row>
    <row r="209" spans="1:20" ht="15.75" customHeight="1" x14ac:dyDescent="0.3">
      <c r="A209" s="17" t="s">
        <v>49</v>
      </c>
      <c r="B209" s="1"/>
      <c r="C209" s="1"/>
      <c r="D209" s="1"/>
      <c r="E209" s="59" t="s">
        <v>7</v>
      </c>
      <c r="F209" s="1"/>
      <c r="G209" s="1"/>
      <c r="H209" s="1"/>
      <c r="I209" s="59" t="s">
        <v>7</v>
      </c>
      <c r="J209" s="1"/>
      <c r="K209" s="1"/>
      <c r="L209" s="1"/>
      <c r="M209" s="59" t="s">
        <v>7</v>
      </c>
      <c r="N209" s="1"/>
      <c r="O209" s="1"/>
      <c r="P209" s="1"/>
      <c r="Q209" s="59" t="s">
        <v>7</v>
      </c>
      <c r="R209" s="59" t="s">
        <v>7</v>
      </c>
    </row>
    <row r="210" spans="1:20" ht="15.75" customHeight="1" x14ac:dyDescent="0.3">
      <c r="A210" s="99" t="s">
        <v>199</v>
      </c>
      <c r="B210" s="1"/>
      <c r="C210" s="1"/>
      <c r="D210" s="1"/>
      <c r="E210" s="59">
        <f>SUM(B210:D210)</f>
        <v>0</v>
      </c>
      <c r="F210" s="1"/>
      <c r="G210" s="1"/>
      <c r="H210" s="1"/>
      <c r="I210" s="59">
        <f>SUM(F210:H210)</f>
        <v>0</v>
      </c>
      <c r="J210" s="1"/>
      <c r="K210" s="1"/>
      <c r="L210" s="1"/>
      <c r="M210" s="59">
        <f>SUM(J210:L210)</f>
        <v>0</v>
      </c>
      <c r="N210" s="1"/>
      <c r="O210" s="1"/>
      <c r="P210" s="1"/>
      <c r="Q210" s="59">
        <f>SUM(N210:P210)</f>
        <v>0</v>
      </c>
      <c r="R210" s="59">
        <f>+E210+I210+M210+Q210</f>
        <v>0</v>
      </c>
      <c r="S210" s="77" t="s">
        <v>90</v>
      </c>
      <c r="T210" s="4" t="s">
        <v>132</v>
      </c>
    </row>
    <row r="211" spans="1:20" ht="15.75" customHeight="1" x14ac:dyDescent="0.3">
      <c r="A211" s="99" t="s">
        <v>200</v>
      </c>
      <c r="B211" s="1"/>
      <c r="C211" s="1"/>
      <c r="D211" s="1"/>
      <c r="E211" s="59">
        <f>SUM(B211:D211)</f>
        <v>0</v>
      </c>
      <c r="F211" s="1"/>
      <c r="G211" s="1"/>
      <c r="H211" s="1"/>
      <c r="I211" s="59">
        <f>SUM(F211:H211)</f>
        <v>0</v>
      </c>
      <c r="J211" s="1"/>
      <c r="K211" s="1"/>
      <c r="L211" s="1"/>
      <c r="M211" s="59">
        <f>SUM(J211:L211)</f>
        <v>0</v>
      </c>
      <c r="N211" s="1"/>
      <c r="O211" s="1"/>
      <c r="P211" s="1"/>
      <c r="Q211" s="59">
        <f>SUM(N211:P211)</f>
        <v>0</v>
      </c>
      <c r="R211" s="59">
        <f>+E211+I211+M211+Q211</f>
        <v>0</v>
      </c>
      <c r="S211" s="77" t="s">
        <v>90</v>
      </c>
      <c r="T211" s="4" t="s">
        <v>134</v>
      </c>
    </row>
    <row r="212" spans="1:20" ht="15.75" customHeight="1" x14ac:dyDescent="0.3">
      <c r="A212" s="61" t="s">
        <v>201</v>
      </c>
      <c r="B212" s="1"/>
      <c r="C212" s="1"/>
      <c r="D212" s="1"/>
      <c r="E212" s="59">
        <f>SUM(B212:D212)</f>
        <v>0</v>
      </c>
      <c r="F212" s="1"/>
      <c r="G212" s="1"/>
      <c r="H212" s="1"/>
      <c r="I212" s="59">
        <f>SUM(F212:H212)</f>
        <v>0</v>
      </c>
      <c r="J212" s="1"/>
      <c r="K212" s="1"/>
      <c r="L212" s="1"/>
      <c r="M212" s="59">
        <f>SUM(J212:L212)</f>
        <v>0</v>
      </c>
      <c r="N212" s="1"/>
      <c r="O212" s="1"/>
      <c r="P212" s="1"/>
      <c r="Q212" s="59">
        <f>SUM(N212:P212)</f>
        <v>0</v>
      </c>
      <c r="R212" s="59">
        <f>+E212+I212+M212+Q212</f>
        <v>0</v>
      </c>
      <c r="S212" s="77" t="s">
        <v>90</v>
      </c>
      <c r="T212" s="4" t="s">
        <v>202</v>
      </c>
    </row>
    <row r="213" spans="1:20" ht="15.75" customHeight="1" thickBot="1" x14ac:dyDescent="0.35">
      <c r="A213" s="17" t="s">
        <v>51</v>
      </c>
      <c r="B213" s="1"/>
      <c r="C213" s="1"/>
      <c r="D213" s="1"/>
      <c r="E213" s="59" t="s">
        <v>7</v>
      </c>
      <c r="F213" s="1"/>
      <c r="G213" s="1"/>
      <c r="H213" s="1"/>
      <c r="I213" s="59" t="s">
        <v>7</v>
      </c>
      <c r="J213" s="1"/>
      <c r="K213" s="1"/>
      <c r="L213" s="1"/>
      <c r="M213" s="59" t="s">
        <v>7</v>
      </c>
      <c r="N213" s="1"/>
      <c r="O213" s="1"/>
      <c r="P213" s="1"/>
      <c r="Q213" s="59" t="s">
        <v>7</v>
      </c>
      <c r="R213" s="59" t="s">
        <v>7</v>
      </c>
    </row>
    <row r="214" spans="1:20" ht="16.5" customHeight="1" thickBot="1" x14ac:dyDescent="0.35">
      <c r="A214" s="62" t="s">
        <v>52</v>
      </c>
      <c r="B214" s="100">
        <f>SUM(B140:B213)</f>
        <v>19392</v>
      </c>
      <c r="C214" s="101">
        <f>SUM(C140:C213)</f>
        <v>12491</v>
      </c>
      <c r="D214" s="101">
        <f>SUM(D140:D213)</f>
        <v>15439</v>
      </c>
      <c r="E214" s="64">
        <f>SUM(B214:D214)</f>
        <v>47322</v>
      </c>
      <c r="F214" s="101">
        <f>SUM(F140:F213)</f>
        <v>22433</v>
      </c>
      <c r="G214" s="101">
        <f t="shared" ref="G214:H214" si="48">SUM(G140:G213)</f>
        <v>24267</v>
      </c>
      <c r="H214" s="101">
        <f t="shared" si="48"/>
        <v>34424</v>
      </c>
      <c r="I214" s="64">
        <f>SUM(F214:H214)</f>
        <v>81124</v>
      </c>
      <c r="J214" s="101">
        <f>SUM(J140:J213)</f>
        <v>39182</v>
      </c>
      <c r="K214" s="101">
        <f>SUM(K140:K213)</f>
        <v>35517</v>
      </c>
      <c r="L214" s="101">
        <f>SUM(L140:L213)</f>
        <v>32428</v>
      </c>
      <c r="M214" s="64">
        <f>SUM(J214:L214)</f>
        <v>107127</v>
      </c>
      <c r="N214" s="101">
        <f>SUM(N140:N213)</f>
        <v>25822</v>
      </c>
      <c r="O214" s="101">
        <f>SUM(O140:O213)</f>
        <v>23457</v>
      </c>
      <c r="P214" s="101">
        <f>SUM(P140:P213)</f>
        <v>17900</v>
      </c>
      <c r="Q214" s="64">
        <f>SUM(N214:P214)</f>
        <v>67179</v>
      </c>
      <c r="R214" s="64">
        <f>+E214+I214+M214+Q214</f>
        <v>302752</v>
      </c>
    </row>
    <row r="215" spans="1:20" ht="15.75" customHeight="1" x14ac:dyDescent="0.3">
      <c r="A215" s="17" t="s">
        <v>53</v>
      </c>
      <c r="B215" s="1"/>
      <c r="C215" s="1"/>
      <c r="D215" s="1"/>
      <c r="E215" s="59" t="s">
        <v>7</v>
      </c>
      <c r="F215" s="1"/>
      <c r="G215" s="1"/>
      <c r="H215" s="1"/>
      <c r="I215" s="59" t="s">
        <v>7</v>
      </c>
      <c r="J215" s="1"/>
      <c r="K215" s="1"/>
      <c r="L215" s="1"/>
      <c r="M215" s="59" t="s">
        <v>7</v>
      </c>
      <c r="N215" s="1"/>
      <c r="O215" s="1"/>
      <c r="P215" s="1"/>
      <c r="Q215" s="59" t="s">
        <v>7</v>
      </c>
      <c r="R215" s="59" t="s">
        <v>7</v>
      </c>
    </row>
    <row r="216" spans="1:20" ht="15.75" customHeight="1" x14ac:dyDescent="0.3">
      <c r="A216" s="17" t="s">
        <v>54</v>
      </c>
      <c r="B216" s="1"/>
      <c r="C216" s="1"/>
      <c r="D216" s="1"/>
      <c r="E216" s="59" t="s">
        <v>7</v>
      </c>
      <c r="F216" s="1"/>
      <c r="G216" s="1"/>
      <c r="H216" s="1"/>
      <c r="I216" s="59" t="s">
        <v>7</v>
      </c>
      <c r="J216" s="1"/>
      <c r="K216" s="1"/>
      <c r="L216" s="1"/>
      <c r="M216" s="59" t="s">
        <v>7</v>
      </c>
      <c r="N216" s="1"/>
      <c r="O216" s="1"/>
      <c r="P216" s="1"/>
      <c r="Q216" s="59" t="s">
        <v>7</v>
      </c>
      <c r="R216" s="59" t="s">
        <v>7</v>
      </c>
    </row>
    <row r="217" spans="1:20" ht="15.75" customHeight="1" x14ac:dyDescent="0.3">
      <c r="A217" s="17" t="s">
        <v>55</v>
      </c>
      <c r="B217" s="1"/>
      <c r="C217" s="1"/>
      <c r="D217" s="1"/>
      <c r="E217" s="59" t="s">
        <v>7</v>
      </c>
      <c r="F217" s="1"/>
      <c r="G217" s="1"/>
      <c r="H217" s="1"/>
      <c r="I217" s="59" t="s">
        <v>7</v>
      </c>
      <c r="J217" s="1"/>
      <c r="K217" s="1"/>
      <c r="L217" s="1"/>
      <c r="M217" s="59" t="s">
        <v>7</v>
      </c>
      <c r="N217" s="1"/>
      <c r="O217" s="1"/>
      <c r="P217" s="1"/>
      <c r="Q217" s="59" t="s">
        <v>7</v>
      </c>
      <c r="R217" s="59" t="s">
        <v>7</v>
      </c>
    </row>
    <row r="218" spans="1:20" ht="15.75" customHeight="1" x14ac:dyDescent="0.3">
      <c r="A218" s="99" t="s">
        <v>203</v>
      </c>
      <c r="B218" s="1"/>
      <c r="C218" s="1"/>
      <c r="D218" s="1"/>
      <c r="E218" s="59">
        <f>SUM(B218:D218)</f>
        <v>0</v>
      </c>
      <c r="F218" s="1"/>
      <c r="G218" s="1"/>
      <c r="H218" s="1"/>
      <c r="I218" s="59">
        <f>SUM(F218:H218)</f>
        <v>0</v>
      </c>
      <c r="J218" s="1"/>
      <c r="K218" s="1"/>
      <c r="L218" s="1"/>
      <c r="M218" s="59">
        <f>SUM(J218:L218)</f>
        <v>0</v>
      </c>
      <c r="N218" s="1"/>
      <c r="O218" s="1"/>
      <c r="P218" s="1"/>
      <c r="Q218" s="59">
        <f>SUM(N218:P218)</f>
        <v>0</v>
      </c>
      <c r="R218" s="59">
        <f>+E218+I218+M218+Q218</f>
        <v>0</v>
      </c>
      <c r="T218" s="4" t="s">
        <v>121</v>
      </c>
    </row>
    <row r="219" spans="1:20" ht="15.75" customHeight="1" x14ac:dyDescent="0.3">
      <c r="A219" s="76" t="s">
        <v>204</v>
      </c>
      <c r="B219" s="1"/>
      <c r="C219" s="1"/>
      <c r="D219" s="1"/>
      <c r="E219" s="59">
        <f>SUM(B219:D219)</f>
        <v>0</v>
      </c>
      <c r="F219" s="1"/>
      <c r="G219" s="1"/>
      <c r="H219" s="1"/>
      <c r="I219" s="59">
        <f>SUM(F219:H219)</f>
        <v>0</v>
      </c>
      <c r="J219" s="1"/>
      <c r="K219" s="1"/>
      <c r="L219" s="1"/>
      <c r="M219" s="59">
        <f>SUM(J219:L219)</f>
        <v>0</v>
      </c>
      <c r="N219" s="1"/>
      <c r="O219" s="1"/>
      <c r="P219" s="1"/>
      <c r="Q219" s="59">
        <f>SUM(N219:P219)</f>
        <v>0</v>
      </c>
      <c r="R219" s="59">
        <f>+E219+I219+M219+Q219</f>
        <v>0</v>
      </c>
      <c r="S219" s="4" t="s">
        <v>136</v>
      </c>
      <c r="T219" s="4" t="s">
        <v>137</v>
      </c>
    </row>
    <row r="220" spans="1:20" ht="15.75" customHeight="1" thickBot="1" x14ac:dyDescent="0.35">
      <c r="A220" s="17" t="s">
        <v>56</v>
      </c>
      <c r="B220" s="1"/>
      <c r="C220" s="1"/>
      <c r="D220" s="1"/>
      <c r="E220" s="59" t="s">
        <v>7</v>
      </c>
      <c r="F220" s="1"/>
      <c r="G220" s="1"/>
      <c r="H220" s="1"/>
      <c r="I220" s="59" t="s">
        <v>7</v>
      </c>
      <c r="J220" s="1"/>
      <c r="K220" s="1"/>
      <c r="L220" s="1"/>
      <c r="M220" s="59" t="s">
        <v>7</v>
      </c>
      <c r="N220" s="1"/>
      <c r="O220" s="1"/>
      <c r="P220" s="1"/>
      <c r="Q220" s="59" t="s">
        <v>7</v>
      </c>
      <c r="R220" s="59" t="s">
        <v>7</v>
      </c>
    </row>
    <row r="221" spans="1:20" ht="16.5" customHeight="1" thickBot="1" x14ac:dyDescent="0.35">
      <c r="A221" s="62" t="s">
        <v>57</v>
      </c>
      <c r="B221" s="100">
        <f>SUM(B215:B220)</f>
        <v>0</v>
      </c>
      <c r="C221" s="101">
        <f>SUM(C215:C220)</f>
        <v>0</v>
      </c>
      <c r="D221" s="101">
        <f>SUM(D215:D220)</f>
        <v>0</v>
      </c>
      <c r="E221" s="64">
        <f>SUM(B221:D221)</f>
        <v>0</v>
      </c>
      <c r="F221" s="101"/>
      <c r="G221" s="101"/>
      <c r="H221" s="101"/>
      <c r="I221" s="64">
        <f>SUM(F221:H221)</f>
        <v>0</v>
      </c>
      <c r="J221" s="101">
        <f>SUM(J215:J220)</f>
        <v>0</v>
      </c>
      <c r="K221" s="101">
        <f>SUM(K215:K220)</f>
        <v>0</v>
      </c>
      <c r="L221" s="101">
        <f>SUM(L215:L220)</f>
        <v>0</v>
      </c>
      <c r="M221" s="64">
        <f>SUM(J221:L221)</f>
        <v>0</v>
      </c>
      <c r="N221" s="101">
        <f>SUM(N215:N220)</f>
        <v>0</v>
      </c>
      <c r="O221" s="101">
        <f>SUM(O215:O220)</f>
        <v>0</v>
      </c>
      <c r="P221" s="101">
        <f>SUM(P215:P220)</f>
        <v>0</v>
      </c>
      <c r="Q221" s="64">
        <f>SUM(N221:P221)</f>
        <v>0</v>
      </c>
      <c r="R221" s="64">
        <f>+E221+I221+M221+Q221</f>
        <v>0</v>
      </c>
    </row>
    <row r="222" spans="1:20" ht="15.75" customHeight="1" x14ac:dyDescent="0.3">
      <c r="A222" s="17" t="s">
        <v>58</v>
      </c>
      <c r="B222" s="1"/>
      <c r="C222" s="1"/>
      <c r="D222" s="1"/>
      <c r="E222" s="59" t="s">
        <v>7</v>
      </c>
      <c r="F222" s="1"/>
      <c r="G222" s="1"/>
      <c r="H222" s="1"/>
      <c r="I222" s="59" t="s">
        <v>7</v>
      </c>
      <c r="J222" s="1"/>
      <c r="K222" s="1"/>
      <c r="L222" s="1"/>
      <c r="M222" s="59" t="s">
        <v>7</v>
      </c>
      <c r="N222" s="1"/>
      <c r="O222" s="1"/>
      <c r="P222" s="1"/>
      <c r="Q222" s="59" t="s">
        <v>7</v>
      </c>
      <c r="R222" s="59" t="s">
        <v>7</v>
      </c>
    </row>
    <row r="223" spans="1:20" ht="15.75" customHeight="1" x14ac:dyDescent="0.3">
      <c r="A223" s="17" t="s">
        <v>59</v>
      </c>
      <c r="B223" s="1"/>
      <c r="C223" s="1"/>
      <c r="D223" s="1"/>
      <c r="E223" s="59" t="s">
        <v>7</v>
      </c>
      <c r="F223" s="1"/>
      <c r="G223" s="1"/>
      <c r="H223" s="1"/>
      <c r="I223" s="59" t="s">
        <v>7</v>
      </c>
      <c r="J223" s="1"/>
      <c r="K223" s="1"/>
      <c r="L223" s="1"/>
      <c r="M223" s="59" t="s">
        <v>7</v>
      </c>
      <c r="N223" s="1"/>
      <c r="O223" s="1"/>
      <c r="P223" s="1"/>
      <c r="Q223" s="59" t="s">
        <v>7</v>
      </c>
      <c r="R223" s="59" t="s">
        <v>7</v>
      </c>
    </row>
    <row r="224" spans="1:20" ht="15.75" customHeight="1" x14ac:dyDescent="0.3">
      <c r="A224" s="17" t="s">
        <v>60</v>
      </c>
      <c r="B224" s="1"/>
      <c r="C224" s="1"/>
      <c r="D224" s="1"/>
      <c r="E224" s="59" t="s">
        <v>7</v>
      </c>
      <c r="F224" s="1"/>
      <c r="G224" s="1"/>
      <c r="H224" s="1"/>
      <c r="I224" s="59" t="s">
        <v>7</v>
      </c>
      <c r="J224" s="1"/>
      <c r="K224" s="1"/>
      <c r="L224" s="1"/>
      <c r="M224" s="59" t="s">
        <v>7</v>
      </c>
      <c r="N224" s="1"/>
      <c r="O224" s="1"/>
      <c r="P224" s="1"/>
      <c r="Q224" s="59" t="s">
        <v>7</v>
      </c>
      <c r="R224" s="59" t="s">
        <v>7</v>
      </c>
    </row>
    <row r="225" spans="1:20" ht="15.75" customHeight="1" x14ac:dyDescent="0.3">
      <c r="A225" s="102" t="s">
        <v>205</v>
      </c>
      <c r="B225" s="1">
        <v>339</v>
      </c>
      <c r="C225" s="1">
        <v>308</v>
      </c>
      <c r="D225" s="1">
        <v>368</v>
      </c>
      <c r="E225" s="59">
        <f t="shared" ref="E225:E232" si="49">SUM(B225:D225)</f>
        <v>1015</v>
      </c>
      <c r="F225" s="1">
        <v>433</v>
      </c>
      <c r="G225" s="1">
        <v>570</v>
      </c>
      <c r="H225" s="1">
        <v>640</v>
      </c>
      <c r="I225" s="59">
        <f t="shared" ref="I225:I232" si="50">SUM(F225:H225)</f>
        <v>1643</v>
      </c>
      <c r="J225" s="1">
        <v>621</v>
      </c>
      <c r="K225" s="1">
        <v>575</v>
      </c>
      <c r="L225" s="1">
        <v>495</v>
      </c>
      <c r="M225" s="59">
        <f t="shared" ref="M225:M232" si="51">SUM(J225:L225)</f>
        <v>1691</v>
      </c>
      <c r="N225" s="1">
        <v>519</v>
      </c>
      <c r="O225" s="1">
        <v>394</v>
      </c>
      <c r="P225" s="1">
        <v>310</v>
      </c>
      <c r="Q225" s="59">
        <f t="shared" ref="Q225:Q231" si="52">SUM(N225:P225)</f>
        <v>1223</v>
      </c>
      <c r="R225" s="59">
        <f t="shared" ref="R225:R292" si="53">+E225+I225+M225+Q225</f>
        <v>5572</v>
      </c>
      <c r="T225" s="4" t="s">
        <v>206</v>
      </c>
    </row>
    <row r="226" spans="1:20" ht="15.75" customHeight="1" x14ac:dyDescent="0.3">
      <c r="A226" s="102" t="s">
        <v>207</v>
      </c>
      <c r="B226" s="1"/>
      <c r="C226" s="1"/>
      <c r="D226" s="1">
        <v>357</v>
      </c>
      <c r="E226" s="59">
        <f t="shared" si="49"/>
        <v>357</v>
      </c>
      <c r="F226" s="1"/>
      <c r="G226" s="1"/>
      <c r="H226" s="1"/>
      <c r="I226" s="59">
        <f t="shared" si="50"/>
        <v>0</v>
      </c>
      <c r="J226" s="1"/>
      <c r="K226" s="1"/>
      <c r="L226" s="1"/>
      <c r="M226" s="59">
        <f t="shared" si="51"/>
        <v>0</v>
      </c>
      <c r="N226" s="1"/>
      <c r="O226" s="1"/>
      <c r="P226" s="1"/>
      <c r="Q226" s="59">
        <f t="shared" si="52"/>
        <v>0</v>
      </c>
      <c r="R226" s="59">
        <f t="shared" si="53"/>
        <v>357</v>
      </c>
      <c r="T226" s="4" t="s">
        <v>121</v>
      </c>
    </row>
    <row r="227" spans="1:20" ht="15.75" customHeight="1" x14ac:dyDescent="0.3">
      <c r="A227" s="76" t="s">
        <v>208</v>
      </c>
      <c r="B227" s="1"/>
      <c r="C227" s="1"/>
      <c r="D227" s="1"/>
      <c r="E227" s="59">
        <f t="shared" si="49"/>
        <v>0</v>
      </c>
      <c r="F227" s="1"/>
      <c r="G227" s="1"/>
      <c r="H227" s="1"/>
      <c r="I227" s="59">
        <f t="shared" si="50"/>
        <v>0</v>
      </c>
      <c r="J227" s="1"/>
      <c r="K227" s="1"/>
      <c r="L227" s="1"/>
      <c r="M227" s="59">
        <f t="shared" si="51"/>
        <v>0</v>
      </c>
      <c r="N227" s="1"/>
      <c r="O227" s="1"/>
      <c r="P227" s="1"/>
      <c r="Q227" s="59">
        <f t="shared" si="52"/>
        <v>0</v>
      </c>
      <c r="R227" s="59">
        <f t="shared" si="53"/>
        <v>0</v>
      </c>
    </row>
    <row r="228" spans="1:20" ht="15.75" customHeight="1" x14ac:dyDescent="0.3">
      <c r="A228" s="102" t="s">
        <v>209</v>
      </c>
      <c r="B228" s="1"/>
      <c r="C228" s="1"/>
      <c r="D228" s="1"/>
      <c r="E228" s="59">
        <f t="shared" si="49"/>
        <v>0</v>
      </c>
      <c r="F228" s="1"/>
      <c r="G228" s="1"/>
      <c r="H228" s="1">
        <v>125</v>
      </c>
      <c r="I228" s="59">
        <f t="shared" si="50"/>
        <v>125</v>
      </c>
      <c r="J228" s="1">
        <v>133</v>
      </c>
      <c r="K228" s="1">
        <v>128</v>
      </c>
      <c r="L228" s="1">
        <v>81</v>
      </c>
      <c r="M228" s="59">
        <f t="shared" si="51"/>
        <v>342</v>
      </c>
      <c r="N228" s="1">
        <v>116</v>
      </c>
      <c r="O228" s="1">
        <v>42</v>
      </c>
      <c r="P228" s="1">
        <v>14</v>
      </c>
      <c r="Q228" s="59">
        <f t="shared" si="52"/>
        <v>172</v>
      </c>
      <c r="R228" s="59">
        <f t="shared" si="53"/>
        <v>639</v>
      </c>
      <c r="T228" s="4" t="s">
        <v>127</v>
      </c>
    </row>
    <row r="229" spans="1:20" ht="15.75" customHeight="1" x14ac:dyDescent="0.3">
      <c r="A229" s="102" t="s">
        <v>210</v>
      </c>
      <c r="B229" s="1"/>
      <c r="C229" s="1"/>
      <c r="D229" s="1"/>
      <c r="E229" s="59">
        <f t="shared" si="49"/>
        <v>0</v>
      </c>
      <c r="F229" s="1"/>
      <c r="G229" s="1"/>
      <c r="H229" s="1"/>
      <c r="I229" s="59">
        <f t="shared" si="50"/>
        <v>0</v>
      </c>
      <c r="J229" s="1"/>
      <c r="K229" s="1"/>
      <c r="L229" s="1"/>
      <c r="M229" s="59">
        <f t="shared" si="51"/>
        <v>0</v>
      </c>
      <c r="N229" s="1"/>
      <c r="O229" s="1"/>
      <c r="P229" s="1"/>
      <c r="Q229" s="59">
        <f t="shared" si="52"/>
        <v>0</v>
      </c>
      <c r="R229" s="59">
        <f>+E229+I229+M229+Q229</f>
        <v>0</v>
      </c>
      <c r="T229" s="4" t="s">
        <v>134</v>
      </c>
    </row>
    <row r="230" spans="1:20" ht="15.75" customHeight="1" x14ac:dyDescent="0.3">
      <c r="A230" s="102" t="s">
        <v>211</v>
      </c>
      <c r="B230" s="1"/>
      <c r="C230" s="1"/>
      <c r="D230" s="1"/>
      <c r="E230" s="59">
        <f t="shared" si="49"/>
        <v>0</v>
      </c>
      <c r="F230" s="1"/>
      <c r="G230" s="1"/>
      <c r="H230" s="1"/>
      <c r="I230" s="59">
        <f t="shared" si="50"/>
        <v>0</v>
      </c>
      <c r="J230" s="1"/>
      <c r="K230" s="1"/>
      <c r="L230" s="1"/>
      <c r="M230" s="59">
        <f t="shared" si="51"/>
        <v>0</v>
      </c>
      <c r="N230" s="1"/>
      <c r="O230" s="1"/>
      <c r="P230" s="1"/>
      <c r="Q230" s="59">
        <f t="shared" si="52"/>
        <v>0</v>
      </c>
      <c r="R230" s="59">
        <f>+E230+I230+M230+Q230</f>
        <v>0</v>
      </c>
      <c r="T230" s="4" t="s">
        <v>134</v>
      </c>
    </row>
    <row r="231" spans="1:20" ht="15.75" customHeight="1" x14ac:dyDescent="0.3">
      <c r="A231" s="76" t="s">
        <v>212</v>
      </c>
      <c r="B231" s="1"/>
      <c r="C231" s="1"/>
      <c r="D231" s="1"/>
      <c r="E231" s="59">
        <f t="shared" si="49"/>
        <v>0</v>
      </c>
      <c r="F231" s="1"/>
      <c r="G231" s="1"/>
      <c r="H231" s="1"/>
      <c r="I231" s="59">
        <f t="shared" si="50"/>
        <v>0</v>
      </c>
      <c r="J231" s="1"/>
      <c r="K231" s="1"/>
      <c r="L231" s="1"/>
      <c r="M231" s="59">
        <f t="shared" si="51"/>
        <v>0</v>
      </c>
      <c r="N231" s="1"/>
      <c r="O231" s="1"/>
      <c r="P231" s="1"/>
      <c r="Q231" s="59">
        <f t="shared" si="52"/>
        <v>0</v>
      </c>
      <c r="R231" s="59">
        <f>+E231+I231+M231+Q231</f>
        <v>0</v>
      </c>
      <c r="S231" s="94"/>
      <c r="T231" s="4" t="s">
        <v>137</v>
      </c>
    </row>
    <row r="232" spans="1:20" ht="15.75" customHeight="1" x14ac:dyDescent="0.3">
      <c r="A232" s="76" t="s">
        <v>214</v>
      </c>
      <c r="B232" s="1"/>
      <c r="C232" s="1"/>
      <c r="D232" s="1"/>
      <c r="E232" s="59">
        <f t="shared" si="49"/>
        <v>0</v>
      </c>
      <c r="F232" s="1"/>
      <c r="G232" s="1"/>
      <c r="H232" s="1"/>
      <c r="I232" s="59">
        <f t="shared" si="50"/>
        <v>0</v>
      </c>
      <c r="J232" s="1"/>
      <c r="K232" s="1"/>
      <c r="L232" s="1"/>
      <c r="M232" s="59">
        <f t="shared" si="51"/>
        <v>0</v>
      </c>
      <c r="N232" s="1"/>
      <c r="O232" s="1"/>
      <c r="P232" s="1"/>
      <c r="Q232" s="59">
        <f t="shared" ref="Q232" si="54">SUM(N232:P232)</f>
        <v>0</v>
      </c>
      <c r="R232" s="59">
        <f>+E232+I232+M232+Q232</f>
        <v>0</v>
      </c>
      <c r="S232" s="94"/>
    </row>
    <row r="233" spans="1:20" ht="15.75" customHeight="1" x14ac:dyDescent="0.3">
      <c r="A233" s="76" t="s">
        <v>215</v>
      </c>
      <c r="B233" s="1">
        <v>800</v>
      </c>
      <c r="C233" s="1">
        <v>172</v>
      </c>
      <c r="D233" s="1"/>
      <c r="E233" s="59">
        <f>SUM(B233:D233)</f>
        <v>972</v>
      </c>
      <c r="F233" s="1"/>
      <c r="G233" s="1"/>
      <c r="H233" s="1"/>
      <c r="I233" s="59">
        <f t="shared" ref="I233:I290" si="55">SUM(F233:H233)</f>
        <v>0</v>
      </c>
      <c r="J233" s="1"/>
      <c r="K233" s="1"/>
      <c r="L233" s="1"/>
      <c r="M233" s="59">
        <f t="shared" ref="M233:M290" si="56">SUM(J233:L233)</f>
        <v>0</v>
      </c>
      <c r="N233" s="1"/>
      <c r="O233" s="1"/>
      <c r="P233" s="1"/>
      <c r="Q233" s="59">
        <f t="shared" ref="Q233:Q290" si="57">SUM(N233:P233)</f>
        <v>0</v>
      </c>
      <c r="R233" s="59">
        <f t="shared" si="53"/>
        <v>972</v>
      </c>
      <c r="S233" s="4" t="s">
        <v>136</v>
      </c>
    </row>
    <row r="234" spans="1:20" ht="15.75" customHeight="1" x14ac:dyDescent="0.3">
      <c r="A234" s="103" t="s">
        <v>216</v>
      </c>
      <c r="B234" s="1"/>
      <c r="C234" s="1"/>
      <c r="D234" s="1"/>
      <c r="E234" s="59">
        <f t="shared" ref="E234" si="58">SUM(B234:D234)</f>
        <v>0</v>
      </c>
      <c r="F234" s="1"/>
      <c r="G234" s="1"/>
      <c r="H234" s="1"/>
      <c r="I234" s="59">
        <f t="shared" si="55"/>
        <v>0</v>
      </c>
      <c r="J234" s="1"/>
      <c r="K234" s="1"/>
      <c r="L234" s="1"/>
      <c r="M234" s="59">
        <f t="shared" si="56"/>
        <v>0</v>
      </c>
      <c r="N234" s="1"/>
      <c r="O234" s="1"/>
      <c r="P234" s="1"/>
      <c r="Q234" s="59">
        <f t="shared" si="57"/>
        <v>0</v>
      </c>
      <c r="R234" s="59">
        <f>+E234+I234+M234+Q234</f>
        <v>0</v>
      </c>
      <c r="T234" s="4" t="s">
        <v>217</v>
      </c>
    </row>
    <row r="235" spans="1:20" ht="15.75" customHeight="1" x14ac:dyDescent="0.3">
      <c r="A235" s="76" t="s">
        <v>218</v>
      </c>
      <c r="B235" s="1">
        <v>682</v>
      </c>
      <c r="C235" s="1"/>
      <c r="D235" s="1"/>
      <c r="E235" s="59">
        <f>SUM(B235:D235)</f>
        <v>682</v>
      </c>
      <c r="F235" s="1"/>
      <c r="G235" s="1"/>
      <c r="H235" s="1"/>
      <c r="I235" s="59">
        <f>SUM(F235:H235)</f>
        <v>0</v>
      </c>
      <c r="J235" s="1"/>
      <c r="K235" s="1"/>
      <c r="L235" s="1"/>
      <c r="M235" s="59">
        <f>SUM(J235:L235)</f>
        <v>0</v>
      </c>
      <c r="N235" s="1"/>
      <c r="O235" s="1"/>
      <c r="P235" s="1"/>
      <c r="Q235" s="59">
        <f>SUM(N235:P235)</f>
        <v>0</v>
      </c>
      <c r="R235" s="59">
        <f t="shared" si="53"/>
        <v>682</v>
      </c>
      <c r="T235" s="4" t="s">
        <v>158</v>
      </c>
    </row>
    <row r="236" spans="1:20" ht="15.75" customHeight="1" x14ac:dyDescent="0.3">
      <c r="A236" s="102" t="s">
        <v>219</v>
      </c>
      <c r="B236" s="1"/>
      <c r="C236" s="1"/>
      <c r="D236" s="1"/>
      <c r="E236" s="59">
        <f>SUM(B236:D236)</f>
        <v>0</v>
      </c>
      <c r="F236" s="1"/>
      <c r="G236" s="1"/>
      <c r="H236" s="1"/>
      <c r="I236" s="59">
        <f>SUM(F236:H236)</f>
        <v>0</v>
      </c>
      <c r="J236" s="1"/>
      <c r="K236" s="1"/>
      <c r="L236" s="1"/>
      <c r="M236" s="59">
        <f>SUM(J236:L236)</f>
        <v>0</v>
      </c>
      <c r="N236" s="1"/>
      <c r="O236" s="1"/>
      <c r="P236" s="1"/>
      <c r="Q236" s="59">
        <f>SUM(N236:P236)</f>
        <v>0</v>
      </c>
      <c r="R236" s="59">
        <f t="shared" si="53"/>
        <v>0</v>
      </c>
    </row>
    <row r="237" spans="1:20" ht="15.75" customHeight="1" x14ac:dyDescent="0.3">
      <c r="A237" s="76" t="s">
        <v>220</v>
      </c>
      <c r="B237" s="1"/>
      <c r="C237" s="1"/>
      <c r="D237" s="1"/>
      <c r="E237" s="59">
        <f t="shared" ref="E237:E278" si="59">SUM(B237:D237)</f>
        <v>0</v>
      </c>
      <c r="F237" s="1"/>
      <c r="G237" s="1"/>
      <c r="H237" s="1"/>
      <c r="I237" s="59">
        <f t="shared" si="55"/>
        <v>0</v>
      </c>
      <c r="J237" s="1"/>
      <c r="K237" s="1"/>
      <c r="L237" s="1"/>
      <c r="M237" s="59">
        <f t="shared" si="56"/>
        <v>0</v>
      </c>
      <c r="N237" s="1"/>
      <c r="O237" s="1"/>
      <c r="P237" s="1"/>
      <c r="Q237" s="59">
        <f t="shared" si="57"/>
        <v>0</v>
      </c>
      <c r="R237" s="59">
        <f t="shared" si="53"/>
        <v>0</v>
      </c>
    </row>
    <row r="238" spans="1:20" ht="15.75" customHeight="1" x14ac:dyDescent="0.3">
      <c r="A238" s="76" t="s">
        <v>221</v>
      </c>
      <c r="B238" s="1">
        <v>23</v>
      </c>
      <c r="C238" s="1"/>
      <c r="D238" s="1"/>
      <c r="E238" s="59">
        <f t="shared" si="59"/>
        <v>23</v>
      </c>
      <c r="F238" s="1"/>
      <c r="G238" s="1"/>
      <c r="H238" s="1"/>
      <c r="I238" s="59">
        <f t="shared" si="55"/>
        <v>0</v>
      </c>
      <c r="J238" s="1"/>
      <c r="K238" s="1"/>
      <c r="L238" s="1"/>
      <c r="M238" s="59">
        <f t="shared" si="56"/>
        <v>0</v>
      </c>
      <c r="N238" s="1"/>
      <c r="O238" s="1"/>
      <c r="P238" s="1"/>
      <c r="Q238" s="59">
        <f t="shared" si="57"/>
        <v>0</v>
      </c>
      <c r="R238" s="59">
        <f t="shared" si="53"/>
        <v>23</v>
      </c>
    </row>
    <row r="239" spans="1:20" ht="15.75" customHeight="1" x14ac:dyDescent="0.3">
      <c r="A239" s="76" t="s">
        <v>222</v>
      </c>
      <c r="B239" s="1">
        <v>23</v>
      </c>
      <c r="C239" s="1"/>
      <c r="D239" s="1"/>
      <c r="E239" s="59">
        <f t="shared" si="59"/>
        <v>23</v>
      </c>
      <c r="F239" s="1"/>
      <c r="G239" s="1"/>
      <c r="H239" s="1"/>
      <c r="I239" s="59">
        <f t="shared" si="55"/>
        <v>0</v>
      </c>
      <c r="J239" s="1"/>
      <c r="K239" s="1"/>
      <c r="L239" s="1"/>
      <c r="M239" s="59">
        <f t="shared" si="56"/>
        <v>0</v>
      </c>
      <c r="N239" s="1"/>
      <c r="O239" s="1"/>
      <c r="P239" s="1"/>
      <c r="Q239" s="59">
        <f t="shared" si="57"/>
        <v>0</v>
      </c>
      <c r="R239" s="59">
        <f t="shared" si="53"/>
        <v>23</v>
      </c>
      <c r="S239" s="4" t="s">
        <v>136</v>
      </c>
      <c r="T239" s="4" t="s">
        <v>137</v>
      </c>
    </row>
    <row r="240" spans="1:20" ht="15.75" customHeight="1" x14ac:dyDescent="0.3">
      <c r="A240" s="76" t="s">
        <v>223</v>
      </c>
      <c r="B240" s="1"/>
      <c r="C240" s="1"/>
      <c r="D240" s="1"/>
      <c r="E240" s="59">
        <f t="shared" si="59"/>
        <v>0</v>
      </c>
      <c r="F240" s="1"/>
      <c r="G240" s="1"/>
      <c r="H240" s="1"/>
      <c r="I240" s="59">
        <f t="shared" si="55"/>
        <v>0</v>
      </c>
      <c r="J240" s="1"/>
      <c r="K240" s="1"/>
      <c r="L240" s="1"/>
      <c r="M240" s="59">
        <f t="shared" si="56"/>
        <v>0</v>
      </c>
      <c r="N240" s="1"/>
      <c r="O240" s="1"/>
      <c r="P240" s="1"/>
      <c r="Q240" s="59">
        <f t="shared" si="57"/>
        <v>0</v>
      </c>
      <c r="R240" s="59">
        <f t="shared" si="53"/>
        <v>0</v>
      </c>
      <c r="S240" s="4" t="s">
        <v>136</v>
      </c>
      <c r="T240" s="4" t="s">
        <v>137</v>
      </c>
    </row>
    <row r="241" spans="1:20" ht="15.75" customHeight="1" x14ac:dyDescent="0.3">
      <c r="A241" s="76" t="s">
        <v>224</v>
      </c>
      <c r="B241" s="1"/>
      <c r="C241" s="1"/>
      <c r="D241" s="1"/>
      <c r="E241" s="59">
        <f t="shared" si="59"/>
        <v>0</v>
      </c>
      <c r="F241" s="1"/>
      <c r="G241" s="1"/>
      <c r="H241" s="1"/>
      <c r="I241" s="59">
        <f t="shared" si="55"/>
        <v>0</v>
      </c>
      <c r="J241" s="1"/>
      <c r="K241" s="1"/>
      <c r="L241" s="1"/>
      <c r="M241" s="59">
        <f t="shared" si="56"/>
        <v>0</v>
      </c>
      <c r="N241" s="1"/>
      <c r="O241" s="1">
        <v>171</v>
      </c>
      <c r="P241" s="1">
        <v>518</v>
      </c>
      <c r="Q241" s="59">
        <f t="shared" si="57"/>
        <v>689</v>
      </c>
      <c r="R241" s="59">
        <f t="shared" si="53"/>
        <v>689</v>
      </c>
    </row>
    <row r="242" spans="1:20" ht="15.75" customHeight="1" x14ac:dyDescent="0.3">
      <c r="A242" s="76" t="s">
        <v>225</v>
      </c>
      <c r="B242" s="1"/>
      <c r="C242" s="1"/>
      <c r="D242" s="1"/>
      <c r="E242" s="59">
        <f t="shared" si="59"/>
        <v>0</v>
      </c>
      <c r="F242" s="1"/>
      <c r="H242" s="1"/>
      <c r="I242" s="59">
        <f t="shared" si="55"/>
        <v>0</v>
      </c>
      <c r="J242" s="1"/>
      <c r="K242" s="1"/>
      <c r="L242" s="1"/>
      <c r="M242" s="59">
        <f t="shared" si="56"/>
        <v>0</v>
      </c>
      <c r="N242" s="1"/>
      <c r="O242" s="1">
        <f>129+2+41</f>
        <v>172</v>
      </c>
      <c r="P242" s="1">
        <f>2521+2+16</f>
        <v>2539</v>
      </c>
      <c r="Q242" s="59">
        <f t="shared" si="57"/>
        <v>2711</v>
      </c>
      <c r="R242" s="59">
        <f t="shared" si="53"/>
        <v>2711</v>
      </c>
    </row>
    <row r="243" spans="1:20" ht="15.75" customHeight="1" x14ac:dyDescent="0.3">
      <c r="A243" s="102" t="s">
        <v>226</v>
      </c>
      <c r="B243" s="1"/>
      <c r="C243" s="1"/>
      <c r="D243" s="1"/>
      <c r="E243" s="59">
        <f t="shared" si="59"/>
        <v>0</v>
      </c>
      <c r="F243" s="1"/>
      <c r="G243" s="1"/>
      <c r="H243" s="1"/>
      <c r="I243" s="59">
        <f t="shared" si="55"/>
        <v>0</v>
      </c>
      <c r="J243" s="1"/>
      <c r="K243" s="1"/>
      <c r="L243" s="1"/>
      <c r="M243" s="59">
        <f t="shared" si="56"/>
        <v>0</v>
      </c>
      <c r="N243" s="1"/>
      <c r="O243" s="1"/>
      <c r="P243" s="1"/>
      <c r="Q243" s="59">
        <f t="shared" si="57"/>
        <v>0</v>
      </c>
      <c r="R243" s="59">
        <f t="shared" si="53"/>
        <v>0</v>
      </c>
      <c r="T243" s="4" t="s">
        <v>121</v>
      </c>
    </row>
    <row r="244" spans="1:20" ht="15.75" customHeight="1" x14ac:dyDescent="0.3">
      <c r="A244" s="76" t="s">
        <v>227</v>
      </c>
      <c r="B244" s="1"/>
      <c r="C244" s="1"/>
      <c r="D244" s="1"/>
      <c r="E244" s="59">
        <f t="shared" si="59"/>
        <v>0</v>
      </c>
      <c r="F244" s="1"/>
      <c r="G244" s="1"/>
      <c r="H244" s="1"/>
      <c r="I244" s="59">
        <f t="shared" si="55"/>
        <v>0</v>
      </c>
      <c r="J244" s="1"/>
      <c r="K244" s="1"/>
      <c r="L244" s="1"/>
      <c r="M244" s="59">
        <f t="shared" si="56"/>
        <v>0</v>
      </c>
      <c r="N244" s="1"/>
      <c r="O244" s="1"/>
      <c r="P244" s="1"/>
      <c r="Q244" s="59">
        <f>SUM(N244:P244)</f>
        <v>0</v>
      </c>
      <c r="R244" s="59">
        <f>+E244+I244+M244+Q244</f>
        <v>0</v>
      </c>
      <c r="S244" s="94"/>
      <c r="T244" s="4" t="s">
        <v>137</v>
      </c>
    </row>
    <row r="245" spans="1:20" ht="15.75" customHeight="1" x14ac:dyDescent="0.3">
      <c r="A245" s="102" t="s">
        <v>228</v>
      </c>
      <c r="B245" s="1"/>
      <c r="C245" s="1"/>
      <c r="D245" s="1"/>
      <c r="E245" s="59">
        <f>SUM(B245:D245)</f>
        <v>0</v>
      </c>
      <c r="F245" s="1"/>
      <c r="G245" s="1"/>
      <c r="H245" s="1"/>
      <c r="I245" s="59">
        <f t="shared" si="55"/>
        <v>0</v>
      </c>
      <c r="J245" s="1"/>
      <c r="K245" s="1"/>
      <c r="L245" s="1"/>
      <c r="M245" s="59">
        <f t="shared" si="56"/>
        <v>0</v>
      </c>
      <c r="N245" s="1"/>
      <c r="O245" s="1"/>
      <c r="P245" s="1"/>
      <c r="Q245" s="59">
        <f t="shared" si="57"/>
        <v>0</v>
      </c>
      <c r="R245" s="59">
        <f t="shared" si="53"/>
        <v>0</v>
      </c>
    </row>
    <row r="246" spans="1:20" ht="15.75" customHeight="1" x14ac:dyDescent="0.3">
      <c r="A246" s="102" t="s">
        <v>229</v>
      </c>
      <c r="B246" s="1"/>
      <c r="C246" s="1"/>
      <c r="D246" s="1"/>
      <c r="E246" s="59">
        <f t="shared" si="59"/>
        <v>0</v>
      </c>
      <c r="F246" s="1"/>
      <c r="G246" s="1"/>
      <c r="H246" s="1"/>
      <c r="I246" s="59">
        <f t="shared" si="55"/>
        <v>0</v>
      </c>
      <c r="J246" s="1"/>
      <c r="K246" s="1"/>
      <c r="L246" s="1"/>
      <c r="M246" s="59">
        <f t="shared" si="56"/>
        <v>0</v>
      </c>
      <c r="N246" s="1"/>
      <c r="O246" s="1"/>
      <c r="P246" s="1"/>
      <c r="Q246" s="59">
        <f t="shared" si="57"/>
        <v>0</v>
      </c>
      <c r="R246" s="59">
        <f t="shared" si="53"/>
        <v>0</v>
      </c>
    </row>
    <row r="247" spans="1:20" ht="15.75" customHeight="1" x14ac:dyDescent="0.3">
      <c r="A247" s="76" t="s">
        <v>230</v>
      </c>
      <c r="B247" s="1"/>
      <c r="C247" s="1"/>
      <c r="D247" s="1">
        <v>2391</v>
      </c>
      <c r="E247" s="59">
        <f t="shared" si="59"/>
        <v>2391</v>
      </c>
      <c r="F247" s="1">
        <v>2391</v>
      </c>
      <c r="G247" s="1">
        <v>2218</v>
      </c>
      <c r="H247" s="1"/>
      <c r="I247" s="59">
        <f t="shared" si="55"/>
        <v>4609</v>
      </c>
      <c r="J247" s="1"/>
      <c r="K247" s="1"/>
      <c r="L247" s="1"/>
      <c r="M247" s="59">
        <f t="shared" si="56"/>
        <v>0</v>
      </c>
      <c r="N247" s="1"/>
      <c r="O247" s="1"/>
      <c r="P247" s="1"/>
      <c r="Q247" s="59">
        <f t="shared" ref="Q247" si="60">SUM(N247:P247)</f>
        <v>0</v>
      </c>
      <c r="R247" s="59">
        <f t="shared" si="53"/>
        <v>7000</v>
      </c>
    </row>
    <row r="248" spans="1:20" ht="15.75" customHeight="1" x14ac:dyDescent="0.3">
      <c r="A248" s="102" t="s">
        <v>231</v>
      </c>
      <c r="B248" s="1">
        <v>1361</v>
      </c>
      <c r="C248" s="1">
        <v>1361</v>
      </c>
      <c r="D248" s="1">
        <v>1361</v>
      </c>
      <c r="E248" s="59">
        <f t="shared" ref="E248:E249" si="61">SUM(B248:D248)</f>
        <v>4083</v>
      </c>
      <c r="F248" s="1">
        <v>1361</v>
      </c>
      <c r="G248" s="1">
        <v>1361</v>
      </c>
      <c r="H248" s="1">
        <v>195</v>
      </c>
      <c r="I248" s="59">
        <f t="shared" si="55"/>
        <v>2917</v>
      </c>
      <c r="J248" s="1"/>
      <c r="K248" s="1"/>
      <c r="L248" s="1"/>
      <c r="M248" s="59">
        <f t="shared" si="56"/>
        <v>0</v>
      </c>
      <c r="N248" s="1"/>
      <c r="O248" s="1"/>
      <c r="P248" s="1"/>
      <c r="Q248" s="59">
        <f t="shared" si="57"/>
        <v>0</v>
      </c>
      <c r="R248" s="59">
        <f t="shared" si="53"/>
        <v>7000</v>
      </c>
    </row>
    <row r="249" spans="1:20" ht="15.75" customHeight="1" x14ac:dyDescent="0.3">
      <c r="A249" s="102" t="s">
        <v>232</v>
      </c>
      <c r="B249" s="1"/>
      <c r="C249" s="1"/>
      <c r="D249" s="1"/>
      <c r="E249" s="59">
        <f t="shared" si="61"/>
        <v>0</v>
      </c>
      <c r="F249" s="1"/>
      <c r="G249" s="1"/>
      <c r="H249" s="1"/>
      <c r="I249" s="59">
        <f t="shared" si="55"/>
        <v>0</v>
      </c>
      <c r="J249" s="1"/>
      <c r="K249" s="1"/>
      <c r="L249" s="1"/>
      <c r="M249" s="59">
        <f t="shared" si="56"/>
        <v>0</v>
      </c>
      <c r="N249" s="1"/>
      <c r="O249" s="1"/>
      <c r="P249" s="1"/>
      <c r="Q249" s="59">
        <f t="shared" si="57"/>
        <v>0</v>
      </c>
      <c r="R249" s="59">
        <f t="shared" si="53"/>
        <v>0</v>
      </c>
    </row>
    <row r="250" spans="1:20" ht="15.75" customHeight="1" x14ac:dyDescent="0.3">
      <c r="A250" s="76" t="s">
        <v>233</v>
      </c>
      <c r="B250" s="1"/>
      <c r="C250" s="1"/>
      <c r="D250" s="1"/>
      <c r="E250" s="59">
        <f>SUM(B250:D250)</f>
        <v>0</v>
      </c>
      <c r="F250" s="1"/>
      <c r="G250" s="1"/>
      <c r="H250" s="1"/>
      <c r="I250" s="59">
        <f t="shared" ref="I250" si="62">SUM(F250:H250)</f>
        <v>0</v>
      </c>
      <c r="J250" s="1"/>
      <c r="K250" s="1"/>
      <c r="L250" s="1"/>
      <c r="M250" s="59">
        <f t="shared" si="56"/>
        <v>0</v>
      </c>
      <c r="N250" s="1"/>
      <c r="O250" s="1"/>
      <c r="P250" s="1"/>
      <c r="Q250" s="59">
        <f t="shared" si="57"/>
        <v>0</v>
      </c>
      <c r="R250" s="59">
        <f t="shared" si="53"/>
        <v>0</v>
      </c>
    </row>
    <row r="251" spans="1:20" ht="15.75" customHeight="1" x14ac:dyDescent="0.3">
      <c r="A251" s="91" t="s">
        <v>234</v>
      </c>
      <c r="B251" s="1"/>
      <c r="C251" s="1"/>
      <c r="D251" s="1"/>
      <c r="E251" s="59">
        <f>SUM(B251:D251)</f>
        <v>0</v>
      </c>
      <c r="F251" s="1"/>
      <c r="G251" s="1"/>
      <c r="H251" s="1"/>
      <c r="I251" s="59">
        <f t="shared" si="55"/>
        <v>0</v>
      </c>
      <c r="J251" s="1"/>
      <c r="K251" s="1"/>
      <c r="L251" s="1"/>
      <c r="M251" s="59">
        <f t="shared" si="56"/>
        <v>0</v>
      </c>
      <c r="N251" s="1"/>
      <c r="O251" s="1"/>
      <c r="P251" s="1"/>
      <c r="Q251" s="59">
        <f t="shared" si="57"/>
        <v>0</v>
      </c>
      <c r="R251" s="59">
        <f t="shared" si="53"/>
        <v>0</v>
      </c>
    </row>
    <row r="252" spans="1:20" ht="15.75" customHeight="1" x14ac:dyDescent="0.3">
      <c r="A252" s="91" t="s">
        <v>235</v>
      </c>
      <c r="B252" s="1"/>
      <c r="C252" s="1"/>
      <c r="D252" s="1"/>
      <c r="E252" s="59">
        <f>SUM(B252:D252)</f>
        <v>0</v>
      </c>
      <c r="F252" s="1"/>
      <c r="G252" s="1"/>
      <c r="H252" s="1"/>
      <c r="I252" s="59">
        <f t="shared" si="55"/>
        <v>0</v>
      </c>
      <c r="J252" s="1"/>
      <c r="K252" s="1"/>
      <c r="L252" s="1"/>
      <c r="M252" s="59">
        <f t="shared" si="56"/>
        <v>0</v>
      </c>
      <c r="N252" s="1"/>
      <c r="O252" s="1"/>
      <c r="P252" s="1"/>
      <c r="Q252" s="59">
        <f t="shared" si="57"/>
        <v>0</v>
      </c>
      <c r="R252" s="59">
        <f t="shared" si="53"/>
        <v>0</v>
      </c>
    </row>
    <row r="253" spans="1:20" ht="15.75" customHeight="1" x14ac:dyDescent="0.3">
      <c r="A253" s="91" t="s">
        <v>236</v>
      </c>
      <c r="B253" s="1"/>
      <c r="C253" s="1"/>
      <c r="D253" s="1"/>
      <c r="E253" s="59">
        <f>SUM(B253:D253)</f>
        <v>0</v>
      </c>
      <c r="F253" s="1"/>
      <c r="G253" s="1"/>
      <c r="H253" s="1"/>
      <c r="I253" s="59">
        <f t="shared" si="55"/>
        <v>0</v>
      </c>
      <c r="J253" s="1"/>
      <c r="K253" s="1"/>
      <c r="L253" s="1"/>
      <c r="M253" s="59">
        <f t="shared" si="56"/>
        <v>0</v>
      </c>
      <c r="N253" s="1"/>
      <c r="O253" s="1"/>
      <c r="P253" s="1"/>
      <c r="Q253" s="59">
        <f t="shared" si="57"/>
        <v>0</v>
      </c>
      <c r="R253" s="59">
        <f t="shared" si="53"/>
        <v>0</v>
      </c>
      <c r="T253" s="4" t="s">
        <v>121</v>
      </c>
    </row>
    <row r="254" spans="1:20" ht="15.75" customHeight="1" x14ac:dyDescent="0.3">
      <c r="A254" s="76" t="s">
        <v>237</v>
      </c>
      <c r="B254" s="1"/>
      <c r="C254" s="1"/>
      <c r="D254" s="1"/>
      <c r="E254" s="59">
        <f t="shared" ref="E254:E257" si="63">SUM(B254:D254)</f>
        <v>0</v>
      </c>
      <c r="F254" s="1"/>
      <c r="G254" s="1"/>
      <c r="H254" s="1"/>
      <c r="I254" s="59">
        <f>SUM(F254:H254)</f>
        <v>0</v>
      </c>
      <c r="J254" s="1"/>
      <c r="K254" s="1">
        <v>435</v>
      </c>
      <c r="L254" s="1">
        <v>430</v>
      </c>
      <c r="M254" s="59">
        <f t="shared" ref="M254:M255" si="64">SUM(J254:L254)</f>
        <v>865</v>
      </c>
      <c r="N254" s="1"/>
      <c r="O254" s="1"/>
      <c r="P254" s="1"/>
      <c r="Q254" s="59">
        <f t="shared" ref="Q254:Q255" si="65">SUM(N254:P254)</f>
        <v>0</v>
      </c>
      <c r="R254" s="59">
        <f t="shared" si="53"/>
        <v>865</v>
      </c>
      <c r="S254" s="105" t="s">
        <v>136</v>
      </c>
    </row>
    <row r="255" spans="1:20" ht="15.75" customHeight="1" x14ac:dyDescent="0.3">
      <c r="A255" s="76" t="s">
        <v>238</v>
      </c>
      <c r="B255" s="1"/>
      <c r="C255" s="1"/>
      <c r="D255" s="1"/>
      <c r="E255" s="59">
        <f t="shared" si="63"/>
        <v>0</v>
      </c>
      <c r="F255" s="1"/>
      <c r="G255" s="1"/>
      <c r="H255" s="1"/>
      <c r="I255" s="59">
        <f>SUM(F255:H255)</f>
        <v>0</v>
      </c>
      <c r="J255" s="1"/>
      <c r="K255" s="1">
        <f>2+85</f>
        <v>87</v>
      </c>
      <c r="L255" s="1">
        <f>2+59</f>
        <v>61</v>
      </c>
      <c r="M255" s="59">
        <f t="shared" si="64"/>
        <v>148</v>
      </c>
      <c r="N255" s="1"/>
      <c r="O255" s="1"/>
      <c r="P255" s="1"/>
      <c r="Q255" s="59">
        <f t="shared" si="65"/>
        <v>0</v>
      </c>
      <c r="R255" s="59">
        <f t="shared" si="53"/>
        <v>148</v>
      </c>
      <c r="S255" s="4" t="s">
        <v>136</v>
      </c>
    </row>
    <row r="256" spans="1:20" ht="15.75" customHeight="1" x14ac:dyDescent="0.3">
      <c r="A256" s="76" t="s">
        <v>239</v>
      </c>
      <c r="B256" s="1"/>
      <c r="C256" s="1"/>
      <c r="D256" s="1"/>
      <c r="E256" s="59">
        <f t="shared" si="63"/>
        <v>0</v>
      </c>
      <c r="F256" s="1">
        <f>1579+640+100+50</f>
        <v>2369</v>
      </c>
      <c r="G256" s="1">
        <f>6050+760+110+50</f>
        <v>6970</v>
      </c>
      <c r="H256" s="1">
        <v>2563</v>
      </c>
      <c r="I256" s="59">
        <f t="shared" si="55"/>
        <v>11902</v>
      </c>
      <c r="J256" s="1"/>
      <c r="K256" s="1"/>
      <c r="L256" s="1"/>
      <c r="M256" s="59">
        <f t="shared" si="56"/>
        <v>0</v>
      </c>
      <c r="N256" s="1"/>
      <c r="O256" s="1"/>
      <c r="P256" s="1"/>
      <c r="Q256" s="59">
        <f t="shared" si="57"/>
        <v>0</v>
      </c>
      <c r="R256" s="59">
        <f t="shared" si="53"/>
        <v>11902</v>
      </c>
      <c r="S256" s="4" t="s">
        <v>136</v>
      </c>
    </row>
    <row r="257" spans="1:21" ht="15.75" customHeight="1" x14ac:dyDescent="0.3">
      <c r="A257" s="76" t="s">
        <v>240</v>
      </c>
      <c r="B257" s="1"/>
      <c r="C257" s="1"/>
      <c r="D257" s="1"/>
      <c r="E257" s="59">
        <f t="shared" si="63"/>
        <v>0</v>
      </c>
      <c r="F257" s="1"/>
      <c r="G257" s="1">
        <v>98</v>
      </c>
      <c r="H257" s="1"/>
      <c r="I257" s="59">
        <f t="shared" si="55"/>
        <v>98</v>
      </c>
      <c r="J257" s="1"/>
      <c r="K257" s="1"/>
      <c r="L257" s="1"/>
      <c r="M257" s="59">
        <f t="shared" si="56"/>
        <v>0</v>
      </c>
      <c r="N257" s="1"/>
      <c r="O257" s="1"/>
      <c r="P257" s="1"/>
      <c r="Q257" s="59">
        <f>SUM(N257:P257)</f>
        <v>0</v>
      </c>
      <c r="R257" s="59">
        <f t="shared" si="53"/>
        <v>98</v>
      </c>
    </row>
    <row r="258" spans="1:21" ht="15.75" customHeight="1" x14ac:dyDescent="0.3">
      <c r="A258" s="76" t="s">
        <v>241</v>
      </c>
      <c r="B258" s="1"/>
      <c r="C258" s="1">
        <v>628</v>
      </c>
      <c r="D258" s="1"/>
      <c r="E258" s="59">
        <f>SUM(B258:D258)</f>
        <v>628</v>
      </c>
      <c r="F258" s="1">
        <v>800</v>
      </c>
      <c r="G258" s="1"/>
      <c r="H258" s="1"/>
      <c r="I258" s="59">
        <f t="shared" si="55"/>
        <v>800</v>
      </c>
      <c r="J258" s="1"/>
      <c r="K258" s="1"/>
      <c r="L258" s="1"/>
      <c r="M258" s="59">
        <f t="shared" si="56"/>
        <v>0</v>
      </c>
      <c r="N258" s="1"/>
      <c r="O258" s="1"/>
      <c r="P258" s="1"/>
      <c r="Q258" s="59">
        <f t="shared" si="57"/>
        <v>0</v>
      </c>
      <c r="R258" s="59">
        <f t="shared" si="53"/>
        <v>1428</v>
      </c>
      <c r="S258" s="4" t="s">
        <v>136</v>
      </c>
      <c r="T258" s="4" t="s">
        <v>137</v>
      </c>
    </row>
    <row r="259" spans="1:21" ht="15.75" customHeight="1" x14ac:dyDescent="0.3">
      <c r="A259" s="76" t="s">
        <v>242</v>
      </c>
      <c r="B259" s="1"/>
      <c r="C259" s="1"/>
      <c r="D259" s="1"/>
      <c r="E259" s="59">
        <f t="shared" ref="E259" si="66">SUM(B259:D259)</f>
        <v>0</v>
      </c>
      <c r="F259" s="1"/>
      <c r="G259" s="1"/>
      <c r="H259" s="1"/>
      <c r="I259" s="59">
        <f t="shared" si="55"/>
        <v>0</v>
      </c>
      <c r="J259" s="1"/>
      <c r="K259" s="1"/>
      <c r="L259" s="1"/>
      <c r="M259" s="59">
        <f t="shared" si="56"/>
        <v>0</v>
      </c>
      <c r="N259" s="1"/>
      <c r="O259" s="1"/>
      <c r="P259" s="1"/>
      <c r="Q259" s="59">
        <f t="shared" si="57"/>
        <v>0</v>
      </c>
      <c r="R259" s="59">
        <f t="shared" si="53"/>
        <v>0</v>
      </c>
      <c r="S259" s="106" t="s">
        <v>136</v>
      </c>
      <c r="T259" s="106" t="s">
        <v>137</v>
      </c>
      <c r="U259" s="106"/>
    </row>
    <row r="260" spans="1:21" ht="15.75" customHeight="1" x14ac:dyDescent="0.3">
      <c r="A260" s="76" t="s">
        <v>243</v>
      </c>
      <c r="B260" s="1"/>
      <c r="C260" s="1">
        <v>468</v>
      </c>
      <c r="D260" s="1">
        <v>1346</v>
      </c>
      <c r="E260" s="59">
        <f>SUM(B260:D260)</f>
        <v>1814</v>
      </c>
      <c r="F260" s="1"/>
      <c r="G260" s="1"/>
      <c r="H260" s="1"/>
      <c r="I260" s="59">
        <f>SUM(F260:H260)</f>
        <v>0</v>
      </c>
      <c r="J260" s="1"/>
      <c r="K260" s="1"/>
      <c r="L260" s="1"/>
      <c r="M260" s="59">
        <f t="shared" si="56"/>
        <v>0</v>
      </c>
      <c r="N260" s="1"/>
      <c r="O260" s="1"/>
      <c r="P260" s="1"/>
      <c r="Q260" s="59">
        <f t="shared" si="57"/>
        <v>0</v>
      </c>
      <c r="R260" s="59">
        <f t="shared" si="53"/>
        <v>1814</v>
      </c>
      <c r="T260" s="4" t="s">
        <v>244</v>
      </c>
    </row>
    <row r="261" spans="1:21" ht="15.75" customHeight="1" x14ac:dyDescent="0.3">
      <c r="A261" s="91" t="s">
        <v>245</v>
      </c>
      <c r="B261" s="1"/>
      <c r="C261" s="1"/>
      <c r="D261" s="1"/>
      <c r="E261" s="59">
        <f>SUM(B261:D261)</f>
        <v>0</v>
      </c>
      <c r="F261" s="1"/>
      <c r="G261" s="1"/>
      <c r="H261" s="1"/>
      <c r="I261" s="59">
        <f>SUM(F261:H261)</f>
        <v>0</v>
      </c>
      <c r="J261" s="1"/>
      <c r="K261" s="1"/>
      <c r="L261" s="1"/>
      <c r="M261" s="59">
        <f t="shared" si="56"/>
        <v>0</v>
      </c>
      <c r="N261" s="1"/>
      <c r="O261" s="1"/>
      <c r="P261" s="1"/>
      <c r="Q261" s="59">
        <f>SUM(N261:P261)</f>
        <v>0</v>
      </c>
      <c r="R261" s="59">
        <f>+E261+I261+M261+Q261</f>
        <v>0</v>
      </c>
      <c r="T261" s="4" t="s">
        <v>134</v>
      </c>
    </row>
    <row r="262" spans="1:21" ht="15.75" customHeight="1" x14ac:dyDescent="0.3">
      <c r="A262" s="76" t="s">
        <v>246</v>
      </c>
      <c r="B262" s="1"/>
      <c r="C262" s="1"/>
      <c r="D262" s="1"/>
      <c r="E262" s="59">
        <f t="shared" si="59"/>
        <v>0</v>
      </c>
      <c r="F262" s="1"/>
      <c r="G262" s="1"/>
      <c r="H262" s="1"/>
      <c r="I262" s="59">
        <f t="shared" si="55"/>
        <v>0</v>
      </c>
      <c r="J262" s="1"/>
      <c r="K262" s="1"/>
      <c r="L262" s="1"/>
      <c r="M262" s="59">
        <f t="shared" si="56"/>
        <v>0</v>
      </c>
      <c r="N262" s="1">
        <f>2+73</f>
        <v>75</v>
      </c>
      <c r="O262" s="1"/>
      <c r="P262" s="1"/>
      <c r="Q262" s="59">
        <f t="shared" si="57"/>
        <v>75</v>
      </c>
      <c r="R262" s="59">
        <f t="shared" si="53"/>
        <v>75</v>
      </c>
    </row>
    <row r="263" spans="1:21" ht="15.75" customHeight="1" x14ac:dyDescent="0.3">
      <c r="A263" s="76" t="s">
        <v>247</v>
      </c>
      <c r="B263" s="1"/>
      <c r="C263" s="1"/>
      <c r="D263" s="1"/>
      <c r="E263" s="59">
        <f t="shared" si="59"/>
        <v>0</v>
      </c>
      <c r="F263" s="1"/>
      <c r="G263" s="1"/>
      <c r="H263" s="1"/>
      <c r="I263" s="59">
        <f t="shared" si="55"/>
        <v>0</v>
      </c>
      <c r="J263" s="1"/>
      <c r="K263" s="1"/>
      <c r="L263" s="1"/>
      <c r="M263" s="59">
        <f t="shared" si="56"/>
        <v>0</v>
      </c>
      <c r="N263" s="1">
        <v>435</v>
      </c>
      <c r="O263" s="1">
        <v>301</v>
      </c>
      <c r="P263" s="1"/>
      <c r="Q263" s="59">
        <f t="shared" si="57"/>
        <v>736</v>
      </c>
      <c r="R263" s="59">
        <f t="shared" si="53"/>
        <v>736</v>
      </c>
    </row>
    <row r="264" spans="1:21" ht="15.75" customHeight="1" x14ac:dyDescent="0.3">
      <c r="A264" s="76" t="s">
        <v>248</v>
      </c>
      <c r="B264" s="1">
        <v>60</v>
      </c>
      <c r="C264" s="1"/>
      <c r="D264" s="1"/>
      <c r="E264" s="59">
        <f t="shared" si="59"/>
        <v>60</v>
      </c>
      <c r="F264" s="1"/>
      <c r="G264" s="1"/>
      <c r="H264" s="1"/>
      <c r="I264" s="59">
        <f t="shared" si="55"/>
        <v>0</v>
      </c>
      <c r="J264" s="1"/>
      <c r="K264" s="1"/>
      <c r="L264" s="1"/>
      <c r="M264" s="59">
        <f t="shared" si="56"/>
        <v>0</v>
      </c>
      <c r="N264" s="1"/>
      <c r="O264" s="1"/>
      <c r="P264" s="1"/>
      <c r="Q264" s="59">
        <f t="shared" si="57"/>
        <v>0</v>
      </c>
      <c r="R264" s="59">
        <f t="shared" si="53"/>
        <v>60</v>
      </c>
    </row>
    <row r="265" spans="1:21" ht="15.75" customHeight="1" x14ac:dyDescent="0.3">
      <c r="A265" s="76" t="s">
        <v>249</v>
      </c>
      <c r="B265" s="1">
        <v>60</v>
      </c>
      <c r="C265" s="1"/>
      <c r="D265" s="1"/>
      <c r="E265" s="59">
        <f t="shared" si="59"/>
        <v>60</v>
      </c>
      <c r="F265" s="1"/>
      <c r="G265" s="1"/>
      <c r="H265" s="1"/>
      <c r="I265" s="59">
        <f t="shared" si="55"/>
        <v>0</v>
      </c>
      <c r="J265" s="1"/>
      <c r="K265" s="1"/>
      <c r="L265" s="1"/>
      <c r="M265" s="59">
        <f t="shared" si="56"/>
        <v>0</v>
      </c>
      <c r="N265" s="1"/>
      <c r="O265" s="1"/>
      <c r="P265" s="1"/>
      <c r="Q265" s="59">
        <f t="shared" si="57"/>
        <v>0</v>
      </c>
      <c r="R265" s="59">
        <f t="shared" si="53"/>
        <v>60</v>
      </c>
      <c r="S265" s="4" t="s">
        <v>136</v>
      </c>
      <c r="T265" s="4" t="s">
        <v>137</v>
      </c>
    </row>
    <row r="266" spans="1:21" ht="15.75" customHeight="1" x14ac:dyDescent="0.3">
      <c r="A266" s="76" t="s">
        <v>250</v>
      </c>
      <c r="B266" s="1"/>
      <c r="C266" s="1"/>
      <c r="D266" s="1"/>
      <c r="E266" s="59">
        <f t="shared" si="59"/>
        <v>0</v>
      </c>
      <c r="F266" s="1"/>
      <c r="G266" s="1"/>
      <c r="H266" s="1"/>
      <c r="I266" s="59">
        <f t="shared" si="55"/>
        <v>0</v>
      </c>
      <c r="J266" s="1"/>
      <c r="K266" s="1"/>
      <c r="L266" s="1"/>
      <c r="M266" s="59">
        <f t="shared" si="56"/>
        <v>0</v>
      </c>
      <c r="N266" s="1"/>
      <c r="O266" s="1"/>
      <c r="P266" s="1"/>
      <c r="Q266" s="59">
        <f t="shared" si="57"/>
        <v>0</v>
      </c>
      <c r="R266" s="59">
        <f t="shared" si="53"/>
        <v>0</v>
      </c>
      <c r="T266" s="4" t="s">
        <v>137</v>
      </c>
    </row>
    <row r="267" spans="1:21" ht="15.75" customHeight="1" x14ac:dyDescent="0.3">
      <c r="A267" s="76" t="s">
        <v>251</v>
      </c>
      <c r="B267" s="1">
        <v>4143</v>
      </c>
      <c r="C267" s="1"/>
      <c r="D267" s="1"/>
      <c r="E267" s="59">
        <f t="shared" ref="E267" si="67">SUM(B267:D267)</f>
        <v>4143</v>
      </c>
      <c r="F267" s="1"/>
      <c r="G267" s="1"/>
      <c r="H267" s="1"/>
      <c r="I267" s="59">
        <f t="shared" ref="I267:I268" si="68">SUM(F267:H267)</f>
        <v>0</v>
      </c>
      <c r="J267" s="1"/>
      <c r="K267" s="1"/>
      <c r="L267" s="1"/>
      <c r="M267" s="59">
        <f t="shared" ref="M267:M268" si="69">SUM(J267:L267)</f>
        <v>0</v>
      </c>
      <c r="N267" s="1"/>
      <c r="O267" s="1"/>
      <c r="P267" s="1"/>
      <c r="Q267" s="59">
        <f t="shared" ref="Q267" si="70">SUM(N267:P267)</f>
        <v>0</v>
      </c>
      <c r="R267" s="59">
        <f t="shared" si="53"/>
        <v>4143</v>
      </c>
      <c r="S267" s="4" t="s">
        <v>136</v>
      </c>
      <c r="T267" s="4" t="s">
        <v>137</v>
      </c>
    </row>
    <row r="268" spans="1:21" ht="15.75" customHeight="1" x14ac:dyDescent="0.3">
      <c r="A268" s="76" t="s">
        <v>252</v>
      </c>
      <c r="B268" s="1"/>
      <c r="C268" s="1"/>
      <c r="D268" s="1"/>
      <c r="E268" s="59">
        <f t="shared" si="59"/>
        <v>0</v>
      </c>
      <c r="F268" s="1"/>
      <c r="G268" s="1"/>
      <c r="H268" s="1">
        <v>400</v>
      </c>
      <c r="I268" s="59">
        <f t="shared" si="68"/>
        <v>400</v>
      </c>
      <c r="J268" s="1">
        <v>400</v>
      </c>
      <c r="K268" s="1">
        <v>400</v>
      </c>
      <c r="L268" s="1">
        <v>75</v>
      </c>
      <c r="M268" s="59">
        <f t="shared" si="69"/>
        <v>875</v>
      </c>
      <c r="N268" s="1"/>
      <c r="O268" s="1"/>
      <c r="P268" s="1"/>
      <c r="Q268" s="59">
        <f t="shared" si="57"/>
        <v>0</v>
      </c>
      <c r="R268" s="59">
        <f>+E268+I268+M268+Q268</f>
        <v>1275</v>
      </c>
      <c r="S268" s="94" t="s">
        <v>136</v>
      </c>
      <c r="T268" s="4" t="s">
        <v>137</v>
      </c>
    </row>
    <row r="269" spans="1:21" ht="15.75" customHeight="1" x14ac:dyDescent="0.3">
      <c r="A269" s="91" t="s">
        <v>253</v>
      </c>
      <c r="B269" s="1"/>
      <c r="C269" s="1"/>
      <c r="D269" s="1"/>
      <c r="E269" s="59">
        <f t="shared" si="59"/>
        <v>0</v>
      </c>
      <c r="F269" s="1"/>
      <c r="G269" s="1"/>
      <c r="H269" s="1"/>
      <c r="I269" s="59">
        <f t="shared" si="55"/>
        <v>0</v>
      </c>
      <c r="J269" s="1"/>
      <c r="K269" s="1"/>
      <c r="L269" s="1"/>
      <c r="M269" s="59">
        <f t="shared" si="56"/>
        <v>0</v>
      </c>
      <c r="N269" s="1"/>
      <c r="O269" s="1"/>
      <c r="P269" s="1"/>
      <c r="Q269" s="59">
        <f>SUM(N269:P269)</f>
        <v>0</v>
      </c>
      <c r="R269" s="59">
        <f t="shared" si="53"/>
        <v>0</v>
      </c>
      <c r="T269" s="4" t="s">
        <v>132</v>
      </c>
    </row>
    <row r="270" spans="1:21" ht="15.75" customHeight="1" x14ac:dyDescent="0.3">
      <c r="A270" s="91" t="s">
        <v>254</v>
      </c>
      <c r="B270" s="1">
        <v>781</v>
      </c>
      <c r="C270" s="1">
        <v>781</v>
      </c>
      <c r="D270" s="1">
        <v>781</v>
      </c>
      <c r="E270" s="59">
        <f>SUM(B270:D270)</f>
        <v>2343</v>
      </c>
      <c r="F270" s="1">
        <v>781</v>
      </c>
      <c r="G270" s="1">
        <v>782</v>
      </c>
      <c r="H270" s="1">
        <v>782</v>
      </c>
      <c r="I270" s="59">
        <f t="shared" ref="I270:I271" si="71">SUM(F270:H270)</f>
        <v>2345</v>
      </c>
      <c r="J270" s="1">
        <v>782</v>
      </c>
      <c r="K270" s="1">
        <v>782</v>
      </c>
      <c r="L270" s="1">
        <v>782</v>
      </c>
      <c r="M270" s="59">
        <f t="shared" ref="M270" si="72">SUM(J270:L270)</f>
        <v>2346</v>
      </c>
      <c r="N270" s="1">
        <v>782</v>
      </c>
      <c r="O270" s="1">
        <v>782</v>
      </c>
      <c r="P270" s="1">
        <v>782</v>
      </c>
      <c r="Q270" s="59">
        <f>SUM(N270:P270)</f>
        <v>2346</v>
      </c>
      <c r="R270" s="59">
        <f t="shared" si="53"/>
        <v>9380</v>
      </c>
      <c r="T270" s="4" t="s">
        <v>134</v>
      </c>
    </row>
    <row r="271" spans="1:21" ht="15.75" customHeight="1" x14ac:dyDescent="0.3">
      <c r="A271" s="76" t="s">
        <v>255</v>
      </c>
      <c r="B271" s="1"/>
      <c r="C271" s="1"/>
      <c r="D271" s="1"/>
      <c r="E271" s="59">
        <f>SUM(B271:D271)</f>
        <v>0</v>
      </c>
      <c r="F271" s="1"/>
      <c r="G271" s="1"/>
      <c r="H271" s="1">
        <v>500</v>
      </c>
      <c r="I271" s="59">
        <f t="shared" si="71"/>
        <v>500</v>
      </c>
      <c r="J271" s="1"/>
      <c r="K271" s="1"/>
      <c r="L271" s="1"/>
      <c r="M271" s="59">
        <f>SUM(J271:L271)</f>
        <v>0</v>
      </c>
      <c r="N271" s="1"/>
      <c r="O271" s="1"/>
      <c r="P271" s="1"/>
      <c r="Q271" s="59">
        <f t="shared" si="57"/>
        <v>0</v>
      </c>
      <c r="R271" s="59">
        <f t="shared" si="53"/>
        <v>500</v>
      </c>
      <c r="S271" s="4" t="s">
        <v>136</v>
      </c>
      <c r="T271" s="4" t="s">
        <v>137</v>
      </c>
    </row>
    <row r="272" spans="1:21" ht="15.75" customHeight="1" x14ac:dyDescent="0.3">
      <c r="A272" s="76" t="s">
        <v>256</v>
      </c>
      <c r="B272" s="1"/>
      <c r="C272" s="1"/>
      <c r="D272" s="1"/>
      <c r="E272" s="59">
        <f t="shared" ref="E272:E273" si="73">SUM(B272:D272)</f>
        <v>0</v>
      </c>
      <c r="F272" s="1"/>
      <c r="G272" s="1"/>
      <c r="H272" s="1"/>
      <c r="I272" s="59">
        <f t="shared" si="55"/>
        <v>0</v>
      </c>
      <c r="J272" s="1"/>
      <c r="K272" s="1"/>
      <c r="L272" s="1"/>
      <c r="M272" s="59">
        <f t="shared" si="56"/>
        <v>0</v>
      </c>
      <c r="N272" s="1"/>
      <c r="O272" s="1"/>
      <c r="P272" s="1"/>
      <c r="Q272" s="59">
        <f t="shared" si="57"/>
        <v>0</v>
      </c>
      <c r="R272" s="59">
        <f t="shared" si="53"/>
        <v>0</v>
      </c>
      <c r="T272" s="4" t="s">
        <v>137</v>
      </c>
    </row>
    <row r="273" spans="1:20" ht="15.75" customHeight="1" x14ac:dyDescent="0.3">
      <c r="A273" s="91" t="s">
        <v>257</v>
      </c>
      <c r="B273" s="1"/>
      <c r="C273" s="1"/>
      <c r="D273" s="1"/>
      <c r="E273" s="59">
        <f t="shared" si="73"/>
        <v>0</v>
      </c>
      <c r="F273" s="1"/>
      <c r="G273" s="1"/>
      <c r="H273" s="1"/>
      <c r="I273" s="59">
        <f t="shared" si="55"/>
        <v>0</v>
      </c>
      <c r="J273" s="1"/>
      <c r="K273" s="1"/>
      <c r="L273" s="1"/>
      <c r="M273" s="59">
        <f t="shared" si="56"/>
        <v>0</v>
      </c>
      <c r="N273" s="1"/>
      <c r="O273" s="1"/>
      <c r="P273" s="1"/>
      <c r="Q273" s="59">
        <f t="shared" ref="Q273" si="74">SUM(N273:P273)</f>
        <v>0</v>
      </c>
      <c r="R273" s="59">
        <f t="shared" si="53"/>
        <v>0</v>
      </c>
    </row>
    <row r="274" spans="1:20" ht="15.75" customHeight="1" x14ac:dyDescent="0.3">
      <c r="A274" s="76" t="s">
        <v>258</v>
      </c>
      <c r="B274" s="1">
        <v>1318</v>
      </c>
      <c r="C274" s="1">
        <v>1532</v>
      </c>
      <c r="D274" s="1"/>
      <c r="E274" s="59">
        <f t="shared" si="59"/>
        <v>2850</v>
      </c>
      <c r="F274" s="1"/>
      <c r="G274" s="1"/>
      <c r="H274" s="1"/>
      <c r="I274" s="59">
        <f t="shared" si="55"/>
        <v>0</v>
      </c>
      <c r="J274" s="1"/>
      <c r="K274" s="1"/>
      <c r="L274" s="1"/>
      <c r="M274" s="59">
        <f t="shared" si="56"/>
        <v>0</v>
      </c>
      <c r="N274" s="1"/>
      <c r="O274" s="1"/>
      <c r="P274" s="1"/>
      <c r="Q274" s="59">
        <f t="shared" si="57"/>
        <v>0</v>
      </c>
      <c r="R274" s="59">
        <f t="shared" si="53"/>
        <v>2850</v>
      </c>
      <c r="T274" s="4" t="s">
        <v>158</v>
      </c>
    </row>
    <row r="275" spans="1:20" ht="15.75" customHeight="1" x14ac:dyDescent="0.3">
      <c r="A275" s="76" t="s">
        <v>259</v>
      </c>
      <c r="B275" s="1"/>
      <c r="C275" s="1"/>
      <c r="D275" s="1"/>
      <c r="E275" s="59">
        <f t="shared" si="59"/>
        <v>0</v>
      </c>
      <c r="F275" s="1"/>
      <c r="G275" s="1"/>
      <c r="H275" s="1"/>
      <c r="I275" s="59">
        <f>SUM(F275:H275)</f>
        <v>0</v>
      </c>
      <c r="J275" s="1"/>
      <c r="K275" s="1"/>
      <c r="L275" s="1"/>
      <c r="M275" s="59">
        <f t="shared" si="56"/>
        <v>0</v>
      </c>
      <c r="N275" s="1"/>
      <c r="O275" s="1"/>
      <c r="P275" s="1"/>
      <c r="Q275" s="59">
        <f t="shared" si="57"/>
        <v>0</v>
      </c>
      <c r="R275" s="59">
        <f t="shared" si="53"/>
        <v>0</v>
      </c>
      <c r="S275" s="4" t="s">
        <v>136</v>
      </c>
    </row>
    <row r="276" spans="1:20" ht="15.75" customHeight="1" x14ac:dyDescent="0.3">
      <c r="A276" s="76" t="s">
        <v>260</v>
      </c>
      <c r="B276" s="1"/>
      <c r="C276" s="1"/>
      <c r="D276" s="1"/>
      <c r="E276" s="59">
        <f t="shared" si="59"/>
        <v>0</v>
      </c>
      <c r="F276" s="1"/>
      <c r="G276" s="1"/>
      <c r="H276" s="1"/>
      <c r="I276" s="59">
        <f>SUM(F276:H276)</f>
        <v>0</v>
      </c>
      <c r="J276" s="1"/>
      <c r="K276" s="1"/>
      <c r="L276" s="1"/>
      <c r="M276" s="59">
        <f t="shared" si="56"/>
        <v>0</v>
      </c>
      <c r="N276" s="1"/>
      <c r="O276" s="1"/>
      <c r="P276" s="1"/>
      <c r="Q276" s="59">
        <f t="shared" ref="Q276" si="75">SUM(N276:P276)</f>
        <v>0</v>
      </c>
      <c r="R276" s="59">
        <f t="shared" si="53"/>
        <v>0</v>
      </c>
    </row>
    <row r="277" spans="1:20" ht="15.75" customHeight="1" x14ac:dyDescent="0.3">
      <c r="A277" s="76" t="s">
        <v>261</v>
      </c>
      <c r="B277" s="1">
        <v>95</v>
      </c>
      <c r="C277" s="1"/>
      <c r="D277" s="1"/>
      <c r="E277" s="59">
        <f t="shared" si="59"/>
        <v>95</v>
      </c>
      <c r="F277" s="1"/>
      <c r="G277" s="1"/>
      <c r="H277" s="1"/>
      <c r="I277" s="59">
        <f t="shared" si="55"/>
        <v>0</v>
      </c>
      <c r="J277" s="1"/>
      <c r="K277" s="1"/>
      <c r="L277" s="1"/>
      <c r="M277" s="59">
        <f t="shared" si="56"/>
        <v>0</v>
      </c>
      <c r="N277" s="1"/>
      <c r="O277" s="1"/>
      <c r="P277" s="1"/>
      <c r="Q277" s="59">
        <f t="shared" si="57"/>
        <v>0</v>
      </c>
      <c r="R277" s="59">
        <f t="shared" si="53"/>
        <v>95</v>
      </c>
    </row>
    <row r="278" spans="1:20" ht="15.75" customHeight="1" x14ac:dyDescent="0.3">
      <c r="A278" s="76" t="s">
        <v>262</v>
      </c>
      <c r="B278" s="1">
        <v>95</v>
      </c>
      <c r="C278" s="1"/>
      <c r="D278" s="1"/>
      <c r="E278" s="59">
        <f t="shared" si="59"/>
        <v>95</v>
      </c>
      <c r="F278" s="1"/>
      <c r="G278" s="1"/>
      <c r="H278" s="1"/>
      <c r="I278" s="59">
        <f t="shared" si="55"/>
        <v>0</v>
      </c>
      <c r="J278" s="1"/>
      <c r="K278" s="1"/>
      <c r="L278" s="1"/>
      <c r="M278" s="59">
        <f t="shared" si="56"/>
        <v>0</v>
      </c>
      <c r="N278" s="1"/>
      <c r="O278" s="1"/>
      <c r="P278" s="1"/>
      <c r="Q278" s="59">
        <f t="shared" si="57"/>
        <v>0</v>
      </c>
      <c r="R278" s="59">
        <f t="shared" si="53"/>
        <v>95</v>
      </c>
      <c r="S278" s="4" t="s">
        <v>136</v>
      </c>
      <c r="T278" s="4" t="s">
        <v>137</v>
      </c>
    </row>
    <row r="279" spans="1:20" ht="15.75" customHeight="1" x14ac:dyDescent="0.3">
      <c r="A279" s="76" t="s">
        <v>263</v>
      </c>
      <c r="B279" s="1"/>
      <c r="C279" s="1">
        <v>1700</v>
      </c>
      <c r="D279" s="1">
        <v>1900</v>
      </c>
      <c r="E279" s="59">
        <f>SUM(B279:D279)</f>
        <v>3600</v>
      </c>
      <c r="F279" s="1">
        <v>1200</v>
      </c>
      <c r="G279" s="1">
        <v>1100</v>
      </c>
      <c r="H279" s="1">
        <v>200</v>
      </c>
      <c r="I279" s="59">
        <f>SUM(F279:H279)</f>
        <v>2500</v>
      </c>
      <c r="J279" s="1">
        <v>200</v>
      </c>
      <c r="K279" s="1">
        <v>700</v>
      </c>
      <c r="L279" s="1">
        <v>900</v>
      </c>
      <c r="M279" s="59">
        <f>SUM(J279:L279)</f>
        <v>1800</v>
      </c>
      <c r="N279" s="1">
        <v>1100</v>
      </c>
      <c r="O279" s="1">
        <v>1000</v>
      </c>
      <c r="P279" s="1">
        <v>1300</v>
      </c>
      <c r="Q279" s="59">
        <f>SUM(N279:P279)</f>
        <v>3400</v>
      </c>
      <c r="R279" s="59">
        <f t="shared" si="53"/>
        <v>11300</v>
      </c>
      <c r="S279" s="4" t="s">
        <v>136</v>
      </c>
      <c r="T279" s="4" t="s">
        <v>137</v>
      </c>
    </row>
    <row r="280" spans="1:20" ht="15.75" customHeight="1" x14ac:dyDescent="0.3">
      <c r="A280" s="76" t="s">
        <v>264</v>
      </c>
      <c r="B280" s="1"/>
      <c r="C280" s="1"/>
      <c r="D280" s="1"/>
      <c r="E280" s="59">
        <f>SUM(B280:D280)</f>
        <v>0</v>
      </c>
      <c r="F280" s="1"/>
      <c r="G280" s="1">
        <v>2700</v>
      </c>
      <c r="H280" s="1"/>
      <c r="I280" s="59">
        <f>SUM(F280:H280)</f>
        <v>2700</v>
      </c>
      <c r="J280" s="1">
        <v>6000</v>
      </c>
      <c r="K280" s="1"/>
      <c r="L280" s="1"/>
      <c r="M280" s="59">
        <f>SUM(J280:L280)</f>
        <v>6000</v>
      </c>
      <c r="N280" s="1"/>
      <c r="O280" s="1"/>
      <c r="P280" s="1"/>
      <c r="Q280" s="59">
        <f>SUM(N280:P280)</f>
        <v>0</v>
      </c>
      <c r="R280" s="59">
        <f t="shared" si="53"/>
        <v>8700</v>
      </c>
    </row>
    <row r="281" spans="1:20" ht="15.75" customHeight="1" x14ac:dyDescent="0.3">
      <c r="A281" s="76" t="s">
        <v>265</v>
      </c>
      <c r="B281" s="1"/>
      <c r="C281" s="1"/>
      <c r="D281" s="1"/>
      <c r="E281" s="59">
        <f>SUM(B281:D281)</f>
        <v>0</v>
      </c>
      <c r="F281" s="1"/>
      <c r="G281" s="1"/>
      <c r="H281" s="1"/>
      <c r="I281" s="59">
        <f>SUM(F281:H281)</f>
        <v>0</v>
      </c>
      <c r="J281" s="1"/>
      <c r="K281" s="1"/>
      <c r="L281" s="1"/>
      <c r="M281" s="59">
        <f>SUM(J281:L281)</f>
        <v>0</v>
      </c>
      <c r="N281" s="1"/>
      <c r="O281" s="1"/>
      <c r="P281" s="1"/>
      <c r="Q281" s="59">
        <f t="shared" ref="Q281:Q284" si="76">SUM(N281:P281)</f>
        <v>0</v>
      </c>
      <c r="R281" s="59">
        <f t="shared" si="53"/>
        <v>0</v>
      </c>
      <c r="T281" s="4" t="s">
        <v>137</v>
      </c>
    </row>
    <row r="282" spans="1:20" ht="15.75" customHeight="1" x14ac:dyDescent="0.3">
      <c r="A282" s="76" t="s">
        <v>266</v>
      </c>
      <c r="B282" s="1"/>
      <c r="C282" s="1"/>
      <c r="D282" s="1"/>
      <c r="E282" s="59">
        <f t="shared" ref="E282:E285" si="77">SUM(B282:D282)</f>
        <v>0</v>
      </c>
      <c r="F282" s="1"/>
      <c r="G282" s="1"/>
      <c r="H282" s="1"/>
      <c r="I282" s="59">
        <f t="shared" ref="I282:I285" si="78">SUM(F282:H282)</f>
        <v>0</v>
      </c>
      <c r="J282" s="1"/>
      <c r="K282" s="1"/>
      <c r="L282" s="1"/>
      <c r="M282" s="59">
        <f t="shared" ref="M282:M285" si="79">SUM(J282:L282)</f>
        <v>0</v>
      </c>
      <c r="N282" s="1"/>
      <c r="O282" s="1"/>
      <c r="P282" s="1"/>
      <c r="Q282" s="59">
        <f t="shared" si="76"/>
        <v>0</v>
      </c>
      <c r="R282" s="59">
        <f t="shared" si="53"/>
        <v>0</v>
      </c>
      <c r="T282" s="4" t="s">
        <v>137</v>
      </c>
    </row>
    <row r="283" spans="1:20" ht="15.75" customHeight="1" x14ac:dyDescent="0.3">
      <c r="A283" s="91" t="s">
        <v>267</v>
      </c>
      <c r="B283" s="1"/>
      <c r="C283" s="1"/>
      <c r="D283" s="1"/>
      <c r="E283" s="59">
        <f t="shared" si="77"/>
        <v>0</v>
      </c>
      <c r="F283" s="1"/>
      <c r="G283" s="1"/>
      <c r="H283" s="1"/>
      <c r="I283" s="59">
        <f t="shared" si="78"/>
        <v>0</v>
      </c>
      <c r="J283" s="1"/>
      <c r="K283" s="1"/>
      <c r="L283" s="1"/>
      <c r="M283" s="59">
        <f t="shared" si="79"/>
        <v>0</v>
      </c>
      <c r="N283" s="1"/>
      <c r="O283" s="1"/>
      <c r="P283" s="1"/>
      <c r="Q283" s="59">
        <f t="shared" si="76"/>
        <v>0</v>
      </c>
      <c r="R283" s="59">
        <f t="shared" si="53"/>
        <v>0</v>
      </c>
    </row>
    <row r="284" spans="1:20" ht="15.75" customHeight="1" x14ac:dyDescent="0.3">
      <c r="A284" s="76" t="s">
        <v>268</v>
      </c>
      <c r="B284" s="1"/>
      <c r="C284" s="1"/>
      <c r="D284" s="1"/>
      <c r="E284" s="59">
        <f t="shared" si="77"/>
        <v>0</v>
      </c>
      <c r="F284" s="1"/>
      <c r="G284" s="1"/>
      <c r="H284" s="1"/>
      <c r="I284" s="59">
        <f t="shared" si="78"/>
        <v>0</v>
      </c>
      <c r="J284" s="1"/>
      <c r="K284" s="1"/>
      <c r="L284" s="1"/>
      <c r="M284" s="59">
        <f t="shared" si="79"/>
        <v>0</v>
      </c>
      <c r="N284" s="1"/>
      <c r="O284" s="1"/>
      <c r="P284" s="1"/>
      <c r="Q284" s="59">
        <f t="shared" si="76"/>
        <v>0</v>
      </c>
      <c r="R284" s="59">
        <f t="shared" si="53"/>
        <v>0</v>
      </c>
    </row>
    <row r="285" spans="1:20" ht="15.75" customHeight="1" x14ac:dyDescent="0.3">
      <c r="A285" s="76" t="s">
        <v>269</v>
      </c>
      <c r="B285" s="1"/>
      <c r="C285" s="1"/>
      <c r="D285" s="1"/>
      <c r="E285" s="59">
        <f t="shared" si="77"/>
        <v>0</v>
      </c>
      <c r="F285" s="1"/>
      <c r="G285" s="1">
        <v>570</v>
      </c>
      <c r="H285" s="1">
        <v>570</v>
      </c>
      <c r="I285" s="59">
        <f t="shared" si="78"/>
        <v>1140</v>
      </c>
      <c r="J285" s="1">
        <v>951</v>
      </c>
      <c r="K285" s="1">
        <v>951</v>
      </c>
      <c r="L285" s="1">
        <v>951</v>
      </c>
      <c r="M285" s="59">
        <f t="shared" si="79"/>
        <v>2853</v>
      </c>
      <c r="N285" s="1">
        <v>761</v>
      </c>
      <c r="O285" s="1">
        <v>761</v>
      </c>
      <c r="P285" s="1">
        <v>285</v>
      </c>
      <c r="Q285" s="59">
        <f t="shared" si="57"/>
        <v>1807</v>
      </c>
      <c r="R285" s="59">
        <f t="shared" si="53"/>
        <v>5800</v>
      </c>
      <c r="S285" s="4" t="s">
        <v>136</v>
      </c>
    </row>
    <row r="286" spans="1:20" ht="15.75" customHeight="1" x14ac:dyDescent="0.3">
      <c r="A286" s="76" t="s">
        <v>270</v>
      </c>
      <c r="B286" s="1">
        <f>439+80+10</f>
        <v>529</v>
      </c>
      <c r="C286" s="1">
        <f>3360+70+20</f>
        <v>3450</v>
      </c>
      <c r="D286" s="1">
        <f>4630+290+80+40</f>
        <v>5040</v>
      </c>
      <c r="E286" s="59">
        <f>SUM(B286:D286)</f>
        <v>9019</v>
      </c>
      <c r="F286" s="1">
        <f>3481</f>
        <v>3481</v>
      </c>
      <c r="G286" s="1"/>
      <c r="H286" s="1"/>
      <c r="I286" s="59">
        <f>SUM(F286:H286)</f>
        <v>3481</v>
      </c>
      <c r="J286" s="1"/>
      <c r="K286" s="1"/>
      <c r="L286" s="1"/>
      <c r="M286" s="59">
        <f>SUM(J286:L286)</f>
        <v>0</v>
      </c>
      <c r="N286" s="1"/>
      <c r="O286" s="1"/>
      <c r="P286" s="1"/>
      <c r="Q286" s="59">
        <f>SUM(N286:P286)</f>
        <v>0</v>
      </c>
      <c r="R286" s="59">
        <f>+E286+I286+M286+Q286</f>
        <v>12500</v>
      </c>
      <c r="S286" s="4" t="s">
        <v>136</v>
      </c>
    </row>
    <row r="287" spans="1:20" ht="15.75" customHeight="1" x14ac:dyDescent="0.3">
      <c r="A287" s="76" t="s">
        <v>271</v>
      </c>
      <c r="B287" s="1"/>
      <c r="C287" s="1"/>
      <c r="D287" s="1"/>
      <c r="E287" s="59">
        <f>SUM(B287:D287)</f>
        <v>0</v>
      </c>
      <c r="F287" s="1"/>
      <c r="G287" s="1"/>
      <c r="H287" s="1"/>
      <c r="I287" s="59">
        <f>SUM(F287:H287)</f>
        <v>0</v>
      </c>
      <c r="J287" s="1"/>
      <c r="K287" s="1"/>
      <c r="L287" s="1"/>
      <c r="M287" s="59">
        <f>SUM(J287:L287)</f>
        <v>0</v>
      </c>
      <c r="N287" s="1"/>
      <c r="O287" s="1"/>
      <c r="P287" s="1"/>
      <c r="Q287" s="59">
        <f>SUM(N287:P287)</f>
        <v>0</v>
      </c>
      <c r="R287" s="59">
        <f>+E287+I287+M287+Q287</f>
        <v>0</v>
      </c>
    </row>
    <row r="288" spans="1:20" ht="15.75" customHeight="1" x14ac:dyDescent="0.3">
      <c r="A288" s="76" t="s">
        <v>272</v>
      </c>
      <c r="B288" s="1"/>
      <c r="C288" s="1"/>
      <c r="D288" s="1"/>
      <c r="E288" s="59">
        <f t="shared" ref="E288" si="80">SUM(B288:D288)</f>
        <v>0</v>
      </c>
      <c r="F288" s="1"/>
      <c r="G288" s="1"/>
      <c r="H288" s="1"/>
      <c r="I288" s="59">
        <f t="shared" ref="I288" si="81">SUM(F288:H288)</f>
        <v>0</v>
      </c>
      <c r="J288" s="1"/>
      <c r="K288" s="1"/>
      <c r="L288" s="1"/>
      <c r="M288" s="59">
        <f t="shared" ref="M288" si="82">SUM(J288:L288)</f>
        <v>0</v>
      </c>
      <c r="N288" s="1"/>
      <c r="O288" s="1"/>
      <c r="P288" s="1"/>
      <c r="Q288" s="59">
        <f t="shared" ref="Q288" si="83">SUM(N288:P288)</f>
        <v>0</v>
      </c>
      <c r="R288" s="59">
        <f t="shared" ref="R288" si="84">+E288+I288+M288+Q288</f>
        <v>0</v>
      </c>
    </row>
    <row r="289" spans="1:20" ht="15.75" customHeight="1" x14ac:dyDescent="0.3">
      <c r="A289" s="76" t="s">
        <v>273</v>
      </c>
      <c r="B289" s="1">
        <v>500</v>
      </c>
      <c r="C289" s="1"/>
      <c r="D289" s="1"/>
      <c r="E289" s="59">
        <f t="shared" ref="E289:E290" si="85">SUM(B289:D289)</f>
        <v>500</v>
      </c>
      <c r="F289" s="1"/>
      <c r="G289" s="1"/>
      <c r="H289" s="1"/>
      <c r="I289" s="59">
        <f t="shared" si="55"/>
        <v>0</v>
      </c>
      <c r="J289" s="1"/>
      <c r="K289" s="1"/>
      <c r="L289" s="1"/>
      <c r="M289" s="59">
        <f t="shared" si="56"/>
        <v>0</v>
      </c>
      <c r="N289" s="1"/>
      <c r="O289" s="1"/>
      <c r="P289" s="1"/>
      <c r="Q289" s="59">
        <f t="shared" si="57"/>
        <v>0</v>
      </c>
      <c r="R289" s="59">
        <f t="shared" si="53"/>
        <v>500</v>
      </c>
    </row>
    <row r="290" spans="1:20" ht="15.75" customHeight="1" x14ac:dyDescent="0.3">
      <c r="A290" s="76" t="s">
        <v>274</v>
      </c>
      <c r="B290" s="1"/>
      <c r="C290" s="1"/>
      <c r="D290" s="1"/>
      <c r="E290" s="59">
        <f t="shared" si="85"/>
        <v>0</v>
      </c>
      <c r="F290" s="1"/>
      <c r="G290" s="1"/>
      <c r="H290" s="1"/>
      <c r="I290" s="59">
        <f t="shared" si="55"/>
        <v>0</v>
      </c>
      <c r="J290" s="1"/>
      <c r="K290" s="1"/>
      <c r="L290" s="1"/>
      <c r="M290" s="59">
        <f t="shared" si="56"/>
        <v>0</v>
      </c>
      <c r="N290" s="1"/>
      <c r="O290" s="1"/>
      <c r="P290" s="1"/>
      <c r="Q290" s="59">
        <f t="shared" si="57"/>
        <v>0</v>
      </c>
      <c r="R290" s="59">
        <f t="shared" si="53"/>
        <v>0</v>
      </c>
    </row>
    <row r="291" spans="1:20" ht="15.75" customHeight="1" thickBot="1" x14ac:dyDescent="0.35">
      <c r="A291" s="76" t="s">
        <v>275</v>
      </c>
      <c r="B291" s="1"/>
      <c r="C291" s="1"/>
      <c r="D291" s="1"/>
      <c r="E291" s="59">
        <f>SUM(B291:D291)</f>
        <v>0</v>
      </c>
      <c r="F291" s="1"/>
      <c r="G291" s="1"/>
      <c r="H291" s="1"/>
      <c r="I291" s="59">
        <f>SUM(F291:H291)</f>
        <v>0</v>
      </c>
      <c r="J291" s="1"/>
      <c r="K291" s="1"/>
      <c r="L291" s="1"/>
      <c r="M291" s="59">
        <f>SUM(J291:L291)</f>
        <v>0</v>
      </c>
      <c r="N291" s="1"/>
      <c r="O291" s="1"/>
      <c r="P291" s="1">
        <v>128</v>
      </c>
      <c r="Q291" s="59">
        <f>SUM(N291:P291)</f>
        <v>128</v>
      </c>
      <c r="R291" s="59">
        <f t="shared" si="53"/>
        <v>128</v>
      </c>
      <c r="S291" s="94" t="s">
        <v>136</v>
      </c>
    </row>
    <row r="292" spans="1:20" ht="16.5" customHeight="1" thickBot="1" x14ac:dyDescent="0.35">
      <c r="A292" s="62" t="s">
        <v>61</v>
      </c>
      <c r="B292" s="101">
        <f>SUM(B222:B291)</f>
        <v>10809</v>
      </c>
      <c r="C292" s="101">
        <f>SUM(C222:C291)</f>
        <v>10400</v>
      </c>
      <c r="D292" s="101">
        <f>SUM(D222:D291)</f>
        <v>13544</v>
      </c>
      <c r="E292" s="64">
        <f t="shared" ref="E292" si="86">SUM(B292:D292)</f>
        <v>34753</v>
      </c>
      <c r="F292" s="101">
        <f>SUM(F222:F291)</f>
        <v>12816</v>
      </c>
      <c r="G292" s="101">
        <f>SUM(G222:G291)</f>
        <v>16369</v>
      </c>
      <c r="H292" s="101">
        <f>SUM(H222:H291)</f>
        <v>5975</v>
      </c>
      <c r="I292" s="64">
        <f t="shared" ref="I292" si="87">SUM(F292:H292)</f>
        <v>35160</v>
      </c>
      <c r="J292" s="101">
        <f>SUM(J222:J291)</f>
        <v>9087</v>
      </c>
      <c r="K292" s="101">
        <f>SUM(K222:K291)</f>
        <v>4058</v>
      </c>
      <c r="L292" s="101">
        <f>SUM(L222:L291)</f>
        <v>3775</v>
      </c>
      <c r="M292" s="64">
        <f t="shared" ref="M292" si="88">SUM(J292:L292)</f>
        <v>16920</v>
      </c>
      <c r="N292" s="101">
        <f>SUM(N222:N291)</f>
        <v>3788</v>
      </c>
      <c r="O292" s="101">
        <f>SUM(O222:O291)</f>
        <v>3623</v>
      </c>
      <c r="P292" s="101">
        <f>SUM(P222:P291)</f>
        <v>5876</v>
      </c>
      <c r="Q292" s="64">
        <f t="shared" ref="Q292" si="89">SUM(N292:P292)</f>
        <v>13287</v>
      </c>
      <c r="R292" s="64">
        <f t="shared" si="53"/>
        <v>100120</v>
      </c>
    </row>
    <row r="293" spans="1:20" ht="15.75" customHeight="1" x14ac:dyDescent="0.3">
      <c r="A293" s="17" t="s">
        <v>62</v>
      </c>
      <c r="B293" s="1"/>
      <c r="C293" s="1"/>
      <c r="D293" s="1"/>
      <c r="E293" s="59" t="s">
        <v>7</v>
      </c>
      <c r="F293" s="1"/>
      <c r="G293" s="1"/>
      <c r="H293" s="1"/>
      <c r="I293" s="59" t="s">
        <v>7</v>
      </c>
      <c r="J293" s="1"/>
      <c r="K293" s="1"/>
      <c r="L293" s="1"/>
      <c r="M293" s="59" t="s">
        <v>7</v>
      </c>
      <c r="N293" s="1"/>
      <c r="O293" s="1"/>
      <c r="P293" s="1"/>
      <c r="Q293" s="59" t="s">
        <v>7</v>
      </c>
      <c r="R293" s="59" t="s">
        <v>7</v>
      </c>
    </row>
    <row r="294" spans="1:20" ht="15.75" customHeight="1" x14ac:dyDescent="0.3">
      <c r="A294" s="17" t="s">
        <v>63</v>
      </c>
      <c r="B294" s="1"/>
      <c r="C294" s="1"/>
      <c r="D294" s="1"/>
      <c r="E294" s="59" t="s">
        <v>7</v>
      </c>
      <c r="F294" s="1"/>
      <c r="G294" s="1"/>
      <c r="H294" s="1"/>
      <c r="I294" s="59" t="s">
        <v>7</v>
      </c>
      <c r="J294" s="1"/>
      <c r="K294" s="1"/>
      <c r="L294" s="1"/>
      <c r="M294" s="59" t="s">
        <v>7</v>
      </c>
      <c r="N294" s="1"/>
      <c r="O294" s="1"/>
      <c r="P294" s="1"/>
      <c r="Q294" s="59" t="s">
        <v>7</v>
      </c>
      <c r="R294" s="59" t="s">
        <v>7</v>
      </c>
    </row>
    <row r="295" spans="1:20" ht="15.75" customHeight="1" x14ac:dyDescent="0.3">
      <c r="A295" s="99" t="s">
        <v>276</v>
      </c>
      <c r="B295" s="1"/>
      <c r="C295" s="1"/>
      <c r="D295" s="1"/>
      <c r="E295" s="59">
        <f>SUM(B295:D295)</f>
        <v>0</v>
      </c>
      <c r="F295" s="1"/>
      <c r="G295" s="1"/>
      <c r="H295" s="1"/>
      <c r="I295" s="59">
        <f>SUM(F295:H295)</f>
        <v>0</v>
      </c>
      <c r="J295" s="1"/>
      <c r="K295" s="1"/>
      <c r="L295" s="1"/>
      <c r="M295" s="59">
        <f>SUM(J295:L295)</f>
        <v>0</v>
      </c>
      <c r="N295" s="1"/>
      <c r="O295" s="1"/>
      <c r="P295" s="1"/>
      <c r="Q295" s="59">
        <f>SUM(N295:P295)</f>
        <v>0</v>
      </c>
      <c r="R295" s="59">
        <f>+E295+I295+M295+Q295</f>
        <v>0</v>
      </c>
      <c r="T295" s="4" t="s">
        <v>132</v>
      </c>
    </row>
    <row r="296" spans="1:20" ht="15.75" customHeight="1" x14ac:dyDescent="0.3">
      <c r="A296" s="99" t="s">
        <v>277</v>
      </c>
      <c r="B296" s="1"/>
      <c r="C296" s="1"/>
      <c r="D296" s="1"/>
      <c r="E296" s="59">
        <f>SUM(B296:D296)</f>
        <v>0</v>
      </c>
      <c r="F296" s="1"/>
      <c r="G296" s="1"/>
      <c r="H296" s="1"/>
      <c r="I296" s="59">
        <f>SUM(F296:H296)</f>
        <v>0</v>
      </c>
      <c r="J296" s="1"/>
      <c r="K296" s="1"/>
      <c r="L296" s="1"/>
      <c r="M296" s="59">
        <f>SUM(J296:L296)</f>
        <v>0</v>
      </c>
      <c r="N296" s="1"/>
      <c r="O296" s="1"/>
      <c r="P296" s="1"/>
      <c r="Q296" s="59">
        <f>SUM(N296:P296)</f>
        <v>0</v>
      </c>
      <c r="R296" s="59">
        <f>+E296+I296+M296+Q296</f>
        <v>0</v>
      </c>
      <c r="T296" s="4" t="s">
        <v>134</v>
      </c>
    </row>
    <row r="297" spans="1:20" ht="15.75" customHeight="1" x14ac:dyDescent="0.3">
      <c r="A297" s="17" t="s">
        <v>64</v>
      </c>
      <c r="B297" s="1"/>
      <c r="C297" s="1"/>
      <c r="D297" s="1"/>
      <c r="E297" s="59" t="s">
        <v>7</v>
      </c>
      <c r="F297" s="1"/>
      <c r="G297" s="1"/>
      <c r="H297" s="1"/>
      <c r="I297" s="59" t="s">
        <v>7</v>
      </c>
      <c r="J297" s="1"/>
      <c r="K297" s="1"/>
      <c r="L297" s="1"/>
      <c r="M297" s="59" t="s">
        <v>7</v>
      </c>
      <c r="N297" s="1"/>
      <c r="O297" s="1"/>
      <c r="P297" s="1"/>
      <c r="Q297" s="59" t="s">
        <v>7</v>
      </c>
      <c r="R297" s="59" t="s">
        <v>7</v>
      </c>
    </row>
    <row r="298" spans="1:20" ht="15.75" customHeight="1" x14ac:dyDescent="0.3">
      <c r="A298" s="99" t="s">
        <v>278</v>
      </c>
      <c r="B298" s="1"/>
      <c r="C298" s="1"/>
      <c r="D298" s="1"/>
      <c r="E298" s="59">
        <f>SUM(B298:D298)</f>
        <v>0</v>
      </c>
      <c r="F298" s="1"/>
      <c r="G298" s="1"/>
      <c r="H298" s="1"/>
      <c r="I298" s="59">
        <f>SUM(F298:H298)</f>
        <v>0</v>
      </c>
      <c r="J298" s="1"/>
      <c r="K298" s="1"/>
      <c r="L298" s="1"/>
      <c r="M298" s="59">
        <f>SUM(J298:L298)</f>
        <v>0</v>
      </c>
      <c r="N298" s="1"/>
      <c r="O298" s="1"/>
      <c r="P298" s="1"/>
      <c r="Q298" s="59">
        <f>SUM(N298:P298)</f>
        <v>0</v>
      </c>
      <c r="R298" s="59">
        <f>+E298+I298+M298+Q298</f>
        <v>0</v>
      </c>
    </row>
    <row r="299" spans="1:20" ht="15.75" customHeight="1" x14ac:dyDescent="0.3">
      <c r="A299" s="99" t="s">
        <v>279</v>
      </c>
      <c r="B299" s="1"/>
      <c r="C299" s="1"/>
      <c r="D299" s="1"/>
      <c r="E299" s="59">
        <f>SUM(B299:D299)</f>
        <v>0</v>
      </c>
      <c r="F299" s="1"/>
      <c r="G299" s="1"/>
      <c r="H299" s="1"/>
      <c r="I299" s="59">
        <f>SUM(F299:H299)</f>
        <v>0</v>
      </c>
      <c r="J299" s="1"/>
      <c r="K299" s="1"/>
      <c r="L299" s="1"/>
      <c r="M299" s="59">
        <f>SUM(J299:L299)</f>
        <v>0</v>
      </c>
      <c r="N299" s="1"/>
      <c r="O299" s="1"/>
      <c r="P299" s="1"/>
      <c r="Q299" s="59">
        <f>SUM(N299:P299)</f>
        <v>0</v>
      </c>
      <c r="R299" s="59">
        <f>+E299+I299+M299+Q299</f>
        <v>0</v>
      </c>
      <c r="T299" s="4">
        <f>24000-SUM(R151,R155,R175,R178,R192,R210,R246,R248,R269,R295,R298,R299)</f>
        <v>4846</v>
      </c>
    </row>
    <row r="300" spans="1:20" ht="15.75" customHeight="1" x14ac:dyDescent="0.3">
      <c r="A300" s="74" t="s">
        <v>280</v>
      </c>
      <c r="B300" s="1"/>
      <c r="C300" s="1"/>
      <c r="D300" s="1"/>
      <c r="E300" s="59">
        <f t="shared" ref="E300:E305" si="90">SUM(B300:D300)</f>
        <v>0</v>
      </c>
      <c r="F300" s="1"/>
      <c r="G300" s="1"/>
      <c r="H300" s="1"/>
      <c r="I300" s="59">
        <f t="shared" ref="I300:I305" si="91">SUM(F300:H300)</f>
        <v>0</v>
      </c>
      <c r="J300" s="1"/>
      <c r="K300" s="1"/>
      <c r="L300" s="1"/>
      <c r="M300" s="59">
        <f t="shared" ref="M300:M305" si="92">SUM(J300:L300)</f>
        <v>0</v>
      </c>
      <c r="N300" s="1"/>
      <c r="O300" s="1"/>
      <c r="P300" s="1"/>
      <c r="Q300" s="59">
        <f t="shared" ref="Q300:Q305" si="93">SUM(N300:P300)</f>
        <v>0</v>
      </c>
      <c r="R300" s="59">
        <f t="shared" ref="R300:R305" si="94">+E300+I300+M300+Q300</f>
        <v>0</v>
      </c>
      <c r="S300" s="4" t="s">
        <v>136</v>
      </c>
    </row>
    <row r="301" spans="1:20" ht="15.75" customHeight="1" x14ac:dyDescent="0.3">
      <c r="A301" s="74" t="s">
        <v>281</v>
      </c>
      <c r="B301" s="1"/>
      <c r="C301" s="1"/>
      <c r="D301" s="1"/>
      <c r="E301" s="59">
        <f t="shared" si="90"/>
        <v>0</v>
      </c>
      <c r="F301" s="1"/>
      <c r="G301" s="1"/>
      <c r="H301" s="1"/>
      <c r="I301" s="59">
        <f t="shared" si="91"/>
        <v>0</v>
      </c>
      <c r="J301" s="1"/>
      <c r="K301" s="1"/>
      <c r="L301" s="1"/>
      <c r="M301" s="59">
        <f t="shared" si="92"/>
        <v>0</v>
      </c>
      <c r="N301" s="1"/>
      <c r="O301" s="1"/>
      <c r="P301" s="1"/>
      <c r="Q301" s="59">
        <f t="shared" si="93"/>
        <v>0</v>
      </c>
      <c r="R301" s="59">
        <f t="shared" si="94"/>
        <v>0</v>
      </c>
    </row>
    <row r="302" spans="1:20" ht="15.75" customHeight="1" x14ac:dyDescent="0.3">
      <c r="A302" s="91" t="s">
        <v>282</v>
      </c>
      <c r="B302" s="1"/>
      <c r="C302" s="1"/>
      <c r="D302" s="1"/>
      <c r="E302" s="59">
        <f t="shared" si="90"/>
        <v>0</v>
      </c>
      <c r="F302" s="1"/>
      <c r="G302" s="1"/>
      <c r="H302" s="1"/>
      <c r="I302" s="59">
        <f t="shared" si="91"/>
        <v>0</v>
      </c>
      <c r="J302" s="1"/>
      <c r="K302" s="1"/>
      <c r="L302" s="1"/>
      <c r="M302" s="59">
        <f t="shared" si="92"/>
        <v>0</v>
      </c>
      <c r="N302" s="1"/>
      <c r="O302" s="1"/>
      <c r="P302" s="1"/>
      <c r="Q302" s="59">
        <f t="shared" si="93"/>
        <v>0</v>
      </c>
      <c r="R302" s="59">
        <f t="shared" si="94"/>
        <v>0</v>
      </c>
    </row>
    <row r="303" spans="1:20" ht="15.75" customHeight="1" x14ac:dyDescent="0.3">
      <c r="A303" s="91" t="s">
        <v>283</v>
      </c>
      <c r="B303" s="1"/>
      <c r="C303" s="1"/>
      <c r="D303" s="1"/>
      <c r="E303" s="59">
        <f t="shared" si="90"/>
        <v>0</v>
      </c>
      <c r="F303" s="1"/>
      <c r="G303" s="1"/>
      <c r="H303" s="1"/>
      <c r="I303" s="59">
        <f t="shared" si="91"/>
        <v>0</v>
      </c>
      <c r="J303" s="1"/>
      <c r="K303" s="1"/>
      <c r="L303" s="1"/>
      <c r="M303" s="59">
        <f t="shared" si="92"/>
        <v>0</v>
      </c>
      <c r="N303" s="1"/>
      <c r="O303" s="1"/>
      <c r="P303" s="1"/>
      <c r="Q303" s="59">
        <f t="shared" si="93"/>
        <v>0</v>
      </c>
      <c r="R303" s="59">
        <f t="shared" si="94"/>
        <v>0</v>
      </c>
    </row>
    <row r="304" spans="1:20" ht="15.75" customHeight="1" x14ac:dyDescent="0.3">
      <c r="A304" s="61" t="s">
        <v>284</v>
      </c>
      <c r="B304" s="1"/>
      <c r="C304" s="1"/>
      <c r="D304" s="1"/>
      <c r="E304" s="59">
        <f t="shared" si="90"/>
        <v>0</v>
      </c>
      <c r="F304" s="1"/>
      <c r="G304" s="1"/>
      <c r="H304" s="1"/>
      <c r="I304" s="59">
        <f t="shared" si="91"/>
        <v>0</v>
      </c>
      <c r="J304" s="1"/>
      <c r="K304" s="1"/>
      <c r="L304" s="1"/>
      <c r="M304" s="59">
        <f t="shared" si="92"/>
        <v>0</v>
      </c>
      <c r="N304" s="1"/>
      <c r="O304" s="1"/>
      <c r="P304" s="1"/>
      <c r="Q304" s="59">
        <f t="shared" si="93"/>
        <v>0</v>
      </c>
      <c r="R304" s="59">
        <f t="shared" si="94"/>
        <v>0</v>
      </c>
    </row>
    <row r="305" spans="1:20" ht="15.75" customHeight="1" x14ac:dyDescent="0.3">
      <c r="A305" s="61" t="s">
        <v>285</v>
      </c>
      <c r="B305" s="1"/>
      <c r="C305" s="1"/>
      <c r="D305" s="1"/>
      <c r="E305" s="59">
        <f t="shared" si="90"/>
        <v>0</v>
      </c>
      <c r="F305" s="1"/>
      <c r="G305" s="1"/>
      <c r="H305" s="1"/>
      <c r="I305" s="59">
        <f t="shared" si="91"/>
        <v>0</v>
      </c>
      <c r="J305" s="1"/>
      <c r="K305" s="1"/>
      <c r="L305" s="1"/>
      <c r="M305" s="59">
        <f t="shared" si="92"/>
        <v>0</v>
      </c>
      <c r="N305" s="1"/>
      <c r="O305" s="1"/>
      <c r="P305" s="1"/>
      <c r="Q305" s="59">
        <f t="shared" si="93"/>
        <v>0</v>
      </c>
      <c r="R305" s="59">
        <f t="shared" si="94"/>
        <v>0</v>
      </c>
    </row>
    <row r="306" spans="1:20" ht="15.75" customHeight="1" x14ac:dyDescent="0.3">
      <c r="A306" s="17" t="s">
        <v>66</v>
      </c>
      <c r="B306" s="1"/>
      <c r="C306" s="1"/>
      <c r="D306" s="1"/>
      <c r="E306" s="59" t="s">
        <v>7</v>
      </c>
      <c r="F306" s="1"/>
      <c r="G306" s="1"/>
      <c r="H306" s="1"/>
      <c r="I306" s="59" t="s">
        <v>7</v>
      </c>
      <c r="J306" s="1"/>
      <c r="K306" s="1"/>
      <c r="L306" s="1"/>
      <c r="M306" s="59" t="s">
        <v>7</v>
      </c>
      <c r="N306" s="1"/>
      <c r="O306" s="1"/>
      <c r="P306" s="1"/>
      <c r="Q306" s="59" t="s">
        <v>7</v>
      </c>
      <c r="R306" s="59" t="s">
        <v>7</v>
      </c>
    </row>
    <row r="307" spans="1:20" ht="15.75" customHeight="1" x14ac:dyDescent="0.3">
      <c r="A307" s="99" t="s">
        <v>286</v>
      </c>
      <c r="B307" s="1"/>
      <c r="C307" s="1"/>
      <c r="D307" s="1"/>
      <c r="E307" s="59">
        <f t="shared" ref="E307" si="95">SUM(B307:D307)</f>
        <v>0</v>
      </c>
      <c r="F307" s="1"/>
      <c r="G307" s="1"/>
      <c r="H307" s="1"/>
      <c r="I307" s="59">
        <f t="shared" ref="I307" si="96">SUM(F307:H307)</f>
        <v>0</v>
      </c>
      <c r="J307" s="1"/>
      <c r="K307" s="1"/>
      <c r="L307" s="1"/>
      <c r="M307" s="59">
        <f t="shared" ref="M307" si="97">SUM(J307:L307)</f>
        <v>0</v>
      </c>
      <c r="N307" s="1"/>
      <c r="O307" s="1"/>
      <c r="P307" s="1"/>
      <c r="Q307" s="59">
        <f t="shared" ref="Q307" si="98">SUM(N307:P307)</f>
        <v>0</v>
      </c>
      <c r="R307" s="59">
        <f t="shared" ref="R307" si="99">+E307+I307+M307+Q307</f>
        <v>0</v>
      </c>
    </row>
    <row r="308" spans="1:20" ht="15.75" customHeight="1" x14ac:dyDescent="0.3">
      <c r="A308" s="17" t="s">
        <v>67</v>
      </c>
      <c r="B308" s="1"/>
      <c r="C308" s="1"/>
      <c r="D308" s="1"/>
      <c r="E308" s="59" t="s">
        <v>7</v>
      </c>
      <c r="F308" s="1"/>
      <c r="G308" s="1"/>
      <c r="H308" s="1"/>
      <c r="I308" s="59" t="s">
        <v>7</v>
      </c>
      <c r="J308" s="1"/>
      <c r="K308" s="1"/>
      <c r="L308" s="1"/>
      <c r="M308" s="59" t="s">
        <v>7</v>
      </c>
      <c r="N308" s="1"/>
      <c r="O308" s="1"/>
      <c r="P308" s="1"/>
      <c r="Q308" s="59" t="s">
        <v>7</v>
      </c>
      <c r="R308" s="59" t="s">
        <v>7</v>
      </c>
    </row>
    <row r="309" spans="1:20" ht="15.75" customHeight="1" thickBot="1" x14ac:dyDescent="0.35">
      <c r="A309" s="74" t="s">
        <v>287</v>
      </c>
      <c r="B309" s="1"/>
      <c r="C309" s="1"/>
      <c r="D309" s="1"/>
      <c r="E309" s="59">
        <f t="shared" ref="E309" si="100">SUM(B309:D309)</f>
        <v>0</v>
      </c>
      <c r="F309" s="1"/>
      <c r="G309" s="1"/>
      <c r="H309" s="1"/>
      <c r="I309" s="59">
        <f t="shared" ref="I309:I318" si="101">SUM(F309:H309)</f>
        <v>0</v>
      </c>
      <c r="J309" s="1"/>
      <c r="K309" s="1"/>
      <c r="L309" s="1"/>
      <c r="M309" s="59">
        <f t="shared" ref="M309:M318" si="102">SUM(J309:L309)</f>
        <v>0</v>
      </c>
      <c r="N309" s="1"/>
      <c r="O309" s="1"/>
      <c r="P309" s="1"/>
      <c r="Q309" s="59">
        <f t="shared" ref="Q309:Q318" si="103">SUM(N309:P309)</f>
        <v>0</v>
      </c>
      <c r="R309" s="59">
        <f t="shared" ref="R309:R318" si="104">+E309+I309+M309+Q309</f>
        <v>0</v>
      </c>
      <c r="S309" s="4" t="s">
        <v>136</v>
      </c>
    </row>
    <row r="310" spans="1:20" ht="16.5" customHeight="1" thickBot="1" x14ac:dyDescent="0.35">
      <c r="A310" s="62" t="s">
        <v>68</v>
      </c>
      <c r="B310" s="63">
        <f>SUM(B306:B309)</f>
        <v>0</v>
      </c>
      <c r="C310" s="63">
        <f>SUM(C306:C309)</f>
        <v>0</v>
      </c>
      <c r="D310" s="63">
        <f>SUM(D306:D309)</f>
        <v>0</v>
      </c>
      <c r="E310" s="65">
        <f t="shared" ref="E310:E315" si="105">SUM(B310:D310)</f>
        <v>0</v>
      </c>
      <c r="F310" s="63">
        <f>SUM(F306:F309)</f>
        <v>0</v>
      </c>
      <c r="G310" s="63">
        <f>SUM(G306:G309)</f>
        <v>0</v>
      </c>
      <c r="H310" s="63">
        <f>SUM(H306:H309)</f>
        <v>0</v>
      </c>
      <c r="I310" s="65">
        <f t="shared" si="101"/>
        <v>0</v>
      </c>
      <c r="J310" s="63">
        <f>SUM(J306:J309)</f>
        <v>0</v>
      </c>
      <c r="K310" s="63">
        <f>SUM(K306:K309)</f>
        <v>0</v>
      </c>
      <c r="L310" s="63">
        <f>SUM(L306:L309)</f>
        <v>0</v>
      </c>
      <c r="M310" s="65">
        <f t="shared" si="102"/>
        <v>0</v>
      </c>
      <c r="N310" s="63">
        <f>SUM(N306:N309)</f>
        <v>0</v>
      </c>
      <c r="O310" s="63">
        <f>SUM(O306:O309)</f>
        <v>0</v>
      </c>
      <c r="P310" s="63">
        <f>SUM(P306:P309)</f>
        <v>0</v>
      </c>
      <c r="Q310" s="65">
        <f t="shared" si="103"/>
        <v>0</v>
      </c>
      <c r="R310" s="64">
        <f t="shared" si="104"/>
        <v>0</v>
      </c>
    </row>
    <row r="311" spans="1:20" ht="16.5" customHeight="1" thickBot="1" x14ac:dyDescent="0.35">
      <c r="A311" s="62" t="s">
        <v>69</v>
      </c>
      <c r="B311" s="100">
        <f>SUM(B293:B309)</f>
        <v>0</v>
      </c>
      <c r="C311" s="101">
        <f>SUM(C293:C309)</f>
        <v>0</v>
      </c>
      <c r="D311" s="101">
        <f>SUM(D293:D309)</f>
        <v>0</v>
      </c>
      <c r="E311" s="64">
        <f t="shared" si="105"/>
        <v>0</v>
      </c>
      <c r="F311" s="101">
        <f>SUM(F293:F309)</f>
        <v>0</v>
      </c>
      <c r="G311" s="101">
        <f>SUM(G293:G309)</f>
        <v>0</v>
      </c>
      <c r="H311" s="101">
        <f>SUM(H293:H309)</f>
        <v>0</v>
      </c>
      <c r="I311" s="64">
        <f t="shared" si="101"/>
        <v>0</v>
      </c>
      <c r="J311" s="101">
        <f>SUM(J293:J309)</f>
        <v>0</v>
      </c>
      <c r="K311" s="101">
        <f>SUM(K293:K309)</f>
        <v>0</v>
      </c>
      <c r="L311" s="101">
        <f>SUM(L293:L309)</f>
        <v>0</v>
      </c>
      <c r="M311" s="64">
        <f t="shared" si="102"/>
        <v>0</v>
      </c>
      <c r="N311" s="101">
        <f>SUM(N293:N309)</f>
        <v>0</v>
      </c>
      <c r="O311" s="101">
        <f>SUM(O293:O309)</f>
        <v>0</v>
      </c>
      <c r="P311" s="101">
        <f>SUM(P293:P309)</f>
        <v>0</v>
      </c>
      <c r="Q311" s="64">
        <f t="shared" si="103"/>
        <v>0</v>
      </c>
      <c r="R311" s="64">
        <f t="shared" si="104"/>
        <v>0</v>
      </c>
    </row>
    <row r="312" spans="1:20" ht="16.5" customHeight="1" thickBot="1" x14ac:dyDescent="0.35">
      <c r="A312" s="62" t="s">
        <v>70</v>
      </c>
      <c r="B312" s="107">
        <f>+B214+B221+B292+B311</f>
        <v>30201</v>
      </c>
      <c r="C312" s="63">
        <f>+C214+C221+C292+C311</f>
        <v>22891</v>
      </c>
      <c r="D312" s="63">
        <f>+D214+D221+D292+D311</f>
        <v>28983</v>
      </c>
      <c r="E312" s="88">
        <f t="shared" si="105"/>
        <v>82075</v>
      </c>
      <c r="F312" s="63">
        <f>+F214+F221+F292+F311</f>
        <v>35249</v>
      </c>
      <c r="G312" s="63">
        <f>+G214+G221+G292+G311</f>
        <v>40636</v>
      </c>
      <c r="H312" s="63">
        <f>+H214+H221+H292+H311</f>
        <v>40399</v>
      </c>
      <c r="I312" s="88">
        <f t="shared" si="101"/>
        <v>116284</v>
      </c>
      <c r="J312" s="63">
        <f>+J214+J221+J292+J311</f>
        <v>48269</v>
      </c>
      <c r="K312" s="63">
        <f>+K214+K221+K292+K311</f>
        <v>39575</v>
      </c>
      <c r="L312" s="63">
        <f>+L214+L221+L292+L311</f>
        <v>36203</v>
      </c>
      <c r="M312" s="88">
        <f t="shared" si="102"/>
        <v>124047</v>
      </c>
      <c r="N312" s="63">
        <f>+N214+N221+N292+N311</f>
        <v>29610</v>
      </c>
      <c r="O312" s="63">
        <f>+O214+O221+O292+O311</f>
        <v>27080</v>
      </c>
      <c r="P312" s="63">
        <f>+P214+P221+P292+P311</f>
        <v>23776</v>
      </c>
      <c r="Q312" s="88">
        <f t="shared" si="103"/>
        <v>80466</v>
      </c>
      <c r="R312" s="88">
        <f t="shared" si="104"/>
        <v>402872</v>
      </c>
    </row>
    <row r="313" spans="1:20" ht="15.75" customHeight="1" x14ac:dyDescent="0.3">
      <c r="A313" s="102" t="s">
        <v>288</v>
      </c>
      <c r="B313" s="1"/>
      <c r="C313" s="1">
        <v>588</v>
      </c>
      <c r="D313" s="1">
        <v>235</v>
      </c>
      <c r="E313" s="59">
        <f t="shared" si="105"/>
        <v>823</v>
      </c>
      <c r="F313" s="1">
        <v>1652</v>
      </c>
      <c r="G313" s="1">
        <v>3027</v>
      </c>
      <c r="H313" s="1">
        <v>3007</v>
      </c>
      <c r="I313" s="59">
        <f t="shared" si="101"/>
        <v>7686</v>
      </c>
      <c r="J313" s="1">
        <v>1898</v>
      </c>
      <c r="K313" s="1">
        <v>1984</v>
      </c>
      <c r="L313" s="1">
        <v>1977</v>
      </c>
      <c r="M313" s="59">
        <f t="shared" si="102"/>
        <v>5859</v>
      </c>
      <c r="N313" s="1">
        <v>2881</v>
      </c>
      <c r="O313" s="1">
        <v>3310</v>
      </c>
      <c r="P313" s="1">
        <v>941</v>
      </c>
      <c r="Q313" s="59">
        <f t="shared" si="103"/>
        <v>7132</v>
      </c>
      <c r="R313" s="59">
        <f t="shared" si="104"/>
        <v>21500</v>
      </c>
      <c r="S313" s="50"/>
      <c r="T313" s="4" t="s">
        <v>121</v>
      </c>
    </row>
    <row r="314" spans="1:20" ht="15.75" customHeight="1" x14ac:dyDescent="0.3">
      <c r="A314" s="108" t="s">
        <v>289</v>
      </c>
      <c r="B314" s="1"/>
      <c r="C314" s="1"/>
      <c r="D314" s="1"/>
      <c r="E314" s="59">
        <f t="shared" si="105"/>
        <v>0</v>
      </c>
      <c r="F314" s="1"/>
      <c r="G314" s="1"/>
      <c r="H314" s="1"/>
      <c r="I314" s="59">
        <f t="shared" si="101"/>
        <v>0</v>
      </c>
      <c r="J314" s="1"/>
      <c r="K314" s="1"/>
      <c r="L314" s="1"/>
      <c r="M314" s="59">
        <f t="shared" si="102"/>
        <v>0</v>
      </c>
      <c r="N314" s="1"/>
      <c r="O314" s="1"/>
      <c r="P314" s="1"/>
      <c r="Q314" s="59">
        <f t="shared" si="103"/>
        <v>0</v>
      </c>
      <c r="R314" s="59">
        <f t="shared" si="104"/>
        <v>0</v>
      </c>
    </row>
    <row r="315" spans="1:20" ht="15.75" customHeight="1" x14ac:dyDescent="0.3">
      <c r="A315" s="74" t="s">
        <v>290</v>
      </c>
      <c r="B315" s="1"/>
      <c r="C315" s="1"/>
      <c r="D315" s="1"/>
      <c r="E315" s="59">
        <f t="shared" si="105"/>
        <v>0</v>
      </c>
      <c r="F315" s="1"/>
      <c r="G315" s="1"/>
      <c r="H315" s="1"/>
      <c r="I315" s="59">
        <f t="shared" si="101"/>
        <v>0</v>
      </c>
      <c r="J315" s="1"/>
      <c r="K315" s="1"/>
      <c r="L315" s="1"/>
      <c r="M315" s="59">
        <f t="shared" si="102"/>
        <v>0</v>
      </c>
      <c r="N315" s="1"/>
      <c r="O315" s="1"/>
      <c r="P315" s="1"/>
      <c r="Q315" s="59">
        <f t="shared" si="103"/>
        <v>0</v>
      </c>
      <c r="R315" s="59">
        <f t="shared" si="104"/>
        <v>0</v>
      </c>
    </row>
    <row r="316" spans="1:20" ht="15.75" customHeight="1" x14ac:dyDescent="0.3">
      <c r="A316" s="108" t="s">
        <v>291</v>
      </c>
      <c r="B316" s="1">
        <v>42</v>
      </c>
      <c r="C316" s="1">
        <v>43</v>
      </c>
      <c r="D316" s="1">
        <v>47</v>
      </c>
      <c r="E316" s="59">
        <f>SUM(B316:D316)</f>
        <v>132</v>
      </c>
      <c r="F316" s="1">
        <v>52</v>
      </c>
      <c r="G316" s="1">
        <v>52</v>
      </c>
      <c r="H316" s="1">
        <v>57</v>
      </c>
      <c r="I316" s="59">
        <f>SUM(F316:H316)</f>
        <v>161</v>
      </c>
      <c r="J316" s="1">
        <v>62</v>
      </c>
      <c r="K316" s="1">
        <v>62</v>
      </c>
      <c r="L316" s="1">
        <v>62</v>
      </c>
      <c r="M316" s="59">
        <f>SUM(J316:L316)</f>
        <v>186</v>
      </c>
      <c r="N316" s="1">
        <v>57</v>
      </c>
      <c r="O316" s="1">
        <v>42</v>
      </c>
      <c r="P316" s="1">
        <v>47</v>
      </c>
      <c r="Q316" s="59">
        <f>SUM(N316:P316)</f>
        <v>146</v>
      </c>
      <c r="R316" s="59">
        <f t="shared" si="104"/>
        <v>625</v>
      </c>
    </row>
    <row r="317" spans="1:20" ht="15.75" customHeight="1" x14ac:dyDescent="0.3">
      <c r="A317" s="91" t="s">
        <v>292</v>
      </c>
      <c r="B317" s="1">
        <v>54000</v>
      </c>
      <c r="C317" s="1">
        <v>57000</v>
      </c>
      <c r="D317" s="1">
        <v>29000</v>
      </c>
      <c r="E317" s="59">
        <f t="shared" ref="E317" si="106">SUM(B317:D317)</f>
        <v>140000</v>
      </c>
      <c r="F317" s="1">
        <v>0</v>
      </c>
      <c r="G317" s="1">
        <v>0</v>
      </c>
      <c r="H317" s="1"/>
      <c r="I317" s="59">
        <f t="shared" ref="I317" si="107">SUM(F317:H317)</f>
        <v>0</v>
      </c>
      <c r="J317" s="1"/>
      <c r="K317" s="1"/>
      <c r="L317" s="1">
        <v>17000</v>
      </c>
      <c r="M317" s="59">
        <f t="shared" ref="M317" si="108">SUM(J317:L317)</f>
        <v>17000</v>
      </c>
      <c r="N317" s="1">
        <v>60000</v>
      </c>
      <c r="O317" s="1">
        <v>82000</v>
      </c>
      <c r="P317" s="1">
        <v>50000</v>
      </c>
      <c r="Q317" s="59">
        <f t="shared" si="103"/>
        <v>192000</v>
      </c>
      <c r="R317" s="59">
        <f t="shared" si="104"/>
        <v>349000</v>
      </c>
    </row>
    <row r="318" spans="1:20" ht="16.5" customHeight="1" thickBot="1" x14ac:dyDescent="0.35">
      <c r="A318" s="40" t="s">
        <v>37</v>
      </c>
      <c r="B318" s="25">
        <v>104</v>
      </c>
      <c r="C318" s="25">
        <v>268</v>
      </c>
      <c r="D318" s="25">
        <v>474</v>
      </c>
      <c r="E318" s="59">
        <f>SUM(B318:D318)</f>
        <v>846</v>
      </c>
      <c r="F318" s="25">
        <v>647</v>
      </c>
      <c r="G318" s="25">
        <v>742</v>
      </c>
      <c r="H318" s="25">
        <v>781</v>
      </c>
      <c r="I318" s="59">
        <f t="shared" si="101"/>
        <v>2170</v>
      </c>
      <c r="J318" s="25">
        <v>774</v>
      </c>
      <c r="K318" s="25">
        <v>596</v>
      </c>
      <c r="L318" s="25">
        <v>546</v>
      </c>
      <c r="M318" s="59">
        <f t="shared" si="102"/>
        <v>1916</v>
      </c>
      <c r="N318" s="25">
        <v>517</v>
      </c>
      <c r="O318" s="25">
        <v>413</v>
      </c>
      <c r="P318" s="25">
        <v>302</v>
      </c>
      <c r="Q318" s="59">
        <f t="shared" si="103"/>
        <v>1232</v>
      </c>
      <c r="R318" s="59">
        <f t="shared" si="104"/>
        <v>6164</v>
      </c>
    </row>
    <row r="319" spans="1:20" ht="16.5" customHeight="1" thickBot="1" x14ac:dyDescent="0.35">
      <c r="A319" s="80"/>
      <c r="B319" s="81"/>
      <c r="C319" s="81"/>
      <c r="D319" s="81"/>
      <c r="E319" s="65"/>
      <c r="F319" s="81"/>
      <c r="G319" s="81"/>
      <c r="H319" s="81"/>
      <c r="I319" s="64"/>
      <c r="J319" s="81"/>
      <c r="K319" s="81"/>
      <c r="L319" s="81"/>
      <c r="M319" s="64"/>
      <c r="N319" s="81"/>
      <c r="O319" s="81"/>
      <c r="P319" s="81"/>
      <c r="Q319" s="64"/>
      <c r="R319" s="64" t="s">
        <v>7</v>
      </c>
    </row>
    <row r="320" spans="1:20" ht="15.75" customHeight="1" x14ac:dyDescent="0.3">
      <c r="A320" s="82" t="s">
        <v>38</v>
      </c>
      <c r="B320" s="83">
        <f>SUM(B312:B318)</f>
        <v>84347</v>
      </c>
      <c r="C320" s="83">
        <f>SUM(C312:C318)</f>
        <v>80790</v>
      </c>
      <c r="D320" s="83">
        <f>SUM(D312:D318)</f>
        <v>58739</v>
      </c>
      <c r="E320" s="65">
        <f>SUM(B320:D320)</f>
        <v>223876</v>
      </c>
      <c r="F320" s="83">
        <f>SUM(F312:F318)</f>
        <v>37600</v>
      </c>
      <c r="G320" s="83">
        <f>SUM(G312:G318)</f>
        <v>44457</v>
      </c>
      <c r="H320" s="83">
        <f>SUM(H312:H318)</f>
        <v>44244</v>
      </c>
      <c r="I320" s="65">
        <f>SUM(F320:H320)</f>
        <v>126301</v>
      </c>
      <c r="J320" s="83">
        <f>SUM(J312:J318)</f>
        <v>51003</v>
      </c>
      <c r="K320" s="83">
        <f>SUM(K312:K318)</f>
        <v>42217</v>
      </c>
      <c r="L320" s="83">
        <f>SUM(L312:L318)</f>
        <v>55788</v>
      </c>
      <c r="M320" s="65">
        <f>SUM(J320:L320)</f>
        <v>149008</v>
      </c>
      <c r="N320" s="83">
        <f>SUM(N312:N318)</f>
        <v>93065</v>
      </c>
      <c r="O320" s="83">
        <f>SUM(O312:O318)</f>
        <v>112845</v>
      </c>
      <c r="P320" s="83">
        <f>SUM(P312:P318)</f>
        <v>75066</v>
      </c>
      <c r="Q320" s="109">
        <f>SUM(N320:P320)</f>
        <v>280976</v>
      </c>
      <c r="R320" s="65">
        <f>+E320+I320+M320+Q320</f>
        <v>780161</v>
      </c>
    </row>
    <row r="321" spans="1:18" ht="15.75" customHeight="1" x14ac:dyDescent="0.3">
      <c r="A321" s="85" t="s">
        <v>39</v>
      </c>
      <c r="B321" s="1">
        <f>(B320/B10)/1.983</f>
        <v>1372.0983195874612</v>
      </c>
      <c r="C321" s="1">
        <f>(C320/C10)/1.983</f>
        <v>1455.046466392911</v>
      </c>
      <c r="D321" s="1">
        <f>(D320/D10)/1.983</f>
        <v>955.52518992077819</v>
      </c>
      <c r="E321" s="59" t="s">
        <v>7</v>
      </c>
      <c r="F321" s="1">
        <f>(F320/F10)/1.983</f>
        <v>632.03899815094962</v>
      </c>
      <c r="G321" s="1">
        <f>(G320/G10)/1.983</f>
        <v>723.1955492655311</v>
      </c>
      <c r="H321" s="1">
        <f>(H320/H10)/1.983</f>
        <v>743.72163388804836</v>
      </c>
      <c r="I321" s="59" t="s">
        <v>7</v>
      </c>
      <c r="J321" s="1">
        <f>(J320/J10)/1.983</f>
        <v>829.68132350788142</v>
      </c>
      <c r="K321" s="1">
        <f>(K320/K10)/1.983</f>
        <v>686.75678753273792</v>
      </c>
      <c r="L321" s="1">
        <f>(L320/L10)/1.983</f>
        <v>937.77105395864839</v>
      </c>
      <c r="M321" s="59" t="s">
        <v>7</v>
      </c>
      <c r="N321" s="1">
        <f>(N320/N10)/1.983</f>
        <v>1513.9166788671448</v>
      </c>
      <c r="O321" s="1">
        <f>(O320/O10)/1.983</f>
        <v>1896.8734241048915</v>
      </c>
      <c r="P321" s="1">
        <f>(P320/P10)/1.983</f>
        <v>1221.1214679615441</v>
      </c>
      <c r="Q321" s="110" t="s">
        <v>7</v>
      </c>
      <c r="R321" s="59" t="s">
        <v>7</v>
      </c>
    </row>
    <row r="322" spans="1:18" ht="15.75" customHeight="1" x14ac:dyDescent="0.3">
      <c r="A322" s="85" t="s">
        <v>293</v>
      </c>
      <c r="B322" s="1">
        <f>(+B320+B514)+B329</f>
        <v>122065</v>
      </c>
      <c r="C322" s="1">
        <f>(+C320+C514)+C329</f>
        <v>134123</v>
      </c>
      <c r="D322" s="1">
        <f>(+D320+D514)+D329</f>
        <v>140718</v>
      </c>
      <c r="E322" s="59">
        <f>SUM(B322:D322)</f>
        <v>396906</v>
      </c>
      <c r="F322" s="1">
        <f>(+F320+F514)+F329</f>
        <v>140732</v>
      </c>
      <c r="G322" s="1">
        <f>(+G320+G514)+G329</f>
        <v>164816</v>
      </c>
      <c r="H322" s="1">
        <f>(+H320+H514)+H329</f>
        <v>66439</v>
      </c>
      <c r="I322" s="59">
        <f>SUM(F322:H322)</f>
        <v>371987</v>
      </c>
      <c r="J322" s="1">
        <f>(+J320+J514)+J329</f>
        <v>44224</v>
      </c>
      <c r="K322" s="1">
        <f>(+K320+K514)+K329</f>
        <v>45825</v>
      </c>
      <c r="L322" s="1">
        <f>(+L320+L514)+L329</f>
        <v>126132</v>
      </c>
      <c r="M322" s="59">
        <f>SUM(J322:L322)</f>
        <v>216181</v>
      </c>
      <c r="N322" s="1">
        <f>(+N320+N514)+N329</f>
        <v>141455</v>
      </c>
      <c r="O322" s="1">
        <f>(+O320+O514)+O329</f>
        <v>137158</v>
      </c>
      <c r="P322" s="1">
        <f>(+P320+P514)+P329</f>
        <v>106492</v>
      </c>
      <c r="Q322" s="110">
        <f>SUM(N322:P322)</f>
        <v>385105</v>
      </c>
      <c r="R322" s="59">
        <f>+E322+I322+M322+Q322</f>
        <v>1370179</v>
      </c>
    </row>
    <row r="323" spans="1:18" ht="16.5" customHeight="1" thickBot="1" x14ac:dyDescent="0.35">
      <c r="A323" s="86" t="s">
        <v>294</v>
      </c>
      <c r="B323" s="87">
        <f>(B322/B10)/1.983</f>
        <v>1985.6685048720576</v>
      </c>
      <c r="C323" s="87">
        <f>(C322/C10)/1.983</f>
        <v>2415.5860528780349</v>
      </c>
      <c r="D323" s="87">
        <f>(D322/D10)/1.983</f>
        <v>2289.1025328192864</v>
      </c>
      <c r="E323" s="88" t="s">
        <v>7</v>
      </c>
      <c r="F323" s="87">
        <f>(F322/F10)/1.983</f>
        <v>2365.6412842494537</v>
      </c>
      <c r="G323" s="87">
        <f>(G322/G10)/1.983</f>
        <v>2681.1120329250239</v>
      </c>
      <c r="H323" s="87">
        <f>(H322/H10)/1.983</f>
        <v>1116.8095478231635</v>
      </c>
      <c r="I323" s="88" t="s">
        <v>7</v>
      </c>
      <c r="J323" s="87">
        <f>(J322/J10)/1.983</f>
        <v>719.40526735314688</v>
      </c>
      <c r="K323" s="87">
        <f>(K322/K10)/1.983</f>
        <v>745.44922160948704</v>
      </c>
      <c r="L323" s="87">
        <f>(L322/L10)/1.983</f>
        <v>2120.2218860312655</v>
      </c>
      <c r="M323" s="88" t="s">
        <v>7</v>
      </c>
      <c r="N323" s="87">
        <f>(N322/N10)/1.983</f>
        <v>2301.0915361215493</v>
      </c>
      <c r="O323" s="87">
        <f>(O322/O10)/1.983</f>
        <v>2305.5639603294671</v>
      </c>
      <c r="P323" s="87">
        <f>(P322/P10)/1.983</f>
        <v>1732.3377743074193</v>
      </c>
      <c r="Q323" s="111" t="s">
        <v>7</v>
      </c>
      <c r="R323" s="88" t="s">
        <v>7</v>
      </c>
    </row>
    <row r="324" spans="1:18" ht="16.5" customHeight="1" thickBot="1" x14ac:dyDescent="0.35">
      <c r="A324" s="112" t="s">
        <v>295</v>
      </c>
      <c r="B324" s="113">
        <f>+(B322-(B142+B143+B144+B145+B146+B149+B151+B152+B155+B156+B157+B160+B162+B165++B171+B172+B175+B176+B178+B179+B180+B181+B182+B189+B192+B193+B194+B205+B208+B210+B211+B218+B225+B226+B228+B229+B230+B236+B243+B245+B246+B248+B249+B251+B252+B253+B261+B269+B270+B273+B283+B295+B296+B298+B299+B302+B303+B307+B313+B317+B325)-B329)/(B10*1.983)</f>
        <v>993.6394840011061</v>
      </c>
      <c r="C324" s="113">
        <f>+(C322-(C142+C143+C144+C145+C146+C149+C151+C152+C155+C156+C157+C160+C162+C165++C171+C172+C175+C176+C178+C179+C180+C181+C182+C189+C192+C193+C194+C205+C208+C210+C211+C218+C225+C226+C228+C229+C230+C236+C243+C245+C246+C248+C249+C251+C252+C253+C261+C269+C270+C273+C283+C295+C296+C298+C299+C302+C303+C307+C313+C317+C325)-C329)/(C10*1.983)</f>
        <v>1264.8044089042576</v>
      </c>
      <c r="D324" s="113">
        <f>+(D322-(D142+D143+D144+D145+D146+D149+D151+D152+D155+D156+D157+D160+D162+D165++D171+D172+D175+D176+D178+D179+D180+D181+D182+D189+D192+D193+D194+D205+D208+D210+D211+D218+D225+D226+D228+D229+D230+D236+D243+D245+D246+D248+D249+D251+D252+D253+D261+D269+D270+D273+D283+D295+D296+D298+D299+D302+D303+D307+D313+D317+D325)-D329)/(D10*1.983)</f>
        <v>1675.4835456216549</v>
      </c>
      <c r="E324" s="114"/>
      <c r="F324" s="113">
        <f>+(F322-(F142+F143+F144+F145+F146+F149+F151+F152+F155+F156+F157+F160+F162+F165++F171+F172+F175+F176+F178+F179+F180+F181+F182+F189+F192+F193+F194+F205+F208+F210+F211+F218+F225+F226+F228+F229+F230+F236+F243+F245+F246+F248+F249+F251+F252+F253+F261+F269+F270+F273+F283+F295+F296+F298+F299+F302+F303+F307+F313+F317+F325)-F329)/(F10*1.983)</f>
        <v>2338.6115313498067</v>
      </c>
      <c r="G324" s="113">
        <f>+(G322-(G142+G143+G144+G145+G146+G149+G151+G152+G155+G156+G157+G160+G162+G165++G171+G172+G175+G176+G178+G179+G180+G181+G182+G189+G192+G193+G194+G205+G208+G210+G211+G218+G225+G226+G228+G229+G230+G236+G243+G245+G246+G248+G249+G251+G252+G253+G261+G269+G270+G273+G283+G295+G296+G298+G299+G302+G303+G307+G313+G317+G325)-G329)/(G10*1.983)</f>
        <v>2460.8201974850745</v>
      </c>
      <c r="H324" s="113">
        <f>+(H322-(H142+H143+H144+H145+H146+H149+H151+H152+H155+H156+H157+H160+H162+H165++H171+H172+H175+H176+H178+H179+H180+H181+H182+H189+H192+H193+H194+H205+H208+H210+H211+H218+H225+H226+H228+H229+H230+H236+H243+H245+H246+H248+H249+H251+H252+H253+H261+H269+H270+H273+H283+H295+H296+H298+H299+H302+H303+H307+H313+H317+H325)-H329)/(H10*1.983)</f>
        <v>2871.1211968398047</v>
      </c>
      <c r="I324" s="114"/>
      <c r="J324" s="113">
        <f>+(J322-(J142+J143+J144+J145+J146+J149+J151+J152+J155+J156+J157+J160+J162+J165++J171+J172+J175+J176+J178+J179+J180+J181+J182+J189+J192+J193+J194+J205+J208+J210+J211+J218+J225+J226+J228+J229+J230+J236+J243+J245+J246+J248+J249+J251+J252+J253+J261+J269+J270+J273+J283+J295+J296+J298+J299+J302+J303+J307+J313+J317+J325)-J329)/(J10*1.983)</f>
        <v>2796.4309534267072</v>
      </c>
      <c r="K324" s="113">
        <f>+(K322-(K142+K143+K144+K145+K146+K149+K151+K152+K155+K156+K157+K160+K162+K165++K171+K172+K175+K176+K178+K179+K180+K181+K182+K189+K192+K193+K194+K205+K208+K210+K211+K218+K225+K226+K228+K229+K230+K236+K243+K245+K246+K248+K249+K251+K252+K253+K261+K269+K270+K273+K283+K295+K296+K298+K299+K302+K303+K307+K313+K317+K325)-K329)/(K10*1.983)</f>
        <v>2145.1368893660629</v>
      </c>
      <c r="L324" s="113">
        <f>+(L322-(L142+L143+L144+L145+L146+L149+L151+L152+L155+L156+L157+L160+L162+L165++L171+L172+L175+L176+L178+L179+L180+L181+L182+L189+L192+L193+L194+L205+L208+L210+L211+L218+L225+L226+L228+L229+L230+L236+L243+L245+L246+L248+L249+L251+L252+L253+L261+L269+L270+L273+L283+L295+L296+L298+L299+L302+L303+L307+L313+L317+L325)-L329)/(L10*1.983)</f>
        <v>1642.2423936796099</v>
      </c>
      <c r="M324" s="114"/>
      <c r="N324" s="113">
        <f>+(N322-(N142+N143+N144+N145+N146+N149+N151+N152+N155+N156+N157+N160+N162+N165++N171+N172+N175+N176+N178+N179+N180+N181+N182+N189+N192+N193+N194+N205+N208+N210+N211+N218+N225+N226+N228+N229+N230+N236+N243+N245+N246+N248+N249+N251+N252+N253+N261+N269+N270+N273+N283+N295+N296+N298+N299+N302+N303+N307+N313+N317+N325)-N329)/(N10*1.983)</f>
        <v>1147.9674003220925</v>
      </c>
      <c r="O324" s="113">
        <f>+(O322-(O142+O143+O144+O145+O146+O149+O151+O152+O155+O156+O157+O160+O162+O165++O171+O172+O175+O176+O178+O179+O180+O181+O182+O189+O192+O193+O194+O205+O208+O210+O211+O218+O225+O226+O228+O229+O230+O236+O243+O245+O246+O248+O249+O251+O252+O253+O261+O269+O270+O273+O283+O295+O296+O298+O299+O302+O303+O307+O313+O317+O325)-O329)/(O10*1.983)</f>
        <v>764.68314002353338</v>
      </c>
      <c r="P324" s="113">
        <f>+(P322-(P142+P143+P144+P145+P146+P149+P151+P152+P155+P156+P157+P160+P162+P165++P171+P172+P175+P176+P178+P179+P180+P181+P182+P189+P192+P193+P194+P205+P208+P210+P211+P218+P225+P226+P228+P229+P230+P236+P243+P245+P246+P248+P249+P251+P252+P253+P261+P269+P270+P273+P283+P295+P296+P298+P299+P302+P303+P307+P313+P317+P325)-P329)/(P10*1.983)</f>
        <v>806.22387064239581</v>
      </c>
      <c r="Q324" s="115"/>
      <c r="R324" s="114"/>
    </row>
    <row r="325" spans="1:18" ht="15.75" customHeight="1" x14ac:dyDescent="0.3">
      <c r="A325" s="116" t="s">
        <v>296</v>
      </c>
      <c r="B325" s="1">
        <v>2521</v>
      </c>
      <c r="C325" s="1">
        <v>2277</v>
      </c>
      <c r="D325" s="1">
        <v>2521</v>
      </c>
      <c r="E325" s="28">
        <f>SUM(B325:D325)</f>
        <v>7319</v>
      </c>
      <c r="F325" s="1">
        <v>2440</v>
      </c>
      <c r="G325" s="1">
        <v>2521</v>
      </c>
      <c r="H325" s="1">
        <v>2440</v>
      </c>
      <c r="I325" s="28">
        <f>SUM(F325:H325)</f>
        <v>7401</v>
      </c>
      <c r="J325" s="1">
        <v>2521</v>
      </c>
      <c r="K325" s="1">
        <v>2521</v>
      </c>
      <c r="L325" s="1">
        <v>2440</v>
      </c>
      <c r="M325" s="28">
        <f t="shared" ref="M325" si="109">SUM(J325:L325)</f>
        <v>7482</v>
      </c>
      <c r="N325" s="1">
        <v>2521</v>
      </c>
      <c r="O325" s="1">
        <v>2440</v>
      </c>
      <c r="P325" s="1">
        <v>2521</v>
      </c>
      <c r="Q325" s="28">
        <f t="shared" ref="Q325" si="110">SUM(N325:P325)</f>
        <v>7482</v>
      </c>
      <c r="R325" s="28">
        <f t="shared" ref="R325" si="111">+E325+I325+M325+Q325</f>
        <v>29684</v>
      </c>
    </row>
    <row r="326" spans="1:18" ht="15.75" customHeight="1" thickBot="1" x14ac:dyDescent="0.35">
      <c r="A326" s="30"/>
      <c r="B326" s="1"/>
      <c r="C326" s="1"/>
      <c r="D326" s="1"/>
      <c r="E326" s="1"/>
      <c r="F326" s="1"/>
      <c r="G326" s="1"/>
      <c r="H326" s="1"/>
      <c r="I326" s="1"/>
      <c r="J326" s="1"/>
      <c r="K326" s="1"/>
      <c r="L326" s="1"/>
      <c r="M326" s="1"/>
      <c r="N326" s="1"/>
      <c r="O326" s="1"/>
      <c r="P326" s="1"/>
      <c r="Q326" s="1"/>
      <c r="R326" s="28"/>
    </row>
    <row r="327" spans="1:18" ht="16.5" customHeight="1" thickBot="1" x14ac:dyDescent="0.35">
      <c r="A327" s="31" t="s">
        <v>297</v>
      </c>
      <c r="B327" s="32" t="s">
        <v>36</v>
      </c>
      <c r="C327" s="33" t="s">
        <v>9</v>
      </c>
      <c r="D327" s="33" t="s">
        <v>10</v>
      </c>
      <c r="E327" s="12" t="s">
        <v>11</v>
      </c>
      <c r="F327" s="33" t="s">
        <v>12</v>
      </c>
      <c r="G327" s="33" t="s">
        <v>13</v>
      </c>
      <c r="H327" s="33" t="s">
        <v>14</v>
      </c>
      <c r="I327" s="34" t="s">
        <v>15</v>
      </c>
      <c r="J327" s="33" t="s">
        <v>16</v>
      </c>
      <c r="K327" s="33" t="s">
        <v>17</v>
      </c>
      <c r="L327" s="33" t="s">
        <v>18</v>
      </c>
      <c r="M327" s="34" t="s">
        <v>19</v>
      </c>
      <c r="N327" s="33" t="s">
        <v>20</v>
      </c>
      <c r="O327" s="33" t="s">
        <v>21</v>
      </c>
      <c r="P327" s="33" t="s">
        <v>22</v>
      </c>
      <c r="Q327" s="34" t="s">
        <v>23</v>
      </c>
      <c r="R327" s="35" t="s">
        <v>24</v>
      </c>
    </row>
    <row r="328" spans="1:18" ht="16.5" customHeight="1" thickBot="1" x14ac:dyDescent="0.35">
      <c r="A328" s="80"/>
      <c r="B328" s="81"/>
      <c r="C328" s="81"/>
      <c r="D328" s="81"/>
      <c r="E328" s="89"/>
      <c r="F328" s="81"/>
      <c r="G328" s="81"/>
      <c r="H328" s="81"/>
      <c r="I328" s="89"/>
      <c r="J328" s="81"/>
      <c r="K328" s="81"/>
      <c r="L328" s="81"/>
      <c r="M328" s="89"/>
      <c r="N328" s="81"/>
      <c r="O328" s="81"/>
      <c r="P328" s="81"/>
      <c r="Q328" s="89"/>
      <c r="R328" s="117"/>
    </row>
    <row r="329" spans="1:18" ht="15.75" customHeight="1" thickBot="1" x14ac:dyDescent="0.35">
      <c r="A329" s="74" t="s">
        <v>298</v>
      </c>
      <c r="B329" s="1"/>
      <c r="C329" s="1"/>
      <c r="D329" s="1"/>
      <c r="E329" s="59">
        <f>SUM(B329:D329)</f>
        <v>0</v>
      </c>
      <c r="F329" s="1">
        <v>-10000</v>
      </c>
      <c r="G329" s="1"/>
      <c r="H329" s="1">
        <v>-119000</v>
      </c>
      <c r="I329" s="59">
        <f>SUM(F329:H329)</f>
        <v>-129000</v>
      </c>
      <c r="J329" s="1">
        <v>-141000</v>
      </c>
      <c r="K329" s="1">
        <v>-98000</v>
      </c>
      <c r="L329" s="1"/>
      <c r="M329" s="59">
        <f>SUM(J329:L329)</f>
        <v>-239000</v>
      </c>
      <c r="N329" s="1"/>
      <c r="O329" s="1"/>
      <c r="P329" s="1"/>
      <c r="Q329" s="59">
        <f>SUM(N329:P329)</f>
        <v>0</v>
      </c>
      <c r="R329" s="59">
        <f>+E329+I329+M329+Q329</f>
        <v>-368000</v>
      </c>
    </row>
    <row r="330" spans="1:18" ht="16.5" customHeight="1" thickBot="1" x14ac:dyDescent="0.35">
      <c r="A330" s="118"/>
      <c r="B330" s="119"/>
      <c r="C330" s="119"/>
      <c r="D330" s="119"/>
      <c r="E330" s="120"/>
      <c r="F330" s="119"/>
      <c r="G330" s="119"/>
      <c r="H330" s="119"/>
      <c r="I330" s="120"/>
      <c r="J330" s="119"/>
      <c r="K330" s="119"/>
      <c r="L330" s="119"/>
      <c r="M330" s="120"/>
      <c r="N330" s="119"/>
      <c r="O330" s="119"/>
      <c r="P330" s="119"/>
      <c r="Q330" s="120"/>
      <c r="R330" s="121"/>
    </row>
    <row r="331" spans="1:18" ht="15.75" customHeight="1" x14ac:dyDescent="0.3">
      <c r="A331" s="17" t="s">
        <v>32</v>
      </c>
      <c r="B331" s="1">
        <f>B329</f>
        <v>0</v>
      </c>
      <c r="C331" s="1">
        <f>C329</f>
        <v>0</v>
      </c>
      <c r="D331" s="1">
        <f>D329</f>
        <v>0</v>
      </c>
      <c r="E331" s="59">
        <f>SUM(B331:D331)</f>
        <v>0</v>
      </c>
      <c r="F331" s="1">
        <f>F329</f>
        <v>-10000</v>
      </c>
      <c r="G331" s="1">
        <f>G329</f>
        <v>0</v>
      </c>
      <c r="H331" s="1">
        <f>H329</f>
        <v>-119000</v>
      </c>
      <c r="I331" s="59">
        <f>SUM(F331:H331)</f>
        <v>-129000</v>
      </c>
      <c r="J331" s="1">
        <f>J329</f>
        <v>-141000</v>
      </c>
      <c r="K331" s="1">
        <f>K329</f>
        <v>-98000</v>
      </c>
      <c r="L331" s="1">
        <f>L329</f>
        <v>0</v>
      </c>
      <c r="M331" s="59">
        <f>SUM(J331:L331)</f>
        <v>-239000</v>
      </c>
      <c r="N331" s="1">
        <f>N329</f>
        <v>0</v>
      </c>
      <c r="O331" s="1">
        <f>O329</f>
        <v>0</v>
      </c>
      <c r="P331" s="1">
        <f>P329</f>
        <v>0</v>
      </c>
      <c r="Q331" s="59">
        <f>SUM(N331:P331)</f>
        <v>0</v>
      </c>
      <c r="R331" s="122">
        <f>R329</f>
        <v>-368000</v>
      </c>
    </row>
    <row r="332" spans="1:18" ht="16.5" customHeight="1" thickBot="1" x14ac:dyDescent="0.35">
      <c r="A332" s="24" t="s">
        <v>39</v>
      </c>
      <c r="B332" s="25">
        <f>(B331/B10)/1.983</f>
        <v>0</v>
      </c>
      <c r="C332" s="25">
        <f>(C331/C10)/1.983</f>
        <v>0</v>
      </c>
      <c r="D332" s="25">
        <f>(D331/D10)/1.983</f>
        <v>0</v>
      </c>
      <c r="E332" s="88"/>
      <c r="F332" s="25">
        <f>(F331/F10)/1.983</f>
        <v>-168.09547823163555</v>
      </c>
      <c r="G332" s="25">
        <f>(G331/G10)/1.983</f>
        <v>0</v>
      </c>
      <c r="H332" s="25">
        <f>(H331/H10)/1.983</f>
        <v>-2000.336190956463</v>
      </c>
      <c r="I332" s="88"/>
      <c r="J332" s="25">
        <f>(J331/J10)/1.983</f>
        <v>-2293.6899126445755</v>
      </c>
      <c r="K332" s="25">
        <f>(K331/K10)/1.983</f>
        <v>-1594.1958258097052</v>
      </c>
      <c r="L332" s="25">
        <f>(L331/L10)/1.983</f>
        <v>0</v>
      </c>
      <c r="M332" s="88"/>
      <c r="N332" s="25">
        <f>(N331/N10)/1.983</f>
        <v>0</v>
      </c>
      <c r="O332" s="25">
        <f>(O331/O10)/1.983</f>
        <v>0</v>
      </c>
      <c r="P332" s="25">
        <f>(P331/P10)/1.983</f>
        <v>0</v>
      </c>
      <c r="Q332" s="88"/>
      <c r="R332" s="117" t="s">
        <v>7</v>
      </c>
    </row>
    <row r="333" spans="1:18" ht="15.75" customHeight="1" x14ac:dyDescent="0.3">
      <c r="A333" s="28"/>
      <c r="B333" s="1"/>
      <c r="C333" s="1"/>
      <c r="D333" s="1"/>
      <c r="E333" s="1"/>
      <c r="F333" s="1"/>
      <c r="G333" s="1"/>
      <c r="H333" s="1"/>
      <c r="I333" s="1"/>
      <c r="J333" s="1"/>
      <c r="K333" s="1"/>
      <c r="L333" s="1"/>
      <c r="M333" s="1"/>
      <c r="N333" s="1"/>
      <c r="O333" s="1"/>
      <c r="P333" s="1"/>
      <c r="Q333" s="1"/>
      <c r="R333" s="28"/>
    </row>
    <row r="334" spans="1:18" ht="16.5" customHeight="1" thickBot="1" x14ac:dyDescent="0.35">
      <c r="A334" s="123"/>
      <c r="B334" s="25"/>
      <c r="C334" s="25"/>
      <c r="D334" s="25"/>
      <c r="E334" s="25"/>
      <c r="F334" s="25"/>
      <c r="G334" s="25"/>
      <c r="H334" s="25"/>
      <c r="I334" s="25"/>
      <c r="J334" s="25"/>
      <c r="K334" s="25"/>
      <c r="L334" s="25"/>
      <c r="M334" s="25"/>
      <c r="N334" s="25"/>
      <c r="O334" s="25"/>
      <c r="P334" s="25"/>
      <c r="Q334" s="25"/>
      <c r="R334" s="123"/>
    </row>
    <row r="335" spans="1:18" ht="16.5" customHeight="1" thickBot="1" x14ac:dyDescent="0.35">
      <c r="A335" s="124" t="s">
        <v>299</v>
      </c>
      <c r="B335" s="32" t="s">
        <v>36</v>
      </c>
      <c r="C335" s="33" t="s">
        <v>9</v>
      </c>
      <c r="D335" s="33" t="s">
        <v>10</v>
      </c>
      <c r="E335" s="12" t="s">
        <v>11</v>
      </c>
      <c r="F335" s="33" t="s">
        <v>12</v>
      </c>
      <c r="G335" s="33" t="s">
        <v>13</v>
      </c>
      <c r="H335" s="33" t="s">
        <v>14</v>
      </c>
      <c r="I335" s="34" t="s">
        <v>15</v>
      </c>
      <c r="J335" s="33" t="s">
        <v>16</v>
      </c>
      <c r="K335" s="33" t="s">
        <v>17</v>
      </c>
      <c r="L335" s="33" t="s">
        <v>18</v>
      </c>
      <c r="M335" s="34" t="s">
        <v>19</v>
      </c>
      <c r="N335" s="33" t="s">
        <v>20</v>
      </c>
      <c r="O335" s="33" t="s">
        <v>21</v>
      </c>
      <c r="P335" s="33" t="s">
        <v>22</v>
      </c>
      <c r="Q335" s="34" t="s">
        <v>23</v>
      </c>
      <c r="R335" s="35" t="s">
        <v>24</v>
      </c>
    </row>
    <row r="336" spans="1:18" ht="16.5" customHeight="1" thickBot="1" x14ac:dyDescent="0.35">
      <c r="A336" s="64"/>
      <c r="B336" s="81"/>
      <c r="C336" s="81"/>
      <c r="D336" s="81"/>
      <c r="E336" s="72"/>
      <c r="F336" s="81"/>
      <c r="G336" s="81"/>
      <c r="H336" s="81"/>
      <c r="I336" s="89"/>
      <c r="J336" s="81"/>
      <c r="K336" s="81"/>
      <c r="L336" s="81"/>
      <c r="M336" s="89"/>
      <c r="N336" s="81"/>
      <c r="O336" s="81"/>
      <c r="P336" s="81"/>
      <c r="Q336" s="89"/>
      <c r="R336" s="122"/>
    </row>
    <row r="337" spans="1:20" ht="15.75" customHeight="1" x14ac:dyDescent="0.3">
      <c r="A337" s="17" t="s">
        <v>45</v>
      </c>
      <c r="B337" s="1"/>
      <c r="C337" s="1"/>
      <c r="D337" s="1"/>
      <c r="E337" s="59" t="s">
        <v>7</v>
      </c>
      <c r="F337" s="1" t="s">
        <v>7</v>
      </c>
      <c r="G337" s="1" t="s">
        <v>7</v>
      </c>
      <c r="H337" s="1" t="s">
        <v>7</v>
      </c>
      <c r="I337" s="59" t="s">
        <v>7</v>
      </c>
      <c r="J337" s="1" t="s">
        <v>7</v>
      </c>
      <c r="K337" s="1" t="s">
        <v>7</v>
      </c>
      <c r="L337" s="1" t="s">
        <v>7</v>
      </c>
      <c r="M337" s="59" t="s">
        <v>7</v>
      </c>
      <c r="N337" s="1" t="s">
        <v>7</v>
      </c>
      <c r="O337" s="1" t="s">
        <v>7</v>
      </c>
      <c r="P337" s="1" t="s">
        <v>7</v>
      </c>
      <c r="Q337" s="59" t="s">
        <v>7</v>
      </c>
      <c r="R337" s="65" t="s">
        <v>7</v>
      </c>
    </row>
    <row r="338" spans="1:20" ht="15.75" customHeight="1" x14ac:dyDescent="0.3">
      <c r="A338" s="17" t="s">
        <v>46</v>
      </c>
      <c r="B338" s="1"/>
      <c r="C338" s="1"/>
      <c r="D338" s="1"/>
      <c r="E338" s="59" t="s">
        <v>7</v>
      </c>
      <c r="F338" s="1"/>
      <c r="G338" s="1"/>
      <c r="H338" s="1"/>
      <c r="I338" s="59" t="s">
        <v>7</v>
      </c>
      <c r="J338" s="1"/>
      <c r="K338" s="1"/>
      <c r="L338" s="1"/>
      <c r="M338" s="59" t="s">
        <v>7</v>
      </c>
      <c r="N338" s="1"/>
      <c r="O338" s="1"/>
      <c r="P338" s="1"/>
      <c r="Q338" s="59" t="s">
        <v>7</v>
      </c>
      <c r="R338" s="59" t="s">
        <v>7</v>
      </c>
    </row>
    <row r="339" spans="1:20" ht="15.75" customHeight="1" x14ac:dyDescent="0.3">
      <c r="A339" s="76" t="s">
        <v>300</v>
      </c>
      <c r="B339" s="1"/>
      <c r="C339" s="1"/>
      <c r="D339" s="1"/>
      <c r="E339" s="59">
        <f t="shared" ref="E339:E371" si="112">SUM(B339:D339)</f>
        <v>0</v>
      </c>
      <c r="F339" s="1"/>
      <c r="G339" s="1"/>
      <c r="H339" s="1"/>
      <c r="I339" s="59">
        <f t="shared" ref="I339:I371" si="113">SUM(F339:H339)</f>
        <v>0</v>
      </c>
      <c r="J339" s="1">
        <f>1+2+130</f>
        <v>133</v>
      </c>
      <c r="K339" s="1">
        <f>1+2+130</f>
        <v>133</v>
      </c>
      <c r="L339" s="1">
        <f>1+2+125</f>
        <v>128</v>
      </c>
      <c r="M339" s="59">
        <f t="shared" ref="M339:M371" si="114">SUM(J339:L339)</f>
        <v>394</v>
      </c>
      <c r="N339" s="1">
        <f>1+2+130</f>
        <v>133</v>
      </c>
      <c r="O339" s="1">
        <f>1+2+125</f>
        <v>128</v>
      </c>
      <c r="P339" s="1">
        <f>1+2+130</f>
        <v>133</v>
      </c>
      <c r="Q339" s="59">
        <f t="shared" ref="Q339:Q374" si="115">SUM(N339:P339)</f>
        <v>394</v>
      </c>
      <c r="R339" s="59">
        <f t="shared" ref="R339:R374" si="116">+E339+I339+M339+Q339</f>
        <v>788</v>
      </c>
      <c r="T339" s="4" t="s">
        <v>301</v>
      </c>
    </row>
    <row r="340" spans="1:20" ht="15.75" customHeight="1" x14ac:dyDescent="0.3">
      <c r="A340" s="76" t="s">
        <v>302</v>
      </c>
      <c r="B340" s="1"/>
      <c r="C340" s="1"/>
      <c r="D340" s="1"/>
      <c r="E340" s="59">
        <f t="shared" si="112"/>
        <v>0</v>
      </c>
      <c r="F340" s="1"/>
      <c r="G340" s="1"/>
      <c r="H340" s="1"/>
      <c r="I340" s="59">
        <f t="shared" si="113"/>
        <v>0</v>
      </c>
      <c r="J340" s="1"/>
      <c r="K340" s="1"/>
      <c r="L340" s="1">
        <v>400</v>
      </c>
      <c r="M340" s="59">
        <f t="shared" si="114"/>
        <v>400</v>
      </c>
      <c r="N340" s="1"/>
      <c r="O340" s="1"/>
      <c r="P340" s="1"/>
      <c r="Q340" s="59">
        <f t="shared" ref="Q340" si="117">SUM(N340:P340)</f>
        <v>0</v>
      </c>
      <c r="R340" s="59">
        <f t="shared" si="116"/>
        <v>400</v>
      </c>
    </row>
    <row r="341" spans="1:20" ht="15.75" customHeight="1" x14ac:dyDescent="0.3">
      <c r="A341" s="76" t="s">
        <v>303</v>
      </c>
      <c r="B341" s="1"/>
      <c r="C341" s="1"/>
      <c r="D341" s="1"/>
      <c r="E341" s="59">
        <f t="shared" si="112"/>
        <v>0</v>
      </c>
      <c r="F341" s="1"/>
      <c r="G341" s="1"/>
      <c r="H341" s="1">
        <v>378</v>
      </c>
      <c r="I341" s="59">
        <f t="shared" si="113"/>
        <v>378</v>
      </c>
      <c r="J341" s="1"/>
      <c r="K341" s="1"/>
      <c r="L341" s="1"/>
      <c r="M341" s="59">
        <f t="shared" si="114"/>
        <v>0</v>
      </c>
      <c r="N341" s="1"/>
      <c r="O341" s="1"/>
      <c r="P341" s="1"/>
      <c r="Q341" s="59">
        <f t="shared" si="115"/>
        <v>0</v>
      </c>
      <c r="R341" s="59">
        <f t="shared" si="116"/>
        <v>378</v>
      </c>
    </row>
    <row r="342" spans="1:20" ht="15.75" customHeight="1" x14ac:dyDescent="0.3">
      <c r="A342" s="76" t="s">
        <v>304</v>
      </c>
      <c r="B342" s="1"/>
      <c r="C342" s="1"/>
      <c r="D342" s="1"/>
      <c r="E342" s="59">
        <f t="shared" si="112"/>
        <v>0</v>
      </c>
      <c r="F342" s="1"/>
      <c r="G342" s="1"/>
      <c r="H342" s="1"/>
      <c r="I342" s="59">
        <f t="shared" si="113"/>
        <v>0</v>
      </c>
      <c r="J342" s="1"/>
      <c r="K342" s="1"/>
      <c r="L342" s="1"/>
      <c r="M342" s="59">
        <f t="shared" si="114"/>
        <v>0</v>
      </c>
      <c r="N342" s="1"/>
      <c r="O342" s="1"/>
      <c r="P342" s="1"/>
      <c r="Q342" s="59">
        <f t="shared" si="115"/>
        <v>0</v>
      </c>
      <c r="R342" s="59">
        <f t="shared" si="116"/>
        <v>0</v>
      </c>
      <c r="T342" s="4" t="s">
        <v>305</v>
      </c>
    </row>
    <row r="343" spans="1:20" ht="15.75" customHeight="1" x14ac:dyDescent="0.3">
      <c r="A343" s="76" t="s">
        <v>306</v>
      </c>
      <c r="B343" s="1">
        <v>175</v>
      </c>
      <c r="C343" s="1">
        <v>175</v>
      </c>
      <c r="D343" s="1">
        <v>0</v>
      </c>
      <c r="E343" s="59">
        <f>SUM(B343:D343)</f>
        <v>350</v>
      </c>
      <c r="F343" s="1">
        <v>0</v>
      </c>
      <c r="G343" s="1">
        <v>0</v>
      </c>
      <c r="H343" s="1">
        <v>0</v>
      </c>
      <c r="I343" s="59">
        <f t="shared" ref="I343" si="118">SUM(F343:H343)</f>
        <v>0</v>
      </c>
      <c r="J343" s="1">
        <v>0</v>
      </c>
      <c r="K343" s="1">
        <v>0</v>
      </c>
      <c r="L343" s="1">
        <v>0</v>
      </c>
      <c r="M343" s="59">
        <f t="shared" ref="M343" si="119">SUM(J343:L343)</f>
        <v>0</v>
      </c>
      <c r="N343" s="1">
        <v>0</v>
      </c>
      <c r="O343" s="1">
        <v>0</v>
      </c>
      <c r="P343" s="1">
        <v>0</v>
      </c>
      <c r="Q343" s="59">
        <f t="shared" ref="Q343" si="120">SUM(N343:P343)</f>
        <v>0</v>
      </c>
      <c r="R343" s="59">
        <f t="shared" si="116"/>
        <v>350</v>
      </c>
      <c r="T343" s="4" t="s">
        <v>307</v>
      </c>
    </row>
    <row r="344" spans="1:20" ht="15.75" customHeight="1" x14ac:dyDescent="0.3">
      <c r="A344" s="76" t="s">
        <v>308</v>
      </c>
      <c r="B344" s="1"/>
      <c r="C344" s="1"/>
      <c r="D344" s="1"/>
      <c r="E344" s="59">
        <f t="shared" si="112"/>
        <v>0</v>
      </c>
      <c r="F344" s="1"/>
      <c r="G344" s="1"/>
      <c r="H344" s="1"/>
      <c r="I344" s="59">
        <f t="shared" si="113"/>
        <v>0</v>
      </c>
      <c r="J344" s="1">
        <v>800</v>
      </c>
      <c r="K344" s="1"/>
      <c r="L344" s="1"/>
      <c r="M344" s="59">
        <f t="shared" si="114"/>
        <v>800</v>
      </c>
      <c r="N344" s="1"/>
      <c r="O344" s="1"/>
      <c r="P344" s="1"/>
      <c r="Q344" s="59">
        <f t="shared" si="115"/>
        <v>0</v>
      </c>
      <c r="R344" s="59">
        <f t="shared" si="116"/>
        <v>800</v>
      </c>
      <c r="T344" s="4" t="s">
        <v>307</v>
      </c>
    </row>
    <row r="345" spans="1:20" ht="15.75" customHeight="1" x14ac:dyDescent="0.3">
      <c r="A345" s="76" t="s">
        <v>309</v>
      </c>
      <c r="B345" s="4">
        <f>66</f>
        <v>66</v>
      </c>
      <c r="C345" s="1">
        <v>58</v>
      </c>
      <c r="D345" s="1">
        <v>170</v>
      </c>
      <c r="E345" s="59">
        <f>SUM(B345:D345)</f>
        <v>294</v>
      </c>
      <c r="F345" s="1">
        <v>281</v>
      </c>
      <c r="G345" s="1">
        <v>263</v>
      </c>
      <c r="H345" s="1">
        <v>417</v>
      </c>
      <c r="I345" s="59">
        <f>SUM(F345:H345)</f>
        <v>961</v>
      </c>
      <c r="J345" s="1">
        <f>415+2467</f>
        <v>2882</v>
      </c>
      <c r="K345" s="1">
        <v>360</v>
      </c>
      <c r="L345" s="1">
        <v>297</v>
      </c>
      <c r="M345" s="59">
        <f t="shared" ref="M345:M352" si="121">SUM(J345:L345)</f>
        <v>3539</v>
      </c>
      <c r="N345" s="1">
        <v>249</v>
      </c>
      <c r="O345" s="1">
        <v>138</v>
      </c>
      <c r="P345" s="1">
        <v>86</v>
      </c>
      <c r="Q345" s="59">
        <f t="shared" ref="Q345:Q350" si="122">SUM(N345:P345)</f>
        <v>473</v>
      </c>
      <c r="R345" s="59">
        <f t="shared" si="116"/>
        <v>5267</v>
      </c>
      <c r="T345" s="4" t="s">
        <v>305</v>
      </c>
    </row>
    <row r="346" spans="1:20" ht="15.75" customHeight="1" x14ac:dyDescent="0.3">
      <c r="A346" s="76" t="s">
        <v>310</v>
      </c>
      <c r="B346" s="1"/>
      <c r="C346" s="1"/>
      <c r="D346" s="1"/>
      <c r="E346" s="59">
        <f t="shared" ref="E346:E352" si="123">SUM(B346:D346)</f>
        <v>0</v>
      </c>
      <c r="F346" s="1"/>
      <c r="G346" s="1"/>
      <c r="H346" s="1"/>
      <c r="I346" s="59">
        <f t="shared" ref="I346:I352" si="124">SUM(F346:H346)</f>
        <v>0</v>
      </c>
      <c r="J346" s="1">
        <v>1650</v>
      </c>
      <c r="K346" s="1"/>
      <c r="L346" s="1"/>
      <c r="M346" s="59">
        <f t="shared" si="121"/>
        <v>1650</v>
      </c>
      <c r="N346" s="1"/>
      <c r="O346" s="1"/>
      <c r="P346" s="1"/>
      <c r="Q346" s="59">
        <f t="shared" si="122"/>
        <v>0</v>
      </c>
      <c r="R346" s="59">
        <f t="shared" si="116"/>
        <v>1650</v>
      </c>
      <c r="T346" s="4" t="s">
        <v>307</v>
      </c>
    </row>
    <row r="347" spans="1:20" ht="15.75" customHeight="1" x14ac:dyDescent="0.3">
      <c r="A347" s="76" t="s">
        <v>311</v>
      </c>
      <c r="B347" s="1">
        <v>0</v>
      </c>
      <c r="C347" s="1">
        <v>0</v>
      </c>
      <c r="D347" s="1">
        <v>175</v>
      </c>
      <c r="E347" s="59">
        <f t="shared" si="123"/>
        <v>175</v>
      </c>
      <c r="F347" s="1">
        <v>175</v>
      </c>
      <c r="G347" s="1">
        <v>0</v>
      </c>
      <c r="H347" s="1">
        <v>0</v>
      </c>
      <c r="I347" s="59">
        <f t="shared" si="124"/>
        <v>175</v>
      </c>
      <c r="J347" s="1">
        <v>0</v>
      </c>
      <c r="K347" s="1">
        <v>0</v>
      </c>
      <c r="L347" s="1">
        <v>0</v>
      </c>
      <c r="M347" s="59">
        <f t="shared" si="121"/>
        <v>0</v>
      </c>
      <c r="N347" s="1">
        <v>0</v>
      </c>
      <c r="O347" s="1">
        <v>0</v>
      </c>
      <c r="P347" s="1">
        <v>0</v>
      </c>
      <c r="Q347" s="59">
        <f t="shared" si="122"/>
        <v>0</v>
      </c>
      <c r="R347" s="59">
        <f t="shared" si="116"/>
        <v>350</v>
      </c>
    </row>
    <row r="348" spans="1:20" ht="15.75" customHeight="1" x14ac:dyDescent="0.3">
      <c r="A348" s="76" t="s">
        <v>312</v>
      </c>
      <c r="B348" s="1">
        <f>15+63</f>
        <v>78</v>
      </c>
      <c r="C348" s="1">
        <f>15+75</f>
        <v>90</v>
      </c>
      <c r="D348" s="1">
        <f>30+130</f>
        <v>160</v>
      </c>
      <c r="E348" s="59">
        <f t="shared" si="123"/>
        <v>328</v>
      </c>
      <c r="F348" s="1">
        <f>35+205</f>
        <v>240</v>
      </c>
      <c r="G348" s="1">
        <f>40+340</f>
        <v>380</v>
      </c>
      <c r="H348" s="1">
        <f>60+350</f>
        <v>410</v>
      </c>
      <c r="I348" s="59">
        <f t="shared" si="124"/>
        <v>1030</v>
      </c>
      <c r="J348" s="1">
        <f>60+330</f>
        <v>390</v>
      </c>
      <c r="K348" s="1">
        <f>50+315</f>
        <v>365</v>
      </c>
      <c r="L348" s="1">
        <f>40+280</f>
        <v>320</v>
      </c>
      <c r="M348" s="59">
        <f t="shared" si="121"/>
        <v>1075</v>
      </c>
      <c r="N348" s="1">
        <f>35+330</f>
        <v>365</v>
      </c>
      <c r="O348" s="1">
        <f>30+130</f>
        <v>160</v>
      </c>
      <c r="P348" s="1">
        <f>15+108</f>
        <v>123</v>
      </c>
      <c r="Q348" s="59">
        <f t="shared" si="122"/>
        <v>648</v>
      </c>
      <c r="R348" s="59">
        <f>+E348+I348+M348+Q348</f>
        <v>3081</v>
      </c>
      <c r="T348" s="4" t="s">
        <v>313</v>
      </c>
    </row>
    <row r="349" spans="1:20" ht="15.75" customHeight="1" x14ac:dyDescent="0.3">
      <c r="A349" s="76" t="s">
        <v>314</v>
      </c>
      <c r="B349" s="1">
        <v>0</v>
      </c>
      <c r="C349" s="1">
        <v>560</v>
      </c>
      <c r="D349" s="1">
        <v>560</v>
      </c>
      <c r="E349" s="59">
        <f t="shared" si="123"/>
        <v>1120</v>
      </c>
      <c r="F349" s="1">
        <v>480</v>
      </c>
      <c r="G349" s="1">
        <v>0</v>
      </c>
      <c r="H349" s="1">
        <v>0</v>
      </c>
      <c r="I349" s="59">
        <f t="shared" si="124"/>
        <v>480</v>
      </c>
      <c r="J349" s="1">
        <v>0</v>
      </c>
      <c r="K349" s="1">
        <v>0</v>
      </c>
      <c r="L349" s="1">
        <v>0</v>
      </c>
      <c r="M349" s="59">
        <f t="shared" si="121"/>
        <v>0</v>
      </c>
      <c r="N349" s="1">
        <v>0</v>
      </c>
      <c r="O349" s="1">
        <v>0</v>
      </c>
      <c r="P349" s="1">
        <v>0</v>
      </c>
      <c r="Q349" s="59">
        <f t="shared" si="122"/>
        <v>0</v>
      </c>
      <c r="R349" s="59">
        <f>+E349+I349+M349+Q349</f>
        <v>1600</v>
      </c>
      <c r="T349" s="4" t="s">
        <v>315</v>
      </c>
    </row>
    <row r="350" spans="1:20" ht="15.75" customHeight="1" x14ac:dyDescent="0.3">
      <c r="A350" s="76" t="s">
        <v>316</v>
      </c>
      <c r="B350" s="1"/>
      <c r="C350" s="1"/>
      <c r="D350" s="1"/>
      <c r="E350" s="59">
        <f t="shared" si="123"/>
        <v>0</v>
      </c>
      <c r="F350" s="1"/>
      <c r="G350" s="1"/>
      <c r="H350" s="1">
        <v>1604</v>
      </c>
      <c r="I350" s="59">
        <f t="shared" si="124"/>
        <v>1604</v>
      </c>
      <c r="J350" s="1"/>
      <c r="K350" s="1"/>
      <c r="L350" s="1"/>
      <c r="M350" s="59">
        <f t="shared" si="121"/>
        <v>0</v>
      </c>
      <c r="N350" s="1"/>
      <c r="O350" s="1"/>
      <c r="P350" s="1"/>
      <c r="Q350" s="59">
        <f t="shared" si="122"/>
        <v>0</v>
      </c>
      <c r="R350" s="59">
        <f>+E350+I350+M350+Q350</f>
        <v>1604</v>
      </c>
      <c r="T350" s="4" t="s">
        <v>317</v>
      </c>
    </row>
    <row r="351" spans="1:20" ht="15.75" customHeight="1" x14ac:dyDescent="0.3">
      <c r="A351" s="76" t="s">
        <v>318</v>
      </c>
      <c r="B351" s="1"/>
      <c r="C351" s="1"/>
      <c r="D351" s="1"/>
      <c r="E351" s="59">
        <f t="shared" si="123"/>
        <v>0</v>
      </c>
      <c r="F351" s="1"/>
      <c r="G351" s="1"/>
      <c r="H351" s="1"/>
      <c r="I351" s="59">
        <f t="shared" si="124"/>
        <v>0</v>
      </c>
      <c r="J351" s="1"/>
      <c r="K351" s="1"/>
      <c r="L351" s="1"/>
      <c r="M351" s="59">
        <f t="shared" si="121"/>
        <v>0</v>
      </c>
      <c r="N351" s="1"/>
      <c r="O351" s="1"/>
      <c r="P351" s="1"/>
      <c r="Q351" s="59">
        <f t="shared" ref="Q351" si="125">SUM(N351:P351)</f>
        <v>0</v>
      </c>
      <c r="R351" s="59">
        <f>+E351+I351+M351+Q351</f>
        <v>0</v>
      </c>
    </row>
    <row r="352" spans="1:20" ht="15.75" customHeight="1" x14ac:dyDescent="0.3">
      <c r="A352" s="76" t="s">
        <v>319</v>
      </c>
      <c r="B352" s="1">
        <v>325</v>
      </c>
      <c r="C352" s="1"/>
      <c r="D352" s="1"/>
      <c r="E352" s="59">
        <f t="shared" si="123"/>
        <v>325</v>
      </c>
      <c r="F352" s="1"/>
      <c r="G352" s="1"/>
      <c r="H352" s="1"/>
      <c r="I352" s="59">
        <f t="shared" si="124"/>
        <v>0</v>
      </c>
      <c r="J352" s="1"/>
      <c r="K352" s="1"/>
      <c r="L352" s="1"/>
      <c r="M352" s="59">
        <f t="shared" si="121"/>
        <v>0</v>
      </c>
      <c r="N352" s="1"/>
      <c r="O352" s="1"/>
      <c r="P352" s="1"/>
      <c r="Q352" s="59">
        <f>SUM(N352:P352)</f>
        <v>0</v>
      </c>
      <c r="R352" s="59">
        <f>+E352+I352+M352+Q352</f>
        <v>325</v>
      </c>
      <c r="S352" s="75" t="s">
        <v>80</v>
      </c>
    </row>
    <row r="353" spans="1:20" ht="15.75" customHeight="1" x14ac:dyDescent="0.3">
      <c r="A353" s="76" t="s">
        <v>320</v>
      </c>
      <c r="B353" s="1"/>
      <c r="C353" s="1"/>
      <c r="D353" s="1"/>
      <c r="E353" s="59">
        <f>SUM(B353:D353)</f>
        <v>0</v>
      </c>
      <c r="F353" s="1"/>
      <c r="G353" s="1"/>
      <c r="H353" s="1"/>
      <c r="I353" s="59">
        <f t="shared" ref="I353:I354" si="126">SUM(F353:H353)</f>
        <v>0</v>
      </c>
      <c r="J353" s="1">
        <v>678</v>
      </c>
      <c r="K353" s="1">
        <v>1000</v>
      </c>
      <c r="L353" s="1">
        <v>600</v>
      </c>
      <c r="M353" s="59">
        <f t="shared" ref="M353:M354" si="127">SUM(J353:L353)</f>
        <v>2278</v>
      </c>
      <c r="N353" s="1"/>
      <c r="O353" s="1"/>
      <c r="P353" s="1"/>
      <c r="Q353" s="59">
        <f t="shared" ref="Q353:Q354" si="128">SUM(N353:P353)</f>
        <v>0</v>
      </c>
      <c r="R353" s="59">
        <f t="shared" ref="R353:R354" si="129">+E353+I353+M353+Q353</f>
        <v>2278</v>
      </c>
    </row>
    <row r="354" spans="1:20" ht="15.75" customHeight="1" x14ac:dyDescent="0.3">
      <c r="A354" s="76" t="s">
        <v>321</v>
      </c>
      <c r="B354" s="1"/>
      <c r="C354" s="1"/>
      <c r="D354" s="1"/>
      <c r="E354" s="59">
        <f>SUM(B354:D354)</f>
        <v>0</v>
      </c>
      <c r="F354" s="1"/>
      <c r="G354" s="1"/>
      <c r="H354" s="1"/>
      <c r="I354" s="59">
        <f t="shared" si="126"/>
        <v>0</v>
      </c>
      <c r="J354" s="1"/>
      <c r="K354" s="1"/>
      <c r="L354" s="1"/>
      <c r="M354" s="59">
        <f t="shared" si="127"/>
        <v>0</v>
      </c>
      <c r="N354" s="1">
        <v>300</v>
      </c>
      <c r="O354" s="1"/>
      <c r="P354" s="1">
        <v>1000</v>
      </c>
      <c r="Q354" s="59">
        <f t="shared" si="128"/>
        <v>1300</v>
      </c>
      <c r="R354" s="59">
        <f t="shared" si="129"/>
        <v>1300</v>
      </c>
      <c r="T354" s="4" t="s">
        <v>315</v>
      </c>
    </row>
    <row r="355" spans="1:20" ht="15.75" customHeight="1" x14ac:dyDescent="0.3">
      <c r="A355" s="76" t="s">
        <v>322</v>
      </c>
      <c r="B355" s="1"/>
      <c r="C355" s="1"/>
      <c r="D355" s="1"/>
      <c r="E355" s="59">
        <f t="shared" ref="E355" si="130">SUM(B355:D355)</f>
        <v>0</v>
      </c>
      <c r="F355" s="1"/>
      <c r="G355" s="1"/>
      <c r="H355" s="1"/>
      <c r="I355" s="59">
        <f t="shared" ref="I355" si="131">SUM(F355:H355)</f>
        <v>0</v>
      </c>
      <c r="J355" s="1"/>
      <c r="K355" s="1"/>
      <c r="L355" s="1">
        <v>636</v>
      </c>
      <c r="M355" s="59">
        <f t="shared" ref="M355:M357" si="132">SUM(J355:L355)</f>
        <v>636</v>
      </c>
      <c r="N355" s="1">
        <v>1617</v>
      </c>
      <c r="O355" s="1">
        <v>1289</v>
      </c>
      <c r="P355" s="1">
        <v>1332</v>
      </c>
      <c r="Q355" s="59">
        <f t="shared" si="115"/>
        <v>4238</v>
      </c>
      <c r="R355" s="59">
        <f t="shared" si="116"/>
        <v>4874</v>
      </c>
      <c r="T355" s="4" t="s">
        <v>217</v>
      </c>
    </row>
    <row r="356" spans="1:20" ht="15.75" customHeight="1" x14ac:dyDescent="0.3">
      <c r="A356" s="76" t="s">
        <v>323</v>
      </c>
      <c r="B356" s="1"/>
      <c r="C356" s="1"/>
      <c r="D356" s="1"/>
      <c r="E356" s="59">
        <f>SUM(B356:D356)</f>
        <v>0</v>
      </c>
      <c r="F356" s="1"/>
      <c r="G356" s="1"/>
      <c r="H356" s="1"/>
      <c r="I356" s="59">
        <f>SUM(F356:H356)</f>
        <v>0</v>
      </c>
      <c r="J356" s="1"/>
      <c r="K356" s="1"/>
      <c r="L356" s="1"/>
      <c r="M356" s="59">
        <f>SUM(J356:L356)</f>
        <v>0</v>
      </c>
      <c r="N356" s="1"/>
      <c r="O356" s="1"/>
      <c r="P356" s="1"/>
      <c r="Q356" s="59">
        <f t="shared" ref="Q356" si="133">SUM(N356:P356)</f>
        <v>0</v>
      </c>
      <c r="R356" s="59">
        <f t="shared" si="116"/>
        <v>0</v>
      </c>
    </row>
    <row r="357" spans="1:20" ht="15.75" customHeight="1" x14ac:dyDescent="0.3">
      <c r="A357" s="76" t="s">
        <v>324</v>
      </c>
      <c r="B357" s="1">
        <v>200</v>
      </c>
      <c r="C357" s="1">
        <v>200</v>
      </c>
      <c r="D357" s="1">
        <v>200</v>
      </c>
      <c r="E357" s="59">
        <f>SUM(B357:D357)</f>
        <v>600</v>
      </c>
      <c r="F357" s="1">
        <v>200</v>
      </c>
      <c r="G357" s="1">
        <v>200</v>
      </c>
      <c r="H357" s="1">
        <v>200</v>
      </c>
      <c r="I357" s="59">
        <f>SUM(F357:H357)</f>
        <v>600</v>
      </c>
      <c r="J357" s="1">
        <v>200</v>
      </c>
      <c r="K357" s="1">
        <v>200</v>
      </c>
      <c r="L357" s="1">
        <v>320</v>
      </c>
      <c r="M357" s="59">
        <f t="shared" si="132"/>
        <v>720</v>
      </c>
      <c r="N357" s="1">
        <v>200</v>
      </c>
      <c r="O357" s="1"/>
      <c r="P357" s="1"/>
      <c r="Q357" s="59">
        <f t="shared" si="115"/>
        <v>200</v>
      </c>
      <c r="R357" s="59">
        <f t="shared" si="116"/>
        <v>2120</v>
      </c>
    </row>
    <row r="358" spans="1:20" ht="15.75" customHeight="1" x14ac:dyDescent="0.3">
      <c r="A358" s="76" t="s">
        <v>325</v>
      </c>
      <c r="B358" s="1"/>
      <c r="C358" s="1"/>
      <c r="D358" s="1"/>
      <c r="E358" s="59">
        <f t="shared" si="112"/>
        <v>0</v>
      </c>
      <c r="F358" s="1"/>
      <c r="G358" s="1"/>
      <c r="H358" s="1"/>
      <c r="I358" s="59">
        <f t="shared" si="113"/>
        <v>0</v>
      </c>
      <c r="J358" s="1"/>
      <c r="K358" s="1"/>
      <c r="L358" s="1"/>
      <c r="M358" s="59">
        <f t="shared" si="114"/>
        <v>0</v>
      </c>
      <c r="N358" s="1"/>
      <c r="O358" s="1"/>
      <c r="P358" s="1"/>
      <c r="Q358" s="59">
        <f t="shared" si="115"/>
        <v>0</v>
      </c>
      <c r="R358" s="59">
        <f t="shared" si="116"/>
        <v>0</v>
      </c>
      <c r="T358" s="4" t="s">
        <v>305</v>
      </c>
    </row>
    <row r="359" spans="1:20" ht="15.75" customHeight="1" x14ac:dyDescent="0.3">
      <c r="A359" s="76" t="s">
        <v>326</v>
      </c>
      <c r="B359" s="1">
        <v>1500</v>
      </c>
      <c r="C359" s="1">
        <v>1406</v>
      </c>
      <c r="D359" s="1"/>
      <c r="E359" s="59">
        <f t="shared" si="112"/>
        <v>2906</v>
      </c>
      <c r="F359" s="1"/>
      <c r="G359" s="1"/>
      <c r="H359" s="1"/>
      <c r="I359" s="59">
        <f t="shared" si="113"/>
        <v>0</v>
      </c>
      <c r="J359" s="1"/>
      <c r="K359" s="1"/>
      <c r="L359" s="1"/>
      <c r="M359" s="59">
        <f t="shared" si="114"/>
        <v>0</v>
      </c>
      <c r="N359" s="1"/>
      <c r="O359" s="1"/>
      <c r="P359" s="1"/>
      <c r="Q359" s="59">
        <f t="shared" si="115"/>
        <v>0</v>
      </c>
      <c r="R359" s="59">
        <f t="shared" si="116"/>
        <v>2906</v>
      </c>
    </row>
    <row r="360" spans="1:20" ht="15.75" customHeight="1" x14ac:dyDescent="0.3">
      <c r="A360" s="76" t="s">
        <v>327</v>
      </c>
      <c r="B360" s="1"/>
      <c r="C360" s="1"/>
      <c r="D360" s="1"/>
      <c r="E360" s="59">
        <f>SUM(B360:D360)</f>
        <v>0</v>
      </c>
      <c r="F360" s="1"/>
      <c r="G360" s="1"/>
      <c r="H360" s="1"/>
      <c r="I360" s="59">
        <f>SUM(F360:H360)</f>
        <v>0</v>
      </c>
      <c r="J360" s="1"/>
      <c r="K360" s="1"/>
      <c r="L360" s="1"/>
      <c r="M360" s="59">
        <f t="shared" si="114"/>
        <v>0</v>
      </c>
      <c r="N360" s="1"/>
      <c r="O360" s="1"/>
      <c r="P360" s="1"/>
      <c r="Q360" s="59">
        <f>SUM(N360:P360)</f>
        <v>0</v>
      </c>
      <c r="R360" s="59">
        <f t="shared" si="116"/>
        <v>0</v>
      </c>
      <c r="T360" s="4" t="s">
        <v>315</v>
      </c>
    </row>
    <row r="361" spans="1:20" ht="15.75" customHeight="1" x14ac:dyDescent="0.3">
      <c r="A361" s="76" t="s">
        <v>328</v>
      </c>
      <c r="B361" s="1"/>
      <c r="C361" s="1"/>
      <c r="D361" s="1"/>
      <c r="E361" s="59">
        <f t="shared" ref="E361" si="134">SUM(B361:D361)</f>
        <v>0</v>
      </c>
      <c r="F361" s="1"/>
      <c r="G361" s="1"/>
      <c r="H361" s="1"/>
      <c r="I361" s="59">
        <f t="shared" ref="I361" si="135">SUM(F361:H361)</f>
        <v>0</v>
      </c>
      <c r="J361" s="1">
        <v>985</v>
      </c>
      <c r="K361" s="1">
        <v>2283</v>
      </c>
      <c r="L361" s="1">
        <v>2025</v>
      </c>
      <c r="M361" s="59">
        <f t="shared" si="114"/>
        <v>5293</v>
      </c>
      <c r="N361" s="1">
        <v>1712</v>
      </c>
      <c r="O361" s="1">
        <v>230</v>
      </c>
      <c r="P361" s="1"/>
      <c r="Q361" s="59">
        <f t="shared" si="115"/>
        <v>1942</v>
      </c>
      <c r="R361" s="59">
        <f t="shared" si="116"/>
        <v>7235</v>
      </c>
      <c r="T361" s="4" t="s">
        <v>217</v>
      </c>
    </row>
    <row r="362" spans="1:20" ht="15.75" customHeight="1" x14ac:dyDescent="0.3">
      <c r="A362" s="76" t="s">
        <v>329</v>
      </c>
      <c r="B362" s="1"/>
      <c r="C362" s="1"/>
      <c r="D362" s="1"/>
      <c r="E362" s="59">
        <f>SUM(B362:D362)</f>
        <v>0</v>
      </c>
      <c r="F362" s="1"/>
      <c r="G362" s="1"/>
      <c r="H362" s="1"/>
      <c r="I362" s="59">
        <f>SUM(F362:H362)</f>
        <v>0</v>
      </c>
      <c r="J362" s="1"/>
      <c r="K362" s="1"/>
      <c r="L362" s="1"/>
      <c r="M362" s="59">
        <f>SUM(J362:L362)</f>
        <v>0</v>
      </c>
      <c r="N362" s="1"/>
      <c r="O362" s="1"/>
      <c r="P362" s="1"/>
      <c r="Q362" s="59">
        <f>SUM(N362:P362)</f>
        <v>0</v>
      </c>
      <c r="R362" s="59">
        <f t="shared" si="116"/>
        <v>0</v>
      </c>
      <c r="T362" s="4" t="s">
        <v>315</v>
      </c>
    </row>
    <row r="363" spans="1:20" ht="15.75" customHeight="1" x14ac:dyDescent="0.3">
      <c r="A363" s="76" t="s">
        <v>330</v>
      </c>
      <c r="B363" s="1"/>
      <c r="C363" s="1"/>
      <c r="D363" s="1"/>
      <c r="E363" s="59">
        <f t="shared" si="112"/>
        <v>0</v>
      </c>
      <c r="F363" s="1"/>
      <c r="G363" s="1"/>
      <c r="H363" s="1"/>
      <c r="I363" s="59">
        <f t="shared" si="113"/>
        <v>0</v>
      </c>
      <c r="J363" s="1"/>
      <c r="K363" s="1"/>
      <c r="L363" s="1"/>
      <c r="M363" s="59">
        <f t="shared" si="114"/>
        <v>0</v>
      </c>
      <c r="N363" s="1"/>
      <c r="O363" s="1"/>
      <c r="P363" s="1"/>
      <c r="Q363" s="59">
        <f t="shared" si="115"/>
        <v>0</v>
      </c>
      <c r="R363" s="59">
        <f t="shared" si="116"/>
        <v>0</v>
      </c>
      <c r="S363" s="125"/>
      <c r="T363" s="4" t="s">
        <v>331</v>
      </c>
    </row>
    <row r="364" spans="1:20" ht="15.75" customHeight="1" x14ac:dyDescent="0.3">
      <c r="A364" s="76" t="s">
        <v>332</v>
      </c>
      <c r="B364" s="1">
        <v>7</v>
      </c>
      <c r="C364" s="1">
        <v>15</v>
      </c>
      <c r="D364" s="1">
        <v>37</v>
      </c>
      <c r="E364" s="59">
        <f t="shared" si="112"/>
        <v>59</v>
      </c>
      <c r="F364" s="1"/>
      <c r="G364" s="1">
        <v>73</v>
      </c>
      <c r="H364" s="1">
        <v>66</v>
      </c>
      <c r="I364" s="59">
        <f>SUM(F364:H364)</f>
        <v>139</v>
      </c>
      <c r="J364" s="1">
        <v>39</v>
      </c>
      <c r="K364" s="1">
        <v>21</v>
      </c>
      <c r="L364" s="1">
        <v>12</v>
      </c>
      <c r="M364" s="59">
        <f>SUM(J364:L364)</f>
        <v>72</v>
      </c>
      <c r="N364" s="1">
        <v>15</v>
      </c>
      <c r="O364" s="1">
        <v>25</v>
      </c>
      <c r="P364" s="1">
        <v>25</v>
      </c>
      <c r="Q364" s="59">
        <f>SUM(N364:P364)</f>
        <v>65</v>
      </c>
      <c r="R364" s="59">
        <f>+E364+I364+M364+Q364</f>
        <v>335</v>
      </c>
      <c r="T364" s="4" t="s">
        <v>127</v>
      </c>
    </row>
    <row r="365" spans="1:20" ht="15.75" customHeight="1" x14ac:dyDescent="0.3">
      <c r="A365" s="76" t="s">
        <v>333</v>
      </c>
      <c r="B365" s="1">
        <v>256</v>
      </c>
      <c r="C365" s="1">
        <v>899</v>
      </c>
      <c r="D365" s="1">
        <f>976+1121</f>
        <v>2097</v>
      </c>
      <c r="E365" s="59">
        <f t="shared" ref="E365" si="136">SUM(B365:D365)</f>
        <v>3252</v>
      </c>
      <c r="F365" s="1">
        <v>1454</v>
      </c>
      <c r="G365" s="1">
        <f>98+1453</f>
        <v>1551</v>
      </c>
      <c r="H365" s="1">
        <f>3918+1692</f>
        <v>5610</v>
      </c>
      <c r="I365" s="59">
        <f t="shared" ref="I365" si="137">SUM(F365:H365)</f>
        <v>8615</v>
      </c>
      <c r="J365" s="1">
        <f>4434+1738</f>
        <v>6172</v>
      </c>
      <c r="K365" s="1">
        <f>4120+1833</f>
        <v>5953</v>
      </c>
      <c r="L365" s="1">
        <f>3807+1462</f>
        <v>5269</v>
      </c>
      <c r="M365" s="59">
        <f t="shared" ref="M365" si="138">SUM(J365:L365)</f>
        <v>17394</v>
      </c>
      <c r="N365" s="1">
        <f>3504+1263</f>
        <v>4767</v>
      </c>
      <c r="O365" s="1">
        <f>2940+1048</f>
        <v>3988</v>
      </c>
      <c r="P365" s="1">
        <f>2131+1170</f>
        <v>3301</v>
      </c>
      <c r="Q365" s="59">
        <f t="shared" si="115"/>
        <v>12056</v>
      </c>
      <c r="R365" s="59">
        <f t="shared" si="116"/>
        <v>41317</v>
      </c>
      <c r="T365" s="4" t="s">
        <v>334</v>
      </c>
    </row>
    <row r="366" spans="1:20" ht="15.75" customHeight="1" x14ac:dyDescent="0.3">
      <c r="A366" s="76" t="s">
        <v>335</v>
      </c>
      <c r="B366" s="1"/>
      <c r="C366" s="1"/>
      <c r="D366" s="1"/>
      <c r="E366" s="59">
        <f t="shared" si="112"/>
        <v>0</v>
      </c>
      <c r="F366" s="1"/>
      <c r="G366" s="1"/>
      <c r="H366" s="1"/>
      <c r="I366" s="59">
        <f t="shared" si="113"/>
        <v>0</v>
      </c>
      <c r="J366" s="1"/>
      <c r="K366" s="1"/>
      <c r="L366" s="1"/>
      <c r="M366" s="59">
        <f t="shared" si="114"/>
        <v>0</v>
      </c>
      <c r="N366" s="1"/>
      <c r="O366" s="1"/>
      <c r="P366" s="1"/>
      <c r="Q366" s="59">
        <f t="shared" si="115"/>
        <v>0</v>
      </c>
      <c r="R366" s="59">
        <f t="shared" si="116"/>
        <v>0</v>
      </c>
      <c r="T366" s="4" t="s">
        <v>336</v>
      </c>
    </row>
    <row r="367" spans="1:20" ht="15.75" customHeight="1" x14ac:dyDescent="0.3">
      <c r="A367" s="76" t="s">
        <v>337</v>
      </c>
      <c r="B367" s="1"/>
      <c r="C367" s="1"/>
      <c r="D367" s="1"/>
      <c r="E367" s="59">
        <f t="shared" si="112"/>
        <v>0</v>
      </c>
      <c r="F367" s="1">
        <v>1000</v>
      </c>
      <c r="G367" s="1">
        <v>1000</v>
      </c>
      <c r="H367" s="1">
        <v>1000</v>
      </c>
      <c r="I367" s="59">
        <f t="shared" si="113"/>
        <v>3000</v>
      </c>
      <c r="J367" s="1">
        <v>1000</v>
      </c>
      <c r="K367" s="1"/>
      <c r="L367" s="1"/>
      <c r="M367" s="59">
        <f t="shared" si="114"/>
        <v>1000</v>
      </c>
      <c r="N367" s="1"/>
      <c r="O367" s="1"/>
      <c r="P367" s="1"/>
      <c r="Q367" s="59">
        <f t="shared" ref="Q367:Q368" si="139">SUM(N367:P367)</f>
        <v>0</v>
      </c>
      <c r="R367" s="59">
        <f t="shared" si="116"/>
        <v>4000</v>
      </c>
    </row>
    <row r="368" spans="1:20" ht="15.75" customHeight="1" x14ac:dyDescent="0.3">
      <c r="A368" s="76" t="s">
        <v>338</v>
      </c>
      <c r="B368" s="1"/>
      <c r="C368" s="1"/>
      <c r="D368" s="1"/>
      <c r="E368" s="59">
        <f t="shared" si="112"/>
        <v>0</v>
      </c>
      <c r="F368" s="1"/>
      <c r="G368" s="1"/>
      <c r="H368" s="1"/>
      <c r="I368" s="59">
        <f t="shared" si="113"/>
        <v>0</v>
      </c>
      <c r="J368" s="1">
        <v>1000</v>
      </c>
      <c r="K368" s="1"/>
      <c r="L368" s="1"/>
      <c r="M368" s="59">
        <f t="shared" si="114"/>
        <v>1000</v>
      </c>
      <c r="N368" s="1"/>
      <c r="O368" s="1"/>
      <c r="P368" s="1"/>
      <c r="Q368" s="59">
        <f t="shared" si="139"/>
        <v>0</v>
      </c>
      <c r="R368" s="59">
        <f t="shared" si="116"/>
        <v>1000</v>
      </c>
    </row>
    <row r="369" spans="1:20" ht="15.75" customHeight="1" x14ac:dyDescent="0.3">
      <c r="A369" s="76" t="s">
        <v>339</v>
      </c>
      <c r="B369" s="1"/>
      <c r="C369" s="1"/>
      <c r="D369" s="1"/>
      <c r="E369" s="59">
        <f t="shared" si="112"/>
        <v>0</v>
      </c>
      <c r="F369" s="1"/>
      <c r="G369" s="1"/>
      <c r="H369" s="1"/>
      <c r="I369" s="59">
        <f t="shared" si="113"/>
        <v>0</v>
      </c>
      <c r="J369" s="1"/>
      <c r="K369" s="1">
        <v>2249</v>
      </c>
      <c r="L369" s="1">
        <v>1000</v>
      </c>
      <c r="M369" s="59">
        <f t="shared" si="114"/>
        <v>3249</v>
      </c>
      <c r="N369" s="1">
        <v>1000</v>
      </c>
      <c r="O369" s="1">
        <v>1000</v>
      </c>
      <c r="P369" s="1"/>
      <c r="Q369" s="59">
        <f t="shared" si="115"/>
        <v>2000</v>
      </c>
      <c r="R369" s="59">
        <f t="shared" si="116"/>
        <v>5249</v>
      </c>
    </row>
    <row r="370" spans="1:20" ht="15.75" customHeight="1" x14ac:dyDescent="0.3">
      <c r="A370" s="76" t="s">
        <v>340</v>
      </c>
      <c r="B370" s="1"/>
      <c r="C370" s="1"/>
      <c r="D370" s="1"/>
      <c r="E370" s="59">
        <f t="shared" si="112"/>
        <v>0</v>
      </c>
      <c r="F370" s="1"/>
      <c r="G370" s="1">
        <v>2000</v>
      </c>
      <c r="H370" s="1">
        <v>2000</v>
      </c>
      <c r="I370" s="59">
        <f t="shared" si="113"/>
        <v>4000</v>
      </c>
      <c r="J370" s="1">
        <v>1000</v>
      </c>
      <c r="K370" s="1"/>
      <c r="L370" s="1"/>
      <c r="M370" s="59">
        <f t="shared" si="114"/>
        <v>1000</v>
      </c>
      <c r="N370" s="1"/>
      <c r="O370" s="1"/>
      <c r="P370" s="1"/>
      <c r="Q370" s="59">
        <f t="shared" si="115"/>
        <v>0</v>
      </c>
      <c r="R370" s="59">
        <f t="shared" si="116"/>
        <v>5000</v>
      </c>
      <c r="S370" s="75" t="s">
        <v>80</v>
      </c>
    </row>
    <row r="371" spans="1:20" ht="15.75" customHeight="1" x14ac:dyDescent="0.3">
      <c r="A371" s="76" t="s">
        <v>341</v>
      </c>
      <c r="B371" s="1"/>
      <c r="C371" s="1"/>
      <c r="D371" s="1"/>
      <c r="E371" s="59">
        <f t="shared" si="112"/>
        <v>0</v>
      </c>
      <c r="F371" s="1"/>
      <c r="G371" s="1"/>
      <c r="H371" s="1"/>
      <c r="I371" s="59">
        <f t="shared" si="113"/>
        <v>0</v>
      </c>
      <c r="J371" s="1">
        <v>450</v>
      </c>
      <c r="K371" s="1">
        <v>450</v>
      </c>
      <c r="L371" s="1">
        <v>450</v>
      </c>
      <c r="M371" s="59">
        <f t="shared" si="114"/>
        <v>1350</v>
      </c>
      <c r="N371" s="1">
        <v>450</v>
      </c>
      <c r="O371" s="1">
        <v>400</v>
      </c>
      <c r="P371" s="1">
        <v>300</v>
      </c>
      <c r="Q371" s="59">
        <f>SUM(N371:P371)</f>
        <v>1150</v>
      </c>
      <c r="R371" s="59">
        <f>+E371+I371+M371+Q371</f>
        <v>2500</v>
      </c>
      <c r="T371" s="4" t="s">
        <v>315</v>
      </c>
    </row>
    <row r="372" spans="1:20" ht="15.75" customHeight="1" x14ac:dyDescent="0.3">
      <c r="A372" s="76" t="s">
        <v>342</v>
      </c>
      <c r="B372" s="1">
        <v>20</v>
      </c>
      <c r="C372" s="1">
        <v>30</v>
      </c>
      <c r="D372" s="1">
        <v>35</v>
      </c>
      <c r="E372" s="59">
        <f>SUM(B372:D372)</f>
        <v>85</v>
      </c>
      <c r="F372" s="1"/>
      <c r="G372" s="1">
        <v>62</v>
      </c>
      <c r="H372" s="1">
        <v>60</v>
      </c>
      <c r="I372" s="59">
        <f>SUM(F372:H372)</f>
        <v>122</v>
      </c>
      <c r="J372" s="1">
        <v>76</v>
      </c>
      <c r="K372" s="1">
        <v>56</v>
      </c>
      <c r="L372" s="1">
        <v>40</v>
      </c>
      <c r="M372" s="59">
        <f>SUM(J372:L372)</f>
        <v>172</v>
      </c>
      <c r="N372" s="1">
        <v>64</v>
      </c>
      <c r="O372" s="1">
        <v>79</v>
      </c>
      <c r="P372" s="1">
        <v>38</v>
      </c>
      <c r="Q372" s="59">
        <f>SUM(N372:P372)</f>
        <v>181</v>
      </c>
      <c r="R372" s="59">
        <f>+E372+I372+M372+Q372</f>
        <v>560</v>
      </c>
      <c r="T372" s="4" t="s">
        <v>127</v>
      </c>
    </row>
    <row r="373" spans="1:20" ht="15.75" customHeight="1" x14ac:dyDescent="0.3">
      <c r="A373" s="74" t="s">
        <v>343</v>
      </c>
      <c r="B373" s="1"/>
      <c r="C373" s="1"/>
      <c r="D373" s="1"/>
      <c r="E373" s="59">
        <f>SUM(B373:D373)</f>
        <v>0</v>
      </c>
      <c r="F373" s="1"/>
      <c r="G373" s="1"/>
      <c r="H373" s="1">
        <v>27</v>
      </c>
      <c r="I373" s="59">
        <f>SUM(F373:H373)</f>
        <v>27</v>
      </c>
      <c r="J373" s="1"/>
      <c r="K373" s="1"/>
      <c r="L373" s="1"/>
      <c r="M373" s="59">
        <f>SUM(J373:L373)</f>
        <v>0</v>
      </c>
      <c r="N373" s="1"/>
      <c r="O373" s="1"/>
      <c r="P373" s="1"/>
      <c r="Q373" s="59">
        <f>SUM(N373:P373)</f>
        <v>0</v>
      </c>
      <c r="R373" s="59">
        <f t="shared" si="116"/>
        <v>27</v>
      </c>
    </row>
    <row r="374" spans="1:20" ht="15.75" customHeight="1" x14ac:dyDescent="0.3">
      <c r="A374" s="76" t="s">
        <v>344</v>
      </c>
      <c r="B374" s="1">
        <v>20</v>
      </c>
      <c r="C374" s="1">
        <v>20</v>
      </c>
      <c r="D374" s="1">
        <v>20</v>
      </c>
      <c r="E374" s="59">
        <f t="shared" ref="E374" si="140">SUM(B374:D374)</f>
        <v>60</v>
      </c>
      <c r="F374" s="1">
        <v>60</v>
      </c>
      <c r="G374" s="1">
        <v>75</v>
      </c>
      <c r="H374" s="1">
        <v>75</v>
      </c>
      <c r="I374" s="59">
        <f t="shared" ref="I374" si="141">SUM(F374:H374)</f>
        <v>210</v>
      </c>
      <c r="J374" s="1">
        <v>75</v>
      </c>
      <c r="K374" s="1">
        <v>75</v>
      </c>
      <c r="L374" s="1">
        <v>30</v>
      </c>
      <c r="M374" s="59">
        <f t="shared" ref="M374" si="142">SUM(J374:L374)</f>
        <v>180</v>
      </c>
      <c r="N374" s="1">
        <v>20</v>
      </c>
      <c r="O374" s="1">
        <v>20</v>
      </c>
      <c r="P374" s="1">
        <v>5</v>
      </c>
      <c r="Q374" s="59">
        <f t="shared" si="115"/>
        <v>45</v>
      </c>
      <c r="R374" s="59">
        <f t="shared" si="116"/>
        <v>495</v>
      </c>
      <c r="S374" s="4">
        <f>SUM(R339:R374)</f>
        <v>97789</v>
      </c>
      <c r="T374" s="4" t="s">
        <v>331</v>
      </c>
    </row>
    <row r="375" spans="1:20" ht="15.75" customHeight="1" x14ac:dyDescent="0.3">
      <c r="A375" s="76" t="s">
        <v>345</v>
      </c>
      <c r="B375" s="1">
        <v>15</v>
      </c>
      <c r="C375" s="1">
        <v>19</v>
      </c>
      <c r="D375" s="1">
        <v>40</v>
      </c>
      <c r="E375" s="59">
        <f>SUM(B375:D375)</f>
        <v>74</v>
      </c>
      <c r="F375" s="1"/>
      <c r="G375" s="1">
        <v>58</v>
      </c>
      <c r="H375" s="1">
        <v>57</v>
      </c>
      <c r="I375" s="59">
        <f>SUM(F375:H375)</f>
        <v>115</v>
      </c>
      <c r="J375" s="1">
        <v>49</v>
      </c>
      <c r="K375" s="1">
        <v>53</v>
      </c>
      <c r="L375" s="1">
        <v>63</v>
      </c>
      <c r="M375" s="59">
        <f>SUM(J375:L375)</f>
        <v>165</v>
      </c>
      <c r="N375" s="1">
        <v>47</v>
      </c>
      <c r="O375" s="1">
        <v>36</v>
      </c>
      <c r="P375" s="1">
        <v>16</v>
      </c>
      <c r="Q375" s="59">
        <f>SUM(N375:P375)</f>
        <v>99</v>
      </c>
      <c r="R375" s="59">
        <f>+E375+I375+M375+Q375</f>
        <v>453</v>
      </c>
      <c r="T375" s="4" t="s">
        <v>127</v>
      </c>
    </row>
    <row r="376" spans="1:20" ht="15.75" customHeight="1" x14ac:dyDescent="0.3">
      <c r="A376" s="17" t="s">
        <v>47</v>
      </c>
      <c r="B376" s="1"/>
      <c r="C376" s="1"/>
      <c r="D376" s="1"/>
      <c r="E376" s="59" t="s">
        <v>7</v>
      </c>
      <c r="F376" s="1"/>
      <c r="G376" s="1"/>
      <c r="H376" s="1"/>
      <c r="I376" s="59" t="s">
        <v>7</v>
      </c>
      <c r="J376" s="1"/>
      <c r="K376" s="1"/>
      <c r="L376" s="1"/>
      <c r="M376" s="59" t="s">
        <v>7</v>
      </c>
      <c r="N376" s="1"/>
      <c r="O376" s="1"/>
      <c r="P376" s="1"/>
      <c r="Q376" s="59" t="s">
        <v>7</v>
      </c>
      <c r="R376" s="59" t="s">
        <v>7</v>
      </c>
    </row>
    <row r="377" spans="1:20" ht="15.75" customHeight="1" x14ac:dyDescent="0.3">
      <c r="A377" s="76" t="s">
        <v>346</v>
      </c>
      <c r="B377" s="1"/>
      <c r="C377" s="1"/>
      <c r="D377" s="1"/>
      <c r="E377" s="59">
        <f t="shared" ref="E377:E387" si="143">SUM(B377:D377)</f>
        <v>0</v>
      </c>
      <c r="F377" s="1"/>
      <c r="G377" s="1"/>
      <c r="H377" s="1"/>
      <c r="I377" s="59">
        <f t="shared" ref="I377:I387" si="144">SUM(F377:H377)</f>
        <v>0</v>
      </c>
      <c r="J377" s="1"/>
      <c r="K377" s="1"/>
      <c r="L377" s="1"/>
      <c r="M377" s="59">
        <f t="shared" ref="M377:M387" si="145">SUM(J377:L377)</f>
        <v>0</v>
      </c>
      <c r="N377" s="1"/>
      <c r="O377" s="1"/>
      <c r="P377" s="1"/>
      <c r="Q377" s="59">
        <f t="shared" ref="Q377:Q387" si="146">SUM(N377:P377)</f>
        <v>0</v>
      </c>
      <c r="R377" s="59">
        <f t="shared" ref="R377:R387" si="147">+E377+I377+M377+Q377</f>
        <v>0</v>
      </c>
    </row>
    <row r="378" spans="1:20" ht="15.75" customHeight="1" x14ac:dyDescent="0.3">
      <c r="A378" s="76" t="s">
        <v>347</v>
      </c>
      <c r="B378" s="1"/>
      <c r="C378" s="1"/>
      <c r="D378" s="1"/>
      <c r="E378" s="59">
        <f>SUM(B378:D378)</f>
        <v>0</v>
      </c>
      <c r="F378" s="1"/>
      <c r="G378" s="1"/>
      <c r="H378" s="1"/>
      <c r="I378" s="59">
        <f>SUM(F378:H378)</f>
        <v>0</v>
      </c>
      <c r="J378" s="1"/>
      <c r="K378" s="1"/>
      <c r="L378" s="1"/>
      <c r="M378" s="59">
        <f>SUM(J378:L378)</f>
        <v>0</v>
      </c>
      <c r="N378" s="1"/>
      <c r="O378" s="1"/>
      <c r="P378" s="1"/>
      <c r="Q378" s="59">
        <f>SUM(N378:P378)</f>
        <v>0</v>
      </c>
      <c r="R378" s="59">
        <f>+E378+I378+M378+Q378</f>
        <v>0</v>
      </c>
      <c r="T378" s="4" t="s">
        <v>348</v>
      </c>
    </row>
    <row r="379" spans="1:20" ht="15.75" customHeight="1" x14ac:dyDescent="0.3">
      <c r="A379" s="76" t="s">
        <v>349</v>
      </c>
      <c r="B379" s="1"/>
      <c r="C379" s="1"/>
      <c r="D379" s="1"/>
      <c r="E379" s="59">
        <f>SUM(B379:D379)</f>
        <v>0</v>
      </c>
      <c r="F379" s="1"/>
      <c r="G379" s="1"/>
      <c r="H379" s="1"/>
      <c r="I379" s="59">
        <f>SUM(F379:H379)</f>
        <v>0</v>
      </c>
      <c r="J379" s="1"/>
      <c r="K379" s="1"/>
      <c r="L379" s="1"/>
      <c r="M379" s="59">
        <f>SUM(J379:L379)</f>
        <v>0</v>
      </c>
      <c r="N379" s="1"/>
      <c r="O379" s="1"/>
      <c r="P379" s="1"/>
      <c r="Q379" s="59">
        <f>SUM(N379:P379)</f>
        <v>0</v>
      </c>
      <c r="R379" s="59">
        <f>+E379+I379+M379+Q379</f>
        <v>0</v>
      </c>
      <c r="T379" s="4" t="s">
        <v>336</v>
      </c>
    </row>
    <row r="380" spans="1:20" ht="15.75" customHeight="1" x14ac:dyDescent="0.3">
      <c r="A380" s="76" t="s">
        <v>330</v>
      </c>
      <c r="B380" s="1"/>
      <c r="C380" s="1"/>
      <c r="D380" s="1"/>
      <c r="E380" s="59">
        <f t="shared" si="143"/>
        <v>0</v>
      </c>
      <c r="F380" s="1"/>
      <c r="G380" s="1"/>
      <c r="H380" s="1"/>
      <c r="I380" s="59">
        <f t="shared" si="144"/>
        <v>0</v>
      </c>
      <c r="J380" s="1"/>
      <c r="K380" s="1"/>
      <c r="L380" s="1"/>
      <c r="M380" s="59">
        <f t="shared" si="145"/>
        <v>0</v>
      </c>
      <c r="N380" s="1"/>
      <c r="O380" s="1"/>
      <c r="P380" s="1"/>
      <c r="Q380" s="59">
        <f t="shared" si="146"/>
        <v>0</v>
      </c>
      <c r="R380" s="59">
        <f>+E380+I380+M380+Q380</f>
        <v>0</v>
      </c>
      <c r="T380" s="4" t="s">
        <v>331</v>
      </c>
    </row>
    <row r="381" spans="1:20" ht="15.75" customHeight="1" x14ac:dyDescent="0.3">
      <c r="A381" s="76" t="s">
        <v>350</v>
      </c>
      <c r="B381" s="1"/>
      <c r="C381" s="1"/>
      <c r="D381" s="1"/>
      <c r="E381" s="59">
        <f>SUM(B381:D381)</f>
        <v>0</v>
      </c>
      <c r="F381" s="1"/>
      <c r="G381" s="1"/>
      <c r="H381" s="1"/>
      <c r="I381" s="59">
        <f>SUM(F381:H381)</f>
        <v>0</v>
      </c>
      <c r="J381" s="1"/>
      <c r="K381" s="1"/>
      <c r="L381" s="1"/>
      <c r="M381" s="59">
        <f>SUM(J381:L381)</f>
        <v>0</v>
      </c>
      <c r="N381" s="1"/>
      <c r="O381" s="1"/>
      <c r="P381" s="1"/>
      <c r="Q381" s="59">
        <f>SUM(N381:P381)</f>
        <v>0</v>
      </c>
      <c r="R381" s="59">
        <f>+E381+I381+M381+Q381</f>
        <v>0</v>
      </c>
      <c r="T381" s="4" t="s">
        <v>351</v>
      </c>
    </row>
    <row r="382" spans="1:20" ht="15.75" customHeight="1" x14ac:dyDescent="0.3">
      <c r="A382" s="76" t="s">
        <v>352</v>
      </c>
      <c r="B382" s="1"/>
      <c r="C382" s="1"/>
      <c r="D382" s="1"/>
      <c r="E382" s="59">
        <f t="shared" si="143"/>
        <v>0</v>
      </c>
      <c r="F382" s="1"/>
      <c r="G382" s="1"/>
      <c r="H382" s="1"/>
      <c r="I382" s="59">
        <f t="shared" si="144"/>
        <v>0</v>
      </c>
      <c r="J382" s="1"/>
      <c r="K382" s="1"/>
      <c r="L382" s="1"/>
      <c r="M382" s="59">
        <f t="shared" si="145"/>
        <v>0</v>
      </c>
      <c r="N382" s="1"/>
      <c r="O382" s="1"/>
      <c r="P382" s="1"/>
      <c r="Q382" s="59">
        <f t="shared" si="146"/>
        <v>0</v>
      </c>
      <c r="R382" s="59">
        <f t="shared" si="147"/>
        <v>0</v>
      </c>
    </row>
    <row r="383" spans="1:20" ht="15.75" customHeight="1" x14ac:dyDescent="0.3">
      <c r="A383" s="76" t="s">
        <v>353</v>
      </c>
      <c r="B383" s="1"/>
      <c r="C383" s="1"/>
      <c r="D383" s="1"/>
      <c r="E383" s="59">
        <f t="shared" si="143"/>
        <v>0</v>
      </c>
      <c r="F383" s="1"/>
      <c r="G383" s="1"/>
      <c r="H383" s="1"/>
      <c r="I383" s="59">
        <f t="shared" si="144"/>
        <v>0</v>
      </c>
      <c r="J383" s="1"/>
      <c r="K383" s="1"/>
      <c r="L383" s="1"/>
      <c r="M383" s="59">
        <f t="shared" si="145"/>
        <v>0</v>
      </c>
      <c r="N383" s="1"/>
      <c r="O383" s="1"/>
      <c r="P383" s="1"/>
      <c r="Q383" s="59">
        <f t="shared" si="146"/>
        <v>0</v>
      </c>
      <c r="R383" s="59">
        <f t="shared" si="147"/>
        <v>0</v>
      </c>
      <c r="T383" s="4" t="s">
        <v>354</v>
      </c>
    </row>
    <row r="384" spans="1:20" ht="15.75" customHeight="1" x14ac:dyDescent="0.3">
      <c r="A384" s="76" t="s">
        <v>355</v>
      </c>
      <c r="B384" s="1"/>
      <c r="C384" s="1"/>
      <c r="D384" s="1"/>
      <c r="E384" s="59">
        <f t="shared" si="143"/>
        <v>0</v>
      </c>
      <c r="F384" s="1"/>
      <c r="G384" s="1"/>
      <c r="H384" s="1"/>
      <c r="I384" s="59">
        <f t="shared" si="144"/>
        <v>0</v>
      </c>
      <c r="J384" s="1"/>
      <c r="K384" s="1"/>
      <c r="L384" s="1"/>
      <c r="M384" s="59">
        <f t="shared" si="145"/>
        <v>0</v>
      </c>
      <c r="N384" s="1"/>
      <c r="O384" s="1"/>
      <c r="P384" s="1"/>
      <c r="Q384" s="59">
        <f t="shared" si="146"/>
        <v>0</v>
      </c>
      <c r="R384" s="59">
        <f t="shared" si="147"/>
        <v>0</v>
      </c>
      <c r="T384" s="4" t="s">
        <v>354</v>
      </c>
    </row>
    <row r="385" spans="1:39" ht="15.75" customHeight="1" x14ac:dyDescent="0.3">
      <c r="A385" s="76" t="s">
        <v>356</v>
      </c>
      <c r="B385" s="1"/>
      <c r="C385" s="1"/>
      <c r="D385" s="1"/>
      <c r="E385" s="59">
        <f t="shared" si="143"/>
        <v>0</v>
      </c>
      <c r="F385" s="1"/>
      <c r="G385" s="1"/>
      <c r="H385" s="1"/>
      <c r="I385" s="59">
        <f t="shared" si="144"/>
        <v>0</v>
      </c>
      <c r="J385" s="1"/>
      <c r="K385" s="1"/>
      <c r="L385" s="1"/>
      <c r="M385" s="59">
        <f t="shared" si="145"/>
        <v>0</v>
      </c>
      <c r="N385" s="1"/>
      <c r="O385" s="1"/>
      <c r="P385" s="1"/>
      <c r="Q385" s="59">
        <f t="shared" si="146"/>
        <v>0</v>
      </c>
      <c r="R385" s="59">
        <f t="shared" si="147"/>
        <v>0</v>
      </c>
      <c r="T385" s="4" t="s">
        <v>127</v>
      </c>
    </row>
    <row r="386" spans="1:39" ht="15.75" customHeight="1" x14ac:dyDescent="0.3">
      <c r="A386" s="76" t="s">
        <v>357</v>
      </c>
      <c r="B386" s="1"/>
      <c r="C386" s="1"/>
      <c r="D386" s="1"/>
      <c r="E386" s="59">
        <f>SUM(B386:D386)</f>
        <v>0</v>
      </c>
      <c r="F386" s="1"/>
      <c r="G386" s="1"/>
      <c r="H386" s="1"/>
      <c r="I386" s="59">
        <f>SUM(F386:H386)</f>
        <v>0</v>
      </c>
      <c r="J386" s="1"/>
      <c r="K386" s="1"/>
      <c r="L386" s="1"/>
      <c r="M386" s="59">
        <f>SUM(J386:L386)</f>
        <v>0</v>
      </c>
      <c r="N386" s="1"/>
      <c r="O386" s="1"/>
      <c r="P386" s="1"/>
      <c r="Q386" s="59">
        <f>SUM(N386:P386)</f>
        <v>0</v>
      </c>
      <c r="R386" s="59">
        <f>+E386+I386+M386+Q386</f>
        <v>0</v>
      </c>
      <c r="T386" s="4" t="s">
        <v>127</v>
      </c>
    </row>
    <row r="387" spans="1:39" ht="15.75" customHeight="1" x14ac:dyDescent="0.3">
      <c r="A387" s="76" t="s">
        <v>358</v>
      </c>
      <c r="B387" s="1"/>
      <c r="C387" s="1"/>
      <c r="D387" s="1"/>
      <c r="E387" s="59">
        <f t="shared" si="143"/>
        <v>0</v>
      </c>
      <c r="F387" s="1"/>
      <c r="G387" s="1"/>
      <c r="H387" s="1"/>
      <c r="I387" s="59">
        <f t="shared" si="144"/>
        <v>0</v>
      </c>
      <c r="J387" s="1"/>
      <c r="K387" s="1"/>
      <c r="L387" s="1"/>
      <c r="M387" s="59">
        <f t="shared" si="145"/>
        <v>0</v>
      </c>
      <c r="N387" s="1"/>
      <c r="O387" s="1"/>
      <c r="P387" s="1"/>
      <c r="Q387" s="59">
        <f t="shared" si="146"/>
        <v>0</v>
      </c>
      <c r="R387" s="59">
        <f t="shared" si="147"/>
        <v>0</v>
      </c>
      <c r="T387" s="4" t="s">
        <v>359</v>
      </c>
    </row>
    <row r="388" spans="1:39" ht="15.75" customHeight="1" x14ac:dyDescent="0.3">
      <c r="A388" s="17" t="s">
        <v>49</v>
      </c>
      <c r="B388" s="1"/>
      <c r="C388" s="1"/>
      <c r="D388" s="1"/>
      <c r="E388" s="59" t="s">
        <v>7</v>
      </c>
      <c r="F388" s="1"/>
      <c r="G388" s="1"/>
      <c r="H388" s="1"/>
      <c r="I388" s="59" t="s">
        <v>7</v>
      </c>
      <c r="J388" s="1"/>
      <c r="K388" s="1"/>
      <c r="L388" s="1"/>
      <c r="M388" s="59" t="s">
        <v>7</v>
      </c>
      <c r="N388" s="1"/>
      <c r="O388" s="1"/>
      <c r="P388" s="1"/>
      <c r="Q388" s="59" t="s">
        <v>7</v>
      </c>
      <c r="R388" s="59" t="s">
        <v>7</v>
      </c>
    </row>
    <row r="389" spans="1:39" ht="15.75" customHeight="1" x14ac:dyDescent="0.3">
      <c r="A389" s="76" t="s">
        <v>360</v>
      </c>
      <c r="B389" s="1"/>
      <c r="C389" s="1"/>
      <c r="D389" s="1"/>
      <c r="E389" s="59">
        <f>SUM(B389:D389)</f>
        <v>0</v>
      </c>
      <c r="F389" s="1"/>
      <c r="G389" s="1"/>
      <c r="H389" s="1"/>
      <c r="I389" s="59">
        <f>SUM(F389:H389)</f>
        <v>0</v>
      </c>
      <c r="J389" s="1"/>
      <c r="K389" s="1"/>
      <c r="L389" s="1"/>
      <c r="M389" s="59">
        <f>SUM(J389:L389)</f>
        <v>0</v>
      </c>
      <c r="N389" s="1"/>
      <c r="O389" s="1"/>
      <c r="P389" s="1"/>
      <c r="Q389" s="59">
        <f>SUM(N389:P389)</f>
        <v>0</v>
      </c>
      <c r="R389" s="59">
        <f>+E389+I389+M389+Q389</f>
        <v>0</v>
      </c>
      <c r="S389" s="77" t="s">
        <v>90</v>
      </c>
      <c r="T389" s="4" t="s">
        <v>305</v>
      </c>
    </row>
    <row r="390" spans="1:39" ht="15.75" customHeight="1" x14ac:dyDescent="0.3">
      <c r="A390" s="76" t="s">
        <v>361</v>
      </c>
      <c r="B390" s="1"/>
      <c r="C390" s="1"/>
      <c r="D390" s="1"/>
      <c r="E390" s="59">
        <f>SUM(B390:D390)</f>
        <v>0</v>
      </c>
      <c r="F390" s="1"/>
      <c r="G390" s="1"/>
      <c r="H390" s="1"/>
      <c r="I390" s="59">
        <f>SUM(F390:H390)</f>
        <v>0</v>
      </c>
      <c r="J390" s="1"/>
      <c r="K390" s="1"/>
      <c r="L390" s="1"/>
      <c r="M390" s="59">
        <f>SUM(J390:L390)</f>
        <v>0</v>
      </c>
      <c r="N390" s="1"/>
      <c r="O390" s="1"/>
      <c r="P390" s="1"/>
      <c r="Q390" s="59">
        <f>SUM(N390:P390)</f>
        <v>0</v>
      </c>
      <c r="R390" s="59">
        <f>+E390+I390+M390+Q390</f>
        <v>0</v>
      </c>
      <c r="S390" s="77" t="s">
        <v>90</v>
      </c>
    </row>
    <row r="391" spans="1:39" ht="15.75" customHeight="1" x14ac:dyDescent="0.3">
      <c r="A391" s="76" t="s">
        <v>362</v>
      </c>
      <c r="B391" s="1"/>
      <c r="C391" s="1"/>
      <c r="D391" s="1"/>
      <c r="E391" s="59">
        <f>SUM(B391:D391)</f>
        <v>0</v>
      </c>
      <c r="F391" s="1"/>
      <c r="G391" s="1"/>
      <c r="H391" s="1"/>
      <c r="I391" s="59">
        <f>SUM(F391:H391)</f>
        <v>0</v>
      </c>
      <c r="J391" s="1"/>
      <c r="K391" s="1"/>
      <c r="L391" s="1"/>
      <c r="M391" s="59">
        <f>SUM(J391:L391)</f>
        <v>0</v>
      </c>
      <c r="N391" s="1"/>
      <c r="O391" s="1"/>
      <c r="P391" s="1"/>
      <c r="Q391" s="59">
        <f>SUM(N391:P391)</f>
        <v>0</v>
      </c>
      <c r="R391" s="59">
        <f>+E391+I391+M391+Q391</f>
        <v>0</v>
      </c>
      <c r="S391" s="77" t="s">
        <v>90</v>
      </c>
      <c r="T391" s="4" t="s">
        <v>331</v>
      </c>
    </row>
    <row r="392" spans="1:39" ht="15.75" customHeight="1" x14ac:dyDescent="0.3">
      <c r="A392" s="76" t="s">
        <v>363</v>
      </c>
      <c r="B392" s="1"/>
      <c r="C392" s="1"/>
      <c r="D392" s="1"/>
      <c r="E392" s="59">
        <f>SUM(B392:D392)</f>
        <v>0</v>
      </c>
      <c r="F392" s="1"/>
      <c r="G392" s="1"/>
      <c r="H392" s="1"/>
      <c r="I392" s="59">
        <f>SUM(F392:H392)</f>
        <v>0</v>
      </c>
      <c r="J392" s="1"/>
      <c r="K392" s="1"/>
      <c r="L392" s="1"/>
      <c r="M392" s="59">
        <f>SUM(J392:L392)</f>
        <v>0</v>
      </c>
      <c r="N392" s="1"/>
      <c r="O392" s="1"/>
      <c r="P392" s="1"/>
      <c r="Q392" s="59">
        <f>SUM(N392:P392)</f>
        <v>0</v>
      </c>
      <c r="R392" s="59">
        <f>+E392+I392+M392+Q392</f>
        <v>0</v>
      </c>
      <c r="S392" s="77" t="s">
        <v>90</v>
      </c>
      <c r="T392" s="4" t="s">
        <v>315</v>
      </c>
    </row>
    <row r="393" spans="1:39" ht="16.5" customHeight="1" thickBot="1" x14ac:dyDescent="0.35">
      <c r="A393" s="17" t="s">
        <v>51</v>
      </c>
      <c r="B393" s="1"/>
      <c r="C393" s="1"/>
      <c r="D393" s="1"/>
      <c r="E393" s="59" t="s">
        <v>7</v>
      </c>
      <c r="F393" s="1"/>
      <c r="G393" s="1"/>
      <c r="H393" s="1"/>
      <c r="I393" s="59" t="s">
        <v>7</v>
      </c>
      <c r="J393" s="1"/>
      <c r="K393" s="1"/>
      <c r="L393" s="1"/>
      <c r="M393" s="59" t="s">
        <v>7</v>
      </c>
      <c r="N393" s="1"/>
      <c r="O393" s="1"/>
      <c r="P393" s="1"/>
      <c r="Q393" s="59" t="s">
        <v>7</v>
      </c>
      <c r="R393" s="88" t="s">
        <v>7</v>
      </c>
      <c r="V393" s="4" t="s">
        <v>364</v>
      </c>
      <c r="W393" s="4" t="s">
        <v>365</v>
      </c>
    </row>
    <row r="394" spans="1:39" ht="16.5" customHeight="1" thickBot="1" x14ac:dyDescent="0.35">
      <c r="A394" s="126" t="s">
        <v>52</v>
      </c>
      <c r="B394" s="100">
        <f>SUM(B337:B393)</f>
        <v>2662</v>
      </c>
      <c r="C394" s="101">
        <f>SUM(C337:C393)</f>
        <v>3472</v>
      </c>
      <c r="D394" s="101">
        <f>SUM(D337:D393)</f>
        <v>3494</v>
      </c>
      <c r="E394" s="64">
        <f>SUM(B394:D394)</f>
        <v>9628</v>
      </c>
      <c r="F394" s="101">
        <f>SUM(F337:F393)</f>
        <v>3890</v>
      </c>
      <c r="G394" s="101">
        <f>SUM(G337:G393)</f>
        <v>5662</v>
      </c>
      <c r="H394" s="101">
        <f>SUM(H337:H393)</f>
        <v>11904</v>
      </c>
      <c r="I394" s="64">
        <f>SUM(F394:H394)</f>
        <v>21456</v>
      </c>
      <c r="J394" s="101">
        <f>SUM(J337:J393)</f>
        <v>17579</v>
      </c>
      <c r="K394" s="101">
        <f>SUM(K337:K393)</f>
        <v>13198</v>
      </c>
      <c r="L394" s="101">
        <f>SUM(L337:L393)</f>
        <v>11590</v>
      </c>
      <c r="M394" s="64">
        <f>SUM(J394:L394)</f>
        <v>42367</v>
      </c>
      <c r="N394" s="101">
        <f>SUM(N337:N393)</f>
        <v>10939</v>
      </c>
      <c r="O394" s="101">
        <f>SUM(O337:O393)</f>
        <v>7493</v>
      </c>
      <c r="P394" s="101">
        <f>SUM(P337:P393)</f>
        <v>6359</v>
      </c>
      <c r="Q394" s="64">
        <f>SUM(N394:P394)</f>
        <v>24791</v>
      </c>
      <c r="R394" s="64">
        <f>+E394+I394+M394+Q394</f>
        <v>98242</v>
      </c>
      <c r="T394" s="106"/>
      <c r="V394" s="4" t="s">
        <v>305</v>
      </c>
      <c r="W394" s="127">
        <v>0.18</v>
      </c>
    </row>
    <row r="395" spans="1:39" ht="15.75" customHeight="1" x14ac:dyDescent="0.3">
      <c r="A395" s="17" t="s">
        <v>53</v>
      </c>
      <c r="B395" s="1"/>
      <c r="C395" s="1"/>
      <c r="D395" s="1"/>
      <c r="E395" s="59" t="s">
        <v>7</v>
      </c>
      <c r="F395" s="1"/>
      <c r="G395" s="1"/>
      <c r="H395" s="1"/>
      <c r="I395" s="59" t="s">
        <v>7</v>
      </c>
      <c r="J395" s="1"/>
      <c r="K395" s="1"/>
      <c r="L395" s="1"/>
      <c r="M395" s="59" t="s">
        <v>7</v>
      </c>
      <c r="N395" s="1"/>
      <c r="O395" s="1"/>
      <c r="P395" s="1"/>
      <c r="Q395" s="59" t="s">
        <v>7</v>
      </c>
      <c r="R395" s="59" t="s">
        <v>7</v>
      </c>
      <c r="V395" s="4" t="s">
        <v>366</v>
      </c>
      <c r="W395" s="127">
        <v>0.52</v>
      </c>
    </row>
    <row r="396" spans="1:39" ht="15.75" customHeight="1" x14ac:dyDescent="0.3">
      <c r="A396" s="17" t="s">
        <v>367</v>
      </c>
      <c r="B396" s="1"/>
      <c r="C396" s="1"/>
      <c r="D396" s="1"/>
      <c r="E396" s="59"/>
      <c r="F396" s="1"/>
      <c r="G396" s="1"/>
      <c r="H396" s="1"/>
      <c r="I396" s="59"/>
      <c r="J396" s="1"/>
      <c r="K396" s="1"/>
      <c r="L396" s="1"/>
      <c r="M396" s="59"/>
      <c r="N396" s="1"/>
      <c r="O396" s="1"/>
      <c r="P396" s="1"/>
      <c r="Q396" s="59"/>
      <c r="R396" s="59"/>
      <c r="V396" s="4" t="s">
        <v>368</v>
      </c>
      <c r="W396" s="127">
        <v>0.3</v>
      </c>
    </row>
    <row r="397" spans="1:39" ht="15.75" customHeight="1" x14ac:dyDescent="0.3">
      <c r="A397" s="17" t="s">
        <v>55</v>
      </c>
      <c r="B397" s="1"/>
      <c r="C397" s="1"/>
      <c r="D397" s="1"/>
      <c r="E397" s="59" t="s">
        <v>7</v>
      </c>
      <c r="F397" s="1"/>
      <c r="G397" s="1"/>
      <c r="H397" s="1"/>
      <c r="I397" s="59" t="s">
        <v>7</v>
      </c>
      <c r="J397" s="1"/>
      <c r="K397" s="1"/>
      <c r="L397" s="1"/>
      <c r="M397" s="59" t="s">
        <v>7</v>
      </c>
      <c r="N397" s="1"/>
      <c r="O397" s="1"/>
      <c r="P397" s="1"/>
      <c r="Q397" s="59" t="s">
        <v>7</v>
      </c>
      <c r="R397" s="59" t="s">
        <v>7</v>
      </c>
      <c r="W397" s="128">
        <f>+SUM(W394:W396)</f>
        <v>1</v>
      </c>
    </row>
    <row r="398" spans="1:39" ht="15.75" customHeight="1" x14ac:dyDescent="0.3">
      <c r="A398" s="76" t="s">
        <v>369</v>
      </c>
      <c r="B398" s="1">
        <v>12</v>
      </c>
      <c r="C398" s="1">
        <v>12</v>
      </c>
      <c r="D398" s="1">
        <v>660</v>
      </c>
      <c r="E398" s="59">
        <f>SUM(B398:D398)</f>
        <v>684</v>
      </c>
      <c r="F398" s="1">
        <v>1400</v>
      </c>
      <c r="G398" s="1">
        <f>1080+1500</f>
        <v>2580</v>
      </c>
      <c r="H398" s="1">
        <v>3895</v>
      </c>
      <c r="I398" s="59">
        <f>SUM(F398:H398)</f>
        <v>7875</v>
      </c>
      <c r="J398" s="1">
        <v>3315</v>
      </c>
      <c r="K398" s="1">
        <v>2727</v>
      </c>
      <c r="L398" s="1">
        <v>120</v>
      </c>
      <c r="M398" s="59">
        <f>SUM(J398:L398)</f>
        <v>6162</v>
      </c>
      <c r="N398" s="1">
        <v>30</v>
      </c>
      <c r="O398" s="1">
        <v>70</v>
      </c>
      <c r="P398" s="1">
        <v>49</v>
      </c>
      <c r="Q398" s="59">
        <f>SUM(N398:P398)</f>
        <v>149</v>
      </c>
      <c r="R398" s="59">
        <f t="shared" ref="R398:R406" si="148">+E398+I398+M398+Q398</f>
        <v>14870</v>
      </c>
      <c r="T398" s="4" t="s">
        <v>305</v>
      </c>
      <c r="V398" s="129" t="s">
        <v>370</v>
      </c>
      <c r="W398" s="30" t="s">
        <v>36</v>
      </c>
      <c r="X398" s="2" t="s">
        <v>9</v>
      </c>
      <c r="Y398" s="2" t="s">
        <v>10</v>
      </c>
      <c r="Z398" s="130" t="s">
        <v>11</v>
      </c>
      <c r="AA398" s="2" t="s">
        <v>12</v>
      </c>
      <c r="AB398" s="2" t="s">
        <v>13</v>
      </c>
      <c r="AC398" s="2" t="s">
        <v>14</v>
      </c>
      <c r="AD398" s="130" t="s">
        <v>15</v>
      </c>
      <c r="AE398" s="2" t="s">
        <v>16</v>
      </c>
      <c r="AF398" s="2" t="s">
        <v>17</v>
      </c>
      <c r="AG398" s="2" t="s">
        <v>18</v>
      </c>
      <c r="AH398" s="130" t="s">
        <v>19</v>
      </c>
      <c r="AI398" s="2" t="s">
        <v>20</v>
      </c>
      <c r="AJ398" s="2" t="s">
        <v>21</v>
      </c>
      <c r="AK398" s="2" t="s">
        <v>22</v>
      </c>
      <c r="AL398" s="130" t="s">
        <v>23</v>
      </c>
      <c r="AM398" s="131" t="s">
        <v>24</v>
      </c>
    </row>
    <row r="399" spans="1:39" ht="15.75" customHeight="1" x14ac:dyDescent="0.3">
      <c r="A399" s="76" t="s">
        <v>371</v>
      </c>
      <c r="B399" s="1"/>
      <c r="C399" s="1"/>
      <c r="D399" s="1"/>
      <c r="E399" s="59">
        <f>SUM(B399:D399)</f>
        <v>0</v>
      </c>
      <c r="F399" s="1"/>
      <c r="G399" s="1"/>
      <c r="H399" s="1"/>
      <c r="I399" s="59">
        <f>SUM(F399:H399)</f>
        <v>0</v>
      </c>
      <c r="J399" s="1">
        <v>20</v>
      </c>
      <c r="K399" s="1">
        <v>20</v>
      </c>
      <c r="L399" s="1">
        <v>20</v>
      </c>
      <c r="M399" s="59">
        <f>SUM(J399:L399)</f>
        <v>60</v>
      </c>
      <c r="N399" s="1">
        <v>20</v>
      </c>
      <c r="O399" s="1">
        <v>20</v>
      </c>
      <c r="P399" s="1">
        <v>20</v>
      </c>
      <c r="Q399" s="59">
        <f>SUM(N399:P399)</f>
        <v>60</v>
      </c>
      <c r="R399" s="59">
        <f t="shared" si="148"/>
        <v>120</v>
      </c>
      <c r="T399" s="4" t="s">
        <v>331</v>
      </c>
      <c r="V399" s="95" t="s">
        <v>372</v>
      </c>
      <c r="W399" s="132">
        <v>1500</v>
      </c>
      <c r="X399" s="132">
        <v>1500</v>
      </c>
      <c r="Y399" s="132">
        <v>6800</v>
      </c>
      <c r="Z399" s="4">
        <f>+SUM(W399:Y399)</f>
        <v>9800</v>
      </c>
      <c r="AA399" s="132">
        <f>8000+1500</f>
        <v>9500</v>
      </c>
      <c r="AB399" s="132">
        <f>10000+2000</f>
        <v>12000</v>
      </c>
      <c r="AC399" s="132">
        <f>12000+1500</f>
        <v>13500</v>
      </c>
      <c r="AD399" s="4">
        <f>+SUM(AA399:AC399)</f>
        <v>35000</v>
      </c>
      <c r="AE399" s="132">
        <v>25500</v>
      </c>
      <c r="AF399" s="132">
        <v>19000</v>
      </c>
      <c r="AG399" s="132">
        <v>4000</v>
      </c>
      <c r="AH399" s="4">
        <f>+SUM(AE399:AG399)</f>
        <v>48500</v>
      </c>
      <c r="AI399" s="132">
        <v>1500</v>
      </c>
      <c r="AJ399" s="132">
        <v>1000</v>
      </c>
      <c r="AK399" s="132">
        <v>1069</v>
      </c>
      <c r="AL399" s="4">
        <f>+SUM(AI399:AK399)</f>
        <v>3569</v>
      </c>
      <c r="AM399" s="133">
        <f>+Z399+AD399+AH399+AL399</f>
        <v>96869</v>
      </c>
    </row>
    <row r="400" spans="1:39" ht="15.75" customHeight="1" x14ac:dyDescent="0.3">
      <c r="A400" s="76" t="s">
        <v>373</v>
      </c>
      <c r="B400" s="1">
        <v>500</v>
      </c>
      <c r="C400" s="1">
        <v>700</v>
      </c>
      <c r="D400" s="1">
        <v>3000</v>
      </c>
      <c r="E400" s="59">
        <f t="shared" ref="E400:E401" si="149">SUM(B400:D400)</f>
        <v>4200</v>
      </c>
      <c r="F400" s="1">
        <v>7000</v>
      </c>
      <c r="G400" s="1">
        <v>7000</v>
      </c>
      <c r="H400" s="1">
        <v>8724</v>
      </c>
      <c r="I400" s="59">
        <f t="shared" ref="I400:I405" si="150">SUM(F400:H400)</f>
        <v>22724</v>
      </c>
      <c r="J400" s="1"/>
      <c r="K400" s="1"/>
      <c r="L400" s="1">
        <v>1267</v>
      </c>
      <c r="M400" s="59">
        <f t="shared" ref="M400:M405" si="151">SUM(J400:L400)</f>
        <v>1267</v>
      </c>
      <c r="N400" s="1"/>
      <c r="O400" s="1"/>
      <c r="P400" s="1"/>
      <c r="Q400" s="59">
        <f t="shared" ref="Q400:Q406" si="152">SUM(N400:P400)</f>
        <v>0</v>
      </c>
      <c r="R400" s="59">
        <f t="shared" si="148"/>
        <v>28191</v>
      </c>
      <c r="T400" s="4" t="s">
        <v>307</v>
      </c>
      <c r="V400" s="95" t="s">
        <v>305</v>
      </c>
      <c r="W400" s="4">
        <f>+$W$394*W399</f>
        <v>270</v>
      </c>
      <c r="X400" s="4">
        <f>+$W$394*X399</f>
        <v>270</v>
      </c>
      <c r="Y400" s="4">
        <f>+$W$394*Y399</f>
        <v>1224</v>
      </c>
      <c r="Z400" s="4">
        <f>+SUM(W400:Y400)</f>
        <v>1764</v>
      </c>
      <c r="AA400" s="4">
        <f>+$W$394*AA399</f>
        <v>1710</v>
      </c>
      <c r="AB400" s="4">
        <f>+$W$394*AB399</f>
        <v>2160</v>
      </c>
      <c r="AC400" s="4">
        <f>+$W$394*AC399</f>
        <v>2430</v>
      </c>
      <c r="AD400" s="4">
        <f>+SUM(AA400:AC400)</f>
        <v>6300</v>
      </c>
      <c r="AE400" s="4">
        <f>+$W$394*AE399</f>
        <v>4590</v>
      </c>
      <c r="AF400" s="4">
        <f>+$W$394*AF399</f>
        <v>3420</v>
      </c>
      <c r="AG400" s="4">
        <f>+$W$394*AG399</f>
        <v>720</v>
      </c>
      <c r="AH400" s="4">
        <f>+SUM(AE400:AG400)</f>
        <v>8730</v>
      </c>
      <c r="AI400" s="4">
        <f>+$W$394*AI399</f>
        <v>270</v>
      </c>
      <c r="AJ400" s="4">
        <f>+$W$394*AJ399</f>
        <v>180</v>
      </c>
      <c r="AK400" s="4">
        <f>+$W$394*AK399</f>
        <v>192.42</v>
      </c>
      <c r="AL400" s="4">
        <f>+SUM(AI400:AK400)</f>
        <v>642.41999999999996</v>
      </c>
      <c r="AM400" s="133">
        <f>+Z400+AD400+AH400+AL400</f>
        <v>17436.419999999998</v>
      </c>
    </row>
    <row r="401" spans="1:39" ht="15.75" customHeight="1" x14ac:dyDescent="0.3">
      <c r="A401" s="76" t="s">
        <v>374</v>
      </c>
      <c r="B401" s="1">
        <v>1050</v>
      </c>
      <c r="C401" s="1">
        <f>3800+1652</f>
        <v>5452</v>
      </c>
      <c r="D401" s="1">
        <f>6500+400</f>
        <v>6900</v>
      </c>
      <c r="E401" s="59">
        <f t="shared" si="149"/>
        <v>13402</v>
      </c>
      <c r="F401" s="1">
        <f>15000+400</f>
        <v>15400</v>
      </c>
      <c r="G401" s="1">
        <f>17500+400</f>
        <v>17900</v>
      </c>
      <c r="H401" s="1">
        <v>19000</v>
      </c>
      <c r="I401" s="59">
        <f t="shared" ref="I401" si="153">SUM(F401:H401)</f>
        <v>52300</v>
      </c>
      <c r="J401" s="1">
        <v>8500</v>
      </c>
      <c r="K401" s="1">
        <f>5000+1000</f>
        <v>6000</v>
      </c>
      <c r="L401" s="1">
        <v>3100</v>
      </c>
      <c r="M401" s="59">
        <f t="shared" ref="M401" si="154">SUM(J401:L401)</f>
        <v>17600</v>
      </c>
      <c r="N401" s="1">
        <v>1600</v>
      </c>
      <c r="O401" s="1">
        <v>680</v>
      </c>
      <c r="P401" s="1">
        <v>156</v>
      </c>
      <c r="Q401" s="59">
        <f t="shared" si="152"/>
        <v>2436</v>
      </c>
      <c r="R401" s="59">
        <f t="shared" si="148"/>
        <v>85738</v>
      </c>
      <c r="T401" s="4" t="s">
        <v>305</v>
      </c>
      <c r="V401" s="95" t="s">
        <v>366</v>
      </c>
      <c r="W401" s="4">
        <f>+$W$395*W399</f>
        <v>780</v>
      </c>
      <c r="X401" s="4">
        <f>+$W$395*X399</f>
        <v>780</v>
      </c>
      <c r="Y401" s="4">
        <f>+$W$395*Y399</f>
        <v>3536</v>
      </c>
      <c r="Z401" s="4">
        <f>+SUM(W401:Y401)</f>
        <v>5096</v>
      </c>
      <c r="AA401" s="4">
        <f>+$W$395*AA399</f>
        <v>4940</v>
      </c>
      <c r="AB401" s="4">
        <f>+$W$395*AB399</f>
        <v>6240</v>
      </c>
      <c r="AC401" s="4">
        <f>+$W$395*AC399</f>
        <v>7020</v>
      </c>
      <c r="AD401" s="4">
        <f>+SUM(AA401:AC401)</f>
        <v>18200</v>
      </c>
      <c r="AE401" s="4">
        <f>+$W$395*AE399</f>
        <v>13260</v>
      </c>
      <c r="AF401" s="4">
        <f>+$W$395*AF399</f>
        <v>9880</v>
      </c>
      <c r="AG401" s="4">
        <f>+$W$395*AG399</f>
        <v>2080</v>
      </c>
      <c r="AH401" s="4">
        <f>+SUM(AE401:AG401)</f>
        <v>25220</v>
      </c>
      <c r="AI401" s="4">
        <f>+$W$395*AI399</f>
        <v>780</v>
      </c>
      <c r="AJ401" s="4">
        <f>+$W$395*AJ399</f>
        <v>520</v>
      </c>
      <c r="AK401" s="4">
        <f>+$W$395*AK399</f>
        <v>555.88</v>
      </c>
      <c r="AL401" s="4">
        <f>+SUM(AI401:AK401)</f>
        <v>1855.88</v>
      </c>
      <c r="AM401" s="133">
        <f>+Z401+AD401+AH401+AL401</f>
        <v>50371.88</v>
      </c>
    </row>
    <row r="402" spans="1:39" ht="15.75" customHeight="1" x14ac:dyDescent="0.3">
      <c r="A402" s="76" t="s">
        <v>375</v>
      </c>
      <c r="B402" s="1"/>
      <c r="C402" s="1"/>
      <c r="D402" s="1"/>
      <c r="E402" s="59">
        <f t="shared" ref="E402:E405" si="155">SUM(B402:D402)</f>
        <v>0</v>
      </c>
      <c r="F402" s="1"/>
      <c r="G402" s="1"/>
      <c r="H402" s="1"/>
      <c r="I402" s="59">
        <f t="shared" si="150"/>
        <v>0</v>
      </c>
      <c r="J402" s="1"/>
      <c r="K402" s="1"/>
      <c r="L402" s="1"/>
      <c r="M402" s="59">
        <f t="shared" si="151"/>
        <v>0</v>
      </c>
      <c r="N402" s="1"/>
      <c r="O402" s="1"/>
      <c r="P402" s="1"/>
      <c r="Q402" s="59">
        <f t="shared" si="152"/>
        <v>0</v>
      </c>
      <c r="R402" s="59">
        <f t="shared" si="148"/>
        <v>0</v>
      </c>
      <c r="T402" s="4" t="s">
        <v>376</v>
      </c>
      <c r="V402" s="95" t="s">
        <v>368</v>
      </c>
      <c r="W402" s="4">
        <f>+$W$396*W399</f>
        <v>450</v>
      </c>
      <c r="X402" s="4">
        <f>+$W$396*X399</f>
        <v>450</v>
      </c>
      <c r="Y402" s="4">
        <f>+$W$396*Y399</f>
        <v>2040</v>
      </c>
      <c r="Z402" s="4">
        <f>+SUM(W402:Y402)</f>
        <v>2940</v>
      </c>
      <c r="AA402" s="4">
        <f>+$W$396*AA399</f>
        <v>2850</v>
      </c>
      <c r="AB402" s="4">
        <f>+$W$396*AB399</f>
        <v>3600</v>
      </c>
      <c r="AC402" s="4">
        <f>+$W$396*AC399</f>
        <v>4050</v>
      </c>
      <c r="AD402" s="4">
        <f>+SUM(AA402:AC402)</f>
        <v>10500</v>
      </c>
      <c r="AE402" s="4">
        <f>+$W$396*AE399</f>
        <v>7650</v>
      </c>
      <c r="AF402" s="4">
        <f>+$W$396*AF399</f>
        <v>5700</v>
      </c>
      <c r="AG402" s="4">
        <f>+$W$396*AG399</f>
        <v>1200</v>
      </c>
      <c r="AH402" s="4">
        <f>+SUM(AE402:AG402)</f>
        <v>14550</v>
      </c>
      <c r="AI402" s="4">
        <f>+$W$396*AI399</f>
        <v>450</v>
      </c>
      <c r="AJ402" s="4">
        <f>+$W$396*AJ399</f>
        <v>300</v>
      </c>
      <c r="AK402" s="4">
        <f>+$W$396*AK399</f>
        <v>320.7</v>
      </c>
      <c r="AL402" s="4">
        <f>+$W$396*AL399</f>
        <v>1070.7</v>
      </c>
      <c r="AM402" s="133">
        <f>+Z402+AD402+AH402+AL402</f>
        <v>29060.7</v>
      </c>
    </row>
    <row r="403" spans="1:39" ht="15.75" customHeight="1" thickBot="1" x14ac:dyDescent="0.35">
      <c r="A403" s="76" t="s">
        <v>377</v>
      </c>
      <c r="B403" s="1"/>
      <c r="C403" s="1"/>
      <c r="D403" s="1"/>
      <c r="E403" s="59">
        <f t="shared" ref="E403" si="156">SUM(B403:D403)</f>
        <v>0</v>
      </c>
      <c r="F403" s="1"/>
      <c r="G403" s="1"/>
      <c r="H403" s="1"/>
      <c r="I403" s="59">
        <f t="shared" ref="I403" si="157">SUM(F403:H403)</f>
        <v>0</v>
      </c>
      <c r="J403" s="1"/>
      <c r="K403" s="1"/>
      <c r="L403" s="1"/>
      <c r="M403" s="59">
        <f t="shared" ref="M403" si="158">SUM(J403:L403)</f>
        <v>0</v>
      </c>
      <c r="N403" s="1"/>
      <c r="O403" s="1"/>
      <c r="P403" s="1"/>
      <c r="Q403" s="59">
        <f t="shared" si="152"/>
        <v>0</v>
      </c>
      <c r="R403" s="59">
        <f t="shared" si="148"/>
        <v>0</v>
      </c>
      <c r="T403" s="4" t="s">
        <v>331</v>
      </c>
      <c r="V403" s="134"/>
      <c r="W403" s="135"/>
      <c r="X403" s="135"/>
      <c r="Y403" s="135"/>
      <c r="Z403" s="135"/>
      <c r="AA403" s="135"/>
      <c r="AB403" s="135"/>
      <c r="AC403" s="135"/>
      <c r="AD403" s="135"/>
      <c r="AE403" s="135"/>
      <c r="AF403" s="135"/>
      <c r="AG403" s="135"/>
      <c r="AH403" s="135"/>
      <c r="AI403" s="135"/>
      <c r="AJ403" s="135"/>
      <c r="AK403" s="135"/>
      <c r="AL403" s="135"/>
      <c r="AM403" s="136"/>
    </row>
    <row r="404" spans="1:39" s="20" customFormat="1" ht="15.75" customHeight="1" x14ac:dyDescent="0.3">
      <c r="A404" s="104" t="s">
        <v>378</v>
      </c>
      <c r="B404" s="92"/>
      <c r="C404" s="92"/>
      <c r="D404" s="92"/>
      <c r="E404" s="93">
        <f t="shared" si="155"/>
        <v>0</v>
      </c>
      <c r="F404" s="92"/>
      <c r="G404" s="92"/>
      <c r="H404" s="92"/>
      <c r="I404" s="93">
        <f t="shared" si="150"/>
        <v>0</v>
      </c>
      <c r="J404" s="92"/>
      <c r="K404" s="92"/>
      <c r="L404" s="92"/>
      <c r="M404" s="93">
        <f t="shared" si="151"/>
        <v>0</v>
      </c>
      <c r="N404" s="92"/>
      <c r="O404" s="92"/>
      <c r="P404" s="92"/>
      <c r="Q404" s="93">
        <f t="shared" ref="Q404" si="159">SUM(N404:P404)</f>
        <v>0</v>
      </c>
      <c r="R404" s="93">
        <f t="shared" si="148"/>
        <v>0</v>
      </c>
    </row>
    <row r="405" spans="1:39" ht="15.75" customHeight="1" x14ac:dyDescent="0.3">
      <c r="A405" s="76" t="s">
        <v>379</v>
      </c>
      <c r="B405" s="1"/>
      <c r="C405" s="1"/>
      <c r="D405" s="1"/>
      <c r="E405" s="59">
        <f t="shared" si="155"/>
        <v>0</v>
      </c>
      <c r="F405" s="1"/>
      <c r="G405" s="1"/>
      <c r="H405" s="1"/>
      <c r="I405" s="59">
        <f t="shared" si="150"/>
        <v>0</v>
      </c>
      <c r="J405" s="1"/>
      <c r="K405" s="1"/>
      <c r="L405" s="1"/>
      <c r="M405" s="59">
        <f t="shared" si="151"/>
        <v>0</v>
      </c>
      <c r="N405" s="1"/>
      <c r="O405" s="1"/>
      <c r="P405" s="1"/>
      <c r="Q405" s="59">
        <f t="shared" si="152"/>
        <v>0</v>
      </c>
      <c r="R405" s="59">
        <f t="shared" si="148"/>
        <v>0</v>
      </c>
      <c r="T405" s="4" t="s">
        <v>317</v>
      </c>
    </row>
    <row r="406" spans="1:39" ht="15.75" customHeight="1" x14ac:dyDescent="0.3">
      <c r="A406" s="76" t="s">
        <v>380</v>
      </c>
      <c r="B406" s="1"/>
      <c r="C406" s="1">
        <v>1000</v>
      </c>
      <c r="D406" s="1">
        <v>1000</v>
      </c>
      <c r="E406" s="59">
        <f t="shared" ref="E406" si="160">SUM(B406:D406)</f>
        <v>2000</v>
      </c>
      <c r="F406" s="1">
        <v>250</v>
      </c>
      <c r="G406" s="1">
        <v>250</v>
      </c>
      <c r="H406" s="1">
        <v>200</v>
      </c>
      <c r="I406" s="59">
        <f t="shared" ref="I406" si="161">SUM(F406:H406)</f>
        <v>700</v>
      </c>
      <c r="J406" s="1">
        <v>2500</v>
      </c>
      <c r="K406" s="1">
        <v>2500</v>
      </c>
      <c r="L406" s="1">
        <v>5000</v>
      </c>
      <c r="M406" s="59">
        <f t="shared" ref="M406" si="162">SUM(J406:L406)</f>
        <v>10000</v>
      </c>
      <c r="N406" s="1">
        <v>5000</v>
      </c>
      <c r="O406" s="1">
        <v>5000</v>
      </c>
      <c r="P406" s="1">
        <v>2537</v>
      </c>
      <c r="Q406" s="59">
        <f t="shared" si="152"/>
        <v>12537</v>
      </c>
      <c r="R406" s="59">
        <f t="shared" si="148"/>
        <v>25237</v>
      </c>
    </row>
    <row r="407" spans="1:39" ht="15.75" customHeight="1" thickBot="1" x14ac:dyDescent="0.35">
      <c r="A407" s="17" t="s">
        <v>56</v>
      </c>
      <c r="B407" s="1"/>
      <c r="C407" s="1"/>
      <c r="D407" s="1"/>
      <c r="E407" s="59" t="s">
        <v>7</v>
      </c>
      <c r="F407" s="1"/>
      <c r="G407" s="1"/>
      <c r="H407" s="1"/>
      <c r="I407" s="59" t="s">
        <v>7</v>
      </c>
      <c r="J407" s="1"/>
      <c r="K407" s="1"/>
      <c r="L407" s="1"/>
      <c r="M407" s="59" t="s">
        <v>7</v>
      </c>
      <c r="N407" s="1"/>
      <c r="O407" s="1"/>
      <c r="P407" s="1"/>
      <c r="Q407" s="59" t="s">
        <v>7</v>
      </c>
      <c r="R407" s="59" t="s">
        <v>7</v>
      </c>
    </row>
    <row r="408" spans="1:39" ht="16.5" customHeight="1" thickBot="1" x14ac:dyDescent="0.35">
      <c r="A408" s="62" t="s">
        <v>57</v>
      </c>
      <c r="B408" s="100">
        <f>SUM(B395:B407)</f>
        <v>1562</v>
      </c>
      <c r="C408" s="101">
        <f>SUM(C395:C407)</f>
        <v>7164</v>
      </c>
      <c r="D408" s="101">
        <f>SUM(D395:D407)</f>
        <v>11560</v>
      </c>
      <c r="E408" s="64">
        <f>SUM(B408:D408)</f>
        <v>20286</v>
      </c>
      <c r="F408" s="101">
        <f>SUM(F395:F407)</f>
        <v>24050</v>
      </c>
      <c r="G408" s="101">
        <f>SUM(G395:G407)</f>
        <v>27730</v>
      </c>
      <c r="H408" s="101">
        <f>SUM(H395:H407)</f>
        <v>31819</v>
      </c>
      <c r="I408" s="64">
        <f>SUM(F408:H408)</f>
        <v>83599</v>
      </c>
      <c r="J408" s="101">
        <f>SUM(J395:J407)</f>
        <v>14335</v>
      </c>
      <c r="K408" s="101">
        <f>SUM(K395:K407)</f>
        <v>11247</v>
      </c>
      <c r="L408" s="101">
        <f>SUM(L395:L407)</f>
        <v>9507</v>
      </c>
      <c r="M408" s="64">
        <f>SUM(J408:L408)</f>
        <v>35089</v>
      </c>
      <c r="N408" s="101">
        <f>SUM(N395:N407)</f>
        <v>6650</v>
      </c>
      <c r="O408" s="101">
        <f>SUM(O395:O407)</f>
        <v>5770</v>
      </c>
      <c r="P408" s="101">
        <f>SUM(P395:P407)</f>
        <v>2762</v>
      </c>
      <c r="Q408" s="64">
        <f>SUM(N408:P408)</f>
        <v>15182</v>
      </c>
      <c r="R408" s="64">
        <f>+E408+I408+M408+Q408</f>
        <v>154156</v>
      </c>
    </row>
    <row r="409" spans="1:39" ht="15.75" customHeight="1" x14ac:dyDescent="0.3">
      <c r="A409" s="17" t="s">
        <v>58</v>
      </c>
      <c r="B409" s="1"/>
      <c r="C409" s="1"/>
      <c r="D409" s="1"/>
      <c r="E409" s="59" t="s">
        <v>7</v>
      </c>
      <c r="F409" s="1"/>
      <c r="G409" s="1"/>
      <c r="H409" s="1"/>
      <c r="I409" s="59" t="s">
        <v>7</v>
      </c>
      <c r="J409" s="1"/>
      <c r="K409" s="1"/>
      <c r="L409" s="1"/>
      <c r="M409" s="59" t="s">
        <v>7</v>
      </c>
      <c r="N409" s="1"/>
      <c r="O409" s="1"/>
      <c r="P409" s="1"/>
      <c r="Q409" s="59" t="s">
        <v>7</v>
      </c>
      <c r="R409" s="59" t="s">
        <v>7</v>
      </c>
    </row>
    <row r="410" spans="1:39" ht="15.75" customHeight="1" x14ac:dyDescent="0.3">
      <c r="A410" s="17" t="s">
        <v>59</v>
      </c>
      <c r="B410" s="1"/>
      <c r="C410" s="1"/>
      <c r="D410" s="1"/>
      <c r="E410" s="59" t="s">
        <v>7</v>
      </c>
      <c r="F410" s="1"/>
      <c r="G410" s="1"/>
      <c r="H410" s="1"/>
      <c r="I410" s="59" t="s">
        <v>7</v>
      </c>
      <c r="J410" s="1"/>
      <c r="K410" s="1"/>
      <c r="L410" s="1"/>
      <c r="M410" s="59" t="s">
        <v>7</v>
      </c>
      <c r="N410" s="1"/>
      <c r="O410" s="1"/>
      <c r="P410" s="1"/>
      <c r="Q410" s="59" t="s">
        <v>7</v>
      </c>
      <c r="R410" s="59" t="s">
        <v>7</v>
      </c>
    </row>
    <row r="411" spans="1:39" ht="15.75" customHeight="1" x14ac:dyDescent="0.3">
      <c r="A411" s="76" t="s">
        <v>381</v>
      </c>
      <c r="B411" s="1">
        <v>2883</v>
      </c>
      <c r="C411" s="1">
        <v>3095</v>
      </c>
      <c r="D411" s="1">
        <v>8745</v>
      </c>
      <c r="E411" s="59">
        <f>SUM(B411:D411)</f>
        <v>14723</v>
      </c>
      <c r="F411" s="1">
        <v>9604</v>
      </c>
      <c r="G411" s="1">
        <v>12800</v>
      </c>
      <c r="H411" s="1">
        <v>12800</v>
      </c>
      <c r="I411" s="59">
        <f>SUM(F411:H411)</f>
        <v>35204</v>
      </c>
      <c r="J411" s="1">
        <v>10155</v>
      </c>
      <c r="K411" s="1">
        <v>5390</v>
      </c>
      <c r="L411" s="1">
        <v>5872</v>
      </c>
      <c r="M411" s="59">
        <f>SUM(J411:L411)</f>
        <v>21417</v>
      </c>
      <c r="N411" s="1">
        <v>4282</v>
      </c>
      <c r="O411" s="1">
        <v>2682</v>
      </c>
      <c r="P411" s="1">
        <v>2146</v>
      </c>
      <c r="Q411" s="59">
        <f>SUM(N411:P411)</f>
        <v>9110</v>
      </c>
      <c r="R411" s="59">
        <f>+E411+I411+M411+Q411</f>
        <v>80454</v>
      </c>
      <c r="T411" s="4" t="s">
        <v>305</v>
      </c>
    </row>
    <row r="412" spans="1:39" ht="15.75" customHeight="1" x14ac:dyDescent="0.3">
      <c r="A412" s="76" t="s">
        <v>382</v>
      </c>
      <c r="B412" s="92"/>
      <c r="C412" s="1">
        <v>4000</v>
      </c>
      <c r="D412" s="1">
        <v>4000</v>
      </c>
      <c r="E412" s="59">
        <f>SUM(B412:D412)</f>
        <v>8000</v>
      </c>
      <c r="F412" s="1">
        <v>3500</v>
      </c>
      <c r="G412" s="1">
        <v>3794</v>
      </c>
      <c r="H412" s="1">
        <v>8000</v>
      </c>
      <c r="I412" s="59">
        <f>SUM(F412:H412)</f>
        <v>15294</v>
      </c>
      <c r="J412" s="1">
        <v>7500</v>
      </c>
      <c r="K412" s="1">
        <v>8000</v>
      </c>
      <c r="L412" s="1">
        <v>7500</v>
      </c>
      <c r="M412" s="59">
        <f>SUM(J412:L412)</f>
        <v>23000</v>
      </c>
      <c r="N412" s="1">
        <v>7000</v>
      </c>
      <c r="O412" s="1"/>
      <c r="P412" s="1">
        <v>2245</v>
      </c>
      <c r="Q412" s="59">
        <f>SUM(N412:P412)</f>
        <v>9245</v>
      </c>
      <c r="R412" s="59">
        <f>+E412+I412+M412+Q412</f>
        <v>55539</v>
      </c>
    </row>
    <row r="413" spans="1:39" ht="15.75" customHeight="1" x14ac:dyDescent="0.3">
      <c r="A413" s="76" t="s">
        <v>383</v>
      </c>
      <c r="B413" s="1">
        <f>5000+900</f>
        <v>5900</v>
      </c>
      <c r="C413" s="1">
        <v>910</v>
      </c>
      <c r="D413" s="1">
        <v>910</v>
      </c>
      <c r="E413" s="59">
        <f>SUM(B413:D413)</f>
        <v>7720</v>
      </c>
      <c r="F413" s="1">
        <v>910</v>
      </c>
      <c r="G413" s="1">
        <v>910</v>
      </c>
      <c r="H413" s="1">
        <v>910</v>
      </c>
      <c r="I413" s="59">
        <f>SUM(F413:H413)</f>
        <v>2730</v>
      </c>
      <c r="J413" s="1">
        <v>910</v>
      </c>
      <c r="K413" s="1">
        <v>910</v>
      </c>
      <c r="L413" s="1">
        <v>920</v>
      </c>
      <c r="M413" s="59">
        <f>SUM(J413:L413)</f>
        <v>2740</v>
      </c>
      <c r="N413" s="1">
        <v>910</v>
      </c>
      <c r="O413" s="1"/>
      <c r="P413" s="1">
        <v>900</v>
      </c>
      <c r="Q413" s="59">
        <f>SUM(N413:P413)</f>
        <v>1810</v>
      </c>
      <c r="R413" s="59">
        <f>+E413+I413+M413+Q413</f>
        <v>15000</v>
      </c>
    </row>
    <row r="414" spans="1:39" ht="15.75" customHeight="1" x14ac:dyDescent="0.3">
      <c r="A414" s="76" t="s">
        <v>384</v>
      </c>
      <c r="B414" s="1"/>
      <c r="C414" s="1"/>
      <c r="D414" s="1">
        <v>2000</v>
      </c>
      <c r="E414" s="59">
        <f>SUM(B414:D414)</f>
        <v>2000</v>
      </c>
      <c r="F414" s="1">
        <v>2000</v>
      </c>
      <c r="G414" s="1">
        <v>2000</v>
      </c>
      <c r="H414" s="1">
        <v>2000</v>
      </c>
      <c r="I414" s="59">
        <f>SUM(F414:H414)</f>
        <v>6000</v>
      </c>
      <c r="J414" s="1">
        <v>2000</v>
      </c>
      <c r="K414" s="1">
        <v>2000</v>
      </c>
      <c r="L414" s="1">
        <v>2000</v>
      </c>
      <c r="M414" s="59">
        <f>SUM(J414:L414)</f>
        <v>6000</v>
      </c>
      <c r="N414" s="1">
        <v>2000</v>
      </c>
      <c r="O414" s="1"/>
      <c r="P414" s="1"/>
      <c r="Q414" s="59">
        <f>SUM(N414:P414)</f>
        <v>2000</v>
      </c>
      <c r="R414" s="59">
        <f>+E414+I414+M414+Q414</f>
        <v>16000</v>
      </c>
      <c r="T414" s="4" t="s">
        <v>336</v>
      </c>
    </row>
    <row r="415" spans="1:39" ht="15.75" customHeight="1" x14ac:dyDescent="0.3">
      <c r="A415" s="17" t="s">
        <v>60</v>
      </c>
      <c r="B415" s="1"/>
      <c r="C415" s="1"/>
      <c r="D415" s="1"/>
      <c r="E415" s="59" t="s">
        <v>7</v>
      </c>
      <c r="F415" s="1"/>
      <c r="G415" s="1"/>
      <c r="H415" s="1"/>
      <c r="I415" s="59" t="s">
        <v>7</v>
      </c>
      <c r="J415" s="1"/>
      <c r="K415" s="1"/>
      <c r="L415" s="1"/>
      <c r="M415" s="59" t="s">
        <v>7</v>
      </c>
      <c r="N415" s="1"/>
      <c r="O415" s="1"/>
      <c r="P415" s="1"/>
      <c r="Q415" s="59" t="s">
        <v>7</v>
      </c>
      <c r="R415" s="59" t="s">
        <v>7</v>
      </c>
    </row>
    <row r="416" spans="1:39" ht="15.75" customHeight="1" x14ac:dyDescent="0.3">
      <c r="A416" s="76" t="s">
        <v>385</v>
      </c>
      <c r="B416" s="1"/>
      <c r="C416" s="1"/>
      <c r="D416" s="1"/>
      <c r="E416" s="59">
        <f>SUM(B416:D416)</f>
        <v>0</v>
      </c>
      <c r="F416" s="1"/>
      <c r="G416" s="1"/>
      <c r="H416" s="1">
        <v>1470</v>
      </c>
      <c r="I416" s="59">
        <f t="shared" ref="I416:I417" si="163">SUM(F416:H416)</f>
        <v>1470</v>
      </c>
      <c r="J416" s="1"/>
      <c r="K416" s="1"/>
      <c r="L416" s="1"/>
      <c r="M416" s="59">
        <f>SUM(J416:L416)</f>
        <v>0</v>
      </c>
      <c r="N416" s="1"/>
      <c r="O416" s="1"/>
      <c r="P416" s="1"/>
      <c r="Q416" s="59">
        <f>SUM(N416:P416)</f>
        <v>0</v>
      </c>
      <c r="R416" s="59">
        <f t="shared" ref="R416:R479" si="164">+E416+I416+M416+Q416</f>
        <v>1470</v>
      </c>
    </row>
    <row r="417" spans="1:20" ht="15.75" customHeight="1" x14ac:dyDescent="0.3">
      <c r="A417" s="76" t="s">
        <v>386</v>
      </c>
      <c r="B417" s="1"/>
      <c r="C417" s="1"/>
      <c r="D417" s="1"/>
      <c r="E417" s="59">
        <f>SUM(B417:D417)</f>
        <v>0</v>
      </c>
      <c r="F417" s="1"/>
      <c r="G417" s="1">
        <v>1062</v>
      </c>
      <c r="H417" s="1"/>
      <c r="I417" s="59">
        <f t="shared" si="163"/>
        <v>1062</v>
      </c>
      <c r="J417" s="1"/>
      <c r="K417" s="1"/>
      <c r="L417" s="1"/>
      <c r="M417" s="59">
        <f>SUM(J417:L417)</f>
        <v>0</v>
      </c>
      <c r="N417" s="1"/>
      <c r="O417" s="1"/>
      <c r="P417" s="1"/>
      <c r="Q417" s="59">
        <f>SUM(N417:P417)</f>
        <v>0</v>
      </c>
      <c r="R417" s="59">
        <f t="shared" si="164"/>
        <v>1062</v>
      </c>
    </row>
    <row r="418" spans="1:20" ht="15.75" customHeight="1" x14ac:dyDescent="0.3">
      <c r="A418" s="76" t="s">
        <v>387</v>
      </c>
      <c r="B418" s="1"/>
      <c r="C418" s="1"/>
      <c r="D418" s="1"/>
      <c r="E418" s="59">
        <f>SUM(B418:D418)</f>
        <v>0</v>
      </c>
      <c r="F418" s="1"/>
      <c r="G418" s="1"/>
      <c r="H418" s="1"/>
      <c r="I418" s="59">
        <f>SUM(F418:H418)</f>
        <v>0</v>
      </c>
      <c r="J418" s="1"/>
      <c r="K418" s="1"/>
      <c r="L418" s="1"/>
      <c r="M418" s="59">
        <f>SUM(J418:L418)</f>
        <v>0</v>
      </c>
      <c r="N418" s="1"/>
      <c r="O418" s="1"/>
      <c r="P418" s="1"/>
      <c r="Q418" s="59">
        <f>SUM(N418:P418)</f>
        <v>0</v>
      </c>
      <c r="R418" s="59">
        <f t="shared" si="164"/>
        <v>0</v>
      </c>
    </row>
    <row r="419" spans="1:20" ht="15.75" customHeight="1" x14ac:dyDescent="0.3">
      <c r="A419" s="76" t="s">
        <v>388</v>
      </c>
      <c r="B419" s="1"/>
      <c r="C419" s="1"/>
      <c r="D419" s="1"/>
      <c r="E419" s="59">
        <f t="shared" ref="E419:E479" si="165">SUM(B419:D419)</f>
        <v>0</v>
      </c>
      <c r="F419" s="1"/>
      <c r="G419" s="1"/>
      <c r="H419" s="1"/>
      <c r="I419" s="59">
        <f t="shared" ref="I419:I479" si="166">SUM(F419:H419)</f>
        <v>0</v>
      </c>
      <c r="J419" s="1"/>
      <c r="K419" s="1"/>
      <c r="L419" s="1"/>
      <c r="M419" s="59">
        <f t="shared" ref="M419:M479" si="167">SUM(J419:L419)</f>
        <v>0</v>
      </c>
      <c r="N419" s="1"/>
      <c r="O419" s="1"/>
      <c r="P419" s="1"/>
      <c r="Q419" s="59">
        <f t="shared" ref="Q419:Q480" si="168">SUM(N419:P419)</f>
        <v>0</v>
      </c>
      <c r="R419" s="59">
        <f t="shared" si="164"/>
        <v>0</v>
      </c>
    </row>
    <row r="420" spans="1:20" ht="15.75" customHeight="1" x14ac:dyDescent="0.3">
      <c r="A420" s="76" t="s">
        <v>389</v>
      </c>
      <c r="B420" s="1"/>
      <c r="C420" s="1"/>
      <c r="D420" s="1"/>
      <c r="E420" s="59">
        <f t="shared" si="165"/>
        <v>0</v>
      </c>
      <c r="F420" s="1"/>
      <c r="G420" s="1"/>
      <c r="H420" s="1"/>
      <c r="I420" s="59">
        <f t="shared" si="166"/>
        <v>0</v>
      </c>
      <c r="J420" s="1"/>
      <c r="K420" s="1"/>
      <c r="L420" s="1"/>
      <c r="M420" s="59">
        <f t="shared" si="167"/>
        <v>0</v>
      </c>
      <c r="N420" s="1"/>
      <c r="O420" s="1"/>
      <c r="P420" s="1"/>
      <c r="Q420" s="59">
        <f t="shared" si="168"/>
        <v>0</v>
      </c>
      <c r="R420" s="59">
        <f t="shared" si="164"/>
        <v>0</v>
      </c>
      <c r="T420" s="4" t="s">
        <v>315</v>
      </c>
    </row>
    <row r="421" spans="1:20" ht="15.75" customHeight="1" x14ac:dyDescent="0.3">
      <c r="A421" s="76" t="s">
        <v>390</v>
      </c>
      <c r="B421" s="1"/>
      <c r="C421" s="1"/>
      <c r="D421" s="1"/>
      <c r="E421" s="59">
        <f t="shared" si="165"/>
        <v>0</v>
      </c>
      <c r="F421" s="1"/>
      <c r="G421" s="1"/>
      <c r="H421" s="1"/>
      <c r="I421" s="59">
        <f t="shared" si="166"/>
        <v>0</v>
      </c>
      <c r="J421" s="1"/>
      <c r="K421" s="1">
        <v>1521</v>
      </c>
      <c r="L421" s="1">
        <v>929</v>
      </c>
      <c r="M421" s="59">
        <f t="shared" si="167"/>
        <v>2450</v>
      </c>
      <c r="N421" s="1"/>
      <c r="O421" s="1"/>
      <c r="P421" s="1"/>
      <c r="Q421" s="59">
        <f t="shared" si="168"/>
        <v>0</v>
      </c>
      <c r="R421" s="59">
        <f t="shared" si="164"/>
        <v>2450</v>
      </c>
    </row>
    <row r="422" spans="1:20" ht="15.75" customHeight="1" x14ac:dyDescent="0.3">
      <c r="A422" s="76" t="s">
        <v>391</v>
      </c>
      <c r="B422" s="1">
        <v>1522</v>
      </c>
      <c r="C422" s="1">
        <v>15</v>
      </c>
      <c r="D422" s="1"/>
      <c r="E422" s="59">
        <f t="shared" si="165"/>
        <v>1537</v>
      </c>
      <c r="F422" s="1"/>
      <c r="G422" s="1"/>
      <c r="H422" s="1"/>
      <c r="I422" s="59">
        <f t="shared" si="166"/>
        <v>0</v>
      </c>
      <c r="J422" s="1"/>
      <c r="K422" s="1"/>
      <c r="L422" s="1"/>
      <c r="M422" s="59">
        <f t="shared" si="167"/>
        <v>0</v>
      </c>
      <c r="N422" s="1"/>
      <c r="O422" s="1"/>
      <c r="P422" s="1"/>
      <c r="Q422" s="59">
        <f t="shared" si="168"/>
        <v>0</v>
      </c>
      <c r="R422" s="59">
        <f t="shared" si="164"/>
        <v>1537</v>
      </c>
      <c r="T422" s="4" t="s">
        <v>217</v>
      </c>
    </row>
    <row r="423" spans="1:20" ht="15.75" customHeight="1" x14ac:dyDescent="0.3">
      <c r="A423" s="76" t="s">
        <v>392</v>
      </c>
      <c r="B423" s="1"/>
      <c r="C423" s="1"/>
      <c r="D423" s="1"/>
      <c r="E423" s="59">
        <f t="shared" si="165"/>
        <v>0</v>
      </c>
      <c r="F423" s="1"/>
      <c r="G423" s="1"/>
      <c r="H423" s="1"/>
      <c r="I423" s="59">
        <f t="shared" si="166"/>
        <v>0</v>
      </c>
      <c r="J423" s="1"/>
      <c r="K423" s="1"/>
      <c r="L423" s="1"/>
      <c r="M423" s="59">
        <f t="shared" si="167"/>
        <v>0</v>
      </c>
      <c r="N423" s="1"/>
      <c r="O423" s="1"/>
      <c r="P423" s="1"/>
      <c r="Q423" s="59">
        <f t="shared" si="168"/>
        <v>0</v>
      </c>
      <c r="R423" s="59">
        <f t="shared" si="164"/>
        <v>0</v>
      </c>
      <c r="T423" s="4" t="s">
        <v>315</v>
      </c>
    </row>
    <row r="424" spans="1:20" ht="15.75" customHeight="1" x14ac:dyDescent="0.3">
      <c r="A424" s="76" t="s">
        <v>393</v>
      </c>
      <c r="B424" s="1"/>
      <c r="C424" s="1"/>
      <c r="D424" s="1"/>
      <c r="E424" s="59">
        <f t="shared" si="165"/>
        <v>0</v>
      </c>
      <c r="F424" s="1">
        <f>16+611</f>
        <v>627</v>
      </c>
      <c r="G424" s="1"/>
      <c r="H424" s="1"/>
      <c r="I424" s="59">
        <f t="shared" si="166"/>
        <v>627</v>
      </c>
      <c r="J424" s="1"/>
      <c r="K424" s="1"/>
      <c r="L424" s="1"/>
      <c r="M424" s="59">
        <f t="shared" si="167"/>
        <v>0</v>
      </c>
      <c r="N424" s="1"/>
      <c r="O424" s="1"/>
      <c r="P424" s="1"/>
      <c r="Q424" s="59">
        <f t="shared" si="168"/>
        <v>0</v>
      </c>
      <c r="R424" s="59">
        <f t="shared" si="164"/>
        <v>627</v>
      </c>
    </row>
    <row r="425" spans="1:20" ht="15.75" customHeight="1" x14ac:dyDescent="0.3">
      <c r="A425" s="76" t="s">
        <v>394</v>
      </c>
      <c r="B425" s="1"/>
      <c r="C425" s="1"/>
      <c r="D425" s="1"/>
      <c r="E425" s="59">
        <f t="shared" si="165"/>
        <v>0</v>
      </c>
      <c r="F425" s="1"/>
      <c r="G425" s="1"/>
      <c r="H425" s="1"/>
      <c r="I425" s="59">
        <f t="shared" si="166"/>
        <v>0</v>
      </c>
      <c r="J425" s="1"/>
      <c r="K425" s="1"/>
      <c r="L425" s="1"/>
      <c r="M425" s="59">
        <f t="shared" si="167"/>
        <v>0</v>
      </c>
      <c r="N425" s="1"/>
      <c r="O425" s="1"/>
      <c r="P425" s="1"/>
      <c r="Q425" s="59">
        <f t="shared" si="168"/>
        <v>0</v>
      </c>
      <c r="R425" s="59">
        <f t="shared" si="164"/>
        <v>0</v>
      </c>
    </row>
    <row r="426" spans="1:20" ht="15.75" customHeight="1" x14ac:dyDescent="0.3">
      <c r="A426" s="76" t="s">
        <v>395</v>
      </c>
      <c r="B426" s="1"/>
      <c r="C426" s="1"/>
      <c r="D426" s="1"/>
      <c r="E426" s="59">
        <f t="shared" si="165"/>
        <v>0</v>
      </c>
      <c r="F426" s="1"/>
      <c r="G426" s="1"/>
      <c r="H426" s="1"/>
      <c r="I426" s="59">
        <f t="shared" si="166"/>
        <v>0</v>
      </c>
      <c r="J426" s="1"/>
      <c r="K426" s="1"/>
      <c r="L426" s="1"/>
      <c r="M426" s="59">
        <f t="shared" si="167"/>
        <v>0</v>
      </c>
      <c r="N426" s="1"/>
      <c r="O426" s="1"/>
      <c r="P426" s="1"/>
      <c r="Q426" s="59">
        <f t="shared" si="168"/>
        <v>0</v>
      </c>
      <c r="R426" s="59">
        <f>+E426+I426+M426+Q426</f>
        <v>0</v>
      </c>
      <c r="T426" s="4" t="s">
        <v>317</v>
      </c>
    </row>
    <row r="427" spans="1:20" ht="15.75" customHeight="1" x14ac:dyDescent="0.3">
      <c r="A427" s="76" t="s">
        <v>396</v>
      </c>
      <c r="B427" s="1"/>
      <c r="C427" s="1"/>
      <c r="D427" s="1"/>
      <c r="E427" s="59">
        <f t="shared" si="165"/>
        <v>0</v>
      </c>
      <c r="F427" s="1"/>
      <c r="G427" s="1"/>
      <c r="H427" s="1"/>
      <c r="I427" s="59">
        <f t="shared" si="166"/>
        <v>0</v>
      </c>
      <c r="J427" s="1"/>
      <c r="K427" s="1"/>
      <c r="L427" s="1"/>
      <c r="M427" s="59">
        <f t="shared" si="167"/>
        <v>0</v>
      </c>
      <c r="N427" s="1"/>
      <c r="O427" s="1"/>
      <c r="P427" s="1"/>
      <c r="Q427" s="59">
        <f t="shared" si="168"/>
        <v>0</v>
      </c>
      <c r="R427" s="59">
        <f t="shared" si="164"/>
        <v>0</v>
      </c>
      <c r="T427" s="4" t="s">
        <v>305</v>
      </c>
    </row>
    <row r="428" spans="1:20" ht="15.75" customHeight="1" x14ac:dyDescent="0.3">
      <c r="A428" s="76" t="s">
        <v>397</v>
      </c>
      <c r="B428" s="1"/>
      <c r="C428" s="1">
        <v>1000</v>
      </c>
      <c r="D428" s="1">
        <v>2000</v>
      </c>
      <c r="E428" s="59">
        <f t="shared" si="165"/>
        <v>3000</v>
      </c>
      <c r="F428" s="1">
        <v>3000</v>
      </c>
      <c r="G428" s="1">
        <v>2000</v>
      </c>
      <c r="H428" s="1">
        <v>2000</v>
      </c>
      <c r="I428" s="59">
        <f t="shared" si="166"/>
        <v>7000</v>
      </c>
      <c r="J428" s="1">
        <v>1000</v>
      </c>
      <c r="K428" s="1">
        <v>1000</v>
      </c>
      <c r="L428" s="1">
        <v>1000</v>
      </c>
      <c r="M428" s="59">
        <f t="shared" si="167"/>
        <v>3000</v>
      </c>
      <c r="N428" s="1"/>
      <c r="O428" s="1"/>
      <c r="P428" s="1"/>
      <c r="Q428" s="59">
        <f t="shared" si="168"/>
        <v>0</v>
      </c>
      <c r="R428" s="59">
        <f t="shared" si="164"/>
        <v>13000</v>
      </c>
    </row>
    <row r="429" spans="1:20" ht="15.75" customHeight="1" x14ac:dyDescent="0.3">
      <c r="A429" s="76" t="s">
        <v>398</v>
      </c>
      <c r="B429" s="1"/>
      <c r="C429" s="1"/>
      <c r="D429" s="1"/>
      <c r="E429" s="59">
        <f t="shared" si="165"/>
        <v>0</v>
      </c>
      <c r="F429" s="1"/>
      <c r="G429" s="1">
        <v>5000</v>
      </c>
      <c r="H429" s="1">
        <v>5000</v>
      </c>
      <c r="I429" s="59">
        <f t="shared" si="166"/>
        <v>10000</v>
      </c>
      <c r="J429" s="1">
        <v>5000</v>
      </c>
      <c r="K429" s="1"/>
      <c r="L429" s="1"/>
      <c r="M429" s="59">
        <f t="shared" si="167"/>
        <v>5000</v>
      </c>
      <c r="N429" s="1"/>
      <c r="O429" s="1"/>
      <c r="P429" s="1"/>
      <c r="Q429" s="59">
        <f t="shared" si="168"/>
        <v>0</v>
      </c>
      <c r="R429" s="59">
        <f t="shared" si="164"/>
        <v>15000</v>
      </c>
      <c r="T429" s="4" t="s">
        <v>305</v>
      </c>
    </row>
    <row r="430" spans="1:20" ht="15.75" customHeight="1" x14ac:dyDescent="0.3">
      <c r="A430" s="76" t="s">
        <v>399</v>
      </c>
      <c r="B430" s="1"/>
      <c r="C430" s="1"/>
      <c r="D430" s="1"/>
      <c r="E430" s="59">
        <f t="shared" si="165"/>
        <v>0</v>
      </c>
      <c r="F430" s="1"/>
      <c r="G430" s="1"/>
      <c r="H430" s="1"/>
      <c r="I430" s="59">
        <f t="shared" si="166"/>
        <v>0</v>
      </c>
      <c r="J430" s="1">
        <v>9000</v>
      </c>
      <c r="K430" s="1">
        <v>6000</v>
      </c>
      <c r="L430" s="1"/>
      <c r="M430" s="59">
        <f t="shared" si="167"/>
        <v>15000</v>
      </c>
      <c r="N430" s="1"/>
      <c r="O430" s="1"/>
      <c r="P430" s="1"/>
      <c r="Q430" s="59">
        <f t="shared" si="168"/>
        <v>0</v>
      </c>
      <c r="R430" s="59">
        <f t="shared" si="164"/>
        <v>15000</v>
      </c>
    </row>
    <row r="431" spans="1:20" ht="15.75" customHeight="1" x14ac:dyDescent="0.3">
      <c r="A431" s="76" t="s">
        <v>400</v>
      </c>
      <c r="B431" s="1"/>
      <c r="C431" s="1"/>
      <c r="D431" s="1"/>
      <c r="E431" s="59">
        <f t="shared" si="165"/>
        <v>0</v>
      </c>
      <c r="F431" s="1">
        <v>2000</v>
      </c>
      <c r="G431" s="1">
        <v>1500</v>
      </c>
      <c r="H431" s="1">
        <v>1500</v>
      </c>
      <c r="I431" s="59">
        <f t="shared" si="166"/>
        <v>5000</v>
      </c>
      <c r="J431" s="1"/>
      <c r="K431" s="1"/>
      <c r="L431" s="1"/>
      <c r="M431" s="59">
        <f t="shared" si="167"/>
        <v>0</v>
      </c>
      <c r="N431" s="1"/>
      <c r="O431" s="1"/>
      <c r="P431" s="1"/>
      <c r="Q431" s="59">
        <f t="shared" ref="Q431" si="169">SUM(N431:P431)</f>
        <v>0</v>
      </c>
      <c r="R431" s="59">
        <f t="shared" si="164"/>
        <v>5000</v>
      </c>
    </row>
    <row r="432" spans="1:20" ht="15.75" customHeight="1" x14ac:dyDescent="0.3">
      <c r="A432" s="76" t="s">
        <v>401</v>
      </c>
      <c r="B432" s="1"/>
      <c r="C432" s="1"/>
      <c r="D432" s="1"/>
      <c r="E432" s="59">
        <f t="shared" si="165"/>
        <v>0</v>
      </c>
      <c r="F432" s="1"/>
      <c r="G432" s="1"/>
      <c r="H432" s="1"/>
      <c r="I432" s="59">
        <f t="shared" si="166"/>
        <v>0</v>
      </c>
      <c r="J432" s="1">
        <v>2000</v>
      </c>
      <c r="K432" s="1"/>
      <c r="L432" s="1"/>
      <c r="M432" s="59">
        <f t="shared" si="167"/>
        <v>2000</v>
      </c>
      <c r="N432" s="1"/>
      <c r="O432" s="1"/>
      <c r="P432" s="1"/>
      <c r="Q432" s="59">
        <f t="shared" ref="Q432:Q436" si="170">SUM(N432:P432)</f>
        <v>0</v>
      </c>
      <c r="R432" s="59">
        <f t="shared" si="164"/>
        <v>2000</v>
      </c>
    </row>
    <row r="433" spans="1:20" ht="15.75" customHeight="1" x14ac:dyDescent="0.3">
      <c r="A433" s="76" t="s">
        <v>402</v>
      </c>
      <c r="B433" s="1"/>
      <c r="C433" s="1"/>
      <c r="D433" s="1"/>
      <c r="E433" s="59">
        <f t="shared" si="165"/>
        <v>0</v>
      </c>
      <c r="F433" s="1"/>
      <c r="G433" s="1"/>
      <c r="H433" s="1"/>
      <c r="I433" s="59">
        <f t="shared" si="166"/>
        <v>0</v>
      </c>
      <c r="J433" s="1"/>
      <c r="K433" s="1"/>
      <c r="L433" s="1"/>
      <c r="M433" s="59">
        <f t="shared" si="167"/>
        <v>0</v>
      </c>
      <c r="N433" s="1">
        <v>840</v>
      </c>
      <c r="O433" s="1">
        <v>350</v>
      </c>
      <c r="P433" s="1">
        <v>310</v>
      </c>
      <c r="Q433" s="59">
        <f t="shared" si="170"/>
        <v>1500</v>
      </c>
      <c r="R433" s="59">
        <f t="shared" si="164"/>
        <v>1500</v>
      </c>
    </row>
    <row r="434" spans="1:20" ht="15.75" customHeight="1" x14ac:dyDescent="0.3">
      <c r="A434" s="76" t="s">
        <v>403</v>
      </c>
      <c r="B434" s="1">
        <v>175</v>
      </c>
      <c r="C434" s="1">
        <v>500</v>
      </c>
      <c r="D434" s="1">
        <v>500</v>
      </c>
      <c r="E434" s="59">
        <f t="shared" si="165"/>
        <v>1175</v>
      </c>
      <c r="F434" s="1">
        <v>1000</v>
      </c>
      <c r="G434" s="1"/>
      <c r="H434" s="1"/>
      <c r="I434" s="59">
        <f t="shared" si="166"/>
        <v>1000</v>
      </c>
      <c r="J434" s="1"/>
      <c r="K434" s="1"/>
      <c r="L434" s="1"/>
      <c r="M434" s="59">
        <f t="shared" si="167"/>
        <v>0</v>
      </c>
      <c r="N434" s="1">
        <v>10</v>
      </c>
      <c r="O434" s="1"/>
      <c r="P434" s="1"/>
      <c r="Q434" s="59">
        <f t="shared" si="170"/>
        <v>10</v>
      </c>
      <c r="R434" s="59">
        <f t="shared" si="164"/>
        <v>2185</v>
      </c>
    </row>
    <row r="435" spans="1:20" ht="15.75" customHeight="1" x14ac:dyDescent="0.3">
      <c r="A435" s="76" t="s">
        <v>404</v>
      </c>
      <c r="B435" s="1"/>
      <c r="C435" s="1">
        <v>594</v>
      </c>
      <c r="D435" s="1">
        <v>4000</v>
      </c>
      <c r="E435" s="59">
        <f t="shared" si="165"/>
        <v>4594</v>
      </c>
      <c r="F435" s="1">
        <v>6000</v>
      </c>
      <c r="G435" s="1">
        <f>1406+3000</f>
        <v>4406</v>
      </c>
      <c r="H435" s="1">
        <v>500</v>
      </c>
      <c r="I435" s="59">
        <f t="shared" si="166"/>
        <v>10906</v>
      </c>
      <c r="J435" s="1"/>
      <c r="K435" s="1"/>
      <c r="L435" s="1"/>
      <c r="M435" s="59">
        <f t="shared" si="167"/>
        <v>0</v>
      </c>
      <c r="N435" s="1"/>
      <c r="O435" s="1"/>
      <c r="P435" s="1"/>
      <c r="Q435" s="59">
        <f t="shared" si="170"/>
        <v>0</v>
      </c>
      <c r="R435" s="59">
        <f t="shared" si="164"/>
        <v>15500</v>
      </c>
    </row>
    <row r="436" spans="1:20" ht="15.75" customHeight="1" x14ac:dyDescent="0.3">
      <c r="A436" s="76" t="s">
        <v>405</v>
      </c>
      <c r="B436" s="1"/>
      <c r="C436" s="1"/>
      <c r="D436" s="1"/>
      <c r="E436" s="59">
        <f t="shared" si="165"/>
        <v>0</v>
      </c>
      <c r="F436" s="1"/>
      <c r="G436" s="1"/>
      <c r="H436" s="1">
        <v>222</v>
      </c>
      <c r="I436" s="59">
        <f t="shared" si="166"/>
        <v>222</v>
      </c>
      <c r="J436" s="1"/>
      <c r="K436" s="1"/>
      <c r="L436" s="1"/>
      <c r="M436" s="59">
        <f t="shared" si="167"/>
        <v>0</v>
      </c>
      <c r="N436" s="1"/>
      <c r="O436" s="1"/>
      <c r="P436" s="1"/>
      <c r="Q436" s="59">
        <f t="shared" si="170"/>
        <v>0</v>
      </c>
      <c r="R436" s="59">
        <f t="shared" si="164"/>
        <v>222</v>
      </c>
    </row>
    <row r="437" spans="1:20" ht="15.75" customHeight="1" x14ac:dyDescent="0.3">
      <c r="A437" s="76" t="s">
        <v>406</v>
      </c>
      <c r="B437" s="1">
        <f>1+2+130</f>
        <v>133</v>
      </c>
      <c r="C437" s="1">
        <f>1+2+120</f>
        <v>123</v>
      </c>
      <c r="D437" s="1">
        <f>1+2+130</f>
        <v>133</v>
      </c>
      <c r="E437" s="59">
        <f t="shared" si="165"/>
        <v>389</v>
      </c>
      <c r="F437" s="1">
        <f>1+2+125</f>
        <v>128</v>
      </c>
      <c r="G437" s="1">
        <f>1+2+130</f>
        <v>133</v>
      </c>
      <c r="H437" s="1">
        <f>1+2+125</f>
        <v>128</v>
      </c>
      <c r="I437" s="59">
        <f t="shared" si="166"/>
        <v>389</v>
      </c>
      <c r="J437" s="1"/>
      <c r="K437" s="1"/>
      <c r="L437" s="1"/>
      <c r="M437" s="59">
        <f t="shared" si="167"/>
        <v>0</v>
      </c>
      <c r="N437" s="1"/>
      <c r="O437" s="1"/>
      <c r="P437" s="1"/>
      <c r="Q437" s="59">
        <f t="shared" si="168"/>
        <v>0</v>
      </c>
      <c r="R437" s="59">
        <f t="shared" si="164"/>
        <v>778</v>
      </c>
    </row>
    <row r="438" spans="1:20" ht="15.75" customHeight="1" x14ac:dyDescent="0.3">
      <c r="A438" s="76" t="s">
        <v>407</v>
      </c>
      <c r="B438" s="1">
        <v>1500</v>
      </c>
      <c r="C438" s="1">
        <v>1500</v>
      </c>
      <c r="D438" s="1">
        <v>1500</v>
      </c>
      <c r="E438" s="59">
        <f t="shared" si="165"/>
        <v>4500</v>
      </c>
      <c r="F438" s="1">
        <v>1500</v>
      </c>
      <c r="G438" s="1">
        <v>1500</v>
      </c>
      <c r="H438" s="1">
        <v>1500</v>
      </c>
      <c r="I438" s="59">
        <f t="shared" si="166"/>
        <v>4500</v>
      </c>
      <c r="J438" s="1">
        <v>1500</v>
      </c>
      <c r="K438" s="1">
        <v>1500</v>
      </c>
      <c r="L438" s="1">
        <v>1500</v>
      </c>
      <c r="M438" s="59">
        <f t="shared" si="167"/>
        <v>4500</v>
      </c>
      <c r="N438" s="1">
        <v>1500</v>
      </c>
      <c r="O438" s="1"/>
      <c r="P438" s="1"/>
      <c r="Q438" s="59">
        <f t="shared" si="168"/>
        <v>1500</v>
      </c>
      <c r="R438" s="59">
        <f t="shared" si="164"/>
        <v>15000</v>
      </c>
      <c r="T438" s="4" t="s">
        <v>315</v>
      </c>
    </row>
    <row r="439" spans="1:20" ht="15.75" customHeight="1" x14ac:dyDescent="0.3">
      <c r="A439" s="76" t="s">
        <v>408</v>
      </c>
      <c r="B439" s="1">
        <v>24</v>
      </c>
      <c r="C439" s="1">
        <v>26</v>
      </c>
      <c r="D439" s="1">
        <v>24</v>
      </c>
      <c r="E439" s="59">
        <f t="shared" si="165"/>
        <v>74</v>
      </c>
      <c r="F439" s="1">
        <v>29</v>
      </c>
      <c r="G439" s="1">
        <v>24</v>
      </c>
      <c r="H439" s="1">
        <v>31</v>
      </c>
      <c r="I439" s="59">
        <f t="shared" si="166"/>
        <v>84</v>
      </c>
      <c r="J439" s="1">
        <v>52</v>
      </c>
      <c r="K439" s="1">
        <v>47</v>
      </c>
      <c r="L439" s="1">
        <v>32</v>
      </c>
      <c r="M439" s="59">
        <f t="shared" si="167"/>
        <v>131</v>
      </c>
      <c r="N439" s="1">
        <v>23</v>
      </c>
      <c r="O439" s="1">
        <v>16</v>
      </c>
      <c r="P439" s="1">
        <v>22</v>
      </c>
      <c r="Q439" s="59">
        <f t="shared" si="168"/>
        <v>61</v>
      </c>
      <c r="R439" s="59">
        <f t="shared" si="164"/>
        <v>350</v>
      </c>
      <c r="T439" s="4" t="s">
        <v>348</v>
      </c>
    </row>
    <row r="440" spans="1:20" ht="15.75" customHeight="1" x14ac:dyDescent="0.3">
      <c r="A440" s="76" t="s">
        <v>409</v>
      </c>
      <c r="B440" s="1">
        <v>1522</v>
      </c>
      <c r="C440" s="1">
        <v>1203</v>
      </c>
      <c r="D440" s="1">
        <v>1617</v>
      </c>
      <c r="E440" s="59">
        <f t="shared" si="165"/>
        <v>4342</v>
      </c>
      <c r="F440" s="1">
        <v>1565</v>
      </c>
      <c r="G440" s="1">
        <v>1617</v>
      </c>
      <c r="H440" s="1">
        <v>1565</v>
      </c>
      <c r="I440" s="59">
        <f t="shared" si="166"/>
        <v>4747</v>
      </c>
      <c r="J440" s="1">
        <v>1808</v>
      </c>
      <c r="K440" s="1">
        <v>287</v>
      </c>
      <c r="L440" s="1"/>
      <c r="M440" s="59">
        <f t="shared" si="167"/>
        <v>2095</v>
      </c>
      <c r="N440" s="1"/>
      <c r="O440" s="1"/>
      <c r="P440" s="1"/>
      <c r="Q440" s="59">
        <f t="shared" si="168"/>
        <v>0</v>
      </c>
      <c r="R440" s="59">
        <f t="shared" si="164"/>
        <v>11184</v>
      </c>
      <c r="T440" s="4" t="s">
        <v>217</v>
      </c>
    </row>
    <row r="441" spans="1:20" ht="15.75" customHeight="1" x14ac:dyDescent="0.3">
      <c r="A441" s="76" t="s">
        <v>410</v>
      </c>
      <c r="B441" s="1">
        <v>1668</v>
      </c>
      <c r="C441" s="1">
        <v>1668</v>
      </c>
      <c r="D441" s="1">
        <v>1669</v>
      </c>
      <c r="E441" s="59">
        <f t="shared" si="165"/>
        <v>5005</v>
      </c>
      <c r="F441" s="1">
        <v>1669</v>
      </c>
      <c r="G441" s="1"/>
      <c r="H441" s="1"/>
      <c r="I441" s="59">
        <f t="shared" si="166"/>
        <v>1669</v>
      </c>
      <c r="J441" s="1"/>
      <c r="K441" s="1"/>
      <c r="L441" s="1"/>
      <c r="M441" s="59">
        <f t="shared" si="167"/>
        <v>0</v>
      </c>
      <c r="N441" s="1"/>
      <c r="O441" s="1"/>
      <c r="P441" s="1"/>
      <c r="Q441" s="59">
        <f t="shared" si="168"/>
        <v>0</v>
      </c>
      <c r="R441" s="59">
        <f>+E441+I441+M441+Q441</f>
        <v>6674</v>
      </c>
    </row>
    <row r="442" spans="1:20" ht="15.75" customHeight="1" x14ac:dyDescent="0.3">
      <c r="A442" s="76" t="s">
        <v>411</v>
      </c>
      <c r="B442" s="1"/>
      <c r="C442" s="1"/>
      <c r="D442" s="1"/>
      <c r="E442" s="59">
        <f t="shared" si="165"/>
        <v>0</v>
      </c>
      <c r="F442" s="1"/>
      <c r="G442" s="1"/>
      <c r="H442" s="1"/>
      <c r="I442" s="59">
        <f t="shared" si="166"/>
        <v>0</v>
      </c>
      <c r="J442" s="1"/>
      <c r="K442" s="1"/>
      <c r="L442" s="1"/>
      <c r="M442" s="59">
        <f t="shared" si="167"/>
        <v>0</v>
      </c>
      <c r="N442" s="1"/>
      <c r="O442" s="1"/>
      <c r="P442" s="1"/>
      <c r="Q442" s="59">
        <f t="shared" si="168"/>
        <v>0</v>
      </c>
      <c r="R442" s="59">
        <f>+E442+I442+M442+Q442</f>
        <v>0</v>
      </c>
    </row>
    <row r="443" spans="1:20" ht="15.75" customHeight="1" x14ac:dyDescent="0.3">
      <c r="A443" s="76" t="s">
        <v>412</v>
      </c>
      <c r="B443" s="1"/>
      <c r="C443" s="1"/>
      <c r="D443" s="1"/>
      <c r="E443" s="59">
        <f t="shared" si="165"/>
        <v>0</v>
      </c>
      <c r="F443" s="1"/>
      <c r="G443" s="1"/>
      <c r="H443" s="1"/>
      <c r="I443" s="59">
        <f t="shared" si="166"/>
        <v>0</v>
      </c>
      <c r="J443" s="1"/>
      <c r="K443" s="1"/>
      <c r="L443" s="1"/>
      <c r="M443" s="59">
        <f t="shared" si="167"/>
        <v>0</v>
      </c>
      <c r="N443" s="1"/>
      <c r="O443" s="1"/>
      <c r="P443" s="1"/>
      <c r="Q443" s="59">
        <f t="shared" si="168"/>
        <v>0</v>
      </c>
      <c r="R443" s="59">
        <f>+E443+I443+M443+Q443</f>
        <v>0</v>
      </c>
    </row>
    <row r="444" spans="1:20" ht="15.75" customHeight="1" x14ac:dyDescent="0.3">
      <c r="A444" s="76" t="s">
        <v>413</v>
      </c>
      <c r="B444" s="1"/>
      <c r="C444" s="1"/>
      <c r="D444" s="1"/>
      <c r="E444" s="59">
        <f t="shared" si="165"/>
        <v>0</v>
      </c>
      <c r="F444" s="1"/>
      <c r="G444" s="1"/>
      <c r="H444" s="1"/>
      <c r="I444" s="59">
        <f t="shared" si="166"/>
        <v>0</v>
      </c>
      <c r="J444" s="1"/>
      <c r="K444" s="1"/>
      <c r="L444" s="1"/>
      <c r="M444" s="59">
        <f t="shared" si="167"/>
        <v>0</v>
      </c>
      <c r="N444" s="1"/>
      <c r="O444" s="1"/>
      <c r="P444" s="1"/>
      <c r="Q444" s="59">
        <f t="shared" si="168"/>
        <v>0</v>
      </c>
      <c r="R444" s="59">
        <f>+E444+I444+M444+Q444</f>
        <v>0</v>
      </c>
      <c r="T444" s="4" t="s">
        <v>315</v>
      </c>
    </row>
    <row r="445" spans="1:20" ht="15.75" customHeight="1" x14ac:dyDescent="0.3">
      <c r="A445" s="76" t="s">
        <v>414</v>
      </c>
      <c r="B445" s="1"/>
      <c r="C445" s="1"/>
      <c r="D445" s="1"/>
      <c r="E445" s="59">
        <f t="shared" ref="E445" si="171">SUM(B445:D445)</f>
        <v>0</v>
      </c>
      <c r="F445" s="1"/>
      <c r="G445" s="1"/>
      <c r="H445" s="1"/>
      <c r="I445" s="59">
        <f t="shared" ref="I445" si="172">SUM(F445:H445)</f>
        <v>0</v>
      </c>
      <c r="J445" s="1"/>
      <c r="K445" s="1"/>
      <c r="L445" s="1"/>
      <c r="M445" s="59">
        <f t="shared" ref="M445" si="173">SUM(J445:L445)</f>
        <v>0</v>
      </c>
      <c r="N445" s="1"/>
      <c r="O445" s="1"/>
      <c r="P445" s="1"/>
      <c r="Q445" s="59">
        <f t="shared" ref="Q445" si="174">SUM(N445:P445)</f>
        <v>0</v>
      </c>
      <c r="R445" s="59">
        <f t="shared" ref="R445:R446" si="175">+E445+I445+M445+Q445</f>
        <v>0</v>
      </c>
      <c r="T445" s="4" t="s">
        <v>317</v>
      </c>
    </row>
    <row r="446" spans="1:20" ht="16.5" customHeight="1" x14ac:dyDescent="0.3">
      <c r="A446" s="76" t="s">
        <v>415</v>
      </c>
      <c r="B446" s="1"/>
      <c r="C446" s="1">
        <v>300</v>
      </c>
      <c r="D446" s="1">
        <v>800</v>
      </c>
      <c r="E446" s="59">
        <f t="shared" si="165"/>
        <v>1100</v>
      </c>
      <c r="F446" s="1">
        <v>700</v>
      </c>
      <c r="G446" s="1">
        <v>800</v>
      </c>
      <c r="H446" s="1">
        <v>800</v>
      </c>
      <c r="I446" s="59">
        <f t="shared" si="166"/>
        <v>2300</v>
      </c>
      <c r="J446" s="1">
        <v>800</v>
      </c>
      <c r="K446" s="1"/>
      <c r="L446" s="1"/>
      <c r="M446" s="59">
        <f t="shared" si="167"/>
        <v>800</v>
      </c>
      <c r="N446" s="1"/>
      <c r="O446" s="1"/>
      <c r="P446" s="1"/>
      <c r="Q446" s="59">
        <f t="shared" ref="Q446" si="176">SUM(N446:P446)</f>
        <v>0</v>
      </c>
      <c r="R446" s="59">
        <f t="shared" si="175"/>
        <v>4200</v>
      </c>
      <c r="T446" s="4" t="s">
        <v>376</v>
      </c>
    </row>
    <row r="447" spans="1:20" ht="15.75" customHeight="1" x14ac:dyDescent="0.3">
      <c r="A447" s="76" t="s">
        <v>416</v>
      </c>
      <c r="B447" s="1"/>
      <c r="C447" s="1"/>
      <c r="D447" s="1"/>
      <c r="E447" s="59">
        <f t="shared" si="165"/>
        <v>0</v>
      </c>
      <c r="F447" s="1"/>
      <c r="G447" s="1"/>
      <c r="H447" s="1"/>
      <c r="I447" s="59">
        <f t="shared" si="166"/>
        <v>0</v>
      </c>
      <c r="J447" s="1"/>
      <c r="K447" s="1"/>
      <c r="L447" s="1"/>
      <c r="M447" s="59">
        <f t="shared" si="167"/>
        <v>0</v>
      </c>
      <c r="N447" s="1"/>
      <c r="O447" s="1"/>
      <c r="P447" s="1"/>
      <c r="Q447" s="59">
        <f t="shared" ref="Q447" si="177">SUM(N447:P447)</f>
        <v>0</v>
      </c>
      <c r="R447" s="59">
        <f t="shared" si="164"/>
        <v>0</v>
      </c>
      <c r="T447" s="4" t="s">
        <v>331</v>
      </c>
    </row>
    <row r="448" spans="1:20" ht="15.75" customHeight="1" x14ac:dyDescent="0.3">
      <c r="A448" s="76" t="s">
        <v>417</v>
      </c>
      <c r="B448" s="1"/>
      <c r="C448" s="1"/>
      <c r="D448" s="1"/>
      <c r="E448" s="59">
        <f t="shared" si="165"/>
        <v>0</v>
      </c>
      <c r="F448" s="1"/>
      <c r="G448" s="1"/>
      <c r="H448" s="1">
        <v>2000</v>
      </c>
      <c r="I448" s="59">
        <f t="shared" si="166"/>
        <v>2000</v>
      </c>
      <c r="J448" s="1">
        <v>1300</v>
      </c>
      <c r="K448" s="1"/>
      <c r="L448" s="1"/>
      <c r="M448" s="59">
        <f t="shared" si="167"/>
        <v>1300</v>
      </c>
      <c r="N448" s="1"/>
      <c r="O448" s="1"/>
      <c r="P448" s="1"/>
      <c r="Q448" s="59">
        <f t="shared" si="168"/>
        <v>0</v>
      </c>
      <c r="R448" s="59">
        <f t="shared" si="164"/>
        <v>3300</v>
      </c>
      <c r="T448" s="4" t="s">
        <v>331</v>
      </c>
    </row>
    <row r="449" spans="1:20" ht="15.75" customHeight="1" x14ac:dyDescent="0.3">
      <c r="A449" s="76" t="s">
        <v>418</v>
      </c>
      <c r="B449" s="1"/>
      <c r="C449" s="1"/>
      <c r="D449" s="1"/>
      <c r="E449" s="59">
        <f t="shared" si="165"/>
        <v>0</v>
      </c>
      <c r="F449" s="1"/>
      <c r="G449" s="1"/>
      <c r="H449" s="1"/>
      <c r="I449" s="59">
        <f t="shared" si="166"/>
        <v>0</v>
      </c>
      <c r="J449" s="1"/>
      <c r="K449" s="1"/>
      <c r="L449" s="1"/>
      <c r="M449" s="59">
        <f t="shared" si="167"/>
        <v>0</v>
      </c>
      <c r="N449" s="1"/>
      <c r="O449" s="1"/>
      <c r="P449" s="1">
        <v>125</v>
      </c>
      <c r="Q449" s="59">
        <f t="shared" si="168"/>
        <v>125</v>
      </c>
      <c r="R449" s="59">
        <f t="shared" si="164"/>
        <v>125</v>
      </c>
      <c r="T449" s="4" t="s">
        <v>217</v>
      </c>
    </row>
    <row r="450" spans="1:20" ht="15.75" customHeight="1" x14ac:dyDescent="0.3">
      <c r="A450" s="76" t="s">
        <v>419</v>
      </c>
      <c r="B450" s="1"/>
      <c r="C450" s="1"/>
      <c r="D450" s="1"/>
      <c r="E450" s="59">
        <f t="shared" si="165"/>
        <v>0</v>
      </c>
      <c r="F450" s="1"/>
      <c r="G450" s="1"/>
      <c r="H450" s="1"/>
      <c r="I450" s="59">
        <f t="shared" si="166"/>
        <v>0</v>
      </c>
      <c r="J450" s="1"/>
      <c r="K450" s="1"/>
      <c r="L450" s="1"/>
      <c r="M450" s="59">
        <f t="shared" si="167"/>
        <v>0</v>
      </c>
      <c r="N450" s="1"/>
      <c r="O450" s="1">
        <v>1243</v>
      </c>
      <c r="P450" s="1">
        <v>1050</v>
      </c>
      <c r="Q450" s="59">
        <f t="shared" si="168"/>
        <v>2293</v>
      </c>
      <c r="R450" s="59">
        <f t="shared" si="164"/>
        <v>2293</v>
      </c>
      <c r="T450" s="4" t="s">
        <v>217</v>
      </c>
    </row>
    <row r="451" spans="1:20" ht="15.75" customHeight="1" x14ac:dyDescent="0.3">
      <c r="A451" s="76" t="s">
        <v>420</v>
      </c>
      <c r="B451" s="1"/>
      <c r="C451" s="1"/>
      <c r="D451" s="1"/>
      <c r="E451" s="59">
        <f t="shared" si="165"/>
        <v>0</v>
      </c>
      <c r="F451" s="1"/>
      <c r="G451" s="1"/>
      <c r="H451" s="1"/>
      <c r="I451" s="59">
        <f t="shared" si="166"/>
        <v>0</v>
      </c>
      <c r="J451" s="1"/>
      <c r="K451" s="1"/>
      <c r="L451" s="1"/>
      <c r="M451" s="59">
        <f t="shared" si="167"/>
        <v>0</v>
      </c>
      <c r="N451" s="1"/>
      <c r="O451" s="1"/>
      <c r="P451" s="1">
        <v>1653</v>
      </c>
      <c r="Q451" s="59">
        <f t="shared" si="168"/>
        <v>1653</v>
      </c>
      <c r="R451" s="59">
        <f t="shared" si="164"/>
        <v>1653</v>
      </c>
      <c r="T451" s="4" t="s">
        <v>315</v>
      </c>
    </row>
    <row r="452" spans="1:20" ht="15.75" customHeight="1" x14ac:dyDescent="0.3">
      <c r="A452" s="76" t="s">
        <v>421</v>
      </c>
      <c r="B452" s="1"/>
      <c r="C452" s="1"/>
      <c r="D452" s="1"/>
      <c r="E452" s="59">
        <f t="shared" si="165"/>
        <v>0</v>
      </c>
      <c r="F452" s="1"/>
      <c r="G452" s="1"/>
      <c r="H452" s="1"/>
      <c r="I452" s="59">
        <f t="shared" si="166"/>
        <v>0</v>
      </c>
      <c r="J452" s="1"/>
      <c r="K452" s="1"/>
      <c r="L452" s="1"/>
      <c r="M452" s="59">
        <f t="shared" si="167"/>
        <v>0</v>
      </c>
      <c r="N452" s="1"/>
      <c r="O452" s="1"/>
      <c r="P452" s="1"/>
      <c r="Q452" s="59">
        <f t="shared" si="168"/>
        <v>0</v>
      </c>
      <c r="R452" s="59">
        <f t="shared" si="164"/>
        <v>0</v>
      </c>
    </row>
    <row r="453" spans="1:20" ht="15.75" customHeight="1" x14ac:dyDescent="0.3">
      <c r="A453" s="76" t="s">
        <v>422</v>
      </c>
      <c r="B453" s="1"/>
      <c r="C453" s="1"/>
      <c r="D453" s="1"/>
      <c r="E453" s="59">
        <f t="shared" si="165"/>
        <v>0</v>
      </c>
      <c r="F453" s="1"/>
      <c r="G453" s="1"/>
      <c r="H453" s="1"/>
      <c r="I453" s="59">
        <f t="shared" si="166"/>
        <v>0</v>
      </c>
      <c r="J453" s="1"/>
      <c r="K453" s="1"/>
      <c r="L453" s="1"/>
      <c r="M453" s="59">
        <f t="shared" si="167"/>
        <v>0</v>
      </c>
      <c r="N453" s="1"/>
      <c r="O453" s="1"/>
      <c r="P453" s="1"/>
      <c r="Q453" s="59">
        <f t="shared" si="168"/>
        <v>0</v>
      </c>
      <c r="R453" s="59">
        <f t="shared" si="164"/>
        <v>0</v>
      </c>
    </row>
    <row r="454" spans="1:20" ht="15.75" customHeight="1" x14ac:dyDescent="0.3">
      <c r="A454" s="76" t="s">
        <v>423</v>
      </c>
      <c r="B454" s="1"/>
      <c r="C454" s="1"/>
      <c r="D454" s="1"/>
      <c r="E454" s="59">
        <f t="shared" si="165"/>
        <v>0</v>
      </c>
      <c r="F454" s="1"/>
      <c r="G454" s="1"/>
      <c r="H454" s="1"/>
      <c r="I454" s="59">
        <f t="shared" si="166"/>
        <v>0</v>
      </c>
      <c r="J454" s="1"/>
      <c r="K454" s="1"/>
      <c r="L454" s="1"/>
      <c r="M454" s="59">
        <f t="shared" si="167"/>
        <v>0</v>
      </c>
      <c r="N454" s="1"/>
      <c r="O454" s="1"/>
      <c r="P454" s="1">
        <v>500</v>
      </c>
      <c r="Q454" s="59">
        <f t="shared" si="168"/>
        <v>500</v>
      </c>
      <c r="R454" s="59">
        <f t="shared" si="164"/>
        <v>500</v>
      </c>
    </row>
    <row r="455" spans="1:20" ht="15.75" customHeight="1" x14ac:dyDescent="0.3">
      <c r="A455" s="76" t="s">
        <v>424</v>
      </c>
      <c r="B455" s="1"/>
      <c r="C455" s="1"/>
      <c r="D455" s="1"/>
      <c r="E455" s="59">
        <f t="shared" si="165"/>
        <v>0</v>
      </c>
      <c r="F455" s="1"/>
      <c r="G455" s="1"/>
      <c r="H455" s="1"/>
      <c r="I455" s="59">
        <f t="shared" si="166"/>
        <v>0</v>
      </c>
      <c r="J455" s="1"/>
      <c r="K455" s="1">
        <v>1000</v>
      </c>
      <c r="L455" s="1"/>
      <c r="M455" s="59">
        <f t="shared" si="167"/>
        <v>1000</v>
      </c>
      <c r="N455" s="1"/>
      <c r="O455" s="1"/>
      <c r="P455" s="1"/>
      <c r="Q455" s="59">
        <f t="shared" si="168"/>
        <v>0</v>
      </c>
      <c r="R455" s="59">
        <f t="shared" si="164"/>
        <v>1000</v>
      </c>
    </row>
    <row r="456" spans="1:20" ht="15.75" customHeight="1" x14ac:dyDescent="0.3">
      <c r="A456" s="76" t="s">
        <v>425</v>
      </c>
      <c r="B456" s="1"/>
      <c r="C456" s="1"/>
      <c r="D456" s="1"/>
      <c r="E456" s="59">
        <f t="shared" si="165"/>
        <v>0</v>
      </c>
      <c r="F456" s="1"/>
      <c r="G456" s="1"/>
      <c r="H456" s="1"/>
      <c r="I456" s="59">
        <f t="shared" si="166"/>
        <v>0</v>
      </c>
      <c r="J456" s="1"/>
      <c r="K456" s="1">
        <v>2500</v>
      </c>
      <c r="L456" s="1">
        <v>500</v>
      </c>
      <c r="M456" s="59">
        <f t="shared" si="167"/>
        <v>3000</v>
      </c>
      <c r="N456" s="1"/>
      <c r="O456" s="1"/>
      <c r="P456" s="1"/>
      <c r="Q456" s="59">
        <f t="shared" si="168"/>
        <v>0</v>
      </c>
      <c r="R456" s="59">
        <f t="shared" si="164"/>
        <v>3000</v>
      </c>
    </row>
    <row r="457" spans="1:20" ht="15.75" customHeight="1" x14ac:dyDescent="0.3">
      <c r="A457" s="76" t="s">
        <v>426</v>
      </c>
      <c r="B457" s="1"/>
      <c r="C457" s="1"/>
      <c r="D457" s="1"/>
      <c r="E457" s="59">
        <f t="shared" si="165"/>
        <v>0</v>
      </c>
      <c r="F457" s="1"/>
      <c r="G457" s="1"/>
      <c r="H457" s="1"/>
      <c r="I457" s="59">
        <f t="shared" si="166"/>
        <v>0</v>
      </c>
      <c r="J457" s="1"/>
      <c r="K457" s="1"/>
      <c r="L457" s="1"/>
      <c r="M457" s="59">
        <f t="shared" si="167"/>
        <v>0</v>
      </c>
      <c r="N457" s="1"/>
      <c r="O457" s="1"/>
      <c r="P457" s="1"/>
      <c r="Q457" s="59">
        <f t="shared" si="168"/>
        <v>0</v>
      </c>
      <c r="R457" s="59">
        <f t="shared" si="164"/>
        <v>0</v>
      </c>
    </row>
    <row r="458" spans="1:20" ht="15.75" customHeight="1" x14ac:dyDescent="0.3">
      <c r="A458" s="76" t="s">
        <v>427</v>
      </c>
      <c r="B458" s="1"/>
      <c r="C458" s="1"/>
      <c r="D458" s="1"/>
      <c r="E458" s="59">
        <f t="shared" si="165"/>
        <v>0</v>
      </c>
      <c r="F458" s="1"/>
      <c r="G458" s="1"/>
      <c r="H458" s="1"/>
      <c r="I458" s="59">
        <f t="shared" si="166"/>
        <v>0</v>
      </c>
      <c r="J458" s="1"/>
      <c r="K458" s="1"/>
      <c r="L458" s="1"/>
      <c r="M458" s="59">
        <f t="shared" si="167"/>
        <v>0</v>
      </c>
      <c r="N458" s="1"/>
      <c r="O458" s="1">
        <v>500</v>
      </c>
      <c r="P458" s="1"/>
      <c r="Q458" s="59">
        <f t="shared" si="168"/>
        <v>500</v>
      </c>
      <c r="R458" s="59">
        <f t="shared" si="164"/>
        <v>500</v>
      </c>
    </row>
    <row r="459" spans="1:20" ht="15.75" customHeight="1" x14ac:dyDescent="0.3">
      <c r="A459" s="76" t="s">
        <v>428</v>
      </c>
      <c r="B459" s="1"/>
      <c r="C459" s="1"/>
      <c r="D459" s="1"/>
      <c r="E459" s="59">
        <f t="shared" si="165"/>
        <v>0</v>
      </c>
      <c r="F459" s="1"/>
      <c r="G459" s="1"/>
      <c r="H459" s="1"/>
      <c r="I459" s="59">
        <f t="shared" si="166"/>
        <v>0</v>
      </c>
      <c r="J459" s="1"/>
      <c r="K459" s="1"/>
      <c r="L459" s="1"/>
      <c r="M459" s="59">
        <f t="shared" si="167"/>
        <v>0</v>
      </c>
      <c r="N459" s="1"/>
      <c r="O459" s="1"/>
      <c r="P459" s="1"/>
      <c r="Q459" s="59">
        <f>SUM(N459:P459)</f>
        <v>0</v>
      </c>
      <c r="R459" s="59">
        <f t="shared" si="164"/>
        <v>0</v>
      </c>
    </row>
    <row r="460" spans="1:20" ht="15.75" customHeight="1" x14ac:dyDescent="0.3">
      <c r="A460" s="76" t="s">
        <v>429</v>
      </c>
      <c r="B460" s="1"/>
      <c r="C460" s="1"/>
      <c r="D460" s="1"/>
      <c r="E460" s="59">
        <f t="shared" si="165"/>
        <v>0</v>
      </c>
      <c r="F460" s="1"/>
      <c r="G460" s="1"/>
      <c r="H460" s="1"/>
      <c r="I460" s="59">
        <f t="shared" si="166"/>
        <v>0</v>
      </c>
      <c r="J460" s="1"/>
      <c r="K460" s="1"/>
      <c r="L460" s="1"/>
      <c r="M460" s="59">
        <f t="shared" si="167"/>
        <v>0</v>
      </c>
      <c r="N460" s="1"/>
      <c r="O460" s="1"/>
      <c r="P460" s="1"/>
      <c r="Q460" s="59">
        <f t="shared" si="168"/>
        <v>0</v>
      </c>
      <c r="R460" s="59">
        <f t="shared" si="164"/>
        <v>0</v>
      </c>
    </row>
    <row r="461" spans="1:20" ht="15.75" customHeight="1" x14ac:dyDescent="0.3">
      <c r="A461" s="76" t="s">
        <v>430</v>
      </c>
      <c r="B461" s="1"/>
      <c r="C461" s="1"/>
      <c r="D461" s="1"/>
      <c r="E461" s="59">
        <f t="shared" si="165"/>
        <v>0</v>
      </c>
      <c r="F461" s="1"/>
      <c r="G461" s="1"/>
      <c r="H461" s="1"/>
      <c r="I461" s="59">
        <f t="shared" si="166"/>
        <v>0</v>
      </c>
      <c r="J461" s="1"/>
      <c r="K461" s="1"/>
      <c r="L461" s="1"/>
      <c r="M461" s="59">
        <f t="shared" si="167"/>
        <v>0</v>
      </c>
      <c r="N461" s="1"/>
      <c r="O461" s="1"/>
      <c r="P461" s="1"/>
      <c r="Q461" s="59">
        <f t="shared" si="168"/>
        <v>0</v>
      </c>
      <c r="R461" s="59">
        <f t="shared" si="164"/>
        <v>0</v>
      </c>
    </row>
    <row r="462" spans="1:20" ht="15.75" customHeight="1" x14ac:dyDescent="0.3">
      <c r="A462" s="76" t="s">
        <v>431</v>
      </c>
      <c r="B462" s="1"/>
      <c r="C462" s="1"/>
      <c r="D462" s="1"/>
      <c r="E462" s="59">
        <f t="shared" si="165"/>
        <v>0</v>
      </c>
      <c r="F462" s="1"/>
      <c r="G462" s="1"/>
      <c r="H462" s="1"/>
      <c r="I462" s="59">
        <f t="shared" si="166"/>
        <v>0</v>
      </c>
      <c r="J462" s="1"/>
      <c r="K462" s="1"/>
      <c r="L462" s="1"/>
      <c r="M462" s="59">
        <f t="shared" si="167"/>
        <v>0</v>
      </c>
      <c r="N462" s="1"/>
      <c r="O462" s="1"/>
      <c r="P462" s="1"/>
      <c r="Q462" s="59">
        <f t="shared" si="168"/>
        <v>0</v>
      </c>
      <c r="R462" s="59">
        <f t="shared" si="164"/>
        <v>0</v>
      </c>
    </row>
    <row r="463" spans="1:20" ht="15.75" customHeight="1" x14ac:dyDescent="0.3">
      <c r="A463" s="76" t="s">
        <v>432</v>
      </c>
      <c r="B463" s="1"/>
      <c r="C463" s="1"/>
      <c r="D463" s="1"/>
      <c r="E463" s="59">
        <f t="shared" si="165"/>
        <v>0</v>
      </c>
      <c r="F463" s="1"/>
      <c r="G463" s="1"/>
      <c r="H463" s="1"/>
      <c r="I463" s="59">
        <f t="shared" si="166"/>
        <v>0</v>
      </c>
      <c r="J463" s="1"/>
      <c r="K463" s="1"/>
      <c r="L463" s="1"/>
      <c r="M463" s="59">
        <f t="shared" si="167"/>
        <v>0</v>
      </c>
      <c r="N463" s="1"/>
      <c r="O463" s="1"/>
      <c r="P463" s="1"/>
      <c r="Q463" s="59">
        <f t="shared" si="168"/>
        <v>0</v>
      </c>
      <c r="R463" s="59">
        <f t="shared" si="164"/>
        <v>0</v>
      </c>
      <c r="T463" s="4" t="s">
        <v>217</v>
      </c>
    </row>
    <row r="464" spans="1:20" ht="15.75" customHeight="1" x14ac:dyDescent="0.3">
      <c r="A464" s="76" t="s">
        <v>433</v>
      </c>
      <c r="B464" s="1"/>
      <c r="C464" s="1"/>
      <c r="D464" s="1"/>
      <c r="E464" s="59">
        <f t="shared" si="165"/>
        <v>0</v>
      </c>
      <c r="F464" s="1"/>
      <c r="G464" s="1"/>
      <c r="H464" s="1"/>
      <c r="I464" s="59">
        <f t="shared" si="166"/>
        <v>0</v>
      </c>
      <c r="J464" s="1"/>
      <c r="K464" s="1"/>
      <c r="L464" s="1"/>
      <c r="M464" s="59">
        <f t="shared" si="167"/>
        <v>0</v>
      </c>
      <c r="N464" s="1"/>
      <c r="O464" s="1"/>
      <c r="P464" s="1"/>
      <c r="Q464" s="59">
        <f t="shared" si="168"/>
        <v>0</v>
      </c>
      <c r="R464" s="59">
        <f t="shared" si="164"/>
        <v>0</v>
      </c>
      <c r="T464" s="4" t="s">
        <v>217</v>
      </c>
    </row>
    <row r="465" spans="1:20" ht="15.75" customHeight="1" x14ac:dyDescent="0.3">
      <c r="A465" s="76" t="s">
        <v>434</v>
      </c>
      <c r="B465" s="1"/>
      <c r="C465" s="1"/>
      <c r="D465" s="1"/>
      <c r="E465" s="59">
        <f t="shared" si="165"/>
        <v>0</v>
      </c>
      <c r="F465" s="1"/>
      <c r="G465" s="1">
        <v>581</v>
      </c>
      <c r="H465" s="1">
        <v>2209</v>
      </c>
      <c r="I465" s="59">
        <f t="shared" si="166"/>
        <v>2790</v>
      </c>
      <c r="J465" s="1">
        <v>1298</v>
      </c>
      <c r="K465" s="1"/>
      <c r="L465" s="1"/>
      <c r="M465" s="59">
        <f t="shared" si="167"/>
        <v>1298</v>
      </c>
      <c r="N465" s="1"/>
      <c r="O465" s="1"/>
      <c r="P465" s="1"/>
      <c r="Q465" s="59">
        <f t="shared" si="168"/>
        <v>0</v>
      </c>
      <c r="R465" s="59">
        <f t="shared" si="164"/>
        <v>4088</v>
      </c>
      <c r="T465" s="4" t="s">
        <v>217</v>
      </c>
    </row>
    <row r="466" spans="1:20" ht="15.75" customHeight="1" x14ac:dyDescent="0.3">
      <c r="A466" s="76" t="s">
        <v>435</v>
      </c>
      <c r="B466" s="1"/>
      <c r="C466" s="1"/>
      <c r="D466" s="1"/>
      <c r="E466" s="59">
        <f t="shared" si="165"/>
        <v>0</v>
      </c>
      <c r="F466" s="1"/>
      <c r="G466" s="1"/>
      <c r="H466" s="1"/>
      <c r="I466" s="59">
        <f t="shared" si="166"/>
        <v>0</v>
      </c>
      <c r="J466" s="1"/>
      <c r="K466" s="1"/>
      <c r="L466" s="1"/>
      <c r="M466" s="59">
        <f t="shared" si="167"/>
        <v>0</v>
      </c>
      <c r="N466" s="1"/>
      <c r="O466" s="1"/>
      <c r="P466" s="1"/>
      <c r="Q466" s="59">
        <f t="shared" si="168"/>
        <v>0</v>
      </c>
      <c r="R466" s="59">
        <f t="shared" si="164"/>
        <v>0</v>
      </c>
      <c r="T466" s="4" t="s">
        <v>315</v>
      </c>
    </row>
    <row r="467" spans="1:20" ht="15.75" customHeight="1" x14ac:dyDescent="0.3">
      <c r="A467" s="76" t="s">
        <v>436</v>
      </c>
      <c r="B467" s="1"/>
      <c r="C467" s="1"/>
      <c r="D467" s="1"/>
      <c r="E467" s="59">
        <f t="shared" si="165"/>
        <v>0</v>
      </c>
      <c r="F467" s="1">
        <v>805</v>
      </c>
      <c r="G467" s="1">
        <v>694</v>
      </c>
      <c r="H467" s="1"/>
      <c r="I467" s="59">
        <f t="shared" si="166"/>
        <v>1499</v>
      </c>
      <c r="J467" s="1"/>
      <c r="K467" s="1"/>
      <c r="L467" s="1"/>
      <c r="M467" s="59">
        <f t="shared" si="167"/>
        <v>0</v>
      </c>
      <c r="N467" s="1"/>
      <c r="O467" s="1"/>
      <c r="P467" s="1"/>
      <c r="Q467" s="59">
        <f t="shared" si="168"/>
        <v>0</v>
      </c>
      <c r="R467" s="59">
        <f t="shared" si="164"/>
        <v>1499</v>
      </c>
    </row>
    <row r="468" spans="1:20" ht="15.75" customHeight="1" x14ac:dyDescent="0.3">
      <c r="A468" s="76" t="s">
        <v>437</v>
      </c>
      <c r="B468" s="1"/>
      <c r="C468" s="1"/>
      <c r="D468" s="1"/>
      <c r="E468" s="59">
        <f t="shared" si="165"/>
        <v>0</v>
      </c>
      <c r="F468" s="1"/>
      <c r="G468" s="1"/>
      <c r="H468" s="1"/>
      <c r="I468" s="59">
        <f t="shared" si="166"/>
        <v>0</v>
      </c>
      <c r="J468" s="1"/>
      <c r="K468" s="1"/>
      <c r="L468" s="1"/>
      <c r="M468" s="59">
        <f t="shared" si="167"/>
        <v>0</v>
      </c>
      <c r="N468" s="1"/>
      <c r="O468" s="1"/>
      <c r="P468" s="1"/>
      <c r="Q468" s="59">
        <f t="shared" si="168"/>
        <v>0</v>
      </c>
      <c r="R468" s="59">
        <f t="shared" si="164"/>
        <v>0</v>
      </c>
      <c r="T468" s="4" t="s">
        <v>315</v>
      </c>
    </row>
    <row r="469" spans="1:20" ht="15.75" customHeight="1" x14ac:dyDescent="0.3">
      <c r="A469" s="76" t="s">
        <v>438</v>
      </c>
      <c r="B469" s="1"/>
      <c r="C469" s="1">
        <v>1000</v>
      </c>
      <c r="D469" s="1"/>
      <c r="E469" s="59">
        <f t="shared" si="165"/>
        <v>1000</v>
      </c>
      <c r="F469" s="1">
        <v>158</v>
      </c>
      <c r="G469" s="1"/>
      <c r="H469" s="1"/>
      <c r="I469" s="59">
        <f t="shared" si="166"/>
        <v>158</v>
      </c>
      <c r="J469" s="1"/>
      <c r="K469" s="1"/>
      <c r="L469" s="1"/>
      <c r="M469" s="59">
        <f t="shared" si="167"/>
        <v>0</v>
      </c>
      <c r="N469" s="1"/>
      <c r="O469" s="1"/>
      <c r="P469" s="1"/>
      <c r="Q469" s="59">
        <f t="shared" si="168"/>
        <v>0</v>
      </c>
      <c r="R469" s="59">
        <f t="shared" si="164"/>
        <v>1158</v>
      </c>
    </row>
    <row r="470" spans="1:20" ht="15.75" customHeight="1" x14ac:dyDescent="0.3">
      <c r="A470" s="76" t="s">
        <v>439</v>
      </c>
      <c r="B470" s="1"/>
      <c r="C470" s="1"/>
      <c r="D470" s="1"/>
      <c r="E470" s="59">
        <f t="shared" si="165"/>
        <v>0</v>
      </c>
      <c r="F470" s="1"/>
      <c r="G470" s="1"/>
      <c r="H470" s="1"/>
      <c r="I470" s="59">
        <f t="shared" si="166"/>
        <v>0</v>
      </c>
      <c r="J470" s="1"/>
      <c r="K470" s="1"/>
      <c r="L470" s="1"/>
      <c r="M470" s="59">
        <f t="shared" si="167"/>
        <v>0</v>
      </c>
      <c r="N470" s="1"/>
      <c r="O470" s="1"/>
      <c r="P470" s="1"/>
      <c r="Q470" s="59">
        <f t="shared" si="168"/>
        <v>0</v>
      </c>
      <c r="R470" s="59">
        <f t="shared" si="164"/>
        <v>0</v>
      </c>
      <c r="T470" s="4" t="s">
        <v>217</v>
      </c>
    </row>
    <row r="471" spans="1:20" ht="15.75" customHeight="1" x14ac:dyDescent="0.3">
      <c r="A471" s="76" t="s">
        <v>440</v>
      </c>
      <c r="B471" s="1"/>
      <c r="C471" s="1"/>
      <c r="D471" s="1"/>
      <c r="E471" s="59">
        <f t="shared" si="165"/>
        <v>0</v>
      </c>
      <c r="F471" s="1"/>
      <c r="G471" s="1">
        <v>1000</v>
      </c>
      <c r="H471" s="1">
        <v>1200</v>
      </c>
      <c r="I471" s="59">
        <f t="shared" si="166"/>
        <v>2200</v>
      </c>
      <c r="J471" s="1">
        <v>522</v>
      </c>
      <c r="K471" s="1"/>
      <c r="L471" s="1"/>
      <c r="M471" s="59">
        <f t="shared" si="167"/>
        <v>522</v>
      </c>
      <c r="N471" s="1"/>
      <c r="O471" s="1"/>
      <c r="P471" s="1"/>
      <c r="Q471" s="59">
        <f t="shared" si="168"/>
        <v>0</v>
      </c>
      <c r="R471" s="59">
        <f>+E471+I471+M471+Q471</f>
        <v>2722</v>
      </c>
    </row>
    <row r="472" spans="1:20" ht="15.75" customHeight="1" x14ac:dyDescent="0.3">
      <c r="A472" s="76" t="s">
        <v>441</v>
      </c>
      <c r="B472" s="1"/>
      <c r="C472" s="1"/>
      <c r="D472" s="1"/>
      <c r="E472" s="59">
        <f t="shared" si="165"/>
        <v>0</v>
      </c>
      <c r="F472" s="1">
        <v>842</v>
      </c>
      <c r="G472" s="1"/>
      <c r="H472" s="1"/>
      <c r="I472" s="59">
        <f t="shared" si="166"/>
        <v>842</v>
      </c>
      <c r="J472" s="1"/>
      <c r="K472" s="1"/>
      <c r="L472" s="1"/>
      <c r="M472" s="59">
        <f t="shared" si="167"/>
        <v>0</v>
      </c>
      <c r="N472" s="1"/>
      <c r="O472" s="1"/>
      <c r="P472" s="1"/>
      <c r="Q472" s="59">
        <f t="shared" si="168"/>
        <v>0</v>
      </c>
      <c r="R472" s="59">
        <f>+E472+I472+M472+Q472</f>
        <v>842</v>
      </c>
      <c r="T472" s="4" t="s">
        <v>315</v>
      </c>
    </row>
    <row r="473" spans="1:20" ht="15.75" customHeight="1" x14ac:dyDescent="0.3">
      <c r="A473" s="76" t="s">
        <v>442</v>
      </c>
      <c r="B473" s="1"/>
      <c r="C473" s="1">
        <v>1360</v>
      </c>
      <c r="D473" s="1">
        <v>1712</v>
      </c>
      <c r="E473" s="59">
        <f t="shared" si="165"/>
        <v>3072</v>
      </c>
      <c r="F473" s="1">
        <v>1841</v>
      </c>
      <c r="G473" s="1">
        <v>1511</v>
      </c>
      <c r="H473" s="1"/>
      <c r="I473" s="59">
        <f t="shared" si="166"/>
        <v>3352</v>
      </c>
      <c r="J473" s="1"/>
      <c r="K473" s="1"/>
      <c r="L473" s="1"/>
      <c r="M473" s="59">
        <f t="shared" si="167"/>
        <v>0</v>
      </c>
      <c r="N473" s="1"/>
      <c r="O473" s="1"/>
      <c r="P473" s="1"/>
      <c r="Q473" s="59">
        <f t="shared" si="168"/>
        <v>0</v>
      </c>
      <c r="R473" s="59">
        <f t="shared" si="164"/>
        <v>6424</v>
      </c>
      <c r="T473" s="4" t="s">
        <v>217</v>
      </c>
    </row>
    <row r="474" spans="1:20" ht="15.75" customHeight="1" x14ac:dyDescent="0.3">
      <c r="A474" s="76" t="s">
        <v>443</v>
      </c>
      <c r="B474" s="1"/>
      <c r="C474" s="1"/>
      <c r="D474" s="1"/>
      <c r="E474" s="59">
        <f t="shared" si="165"/>
        <v>0</v>
      </c>
      <c r="F474" s="1"/>
      <c r="G474" s="1"/>
      <c r="H474" s="1"/>
      <c r="I474" s="59">
        <f t="shared" si="166"/>
        <v>0</v>
      </c>
      <c r="J474" s="1"/>
      <c r="K474" s="1"/>
      <c r="L474" s="1"/>
      <c r="M474" s="59">
        <f t="shared" si="167"/>
        <v>0</v>
      </c>
      <c r="N474" s="1"/>
      <c r="O474" s="1"/>
      <c r="P474" s="1"/>
      <c r="Q474" s="59">
        <f t="shared" si="168"/>
        <v>0</v>
      </c>
      <c r="R474" s="59">
        <f t="shared" si="164"/>
        <v>0</v>
      </c>
      <c r="T474" s="4" t="s">
        <v>315</v>
      </c>
    </row>
    <row r="475" spans="1:20" ht="15.75" customHeight="1" x14ac:dyDescent="0.3">
      <c r="A475" s="76" t="s">
        <v>444</v>
      </c>
      <c r="B475" s="1"/>
      <c r="C475" s="1"/>
      <c r="D475" s="1"/>
      <c r="E475" s="59">
        <f t="shared" ref="E475:E476" si="178">SUM(B475:D475)</f>
        <v>0</v>
      </c>
      <c r="F475" s="1">
        <v>45</v>
      </c>
      <c r="G475" s="1"/>
      <c r="H475" s="1"/>
      <c r="I475" s="59">
        <f t="shared" ref="I475:I477" si="179">SUM(F475:H475)</f>
        <v>45</v>
      </c>
      <c r="J475" s="1"/>
      <c r="K475" s="1"/>
      <c r="L475" s="1"/>
      <c r="M475" s="59">
        <f t="shared" ref="M475:M477" si="180">SUM(J475:L475)</f>
        <v>0</v>
      </c>
      <c r="N475" s="1"/>
      <c r="O475" s="1"/>
      <c r="P475" s="1"/>
      <c r="Q475" s="59">
        <f t="shared" ref="Q475:Q477" si="181">SUM(N475:P475)</f>
        <v>0</v>
      </c>
      <c r="R475" s="59">
        <f t="shared" si="164"/>
        <v>45</v>
      </c>
    </row>
    <row r="476" spans="1:20" ht="15.75" customHeight="1" x14ac:dyDescent="0.3">
      <c r="A476" s="76" t="s">
        <v>445</v>
      </c>
      <c r="B476" s="1"/>
      <c r="C476" s="1"/>
      <c r="D476" s="1"/>
      <c r="E476" s="59">
        <f t="shared" si="178"/>
        <v>0</v>
      </c>
      <c r="F476" s="1">
        <v>66</v>
      </c>
      <c r="G476" s="1"/>
      <c r="H476" s="1"/>
      <c r="I476" s="59">
        <f t="shared" si="179"/>
        <v>66</v>
      </c>
      <c r="J476" s="1"/>
      <c r="K476" s="1"/>
      <c r="L476" s="1"/>
      <c r="M476" s="59">
        <f t="shared" si="180"/>
        <v>0</v>
      </c>
      <c r="N476" s="1"/>
      <c r="O476" s="1"/>
      <c r="P476" s="1"/>
      <c r="Q476" s="59">
        <f t="shared" si="181"/>
        <v>0</v>
      </c>
      <c r="R476" s="59">
        <f>+E476+I476+M476+Q476</f>
        <v>66</v>
      </c>
    </row>
    <row r="477" spans="1:20" ht="15.75" customHeight="1" x14ac:dyDescent="0.3">
      <c r="A477" s="76" t="s">
        <v>446</v>
      </c>
      <c r="B477" s="1"/>
      <c r="C477" s="1"/>
      <c r="D477" s="1"/>
      <c r="E477" s="59">
        <f>SUM(B477:D477)</f>
        <v>0</v>
      </c>
      <c r="F477" s="1">
        <v>59</v>
      </c>
      <c r="G477" s="1"/>
      <c r="H477" s="1"/>
      <c r="I477" s="59">
        <f t="shared" si="179"/>
        <v>59</v>
      </c>
      <c r="J477" s="1"/>
      <c r="K477" s="1"/>
      <c r="L477" s="1"/>
      <c r="M477" s="59">
        <f t="shared" si="180"/>
        <v>0</v>
      </c>
      <c r="N477" s="1"/>
      <c r="O477" s="1"/>
      <c r="P477" s="1"/>
      <c r="Q477" s="59">
        <f t="shared" si="181"/>
        <v>0</v>
      </c>
      <c r="R477" s="59">
        <f t="shared" si="164"/>
        <v>59</v>
      </c>
    </row>
    <row r="478" spans="1:20" ht="15.75" customHeight="1" x14ac:dyDescent="0.3">
      <c r="A478" s="76" t="s">
        <v>449</v>
      </c>
      <c r="B478" s="1"/>
      <c r="C478" s="1"/>
      <c r="D478" s="1"/>
      <c r="E478" s="59">
        <f t="shared" si="165"/>
        <v>0</v>
      </c>
      <c r="F478" s="1"/>
      <c r="G478" s="1">
        <v>2622</v>
      </c>
      <c r="H478" s="1"/>
      <c r="I478" s="59">
        <f t="shared" si="166"/>
        <v>2622</v>
      </c>
      <c r="J478" s="1"/>
      <c r="K478" s="1"/>
      <c r="L478" s="1"/>
      <c r="M478" s="59">
        <f t="shared" si="167"/>
        <v>0</v>
      </c>
      <c r="N478" s="1"/>
      <c r="O478" s="1"/>
      <c r="P478" s="1"/>
      <c r="Q478" s="59">
        <f t="shared" si="168"/>
        <v>0</v>
      </c>
      <c r="R478" s="59">
        <f t="shared" si="164"/>
        <v>2622</v>
      </c>
    </row>
    <row r="479" spans="1:20" ht="15.75" customHeight="1" thickBot="1" x14ac:dyDescent="0.35">
      <c r="A479" s="76" t="s">
        <v>450</v>
      </c>
      <c r="B479" s="1">
        <v>2000</v>
      </c>
      <c r="C479" s="1">
        <v>2000</v>
      </c>
      <c r="D479" s="1">
        <v>2000</v>
      </c>
      <c r="E479" s="59">
        <f t="shared" si="165"/>
        <v>6000</v>
      </c>
      <c r="F479" s="1">
        <v>2000</v>
      </c>
      <c r="G479" s="1">
        <v>2000</v>
      </c>
      <c r="H479" s="1">
        <v>2000</v>
      </c>
      <c r="I479" s="59">
        <f t="shared" si="166"/>
        <v>6000</v>
      </c>
      <c r="J479" s="1">
        <v>2000</v>
      </c>
      <c r="K479" s="1">
        <v>3000</v>
      </c>
      <c r="L479" s="1">
        <v>2000</v>
      </c>
      <c r="M479" s="59">
        <f t="shared" si="167"/>
        <v>7000</v>
      </c>
      <c r="N479" s="1">
        <v>2000</v>
      </c>
      <c r="O479" s="1">
        <v>2000</v>
      </c>
      <c r="P479" s="1">
        <v>2000</v>
      </c>
      <c r="Q479" s="59">
        <f t="shared" si="168"/>
        <v>6000</v>
      </c>
      <c r="R479" s="59">
        <f t="shared" si="164"/>
        <v>25000</v>
      </c>
    </row>
    <row r="480" spans="1:20" ht="16.5" customHeight="1" thickBot="1" x14ac:dyDescent="0.35">
      <c r="A480" s="137" t="s">
        <v>61</v>
      </c>
      <c r="B480" s="107">
        <f>SUM(B409:B479)</f>
        <v>17327</v>
      </c>
      <c r="C480" s="63">
        <f>SUM(C409:C479)</f>
        <v>19294</v>
      </c>
      <c r="D480" s="63">
        <f>SUM(D409:D479)</f>
        <v>31610</v>
      </c>
      <c r="E480" s="64">
        <f t="shared" ref="E480" si="182">SUM(B480:D480)</f>
        <v>68231</v>
      </c>
      <c r="F480" s="63">
        <f>SUM(F409:F479)</f>
        <v>40048</v>
      </c>
      <c r="G480" s="63">
        <f>SUM(G409:G479)</f>
        <v>45954</v>
      </c>
      <c r="H480" s="63">
        <f>SUM(H409:H479)</f>
        <v>45835</v>
      </c>
      <c r="I480" s="64">
        <f t="shared" ref="I480" si="183">SUM(F480:H480)</f>
        <v>131837</v>
      </c>
      <c r="J480" s="63">
        <f>SUM(J409:J479)</f>
        <v>46845</v>
      </c>
      <c r="K480" s="63">
        <f>SUM(K409:K479)</f>
        <v>33155</v>
      </c>
      <c r="L480" s="63">
        <f>SUM(L409:L479)</f>
        <v>22253</v>
      </c>
      <c r="M480" s="64">
        <f t="shared" ref="M480" si="184">SUM(J480:L480)</f>
        <v>102253</v>
      </c>
      <c r="N480" s="63">
        <f>SUM(N409:N479)</f>
        <v>18565</v>
      </c>
      <c r="O480" s="63">
        <f>SUM(O409:O479)</f>
        <v>6791</v>
      </c>
      <c r="P480" s="63">
        <f>SUM(P409:P479)</f>
        <v>10951</v>
      </c>
      <c r="Q480" s="64">
        <f t="shared" si="168"/>
        <v>36307</v>
      </c>
      <c r="R480" s="64">
        <f>+E480+I480+M480+Q480</f>
        <v>338628</v>
      </c>
      <c r="T480" s="106"/>
    </row>
    <row r="481" spans="1:21" ht="15.75" customHeight="1" x14ac:dyDescent="0.3">
      <c r="A481" s="17" t="s">
        <v>62</v>
      </c>
      <c r="B481" s="1"/>
      <c r="C481" s="1"/>
      <c r="D481" s="1"/>
      <c r="E481" s="59" t="s">
        <v>7</v>
      </c>
      <c r="F481" s="1"/>
      <c r="G481" s="1"/>
      <c r="H481" s="1"/>
      <c r="I481" s="59" t="s">
        <v>7</v>
      </c>
      <c r="J481" s="1"/>
      <c r="K481" s="1"/>
      <c r="L481" s="1"/>
      <c r="M481" s="59" t="s">
        <v>7</v>
      </c>
      <c r="N481" s="1"/>
      <c r="O481" s="1"/>
      <c r="P481" s="1"/>
      <c r="Q481" s="59" t="s">
        <v>7</v>
      </c>
      <c r="R481" s="59" t="s">
        <v>7</v>
      </c>
    </row>
    <row r="482" spans="1:21" ht="15.75" customHeight="1" x14ac:dyDescent="0.3">
      <c r="A482" s="17" t="s">
        <v>63</v>
      </c>
      <c r="B482" s="1"/>
      <c r="C482" s="1"/>
      <c r="D482" s="1"/>
      <c r="E482" s="59" t="s">
        <v>7</v>
      </c>
      <c r="F482" s="1"/>
      <c r="G482" s="1"/>
      <c r="H482" s="1"/>
      <c r="I482" s="59" t="s">
        <v>7</v>
      </c>
      <c r="J482" s="1"/>
      <c r="K482" s="1"/>
      <c r="L482" s="1"/>
      <c r="M482" s="59" t="s">
        <v>7</v>
      </c>
      <c r="N482" s="1"/>
      <c r="O482" s="1"/>
      <c r="P482" s="1"/>
      <c r="Q482" s="59" t="s">
        <v>7</v>
      </c>
      <c r="R482" s="59" t="s">
        <v>7</v>
      </c>
    </row>
    <row r="483" spans="1:21" ht="15.75" customHeight="1" x14ac:dyDescent="0.3">
      <c r="A483" s="76" t="s">
        <v>451</v>
      </c>
      <c r="B483" s="1"/>
      <c r="C483" s="1"/>
      <c r="D483" s="1"/>
      <c r="E483" s="59">
        <f>SUM(B483:D483)</f>
        <v>0</v>
      </c>
      <c r="F483" s="1"/>
      <c r="G483" s="1"/>
      <c r="H483" s="1"/>
      <c r="I483" s="59">
        <f>SUM(F483:H483)</f>
        <v>0</v>
      </c>
      <c r="J483" s="1"/>
      <c r="K483" s="1"/>
      <c r="L483" s="1"/>
      <c r="M483" s="59">
        <f>SUM(J483:L483)</f>
        <v>0</v>
      </c>
      <c r="N483" s="1"/>
      <c r="O483" s="1"/>
      <c r="P483" s="1"/>
      <c r="Q483" s="59">
        <f>SUM(N483:P483)</f>
        <v>0</v>
      </c>
      <c r="R483" s="59">
        <f>+E483+I483+M483+Q483</f>
        <v>0</v>
      </c>
      <c r="U483" s="20"/>
    </row>
    <row r="484" spans="1:21" ht="15.75" customHeight="1" x14ac:dyDescent="0.3">
      <c r="A484" s="17" t="s">
        <v>64</v>
      </c>
      <c r="B484" s="1"/>
      <c r="C484" s="1"/>
      <c r="D484" s="1"/>
      <c r="E484" s="59" t="s">
        <v>7</v>
      </c>
      <c r="F484" s="1"/>
      <c r="G484" s="1"/>
      <c r="H484" s="1"/>
      <c r="I484" s="59" t="s">
        <v>7</v>
      </c>
      <c r="J484" s="1"/>
      <c r="K484" s="1"/>
      <c r="L484" s="1"/>
      <c r="M484" s="59" t="s">
        <v>7</v>
      </c>
      <c r="N484" s="1"/>
      <c r="O484" s="1"/>
      <c r="P484" s="1"/>
      <c r="Q484" s="59" t="s">
        <v>7</v>
      </c>
      <c r="R484" s="59" t="s">
        <v>7</v>
      </c>
    </row>
    <row r="485" spans="1:21" ht="15.75" customHeight="1" x14ac:dyDescent="0.3">
      <c r="A485" s="76" t="s">
        <v>452</v>
      </c>
      <c r="B485" s="1"/>
      <c r="C485" s="1"/>
      <c r="D485" s="1"/>
      <c r="E485" s="59">
        <f>SUM(B485:D485)</f>
        <v>0</v>
      </c>
      <c r="F485" s="1"/>
      <c r="G485" s="1"/>
      <c r="H485" s="1"/>
      <c r="I485" s="59">
        <f>SUM(F485:H485)</f>
        <v>0</v>
      </c>
      <c r="J485" s="1"/>
      <c r="K485" s="1"/>
      <c r="L485" s="1"/>
      <c r="M485" s="59">
        <f>SUM(J485:L485)</f>
        <v>0</v>
      </c>
      <c r="N485" s="1"/>
      <c r="O485" s="1"/>
      <c r="P485" s="1"/>
      <c r="Q485" s="59">
        <f>SUM(N485:P485)</f>
        <v>0</v>
      </c>
      <c r="R485" s="59">
        <f>+E485+I485+M485+Q485</f>
        <v>0</v>
      </c>
    </row>
    <row r="486" spans="1:21" ht="15.75" customHeight="1" x14ac:dyDescent="0.3">
      <c r="A486" s="76" t="s">
        <v>453</v>
      </c>
      <c r="B486" s="1"/>
      <c r="C486" s="1"/>
      <c r="D486" s="1"/>
      <c r="E486" s="59">
        <f>SUM(B486:D486)</f>
        <v>0</v>
      </c>
      <c r="F486" s="1"/>
      <c r="G486" s="1"/>
      <c r="H486" s="1"/>
      <c r="I486" s="59">
        <f>SUM(F486:H486)</f>
        <v>0</v>
      </c>
      <c r="J486" s="1"/>
      <c r="K486" s="1"/>
      <c r="L486" s="1"/>
      <c r="M486" s="59">
        <f>SUM(J486:L486)</f>
        <v>0</v>
      </c>
      <c r="N486" s="1"/>
      <c r="O486" s="1"/>
      <c r="P486" s="1"/>
      <c r="Q486" s="59">
        <f>SUM(N486:P486)</f>
        <v>0</v>
      </c>
      <c r="R486" s="59">
        <f>+E486+I486+M486+Q486</f>
        <v>0</v>
      </c>
    </row>
    <row r="487" spans="1:21" ht="15.75" customHeight="1" x14ac:dyDescent="0.3">
      <c r="A487" s="17" t="s">
        <v>66</v>
      </c>
      <c r="B487" s="1"/>
      <c r="C487" s="1"/>
      <c r="D487" s="1"/>
      <c r="E487" s="59" t="s">
        <v>7</v>
      </c>
      <c r="F487" s="1"/>
      <c r="G487" s="1"/>
      <c r="H487" s="1"/>
      <c r="I487" s="59" t="s">
        <v>7</v>
      </c>
      <c r="J487" s="1"/>
      <c r="K487" s="1"/>
      <c r="L487" s="1"/>
      <c r="M487" s="59" t="s">
        <v>7</v>
      </c>
      <c r="N487" s="1"/>
      <c r="O487" s="1"/>
      <c r="P487" s="1"/>
      <c r="Q487" s="59" t="s">
        <v>7</v>
      </c>
      <c r="R487" s="59" t="s">
        <v>7</v>
      </c>
    </row>
    <row r="488" spans="1:21" ht="15.75" customHeight="1" x14ac:dyDescent="0.3">
      <c r="A488" s="76" t="s">
        <v>454</v>
      </c>
      <c r="B488" s="1"/>
      <c r="C488" s="1"/>
      <c r="D488" s="1"/>
      <c r="E488" s="59">
        <f t="shared" ref="E488:E493" si="185">SUM(B488:D488)</f>
        <v>0</v>
      </c>
      <c r="F488" s="1"/>
      <c r="G488" s="1"/>
      <c r="H488" s="1"/>
      <c r="I488" s="59">
        <f t="shared" ref="I488:I493" si="186">SUM(F488:H488)</f>
        <v>0</v>
      </c>
      <c r="J488" s="1"/>
      <c r="K488" s="1"/>
      <c r="L488" s="1"/>
      <c r="M488" s="59">
        <f t="shared" ref="M488:M493" si="187">SUM(J488:L488)</f>
        <v>0</v>
      </c>
      <c r="N488" s="1"/>
      <c r="O488" s="1"/>
      <c r="P488" s="1"/>
      <c r="Q488" s="59">
        <f t="shared" ref="Q488:Q493" si="188">SUM(N488:P488)</f>
        <v>0</v>
      </c>
      <c r="R488" s="59">
        <f t="shared" ref="R488:R493" si="189">+E488+I488+M488+Q488</f>
        <v>0</v>
      </c>
      <c r="T488" s="4" t="s">
        <v>317</v>
      </c>
    </row>
    <row r="489" spans="1:21" ht="15.75" customHeight="1" x14ac:dyDescent="0.3">
      <c r="A489" s="76" t="s">
        <v>455</v>
      </c>
      <c r="B489" s="1"/>
      <c r="C489" s="1"/>
      <c r="D489" s="1"/>
      <c r="E489" s="59">
        <f t="shared" ref="E489" si="190">SUM(B489:D489)</f>
        <v>0</v>
      </c>
      <c r="F489" s="1"/>
      <c r="G489" s="1"/>
      <c r="H489" s="1"/>
      <c r="I489" s="59">
        <f t="shared" si="186"/>
        <v>0</v>
      </c>
      <c r="J489" s="1"/>
      <c r="K489" s="1"/>
      <c r="L489" s="1"/>
      <c r="M489" s="59">
        <f t="shared" si="187"/>
        <v>0</v>
      </c>
      <c r="N489" s="1"/>
      <c r="O489" s="1"/>
      <c r="P489" s="1"/>
      <c r="Q489" s="59">
        <f t="shared" si="188"/>
        <v>0</v>
      </c>
      <c r="R489" s="59">
        <f t="shared" si="189"/>
        <v>0</v>
      </c>
      <c r="T489" s="4" t="s">
        <v>317</v>
      </c>
    </row>
    <row r="490" spans="1:21" ht="15.75" customHeight="1" x14ac:dyDescent="0.3">
      <c r="A490" s="76" t="s">
        <v>456</v>
      </c>
      <c r="B490" s="1"/>
      <c r="C490" s="1"/>
      <c r="D490" s="1"/>
      <c r="E490" s="59">
        <f t="shared" si="185"/>
        <v>0</v>
      </c>
      <c r="F490" s="1"/>
      <c r="G490" s="1"/>
      <c r="H490" s="1"/>
      <c r="I490" s="59">
        <f t="shared" si="186"/>
        <v>0</v>
      </c>
      <c r="J490" s="1"/>
      <c r="K490" s="1"/>
      <c r="L490" s="1"/>
      <c r="M490" s="59">
        <f t="shared" si="187"/>
        <v>0</v>
      </c>
      <c r="N490" s="1"/>
      <c r="O490" s="1"/>
      <c r="P490" s="1"/>
      <c r="Q490" s="59">
        <f t="shared" si="188"/>
        <v>0</v>
      </c>
      <c r="R490" s="59">
        <f t="shared" si="189"/>
        <v>0</v>
      </c>
      <c r="T490" s="4" t="s">
        <v>331</v>
      </c>
    </row>
    <row r="491" spans="1:21" ht="15.75" customHeight="1" x14ac:dyDescent="0.3">
      <c r="A491" s="76" t="s">
        <v>457</v>
      </c>
      <c r="B491" s="1"/>
      <c r="C491" s="1"/>
      <c r="D491" s="1"/>
      <c r="E491" s="59">
        <f t="shared" si="185"/>
        <v>0</v>
      </c>
      <c r="F491" s="1"/>
      <c r="G491" s="1"/>
      <c r="H491" s="1"/>
      <c r="I491" s="59">
        <f t="shared" si="186"/>
        <v>0</v>
      </c>
      <c r="J491" s="1"/>
      <c r="K491" s="1"/>
      <c r="L491" s="1"/>
      <c r="M491" s="59">
        <f t="shared" si="187"/>
        <v>0</v>
      </c>
      <c r="N491" s="1"/>
      <c r="O491" s="1"/>
      <c r="P491" s="1"/>
      <c r="Q491" s="59">
        <f t="shared" si="188"/>
        <v>0</v>
      </c>
      <c r="R491" s="59">
        <f t="shared" si="189"/>
        <v>0</v>
      </c>
    </row>
    <row r="492" spans="1:21" ht="15.75" customHeight="1" x14ac:dyDescent="0.3">
      <c r="A492" s="76" t="s">
        <v>458</v>
      </c>
      <c r="B492" s="1"/>
      <c r="C492" s="1"/>
      <c r="D492" s="1"/>
      <c r="E492" s="59">
        <f t="shared" si="185"/>
        <v>0</v>
      </c>
      <c r="F492" s="1"/>
      <c r="G492" s="1"/>
      <c r="H492" s="1"/>
      <c r="I492" s="59">
        <f t="shared" si="186"/>
        <v>0</v>
      </c>
      <c r="J492" s="1"/>
      <c r="K492" s="1"/>
      <c r="L492" s="1"/>
      <c r="M492" s="59">
        <f t="shared" si="187"/>
        <v>0</v>
      </c>
      <c r="N492" s="1"/>
      <c r="O492" s="1"/>
      <c r="P492" s="1"/>
      <c r="Q492" s="59">
        <f t="shared" si="188"/>
        <v>0</v>
      </c>
      <c r="R492" s="59">
        <f t="shared" si="189"/>
        <v>0</v>
      </c>
    </row>
    <row r="493" spans="1:21" ht="15.75" customHeight="1" x14ac:dyDescent="0.3">
      <c r="A493" s="76" t="s">
        <v>459</v>
      </c>
      <c r="B493" s="1"/>
      <c r="C493" s="1"/>
      <c r="D493" s="1"/>
      <c r="E493" s="59">
        <f t="shared" si="185"/>
        <v>0</v>
      </c>
      <c r="F493" s="1"/>
      <c r="G493" s="1"/>
      <c r="H493" s="1"/>
      <c r="I493" s="59">
        <f t="shared" si="186"/>
        <v>0</v>
      </c>
      <c r="J493" s="1"/>
      <c r="K493" s="1"/>
      <c r="L493" s="1"/>
      <c r="M493" s="59">
        <f t="shared" si="187"/>
        <v>0</v>
      </c>
      <c r="N493" s="1"/>
      <c r="O493" s="1"/>
      <c r="P493" s="1"/>
      <c r="Q493" s="59">
        <f t="shared" si="188"/>
        <v>0</v>
      </c>
      <c r="R493" s="59">
        <f t="shared" si="189"/>
        <v>0</v>
      </c>
      <c r="T493" s="4" t="s">
        <v>317</v>
      </c>
    </row>
    <row r="494" spans="1:21" ht="15.75" customHeight="1" x14ac:dyDescent="0.3">
      <c r="A494" s="17" t="s">
        <v>67</v>
      </c>
      <c r="B494" s="1"/>
      <c r="C494" s="1"/>
      <c r="D494" s="1"/>
      <c r="E494" s="59" t="s">
        <v>7</v>
      </c>
      <c r="F494" s="1"/>
      <c r="G494" s="1"/>
      <c r="H494" s="1"/>
      <c r="I494" s="59" t="s">
        <v>7</v>
      </c>
      <c r="J494" s="1"/>
      <c r="K494" s="1"/>
      <c r="L494" s="1"/>
      <c r="M494" s="59" t="s">
        <v>7</v>
      </c>
      <c r="N494" s="1"/>
      <c r="O494" s="1"/>
      <c r="P494" s="1"/>
      <c r="Q494" s="59" t="s">
        <v>7</v>
      </c>
      <c r="R494" s="59" t="s">
        <v>7</v>
      </c>
    </row>
    <row r="495" spans="1:21" ht="15.75" customHeight="1" x14ac:dyDescent="0.3">
      <c r="A495" s="76" t="s">
        <v>460</v>
      </c>
      <c r="B495" s="1"/>
      <c r="C495" s="1"/>
      <c r="D495" s="1"/>
      <c r="E495" s="59">
        <f>SUM(B495:D495)</f>
        <v>0</v>
      </c>
      <c r="F495" s="1"/>
      <c r="G495" s="1"/>
      <c r="H495" s="1"/>
      <c r="I495" s="59">
        <f>SUM(F495:H495)</f>
        <v>0</v>
      </c>
      <c r="J495" s="1"/>
      <c r="K495" s="1"/>
      <c r="L495" s="1"/>
      <c r="M495" s="59">
        <f>SUM(J495:L495)</f>
        <v>0</v>
      </c>
      <c r="N495" s="1"/>
      <c r="O495" s="1"/>
      <c r="P495" s="1"/>
      <c r="Q495" s="59">
        <f>SUM(N495:P495)</f>
        <v>0</v>
      </c>
      <c r="R495" s="59">
        <f>+E495+I495+M495+Q495</f>
        <v>0</v>
      </c>
      <c r="T495" s="4" t="s">
        <v>305</v>
      </c>
    </row>
    <row r="496" spans="1:21" ht="15.75" customHeight="1" x14ac:dyDescent="0.3">
      <c r="A496" s="76" t="s">
        <v>461</v>
      </c>
      <c r="B496" s="1"/>
      <c r="C496" s="1"/>
      <c r="D496" s="1"/>
      <c r="E496" s="59">
        <f>SUM(B496:D496)</f>
        <v>0</v>
      </c>
      <c r="F496" s="1"/>
      <c r="G496" s="1"/>
      <c r="H496" s="1"/>
      <c r="I496" s="59">
        <f>SUM(F496:H496)</f>
        <v>0</v>
      </c>
      <c r="J496" s="1"/>
      <c r="K496" s="1"/>
      <c r="L496" s="1"/>
      <c r="M496" s="59">
        <f>SUM(J496:L496)</f>
        <v>0</v>
      </c>
      <c r="N496" s="1"/>
      <c r="O496" s="1"/>
      <c r="P496" s="1"/>
      <c r="Q496" s="59">
        <f>SUM(N496:P496)</f>
        <v>0</v>
      </c>
      <c r="R496" s="59">
        <f>+E496+I496+M496+Q496</f>
        <v>0</v>
      </c>
      <c r="T496" s="4" t="s">
        <v>305</v>
      </c>
    </row>
    <row r="497" spans="1:21" ht="15.75" customHeight="1" x14ac:dyDescent="0.3">
      <c r="A497" s="76" t="s">
        <v>462</v>
      </c>
      <c r="B497" s="1"/>
      <c r="C497" s="1"/>
      <c r="D497" s="1"/>
      <c r="E497" s="59">
        <f>SUM(B497:D497)</f>
        <v>0</v>
      </c>
      <c r="F497" s="1"/>
      <c r="G497" s="1"/>
      <c r="H497" s="1"/>
      <c r="I497" s="59">
        <f>SUM(F497:H497)</f>
        <v>0</v>
      </c>
      <c r="J497" s="1"/>
      <c r="K497" s="1"/>
      <c r="L497" s="1"/>
      <c r="M497" s="59">
        <f>SUM(J497:L497)</f>
        <v>0</v>
      </c>
      <c r="N497" s="1"/>
      <c r="O497" s="1"/>
      <c r="P497" s="1"/>
      <c r="Q497" s="59">
        <f>SUM(N497:P497)</f>
        <v>0</v>
      </c>
      <c r="R497" s="59">
        <f>+E497+I497+M497+Q497</f>
        <v>0</v>
      </c>
    </row>
    <row r="498" spans="1:21" ht="15.75" customHeight="1" x14ac:dyDescent="0.3">
      <c r="A498" s="76" t="s">
        <v>463</v>
      </c>
      <c r="B498" s="1"/>
      <c r="C498" s="1"/>
      <c r="D498" s="1"/>
      <c r="E498" s="59">
        <f>SUM(B498:D498)</f>
        <v>0</v>
      </c>
      <c r="F498" s="1"/>
      <c r="G498" s="1"/>
      <c r="H498" s="1"/>
      <c r="I498" s="59">
        <f>SUM(F498:H498)</f>
        <v>0</v>
      </c>
      <c r="J498" s="1"/>
      <c r="K498" s="1"/>
      <c r="L498" s="1"/>
      <c r="M498" s="59">
        <f>SUM(J498:L498)</f>
        <v>0</v>
      </c>
      <c r="N498" s="1"/>
      <c r="O498" s="1"/>
      <c r="P498" s="1"/>
      <c r="Q498" s="59">
        <f>SUM(N498:P498)</f>
        <v>0</v>
      </c>
      <c r="R498" s="59">
        <f>+E498+I498+M498+Q498</f>
        <v>0</v>
      </c>
    </row>
    <row r="499" spans="1:21" ht="15.75" customHeight="1" x14ac:dyDescent="0.3">
      <c r="A499" s="76" t="s">
        <v>464</v>
      </c>
      <c r="B499" s="1"/>
      <c r="C499" s="1"/>
      <c r="D499" s="1"/>
      <c r="E499" s="59">
        <f t="shared" ref="E499" si="191">SUM(B499:D499)</f>
        <v>0</v>
      </c>
      <c r="F499" s="1"/>
      <c r="G499" s="1"/>
      <c r="H499" s="1"/>
      <c r="I499" s="59">
        <f t="shared" ref="I499" si="192">SUM(F499:H499)</f>
        <v>0</v>
      </c>
      <c r="J499" s="1"/>
      <c r="K499" s="1"/>
      <c r="L499" s="1"/>
      <c r="M499" s="59">
        <f t="shared" ref="M499" si="193">SUM(J499:L499)</f>
        <v>0</v>
      </c>
      <c r="N499" s="1"/>
      <c r="O499" s="1"/>
      <c r="P499" s="1"/>
      <c r="Q499" s="59">
        <f t="shared" ref="Q499:Q510" si="194">SUM(N499:P499)</f>
        <v>0</v>
      </c>
      <c r="R499" s="59">
        <f t="shared" ref="R499:R510" si="195">+E499+I499+M499+Q499</f>
        <v>0</v>
      </c>
    </row>
    <row r="500" spans="1:21" ht="15.75" customHeight="1" x14ac:dyDescent="0.3">
      <c r="A500" s="76" t="s">
        <v>465</v>
      </c>
      <c r="B500" s="1"/>
      <c r="C500" s="1"/>
      <c r="D500" s="1"/>
      <c r="E500" s="59">
        <f>SUM(B500:D500)</f>
        <v>0</v>
      </c>
      <c r="F500" s="1"/>
      <c r="G500" s="1"/>
      <c r="H500" s="1"/>
      <c r="I500" s="59">
        <f>SUM(F500:H500)</f>
        <v>0</v>
      </c>
      <c r="J500" s="1"/>
      <c r="K500" s="1"/>
      <c r="L500" s="1"/>
      <c r="M500" s="59">
        <f>SUM(J500:L500)</f>
        <v>0</v>
      </c>
      <c r="N500" s="1"/>
      <c r="O500" s="1"/>
      <c r="P500" s="1"/>
      <c r="Q500" s="59">
        <f>SUM(N500:P500)</f>
        <v>0</v>
      </c>
      <c r="R500" s="59">
        <f>+E500+I500+M500+Q500</f>
        <v>0</v>
      </c>
    </row>
    <row r="501" spans="1:21" ht="15.75" customHeight="1" x14ac:dyDescent="0.3">
      <c r="A501" s="76" t="s">
        <v>466</v>
      </c>
      <c r="B501" s="1"/>
      <c r="C501" s="1"/>
      <c r="D501" s="1"/>
      <c r="E501" s="59">
        <f>SUM(B501:D501)</f>
        <v>0</v>
      </c>
      <c r="F501" s="1"/>
      <c r="G501" s="1"/>
      <c r="H501" s="1"/>
      <c r="I501" s="59">
        <f>SUM(F501:H501)</f>
        <v>0</v>
      </c>
      <c r="J501" s="1"/>
      <c r="K501" s="1"/>
      <c r="L501" s="1"/>
      <c r="M501" s="59">
        <f>SUM(J501:L501)</f>
        <v>0</v>
      </c>
      <c r="N501" s="1"/>
      <c r="O501" s="1"/>
      <c r="P501" s="1"/>
      <c r="Q501" s="59">
        <f>SUM(N501:P501)</f>
        <v>0</v>
      </c>
      <c r="R501" s="59">
        <f>+E501+I501+M501+Q501</f>
        <v>0</v>
      </c>
      <c r="T501" s="4" t="s">
        <v>305</v>
      </c>
      <c r="U501" s="20"/>
    </row>
    <row r="502" spans="1:21" ht="15.75" customHeight="1" x14ac:dyDescent="0.3">
      <c r="A502" s="76" t="s">
        <v>467</v>
      </c>
      <c r="B502" s="1"/>
      <c r="C502" s="1"/>
      <c r="D502" s="1"/>
      <c r="E502" s="59">
        <f>SUM(B502:D502)</f>
        <v>0</v>
      </c>
      <c r="F502" s="1"/>
      <c r="G502" s="1"/>
      <c r="H502" s="1"/>
      <c r="I502" s="59">
        <f>SUM(F502:H502)</f>
        <v>0</v>
      </c>
      <c r="J502" s="1"/>
      <c r="K502" s="1"/>
      <c r="L502" s="1"/>
      <c r="M502" s="59">
        <f>SUM(J502:L502)</f>
        <v>0</v>
      </c>
      <c r="N502" s="1"/>
      <c r="O502" s="1"/>
      <c r="P502" s="1"/>
      <c r="Q502" s="59">
        <f>SUM(N502:P502)</f>
        <v>0</v>
      </c>
      <c r="R502" s="59">
        <f>+E502+I502+M502+Q502</f>
        <v>0</v>
      </c>
    </row>
    <row r="503" spans="1:21" ht="15.75" customHeight="1" x14ac:dyDescent="0.3">
      <c r="A503" s="76" t="s">
        <v>468</v>
      </c>
      <c r="B503" s="1"/>
      <c r="C503" s="1"/>
      <c r="D503" s="1"/>
      <c r="E503" s="59">
        <f>SUM(B503:D503)</f>
        <v>0</v>
      </c>
      <c r="F503" s="1"/>
      <c r="G503" s="1"/>
      <c r="H503" s="1"/>
      <c r="I503" s="59">
        <f>SUM(F503:H503)</f>
        <v>0</v>
      </c>
      <c r="J503" s="1"/>
      <c r="K503" s="1"/>
      <c r="L503" s="1"/>
      <c r="M503" s="59">
        <f>SUM(J503:L503)</f>
        <v>0</v>
      </c>
      <c r="N503" s="1"/>
      <c r="O503" s="1"/>
      <c r="P503" s="1"/>
      <c r="Q503" s="59">
        <f>SUM(N503:P503)</f>
        <v>0</v>
      </c>
      <c r="R503" s="59">
        <f>+E503+I503+M503+Q503</f>
        <v>0</v>
      </c>
      <c r="T503" s="4" t="s">
        <v>331</v>
      </c>
    </row>
    <row r="504" spans="1:21" ht="15.75" customHeight="1" thickBot="1" x14ac:dyDescent="0.35">
      <c r="A504" s="76" t="s">
        <v>469</v>
      </c>
      <c r="B504" s="1"/>
      <c r="C504" s="1"/>
      <c r="D504" s="1"/>
      <c r="E504" s="59">
        <f>SUM(B504:D504)</f>
        <v>0</v>
      </c>
      <c r="F504" s="1"/>
      <c r="G504" s="1"/>
      <c r="H504" s="1"/>
      <c r="I504" s="59">
        <f>SUM(F504:H504)</f>
        <v>0</v>
      </c>
      <c r="J504" s="1"/>
      <c r="K504" s="1"/>
      <c r="L504" s="1"/>
      <c r="M504" s="59">
        <f>SUM(J504:L504)</f>
        <v>0</v>
      </c>
      <c r="N504" s="1"/>
      <c r="O504" s="1"/>
      <c r="P504" s="1"/>
      <c r="Q504" s="59">
        <f>SUM(N504:P504)</f>
        <v>0</v>
      </c>
      <c r="R504" s="59">
        <f>+E504+I504+M504+Q504</f>
        <v>0</v>
      </c>
      <c r="T504" s="4" t="s">
        <v>331</v>
      </c>
    </row>
    <row r="505" spans="1:21" ht="16.5" customHeight="1" thickBot="1" x14ac:dyDescent="0.35">
      <c r="A505" s="62" t="s">
        <v>68</v>
      </c>
      <c r="B505" s="63">
        <f>SUM(B487:B504)</f>
        <v>0</v>
      </c>
      <c r="C505" s="63">
        <f>SUM(C487:C504)</f>
        <v>0</v>
      </c>
      <c r="D505" s="63">
        <f>SUM(D487:D504)</f>
        <v>0</v>
      </c>
      <c r="E505" s="65">
        <f t="shared" ref="E505:E510" si="196">SUM(B505:D505)</f>
        <v>0</v>
      </c>
      <c r="F505" s="63">
        <f>SUM(F487:F504)</f>
        <v>0</v>
      </c>
      <c r="G505" s="63">
        <f>SUM(G487:G504)</f>
        <v>0</v>
      </c>
      <c r="H505" s="63">
        <f>SUM(H487:H504)</f>
        <v>0</v>
      </c>
      <c r="I505" s="65">
        <f t="shared" ref="I505:I510" si="197">SUM(F505:H505)</f>
        <v>0</v>
      </c>
      <c r="J505" s="63">
        <f>SUM(J487:J504)</f>
        <v>0</v>
      </c>
      <c r="K505" s="63">
        <f>SUM(K487:K504)</f>
        <v>0</v>
      </c>
      <c r="L505" s="63">
        <f>SUM(L487:L504)</f>
        <v>0</v>
      </c>
      <c r="M505" s="65">
        <f t="shared" ref="M505:M510" si="198">SUM(J505:L505)</f>
        <v>0</v>
      </c>
      <c r="N505" s="63">
        <f>SUM(N487:N504)</f>
        <v>0</v>
      </c>
      <c r="O505" s="63">
        <f>SUM(O487:O504)</f>
        <v>0</v>
      </c>
      <c r="P505" s="63">
        <f>SUM(P487:P504)</f>
        <v>0</v>
      </c>
      <c r="Q505" s="65">
        <f t="shared" si="194"/>
        <v>0</v>
      </c>
      <c r="R505" s="64">
        <f t="shared" si="195"/>
        <v>0</v>
      </c>
    </row>
    <row r="506" spans="1:21" ht="16.5" customHeight="1" thickBot="1" x14ac:dyDescent="0.35">
      <c r="A506" s="137" t="s">
        <v>69</v>
      </c>
      <c r="B506" s="100">
        <f>SUM(B481:B504)</f>
        <v>0</v>
      </c>
      <c r="C506" s="101">
        <f>SUM(C481:C504)</f>
        <v>0</v>
      </c>
      <c r="D506" s="138">
        <f>SUM(D481:D504)</f>
        <v>0</v>
      </c>
      <c r="E506" s="65">
        <f t="shared" si="196"/>
        <v>0</v>
      </c>
      <c r="F506" s="101">
        <f>SUM(F481:F504)</f>
        <v>0</v>
      </c>
      <c r="G506" s="101">
        <f>SUM(G481:G504)</f>
        <v>0</v>
      </c>
      <c r="H506" s="101">
        <f>SUM(H481:H504)</f>
        <v>0</v>
      </c>
      <c r="I506" s="65">
        <f t="shared" si="197"/>
        <v>0</v>
      </c>
      <c r="J506" s="101">
        <f>SUM(J481:J504)</f>
        <v>0</v>
      </c>
      <c r="K506" s="101">
        <f>SUM(K481:K504)</f>
        <v>0</v>
      </c>
      <c r="L506" s="101">
        <f>SUM(L481:L504)</f>
        <v>0</v>
      </c>
      <c r="M506" s="65">
        <f t="shared" si="198"/>
        <v>0</v>
      </c>
      <c r="N506" s="101">
        <f>SUM(N481:N504)</f>
        <v>0</v>
      </c>
      <c r="O506" s="101">
        <f>SUM(O481:O504)</f>
        <v>0</v>
      </c>
      <c r="P506" s="101">
        <f>SUM(P481:P504)</f>
        <v>0</v>
      </c>
      <c r="Q506" s="65">
        <f t="shared" si="194"/>
        <v>0</v>
      </c>
      <c r="R506" s="64">
        <f t="shared" si="195"/>
        <v>0</v>
      </c>
    </row>
    <row r="507" spans="1:21" ht="16.5" customHeight="1" thickBot="1" x14ac:dyDescent="0.35">
      <c r="A507" s="62" t="s">
        <v>70</v>
      </c>
      <c r="B507" s="107">
        <f>+B394+B408+B480+B506</f>
        <v>21551</v>
      </c>
      <c r="C507" s="63">
        <f>+C394+C408+C480+C506</f>
        <v>29930</v>
      </c>
      <c r="D507" s="63">
        <f>+D394+D408+D480+D506</f>
        <v>46664</v>
      </c>
      <c r="E507" s="64">
        <f t="shared" si="196"/>
        <v>98145</v>
      </c>
      <c r="F507" s="63">
        <f>+F394+F408+F480+F506</f>
        <v>67988</v>
      </c>
      <c r="G507" s="63">
        <f>+G394+G408+G480+G506</f>
        <v>79346</v>
      </c>
      <c r="H507" s="63">
        <f>+H394+H408+H480+H506</f>
        <v>89558</v>
      </c>
      <c r="I507" s="64">
        <f t="shared" si="197"/>
        <v>236892</v>
      </c>
      <c r="J507" s="63">
        <f>+J394+J408+J480+J506</f>
        <v>78759</v>
      </c>
      <c r="K507" s="63">
        <f>+K394+K408+K480+K506</f>
        <v>57600</v>
      </c>
      <c r="L507" s="63">
        <f>+L394+L408+L480+L506</f>
        <v>43350</v>
      </c>
      <c r="M507" s="64">
        <f t="shared" si="198"/>
        <v>179709</v>
      </c>
      <c r="N507" s="63">
        <f>+N394+N408+N480+N506</f>
        <v>36154</v>
      </c>
      <c r="O507" s="63">
        <f>+O394+O408+O480+O506</f>
        <v>20054</v>
      </c>
      <c r="P507" s="63">
        <f>+P394+P408+P480+P506</f>
        <v>20072</v>
      </c>
      <c r="Q507" s="64">
        <f t="shared" si="194"/>
        <v>76280</v>
      </c>
      <c r="R507" s="88">
        <f t="shared" si="195"/>
        <v>591026</v>
      </c>
    </row>
    <row r="508" spans="1:21" ht="15.75" customHeight="1" x14ac:dyDescent="0.3">
      <c r="A508" s="74" t="s">
        <v>470</v>
      </c>
      <c r="B508" s="1"/>
      <c r="C508" s="1"/>
      <c r="D508" s="1"/>
      <c r="E508" s="59">
        <f t="shared" si="196"/>
        <v>0</v>
      </c>
      <c r="F508" s="1"/>
      <c r="G508" s="1"/>
      <c r="H508" s="1"/>
      <c r="I508" s="59">
        <f t="shared" si="197"/>
        <v>0</v>
      </c>
      <c r="J508" s="1"/>
      <c r="K508" s="1"/>
      <c r="L508" s="1"/>
      <c r="M508" s="59">
        <f t="shared" si="198"/>
        <v>0</v>
      </c>
      <c r="N508" s="1"/>
      <c r="O508" s="1"/>
      <c r="P508" s="1"/>
      <c r="Q508" s="59">
        <f t="shared" si="194"/>
        <v>0</v>
      </c>
      <c r="R508" s="59">
        <f t="shared" si="195"/>
        <v>0</v>
      </c>
    </row>
    <row r="509" spans="1:21" ht="15.75" customHeight="1" x14ac:dyDescent="0.3">
      <c r="A509" s="74" t="s">
        <v>471</v>
      </c>
      <c r="B509" s="1"/>
      <c r="C509" s="1"/>
      <c r="D509" s="1"/>
      <c r="E509" s="59">
        <f t="shared" si="196"/>
        <v>0</v>
      </c>
      <c r="F509" s="1"/>
      <c r="G509" s="1"/>
      <c r="H509" s="1"/>
      <c r="I509" s="59">
        <f t="shared" si="197"/>
        <v>0</v>
      </c>
      <c r="J509" s="1"/>
      <c r="K509" s="1"/>
      <c r="L509" s="1"/>
      <c r="M509" s="59">
        <f t="shared" si="198"/>
        <v>0</v>
      </c>
      <c r="N509" s="1"/>
      <c r="O509" s="1"/>
      <c r="P509" s="1"/>
      <c r="Q509" s="59">
        <f t="shared" si="194"/>
        <v>0</v>
      </c>
      <c r="R509" s="59">
        <f t="shared" si="195"/>
        <v>0</v>
      </c>
    </row>
    <row r="510" spans="1:21" ht="16.5" customHeight="1" thickBot="1" x14ac:dyDescent="0.35">
      <c r="A510" s="79" t="s">
        <v>37</v>
      </c>
      <c r="B510" s="25">
        <v>155</v>
      </c>
      <c r="C510" s="25">
        <v>283</v>
      </c>
      <c r="D510" s="25">
        <v>435</v>
      </c>
      <c r="E510" s="88">
        <f t="shared" si="196"/>
        <v>873</v>
      </c>
      <c r="F510" s="25">
        <v>602</v>
      </c>
      <c r="G510" s="25">
        <v>711</v>
      </c>
      <c r="H510" s="25">
        <v>722</v>
      </c>
      <c r="I510" s="88">
        <f t="shared" si="197"/>
        <v>2035</v>
      </c>
      <c r="J510" s="25">
        <v>686</v>
      </c>
      <c r="K510" s="25">
        <v>519</v>
      </c>
      <c r="L510" s="25">
        <v>531</v>
      </c>
      <c r="M510" s="88">
        <f t="shared" si="198"/>
        <v>1736</v>
      </c>
      <c r="N510" s="25">
        <v>489</v>
      </c>
      <c r="O510" s="25">
        <v>389</v>
      </c>
      <c r="P510" s="25">
        <v>275</v>
      </c>
      <c r="Q510" s="88">
        <f t="shared" si="194"/>
        <v>1153</v>
      </c>
      <c r="R510" s="59">
        <f t="shared" si="195"/>
        <v>5797</v>
      </c>
    </row>
    <row r="511" spans="1:21" ht="16.5" customHeight="1" thickBot="1" x14ac:dyDescent="0.35">
      <c r="A511" s="80"/>
      <c r="B511" s="81"/>
      <c r="C511" s="81"/>
      <c r="D511" s="81"/>
      <c r="E511" s="64"/>
      <c r="F511" s="81"/>
      <c r="G511" s="81"/>
      <c r="H511" s="81"/>
      <c r="I511" s="64"/>
      <c r="J511" s="81"/>
      <c r="K511" s="81"/>
      <c r="L511" s="81"/>
      <c r="M511" s="64"/>
      <c r="N511" s="81"/>
      <c r="O511" s="81"/>
      <c r="P511" s="81"/>
      <c r="Q511" s="64"/>
      <c r="R511" s="64" t="s">
        <v>7</v>
      </c>
    </row>
    <row r="512" spans="1:21" ht="15.75" customHeight="1" x14ac:dyDescent="0.3">
      <c r="A512" s="82" t="s">
        <v>38</v>
      </c>
      <c r="B512" s="83">
        <f>SUM(B507:B510)</f>
        <v>21706</v>
      </c>
      <c r="C512" s="83">
        <f>SUM(C507:C510)</f>
        <v>30213</v>
      </c>
      <c r="D512" s="83">
        <f>SUM(D507:D510)</f>
        <v>47099</v>
      </c>
      <c r="E512" s="65">
        <f>SUM(B512:D512)</f>
        <v>99018</v>
      </c>
      <c r="F512" s="83">
        <f>SUM(F507:F510)</f>
        <v>68590</v>
      </c>
      <c r="G512" s="83">
        <f>SUM(G507:G510)</f>
        <v>80057</v>
      </c>
      <c r="H512" s="83">
        <f>SUM(H507:H510)</f>
        <v>90280</v>
      </c>
      <c r="I512" s="65">
        <f>SUM(F512:H512)</f>
        <v>238927</v>
      </c>
      <c r="J512" s="83">
        <f>SUM(J507:J510)</f>
        <v>79445</v>
      </c>
      <c r="K512" s="83">
        <f>SUM(K507:K510)</f>
        <v>58119</v>
      </c>
      <c r="L512" s="83">
        <f>SUM(L507:L510)</f>
        <v>43881</v>
      </c>
      <c r="M512" s="65">
        <f>SUM(J512:L512)</f>
        <v>181445</v>
      </c>
      <c r="N512" s="83">
        <f>SUM(N507:N510)</f>
        <v>36643</v>
      </c>
      <c r="O512" s="83">
        <f>SUM(O507:O510)</f>
        <v>20443</v>
      </c>
      <c r="P512" s="83">
        <f>SUM(P507:P510)</f>
        <v>20347</v>
      </c>
      <c r="Q512" s="65">
        <f>SUM(N512:P512)</f>
        <v>77433</v>
      </c>
      <c r="R512" s="65">
        <f>+E512+I512+M512+Q512</f>
        <v>596823</v>
      </c>
    </row>
    <row r="513" spans="1:20" ht="15.75" customHeight="1" x14ac:dyDescent="0.3">
      <c r="A513" s="85" t="s">
        <v>39</v>
      </c>
      <c r="B513" s="1">
        <f>(B512/B10)/1.983</f>
        <v>353.09810811250469</v>
      </c>
      <c r="C513" s="1">
        <f>(C512/C10)/1.983</f>
        <v>544.14307326561482</v>
      </c>
      <c r="D513" s="1">
        <f>(D512/D10)/1.983</f>
        <v>766.17376734501318</v>
      </c>
      <c r="E513" s="59" t="s">
        <v>7</v>
      </c>
      <c r="F513" s="1">
        <f>(F512/F10)/1.983</f>
        <v>1152.9668851907884</v>
      </c>
      <c r="G513" s="1">
        <f>(G512/G10)/1.983</f>
        <v>1302.311583947424</v>
      </c>
      <c r="H513" s="1">
        <f>(H512/H10)/1.983</f>
        <v>1517.565977475206</v>
      </c>
      <c r="I513" s="59" t="s">
        <v>7</v>
      </c>
      <c r="J513" s="1">
        <f>(J512/J10)/1.983</f>
        <v>1292.3559936882857</v>
      </c>
      <c r="K513" s="1">
        <f>(K512/K10)/1.983</f>
        <v>945.43946122687998</v>
      </c>
      <c r="L513" s="1">
        <f>(L512/L10)/1.983</f>
        <v>737.61976802824006</v>
      </c>
      <c r="M513" s="59" t="s">
        <v>7</v>
      </c>
      <c r="N513" s="1">
        <f>(N512/N10)/1.983</f>
        <v>596.08283311372463</v>
      </c>
      <c r="O513" s="1">
        <f>(O512/O10)/1.983</f>
        <v>343.63758614893254</v>
      </c>
      <c r="P513" s="1">
        <f>(P512/P10)/1.983</f>
        <v>330.99084150765378</v>
      </c>
      <c r="Q513" s="59" t="s">
        <v>7</v>
      </c>
      <c r="R513" s="59" t="s">
        <v>7</v>
      </c>
    </row>
    <row r="514" spans="1:20" ht="15.75" customHeight="1" x14ac:dyDescent="0.3">
      <c r="A514" s="85" t="s">
        <v>472</v>
      </c>
      <c r="B514" s="1">
        <f>B512+B565</f>
        <v>37718</v>
      </c>
      <c r="C514" s="1">
        <f>C512+C565</f>
        <v>53333</v>
      </c>
      <c r="D514" s="1">
        <f>D512+D565</f>
        <v>81979</v>
      </c>
      <c r="E514" s="59">
        <f>SUM(B514:D514)</f>
        <v>173030</v>
      </c>
      <c r="F514" s="1">
        <f>F512+F565</f>
        <v>113132</v>
      </c>
      <c r="G514" s="1">
        <f>G512+G565</f>
        <v>120359</v>
      </c>
      <c r="H514" s="1">
        <f>H512+H565</f>
        <v>141195</v>
      </c>
      <c r="I514" s="59">
        <f>SUM(F514:H514)</f>
        <v>374686</v>
      </c>
      <c r="J514" s="1">
        <f>J512+J565</f>
        <v>134221</v>
      </c>
      <c r="K514" s="1">
        <f>K512+K565</f>
        <v>101608</v>
      </c>
      <c r="L514" s="1">
        <f>L512+L565</f>
        <v>70344</v>
      </c>
      <c r="M514" s="59">
        <f>SUM(J514:L514)</f>
        <v>306173</v>
      </c>
      <c r="N514" s="1">
        <f>N512+N565</f>
        <v>48390</v>
      </c>
      <c r="O514" s="1">
        <f>O512+O565</f>
        <v>24313</v>
      </c>
      <c r="P514" s="1">
        <f>P512+P565</f>
        <v>31426</v>
      </c>
      <c r="Q514" s="59">
        <f>SUM(N514:P514)</f>
        <v>104129</v>
      </c>
      <c r="R514" s="59">
        <f>+E514+I514+M514+Q514</f>
        <v>958018</v>
      </c>
    </row>
    <row r="515" spans="1:20" s="50" customFormat="1" ht="16.5" customHeight="1" thickBot="1" x14ac:dyDescent="0.35">
      <c r="A515" s="139" t="s">
        <v>473</v>
      </c>
      <c r="B515" s="140">
        <f>(B514/B10)/1.983</f>
        <v>613.5701852845965</v>
      </c>
      <c r="C515" s="140">
        <f>(C514/C10)/1.983</f>
        <v>960.53958648512355</v>
      </c>
      <c r="D515" s="140">
        <f>(D514/D10)/1.983</f>
        <v>1333.5773428985083</v>
      </c>
      <c r="E515" s="141" t="s">
        <v>7</v>
      </c>
      <c r="F515" s="140">
        <f>(F514/F10)/1.983</f>
        <v>1901.6977643301393</v>
      </c>
      <c r="G515" s="140">
        <f>(G514/G10)/1.983</f>
        <v>1957.9164836594928</v>
      </c>
      <c r="H515" s="140">
        <f>(H514/H10)/1.983</f>
        <v>2373.4241048915783</v>
      </c>
      <c r="I515" s="141" t="s">
        <v>7</v>
      </c>
      <c r="J515" s="140">
        <f>(J514/J10)/1.983</f>
        <v>2183.4138564898412</v>
      </c>
      <c r="K515" s="140">
        <f>(K514/K10)/1.983</f>
        <v>1652.8882598864541</v>
      </c>
      <c r="L515" s="140">
        <f>(L514/L10)/1.983</f>
        <v>1182.4508320726172</v>
      </c>
      <c r="M515" s="141" t="s">
        <v>7</v>
      </c>
      <c r="N515" s="140">
        <f>(N514/N10)/1.983</f>
        <v>787.1748572544044</v>
      </c>
      <c r="O515" s="140">
        <f>(O514/O10)/1.983</f>
        <v>408.69053622457551</v>
      </c>
      <c r="P515" s="140">
        <f>(P514/P10)/1.983</f>
        <v>511.21630634587541</v>
      </c>
      <c r="Q515" s="141" t="s">
        <v>7</v>
      </c>
      <c r="R515" s="141" t="s">
        <v>7</v>
      </c>
    </row>
    <row r="516" spans="1:20" ht="15.75" customHeight="1" x14ac:dyDescent="0.3">
      <c r="A516" s="142" t="s">
        <v>474</v>
      </c>
      <c r="B516" s="143">
        <f>B$517+(SUMIF($T$330:$T$491,"FLG",B$337:B$509)/B10/1.98)+(SUMIF($T$330:$T$491,"FCA",B$337:B$509)/B10/1.98)+(SUMIF($T$330:$T$491,"NSC",B$337:B$509)/B10/1.98)</f>
        <v>298.23682138844896</v>
      </c>
      <c r="C516" s="143">
        <f>C$517+(SUMIF($T$330:$T$491,"FLG",C$337:C$509)/C10/1.98)+(SUMIF($T$330:$T$491,"FCA",C$337:C$509)/C10/1.98)+(SUMIF($T$330:$T$491,"NSC",C$337:C$509)/C10/1.98)</f>
        <v>586.36404568704108</v>
      </c>
      <c r="D516" s="143">
        <f>D$517+(SUMIF($T$330:$T$491,"FLG",D$337:D$509)/D10/1.98)+(SUMIF($T$330:$T$491,"FCA",D$337:D$509)/D10/1.98)+(SUMIF($T$330:$T$491,"NSC",D$337:D$509)/D10/1.98)</f>
        <v>820.20579125893653</v>
      </c>
      <c r="E516" s="144"/>
      <c r="F516" s="143">
        <f>F$517+(SUMIF($T$330:$T$491,"FLG",F$337:F$509)/F10/1.98)+(SUMIF($T$330:$T$491,"FCA",F$337:F$509)/F10/1.98)+(SUMIF($T$330:$T$491,"NSC",F$337:F$509)/F10/1.98)</f>
        <v>1214.7914851999572</v>
      </c>
      <c r="G516" s="143">
        <f>G$517+(SUMIF($T$330:$T$491,"FLG",G$337:G$509)/G10/1.98)+(SUMIF($T$330:$T$491,"FCA",G$337:G$509)/G10/1.98)+(SUMIF($T$330:$T$491,"NSC",G$337:G$509)/G10/1.98)</f>
        <v>1145.6831010805925</v>
      </c>
      <c r="H516" s="143">
        <f>H$517+(SUMIF($T$330:$T$491,"FLG",H$337:H$509)/H10/1.98)+(SUMIF($T$330:$T$491,"FCA",H$337:H$509)/H10/1.98)+(SUMIF($T$330:$T$491,"NSC",H$337:H$509)/H10/1.98)</f>
        <v>1503.6359051941502</v>
      </c>
      <c r="I516" s="52"/>
      <c r="J516" s="143">
        <f>J$517+(SUMIF($T$330:$T$491,"FLG",J$337:J$509)/J10/1.98)+(SUMIF($T$330:$T$491,"FCA",J$337:J$509)/J10/1.98)+(SUMIF($T$330:$T$491,"NSC",J$337:J$509)/J10/1.98)</f>
        <v>1238.1904792890102</v>
      </c>
      <c r="K516" s="143">
        <f>K$517+(SUMIF($T$330:$T$491,"FLG",K$337:K$509)/K10/1.98)+(SUMIF($T$330:$T$491,"FCA",K$337:K$509)/K10/1.98)+(SUMIF($T$330:$T$491,"NSC",K$337:K$509)/K10/1.98)</f>
        <v>1012.4504278547515</v>
      </c>
      <c r="L516" s="143">
        <f>L$517+(SUMIF($T$330:$T$491,"FLG",L$337:L$509)/L10/1.98)+(SUMIF($T$330:$T$491,"FCA",L$337:L$509)/L10/1.98)+(SUMIF($T$330:$T$491,"NSC",L$337:L$509)/L10/1.98)</f>
        <v>709.22500343831655</v>
      </c>
      <c r="M516" s="52"/>
      <c r="N516" s="143">
        <f>N$517+(SUMIF($T$330:$T$491,"FLG",N$337:N$509)/N10/1.98)+(SUMIF($T$330:$T$491,"FCA",N$337:N$509)/N10/1.98)+(SUMIF($T$330:$T$491,"NSC",N$337:N$509)/N10/1.98)</f>
        <v>377.26015708300611</v>
      </c>
      <c r="O516" s="143">
        <f>O$517+(SUMIF($T$330:$T$491,"FLG",O$337:O$509)/O10/1.98)+(SUMIF($T$330:$T$491,"FCA",O$337:O$509)/O10/1.98)+(SUMIF($T$330:$T$491,"NSC",O$337:O$509)/O10/1.98)</f>
        <v>229.32904435173725</v>
      </c>
      <c r="P516" s="143">
        <f>P$517+(SUMIF($T$330:$T$491,"FLG",P$337:P$509)/P10/1.98)+(SUMIF($T$330:$T$491,"FCA",P$337:P$509)/P10/1.98)+(SUMIF($T$330:$T$491,"NSC",P$337:P$509)/P10/1.98)</f>
        <v>279.00356845503495</v>
      </c>
      <c r="Q516" s="52"/>
      <c r="R516" s="52"/>
    </row>
    <row r="517" spans="1:20" ht="15.75" customHeight="1" x14ac:dyDescent="0.3">
      <c r="A517" s="142" t="s">
        <v>475</v>
      </c>
      <c r="B517" s="143">
        <f>B$518+(SUMIF($T$330:$T$491,"FCI",B$337:B$509)/B10/1.98)+(SUMIF($T$330:$T$491,"FCC",B$337:B$509)/B10/1.98)</f>
        <v>298.23682138844896</v>
      </c>
      <c r="C517" s="143">
        <f>C$518+(SUMIF($T$330:$T$491,"FCI",C$337:C$509)/C10/1.98)+(SUMIF($T$330:$T$491,"FCC",C$337:C$509)/C10/1.98)</f>
        <v>586.36404568704108</v>
      </c>
      <c r="D517" s="143">
        <f>D$518+(SUMIF($T$330:$T$491,"FCI",D$337:D$509)/D10/1.98)+(SUMIF($T$330:$T$491,"FCC",D$337:D$509)/D10/1.98)</f>
        <v>820.20579125893653</v>
      </c>
      <c r="E517" s="144"/>
      <c r="F517" s="143">
        <f>F$518+(SUMIF($T$330:$T$491,"FCI",F$337:F$509)/F10/1.98)+(SUMIF($T$330:$T$491,"FCC",F$337:F$509)/F10/1.98)</f>
        <v>1214.7914851999572</v>
      </c>
      <c r="G517" s="143">
        <f>G$518+(SUMIF($T$330:$T$491,"FCI",G$337:G$509)/G10/1.98)+(SUMIF($T$330:$T$491,"FCC",G$337:G$509)/G10/1.98)</f>
        <v>1145.6831010805925</v>
      </c>
      <c r="H517" s="143">
        <f>H$518+(SUMIF($T$330:$T$491,"FCI",H$337:H$509)/H10/1.98)+(SUMIF($T$330:$T$491,"FCC",H$337:H$509)/H10/1.98)</f>
        <v>1503.6359051941502</v>
      </c>
      <c r="I517" s="52"/>
      <c r="J517" s="143">
        <f>J$518+(SUMIF($T$330:$T$491,"FCI",J$337:J$509)/J10/1.98)+(SUMIF($T$330:$T$491,"FCC",J$337:J$509)/J10/1.98)</f>
        <v>1238.1904792890102</v>
      </c>
      <c r="K517" s="143">
        <f>K$518+(SUMIF($T$330:$T$491,"FCI",K$337:K$509)/K10/1.98)+(SUMIF($T$330:$T$491,"FCC",K$337:K$509)/K10/1.98)</f>
        <v>1012.4504278547515</v>
      </c>
      <c r="L517" s="143">
        <f>L$518+(SUMIF($T$330:$T$491,"FCI",L$337:L$509)/L10/1.98)+(SUMIF($T$330:$T$491,"FCC",L$337:L$509)/L10/1.98)</f>
        <v>709.22500343831655</v>
      </c>
      <c r="M517" s="52"/>
      <c r="N517" s="143">
        <f>N$518+(SUMIF($T$330:$T$491,"FCI",N$337:N$509)/N10/1.98)+(SUMIF($T$330:$T$491,"FCC",N$337:N$509)/N10/1.98)</f>
        <v>377.26015708300611</v>
      </c>
      <c r="O517" s="143">
        <f>O$518+(SUMIF($T$330:$T$491,"FCI",O$337:O$509)/O10/1.98)+(SUMIF($T$330:$T$491,"FCC",O$337:O$509)/O10/1.98)</f>
        <v>229.32904435173725</v>
      </c>
      <c r="P517" s="143">
        <f>P$518+(SUMIF($T$330:$T$491,"FCI",P$337:P$509)/P10/1.98)+(SUMIF($T$330:$T$491,"FCC",P$337:P$509)/P10/1.98)</f>
        <v>279.00356845503495</v>
      </c>
      <c r="Q517" s="52"/>
      <c r="R517" s="52"/>
    </row>
    <row r="518" spans="1:20" ht="15.75" customHeight="1" x14ac:dyDescent="0.3">
      <c r="A518" s="142" t="s">
        <v>476</v>
      </c>
      <c r="B518" s="143">
        <f>B$519+(SUMIF($T$330:$T$491,"PIL",B$337:B$509)/B10/1.98)+(SUMIF($T$330:$T$491,"KLK",B$337:B$509)/B10/1.98)</f>
        <v>298.23682138844896</v>
      </c>
      <c r="C518" s="143">
        <f>C$519+(SUMIF($T$330:$T$491,"PIL",C$337:C$509)/C10/1.98)+(SUMIF($T$330:$T$491,"KLK",C$337:C$509)/C10/1.98)</f>
        <v>586.36404568704108</v>
      </c>
      <c r="D518" s="143">
        <f>D$519+(SUMIF($T$330:$T$491,"PIL",D$337:D$509)/D10/1.98)+(SUMIF($T$330:$T$491,"KLK",D$337:D$509)/D10/1.98)</f>
        <v>820.20579125893653</v>
      </c>
      <c r="E518" s="144"/>
      <c r="F518" s="143">
        <f>F$519+(SUMIF($T$330:$T$491,"PIL",F$337:F$509)/F10/1.98)+(SUMIF($T$330:$T$491,"KLK",F$337:F$509)/F10/1.98)</f>
        <v>1214.7914851999572</v>
      </c>
      <c r="G518" s="143">
        <f>G$519+(SUMIF($T$330:$T$491,"PIL",G$337:G$509)/G10/1.98)+(SUMIF($T$330:$T$491,"KLK",G$337:G$509)/G10/1.98)</f>
        <v>1145.6831010805925</v>
      </c>
      <c r="H518" s="143">
        <f>H$519+(SUMIF($T$330:$T$491,"PIL",H$337:H$509)/H10/1.98)+(SUMIF($T$330:$T$491,"KLK",H$337:H$509)/H10/1.98)</f>
        <v>1503.6359051941502</v>
      </c>
      <c r="I518" s="52"/>
      <c r="J518" s="143">
        <f>J$519+(SUMIF($T$330:$T$491,"PIL",J$337:J$509)/J10/1.98)+(SUMIF($T$330:$T$491,"KLK",J$337:J$509)/J10/1.98)</f>
        <v>1238.1904792890102</v>
      </c>
      <c r="K518" s="143">
        <f>K$519+(SUMIF($T$330:$T$491,"PIL",K$337:K$509)/K10/1.98)+(SUMIF($T$330:$T$491,"KLK",K$337:K$509)/K10/1.98)</f>
        <v>1012.4504278547515</v>
      </c>
      <c r="L518" s="143">
        <f>L$519+(SUMIF($T$330:$T$491,"PIL",L$337:L$509)/L10/1.98)+(SUMIF($T$330:$T$491,"KLK",L$337:L$509)/L10/1.98)</f>
        <v>709.22500343831655</v>
      </c>
      <c r="M518" s="52"/>
      <c r="N518" s="143">
        <f>N$519+(SUMIF($T$330:$T$491,"PIL",N$337:N$509)/N10/1.98)+(SUMIF($T$330:$T$491,"KLK",N$337:N$509)/N10/1.98)</f>
        <v>377.26015708300611</v>
      </c>
      <c r="O518" s="143">
        <f>O$519+(SUMIF($T$330:$T$491,"PIL",O$337:O$509)/O10/1.98)+(SUMIF($T$330:$T$491,"KLK",O$337:O$509)/O10/1.98)</f>
        <v>229.32904435173725</v>
      </c>
      <c r="P518" s="143">
        <f>P$519+(SUMIF($T$330:$T$491,"PIL",P$337:P$509)/P10/1.98)+(SUMIF($T$330:$T$491,"KLK",P$337:P$509)/P10/1.98)</f>
        <v>279.00356845503495</v>
      </c>
      <c r="Q518" s="52"/>
      <c r="R518" s="52"/>
    </row>
    <row r="519" spans="1:20" ht="15.75" customHeight="1" x14ac:dyDescent="0.3">
      <c r="A519" s="142" t="s">
        <v>477</v>
      </c>
      <c r="B519" s="143">
        <f>B$520+(SUMIF($T$330:$T$491,"CGE",B$337:B$509)/B10/1.98)</f>
        <v>298.23682138844896</v>
      </c>
      <c r="C519" s="143">
        <f>C$520+(SUMIF($T$330:$T$491,"CGE",C$337:C$509)/C10/1.98)</f>
        <v>586.36404568704108</v>
      </c>
      <c r="D519" s="143">
        <f>D$520+(SUMIF($T$330:$T$491,"CGE",D$337:D$509)/D10/1.98)</f>
        <v>820.20579125893653</v>
      </c>
      <c r="E519" s="144"/>
      <c r="F519" s="143">
        <f>F$520+(SUMIF($T$330:$T$491,"CGE",F$337:F$509)/F10/1.98)</f>
        <v>1214.7914851999572</v>
      </c>
      <c r="G519" s="143">
        <f>G$520+(SUMIF($T$330:$T$491,"CGE",G$337:G$509)/G10/1.98)</f>
        <v>1145.6831010805925</v>
      </c>
      <c r="H519" s="143">
        <f>H$520+(SUMIF($T$330:$T$491,"CGE",H$337:H$509)/H10/1.98)</f>
        <v>1503.1813597396047</v>
      </c>
      <c r="I519" s="52"/>
      <c r="J519" s="143">
        <f>J$520+(SUMIF($T$330:$T$491,"CGE",J$337:J$509)/J10/1.98)</f>
        <v>1238.1904792890102</v>
      </c>
      <c r="K519" s="143">
        <f>K$520+(SUMIF($T$330:$T$491,"CGE",K$337:K$509)/K10/1.98)</f>
        <v>987.67036920372516</v>
      </c>
      <c r="L519" s="143">
        <f>L$520+(SUMIF($T$330:$T$491,"CGE",L$337:L$509)/L10/1.98)</f>
        <v>693.58527279858595</v>
      </c>
      <c r="M519" s="52"/>
      <c r="N519" s="143">
        <f>N$520+(SUMIF($T$330:$T$491,"CGE",N$337:N$509)/N10/1.98)</f>
        <v>377.26015708300611</v>
      </c>
      <c r="O519" s="143">
        <f>O$520+(SUMIF($T$330:$T$491,"CGE",O$337:O$509)/O10/1.98)</f>
        <v>229.32904435173725</v>
      </c>
      <c r="P519" s="143">
        <f>P$520+(SUMIF($T$330:$T$491,"CGE",P$337:P$509)/P10/1.98)</f>
        <v>279.00356845503495</v>
      </c>
      <c r="Q519" s="52"/>
      <c r="R519" s="52"/>
    </row>
    <row r="520" spans="1:20" ht="15.75" customHeight="1" x14ac:dyDescent="0.3">
      <c r="A520" s="142" t="s">
        <v>478</v>
      </c>
      <c r="B520" s="143">
        <f>B$521+(SUMIF($T$330:$T$491,"SRO",B$337:B$509)/B10/1.98)</f>
        <v>298.23682138844896</v>
      </c>
      <c r="C520" s="143">
        <f>C$521+(SUMIF($T$330:$T$491,"SRO",C$337:C$509)/C10/1.98)</f>
        <v>580.95279027578567</v>
      </c>
      <c r="D520" s="143">
        <f>D$521+(SUMIF($T$330:$T$491,"SRO",D$337:D$509)/D10/1.98)</f>
        <v>807.17222983827833</v>
      </c>
      <c r="E520" s="144"/>
      <c r="F520" s="143">
        <f>F$521+(SUMIF($T$330:$T$491,"SRO",F$337:F$509)/F10/1.98)</f>
        <v>1203.0069734154454</v>
      </c>
      <c r="G520" s="143">
        <f>G$521+(SUMIF($T$330:$T$491,"SRO",G$337:G$509)/G10/1.98)</f>
        <v>1132.6495396599344</v>
      </c>
      <c r="H520" s="143">
        <f>H$521+(SUMIF($T$330:$T$491,"SRO",H$337:H$509)/H10/1.98)</f>
        <v>1489.7133462715913</v>
      </c>
      <c r="I520" s="52"/>
      <c r="J520" s="143">
        <f>J$521+(SUMIF($T$330:$T$491,"SRO",J$337:J$509)/J10/1.98)</f>
        <v>1225.1569178683521</v>
      </c>
      <c r="K520" s="143">
        <f>K$521+(SUMIF($T$330:$T$491,"SRO",K$337:K$509)/K10/1.98)</f>
        <v>987.67036920372516</v>
      </c>
      <c r="L520" s="143">
        <f>L$521+(SUMIF($T$330:$T$491,"SRO",L$337:L$509)/L10/1.98)</f>
        <v>693.58527279858595</v>
      </c>
      <c r="M520" s="52"/>
      <c r="N520" s="143">
        <f>N$521+(SUMIF($T$330:$T$491,"SRO",N$337:N$509)/N10/1.98)</f>
        <v>377.26015708300611</v>
      </c>
      <c r="O520" s="143">
        <f>O$521+(SUMIF($T$330:$T$491,"SRO",O$337:O$509)/O10/1.98)</f>
        <v>229.32904435173725</v>
      </c>
      <c r="P520" s="143">
        <f>P$521+(SUMIF($T$330:$T$491,"SRO",P$337:P$509)/P10/1.98)</f>
        <v>279.00356845503495</v>
      </c>
      <c r="Q520" s="52"/>
      <c r="R520" s="52"/>
    </row>
    <row r="521" spans="1:20" ht="15.75" customHeight="1" x14ac:dyDescent="0.3">
      <c r="A521" s="142" t="s">
        <v>479</v>
      </c>
      <c r="B521" s="143">
        <f>B$565/B10/1.983</f>
        <v>260.47207717209182</v>
      </c>
      <c r="C521" s="143">
        <f>C$565/C10/1.983</f>
        <v>416.39651321950862</v>
      </c>
      <c r="D521" s="143">
        <f>D$565/D10/1.983</f>
        <v>567.40357555349499</v>
      </c>
      <c r="E521" s="98"/>
      <c r="F521" s="143">
        <f>F$565/F10/1.983</f>
        <v>748.73087913935115</v>
      </c>
      <c r="G521" s="143">
        <f>G$565/G10/1.983</f>
        <v>655.60489971206869</v>
      </c>
      <c r="H521" s="143">
        <f>H$565/H10/1.983</f>
        <v>855.85812741637244</v>
      </c>
      <c r="I521" s="1"/>
      <c r="J521" s="143">
        <f>J$565/J10/1.983</f>
        <v>891.05786280155507</v>
      </c>
      <c r="K521" s="143">
        <f>K$565/K10/1.983</f>
        <v>707.44879865957398</v>
      </c>
      <c r="L521" s="143">
        <f>L$565/L10/1.983</f>
        <v>444.83106404437717</v>
      </c>
      <c r="N521" s="143">
        <f>N$565/N10/1.983</f>
        <v>191.09202414067963</v>
      </c>
      <c r="O521" s="143">
        <f>O$565/O10/1.983</f>
        <v>65.052950075642968</v>
      </c>
      <c r="P521" s="143">
        <f>P$565/P10/1.983</f>
        <v>180.22546483822165</v>
      </c>
      <c r="R521" s="52"/>
    </row>
    <row r="522" spans="1:20" ht="15.75" customHeight="1" x14ac:dyDescent="0.3">
      <c r="A522" s="142"/>
      <c r="B522" s="143"/>
      <c r="C522" s="143"/>
      <c r="D522" s="143"/>
      <c r="E522" s="98"/>
      <c r="F522" s="143"/>
      <c r="G522" s="143"/>
      <c r="H522" s="143"/>
      <c r="I522" s="1"/>
      <c r="J522" s="143"/>
      <c r="K522" s="143"/>
      <c r="L522" s="143"/>
      <c r="N522" s="143"/>
      <c r="O522" s="143"/>
      <c r="P522" s="143"/>
      <c r="R522" s="52"/>
    </row>
    <row r="523" spans="1:20" ht="15.75" customHeight="1" thickBot="1" x14ac:dyDescent="0.35">
      <c r="A523" s="30"/>
      <c r="B523" s="1"/>
      <c r="C523" s="1"/>
      <c r="D523" s="1"/>
      <c r="E523" s="1"/>
      <c r="F523" s="1"/>
      <c r="G523" s="1"/>
      <c r="H523" s="1"/>
      <c r="I523" s="1"/>
      <c r="J523" s="1"/>
      <c r="K523" s="1"/>
      <c r="L523" s="1"/>
      <c r="M523" s="1"/>
      <c r="N523" s="1"/>
      <c r="O523" s="1"/>
      <c r="P523" s="1"/>
      <c r="Q523" s="1"/>
      <c r="R523" s="28"/>
    </row>
    <row r="524" spans="1:20" ht="16.5" customHeight="1" thickBot="1" x14ac:dyDescent="0.35">
      <c r="A524" s="31" t="s">
        <v>480</v>
      </c>
      <c r="B524" s="32" t="s">
        <v>36</v>
      </c>
      <c r="C524" s="33" t="s">
        <v>9</v>
      </c>
      <c r="D524" s="33" t="s">
        <v>10</v>
      </c>
      <c r="E524" s="12" t="s">
        <v>11</v>
      </c>
      <c r="F524" s="33" t="s">
        <v>12</v>
      </c>
      <c r="G524" s="33" t="s">
        <v>13</v>
      </c>
      <c r="H524" s="33" t="s">
        <v>14</v>
      </c>
      <c r="I524" s="34" t="s">
        <v>15</v>
      </c>
      <c r="J524" s="33" t="s">
        <v>16</v>
      </c>
      <c r="K524" s="33" t="s">
        <v>17</v>
      </c>
      <c r="L524" s="33" t="s">
        <v>18</v>
      </c>
      <c r="M524" s="34" t="s">
        <v>19</v>
      </c>
      <c r="N524" s="33" t="s">
        <v>20</v>
      </c>
      <c r="O524" s="33" t="s">
        <v>21</v>
      </c>
      <c r="P524" s="33" t="s">
        <v>22</v>
      </c>
      <c r="Q524" s="34" t="s">
        <v>23</v>
      </c>
      <c r="R524" s="35" t="s">
        <v>24</v>
      </c>
    </row>
    <row r="525" spans="1:20" ht="16.5" customHeight="1" thickBot="1" x14ac:dyDescent="0.35">
      <c r="A525" s="64"/>
      <c r="B525" s="81"/>
      <c r="C525" s="81"/>
      <c r="D525" s="81"/>
      <c r="E525" s="72"/>
      <c r="F525" s="81"/>
      <c r="G525" s="81"/>
      <c r="H525" s="81"/>
      <c r="I525" s="89"/>
      <c r="J525" s="81"/>
      <c r="K525" s="81"/>
      <c r="L525" s="81"/>
      <c r="M525" s="89"/>
      <c r="N525" s="81"/>
      <c r="O525" s="81"/>
      <c r="P525" s="81"/>
      <c r="Q525" s="89"/>
      <c r="R525" s="117"/>
    </row>
    <row r="526" spans="1:20" ht="15.75" customHeight="1" x14ac:dyDescent="0.3">
      <c r="A526" s="17" t="s">
        <v>45</v>
      </c>
      <c r="B526" s="1" t="s">
        <v>7</v>
      </c>
      <c r="C526" s="1" t="s">
        <v>7</v>
      </c>
      <c r="D526" s="1" t="s">
        <v>7</v>
      </c>
      <c r="E526" s="59" t="s">
        <v>7</v>
      </c>
      <c r="F526" s="1"/>
      <c r="G526" s="1"/>
      <c r="H526" s="1"/>
      <c r="I526" s="59" t="s">
        <v>7</v>
      </c>
      <c r="J526" s="1" t="s">
        <v>7</v>
      </c>
      <c r="K526" s="1" t="s">
        <v>7</v>
      </c>
      <c r="L526" s="1" t="s">
        <v>7</v>
      </c>
      <c r="M526" s="59" t="s">
        <v>7</v>
      </c>
      <c r="N526" s="1" t="s">
        <v>7</v>
      </c>
      <c r="O526" s="1" t="s">
        <v>7</v>
      </c>
      <c r="P526" s="1" t="s">
        <v>7</v>
      </c>
      <c r="Q526" s="59" t="s">
        <v>7</v>
      </c>
      <c r="R526" s="59" t="s">
        <v>7</v>
      </c>
    </row>
    <row r="527" spans="1:20" ht="15.75" customHeight="1" x14ac:dyDescent="0.3">
      <c r="A527" s="17" t="s">
        <v>46</v>
      </c>
      <c r="B527" s="1"/>
      <c r="C527" s="1"/>
      <c r="D527" s="1"/>
      <c r="E527" s="59" t="s">
        <v>7</v>
      </c>
      <c r="F527" s="1"/>
      <c r="G527" s="1"/>
      <c r="H527" s="1"/>
      <c r="I527" s="59" t="s">
        <v>7</v>
      </c>
      <c r="J527" s="1"/>
      <c r="K527" s="1"/>
      <c r="L527" s="1"/>
      <c r="M527" s="59" t="s">
        <v>7</v>
      </c>
      <c r="N527" s="1"/>
      <c r="O527" s="1"/>
      <c r="P527" s="1"/>
      <c r="Q527" s="59" t="s">
        <v>7</v>
      </c>
      <c r="R527" s="59" t="s">
        <v>7</v>
      </c>
    </row>
    <row r="528" spans="1:20" ht="15.75" customHeight="1" x14ac:dyDescent="0.3">
      <c r="A528" s="74" t="s">
        <v>481</v>
      </c>
      <c r="B528" s="1"/>
      <c r="C528" s="1"/>
      <c r="D528" s="1"/>
      <c r="E528" s="59">
        <f t="shared" ref="E528:E532" si="199">SUM(B528:D528)</f>
        <v>0</v>
      </c>
      <c r="F528" s="1">
        <v>8</v>
      </c>
      <c r="G528" s="1">
        <v>8</v>
      </c>
      <c r="H528" s="1">
        <v>10</v>
      </c>
      <c r="I528" s="59">
        <f t="shared" ref="I528:I532" si="200">SUM(F528:H528)</f>
        <v>26</v>
      </c>
      <c r="J528" s="1">
        <v>10</v>
      </c>
      <c r="K528" s="1">
        <v>10</v>
      </c>
      <c r="L528" s="1">
        <v>3</v>
      </c>
      <c r="M528" s="59">
        <f t="shared" ref="M528:M532" si="201">SUM(J528:L528)</f>
        <v>23</v>
      </c>
      <c r="N528" s="1">
        <v>2</v>
      </c>
      <c r="O528" s="1"/>
      <c r="P528" s="1"/>
      <c r="Q528" s="59">
        <f t="shared" ref="Q528:Q532" si="202">SUM(N528:P528)</f>
        <v>2</v>
      </c>
      <c r="R528" s="59">
        <f t="shared" ref="R528:R532" si="203">+E528+I528+M528+Q528</f>
        <v>51</v>
      </c>
      <c r="T528" s="4" t="s">
        <v>366</v>
      </c>
    </row>
    <row r="529" spans="1:20" ht="15.75" customHeight="1" x14ac:dyDescent="0.3">
      <c r="A529" s="74" t="s">
        <v>482</v>
      </c>
      <c r="B529" s="1"/>
      <c r="C529" s="1"/>
      <c r="D529" s="1"/>
      <c r="E529" s="59">
        <f>SUM(B529:D529)</f>
        <v>0</v>
      </c>
      <c r="F529" s="1"/>
      <c r="G529" s="1"/>
      <c r="H529" s="1"/>
      <c r="I529" s="59">
        <f>SUM(F529:H529)</f>
        <v>0</v>
      </c>
      <c r="J529" s="1"/>
      <c r="K529" s="1"/>
      <c r="L529" s="1"/>
      <c r="M529" s="59">
        <f t="shared" si="201"/>
        <v>0</v>
      </c>
      <c r="N529" s="1"/>
      <c r="O529" s="1"/>
      <c r="P529" s="1"/>
      <c r="Q529" s="59">
        <f t="shared" si="202"/>
        <v>0</v>
      </c>
      <c r="R529" s="59">
        <f t="shared" si="203"/>
        <v>0</v>
      </c>
      <c r="T529" s="4" t="s">
        <v>366</v>
      </c>
    </row>
    <row r="530" spans="1:20" ht="15.75" customHeight="1" x14ac:dyDescent="0.3">
      <c r="A530" s="74" t="s">
        <v>483</v>
      </c>
      <c r="B530" s="1"/>
      <c r="C530" s="1"/>
      <c r="D530" s="1"/>
      <c r="E530" s="59">
        <f t="shared" si="199"/>
        <v>0</v>
      </c>
      <c r="F530" s="1"/>
      <c r="G530" s="1"/>
      <c r="H530" s="1"/>
      <c r="I530" s="59">
        <f t="shared" si="200"/>
        <v>0</v>
      </c>
      <c r="J530" s="1"/>
      <c r="K530" s="1"/>
      <c r="L530" s="1"/>
      <c r="M530" s="59">
        <f t="shared" si="201"/>
        <v>0</v>
      </c>
      <c r="N530" s="1"/>
      <c r="O530" s="1"/>
      <c r="P530" s="1"/>
      <c r="Q530" s="59">
        <f t="shared" si="202"/>
        <v>0</v>
      </c>
      <c r="R530" s="59">
        <f t="shared" si="203"/>
        <v>0</v>
      </c>
    </row>
    <row r="531" spans="1:20" ht="15.75" customHeight="1" x14ac:dyDescent="0.3">
      <c r="A531" s="74" t="s">
        <v>484</v>
      </c>
      <c r="C531" s="1"/>
      <c r="D531" s="1"/>
      <c r="E531" s="59">
        <f t="shared" si="199"/>
        <v>0</v>
      </c>
      <c r="F531" s="1"/>
      <c r="G531" s="1"/>
      <c r="H531" s="1">
        <v>2467</v>
      </c>
      <c r="I531" s="59">
        <f t="shared" si="200"/>
        <v>2467</v>
      </c>
      <c r="J531" s="1"/>
      <c r="K531" s="1"/>
      <c r="L531" s="1"/>
      <c r="M531" s="59">
        <f t="shared" si="201"/>
        <v>0</v>
      </c>
      <c r="N531" s="1"/>
      <c r="O531" s="1"/>
      <c r="P531" s="1"/>
      <c r="Q531" s="59">
        <f t="shared" si="202"/>
        <v>0</v>
      </c>
      <c r="R531" s="59">
        <f t="shared" si="203"/>
        <v>2467</v>
      </c>
      <c r="T531" s="4" t="s">
        <v>366</v>
      </c>
    </row>
    <row r="532" spans="1:20" ht="15.75" customHeight="1" x14ac:dyDescent="0.3">
      <c r="A532" s="76" t="s">
        <v>485</v>
      </c>
      <c r="B532" s="1"/>
      <c r="C532" s="1"/>
      <c r="D532" s="1"/>
      <c r="E532" s="59">
        <f t="shared" si="199"/>
        <v>0</v>
      </c>
      <c r="F532" s="1"/>
      <c r="G532" s="1"/>
      <c r="H532" s="1"/>
      <c r="I532" s="59">
        <f t="shared" si="200"/>
        <v>0</v>
      </c>
      <c r="J532" s="1"/>
      <c r="K532" s="1"/>
      <c r="L532" s="1"/>
      <c r="M532" s="59">
        <f t="shared" si="201"/>
        <v>0</v>
      </c>
      <c r="N532" s="1"/>
      <c r="O532" s="1"/>
      <c r="P532" s="1"/>
      <c r="Q532" s="59">
        <f t="shared" si="202"/>
        <v>0</v>
      </c>
      <c r="R532" s="59">
        <f t="shared" si="203"/>
        <v>0</v>
      </c>
      <c r="T532" s="4" t="s">
        <v>366</v>
      </c>
    </row>
    <row r="533" spans="1:20" ht="15.75" customHeight="1" x14ac:dyDescent="0.3">
      <c r="A533" s="17" t="s">
        <v>47</v>
      </c>
      <c r="B533" s="1"/>
      <c r="C533" s="1"/>
      <c r="D533" s="1"/>
      <c r="E533" s="59" t="s">
        <v>7</v>
      </c>
      <c r="F533" s="1"/>
      <c r="G533" s="1"/>
      <c r="H533" s="1"/>
      <c r="I533" s="59" t="s">
        <v>7</v>
      </c>
      <c r="J533" s="1"/>
      <c r="K533" s="1"/>
      <c r="L533" s="1"/>
      <c r="M533" s="59" t="s">
        <v>7</v>
      </c>
      <c r="N533" s="1"/>
      <c r="O533" s="1"/>
      <c r="P533" s="1"/>
      <c r="Q533" s="59" t="s">
        <v>7</v>
      </c>
      <c r="R533" s="59" t="s">
        <v>7</v>
      </c>
    </row>
    <row r="534" spans="1:20" ht="15.75" customHeight="1" x14ac:dyDescent="0.3">
      <c r="A534" s="74" t="s">
        <v>486</v>
      </c>
      <c r="B534" s="1"/>
      <c r="C534" s="1"/>
      <c r="D534" s="1"/>
      <c r="E534" s="59">
        <f>SUM(B534:D534)</f>
        <v>0</v>
      </c>
      <c r="F534" s="1"/>
      <c r="G534" s="1"/>
      <c r="H534" s="1"/>
      <c r="I534" s="59">
        <f>SUM(F534:H534)</f>
        <v>0</v>
      </c>
      <c r="J534" s="1"/>
      <c r="K534" s="1"/>
      <c r="L534" s="1"/>
      <c r="M534" s="59">
        <f>SUM(J534:L534)</f>
        <v>0</v>
      </c>
      <c r="N534" s="1"/>
      <c r="O534" s="1"/>
      <c r="P534" s="1"/>
      <c r="Q534" s="59">
        <f>SUM(N534:P534)</f>
        <v>0</v>
      </c>
      <c r="R534" s="59">
        <f>+E534+I534+M534+Q534</f>
        <v>0</v>
      </c>
    </row>
    <row r="535" spans="1:20" ht="15.75" customHeight="1" x14ac:dyDescent="0.3">
      <c r="A535" s="74" t="s">
        <v>487</v>
      </c>
      <c r="B535" s="1"/>
      <c r="C535" s="1"/>
      <c r="D535" s="1"/>
      <c r="E535" s="59">
        <f>SUM(B535:D535)</f>
        <v>0</v>
      </c>
      <c r="F535" s="1"/>
      <c r="G535" s="1"/>
      <c r="H535" s="1"/>
      <c r="I535" s="59">
        <f>SUM(F535:H535)</f>
        <v>0</v>
      </c>
      <c r="J535" s="1"/>
      <c r="K535" s="1"/>
      <c r="L535" s="1"/>
      <c r="M535" s="59">
        <f>SUM(J535:L535)</f>
        <v>0</v>
      </c>
      <c r="N535" s="1"/>
      <c r="O535" s="1"/>
      <c r="P535" s="1"/>
      <c r="Q535" s="59">
        <f>SUM(N535:P535)</f>
        <v>0</v>
      </c>
      <c r="R535" s="59">
        <f>+E535+I535+M535+Q535</f>
        <v>0</v>
      </c>
    </row>
    <row r="536" spans="1:20" ht="15.75" customHeight="1" x14ac:dyDescent="0.3">
      <c r="A536" s="17" t="s">
        <v>49</v>
      </c>
      <c r="B536" s="1"/>
      <c r="C536" s="1"/>
      <c r="D536" s="1"/>
      <c r="E536" s="59" t="s">
        <v>7</v>
      </c>
      <c r="F536" s="1"/>
      <c r="G536" s="1"/>
      <c r="H536" s="1"/>
      <c r="I536" s="59" t="s">
        <v>7</v>
      </c>
      <c r="J536" s="1"/>
      <c r="K536" s="1"/>
      <c r="L536" s="1"/>
      <c r="M536" s="59" t="s">
        <v>7</v>
      </c>
      <c r="N536" s="1"/>
      <c r="O536" s="1"/>
      <c r="P536" s="1"/>
      <c r="Q536" s="59" t="s">
        <v>7</v>
      </c>
      <c r="R536" s="59" t="s">
        <v>7</v>
      </c>
    </row>
    <row r="537" spans="1:20" ht="15.75" customHeight="1" thickBot="1" x14ac:dyDescent="0.35">
      <c r="A537" s="17" t="s">
        <v>51</v>
      </c>
      <c r="B537" s="1"/>
      <c r="C537" s="1"/>
      <c r="D537" s="1"/>
      <c r="E537" s="59" t="s">
        <v>7</v>
      </c>
      <c r="F537" s="1"/>
      <c r="G537" s="1"/>
      <c r="H537" s="1"/>
      <c r="I537" s="59" t="s">
        <v>7</v>
      </c>
      <c r="J537" s="1"/>
      <c r="K537" s="1"/>
      <c r="L537" s="1"/>
      <c r="M537" s="59" t="s">
        <v>7</v>
      </c>
      <c r="N537" s="1"/>
      <c r="O537" s="1"/>
      <c r="P537" s="1"/>
      <c r="Q537" s="59" t="s">
        <v>7</v>
      </c>
      <c r="R537" s="59" t="s">
        <v>7</v>
      </c>
    </row>
    <row r="538" spans="1:20" ht="16.5" customHeight="1" thickBot="1" x14ac:dyDescent="0.35">
      <c r="A538" s="126" t="s">
        <v>52</v>
      </c>
      <c r="B538" s="100">
        <f>SUM(B526:B537)</f>
        <v>0</v>
      </c>
      <c r="C538" s="101">
        <f>SUM(C526:C537)</f>
        <v>0</v>
      </c>
      <c r="D538" s="101">
        <f>SUM(D526:D537)</f>
        <v>0</v>
      </c>
      <c r="E538" s="64">
        <f>SUM(B538:D538)</f>
        <v>0</v>
      </c>
      <c r="F538" s="101">
        <f>SUM(F526:F537)</f>
        <v>8</v>
      </c>
      <c r="G538" s="101">
        <f>SUM(G526:G537)</f>
        <v>8</v>
      </c>
      <c r="H538" s="101">
        <f>SUM(H526:H537)</f>
        <v>2477</v>
      </c>
      <c r="I538" s="64">
        <f>SUM(F538:H538)</f>
        <v>2493</v>
      </c>
      <c r="J538" s="101">
        <f>SUM(J526:J537)</f>
        <v>10</v>
      </c>
      <c r="K538" s="101">
        <f>SUM(K526:K537)</f>
        <v>10</v>
      </c>
      <c r="L538" s="101">
        <f>SUM(L526:L537)</f>
        <v>3</v>
      </c>
      <c r="M538" s="64">
        <f>SUM(J538:L538)</f>
        <v>23</v>
      </c>
      <c r="N538" s="101">
        <f>SUM(N526:N537)</f>
        <v>2</v>
      </c>
      <c r="O538" s="101">
        <f>SUM(O526:O537)</f>
        <v>0</v>
      </c>
      <c r="P538" s="101">
        <f>SUM(P526:P537)</f>
        <v>0</v>
      </c>
      <c r="Q538" s="64">
        <f>SUM(N538:P538)</f>
        <v>2</v>
      </c>
      <c r="R538" s="64">
        <f>+E538+I538+M538+Q538</f>
        <v>2518</v>
      </c>
    </row>
    <row r="539" spans="1:20" ht="15.75" customHeight="1" x14ac:dyDescent="0.3">
      <c r="A539" s="17" t="s">
        <v>53</v>
      </c>
      <c r="B539" s="1"/>
      <c r="C539" s="1"/>
      <c r="D539" s="1"/>
      <c r="E539" s="59" t="s">
        <v>7</v>
      </c>
      <c r="F539" s="1"/>
      <c r="G539" s="1"/>
      <c r="H539" s="1"/>
      <c r="I539" s="59" t="s">
        <v>7</v>
      </c>
      <c r="J539" s="1"/>
      <c r="K539" s="1"/>
      <c r="L539" s="1"/>
      <c r="M539" s="59" t="s">
        <v>7</v>
      </c>
      <c r="N539" s="1" t="s">
        <v>7</v>
      </c>
      <c r="O539" s="1"/>
      <c r="P539" s="1"/>
      <c r="Q539" s="59" t="s">
        <v>7</v>
      </c>
      <c r="R539" s="59" t="s">
        <v>7</v>
      </c>
    </row>
    <row r="540" spans="1:20" ht="15.75" customHeight="1" x14ac:dyDescent="0.3">
      <c r="A540" s="17" t="s">
        <v>55</v>
      </c>
      <c r="B540" s="1"/>
      <c r="C540" s="1"/>
      <c r="D540" s="1"/>
      <c r="E540" s="59" t="s">
        <v>7</v>
      </c>
      <c r="F540" s="1"/>
      <c r="G540" s="1"/>
      <c r="H540" s="1"/>
      <c r="I540" s="59" t="s">
        <v>7</v>
      </c>
      <c r="J540" s="1"/>
      <c r="K540" s="1"/>
      <c r="L540" s="1"/>
      <c r="M540" s="59" t="s">
        <v>7</v>
      </c>
      <c r="N540" s="1"/>
      <c r="O540" s="1"/>
      <c r="P540" s="1"/>
      <c r="Q540" s="59" t="s">
        <v>7</v>
      </c>
      <c r="R540" s="59" t="s">
        <v>7</v>
      </c>
    </row>
    <row r="541" spans="1:20" ht="15.75" customHeight="1" x14ac:dyDescent="0.3">
      <c r="A541" s="74" t="s">
        <v>488</v>
      </c>
      <c r="B541" s="1">
        <v>165</v>
      </c>
      <c r="C541" s="1">
        <v>213</v>
      </c>
      <c r="D541" s="1">
        <v>3540</v>
      </c>
      <c r="E541" s="59">
        <f>SUM(B541:D541)</f>
        <v>3918</v>
      </c>
      <c r="F541" s="1">
        <v>9800</v>
      </c>
      <c r="G541" s="1">
        <v>6390</v>
      </c>
      <c r="H541" s="1">
        <v>8080</v>
      </c>
      <c r="I541" s="59">
        <f>SUM(F541:H541)</f>
        <v>24270</v>
      </c>
      <c r="J541" s="1">
        <v>10095</v>
      </c>
      <c r="K541" s="1">
        <v>9848</v>
      </c>
      <c r="L541" s="1">
        <v>1280</v>
      </c>
      <c r="M541" s="59">
        <f>SUM(J541:L541)</f>
        <v>21223</v>
      </c>
      <c r="N541" s="1">
        <v>620</v>
      </c>
      <c r="O541" s="1">
        <v>850</v>
      </c>
      <c r="P541" s="1">
        <v>597</v>
      </c>
      <c r="Q541" s="59">
        <f>SUM(N541:P541)</f>
        <v>2067</v>
      </c>
      <c r="R541" s="59">
        <f>+E541+I541+M541+Q541</f>
        <v>51478</v>
      </c>
    </row>
    <row r="542" spans="1:20" ht="15.75" customHeight="1" thickBot="1" x14ac:dyDescent="0.35">
      <c r="A542" s="17" t="s">
        <v>56</v>
      </c>
      <c r="B542" s="1"/>
      <c r="C542" s="1"/>
      <c r="D542" s="1"/>
      <c r="E542" s="59" t="s">
        <v>7</v>
      </c>
      <c r="F542" s="1"/>
      <c r="G542" s="1"/>
      <c r="H542" s="1"/>
      <c r="I542" s="59" t="s">
        <v>7</v>
      </c>
      <c r="J542" s="1"/>
      <c r="K542" s="1"/>
      <c r="L542" s="1"/>
      <c r="M542" s="59" t="s">
        <v>7</v>
      </c>
      <c r="N542" s="1"/>
      <c r="O542" s="1"/>
      <c r="P542" s="1"/>
      <c r="Q542" s="59" t="s">
        <v>7</v>
      </c>
      <c r="R542" s="59" t="s">
        <v>7</v>
      </c>
    </row>
    <row r="543" spans="1:20" ht="16.5" customHeight="1" thickBot="1" x14ac:dyDescent="0.35">
      <c r="A543" s="62" t="s">
        <v>57</v>
      </c>
      <c r="B543" s="100">
        <f>SUM(B539:B542)</f>
        <v>165</v>
      </c>
      <c r="C543" s="101">
        <f>SUM(C539:C542)</f>
        <v>213</v>
      </c>
      <c r="D543" s="101">
        <f>SUM(D539:D542)</f>
        <v>3540</v>
      </c>
      <c r="E543" s="64">
        <f>SUM(B543:D543)</f>
        <v>3918</v>
      </c>
      <c r="F543" s="101">
        <f>SUM(F539:F542)</f>
        <v>9800</v>
      </c>
      <c r="G543" s="101">
        <f>SUM(G539:G542)</f>
        <v>6390</v>
      </c>
      <c r="H543" s="101">
        <f>SUM(H539:H542)</f>
        <v>8080</v>
      </c>
      <c r="I543" s="64">
        <f>SUM(F543:H543)</f>
        <v>24270</v>
      </c>
      <c r="J543" s="101">
        <f>SUM(J539:J542)</f>
        <v>10095</v>
      </c>
      <c r="K543" s="101">
        <f>SUM(K539:K542)</f>
        <v>9848</v>
      </c>
      <c r="L543" s="101">
        <f>SUM(L539:L542)</f>
        <v>1280</v>
      </c>
      <c r="M543" s="64">
        <f>SUM(J543:L543)</f>
        <v>21223</v>
      </c>
      <c r="N543" s="101">
        <f>SUM(N539:N542)</f>
        <v>620</v>
      </c>
      <c r="O543" s="101">
        <f>SUM(O539:O542)</f>
        <v>850</v>
      </c>
      <c r="P543" s="101">
        <f>SUM(P539:P542)</f>
        <v>597</v>
      </c>
      <c r="Q543" s="64">
        <f>SUM(N543:P543)</f>
        <v>2067</v>
      </c>
      <c r="R543" s="64">
        <f>+E543+I543+M543+Q543</f>
        <v>51478</v>
      </c>
    </row>
    <row r="544" spans="1:20" ht="15.75" customHeight="1" x14ac:dyDescent="0.3">
      <c r="A544" s="17" t="s">
        <v>58</v>
      </c>
      <c r="B544" s="1"/>
      <c r="C544" s="1"/>
      <c r="D544" s="1"/>
      <c r="E544" s="59" t="s">
        <v>7</v>
      </c>
      <c r="F544" s="1"/>
      <c r="G544" s="1"/>
      <c r="H544" s="1"/>
      <c r="I544" s="59" t="s">
        <v>7</v>
      </c>
      <c r="J544" s="1"/>
      <c r="K544" s="1"/>
      <c r="L544" s="1"/>
      <c r="M544" s="59" t="s">
        <v>7</v>
      </c>
      <c r="N544" s="1"/>
      <c r="O544" s="1"/>
      <c r="P544" s="1"/>
      <c r="Q544" s="59" t="s">
        <v>7</v>
      </c>
      <c r="R544" s="59" t="s">
        <v>7</v>
      </c>
    </row>
    <row r="545" spans="1:20" ht="15.75" customHeight="1" x14ac:dyDescent="0.3">
      <c r="A545" s="17" t="s">
        <v>59</v>
      </c>
      <c r="B545" s="1"/>
      <c r="C545" s="1"/>
      <c r="D545" s="1"/>
      <c r="E545" s="59" t="s">
        <v>7</v>
      </c>
      <c r="F545" s="1"/>
      <c r="G545" s="1"/>
      <c r="H545" s="1"/>
      <c r="I545" s="59" t="s">
        <v>7</v>
      </c>
      <c r="J545" s="1"/>
      <c r="K545" s="1"/>
      <c r="L545" s="1"/>
      <c r="M545" s="59" t="s">
        <v>7</v>
      </c>
      <c r="N545" s="1"/>
      <c r="O545" s="1"/>
      <c r="P545" s="1"/>
      <c r="Q545" s="59" t="s">
        <v>7</v>
      </c>
      <c r="R545" s="59" t="s">
        <v>7</v>
      </c>
    </row>
    <row r="546" spans="1:20" ht="15.75" customHeight="1" x14ac:dyDescent="0.3">
      <c r="A546" s="17" t="s">
        <v>60</v>
      </c>
      <c r="B546" s="1"/>
      <c r="C546" s="1"/>
      <c r="D546" s="1"/>
      <c r="E546" s="59" t="s">
        <v>7</v>
      </c>
      <c r="F546" s="1"/>
      <c r="G546" s="1"/>
      <c r="H546" s="1"/>
      <c r="I546" s="59" t="s">
        <v>7</v>
      </c>
      <c r="J546" s="1"/>
      <c r="K546" s="1"/>
      <c r="L546" s="1"/>
      <c r="M546" s="59" t="s">
        <v>7</v>
      </c>
      <c r="N546" s="1"/>
      <c r="O546" s="1"/>
      <c r="P546" s="1"/>
      <c r="Q546" s="59" t="s">
        <v>7</v>
      </c>
      <c r="R546" s="59" t="s">
        <v>7</v>
      </c>
    </row>
    <row r="547" spans="1:20" ht="15.75" customHeight="1" x14ac:dyDescent="0.3">
      <c r="A547" s="74" t="s">
        <v>489</v>
      </c>
      <c r="B547" s="1"/>
      <c r="C547" s="1"/>
      <c r="D547" s="1"/>
      <c r="E547" s="59">
        <f>SUM(B547:D547)</f>
        <v>0</v>
      </c>
      <c r="F547" s="1"/>
      <c r="G547" s="1"/>
      <c r="H547" s="1"/>
      <c r="I547" s="59">
        <f>SUM(F547:H547)</f>
        <v>0</v>
      </c>
      <c r="J547" s="1"/>
      <c r="K547" s="1"/>
      <c r="L547" s="1"/>
      <c r="M547" s="59">
        <f>SUM(J547:L547)</f>
        <v>0</v>
      </c>
      <c r="N547" s="1"/>
      <c r="O547" s="1"/>
      <c r="P547" s="1"/>
      <c r="Q547" s="59">
        <f>SUM(N547:P547)</f>
        <v>0</v>
      </c>
      <c r="R547" s="59">
        <f>+E547+I547+M547+Q547</f>
        <v>0</v>
      </c>
      <c r="T547" s="4" t="s">
        <v>366</v>
      </c>
    </row>
    <row r="548" spans="1:20" ht="15.75" customHeight="1" x14ac:dyDescent="0.3">
      <c r="A548" s="29" t="s">
        <v>490</v>
      </c>
      <c r="B548" s="1"/>
      <c r="C548" s="1"/>
      <c r="D548" s="1"/>
      <c r="E548" s="59">
        <f>SUM(B548:D548)</f>
        <v>0</v>
      </c>
      <c r="F548" s="1"/>
      <c r="G548" s="1"/>
      <c r="H548" s="1"/>
      <c r="I548" s="59">
        <f>SUM(F548:H548)</f>
        <v>0</v>
      </c>
      <c r="J548" s="1">
        <v>3500</v>
      </c>
      <c r="K548" s="1">
        <v>2000</v>
      </c>
      <c r="L548" s="1"/>
      <c r="M548" s="59">
        <f>SUM(J548:L548)</f>
        <v>5500</v>
      </c>
      <c r="N548" s="1"/>
      <c r="O548" s="1"/>
      <c r="P548" s="1"/>
      <c r="Q548" s="59">
        <f>SUM(N548:P548)</f>
        <v>0</v>
      </c>
      <c r="R548" s="59">
        <f>+E548+I548+M548+Q548</f>
        <v>5500</v>
      </c>
    </row>
    <row r="549" spans="1:20" ht="15.75" customHeight="1" thickBot="1" x14ac:dyDescent="0.35">
      <c r="A549" s="103" t="s">
        <v>396</v>
      </c>
      <c r="B549" s="1"/>
      <c r="C549" s="1"/>
      <c r="E549" s="59">
        <f>SUM(B549:D549)</f>
        <v>0</v>
      </c>
      <c r="F549" s="1"/>
      <c r="G549" s="1"/>
      <c r="H549" s="1">
        <v>7500</v>
      </c>
      <c r="I549" s="59">
        <f>SUM(F549:H549)</f>
        <v>7500</v>
      </c>
      <c r="J549" s="1">
        <v>7500</v>
      </c>
      <c r="K549" s="1"/>
      <c r="L549" s="1"/>
      <c r="M549" s="59">
        <f>SUM(J549:L549)</f>
        <v>7500</v>
      </c>
      <c r="N549" s="1"/>
      <c r="O549" s="1"/>
      <c r="P549" s="1"/>
      <c r="Q549" s="59">
        <f>SUM(N549:P549)</f>
        <v>0</v>
      </c>
      <c r="R549" s="59">
        <f>+E549+I549+M549+Q549</f>
        <v>15000</v>
      </c>
      <c r="T549" s="4" t="s">
        <v>366</v>
      </c>
    </row>
    <row r="550" spans="1:20" ht="16.5" customHeight="1" thickBot="1" x14ac:dyDescent="0.35">
      <c r="A550" s="137" t="s">
        <v>61</v>
      </c>
      <c r="B550" s="100">
        <f>SUM(B544:B549)</f>
        <v>0</v>
      </c>
      <c r="C550" s="101">
        <f>SUM(C544:C549)</f>
        <v>0</v>
      </c>
      <c r="D550" s="101">
        <f>SUM(D544:D549)</f>
        <v>0</v>
      </c>
      <c r="E550" s="64">
        <f>SUM(B550:D550)</f>
        <v>0</v>
      </c>
      <c r="F550" s="101">
        <f>SUM(F544:F549)</f>
        <v>0</v>
      </c>
      <c r="G550" s="101">
        <f>SUM(G544:G549)</f>
        <v>0</v>
      </c>
      <c r="H550" s="101">
        <f>SUM(H544:H549)</f>
        <v>7500</v>
      </c>
      <c r="I550" s="64">
        <f>SUM(F550:H550)</f>
        <v>7500</v>
      </c>
      <c r="J550" s="101">
        <f>SUM(J544:J549)</f>
        <v>11000</v>
      </c>
      <c r="K550" s="101">
        <f>SUM(K544:K549)</f>
        <v>2000</v>
      </c>
      <c r="L550" s="101">
        <f>SUM(L544:L549)</f>
        <v>0</v>
      </c>
      <c r="M550" s="64">
        <f>SUM(J550:L550)</f>
        <v>13000</v>
      </c>
      <c r="N550" s="101">
        <f>SUM(N544:N549)</f>
        <v>0</v>
      </c>
      <c r="O550" s="101">
        <f>SUM(O544:O549)</f>
        <v>0</v>
      </c>
      <c r="P550" s="101">
        <f>SUM(P544:P549)</f>
        <v>0</v>
      </c>
      <c r="Q550" s="64">
        <f>SUM(N550:P550)</f>
        <v>0</v>
      </c>
      <c r="R550" s="64">
        <f>+E550+I550+M550+Q550</f>
        <v>20500</v>
      </c>
    </row>
    <row r="551" spans="1:20" ht="15.75" customHeight="1" x14ac:dyDescent="0.3">
      <c r="A551" s="17" t="s">
        <v>62</v>
      </c>
      <c r="B551" s="1"/>
      <c r="C551" s="1"/>
      <c r="D551" s="1"/>
      <c r="E551" s="59" t="s">
        <v>7</v>
      </c>
      <c r="F551" s="1"/>
      <c r="G551" s="1"/>
      <c r="H551" s="1"/>
      <c r="I551" s="59" t="s">
        <v>7</v>
      </c>
      <c r="J551" s="1"/>
      <c r="K551" s="1"/>
      <c r="L551" s="1"/>
      <c r="M551" s="59" t="s">
        <v>7</v>
      </c>
      <c r="N551" s="1"/>
      <c r="O551" s="1"/>
      <c r="P551" s="1"/>
      <c r="Q551" s="59" t="s">
        <v>7</v>
      </c>
      <c r="R551" s="59" t="s">
        <v>7</v>
      </c>
    </row>
    <row r="552" spans="1:20" ht="15.75" customHeight="1" x14ac:dyDescent="0.3">
      <c r="A552" s="17" t="s">
        <v>63</v>
      </c>
      <c r="B552" s="1"/>
      <c r="C552" s="1"/>
      <c r="D552" s="1"/>
      <c r="E552" s="59" t="s">
        <v>7</v>
      </c>
      <c r="F552" s="1"/>
      <c r="G552" s="1"/>
      <c r="H552" s="1"/>
      <c r="I552" s="59" t="s">
        <v>7</v>
      </c>
      <c r="J552" s="1"/>
      <c r="K552" s="1"/>
      <c r="L552" s="1"/>
      <c r="M552" s="59" t="s">
        <v>7</v>
      </c>
      <c r="N552" s="1"/>
      <c r="O552" s="1"/>
      <c r="P552" s="1"/>
      <c r="Q552" s="59" t="s">
        <v>7</v>
      </c>
      <c r="R552" s="59" t="s">
        <v>7</v>
      </c>
    </row>
    <row r="553" spans="1:20" ht="15.75" customHeight="1" x14ac:dyDescent="0.3">
      <c r="A553" s="17" t="s">
        <v>64</v>
      </c>
      <c r="B553" s="1"/>
      <c r="C553" s="1"/>
      <c r="D553" s="1"/>
      <c r="E553" s="59" t="s">
        <v>7</v>
      </c>
      <c r="F553" s="1"/>
      <c r="G553" s="1"/>
      <c r="H553" s="1"/>
      <c r="I553" s="59" t="s">
        <v>7</v>
      </c>
      <c r="J553" s="1"/>
      <c r="K553" s="1"/>
      <c r="L553" s="1"/>
      <c r="M553" s="59" t="s">
        <v>7</v>
      </c>
      <c r="N553" s="1"/>
      <c r="O553" s="1"/>
      <c r="P553" s="1"/>
      <c r="Q553" s="59" t="s">
        <v>7</v>
      </c>
      <c r="R553" s="59" t="s">
        <v>7</v>
      </c>
    </row>
    <row r="554" spans="1:20" ht="15.75" customHeight="1" x14ac:dyDescent="0.3">
      <c r="A554" s="17" t="s">
        <v>66</v>
      </c>
      <c r="B554" s="1"/>
      <c r="C554" s="1"/>
      <c r="D554" s="1"/>
      <c r="E554" s="59" t="s">
        <v>7</v>
      </c>
      <c r="F554" s="1"/>
      <c r="G554" s="1"/>
      <c r="H554" s="1"/>
      <c r="I554" s="59" t="s">
        <v>7</v>
      </c>
      <c r="J554" s="1"/>
      <c r="K554" s="1"/>
      <c r="L554" s="1"/>
      <c r="M554" s="59" t="s">
        <v>7</v>
      </c>
      <c r="N554" s="1"/>
      <c r="O554" s="1"/>
      <c r="P554" s="1"/>
      <c r="Q554" s="59" t="s">
        <v>7</v>
      </c>
      <c r="R554" s="59" t="s">
        <v>7</v>
      </c>
    </row>
    <row r="555" spans="1:20" ht="15.75" customHeight="1" x14ac:dyDescent="0.3">
      <c r="A555" s="17" t="s">
        <v>67</v>
      </c>
      <c r="B555" s="1"/>
      <c r="C555" s="1"/>
      <c r="D555" s="1"/>
      <c r="E555" s="59" t="s">
        <v>7</v>
      </c>
      <c r="F555" s="1"/>
      <c r="G555" s="1"/>
      <c r="H555" s="1"/>
      <c r="I555" s="59" t="s">
        <v>7</v>
      </c>
      <c r="J555" s="1"/>
      <c r="K555" s="1"/>
      <c r="L555" s="1"/>
      <c r="M555" s="59" t="s">
        <v>7</v>
      </c>
      <c r="N555" s="1"/>
      <c r="O555" s="1"/>
      <c r="P555" s="1"/>
      <c r="Q555" s="59" t="s">
        <v>7</v>
      </c>
      <c r="R555" s="59" t="s">
        <v>7</v>
      </c>
    </row>
    <row r="556" spans="1:20" ht="15.75" customHeight="1" x14ac:dyDescent="0.3">
      <c r="A556" s="74" t="s">
        <v>460</v>
      </c>
      <c r="B556" s="1"/>
      <c r="C556" s="1"/>
      <c r="D556" s="1"/>
      <c r="E556" s="59">
        <f t="shared" ref="E556:E557" si="204">SUM(B556:D556)</f>
        <v>0</v>
      </c>
      <c r="F556" s="1"/>
      <c r="G556" s="1"/>
      <c r="H556" s="1"/>
      <c r="I556" s="59">
        <f t="shared" ref="I556:I557" si="205">SUM(F556:H556)</f>
        <v>0</v>
      </c>
      <c r="J556" s="1"/>
      <c r="K556" s="1"/>
      <c r="L556" s="1"/>
      <c r="M556" s="59">
        <f t="shared" ref="M556:M557" si="206">SUM(J556:L556)</f>
        <v>0</v>
      </c>
      <c r="N556" s="1"/>
      <c r="O556" s="1"/>
      <c r="P556" s="1"/>
      <c r="Q556" s="59">
        <f t="shared" ref="Q556:Q557" si="207">SUM(N556:P556)</f>
        <v>0</v>
      </c>
      <c r="R556" s="59">
        <f t="shared" ref="R556:R561" si="208">+E556+I556+M556+Q556</f>
        <v>0</v>
      </c>
      <c r="T556" s="4" t="s">
        <v>366</v>
      </c>
    </row>
    <row r="557" spans="1:20" ht="15.75" customHeight="1" thickBot="1" x14ac:dyDescent="0.35">
      <c r="A557" s="74" t="s">
        <v>491</v>
      </c>
      <c r="B557" s="1"/>
      <c r="C557" s="1"/>
      <c r="D557" s="1"/>
      <c r="E557" s="59">
        <f t="shared" si="204"/>
        <v>0</v>
      </c>
      <c r="F557" s="1"/>
      <c r="G557" s="1"/>
      <c r="H557" s="1"/>
      <c r="I557" s="59">
        <f t="shared" si="205"/>
        <v>0</v>
      </c>
      <c r="J557" s="1"/>
      <c r="K557" s="1"/>
      <c r="L557" s="1"/>
      <c r="M557" s="59">
        <f t="shared" si="206"/>
        <v>0</v>
      </c>
      <c r="N557" s="1"/>
      <c r="O557" s="1"/>
      <c r="P557" s="1"/>
      <c r="Q557" s="59">
        <f t="shared" si="207"/>
        <v>0</v>
      </c>
      <c r="R557" s="59">
        <f t="shared" si="208"/>
        <v>0</v>
      </c>
      <c r="T557" s="4" t="s">
        <v>366</v>
      </c>
    </row>
    <row r="558" spans="1:20" ht="16.5" customHeight="1" thickBot="1" x14ac:dyDescent="0.35">
      <c r="A558" s="62" t="s">
        <v>68</v>
      </c>
      <c r="B558" s="63">
        <f>SUM(B554:B557)</f>
        <v>0</v>
      </c>
      <c r="C558" s="63">
        <f>SUM(C554:C557)</f>
        <v>0</v>
      </c>
      <c r="D558" s="63">
        <f>SUM(D554:D557)</f>
        <v>0</v>
      </c>
      <c r="E558" s="65">
        <f t="shared" ref="E558:E561" si="209">SUM(B558:D558)</f>
        <v>0</v>
      </c>
      <c r="F558" s="63">
        <f>SUM(F554:F557)</f>
        <v>0</v>
      </c>
      <c r="G558" s="63">
        <f>SUM(G554:G557)</f>
        <v>0</v>
      </c>
      <c r="H558" s="63">
        <f>SUM(H554:H557)</f>
        <v>0</v>
      </c>
      <c r="I558" s="65">
        <f t="shared" ref="I558:I561" si="210">SUM(F558:H558)</f>
        <v>0</v>
      </c>
      <c r="J558" s="63">
        <f>SUM(J554:J557)</f>
        <v>0</v>
      </c>
      <c r="K558" s="63">
        <f>SUM(K554:K557)</f>
        <v>0</v>
      </c>
      <c r="L558" s="63">
        <f>SUM(L554:L557)</f>
        <v>0</v>
      </c>
      <c r="M558" s="65">
        <f t="shared" ref="M558:M561" si="211">SUM(J558:L558)</f>
        <v>0</v>
      </c>
      <c r="N558" s="63">
        <f>SUM(N554:N557)</f>
        <v>0</v>
      </c>
      <c r="O558" s="63">
        <f>SUM(O554:O557)</f>
        <v>0</v>
      </c>
      <c r="P558" s="63">
        <f>SUM(P554:P557)</f>
        <v>0</v>
      </c>
      <c r="Q558" s="65">
        <f t="shared" ref="Q558:Q561" si="212">SUM(N558:P558)</f>
        <v>0</v>
      </c>
      <c r="R558" s="64">
        <f t="shared" si="208"/>
        <v>0</v>
      </c>
    </row>
    <row r="559" spans="1:20" ht="16.5" customHeight="1" thickBot="1" x14ac:dyDescent="0.35">
      <c r="A559" s="137" t="s">
        <v>69</v>
      </c>
      <c r="B559" s="100">
        <f>SUM(B551:B557)</f>
        <v>0</v>
      </c>
      <c r="C559" s="101">
        <f>SUM(C551:C557)</f>
        <v>0</v>
      </c>
      <c r="D559" s="138">
        <f>SUM(D551:D557)</f>
        <v>0</v>
      </c>
      <c r="E559" s="65">
        <f t="shared" si="209"/>
        <v>0</v>
      </c>
      <c r="F559" s="101">
        <f>SUM(F551:F557)</f>
        <v>0</v>
      </c>
      <c r="G559" s="101">
        <f>SUM(G551:G557)</f>
        <v>0</v>
      </c>
      <c r="H559" s="101">
        <f>SUM(H551:H557)</f>
        <v>0</v>
      </c>
      <c r="I559" s="65">
        <f t="shared" si="210"/>
        <v>0</v>
      </c>
      <c r="J559" s="101">
        <f>SUM(J551:J557)</f>
        <v>0</v>
      </c>
      <c r="K559" s="101">
        <f>SUM(K551:K557)</f>
        <v>0</v>
      </c>
      <c r="L559" s="101">
        <f>SUM(L551:L557)</f>
        <v>0</v>
      </c>
      <c r="M559" s="65">
        <f t="shared" si="211"/>
        <v>0</v>
      </c>
      <c r="N559" s="101">
        <f>SUM(N551:N557)</f>
        <v>0</v>
      </c>
      <c r="O559" s="101">
        <f>SUM(O551:O557)</f>
        <v>0</v>
      </c>
      <c r="P559" s="101">
        <f>SUM(P551:P557)</f>
        <v>0</v>
      </c>
      <c r="Q559" s="65">
        <f t="shared" si="212"/>
        <v>0</v>
      </c>
      <c r="R559" s="64">
        <f t="shared" si="208"/>
        <v>0</v>
      </c>
    </row>
    <row r="560" spans="1:20" ht="16.5" customHeight="1" thickBot="1" x14ac:dyDescent="0.35">
      <c r="A560" s="62" t="s">
        <v>70</v>
      </c>
      <c r="B560" s="107">
        <f>+B538+B543+B550+B559</f>
        <v>165</v>
      </c>
      <c r="C560" s="63">
        <f>+C538+C543+C550+C559</f>
        <v>213</v>
      </c>
      <c r="D560" s="63">
        <f>+D538+D543+D550+D559</f>
        <v>3540</v>
      </c>
      <c r="E560" s="64">
        <f t="shared" si="209"/>
        <v>3918</v>
      </c>
      <c r="F560" s="63">
        <f>+F538+F543+F550+F559</f>
        <v>9808</v>
      </c>
      <c r="G560" s="63">
        <f>+G538+G543+G550+G559</f>
        <v>6398</v>
      </c>
      <c r="H560" s="63">
        <f>+H538+H543+H550+H559</f>
        <v>18057</v>
      </c>
      <c r="I560" s="64">
        <f t="shared" si="210"/>
        <v>34263</v>
      </c>
      <c r="J560" s="63">
        <f>+J538+J543+J550+J559</f>
        <v>21105</v>
      </c>
      <c r="K560" s="63">
        <f>+K538+K543+K550+K559</f>
        <v>11858</v>
      </c>
      <c r="L560" s="63">
        <f>+L538+L543+L550+L559</f>
        <v>1283</v>
      </c>
      <c r="M560" s="64">
        <f t="shared" si="211"/>
        <v>34246</v>
      </c>
      <c r="N560" s="63">
        <f>+N538+N543+N550+N559</f>
        <v>622</v>
      </c>
      <c r="O560" s="63">
        <f>+O538+O543+O550+O559</f>
        <v>850</v>
      </c>
      <c r="P560" s="63">
        <f>+P538+P543+P550+P559</f>
        <v>597</v>
      </c>
      <c r="Q560" s="64">
        <f t="shared" si="212"/>
        <v>2069</v>
      </c>
      <c r="R560" s="88">
        <f>+E560+I560+M560+Q560</f>
        <v>74496</v>
      </c>
    </row>
    <row r="561" spans="1:20" ht="16.5" customHeight="1" thickBot="1" x14ac:dyDescent="0.35">
      <c r="A561" s="40" t="s">
        <v>37</v>
      </c>
      <c r="B561" s="25">
        <v>9</v>
      </c>
      <c r="C561" s="25">
        <v>16</v>
      </c>
      <c r="D561" s="25">
        <v>25</v>
      </c>
      <c r="E561" s="59">
        <f t="shared" si="209"/>
        <v>50</v>
      </c>
      <c r="F561" s="25">
        <v>34</v>
      </c>
      <c r="G561" s="25">
        <v>41</v>
      </c>
      <c r="H561" s="25">
        <v>41</v>
      </c>
      <c r="I561" s="59">
        <f t="shared" si="210"/>
        <v>116</v>
      </c>
      <c r="J561" s="25">
        <v>39</v>
      </c>
      <c r="K561" s="25">
        <v>30</v>
      </c>
      <c r="L561" s="25">
        <v>30</v>
      </c>
      <c r="M561" s="59">
        <f t="shared" si="211"/>
        <v>99</v>
      </c>
      <c r="N561" s="25">
        <v>28</v>
      </c>
      <c r="O561" s="25">
        <v>22</v>
      </c>
      <c r="P561" s="25">
        <v>16</v>
      </c>
      <c r="Q561" s="59">
        <f t="shared" si="212"/>
        <v>66</v>
      </c>
      <c r="R561" s="59">
        <f t="shared" si="208"/>
        <v>331</v>
      </c>
    </row>
    <row r="562" spans="1:20" ht="16.5" customHeight="1" thickBot="1" x14ac:dyDescent="0.35">
      <c r="A562" s="80"/>
      <c r="B562" s="81"/>
      <c r="C562" s="81"/>
      <c r="D562" s="81"/>
      <c r="E562" s="64"/>
      <c r="F562" s="81"/>
      <c r="G562" s="81"/>
      <c r="H562" s="81"/>
      <c r="I562" s="64"/>
      <c r="J562" s="81"/>
      <c r="K562" s="81"/>
      <c r="L562" s="81"/>
      <c r="M562" s="64"/>
      <c r="N562" s="81"/>
      <c r="O562" s="81"/>
      <c r="P562" s="81"/>
      <c r="Q562" s="64"/>
      <c r="R562" s="64" t="s">
        <v>7</v>
      </c>
    </row>
    <row r="563" spans="1:20" ht="15.75" customHeight="1" x14ac:dyDescent="0.3">
      <c r="A563" s="82" t="s">
        <v>38</v>
      </c>
      <c r="B563" s="83">
        <f>SUM(B560:B561)</f>
        <v>174</v>
      </c>
      <c r="C563" s="83">
        <f>SUM(C560:C561)</f>
        <v>229</v>
      </c>
      <c r="D563" s="83">
        <f>SUM(D560:D561)</f>
        <v>3565</v>
      </c>
      <c r="E563" s="65">
        <f>SUM(B563:D563)</f>
        <v>3968</v>
      </c>
      <c r="F563" s="83">
        <f>SUM(F560:F561)</f>
        <v>9842</v>
      </c>
      <c r="G563" s="83">
        <f>SUM(G560:G561)</f>
        <v>6439</v>
      </c>
      <c r="H563" s="83">
        <f>SUM(H560:H561)</f>
        <v>18098</v>
      </c>
      <c r="I563" s="65">
        <f>SUM(F563:H563)</f>
        <v>34379</v>
      </c>
      <c r="J563" s="83">
        <f>SUM(J560:J561)</f>
        <v>21144</v>
      </c>
      <c r="K563" s="83">
        <f>SUM(K560:K561)</f>
        <v>11888</v>
      </c>
      <c r="L563" s="83">
        <f>SUM(L560:L561)</f>
        <v>1313</v>
      </c>
      <c r="M563" s="65">
        <f>SUM(J563:L563)</f>
        <v>34345</v>
      </c>
      <c r="N563" s="83">
        <f>SUM(N560:N561)</f>
        <v>650</v>
      </c>
      <c r="O563" s="83">
        <f>SUM(O560:O561)</f>
        <v>872</v>
      </c>
      <c r="P563" s="83">
        <f>SUM(P560:P561)</f>
        <v>613</v>
      </c>
      <c r="Q563" s="65">
        <f>SUM(N563:P563)</f>
        <v>2135</v>
      </c>
      <c r="R563" s="65">
        <f>+E563+I563+M563+Q563</f>
        <v>74827</v>
      </c>
    </row>
    <row r="564" spans="1:20" ht="15.75" customHeight="1" x14ac:dyDescent="0.3">
      <c r="A564" s="85" t="s">
        <v>39</v>
      </c>
      <c r="B564" s="1">
        <f>(B563/B10)/1.983</f>
        <v>2.8305109560294763</v>
      </c>
      <c r="C564" s="1">
        <f>(C563/C10)/1.983</f>
        <v>4.1243426266119156</v>
      </c>
      <c r="D564" s="1">
        <f>(D563/D10)/1.983</f>
        <v>57.992939989914269</v>
      </c>
      <c r="E564" s="59" t="s">
        <v>7</v>
      </c>
      <c r="F564" s="1">
        <f>(F563/F10)/1.983</f>
        <v>165.43956967557571</v>
      </c>
      <c r="G564" s="1">
        <f>(G563/G10)/1.983</f>
        <v>104.74517267743562</v>
      </c>
      <c r="H564" s="1">
        <f>(H563/H10)/1.983</f>
        <v>304.21919650361406</v>
      </c>
      <c r="I564" s="59" t="s">
        <v>7</v>
      </c>
      <c r="J564" s="1">
        <f>(J563/J10)/1.983</f>
        <v>343.95588307061638</v>
      </c>
      <c r="K564" s="1">
        <f>(K563/K10)/1.983</f>
        <v>193.38571405332422</v>
      </c>
      <c r="L564" s="1">
        <f>(L563/L10)/1.983</f>
        <v>22.070936291813748</v>
      </c>
      <c r="M564" s="59" t="s">
        <v>7</v>
      </c>
      <c r="N564" s="1">
        <f>(N563/N10)/1.983</f>
        <v>10.573747824248043</v>
      </c>
      <c r="O564" s="1">
        <f>(O563/O10)/1.983</f>
        <v>14.657925701798622</v>
      </c>
      <c r="P564" s="1">
        <f>(P563/P10)/1.983</f>
        <v>9.9718575634831552</v>
      </c>
      <c r="Q564" s="59" t="s">
        <v>7</v>
      </c>
      <c r="R564" s="59" t="s">
        <v>7</v>
      </c>
    </row>
    <row r="565" spans="1:20" ht="15.75" customHeight="1" x14ac:dyDescent="0.3">
      <c r="A565" s="85" t="s">
        <v>492</v>
      </c>
      <c r="B565" s="1">
        <f>B563+B610</f>
        <v>16012</v>
      </c>
      <c r="C565" s="1">
        <f>C563+C610</f>
        <v>23120</v>
      </c>
      <c r="D565" s="1">
        <f>D563+D610</f>
        <v>34880</v>
      </c>
      <c r="E565" s="59">
        <f>SUM(B565:D565)</f>
        <v>74012</v>
      </c>
      <c r="F565" s="1">
        <f>F563+F610</f>
        <v>44542</v>
      </c>
      <c r="G565" s="1">
        <f>G563+G610</f>
        <v>40302</v>
      </c>
      <c r="H565" s="1">
        <f>H563+H610</f>
        <v>50915</v>
      </c>
      <c r="I565" s="59">
        <f>SUM(F565:H565)</f>
        <v>135759</v>
      </c>
      <c r="J565" s="1">
        <f>J563+J610</f>
        <v>54776</v>
      </c>
      <c r="K565" s="1">
        <f>K563+K610</f>
        <v>43489</v>
      </c>
      <c r="L565" s="1">
        <f>L563+L610</f>
        <v>26463</v>
      </c>
      <c r="M565" s="59">
        <f>SUM(J565:L565)</f>
        <v>124728</v>
      </c>
      <c r="N565" s="1">
        <f>N563+N610</f>
        <v>11747</v>
      </c>
      <c r="O565" s="1">
        <f>O563+O610</f>
        <v>3870</v>
      </c>
      <c r="P565" s="1">
        <f>P563+P610</f>
        <v>11079</v>
      </c>
      <c r="Q565" s="59">
        <f>SUM(N565:P565)</f>
        <v>26696</v>
      </c>
      <c r="R565" s="59">
        <f>+E565+I565+M565+Q565</f>
        <v>361195</v>
      </c>
    </row>
    <row r="566" spans="1:20" ht="16.5" customHeight="1" thickBot="1" x14ac:dyDescent="0.35">
      <c r="A566" s="86" t="s">
        <v>493</v>
      </c>
      <c r="B566" s="87">
        <f>(B565/B10)/1.983</f>
        <v>260.47207717209182</v>
      </c>
      <c r="C566" s="87">
        <f>(C565/C10)/1.983</f>
        <v>416.39651321950862</v>
      </c>
      <c r="D566" s="87">
        <f>(D565/D10)/1.983</f>
        <v>567.40357555349499</v>
      </c>
      <c r="E566" s="88" t="s">
        <v>7</v>
      </c>
      <c r="F566" s="87">
        <f>(F565/F10)/1.983</f>
        <v>748.73087913935115</v>
      </c>
      <c r="G566" s="87">
        <f>(G565/G10)/1.983</f>
        <v>655.60489971206869</v>
      </c>
      <c r="H566" s="87">
        <f>(H565/H10)/1.983</f>
        <v>855.85812741637244</v>
      </c>
      <c r="I566" s="88" t="s">
        <v>7</v>
      </c>
      <c r="J566" s="87">
        <f>(J565/J10)/1.983</f>
        <v>891.05786280155507</v>
      </c>
      <c r="K566" s="87">
        <f>(K565/K10)/1.983</f>
        <v>707.44879865957398</v>
      </c>
      <c r="L566" s="87">
        <f>(L565/L10)/1.983</f>
        <v>444.83106404437717</v>
      </c>
      <c r="M566" s="88" t="s">
        <v>7</v>
      </c>
      <c r="N566" s="87">
        <f>(N565/N10)/1.983</f>
        <v>191.09202414067963</v>
      </c>
      <c r="O566" s="87">
        <f>(O565/O10)/1.983</f>
        <v>65.052950075642968</v>
      </c>
      <c r="P566" s="87">
        <f>(P565/P10)/1.983</f>
        <v>180.22546483822165</v>
      </c>
      <c r="Q566" s="88" t="s">
        <v>7</v>
      </c>
      <c r="R566" s="88" t="s">
        <v>7</v>
      </c>
    </row>
    <row r="567" spans="1:20" ht="15.75" customHeight="1" x14ac:dyDescent="0.3">
      <c r="A567" s="28"/>
      <c r="B567" s="1"/>
      <c r="C567" s="1"/>
      <c r="D567" s="1"/>
      <c r="E567" s="1"/>
      <c r="F567" s="1"/>
      <c r="G567" s="1"/>
      <c r="H567" s="1"/>
      <c r="I567" s="1"/>
      <c r="J567" s="1"/>
      <c r="K567" s="1"/>
      <c r="L567" s="1"/>
      <c r="M567" s="1"/>
      <c r="N567" s="1"/>
      <c r="O567" s="1"/>
      <c r="P567" s="1"/>
      <c r="Q567" s="1"/>
      <c r="R567" s="28"/>
    </row>
    <row r="568" spans="1:20" ht="15.75" customHeight="1" thickBot="1" x14ac:dyDescent="0.35">
      <c r="A568" s="28"/>
      <c r="B568" s="1"/>
      <c r="C568" s="1"/>
      <c r="D568" s="1"/>
      <c r="E568" s="1"/>
      <c r="F568" s="1"/>
      <c r="G568" s="1"/>
      <c r="H568" s="1"/>
      <c r="I568" s="1"/>
      <c r="J568" s="1"/>
      <c r="K568" s="1"/>
      <c r="L568" s="1"/>
      <c r="M568" s="1"/>
      <c r="N568" s="1"/>
      <c r="O568" s="1"/>
      <c r="P568" s="1"/>
      <c r="Q568" s="1"/>
      <c r="R568" s="28"/>
    </row>
    <row r="569" spans="1:20" ht="16.5" customHeight="1" thickBot="1" x14ac:dyDescent="0.35">
      <c r="A569" s="145" t="s">
        <v>494</v>
      </c>
      <c r="B569" s="32" t="s">
        <v>36</v>
      </c>
      <c r="C569" s="33" t="s">
        <v>9</v>
      </c>
      <c r="D569" s="33" t="s">
        <v>10</v>
      </c>
      <c r="E569" s="12" t="s">
        <v>11</v>
      </c>
      <c r="F569" s="33" t="s">
        <v>12</v>
      </c>
      <c r="G569" s="33" t="s">
        <v>13</v>
      </c>
      <c r="H569" s="33" t="s">
        <v>14</v>
      </c>
      <c r="I569" s="34" t="s">
        <v>15</v>
      </c>
      <c r="J569" s="33" t="s">
        <v>16</v>
      </c>
      <c r="K569" s="33" t="s">
        <v>17</v>
      </c>
      <c r="L569" s="33" t="s">
        <v>18</v>
      </c>
      <c r="M569" s="34" t="s">
        <v>19</v>
      </c>
      <c r="N569" s="33" t="s">
        <v>20</v>
      </c>
      <c r="O569" s="33" t="s">
        <v>21</v>
      </c>
      <c r="P569" s="33" t="s">
        <v>22</v>
      </c>
      <c r="Q569" s="34" t="s">
        <v>23</v>
      </c>
      <c r="R569" s="35" t="s">
        <v>24</v>
      </c>
    </row>
    <row r="570" spans="1:20" ht="16.5" customHeight="1" thickBot="1" x14ac:dyDescent="0.35">
      <c r="A570" s="64"/>
      <c r="B570" s="81"/>
      <c r="C570" s="81"/>
      <c r="D570" s="81"/>
      <c r="E570" s="72"/>
      <c r="F570" s="81"/>
      <c r="G570" s="81"/>
      <c r="H570" s="81"/>
      <c r="I570" s="89"/>
      <c r="J570" s="81"/>
      <c r="K570" s="81"/>
      <c r="L570" s="81"/>
      <c r="M570" s="89"/>
      <c r="N570" s="81"/>
      <c r="O570" s="81"/>
      <c r="P570" s="81"/>
      <c r="Q570" s="89"/>
      <c r="R570" s="117"/>
    </row>
    <row r="571" spans="1:20" ht="15.75" customHeight="1" x14ac:dyDescent="0.3">
      <c r="A571" s="17" t="s">
        <v>45</v>
      </c>
      <c r="B571" s="1" t="s">
        <v>7</v>
      </c>
      <c r="C571" s="1" t="s">
        <v>7</v>
      </c>
      <c r="D571" s="1" t="s">
        <v>7</v>
      </c>
      <c r="E571" s="59" t="s">
        <v>7</v>
      </c>
      <c r="F571" s="1"/>
      <c r="G571" s="1"/>
      <c r="H571" s="1"/>
      <c r="I571" s="59" t="s">
        <v>7</v>
      </c>
      <c r="J571" s="1" t="s">
        <v>7</v>
      </c>
      <c r="K571" s="1" t="s">
        <v>7</v>
      </c>
      <c r="L571" s="1" t="s">
        <v>7</v>
      </c>
      <c r="M571" s="59" t="s">
        <v>7</v>
      </c>
      <c r="N571" s="1" t="s">
        <v>7</v>
      </c>
      <c r="O571" s="1" t="s">
        <v>7</v>
      </c>
      <c r="P571" s="1" t="s">
        <v>7</v>
      </c>
      <c r="Q571" s="59" t="s">
        <v>7</v>
      </c>
      <c r="R571" s="59" t="s">
        <v>7</v>
      </c>
    </row>
    <row r="572" spans="1:20" ht="15.75" customHeight="1" x14ac:dyDescent="0.3">
      <c r="A572" s="17" t="s">
        <v>46</v>
      </c>
      <c r="B572" s="1"/>
      <c r="C572" s="1"/>
      <c r="D572" s="1"/>
      <c r="E572" s="59" t="s">
        <v>7</v>
      </c>
      <c r="F572" s="1"/>
      <c r="G572" s="1"/>
      <c r="H572" s="1"/>
      <c r="I572" s="59" t="s">
        <v>7</v>
      </c>
      <c r="J572" s="1"/>
      <c r="K572" s="1"/>
      <c r="L572" s="1"/>
      <c r="M572" s="59" t="s">
        <v>7</v>
      </c>
      <c r="N572" s="1"/>
      <c r="O572" s="1"/>
      <c r="P572" s="1"/>
      <c r="Q572" s="59" t="s">
        <v>7</v>
      </c>
      <c r="R572" s="59" t="s">
        <v>7</v>
      </c>
    </row>
    <row r="573" spans="1:20" ht="15.75" customHeight="1" x14ac:dyDescent="0.3">
      <c r="A573" s="17" t="s">
        <v>495</v>
      </c>
      <c r="C573" s="1"/>
      <c r="D573" s="1"/>
      <c r="E573" s="59">
        <f>SUM(B573:D573)</f>
        <v>0</v>
      </c>
      <c r="F573" s="1"/>
      <c r="G573" s="1"/>
      <c r="H573" s="1"/>
      <c r="I573" s="59">
        <f>SUM(F573:H573)</f>
        <v>0</v>
      </c>
      <c r="J573" s="1"/>
      <c r="K573" s="1"/>
      <c r="L573" s="1"/>
      <c r="M573" s="59">
        <f>SUM(J573:L573)</f>
        <v>0</v>
      </c>
      <c r="N573" s="1"/>
      <c r="O573" s="1"/>
      <c r="P573" s="1"/>
      <c r="Q573" s="59">
        <f>SUM(N573:P573)</f>
        <v>0</v>
      </c>
      <c r="R573" s="59">
        <f>+E573+I573+M573+Q573</f>
        <v>0</v>
      </c>
      <c r="T573" s="4" t="s">
        <v>368</v>
      </c>
    </row>
    <row r="574" spans="1:20" ht="15.75" customHeight="1" x14ac:dyDescent="0.3">
      <c r="A574" s="74" t="s">
        <v>496</v>
      </c>
      <c r="B574" s="1"/>
      <c r="C574" s="1">
        <v>500</v>
      </c>
      <c r="D574" s="1">
        <v>500</v>
      </c>
      <c r="E574" s="59">
        <f>SUM(B574:D574)</f>
        <v>1000</v>
      </c>
      <c r="F574" s="1"/>
      <c r="G574" s="1"/>
      <c r="H574" s="1"/>
      <c r="I574" s="59">
        <f>SUM(F574:H574)</f>
        <v>0</v>
      </c>
      <c r="J574" s="1"/>
      <c r="K574" s="1"/>
      <c r="L574" s="1"/>
      <c r="M574" s="59">
        <f>SUM(J574:L574)</f>
        <v>0</v>
      </c>
      <c r="N574" s="1"/>
      <c r="O574" s="1"/>
      <c r="P574" s="1"/>
      <c r="Q574" s="59">
        <f>SUM(N574:P574)</f>
        <v>0</v>
      </c>
      <c r="R574" s="59">
        <f>+E574+I574+M574+Q574</f>
        <v>1000</v>
      </c>
    </row>
    <row r="575" spans="1:20" ht="15.75" customHeight="1" x14ac:dyDescent="0.3">
      <c r="A575" s="74" t="s">
        <v>497</v>
      </c>
      <c r="B575" s="1"/>
      <c r="C575" s="1"/>
      <c r="D575" s="1">
        <v>250</v>
      </c>
      <c r="E575" s="59">
        <f>SUM(B575:D575)</f>
        <v>250</v>
      </c>
      <c r="F575" s="1">
        <v>250</v>
      </c>
      <c r="G575" s="1">
        <v>250</v>
      </c>
      <c r="H575" s="1">
        <v>1250</v>
      </c>
      <c r="I575" s="59">
        <f>SUM(F575:H575)</f>
        <v>1750</v>
      </c>
      <c r="J575" s="1">
        <v>1000</v>
      </c>
      <c r="K575" s="1">
        <v>500</v>
      </c>
      <c r="L575" s="1">
        <v>500</v>
      </c>
      <c r="M575" s="59">
        <f>SUM(J575:L575)</f>
        <v>2000</v>
      </c>
      <c r="N575" s="1"/>
      <c r="O575" s="1"/>
      <c r="P575" s="1"/>
      <c r="Q575" s="59">
        <f>SUM(N575:P575)</f>
        <v>0</v>
      </c>
      <c r="R575" s="59">
        <f>+E575+I575+M575+Q575</f>
        <v>4000</v>
      </c>
    </row>
    <row r="576" spans="1:20" ht="15.75" customHeight="1" x14ac:dyDescent="0.3">
      <c r="A576" s="74" t="s">
        <v>498</v>
      </c>
      <c r="B576" s="1"/>
      <c r="C576" s="1"/>
      <c r="D576" s="1"/>
      <c r="E576" s="59">
        <f>SUM(B576:D576)</f>
        <v>0</v>
      </c>
      <c r="F576" s="1"/>
      <c r="G576" s="1"/>
      <c r="H576" s="1">
        <v>500</v>
      </c>
      <c r="I576" s="59">
        <f>SUM(F576:H576)</f>
        <v>500</v>
      </c>
      <c r="J576" s="1">
        <v>500</v>
      </c>
      <c r="K576" s="1"/>
      <c r="L576" s="1">
        <v>500</v>
      </c>
      <c r="M576" s="59">
        <f>SUM(J576:L576)</f>
        <v>1000</v>
      </c>
      <c r="N576" s="1">
        <v>500</v>
      </c>
      <c r="O576" s="1"/>
      <c r="P576" s="1">
        <v>500</v>
      </c>
      <c r="Q576" s="59">
        <f>SUM(N576:P576)</f>
        <v>1000</v>
      </c>
      <c r="R576" s="59">
        <f>+E576+I576+M576+Q576</f>
        <v>2500</v>
      </c>
    </row>
    <row r="577" spans="1:20" ht="15.75" customHeight="1" x14ac:dyDescent="0.3">
      <c r="A577" s="74" t="s">
        <v>499</v>
      </c>
      <c r="B577" s="1"/>
      <c r="C577" s="1"/>
      <c r="D577" s="1"/>
      <c r="E577" s="59">
        <f>SUM(B577:D577)</f>
        <v>0</v>
      </c>
      <c r="F577" s="1"/>
      <c r="G577" s="1"/>
      <c r="H577" s="1"/>
      <c r="I577" s="59">
        <f>SUM(F577:H577)</f>
        <v>0</v>
      </c>
      <c r="J577" s="1">
        <v>237</v>
      </c>
      <c r="K577" s="1">
        <v>220</v>
      </c>
      <c r="L577" s="1"/>
      <c r="M577" s="59">
        <f>SUM(J577:L577)</f>
        <v>457</v>
      </c>
      <c r="N577" s="1"/>
      <c r="O577" s="1"/>
      <c r="P577" s="1"/>
      <c r="Q577" s="59">
        <f>SUM(N577:P577)</f>
        <v>0</v>
      </c>
      <c r="R577" s="59">
        <f>+E577+I577+M577+Q577</f>
        <v>457</v>
      </c>
    </row>
    <row r="578" spans="1:20" ht="15.75" customHeight="1" x14ac:dyDescent="0.3">
      <c r="A578" s="17" t="s">
        <v>47</v>
      </c>
      <c r="B578" s="1"/>
      <c r="C578" s="1"/>
      <c r="D578" s="1"/>
      <c r="E578" s="59" t="s">
        <v>7</v>
      </c>
      <c r="F578" s="1"/>
      <c r="G578" s="1"/>
      <c r="H578" s="1"/>
      <c r="I578" s="59" t="s">
        <v>7</v>
      </c>
      <c r="J578" s="1"/>
      <c r="K578" s="1"/>
      <c r="L578" s="1"/>
      <c r="M578" s="59" t="s">
        <v>7</v>
      </c>
      <c r="N578" s="1"/>
      <c r="O578" s="1"/>
      <c r="P578" s="1"/>
      <c r="Q578" s="59" t="s">
        <v>7</v>
      </c>
      <c r="R578" s="59" t="s">
        <v>7</v>
      </c>
    </row>
    <row r="579" spans="1:20" ht="15.75" customHeight="1" x14ac:dyDescent="0.3">
      <c r="A579" s="17" t="s">
        <v>49</v>
      </c>
      <c r="B579" s="1"/>
      <c r="C579" s="1"/>
      <c r="D579" s="1"/>
      <c r="E579" s="59" t="s">
        <v>7</v>
      </c>
      <c r="F579" s="1"/>
      <c r="G579" s="1"/>
      <c r="H579" s="1"/>
      <c r="I579" s="59" t="s">
        <v>7</v>
      </c>
      <c r="J579" s="1"/>
      <c r="K579" s="1"/>
      <c r="L579" s="1"/>
      <c r="M579" s="59" t="s">
        <v>7</v>
      </c>
      <c r="N579" s="1"/>
      <c r="O579" s="1"/>
      <c r="P579" s="1"/>
      <c r="Q579" s="59" t="s">
        <v>7</v>
      </c>
      <c r="R579" s="59" t="s">
        <v>7</v>
      </c>
    </row>
    <row r="580" spans="1:20" ht="15.75" customHeight="1" thickBot="1" x14ac:dyDescent="0.35">
      <c r="A580" s="17" t="s">
        <v>51</v>
      </c>
      <c r="B580" s="1"/>
      <c r="C580" s="1"/>
      <c r="D580" s="1"/>
      <c r="E580" s="59" t="s">
        <v>7</v>
      </c>
      <c r="F580" s="1"/>
      <c r="G580" s="1"/>
      <c r="H580" s="1"/>
      <c r="I580" s="59" t="s">
        <v>7</v>
      </c>
      <c r="J580" s="1"/>
      <c r="K580" s="1"/>
      <c r="L580" s="1"/>
      <c r="M580" s="59" t="s">
        <v>7</v>
      </c>
      <c r="N580" s="1"/>
      <c r="O580" s="1"/>
      <c r="P580" s="1"/>
      <c r="Q580" s="59" t="s">
        <v>7</v>
      </c>
      <c r="R580" s="59" t="s">
        <v>7</v>
      </c>
    </row>
    <row r="581" spans="1:20" ht="16.5" customHeight="1" thickBot="1" x14ac:dyDescent="0.35">
      <c r="A581" s="126" t="s">
        <v>52</v>
      </c>
      <c r="B581" s="100">
        <f>SUM(B571:B580)</f>
        <v>0</v>
      </c>
      <c r="C581" s="101">
        <f>SUM(C571:C580)</f>
        <v>500</v>
      </c>
      <c r="D581" s="101">
        <f>SUM(D571:D580)</f>
        <v>750</v>
      </c>
      <c r="E581" s="64">
        <f>SUM(B581:D581)</f>
        <v>1250</v>
      </c>
      <c r="F581" s="101">
        <f>SUM(F571:F580)</f>
        <v>250</v>
      </c>
      <c r="G581" s="101">
        <f>SUM(G571:G580)</f>
        <v>250</v>
      </c>
      <c r="H581" s="101">
        <f>SUM(H571:H580)</f>
        <v>1750</v>
      </c>
      <c r="I581" s="64">
        <f>SUM(F581:H581)</f>
        <v>2250</v>
      </c>
      <c r="J581" s="101">
        <f>SUM(J571:J580)</f>
        <v>1737</v>
      </c>
      <c r="K581" s="101">
        <f>SUM(K571:K580)</f>
        <v>720</v>
      </c>
      <c r="L581" s="101">
        <f>SUM(L571:L580)</f>
        <v>1000</v>
      </c>
      <c r="M581" s="64">
        <f>SUM(J581:L581)</f>
        <v>3457</v>
      </c>
      <c r="N581" s="101">
        <f>SUM(N571:N580)</f>
        <v>500</v>
      </c>
      <c r="O581" s="101">
        <f>SUM(O571:O580)</f>
        <v>0</v>
      </c>
      <c r="P581" s="101">
        <f>SUM(P571:P580)</f>
        <v>500</v>
      </c>
      <c r="Q581" s="64">
        <f>SUM(N581:P581)</f>
        <v>1000</v>
      </c>
      <c r="R581" s="64">
        <f>+E581+I581+M581+Q581</f>
        <v>7957</v>
      </c>
    </row>
    <row r="582" spans="1:20" ht="15.75" customHeight="1" x14ac:dyDescent="0.3">
      <c r="A582" s="17" t="s">
        <v>53</v>
      </c>
      <c r="B582" s="1"/>
      <c r="C582" s="1"/>
      <c r="D582" s="1"/>
      <c r="E582" s="65" t="s">
        <v>7</v>
      </c>
      <c r="F582" s="1"/>
      <c r="G582" s="1"/>
      <c r="H582" s="1"/>
      <c r="I582" s="65" t="s">
        <v>7</v>
      </c>
      <c r="J582" s="1"/>
      <c r="K582" s="1"/>
      <c r="L582" s="1"/>
      <c r="M582" s="65" t="s">
        <v>7</v>
      </c>
      <c r="N582" s="1"/>
      <c r="O582" s="1"/>
      <c r="P582" s="1"/>
      <c r="Q582" s="65" t="s">
        <v>7</v>
      </c>
      <c r="R582" s="146" t="s">
        <v>7</v>
      </c>
    </row>
    <row r="583" spans="1:20" ht="15.75" customHeight="1" x14ac:dyDescent="0.3">
      <c r="A583" s="17" t="s">
        <v>55</v>
      </c>
      <c r="B583" s="1"/>
      <c r="C583" s="1"/>
      <c r="D583" s="1"/>
      <c r="E583" s="59" t="s">
        <v>7</v>
      </c>
      <c r="F583" s="1"/>
      <c r="G583" s="1"/>
      <c r="H583" s="1"/>
      <c r="I583" s="59" t="s">
        <v>7</v>
      </c>
      <c r="J583" s="1"/>
      <c r="K583" s="1"/>
      <c r="L583" s="1"/>
      <c r="M583" s="59" t="s">
        <v>7</v>
      </c>
      <c r="N583" s="1"/>
      <c r="O583" s="1"/>
      <c r="P583" s="1"/>
      <c r="Q583" s="59" t="s">
        <v>7</v>
      </c>
      <c r="R583" s="146" t="s">
        <v>7</v>
      </c>
    </row>
    <row r="584" spans="1:20" ht="15.75" customHeight="1" x14ac:dyDescent="0.3">
      <c r="A584" s="74" t="s">
        <v>500</v>
      </c>
      <c r="B584" s="1">
        <v>123</v>
      </c>
      <c r="C584" s="1">
        <v>75</v>
      </c>
      <c r="D584" s="1">
        <v>1800</v>
      </c>
      <c r="E584" s="59">
        <f>SUM(B584:D584)</f>
        <v>1998</v>
      </c>
      <c r="F584" s="1">
        <v>2800</v>
      </c>
      <c r="G584" s="1">
        <f>1530+1000</f>
        <v>2530</v>
      </c>
      <c r="H584" s="1">
        <v>4025</v>
      </c>
      <c r="I584" s="59">
        <f>SUM(F584:H584)</f>
        <v>9355</v>
      </c>
      <c r="J584" s="1">
        <v>4590</v>
      </c>
      <c r="K584" s="1">
        <v>3844</v>
      </c>
      <c r="L584" s="1">
        <v>600</v>
      </c>
      <c r="M584" s="59">
        <f>SUM(J584:L584)</f>
        <v>9034</v>
      </c>
      <c r="N584" s="1">
        <v>350</v>
      </c>
      <c r="O584" s="1">
        <v>80</v>
      </c>
      <c r="P584" s="1">
        <v>56</v>
      </c>
      <c r="Q584" s="59">
        <f>SUM(N584:P584)</f>
        <v>486</v>
      </c>
      <c r="R584" s="59">
        <f>+E584+I584+M584+Q584</f>
        <v>20873</v>
      </c>
      <c r="S584" s="4">
        <f>+SUM(R584,R541,R398)</f>
        <v>87221</v>
      </c>
      <c r="T584" s="4" t="s">
        <v>501</v>
      </c>
    </row>
    <row r="585" spans="1:20" ht="15.75" customHeight="1" x14ac:dyDescent="0.3">
      <c r="A585" s="74" t="s">
        <v>502</v>
      </c>
      <c r="B585" s="1"/>
      <c r="C585" s="1"/>
      <c r="D585" s="1"/>
      <c r="E585" s="59">
        <f>SUM(B585:D585)</f>
        <v>0</v>
      </c>
      <c r="F585" s="1"/>
      <c r="G585" s="1"/>
      <c r="H585" s="1"/>
      <c r="I585" s="59">
        <f>SUM(F585:H585)</f>
        <v>0</v>
      </c>
      <c r="J585" s="1"/>
      <c r="K585" s="1"/>
      <c r="L585" s="1"/>
      <c r="M585" s="59">
        <f>SUM(J585:L585)</f>
        <v>0</v>
      </c>
      <c r="N585" s="1"/>
      <c r="O585" s="1"/>
      <c r="P585" s="1"/>
      <c r="Q585" s="59">
        <f>SUM(N585:P585)</f>
        <v>0</v>
      </c>
      <c r="R585" s="59">
        <f>+E585+I585+M585+Q585</f>
        <v>0</v>
      </c>
    </row>
    <row r="586" spans="1:20" ht="15.75" customHeight="1" thickBot="1" x14ac:dyDescent="0.35">
      <c r="A586" s="17" t="s">
        <v>56</v>
      </c>
      <c r="B586" s="1"/>
      <c r="C586" s="1"/>
      <c r="D586" s="1"/>
      <c r="E586" s="59" t="s">
        <v>7</v>
      </c>
      <c r="F586" s="1"/>
      <c r="G586" s="1"/>
      <c r="H586" s="1"/>
      <c r="I586" s="59" t="s">
        <v>7</v>
      </c>
      <c r="J586" s="1"/>
      <c r="K586" s="1"/>
      <c r="L586" s="1"/>
      <c r="M586" s="59" t="s">
        <v>7</v>
      </c>
      <c r="N586" s="1"/>
      <c r="O586" s="1"/>
      <c r="P586" s="1"/>
      <c r="Q586" s="59" t="s">
        <v>7</v>
      </c>
      <c r="R586" s="146" t="s">
        <v>7</v>
      </c>
    </row>
    <row r="587" spans="1:20" ht="16.5" customHeight="1" thickBot="1" x14ac:dyDescent="0.35">
      <c r="A587" s="62" t="s">
        <v>57</v>
      </c>
      <c r="B587" s="100">
        <f>SUM(B582:B586)</f>
        <v>123</v>
      </c>
      <c r="C587" s="101">
        <f>SUM(C582:C586)</f>
        <v>75</v>
      </c>
      <c r="D587" s="101">
        <f>SUM(D582:D586)</f>
        <v>1800</v>
      </c>
      <c r="E587" s="64">
        <f>SUM(B587:D587)</f>
        <v>1998</v>
      </c>
      <c r="F587" s="101">
        <f>SUM(F582:F586)</f>
        <v>2800</v>
      </c>
      <c r="G587" s="101">
        <f>SUM(G582:G586)</f>
        <v>2530</v>
      </c>
      <c r="H587" s="101">
        <f>SUM(H582:H586)</f>
        <v>4025</v>
      </c>
      <c r="I587" s="64">
        <f>SUM(F587:H587)</f>
        <v>9355</v>
      </c>
      <c r="J587" s="101">
        <f>SUM(J582:J586)</f>
        <v>4590</v>
      </c>
      <c r="K587" s="101">
        <f>SUM(K582:K586)</f>
        <v>3844</v>
      </c>
      <c r="L587" s="101">
        <f>SUM(L582:L586)</f>
        <v>600</v>
      </c>
      <c r="M587" s="64">
        <f>SUM(J587:L587)</f>
        <v>9034</v>
      </c>
      <c r="N587" s="101">
        <f>SUM(N582:N586)</f>
        <v>350</v>
      </c>
      <c r="O587" s="101">
        <f>SUM(O582:O586)</f>
        <v>80</v>
      </c>
      <c r="P587" s="101">
        <f>SUM(P582:P586)</f>
        <v>56</v>
      </c>
      <c r="Q587" s="64">
        <f>SUM(N587:P587)</f>
        <v>486</v>
      </c>
      <c r="R587" s="64">
        <f>+E587+I587+M587+Q587</f>
        <v>20873</v>
      </c>
    </row>
    <row r="588" spans="1:20" ht="15.75" customHeight="1" x14ac:dyDescent="0.3">
      <c r="A588" s="17" t="s">
        <v>58</v>
      </c>
      <c r="B588" s="1"/>
      <c r="C588" s="1"/>
      <c r="D588" s="1"/>
      <c r="E588" s="59" t="s">
        <v>7</v>
      </c>
      <c r="F588" s="1"/>
      <c r="G588" s="1"/>
      <c r="H588" s="1"/>
      <c r="I588" s="59" t="s">
        <v>7</v>
      </c>
      <c r="J588" s="1"/>
      <c r="K588" s="1"/>
      <c r="L588" s="1"/>
      <c r="M588" s="59" t="s">
        <v>7</v>
      </c>
      <c r="N588" s="1"/>
      <c r="O588" s="1"/>
      <c r="P588" s="1"/>
      <c r="Q588" s="59" t="s">
        <v>7</v>
      </c>
      <c r="R588" s="59" t="s">
        <v>7</v>
      </c>
    </row>
    <row r="589" spans="1:20" ht="15.75" customHeight="1" x14ac:dyDescent="0.3">
      <c r="A589" s="17" t="s">
        <v>59</v>
      </c>
      <c r="B589" s="1"/>
      <c r="C589" s="1"/>
      <c r="D589" s="1"/>
      <c r="E589" s="59" t="s">
        <v>7</v>
      </c>
      <c r="F589" s="1"/>
      <c r="G589" s="1"/>
      <c r="H589" s="1"/>
      <c r="I589" s="59" t="s">
        <v>7</v>
      </c>
      <c r="J589" s="1"/>
      <c r="K589" s="1"/>
      <c r="L589" s="1"/>
      <c r="M589" s="59" t="s">
        <v>7</v>
      </c>
      <c r="N589" s="1"/>
      <c r="O589" s="1"/>
      <c r="P589" s="1"/>
      <c r="Q589" s="59" t="s">
        <v>7</v>
      </c>
      <c r="R589" s="59" t="s">
        <v>7</v>
      </c>
    </row>
    <row r="590" spans="1:20" ht="15.75" customHeight="1" x14ac:dyDescent="0.3">
      <c r="A590" s="17" t="s">
        <v>60</v>
      </c>
      <c r="B590" s="1"/>
      <c r="C590" s="1"/>
      <c r="D590" s="1"/>
      <c r="E590" s="59" t="s">
        <v>7</v>
      </c>
      <c r="F590" s="1"/>
      <c r="G590" s="1"/>
      <c r="H590" s="1"/>
      <c r="I590" s="59" t="s">
        <v>7</v>
      </c>
      <c r="J590" s="1"/>
      <c r="K590" s="1"/>
      <c r="L590" s="1"/>
      <c r="M590" s="59" t="s">
        <v>7</v>
      </c>
      <c r="N590" s="1"/>
      <c r="O590" s="1"/>
      <c r="P590" s="1"/>
      <c r="Q590" s="59" t="s">
        <v>7</v>
      </c>
      <c r="R590" s="59" t="s">
        <v>7</v>
      </c>
    </row>
    <row r="591" spans="1:20" ht="15.75" customHeight="1" thickBot="1" x14ac:dyDescent="0.35">
      <c r="A591" s="103" t="s">
        <v>396</v>
      </c>
      <c r="B591" s="1"/>
      <c r="C591" s="1"/>
      <c r="D591" s="1"/>
      <c r="E591" s="59">
        <f>SUM(B591:D591)</f>
        <v>0</v>
      </c>
      <c r="F591" s="1"/>
      <c r="G591" s="1"/>
      <c r="H591" s="1"/>
      <c r="I591" s="59">
        <f>SUM(F591:H591)</f>
        <v>0</v>
      </c>
      <c r="J591" s="1"/>
      <c r="K591" s="1"/>
      <c r="L591" s="1"/>
      <c r="M591" s="59">
        <f>SUM(J591:L591)</f>
        <v>0</v>
      </c>
      <c r="N591" s="1"/>
      <c r="O591" s="1"/>
      <c r="P591" s="1"/>
      <c r="Q591" s="59">
        <f>SUM(N591:P591)</f>
        <v>0</v>
      </c>
      <c r="R591" s="59">
        <f>+E591+I591+M591+Q591</f>
        <v>0</v>
      </c>
      <c r="T591" s="4" t="s">
        <v>368</v>
      </c>
    </row>
    <row r="592" spans="1:20" ht="16.5" customHeight="1" thickBot="1" x14ac:dyDescent="0.35">
      <c r="A592" s="137" t="s">
        <v>61</v>
      </c>
      <c r="B592" s="100">
        <f>SUM(B588:B591)</f>
        <v>0</v>
      </c>
      <c r="C592" s="101">
        <f>SUM(C588:C591)</f>
        <v>0</v>
      </c>
      <c r="D592" s="101">
        <f>SUM(D588:D591)</f>
        <v>0</v>
      </c>
      <c r="E592" s="64">
        <f>SUM(B592:D592)</f>
        <v>0</v>
      </c>
      <c r="F592" s="101">
        <f>SUM(F588:F591)</f>
        <v>0</v>
      </c>
      <c r="G592" s="101">
        <f>SUM(G588:G591)</f>
        <v>0</v>
      </c>
      <c r="H592" s="101">
        <f>SUM(H588:H591)</f>
        <v>0</v>
      </c>
      <c r="I592" s="64">
        <f>SUM(F592:H592)</f>
        <v>0</v>
      </c>
      <c r="J592" s="101">
        <f>SUM(J588:J591)</f>
        <v>0</v>
      </c>
      <c r="K592" s="101">
        <f>SUM(K588:K591)</f>
        <v>0</v>
      </c>
      <c r="L592" s="101">
        <f>SUM(L588:L591)</f>
        <v>0</v>
      </c>
      <c r="M592" s="64">
        <f>SUM(J592:L592)</f>
        <v>0</v>
      </c>
      <c r="N592" s="101">
        <f>SUM(N588:N591)</f>
        <v>0</v>
      </c>
      <c r="O592" s="101">
        <f>SUM(O588:O591)</f>
        <v>0</v>
      </c>
      <c r="P592" s="101">
        <f>SUM(P588:P591)</f>
        <v>0</v>
      </c>
      <c r="Q592" s="64">
        <f>SUM(N592:P592)</f>
        <v>0</v>
      </c>
      <c r="R592" s="64">
        <f>+E592+I592+M592+Q592</f>
        <v>0</v>
      </c>
    </row>
    <row r="593" spans="1:20" ht="15.75" customHeight="1" x14ac:dyDescent="0.3">
      <c r="A593" s="17" t="s">
        <v>62</v>
      </c>
      <c r="B593" s="1"/>
      <c r="C593" s="1"/>
      <c r="D593" s="1"/>
      <c r="E593" s="59" t="s">
        <v>7</v>
      </c>
      <c r="F593" s="1"/>
      <c r="G593" s="1"/>
      <c r="H593" s="1"/>
      <c r="I593" s="59" t="s">
        <v>7</v>
      </c>
      <c r="J593" s="1"/>
      <c r="K593" s="1"/>
      <c r="L593" s="1"/>
      <c r="M593" s="59" t="s">
        <v>7</v>
      </c>
      <c r="N593" s="1"/>
      <c r="O593" s="1"/>
      <c r="P593" s="1"/>
      <c r="Q593" s="59" t="s">
        <v>7</v>
      </c>
      <c r="R593" s="59" t="s">
        <v>7</v>
      </c>
    </row>
    <row r="594" spans="1:20" ht="15.75" customHeight="1" x14ac:dyDescent="0.3">
      <c r="A594" s="17" t="s">
        <v>63</v>
      </c>
      <c r="B594" s="1"/>
      <c r="C594" s="1"/>
      <c r="D594" s="1"/>
      <c r="E594" s="59" t="s">
        <v>7</v>
      </c>
      <c r="F594" s="1"/>
      <c r="G594" s="1"/>
      <c r="H594" s="1"/>
      <c r="I594" s="59" t="s">
        <v>7</v>
      </c>
      <c r="J594" s="1"/>
      <c r="K594" s="1"/>
      <c r="L594" s="1"/>
      <c r="M594" s="59" t="s">
        <v>7</v>
      </c>
      <c r="N594" s="1"/>
      <c r="O594" s="1"/>
      <c r="P594" s="1"/>
      <c r="Q594" s="59" t="s">
        <v>7</v>
      </c>
      <c r="R594" s="59" t="s">
        <v>7</v>
      </c>
    </row>
    <row r="595" spans="1:20" ht="15.75" customHeight="1" x14ac:dyDescent="0.3">
      <c r="A595" s="17" t="s">
        <v>64</v>
      </c>
      <c r="B595" s="1"/>
      <c r="C595" s="1"/>
      <c r="D595" s="1"/>
      <c r="E595" s="59" t="s">
        <v>7</v>
      </c>
      <c r="F595" s="1"/>
      <c r="G595" s="1"/>
      <c r="H595" s="1"/>
      <c r="I595" s="59" t="s">
        <v>7</v>
      </c>
      <c r="J595" s="1"/>
      <c r="K595" s="1"/>
      <c r="L595" s="1"/>
      <c r="M595" s="59" t="s">
        <v>7</v>
      </c>
      <c r="N595" s="1"/>
      <c r="O595" s="1"/>
      <c r="P595" s="1"/>
      <c r="Q595" s="59" t="s">
        <v>7</v>
      </c>
      <c r="R595" s="59" t="s">
        <v>7</v>
      </c>
    </row>
    <row r="596" spans="1:20" ht="15.75" customHeight="1" x14ac:dyDescent="0.3">
      <c r="A596" s="17" t="s">
        <v>66</v>
      </c>
      <c r="B596" s="1"/>
      <c r="C596" s="1"/>
      <c r="D596" s="1"/>
      <c r="E596" s="59" t="s">
        <v>7</v>
      </c>
      <c r="F596" s="1"/>
      <c r="G596" s="1"/>
      <c r="H596" s="1"/>
      <c r="I596" s="59" t="s">
        <v>7</v>
      </c>
      <c r="J596" s="1"/>
      <c r="K596" s="1"/>
      <c r="L596" s="1"/>
      <c r="M596" s="59" t="s">
        <v>7</v>
      </c>
      <c r="N596" s="1"/>
      <c r="O596" s="1"/>
      <c r="P596" s="1"/>
      <c r="Q596" s="59" t="s">
        <v>7</v>
      </c>
      <c r="R596" s="59" t="s">
        <v>7</v>
      </c>
    </row>
    <row r="597" spans="1:20" ht="15.75" customHeight="1" x14ac:dyDescent="0.3">
      <c r="A597" s="74" t="s">
        <v>503</v>
      </c>
      <c r="B597" s="1"/>
      <c r="C597" s="1"/>
      <c r="D597" s="1"/>
      <c r="E597" s="59">
        <f>SUM(B597:D597)</f>
        <v>0</v>
      </c>
      <c r="F597" s="1"/>
      <c r="G597" s="1"/>
      <c r="H597" s="1"/>
      <c r="I597" s="59">
        <f>SUM(F597:H597)</f>
        <v>0</v>
      </c>
      <c r="J597" s="1"/>
      <c r="K597" s="1"/>
      <c r="L597" s="1"/>
      <c r="M597" s="59">
        <f>SUM(J597:L597)</f>
        <v>0</v>
      </c>
      <c r="N597" s="1"/>
      <c r="O597" s="1"/>
      <c r="P597" s="1"/>
      <c r="Q597" s="59">
        <f>SUM(N597:P597)</f>
        <v>0</v>
      </c>
      <c r="R597" s="59">
        <f>+E597+I597+M597+Q597</f>
        <v>0</v>
      </c>
    </row>
    <row r="598" spans="1:20" ht="15.75" customHeight="1" x14ac:dyDescent="0.3">
      <c r="A598" s="17" t="s">
        <v>67</v>
      </c>
      <c r="B598" s="1"/>
      <c r="C598" s="1"/>
      <c r="D598" s="1"/>
      <c r="E598" s="59"/>
      <c r="F598" s="1"/>
      <c r="G598" s="1"/>
      <c r="H598" s="1"/>
      <c r="I598" s="59"/>
      <c r="J598" s="1"/>
      <c r="K598" s="1"/>
      <c r="L598" s="1"/>
      <c r="M598" s="59"/>
      <c r="N598" s="1"/>
      <c r="O598" s="1"/>
      <c r="P598" s="1"/>
      <c r="Q598" s="59"/>
      <c r="R598" s="59" t="s">
        <v>7</v>
      </c>
    </row>
    <row r="599" spans="1:20" ht="15.75" customHeight="1" x14ac:dyDescent="0.3">
      <c r="A599" s="74" t="s">
        <v>460</v>
      </c>
      <c r="B599" s="1"/>
      <c r="C599" s="1"/>
      <c r="D599" s="1"/>
      <c r="E599" s="59">
        <f t="shared" ref="E599:E606" si="213">SUM(B599:D599)</f>
        <v>0</v>
      </c>
      <c r="F599" s="1"/>
      <c r="G599" s="1"/>
      <c r="H599" s="1"/>
      <c r="I599" s="59">
        <f t="shared" ref="I599:I606" si="214">SUM(F599:H599)</f>
        <v>0</v>
      </c>
      <c r="J599" s="1"/>
      <c r="K599" s="1"/>
      <c r="L599" s="1"/>
      <c r="M599" s="59">
        <f t="shared" ref="M599:M606" si="215">SUM(J599:L599)</f>
        <v>0</v>
      </c>
      <c r="N599" s="1"/>
      <c r="O599" s="1"/>
      <c r="P599" s="1"/>
      <c r="Q599" s="59">
        <f t="shared" ref="Q599:Q606" si="216">SUM(N599:P599)</f>
        <v>0</v>
      </c>
      <c r="R599" s="59">
        <f t="shared" ref="R599:R606" si="217">+E599+I599+M599+Q599</f>
        <v>0</v>
      </c>
      <c r="T599" s="4" t="s">
        <v>368</v>
      </c>
    </row>
    <row r="600" spans="1:20" ht="15.75" customHeight="1" x14ac:dyDescent="0.3">
      <c r="A600" s="74" t="s">
        <v>504</v>
      </c>
      <c r="B600" s="1"/>
      <c r="C600" s="1"/>
      <c r="D600" s="1"/>
      <c r="E600" s="59">
        <f>SUM(B600:D600)</f>
        <v>0</v>
      </c>
      <c r="F600" s="1"/>
      <c r="G600" s="1"/>
      <c r="H600" s="1"/>
      <c r="I600" s="59">
        <f>SUM(F600:H600)</f>
        <v>0</v>
      </c>
      <c r="J600" s="1"/>
      <c r="K600" s="1"/>
      <c r="L600" s="1"/>
      <c r="M600" s="59">
        <f>SUM(J600:L600)</f>
        <v>0</v>
      </c>
      <c r="N600" s="1"/>
      <c r="O600" s="1"/>
      <c r="P600" s="1"/>
      <c r="Q600" s="59">
        <f>SUM(N600:P600)</f>
        <v>0</v>
      </c>
      <c r="R600" s="59">
        <f>+E600+I600+M600+Q600</f>
        <v>0</v>
      </c>
      <c r="T600" s="4" t="s">
        <v>368</v>
      </c>
    </row>
    <row r="601" spans="1:20" ht="15.75" customHeight="1" x14ac:dyDescent="0.3">
      <c r="A601" s="74" t="s">
        <v>505</v>
      </c>
      <c r="B601" s="1"/>
      <c r="C601" s="1"/>
      <c r="D601" s="1"/>
      <c r="E601" s="59">
        <f t="shared" ref="E601" si="218">SUM(B601:D601)</f>
        <v>0</v>
      </c>
      <c r="F601" s="1"/>
      <c r="G601" s="1"/>
      <c r="H601" s="1"/>
      <c r="I601" s="59">
        <f t="shared" ref="I601" si="219">SUM(F601:H601)</f>
        <v>0</v>
      </c>
      <c r="J601" s="1"/>
      <c r="K601" s="1"/>
      <c r="L601" s="1"/>
      <c r="M601" s="59">
        <f t="shared" ref="M601" si="220">SUM(J601:L601)</f>
        <v>0</v>
      </c>
      <c r="N601" s="1"/>
      <c r="O601" s="1"/>
      <c r="P601" s="1"/>
      <c r="Q601" s="59">
        <f t="shared" ref="Q601" si="221">SUM(N601:P601)</f>
        <v>0</v>
      </c>
      <c r="R601" s="59">
        <f t="shared" ref="R601" si="222">+E601+I601+M601+Q601</f>
        <v>0</v>
      </c>
    </row>
    <row r="602" spans="1:20" ht="15.75" customHeight="1" thickBot="1" x14ac:dyDescent="0.35">
      <c r="A602" s="74" t="s">
        <v>506</v>
      </c>
      <c r="B602" s="1"/>
      <c r="C602" s="1"/>
      <c r="D602" s="1"/>
      <c r="E602" s="59">
        <f t="shared" si="213"/>
        <v>0</v>
      </c>
      <c r="F602" s="1"/>
      <c r="G602" s="1"/>
      <c r="H602" s="1"/>
      <c r="I602" s="59">
        <f t="shared" si="214"/>
        <v>0</v>
      </c>
      <c r="J602" s="1"/>
      <c r="K602" s="1"/>
      <c r="L602" s="1"/>
      <c r="M602" s="59">
        <f t="shared" si="215"/>
        <v>0</v>
      </c>
      <c r="N602" s="1"/>
      <c r="O602" s="1"/>
      <c r="P602" s="1"/>
      <c r="Q602" s="59">
        <f t="shared" si="216"/>
        <v>0</v>
      </c>
      <c r="R602" s="59">
        <f t="shared" si="217"/>
        <v>0</v>
      </c>
    </row>
    <row r="603" spans="1:20" ht="16.5" customHeight="1" thickBot="1" x14ac:dyDescent="0.35">
      <c r="A603" s="62" t="s">
        <v>68</v>
      </c>
      <c r="B603" s="63">
        <f>SUM(B596:B602)</f>
        <v>0</v>
      </c>
      <c r="C603" s="63">
        <f>SUM(C596:C602)</f>
        <v>0</v>
      </c>
      <c r="D603" s="63">
        <f>SUM(D596:D602)</f>
        <v>0</v>
      </c>
      <c r="E603" s="65">
        <f t="shared" si="213"/>
        <v>0</v>
      </c>
      <c r="F603" s="63">
        <f>SUM(F596:F602)</f>
        <v>0</v>
      </c>
      <c r="G603" s="63">
        <f>SUM(G596:G602)</f>
        <v>0</v>
      </c>
      <c r="H603" s="63">
        <f>SUM(H596:H602)</f>
        <v>0</v>
      </c>
      <c r="I603" s="65">
        <f t="shared" si="214"/>
        <v>0</v>
      </c>
      <c r="J603" s="63">
        <f>SUM(J596:J602)</f>
        <v>0</v>
      </c>
      <c r="K603" s="63">
        <f>SUM(K596:K602)</f>
        <v>0</v>
      </c>
      <c r="L603" s="63">
        <f>SUM(L596:L602)</f>
        <v>0</v>
      </c>
      <c r="M603" s="65">
        <f t="shared" si="215"/>
        <v>0</v>
      </c>
      <c r="N603" s="63">
        <f>SUM(N596:N602)</f>
        <v>0</v>
      </c>
      <c r="O603" s="63">
        <f>SUM(O596:O602)</f>
        <v>0</v>
      </c>
      <c r="P603" s="63">
        <f>SUM(P596:P602)</f>
        <v>0</v>
      </c>
      <c r="Q603" s="65">
        <f t="shared" si="216"/>
        <v>0</v>
      </c>
      <c r="R603" s="64">
        <f t="shared" si="217"/>
        <v>0</v>
      </c>
    </row>
    <row r="604" spans="1:20" ht="16.5" customHeight="1" thickBot="1" x14ac:dyDescent="0.35">
      <c r="A604" s="137" t="s">
        <v>69</v>
      </c>
      <c r="B604" s="100">
        <f>SUM(B593:B602)</f>
        <v>0</v>
      </c>
      <c r="C604" s="101">
        <f>SUM(C593:C602)</f>
        <v>0</v>
      </c>
      <c r="D604" s="138">
        <f>SUM(D593:D602)</f>
        <v>0</v>
      </c>
      <c r="E604" s="65">
        <f t="shared" si="213"/>
        <v>0</v>
      </c>
      <c r="F604" s="101">
        <f>SUM(F593:F602)</f>
        <v>0</v>
      </c>
      <c r="G604" s="101">
        <f>SUM(G593:G602)</f>
        <v>0</v>
      </c>
      <c r="H604" s="101">
        <f>SUM(H593:H602)</f>
        <v>0</v>
      </c>
      <c r="I604" s="65">
        <f t="shared" si="214"/>
        <v>0</v>
      </c>
      <c r="J604" s="101">
        <f>SUM(J593:J602)</f>
        <v>0</v>
      </c>
      <c r="K604" s="101">
        <f>SUM(K593:K602)</f>
        <v>0</v>
      </c>
      <c r="L604" s="101">
        <f>SUM(L593:L602)</f>
        <v>0</v>
      </c>
      <c r="M604" s="65">
        <f t="shared" si="215"/>
        <v>0</v>
      </c>
      <c r="N604" s="101">
        <f>SUM(N593:N602)</f>
        <v>0</v>
      </c>
      <c r="O604" s="101">
        <f>SUM(O593:O602)</f>
        <v>0</v>
      </c>
      <c r="P604" s="101">
        <f>SUM(P593:P602)</f>
        <v>0</v>
      </c>
      <c r="Q604" s="65">
        <f t="shared" si="216"/>
        <v>0</v>
      </c>
      <c r="R604" s="64">
        <f t="shared" si="217"/>
        <v>0</v>
      </c>
    </row>
    <row r="605" spans="1:20" ht="16.5" customHeight="1" thickBot="1" x14ac:dyDescent="0.35">
      <c r="A605" s="62" t="s">
        <v>70</v>
      </c>
      <c r="B605" s="107">
        <f>+B581+B587+B592+B604</f>
        <v>123</v>
      </c>
      <c r="C605" s="63">
        <f>+C581+C587+C592+C604</f>
        <v>575</v>
      </c>
      <c r="D605" s="63">
        <f>+D581+D587+D592+D604</f>
        <v>2550</v>
      </c>
      <c r="E605" s="64">
        <f t="shared" si="213"/>
        <v>3248</v>
      </c>
      <c r="F605" s="63">
        <f>+F581+F587+F592+F604</f>
        <v>3050</v>
      </c>
      <c r="G605" s="63">
        <f>+G581+G587+G592+G604</f>
        <v>2780</v>
      </c>
      <c r="H605" s="63">
        <f>+H581+H587+H592+H604</f>
        <v>5775</v>
      </c>
      <c r="I605" s="64">
        <f t="shared" si="214"/>
        <v>11605</v>
      </c>
      <c r="J605" s="63">
        <f>+J581+J587+J592+J604</f>
        <v>6327</v>
      </c>
      <c r="K605" s="63">
        <f>+K581+K587+K592+K604</f>
        <v>4564</v>
      </c>
      <c r="L605" s="63">
        <f>+L581+L587+L592+L604</f>
        <v>1600</v>
      </c>
      <c r="M605" s="64">
        <f t="shared" si="215"/>
        <v>12491</v>
      </c>
      <c r="N605" s="63">
        <f>+N581+N587+N592+N604</f>
        <v>850</v>
      </c>
      <c r="O605" s="63">
        <f>+O581+O587+O592+O604</f>
        <v>80</v>
      </c>
      <c r="P605" s="63">
        <f>+P581+P587+P592+P604</f>
        <v>556</v>
      </c>
      <c r="Q605" s="64">
        <f t="shared" si="216"/>
        <v>1486</v>
      </c>
      <c r="R605" s="88">
        <f t="shared" si="217"/>
        <v>28830</v>
      </c>
    </row>
    <row r="606" spans="1:20" ht="16.5" customHeight="1" thickBot="1" x14ac:dyDescent="0.35">
      <c r="A606" s="40" t="s">
        <v>37</v>
      </c>
      <c r="B606" s="25">
        <v>23</v>
      </c>
      <c r="C606" s="25">
        <v>43</v>
      </c>
      <c r="D606" s="25">
        <v>66</v>
      </c>
      <c r="E606" s="88">
        <f t="shared" si="213"/>
        <v>132</v>
      </c>
      <c r="F606" s="25">
        <v>91</v>
      </c>
      <c r="G606" s="25">
        <v>108</v>
      </c>
      <c r="H606" s="25">
        <v>109</v>
      </c>
      <c r="I606" s="88">
        <f t="shared" si="214"/>
        <v>308</v>
      </c>
      <c r="J606" s="25">
        <v>104</v>
      </c>
      <c r="K606" s="25">
        <v>79</v>
      </c>
      <c r="L606" s="25">
        <v>80</v>
      </c>
      <c r="M606" s="88">
        <f t="shared" si="215"/>
        <v>263</v>
      </c>
      <c r="N606" s="25">
        <v>74</v>
      </c>
      <c r="O606" s="25">
        <v>58</v>
      </c>
      <c r="P606" s="25">
        <v>42</v>
      </c>
      <c r="Q606" s="88">
        <f t="shared" si="216"/>
        <v>174</v>
      </c>
      <c r="R606" s="59">
        <f t="shared" si="217"/>
        <v>877</v>
      </c>
    </row>
    <row r="607" spans="1:20" ht="16.5" customHeight="1" thickBot="1" x14ac:dyDescent="0.35">
      <c r="A607" s="42"/>
      <c r="B607" s="37"/>
      <c r="C607" s="37"/>
      <c r="D607" s="37"/>
      <c r="E607" s="43"/>
      <c r="F607" s="37"/>
      <c r="G607" s="37"/>
      <c r="H607" s="37"/>
      <c r="I607" s="147"/>
      <c r="J607" s="37"/>
      <c r="K607" s="37"/>
      <c r="L607" s="37"/>
      <c r="M607" s="147"/>
      <c r="N607" s="37"/>
      <c r="O607" s="37"/>
      <c r="P607" s="37"/>
      <c r="Q607" s="147"/>
      <c r="R607" s="43"/>
    </row>
    <row r="608" spans="1:20" ht="15.75" customHeight="1" x14ac:dyDescent="0.3">
      <c r="A608" s="17" t="s">
        <v>507</v>
      </c>
      <c r="B608" s="83">
        <f>SUM(B605:B606)</f>
        <v>146</v>
      </c>
      <c r="C608" s="83">
        <f>SUM(C605:C606)</f>
        <v>618</v>
      </c>
      <c r="D608" s="83">
        <f>SUM(D605:D606)</f>
        <v>2616</v>
      </c>
      <c r="E608" s="65">
        <f>SUM(B608:D608)</f>
        <v>3380</v>
      </c>
      <c r="F608" s="83">
        <f>SUM(F605:F606)</f>
        <v>3141</v>
      </c>
      <c r="G608" s="83">
        <f>SUM(G605:G606)</f>
        <v>2888</v>
      </c>
      <c r="H608" s="83">
        <f>SUM(H605:H606)</f>
        <v>5884</v>
      </c>
      <c r="I608" s="65">
        <f>SUM(F608:H608)</f>
        <v>11913</v>
      </c>
      <c r="J608" s="83">
        <f>SUM(J605:J606)</f>
        <v>6431</v>
      </c>
      <c r="K608" s="83">
        <f>SUM(K605:K606)</f>
        <v>4643</v>
      </c>
      <c r="L608" s="83">
        <f>SUM(L605:L606)</f>
        <v>1680</v>
      </c>
      <c r="M608" s="65">
        <f>SUM(J608:L608)</f>
        <v>12754</v>
      </c>
      <c r="N608" s="83">
        <f>SUM(N605:N606)</f>
        <v>924</v>
      </c>
      <c r="O608" s="83">
        <f>SUM(O605:O606)</f>
        <v>138</v>
      </c>
      <c r="P608" s="83">
        <f>SUM(P605:P606)</f>
        <v>598</v>
      </c>
      <c r="Q608" s="65">
        <f>SUM(N608:P608)</f>
        <v>1660</v>
      </c>
      <c r="R608" s="65">
        <f>+E608+I608+M608+Q608</f>
        <v>29707</v>
      </c>
    </row>
    <row r="609" spans="1:20" ht="15.75" customHeight="1" x14ac:dyDescent="0.3">
      <c r="A609" s="17" t="s">
        <v>39</v>
      </c>
      <c r="B609" s="1">
        <f>(B608/B10)/1.983</f>
        <v>2.3750264343695608</v>
      </c>
      <c r="C609" s="1">
        <f>(C608/C10)/1.983</f>
        <v>11.130322022909013</v>
      </c>
      <c r="D609" s="1">
        <f>(D608/D10)/1.983</f>
        <v>42.555268166512128</v>
      </c>
      <c r="E609" s="59" t="s">
        <v>7</v>
      </c>
      <c r="F609" s="1">
        <f>(F608/F10)/1.983</f>
        <v>52.798789712556733</v>
      </c>
      <c r="G609" s="1">
        <f>(G608/G10)/1.983</f>
        <v>46.979974948351305</v>
      </c>
      <c r="H609" s="1">
        <f>(H608/H10)/1.983</f>
        <v>98.907379391494359</v>
      </c>
      <c r="I609" s="59" t="s">
        <v>7</v>
      </c>
      <c r="J609" s="1">
        <f>(J608/J10)/1.983</f>
        <v>104.61503424267563</v>
      </c>
      <c r="K609" s="1">
        <f>(K608/K10)/1.983</f>
        <v>75.529094073821028</v>
      </c>
      <c r="L609" s="1">
        <f>(L608/L10)/1.983</f>
        <v>28.240040342914774</v>
      </c>
      <c r="M609" s="59" t="s">
        <v>7</v>
      </c>
      <c r="N609" s="1">
        <f>(N608/N10)/1.983</f>
        <v>15.030989214777218</v>
      </c>
      <c r="O609" s="1">
        <f>(O608/O10)/1.983</f>
        <v>2.3197175995965704</v>
      </c>
      <c r="P609" s="1">
        <f>(P608/P10)/1.983</f>
        <v>9.7278479983081994</v>
      </c>
      <c r="Q609" s="59" t="s">
        <v>7</v>
      </c>
      <c r="R609" s="59" t="s">
        <v>7</v>
      </c>
    </row>
    <row r="610" spans="1:20" ht="15.75" customHeight="1" x14ac:dyDescent="0.3">
      <c r="A610" s="17" t="s">
        <v>508</v>
      </c>
      <c r="B610" s="1">
        <f>B608+B676</f>
        <v>15838</v>
      </c>
      <c r="C610" s="1">
        <f>C608+C676</f>
        <v>22891</v>
      </c>
      <c r="D610" s="1">
        <f>D608+D676</f>
        <v>31315</v>
      </c>
      <c r="E610" s="59">
        <f>SUM(B610:D610)</f>
        <v>70044</v>
      </c>
      <c r="F610" s="1">
        <f>F608+F676</f>
        <v>34700</v>
      </c>
      <c r="G610" s="1">
        <f>G608+G676</f>
        <v>33863</v>
      </c>
      <c r="H610" s="1">
        <f>H608+H676</f>
        <v>32817</v>
      </c>
      <c r="I610" s="59">
        <f>SUM(F610:H610)</f>
        <v>101380</v>
      </c>
      <c r="J610" s="1">
        <f>J608+J676</f>
        <v>33632</v>
      </c>
      <c r="K610" s="1">
        <f>K608+K676</f>
        <v>31601</v>
      </c>
      <c r="L610" s="1">
        <f>L608+L676</f>
        <v>25150</v>
      </c>
      <c r="M610" s="59">
        <f>SUM(J610:L610)</f>
        <v>90383</v>
      </c>
      <c r="N610" s="1">
        <f>N608+N676</f>
        <v>11097</v>
      </c>
      <c r="O610" s="1">
        <f>O608+O676</f>
        <v>2998</v>
      </c>
      <c r="P610" s="1">
        <f>P608+P676</f>
        <v>10466</v>
      </c>
      <c r="Q610" s="59">
        <f>SUM(N610:P610)</f>
        <v>24561</v>
      </c>
      <c r="R610" s="59">
        <f>+E610+I610+M610+Q610</f>
        <v>286368</v>
      </c>
    </row>
    <row r="611" spans="1:20" ht="16.5" customHeight="1" thickBot="1" x14ac:dyDescent="0.35">
      <c r="A611" s="24" t="s">
        <v>509</v>
      </c>
      <c r="B611" s="87">
        <f>(B610/B10)/1.983</f>
        <v>257.6415662160623</v>
      </c>
      <c r="C611" s="87">
        <f>(C610/C10)/1.983</f>
        <v>412.27217059289677</v>
      </c>
      <c r="D611" s="87">
        <f>(D610/D10)/1.983</f>
        <v>509.41063556358074</v>
      </c>
      <c r="E611" s="88" t="s">
        <v>7</v>
      </c>
      <c r="F611" s="87">
        <f>(F610/F10)/1.983</f>
        <v>583.29130946377541</v>
      </c>
      <c r="G611" s="87">
        <f>(G610/G10)/1.983</f>
        <v>550.85972703463301</v>
      </c>
      <c r="H611" s="87">
        <f>(H610/H10)/1.983</f>
        <v>551.6389309127585</v>
      </c>
      <c r="I611" s="88" t="s">
        <v>7</v>
      </c>
      <c r="J611" s="87">
        <f>(J610/J10)/1.983</f>
        <v>547.10197973093875</v>
      </c>
      <c r="K611" s="87">
        <f>(K610/K10)/1.983</f>
        <v>514.06308460624984</v>
      </c>
      <c r="L611" s="87">
        <f>(L610/L10)/1.983</f>
        <v>422.76012775256345</v>
      </c>
      <c r="M611" s="88" t="s">
        <v>7</v>
      </c>
      <c r="N611" s="87">
        <f>(N610/N10)/1.983</f>
        <v>180.51827631643158</v>
      </c>
      <c r="O611" s="87">
        <f>(O610/O10)/1.983</f>
        <v>50.395024373844343</v>
      </c>
      <c r="P611" s="87">
        <f>(P610/P10)/1.983</f>
        <v>170.2536072747385</v>
      </c>
      <c r="Q611" s="88" t="s">
        <v>7</v>
      </c>
      <c r="R611" s="88" t="s">
        <v>7</v>
      </c>
    </row>
    <row r="612" spans="1:20" ht="15.75" customHeight="1" x14ac:dyDescent="0.3">
      <c r="A612" s="28"/>
      <c r="B612" s="1"/>
      <c r="C612" s="1"/>
      <c r="D612" s="1"/>
      <c r="E612" s="1"/>
      <c r="F612" s="1"/>
      <c r="G612" s="1"/>
      <c r="H612" s="1"/>
      <c r="I612" s="1"/>
      <c r="J612" s="1"/>
      <c r="K612" s="1"/>
      <c r="L612" s="1"/>
      <c r="M612" s="1"/>
      <c r="N612" s="1"/>
      <c r="O612" s="1"/>
      <c r="P612" s="1"/>
      <c r="Q612" s="1"/>
      <c r="R612" s="28"/>
    </row>
    <row r="613" spans="1:20" ht="15.75" customHeight="1" thickBot="1" x14ac:dyDescent="0.35">
      <c r="A613" s="28"/>
      <c r="B613" s="1"/>
      <c r="C613" s="1"/>
      <c r="D613" s="1"/>
      <c r="E613" s="1"/>
      <c r="F613" s="1"/>
      <c r="G613" s="1"/>
      <c r="H613" s="1"/>
      <c r="I613" s="1"/>
      <c r="J613" s="1"/>
      <c r="K613" s="1"/>
      <c r="L613" s="1"/>
      <c r="M613" s="1"/>
      <c r="N613" s="1"/>
      <c r="O613" s="1"/>
      <c r="P613" s="1"/>
      <c r="Q613" s="1"/>
      <c r="R613" s="28"/>
    </row>
    <row r="614" spans="1:20" ht="16.5" customHeight="1" thickBot="1" x14ac:dyDescent="0.35">
      <c r="A614" s="145" t="s">
        <v>510</v>
      </c>
      <c r="B614" s="32" t="s">
        <v>36</v>
      </c>
      <c r="C614" s="33" t="s">
        <v>9</v>
      </c>
      <c r="D614" s="33" t="s">
        <v>10</v>
      </c>
      <c r="E614" s="12" t="s">
        <v>11</v>
      </c>
      <c r="F614" s="33" t="s">
        <v>12</v>
      </c>
      <c r="G614" s="33" t="s">
        <v>13</v>
      </c>
      <c r="H614" s="33" t="s">
        <v>14</v>
      </c>
      <c r="I614" s="34" t="s">
        <v>15</v>
      </c>
      <c r="J614" s="33" t="s">
        <v>16</v>
      </c>
      <c r="K614" s="33" t="s">
        <v>17</v>
      </c>
      <c r="L614" s="33" t="s">
        <v>18</v>
      </c>
      <c r="M614" s="34" t="s">
        <v>19</v>
      </c>
      <c r="N614" s="33" t="s">
        <v>20</v>
      </c>
      <c r="O614" s="33" t="s">
        <v>21</v>
      </c>
      <c r="P614" s="33" t="s">
        <v>22</v>
      </c>
      <c r="Q614" s="34" t="s">
        <v>23</v>
      </c>
      <c r="R614" s="35" t="s">
        <v>24</v>
      </c>
    </row>
    <row r="615" spans="1:20" ht="16.5" customHeight="1" thickBot="1" x14ac:dyDescent="0.35">
      <c r="A615" s="64"/>
      <c r="B615" s="81"/>
      <c r="C615" s="81"/>
      <c r="D615" s="81"/>
      <c r="E615" s="72"/>
      <c r="F615" s="81"/>
      <c r="G615" s="81"/>
      <c r="H615" s="81"/>
      <c r="I615" s="89"/>
      <c r="J615" s="81"/>
      <c r="K615" s="81"/>
      <c r="L615" s="81"/>
      <c r="M615" s="89"/>
      <c r="N615" s="81"/>
      <c r="O615" s="81"/>
      <c r="P615" s="81"/>
      <c r="Q615" s="89"/>
      <c r="R615" s="117"/>
    </row>
    <row r="616" spans="1:20" ht="15.75" customHeight="1" x14ac:dyDescent="0.3">
      <c r="A616" s="17" t="s">
        <v>45</v>
      </c>
      <c r="B616" s="1"/>
      <c r="C616" s="1"/>
      <c r="D616" s="1"/>
      <c r="E616" s="59" t="s">
        <v>7</v>
      </c>
      <c r="F616" s="1"/>
      <c r="G616" s="1"/>
      <c r="H616" s="1"/>
      <c r="I616" s="59" t="s">
        <v>7</v>
      </c>
      <c r="J616" s="1" t="s">
        <v>7</v>
      </c>
      <c r="K616" s="1" t="s">
        <v>7</v>
      </c>
      <c r="L616" s="1" t="s">
        <v>7</v>
      </c>
      <c r="M616" s="59" t="s">
        <v>7</v>
      </c>
      <c r="N616" s="1" t="s">
        <v>7</v>
      </c>
      <c r="O616" s="1" t="s">
        <v>7</v>
      </c>
      <c r="P616" s="1" t="s">
        <v>7</v>
      </c>
      <c r="Q616" s="59" t="s">
        <v>7</v>
      </c>
      <c r="R616" s="59" t="s">
        <v>7</v>
      </c>
    </row>
    <row r="617" spans="1:20" ht="15.75" customHeight="1" x14ac:dyDescent="0.3">
      <c r="A617" s="17" t="s">
        <v>46</v>
      </c>
      <c r="B617" s="1"/>
      <c r="C617" s="1"/>
      <c r="D617" s="1"/>
      <c r="E617" s="59" t="s">
        <v>7</v>
      </c>
      <c r="F617" s="1"/>
      <c r="G617" s="1"/>
      <c r="H617" s="1"/>
      <c r="I617" s="59" t="s">
        <v>7</v>
      </c>
      <c r="J617" s="1"/>
      <c r="K617" s="1"/>
      <c r="L617" s="1"/>
      <c r="M617" s="59" t="s">
        <v>7</v>
      </c>
      <c r="N617" s="1"/>
      <c r="O617" s="1"/>
      <c r="P617" s="1"/>
      <c r="Q617" s="59" t="s">
        <v>7</v>
      </c>
      <c r="R617" s="59" t="s">
        <v>7</v>
      </c>
    </row>
    <row r="618" spans="1:20" ht="15.75" customHeight="1" x14ac:dyDescent="0.3">
      <c r="A618" s="74" t="s">
        <v>511</v>
      </c>
      <c r="B618" s="1"/>
      <c r="C618" s="1"/>
      <c r="D618" s="1"/>
      <c r="E618" s="59">
        <f t="shared" ref="E618" si="223">SUM(B618:D618)</f>
        <v>0</v>
      </c>
      <c r="F618" s="1"/>
      <c r="G618" s="1"/>
      <c r="H618" s="1"/>
      <c r="I618" s="59">
        <f t="shared" ref="I618" si="224">SUM(F618:H618)</f>
        <v>0</v>
      </c>
      <c r="J618" s="1"/>
      <c r="K618" s="1"/>
      <c r="L618" s="1"/>
      <c r="M618" s="59">
        <f t="shared" ref="M618" si="225">SUM(J618:L618)</f>
        <v>0</v>
      </c>
      <c r="N618" s="1"/>
      <c r="O618" s="1"/>
      <c r="P618" s="1"/>
      <c r="Q618" s="59">
        <f t="shared" ref="Q618:Q626" si="226">SUM(N618:P618)</f>
        <v>0</v>
      </c>
      <c r="R618" s="59">
        <f t="shared" ref="R618:R628" si="227">+E618+I618+M618+Q618</f>
        <v>0</v>
      </c>
    </row>
    <row r="619" spans="1:20" ht="15.75" customHeight="1" x14ac:dyDescent="0.3">
      <c r="A619" s="74" t="s">
        <v>512</v>
      </c>
      <c r="B619" s="1"/>
      <c r="C619" s="1"/>
      <c r="D619" s="1"/>
      <c r="E619" s="59">
        <f>SUM(B619:D619)</f>
        <v>0</v>
      </c>
      <c r="F619" s="1"/>
      <c r="G619" s="1"/>
      <c r="H619" s="1"/>
      <c r="I619" s="59">
        <f>SUM(F619:H619)</f>
        <v>0</v>
      </c>
      <c r="J619" s="1">
        <v>500</v>
      </c>
      <c r="K619" s="1">
        <v>500</v>
      </c>
      <c r="L619" s="1"/>
      <c r="M619" s="59">
        <f>SUM(J619:L619)</f>
        <v>1000</v>
      </c>
      <c r="N619" s="1"/>
      <c r="O619" s="1"/>
      <c r="P619" s="1"/>
      <c r="Q619" s="59">
        <f>SUM(N619:P619)</f>
        <v>0</v>
      </c>
      <c r="R619" s="59">
        <f>+E619+I619+M619+Q619</f>
        <v>1000</v>
      </c>
    </row>
    <row r="620" spans="1:20" ht="15.75" customHeight="1" x14ac:dyDescent="0.3">
      <c r="A620" s="74" t="s">
        <v>513</v>
      </c>
      <c r="B620" s="1"/>
      <c r="C620" s="1"/>
      <c r="D620" s="1">
        <v>1000</v>
      </c>
      <c r="E620" s="59">
        <f t="shared" ref="E620" si="228">SUM(B620:D620)</f>
        <v>1000</v>
      </c>
      <c r="F620" s="1">
        <v>1000</v>
      </c>
      <c r="G620" s="1">
        <v>1000</v>
      </c>
      <c r="H620" s="1">
        <v>1000</v>
      </c>
      <c r="I620" s="59">
        <f t="shared" ref="I620" si="229">SUM(F620:H620)</f>
        <v>3000</v>
      </c>
      <c r="J620" s="1">
        <v>1000</v>
      </c>
      <c r="K620" s="1">
        <v>1000</v>
      </c>
      <c r="L620" s="1">
        <v>1000</v>
      </c>
      <c r="M620" s="59">
        <f t="shared" ref="M620" si="230">SUM(J620:L620)</f>
        <v>3000</v>
      </c>
      <c r="N620" s="1">
        <v>960</v>
      </c>
      <c r="O620" s="1"/>
      <c r="P620" s="1"/>
      <c r="Q620" s="59">
        <f t="shared" si="226"/>
        <v>960</v>
      </c>
      <c r="R620" s="59">
        <f t="shared" si="227"/>
        <v>7960</v>
      </c>
      <c r="T620" s="4" t="s">
        <v>514</v>
      </c>
    </row>
    <row r="621" spans="1:20" ht="15.75" customHeight="1" x14ac:dyDescent="0.3">
      <c r="A621" s="74" t="s">
        <v>515</v>
      </c>
      <c r="B621" s="1"/>
      <c r="C621" s="1"/>
      <c r="D621" s="1"/>
      <c r="E621" s="59">
        <f>SUM(B621:D621)</f>
        <v>0</v>
      </c>
      <c r="F621" s="1"/>
      <c r="G621" s="1"/>
      <c r="H621" s="1"/>
      <c r="I621" s="59">
        <f>SUM(F621:H621)</f>
        <v>0</v>
      </c>
      <c r="J621" s="1"/>
      <c r="K621" s="1"/>
      <c r="L621" s="1"/>
      <c r="M621" s="59">
        <f>SUM(J621:L621)</f>
        <v>0</v>
      </c>
      <c r="N621" s="1"/>
      <c r="O621" s="1"/>
      <c r="P621" s="1"/>
      <c r="Q621" s="59">
        <f>SUM(N621:P621)</f>
        <v>0</v>
      </c>
      <c r="R621" s="59">
        <f>+E621+I621+M621+Q621</f>
        <v>0</v>
      </c>
      <c r="T621" s="4" t="s">
        <v>516</v>
      </c>
    </row>
    <row r="622" spans="1:20" ht="15.75" customHeight="1" x14ac:dyDescent="0.3">
      <c r="A622" s="74" t="s">
        <v>517</v>
      </c>
      <c r="B622" s="1">
        <v>300</v>
      </c>
      <c r="C622" s="1">
        <v>300</v>
      </c>
      <c r="D622" s="1">
        <v>300</v>
      </c>
      <c r="E622" s="59">
        <f t="shared" ref="E622" si="231">SUM(B622:D622)</f>
        <v>900</v>
      </c>
      <c r="F622" s="1">
        <v>300</v>
      </c>
      <c r="G622" s="1">
        <v>300</v>
      </c>
      <c r="H622" s="1">
        <v>200</v>
      </c>
      <c r="I622" s="59">
        <f t="shared" ref="I622" si="232">SUM(F622:H622)</f>
        <v>800</v>
      </c>
      <c r="J622" s="1">
        <v>200</v>
      </c>
      <c r="K622" s="1">
        <v>200</v>
      </c>
      <c r="L622" s="1">
        <v>200</v>
      </c>
      <c r="M622" s="59">
        <f t="shared" ref="M622" si="233">SUM(J622:L622)</f>
        <v>600</v>
      </c>
      <c r="N622" s="1">
        <v>200</v>
      </c>
      <c r="O622" s="1">
        <v>305</v>
      </c>
      <c r="P622" s="1">
        <v>0</v>
      </c>
      <c r="Q622" s="59">
        <f t="shared" si="226"/>
        <v>505</v>
      </c>
      <c r="R622" s="59">
        <f t="shared" si="227"/>
        <v>2805</v>
      </c>
      <c r="T622" s="4" t="s">
        <v>516</v>
      </c>
    </row>
    <row r="623" spans="1:20" ht="15.75" customHeight="1" x14ac:dyDescent="0.3">
      <c r="A623" s="74" t="s">
        <v>518</v>
      </c>
      <c r="B623" s="1"/>
      <c r="C623" s="1"/>
      <c r="D623" s="1"/>
      <c r="E623" s="59">
        <f>SUM(B623:D623)</f>
        <v>0</v>
      </c>
      <c r="F623" s="1"/>
      <c r="G623" s="1"/>
      <c r="H623" s="1"/>
      <c r="I623" s="59">
        <f>SUM(F623:H623)</f>
        <v>0</v>
      </c>
      <c r="J623" s="1">
        <v>700</v>
      </c>
      <c r="K623" s="1"/>
      <c r="L623" s="1"/>
      <c r="M623" s="59">
        <f>SUM(J623:L623)</f>
        <v>700</v>
      </c>
      <c r="N623" s="1"/>
      <c r="O623" s="1"/>
      <c r="P623" s="1"/>
      <c r="Q623" s="59">
        <f>SUM(N623:P623)</f>
        <v>0</v>
      </c>
      <c r="R623" s="59">
        <f t="shared" si="227"/>
        <v>700</v>
      </c>
    </row>
    <row r="624" spans="1:20" ht="15.75" customHeight="1" x14ac:dyDescent="0.3">
      <c r="A624" s="74" t="s">
        <v>519</v>
      </c>
      <c r="B624" s="1"/>
      <c r="C624" s="1"/>
      <c r="D624" s="1"/>
      <c r="E624" s="59">
        <f t="shared" ref="E624:E628" si="234">SUM(B624:D624)</f>
        <v>0</v>
      </c>
      <c r="F624" s="1"/>
      <c r="G624" s="1"/>
      <c r="H624" s="1"/>
      <c r="I624" s="59">
        <f t="shared" ref="I624:I628" si="235">SUM(F624:H624)</f>
        <v>0</v>
      </c>
      <c r="J624" s="1">
        <v>800</v>
      </c>
      <c r="K624" s="1">
        <v>1000</v>
      </c>
      <c r="L624" s="1">
        <v>1000</v>
      </c>
      <c r="M624" s="59">
        <f t="shared" ref="M624:M628" si="236">SUM(J624:L624)</f>
        <v>2800</v>
      </c>
      <c r="N624" s="1"/>
      <c r="O624" s="1"/>
      <c r="P624" s="1"/>
      <c r="Q624" s="59">
        <f t="shared" si="226"/>
        <v>0</v>
      </c>
      <c r="R624" s="59">
        <f t="shared" si="227"/>
        <v>2800</v>
      </c>
      <c r="T624" s="4" t="s">
        <v>516</v>
      </c>
    </row>
    <row r="625" spans="1:20" ht="15.75" customHeight="1" x14ac:dyDescent="0.3">
      <c r="A625" s="74" t="s">
        <v>520</v>
      </c>
      <c r="B625" s="1"/>
      <c r="C625" s="1"/>
      <c r="D625" s="1">
        <v>300</v>
      </c>
      <c r="E625" s="59">
        <f t="shared" si="234"/>
        <v>300</v>
      </c>
      <c r="F625" s="1">
        <v>436</v>
      </c>
      <c r="G625" s="1">
        <v>400</v>
      </c>
      <c r="H625" s="1">
        <v>400</v>
      </c>
      <c r="I625" s="59">
        <f t="shared" si="235"/>
        <v>1236</v>
      </c>
      <c r="J625" s="1">
        <v>400</v>
      </c>
      <c r="K625" s="1">
        <v>400</v>
      </c>
      <c r="L625" s="1"/>
      <c r="M625" s="59">
        <f t="shared" si="236"/>
        <v>800</v>
      </c>
      <c r="N625" s="1"/>
      <c r="O625" s="1"/>
      <c r="P625" s="1"/>
      <c r="Q625" s="59">
        <f>SUM(N625:P625)</f>
        <v>0</v>
      </c>
      <c r="R625" s="59">
        <f>+E625+I625+M625+Q625</f>
        <v>2336</v>
      </c>
    </row>
    <row r="626" spans="1:20" ht="15.75" customHeight="1" x14ac:dyDescent="0.3">
      <c r="A626" s="74" t="s">
        <v>521</v>
      </c>
      <c r="B626" s="1"/>
      <c r="C626" s="1"/>
      <c r="D626" s="1"/>
      <c r="E626" s="59">
        <f t="shared" si="234"/>
        <v>0</v>
      </c>
      <c r="F626" s="1"/>
      <c r="G626" s="1"/>
      <c r="H626" s="1"/>
      <c r="I626" s="59">
        <f t="shared" si="235"/>
        <v>0</v>
      </c>
      <c r="J626" s="1"/>
      <c r="K626" s="1"/>
      <c r="L626" s="1"/>
      <c r="M626" s="59">
        <f t="shared" si="236"/>
        <v>0</v>
      </c>
      <c r="N626" s="1"/>
      <c r="O626" s="1"/>
      <c r="P626" s="1"/>
      <c r="Q626" s="59">
        <f t="shared" si="226"/>
        <v>0</v>
      </c>
      <c r="R626" s="59">
        <f t="shared" si="227"/>
        <v>0</v>
      </c>
      <c r="T626" s="4" t="s">
        <v>516</v>
      </c>
    </row>
    <row r="627" spans="1:20" ht="15.75" customHeight="1" x14ac:dyDescent="0.3">
      <c r="A627" s="74" t="s">
        <v>522</v>
      </c>
      <c r="B627" s="1"/>
      <c r="C627" s="1">
        <v>250</v>
      </c>
      <c r="D627" s="1">
        <v>400</v>
      </c>
      <c r="E627" s="59">
        <f t="shared" si="234"/>
        <v>650</v>
      </c>
      <c r="F627" s="1">
        <v>650</v>
      </c>
      <c r="G627" s="1">
        <v>650</v>
      </c>
      <c r="H627" s="1">
        <v>340</v>
      </c>
      <c r="I627" s="59">
        <f t="shared" si="235"/>
        <v>1640</v>
      </c>
      <c r="J627" s="1">
        <v>380</v>
      </c>
      <c r="K627" s="1">
        <v>67</v>
      </c>
      <c r="L627" s="1"/>
      <c r="M627" s="59">
        <f t="shared" si="236"/>
        <v>447</v>
      </c>
      <c r="N627" s="1"/>
      <c r="O627" s="1"/>
      <c r="P627" s="1"/>
      <c r="Q627" s="59">
        <f t="shared" ref="Q627" si="237">SUM(N627:P627)</f>
        <v>0</v>
      </c>
      <c r="R627" s="59">
        <f t="shared" si="227"/>
        <v>2737</v>
      </c>
    </row>
    <row r="628" spans="1:20" ht="15.75" customHeight="1" x14ac:dyDescent="0.3">
      <c r="A628" s="74" t="s">
        <v>523</v>
      </c>
      <c r="B628" s="1"/>
      <c r="C628" s="1"/>
      <c r="D628" s="1"/>
      <c r="E628" s="59">
        <f t="shared" si="234"/>
        <v>0</v>
      </c>
      <c r="F628" s="1"/>
      <c r="G628" s="1">
        <v>110</v>
      </c>
      <c r="H628" s="1">
        <v>390</v>
      </c>
      <c r="I628" s="59">
        <f t="shared" si="235"/>
        <v>500</v>
      </c>
      <c r="J628" s="1">
        <v>500</v>
      </c>
      <c r="K628" s="1">
        <v>500</v>
      </c>
      <c r="L628" s="1"/>
      <c r="M628" s="59">
        <f t="shared" si="236"/>
        <v>1000</v>
      </c>
      <c r="N628" s="1"/>
      <c r="O628" s="1"/>
      <c r="P628" s="1"/>
      <c r="Q628" s="59">
        <f t="shared" ref="Q628" si="238">SUM(N628:P628)</f>
        <v>0</v>
      </c>
      <c r="R628" s="59">
        <f t="shared" si="227"/>
        <v>1500</v>
      </c>
    </row>
    <row r="629" spans="1:20" ht="15.75" customHeight="1" x14ac:dyDescent="0.3">
      <c r="A629" s="74" t="s">
        <v>524</v>
      </c>
      <c r="B629" s="1">
        <v>3655</v>
      </c>
      <c r="C629" s="1">
        <v>2515</v>
      </c>
      <c r="D629" s="1">
        <v>3837</v>
      </c>
      <c r="E629" s="59">
        <f>SUM(B629:D629)</f>
        <v>10007</v>
      </c>
      <c r="F629" s="1">
        <v>3493</v>
      </c>
      <c r="G629" s="1">
        <v>2561</v>
      </c>
      <c r="H629" s="1">
        <v>1500</v>
      </c>
      <c r="I629" s="59">
        <f>SUM(F629:H629)</f>
        <v>7554</v>
      </c>
      <c r="J629" s="1">
        <v>1000</v>
      </c>
      <c r="K629" s="1">
        <v>1000</v>
      </c>
      <c r="L629" s="1">
        <v>439</v>
      </c>
      <c r="M629" s="59">
        <f>SUM(J629:L629)</f>
        <v>2439</v>
      </c>
      <c r="N629" s="1"/>
      <c r="O629" s="1"/>
      <c r="P629" s="1"/>
      <c r="Q629" s="59">
        <f>SUM(N629:P629)</f>
        <v>0</v>
      </c>
      <c r="R629" s="59">
        <f>+E629+I629+M629+Q629</f>
        <v>20000</v>
      </c>
      <c r="T629" s="4" t="s">
        <v>514</v>
      </c>
    </row>
    <row r="630" spans="1:20" ht="15.75" customHeight="1" x14ac:dyDescent="0.3">
      <c r="A630" s="17" t="s">
        <v>47</v>
      </c>
      <c r="B630" s="1"/>
      <c r="C630" s="1"/>
      <c r="D630" s="1"/>
      <c r="E630" s="59" t="s">
        <v>7</v>
      </c>
      <c r="F630" s="1"/>
      <c r="G630" s="1"/>
      <c r="H630" s="1"/>
      <c r="I630" s="59" t="s">
        <v>7</v>
      </c>
      <c r="J630" s="1"/>
      <c r="K630" s="1"/>
      <c r="L630" s="1"/>
      <c r="M630" s="59" t="s">
        <v>7</v>
      </c>
      <c r="N630" s="1"/>
      <c r="O630" s="1"/>
      <c r="P630" s="1"/>
      <c r="Q630" s="59" t="s">
        <v>7</v>
      </c>
      <c r="R630" s="59" t="s">
        <v>7</v>
      </c>
    </row>
    <row r="631" spans="1:20" ht="15.75" customHeight="1" x14ac:dyDescent="0.3">
      <c r="A631" s="74" t="s">
        <v>521</v>
      </c>
      <c r="B631" s="1"/>
      <c r="C631" s="1"/>
      <c r="D631" s="1"/>
      <c r="E631" s="59">
        <f>SUM(B631:D631)</f>
        <v>0</v>
      </c>
      <c r="F631" s="1"/>
      <c r="G631" s="1"/>
      <c r="H631" s="1"/>
      <c r="I631" s="59">
        <f>SUM(F631:H631)</f>
        <v>0</v>
      </c>
      <c r="J631" s="1"/>
      <c r="K631" s="1"/>
      <c r="L631" s="1"/>
      <c r="M631" s="59">
        <f>SUM(J631:L631)</f>
        <v>0</v>
      </c>
      <c r="N631" s="1"/>
      <c r="O631" s="1"/>
      <c r="P631" s="1"/>
      <c r="Q631" s="59">
        <f>SUM(N631:P631)</f>
        <v>0</v>
      </c>
      <c r="R631" s="59">
        <f>+E631+I631+M631+Q631</f>
        <v>0</v>
      </c>
      <c r="T631" s="4" t="s">
        <v>516</v>
      </c>
    </row>
    <row r="632" spans="1:20" ht="15.75" customHeight="1" x14ac:dyDescent="0.3">
      <c r="A632" s="17" t="s">
        <v>49</v>
      </c>
      <c r="B632" s="1"/>
      <c r="C632" s="1"/>
      <c r="D632" s="1"/>
      <c r="E632" s="59" t="s">
        <v>7</v>
      </c>
      <c r="F632" s="1"/>
      <c r="G632" s="1"/>
      <c r="H632" s="1"/>
      <c r="I632" s="59" t="s">
        <v>7</v>
      </c>
      <c r="J632" s="1"/>
      <c r="K632" s="1"/>
      <c r="L632" s="1"/>
      <c r="M632" s="59" t="s">
        <v>7</v>
      </c>
      <c r="N632" s="1"/>
      <c r="O632" s="1"/>
      <c r="P632" s="1"/>
      <c r="Q632" s="59" t="s">
        <v>7</v>
      </c>
      <c r="R632" s="59" t="s">
        <v>7</v>
      </c>
    </row>
    <row r="633" spans="1:20" ht="15.75" customHeight="1" x14ac:dyDescent="0.3">
      <c r="A633" s="74" t="s">
        <v>525</v>
      </c>
      <c r="B633" s="1"/>
      <c r="C633" s="1"/>
      <c r="D633" s="1"/>
      <c r="E633" s="59">
        <f>SUM(B633:D633)</f>
        <v>0</v>
      </c>
      <c r="F633" s="1"/>
      <c r="G633" s="1"/>
      <c r="H633" s="1"/>
      <c r="I633" s="59">
        <f>SUM(F633:H633)</f>
        <v>0</v>
      </c>
      <c r="J633" s="1"/>
      <c r="K633" s="1"/>
      <c r="L633" s="1"/>
      <c r="M633" s="59">
        <f>SUM(J633:L633)</f>
        <v>0</v>
      </c>
      <c r="N633" s="1"/>
      <c r="O633" s="1"/>
      <c r="P633" s="1"/>
      <c r="Q633" s="59">
        <f>SUM(N633:P633)</f>
        <v>0</v>
      </c>
      <c r="R633" s="59">
        <f>+E633+I633+M633+Q633</f>
        <v>0</v>
      </c>
      <c r="S633" s="77" t="s">
        <v>90</v>
      </c>
      <c r="T633" s="4" t="s">
        <v>516</v>
      </c>
    </row>
    <row r="634" spans="1:20" ht="15.75" customHeight="1" thickBot="1" x14ac:dyDescent="0.35">
      <c r="A634" s="17" t="s">
        <v>51</v>
      </c>
      <c r="B634" s="1"/>
      <c r="C634" s="1"/>
      <c r="D634" s="1"/>
      <c r="E634" s="59" t="s">
        <v>7</v>
      </c>
      <c r="F634" s="1"/>
      <c r="G634" s="1"/>
      <c r="H634" s="1"/>
      <c r="I634" s="59" t="s">
        <v>7</v>
      </c>
      <c r="J634" s="1"/>
      <c r="K634" s="1"/>
      <c r="L634" s="1"/>
      <c r="M634" s="59" t="s">
        <v>7</v>
      </c>
      <c r="N634" s="1"/>
      <c r="O634" s="1"/>
      <c r="P634" s="1"/>
      <c r="Q634" s="59" t="s">
        <v>7</v>
      </c>
      <c r="R634" s="59" t="s">
        <v>7</v>
      </c>
    </row>
    <row r="635" spans="1:20" ht="16.5" customHeight="1" thickBot="1" x14ac:dyDescent="0.35">
      <c r="A635" s="126" t="s">
        <v>52</v>
      </c>
      <c r="B635" s="100">
        <f>SUM(B616:B634)</f>
        <v>3955</v>
      </c>
      <c r="C635" s="101">
        <f>SUM(C616:C634)</f>
        <v>3065</v>
      </c>
      <c r="D635" s="101">
        <f>SUM(D616:D634)</f>
        <v>5837</v>
      </c>
      <c r="E635" s="64">
        <f>SUM(B635:D635)</f>
        <v>12857</v>
      </c>
      <c r="F635" s="101">
        <f>SUM(F616:F634)</f>
        <v>5879</v>
      </c>
      <c r="G635" s="101">
        <f>SUM(G616:G634)</f>
        <v>5021</v>
      </c>
      <c r="H635" s="101">
        <f>SUM(H616:H634)</f>
        <v>3830</v>
      </c>
      <c r="I635" s="64">
        <f>SUM(F635:H635)</f>
        <v>14730</v>
      </c>
      <c r="J635" s="101">
        <f>SUM(J616:J634)</f>
        <v>5480</v>
      </c>
      <c r="K635" s="101">
        <f>SUM(K616:K634)</f>
        <v>4667</v>
      </c>
      <c r="L635" s="101">
        <f>SUM(L616:L634)</f>
        <v>2639</v>
      </c>
      <c r="M635" s="64">
        <f>SUM(J635:L635)</f>
        <v>12786</v>
      </c>
      <c r="N635" s="101">
        <f>SUM(N616:N634)</f>
        <v>1160</v>
      </c>
      <c r="O635" s="101">
        <f>SUM(O616:O634)</f>
        <v>305</v>
      </c>
      <c r="P635" s="101">
        <f>SUM(P616:P634)</f>
        <v>0</v>
      </c>
      <c r="Q635" s="64">
        <f>SUM(N635:P635)</f>
        <v>1465</v>
      </c>
      <c r="R635" s="64">
        <f>+E635+I635+M635+Q635</f>
        <v>41838</v>
      </c>
    </row>
    <row r="636" spans="1:20" ht="15.75" customHeight="1" x14ac:dyDescent="0.3">
      <c r="A636" s="17" t="s">
        <v>53</v>
      </c>
      <c r="B636" s="1"/>
      <c r="C636" s="1"/>
      <c r="D636" s="1"/>
      <c r="E636" s="59" t="s">
        <v>7</v>
      </c>
      <c r="F636" s="1"/>
      <c r="G636" s="1"/>
      <c r="H636" s="1"/>
      <c r="I636" s="59" t="s">
        <v>7</v>
      </c>
      <c r="J636" s="1"/>
      <c r="K636" s="1"/>
      <c r="L636" s="1"/>
      <c r="M636" s="59" t="s">
        <v>7</v>
      </c>
      <c r="N636" s="1"/>
      <c r="O636" s="1"/>
      <c r="P636" s="1"/>
      <c r="Q636" s="59" t="s">
        <v>7</v>
      </c>
      <c r="R636" s="59" t="s">
        <v>7</v>
      </c>
    </row>
    <row r="637" spans="1:20" ht="15.75" customHeight="1" x14ac:dyDescent="0.3">
      <c r="A637" s="17" t="s">
        <v>55</v>
      </c>
      <c r="B637" s="1"/>
      <c r="C637" s="1"/>
      <c r="D637" s="1"/>
      <c r="E637" s="59" t="s">
        <v>7</v>
      </c>
      <c r="F637" s="1"/>
      <c r="G637" s="1"/>
      <c r="H637" s="1"/>
      <c r="I637" s="59" t="s">
        <v>7</v>
      </c>
      <c r="J637" s="1"/>
      <c r="K637" s="1"/>
      <c r="L637" s="1"/>
      <c r="M637" s="59" t="s">
        <v>7</v>
      </c>
      <c r="N637" s="1"/>
      <c r="O637" s="1"/>
      <c r="P637" s="1"/>
      <c r="Q637" s="59" t="s">
        <v>7</v>
      </c>
      <c r="R637" s="59" t="s">
        <v>7</v>
      </c>
    </row>
    <row r="638" spans="1:20" ht="15.75" customHeight="1" x14ac:dyDescent="0.3">
      <c r="A638" s="74" t="s">
        <v>526</v>
      </c>
      <c r="B638" s="1"/>
      <c r="C638" s="1"/>
      <c r="D638" s="1"/>
      <c r="E638" s="59">
        <f>SUM(B638:D638)</f>
        <v>0</v>
      </c>
      <c r="F638" s="1"/>
      <c r="G638" s="1"/>
      <c r="H638" s="1"/>
      <c r="I638" s="59">
        <f>SUM(F638:H638)</f>
        <v>0</v>
      </c>
      <c r="J638" s="1"/>
      <c r="K638" s="1"/>
      <c r="L638" s="1"/>
      <c r="M638" s="59">
        <f>SUM(J638:L638)</f>
        <v>0</v>
      </c>
      <c r="N638" s="1"/>
      <c r="O638" s="1"/>
      <c r="P638" s="1"/>
      <c r="Q638" s="59">
        <f>SUM(N638:P638)</f>
        <v>0</v>
      </c>
      <c r="R638" s="59">
        <f>+E638+I638+M638+Q638</f>
        <v>0</v>
      </c>
    </row>
    <row r="639" spans="1:20" ht="15.75" customHeight="1" x14ac:dyDescent="0.3">
      <c r="A639" s="74" t="s">
        <v>527</v>
      </c>
      <c r="B639" s="1"/>
      <c r="C639" s="1"/>
      <c r="D639" s="1"/>
      <c r="E639" s="59">
        <f>SUM(B639:D639)</f>
        <v>0</v>
      </c>
      <c r="F639" s="1"/>
      <c r="G639" s="1"/>
      <c r="H639" s="1"/>
      <c r="I639" s="59">
        <f>SUM(F639:H639)</f>
        <v>0</v>
      </c>
      <c r="J639" s="1"/>
      <c r="K639" s="1"/>
      <c r="L639" s="1"/>
      <c r="M639" s="59">
        <f>SUM(J639:L639)</f>
        <v>0</v>
      </c>
      <c r="N639" s="1"/>
      <c r="O639" s="1"/>
      <c r="P639" s="1"/>
      <c r="Q639" s="59">
        <f>SUM(N639:P639)</f>
        <v>0</v>
      </c>
      <c r="R639" s="59">
        <f>+E639+I639+M639+Q639</f>
        <v>0</v>
      </c>
    </row>
    <row r="640" spans="1:20" ht="15.75" customHeight="1" thickBot="1" x14ac:dyDescent="0.35">
      <c r="A640" s="17" t="s">
        <v>56</v>
      </c>
      <c r="B640" s="1"/>
      <c r="C640" s="1"/>
      <c r="D640" s="1"/>
      <c r="E640" s="59" t="s">
        <v>7</v>
      </c>
      <c r="F640" s="1"/>
      <c r="G640" s="1"/>
      <c r="H640" s="1"/>
      <c r="I640" s="59" t="s">
        <v>7</v>
      </c>
      <c r="J640" s="1"/>
      <c r="K640" s="1"/>
      <c r="L640" s="1"/>
      <c r="M640" s="59" t="s">
        <v>7</v>
      </c>
      <c r="N640" s="1"/>
      <c r="O640" s="1"/>
      <c r="P640" s="1"/>
      <c r="Q640" s="59" t="s">
        <v>7</v>
      </c>
      <c r="R640" s="59" t="s">
        <v>7</v>
      </c>
    </row>
    <row r="641" spans="1:20" ht="16.5" customHeight="1" thickBot="1" x14ac:dyDescent="0.35">
      <c r="A641" s="62" t="s">
        <v>57</v>
      </c>
      <c r="B641" s="100">
        <f>SUM(B636:B640)</f>
        <v>0</v>
      </c>
      <c r="C641" s="101">
        <f>SUM(C636:C640)</f>
        <v>0</v>
      </c>
      <c r="D641" s="101">
        <f>SUM(D636:D640)</f>
        <v>0</v>
      </c>
      <c r="E641" s="64">
        <f>SUM(B641:D641)</f>
        <v>0</v>
      </c>
      <c r="F641" s="101">
        <f>SUM(F636:F640)</f>
        <v>0</v>
      </c>
      <c r="G641" s="101">
        <f>SUM(G636:G640)</f>
        <v>0</v>
      </c>
      <c r="H641" s="101">
        <f>SUM(H636:H640)</f>
        <v>0</v>
      </c>
      <c r="I641" s="64">
        <f>SUM(F641:H641)</f>
        <v>0</v>
      </c>
      <c r="J641" s="101">
        <f>SUM(J636:J640)</f>
        <v>0</v>
      </c>
      <c r="K641" s="101">
        <f>SUM(K636:K640)</f>
        <v>0</v>
      </c>
      <c r="L641" s="101">
        <f>SUM(L636:L640)</f>
        <v>0</v>
      </c>
      <c r="M641" s="64">
        <f>SUM(J641:L641)</f>
        <v>0</v>
      </c>
      <c r="N641" s="101">
        <f>SUM(N636:N640)</f>
        <v>0</v>
      </c>
      <c r="O641" s="101">
        <f>SUM(O636:O640)</f>
        <v>0</v>
      </c>
      <c r="P641" s="101">
        <f>SUM(P636:P640)</f>
        <v>0</v>
      </c>
      <c r="Q641" s="64">
        <f>SUM(N641:P641)</f>
        <v>0</v>
      </c>
      <c r="R641" s="64">
        <f>+E641+I641+M641+Q641</f>
        <v>0</v>
      </c>
    </row>
    <row r="642" spans="1:20" ht="15.75" customHeight="1" x14ac:dyDescent="0.3">
      <c r="A642" s="17" t="s">
        <v>58</v>
      </c>
      <c r="B642" s="1"/>
      <c r="C642" s="1"/>
      <c r="D642" s="1"/>
      <c r="E642" s="59" t="s">
        <v>7</v>
      </c>
      <c r="F642" s="1"/>
      <c r="G642" s="1"/>
      <c r="H642" s="1"/>
      <c r="I642" s="59" t="s">
        <v>7</v>
      </c>
      <c r="J642" s="1"/>
      <c r="K642" s="1"/>
      <c r="L642" s="1"/>
      <c r="M642" s="59" t="s">
        <v>7</v>
      </c>
      <c r="N642" s="1"/>
      <c r="O642" s="1"/>
      <c r="P642" s="1"/>
      <c r="Q642" s="59" t="s">
        <v>7</v>
      </c>
      <c r="R642" s="59" t="s">
        <v>7</v>
      </c>
    </row>
    <row r="643" spans="1:20" ht="15.75" customHeight="1" x14ac:dyDescent="0.3">
      <c r="A643" s="17" t="s">
        <v>59</v>
      </c>
      <c r="B643" s="1"/>
      <c r="C643" s="1"/>
      <c r="D643" s="1"/>
      <c r="E643" s="59" t="s">
        <v>7</v>
      </c>
      <c r="F643" s="1"/>
      <c r="G643" s="1"/>
      <c r="H643" s="1"/>
      <c r="I643" s="59" t="s">
        <v>7</v>
      </c>
      <c r="J643" s="1"/>
      <c r="K643" s="1"/>
      <c r="L643" s="1"/>
      <c r="M643" s="59" t="s">
        <v>7</v>
      </c>
      <c r="N643" s="1"/>
      <c r="O643" s="1"/>
      <c r="P643" s="1"/>
      <c r="Q643" s="59" t="s">
        <v>7</v>
      </c>
      <c r="R643" s="59" t="s">
        <v>7</v>
      </c>
    </row>
    <row r="644" spans="1:20" ht="15.75" customHeight="1" x14ac:dyDescent="0.3">
      <c r="A644" s="17" t="s">
        <v>60</v>
      </c>
      <c r="B644" s="1"/>
      <c r="C644" s="1"/>
      <c r="D644" s="1"/>
      <c r="E644" s="59" t="s">
        <v>7</v>
      </c>
      <c r="F644" s="1"/>
      <c r="G644" s="1"/>
      <c r="H644" s="1"/>
      <c r="I644" s="59" t="s">
        <v>7</v>
      </c>
      <c r="J644" s="1"/>
      <c r="K644" s="1"/>
      <c r="L644" s="1"/>
      <c r="M644" s="59" t="s">
        <v>7</v>
      </c>
      <c r="N644" s="1"/>
      <c r="O644" s="1"/>
      <c r="P644" s="1"/>
      <c r="Q644" s="59" t="s">
        <v>7</v>
      </c>
      <c r="R644" s="59" t="s">
        <v>7</v>
      </c>
    </row>
    <row r="645" spans="1:20" ht="15.75" customHeight="1" x14ac:dyDescent="0.3">
      <c r="A645" s="74" t="s">
        <v>528</v>
      </c>
      <c r="B645" s="1"/>
      <c r="C645" s="1"/>
      <c r="D645" s="1"/>
      <c r="E645" s="59">
        <f t="shared" ref="E645:E647" si="239">SUM(B645:D645)</f>
        <v>0</v>
      </c>
      <c r="F645" s="1"/>
      <c r="G645" s="1"/>
      <c r="H645" s="1"/>
      <c r="I645" s="59">
        <f t="shared" ref="I645:I646" si="240">SUM(F645:H645)</f>
        <v>0</v>
      </c>
      <c r="J645" s="1"/>
      <c r="K645" s="1"/>
      <c r="L645" s="1"/>
      <c r="M645" s="59">
        <f t="shared" ref="M645:M647" si="241">SUM(J645:L645)</f>
        <v>0</v>
      </c>
      <c r="N645" s="1"/>
      <c r="O645" s="1"/>
      <c r="P645" s="1"/>
      <c r="Q645" s="59">
        <f>SUM(N645:P645)</f>
        <v>0</v>
      </c>
      <c r="R645" s="59">
        <f>+E645+I645+M645+Q645</f>
        <v>0</v>
      </c>
      <c r="T645" s="4" t="s">
        <v>516</v>
      </c>
    </row>
    <row r="646" spans="1:20" ht="15.75" customHeight="1" x14ac:dyDescent="0.3">
      <c r="A646" s="74" t="s">
        <v>529</v>
      </c>
      <c r="B646" s="1"/>
      <c r="C646" s="1"/>
      <c r="D646" s="1"/>
      <c r="E646" s="59">
        <f t="shared" si="239"/>
        <v>0</v>
      </c>
      <c r="F646" s="1"/>
      <c r="G646" s="1"/>
      <c r="H646" s="1"/>
      <c r="I646" s="59">
        <f t="shared" si="240"/>
        <v>0</v>
      </c>
      <c r="J646" s="1"/>
      <c r="K646" s="1"/>
      <c r="L646" s="1"/>
      <c r="M646" s="59">
        <f t="shared" si="241"/>
        <v>0</v>
      </c>
      <c r="N646" s="1"/>
      <c r="O646" s="1"/>
      <c r="P646" s="1"/>
      <c r="Q646" s="59">
        <f t="shared" ref="Q646" si="242">SUM(N646:P646)</f>
        <v>0</v>
      </c>
      <c r="R646" s="59">
        <f t="shared" ref="R646:R650" si="243">+E646+I646+M646+Q646</f>
        <v>0</v>
      </c>
    </row>
    <row r="647" spans="1:20" ht="15.75" customHeight="1" x14ac:dyDescent="0.3">
      <c r="A647" s="74" t="s">
        <v>530</v>
      </c>
      <c r="B647" s="1">
        <v>500</v>
      </c>
      <c r="C647" s="1">
        <v>500</v>
      </c>
      <c r="D647" s="1"/>
      <c r="E647" s="59">
        <f t="shared" si="239"/>
        <v>1000</v>
      </c>
      <c r="F647" s="1"/>
      <c r="G647" s="1"/>
      <c r="H647" s="1"/>
      <c r="I647" s="59">
        <f t="shared" ref="I647" si="244">SUM(F647:H647)</f>
        <v>0</v>
      </c>
      <c r="J647" s="1"/>
      <c r="K647" s="1"/>
      <c r="L647" s="1"/>
      <c r="M647" s="59">
        <f t="shared" si="241"/>
        <v>0</v>
      </c>
      <c r="N647" s="1"/>
      <c r="O647" s="1"/>
      <c r="P647" s="1"/>
      <c r="Q647" s="59">
        <f t="shared" ref="Q647:Q649" si="245">SUM(N647:P647)</f>
        <v>0</v>
      </c>
      <c r="R647" s="59">
        <f t="shared" si="243"/>
        <v>1000</v>
      </c>
    </row>
    <row r="648" spans="1:20" ht="15.75" customHeight="1" x14ac:dyDescent="0.3">
      <c r="A648" s="74" t="s">
        <v>531</v>
      </c>
      <c r="B648" s="1"/>
      <c r="C648" s="1"/>
      <c r="D648" s="1"/>
      <c r="E648" s="59">
        <f>SUM(B648:D648)</f>
        <v>0</v>
      </c>
      <c r="F648" s="1"/>
      <c r="G648" s="1"/>
      <c r="H648" s="1"/>
      <c r="I648" s="59">
        <f>SUM(F648:H648)</f>
        <v>0</v>
      </c>
      <c r="J648" s="1"/>
      <c r="K648" s="1"/>
      <c r="L648" s="1"/>
      <c r="M648" s="59">
        <f>SUM(J648:L648)</f>
        <v>0</v>
      </c>
      <c r="N648" s="1">
        <v>500</v>
      </c>
      <c r="O648" s="1">
        <v>500</v>
      </c>
      <c r="P648" s="1"/>
      <c r="Q648" s="59">
        <f t="shared" si="245"/>
        <v>1000</v>
      </c>
      <c r="R648" s="59">
        <f t="shared" si="243"/>
        <v>1000</v>
      </c>
    </row>
    <row r="649" spans="1:20" ht="15.75" customHeight="1" x14ac:dyDescent="0.3">
      <c r="A649" s="74" t="s">
        <v>532</v>
      </c>
      <c r="B649" s="1"/>
      <c r="C649" s="1"/>
      <c r="D649" s="1"/>
      <c r="E649" s="59">
        <f>SUM(B649:D649)</f>
        <v>0</v>
      </c>
      <c r="F649" s="1"/>
      <c r="G649" s="1"/>
      <c r="H649" s="1"/>
      <c r="I649" s="59">
        <f>SUM(F649:H649)</f>
        <v>0</v>
      </c>
      <c r="J649" s="1"/>
      <c r="K649" s="1"/>
      <c r="L649" s="1"/>
      <c r="M649" s="59">
        <f>SUM(J649:L649)</f>
        <v>0</v>
      </c>
      <c r="N649" s="1"/>
      <c r="O649" s="1"/>
      <c r="P649" s="1">
        <v>400</v>
      </c>
      <c r="Q649" s="59">
        <f t="shared" si="245"/>
        <v>400</v>
      </c>
      <c r="R649" s="59">
        <f t="shared" si="243"/>
        <v>400</v>
      </c>
    </row>
    <row r="650" spans="1:20" ht="15.75" customHeight="1" x14ac:dyDescent="0.3">
      <c r="A650" s="74" t="s">
        <v>533</v>
      </c>
      <c r="B650" s="1"/>
      <c r="C650" s="1"/>
      <c r="D650" s="1"/>
      <c r="E650" s="59">
        <f>SUM(B650:D650)</f>
        <v>0</v>
      </c>
      <c r="F650" s="1"/>
      <c r="G650" s="1"/>
      <c r="H650" s="1"/>
      <c r="I650" s="59">
        <f>SUM(F650:H650)</f>
        <v>0</v>
      </c>
      <c r="J650" s="1"/>
      <c r="K650" s="1">
        <v>700</v>
      </c>
      <c r="L650" s="1">
        <v>700</v>
      </c>
      <c r="M650" s="59">
        <f>SUM(J650:L650)</f>
        <v>1400</v>
      </c>
      <c r="N650" s="1"/>
      <c r="O650" s="1"/>
      <c r="P650" s="1"/>
      <c r="Q650" s="59">
        <f>SUM(N650:P650)</f>
        <v>0</v>
      </c>
      <c r="R650" s="59">
        <f t="shared" si="243"/>
        <v>1400</v>
      </c>
    </row>
    <row r="651" spans="1:20" ht="15.75" customHeight="1" thickBot="1" x14ac:dyDescent="0.35">
      <c r="A651" s="74" t="s">
        <v>534</v>
      </c>
      <c r="B651" s="1"/>
      <c r="C651" s="1"/>
      <c r="D651" s="1"/>
      <c r="E651" s="59">
        <f>SUM(B651:D651)</f>
        <v>0</v>
      </c>
      <c r="F651" s="1"/>
      <c r="G651" s="1"/>
      <c r="H651" s="1"/>
      <c r="I651" s="59">
        <f>SUM(F651:H651)</f>
        <v>0</v>
      </c>
      <c r="J651" s="1"/>
      <c r="K651" s="1"/>
      <c r="L651" s="1"/>
      <c r="M651" s="59">
        <f>SUM(J651:L651)</f>
        <v>0</v>
      </c>
      <c r="N651" s="1"/>
      <c r="O651" s="1"/>
      <c r="P651" s="1"/>
      <c r="Q651" s="59">
        <f>SUM(N651:P651)</f>
        <v>0</v>
      </c>
      <c r="R651" s="59">
        <f>+E651+I651+M651+Q651</f>
        <v>0</v>
      </c>
      <c r="T651" s="4" t="s">
        <v>516</v>
      </c>
    </row>
    <row r="652" spans="1:20" ht="16.5" customHeight="1" thickBot="1" x14ac:dyDescent="0.35">
      <c r="A652" s="137" t="s">
        <v>61</v>
      </c>
      <c r="B652" s="100">
        <f>SUM(B642:B651)</f>
        <v>500</v>
      </c>
      <c r="C652" s="101">
        <f>SUM(C642:C651)</f>
        <v>500</v>
      </c>
      <c r="D652" s="101">
        <f>SUM(D642:D651)</f>
        <v>0</v>
      </c>
      <c r="E652" s="64">
        <f>SUM(B652:D652)</f>
        <v>1000</v>
      </c>
      <c r="F652" s="101">
        <f>SUM(F642:F651)</f>
        <v>0</v>
      </c>
      <c r="G652" s="101">
        <f>SUM(G642:G651)</f>
        <v>0</v>
      </c>
      <c r="H652" s="101">
        <f>SUM(H642:H651)</f>
        <v>0</v>
      </c>
      <c r="I652" s="64">
        <f>SUM(F652:H652)</f>
        <v>0</v>
      </c>
      <c r="J652" s="101">
        <f>SUM(J642:J651)</f>
        <v>0</v>
      </c>
      <c r="K652" s="101">
        <f>SUM(K642:K651)</f>
        <v>700</v>
      </c>
      <c r="L652" s="101">
        <f>SUM(L642:L651)</f>
        <v>700</v>
      </c>
      <c r="M652" s="64">
        <f>SUM(J652:L652)</f>
        <v>1400</v>
      </c>
      <c r="N652" s="101">
        <f>SUM(N642:N651)</f>
        <v>500</v>
      </c>
      <c r="O652" s="101">
        <f>SUM(O642:O651)</f>
        <v>500</v>
      </c>
      <c r="P652" s="101">
        <f>SUM(P642:P651)</f>
        <v>400</v>
      </c>
      <c r="Q652" s="64">
        <f>SUM(N652:P652)</f>
        <v>1400</v>
      </c>
      <c r="R652" s="64">
        <f>+E652+I652+M652+Q652</f>
        <v>3800</v>
      </c>
    </row>
    <row r="653" spans="1:20" ht="15.75" customHeight="1" x14ac:dyDescent="0.3">
      <c r="A653" s="17" t="s">
        <v>62</v>
      </c>
      <c r="B653" s="1"/>
      <c r="C653" s="1"/>
      <c r="D653" s="1"/>
      <c r="E653" s="59" t="s">
        <v>7</v>
      </c>
      <c r="F653" s="1"/>
      <c r="G653" s="1"/>
      <c r="H653" s="1"/>
      <c r="I653" s="59" t="s">
        <v>7</v>
      </c>
      <c r="J653" s="1"/>
      <c r="K653" s="1"/>
      <c r="L653" s="1"/>
      <c r="M653" s="59" t="s">
        <v>7</v>
      </c>
      <c r="N653" s="1"/>
      <c r="O653" s="1"/>
      <c r="P653" s="1"/>
      <c r="Q653" s="59" t="s">
        <v>7</v>
      </c>
      <c r="R653" s="59" t="s">
        <v>7</v>
      </c>
    </row>
    <row r="654" spans="1:20" ht="15.75" customHeight="1" x14ac:dyDescent="0.3">
      <c r="A654" s="17" t="s">
        <v>63</v>
      </c>
      <c r="B654" s="1"/>
      <c r="C654" s="1"/>
      <c r="D654" s="1"/>
      <c r="E654" s="59" t="s">
        <v>7</v>
      </c>
      <c r="F654" s="1"/>
      <c r="G654" s="1"/>
      <c r="H654" s="1"/>
      <c r="I654" s="59" t="s">
        <v>7</v>
      </c>
      <c r="J654" s="1"/>
      <c r="K654" s="1"/>
      <c r="L654" s="1"/>
      <c r="M654" s="59" t="s">
        <v>7</v>
      </c>
      <c r="N654" s="1"/>
      <c r="O654" s="1"/>
      <c r="P654" s="1"/>
      <c r="Q654" s="59" t="s">
        <v>7</v>
      </c>
      <c r="R654" s="59" t="s">
        <v>7</v>
      </c>
    </row>
    <row r="655" spans="1:20" ht="15.75" customHeight="1" x14ac:dyDescent="0.3">
      <c r="A655" s="74" t="s">
        <v>535</v>
      </c>
      <c r="B655" s="1"/>
      <c r="C655" s="1"/>
      <c r="D655" s="1"/>
      <c r="E655" s="59">
        <f>SUM(B655:D655)</f>
        <v>0</v>
      </c>
      <c r="F655" s="1"/>
      <c r="G655" s="1"/>
      <c r="H655" s="1"/>
      <c r="I655" s="59">
        <f>SUM(F655:H655)</f>
        <v>0</v>
      </c>
      <c r="J655" s="1"/>
      <c r="K655" s="1"/>
      <c r="L655" s="1"/>
      <c r="M655" s="59">
        <f>SUM(J655:L655)</f>
        <v>0</v>
      </c>
      <c r="N655" s="1"/>
      <c r="O655" s="1"/>
      <c r="P655" s="1"/>
      <c r="Q655" s="59">
        <f>SUM(N655:P655)</f>
        <v>0</v>
      </c>
      <c r="R655" s="59">
        <f>+E655+I655+M655+Q655</f>
        <v>0</v>
      </c>
      <c r="T655" s="4" t="s">
        <v>516</v>
      </c>
    </row>
    <row r="656" spans="1:20" ht="15.75" customHeight="1" x14ac:dyDescent="0.3">
      <c r="A656" s="74" t="s">
        <v>536</v>
      </c>
      <c r="B656" s="1"/>
      <c r="C656" s="1"/>
      <c r="D656" s="1"/>
      <c r="E656" s="59">
        <f>SUM(B656:D656)</f>
        <v>0</v>
      </c>
      <c r="F656" s="1"/>
      <c r="G656" s="1"/>
      <c r="H656" s="1"/>
      <c r="I656" s="59">
        <f>SUM(F656:H656)</f>
        <v>0</v>
      </c>
      <c r="J656" s="1"/>
      <c r="K656" s="1"/>
      <c r="L656" s="1"/>
      <c r="M656" s="59">
        <f>SUM(J656:L656)</f>
        <v>0</v>
      </c>
      <c r="N656" s="1"/>
      <c r="O656" s="1"/>
      <c r="P656" s="1"/>
      <c r="Q656" s="59">
        <f>SUM(N656:P656)</f>
        <v>0</v>
      </c>
      <c r="R656" s="59">
        <f>+E656+I656+M656+Q656</f>
        <v>0</v>
      </c>
      <c r="T656" s="4" t="s">
        <v>516</v>
      </c>
    </row>
    <row r="657" spans="1:20" ht="15.75" customHeight="1" x14ac:dyDescent="0.3">
      <c r="A657" s="17" t="s">
        <v>64</v>
      </c>
      <c r="B657" s="1"/>
      <c r="C657" s="1"/>
      <c r="D657" s="1"/>
      <c r="E657" s="59" t="s">
        <v>7</v>
      </c>
      <c r="F657" s="1"/>
      <c r="G657" s="1"/>
      <c r="H657" s="1"/>
      <c r="I657" s="59" t="s">
        <v>7</v>
      </c>
      <c r="J657" s="1"/>
      <c r="K657" s="1"/>
      <c r="L657" s="1"/>
      <c r="M657" s="59" t="s">
        <v>7</v>
      </c>
      <c r="N657" s="1"/>
      <c r="O657" s="1"/>
      <c r="P657" s="1"/>
      <c r="Q657" s="59" t="s">
        <v>7</v>
      </c>
      <c r="R657" s="59" t="s">
        <v>7</v>
      </c>
    </row>
    <row r="658" spans="1:20" ht="15.75" customHeight="1" x14ac:dyDescent="0.3">
      <c r="A658" s="74" t="s">
        <v>537</v>
      </c>
      <c r="B658" s="1"/>
      <c r="C658" s="1"/>
      <c r="D658" s="1"/>
      <c r="E658" s="59">
        <f>SUM(B658:D658)</f>
        <v>0</v>
      </c>
      <c r="F658" s="1"/>
      <c r="G658" s="1"/>
      <c r="H658" s="1"/>
      <c r="I658" s="59">
        <f>SUM(F658:H658)</f>
        <v>0</v>
      </c>
      <c r="J658" s="1"/>
      <c r="K658" s="1"/>
      <c r="L658" s="1"/>
      <c r="M658" s="59">
        <f>SUM(J658:L658)</f>
        <v>0</v>
      </c>
      <c r="N658" s="1"/>
      <c r="O658" s="1"/>
      <c r="P658" s="1"/>
      <c r="Q658" s="59">
        <f>SUM(N658:P658)</f>
        <v>0</v>
      </c>
      <c r="R658" s="59">
        <f>+E658+I658+M658+Q658</f>
        <v>0</v>
      </c>
    </row>
    <row r="659" spans="1:20" ht="15.75" customHeight="1" x14ac:dyDescent="0.3">
      <c r="A659" s="74" t="s">
        <v>538</v>
      </c>
      <c r="B659" s="1"/>
      <c r="C659" s="1"/>
      <c r="D659" s="1"/>
      <c r="E659" s="59">
        <f>SUM(B659:D659)</f>
        <v>0</v>
      </c>
      <c r="F659" s="1"/>
      <c r="G659" s="1"/>
      <c r="H659" s="1"/>
      <c r="I659" s="59">
        <f>SUM(F659:H659)</f>
        <v>0</v>
      </c>
      <c r="J659" s="1"/>
      <c r="K659" s="1"/>
      <c r="L659" s="1"/>
      <c r="M659" s="59">
        <f>SUM(J659:L659)</f>
        <v>0</v>
      </c>
      <c r="N659" s="1"/>
      <c r="O659" s="1"/>
      <c r="P659" s="1"/>
      <c r="Q659" s="59">
        <f>SUM(N659:P659)</f>
        <v>0</v>
      </c>
      <c r="R659" s="59">
        <f>+E659+I659+M659+Q659</f>
        <v>0</v>
      </c>
    </row>
    <row r="660" spans="1:20" ht="15.75" customHeight="1" x14ac:dyDescent="0.3">
      <c r="A660" s="74" t="s">
        <v>539</v>
      </c>
      <c r="B660" s="1"/>
      <c r="C660" s="1"/>
      <c r="D660" s="1"/>
      <c r="E660" s="59">
        <f>SUM(B660:D660)</f>
        <v>0</v>
      </c>
      <c r="F660" s="1"/>
      <c r="G660" s="1"/>
      <c r="H660" s="1"/>
      <c r="I660" s="59">
        <f>SUM(F660:H660)</f>
        <v>0</v>
      </c>
      <c r="J660" s="1"/>
      <c r="K660" s="1"/>
      <c r="L660" s="1"/>
      <c r="M660" s="59">
        <f>SUM(J660:L660)</f>
        <v>0</v>
      </c>
      <c r="N660" s="1"/>
      <c r="O660" s="1"/>
      <c r="P660" s="1"/>
      <c r="Q660" s="59">
        <f>SUM(N660:P660)</f>
        <v>0</v>
      </c>
      <c r="R660" s="59">
        <f>+E660+I660+M660+Q660</f>
        <v>0</v>
      </c>
      <c r="T660" s="4" t="s">
        <v>516</v>
      </c>
    </row>
    <row r="661" spans="1:20" ht="15.75" customHeight="1" x14ac:dyDescent="0.3">
      <c r="A661" s="74" t="s">
        <v>540</v>
      </c>
      <c r="B661" s="1"/>
      <c r="C661" s="1"/>
      <c r="D661" s="1"/>
      <c r="E661" s="59">
        <f>SUM(B661:D661)</f>
        <v>0</v>
      </c>
      <c r="F661" s="1"/>
      <c r="G661" s="1"/>
      <c r="H661" s="1"/>
      <c r="I661" s="59">
        <f>SUM(F661:H661)</f>
        <v>0</v>
      </c>
      <c r="J661" s="1"/>
      <c r="K661" s="1"/>
      <c r="L661" s="1"/>
      <c r="M661" s="59">
        <f>SUM(J661:L661)</f>
        <v>0</v>
      </c>
      <c r="N661" s="1"/>
      <c r="O661" s="1"/>
      <c r="P661" s="1"/>
      <c r="Q661" s="59">
        <f>SUM(N661:P661)</f>
        <v>0</v>
      </c>
      <c r="R661" s="59">
        <f>+E661+I661+M661+Q661</f>
        <v>0</v>
      </c>
      <c r="T661" s="4" t="s">
        <v>516</v>
      </c>
    </row>
    <row r="662" spans="1:20" ht="15.75" customHeight="1" x14ac:dyDescent="0.3">
      <c r="A662" s="17" t="s">
        <v>66</v>
      </c>
      <c r="B662" s="1"/>
      <c r="C662" s="1"/>
      <c r="D662" s="1"/>
      <c r="E662" s="59" t="s">
        <v>7</v>
      </c>
      <c r="F662" s="1"/>
      <c r="G662" s="1"/>
      <c r="H662" s="1"/>
      <c r="I662" s="59" t="s">
        <v>7</v>
      </c>
      <c r="J662" s="1"/>
      <c r="K662" s="1"/>
      <c r="L662" s="1"/>
      <c r="M662" s="59" t="s">
        <v>7</v>
      </c>
      <c r="N662" s="1"/>
      <c r="O662" s="1"/>
      <c r="P662" s="1"/>
      <c r="Q662" s="59" t="s">
        <v>7</v>
      </c>
      <c r="R662" s="59" t="s">
        <v>7</v>
      </c>
    </row>
    <row r="663" spans="1:20" ht="15.75" customHeight="1" x14ac:dyDescent="0.3">
      <c r="A663" s="74" t="s">
        <v>541</v>
      </c>
      <c r="B663" s="1"/>
      <c r="C663" s="1"/>
      <c r="D663" s="1"/>
      <c r="E663" s="59">
        <f>SUM(B663:D663)</f>
        <v>0</v>
      </c>
      <c r="F663" s="1"/>
      <c r="G663" s="1"/>
      <c r="H663" s="1"/>
      <c r="I663" s="59">
        <f>SUM(F663:H663)</f>
        <v>0</v>
      </c>
      <c r="J663" s="1"/>
      <c r="K663" s="1"/>
      <c r="L663" s="1"/>
      <c r="M663" s="59">
        <f>SUM(J663:L663)</f>
        <v>0</v>
      </c>
      <c r="N663" s="1"/>
      <c r="O663" s="1"/>
      <c r="P663" s="1"/>
      <c r="Q663" s="59">
        <f>SUM(N663:P663)</f>
        <v>0</v>
      </c>
      <c r="R663" s="59">
        <f>+E663+I663+M663+Q663</f>
        <v>0</v>
      </c>
    </row>
    <row r="664" spans="1:20" ht="15.75" customHeight="1" x14ac:dyDescent="0.3">
      <c r="A664" s="74" t="s">
        <v>542</v>
      </c>
      <c r="B664" s="1"/>
      <c r="C664" s="1"/>
      <c r="D664" s="1"/>
      <c r="E664" s="59">
        <f>SUM(B664:D664)</f>
        <v>0</v>
      </c>
      <c r="F664" s="1"/>
      <c r="G664" s="1"/>
      <c r="H664" s="1"/>
      <c r="I664" s="59">
        <f>SUM(F664:H664)</f>
        <v>0</v>
      </c>
      <c r="J664" s="1"/>
      <c r="K664" s="1"/>
      <c r="L664" s="1"/>
      <c r="M664" s="59">
        <f>SUM(J664:L664)</f>
        <v>0</v>
      </c>
      <c r="N664" s="1"/>
      <c r="O664" s="1"/>
      <c r="P664" s="1"/>
      <c r="Q664" s="59">
        <f>SUM(N664:P664)</f>
        <v>0</v>
      </c>
      <c r="R664" s="59">
        <f>+E664+I664+M664+Q664</f>
        <v>0</v>
      </c>
    </row>
    <row r="665" spans="1:20" ht="15.75" customHeight="1" x14ac:dyDescent="0.3">
      <c r="A665" s="17" t="s">
        <v>67</v>
      </c>
      <c r="B665" s="1"/>
      <c r="C665" s="1"/>
      <c r="D665" s="1"/>
      <c r="E665" s="59" t="s">
        <v>7</v>
      </c>
      <c r="F665" s="1"/>
      <c r="G665" s="1"/>
      <c r="H665" s="1"/>
      <c r="I665" s="59" t="s">
        <v>7</v>
      </c>
      <c r="J665" s="1"/>
      <c r="K665" s="1"/>
      <c r="L665" s="1"/>
      <c r="M665" s="59" t="s">
        <v>7</v>
      </c>
      <c r="N665" s="1"/>
      <c r="O665" s="1"/>
      <c r="P665" s="1"/>
      <c r="Q665" s="59" t="s">
        <v>7</v>
      </c>
      <c r="R665" s="59" t="s">
        <v>7</v>
      </c>
    </row>
    <row r="666" spans="1:20" ht="15.75" customHeight="1" x14ac:dyDescent="0.3">
      <c r="A666" s="74" t="s">
        <v>543</v>
      </c>
      <c r="B666" s="1"/>
      <c r="C666" s="1"/>
      <c r="D666" s="1"/>
      <c r="E666" s="59">
        <f t="shared" ref="E666:E668" si="246">SUM(B666:D666)</f>
        <v>0</v>
      </c>
      <c r="F666" s="1"/>
      <c r="G666" s="1"/>
      <c r="H666" s="1"/>
      <c r="I666" s="59">
        <f t="shared" ref="I666:I668" si="247">SUM(F666:H666)</f>
        <v>0</v>
      </c>
      <c r="J666" s="1"/>
      <c r="K666" s="1"/>
      <c r="L666" s="1"/>
      <c r="M666" s="59">
        <f t="shared" ref="M666:M668" si="248">SUM(J666:L666)</f>
        <v>0</v>
      </c>
      <c r="N666" s="1"/>
      <c r="O666" s="1"/>
      <c r="P666" s="1"/>
      <c r="Q666" s="59">
        <f t="shared" ref="Q666:Q672" si="249">SUM(N666:P666)</f>
        <v>0</v>
      </c>
      <c r="R666" s="59">
        <f t="shared" ref="R666:R672" si="250">+E666+I666+M666+Q666</f>
        <v>0</v>
      </c>
    </row>
    <row r="667" spans="1:20" ht="15.75" customHeight="1" x14ac:dyDescent="0.3">
      <c r="A667" s="74" t="s">
        <v>544</v>
      </c>
      <c r="B667" s="1"/>
      <c r="C667" s="1"/>
      <c r="D667" s="1"/>
      <c r="E667" s="59">
        <f t="shared" ref="E667" si="251">SUM(B667:D667)</f>
        <v>0</v>
      </c>
      <c r="F667" s="1"/>
      <c r="G667" s="1"/>
      <c r="H667" s="1"/>
      <c r="I667" s="59">
        <f t="shared" ref="I667" si="252">SUM(F667:H667)</f>
        <v>0</v>
      </c>
      <c r="J667" s="1"/>
      <c r="K667" s="1"/>
      <c r="L667" s="1"/>
      <c r="M667" s="59">
        <f t="shared" ref="M667" si="253">SUM(J667:L667)</f>
        <v>0</v>
      </c>
      <c r="N667" s="1"/>
      <c r="O667" s="1"/>
      <c r="P667" s="1"/>
      <c r="Q667" s="59">
        <f t="shared" ref="Q667" si="254">SUM(N667:P667)</f>
        <v>0</v>
      </c>
      <c r="R667" s="59">
        <f t="shared" si="250"/>
        <v>0</v>
      </c>
    </row>
    <row r="668" spans="1:20" ht="15.75" customHeight="1" thickBot="1" x14ac:dyDescent="0.35">
      <c r="A668" s="74" t="s">
        <v>545</v>
      </c>
      <c r="B668" s="1"/>
      <c r="C668" s="1"/>
      <c r="D668" s="1"/>
      <c r="E668" s="59">
        <f t="shared" si="246"/>
        <v>0</v>
      </c>
      <c r="F668" s="1"/>
      <c r="G668" s="1"/>
      <c r="H668" s="1"/>
      <c r="I668" s="59">
        <f t="shared" si="247"/>
        <v>0</v>
      </c>
      <c r="J668" s="1"/>
      <c r="K668" s="1"/>
      <c r="L668" s="1"/>
      <c r="M668" s="59">
        <f t="shared" si="248"/>
        <v>0</v>
      </c>
      <c r="N668" s="1"/>
      <c r="O668" s="1"/>
      <c r="P668" s="1"/>
      <c r="Q668" s="59">
        <f t="shared" si="249"/>
        <v>0</v>
      </c>
      <c r="R668" s="59">
        <f t="shared" si="250"/>
        <v>0</v>
      </c>
    </row>
    <row r="669" spans="1:20" ht="16.5" customHeight="1" thickBot="1" x14ac:dyDescent="0.35">
      <c r="A669" s="62" t="s">
        <v>68</v>
      </c>
      <c r="B669" s="148">
        <f>SUM(B662:B668)</f>
        <v>0</v>
      </c>
      <c r="C669" s="148">
        <f>SUM(C662:C668)</f>
        <v>0</v>
      </c>
      <c r="D669" s="148">
        <f>SUM(D662:D668)</f>
        <v>0</v>
      </c>
      <c r="E669" s="65">
        <f t="shared" ref="E669:E672" si="255">SUM(B669:D669)</f>
        <v>0</v>
      </c>
      <c r="F669" s="148">
        <f>SUM(F662:F668)</f>
        <v>0</v>
      </c>
      <c r="G669" s="148">
        <f>SUM(G662:G668)</f>
        <v>0</v>
      </c>
      <c r="H669" s="148">
        <f>SUM(H662:H668)</f>
        <v>0</v>
      </c>
      <c r="I669" s="65">
        <f t="shared" ref="I669:I672" si="256">SUM(F669:H669)</f>
        <v>0</v>
      </c>
      <c r="J669" s="148">
        <f>SUM(J662:J668)</f>
        <v>0</v>
      </c>
      <c r="K669" s="148">
        <f>SUM(K662:K668)</f>
        <v>0</v>
      </c>
      <c r="L669" s="148">
        <f>SUM(L662:L668)</f>
        <v>0</v>
      </c>
      <c r="M669" s="65">
        <f t="shared" ref="M669:M672" si="257">SUM(J669:L669)</f>
        <v>0</v>
      </c>
      <c r="N669" s="148">
        <f>SUM(N662:N668)</f>
        <v>0</v>
      </c>
      <c r="O669" s="148">
        <f>SUM(O662:O668)</f>
        <v>0</v>
      </c>
      <c r="P669" s="148">
        <f>SUM(P662:P668)</f>
        <v>0</v>
      </c>
      <c r="Q669" s="65">
        <f t="shared" si="249"/>
        <v>0</v>
      </c>
      <c r="R669" s="64">
        <f t="shared" si="250"/>
        <v>0</v>
      </c>
    </row>
    <row r="670" spans="1:20" ht="16.5" customHeight="1" thickBot="1" x14ac:dyDescent="0.35">
      <c r="A670" s="137" t="s">
        <v>69</v>
      </c>
      <c r="B670" s="100">
        <f>SUM(B653:B668)</f>
        <v>0</v>
      </c>
      <c r="C670" s="101">
        <f>SUM(C653:C668)</f>
        <v>0</v>
      </c>
      <c r="D670" s="138">
        <f>SUM(D653:D668)</f>
        <v>0</v>
      </c>
      <c r="E670" s="65">
        <f t="shared" si="255"/>
        <v>0</v>
      </c>
      <c r="F670" s="100">
        <f>SUM(F653:F668)</f>
        <v>0</v>
      </c>
      <c r="G670" s="101">
        <f>SUM(G653:G668)</f>
        <v>0</v>
      </c>
      <c r="H670" s="138">
        <f>SUM(H653:H668)</f>
        <v>0</v>
      </c>
      <c r="I670" s="65">
        <f t="shared" si="256"/>
        <v>0</v>
      </c>
      <c r="J670" s="100">
        <f>SUM(J653:J668)</f>
        <v>0</v>
      </c>
      <c r="K670" s="101">
        <f>SUM(K653:K668)</f>
        <v>0</v>
      </c>
      <c r="L670" s="138">
        <f>SUM(L653:L668)</f>
        <v>0</v>
      </c>
      <c r="M670" s="65">
        <f t="shared" si="257"/>
        <v>0</v>
      </c>
      <c r="N670" s="100">
        <f>SUM(N653:N668)</f>
        <v>0</v>
      </c>
      <c r="O670" s="101">
        <f>SUM(O653:O668)</f>
        <v>0</v>
      </c>
      <c r="P670" s="138">
        <f>SUM(P653:P668)</f>
        <v>0</v>
      </c>
      <c r="Q670" s="65">
        <f t="shared" si="249"/>
        <v>0</v>
      </c>
      <c r="R670" s="64">
        <f t="shared" si="250"/>
        <v>0</v>
      </c>
    </row>
    <row r="671" spans="1:20" ht="16.5" customHeight="1" thickBot="1" x14ac:dyDescent="0.35">
      <c r="A671" s="62" t="s">
        <v>70</v>
      </c>
      <c r="B671" s="149">
        <f>+B635+B641+B652+B670</f>
        <v>4455</v>
      </c>
      <c r="C671" s="150">
        <f>+C635+C641+C652+C670</f>
        <v>3565</v>
      </c>
      <c r="D671" s="150">
        <f>+D635+D641+D652+D670</f>
        <v>5837</v>
      </c>
      <c r="E671" s="64">
        <f t="shared" si="255"/>
        <v>13857</v>
      </c>
      <c r="F671" s="63">
        <f>+F635+F641+F652+F670</f>
        <v>5879</v>
      </c>
      <c r="G671" s="63">
        <f>+G635+G641+G652+G670</f>
        <v>5021</v>
      </c>
      <c r="H671" s="63">
        <f>+H635+H641+H652+H670</f>
        <v>3830</v>
      </c>
      <c r="I671" s="64">
        <f t="shared" si="256"/>
        <v>14730</v>
      </c>
      <c r="J671" s="63">
        <f>+J635+J641+J652+J670</f>
        <v>5480</v>
      </c>
      <c r="K671" s="63">
        <f>+K635+K641+K652+K670</f>
        <v>5367</v>
      </c>
      <c r="L671" s="63">
        <f>+L635+L641+L652+L670</f>
        <v>3339</v>
      </c>
      <c r="M671" s="64">
        <f t="shared" si="257"/>
        <v>14186</v>
      </c>
      <c r="N671" s="63">
        <f>+N635+N641+N652+N670</f>
        <v>1660</v>
      </c>
      <c r="O671" s="63">
        <f>+O635+O641+O652+O670</f>
        <v>805</v>
      </c>
      <c r="P671" s="63">
        <f>+P635+P641+P652+P670</f>
        <v>400</v>
      </c>
      <c r="Q671" s="64">
        <f t="shared" si="249"/>
        <v>2865</v>
      </c>
      <c r="R671" s="88">
        <f t="shared" si="250"/>
        <v>45638</v>
      </c>
    </row>
    <row r="672" spans="1:20" ht="16.5" customHeight="1" thickBot="1" x14ac:dyDescent="0.35">
      <c r="A672" s="40" t="s">
        <v>37</v>
      </c>
      <c r="B672" s="25">
        <v>17</v>
      </c>
      <c r="C672" s="25">
        <v>47</v>
      </c>
      <c r="D672" s="25">
        <v>84</v>
      </c>
      <c r="E672" s="59">
        <f t="shared" si="255"/>
        <v>148</v>
      </c>
      <c r="F672" s="25">
        <v>116</v>
      </c>
      <c r="G672" s="25">
        <v>132</v>
      </c>
      <c r="H672" s="25">
        <v>138</v>
      </c>
      <c r="I672" s="59">
        <f t="shared" si="256"/>
        <v>386</v>
      </c>
      <c r="J672" s="25">
        <v>126</v>
      </c>
      <c r="K672" s="25">
        <v>95</v>
      </c>
      <c r="L672" s="25">
        <v>99</v>
      </c>
      <c r="M672" s="59">
        <f t="shared" si="257"/>
        <v>320</v>
      </c>
      <c r="N672" s="25">
        <v>91</v>
      </c>
      <c r="O672" s="25">
        <v>67</v>
      </c>
      <c r="P672" s="25">
        <v>38</v>
      </c>
      <c r="Q672" s="59">
        <f t="shared" si="249"/>
        <v>196</v>
      </c>
      <c r="R672" s="59">
        <f t="shared" si="250"/>
        <v>1050</v>
      </c>
    </row>
    <row r="673" spans="1:18" ht="16.5" customHeight="1" thickBot="1" x14ac:dyDescent="0.35">
      <c r="A673" s="42"/>
      <c r="B673" s="37"/>
      <c r="C673" s="37"/>
      <c r="D673" s="37"/>
      <c r="E673" s="43"/>
      <c r="F673" s="37"/>
      <c r="G673" s="37"/>
      <c r="H673" s="37"/>
      <c r="I673" s="43"/>
      <c r="J673" s="37"/>
      <c r="K673" s="37"/>
      <c r="L673" s="37"/>
      <c r="M673" s="43"/>
      <c r="N673" s="37"/>
      <c r="O673" s="37"/>
      <c r="P673" s="37"/>
      <c r="Q673" s="43"/>
      <c r="R673" s="43"/>
    </row>
    <row r="674" spans="1:18" ht="15.75" customHeight="1" x14ac:dyDescent="0.3">
      <c r="A674" s="82" t="s">
        <v>507</v>
      </c>
      <c r="B674" s="83">
        <f>SUM(B671:B672)</f>
        <v>4472</v>
      </c>
      <c r="C674" s="83">
        <f>SUM(C671:C672)</f>
        <v>3612</v>
      </c>
      <c r="D674" s="83">
        <f>SUM(D671:D672)</f>
        <v>5921</v>
      </c>
      <c r="E674" s="65">
        <f>SUM(B674:D674)</f>
        <v>14005</v>
      </c>
      <c r="F674" s="83">
        <f>SUM(F671:F672)</f>
        <v>5995</v>
      </c>
      <c r="G674" s="83">
        <f>SUM(G671:G672)</f>
        <v>5153</v>
      </c>
      <c r="H674" s="83">
        <f>SUM(H671:H672)</f>
        <v>3968</v>
      </c>
      <c r="I674" s="65">
        <f>SUM(F674:H674)</f>
        <v>15116</v>
      </c>
      <c r="J674" s="83">
        <f>SUM(J671:J672)</f>
        <v>5606</v>
      </c>
      <c r="K674" s="83">
        <f>SUM(K671:K672)</f>
        <v>5462</v>
      </c>
      <c r="L674" s="83">
        <f>SUM(L671:L672)</f>
        <v>3438</v>
      </c>
      <c r="M674" s="65">
        <f>SUM(J674:L674)</f>
        <v>14506</v>
      </c>
      <c r="N674" s="83">
        <f>SUM(N671:N672)</f>
        <v>1751</v>
      </c>
      <c r="O674" s="83">
        <f>SUM(O671:O672)</f>
        <v>872</v>
      </c>
      <c r="P674" s="83">
        <f>SUM(P671:P672)</f>
        <v>438</v>
      </c>
      <c r="Q674" s="65">
        <f>SUM(N674:P674)</f>
        <v>3061</v>
      </c>
      <c r="R674" s="65">
        <f>+E674+I674+M674+Q674</f>
        <v>46688</v>
      </c>
    </row>
    <row r="675" spans="1:18" ht="15.75" customHeight="1" x14ac:dyDescent="0.3">
      <c r="A675" s="85" t="s">
        <v>39</v>
      </c>
      <c r="B675" s="1">
        <f>(B674/B10)/1.983</f>
        <v>72.747385030826536</v>
      </c>
      <c r="C675" s="1">
        <f>(C674/C10)/1.983</f>
        <v>65.052950075642968</v>
      </c>
      <c r="D675" s="1">
        <f>(D674/D10)/1.983</f>
        <v>96.318709026727177</v>
      </c>
      <c r="E675" s="59" t="s">
        <v>7</v>
      </c>
      <c r="F675" s="1">
        <f>(F674/F10)/1.983</f>
        <v>100.77323919986553</v>
      </c>
      <c r="G675" s="1">
        <f>(G674/G10)/1.983</f>
        <v>83.825419289769485</v>
      </c>
      <c r="H675" s="1">
        <f>(H674/H10)/1.983</f>
        <v>66.700285762313001</v>
      </c>
      <c r="I675" s="59" t="s">
        <v>7</v>
      </c>
      <c r="J675" s="1">
        <f>(J674/J10)/1.983</f>
        <v>91.194508158053125</v>
      </c>
      <c r="K675" s="1">
        <f>(K674/K10)/1.983</f>
        <v>88.852016332373552</v>
      </c>
      <c r="L675" s="1">
        <f>(L674/L10)/1.983</f>
        <v>57.791225416036305</v>
      </c>
      <c r="M675" s="59" t="s">
        <v>7</v>
      </c>
      <c r="N675" s="1">
        <f>(N674/N10)/1.983</f>
        <v>28.48404990808973</v>
      </c>
      <c r="O675" s="1">
        <f>(O674/O10)/1.983</f>
        <v>14.657925701798622</v>
      </c>
      <c r="P675" s="1">
        <f>(P674/P10)/1.983</f>
        <v>7.1250793031086816</v>
      </c>
      <c r="Q675" s="59" t="s">
        <v>7</v>
      </c>
      <c r="R675" s="59" t="s">
        <v>7</v>
      </c>
    </row>
    <row r="676" spans="1:18" ht="15.75" customHeight="1" x14ac:dyDescent="0.3">
      <c r="A676" s="85" t="s">
        <v>546</v>
      </c>
      <c r="B676" s="1">
        <f>B674+B686</f>
        <v>15692</v>
      </c>
      <c r="C676" s="1">
        <f>C674+C686</f>
        <v>22273</v>
      </c>
      <c r="D676" s="1">
        <f>D674+D686</f>
        <v>28699</v>
      </c>
      <c r="E676" s="59">
        <f>SUM(B676:D676)</f>
        <v>66664</v>
      </c>
      <c r="F676" s="1">
        <f>F674+F686</f>
        <v>31559</v>
      </c>
      <c r="G676" s="1">
        <f>G674+G686</f>
        <v>30975</v>
      </c>
      <c r="H676" s="1">
        <f>H674+H686</f>
        <v>26933</v>
      </c>
      <c r="I676" s="59">
        <f>SUM(F676:H676)</f>
        <v>89467</v>
      </c>
      <c r="J676" s="1">
        <f>J674+J686</f>
        <v>27201</v>
      </c>
      <c r="K676" s="1">
        <f>K674+K686</f>
        <v>26958</v>
      </c>
      <c r="L676" s="1">
        <f>L674+L686</f>
        <v>23470</v>
      </c>
      <c r="M676" s="59">
        <f>SUM(J676:L676)</f>
        <v>77629</v>
      </c>
      <c r="N676" s="1">
        <f>N674+N686</f>
        <v>10173</v>
      </c>
      <c r="O676" s="1">
        <f>O674+O686</f>
        <v>2860</v>
      </c>
      <c r="P676" s="1">
        <f>P674+P686</f>
        <v>9868</v>
      </c>
      <c r="Q676" s="59">
        <f>SUM(N676:P676)</f>
        <v>22901</v>
      </c>
      <c r="R676" s="59">
        <f>+E676+I676+M676+Q676</f>
        <v>256661</v>
      </c>
    </row>
    <row r="677" spans="1:18" ht="16.5" customHeight="1" thickBot="1" x14ac:dyDescent="0.35">
      <c r="A677" s="86" t="s">
        <v>547</v>
      </c>
      <c r="B677" s="87">
        <f>(B676/B10)/1.983</f>
        <v>255.26653978169276</v>
      </c>
      <c r="C677" s="87">
        <f>(C676/C10)/1.983</f>
        <v>401.1418485699877</v>
      </c>
      <c r="D677" s="87">
        <f>(D676/D10)/1.983</f>
        <v>466.85536739706862</v>
      </c>
      <c r="E677" s="88" t="s">
        <v>7</v>
      </c>
      <c r="F677" s="87">
        <f>(F676/F10)/1.983</f>
        <v>530.49251975121865</v>
      </c>
      <c r="G677" s="87">
        <f>(G676/G10)/1.983</f>
        <v>503.87975208628177</v>
      </c>
      <c r="H677" s="87">
        <f>(H676/H10)/1.983</f>
        <v>452.73155152126407</v>
      </c>
      <c r="I677" s="88" t="s">
        <v>7</v>
      </c>
      <c r="J677" s="87">
        <f>(J676/J10)/1.983</f>
        <v>442.48694548826313</v>
      </c>
      <c r="K677" s="87">
        <f>(K676/K10)/1.983</f>
        <v>438.53399053242885</v>
      </c>
      <c r="L677" s="87">
        <f>(L676/L10)/1.983</f>
        <v>394.52008740964868</v>
      </c>
      <c r="M677" s="88" t="s">
        <v>7</v>
      </c>
      <c r="N677" s="87">
        <f>(N676/N10)/1.983</f>
        <v>165.4872871016544</v>
      </c>
      <c r="O677" s="87">
        <f>(O676/O10)/1.983</f>
        <v>48.075306774247771</v>
      </c>
      <c r="P677" s="87">
        <f>(P676/P10)/1.983</f>
        <v>160.52575927643028</v>
      </c>
      <c r="Q677" s="88" t="s">
        <v>7</v>
      </c>
      <c r="R677" s="88" t="s">
        <v>7</v>
      </c>
    </row>
    <row r="678" spans="1:18" ht="15.75" customHeight="1" x14ac:dyDescent="0.3">
      <c r="A678" s="28"/>
      <c r="B678" s="1"/>
      <c r="C678" s="1"/>
      <c r="D678" s="1"/>
      <c r="E678" s="1"/>
      <c r="F678" s="1"/>
      <c r="G678" s="1"/>
      <c r="H678" s="1"/>
      <c r="I678" s="1"/>
      <c r="J678" s="1"/>
      <c r="K678" s="1"/>
      <c r="L678" s="1"/>
      <c r="M678" s="1"/>
      <c r="N678" s="1"/>
      <c r="O678" s="1"/>
      <c r="P678" s="1"/>
      <c r="Q678" s="1"/>
      <c r="R678" s="28"/>
    </row>
    <row r="679" spans="1:18" ht="16.5" customHeight="1" thickBot="1" x14ac:dyDescent="0.35">
      <c r="A679" s="123"/>
      <c r="B679" s="25"/>
      <c r="C679" s="25"/>
      <c r="D679" s="25"/>
      <c r="E679" s="25"/>
      <c r="F679" s="25"/>
      <c r="G679" s="25"/>
      <c r="H679" s="25"/>
      <c r="I679" s="25"/>
      <c r="J679" s="25"/>
      <c r="K679" s="25"/>
      <c r="L679" s="25"/>
      <c r="M679" s="25"/>
      <c r="N679" s="25"/>
      <c r="O679" s="25"/>
      <c r="P679" s="25"/>
      <c r="Q679" s="25"/>
      <c r="R679" s="123"/>
    </row>
    <row r="680" spans="1:18" ht="16.5" customHeight="1" thickBot="1" x14ac:dyDescent="0.35">
      <c r="A680" s="145" t="s">
        <v>548</v>
      </c>
      <c r="B680" s="32" t="s">
        <v>36</v>
      </c>
      <c r="C680" s="33" t="s">
        <v>9</v>
      </c>
      <c r="D680" s="33" t="s">
        <v>10</v>
      </c>
      <c r="E680" s="12" t="s">
        <v>11</v>
      </c>
      <c r="F680" s="33" t="s">
        <v>12</v>
      </c>
      <c r="G680" s="33" t="s">
        <v>13</v>
      </c>
      <c r="H680" s="33" t="s">
        <v>14</v>
      </c>
      <c r="I680" s="34" t="s">
        <v>15</v>
      </c>
      <c r="J680" s="33" t="s">
        <v>16</v>
      </c>
      <c r="K680" s="33" t="s">
        <v>17</v>
      </c>
      <c r="L680" s="33" t="s">
        <v>18</v>
      </c>
      <c r="M680" s="34" t="s">
        <v>19</v>
      </c>
      <c r="N680" s="33" t="s">
        <v>20</v>
      </c>
      <c r="O680" s="33" t="s">
        <v>21</v>
      </c>
      <c r="P680" s="33" t="s">
        <v>22</v>
      </c>
      <c r="Q680" s="12" t="s">
        <v>23</v>
      </c>
      <c r="R680" s="13" t="s">
        <v>24</v>
      </c>
    </row>
    <row r="681" spans="1:18" ht="16.5" customHeight="1" thickBot="1" x14ac:dyDescent="0.35">
      <c r="A681" s="42"/>
      <c r="B681" s="37"/>
      <c r="C681" s="37"/>
      <c r="D681" s="37"/>
      <c r="E681" s="38"/>
      <c r="F681" s="37"/>
      <c r="G681" s="37"/>
      <c r="H681" s="37"/>
      <c r="I681" s="38"/>
      <c r="J681" s="37"/>
      <c r="K681" s="37"/>
      <c r="L681" s="37"/>
      <c r="M681" s="38"/>
      <c r="N681" s="37"/>
      <c r="O681" s="37"/>
      <c r="P681" s="37"/>
      <c r="Q681" s="151"/>
      <c r="R681" s="152"/>
    </row>
    <row r="682" spans="1:18" ht="16.5" customHeight="1" thickBot="1" x14ac:dyDescent="0.35">
      <c r="A682" s="40" t="s">
        <v>37</v>
      </c>
      <c r="B682" s="25">
        <v>20</v>
      </c>
      <c r="C682" s="25">
        <v>22</v>
      </c>
      <c r="D682" s="25">
        <v>28</v>
      </c>
      <c r="E682" s="59">
        <f>SUM(B682:D682)</f>
        <v>70</v>
      </c>
      <c r="F682" s="25">
        <v>37</v>
      </c>
      <c r="G682" s="25">
        <v>42</v>
      </c>
      <c r="H682" s="25">
        <v>44</v>
      </c>
      <c r="I682" s="59">
        <f>SUM(F682:H682)</f>
        <v>123</v>
      </c>
      <c r="J682" s="25">
        <v>39</v>
      </c>
      <c r="K682" s="25">
        <v>36</v>
      </c>
      <c r="L682" s="25">
        <v>34</v>
      </c>
      <c r="M682" s="59">
        <f>SUM(J682:L682)</f>
        <v>109</v>
      </c>
      <c r="N682" s="25">
        <v>29</v>
      </c>
      <c r="O682" s="25">
        <v>23</v>
      </c>
      <c r="P682" s="25">
        <v>19</v>
      </c>
      <c r="Q682" s="59">
        <f>SUM(N682:P682)</f>
        <v>71</v>
      </c>
      <c r="R682" s="59">
        <f>+E682+I682+M682+Q682</f>
        <v>373</v>
      </c>
    </row>
    <row r="683" spans="1:18" ht="16.5" customHeight="1" thickBot="1" x14ac:dyDescent="0.35">
      <c r="A683" s="42"/>
      <c r="B683" s="37"/>
      <c r="C683" s="37"/>
      <c r="D683" s="37"/>
      <c r="E683" s="16"/>
      <c r="F683" s="37"/>
      <c r="G683" s="37"/>
      <c r="H683" s="37"/>
      <c r="I683" s="16"/>
      <c r="J683" s="37"/>
      <c r="K683" s="37"/>
      <c r="L683" s="37"/>
      <c r="M683" s="16"/>
      <c r="N683" s="37"/>
      <c r="O683" s="37"/>
      <c r="P683" s="37"/>
      <c r="Q683" s="16"/>
      <c r="R683" s="43"/>
    </row>
    <row r="684" spans="1:18" ht="15.75" customHeight="1" x14ac:dyDescent="0.3">
      <c r="A684" s="82" t="s">
        <v>507</v>
      </c>
      <c r="B684" s="83">
        <f>B682</f>
        <v>20</v>
      </c>
      <c r="C684" s="83">
        <f>C682</f>
        <v>22</v>
      </c>
      <c r="D684" s="83">
        <f>D682</f>
        <v>28</v>
      </c>
      <c r="E684" s="65">
        <f>SUM(B684:D684)</f>
        <v>70</v>
      </c>
      <c r="F684" s="83">
        <f>F682</f>
        <v>37</v>
      </c>
      <c r="G684" s="83">
        <f>G682</f>
        <v>42</v>
      </c>
      <c r="H684" s="83">
        <f>H682</f>
        <v>44</v>
      </c>
      <c r="I684" s="65">
        <f>SUM(F684:H684)</f>
        <v>123</v>
      </c>
      <c r="J684" s="83">
        <f>J682</f>
        <v>39</v>
      </c>
      <c r="K684" s="83">
        <f>K682</f>
        <v>36</v>
      </c>
      <c r="L684" s="83">
        <f>L682</f>
        <v>34</v>
      </c>
      <c r="M684" s="65">
        <f>SUM(J684:L684)</f>
        <v>109</v>
      </c>
      <c r="N684" s="83">
        <f>N682</f>
        <v>29</v>
      </c>
      <c r="O684" s="83">
        <f>O682</f>
        <v>23</v>
      </c>
      <c r="P684" s="83">
        <f>P682</f>
        <v>19</v>
      </c>
      <c r="Q684" s="65">
        <f>SUM(N684:P684)</f>
        <v>71</v>
      </c>
      <c r="R684" s="65">
        <f>+E684+I684+M684+Q684</f>
        <v>373</v>
      </c>
    </row>
    <row r="685" spans="1:18" ht="15.75" customHeight="1" x14ac:dyDescent="0.3">
      <c r="A685" s="85" t="s">
        <v>39</v>
      </c>
      <c r="B685" s="1">
        <f>(B684/B10)/1.983</f>
        <v>0.32534608689993977</v>
      </c>
      <c r="C685" s="1">
        <f>(C684/C10)/1.983</f>
        <v>0.39622505583171236</v>
      </c>
      <c r="D685" s="1">
        <f>(D684/D10)/1.983</f>
        <v>0.45548452165991571</v>
      </c>
      <c r="E685" s="59" t="s">
        <v>7</v>
      </c>
      <c r="F685" s="1">
        <f>(F684/F10)/1.983</f>
        <v>0.62195326945705165</v>
      </c>
      <c r="G685" s="1">
        <f>(G684/G10)/1.983</f>
        <v>0.68322678248987356</v>
      </c>
      <c r="H685" s="1">
        <f>(H684/H10)/1.983</f>
        <v>0.73962010421919644</v>
      </c>
      <c r="I685" s="59" t="s">
        <v>7</v>
      </c>
      <c r="J685" s="1">
        <f>(J684/J10)/1.983</f>
        <v>0.63442486945488263</v>
      </c>
      <c r="K685" s="1">
        <f>(K684/K10)/1.983</f>
        <v>0.5856229564198917</v>
      </c>
      <c r="L685" s="1">
        <f>(L684/L10)/1.983</f>
        <v>0.57152462598756093</v>
      </c>
      <c r="M685" s="59" t="s">
        <v>7</v>
      </c>
      <c r="N685" s="1">
        <f>(N684/N10)/1.983</f>
        <v>0.47175182600491267</v>
      </c>
      <c r="O685" s="1">
        <f>(O684/O10)/1.983</f>
        <v>0.38661959993276179</v>
      </c>
      <c r="P685" s="1">
        <f>(P684/P10)/1.983</f>
        <v>0.30907878255494281</v>
      </c>
      <c r="Q685" s="59" t="s">
        <v>7</v>
      </c>
      <c r="R685" s="59" t="s">
        <v>7</v>
      </c>
    </row>
    <row r="686" spans="1:18" ht="15.75" customHeight="1" x14ac:dyDescent="0.3">
      <c r="A686" s="85" t="s">
        <v>549</v>
      </c>
      <c r="B686" s="1">
        <f>B684+B722</f>
        <v>11220</v>
      </c>
      <c r="C686" s="1">
        <f>C684+C722</f>
        <v>18661</v>
      </c>
      <c r="D686" s="1">
        <f>D684+D722</f>
        <v>22778</v>
      </c>
      <c r="E686" s="59">
        <f>SUM(B686:D686)</f>
        <v>52659</v>
      </c>
      <c r="F686" s="1">
        <f>F684+F722</f>
        <v>25564</v>
      </c>
      <c r="G686" s="1">
        <f>G684+G722</f>
        <v>25822</v>
      </c>
      <c r="H686" s="1">
        <f>H684+H722</f>
        <v>22965</v>
      </c>
      <c r="I686" s="59">
        <f>SUM(F686:H686)</f>
        <v>74351</v>
      </c>
      <c r="J686" s="1">
        <f>J684+J722</f>
        <v>21595</v>
      </c>
      <c r="K686" s="1">
        <f>K684+K722</f>
        <v>21496</v>
      </c>
      <c r="L686" s="1">
        <f>L684+L722</f>
        <v>20032</v>
      </c>
      <c r="M686" s="59">
        <f>SUM(J686:L686)</f>
        <v>63123</v>
      </c>
      <c r="N686" s="1">
        <f>N684+N722</f>
        <v>8422</v>
      </c>
      <c r="O686" s="1">
        <f>O684+O722</f>
        <v>1988</v>
      </c>
      <c r="P686" s="1">
        <f>P684+P722</f>
        <v>9430</v>
      </c>
      <c r="Q686" s="59">
        <f>SUM(N686:P686)</f>
        <v>19840</v>
      </c>
      <c r="R686" s="59">
        <f>+E686+I686+M686+Q686</f>
        <v>209973</v>
      </c>
    </row>
    <row r="687" spans="1:18" ht="16.5" customHeight="1" thickBot="1" x14ac:dyDescent="0.35">
      <c r="A687" s="86" t="s">
        <v>550</v>
      </c>
      <c r="B687" s="87">
        <f>(B686/B10)/1.983</f>
        <v>182.51915475086622</v>
      </c>
      <c r="C687" s="87">
        <f>(C686/C10)/1.983</f>
        <v>336.08889849434473</v>
      </c>
      <c r="D687" s="87">
        <f>(D686/D10)/1.983</f>
        <v>370.5366583703414</v>
      </c>
      <c r="E687" s="88" t="s">
        <v>7</v>
      </c>
      <c r="F687" s="87">
        <f>(F686/F10)/1.983</f>
        <v>429.71928055135317</v>
      </c>
      <c r="G687" s="87">
        <f>(G686/G10)/1.983</f>
        <v>420.05433279651231</v>
      </c>
      <c r="H687" s="87">
        <f>(H686/H10)/1.983</f>
        <v>386.03126575895106</v>
      </c>
      <c r="I687" s="88" t="s">
        <v>7</v>
      </c>
      <c r="J687" s="87">
        <f>(J686/J10)/1.983</f>
        <v>351.29243733021002</v>
      </c>
      <c r="K687" s="87">
        <f>(K686/K10)/1.983</f>
        <v>349.68197420005527</v>
      </c>
      <c r="L687" s="87">
        <f>(L686/L10)/1.983</f>
        <v>336.72886199361238</v>
      </c>
      <c r="M687" s="88" t="s">
        <v>7</v>
      </c>
      <c r="N687" s="87">
        <f>(N686/N10)/1.983</f>
        <v>137.00323719356464</v>
      </c>
      <c r="O687" s="87">
        <f>(O686/O10)/1.983</f>
        <v>33.417381072449146</v>
      </c>
      <c r="P687" s="87">
        <f>(P686/P10)/1.983</f>
        <v>153.40067997332162</v>
      </c>
      <c r="Q687" s="88" t="s">
        <v>7</v>
      </c>
      <c r="R687" s="88" t="s">
        <v>7</v>
      </c>
    </row>
    <row r="688" spans="1:18" ht="15.75" customHeight="1" x14ac:dyDescent="0.3">
      <c r="A688" s="30"/>
      <c r="B688" s="1"/>
      <c r="C688" s="1"/>
      <c r="D688" s="1"/>
      <c r="E688" s="1"/>
      <c r="F688" s="1"/>
      <c r="G688" s="1"/>
      <c r="H688" s="1"/>
      <c r="I688" s="1"/>
      <c r="J688" s="1"/>
      <c r="K688" s="1"/>
      <c r="L688" s="1"/>
      <c r="M688" s="1"/>
      <c r="N688" s="1"/>
      <c r="O688" s="1"/>
      <c r="P688" s="1"/>
      <c r="Q688" s="1"/>
      <c r="R688" s="28"/>
    </row>
    <row r="689" spans="1:18" ht="15.75" customHeight="1" thickBot="1" x14ac:dyDescent="0.35">
      <c r="A689" s="30"/>
      <c r="B689" s="1"/>
      <c r="C689" s="1"/>
      <c r="D689" s="1"/>
      <c r="E689" s="1"/>
      <c r="F689" s="1"/>
      <c r="G689" s="1"/>
      <c r="H689" s="1"/>
      <c r="I689" s="1"/>
      <c r="J689" s="1"/>
      <c r="K689" s="1"/>
      <c r="L689" s="1"/>
      <c r="M689" s="1"/>
      <c r="N689" s="1"/>
      <c r="O689" s="1"/>
      <c r="P689" s="1"/>
      <c r="Q689" s="1"/>
      <c r="R689" s="28"/>
    </row>
    <row r="690" spans="1:18" ht="16.5" customHeight="1" thickBot="1" x14ac:dyDescent="0.35">
      <c r="A690" s="31" t="s">
        <v>551</v>
      </c>
      <c r="B690" s="32" t="s">
        <v>36</v>
      </c>
      <c r="C690" s="33" t="s">
        <v>9</v>
      </c>
      <c r="D690" s="33" t="s">
        <v>10</v>
      </c>
      <c r="E690" s="12" t="s">
        <v>11</v>
      </c>
      <c r="F690" s="33" t="s">
        <v>12</v>
      </c>
      <c r="G690" s="33" t="s">
        <v>13</v>
      </c>
      <c r="H690" s="33" t="s">
        <v>14</v>
      </c>
      <c r="I690" s="34" t="s">
        <v>15</v>
      </c>
      <c r="J690" s="33" t="s">
        <v>16</v>
      </c>
      <c r="K690" s="33" t="s">
        <v>17</v>
      </c>
      <c r="L690" s="33" t="s">
        <v>18</v>
      </c>
      <c r="M690" s="34" t="s">
        <v>19</v>
      </c>
      <c r="N690" s="33" t="s">
        <v>20</v>
      </c>
      <c r="O690" s="33" t="s">
        <v>21</v>
      </c>
      <c r="P690" s="33" t="s">
        <v>22</v>
      </c>
      <c r="Q690" s="34" t="s">
        <v>23</v>
      </c>
      <c r="R690" s="35" t="s">
        <v>24</v>
      </c>
    </row>
    <row r="691" spans="1:18" ht="16.5" customHeight="1" thickBot="1" x14ac:dyDescent="0.35">
      <c r="A691" s="42"/>
      <c r="B691" s="37"/>
      <c r="C691" s="37"/>
      <c r="D691" s="37"/>
      <c r="E691" s="16"/>
      <c r="F691" s="37"/>
      <c r="G691" s="37"/>
      <c r="H691" s="37"/>
      <c r="I691" s="16"/>
      <c r="J691" s="37"/>
      <c r="K691" s="37"/>
      <c r="L691" s="37"/>
      <c r="M691" s="16"/>
      <c r="N691" s="37"/>
      <c r="O691" s="37"/>
      <c r="P691" s="37"/>
      <c r="Q691" s="16"/>
      <c r="R691" s="39"/>
    </row>
    <row r="692" spans="1:18" ht="15.75" customHeight="1" x14ac:dyDescent="0.3">
      <c r="A692" s="17" t="s">
        <v>45</v>
      </c>
      <c r="B692" s="1" t="s">
        <v>7</v>
      </c>
      <c r="C692" s="1" t="s">
        <v>7</v>
      </c>
      <c r="D692" s="1" t="s">
        <v>7</v>
      </c>
      <c r="E692" s="59" t="s">
        <v>7</v>
      </c>
      <c r="F692" s="1" t="s">
        <v>7</v>
      </c>
      <c r="G692" s="1" t="s">
        <v>7</v>
      </c>
      <c r="H692" s="1" t="s">
        <v>7</v>
      </c>
      <c r="I692" s="59" t="s">
        <v>7</v>
      </c>
      <c r="J692" s="1" t="s">
        <v>7</v>
      </c>
      <c r="K692" s="1" t="s">
        <v>7</v>
      </c>
      <c r="L692" s="1" t="s">
        <v>7</v>
      </c>
      <c r="M692" s="59" t="s">
        <v>7</v>
      </c>
      <c r="N692" s="1" t="s">
        <v>7</v>
      </c>
      <c r="O692" s="1" t="s">
        <v>7</v>
      </c>
      <c r="P692" s="1" t="s">
        <v>7</v>
      </c>
      <c r="Q692" s="59" t="s">
        <v>7</v>
      </c>
      <c r="R692" s="59" t="s">
        <v>7</v>
      </c>
    </row>
    <row r="693" spans="1:18" ht="15.75" customHeight="1" x14ac:dyDescent="0.3">
      <c r="A693" s="17" t="s">
        <v>46</v>
      </c>
      <c r="B693" s="1"/>
      <c r="C693" s="1"/>
      <c r="D693" s="1"/>
      <c r="E693" s="59" t="s">
        <v>7</v>
      </c>
      <c r="F693" s="1"/>
      <c r="G693" s="1"/>
      <c r="H693" s="1"/>
      <c r="I693" s="59" t="s">
        <v>7</v>
      </c>
      <c r="J693" s="1"/>
      <c r="K693" s="1"/>
      <c r="L693" s="1"/>
      <c r="M693" s="59" t="s">
        <v>7</v>
      </c>
      <c r="N693" s="1"/>
      <c r="O693" s="1"/>
      <c r="P693" s="1"/>
      <c r="Q693" s="59" t="s">
        <v>7</v>
      </c>
      <c r="R693" s="59" t="s">
        <v>7</v>
      </c>
    </row>
    <row r="694" spans="1:18" ht="15.75" customHeight="1" x14ac:dyDescent="0.3">
      <c r="A694" s="74" t="s">
        <v>552</v>
      </c>
      <c r="B694" s="1">
        <v>200</v>
      </c>
      <c r="C694" s="1">
        <v>900</v>
      </c>
      <c r="D694" s="1">
        <v>400</v>
      </c>
      <c r="E694" s="59">
        <f>SUM(B694:D694)</f>
        <v>1500</v>
      </c>
      <c r="F694" s="1">
        <v>1800</v>
      </c>
      <c r="G694" s="1">
        <v>1400</v>
      </c>
      <c r="H694" s="1">
        <v>1300</v>
      </c>
      <c r="I694" s="59">
        <f>SUM(F694:H694)</f>
        <v>4500</v>
      </c>
      <c r="J694" s="1">
        <v>1000</v>
      </c>
      <c r="K694" s="1">
        <v>1200</v>
      </c>
      <c r="L694" s="1">
        <v>600</v>
      </c>
      <c r="M694" s="59">
        <f>SUM(J694:L694)</f>
        <v>2800</v>
      </c>
      <c r="N694" s="1">
        <v>400</v>
      </c>
      <c r="O694" s="1">
        <v>200</v>
      </c>
      <c r="P694" s="1">
        <v>300</v>
      </c>
      <c r="Q694" s="59">
        <f>SUM(N694:P694)</f>
        <v>900</v>
      </c>
      <c r="R694" s="59">
        <f>+E694+I694+M694+Q694</f>
        <v>9700</v>
      </c>
    </row>
    <row r="695" spans="1:18" ht="15.75" customHeight="1" x14ac:dyDescent="0.3">
      <c r="A695" s="74" t="s">
        <v>553</v>
      </c>
      <c r="B695" s="1">
        <v>308</v>
      </c>
      <c r="C695" s="1">
        <v>690</v>
      </c>
      <c r="D695" s="1">
        <v>930</v>
      </c>
      <c r="E695" s="59">
        <f>SUM(B695:D695)</f>
        <v>1928</v>
      </c>
      <c r="F695" s="1">
        <v>955</v>
      </c>
      <c r="G695" s="1">
        <v>931</v>
      </c>
      <c r="H695" s="1">
        <v>579</v>
      </c>
      <c r="I695" s="59">
        <f>SUM(F695:H695)</f>
        <v>2465</v>
      </c>
      <c r="J695" s="1"/>
      <c r="K695" s="1"/>
      <c r="L695" s="1">
        <v>500</v>
      </c>
      <c r="M695" s="59">
        <f>SUM(J695:L695)</f>
        <v>500</v>
      </c>
      <c r="N695" s="1">
        <v>500</v>
      </c>
      <c r="O695" s="1"/>
      <c r="P695" s="1"/>
      <c r="Q695" s="59">
        <f>SUM(N695:P695)</f>
        <v>500</v>
      </c>
      <c r="R695" s="59">
        <f>+E695+I695+M695+Q695</f>
        <v>5393</v>
      </c>
    </row>
    <row r="696" spans="1:18" ht="15.75" customHeight="1" x14ac:dyDescent="0.3">
      <c r="A696" s="74" t="s">
        <v>554</v>
      </c>
      <c r="B696" s="1">
        <v>100</v>
      </c>
      <c r="C696" s="1">
        <v>60</v>
      </c>
      <c r="D696" s="1">
        <v>70</v>
      </c>
      <c r="E696" s="59">
        <f>SUM(B696:D696)</f>
        <v>230</v>
      </c>
      <c r="F696" s="1">
        <v>100</v>
      </c>
      <c r="G696" s="1">
        <v>85</v>
      </c>
      <c r="H696" s="1"/>
      <c r="I696" s="59">
        <f>SUM(F696:H696)</f>
        <v>185</v>
      </c>
      <c r="J696" s="1"/>
      <c r="K696" s="1"/>
      <c r="L696" s="1"/>
      <c r="M696" s="59">
        <f>SUM(J696:L696)</f>
        <v>0</v>
      </c>
      <c r="N696" s="1"/>
      <c r="O696" s="1"/>
      <c r="P696" s="1">
        <v>100</v>
      </c>
      <c r="Q696" s="59">
        <f>SUM(N696:P696)</f>
        <v>100</v>
      </c>
      <c r="R696" s="59">
        <f>+E696+I696+M696+Q696</f>
        <v>515</v>
      </c>
    </row>
    <row r="697" spans="1:18" ht="15.75" customHeight="1" x14ac:dyDescent="0.3">
      <c r="A697" s="17" t="s">
        <v>47</v>
      </c>
      <c r="B697" s="1"/>
      <c r="C697" s="1"/>
      <c r="D697" s="1"/>
      <c r="E697" s="59" t="s">
        <v>7</v>
      </c>
      <c r="F697" s="1"/>
      <c r="G697" s="1"/>
      <c r="H697" s="1"/>
      <c r="I697" s="59" t="s">
        <v>7</v>
      </c>
      <c r="J697" s="1"/>
      <c r="K697" s="1"/>
      <c r="L697" s="1"/>
      <c r="M697" s="59" t="s">
        <v>7</v>
      </c>
      <c r="N697" s="1"/>
      <c r="O697" s="1"/>
      <c r="P697" s="1"/>
      <c r="Q697" s="59" t="s">
        <v>7</v>
      </c>
      <c r="R697" s="59" t="s">
        <v>7</v>
      </c>
    </row>
    <row r="698" spans="1:18" ht="15.75" customHeight="1" x14ac:dyDescent="0.3">
      <c r="A698" s="17" t="s">
        <v>49</v>
      </c>
      <c r="B698" s="1"/>
      <c r="C698" s="1"/>
      <c r="D698" s="1"/>
      <c r="E698" s="59" t="s">
        <v>7</v>
      </c>
      <c r="F698" s="1"/>
      <c r="G698" s="1"/>
      <c r="H698" s="1"/>
      <c r="I698" s="59" t="s">
        <v>7</v>
      </c>
      <c r="J698" s="1"/>
      <c r="K698" s="1"/>
      <c r="L698" s="1"/>
      <c r="M698" s="59" t="s">
        <v>7</v>
      </c>
      <c r="N698" s="1"/>
      <c r="O698" s="1"/>
      <c r="P698" s="1"/>
      <c r="Q698" s="59" t="s">
        <v>7</v>
      </c>
      <c r="R698" s="59" t="s">
        <v>7</v>
      </c>
    </row>
    <row r="699" spans="1:18" ht="15.75" customHeight="1" thickBot="1" x14ac:dyDescent="0.35">
      <c r="A699" s="17" t="s">
        <v>51</v>
      </c>
      <c r="B699" s="1"/>
      <c r="C699" s="1"/>
      <c r="D699" s="1"/>
      <c r="E699" s="59" t="s">
        <v>7</v>
      </c>
      <c r="F699" s="1"/>
      <c r="G699" s="1"/>
      <c r="H699" s="1"/>
      <c r="I699" s="59" t="s">
        <v>7</v>
      </c>
      <c r="J699" s="1"/>
      <c r="K699" s="1"/>
      <c r="L699" s="1"/>
      <c r="M699" s="59" t="s">
        <v>7</v>
      </c>
      <c r="N699" s="1"/>
      <c r="O699" s="1"/>
      <c r="P699" s="1"/>
      <c r="Q699" s="59" t="s">
        <v>7</v>
      </c>
      <c r="R699" s="59" t="s">
        <v>7</v>
      </c>
    </row>
    <row r="700" spans="1:18" ht="16.5" customHeight="1" thickBot="1" x14ac:dyDescent="0.35">
      <c r="A700" s="126" t="s">
        <v>52</v>
      </c>
      <c r="B700" s="100">
        <f>SUM(B692:B699)</f>
        <v>608</v>
      </c>
      <c r="C700" s="101">
        <f>SUM(C692:C699)</f>
        <v>1650</v>
      </c>
      <c r="D700" s="101">
        <f>SUM(D692:D699)</f>
        <v>1400</v>
      </c>
      <c r="E700" s="64">
        <f>SUM(B700:D700)</f>
        <v>3658</v>
      </c>
      <c r="F700" s="101">
        <f>SUM(F692:F699)</f>
        <v>2855</v>
      </c>
      <c r="G700" s="101">
        <f>SUM(G692:G699)</f>
        <v>2416</v>
      </c>
      <c r="H700" s="101">
        <f>SUM(H692:H699)</f>
        <v>1879</v>
      </c>
      <c r="I700" s="64">
        <f>SUM(F700:H700)</f>
        <v>7150</v>
      </c>
      <c r="J700" s="101">
        <f>SUM(J692:J699)</f>
        <v>1000</v>
      </c>
      <c r="K700" s="101">
        <f>SUM(K692:K699)</f>
        <v>1200</v>
      </c>
      <c r="L700" s="101">
        <f>SUM(L692:L699)</f>
        <v>1100</v>
      </c>
      <c r="M700" s="64">
        <f>SUM(J700:L700)</f>
        <v>3300</v>
      </c>
      <c r="N700" s="101">
        <f>SUM(N692:N699)</f>
        <v>900</v>
      </c>
      <c r="O700" s="101">
        <f>SUM(O692:O699)</f>
        <v>200</v>
      </c>
      <c r="P700" s="101">
        <f>SUM(P692:P699)</f>
        <v>400</v>
      </c>
      <c r="Q700" s="64">
        <f>SUM(N700:P700)</f>
        <v>1500</v>
      </c>
      <c r="R700" s="64">
        <f>+E700+I700+M700+Q700</f>
        <v>15608</v>
      </c>
    </row>
    <row r="701" spans="1:18" ht="15.75" customHeight="1" x14ac:dyDescent="0.3">
      <c r="A701" s="17" t="s">
        <v>53</v>
      </c>
      <c r="B701" s="1"/>
      <c r="C701" s="1"/>
      <c r="D701" s="1"/>
      <c r="E701" s="59" t="s">
        <v>7</v>
      </c>
      <c r="F701" s="1"/>
      <c r="G701" s="1"/>
      <c r="H701" s="1"/>
      <c r="I701" s="59" t="s">
        <v>7</v>
      </c>
      <c r="J701" s="1"/>
      <c r="K701" s="1"/>
      <c r="L701" s="1"/>
      <c r="M701" s="59" t="s">
        <v>7</v>
      </c>
      <c r="N701" s="1"/>
      <c r="O701" s="1"/>
      <c r="P701" s="1"/>
      <c r="Q701" s="59" t="s">
        <v>7</v>
      </c>
      <c r="R701" s="59" t="s">
        <v>7</v>
      </c>
    </row>
    <row r="702" spans="1:18" ht="15.75" customHeight="1" x14ac:dyDescent="0.3">
      <c r="A702" s="17" t="s">
        <v>55</v>
      </c>
      <c r="B702" s="1"/>
      <c r="C702" s="1"/>
      <c r="D702" s="1"/>
      <c r="E702" s="59" t="s">
        <v>7</v>
      </c>
      <c r="F702" s="1"/>
      <c r="G702" s="1"/>
      <c r="H702" s="1"/>
      <c r="I702" s="59" t="s">
        <v>7</v>
      </c>
      <c r="J702" s="1"/>
      <c r="K702" s="1"/>
      <c r="L702" s="1"/>
      <c r="M702" s="59" t="s">
        <v>7</v>
      </c>
      <c r="N702" s="1"/>
      <c r="O702" s="1"/>
      <c r="P702" s="1"/>
      <c r="Q702" s="59" t="s">
        <v>7</v>
      </c>
      <c r="R702" s="59" t="s">
        <v>7</v>
      </c>
    </row>
    <row r="703" spans="1:18" ht="15.75" customHeight="1" thickBot="1" x14ac:dyDescent="0.35">
      <c r="A703" s="17" t="s">
        <v>56</v>
      </c>
      <c r="B703" s="1"/>
      <c r="C703" s="1"/>
      <c r="D703" s="1"/>
      <c r="E703" s="59" t="s">
        <v>7</v>
      </c>
      <c r="F703" s="1"/>
      <c r="G703" s="1"/>
      <c r="H703" s="1"/>
      <c r="I703" s="59" t="s">
        <v>7</v>
      </c>
      <c r="J703" s="1"/>
      <c r="K703" s="1"/>
      <c r="L703" s="1"/>
      <c r="M703" s="59" t="s">
        <v>7</v>
      </c>
      <c r="N703" s="1"/>
      <c r="O703" s="1"/>
      <c r="P703" s="1"/>
      <c r="Q703" s="59" t="s">
        <v>7</v>
      </c>
      <c r="R703" s="59" t="s">
        <v>7</v>
      </c>
    </row>
    <row r="704" spans="1:18" ht="16.5" customHeight="1" thickBot="1" x14ac:dyDescent="0.35">
      <c r="A704" s="62" t="s">
        <v>57</v>
      </c>
      <c r="B704" s="100">
        <f>SUM(B701:B703)</f>
        <v>0</v>
      </c>
      <c r="C704" s="101">
        <f>SUM(C701:C703)</f>
        <v>0</v>
      </c>
      <c r="D704" s="101">
        <f>SUM(D701:D703)</f>
        <v>0</v>
      </c>
      <c r="E704" s="64">
        <f>SUM(B704:D704)</f>
        <v>0</v>
      </c>
      <c r="F704" s="101">
        <f>SUM(F701:F703)</f>
        <v>0</v>
      </c>
      <c r="G704" s="101">
        <f>SUM(G701:G703)</f>
        <v>0</v>
      </c>
      <c r="H704" s="101">
        <f>SUM(H701:H703)</f>
        <v>0</v>
      </c>
      <c r="I704" s="64">
        <f>SUM(F704:H704)</f>
        <v>0</v>
      </c>
      <c r="J704" s="101">
        <f>SUM(J701:J703)</f>
        <v>0</v>
      </c>
      <c r="K704" s="101">
        <f>SUM(K701:K703)</f>
        <v>0</v>
      </c>
      <c r="L704" s="101">
        <f>SUM(L701:L703)</f>
        <v>0</v>
      </c>
      <c r="M704" s="64">
        <f>SUM(J704:L704)</f>
        <v>0</v>
      </c>
      <c r="N704" s="101">
        <f>SUM(N701:N703)</f>
        <v>0</v>
      </c>
      <c r="O704" s="101">
        <f>SUM(O701:O703)</f>
        <v>0</v>
      </c>
      <c r="P704" s="101">
        <f>SUM(P701:P703)</f>
        <v>0</v>
      </c>
      <c r="Q704" s="64">
        <f>SUM(N704:P704)</f>
        <v>0</v>
      </c>
      <c r="R704" s="64">
        <f>+E704+I704+M704+Q704</f>
        <v>0</v>
      </c>
    </row>
    <row r="705" spans="1:18" ht="15.75" customHeight="1" x14ac:dyDescent="0.3">
      <c r="A705" s="17" t="s">
        <v>58</v>
      </c>
      <c r="B705" s="1"/>
      <c r="C705" s="1"/>
      <c r="D705" s="1"/>
      <c r="E705" s="59" t="s">
        <v>7</v>
      </c>
      <c r="F705" s="1"/>
      <c r="G705" s="1"/>
      <c r="H705" s="1"/>
      <c r="I705" s="59" t="s">
        <v>7</v>
      </c>
      <c r="J705" s="1"/>
      <c r="K705" s="1"/>
      <c r="L705" s="1"/>
      <c r="M705" s="59" t="s">
        <v>7</v>
      </c>
      <c r="N705" s="1"/>
      <c r="O705" s="1"/>
      <c r="P705" s="1"/>
      <c r="Q705" s="59" t="s">
        <v>7</v>
      </c>
      <c r="R705" s="59" t="s">
        <v>7</v>
      </c>
    </row>
    <row r="706" spans="1:18" ht="15.75" customHeight="1" x14ac:dyDescent="0.3">
      <c r="A706" s="17" t="s">
        <v>59</v>
      </c>
      <c r="B706" s="1"/>
      <c r="C706" s="1"/>
      <c r="D706" s="1"/>
      <c r="E706" s="59" t="s">
        <v>7</v>
      </c>
      <c r="F706" s="1"/>
      <c r="G706" s="1"/>
      <c r="H706" s="1"/>
      <c r="I706" s="59" t="s">
        <v>7</v>
      </c>
      <c r="J706" s="1"/>
      <c r="K706" s="1"/>
      <c r="L706" s="1"/>
      <c r="M706" s="59" t="s">
        <v>7</v>
      </c>
      <c r="N706" s="1"/>
      <c r="O706" s="1"/>
      <c r="P706" s="1"/>
      <c r="Q706" s="59" t="s">
        <v>7</v>
      </c>
      <c r="R706" s="59" t="s">
        <v>7</v>
      </c>
    </row>
    <row r="707" spans="1:18" ht="15.75" customHeight="1" thickBot="1" x14ac:dyDescent="0.35">
      <c r="A707" s="17" t="s">
        <v>60</v>
      </c>
      <c r="B707" s="1"/>
      <c r="C707" s="1"/>
      <c r="D707" s="1"/>
      <c r="E707" s="59" t="s">
        <v>7</v>
      </c>
      <c r="F707" s="1"/>
      <c r="G707" s="1"/>
      <c r="H707" s="1"/>
      <c r="I707" s="59" t="s">
        <v>7</v>
      </c>
      <c r="J707" s="1"/>
      <c r="K707" s="1"/>
      <c r="L707" s="1"/>
      <c r="M707" s="59" t="s">
        <v>7</v>
      </c>
      <c r="N707" s="1"/>
      <c r="O707" s="1"/>
      <c r="P707" s="1"/>
      <c r="Q707" s="59" t="s">
        <v>7</v>
      </c>
      <c r="R707" s="59" t="s">
        <v>7</v>
      </c>
    </row>
    <row r="708" spans="1:18" ht="16.5" customHeight="1" thickBot="1" x14ac:dyDescent="0.35">
      <c r="A708" s="137" t="s">
        <v>61</v>
      </c>
      <c r="B708" s="100">
        <f>SUM(B705:B707)</f>
        <v>0</v>
      </c>
      <c r="C708" s="101">
        <f>SUM(C705:C707)</f>
        <v>0</v>
      </c>
      <c r="D708" s="101">
        <f>SUM(D705:D707)</f>
        <v>0</v>
      </c>
      <c r="E708" s="64">
        <f>SUM(B708:D708)</f>
        <v>0</v>
      </c>
      <c r="F708" s="101">
        <f>SUM(F705:F707)</f>
        <v>0</v>
      </c>
      <c r="G708" s="101">
        <f>SUM(G705:G707)</f>
        <v>0</v>
      </c>
      <c r="H708" s="101">
        <f>SUM(H705:H707)</f>
        <v>0</v>
      </c>
      <c r="I708" s="64">
        <f>SUM(F708:H708)</f>
        <v>0</v>
      </c>
      <c r="J708" s="101">
        <f>SUM(J705:J707)</f>
        <v>0</v>
      </c>
      <c r="K708" s="101">
        <f>SUM(K705:K707)</f>
        <v>0</v>
      </c>
      <c r="L708" s="101">
        <f>SUM(L705:L707)</f>
        <v>0</v>
      </c>
      <c r="M708" s="64">
        <f>SUM(J708:L708)</f>
        <v>0</v>
      </c>
      <c r="N708" s="101">
        <f>SUM(N705:N707)</f>
        <v>0</v>
      </c>
      <c r="O708" s="101">
        <f>SUM(O705:O707)</f>
        <v>0</v>
      </c>
      <c r="P708" s="101">
        <f>SUM(P705:P707)</f>
        <v>0</v>
      </c>
      <c r="Q708" s="64">
        <f>SUM(N708:P708)</f>
        <v>0</v>
      </c>
      <c r="R708" s="64">
        <f>+E708+I708+M708+Q708</f>
        <v>0</v>
      </c>
    </row>
    <row r="709" spans="1:18" ht="15.75" customHeight="1" x14ac:dyDescent="0.3">
      <c r="A709" s="17" t="s">
        <v>62</v>
      </c>
      <c r="B709" s="1"/>
      <c r="C709" s="1"/>
      <c r="D709" s="1"/>
      <c r="E709" s="59" t="s">
        <v>7</v>
      </c>
      <c r="F709" s="1"/>
      <c r="G709" s="1"/>
      <c r="H709" s="1"/>
      <c r="I709" s="59" t="s">
        <v>7</v>
      </c>
      <c r="J709" s="1"/>
      <c r="K709" s="1"/>
      <c r="L709" s="1"/>
      <c r="M709" s="59" t="s">
        <v>7</v>
      </c>
      <c r="N709" s="1"/>
      <c r="O709" s="1"/>
      <c r="P709" s="1"/>
      <c r="Q709" s="59" t="s">
        <v>7</v>
      </c>
      <c r="R709" s="59" t="s">
        <v>7</v>
      </c>
    </row>
    <row r="710" spans="1:18" ht="15.75" customHeight="1" x14ac:dyDescent="0.3">
      <c r="A710" s="17" t="s">
        <v>63</v>
      </c>
      <c r="B710" s="1"/>
      <c r="C710" s="1"/>
      <c r="D710" s="1"/>
      <c r="E710" s="59" t="s">
        <v>7</v>
      </c>
      <c r="F710" s="1"/>
      <c r="G710" s="1"/>
      <c r="H710" s="1"/>
      <c r="I710" s="59" t="s">
        <v>7</v>
      </c>
      <c r="J710" s="1"/>
      <c r="K710" s="1"/>
      <c r="L710" s="1"/>
      <c r="M710" s="59" t="s">
        <v>7</v>
      </c>
      <c r="N710" s="1"/>
      <c r="O710" s="1"/>
      <c r="P710" s="1"/>
      <c r="Q710" s="59" t="s">
        <v>7</v>
      </c>
      <c r="R710" s="59" t="s">
        <v>7</v>
      </c>
    </row>
    <row r="711" spans="1:18" ht="15.75" customHeight="1" x14ac:dyDescent="0.3">
      <c r="A711" s="17" t="s">
        <v>64</v>
      </c>
      <c r="B711" s="1"/>
      <c r="C711" s="1"/>
      <c r="D711" s="1"/>
      <c r="E711" s="59" t="s">
        <v>7</v>
      </c>
      <c r="F711" s="1"/>
      <c r="G711" s="1"/>
      <c r="H711" s="1"/>
      <c r="I711" s="59" t="s">
        <v>7</v>
      </c>
      <c r="J711" s="1"/>
      <c r="K711" s="1"/>
      <c r="L711" s="1"/>
      <c r="M711" s="59" t="s">
        <v>7</v>
      </c>
      <c r="N711" s="1"/>
      <c r="O711" s="1"/>
      <c r="P711" s="1"/>
      <c r="Q711" s="59" t="s">
        <v>7</v>
      </c>
      <c r="R711" s="59" t="s">
        <v>7</v>
      </c>
    </row>
    <row r="712" spans="1:18" ht="15.75" customHeight="1" x14ac:dyDescent="0.3">
      <c r="A712" s="74" t="s">
        <v>555</v>
      </c>
      <c r="B712" s="1"/>
      <c r="C712" s="1"/>
      <c r="D712" s="1"/>
      <c r="E712" s="59">
        <f>SUM(B712:D712)</f>
        <v>0</v>
      </c>
      <c r="F712" s="1"/>
      <c r="G712" s="1"/>
      <c r="H712" s="1"/>
      <c r="I712" s="59">
        <f>SUM(F712:H712)</f>
        <v>0</v>
      </c>
      <c r="J712" s="1"/>
      <c r="K712" s="1"/>
      <c r="L712" s="1"/>
      <c r="M712" s="59">
        <f>SUM(J712:L712)</f>
        <v>0</v>
      </c>
      <c r="N712" s="1"/>
      <c r="O712" s="1"/>
      <c r="P712" s="1"/>
      <c r="Q712" s="59">
        <f>SUM(N712:P712)</f>
        <v>0</v>
      </c>
      <c r="R712" s="59">
        <f>+E712+I712+M712+Q712</f>
        <v>0</v>
      </c>
    </row>
    <row r="713" spans="1:18" ht="15.75" customHeight="1" x14ac:dyDescent="0.3">
      <c r="A713" s="17" t="s">
        <v>66</v>
      </c>
      <c r="B713" s="1"/>
      <c r="C713" s="1"/>
      <c r="D713" s="1"/>
      <c r="E713" s="59" t="s">
        <v>7</v>
      </c>
      <c r="F713" s="1"/>
      <c r="G713" s="1"/>
      <c r="H713" s="1"/>
      <c r="I713" s="59" t="s">
        <v>7</v>
      </c>
      <c r="J713" s="1"/>
      <c r="K713" s="1"/>
      <c r="L713" s="1"/>
      <c r="M713" s="59" t="s">
        <v>7</v>
      </c>
      <c r="N713" s="1"/>
      <c r="O713" s="1"/>
      <c r="P713" s="1"/>
      <c r="Q713" s="59" t="s">
        <v>7</v>
      </c>
      <c r="R713" s="59" t="s">
        <v>7</v>
      </c>
    </row>
    <row r="714" spans="1:18" ht="15.75" customHeight="1" thickBot="1" x14ac:dyDescent="0.35">
      <c r="A714" s="17" t="s">
        <v>67</v>
      </c>
      <c r="B714" s="1"/>
      <c r="C714" s="1"/>
      <c r="D714" s="1"/>
      <c r="E714" s="59" t="s">
        <v>7</v>
      </c>
      <c r="F714" s="1"/>
      <c r="G714" s="1"/>
      <c r="H714" s="1"/>
      <c r="I714" s="59" t="s">
        <v>7</v>
      </c>
      <c r="J714" s="1"/>
      <c r="K714" s="1"/>
      <c r="L714" s="1"/>
      <c r="M714" s="59" t="s">
        <v>7</v>
      </c>
      <c r="N714" s="1"/>
      <c r="O714" s="1"/>
      <c r="P714" s="1"/>
      <c r="Q714" s="59" t="s">
        <v>7</v>
      </c>
      <c r="R714" s="59" t="s">
        <v>7</v>
      </c>
    </row>
    <row r="715" spans="1:18" ht="16.5" customHeight="1" thickBot="1" x14ac:dyDescent="0.35">
      <c r="A715" s="62" t="s">
        <v>68</v>
      </c>
      <c r="B715" s="63">
        <f>SUM(B713:B714)</f>
        <v>0</v>
      </c>
      <c r="C715" s="63">
        <f>SUM(C713:C714)</f>
        <v>0</v>
      </c>
      <c r="D715" s="63">
        <f>SUM(D713:D714)</f>
        <v>0</v>
      </c>
      <c r="E715" s="65">
        <f>SUM(B715:D715)</f>
        <v>0</v>
      </c>
      <c r="F715" s="63">
        <f>SUM(F713:F714)</f>
        <v>0</v>
      </c>
      <c r="G715" s="63">
        <f>SUM(G713:G714)</f>
        <v>0</v>
      </c>
      <c r="H715" s="63">
        <f>SUM(H713:H714)</f>
        <v>0</v>
      </c>
      <c r="I715" s="65">
        <f>SUM(F715:H715)</f>
        <v>0</v>
      </c>
      <c r="J715" s="63">
        <f>SUM(J713:J714)</f>
        <v>0</v>
      </c>
      <c r="K715" s="63">
        <f>SUM(K713:K714)</f>
        <v>0</v>
      </c>
      <c r="L715" s="63">
        <f>SUM(L713:L714)</f>
        <v>0</v>
      </c>
      <c r="M715" s="65">
        <f>SUM(J715:L715)</f>
        <v>0</v>
      </c>
      <c r="N715" s="63">
        <f>SUM(N713:N714)</f>
        <v>0</v>
      </c>
      <c r="O715" s="63">
        <f>SUM(O713:O714)</f>
        <v>0</v>
      </c>
      <c r="P715" s="63">
        <f>SUM(P713:P714)</f>
        <v>0</v>
      </c>
      <c r="Q715" s="65">
        <f>SUM(N715:P715)</f>
        <v>0</v>
      </c>
      <c r="R715" s="64">
        <f>+E715+I715+M715+Q715</f>
        <v>0</v>
      </c>
    </row>
    <row r="716" spans="1:18" ht="16.5" customHeight="1" thickBot="1" x14ac:dyDescent="0.35">
      <c r="A716" s="137" t="s">
        <v>69</v>
      </c>
      <c r="B716" s="100">
        <f>SUM(B709:B714)</f>
        <v>0</v>
      </c>
      <c r="C716" s="101">
        <f>SUM(C709:C714)</f>
        <v>0</v>
      </c>
      <c r="D716" s="138">
        <f>SUM(D709:D714)</f>
        <v>0</v>
      </c>
      <c r="E716" s="65">
        <f>SUM(B716:D716)</f>
        <v>0</v>
      </c>
      <c r="F716" s="101">
        <f>SUM(F709:F714)</f>
        <v>0</v>
      </c>
      <c r="G716" s="101">
        <f>SUM(G709:G714)</f>
        <v>0</v>
      </c>
      <c r="H716" s="101">
        <f>SUM(H709:H714)</f>
        <v>0</v>
      </c>
      <c r="I716" s="65">
        <f>SUM(F716:H716)</f>
        <v>0</v>
      </c>
      <c r="J716" s="101">
        <f>SUM(J709:J714)</f>
        <v>0</v>
      </c>
      <c r="K716" s="101">
        <f>SUM(K709:K714)</f>
        <v>0</v>
      </c>
      <c r="L716" s="101">
        <f>SUM(L709:L714)</f>
        <v>0</v>
      </c>
      <c r="M716" s="65">
        <f>SUM(J716:L716)</f>
        <v>0</v>
      </c>
      <c r="N716" s="101">
        <f>SUM(N709:N714)</f>
        <v>0</v>
      </c>
      <c r="O716" s="101">
        <f>SUM(O709:O714)</f>
        <v>0</v>
      </c>
      <c r="P716" s="101">
        <f>SUM(P709:P714)</f>
        <v>0</v>
      </c>
      <c r="Q716" s="65">
        <f>SUM(N716:P716)</f>
        <v>0</v>
      </c>
      <c r="R716" s="64">
        <f>+E716+I716+M716+Q716</f>
        <v>0</v>
      </c>
    </row>
    <row r="717" spans="1:18" ht="16.5" customHeight="1" thickBot="1" x14ac:dyDescent="0.35">
      <c r="A717" s="62" t="s">
        <v>70</v>
      </c>
      <c r="B717" s="107">
        <f>+B700+B704+B708+B716</f>
        <v>608</v>
      </c>
      <c r="C717" s="63">
        <f>+C700+C704+C708+C716</f>
        <v>1650</v>
      </c>
      <c r="D717" s="63">
        <f>+D700+D704+D708+D716</f>
        <v>1400</v>
      </c>
      <c r="E717" s="64">
        <f>SUM(B717:D717)</f>
        <v>3658</v>
      </c>
      <c r="F717" s="63">
        <f>+F700+F704+F708+F716</f>
        <v>2855</v>
      </c>
      <c r="G717" s="63">
        <f>+G700+G704+G708+G716</f>
        <v>2416</v>
      </c>
      <c r="H717" s="63">
        <f>+H700+H704+H708+H716</f>
        <v>1879</v>
      </c>
      <c r="I717" s="64">
        <f>SUM(F717:H717)</f>
        <v>7150</v>
      </c>
      <c r="J717" s="63">
        <f>+J700+J704+J708+J716</f>
        <v>1000</v>
      </c>
      <c r="K717" s="63">
        <f>+K700+K704+K708+K716</f>
        <v>1200</v>
      </c>
      <c r="L717" s="63">
        <f>+L700+L704+L708+L716</f>
        <v>1100</v>
      </c>
      <c r="M717" s="64">
        <f>SUM(J717:L717)</f>
        <v>3300</v>
      </c>
      <c r="N717" s="63">
        <f>+N700+N704+N708+N716</f>
        <v>900</v>
      </c>
      <c r="O717" s="63">
        <f>+O700+O704+O708+O716</f>
        <v>200</v>
      </c>
      <c r="P717" s="63">
        <f>+P700+P704+P708+P716</f>
        <v>400</v>
      </c>
      <c r="Q717" s="64">
        <f>SUM(N717:P717)</f>
        <v>1500</v>
      </c>
      <c r="R717" s="88">
        <f>+E717+I717+M717+Q717</f>
        <v>15608</v>
      </c>
    </row>
    <row r="718" spans="1:18" ht="16.5" customHeight="1" thickBot="1" x14ac:dyDescent="0.35">
      <c r="A718" s="40" t="s">
        <v>37</v>
      </c>
      <c r="B718" s="25">
        <v>10</v>
      </c>
      <c r="C718" s="25">
        <v>11</v>
      </c>
      <c r="D718" s="25">
        <v>14</v>
      </c>
      <c r="E718" s="59">
        <f>SUM(B718:D718)</f>
        <v>35</v>
      </c>
      <c r="F718" s="25">
        <v>18</v>
      </c>
      <c r="G718" s="25">
        <v>21</v>
      </c>
      <c r="H718" s="25">
        <v>22</v>
      </c>
      <c r="I718" s="59">
        <f>SUM(F718:H718)</f>
        <v>61</v>
      </c>
      <c r="J718" s="25">
        <v>19</v>
      </c>
      <c r="K718" s="25">
        <v>17</v>
      </c>
      <c r="L718" s="25">
        <v>17</v>
      </c>
      <c r="M718" s="59">
        <f>SUM(J718:L718)</f>
        <v>53</v>
      </c>
      <c r="N718" s="25">
        <v>14</v>
      </c>
      <c r="O718" s="25">
        <v>11</v>
      </c>
      <c r="P718" s="25">
        <v>9</v>
      </c>
      <c r="Q718" s="59">
        <f>SUM(N718:P718)</f>
        <v>34</v>
      </c>
      <c r="R718" s="59">
        <f>+E718+I718+M718+Q718</f>
        <v>183</v>
      </c>
    </row>
    <row r="719" spans="1:18" ht="16.5" customHeight="1" thickBot="1" x14ac:dyDescent="0.35">
      <c r="A719" s="42"/>
      <c r="B719" s="37"/>
      <c r="C719" s="37"/>
      <c r="D719" s="37"/>
      <c r="E719" s="16"/>
      <c r="F719" s="37"/>
      <c r="G719" s="37"/>
      <c r="H719" s="37"/>
      <c r="I719" s="16"/>
      <c r="J719" s="37"/>
      <c r="K719" s="37"/>
      <c r="L719" s="37"/>
      <c r="M719" s="153"/>
      <c r="N719" s="37"/>
      <c r="O719" s="37"/>
      <c r="P719" s="37"/>
      <c r="Q719" s="153"/>
      <c r="R719" s="41"/>
    </row>
    <row r="720" spans="1:18" ht="15.75" customHeight="1" x14ac:dyDescent="0.3">
      <c r="A720" s="17" t="s">
        <v>507</v>
      </c>
      <c r="B720" s="1">
        <f>SUM(B717:B718)</f>
        <v>618</v>
      </c>
      <c r="C720" s="1">
        <f>SUM(C717:C718)</f>
        <v>1661</v>
      </c>
      <c r="D720" s="1">
        <f>SUM(D717:D718)</f>
        <v>1414</v>
      </c>
      <c r="E720" s="59">
        <f>SUM(B720:D720)</f>
        <v>3693</v>
      </c>
      <c r="F720" s="1">
        <f>SUM(F717:F718)</f>
        <v>2873</v>
      </c>
      <c r="G720" s="1">
        <f>SUM(G717:G718)</f>
        <v>2437</v>
      </c>
      <c r="H720" s="1">
        <f>SUM(H717:H718)</f>
        <v>1901</v>
      </c>
      <c r="I720" s="65">
        <f>SUM(F720:H720)</f>
        <v>7211</v>
      </c>
      <c r="J720" s="1">
        <f>SUM(J717:J718)</f>
        <v>1019</v>
      </c>
      <c r="K720" s="1">
        <f>SUM(K717:K718)</f>
        <v>1217</v>
      </c>
      <c r="L720" s="1">
        <f>SUM(L717:L718)</f>
        <v>1117</v>
      </c>
      <c r="M720" s="65">
        <f>SUM(J720:L720)</f>
        <v>3353</v>
      </c>
      <c r="N720" s="1">
        <f>SUM(N717:N718)</f>
        <v>914</v>
      </c>
      <c r="O720" s="1">
        <f>SUM(O717:O718)</f>
        <v>211</v>
      </c>
      <c r="P720" s="1">
        <f>SUM(P717:P718)</f>
        <v>409</v>
      </c>
      <c r="Q720" s="65">
        <f>SUM(N720:P720)</f>
        <v>1534</v>
      </c>
      <c r="R720" s="65">
        <f>+E720+I720+M720+Q720</f>
        <v>15791</v>
      </c>
    </row>
    <row r="721" spans="1:18" ht="15.75" customHeight="1" x14ac:dyDescent="0.3">
      <c r="A721" s="17" t="s">
        <v>39</v>
      </c>
      <c r="B721" s="1">
        <f>(B720/B10)/1.983</f>
        <v>10.053194085208139</v>
      </c>
      <c r="C721" s="1">
        <f>(C720/C10)/1.983</f>
        <v>29.914991715294285</v>
      </c>
      <c r="D721" s="1">
        <f>(D720/D10)/1.983</f>
        <v>23.001968343825741</v>
      </c>
      <c r="E721" s="59" t="s">
        <v>7</v>
      </c>
      <c r="F721" s="1">
        <f>(F720/F10)/1.983</f>
        <v>48.293830895948894</v>
      </c>
      <c r="G721" s="1">
        <f>(G720/G10)/1.983</f>
        <v>39.643420688757665</v>
      </c>
      <c r="H721" s="1">
        <f>(H720/H10)/1.983</f>
        <v>31.95495041183392</v>
      </c>
      <c r="I721" s="59" t="s">
        <v>7</v>
      </c>
      <c r="J721" s="1">
        <f>(J720/J10)/1.983</f>
        <v>16.576383127551932</v>
      </c>
      <c r="K721" s="1">
        <f>(K720/K10)/1.983</f>
        <v>19.797309387861336</v>
      </c>
      <c r="L721" s="1">
        <f>(L720/L10)/1.983</f>
        <v>18.776264918473693</v>
      </c>
      <c r="M721" s="59" t="s">
        <v>7</v>
      </c>
      <c r="N721" s="1">
        <f>(N720/N10)/1.983</f>
        <v>14.868316171327249</v>
      </c>
      <c r="O721" s="1">
        <f>(O720/O10)/1.983</f>
        <v>3.5468145906875104</v>
      </c>
      <c r="P721" s="1">
        <f>(P720/P10)/1.983</f>
        <v>6.6533274771037689</v>
      </c>
      <c r="Q721" s="59" t="s">
        <v>7</v>
      </c>
      <c r="R721" s="59" t="s">
        <v>7</v>
      </c>
    </row>
    <row r="722" spans="1:18" ht="15.75" customHeight="1" x14ac:dyDescent="0.3">
      <c r="A722" s="17" t="s">
        <v>556</v>
      </c>
      <c r="B722" s="1">
        <f>B720+B774</f>
        <v>11200</v>
      </c>
      <c r="C722" s="1">
        <f>C720+C774</f>
        <v>18639</v>
      </c>
      <c r="D722" s="1">
        <f>D720+D774</f>
        <v>22750</v>
      </c>
      <c r="E722" s="59">
        <f>SUM(B722:D722)</f>
        <v>52589</v>
      </c>
      <c r="F722" s="1">
        <f>F720+F774</f>
        <v>25527</v>
      </c>
      <c r="G722" s="1">
        <f>G720+G774</f>
        <v>25780</v>
      </c>
      <c r="H722" s="1">
        <f>H720+H774</f>
        <v>22921</v>
      </c>
      <c r="I722" s="59">
        <f>SUM(F722:H722)</f>
        <v>74228</v>
      </c>
      <c r="J722" s="1">
        <f>J720+J774</f>
        <v>21556</v>
      </c>
      <c r="K722" s="1">
        <f>K720+K774</f>
        <v>21460</v>
      </c>
      <c r="L722" s="1">
        <f>L720+L774</f>
        <v>19998</v>
      </c>
      <c r="M722" s="59">
        <f>SUM(J722:L722)</f>
        <v>63014</v>
      </c>
      <c r="N722" s="1">
        <f>N720+N774</f>
        <v>8393</v>
      </c>
      <c r="O722" s="1">
        <f>O720+O774</f>
        <v>1965</v>
      </c>
      <c r="P722" s="1">
        <f>P720+P774</f>
        <v>9411</v>
      </c>
      <c r="Q722" s="59">
        <f>SUM(N722:P722)</f>
        <v>19769</v>
      </c>
      <c r="R722" s="59">
        <f>+E722+I722+M722+Q722</f>
        <v>209600</v>
      </c>
    </row>
    <row r="723" spans="1:18" ht="16.5" customHeight="1" thickBot="1" x14ac:dyDescent="0.35">
      <c r="A723" s="24" t="s">
        <v>557</v>
      </c>
      <c r="B723" s="25">
        <f>(B722/B10)/1.983</f>
        <v>182.19380866396631</v>
      </c>
      <c r="C723" s="25">
        <f>(C722/C10)/1.983</f>
        <v>335.69267343851305</v>
      </c>
      <c r="D723" s="25">
        <f>(D722/D10)/1.983</f>
        <v>370.08117384868154</v>
      </c>
      <c r="E723" s="88" t="s">
        <v>7</v>
      </c>
      <c r="F723" s="25">
        <f>(F722/F10)/1.983</f>
        <v>429.09732728189607</v>
      </c>
      <c r="G723" s="25">
        <f>(G722/G10)/1.983</f>
        <v>419.37110601402242</v>
      </c>
      <c r="H723" s="25">
        <f>(H722/H10)/1.983</f>
        <v>385.29164565473184</v>
      </c>
      <c r="I723" s="88" t="s">
        <v>7</v>
      </c>
      <c r="J723" s="25">
        <f>(J722/J10)/1.983</f>
        <v>350.65801246075512</v>
      </c>
      <c r="K723" s="25">
        <f>(K722/K10)/1.983</f>
        <v>349.09635124363541</v>
      </c>
      <c r="L723" s="25">
        <f>(L722/L10)/1.983</f>
        <v>336.15733736762479</v>
      </c>
      <c r="M723" s="88" t="s">
        <v>7</v>
      </c>
      <c r="N723" s="25">
        <f>(N722/N10)/1.983</f>
        <v>136.53148536755972</v>
      </c>
      <c r="O723" s="25">
        <f>(O722/O10)/1.983</f>
        <v>33.030761472516389</v>
      </c>
      <c r="P723" s="25">
        <f>(P722/P10)/1.983</f>
        <v>153.09160119076665</v>
      </c>
      <c r="Q723" s="88" t="s">
        <v>7</v>
      </c>
      <c r="R723" s="88" t="s">
        <v>7</v>
      </c>
    </row>
    <row r="724" spans="1:18" ht="15.75" customHeight="1" x14ac:dyDescent="0.3">
      <c r="A724" s="28"/>
      <c r="B724" s="1"/>
      <c r="C724" s="1"/>
      <c r="D724" s="1"/>
      <c r="E724" s="1"/>
      <c r="F724" s="1"/>
      <c r="G724" s="1"/>
      <c r="H724" s="1"/>
      <c r="I724" s="1"/>
      <c r="J724" s="1"/>
      <c r="K724" s="1"/>
      <c r="L724" s="1"/>
      <c r="M724" s="1"/>
      <c r="N724" s="1"/>
      <c r="O724" s="1"/>
      <c r="P724" s="1"/>
      <c r="Q724" s="1"/>
      <c r="R724" s="28"/>
    </row>
    <row r="725" spans="1:18" ht="16.5" customHeight="1" thickBot="1" x14ac:dyDescent="0.35">
      <c r="A725" s="123"/>
      <c r="B725" s="25"/>
      <c r="C725" s="25"/>
      <c r="D725" s="25"/>
      <c r="E725" s="25"/>
      <c r="F725" s="25"/>
      <c r="G725" s="25"/>
      <c r="H725" s="25"/>
      <c r="I725" s="25"/>
      <c r="J725" s="25"/>
      <c r="K725" s="25"/>
      <c r="L725" s="25"/>
      <c r="M725" s="25"/>
      <c r="N725" s="25"/>
      <c r="O725" s="25"/>
      <c r="P725" s="25"/>
      <c r="Q725" s="25"/>
      <c r="R725" s="123"/>
    </row>
    <row r="726" spans="1:18" ht="15.75" customHeight="1" thickBot="1" x14ac:dyDescent="0.35">
      <c r="A726" s="124" t="s">
        <v>558</v>
      </c>
      <c r="B726" s="54" t="s">
        <v>36</v>
      </c>
      <c r="C726" s="11" t="s">
        <v>9</v>
      </c>
      <c r="D726" s="11" t="s">
        <v>10</v>
      </c>
      <c r="E726" s="12" t="s">
        <v>11</v>
      </c>
      <c r="F726" s="11" t="s">
        <v>12</v>
      </c>
      <c r="G726" s="11" t="s">
        <v>13</v>
      </c>
      <c r="H726" s="11" t="s">
        <v>14</v>
      </c>
      <c r="I726" s="12" t="s">
        <v>15</v>
      </c>
      <c r="J726" s="11" t="s">
        <v>16</v>
      </c>
      <c r="K726" s="11" t="s">
        <v>17</v>
      </c>
      <c r="L726" s="11" t="s">
        <v>18</v>
      </c>
      <c r="M726" s="12" t="s">
        <v>19</v>
      </c>
      <c r="N726" s="11" t="s">
        <v>20</v>
      </c>
      <c r="O726" s="11" t="s">
        <v>21</v>
      </c>
      <c r="P726" s="11" t="s">
        <v>22</v>
      </c>
      <c r="Q726" s="12" t="s">
        <v>23</v>
      </c>
      <c r="R726" s="13" t="s">
        <v>24</v>
      </c>
    </row>
    <row r="727" spans="1:18" ht="16.5" customHeight="1" thickBot="1" x14ac:dyDescent="0.35">
      <c r="A727" s="154"/>
      <c r="B727" s="56"/>
      <c r="C727" s="56"/>
      <c r="D727" s="56"/>
      <c r="E727" s="16"/>
      <c r="F727" s="56"/>
      <c r="G727" s="56"/>
      <c r="H727" s="56"/>
      <c r="I727" s="16"/>
      <c r="J727" s="56"/>
      <c r="K727" s="56"/>
      <c r="L727" s="56"/>
      <c r="M727" s="16"/>
      <c r="N727" s="56"/>
      <c r="O727" s="56"/>
      <c r="P727" s="56"/>
      <c r="Q727" s="16"/>
      <c r="R727" s="57"/>
    </row>
    <row r="728" spans="1:18" ht="15.75" customHeight="1" x14ac:dyDescent="0.3">
      <c r="A728" s="17" t="s">
        <v>45</v>
      </c>
      <c r="B728" s="1" t="s">
        <v>7</v>
      </c>
      <c r="C728" s="1" t="s">
        <v>7</v>
      </c>
      <c r="D728" s="1" t="s">
        <v>7</v>
      </c>
      <c r="E728" s="59" t="s">
        <v>7</v>
      </c>
      <c r="F728" s="1" t="s">
        <v>7</v>
      </c>
      <c r="G728" s="1" t="s">
        <v>7</v>
      </c>
      <c r="H728" s="1" t="s">
        <v>7</v>
      </c>
      <c r="I728" s="59" t="s">
        <v>7</v>
      </c>
      <c r="J728" s="1" t="s">
        <v>7</v>
      </c>
      <c r="K728" s="1" t="s">
        <v>7</v>
      </c>
      <c r="L728" s="1" t="s">
        <v>7</v>
      </c>
      <c r="M728" s="59" t="s">
        <v>7</v>
      </c>
      <c r="N728" s="1" t="s">
        <v>7</v>
      </c>
      <c r="O728" s="1" t="s">
        <v>7</v>
      </c>
      <c r="P728" s="1" t="s">
        <v>7</v>
      </c>
      <c r="Q728" s="59" t="s">
        <v>7</v>
      </c>
      <c r="R728" s="59" t="s">
        <v>7</v>
      </c>
    </row>
    <row r="729" spans="1:18" ht="15.75" customHeight="1" x14ac:dyDescent="0.3">
      <c r="A729" s="17" t="s">
        <v>46</v>
      </c>
      <c r="B729" s="1"/>
      <c r="C729" s="1"/>
      <c r="D729" s="1"/>
      <c r="E729" s="59" t="s">
        <v>7</v>
      </c>
      <c r="F729" s="1"/>
      <c r="G729" s="1"/>
      <c r="H729" s="1"/>
      <c r="I729" s="59" t="s">
        <v>7</v>
      </c>
      <c r="J729" s="1"/>
      <c r="K729" s="1"/>
      <c r="L729" s="1"/>
      <c r="M729" s="59" t="s">
        <v>7</v>
      </c>
      <c r="N729" s="1"/>
      <c r="O729" s="1"/>
      <c r="P729" s="1"/>
      <c r="Q729" s="59" t="s">
        <v>7</v>
      </c>
      <c r="R729" s="59" t="s">
        <v>7</v>
      </c>
    </row>
    <row r="730" spans="1:18" ht="15.75" customHeight="1" x14ac:dyDescent="0.3">
      <c r="A730" s="74" t="s">
        <v>559</v>
      </c>
      <c r="B730" s="1">
        <f>1886</f>
        <v>1886</v>
      </c>
      <c r="C730" s="1">
        <f>5258</f>
        <v>5258</v>
      </c>
      <c r="D730" s="1">
        <f>7449</f>
        <v>7449</v>
      </c>
      <c r="E730" s="59">
        <f t="shared" ref="E730:E731" si="258">SUM(B730:D730)</f>
        <v>14593</v>
      </c>
      <c r="F730" s="1">
        <f>7215</f>
        <v>7215</v>
      </c>
      <c r="G730" s="1">
        <f>7243</f>
        <v>7243</v>
      </c>
      <c r="H730" s="1">
        <f>6700</f>
        <v>6700</v>
      </c>
      <c r="I730" s="59">
        <f t="shared" ref="I730:I731" si="259">SUM(F730:H730)</f>
        <v>21158</v>
      </c>
      <c r="J730" s="1">
        <f>5700</f>
        <v>5700</v>
      </c>
      <c r="K730" s="1">
        <f>5750</f>
        <v>5750</v>
      </c>
      <c r="L730" s="1">
        <f>5750</f>
        <v>5750</v>
      </c>
      <c r="M730" s="59">
        <f t="shared" ref="M730:M731" si="260">SUM(J730:L730)</f>
        <v>17200</v>
      </c>
      <c r="N730" s="1">
        <f>1000</f>
        <v>1000</v>
      </c>
      <c r="O730" s="1"/>
      <c r="P730" s="1">
        <f>2225</f>
        <v>2225</v>
      </c>
      <c r="Q730" s="59">
        <f t="shared" ref="Q730:Q735" si="261">SUM(N730:P730)</f>
        <v>3225</v>
      </c>
      <c r="R730" s="59">
        <f>+E730+I730+M730+Q730</f>
        <v>56176</v>
      </c>
    </row>
    <row r="731" spans="1:18" ht="15.75" customHeight="1" x14ac:dyDescent="0.3">
      <c r="A731" s="74" t="s">
        <v>560</v>
      </c>
      <c r="B731" s="1">
        <v>1828</v>
      </c>
      <c r="C731" s="1">
        <v>3088</v>
      </c>
      <c r="D731" s="1">
        <v>4072</v>
      </c>
      <c r="E731" s="59">
        <f t="shared" si="258"/>
        <v>8988</v>
      </c>
      <c r="F731" s="1">
        <v>3467</v>
      </c>
      <c r="G731" s="1">
        <v>4959</v>
      </c>
      <c r="H731" s="1">
        <v>500</v>
      </c>
      <c r="I731" s="59">
        <f t="shared" si="259"/>
        <v>8926</v>
      </c>
      <c r="J731" s="1">
        <v>500</v>
      </c>
      <c r="K731" s="1">
        <v>500</v>
      </c>
      <c r="L731" s="1">
        <v>500</v>
      </c>
      <c r="M731" s="59">
        <f t="shared" si="260"/>
        <v>1500</v>
      </c>
      <c r="N731" s="1">
        <v>500</v>
      </c>
      <c r="O731" s="1"/>
      <c r="P731" s="1">
        <v>2993</v>
      </c>
      <c r="Q731" s="59">
        <f t="shared" si="261"/>
        <v>3493</v>
      </c>
      <c r="R731" s="59">
        <f t="shared" ref="R731:R735" si="262">+E731+I731+M731+Q731</f>
        <v>22907</v>
      </c>
    </row>
    <row r="732" spans="1:18" ht="15.75" customHeight="1" x14ac:dyDescent="0.3">
      <c r="A732" s="74" t="s">
        <v>561</v>
      </c>
      <c r="B732" s="1"/>
      <c r="C732" s="1"/>
      <c r="D732" s="1"/>
      <c r="E732" s="59">
        <f t="shared" ref="E732:E735" si="263">SUM(B732:D732)</f>
        <v>0</v>
      </c>
      <c r="F732" s="1"/>
      <c r="G732" s="1"/>
      <c r="H732" s="1"/>
      <c r="I732" s="59">
        <f t="shared" ref="I732:I735" si="264">SUM(F732:H732)</f>
        <v>0</v>
      </c>
      <c r="J732" s="1"/>
      <c r="K732" s="1"/>
      <c r="L732" s="1"/>
      <c r="M732" s="59">
        <f t="shared" ref="M732:M735" si="265">SUM(J732:L732)</f>
        <v>0</v>
      </c>
      <c r="N732" s="1"/>
      <c r="O732" s="1"/>
      <c r="P732" s="1"/>
      <c r="Q732" s="59">
        <f t="shared" si="261"/>
        <v>0</v>
      </c>
      <c r="R732" s="59">
        <f t="shared" si="262"/>
        <v>0</v>
      </c>
    </row>
    <row r="733" spans="1:18" ht="15.75" customHeight="1" x14ac:dyDescent="0.3">
      <c r="A733" s="74" t="s">
        <v>562</v>
      </c>
      <c r="B733" s="1">
        <v>264</v>
      </c>
      <c r="C733" s="1">
        <v>3500</v>
      </c>
      <c r="D733" s="1">
        <v>2800</v>
      </c>
      <c r="E733" s="59">
        <f t="shared" si="263"/>
        <v>6564</v>
      </c>
      <c r="F733" s="1">
        <v>4200</v>
      </c>
      <c r="G733" s="1">
        <v>3000</v>
      </c>
      <c r="H733" s="1">
        <v>6100</v>
      </c>
      <c r="I733" s="59">
        <f t="shared" si="264"/>
        <v>13300</v>
      </c>
      <c r="J733" s="1">
        <v>6100</v>
      </c>
      <c r="K733" s="1">
        <v>851</v>
      </c>
      <c r="L733" s="1"/>
      <c r="M733" s="59">
        <f t="shared" si="265"/>
        <v>6951</v>
      </c>
      <c r="N733" s="1"/>
      <c r="O733" s="1"/>
      <c r="P733" s="1"/>
      <c r="Q733" s="59">
        <f t="shared" si="261"/>
        <v>0</v>
      </c>
      <c r="R733" s="59">
        <f t="shared" si="262"/>
        <v>26815</v>
      </c>
    </row>
    <row r="734" spans="1:18" ht="15.75" customHeight="1" x14ac:dyDescent="0.3">
      <c r="A734" s="74" t="s">
        <v>563</v>
      </c>
      <c r="B734" s="1">
        <v>350</v>
      </c>
      <c r="C734" s="1"/>
      <c r="D734" s="1">
        <v>350</v>
      </c>
      <c r="E734" s="59">
        <f t="shared" si="263"/>
        <v>700</v>
      </c>
      <c r="F734" s="1">
        <v>350</v>
      </c>
      <c r="G734" s="1">
        <v>350</v>
      </c>
      <c r="H734" s="1">
        <v>350</v>
      </c>
      <c r="I734" s="59">
        <f t="shared" si="264"/>
        <v>1050</v>
      </c>
      <c r="J734" s="1">
        <v>350</v>
      </c>
      <c r="K734" s="1">
        <v>350</v>
      </c>
      <c r="L734" s="1">
        <v>350</v>
      </c>
      <c r="M734" s="59">
        <f t="shared" si="265"/>
        <v>1050</v>
      </c>
      <c r="N734" s="1">
        <v>350</v>
      </c>
      <c r="O734" s="1"/>
      <c r="P734" s="1">
        <v>350</v>
      </c>
      <c r="Q734" s="59">
        <f t="shared" si="261"/>
        <v>700</v>
      </c>
      <c r="R734" s="59">
        <f t="shared" si="262"/>
        <v>3500</v>
      </c>
    </row>
    <row r="735" spans="1:18" ht="15.75" customHeight="1" x14ac:dyDescent="0.3">
      <c r="A735" s="74" t="s">
        <v>564</v>
      </c>
      <c r="B735" s="1">
        <v>140</v>
      </c>
      <c r="C735" s="1">
        <v>140</v>
      </c>
      <c r="D735" s="1">
        <v>140</v>
      </c>
      <c r="E735" s="59">
        <f t="shared" si="263"/>
        <v>420</v>
      </c>
      <c r="F735" s="1">
        <v>140</v>
      </c>
      <c r="G735" s="1">
        <v>140</v>
      </c>
      <c r="H735" s="1">
        <v>140</v>
      </c>
      <c r="I735" s="59">
        <f t="shared" si="264"/>
        <v>420</v>
      </c>
      <c r="J735" s="1">
        <v>125</v>
      </c>
      <c r="K735" s="1">
        <v>125</v>
      </c>
      <c r="L735" s="1">
        <v>125</v>
      </c>
      <c r="M735" s="59">
        <f t="shared" si="265"/>
        <v>375</v>
      </c>
      <c r="N735" s="1">
        <v>125</v>
      </c>
      <c r="O735" s="1">
        <v>0</v>
      </c>
      <c r="P735" s="1">
        <v>60</v>
      </c>
      <c r="Q735" s="59">
        <f t="shared" si="261"/>
        <v>185</v>
      </c>
      <c r="R735" s="59">
        <f t="shared" si="262"/>
        <v>1400</v>
      </c>
    </row>
    <row r="736" spans="1:18" ht="15.75" customHeight="1" x14ac:dyDescent="0.3">
      <c r="A736" s="17" t="s">
        <v>47</v>
      </c>
      <c r="B736" s="1"/>
      <c r="C736" s="1"/>
      <c r="D736" s="1"/>
      <c r="E736" s="59" t="s">
        <v>7</v>
      </c>
      <c r="F736" s="1"/>
      <c r="G736" s="1"/>
      <c r="H736" s="1"/>
      <c r="I736" s="59" t="s">
        <v>7</v>
      </c>
      <c r="J736" s="1"/>
      <c r="K736" s="1"/>
      <c r="L736" s="1"/>
      <c r="M736" s="59" t="s">
        <v>7</v>
      </c>
      <c r="N736" s="1"/>
      <c r="O736" s="1"/>
      <c r="P736" s="1"/>
      <c r="Q736" s="59" t="s">
        <v>7</v>
      </c>
      <c r="R736" s="59" t="s">
        <v>7</v>
      </c>
    </row>
    <row r="737" spans="1:20" ht="15.75" customHeight="1" x14ac:dyDescent="0.3">
      <c r="A737" s="17" t="s">
        <v>49</v>
      </c>
      <c r="B737" s="1"/>
      <c r="C737" s="1"/>
      <c r="D737" s="1"/>
      <c r="E737" s="59" t="s">
        <v>7</v>
      </c>
      <c r="F737" s="1"/>
      <c r="G737" s="1"/>
      <c r="H737" s="1"/>
      <c r="I737" s="59" t="s">
        <v>7</v>
      </c>
      <c r="J737" s="1"/>
      <c r="K737" s="1"/>
      <c r="L737" s="1"/>
      <c r="M737" s="59" t="s">
        <v>7</v>
      </c>
      <c r="N737" s="1"/>
      <c r="O737" s="1"/>
      <c r="P737" s="1"/>
      <c r="Q737" s="59" t="s">
        <v>7</v>
      </c>
      <c r="R737" s="59" t="s">
        <v>7</v>
      </c>
    </row>
    <row r="738" spans="1:20" ht="15.75" customHeight="1" thickBot="1" x14ac:dyDescent="0.35">
      <c r="A738" s="17" t="s">
        <v>51</v>
      </c>
      <c r="B738" s="1"/>
      <c r="C738" s="1"/>
      <c r="D738" s="1"/>
      <c r="E738" s="59" t="s">
        <v>7</v>
      </c>
      <c r="F738" s="1"/>
      <c r="G738" s="1"/>
      <c r="H738" s="1"/>
      <c r="I738" s="59" t="s">
        <v>7</v>
      </c>
      <c r="J738" s="1"/>
      <c r="K738" s="1"/>
      <c r="L738" s="1"/>
      <c r="M738" s="59" t="s">
        <v>7</v>
      </c>
      <c r="N738" s="1"/>
      <c r="O738" s="1"/>
      <c r="P738" s="1"/>
      <c r="Q738" s="59" t="s">
        <v>7</v>
      </c>
      <c r="R738" s="59" t="s">
        <v>7</v>
      </c>
    </row>
    <row r="739" spans="1:20" ht="16.5" customHeight="1" thickBot="1" x14ac:dyDescent="0.35">
      <c r="A739" s="126" t="s">
        <v>52</v>
      </c>
      <c r="B739" s="100">
        <f>SUM(B728:B738)</f>
        <v>4468</v>
      </c>
      <c r="C739" s="101">
        <f>SUM(C728:C738)</f>
        <v>11986</v>
      </c>
      <c r="D739" s="101">
        <f>SUM(D728:D738)</f>
        <v>14811</v>
      </c>
      <c r="E739" s="64">
        <f>SUM(B739:D739)</f>
        <v>31265</v>
      </c>
      <c r="F739" s="101">
        <f>SUM(F728:F738)</f>
        <v>15372</v>
      </c>
      <c r="G739" s="101">
        <f>SUM(G728:G738)</f>
        <v>15692</v>
      </c>
      <c r="H739" s="101">
        <f>SUM(H728:H738)</f>
        <v>13790</v>
      </c>
      <c r="I739" s="64">
        <f>SUM(F739:H739)</f>
        <v>44854</v>
      </c>
      <c r="J739" s="101">
        <f>SUM(J728:J738)</f>
        <v>12775</v>
      </c>
      <c r="K739" s="101">
        <f>SUM(K728:K738)</f>
        <v>7576</v>
      </c>
      <c r="L739" s="101">
        <f>SUM(L728:L738)</f>
        <v>6725</v>
      </c>
      <c r="M739" s="64">
        <f>SUM(J739:L739)</f>
        <v>27076</v>
      </c>
      <c r="N739" s="101">
        <f>SUM(N728:N738)</f>
        <v>1975</v>
      </c>
      <c r="O739" s="101">
        <f>SUM(O728:O738)</f>
        <v>0</v>
      </c>
      <c r="P739" s="101">
        <f>SUM(P728:P738)</f>
        <v>5628</v>
      </c>
      <c r="Q739" s="64">
        <f>SUM(N739:P739)</f>
        <v>7603</v>
      </c>
      <c r="R739" s="64">
        <f>+E739+I739+M739+Q739</f>
        <v>110798</v>
      </c>
    </row>
    <row r="740" spans="1:20" ht="15.75" customHeight="1" x14ac:dyDescent="0.3">
      <c r="A740" s="17" t="s">
        <v>53</v>
      </c>
      <c r="B740" s="1"/>
      <c r="C740" s="1"/>
      <c r="D740" s="1"/>
      <c r="E740" s="59" t="s">
        <v>7</v>
      </c>
      <c r="F740" s="1"/>
      <c r="G740" s="1"/>
      <c r="H740" s="1"/>
      <c r="I740" s="59" t="s">
        <v>7</v>
      </c>
      <c r="J740" s="1"/>
      <c r="K740" s="1"/>
      <c r="L740" s="1"/>
      <c r="M740" s="59" t="s">
        <v>7</v>
      </c>
      <c r="N740" s="1"/>
      <c r="O740" s="1"/>
      <c r="P740" s="1"/>
      <c r="Q740" s="59" t="s">
        <v>7</v>
      </c>
      <c r="R740" s="59" t="s">
        <v>7</v>
      </c>
    </row>
    <row r="741" spans="1:20" ht="15.75" customHeight="1" x14ac:dyDescent="0.3">
      <c r="A741" s="17" t="s">
        <v>55</v>
      </c>
      <c r="B741" s="1"/>
      <c r="C741" s="1"/>
      <c r="D741" s="1"/>
      <c r="E741" s="59" t="s">
        <v>7</v>
      </c>
      <c r="F741" s="1"/>
      <c r="G741" s="1"/>
      <c r="H741" s="1"/>
      <c r="I741" s="59" t="s">
        <v>7</v>
      </c>
      <c r="J741" s="1"/>
      <c r="K741" s="1"/>
      <c r="L741" s="1"/>
      <c r="M741" s="59" t="s">
        <v>7</v>
      </c>
      <c r="N741" s="1"/>
      <c r="O741" s="1"/>
      <c r="P741" s="1"/>
      <c r="Q741" s="59" t="s">
        <v>7</v>
      </c>
      <c r="R741" s="59" t="s">
        <v>7</v>
      </c>
    </row>
    <row r="742" spans="1:20" ht="15.75" customHeight="1" thickBot="1" x14ac:dyDescent="0.35">
      <c r="A742" s="17" t="s">
        <v>56</v>
      </c>
      <c r="B742" s="1"/>
      <c r="C742" s="1"/>
      <c r="D742" s="1"/>
      <c r="E742" s="59" t="s">
        <v>7</v>
      </c>
      <c r="F742" s="1"/>
      <c r="G742" s="1"/>
      <c r="H742" s="1"/>
      <c r="I742" s="59" t="s">
        <v>7</v>
      </c>
      <c r="J742" s="1"/>
      <c r="K742" s="1"/>
      <c r="L742" s="1"/>
      <c r="M742" s="59" t="s">
        <v>7</v>
      </c>
      <c r="N742" s="1"/>
      <c r="O742" s="1"/>
      <c r="P742" s="1"/>
      <c r="Q742" s="59" t="s">
        <v>7</v>
      </c>
      <c r="R742" s="59" t="s">
        <v>7</v>
      </c>
    </row>
    <row r="743" spans="1:20" ht="16.5" customHeight="1" thickBot="1" x14ac:dyDescent="0.35">
      <c r="A743" s="62" t="s">
        <v>57</v>
      </c>
      <c r="B743" s="100">
        <f>SUM(B740:B742)</f>
        <v>0</v>
      </c>
      <c r="C743" s="101">
        <f>SUM(C740:C742)</f>
        <v>0</v>
      </c>
      <c r="D743" s="101">
        <f>SUM(D740:D742)</f>
        <v>0</v>
      </c>
      <c r="E743" s="64">
        <f>SUM(B743:D743)</f>
        <v>0</v>
      </c>
      <c r="F743" s="101">
        <f>SUM(F740:F742)</f>
        <v>0</v>
      </c>
      <c r="G743" s="101">
        <f>SUM(G740:G742)</f>
        <v>0</v>
      </c>
      <c r="H743" s="101">
        <f>SUM(H740:H742)</f>
        <v>0</v>
      </c>
      <c r="I743" s="64">
        <f>SUM(F743:H743)</f>
        <v>0</v>
      </c>
      <c r="J743" s="101">
        <f>SUM(J740:J742)</f>
        <v>0</v>
      </c>
      <c r="K743" s="101">
        <f>SUM(K740:K742)</f>
        <v>0</v>
      </c>
      <c r="L743" s="101">
        <f>SUM(L740:L742)</f>
        <v>0</v>
      </c>
      <c r="M743" s="64">
        <f>SUM(J743:L743)</f>
        <v>0</v>
      </c>
      <c r="N743" s="101">
        <f>SUM(N740:N742)</f>
        <v>0</v>
      </c>
      <c r="O743" s="101">
        <f>SUM(O740:O742)</f>
        <v>0</v>
      </c>
      <c r="P743" s="101">
        <f>SUM(P740:P742)</f>
        <v>0</v>
      </c>
      <c r="Q743" s="64">
        <f>SUM(N743:P743)</f>
        <v>0</v>
      </c>
      <c r="R743" s="64">
        <f>+E743+I743+M743+Q743</f>
        <v>0</v>
      </c>
    </row>
    <row r="744" spans="1:20" ht="15.75" customHeight="1" x14ac:dyDescent="0.3">
      <c r="A744" s="17" t="s">
        <v>58</v>
      </c>
      <c r="B744" s="1"/>
      <c r="C744" s="1"/>
      <c r="D744" s="1"/>
      <c r="E744" s="59" t="s">
        <v>7</v>
      </c>
      <c r="F744" s="1"/>
      <c r="G744" s="1"/>
      <c r="H744" s="1"/>
      <c r="I744" s="59" t="s">
        <v>7</v>
      </c>
      <c r="J744" s="1"/>
      <c r="K744" s="1"/>
      <c r="L744" s="1"/>
      <c r="M744" s="59" t="s">
        <v>7</v>
      </c>
      <c r="N744" s="1"/>
      <c r="O744" s="1"/>
      <c r="P744" s="1"/>
      <c r="Q744" s="59" t="s">
        <v>7</v>
      </c>
      <c r="R744" s="59" t="s">
        <v>7</v>
      </c>
    </row>
    <row r="745" spans="1:20" ht="15.75" customHeight="1" x14ac:dyDescent="0.3">
      <c r="A745" s="17" t="s">
        <v>59</v>
      </c>
      <c r="B745" s="1"/>
      <c r="C745" s="1"/>
      <c r="D745" s="1"/>
      <c r="E745" s="59" t="s">
        <v>7</v>
      </c>
      <c r="F745" s="1"/>
      <c r="G745" s="1"/>
      <c r="H745" s="1"/>
      <c r="I745" s="59" t="s">
        <v>7</v>
      </c>
      <c r="J745" s="1"/>
      <c r="K745" s="1"/>
      <c r="L745" s="1"/>
      <c r="M745" s="59" t="s">
        <v>7</v>
      </c>
      <c r="N745" s="1"/>
      <c r="O745" s="1"/>
      <c r="P745" s="1"/>
      <c r="Q745" s="59" t="s">
        <v>7</v>
      </c>
      <c r="R745" s="59" t="s">
        <v>7</v>
      </c>
    </row>
    <row r="746" spans="1:20" ht="15.75" customHeight="1" x14ac:dyDescent="0.3">
      <c r="A746" s="74" t="s">
        <v>565</v>
      </c>
      <c r="B746" s="1">
        <v>500</v>
      </c>
      <c r="C746" s="1">
        <v>480</v>
      </c>
      <c r="D746" s="1">
        <v>1350</v>
      </c>
      <c r="E746" s="59">
        <f>SUM(B746:D746)</f>
        <v>2330</v>
      </c>
      <c r="F746" s="1">
        <v>1500</v>
      </c>
      <c r="G746" s="1">
        <v>1950</v>
      </c>
      <c r="H746" s="1">
        <v>1600</v>
      </c>
      <c r="I746" s="59">
        <f>SUM(F746:H746)</f>
        <v>5050</v>
      </c>
      <c r="J746" s="1">
        <v>2000</v>
      </c>
      <c r="K746" s="1">
        <f>1420+80</f>
        <v>1500</v>
      </c>
      <c r="L746" s="1">
        <v>1220</v>
      </c>
      <c r="M746" s="59">
        <f>SUM(J746:L746)</f>
        <v>4720</v>
      </c>
      <c r="N746" s="1">
        <v>400</v>
      </c>
      <c r="O746" s="1">
        <v>150</v>
      </c>
      <c r="P746" s="1">
        <v>150</v>
      </c>
      <c r="Q746" s="59">
        <f>SUM(N746:P746)</f>
        <v>700</v>
      </c>
      <c r="R746" s="59">
        <f>+E746+I746+M746+Q746</f>
        <v>12800</v>
      </c>
      <c r="T746" s="4" t="s">
        <v>566</v>
      </c>
    </row>
    <row r="747" spans="1:20" ht="15.75" customHeight="1" x14ac:dyDescent="0.3">
      <c r="A747" s="17" t="s">
        <v>60</v>
      </c>
      <c r="B747" s="1"/>
      <c r="C747" s="1"/>
      <c r="D747" s="1"/>
      <c r="E747" s="59" t="s">
        <v>7</v>
      </c>
      <c r="F747" s="1"/>
      <c r="G747" s="1"/>
      <c r="H747" s="1"/>
      <c r="I747" s="59" t="s">
        <v>7</v>
      </c>
      <c r="J747" s="1"/>
      <c r="K747" s="1"/>
      <c r="L747" s="1"/>
      <c r="M747" s="59" t="s">
        <v>7</v>
      </c>
      <c r="N747" s="1"/>
      <c r="O747" s="1"/>
      <c r="P747" s="1"/>
      <c r="Q747" s="59" t="s">
        <v>7</v>
      </c>
      <c r="R747" s="59" t="s">
        <v>7</v>
      </c>
    </row>
    <row r="748" spans="1:20" ht="15.75" customHeight="1" x14ac:dyDescent="0.3">
      <c r="A748" s="74" t="s">
        <v>567</v>
      </c>
      <c r="B748" s="1"/>
      <c r="C748" s="1"/>
      <c r="D748" s="1"/>
      <c r="E748" s="59">
        <f t="shared" ref="E748:E757" si="266">SUM(B748:D748)</f>
        <v>0</v>
      </c>
      <c r="F748" s="1"/>
      <c r="G748" s="1"/>
      <c r="H748" s="1"/>
      <c r="I748" s="59">
        <f t="shared" ref="I748:I757" si="267">SUM(F748:H748)</f>
        <v>0</v>
      </c>
      <c r="J748" s="1"/>
      <c r="K748" s="1"/>
      <c r="L748" s="1"/>
      <c r="M748" s="59">
        <f t="shared" ref="M748:M757" si="268">SUM(J748:L748)</f>
        <v>0</v>
      </c>
      <c r="N748" s="1"/>
      <c r="O748" s="1"/>
      <c r="P748" s="1"/>
      <c r="Q748" s="59">
        <f t="shared" ref="Q748:Q757" si="269">SUM(N748:P748)</f>
        <v>0</v>
      </c>
      <c r="R748" s="59">
        <f t="shared" ref="R748:R757" si="270">+E748+I748+M748+Q748</f>
        <v>0</v>
      </c>
      <c r="T748" s="4" t="s">
        <v>568</v>
      </c>
    </row>
    <row r="749" spans="1:20" ht="15.75" customHeight="1" x14ac:dyDescent="0.3">
      <c r="A749" s="74" t="s">
        <v>569</v>
      </c>
      <c r="B749" s="1"/>
      <c r="C749" s="1"/>
      <c r="D749" s="1"/>
      <c r="E749" s="59">
        <f t="shared" si="266"/>
        <v>0</v>
      </c>
      <c r="F749" s="1"/>
      <c r="G749" s="1"/>
      <c r="H749" s="1"/>
      <c r="I749" s="59">
        <f>SUM(F749:H749)</f>
        <v>0</v>
      </c>
      <c r="J749" s="1"/>
      <c r="K749" s="1"/>
      <c r="L749" s="1"/>
      <c r="M749" s="59">
        <f t="shared" si="268"/>
        <v>0</v>
      </c>
      <c r="N749" s="1"/>
      <c r="O749" s="1"/>
      <c r="P749" s="1"/>
      <c r="Q749" s="59">
        <f t="shared" si="269"/>
        <v>0</v>
      </c>
      <c r="R749" s="59">
        <f t="shared" si="270"/>
        <v>0</v>
      </c>
      <c r="T749" s="4" t="s">
        <v>568</v>
      </c>
    </row>
    <row r="750" spans="1:20" ht="15.75" customHeight="1" x14ac:dyDescent="0.3">
      <c r="A750" s="74" t="s">
        <v>570</v>
      </c>
      <c r="B750" s="1">
        <v>125</v>
      </c>
      <c r="C750" s="1">
        <v>125</v>
      </c>
      <c r="D750" s="1">
        <v>125</v>
      </c>
      <c r="E750" s="59">
        <f t="shared" si="266"/>
        <v>375</v>
      </c>
      <c r="F750" s="1">
        <v>125</v>
      </c>
      <c r="G750" s="1">
        <v>125</v>
      </c>
      <c r="H750" s="1">
        <v>125</v>
      </c>
      <c r="I750" s="59">
        <f t="shared" si="267"/>
        <v>375</v>
      </c>
      <c r="J750" s="1">
        <v>125</v>
      </c>
      <c r="K750" s="1">
        <v>125</v>
      </c>
      <c r="L750" s="1">
        <v>165</v>
      </c>
      <c r="M750" s="59">
        <f t="shared" si="268"/>
        <v>415</v>
      </c>
      <c r="N750" s="1">
        <v>250</v>
      </c>
      <c r="O750" s="1">
        <v>0</v>
      </c>
      <c r="P750" s="1">
        <v>110</v>
      </c>
      <c r="Q750" s="59">
        <f t="shared" si="269"/>
        <v>360</v>
      </c>
      <c r="R750" s="59">
        <f t="shared" si="270"/>
        <v>1525</v>
      </c>
      <c r="T750" s="4" t="s">
        <v>568</v>
      </c>
    </row>
    <row r="751" spans="1:20" ht="15.75" customHeight="1" x14ac:dyDescent="0.3">
      <c r="A751" s="74" t="s">
        <v>571</v>
      </c>
      <c r="B751" s="1">
        <v>1136</v>
      </c>
      <c r="C751" s="1"/>
      <c r="D751" s="1"/>
      <c r="E751" s="59">
        <f t="shared" si="266"/>
        <v>1136</v>
      </c>
      <c r="F751" s="1"/>
      <c r="G751" s="1"/>
      <c r="H751" s="1"/>
      <c r="I751" s="59">
        <f t="shared" si="267"/>
        <v>0</v>
      </c>
      <c r="J751" s="1"/>
      <c r="K751" s="1"/>
      <c r="L751" s="1"/>
      <c r="M751" s="59">
        <f t="shared" si="268"/>
        <v>0</v>
      </c>
      <c r="N751" s="1"/>
      <c r="O751" s="1"/>
      <c r="P751" s="1"/>
      <c r="Q751" s="59">
        <f t="shared" ref="Q751" si="271">SUM(N751:P751)</f>
        <v>0</v>
      </c>
      <c r="R751" s="59">
        <f t="shared" si="270"/>
        <v>1136</v>
      </c>
    </row>
    <row r="752" spans="1:20" ht="15.75" customHeight="1" x14ac:dyDescent="0.3">
      <c r="A752" s="74" t="s">
        <v>572</v>
      </c>
      <c r="B752" s="1"/>
      <c r="C752" s="1"/>
      <c r="D752" s="1"/>
      <c r="E752" s="59">
        <f t="shared" si="266"/>
        <v>0</v>
      </c>
      <c r="F752" s="1"/>
      <c r="G752" s="1"/>
      <c r="H752" s="1"/>
      <c r="I752" s="59">
        <f t="shared" si="267"/>
        <v>0</v>
      </c>
      <c r="J752" s="1"/>
      <c r="K752" s="1">
        <v>4750</v>
      </c>
      <c r="L752" s="1"/>
      <c r="M752" s="59">
        <f t="shared" si="268"/>
        <v>4750</v>
      </c>
      <c r="N752" s="1"/>
      <c r="O752" s="1"/>
      <c r="P752" s="1"/>
      <c r="Q752" s="59">
        <f t="shared" si="269"/>
        <v>0</v>
      </c>
      <c r="R752" s="59">
        <f t="shared" si="270"/>
        <v>4750</v>
      </c>
    </row>
    <row r="753" spans="1:20" ht="15.75" customHeight="1" x14ac:dyDescent="0.3">
      <c r="A753" s="74" t="s">
        <v>573</v>
      </c>
      <c r="B753" s="1"/>
      <c r="C753" s="1"/>
      <c r="D753" s="1"/>
      <c r="E753" s="59">
        <f t="shared" si="266"/>
        <v>0</v>
      </c>
      <c r="F753" s="1"/>
      <c r="G753" s="1"/>
      <c r="H753" s="1"/>
      <c r="I753" s="59">
        <f t="shared" si="267"/>
        <v>0</v>
      </c>
      <c r="J753" s="1"/>
      <c r="K753" s="1">
        <v>599</v>
      </c>
      <c r="L753" s="1">
        <v>6200</v>
      </c>
      <c r="M753" s="59">
        <f t="shared" si="268"/>
        <v>6799</v>
      </c>
      <c r="N753" s="1">
        <v>1788</v>
      </c>
      <c r="O753" s="1"/>
      <c r="P753" s="1"/>
      <c r="Q753" s="59">
        <f t="shared" si="269"/>
        <v>1788</v>
      </c>
      <c r="R753" s="59">
        <f t="shared" si="270"/>
        <v>8587</v>
      </c>
    </row>
    <row r="754" spans="1:20" ht="15.75" customHeight="1" x14ac:dyDescent="0.3">
      <c r="A754" s="74" t="s">
        <v>574</v>
      </c>
      <c r="B754" s="1"/>
      <c r="C754" s="1"/>
      <c r="D754" s="1"/>
      <c r="E754" s="59">
        <f t="shared" si="266"/>
        <v>0</v>
      </c>
      <c r="F754" s="1"/>
      <c r="G754" s="1"/>
      <c r="H754" s="1"/>
      <c r="I754" s="59">
        <f t="shared" si="267"/>
        <v>0</v>
      </c>
      <c r="J754" s="1"/>
      <c r="K754" s="1"/>
      <c r="L754" s="1"/>
      <c r="M754" s="59">
        <f t="shared" si="268"/>
        <v>0</v>
      </c>
      <c r="N754" s="1"/>
      <c r="O754" s="1"/>
      <c r="P754" s="1"/>
      <c r="Q754" s="59">
        <f t="shared" si="269"/>
        <v>0</v>
      </c>
      <c r="R754" s="59">
        <f t="shared" si="270"/>
        <v>0</v>
      </c>
    </row>
    <row r="755" spans="1:20" ht="15.75" customHeight="1" x14ac:dyDescent="0.3">
      <c r="A755" s="74" t="s">
        <v>575</v>
      </c>
      <c r="B755" s="1"/>
      <c r="C755" s="1"/>
      <c r="D755" s="1"/>
      <c r="E755" s="59">
        <f t="shared" si="266"/>
        <v>0</v>
      </c>
      <c r="F755" s="1"/>
      <c r="G755" s="1"/>
      <c r="H755" s="1"/>
      <c r="I755" s="59">
        <f t="shared" si="267"/>
        <v>0</v>
      </c>
      <c r="J755" s="1"/>
      <c r="K755" s="1"/>
      <c r="L755" s="1"/>
      <c r="M755" s="59">
        <f t="shared" si="268"/>
        <v>0</v>
      </c>
      <c r="N755" s="1">
        <v>712</v>
      </c>
      <c r="O755" s="1"/>
      <c r="P755" s="1"/>
      <c r="Q755" s="59">
        <f t="shared" ref="Q755" si="272">SUM(N755:P755)</f>
        <v>712</v>
      </c>
      <c r="R755" s="59">
        <f t="shared" si="270"/>
        <v>712</v>
      </c>
    </row>
    <row r="756" spans="1:20" ht="15.75" customHeight="1" thickBot="1" x14ac:dyDescent="0.35">
      <c r="A756" s="74" t="s">
        <v>576</v>
      </c>
      <c r="B756" s="1"/>
      <c r="C756" s="1"/>
      <c r="D756" s="1"/>
      <c r="E756" s="59">
        <f t="shared" si="266"/>
        <v>0</v>
      </c>
      <c r="F756" s="1"/>
      <c r="G756" s="1"/>
      <c r="H756" s="1"/>
      <c r="I756" s="59">
        <f t="shared" si="267"/>
        <v>0</v>
      </c>
      <c r="J756" s="1"/>
      <c r="K756" s="1"/>
      <c r="L756" s="1"/>
      <c r="M756" s="59">
        <f t="shared" si="268"/>
        <v>0</v>
      </c>
      <c r="N756" s="1"/>
      <c r="O756" s="1"/>
      <c r="P756" s="1"/>
      <c r="Q756" s="59">
        <f t="shared" si="269"/>
        <v>0</v>
      </c>
      <c r="R756" s="59">
        <f t="shared" si="270"/>
        <v>0</v>
      </c>
      <c r="T756" s="4" t="s">
        <v>568</v>
      </c>
    </row>
    <row r="757" spans="1:20" ht="16.5" customHeight="1" thickBot="1" x14ac:dyDescent="0.35">
      <c r="A757" s="62" t="s">
        <v>61</v>
      </c>
      <c r="B757" s="100">
        <f>SUM(B744:B756)</f>
        <v>1761</v>
      </c>
      <c r="C757" s="101">
        <f>SUM(C744:C756)</f>
        <v>605</v>
      </c>
      <c r="D757" s="101">
        <f>SUM(D744:D756)</f>
        <v>1475</v>
      </c>
      <c r="E757" s="64">
        <f t="shared" si="266"/>
        <v>3841</v>
      </c>
      <c r="F757" s="101">
        <f>SUM(F744:F756)</f>
        <v>1625</v>
      </c>
      <c r="G757" s="101">
        <f>SUM(G744:G756)</f>
        <v>2075</v>
      </c>
      <c r="H757" s="101">
        <f>SUM(H744:H756)</f>
        <v>1725</v>
      </c>
      <c r="I757" s="64">
        <f t="shared" si="267"/>
        <v>5425</v>
      </c>
      <c r="J757" s="101">
        <f>SUM(J744:J756)</f>
        <v>2125</v>
      </c>
      <c r="K757" s="101">
        <f>SUM(K744:K756)</f>
        <v>6974</v>
      </c>
      <c r="L757" s="101">
        <f>SUM(L744:L756)</f>
        <v>7585</v>
      </c>
      <c r="M757" s="64">
        <f t="shared" si="268"/>
        <v>16684</v>
      </c>
      <c r="N757" s="101">
        <f>SUM(N744:N756)</f>
        <v>3150</v>
      </c>
      <c r="O757" s="101">
        <f>SUM(O744:O756)</f>
        <v>150</v>
      </c>
      <c r="P757" s="101">
        <f>SUM(P744:P756)</f>
        <v>260</v>
      </c>
      <c r="Q757" s="64">
        <f t="shared" si="269"/>
        <v>3560</v>
      </c>
      <c r="R757" s="138">
        <f t="shared" si="270"/>
        <v>29510</v>
      </c>
    </row>
    <row r="758" spans="1:20" ht="15.75" customHeight="1" x14ac:dyDescent="0.3">
      <c r="A758" s="17" t="s">
        <v>62</v>
      </c>
      <c r="B758" s="1"/>
      <c r="C758" s="1"/>
      <c r="D758" s="1"/>
      <c r="E758" s="59" t="s">
        <v>7</v>
      </c>
      <c r="F758" s="1"/>
      <c r="G758" s="1"/>
      <c r="H758" s="1"/>
      <c r="I758" s="59" t="s">
        <v>7</v>
      </c>
      <c r="J758" s="1"/>
      <c r="K758" s="1"/>
      <c r="L758" s="1"/>
      <c r="M758" s="59" t="s">
        <v>7</v>
      </c>
      <c r="N758" s="1"/>
      <c r="O758" s="1"/>
      <c r="P758" s="1"/>
      <c r="Q758" s="59" t="s">
        <v>7</v>
      </c>
      <c r="R758" s="59" t="s">
        <v>7</v>
      </c>
    </row>
    <row r="759" spans="1:20" ht="15.75" customHeight="1" x14ac:dyDescent="0.3">
      <c r="A759" s="17" t="s">
        <v>63</v>
      </c>
      <c r="B759" s="1"/>
      <c r="C759" s="1"/>
      <c r="D759" s="1"/>
      <c r="E759" s="59" t="s">
        <v>7</v>
      </c>
      <c r="F759" s="1"/>
      <c r="G759" s="1"/>
      <c r="H759" s="1"/>
      <c r="I759" s="59" t="s">
        <v>7</v>
      </c>
      <c r="J759" s="1"/>
      <c r="K759" s="1"/>
      <c r="L759" s="1"/>
      <c r="M759" s="59" t="s">
        <v>7</v>
      </c>
      <c r="N759" s="1"/>
      <c r="O759" s="1"/>
      <c r="P759" s="1"/>
      <c r="Q759" s="59" t="s">
        <v>7</v>
      </c>
      <c r="R759" s="59" t="s">
        <v>7</v>
      </c>
    </row>
    <row r="760" spans="1:20" ht="15.75" customHeight="1" x14ac:dyDescent="0.3">
      <c r="A760" s="17" t="s">
        <v>64</v>
      </c>
      <c r="B760" s="1"/>
      <c r="C760" s="1"/>
      <c r="D760" s="1"/>
      <c r="E760" s="59" t="s">
        <v>7</v>
      </c>
      <c r="F760" s="1"/>
      <c r="G760" s="1"/>
      <c r="H760" s="1"/>
      <c r="I760" s="59" t="s">
        <v>7</v>
      </c>
      <c r="J760" s="1"/>
      <c r="K760" s="1"/>
      <c r="L760" s="1"/>
      <c r="M760" s="59" t="s">
        <v>7</v>
      </c>
      <c r="N760" s="1"/>
      <c r="O760" s="1"/>
      <c r="P760" s="1"/>
      <c r="Q760" s="59" t="s">
        <v>7</v>
      </c>
      <c r="R760" s="59" t="s">
        <v>7</v>
      </c>
    </row>
    <row r="761" spans="1:20" ht="15.75" customHeight="1" x14ac:dyDescent="0.3">
      <c r="A761" s="74" t="s">
        <v>577</v>
      </c>
      <c r="B761" s="1"/>
      <c r="C761" s="1"/>
      <c r="D761" s="1"/>
      <c r="E761" s="59">
        <f>SUM(B761:D761)</f>
        <v>0</v>
      </c>
      <c r="F761" s="1"/>
      <c r="G761" s="1"/>
      <c r="H761" s="1"/>
      <c r="I761" s="59">
        <f>SUM(F761:H761)</f>
        <v>0</v>
      </c>
      <c r="J761" s="1"/>
      <c r="K761" s="1"/>
      <c r="L761" s="1"/>
      <c r="M761" s="59">
        <f>SUM(J761:L761)</f>
        <v>0</v>
      </c>
      <c r="N761" s="1"/>
      <c r="O761" s="1"/>
      <c r="P761" s="1"/>
      <c r="Q761" s="59">
        <f>SUM(N761:P761)</f>
        <v>0</v>
      </c>
      <c r="R761" s="59">
        <f>+E761+I761+M761+Q761</f>
        <v>0</v>
      </c>
    </row>
    <row r="762" spans="1:20" ht="15.75" customHeight="1" x14ac:dyDescent="0.3">
      <c r="A762" s="74" t="s">
        <v>578</v>
      </c>
      <c r="B762" s="1"/>
      <c r="C762" s="1"/>
      <c r="D762" s="1"/>
      <c r="E762" s="59">
        <f>SUM(B762:D762)</f>
        <v>0</v>
      </c>
      <c r="F762" s="1"/>
      <c r="G762" s="1"/>
      <c r="H762" s="1"/>
      <c r="I762" s="59">
        <f>SUM(F762:H762)</f>
        <v>0</v>
      </c>
      <c r="J762" s="1"/>
      <c r="K762" s="1"/>
      <c r="L762" s="1"/>
      <c r="M762" s="59">
        <f>SUM(J762:L762)</f>
        <v>0</v>
      </c>
      <c r="N762" s="1"/>
      <c r="O762" s="1"/>
      <c r="P762" s="1"/>
      <c r="Q762" s="59">
        <f>SUM(N762:P762)</f>
        <v>0</v>
      </c>
      <c r="R762" s="59">
        <f>+E762+I762+M762+Q762</f>
        <v>0</v>
      </c>
    </row>
    <row r="763" spans="1:20" ht="15.75" customHeight="1" x14ac:dyDescent="0.3">
      <c r="A763" s="74" t="s">
        <v>579</v>
      </c>
      <c r="B763" s="1"/>
      <c r="C763" s="1"/>
      <c r="D763" s="1"/>
      <c r="E763" s="59">
        <f>SUM(B763:D763)</f>
        <v>0</v>
      </c>
      <c r="F763" s="1"/>
      <c r="G763" s="1"/>
      <c r="H763" s="1"/>
      <c r="I763" s="59">
        <f>SUM(F763:H763)</f>
        <v>0</v>
      </c>
      <c r="J763" s="1"/>
      <c r="K763" s="1"/>
      <c r="L763" s="1"/>
      <c r="M763" s="59">
        <f>SUM(J763:L763)</f>
        <v>0</v>
      </c>
      <c r="N763" s="1"/>
      <c r="O763" s="1"/>
      <c r="P763" s="1"/>
      <c r="Q763" s="59">
        <f>SUM(N763:P763)</f>
        <v>0</v>
      </c>
      <c r="R763" s="59">
        <f>+E763+I763+M763+Q763</f>
        <v>0</v>
      </c>
    </row>
    <row r="764" spans="1:20" ht="15.75" customHeight="1" x14ac:dyDescent="0.3">
      <c r="A764" s="74" t="s">
        <v>580</v>
      </c>
      <c r="B764" s="1"/>
      <c r="C764" s="1"/>
      <c r="D764" s="1"/>
      <c r="E764" s="59">
        <f>SUM(B764:D764)</f>
        <v>0</v>
      </c>
      <c r="F764" s="1"/>
      <c r="G764" s="1"/>
      <c r="H764" s="1"/>
      <c r="I764" s="59">
        <f>SUM(F764:H764)</f>
        <v>0</v>
      </c>
      <c r="J764" s="1"/>
      <c r="K764" s="1"/>
      <c r="L764" s="1"/>
      <c r="M764" s="59">
        <f>SUM(J764:L764)</f>
        <v>0</v>
      </c>
      <c r="N764" s="1"/>
      <c r="O764" s="1"/>
      <c r="P764" s="1"/>
      <c r="Q764" s="59">
        <f>SUM(N764:P764)</f>
        <v>0</v>
      </c>
      <c r="R764" s="59">
        <f>+E764+I764+M764+Q764</f>
        <v>0</v>
      </c>
    </row>
    <row r="765" spans="1:20" ht="15.75" customHeight="1" x14ac:dyDescent="0.3">
      <c r="A765" s="17" t="s">
        <v>66</v>
      </c>
      <c r="B765" s="1"/>
      <c r="C765" s="1"/>
      <c r="D765" s="1"/>
      <c r="E765" s="59" t="s">
        <v>7</v>
      </c>
      <c r="F765" s="1"/>
      <c r="G765" s="1"/>
      <c r="H765" s="1"/>
      <c r="I765" s="59" t="s">
        <v>7</v>
      </c>
      <c r="J765" s="1"/>
      <c r="K765" s="1"/>
      <c r="L765" s="1"/>
      <c r="M765" s="59" t="s">
        <v>7</v>
      </c>
      <c r="N765" s="1"/>
      <c r="O765" s="1"/>
      <c r="P765" s="1"/>
      <c r="Q765" s="59" t="s">
        <v>7</v>
      </c>
      <c r="R765" s="59" t="s">
        <v>7</v>
      </c>
    </row>
    <row r="766" spans="1:20" ht="15.75" customHeight="1" thickBot="1" x14ac:dyDescent="0.35">
      <c r="A766" s="17" t="s">
        <v>67</v>
      </c>
      <c r="B766" s="1"/>
      <c r="C766" s="1"/>
      <c r="D766" s="1"/>
      <c r="E766" s="59" t="s">
        <v>7</v>
      </c>
      <c r="F766" s="1"/>
      <c r="G766" s="1"/>
      <c r="H766" s="1"/>
      <c r="I766" s="59" t="s">
        <v>7</v>
      </c>
      <c r="J766" s="1"/>
      <c r="K766" s="1"/>
      <c r="L766" s="1"/>
      <c r="M766" s="59" t="s">
        <v>7</v>
      </c>
      <c r="N766" s="1"/>
      <c r="O766" s="1"/>
      <c r="P766" s="1"/>
      <c r="Q766" s="59" t="s">
        <v>7</v>
      </c>
      <c r="R766" s="59" t="s">
        <v>7</v>
      </c>
    </row>
    <row r="767" spans="1:20" ht="16.5" customHeight="1" thickBot="1" x14ac:dyDescent="0.35">
      <c r="A767" s="62" t="s">
        <v>68</v>
      </c>
      <c r="B767" s="63">
        <f>SUM(B765:B766)</f>
        <v>0</v>
      </c>
      <c r="C767" s="63">
        <f>SUM(C765:C766)</f>
        <v>0</v>
      </c>
      <c r="D767" s="63">
        <f>SUM(D765:D766)</f>
        <v>0</v>
      </c>
      <c r="E767" s="65">
        <f>SUM(B767:D767)</f>
        <v>0</v>
      </c>
      <c r="F767" s="63">
        <f>SUM(F765:F766)</f>
        <v>0</v>
      </c>
      <c r="G767" s="63">
        <f>SUM(G765:G766)</f>
        <v>0</v>
      </c>
      <c r="H767" s="63">
        <f>SUM(H765:H766)</f>
        <v>0</v>
      </c>
      <c r="I767" s="65">
        <f>SUM(F767:H767)</f>
        <v>0</v>
      </c>
      <c r="J767" s="63">
        <f>SUM(J765:J766)</f>
        <v>0</v>
      </c>
      <c r="K767" s="63">
        <f>SUM(K765:K766)</f>
        <v>0</v>
      </c>
      <c r="L767" s="63">
        <f>SUM(L765:L766)</f>
        <v>0</v>
      </c>
      <c r="M767" s="65">
        <f>SUM(J767:L767)</f>
        <v>0</v>
      </c>
      <c r="N767" s="63">
        <f>SUM(N765:N766)</f>
        <v>0</v>
      </c>
      <c r="O767" s="63">
        <f>SUM(O765:O766)</f>
        <v>0</v>
      </c>
      <c r="P767" s="63">
        <f>SUM(P765:P766)</f>
        <v>0</v>
      </c>
      <c r="Q767" s="65">
        <f>SUM(N767:P767)</f>
        <v>0</v>
      </c>
      <c r="R767" s="64">
        <f>+E767+I767+M767+Q767</f>
        <v>0</v>
      </c>
    </row>
    <row r="768" spans="1:20" ht="16.5" customHeight="1" thickBot="1" x14ac:dyDescent="0.35">
      <c r="A768" s="137" t="s">
        <v>69</v>
      </c>
      <c r="B768" s="100">
        <f>SUM(B758:B766)</f>
        <v>0</v>
      </c>
      <c r="C768" s="101">
        <f>SUM(C758:C766)</f>
        <v>0</v>
      </c>
      <c r="D768" s="138">
        <f>SUM(D758:D766)</f>
        <v>0</v>
      </c>
      <c r="E768" s="65">
        <f>SUM(B768:D768)</f>
        <v>0</v>
      </c>
      <c r="F768" s="101">
        <f>SUM(F758:F766)</f>
        <v>0</v>
      </c>
      <c r="G768" s="101">
        <f>SUM(G758:G766)</f>
        <v>0</v>
      </c>
      <c r="H768" s="101">
        <f>SUM(H758:H766)</f>
        <v>0</v>
      </c>
      <c r="I768" s="65">
        <f>SUM(F768:H768)</f>
        <v>0</v>
      </c>
      <c r="J768" s="101">
        <f>SUM(J758:J766)</f>
        <v>0</v>
      </c>
      <c r="K768" s="101">
        <f>SUM(K758:K766)</f>
        <v>0</v>
      </c>
      <c r="L768" s="101">
        <f>SUM(L758:L766)</f>
        <v>0</v>
      </c>
      <c r="M768" s="65">
        <f>SUM(J768:L768)</f>
        <v>0</v>
      </c>
      <c r="N768" s="101">
        <f>SUM(N758:N766)</f>
        <v>0</v>
      </c>
      <c r="O768" s="101">
        <f>SUM(O758:O766)</f>
        <v>0</v>
      </c>
      <c r="P768" s="101">
        <f>SUM(P758:P766)</f>
        <v>0</v>
      </c>
      <c r="Q768" s="65">
        <f>SUM(N768:P768)</f>
        <v>0</v>
      </c>
      <c r="R768" s="64">
        <f>+E768+I768+M768+Q768</f>
        <v>0</v>
      </c>
    </row>
    <row r="769" spans="1:18" ht="16.5" customHeight="1" thickBot="1" x14ac:dyDescent="0.35">
      <c r="A769" s="62" t="s">
        <v>70</v>
      </c>
      <c r="B769" s="107">
        <f>+B739+B743+B757+B768</f>
        <v>6229</v>
      </c>
      <c r="C769" s="63">
        <f>+C739+C743+C757+C768</f>
        <v>12591</v>
      </c>
      <c r="D769" s="63">
        <f>+D739+D743+D757+D768</f>
        <v>16286</v>
      </c>
      <c r="E769" s="64">
        <f>SUM(B769:D769)</f>
        <v>35106</v>
      </c>
      <c r="F769" s="63">
        <f>+F739+F743+F757+F768</f>
        <v>16997</v>
      </c>
      <c r="G769" s="63">
        <f>+G739+G743+G757+G768</f>
        <v>17767</v>
      </c>
      <c r="H769" s="63">
        <f>+H739+H743+H757+H768</f>
        <v>15515</v>
      </c>
      <c r="I769" s="64">
        <f>SUM(F769:H769)</f>
        <v>50279</v>
      </c>
      <c r="J769" s="63">
        <f>+J739+J743+J757+J768</f>
        <v>14900</v>
      </c>
      <c r="K769" s="63">
        <f>+K739+K743+K757+K768</f>
        <v>14550</v>
      </c>
      <c r="L769" s="63">
        <f>+L739+L743+L757+L768</f>
        <v>14310</v>
      </c>
      <c r="M769" s="64">
        <f>SUM(J769:L769)</f>
        <v>43760</v>
      </c>
      <c r="N769" s="63">
        <f>+N739+N743+N757+N768</f>
        <v>5125</v>
      </c>
      <c r="O769" s="63">
        <f>+O739+O743+O757+O768</f>
        <v>150</v>
      </c>
      <c r="P769" s="63">
        <f>+P739+P743+P757+P768</f>
        <v>5888</v>
      </c>
      <c r="Q769" s="64">
        <f>SUM(N769:P769)</f>
        <v>11163</v>
      </c>
      <c r="R769" s="88">
        <f>+E769+I769+M769+Q769</f>
        <v>140308</v>
      </c>
    </row>
    <row r="770" spans="1:18" ht="16.5" customHeight="1" thickBot="1" x14ac:dyDescent="0.35">
      <c r="A770" s="66" t="s">
        <v>37</v>
      </c>
      <c r="B770" s="25">
        <v>22</v>
      </c>
      <c r="C770" s="25">
        <v>24</v>
      </c>
      <c r="D770" s="25">
        <v>31</v>
      </c>
      <c r="E770" s="64">
        <f>SUM(B770:D770)</f>
        <v>77</v>
      </c>
      <c r="F770" s="25">
        <v>40</v>
      </c>
      <c r="G770" s="25">
        <v>45</v>
      </c>
      <c r="H770" s="25">
        <v>48</v>
      </c>
      <c r="I770" s="64">
        <f>SUM(F770:H770)</f>
        <v>133</v>
      </c>
      <c r="J770" s="25">
        <v>42</v>
      </c>
      <c r="K770" s="25">
        <v>39</v>
      </c>
      <c r="L770" s="25">
        <v>38</v>
      </c>
      <c r="M770" s="64">
        <f>SUM(J770:L770)</f>
        <v>119</v>
      </c>
      <c r="N770" s="25">
        <v>32</v>
      </c>
      <c r="O770" s="25">
        <v>25</v>
      </c>
      <c r="P770" s="25">
        <v>21</v>
      </c>
      <c r="Q770" s="64">
        <f>SUM(N770:P770)</f>
        <v>78</v>
      </c>
      <c r="R770" s="65">
        <f>+E770+I770+M770+Q770</f>
        <v>407</v>
      </c>
    </row>
    <row r="771" spans="1:18" ht="16.5" customHeight="1" thickBot="1" x14ac:dyDescent="0.35">
      <c r="A771" s="42"/>
      <c r="B771" s="37"/>
      <c r="C771" s="37"/>
      <c r="D771" s="37"/>
      <c r="E771" s="16"/>
      <c r="F771" s="37"/>
      <c r="G771" s="37"/>
      <c r="H771" s="37"/>
      <c r="I771" s="16"/>
      <c r="J771" s="37"/>
      <c r="K771" s="37"/>
      <c r="L771" s="37"/>
      <c r="M771" s="16"/>
      <c r="N771" s="37"/>
      <c r="O771" s="37"/>
      <c r="P771" s="37"/>
      <c r="Q771" s="16"/>
      <c r="R771" s="43"/>
    </row>
    <row r="772" spans="1:18" ht="15.75" customHeight="1" x14ac:dyDescent="0.3">
      <c r="A772" s="17" t="s">
        <v>507</v>
      </c>
      <c r="B772" s="1">
        <f>+SUM(B769:B770)</f>
        <v>6251</v>
      </c>
      <c r="C772" s="1">
        <f>+SUM(C769:C770)</f>
        <v>12615</v>
      </c>
      <c r="D772" s="1">
        <f>+SUM(D769:D770)</f>
        <v>16317</v>
      </c>
      <c r="E772" s="65">
        <f>SUM(B772:D772)</f>
        <v>35183</v>
      </c>
      <c r="F772" s="1">
        <f>+SUM(F769:F770)</f>
        <v>17037</v>
      </c>
      <c r="G772" s="1">
        <f>+SUM(G769:G770)</f>
        <v>17812</v>
      </c>
      <c r="H772" s="1">
        <f>+SUM(H769:H770)</f>
        <v>15563</v>
      </c>
      <c r="I772" s="65">
        <f>SUM(F772:H772)</f>
        <v>50412</v>
      </c>
      <c r="J772" s="1">
        <f>+SUM(J769:J770)</f>
        <v>14942</v>
      </c>
      <c r="K772" s="1">
        <f>+SUM(K769:K770)</f>
        <v>14589</v>
      </c>
      <c r="L772" s="1">
        <f>+SUM(L769:L770)</f>
        <v>14348</v>
      </c>
      <c r="M772" s="65">
        <f>SUM(J772:L772)</f>
        <v>43879</v>
      </c>
      <c r="N772" s="1">
        <f>+SUM(N769:N770)</f>
        <v>5157</v>
      </c>
      <c r="O772" s="1">
        <f>+SUM(O769:O770)</f>
        <v>175</v>
      </c>
      <c r="P772" s="1">
        <f>+SUM(P769:P770)</f>
        <v>5909</v>
      </c>
      <c r="Q772" s="65">
        <f>SUM(N772:P772)</f>
        <v>11241</v>
      </c>
      <c r="R772" s="65">
        <f>+E772+I772+M772+Q772</f>
        <v>140715</v>
      </c>
    </row>
    <row r="773" spans="1:18" ht="15.75" customHeight="1" x14ac:dyDescent="0.3">
      <c r="A773" s="17" t="s">
        <v>39</v>
      </c>
      <c r="B773" s="1">
        <f>(B772/B10)/1.983</f>
        <v>101.68691946057619</v>
      </c>
      <c r="C773" s="1">
        <f>(C772/C10)/1.983</f>
        <v>227.19904905986598</v>
      </c>
      <c r="D773" s="1">
        <f>(D772/D10)/1.983</f>
        <v>265.43360499731591</v>
      </c>
      <c r="E773" s="59" t="s">
        <v>7</v>
      </c>
      <c r="F773" s="1">
        <f>(F772/F10)/1.983</f>
        <v>286.38426626323752</v>
      </c>
      <c r="G773" s="1">
        <f>(G772/G10)/1.983</f>
        <v>289.75322499308641</v>
      </c>
      <c r="H773" s="1">
        <f>(H772/H10)/1.983</f>
        <v>261.6069927718944</v>
      </c>
      <c r="I773" s="59" t="s">
        <v>7</v>
      </c>
      <c r="J773" s="1">
        <f>(J772/J10)/1.983</f>
        <v>243.06606152294503</v>
      </c>
      <c r="K773" s="1">
        <f>(K772/K10)/1.983</f>
        <v>237.32370308916109</v>
      </c>
      <c r="L773" s="1">
        <f>(L772/L10)/1.983</f>
        <v>241.18339216675071</v>
      </c>
      <c r="M773" s="59" t="s">
        <v>7</v>
      </c>
      <c r="N773" s="1">
        <f>(N772/N10)/1.983</f>
        <v>83.89048850714947</v>
      </c>
      <c r="O773" s="1">
        <f>(O772/O10)/1.983</f>
        <v>2.9416708690536222</v>
      </c>
      <c r="P773" s="1">
        <f>(P772/P10)/1.983</f>
        <v>96.123501374587221</v>
      </c>
      <c r="Q773" s="59" t="s">
        <v>7</v>
      </c>
      <c r="R773" s="59" t="s">
        <v>7</v>
      </c>
    </row>
    <row r="774" spans="1:18" ht="15.75" customHeight="1" x14ac:dyDescent="0.3">
      <c r="A774" s="17" t="s">
        <v>581</v>
      </c>
      <c r="B774" s="1">
        <f>B772+B784</f>
        <v>10582</v>
      </c>
      <c r="C774" s="1">
        <f>C772+C784</f>
        <v>16978</v>
      </c>
      <c r="D774" s="1">
        <f>D772+D784</f>
        <v>21336</v>
      </c>
      <c r="E774" s="59">
        <f>SUM(B774:D774)</f>
        <v>48896</v>
      </c>
      <c r="F774" s="1">
        <f>F772+F784</f>
        <v>22654</v>
      </c>
      <c r="G774" s="1">
        <f>G772+G784</f>
        <v>23343</v>
      </c>
      <c r="H774" s="1">
        <f>H772+H784</f>
        <v>21020</v>
      </c>
      <c r="I774" s="59">
        <f>SUM(F774:H774)</f>
        <v>67017</v>
      </c>
      <c r="J774" s="1">
        <f>J772+J784</f>
        <v>20537</v>
      </c>
      <c r="K774" s="1">
        <f>K772+K784</f>
        <v>20243</v>
      </c>
      <c r="L774" s="1">
        <f>L772+L784</f>
        <v>18881</v>
      </c>
      <c r="M774" s="59">
        <f>SUM(J774:L774)</f>
        <v>59661</v>
      </c>
      <c r="N774" s="1">
        <f>N772+N784</f>
        <v>7479</v>
      </c>
      <c r="O774" s="1">
        <f>O772+O784</f>
        <v>1754</v>
      </c>
      <c r="P774" s="1">
        <f>P772+P784</f>
        <v>9002</v>
      </c>
      <c r="Q774" s="59">
        <f>SUM(N774:P774)</f>
        <v>18235</v>
      </c>
      <c r="R774" s="59">
        <f>+E774+I774+M774+Q774</f>
        <v>193809</v>
      </c>
    </row>
    <row r="775" spans="1:18" ht="16.5" customHeight="1" thickBot="1" x14ac:dyDescent="0.35">
      <c r="A775" s="24" t="s">
        <v>582</v>
      </c>
      <c r="B775" s="25">
        <f>(B774/B10)/1.983</f>
        <v>172.14061457875815</v>
      </c>
      <c r="C775" s="25">
        <f>(C774/C10)/1.983</f>
        <v>305.77768172321879</v>
      </c>
      <c r="D775" s="25">
        <f>(D774/D10)/1.983</f>
        <v>347.07920550485579</v>
      </c>
      <c r="E775" s="88" t="s">
        <v>7</v>
      </c>
      <c r="F775" s="25">
        <f>(F774/F10)/1.983</f>
        <v>380.8034963859472</v>
      </c>
      <c r="G775" s="25">
        <f>(G774/G10)/1.983</f>
        <v>379.72768532526476</v>
      </c>
      <c r="H775" s="25">
        <f>(H774/H10)/1.983</f>
        <v>353.33669524289792</v>
      </c>
      <c r="I775" s="88" t="s">
        <v>7</v>
      </c>
      <c r="J775" s="25">
        <f>(J774/J10)/1.983</f>
        <v>334.08162933320318</v>
      </c>
      <c r="K775" s="25">
        <f>(K774/K10)/1.983</f>
        <v>329.29904185577408</v>
      </c>
      <c r="L775" s="25">
        <f>(L774/L10)/1.983</f>
        <v>317.38107244915113</v>
      </c>
      <c r="M775" s="88" t="s">
        <v>7</v>
      </c>
      <c r="N775" s="25">
        <f>(N774/N10)/1.983</f>
        <v>121.66316919623249</v>
      </c>
      <c r="O775" s="25">
        <f>(O774/O10)/1.983</f>
        <v>29.483946881828878</v>
      </c>
      <c r="P775" s="25">
        <f>(P774/P10)/1.983</f>
        <v>146.43827371366291</v>
      </c>
      <c r="Q775" s="88" t="s">
        <v>7</v>
      </c>
      <c r="R775" s="88" t="s">
        <v>7</v>
      </c>
    </row>
    <row r="776" spans="1:18" ht="15.75" customHeight="1" x14ac:dyDescent="0.3">
      <c r="A776" s="28"/>
      <c r="B776" s="1"/>
      <c r="C776" s="1"/>
      <c r="D776" s="1"/>
      <c r="E776" s="1"/>
      <c r="F776" s="1"/>
      <c r="G776" s="1"/>
      <c r="H776" s="1"/>
      <c r="I776" s="1"/>
      <c r="J776" s="1"/>
      <c r="K776" s="1"/>
      <c r="L776" s="1"/>
      <c r="M776" s="1"/>
      <c r="N776" s="1"/>
      <c r="O776" s="1"/>
      <c r="P776" s="1"/>
      <c r="Q776" s="1"/>
      <c r="R776" s="28"/>
    </row>
    <row r="777" spans="1:18" ht="15.75" customHeight="1" thickBot="1" x14ac:dyDescent="0.35">
      <c r="A777" s="28"/>
      <c r="B777" s="1"/>
      <c r="C777" s="1"/>
      <c r="D777" s="1"/>
      <c r="E777" s="1"/>
      <c r="F777" s="1"/>
      <c r="G777" s="1"/>
      <c r="H777" s="1"/>
      <c r="I777" s="1"/>
      <c r="J777" s="1"/>
      <c r="K777" s="1"/>
      <c r="L777" s="1"/>
      <c r="M777" s="1"/>
      <c r="N777" s="1"/>
      <c r="O777" s="1"/>
      <c r="P777" s="1"/>
      <c r="Q777" s="1"/>
      <c r="R777" s="28"/>
    </row>
    <row r="778" spans="1:18" ht="16.5" customHeight="1" thickBot="1" x14ac:dyDescent="0.35">
      <c r="A778" s="145" t="s">
        <v>583</v>
      </c>
      <c r="B778" s="32" t="s">
        <v>36</v>
      </c>
      <c r="C778" s="33" t="s">
        <v>9</v>
      </c>
      <c r="D778" s="33" t="s">
        <v>10</v>
      </c>
      <c r="E778" s="12" t="s">
        <v>11</v>
      </c>
      <c r="F778" s="33" t="s">
        <v>12</v>
      </c>
      <c r="G778" s="33" t="s">
        <v>13</v>
      </c>
      <c r="H778" s="33" t="s">
        <v>14</v>
      </c>
      <c r="I778" s="34" t="s">
        <v>15</v>
      </c>
      <c r="J778" s="33" t="s">
        <v>16</v>
      </c>
      <c r="K778" s="33" t="s">
        <v>17</v>
      </c>
      <c r="L778" s="33" t="s">
        <v>18</v>
      </c>
      <c r="M778" s="34" t="s">
        <v>19</v>
      </c>
      <c r="N778" s="33" t="s">
        <v>20</v>
      </c>
      <c r="O778" s="33" t="s">
        <v>21</v>
      </c>
      <c r="P778" s="33" t="s">
        <v>22</v>
      </c>
      <c r="Q778" s="34" t="s">
        <v>23</v>
      </c>
      <c r="R778" s="35" t="s">
        <v>24</v>
      </c>
    </row>
    <row r="779" spans="1:18" ht="16.5" customHeight="1" thickBot="1" x14ac:dyDescent="0.35">
      <c r="A779" s="42"/>
      <c r="B779" s="37"/>
      <c r="C779" s="37"/>
      <c r="D779" s="37"/>
      <c r="E779" s="38"/>
      <c r="F779" s="37"/>
      <c r="G779" s="37"/>
      <c r="H779" s="37"/>
      <c r="I779" s="38"/>
      <c r="J779" s="37"/>
      <c r="K779" s="37"/>
      <c r="L779" s="37"/>
      <c r="M779" s="38"/>
      <c r="N779" s="37"/>
      <c r="O779" s="37"/>
      <c r="P779" s="37"/>
      <c r="Q779" s="38"/>
      <c r="R779" s="42"/>
    </row>
    <row r="780" spans="1:18" ht="16.5" customHeight="1" thickBot="1" x14ac:dyDescent="0.35">
      <c r="A780" s="40" t="s">
        <v>37</v>
      </c>
      <c r="B780" s="25">
        <v>2</v>
      </c>
      <c r="C780" s="25">
        <v>3</v>
      </c>
      <c r="D780" s="25">
        <v>5</v>
      </c>
      <c r="E780" s="59">
        <f>SUM(B780:D780)</f>
        <v>10</v>
      </c>
      <c r="F780" s="25">
        <v>7</v>
      </c>
      <c r="G780" s="25">
        <v>8</v>
      </c>
      <c r="H780" s="25">
        <v>9</v>
      </c>
      <c r="I780" s="59">
        <f>SUM(F780:H780)</f>
        <v>24</v>
      </c>
      <c r="J780" s="25">
        <v>7</v>
      </c>
      <c r="K780" s="25">
        <v>6</v>
      </c>
      <c r="L780" s="25">
        <v>6</v>
      </c>
      <c r="M780" s="59">
        <f>SUM(J780:L780)</f>
        <v>19</v>
      </c>
      <c r="N780" s="25">
        <v>5</v>
      </c>
      <c r="O780" s="25">
        <v>3</v>
      </c>
      <c r="P780" s="25">
        <v>2</v>
      </c>
      <c r="Q780" s="59">
        <f>SUM(N780:P780)</f>
        <v>10</v>
      </c>
      <c r="R780" s="65">
        <f>+E780+I780+M780+Q780</f>
        <v>63</v>
      </c>
    </row>
    <row r="781" spans="1:18" ht="16.5" customHeight="1" thickBot="1" x14ac:dyDescent="0.35">
      <c r="A781" s="42"/>
      <c r="B781" s="37"/>
      <c r="C781" s="37"/>
      <c r="D781" s="37"/>
      <c r="E781" s="16"/>
      <c r="F781" s="37"/>
      <c r="G781" s="37"/>
      <c r="H781" s="37"/>
      <c r="I781" s="16"/>
      <c r="J781" s="37"/>
      <c r="K781" s="37"/>
      <c r="L781" s="37"/>
      <c r="M781" s="16"/>
      <c r="N781" s="37"/>
      <c r="O781" s="37"/>
      <c r="P781" s="37"/>
      <c r="Q781" s="16"/>
      <c r="R781" s="43"/>
    </row>
    <row r="782" spans="1:18" ht="15.75" customHeight="1" x14ac:dyDescent="0.3">
      <c r="A782" s="17" t="s">
        <v>507</v>
      </c>
      <c r="B782" s="1">
        <f>B780</f>
        <v>2</v>
      </c>
      <c r="C782" s="1">
        <f>C780</f>
        <v>3</v>
      </c>
      <c r="D782" s="1">
        <f>D780</f>
        <v>5</v>
      </c>
      <c r="E782" s="65">
        <f>SUM(B782:D782)</f>
        <v>10</v>
      </c>
      <c r="F782" s="1">
        <f>F780</f>
        <v>7</v>
      </c>
      <c r="G782" s="1">
        <f>G780</f>
        <v>8</v>
      </c>
      <c r="H782" s="1">
        <f>H780</f>
        <v>9</v>
      </c>
      <c r="I782" s="65">
        <f>SUM(F782:H782)</f>
        <v>24</v>
      </c>
      <c r="J782" s="1">
        <f>J780</f>
        <v>7</v>
      </c>
      <c r="K782" s="1">
        <f>K780</f>
        <v>6</v>
      </c>
      <c r="L782" s="1">
        <f>L780</f>
        <v>6</v>
      </c>
      <c r="M782" s="65">
        <f>SUM(J782:L782)</f>
        <v>19</v>
      </c>
      <c r="N782" s="1">
        <f>N780</f>
        <v>5</v>
      </c>
      <c r="O782" s="1">
        <f>O780</f>
        <v>3</v>
      </c>
      <c r="P782" s="1">
        <f>P780</f>
        <v>2</v>
      </c>
      <c r="Q782" s="65">
        <f>SUM(N782:P782)</f>
        <v>10</v>
      </c>
      <c r="R782" s="65">
        <f>+E782+I782+M782+Q782</f>
        <v>63</v>
      </c>
    </row>
    <row r="783" spans="1:18" ht="15.75" customHeight="1" x14ac:dyDescent="0.3">
      <c r="A783" s="17" t="s">
        <v>39</v>
      </c>
      <c r="B783" s="1">
        <f>(B782/B10)/1.983</f>
        <v>3.2534608689993978E-2</v>
      </c>
      <c r="C783" s="1">
        <f>(C782/C10)/1.983</f>
        <v>5.403068943159714E-2</v>
      </c>
      <c r="D783" s="1">
        <f>(D782/D10)/1.983</f>
        <v>8.1336521724984942E-2</v>
      </c>
      <c r="E783" s="59" t="s">
        <v>7</v>
      </c>
      <c r="F783" s="1">
        <f>(F782/F10)/1.983</f>
        <v>0.1176668347621449</v>
      </c>
      <c r="G783" s="1">
        <f>(G782/G10)/1.983</f>
        <v>0.13013843475997591</v>
      </c>
      <c r="H783" s="1">
        <f>(H782/H10)/1.983</f>
        <v>0.15128593040847199</v>
      </c>
      <c r="I783" s="59" t="s">
        <v>7</v>
      </c>
      <c r="J783" s="1">
        <f>(J782/J10)/1.983</f>
        <v>0.11387113041497893</v>
      </c>
      <c r="K783" s="1">
        <f>(K782/K10)/1.983</f>
        <v>9.7603826069981942E-2</v>
      </c>
      <c r="L783" s="1">
        <f>(L782/L10)/1.983</f>
        <v>0.10085728693898134</v>
      </c>
      <c r="M783" s="59" t="s">
        <v>7</v>
      </c>
      <c r="N783" s="1">
        <f>(N782/N10)/1.983</f>
        <v>8.1336521724984942E-2</v>
      </c>
      <c r="O783" s="1">
        <f>(O782/O10)/1.983</f>
        <v>5.0428643469490671E-2</v>
      </c>
      <c r="P783" s="1">
        <f>(P782/P10)/1.983</f>
        <v>3.2534608689993978E-2</v>
      </c>
      <c r="Q783" s="59" t="s">
        <v>7</v>
      </c>
      <c r="R783" s="59" t="s">
        <v>7</v>
      </c>
    </row>
    <row r="784" spans="1:18" ht="15.75" customHeight="1" x14ac:dyDescent="0.3">
      <c r="A784" s="17" t="s">
        <v>584</v>
      </c>
      <c r="B784" s="1">
        <f>B782+B818+B870-B813</f>
        <v>4331</v>
      </c>
      <c r="C784" s="1">
        <f>C782+C818+C870-C813</f>
        <v>4363</v>
      </c>
      <c r="D784" s="1">
        <f>D782+D818+D870-D813</f>
        <v>5019</v>
      </c>
      <c r="E784" s="59">
        <f>SUM(B784:D784)</f>
        <v>13713</v>
      </c>
      <c r="F784" s="1">
        <f>F782+F818+F870-F813</f>
        <v>5617</v>
      </c>
      <c r="G784" s="1">
        <f>G782+G818+G870-G813</f>
        <v>5531</v>
      </c>
      <c r="H784" s="1">
        <f>H782+H818+H870-H813</f>
        <v>5457</v>
      </c>
      <c r="I784" s="59">
        <f>SUM(F784:H784)</f>
        <v>16605</v>
      </c>
      <c r="J784" s="1">
        <f>J782+J818+J870-J813</f>
        <v>5595</v>
      </c>
      <c r="K784" s="1">
        <f>K782+K818+K870-K813</f>
        <v>5654</v>
      </c>
      <c r="L784" s="1">
        <f>L782+L818+L870-L813</f>
        <v>4533</v>
      </c>
      <c r="M784" s="59">
        <f>SUM(J784:L784)</f>
        <v>15782</v>
      </c>
      <c r="N784" s="1">
        <f>N782+N818+N870-N813</f>
        <v>2322</v>
      </c>
      <c r="O784" s="1">
        <f>O782+O818+O870-O813</f>
        <v>1579</v>
      </c>
      <c r="P784" s="1">
        <f>P782+P818+P870-P813</f>
        <v>3093</v>
      </c>
      <c r="Q784" s="59">
        <f>SUM(N784:P784)</f>
        <v>6994</v>
      </c>
      <c r="R784" s="59">
        <f>+E784+I784+M784+Q784</f>
        <v>53094</v>
      </c>
    </row>
    <row r="785" spans="1:18" ht="16.5" customHeight="1" thickBot="1" x14ac:dyDescent="0.35">
      <c r="A785" s="24" t="s">
        <v>585</v>
      </c>
      <c r="B785" s="25">
        <f>(B784/B10)/1.983</f>
        <v>70.453695118181969</v>
      </c>
      <c r="C785" s="25">
        <f>(C784/C10)/1.983</f>
        <v>78.578632663352792</v>
      </c>
      <c r="D785" s="25">
        <f>(D784/D10)/1.983</f>
        <v>81.645600507539896</v>
      </c>
      <c r="E785" s="88" t="s">
        <v>7</v>
      </c>
      <c r="F785" s="25">
        <f>(F784/F10)/1.983</f>
        <v>94.419230122709692</v>
      </c>
      <c r="G785" s="25">
        <f>(G784/G10)/1.983</f>
        <v>89.974460332178339</v>
      </c>
      <c r="H785" s="25">
        <f>(H784/H10)/1.983</f>
        <v>91.729702471003534</v>
      </c>
      <c r="I785" s="88" t="s">
        <v>7</v>
      </c>
      <c r="J785" s="25">
        <f>(J784/J10)/1.983</f>
        <v>91.015567810258148</v>
      </c>
      <c r="K785" s="25">
        <f>(K784/K10)/1.983</f>
        <v>91.975338766612978</v>
      </c>
      <c r="L785" s="25">
        <f>(L784/L10)/1.983</f>
        <v>76.197680282400398</v>
      </c>
      <c r="M785" s="88" t="s">
        <v>7</v>
      </c>
      <c r="N785" s="25">
        <f>(N784/N10)/1.983</f>
        <v>37.77268068908301</v>
      </c>
      <c r="O785" s="25">
        <f>(O784/O10)/1.983</f>
        <v>26.542276012775254</v>
      </c>
      <c r="P785" s="25">
        <f>(P784/P10)/1.983</f>
        <v>50.314772339075695</v>
      </c>
      <c r="Q785" s="88" t="s">
        <v>7</v>
      </c>
      <c r="R785" s="88" t="s">
        <v>7</v>
      </c>
    </row>
    <row r="786" spans="1:18" ht="15.75" customHeight="1" x14ac:dyDescent="0.3">
      <c r="A786" s="28"/>
      <c r="B786" s="1"/>
      <c r="C786" s="1"/>
      <c r="D786" s="1"/>
      <c r="E786" s="1"/>
      <c r="F786" s="1"/>
      <c r="G786" s="1"/>
      <c r="H786" s="1"/>
      <c r="I786" s="1"/>
      <c r="J786" s="1"/>
      <c r="K786" s="1"/>
      <c r="L786" s="1"/>
      <c r="M786" s="1"/>
      <c r="N786" s="1"/>
      <c r="O786" s="1"/>
      <c r="P786" s="1"/>
      <c r="Q786" s="1"/>
      <c r="R786" s="28"/>
    </row>
    <row r="787" spans="1:18" ht="15.75" customHeight="1" thickBot="1" x14ac:dyDescent="0.35">
      <c r="A787" s="28"/>
      <c r="B787" s="1"/>
      <c r="C787" s="1"/>
      <c r="D787" s="1"/>
      <c r="E787" s="1"/>
      <c r="F787" s="1"/>
      <c r="G787" s="1"/>
      <c r="H787" s="1"/>
      <c r="I787" s="1"/>
      <c r="J787" s="1"/>
      <c r="K787" s="1"/>
      <c r="L787" s="1"/>
      <c r="M787" s="1"/>
      <c r="N787" s="1"/>
      <c r="O787" s="1"/>
      <c r="P787" s="1"/>
      <c r="Q787" s="1"/>
      <c r="R787" s="28"/>
    </row>
    <row r="788" spans="1:18" ht="16.5" customHeight="1" thickBot="1" x14ac:dyDescent="0.35">
      <c r="A788" s="145" t="s">
        <v>586</v>
      </c>
      <c r="B788" s="32" t="s">
        <v>36</v>
      </c>
      <c r="C788" s="33" t="s">
        <v>9</v>
      </c>
      <c r="D788" s="33" t="s">
        <v>10</v>
      </c>
      <c r="E788" s="34" t="s">
        <v>11</v>
      </c>
      <c r="F788" s="33" t="s">
        <v>12</v>
      </c>
      <c r="G788" s="33" t="s">
        <v>13</v>
      </c>
      <c r="H788" s="33" t="s">
        <v>14</v>
      </c>
      <c r="I788" s="34" t="s">
        <v>15</v>
      </c>
      <c r="J788" s="33" t="s">
        <v>16</v>
      </c>
      <c r="K788" s="33" t="s">
        <v>17</v>
      </c>
      <c r="L788" s="33" t="s">
        <v>18</v>
      </c>
      <c r="M788" s="34" t="s">
        <v>19</v>
      </c>
      <c r="N788" s="33" t="s">
        <v>20</v>
      </c>
      <c r="O788" s="33" t="s">
        <v>21</v>
      </c>
      <c r="P788" s="33" t="s">
        <v>22</v>
      </c>
      <c r="Q788" s="34" t="s">
        <v>23</v>
      </c>
      <c r="R788" s="155" t="s">
        <v>24</v>
      </c>
    </row>
    <row r="789" spans="1:18" ht="16.5" customHeight="1" thickBot="1" x14ac:dyDescent="0.35">
      <c r="A789" s="42"/>
      <c r="B789" s="37"/>
      <c r="C789" s="37"/>
      <c r="D789" s="37"/>
      <c r="E789" s="156"/>
      <c r="F789" s="37"/>
      <c r="G789" s="37"/>
      <c r="H789" s="37"/>
      <c r="I789" s="156"/>
      <c r="J789" s="37"/>
      <c r="K789" s="37"/>
      <c r="L789" s="37"/>
      <c r="M789" s="156"/>
      <c r="N789" s="37"/>
      <c r="O789" s="37"/>
      <c r="P789" s="37"/>
      <c r="Q789" s="156"/>
      <c r="R789" s="39"/>
    </row>
    <row r="790" spans="1:18" ht="15.75" customHeight="1" x14ac:dyDescent="0.3">
      <c r="A790" s="17" t="s">
        <v>45</v>
      </c>
      <c r="B790" s="1" t="s">
        <v>7</v>
      </c>
      <c r="C790" s="1" t="s">
        <v>7</v>
      </c>
      <c r="D790" s="1" t="s">
        <v>7</v>
      </c>
      <c r="E790" s="59" t="s">
        <v>7</v>
      </c>
      <c r="F790" s="1" t="s">
        <v>7</v>
      </c>
      <c r="G790" s="1" t="s">
        <v>7</v>
      </c>
      <c r="H790" s="1" t="s">
        <v>7</v>
      </c>
      <c r="I790" s="59" t="s">
        <v>7</v>
      </c>
      <c r="J790" s="1" t="s">
        <v>7</v>
      </c>
      <c r="K790" s="1" t="s">
        <v>7</v>
      </c>
      <c r="L790" s="1" t="s">
        <v>7</v>
      </c>
      <c r="M790" s="59" t="s">
        <v>7</v>
      </c>
      <c r="N790" s="1" t="s">
        <v>7</v>
      </c>
      <c r="O790" s="1" t="s">
        <v>7</v>
      </c>
      <c r="P790" s="1" t="s">
        <v>7</v>
      </c>
      <c r="Q790" s="59" t="s">
        <v>7</v>
      </c>
      <c r="R790" s="59" t="s">
        <v>7</v>
      </c>
    </row>
    <row r="791" spans="1:18" ht="15.75" customHeight="1" x14ac:dyDescent="0.3">
      <c r="A791" s="17" t="s">
        <v>46</v>
      </c>
      <c r="B791" s="1"/>
      <c r="C791" s="1"/>
      <c r="D791" s="1"/>
      <c r="E791" s="59" t="s">
        <v>7</v>
      </c>
      <c r="F791" s="1"/>
      <c r="G791" s="1"/>
      <c r="H791" s="1"/>
      <c r="I791" s="59" t="s">
        <v>7</v>
      </c>
      <c r="J791" s="1"/>
      <c r="K791" s="1"/>
      <c r="L791" s="1"/>
      <c r="M791" s="59" t="s">
        <v>7</v>
      </c>
      <c r="N791" s="1"/>
      <c r="O791" s="1"/>
      <c r="P791" s="1"/>
      <c r="Q791" s="59" t="s">
        <v>7</v>
      </c>
      <c r="R791" s="59" t="s">
        <v>7</v>
      </c>
    </row>
    <row r="792" spans="1:18" ht="15.75" customHeight="1" x14ac:dyDescent="0.3">
      <c r="A792" s="74" t="s">
        <v>587</v>
      </c>
      <c r="B792" s="1"/>
      <c r="C792" s="1"/>
      <c r="D792" s="1"/>
      <c r="E792" s="59">
        <f>SUM(B792:D792)</f>
        <v>0</v>
      </c>
      <c r="F792" s="1"/>
      <c r="G792" s="1"/>
      <c r="H792" s="1"/>
      <c r="I792" s="59">
        <f>SUM(F792:H792)</f>
        <v>0</v>
      </c>
      <c r="J792" s="1"/>
      <c r="K792" s="1"/>
      <c r="L792" s="1"/>
      <c r="M792" s="59">
        <f>SUM(J792:L792)</f>
        <v>0</v>
      </c>
      <c r="N792" s="1"/>
      <c r="O792" s="1"/>
      <c r="P792" s="1"/>
      <c r="Q792" s="59">
        <f>SUM(N792:P792)</f>
        <v>0</v>
      </c>
      <c r="R792" s="59">
        <f>+E792+I792+M792+Q792</f>
        <v>0</v>
      </c>
    </row>
    <row r="793" spans="1:18" ht="15.75" customHeight="1" x14ac:dyDescent="0.3">
      <c r="A793" s="17" t="s">
        <v>47</v>
      </c>
      <c r="B793" s="1"/>
      <c r="C793" s="1"/>
      <c r="D793" s="1"/>
      <c r="E793" s="59" t="s">
        <v>7</v>
      </c>
      <c r="F793" s="1"/>
      <c r="G793" s="1"/>
      <c r="H793" s="1"/>
      <c r="I793" s="59" t="s">
        <v>7</v>
      </c>
      <c r="J793" s="1"/>
      <c r="K793" s="1"/>
      <c r="L793" s="1"/>
      <c r="M793" s="59" t="s">
        <v>7</v>
      </c>
      <c r="N793" s="1"/>
      <c r="O793" s="1"/>
      <c r="P793" s="1"/>
      <c r="Q793" s="59" t="s">
        <v>7</v>
      </c>
      <c r="R793" s="59" t="s">
        <v>7</v>
      </c>
    </row>
    <row r="794" spans="1:18" ht="15.75" customHeight="1" x14ac:dyDescent="0.3">
      <c r="A794" s="17" t="s">
        <v>49</v>
      </c>
      <c r="B794" s="1"/>
      <c r="C794" s="1"/>
      <c r="D794" s="1"/>
      <c r="E794" s="59" t="s">
        <v>7</v>
      </c>
      <c r="F794" s="1"/>
      <c r="G794" s="1"/>
      <c r="H794" s="1"/>
      <c r="I794" s="59" t="s">
        <v>7</v>
      </c>
      <c r="J794" s="1"/>
      <c r="K794" s="1"/>
      <c r="L794" s="1"/>
      <c r="M794" s="59" t="s">
        <v>7</v>
      </c>
      <c r="N794" s="1"/>
      <c r="O794" s="1"/>
      <c r="P794" s="1"/>
      <c r="Q794" s="59" t="s">
        <v>7</v>
      </c>
      <c r="R794" s="59" t="s">
        <v>7</v>
      </c>
    </row>
    <row r="795" spans="1:18" ht="15.75" customHeight="1" thickBot="1" x14ac:dyDescent="0.35">
      <c r="A795" s="17" t="s">
        <v>51</v>
      </c>
      <c r="B795" s="1"/>
      <c r="C795" s="1"/>
      <c r="D795" s="1"/>
      <c r="E795" s="59" t="s">
        <v>7</v>
      </c>
      <c r="F795" s="1"/>
      <c r="G795" s="1"/>
      <c r="H795" s="1"/>
      <c r="I795" s="59" t="s">
        <v>7</v>
      </c>
      <c r="J795" s="1"/>
      <c r="K795" s="1"/>
      <c r="L795" s="1"/>
      <c r="M795" s="59" t="s">
        <v>7</v>
      </c>
      <c r="N795" s="1"/>
      <c r="O795" s="1"/>
      <c r="P795" s="1"/>
      <c r="Q795" s="59" t="s">
        <v>7</v>
      </c>
      <c r="R795" s="59" t="s">
        <v>7</v>
      </c>
    </row>
    <row r="796" spans="1:18" ht="16.5" customHeight="1" thickBot="1" x14ac:dyDescent="0.35">
      <c r="A796" s="62" t="s">
        <v>52</v>
      </c>
      <c r="B796" s="100">
        <f>SUM(B790:B795)</f>
        <v>0</v>
      </c>
      <c r="C796" s="101">
        <f>SUM(C790:C795)</f>
        <v>0</v>
      </c>
      <c r="D796" s="101">
        <f>SUM(D790:D795)</f>
        <v>0</v>
      </c>
      <c r="E796" s="64">
        <f>SUM(B796:D796)</f>
        <v>0</v>
      </c>
      <c r="F796" s="101">
        <f>SUM(F790:F795)</f>
        <v>0</v>
      </c>
      <c r="G796" s="101">
        <f>SUM(G790:G795)</f>
        <v>0</v>
      </c>
      <c r="H796" s="101">
        <f>SUM(H790:H795)</f>
        <v>0</v>
      </c>
      <c r="I796" s="64">
        <f>SUM(F796:H796)</f>
        <v>0</v>
      </c>
      <c r="J796" s="101">
        <f>SUM(J790:J795)</f>
        <v>0</v>
      </c>
      <c r="K796" s="101">
        <f>SUM(K790:K795)</f>
        <v>0</v>
      </c>
      <c r="L796" s="101">
        <f>SUM(L790:L795)</f>
        <v>0</v>
      </c>
      <c r="M796" s="64">
        <f>SUM(J796:L796)</f>
        <v>0</v>
      </c>
      <c r="N796" s="101">
        <f>SUM(N790:N795)</f>
        <v>0</v>
      </c>
      <c r="O796" s="101">
        <f>SUM(O790:O795)</f>
        <v>0</v>
      </c>
      <c r="P796" s="101">
        <f>SUM(P790:P795)</f>
        <v>0</v>
      </c>
      <c r="Q796" s="64">
        <f>SUM(N796:P796)</f>
        <v>0</v>
      </c>
      <c r="R796" s="64">
        <f>+E796+I796+M796+Q796</f>
        <v>0</v>
      </c>
    </row>
    <row r="797" spans="1:18" ht="15.75" customHeight="1" x14ac:dyDescent="0.3">
      <c r="A797" s="17" t="s">
        <v>53</v>
      </c>
      <c r="B797" s="1"/>
      <c r="C797" s="1"/>
      <c r="D797" s="1"/>
      <c r="E797" s="59" t="s">
        <v>7</v>
      </c>
      <c r="F797" s="1"/>
      <c r="G797" s="1"/>
      <c r="H797" s="1"/>
      <c r="I797" s="59" t="s">
        <v>7</v>
      </c>
      <c r="J797" s="1"/>
      <c r="K797" s="1"/>
      <c r="L797" s="1"/>
      <c r="M797" s="59" t="s">
        <v>7</v>
      </c>
      <c r="N797" s="1"/>
      <c r="O797" s="1"/>
      <c r="P797" s="1"/>
      <c r="Q797" s="59" t="s">
        <v>7</v>
      </c>
      <c r="R797" s="59" t="s">
        <v>7</v>
      </c>
    </row>
    <row r="798" spans="1:18" ht="15.75" customHeight="1" x14ac:dyDescent="0.3">
      <c r="A798" s="17" t="s">
        <v>55</v>
      </c>
      <c r="B798" s="1"/>
      <c r="C798" s="1"/>
      <c r="D798" s="1"/>
      <c r="E798" s="59" t="s">
        <v>7</v>
      </c>
      <c r="F798" s="1"/>
      <c r="G798" s="1"/>
      <c r="H798" s="1"/>
      <c r="I798" s="59" t="s">
        <v>7</v>
      </c>
      <c r="J798" s="1"/>
      <c r="K798" s="1"/>
      <c r="L798" s="1"/>
      <c r="M798" s="59" t="s">
        <v>7</v>
      </c>
      <c r="N798" s="1"/>
      <c r="O798" s="1"/>
      <c r="P798" s="1"/>
      <c r="Q798" s="59" t="s">
        <v>7</v>
      </c>
      <c r="R798" s="59" t="s">
        <v>7</v>
      </c>
    </row>
    <row r="799" spans="1:18" ht="15.75" customHeight="1" thickBot="1" x14ac:dyDescent="0.35">
      <c r="A799" s="17" t="s">
        <v>56</v>
      </c>
      <c r="B799" s="1"/>
      <c r="C799" s="1"/>
      <c r="D799" s="1"/>
      <c r="E799" s="59" t="s">
        <v>7</v>
      </c>
      <c r="F799" s="1"/>
      <c r="G799" s="1"/>
      <c r="H799" s="1"/>
      <c r="I799" s="59" t="s">
        <v>7</v>
      </c>
      <c r="J799" s="1"/>
      <c r="K799" s="1"/>
      <c r="L799" s="1"/>
      <c r="M799" s="59" t="s">
        <v>7</v>
      </c>
      <c r="N799" s="1"/>
      <c r="O799" s="1"/>
      <c r="P799" s="1"/>
      <c r="Q799" s="59" t="s">
        <v>7</v>
      </c>
      <c r="R799" s="59" t="s">
        <v>7</v>
      </c>
    </row>
    <row r="800" spans="1:18" ht="16.5" customHeight="1" thickBot="1" x14ac:dyDescent="0.35">
      <c r="A800" s="62" t="s">
        <v>57</v>
      </c>
      <c r="B800" s="100">
        <f>SUM(B797:B799)</f>
        <v>0</v>
      </c>
      <c r="C800" s="101">
        <f>SUM(C797:C799)</f>
        <v>0</v>
      </c>
      <c r="D800" s="101">
        <f>SUM(D797:D799)</f>
        <v>0</v>
      </c>
      <c r="E800" s="64">
        <f>SUM(B800:D800)</f>
        <v>0</v>
      </c>
      <c r="F800" s="101">
        <f>SUM(F797:F799)</f>
        <v>0</v>
      </c>
      <c r="G800" s="101">
        <f>SUM(G797:G799)</f>
        <v>0</v>
      </c>
      <c r="H800" s="101">
        <f>SUM(H797:H799)</f>
        <v>0</v>
      </c>
      <c r="I800" s="64">
        <f>SUM(F800:H800)</f>
        <v>0</v>
      </c>
      <c r="J800" s="101">
        <f>SUM(J797:J799)</f>
        <v>0</v>
      </c>
      <c r="K800" s="101">
        <f>SUM(K797:K799)</f>
        <v>0</v>
      </c>
      <c r="L800" s="101">
        <f>SUM(L797:L799)</f>
        <v>0</v>
      </c>
      <c r="M800" s="64">
        <f>SUM(J800:L800)</f>
        <v>0</v>
      </c>
      <c r="N800" s="101">
        <f>SUM(N797:N799)</f>
        <v>0</v>
      </c>
      <c r="O800" s="101">
        <f>SUM(O797:O799)</f>
        <v>0</v>
      </c>
      <c r="P800" s="101">
        <f>SUM(P797:P799)</f>
        <v>0</v>
      </c>
      <c r="Q800" s="64">
        <f>SUM(N800:P800)</f>
        <v>0</v>
      </c>
      <c r="R800" s="64">
        <f>+E800+I800+M800+Q800</f>
        <v>0</v>
      </c>
    </row>
    <row r="801" spans="1:18" ht="15.75" customHeight="1" x14ac:dyDescent="0.3">
      <c r="A801" s="17" t="s">
        <v>58</v>
      </c>
      <c r="B801" s="1"/>
      <c r="C801" s="1"/>
      <c r="D801" s="1"/>
      <c r="E801" s="59" t="s">
        <v>7</v>
      </c>
      <c r="F801" s="1"/>
      <c r="G801" s="1"/>
      <c r="H801" s="1"/>
      <c r="I801" s="59" t="s">
        <v>7</v>
      </c>
      <c r="J801" s="1"/>
      <c r="K801" s="1"/>
      <c r="L801" s="1"/>
      <c r="M801" s="59" t="s">
        <v>7</v>
      </c>
      <c r="N801" s="1"/>
      <c r="O801" s="1"/>
      <c r="P801" s="1"/>
      <c r="Q801" s="59" t="s">
        <v>7</v>
      </c>
      <c r="R801" s="59" t="s">
        <v>7</v>
      </c>
    </row>
    <row r="802" spans="1:18" ht="15.75" customHeight="1" x14ac:dyDescent="0.3">
      <c r="A802" s="17" t="s">
        <v>59</v>
      </c>
      <c r="B802" s="1"/>
      <c r="C802" s="1"/>
      <c r="D802" s="1"/>
      <c r="E802" s="59" t="s">
        <v>7</v>
      </c>
      <c r="F802" s="1"/>
      <c r="G802" s="1"/>
      <c r="H802" s="1"/>
      <c r="I802" s="59" t="s">
        <v>7</v>
      </c>
      <c r="J802" s="1"/>
      <c r="K802" s="1"/>
      <c r="L802" s="1"/>
      <c r="M802" s="59" t="s">
        <v>7</v>
      </c>
      <c r="N802" s="1"/>
      <c r="O802" s="1"/>
      <c r="P802" s="1"/>
      <c r="Q802" s="59" t="s">
        <v>7</v>
      </c>
      <c r="R802" s="59" t="s">
        <v>7</v>
      </c>
    </row>
    <row r="803" spans="1:18" ht="15.75" customHeight="1" thickBot="1" x14ac:dyDescent="0.35">
      <c r="A803" s="17" t="s">
        <v>60</v>
      </c>
      <c r="B803" s="1"/>
      <c r="C803" s="1"/>
      <c r="D803" s="1"/>
      <c r="E803" s="59" t="s">
        <v>7</v>
      </c>
      <c r="F803" s="1"/>
      <c r="G803" s="1"/>
      <c r="H803" s="1"/>
      <c r="I803" s="59" t="s">
        <v>7</v>
      </c>
      <c r="J803" s="1"/>
      <c r="K803" s="1"/>
      <c r="L803" s="1"/>
      <c r="M803" s="59" t="s">
        <v>7</v>
      </c>
      <c r="N803" s="1"/>
      <c r="O803" s="1"/>
      <c r="P803" s="1"/>
      <c r="Q803" s="59" t="s">
        <v>7</v>
      </c>
      <c r="R803" s="59" t="s">
        <v>7</v>
      </c>
    </row>
    <row r="804" spans="1:18" ht="16.5" customHeight="1" thickBot="1" x14ac:dyDescent="0.35">
      <c r="A804" s="62" t="s">
        <v>61</v>
      </c>
      <c r="B804" s="100">
        <f>SUM(B801:B803)</f>
        <v>0</v>
      </c>
      <c r="C804" s="101">
        <f>SUM(C801:C803)</f>
        <v>0</v>
      </c>
      <c r="D804" s="101">
        <f>SUM(D801:D803)</f>
        <v>0</v>
      </c>
      <c r="E804" s="64">
        <f>SUM(B804:D804)</f>
        <v>0</v>
      </c>
      <c r="F804" s="101">
        <f>SUM(F801:F803)</f>
        <v>0</v>
      </c>
      <c r="G804" s="101">
        <f>SUM(G801:G803)</f>
        <v>0</v>
      </c>
      <c r="H804" s="101">
        <f>SUM(H801:H803)</f>
        <v>0</v>
      </c>
      <c r="I804" s="64">
        <f>SUM(F804:H804)</f>
        <v>0</v>
      </c>
      <c r="J804" s="101">
        <f>SUM(J801:J803)</f>
        <v>0</v>
      </c>
      <c r="K804" s="101">
        <f>SUM(K801:K803)</f>
        <v>0</v>
      </c>
      <c r="L804" s="101">
        <f>SUM(L801:L803)</f>
        <v>0</v>
      </c>
      <c r="M804" s="64">
        <f>SUM(J804:L804)</f>
        <v>0</v>
      </c>
      <c r="N804" s="101">
        <f>SUM(N801:N803)</f>
        <v>0</v>
      </c>
      <c r="O804" s="101">
        <f>SUM(O801:O803)</f>
        <v>0</v>
      </c>
      <c r="P804" s="101">
        <f>SUM(P801:P803)</f>
        <v>0</v>
      </c>
      <c r="Q804" s="64">
        <f>SUM(N804:P804)</f>
        <v>0</v>
      </c>
      <c r="R804" s="64">
        <f>+E804+I804+M804+Q804</f>
        <v>0</v>
      </c>
    </row>
    <row r="805" spans="1:18" ht="15.75" customHeight="1" x14ac:dyDescent="0.3">
      <c r="A805" s="17" t="s">
        <v>62</v>
      </c>
      <c r="B805" s="1"/>
      <c r="C805" s="1"/>
      <c r="D805" s="1"/>
      <c r="E805" s="59" t="s">
        <v>7</v>
      </c>
      <c r="F805" s="1"/>
      <c r="G805" s="1"/>
      <c r="H805" s="1"/>
      <c r="I805" s="59" t="s">
        <v>7</v>
      </c>
      <c r="J805" s="1"/>
      <c r="K805" s="1"/>
      <c r="L805" s="1"/>
      <c r="M805" s="59" t="s">
        <v>7</v>
      </c>
      <c r="N805" s="1"/>
      <c r="O805" s="1"/>
      <c r="P805" s="1"/>
      <c r="Q805" s="59" t="s">
        <v>7</v>
      </c>
      <c r="R805" s="59" t="s">
        <v>7</v>
      </c>
    </row>
    <row r="806" spans="1:18" ht="15.75" customHeight="1" x14ac:dyDescent="0.3">
      <c r="A806" s="17" t="s">
        <v>63</v>
      </c>
      <c r="B806" s="1"/>
      <c r="C806" s="1"/>
      <c r="D806" s="1"/>
      <c r="E806" s="59" t="s">
        <v>7</v>
      </c>
      <c r="F806" s="1"/>
      <c r="G806" s="1"/>
      <c r="H806" s="1"/>
      <c r="I806" s="59" t="s">
        <v>7</v>
      </c>
      <c r="J806" s="1"/>
      <c r="K806" s="1"/>
      <c r="L806" s="1"/>
      <c r="M806" s="59" t="s">
        <v>7</v>
      </c>
      <c r="N806" s="1"/>
      <c r="O806" s="1"/>
      <c r="P806" s="1"/>
      <c r="Q806" s="59" t="s">
        <v>7</v>
      </c>
      <c r="R806" s="59" t="s">
        <v>7</v>
      </c>
    </row>
    <row r="807" spans="1:18" ht="15.75" customHeight="1" x14ac:dyDescent="0.3">
      <c r="A807" s="17" t="s">
        <v>64</v>
      </c>
      <c r="B807" s="1"/>
      <c r="C807" s="1"/>
      <c r="D807" s="1"/>
      <c r="E807" s="59" t="s">
        <v>7</v>
      </c>
      <c r="F807" s="1"/>
      <c r="G807" s="1"/>
      <c r="H807" s="1"/>
      <c r="I807" s="59" t="s">
        <v>7</v>
      </c>
      <c r="J807" s="1"/>
      <c r="K807" s="1"/>
      <c r="L807" s="1"/>
      <c r="M807" s="59" t="s">
        <v>7</v>
      </c>
      <c r="N807" s="1"/>
      <c r="O807" s="1"/>
      <c r="P807" s="1"/>
      <c r="Q807" s="59" t="s">
        <v>7</v>
      </c>
      <c r="R807" s="59" t="s">
        <v>7</v>
      </c>
    </row>
    <row r="808" spans="1:18" ht="15.75" customHeight="1" x14ac:dyDescent="0.3">
      <c r="A808" s="17" t="s">
        <v>66</v>
      </c>
      <c r="B808" s="1"/>
      <c r="C808" s="1"/>
      <c r="D808" s="1"/>
      <c r="E808" s="59" t="s">
        <v>7</v>
      </c>
      <c r="F808" s="1"/>
      <c r="G808" s="1"/>
      <c r="H808" s="1"/>
      <c r="I808" s="59" t="s">
        <v>7</v>
      </c>
      <c r="J808" s="1"/>
      <c r="K808" s="1"/>
      <c r="L808" s="1"/>
      <c r="M808" s="59" t="s">
        <v>7</v>
      </c>
      <c r="N808" s="1"/>
      <c r="O808" s="1"/>
      <c r="P808" s="1"/>
      <c r="Q808" s="59" t="s">
        <v>7</v>
      </c>
      <c r="R808" s="59" t="s">
        <v>7</v>
      </c>
    </row>
    <row r="809" spans="1:18" ht="15.75" customHeight="1" thickBot="1" x14ac:dyDescent="0.35">
      <c r="A809" s="17" t="s">
        <v>67</v>
      </c>
      <c r="B809" s="1"/>
      <c r="C809" s="1"/>
      <c r="D809" s="1"/>
      <c r="E809" s="59" t="s">
        <v>7</v>
      </c>
      <c r="F809" s="1"/>
      <c r="G809" s="1"/>
      <c r="H809" s="1"/>
      <c r="I809" s="59" t="s">
        <v>7</v>
      </c>
      <c r="J809" s="1"/>
      <c r="K809" s="1"/>
      <c r="L809" s="1"/>
      <c r="M809" s="59" t="s">
        <v>7</v>
      </c>
      <c r="N809" s="1"/>
      <c r="O809" s="1"/>
      <c r="P809" s="1"/>
      <c r="Q809" s="59" t="s">
        <v>7</v>
      </c>
      <c r="R809" s="59" t="s">
        <v>7</v>
      </c>
    </row>
    <row r="810" spans="1:18" ht="16.5" customHeight="1" thickBot="1" x14ac:dyDescent="0.35">
      <c r="A810" s="62" t="s">
        <v>68</v>
      </c>
      <c r="B810" s="63">
        <f>SUM(B808:B809)</f>
        <v>0</v>
      </c>
      <c r="C810" s="63">
        <f>SUM(C808:C809)</f>
        <v>0</v>
      </c>
      <c r="D810" s="63">
        <f>SUM(D808:D809)</f>
        <v>0</v>
      </c>
      <c r="E810" s="65">
        <f>SUM(B810:D810)</f>
        <v>0</v>
      </c>
      <c r="F810" s="63">
        <f>SUM(F808:F809)</f>
        <v>0</v>
      </c>
      <c r="G810" s="63">
        <f>SUM(G808:G809)</f>
        <v>0</v>
      </c>
      <c r="H810" s="63">
        <f>SUM(H808:H809)</f>
        <v>0</v>
      </c>
      <c r="I810" s="65">
        <f>SUM(F810:H810)</f>
        <v>0</v>
      </c>
      <c r="J810" s="63">
        <f>SUM(J808:J809)</f>
        <v>0</v>
      </c>
      <c r="K810" s="63">
        <f>SUM(K808:K809)</f>
        <v>0</v>
      </c>
      <c r="L810" s="63">
        <f>SUM(L808:L809)</f>
        <v>0</v>
      </c>
      <c r="M810" s="65">
        <f>SUM(J810:L810)</f>
        <v>0</v>
      </c>
      <c r="N810" s="63">
        <f>SUM(N808:N809)</f>
        <v>0</v>
      </c>
      <c r="O810" s="63">
        <f>SUM(O808:O809)</f>
        <v>0</v>
      </c>
      <c r="P810" s="63">
        <f>SUM(P808:P809)</f>
        <v>0</v>
      </c>
      <c r="Q810" s="65">
        <f>SUM(N810:P810)</f>
        <v>0</v>
      </c>
      <c r="R810" s="64">
        <f>+E810+I810+M810+Q810</f>
        <v>0</v>
      </c>
    </row>
    <row r="811" spans="1:18" ht="16.5" customHeight="1" thickBot="1" x14ac:dyDescent="0.35">
      <c r="A811" s="62" t="s">
        <v>69</v>
      </c>
      <c r="B811" s="100">
        <f>SUM(B805:B809)</f>
        <v>0</v>
      </c>
      <c r="C811" s="101">
        <f>SUM(C805:C809)</f>
        <v>0</v>
      </c>
      <c r="D811" s="138">
        <f>SUM(D805:D809)</f>
        <v>0</v>
      </c>
      <c r="E811" s="65">
        <f>SUM(B811:D811)</f>
        <v>0</v>
      </c>
      <c r="F811" s="101">
        <f>SUM(F805:F809)</f>
        <v>0</v>
      </c>
      <c r="G811" s="101">
        <f>SUM(G805:G809)</f>
        <v>0</v>
      </c>
      <c r="H811" s="101">
        <f>SUM(H805:H809)</f>
        <v>0</v>
      </c>
      <c r="I811" s="65">
        <f>SUM(F811:H811)</f>
        <v>0</v>
      </c>
      <c r="J811" s="101">
        <f>SUM(J805:J809)</f>
        <v>0</v>
      </c>
      <c r="K811" s="101">
        <f>SUM(K805:K809)</f>
        <v>0</v>
      </c>
      <c r="L811" s="101">
        <f>SUM(L805:L809)</f>
        <v>0</v>
      </c>
      <c r="M811" s="65">
        <f>SUM(J811:L811)</f>
        <v>0</v>
      </c>
      <c r="N811" s="101">
        <f>SUM(N805:N809)</f>
        <v>0</v>
      </c>
      <c r="O811" s="101">
        <f>SUM(O805:O809)</f>
        <v>0</v>
      </c>
      <c r="P811" s="101">
        <f>SUM(P805:P809)</f>
        <v>0</v>
      </c>
      <c r="Q811" s="65">
        <f>SUM(N811:P811)</f>
        <v>0</v>
      </c>
      <c r="R811" s="64">
        <f>+E811+I811+M811+Q811</f>
        <v>0</v>
      </c>
    </row>
    <row r="812" spans="1:18" ht="16.5" customHeight="1" thickBot="1" x14ac:dyDescent="0.35">
      <c r="A812" s="62" t="s">
        <v>70</v>
      </c>
      <c r="B812" s="107">
        <f>+B796+B800+B804+B811</f>
        <v>0</v>
      </c>
      <c r="C812" s="63">
        <f>+C796+C800+C804+C811</f>
        <v>0</v>
      </c>
      <c r="D812" s="63">
        <f>+D796+D800+D804+D811</f>
        <v>0</v>
      </c>
      <c r="E812" s="64">
        <f>SUM(B812:D812)</f>
        <v>0</v>
      </c>
      <c r="F812" s="63">
        <f>+F796+F800+F804+F811</f>
        <v>0</v>
      </c>
      <c r="G812" s="63">
        <f>+G796+G800+G804+G811</f>
        <v>0</v>
      </c>
      <c r="H812" s="63">
        <f>+H796+H800+H804+H811</f>
        <v>0</v>
      </c>
      <c r="I812" s="64">
        <f>SUM(F812:H812)</f>
        <v>0</v>
      </c>
      <c r="J812" s="63">
        <f>+J796+J800+J804+J811</f>
        <v>0</v>
      </c>
      <c r="K812" s="63">
        <f>+K796+K800+K804+K811</f>
        <v>0</v>
      </c>
      <c r="L812" s="63">
        <f>+L796+L800+L804+L811</f>
        <v>0</v>
      </c>
      <c r="M812" s="64">
        <f>SUM(J812:L812)</f>
        <v>0</v>
      </c>
      <c r="N812" s="63">
        <f>+N796+N800+N804+N811</f>
        <v>0</v>
      </c>
      <c r="O812" s="63">
        <f>+O796+O800+O804+O811</f>
        <v>0</v>
      </c>
      <c r="P812" s="63">
        <f>+P796+P800+P804+P811</f>
        <v>0</v>
      </c>
      <c r="Q812" s="64">
        <f>SUM(N812:P812)</f>
        <v>0</v>
      </c>
      <c r="R812" s="88">
        <f>+E812+I812+M812+Q812</f>
        <v>0</v>
      </c>
    </row>
    <row r="813" spans="1:18" ht="15.75" customHeight="1" x14ac:dyDescent="0.3">
      <c r="A813" s="74" t="s">
        <v>588</v>
      </c>
      <c r="B813" s="1">
        <v>3805</v>
      </c>
      <c r="C813" s="1">
        <v>3805</v>
      </c>
      <c r="D813" s="1">
        <v>4757</v>
      </c>
      <c r="E813" s="59">
        <f>SUM(B813:D813)</f>
        <v>12367</v>
      </c>
      <c r="F813" s="1">
        <v>5708</v>
      </c>
      <c r="G813" s="1">
        <v>6659</v>
      </c>
      <c r="H813" s="1">
        <v>6850</v>
      </c>
      <c r="I813" s="59">
        <f>SUM(F813:H813)</f>
        <v>19217</v>
      </c>
      <c r="J813" s="1">
        <v>6184</v>
      </c>
      <c r="K813" s="1">
        <v>5708</v>
      </c>
      <c r="L813" s="1">
        <v>5232</v>
      </c>
      <c r="M813" s="59">
        <f>SUM(J813:L813)</f>
        <v>17124</v>
      </c>
      <c r="N813" s="1">
        <v>4757</v>
      </c>
      <c r="O813" s="1">
        <v>4281</v>
      </c>
      <c r="P813" s="1">
        <v>3805</v>
      </c>
      <c r="Q813" s="59">
        <f>SUM(N813:P813)</f>
        <v>12843</v>
      </c>
      <c r="R813" s="59">
        <f>+E813+I813+M813+Q813</f>
        <v>61551</v>
      </c>
    </row>
    <row r="814" spans="1:18" ht="15.75" customHeight="1" thickBot="1" x14ac:dyDescent="0.35">
      <c r="A814" s="74" t="s">
        <v>37</v>
      </c>
      <c r="B814" s="1">
        <v>0</v>
      </c>
      <c r="C814" s="1">
        <v>0</v>
      </c>
      <c r="D814" s="1">
        <v>0</v>
      </c>
      <c r="E814" s="59">
        <f>SUM(B814:D814)</f>
        <v>0</v>
      </c>
      <c r="F814" s="1">
        <v>0</v>
      </c>
      <c r="G814" s="1">
        <v>0</v>
      </c>
      <c r="H814" s="1">
        <v>0</v>
      </c>
      <c r="I814" s="59">
        <f>SUM(F814:H814)</f>
        <v>0</v>
      </c>
      <c r="J814" s="1">
        <v>0</v>
      </c>
      <c r="K814" s="1">
        <v>0</v>
      </c>
      <c r="L814" s="1">
        <v>0</v>
      </c>
      <c r="M814" s="59">
        <f>SUM(J814:L814)</f>
        <v>0</v>
      </c>
      <c r="N814" s="1">
        <v>0</v>
      </c>
      <c r="O814" s="1">
        <v>0</v>
      </c>
      <c r="P814" s="1">
        <v>0</v>
      </c>
      <c r="Q814" s="59">
        <f>SUM(N814:P814)</f>
        <v>0</v>
      </c>
      <c r="R814" s="59">
        <f>+E814+I814+M814+Q814</f>
        <v>0</v>
      </c>
    </row>
    <row r="815" spans="1:18" ht="16.5" customHeight="1" thickBot="1" x14ac:dyDescent="0.35">
      <c r="A815" s="154"/>
      <c r="B815" s="56"/>
      <c r="C815" s="56"/>
      <c r="D815" s="56"/>
      <c r="E815" s="64" t="s">
        <v>7</v>
      </c>
      <c r="F815" s="56"/>
      <c r="G815" s="56"/>
      <c r="H815" s="56"/>
      <c r="I815" s="64" t="s">
        <v>7</v>
      </c>
      <c r="J815" s="56"/>
      <c r="K815" s="56"/>
      <c r="L815" s="56"/>
      <c r="M815" s="64" t="s">
        <v>7</v>
      </c>
      <c r="N815" s="56"/>
      <c r="O815" s="56"/>
      <c r="P815" s="56"/>
      <c r="Q815" s="64"/>
      <c r="R815" s="64"/>
    </row>
    <row r="816" spans="1:18" ht="15.75" customHeight="1" x14ac:dyDescent="0.3">
      <c r="A816" s="17" t="s">
        <v>38</v>
      </c>
      <c r="B816" s="1">
        <f>SUM(B812:B814)</f>
        <v>3805</v>
      </c>
      <c r="C816" s="1">
        <f>SUM(C812:C814)</f>
        <v>3805</v>
      </c>
      <c r="D816" s="1">
        <f>SUM(D812:D814)</f>
        <v>4757</v>
      </c>
      <c r="E816" s="65">
        <f>SUM(B816:D816)</f>
        <v>12367</v>
      </c>
      <c r="F816" s="1">
        <f>SUM(F812:F814)</f>
        <v>5708</v>
      </c>
      <c r="G816" s="1">
        <f>SUM(G812:G814)</f>
        <v>6659</v>
      </c>
      <c r="H816" s="1">
        <f>SUM(H812:H814)</f>
        <v>6850</v>
      </c>
      <c r="I816" s="65">
        <f>SUM(F816:H816)</f>
        <v>19217</v>
      </c>
      <c r="J816" s="1">
        <f>SUM(J812:J814)</f>
        <v>6184</v>
      </c>
      <c r="K816" s="1">
        <f>SUM(K812:K814)</f>
        <v>5708</v>
      </c>
      <c r="L816" s="1">
        <f>SUM(L812:L814)</f>
        <v>5232</v>
      </c>
      <c r="M816" s="65">
        <f>SUM(J816:L816)</f>
        <v>17124</v>
      </c>
      <c r="N816" s="1">
        <f>SUM(N812:N814)</f>
        <v>4757</v>
      </c>
      <c r="O816" s="1">
        <f>SUM(O812:O814)</f>
        <v>4281</v>
      </c>
      <c r="P816" s="1">
        <f>SUM(P812:P814)</f>
        <v>3805</v>
      </c>
      <c r="Q816" s="65">
        <f>SUM(N816:P816)</f>
        <v>12843</v>
      </c>
      <c r="R816" s="65">
        <f>+E816+I816+M816+Q816</f>
        <v>61551</v>
      </c>
    </row>
    <row r="817" spans="1:20" ht="15.75" customHeight="1" x14ac:dyDescent="0.3">
      <c r="A817" s="17" t="s">
        <v>39</v>
      </c>
      <c r="B817" s="1">
        <f>(B816/B10)/1.983</f>
        <v>61.897093032713542</v>
      </c>
      <c r="C817" s="1">
        <f>(C816/C10)/1.983</f>
        <v>68.528924429075715</v>
      </c>
      <c r="D817" s="1">
        <f>(D816/D10)/1.983</f>
        <v>77.383566769150676</v>
      </c>
      <c r="E817" s="59" t="s">
        <v>7</v>
      </c>
      <c r="F817" s="1">
        <f>(F816/F10)/1.983</f>
        <v>95.948898974617592</v>
      </c>
      <c r="G817" s="1">
        <f>(G816/G10)/1.983</f>
        <v>108.32397963333496</v>
      </c>
      <c r="H817" s="1">
        <f>(H816/H10)/1.983</f>
        <v>115.14540258867036</v>
      </c>
      <c r="I817" s="59" t="s">
        <v>7</v>
      </c>
      <c r="J817" s="1">
        <f>(J816/J10)/1.983</f>
        <v>100.59701006946138</v>
      </c>
      <c r="K817" s="1">
        <f>(K816/K10)/1.983</f>
        <v>92.853773201242817</v>
      </c>
      <c r="L817" s="1">
        <f>(L816/L10)/1.983</f>
        <v>87.947554210791722</v>
      </c>
      <c r="M817" s="59" t="s">
        <v>7</v>
      </c>
      <c r="N817" s="1">
        <f>(N816/N10)/1.983</f>
        <v>77.383566769150676</v>
      </c>
      <c r="O817" s="1">
        <f>(O816/O10)/1.983</f>
        <v>71.961674230963183</v>
      </c>
      <c r="P817" s="1">
        <f>(P816/P10)/1.983</f>
        <v>61.897093032713542</v>
      </c>
      <c r="Q817" s="59" t="s">
        <v>7</v>
      </c>
      <c r="R817" s="59" t="s">
        <v>7</v>
      </c>
    </row>
    <row r="818" spans="1:20" ht="15.75" customHeight="1" x14ac:dyDescent="0.3">
      <c r="A818" s="17" t="s">
        <v>589</v>
      </c>
      <c r="B818" s="1">
        <f>B816</f>
        <v>3805</v>
      </c>
      <c r="C818" s="1">
        <f>C816</f>
        <v>3805</v>
      </c>
      <c r="D818" s="1">
        <f>D816</f>
        <v>4757</v>
      </c>
      <c r="E818" s="59">
        <f>SUM(B818:D818)</f>
        <v>12367</v>
      </c>
      <c r="F818" s="1">
        <f>F816</f>
        <v>5708</v>
      </c>
      <c r="G818" s="1">
        <f>G816</f>
        <v>6659</v>
      </c>
      <c r="H818" s="1">
        <f>H816</f>
        <v>6850</v>
      </c>
      <c r="I818" s="59">
        <f>SUM(F818:H818)</f>
        <v>19217</v>
      </c>
      <c r="J818" s="1">
        <f>J816</f>
        <v>6184</v>
      </c>
      <c r="K818" s="1">
        <f>K816</f>
        <v>5708</v>
      </c>
      <c r="L818" s="1">
        <f>L816</f>
        <v>5232</v>
      </c>
      <c r="M818" s="59">
        <f>SUM(J818:L818)</f>
        <v>17124</v>
      </c>
      <c r="N818" s="1">
        <f>N816</f>
        <v>4757</v>
      </c>
      <c r="O818" s="1">
        <f>O816</f>
        <v>4281</v>
      </c>
      <c r="P818" s="1">
        <f>P816</f>
        <v>3805</v>
      </c>
      <c r="Q818" s="59">
        <f>SUM(N818:P818)</f>
        <v>12843</v>
      </c>
      <c r="R818" s="59">
        <f>+E818+I818+M818+Q818</f>
        <v>61551</v>
      </c>
    </row>
    <row r="819" spans="1:20" ht="16.5" customHeight="1" thickBot="1" x14ac:dyDescent="0.35">
      <c r="A819" s="24" t="s">
        <v>590</v>
      </c>
      <c r="B819" s="25">
        <f>(B818/B10)/1.983</f>
        <v>61.897093032713542</v>
      </c>
      <c r="C819" s="25">
        <f>(C818/C10)/1.983</f>
        <v>68.528924429075715</v>
      </c>
      <c r="D819" s="25">
        <f>(D818/D10)/1.983</f>
        <v>77.383566769150676</v>
      </c>
      <c r="E819" s="88" t="s">
        <v>7</v>
      </c>
      <c r="F819" s="25">
        <f>(F818/F10)/1.983</f>
        <v>95.948898974617592</v>
      </c>
      <c r="G819" s="25">
        <f>(G818/G10)/1.983</f>
        <v>108.32397963333496</v>
      </c>
      <c r="H819" s="25">
        <f>(H818/H10)/1.983</f>
        <v>115.14540258867036</v>
      </c>
      <c r="I819" s="88" t="s">
        <v>7</v>
      </c>
      <c r="J819" s="25">
        <f>(J818/J10)/1.983</f>
        <v>100.59701006946138</v>
      </c>
      <c r="K819" s="25">
        <f>(K818/K10)/1.983</f>
        <v>92.853773201242817</v>
      </c>
      <c r="L819" s="25">
        <f>(L818/L10)/1.983</f>
        <v>87.947554210791722</v>
      </c>
      <c r="M819" s="88" t="s">
        <v>7</v>
      </c>
      <c r="N819" s="25">
        <f>(N818/N10)/1.983</f>
        <v>77.383566769150676</v>
      </c>
      <c r="O819" s="25">
        <f>(O818/O10)/1.983</f>
        <v>71.961674230963183</v>
      </c>
      <c r="P819" s="25">
        <f>(P818/P10)/1.983</f>
        <v>61.897093032713542</v>
      </c>
      <c r="Q819" s="88" t="s">
        <v>7</v>
      </c>
      <c r="R819" s="88" t="s">
        <v>7</v>
      </c>
    </row>
    <row r="820" spans="1:20" ht="15.75" customHeight="1" x14ac:dyDescent="0.3">
      <c r="A820" s="28"/>
      <c r="B820" s="1"/>
      <c r="C820" s="1"/>
      <c r="D820" s="1"/>
      <c r="E820" s="1"/>
      <c r="F820" s="1"/>
      <c r="G820" s="1"/>
      <c r="H820" s="1"/>
      <c r="I820" s="1"/>
      <c r="J820" s="1"/>
      <c r="K820" s="1"/>
      <c r="L820" s="1"/>
      <c r="M820" s="1"/>
      <c r="N820" s="1"/>
      <c r="O820" s="1"/>
      <c r="P820" s="1"/>
      <c r="Q820" s="1"/>
      <c r="R820" s="28"/>
    </row>
    <row r="821" spans="1:20" ht="15.75" customHeight="1" thickBot="1" x14ac:dyDescent="0.35">
      <c r="A821" s="28"/>
      <c r="B821" s="1"/>
      <c r="C821" s="1"/>
      <c r="D821" s="1"/>
      <c r="E821" s="1"/>
      <c r="F821" s="1"/>
      <c r="G821" s="1"/>
      <c r="H821" s="1"/>
      <c r="I821" s="1"/>
      <c r="J821" s="1"/>
      <c r="K821" s="1"/>
      <c r="L821" s="1"/>
      <c r="M821" s="1"/>
      <c r="N821" s="1"/>
      <c r="O821" s="1"/>
      <c r="P821" s="1"/>
      <c r="Q821" s="1"/>
      <c r="R821" s="28"/>
    </row>
    <row r="822" spans="1:20" ht="16.5" customHeight="1" thickBot="1" x14ac:dyDescent="0.35">
      <c r="A822" s="145" t="s">
        <v>591</v>
      </c>
      <c r="B822" s="32" t="s">
        <v>36</v>
      </c>
      <c r="C822" s="33" t="s">
        <v>9</v>
      </c>
      <c r="D822" s="33" t="s">
        <v>10</v>
      </c>
      <c r="E822" s="12" t="s">
        <v>11</v>
      </c>
      <c r="F822" s="33" t="s">
        <v>12</v>
      </c>
      <c r="G822" s="33" t="s">
        <v>13</v>
      </c>
      <c r="H822" s="33" t="s">
        <v>14</v>
      </c>
      <c r="I822" s="34" t="s">
        <v>15</v>
      </c>
      <c r="J822" s="33" t="s">
        <v>16</v>
      </c>
      <c r="K822" s="33" t="s">
        <v>17</v>
      </c>
      <c r="L822" s="33" t="s">
        <v>18</v>
      </c>
      <c r="M822" s="34" t="s">
        <v>19</v>
      </c>
      <c r="N822" s="33" t="s">
        <v>20</v>
      </c>
      <c r="O822" s="33" t="s">
        <v>21</v>
      </c>
      <c r="P822" s="33" t="s">
        <v>22</v>
      </c>
      <c r="Q822" s="34" t="s">
        <v>23</v>
      </c>
      <c r="R822" s="157" t="s">
        <v>24</v>
      </c>
    </row>
    <row r="823" spans="1:20" ht="16.5" customHeight="1" thickBot="1" x14ac:dyDescent="0.35">
      <c r="A823" s="42"/>
      <c r="B823" s="37"/>
      <c r="C823" s="37"/>
      <c r="D823" s="37"/>
      <c r="E823" s="16"/>
      <c r="F823" s="37"/>
      <c r="G823" s="37"/>
      <c r="H823" s="37"/>
      <c r="I823" s="156"/>
      <c r="J823" s="37"/>
      <c r="K823" s="37"/>
      <c r="L823" s="37"/>
      <c r="M823" s="156"/>
      <c r="N823" s="37"/>
      <c r="O823" s="37"/>
      <c r="P823" s="37"/>
      <c r="Q823" s="158"/>
      <c r="R823" s="159"/>
    </row>
    <row r="824" spans="1:20" ht="15.75" customHeight="1" x14ac:dyDescent="0.3">
      <c r="A824" s="17" t="s">
        <v>45</v>
      </c>
      <c r="B824" s="1" t="s">
        <v>7</v>
      </c>
      <c r="C824" s="1" t="s">
        <v>7</v>
      </c>
      <c r="D824" s="1" t="s">
        <v>7</v>
      </c>
      <c r="E824" s="160"/>
      <c r="F824" s="1" t="s">
        <v>7</v>
      </c>
      <c r="G824" s="1" t="s">
        <v>7</v>
      </c>
      <c r="H824" s="1" t="s">
        <v>7</v>
      </c>
      <c r="I824" s="160"/>
      <c r="J824" s="1" t="s">
        <v>7</v>
      </c>
      <c r="K824" s="1" t="s">
        <v>7</v>
      </c>
      <c r="L824" s="1" t="s">
        <v>7</v>
      </c>
      <c r="M824" s="160"/>
      <c r="N824" s="1" t="s">
        <v>7</v>
      </c>
      <c r="O824" s="1" t="s">
        <v>7</v>
      </c>
      <c r="P824" s="1" t="s">
        <v>7</v>
      </c>
      <c r="Q824" s="161"/>
      <c r="R824" s="162" t="s">
        <v>7</v>
      </c>
    </row>
    <row r="825" spans="1:20" ht="15.75" customHeight="1" x14ac:dyDescent="0.3">
      <c r="A825" s="17" t="s">
        <v>46</v>
      </c>
      <c r="B825" s="1"/>
      <c r="C825" s="1"/>
      <c r="D825" s="1"/>
      <c r="E825" s="59" t="s">
        <v>7</v>
      </c>
      <c r="F825" s="1"/>
      <c r="G825" s="1"/>
      <c r="H825" s="1"/>
      <c r="I825" s="59" t="s">
        <v>7</v>
      </c>
      <c r="J825" s="1"/>
      <c r="K825" s="1"/>
      <c r="L825" s="1"/>
      <c r="M825" s="59" t="s">
        <v>7</v>
      </c>
      <c r="N825" s="1"/>
      <c r="O825" s="1"/>
      <c r="P825" s="1"/>
      <c r="Q825" s="59" t="s">
        <v>7</v>
      </c>
      <c r="R825" s="59" t="s">
        <v>7</v>
      </c>
    </row>
    <row r="826" spans="1:20" ht="15.75" customHeight="1" x14ac:dyDescent="0.3">
      <c r="A826" s="74" t="s">
        <v>592</v>
      </c>
      <c r="B826" s="1"/>
      <c r="C826" s="1"/>
      <c r="D826" s="1"/>
      <c r="E826" s="59">
        <f t="shared" ref="E826:E831" si="273">SUM(B826:D826)</f>
        <v>0</v>
      </c>
      <c r="F826" s="1"/>
      <c r="G826" s="1"/>
      <c r="H826" s="1"/>
      <c r="I826" s="59">
        <f t="shared" ref="I826:I831" si="274">SUM(F826:H826)</f>
        <v>0</v>
      </c>
      <c r="J826" s="1"/>
      <c r="K826" s="1"/>
      <c r="L826" s="1"/>
      <c r="M826" s="59">
        <f t="shared" ref="M826:M831" si="275">SUM(J826:L826)</f>
        <v>0</v>
      </c>
      <c r="N826" s="1"/>
      <c r="O826" s="1"/>
      <c r="P826" s="1"/>
      <c r="Q826" s="59">
        <f t="shared" ref="Q826:Q831" si="276">SUM(N826:P826)</f>
        <v>0</v>
      </c>
      <c r="R826" s="59">
        <f t="shared" ref="R826:R831" si="277">+E826+I826+M826+Q826</f>
        <v>0</v>
      </c>
      <c r="T826" s="4" t="s">
        <v>593</v>
      </c>
    </row>
    <row r="827" spans="1:20" ht="15.75" customHeight="1" x14ac:dyDescent="0.3">
      <c r="A827" s="74" t="s">
        <v>594</v>
      </c>
      <c r="B827" s="1"/>
      <c r="C827" s="1"/>
      <c r="D827" s="1"/>
      <c r="E827" s="59">
        <f t="shared" si="273"/>
        <v>0</v>
      </c>
      <c r="F827" s="1"/>
      <c r="G827" s="1"/>
      <c r="H827" s="1"/>
      <c r="I827" s="59">
        <f t="shared" si="274"/>
        <v>0</v>
      </c>
      <c r="J827" s="1"/>
      <c r="K827" s="1"/>
      <c r="L827" s="1"/>
      <c r="M827" s="59">
        <f t="shared" si="275"/>
        <v>0</v>
      </c>
      <c r="N827" s="1"/>
      <c r="O827" s="1"/>
      <c r="P827" s="1"/>
      <c r="Q827" s="59">
        <f t="shared" si="276"/>
        <v>0</v>
      </c>
      <c r="R827" s="59">
        <f t="shared" si="277"/>
        <v>0</v>
      </c>
    </row>
    <row r="828" spans="1:20" ht="15.75" customHeight="1" x14ac:dyDescent="0.3">
      <c r="A828" s="74" t="s">
        <v>595</v>
      </c>
      <c r="B828" s="1"/>
      <c r="C828" s="1"/>
      <c r="D828" s="1"/>
      <c r="E828" s="59">
        <f t="shared" si="273"/>
        <v>0</v>
      </c>
      <c r="F828" s="1"/>
      <c r="G828" s="1"/>
      <c r="H828" s="1"/>
      <c r="I828" s="59">
        <f t="shared" si="274"/>
        <v>0</v>
      </c>
      <c r="J828" s="1"/>
      <c r="K828" s="1"/>
      <c r="L828" s="1"/>
      <c r="M828" s="59">
        <f t="shared" si="275"/>
        <v>0</v>
      </c>
      <c r="N828" s="1"/>
      <c r="O828" s="1"/>
      <c r="P828" s="1"/>
      <c r="Q828" s="59">
        <f t="shared" si="276"/>
        <v>0</v>
      </c>
      <c r="R828" s="59">
        <f t="shared" si="277"/>
        <v>0</v>
      </c>
    </row>
    <row r="829" spans="1:20" ht="15.75" customHeight="1" x14ac:dyDescent="0.3">
      <c r="A829" s="74" t="s">
        <v>596</v>
      </c>
      <c r="B829" s="1">
        <v>300</v>
      </c>
      <c r="C829" s="1"/>
      <c r="D829" s="1"/>
      <c r="E829" s="59">
        <f t="shared" si="273"/>
        <v>300</v>
      </c>
      <c r="F829" s="1"/>
      <c r="G829" s="1"/>
      <c r="H829" s="1"/>
      <c r="I829" s="59">
        <f t="shared" si="274"/>
        <v>0</v>
      </c>
      <c r="J829" s="1"/>
      <c r="K829" s="1"/>
      <c r="L829" s="1"/>
      <c r="M829" s="59">
        <f t="shared" si="275"/>
        <v>0</v>
      </c>
      <c r="N829" s="1"/>
      <c r="O829" s="1"/>
      <c r="P829" s="1"/>
      <c r="Q829" s="59">
        <f t="shared" si="276"/>
        <v>0</v>
      </c>
      <c r="R829" s="59">
        <f t="shared" si="277"/>
        <v>300</v>
      </c>
    </row>
    <row r="830" spans="1:20" ht="15.75" customHeight="1" x14ac:dyDescent="0.3">
      <c r="A830" s="74" t="s">
        <v>597</v>
      </c>
      <c r="B830" s="1"/>
      <c r="C830" s="1"/>
      <c r="D830" s="1"/>
      <c r="E830" s="59">
        <f t="shared" si="273"/>
        <v>0</v>
      </c>
      <c r="F830" s="1"/>
      <c r="G830" s="1"/>
      <c r="H830" s="1"/>
      <c r="I830" s="59">
        <f t="shared" si="274"/>
        <v>0</v>
      </c>
      <c r="J830" s="1"/>
      <c r="K830" s="1">
        <v>1400</v>
      </c>
      <c r="L830" s="1">
        <v>1300</v>
      </c>
      <c r="M830" s="59">
        <f t="shared" si="275"/>
        <v>2700</v>
      </c>
      <c r="N830" s="1">
        <v>800</v>
      </c>
      <c r="O830" s="1"/>
      <c r="P830" s="1"/>
      <c r="Q830" s="59">
        <f t="shared" si="276"/>
        <v>800</v>
      </c>
      <c r="R830" s="59">
        <f t="shared" si="277"/>
        <v>3500</v>
      </c>
    </row>
    <row r="831" spans="1:20" ht="15.75" customHeight="1" x14ac:dyDescent="0.3">
      <c r="A831" s="74" t="s">
        <v>598</v>
      </c>
      <c r="B831" s="1">
        <v>2143</v>
      </c>
      <c r="C831" s="1">
        <v>2549</v>
      </c>
      <c r="D831" s="1">
        <v>2713</v>
      </c>
      <c r="E831" s="59">
        <f t="shared" si="273"/>
        <v>7405</v>
      </c>
      <c r="F831" s="1">
        <v>2536</v>
      </c>
      <c r="G831" s="1">
        <v>1947</v>
      </c>
      <c r="H831" s="1">
        <v>1792</v>
      </c>
      <c r="I831" s="59">
        <f t="shared" si="274"/>
        <v>6275</v>
      </c>
      <c r="J831" s="1">
        <v>2300</v>
      </c>
      <c r="K831" s="1">
        <v>2100</v>
      </c>
      <c r="L831" s="1">
        <v>1820</v>
      </c>
      <c r="M831" s="59">
        <f t="shared" si="275"/>
        <v>6220</v>
      </c>
      <c r="N831" s="1">
        <v>200</v>
      </c>
      <c r="O831" s="1">
        <v>200</v>
      </c>
      <c r="P831" s="1">
        <v>1700</v>
      </c>
      <c r="Q831" s="59">
        <f t="shared" si="276"/>
        <v>2100</v>
      </c>
      <c r="R831" s="59">
        <f t="shared" si="277"/>
        <v>22000</v>
      </c>
    </row>
    <row r="832" spans="1:20" ht="15.75" customHeight="1" x14ac:dyDescent="0.3">
      <c r="A832" s="17" t="s">
        <v>47</v>
      </c>
      <c r="B832" s="1"/>
      <c r="C832" s="1"/>
      <c r="D832" s="1"/>
      <c r="E832" s="59" t="s">
        <v>7</v>
      </c>
      <c r="F832" s="1"/>
      <c r="G832" s="1"/>
      <c r="H832" s="1"/>
      <c r="I832" s="59" t="s">
        <v>7</v>
      </c>
      <c r="J832" s="1"/>
      <c r="K832" s="1"/>
      <c r="L832" s="1"/>
      <c r="M832" s="59" t="s">
        <v>7</v>
      </c>
      <c r="N832" s="1"/>
      <c r="O832" s="1"/>
      <c r="P832" s="1"/>
      <c r="Q832" s="59" t="s">
        <v>7</v>
      </c>
      <c r="R832" s="59" t="s">
        <v>7</v>
      </c>
    </row>
    <row r="833" spans="1:20" ht="15.75" customHeight="1" x14ac:dyDescent="0.3">
      <c r="A833" s="17" t="s">
        <v>49</v>
      </c>
      <c r="B833" s="1"/>
      <c r="C833" s="1"/>
      <c r="D833" s="1"/>
      <c r="E833" s="59" t="s">
        <v>7</v>
      </c>
      <c r="F833" s="1"/>
      <c r="G833" s="1"/>
      <c r="H833" s="1"/>
      <c r="I833" s="59" t="s">
        <v>7</v>
      </c>
      <c r="J833" s="1"/>
      <c r="K833" s="1"/>
      <c r="L833" s="1"/>
      <c r="M833" s="59" t="s">
        <v>7</v>
      </c>
      <c r="N833" s="1"/>
      <c r="O833" s="1"/>
      <c r="P833" s="1"/>
      <c r="Q833" s="59" t="s">
        <v>7</v>
      </c>
      <c r="R833" s="59" t="s">
        <v>7</v>
      </c>
    </row>
    <row r="834" spans="1:20" ht="15.75" customHeight="1" x14ac:dyDescent="0.3">
      <c r="A834" s="74" t="s">
        <v>599</v>
      </c>
      <c r="B834" s="1"/>
      <c r="C834" s="1"/>
      <c r="D834" s="1"/>
      <c r="E834" s="59">
        <f>SUM(B834:D834)</f>
        <v>0</v>
      </c>
      <c r="F834" s="1"/>
      <c r="G834" s="1"/>
      <c r="H834" s="1"/>
      <c r="I834" s="59">
        <f>SUM(F834:H834)</f>
        <v>0</v>
      </c>
      <c r="J834" s="1"/>
      <c r="K834" s="1"/>
      <c r="L834" s="1"/>
      <c r="M834" s="59">
        <f>SUM(J834:L834)</f>
        <v>0</v>
      </c>
      <c r="N834" s="1"/>
      <c r="O834" s="1"/>
      <c r="P834" s="1"/>
      <c r="Q834" s="59">
        <f>SUM(N834:P834)</f>
        <v>0</v>
      </c>
      <c r="R834" s="59">
        <f>+E834+I834+M834+Q834</f>
        <v>0</v>
      </c>
      <c r="S834" s="77" t="s">
        <v>90</v>
      </c>
    </row>
    <row r="835" spans="1:20" ht="15.75" customHeight="1" thickBot="1" x14ac:dyDescent="0.35">
      <c r="A835" s="17" t="s">
        <v>51</v>
      </c>
      <c r="B835" s="1"/>
      <c r="C835" s="1"/>
      <c r="D835" s="1"/>
      <c r="E835" s="59" t="s">
        <v>7</v>
      </c>
      <c r="F835" s="1"/>
      <c r="G835" s="1"/>
      <c r="H835" s="1"/>
      <c r="I835" s="59" t="s">
        <v>7</v>
      </c>
      <c r="J835" s="1"/>
      <c r="K835" s="1"/>
      <c r="L835" s="1"/>
      <c r="M835" s="59" t="s">
        <v>7</v>
      </c>
      <c r="N835" s="1"/>
      <c r="O835" s="1"/>
      <c r="P835" s="1"/>
      <c r="Q835" s="59" t="s">
        <v>7</v>
      </c>
      <c r="R835" s="59" t="s">
        <v>7</v>
      </c>
    </row>
    <row r="836" spans="1:20" ht="16.5" customHeight="1" thickBot="1" x14ac:dyDescent="0.35">
      <c r="A836" s="62" t="s">
        <v>52</v>
      </c>
      <c r="B836" s="100">
        <f>SUM(B824:B835)</f>
        <v>2443</v>
      </c>
      <c r="C836" s="101">
        <f>SUM(C824:C835)</f>
        <v>2549</v>
      </c>
      <c r="D836" s="101">
        <f>SUM(D824:D835)</f>
        <v>2713</v>
      </c>
      <c r="E836" s="64">
        <f>SUM(B836:D836)</f>
        <v>7705</v>
      </c>
      <c r="F836" s="101">
        <f>SUM(F824:F835)</f>
        <v>2536</v>
      </c>
      <c r="G836" s="101">
        <f>SUM(G824:G835)</f>
        <v>1947</v>
      </c>
      <c r="H836" s="101">
        <f>SUM(H824:H835)</f>
        <v>1792</v>
      </c>
      <c r="I836" s="64">
        <f>SUM(F836:H836)</f>
        <v>6275</v>
      </c>
      <c r="J836" s="101">
        <f>SUM(J824:J835)</f>
        <v>2300</v>
      </c>
      <c r="K836" s="101">
        <f>SUM(K824:K835)</f>
        <v>3500</v>
      </c>
      <c r="L836" s="101">
        <f>SUM(L824:L835)</f>
        <v>3120</v>
      </c>
      <c r="M836" s="64">
        <f>SUM(J836:L836)</f>
        <v>8920</v>
      </c>
      <c r="N836" s="101">
        <f>SUM(N824:N835)</f>
        <v>1000</v>
      </c>
      <c r="O836" s="101">
        <f>SUM(O824:O835)</f>
        <v>200</v>
      </c>
      <c r="P836" s="101">
        <f>SUM(P824:P835)</f>
        <v>1700</v>
      </c>
      <c r="Q836" s="64">
        <f>SUM(N836:P836)</f>
        <v>2900</v>
      </c>
      <c r="R836" s="64">
        <f>+E836+I836+M836+Q836</f>
        <v>25800</v>
      </c>
    </row>
    <row r="837" spans="1:20" ht="15.75" customHeight="1" x14ac:dyDescent="0.3">
      <c r="A837" s="17" t="s">
        <v>53</v>
      </c>
      <c r="B837" s="1"/>
      <c r="C837" s="1"/>
      <c r="D837" s="1"/>
      <c r="E837" s="59" t="s">
        <v>7</v>
      </c>
      <c r="F837" s="1"/>
      <c r="G837" s="1"/>
      <c r="H837" s="1"/>
      <c r="I837" s="59" t="s">
        <v>7</v>
      </c>
      <c r="J837" s="1"/>
      <c r="K837" s="1"/>
      <c r="L837" s="1"/>
      <c r="M837" s="59" t="s">
        <v>7</v>
      </c>
      <c r="N837" s="1"/>
      <c r="O837" s="1"/>
      <c r="P837" s="1"/>
      <c r="Q837" s="59" t="s">
        <v>7</v>
      </c>
      <c r="R837" s="59" t="s">
        <v>7</v>
      </c>
    </row>
    <row r="838" spans="1:20" ht="15.75" customHeight="1" x14ac:dyDescent="0.3">
      <c r="A838" s="17" t="s">
        <v>55</v>
      </c>
      <c r="B838" s="1"/>
      <c r="C838" s="1"/>
      <c r="D838" s="1"/>
      <c r="E838" s="59" t="s">
        <v>7</v>
      </c>
      <c r="F838" s="1"/>
      <c r="G838" s="1"/>
      <c r="H838" s="1"/>
      <c r="I838" s="59" t="s">
        <v>7</v>
      </c>
      <c r="J838" s="1"/>
      <c r="K838" s="1"/>
      <c r="L838" s="1"/>
      <c r="M838" s="59" t="s">
        <v>7</v>
      </c>
      <c r="N838" s="1"/>
      <c r="O838" s="1"/>
      <c r="P838" s="1"/>
      <c r="Q838" s="59" t="s">
        <v>7</v>
      </c>
      <c r="R838" s="59" t="s">
        <v>7</v>
      </c>
    </row>
    <row r="839" spans="1:20" ht="15.75" customHeight="1" x14ac:dyDescent="0.3">
      <c r="A839" s="74" t="s">
        <v>600</v>
      </c>
      <c r="B839" s="1"/>
      <c r="C839" s="1"/>
      <c r="D839" s="1"/>
      <c r="E839" s="59">
        <f>SUM(B839:D839)</f>
        <v>0</v>
      </c>
      <c r="F839" s="1"/>
      <c r="G839" s="1"/>
      <c r="H839" s="1"/>
      <c r="I839" s="59">
        <f>SUM(F839:H839)</f>
        <v>0</v>
      </c>
      <c r="J839" s="1"/>
      <c r="K839" s="1"/>
      <c r="L839" s="1"/>
      <c r="M839" s="59">
        <f>SUM(J839:L839)</f>
        <v>0</v>
      </c>
      <c r="N839" s="1"/>
      <c r="O839" s="1"/>
      <c r="P839" s="1"/>
      <c r="Q839" s="59">
        <f>SUM(N839:P839)</f>
        <v>0</v>
      </c>
      <c r="R839" s="59">
        <f>+E839+I839+M839+Q839</f>
        <v>0</v>
      </c>
    </row>
    <row r="840" spans="1:20" ht="15.75" customHeight="1" thickBot="1" x14ac:dyDescent="0.35">
      <c r="A840" s="17" t="s">
        <v>56</v>
      </c>
      <c r="B840" s="1"/>
      <c r="C840" s="1"/>
      <c r="D840" s="1"/>
      <c r="E840" s="59" t="s">
        <v>7</v>
      </c>
      <c r="F840" s="1"/>
      <c r="G840" s="1"/>
      <c r="H840" s="1"/>
      <c r="I840" s="59" t="s">
        <v>7</v>
      </c>
      <c r="J840" s="1"/>
      <c r="K840" s="1"/>
      <c r="L840" s="1"/>
      <c r="M840" s="59" t="s">
        <v>7</v>
      </c>
      <c r="N840" s="1"/>
      <c r="O840" s="1"/>
      <c r="P840" s="1"/>
      <c r="Q840" s="59" t="s">
        <v>7</v>
      </c>
      <c r="R840" s="59" t="s">
        <v>7</v>
      </c>
    </row>
    <row r="841" spans="1:20" ht="16.5" customHeight="1" thickBot="1" x14ac:dyDescent="0.35">
      <c r="A841" s="62" t="s">
        <v>57</v>
      </c>
      <c r="B841" s="100">
        <f>SUM(B837:B840)</f>
        <v>0</v>
      </c>
      <c r="C841" s="101">
        <f>SUM(C837:C840)</f>
        <v>0</v>
      </c>
      <c r="D841" s="101">
        <f>SUM(D837:D840)</f>
        <v>0</v>
      </c>
      <c r="E841" s="64">
        <f>SUM(B841:D841)</f>
        <v>0</v>
      </c>
      <c r="F841" s="101">
        <f>SUM(F837:F840)</f>
        <v>0</v>
      </c>
      <c r="G841" s="101">
        <f>SUM(G837:G840)</f>
        <v>0</v>
      </c>
      <c r="H841" s="101">
        <f>SUM(H837:H840)</f>
        <v>0</v>
      </c>
      <c r="I841" s="64">
        <f>SUM(F841:H841)</f>
        <v>0</v>
      </c>
      <c r="J841" s="101">
        <f>SUM(J837:J840)</f>
        <v>0</v>
      </c>
      <c r="K841" s="101">
        <f>SUM(K837:K840)</f>
        <v>0</v>
      </c>
      <c r="L841" s="101">
        <f>SUM(L837:L840)</f>
        <v>0</v>
      </c>
      <c r="M841" s="64">
        <f>SUM(J841:L841)</f>
        <v>0</v>
      </c>
      <c r="N841" s="101">
        <f>SUM(N837:N840)</f>
        <v>0</v>
      </c>
      <c r="O841" s="101">
        <f>SUM(O837:O840)</f>
        <v>0</v>
      </c>
      <c r="P841" s="101">
        <f>SUM(P837:P840)</f>
        <v>0</v>
      </c>
      <c r="Q841" s="64">
        <f>SUM(N841:P841)</f>
        <v>0</v>
      </c>
      <c r="R841" s="64">
        <f>+E841+I841+M841+Q841</f>
        <v>0</v>
      </c>
    </row>
    <row r="842" spans="1:20" ht="15.75" customHeight="1" x14ac:dyDescent="0.3">
      <c r="A842" s="17" t="s">
        <v>58</v>
      </c>
      <c r="B842" s="1"/>
      <c r="C842" s="1"/>
      <c r="D842" s="1"/>
      <c r="E842" s="59" t="s">
        <v>7</v>
      </c>
      <c r="F842" s="1"/>
      <c r="G842" s="1"/>
      <c r="H842" s="1"/>
      <c r="I842" s="59" t="s">
        <v>7</v>
      </c>
      <c r="J842" s="1" t="s">
        <v>7</v>
      </c>
      <c r="K842" s="1"/>
      <c r="L842" s="1"/>
      <c r="M842" s="59" t="s">
        <v>7</v>
      </c>
      <c r="N842" s="1"/>
      <c r="O842" s="1"/>
      <c r="P842" s="1"/>
      <c r="Q842" s="59" t="s">
        <v>7</v>
      </c>
      <c r="R842" s="59" t="s">
        <v>7</v>
      </c>
    </row>
    <row r="843" spans="1:20" ht="18" customHeight="1" x14ac:dyDescent="0.3">
      <c r="A843" s="17" t="s">
        <v>59</v>
      </c>
      <c r="B843" s="1"/>
      <c r="C843" s="1"/>
      <c r="D843" s="1"/>
      <c r="E843" s="59" t="s">
        <v>7</v>
      </c>
      <c r="F843" s="1"/>
      <c r="G843" s="1"/>
      <c r="H843" s="1"/>
      <c r="I843" s="59" t="s">
        <v>7</v>
      </c>
      <c r="J843" s="1"/>
      <c r="K843" s="1"/>
      <c r="L843" s="1"/>
      <c r="M843" s="59" t="s">
        <v>7</v>
      </c>
      <c r="N843" s="1"/>
      <c r="O843" s="1"/>
      <c r="P843" s="1"/>
      <c r="Q843" s="59" t="s">
        <v>7</v>
      </c>
      <c r="R843" s="59" t="s">
        <v>7</v>
      </c>
    </row>
    <row r="844" spans="1:20" ht="15.75" customHeight="1" x14ac:dyDescent="0.3">
      <c r="A844" s="74" t="s">
        <v>601</v>
      </c>
      <c r="B844" s="1">
        <v>501</v>
      </c>
      <c r="C844" s="1">
        <v>504</v>
      </c>
      <c r="D844" s="1">
        <v>605</v>
      </c>
      <c r="E844" s="59">
        <f>SUM(B844:D844)</f>
        <v>1610</v>
      </c>
      <c r="F844" s="1">
        <v>956</v>
      </c>
      <c r="G844" s="1">
        <v>1214</v>
      </c>
      <c r="H844" s="1">
        <v>1209</v>
      </c>
      <c r="I844" s="59">
        <f>SUM(F844:H844)</f>
        <v>3379</v>
      </c>
      <c r="J844" s="1">
        <v>814</v>
      </c>
      <c r="K844" s="1">
        <v>1108</v>
      </c>
      <c r="L844" s="1">
        <v>506</v>
      </c>
      <c r="M844" s="59">
        <f>SUM(J844:L844)</f>
        <v>2428</v>
      </c>
      <c r="N844" s="1">
        <v>401</v>
      </c>
      <c r="O844" s="1">
        <v>501</v>
      </c>
      <c r="P844" s="1">
        <v>501</v>
      </c>
      <c r="Q844" s="59">
        <f>SUM(N844:P844)</f>
        <v>1403</v>
      </c>
      <c r="R844" s="59">
        <f>+E844+I844+M844+Q844</f>
        <v>8820</v>
      </c>
      <c r="T844" s="4" t="s">
        <v>602</v>
      </c>
    </row>
    <row r="845" spans="1:20" ht="15.75" customHeight="1" x14ac:dyDescent="0.3">
      <c r="A845" s="74" t="s">
        <v>603</v>
      </c>
      <c r="B845" s="1">
        <v>25</v>
      </c>
      <c r="C845" s="1">
        <v>25</v>
      </c>
      <c r="D845" s="1">
        <v>30</v>
      </c>
      <c r="E845" s="59">
        <f>SUM(B845:D845)</f>
        <v>80</v>
      </c>
      <c r="F845" s="1">
        <v>75</v>
      </c>
      <c r="G845" s="1">
        <v>90</v>
      </c>
      <c r="H845" s="1">
        <v>100</v>
      </c>
      <c r="I845" s="59">
        <f t="shared" ref="I845" si="278">SUM(F845:H845)</f>
        <v>265</v>
      </c>
      <c r="J845" s="1">
        <v>100</v>
      </c>
      <c r="K845" s="1">
        <v>55</v>
      </c>
      <c r="L845" s="1"/>
      <c r="M845" s="59">
        <f>SUM(J845:L845)</f>
        <v>155</v>
      </c>
      <c r="N845" s="1"/>
      <c r="O845" s="1"/>
      <c r="P845" s="1"/>
      <c r="Q845" s="59">
        <f>SUM(N845:P845)</f>
        <v>0</v>
      </c>
      <c r="R845" s="59">
        <f>+E845+I845+M845+Q845</f>
        <v>500</v>
      </c>
      <c r="T845" s="4" t="s">
        <v>604</v>
      </c>
    </row>
    <row r="846" spans="1:20" ht="15.75" customHeight="1" x14ac:dyDescent="0.3">
      <c r="A846" s="17" t="s">
        <v>60</v>
      </c>
      <c r="B846" s="1"/>
      <c r="C846" s="1"/>
      <c r="D846" s="1"/>
      <c r="E846" s="59" t="s">
        <v>7</v>
      </c>
      <c r="F846" s="1"/>
      <c r="G846" s="1"/>
      <c r="H846" s="1"/>
      <c r="I846" s="59" t="s">
        <v>7</v>
      </c>
      <c r="J846" s="1"/>
      <c r="K846" s="1"/>
      <c r="L846" s="1"/>
      <c r="M846" s="59" t="s">
        <v>7</v>
      </c>
      <c r="N846" s="1"/>
      <c r="O846" s="1"/>
      <c r="P846" s="1"/>
      <c r="Q846" s="59" t="s">
        <v>7</v>
      </c>
      <c r="R846" s="59" t="s">
        <v>7</v>
      </c>
    </row>
    <row r="847" spans="1:20" ht="15.75" customHeight="1" x14ac:dyDescent="0.3">
      <c r="A847" s="74" t="s">
        <v>605</v>
      </c>
      <c r="B847" s="1"/>
      <c r="C847" s="1"/>
      <c r="D847" s="1">
        <v>800</v>
      </c>
      <c r="E847" s="59">
        <f t="shared" ref="E847:E853" si="279">SUM(B847:D847)</f>
        <v>800</v>
      </c>
      <c r="F847" s="1">
        <v>1200</v>
      </c>
      <c r="G847" s="1">
        <v>1400</v>
      </c>
      <c r="H847" s="1">
        <v>1500</v>
      </c>
      <c r="I847" s="59">
        <f t="shared" ref="I847:I853" si="280">SUM(F847:H847)</f>
        <v>4100</v>
      </c>
      <c r="J847" s="1">
        <v>1500</v>
      </c>
      <c r="K847" s="1">
        <v>100</v>
      </c>
      <c r="L847" s="1"/>
      <c r="M847" s="59">
        <f t="shared" ref="M847:M853" si="281">SUM(J847:L847)</f>
        <v>1600</v>
      </c>
      <c r="N847" s="1"/>
      <c r="O847" s="1"/>
      <c r="P847" s="1"/>
      <c r="Q847" s="59">
        <f t="shared" ref="Q847:Q853" si="282">SUM(N847:P847)</f>
        <v>0</v>
      </c>
      <c r="R847" s="59">
        <f t="shared" ref="R847:R853" si="283">+E847+I847+M847+Q847</f>
        <v>6500</v>
      </c>
      <c r="T847" s="4" t="s">
        <v>604</v>
      </c>
    </row>
    <row r="848" spans="1:20" ht="15.75" customHeight="1" x14ac:dyDescent="0.3">
      <c r="A848" s="74" t="s">
        <v>606</v>
      </c>
      <c r="B848" s="1"/>
      <c r="C848" s="1"/>
      <c r="D848" s="1"/>
      <c r="E848" s="59">
        <f t="shared" si="279"/>
        <v>0</v>
      </c>
      <c r="F848" s="1"/>
      <c r="G848" s="1"/>
      <c r="H848" s="1"/>
      <c r="I848" s="59">
        <f t="shared" si="280"/>
        <v>0</v>
      </c>
      <c r="J848" s="1"/>
      <c r="K848" s="1"/>
      <c r="L848" s="1"/>
      <c r="M848" s="59">
        <f t="shared" si="281"/>
        <v>0</v>
      </c>
      <c r="N848" s="1"/>
      <c r="O848" s="1"/>
      <c r="P848" s="1"/>
      <c r="Q848" s="59">
        <f t="shared" si="282"/>
        <v>0</v>
      </c>
      <c r="R848" s="59">
        <f t="shared" si="283"/>
        <v>0</v>
      </c>
    </row>
    <row r="849" spans="1:20" ht="15.75" customHeight="1" x14ac:dyDescent="0.3">
      <c r="A849" s="74" t="s">
        <v>607</v>
      </c>
      <c r="B849" s="1"/>
      <c r="C849" s="1"/>
      <c r="D849" s="1"/>
      <c r="E849" s="59">
        <f t="shared" si="279"/>
        <v>0</v>
      </c>
      <c r="F849" s="1"/>
      <c r="G849" s="1"/>
      <c r="H849" s="1"/>
      <c r="I849" s="59">
        <f t="shared" si="280"/>
        <v>0</v>
      </c>
      <c r="J849" s="1"/>
      <c r="K849" s="1">
        <v>15</v>
      </c>
      <c r="L849" s="1">
        <v>60</v>
      </c>
      <c r="M849" s="59">
        <f t="shared" si="281"/>
        <v>75</v>
      </c>
      <c r="N849" s="1">
        <v>50</v>
      </c>
      <c r="O849" s="1">
        <v>40</v>
      </c>
      <c r="P849" s="1">
        <v>30</v>
      </c>
      <c r="Q849" s="59">
        <f t="shared" si="282"/>
        <v>120</v>
      </c>
      <c r="R849" s="59">
        <f t="shared" si="283"/>
        <v>195</v>
      </c>
    </row>
    <row r="850" spans="1:20" ht="15.75" customHeight="1" x14ac:dyDescent="0.3">
      <c r="A850" s="74" t="s">
        <v>608</v>
      </c>
      <c r="B850" s="1">
        <v>500</v>
      </c>
      <c r="C850" s="1">
        <v>500</v>
      </c>
      <c r="D850" s="1"/>
      <c r="E850" s="59">
        <f t="shared" si="279"/>
        <v>1000</v>
      </c>
      <c r="F850" s="1"/>
      <c r="G850" s="1"/>
      <c r="H850" s="1"/>
      <c r="I850" s="59">
        <f t="shared" si="280"/>
        <v>0</v>
      </c>
      <c r="J850" s="1"/>
      <c r="K850" s="1"/>
      <c r="L850" s="1"/>
      <c r="M850" s="59">
        <f t="shared" si="281"/>
        <v>0</v>
      </c>
      <c r="N850" s="1"/>
      <c r="O850" s="1"/>
      <c r="P850" s="1"/>
      <c r="Q850" s="59">
        <f t="shared" si="282"/>
        <v>0</v>
      </c>
      <c r="R850" s="59">
        <f t="shared" si="283"/>
        <v>1000</v>
      </c>
      <c r="T850" s="4" t="s">
        <v>593</v>
      </c>
    </row>
    <row r="851" spans="1:20" ht="15.75" customHeight="1" x14ac:dyDescent="0.3">
      <c r="A851" s="74" t="s">
        <v>609</v>
      </c>
      <c r="B851" s="1"/>
      <c r="C851" s="1"/>
      <c r="D851" s="1"/>
      <c r="E851" s="59">
        <f t="shared" si="279"/>
        <v>0</v>
      </c>
      <c r="F851" s="1"/>
      <c r="G851" s="1"/>
      <c r="H851" s="1"/>
      <c r="I851" s="59">
        <f t="shared" si="280"/>
        <v>0</v>
      </c>
      <c r="J851" s="1"/>
      <c r="K851" s="1"/>
      <c r="L851" s="1"/>
      <c r="M851" s="59">
        <f t="shared" si="281"/>
        <v>0</v>
      </c>
      <c r="N851" s="1"/>
      <c r="O851" s="1"/>
      <c r="P851" s="1"/>
      <c r="Q851" s="59">
        <f t="shared" si="282"/>
        <v>0</v>
      </c>
      <c r="R851" s="59">
        <f t="shared" si="283"/>
        <v>0</v>
      </c>
      <c r="T851" s="4" t="s">
        <v>593</v>
      </c>
    </row>
    <row r="852" spans="1:20" ht="15.75" customHeight="1" thickBot="1" x14ac:dyDescent="0.35">
      <c r="A852" s="74" t="s">
        <v>610</v>
      </c>
      <c r="B852" s="1">
        <v>849</v>
      </c>
      <c r="C852" s="1">
        <v>769</v>
      </c>
      <c r="D852" s="1">
        <v>849</v>
      </c>
      <c r="E852" s="59">
        <f t="shared" si="279"/>
        <v>2467</v>
      </c>
      <c r="F852" s="1">
        <v>822</v>
      </c>
      <c r="G852" s="1">
        <v>849</v>
      </c>
      <c r="H852" s="1">
        <v>822</v>
      </c>
      <c r="I852" s="59">
        <f t="shared" si="280"/>
        <v>2493</v>
      </c>
      <c r="J852" s="1">
        <v>849</v>
      </c>
      <c r="K852" s="1">
        <v>849</v>
      </c>
      <c r="L852" s="1">
        <v>822</v>
      </c>
      <c r="M852" s="59">
        <f t="shared" si="281"/>
        <v>2520</v>
      </c>
      <c r="N852" s="1">
        <v>849</v>
      </c>
      <c r="O852" s="1">
        <v>822</v>
      </c>
      <c r="P852" s="1">
        <v>849</v>
      </c>
      <c r="Q852" s="59">
        <f t="shared" si="282"/>
        <v>2520</v>
      </c>
      <c r="R852" s="59">
        <f t="shared" si="283"/>
        <v>10000</v>
      </c>
      <c r="T852" s="4" t="s">
        <v>611</v>
      </c>
    </row>
    <row r="853" spans="1:20" ht="16.5" customHeight="1" thickBot="1" x14ac:dyDescent="0.35">
      <c r="A853" s="62" t="s">
        <v>61</v>
      </c>
      <c r="B853" s="100">
        <f>SUM(B842:B852)</f>
        <v>1875</v>
      </c>
      <c r="C853" s="101">
        <f>SUM(C842:C852)</f>
        <v>1798</v>
      </c>
      <c r="D853" s="101">
        <f>SUM(D842:D852)</f>
        <v>2284</v>
      </c>
      <c r="E853" s="64">
        <f t="shared" si="279"/>
        <v>5957</v>
      </c>
      <c r="F853" s="101">
        <f>SUM(F842:F852)</f>
        <v>3053</v>
      </c>
      <c r="G853" s="101">
        <f>SUM(G842:G852)</f>
        <v>3553</v>
      </c>
      <c r="H853" s="101">
        <f>SUM(H842:H852)</f>
        <v>3631</v>
      </c>
      <c r="I853" s="64">
        <f t="shared" si="280"/>
        <v>10237</v>
      </c>
      <c r="J853" s="101">
        <f>SUM(J842:J852)</f>
        <v>3263</v>
      </c>
      <c r="K853" s="101">
        <f>SUM(K842:K852)</f>
        <v>2127</v>
      </c>
      <c r="L853" s="101">
        <f>SUM(L842:L852)</f>
        <v>1388</v>
      </c>
      <c r="M853" s="64">
        <f t="shared" si="281"/>
        <v>6778</v>
      </c>
      <c r="N853" s="101">
        <f>SUM(N842:N852)</f>
        <v>1300</v>
      </c>
      <c r="O853" s="101">
        <f>SUM(O842:O852)</f>
        <v>1363</v>
      </c>
      <c r="P853" s="101">
        <f>SUM(P842:P852)</f>
        <v>1380</v>
      </c>
      <c r="Q853" s="64">
        <f t="shared" si="282"/>
        <v>4043</v>
      </c>
      <c r="R853" s="64">
        <f t="shared" si="283"/>
        <v>27015</v>
      </c>
    </row>
    <row r="854" spans="1:20" ht="15.75" customHeight="1" x14ac:dyDescent="0.3">
      <c r="A854" s="17" t="s">
        <v>62</v>
      </c>
      <c r="B854" s="1"/>
      <c r="C854" s="1"/>
      <c r="D854" s="1"/>
      <c r="E854" s="59" t="s">
        <v>7</v>
      </c>
      <c r="F854" s="1"/>
      <c r="G854" s="1"/>
      <c r="H854" s="1"/>
      <c r="I854" s="59" t="s">
        <v>7</v>
      </c>
      <c r="J854" s="1"/>
      <c r="K854" s="1"/>
      <c r="L854" s="1"/>
      <c r="M854" s="59" t="s">
        <v>7</v>
      </c>
      <c r="N854" s="1"/>
      <c r="O854" s="1"/>
      <c r="P854" s="1"/>
      <c r="Q854" s="59" t="s">
        <v>7</v>
      </c>
      <c r="R854" s="59" t="s">
        <v>7</v>
      </c>
    </row>
    <row r="855" spans="1:20" ht="15.75" customHeight="1" x14ac:dyDescent="0.3">
      <c r="A855" s="17" t="s">
        <v>63</v>
      </c>
      <c r="B855" s="1"/>
      <c r="C855" s="29"/>
      <c r="D855" s="1"/>
      <c r="E855" s="59" t="s">
        <v>7</v>
      </c>
      <c r="F855" s="1"/>
      <c r="G855" s="1"/>
      <c r="H855" s="1"/>
      <c r="I855" s="59" t="s">
        <v>7</v>
      </c>
      <c r="J855" s="1"/>
      <c r="K855" s="1"/>
      <c r="L855" s="1"/>
      <c r="M855" s="59" t="s">
        <v>7</v>
      </c>
      <c r="N855" s="1"/>
      <c r="O855" s="1"/>
      <c r="P855" s="1"/>
      <c r="Q855" s="59" t="s">
        <v>7</v>
      </c>
      <c r="R855" s="59" t="s">
        <v>7</v>
      </c>
    </row>
    <row r="856" spans="1:20" ht="15.75" customHeight="1" x14ac:dyDescent="0.3">
      <c r="A856" s="74" t="s">
        <v>612</v>
      </c>
      <c r="B856" s="1"/>
      <c r="C856" s="1"/>
      <c r="D856" s="1"/>
      <c r="E856" s="59">
        <f>SUM(B856:D856)</f>
        <v>0</v>
      </c>
      <c r="F856" s="1"/>
      <c r="G856" s="1"/>
      <c r="H856" s="1"/>
      <c r="I856" s="59">
        <f>SUM(F856:H856)</f>
        <v>0</v>
      </c>
      <c r="J856" s="1"/>
      <c r="K856" s="1"/>
      <c r="L856" s="1"/>
      <c r="M856" s="59">
        <f>SUM(J856:L856)</f>
        <v>0</v>
      </c>
      <c r="N856" s="1"/>
      <c r="O856" s="1"/>
      <c r="P856" s="1"/>
      <c r="Q856" s="59">
        <f>SUM(N856:P856)</f>
        <v>0</v>
      </c>
      <c r="R856" s="59">
        <f>+E856+I856+M856+Q856</f>
        <v>0</v>
      </c>
    </row>
    <row r="857" spans="1:20" ht="15.75" customHeight="1" x14ac:dyDescent="0.3">
      <c r="A857" s="74" t="s">
        <v>613</v>
      </c>
      <c r="B857" s="1"/>
      <c r="C857" s="1"/>
      <c r="D857" s="1"/>
      <c r="E857" s="59">
        <f>SUM(B857:D857)</f>
        <v>0</v>
      </c>
      <c r="F857" s="1"/>
      <c r="G857" s="1"/>
      <c r="H857" s="1"/>
      <c r="I857" s="59">
        <f>SUM(F857:H857)</f>
        <v>0</v>
      </c>
      <c r="J857" s="1"/>
      <c r="K857" s="1"/>
      <c r="L857" s="1"/>
      <c r="M857" s="59">
        <f>SUM(J857:L857)</f>
        <v>0</v>
      </c>
      <c r="N857" s="1"/>
      <c r="O857" s="1"/>
      <c r="P857" s="1"/>
      <c r="Q857" s="59">
        <f>SUM(N857:P857)</f>
        <v>0</v>
      </c>
      <c r="R857" s="59">
        <f>+E857+I857+M857+Q857</f>
        <v>0</v>
      </c>
    </row>
    <row r="858" spans="1:20" ht="15.75" customHeight="1" x14ac:dyDescent="0.3">
      <c r="A858" s="17" t="s">
        <v>64</v>
      </c>
      <c r="B858" s="1"/>
      <c r="C858" s="1"/>
      <c r="D858" s="1"/>
      <c r="E858" s="59" t="s">
        <v>7</v>
      </c>
      <c r="F858" s="1"/>
      <c r="G858" s="1"/>
      <c r="H858" s="1"/>
      <c r="I858" s="59" t="s">
        <v>7</v>
      </c>
      <c r="J858" s="1"/>
      <c r="K858" s="1"/>
      <c r="L858" s="1"/>
      <c r="M858" s="59" t="s">
        <v>7</v>
      </c>
      <c r="N858" s="1"/>
      <c r="O858" s="1"/>
      <c r="P858" s="1"/>
      <c r="Q858" s="59" t="s">
        <v>7</v>
      </c>
      <c r="R858" s="59" t="s">
        <v>7</v>
      </c>
    </row>
    <row r="859" spans="1:20" ht="15.75" customHeight="1" x14ac:dyDescent="0.3">
      <c r="A859" s="74" t="s">
        <v>614</v>
      </c>
      <c r="B859" s="1"/>
      <c r="C859" s="1"/>
      <c r="D859" s="1"/>
      <c r="E859" s="59">
        <f>SUM(B859:D859)</f>
        <v>0</v>
      </c>
      <c r="F859" s="1"/>
      <c r="G859" s="1"/>
      <c r="H859" s="1"/>
      <c r="I859" s="59">
        <f>SUM(F859:H859)</f>
        <v>0</v>
      </c>
      <c r="J859" s="1"/>
      <c r="K859" s="1"/>
      <c r="L859" s="1"/>
      <c r="M859" s="59">
        <f>SUM(J859:L859)</f>
        <v>0</v>
      </c>
      <c r="N859" s="1"/>
      <c r="O859" s="1"/>
      <c r="P859" s="1"/>
      <c r="Q859" s="59">
        <f>SUM(N859:P859)</f>
        <v>0</v>
      </c>
      <c r="R859" s="59">
        <f>+E859+I859+M859+Q859</f>
        <v>0</v>
      </c>
    </row>
    <row r="860" spans="1:20" ht="15.75" customHeight="1" x14ac:dyDescent="0.3">
      <c r="A860" s="74" t="s">
        <v>615</v>
      </c>
      <c r="B860" s="1"/>
      <c r="C860" s="1"/>
      <c r="D860" s="1"/>
      <c r="E860" s="59">
        <f>SUM(B860:D860)</f>
        <v>0</v>
      </c>
      <c r="F860" s="1"/>
      <c r="G860" s="1"/>
      <c r="H860" s="1"/>
      <c r="I860" s="59">
        <f>SUM(F860:H860)</f>
        <v>0</v>
      </c>
      <c r="J860" s="1"/>
      <c r="K860" s="1"/>
      <c r="L860" s="1"/>
      <c r="M860" s="59">
        <f>SUM(J860:L860)</f>
        <v>0</v>
      </c>
      <c r="N860" s="1"/>
      <c r="O860" s="1"/>
      <c r="P860" s="1"/>
      <c r="Q860" s="59">
        <f>SUM(N860:P860)</f>
        <v>0</v>
      </c>
      <c r="R860" s="59">
        <f>+E860+I860+M860+Q860</f>
        <v>0</v>
      </c>
    </row>
    <row r="861" spans="1:20" ht="15.75" customHeight="1" x14ac:dyDescent="0.3">
      <c r="A861" s="17" t="s">
        <v>66</v>
      </c>
      <c r="B861" s="1"/>
      <c r="C861" s="1"/>
      <c r="D861" s="1"/>
      <c r="E861" s="59" t="s">
        <v>7</v>
      </c>
      <c r="F861" s="1"/>
      <c r="G861" s="1"/>
      <c r="H861" s="1"/>
      <c r="I861" s="59" t="s">
        <v>7</v>
      </c>
      <c r="J861" s="1"/>
      <c r="K861" s="1"/>
      <c r="L861" s="1"/>
      <c r="M861" s="59" t="s">
        <v>7</v>
      </c>
      <c r="N861" s="1"/>
      <c r="O861" s="1"/>
      <c r="P861" s="1"/>
      <c r="Q861" s="59" t="s">
        <v>7</v>
      </c>
      <c r="R861" s="59" t="s">
        <v>7</v>
      </c>
    </row>
    <row r="862" spans="1:20" ht="15.75" customHeight="1" thickBot="1" x14ac:dyDescent="0.35">
      <c r="A862" s="17" t="s">
        <v>67</v>
      </c>
      <c r="B862" s="1"/>
      <c r="C862" s="1"/>
      <c r="D862" s="1"/>
      <c r="E862" s="59" t="s">
        <v>7</v>
      </c>
      <c r="F862" s="1"/>
      <c r="G862" s="1"/>
      <c r="H862" s="1"/>
      <c r="I862" s="59" t="s">
        <v>7</v>
      </c>
      <c r="J862" s="1"/>
      <c r="K862" s="1"/>
      <c r="L862" s="1"/>
      <c r="M862" s="59" t="s">
        <v>7</v>
      </c>
      <c r="N862" s="1"/>
      <c r="O862" s="1"/>
      <c r="P862" s="1"/>
      <c r="Q862" s="59" t="s">
        <v>7</v>
      </c>
      <c r="R862" s="59" t="s">
        <v>7</v>
      </c>
    </row>
    <row r="863" spans="1:20" ht="16.5" customHeight="1" thickBot="1" x14ac:dyDescent="0.35">
      <c r="A863" s="62" t="s">
        <v>68</v>
      </c>
      <c r="B863" s="63">
        <f>SUM(B861:B862)</f>
        <v>0</v>
      </c>
      <c r="C863" s="63">
        <f>SUM(C861:C862)</f>
        <v>0</v>
      </c>
      <c r="D863" s="63">
        <f>SUM(D861:D862)</f>
        <v>0</v>
      </c>
      <c r="E863" s="65">
        <f>SUM(B863:D863)</f>
        <v>0</v>
      </c>
      <c r="F863" s="63">
        <f>SUM(F861:F862)</f>
        <v>0</v>
      </c>
      <c r="G863" s="63">
        <f>SUM(G861:G862)</f>
        <v>0</v>
      </c>
      <c r="H863" s="63">
        <f>SUM(H861:H862)</f>
        <v>0</v>
      </c>
      <c r="I863" s="65">
        <f>SUM(F863:H863)</f>
        <v>0</v>
      </c>
      <c r="J863" s="63">
        <f>SUM(J861:J862)</f>
        <v>0</v>
      </c>
      <c r="K863" s="63">
        <f>SUM(K861:K862)</f>
        <v>0</v>
      </c>
      <c r="L863" s="63">
        <f>SUM(L861:L862)</f>
        <v>0</v>
      </c>
      <c r="M863" s="65">
        <f>SUM(J863:L863)</f>
        <v>0</v>
      </c>
      <c r="N863" s="63">
        <f>SUM(N861:N862)</f>
        <v>0</v>
      </c>
      <c r="O863" s="63">
        <f>SUM(O861:O862)</f>
        <v>0</v>
      </c>
      <c r="P863" s="63">
        <f>SUM(P861:P862)</f>
        <v>0</v>
      </c>
      <c r="Q863" s="65">
        <f>SUM(N863:P863)</f>
        <v>0</v>
      </c>
      <c r="R863" s="64">
        <f>+E863+I863+M863+Q863</f>
        <v>0</v>
      </c>
    </row>
    <row r="864" spans="1:20" ht="16.5" customHeight="1" thickBot="1" x14ac:dyDescent="0.35">
      <c r="A864" s="62" t="s">
        <v>69</v>
      </c>
      <c r="B864" s="100">
        <f>SUM(B854:B862)</f>
        <v>0</v>
      </c>
      <c r="C864" s="101">
        <f>SUM(C854:C862)</f>
        <v>0</v>
      </c>
      <c r="D864" s="138">
        <f>SUM(D854:D862)</f>
        <v>0</v>
      </c>
      <c r="E864" s="65">
        <f>SUM(B864:D864)</f>
        <v>0</v>
      </c>
      <c r="F864" s="101">
        <f>SUM(F854:F862)</f>
        <v>0</v>
      </c>
      <c r="G864" s="101">
        <f>SUM(G854:G862)</f>
        <v>0</v>
      </c>
      <c r="H864" s="101">
        <f>SUM(H854:H862)</f>
        <v>0</v>
      </c>
      <c r="I864" s="65">
        <f>SUM(F864:H864)</f>
        <v>0</v>
      </c>
      <c r="J864" s="101">
        <f>SUM(J854:J862)</f>
        <v>0</v>
      </c>
      <c r="K864" s="101">
        <f>SUM(K854:K862)</f>
        <v>0</v>
      </c>
      <c r="L864" s="101">
        <f>SUM(L854:L862)</f>
        <v>0</v>
      </c>
      <c r="M864" s="65">
        <f>SUM(J864:L864)</f>
        <v>0</v>
      </c>
      <c r="N864" s="101">
        <f>SUM(N854:N862)</f>
        <v>0</v>
      </c>
      <c r="O864" s="101">
        <f>SUM(O854:O862)</f>
        <v>0</v>
      </c>
      <c r="P864" s="101">
        <f>SUM(P854:P862)</f>
        <v>0</v>
      </c>
      <c r="Q864" s="65">
        <f>SUM(N864:P864)</f>
        <v>0</v>
      </c>
      <c r="R864" s="64">
        <f>+E864+I864+M864+Q864</f>
        <v>0</v>
      </c>
    </row>
    <row r="865" spans="1:18" ht="16.5" customHeight="1" thickBot="1" x14ac:dyDescent="0.35">
      <c r="A865" s="62" t="s">
        <v>70</v>
      </c>
      <c r="B865" s="107">
        <f>+B836+B841+B853+B864</f>
        <v>4318</v>
      </c>
      <c r="C865" s="63">
        <f>+C836+C841+C853+C864</f>
        <v>4347</v>
      </c>
      <c r="D865" s="63">
        <f>+D836+D841+D853+D864</f>
        <v>4997</v>
      </c>
      <c r="E865" s="64">
        <f>SUM(B865:D865)</f>
        <v>13662</v>
      </c>
      <c r="F865" s="63">
        <f>+F836+F841+F853+F864</f>
        <v>5589</v>
      </c>
      <c r="G865" s="63">
        <f>+G836+G841+G853+G864</f>
        <v>5500</v>
      </c>
      <c r="H865" s="63">
        <f>+H836+H841+H853+H864</f>
        <v>5423</v>
      </c>
      <c r="I865" s="64">
        <f>SUM(F865:H865)</f>
        <v>16512</v>
      </c>
      <c r="J865" s="63">
        <f>+J836+J841+J853+J864</f>
        <v>5563</v>
      </c>
      <c r="K865" s="63">
        <f>+K836+K841+K853+K864</f>
        <v>5627</v>
      </c>
      <c r="L865" s="63">
        <f>+L836+L841+L853+L864</f>
        <v>4508</v>
      </c>
      <c r="M865" s="64">
        <f>SUM(J865:L865)</f>
        <v>15698</v>
      </c>
      <c r="N865" s="63">
        <f>+N836+N841+N853+N864</f>
        <v>2300</v>
      </c>
      <c r="O865" s="63">
        <f>+O836+O841+O853+O864</f>
        <v>1563</v>
      </c>
      <c r="P865" s="63">
        <f>+P836+P841+P853+P864</f>
        <v>3080</v>
      </c>
      <c r="Q865" s="64">
        <f>SUM(N865:P865)</f>
        <v>6943</v>
      </c>
      <c r="R865" s="88">
        <f>+E865+I865+M865+Q865</f>
        <v>52815</v>
      </c>
    </row>
    <row r="866" spans="1:18" ht="16.5" customHeight="1" thickBot="1" x14ac:dyDescent="0.35">
      <c r="A866" s="40" t="s">
        <v>37</v>
      </c>
      <c r="B866" s="25">
        <v>11</v>
      </c>
      <c r="C866" s="25">
        <v>13</v>
      </c>
      <c r="D866" s="25">
        <v>17</v>
      </c>
      <c r="E866" s="59">
        <f>SUM(B866:D866)</f>
        <v>41</v>
      </c>
      <c r="F866" s="25">
        <v>21</v>
      </c>
      <c r="G866" s="25">
        <v>23</v>
      </c>
      <c r="H866" s="25">
        <v>25</v>
      </c>
      <c r="I866" s="59">
        <f>SUM(F866:H866)</f>
        <v>69</v>
      </c>
      <c r="J866" s="25">
        <v>25</v>
      </c>
      <c r="K866" s="25">
        <v>21</v>
      </c>
      <c r="L866" s="25">
        <v>19</v>
      </c>
      <c r="M866" s="59">
        <f>SUM(J866:L866)</f>
        <v>65</v>
      </c>
      <c r="N866" s="25">
        <v>17</v>
      </c>
      <c r="O866" s="25">
        <v>13</v>
      </c>
      <c r="P866" s="25">
        <v>11</v>
      </c>
      <c r="Q866" s="59">
        <f>SUM(N866:P866)</f>
        <v>41</v>
      </c>
      <c r="R866" s="59">
        <f>+E866+I866+M866+Q866</f>
        <v>216</v>
      </c>
    </row>
    <row r="867" spans="1:18" ht="16.5" customHeight="1" thickBot="1" x14ac:dyDescent="0.35">
      <c r="A867" s="42"/>
      <c r="B867" s="37"/>
      <c r="C867" s="37"/>
      <c r="D867" s="37"/>
      <c r="E867" s="64" t="s">
        <v>7</v>
      </c>
      <c r="F867" s="37"/>
      <c r="G867" s="37"/>
      <c r="H867" s="37"/>
      <c r="I867" s="64" t="s">
        <v>7</v>
      </c>
      <c r="J867" s="37"/>
      <c r="K867" s="37"/>
      <c r="L867" s="37"/>
      <c r="M867" s="64" t="s">
        <v>7</v>
      </c>
      <c r="N867" s="37"/>
      <c r="O867" s="37"/>
      <c r="P867" s="37"/>
      <c r="Q867" s="64" t="s">
        <v>7</v>
      </c>
      <c r="R867" s="64" t="s">
        <v>7</v>
      </c>
    </row>
    <row r="868" spans="1:18" ht="15.75" customHeight="1" x14ac:dyDescent="0.3">
      <c r="A868" s="17" t="s">
        <v>38</v>
      </c>
      <c r="B868" s="1">
        <f>SUM(B865:B866)</f>
        <v>4329</v>
      </c>
      <c r="C868" s="1">
        <f>SUM(C865:C866)</f>
        <v>4360</v>
      </c>
      <c r="D868" s="1">
        <f>SUM(D865:D866)</f>
        <v>5014</v>
      </c>
      <c r="E868" s="65">
        <f>SUM(B868:D868)</f>
        <v>13703</v>
      </c>
      <c r="F868" s="1">
        <f>SUM(F865:F866)</f>
        <v>5610</v>
      </c>
      <c r="G868" s="1">
        <f>SUM(G865:G866)</f>
        <v>5523</v>
      </c>
      <c r="H868" s="1">
        <f>SUM(H865:H866)</f>
        <v>5448</v>
      </c>
      <c r="I868" s="65">
        <f>SUM(F868:H868)</f>
        <v>16581</v>
      </c>
      <c r="J868" s="1">
        <f>SUM(J865:J866)</f>
        <v>5588</v>
      </c>
      <c r="K868" s="1">
        <f>SUM(K865:K866)</f>
        <v>5648</v>
      </c>
      <c r="L868" s="1">
        <f>SUM(L865:L866)</f>
        <v>4527</v>
      </c>
      <c r="M868" s="65">
        <f>SUM(J868:L868)</f>
        <v>15763</v>
      </c>
      <c r="N868" s="1">
        <f>SUM(N865:N866)</f>
        <v>2317</v>
      </c>
      <c r="O868" s="1">
        <f>SUM(O865:O866)</f>
        <v>1576</v>
      </c>
      <c r="P868" s="1">
        <f>SUM(P865:P866)</f>
        <v>3091</v>
      </c>
      <c r="Q868" s="65">
        <f>SUM(N868:P868)</f>
        <v>6984</v>
      </c>
      <c r="R868" s="65">
        <f>+E868+I868+M868+Q868</f>
        <v>53031</v>
      </c>
    </row>
    <row r="869" spans="1:18" ht="15.75" customHeight="1" x14ac:dyDescent="0.3">
      <c r="A869" s="17" t="s">
        <v>39</v>
      </c>
      <c r="B869" s="1">
        <f>(B868/B10)/1.983</f>
        <v>70.421160509491969</v>
      </c>
      <c r="C869" s="1">
        <f>(C868/C10)/1.983</f>
        <v>78.524601973921193</v>
      </c>
      <c r="D869" s="1">
        <f>(D868/D10)/1.983</f>
        <v>81.564263985814904</v>
      </c>
      <c r="E869" s="59" t="s">
        <v>7</v>
      </c>
      <c r="F869" s="1">
        <f>(F868/F10)/1.983</f>
        <v>94.301563287947545</v>
      </c>
      <c r="G869" s="1">
        <f>(G868/G10)/1.983</f>
        <v>89.844321897418368</v>
      </c>
      <c r="H869" s="1">
        <f>(H868/H10)/1.983</f>
        <v>91.578416540595057</v>
      </c>
      <c r="I869" s="59" t="s">
        <v>7</v>
      </c>
      <c r="J869" s="1">
        <f>(J868/J10)/1.983</f>
        <v>90.90169667984317</v>
      </c>
      <c r="K869" s="1">
        <f>(K868/K10)/1.983</f>
        <v>91.877734940542993</v>
      </c>
      <c r="L869" s="1">
        <f>(L868/L10)/1.983</f>
        <v>76.096822995461423</v>
      </c>
      <c r="M869" s="59" t="s">
        <v>7</v>
      </c>
      <c r="N869" s="1">
        <f>(N868/N10)/1.983</f>
        <v>37.691344167358025</v>
      </c>
      <c r="O869" s="1">
        <f>(O868/O10)/1.983</f>
        <v>26.491847369305763</v>
      </c>
      <c r="P869" s="1">
        <f>(P868/P10)/1.983</f>
        <v>50.282237730385695</v>
      </c>
      <c r="Q869" s="59" t="s">
        <v>7</v>
      </c>
      <c r="R869" s="59" t="s">
        <v>7</v>
      </c>
    </row>
    <row r="870" spans="1:18" ht="15.75" customHeight="1" x14ac:dyDescent="0.3">
      <c r="A870" s="17" t="s">
        <v>616</v>
      </c>
      <c r="B870" s="1">
        <f>B868</f>
        <v>4329</v>
      </c>
      <c r="C870" s="1">
        <f>C868</f>
        <v>4360</v>
      </c>
      <c r="D870" s="1">
        <f>D868</f>
        <v>5014</v>
      </c>
      <c r="E870" s="59">
        <f>SUM(B870:D870)</f>
        <v>13703</v>
      </c>
      <c r="F870" s="1">
        <f>F868</f>
        <v>5610</v>
      </c>
      <c r="G870" s="1">
        <f>G868</f>
        <v>5523</v>
      </c>
      <c r="H870" s="1">
        <f>H868</f>
        <v>5448</v>
      </c>
      <c r="I870" s="59">
        <f>SUM(F870:H870)</f>
        <v>16581</v>
      </c>
      <c r="J870" s="1">
        <f>J868</f>
        <v>5588</v>
      </c>
      <c r="K870" s="1">
        <f>K868</f>
        <v>5648</v>
      </c>
      <c r="L870" s="1">
        <f>L868</f>
        <v>4527</v>
      </c>
      <c r="M870" s="59">
        <f>SUM(J870:L870)</f>
        <v>15763</v>
      </c>
      <c r="N870" s="1">
        <f>N868</f>
        <v>2317</v>
      </c>
      <c r="O870" s="1">
        <f>O868</f>
        <v>1576</v>
      </c>
      <c r="P870" s="1">
        <f>P868</f>
        <v>3091</v>
      </c>
      <c r="Q870" s="59">
        <f>SUM(N870:P870)</f>
        <v>6984</v>
      </c>
      <c r="R870" s="59">
        <f>+E870+I870+M870+Q870</f>
        <v>53031</v>
      </c>
    </row>
    <row r="871" spans="1:18" ht="16.5" customHeight="1" thickBot="1" x14ac:dyDescent="0.35">
      <c r="A871" s="24" t="s">
        <v>617</v>
      </c>
      <c r="B871" s="25">
        <f>(B870/B10)/1.983</f>
        <v>70.421160509491969</v>
      </c>
      <c r="C871" s="25">
        <f>(C870/C10)/1.983</f>
        <v>78.524601973921193</v>
      </c>
      <c r="D871" s="25">
        <f>(D870/D10)/1.983</f>
        <v>81.564263985814904</v>
      </c>
      <c r="E871" s="88" t="s">
        <v>7</v>
      </c>
      <c r="F871" s="25">
        <f>(F870/F10)/1.983</f>
        <v>94.301563287947545</v>
      </c>
      <c r="G871" s="25">
        <f>(G870/G10)/1.983</f>
        <v>89.844321897418368</v>
      </c>
      <c r="H871" s="25">
        <f>(H870/H10)/1.983</f>
        <v>91.578416540595057</v>
      </c>
      <c r="I871" s="88" t="s">
        <v>7</v>
      </c>
      <c r="J871" s="25">
        <f>(J870/J10)/1.983</f>
        <v>90.90169667984317</v>
      </c>
      <c r="K871" s="25">
        <f>(K870/K10)/1.983</f>
        <v>91.877734940542993</v>
      </c>
      <c r="L871" s="25">
        <f>(L870/L10)/1.983</f>
        <v>76.096822995461423</v>
      </c>
      <c r="M871" s="88" t="s">
        <v>7</v>
      </c>
      <c r="N871" s="25">
        <f>(N870/N10)/1.983</f>
        <v>37.691344167358025</v>
      </c>
      <c r="O871" s="25">
        <f>(O870/O10)/1.983</f>
        <v>26.491847369305763</v>
      </c>
      <c r="P871" s="25">
        <f>(P870/P10)/1.983</f>
        <v>50.282237730385695</v>
      </c>
      <c r="Q871" s="88" t="s">
        <v>7</v>
      </c>
      <c r="R871" s="88" t="s">
        <v>7</v>
      </c>
    </row>
    <row r="872" spans="1:18" ht="15.75" customHeight="1" x14ac:dyDescent="0.3">
      <c r="A872" s="30"/>
      <c r="B872" s="1"/>
      <c r="C872" s="1"/>
      <c r="D872" s="1"/>
      <c r="E872" s="28"/>
      <c r="F872" s="1"/>
      <c r="G872" s="1"/>
      <c r="H872" s="1"/>
      <c r="I872" s="28"/>
      <c r="J872" s="1"/>
      <c r="K872" s="1"/>
      <c r="L872" s="1"/>
      <c r="M872" s="28"/>
      <c r="N872" s="1"/>
      <c r="O872" s="1"/>
      <c r="P872" s="1"/>
      <c r="Q872" s="28"/>
      <c r="R872" s="28"/>
    </row>
    <row r="873" spans="1:18" ht="15.75" customHeight="1" x14ac:dyDescent="0.3">
      <c r="A873" s="30"/>
      <c r="B873" s="1"/>
      <c r="C873" s="1"/>
      <c r="D873" s="1"/>
      <c r="E873" s="1"/>
      <c r="F873" s="1"/>
      <c r="G873" s="1"/>
      <c r="H873" s="1"/>
      <c r="I873" s="1"/>
      <c r="J873" s="1"/>
      <c r="K873" s="1"/>
      <c r="L873" s="1"/>
      <c r="M873" s="1"/>
      <c r="N873" s="1"/>
      <c r="O873" s="1"/>
      <c r="P873" s="1"/>
      <c r="Q873" s="2" t="str">
        <f>+Q1</f>
        <v xml:space="preserve">PRINTED:  </v>
      </c>
      <c r="R873" s="163">
        <f ca="1">+R1</f>
        <v>44894.65816875</v>
      </c>
    </row>
    <row r="874" spans="1:18" ht="15.75" customHeight="1" x14ac:dyDescent="0.3">
      <c r="A874" s="383" t="s">
        <v>1</v>
      </c>
      <c r="B874" s="383"/>
      <c r="C874" s="383"/>
      <c r="D874" s="383"/>
      <c r="E874" s="383"/>
      <c r="F874" s="383"/>
      <c r="G874" s="383"/>
      <c r="H874" s="383"/>
      <c r="I874" s="383"/>
      <c r="J874" s="383"/>
      <c r="K874" s="383"/>
      <c r="L874" s="383"/>
      <c r="M874" s="383"/>
      <c r="N874" s="383"/>
      <c r="O874" s="383"/>
      <c r="P874" s="383"/>
      <c r="Q874" s="383"/>
      <c r="R874" s="383"/>
    </row>
    <row r="875" spans="1:18" ht="15.75" customHeight="1" x14ac:dyDescent="0.3">
      <c r="A875" s="383" t="s">
        <v>2</v>
      </c>
      <c r="B875" s="383"/>
      <c r="C875" s="383"/>
      <c r="D875" s="383"/>
      <c r="E875" s="383"/>
      <c r="F875" s="383"/>
      <c r="G875" s="383"/>
      <c r="H875" s="383"/>
      <c r="I875" s="383"/>
      <c r="J875" s="383"/>
      <c r="K875" s="383"/>
      <c r="L875" s="383"/>
      <c r="M875" s="383"/>
      <c r="N875" s="383"/>
      <c r="O875" s="383"/>
      <c r="P875" s="383"/>
      <c r="Q875" s="383"/>
      <c r="R875" s="383"/>
    </row>
    <row r="876" spans="1:18" ht="15.75" customHeight="1" x14ac:dyDescent="0.3">
      <c r="A876" s="383" t="s">
        <v>3</v>
      </c>
      <c r="B876" s="383"/>
      <c r="C876" s="383"/>
      <c r="D876" s="383"/>
      <c r="E876" s="383"/>
      <c r="F876" s="383"/>
      <c r="G876" s="383"/>
      <c r="H876" s="383"/>
      <c r="I876" s="383"/>
      <c r="J876" s="383"/>
      <c r="K876" s="383"/>
      <c r="L876" s="383"/>
      <c r="M876" s="383"/>
      <c r="N876" s="383"/>
      <c r="O876" s="383"/>
      <c r="P876" s="383"/>
      <c r="Q876" s="383"/>
      <c r="R876" s="383"/>
    </row>
    <row r="877" spans="1:18" ht="15.75" customHeight="1" x14ac:dyDescent="0.3">
      <c r="A877" s="391">
        <f>+A5</f>
        <v>2021</v>
      </c>
      <c r="B877" s="391"/>
      <c r="C877" s="391"/>
      <c r="D877" s="391"/>
      <c r="E877" s="391"/>
      <c r="F877" s="391"/>
      <c r="G877" s="391"/>
      <c r="H877" s="391"/>
      <c r="I877" s="391"/>
      <c r="J877" s="391"/>
      <c r="K877" s="391"/>
      <c r="L877" s="391"/>
      <c r="M877" s="391"/>
      <c r="N877" s="391"/>
      <c r="O877" s="391"/>
      <c r="P877" s="391"/>
      <c r="Q877" s="391"/>
      <c r="R877" s="391"/>
    </row>
    <row r="878" spans="1:18" ht="15.75" customHeight="1" x14ac:dyDescent="0.3">
      <c r="A878" s="1"/>
      <c r="B878" s="1"/>
      <c r="C878" s="1"/>
      <c r="D878" s="7"/>
      <c r="E878" s="7"/>
      <c r="F878" s="7"/>
      <c r="G878" s="8"/>
      <c r="H878" s="7"/>
      <c r="I878" s="7"/>
      <c r="J878" s="8"/>
      <c r="K878" s="8"/>
      <c r="L878" s="8"/>
      <c r="M878" s="8"/>
      <c r="N878" s="1"/>
      <c r="O878" s="8"/>
      <c r="P878" s="8"/>
      <c r="Q878" s="8"/>
      <c r="R878" s="8"/>
    </row>
    <row r="879" spans="1:18" ht="15.75" customHeight="1" x14ac:dyDescent="0.3">
      <c r="A879" s="383" t="str">
        <f>+A8</f>
        <v>Revised:  2/5/2020</v>
      </c>
      <c r="B879" s="383"/>
      <c r="C879" s="383"/>
      <c r="D879" s="383"/>
      <c r="E879" s="383"/>
      <c r="F879" s="383"/>
      <c r="G879" s="383"/>
      <c r="H879" s="383"/>
      <c r="I879" s="383"/>
      <c r="J879" s="383"/>
      <c r="K879" s="383"/>
      <c r="L879" s="383"/>
      <c r="M879" s="383"/>
      <c r="N879" s="383"/>
      <c r="O879" s="383"/>
      <c r="P879" s="383"/>
      <c r="Q879" s="383"/>
      <c r="R879" s="383"/>
    </row>
    <row r="880" spans="1:18" ht="15.75" customHeight="1" x14ac:dyDescent="0.3">
      <c r="A880" s="6"/>
      <c r="B880" s="6"/>
      <c r="C880" s="6"/>
      <c r="D880" s="6"/>
      <c r="E880" s="6"/>
      <c r="F880" s="6"/>
      <c r="G880" s="6"/>
      <c r="H880" s="6"/>
      <c r="I880" s="6"/>
      <c r="J880" s="6"/>
      <c r="K880" s="6"/>
      <c r="L880" s="6"/>
      <c r="M880" s="6"/>
      <c r="N880" s="6"/>
      <c r="O880" s="6"/>
      <c r="P880" s="6"/>
      <c r="Q880" s="6"/>
      <c r="R880" s="6"/>
    </row>
    <row r="881" spans="1:20" ht="15.75" customHeight="1" x14ac:dyDescent="0.3">
      <c r="A881" s="6"/>
      <c r="B881" s="6"/>
      <c r="C881" s="6"/>
      <c r="D881" s="6"/>
      <c r="E881" s="6"/>
      <c r="F881" s="6"/>
      <c r="G881" s="6"/>
      <c r="H881" s="6"/>
      <c r="I881" s="6"/>
      <c r="J881" s="6"/>
      <c r="K881" s="6"/>
      <c r="L881" s="6"/>
      <c r="M881" s="6"/>
      <c r="N881" s="6"/>
      <c r="O881" s="6"/>
      <c r="P881" s="6"/>
      <c r="Q881" s="6"/>
      <c r="R881" s="6"/>
    </row>
    <row r="882" spans="1:20" ht="15.75" customHeight="1" thickBot="1" x14ac:dyDescent="0.35">
      <c r="A882" s="30"/>
      <c r="B882" s="1"/>
      <c r="C882" s="1"/>
      <c r="D882" s="1"/>
      <c r="E882" s="1"/>
      <c r="F882" s="1"/>
      <c r="G882" s="1"/>
      <c r="H882" s="1"/>
      <c r="I882" s="1"/>
      <c r="J882" s="1"/>
      <c r="K882" s="1"/>
      <c r="L882" s="1"/>
      <c r="M882" s="1"/>
      <c r="N882" s="1"/>
      <c r="O882" s="1"/>
      <c r="P882" s="1"/>
      <c r="Q882" s="1"/>
      <c r="R882" s="28"/>
    </row>
    <row r="883" spans="1:20" ht="16.5" customHeight="1" thickBot="1" x14ac:dyDescent="0.35">
      <c r="A883" s="145" t="s">
        <v>618</v>
      </c>
      <c r="B883" s="32" t="s">
        <v>36</v>
      </c>
      <c r="C883" s="33" t="s">
        <v>9</v>
      </c>
      <c r="D883" s="33" t="s">
        <v>10</v>
      </c>
      <c r="E883" s="12" t="s">
        <v>11</v>
      </c>
      <c r="F883" s="33" t="s">
        <v>12</v>
      </c>
      <c r="G883" s="33" t="s">
        <v>13</v>
      </c>
      <c r="H883" s="33" t="s">
        <v>14</v>
      </c>
      <c r="I883" s="34" t="s">
        <v>15</v>
      </c>
      <c r="J883" s="33" t="s">
        <v>16</v>
      </c>
      <c r="K883" s="33" t="s">
        <v>17</v>
      </c>
      <c r="L883" s="33" t="s">
        <v>18</v>
      </c>
      <c r="M883" s="34" t="s">
        <v>19</v>
      </c>
      <c r="N883" s="33" t="s">
        <v>20</v>
      </c>
      <c r="O883" s="33" t="s">
        <v>21</v>
      </c>
      <c r="P883" s="33" t="s">
        <v>22</v>
      </c>
      <c r="Q883" s="34" t="s">
        <v>23</v>
      </c>
      <c r="R883" s="157" t="s">
        <v>24</v>
      </c>
    </row>
    <row r="884" spans="1:20" ht="16.5" customHeight="1" thickBot="1" x14ac:dyDescent="0.35">
      <c r="A884" s="42"/>
      <c r="B884" s="37"/>
      <c r="C884" s="37"/>
      <c r="D884" s="37"/>
      <c r="E884" s="16"/>
      <c r="F884" s="37"/>
      <c r="G884" s="37"/>
      <c r="H884" s="37"/>
      <c r="I884" s="156"/>
      <c r="J884" s="37"/>
      <c r="K884" s="37"/>
      <c r="L884" s="37"/>
      <c r="M884" s="156"/>
      <c r="N884" s="37"/>
      <c r="O884" s="37"/>
      <c r="P884" s="37"/>
      <c r="Q884" s="158"/>
      <c r="R884" s="159"/>
    </row>
    <row r="885" spans="1:20" ht="15.75" customHeight="1" x14ac:dyDescent="0.3">
      <c r="A885" s="17" t="s">
        <v>45</v>
      </c>
      <c r="B885" s="1" t="s">
        <v>7</v>
      </c>
      <c r="C885" s="1" t="s">
        <v>7</v>
      </c>
      <c r="D885" s="1" t="s">
        <v>7</v>
      </c>
      <c r="E885" s="160"/>
      <c r="F885" s="1" t="s">
        <v>7</v>
      </c>
      <c r="G885" s="1" t="s">
        <v>7</v>
      </c>
      <c r="H885" s="1" t="s">
        <v>7</v>
      </c>
      <c r="I885" s="160"/>
      <c r="J885" s="1" t="s">
        <v>7</v>
      </c>
      <c r="K885" s="1" t="s">
        <v>7</v>
      </c>
      <c r="L885" s="1" t="s">
        <v>7</v>
      </c>
      <c r="M885" s="160"/>
      <c r="N885" s="1" t="s">
        <v>7</v>
      </c>
      <c r="O885" s="1" t="s">
        <v>7</v>
      </c>
      <c r="P885" s="1" t="s">
        <v>7</v>
      </c>
      <c r="Q885" s="161"/>
      <c r="R885" s="162" t="s">
        <v>7</v>
      </c>
    </row>
    <row r="886" spans="1:20" ht="15.75" customHeight="1" x14ac:dyDescent="0.3">
      <c r="A886" s="164" t="s">
        <v>46</v>
      </c>
      <c r="B886" s="1">
        <f>+SUM(B71:B82)+SUM(B141:B197)+SUM(B338:B375)+SUM(B527:B532)+SUM(B572:B577)+SUM(B617:B629)+SUM(B693:B696)+SUM(B729:B735)+SUM(B791:B792)+SUM(B825:B831)</f>
        <v>33528</v>
      </c>
      <c r="C886" s="1">
        <f>+SUM(C71:C82)+SUM(C141:C197)+SUM(C338:C375)+SUM(C527:C532)+SUM(C572:C577)+SUM(C617:C629)+SUM(C693:C696)+SUM(C729:C735)+SUM(C791:C792)+SUM(C825:C831)</f>
        <v>35713</v>
      </c>
      <c r="D886" s="1">
        <f>+SUM(D71:D82)+SUM(D141:D197)+SUM(D338:D375)+SUM(D527:D532)+SUM(D572:D577)+SUM(D617:D629)+SUM(D693:D696)+SUM(D729:D735)+SUM(D791:D792)+SUM(D825:D831)</f>
        <v>44444</v>
      </c>
      <c r="E886" s="59">
        <f t="shared" ref="E886:E892" si="284">SUM(B886:D886)</f>
        <v>113685</v>
      </c>
      <c r="F886" s="1">
        <f>+SUM(F71:F82)+SUM(F141:F197)+SUM(F338:F375)+SUM(F527:F532)+SUM(F572:F577)+SUM(F617:F629)+SUM(F693:F696)+SUM(F729:F735)+SUM(F791:F792)+SUM(F825:F831)</f>
        <v>53223</v>
      </c>
      <c r="G886" s="1">
        <f>+SUM(G71:G82)+SUM(G141:G197)+SUM(G338:G375)+SUM(G527:G532)+SUM(G572:G577)+SUM(G617:G629)+SUM(G693:G696)+SUM(G729:G735)+SUM(G791:G792)+SUM(G825:G831)</f>
        <v>55775</v>
      </c>
      <c r="H886" s="1">
        <f>+SUM(H71:H82)+SUM(H141:H197)+SUM(H338:H375)+SUM(H527:H532)+SUM(H572:H577)+SUM(H617:H629)+SUM(H693:H696)+SUM(H729:H735)+SUM(H791:H792)+SUM(H825:H831)</f>
        <v>72358</v>
      </c>
      <c r="I886" s="59">
        <f t="shared" ref="I886:I892" si="285">SUM(F886:H886)</f>
        <v>181356</v>
      </c>
      <c r="J886" s="1">
        <f>+SUM(J71:J82)+SUM(J141:J197)+SUM(J338:J375)+SUM(J527:J532)+SUM(J572:J577)+SUM(J617:J629)+SUM(J693:J696)+SUM(J729:J735)+SUM(J791:J792)+SUM(J825:J831)</f>
        <v>80575</v>
      </c>
      <c r="K886" s="1">
        <f>+SUM(K71:K82)+SUM(K141:K197)+SUM(K338:K375)+SUM(K527:K532)+SUM(K572:K577)+SUM(K617:K629)+SUM(K693:K696)+SUM(K729:K735)+SUM(K791:K792)+SUM(K825:K831)</f>
        <v>66900</v>
      </c>
      <c r="L886" s="1">
        <f>+SUM(L71:L82)+SUM(L141:L197)+SUM(L338:L375)+SUM(L527:L532)+SUM(L572:L577)+SUM(L617:L629)+SUM(L693:L696)+SUM(L729:L735)+SUM(L791:L792)+SUM(L825:L831)</f>
        <v>58605</v>
      </c>
      <c r="M886" s="59">
        <f t="shared" ref="M886:M892" si="286">SUM(J886:L886)</f>
        <v>206080</v>
      </c>
      <c r="N886" s="1">
        <f>+SUM(N71:N82)+SUM(N141:N197)+SUM(N338:N375)+SUM(N527:N532)+SUM(N572:N577)+SUM(N617:N629)+SUM(N693:N696)+SUM(N729:N735)+SUM(N791:N792)+SUM(N825:N831)</f>
        <v>42298</v>
      </c>
      <c r="O886" s="1">
        <f>+SUM(O71:O82)+SUM(O141:O197)+SUM(O338:O375)+SUM(O527:O532)+SUM(O572:O577)+SUM(O617:O629)+SUM(O693:O696)+SUM(O729:O735)+SUM(O791:O792)+SUM(O825:O831)</f>
        <v>31655</v>
      </c>
      <c r="P886" s="1">
        <f>+SUM(P71:P82)+SUM(P141:P197)+SUM(P338:P375)+SUM(P527:P532)+SUM(P572:P577)+SUM(P617:P629)+SUM(P693:P696)+SUM(P729:P735)+SUM(P791:P792)+SUM(P825:P831)</f>
        <v>32487</v>
      </c>
      <c r="Q886" s="59">
        <f t="shared" ref="Q886:Q892" si="287">SUM(N886:P886)</f>
        <v>106440</v>
      </c>
      <c r="R886" s="59">
        <f t="shared" ref="R886:R892" si="288">+E886+I886+M886+Q886</f>
        <v>607561</v>
      </c>
    </row>
    <row r="887" spans="1:20" ht="15.75" customHeight="1" x14ac:dyDescent="0.3">
      <c r="A887" s="17" t="s">
        <v>619</v>
      </c>
      <c r="B887" s="1">
        <f>+B38+SUM(B83:B84)+SUM(B199:B208)+SUM(B377:B387)+SUM(B534:B535)+B578+SUM(B630:B631)+B697+B736+B793+SUM(B832:B832)</f>
        <v>0</v>
      </c>
      <c r="C887" s="1">
        <f>+C38+SUM(C83:C84)+SUM(C199:C208)+SUM(C377:C387)+SUM(C534:C535)+C578+SUM(C630:C631)+C697+C736+C793+SUM(C832:C832)</f>
        <v>0</v>
      </c>
      <c r="D887" s="1">
        <f>+D38+SUM(D83:D84)+SUM(D199:D208)+SUM(D377:D387)+SUM(D534:D535)+D578+SUM(D630:D631)+D697+D736+D793+SUM(D832:D832)</f>
        <v>0</v>
      </c>
      <c r="E887" s="59">
        <f t="shared" si="284"/>
        <v>0</v>
      </c>
      <c r="F887" s="1">
        <f>+F38+SUM(F83:F84)+SUM(F199:F208)+SUM(F377:F387)+SUM(F534:F535)+F578+SUM(F630:F631)+F697+F736+F793+SUM(F832:F832)</f>
        <v>0</v>
      </c>
      <c r="G887" s="1">
        <f>+G38+SUM(G83:G84)+SUM(G199:G208)+SUM(G377:G387)+SUM(G534:G535)+G578+SUM(G630:G631)+G697+G736+G793+SUM(G832:G832)</f>
        <v>0</v>
      </c>
      <c r="H887" s="1">
        <f>+H38+SUM(H83:H84)+SUM(H199:H208)+SUM(H377:H387)+SUM(H534:H535)+H578+SUM(H630:H631)+H697+H736+H793+SUM(H832:H832)</f>
        <v>0</v>
      </c>
      <c r="I887" s="59">
        <f t="shared" si="285"/>
        <v>0</v>
      </c>
      <c r="J887" s="1">
        <f>+J38+SUM(J83:J84)+SUM(J199:J208)+SUM(J377:J387)+SUM(J534:J535)+J578+SUM(J630:J631)+J697+J736+J793+SUM(J832:J832)</f>
        <v>0</v>
      </c>
      <c r="K887" s="1">
        <f>+K38+SUM(K83:K84)+SUM(K199:K208)+SUM(K377:K387)+SUM(K534:K535)+K578+SUM(K630:K631)+K697+K736+K793+SUM(K832:K832)</f>
        <v>0</v>
      </c>
      <c r="L887" s="1">
        <f>+L38+SUM(L83:L84)+SUM(L199:L208)+SUM(L377:L387)+SUM(L534:L535)+L578+SUM(L630:L631)+L697+L736+L793+SUM(L832:L832)</f>
        <v>0</v>
      </c>
      <c r="M887" s="59">
        <f t="shared" si="286"/>
        <v>0</v>
      </c>
      <c r="N887" s="1">
        <f>+N38+SUM(N83:N84)+SUM(N199:N208)+SUM(N377:N387)+SUM(N534:N535)+N578+SUM(N630:N631)+N697+N736+N793+SUM(N832:N832)</f>
        <v>0</v>
      </c>
      <c r="O887" s="1">
        <f>+O38+SUM(O83:O84)+SUM(O199:O208)+SUM(O377:O387)+SUM(O534:O535)+O578+SUM(O630:O631)+O697+O736+O793+SUM(O832:O832)</f>
        <v>0</v>
      </c>
      <c r="P887" s="1">
        <f>+P38+SUM(P83:P84)+SUM(P199:P208)+SUM(P377:P387)+SUM(P534:P535)+P578+SUM(P630:P631)+P697+P736+P793+SUM(P832:P832)</f>
        <v>0</v>
      </c>
      <c r="Q887" s="59">
        <f t="shared" si="287"/>
        <v>0</v>
      </c>
      <c r="R887" s="59">
        <f t="shared" si="288"/>
        <v>0</v>
      </c>
    </row>
    <row r="888" spans="1:20" ht="15.75" customHeight="1" x14ac:dyDescent="0.3">
      <c r="A888" s="164" t="s">
        <v>620</v>
      </c>
      <c r="B888" s="1">
        <f>+SUM(B85:B87)+SUM(B209:B212)+SUM(B388:B392)+B536+B579+SUM(B632:B633)+B698+B737+B794+SUM(B833:B834)</f>
        <v>0</v>
      </c>
      <c r="C888" s="1">
        <f>+SUM(C85:C87)+SUM(C209:C212)+SUM(C388:C392)+C536+C579+SUM(C632:C633)+C698+C737+C794+SUM(C833:C834)</f>
        <v>0</v>
      </c>
      <c r="D888" s="1">
        <f>+SUM(D85:D87)+SUM(D209:D212)+SUM(D388:D392)+D536+D579+SUM(D632:D633)+D698+D737+D794+SUM(D833:D834)</f>
        <v>0</v>
      </c>
      <c r="E888" s="59">
        <f t="shared" si="284"/>
        <v>0</v>
      </c>
      <c r="F888" s="1">
        <f>+SUM(F85:F87)+SUM(F209:F212)+SUM(F388:F392)+F536+F579+SUM(F632:F633)+F698+F737+F794+SUM(F833:F834)</f>
        <v>0</v>
      </c>
      <c r="G888" s="1">
        <f>+SUM(G85:G87)+SUM(G209:G212)+SUM(G388:G392)+G536+G579+SUM(G632:G633)+G698+G737+G794+SUM(G833:G834)</f>
        <v>0</v>
      </c>
      <c r="H888" s="1">
        <f>+SUM(H85:H87)+SUM(H209:H212)+SUM(H388:H392)+H536+H579+SUM(H632:H633)+H698+H737+H794+SUM(H833:H834)</f>
        <v>0</v>
      </c>
      <c r="I888" s="59">
        <f t="shared" si="285"/>
        <v>0</v>
      </c>
      <c r="J888" s="1">
        <f>+SUM(J85:J87)+SUM(J209:J212)+SUM(J388:J392)+J536+J579+SUM(J632:J633)+J698+J737+J794+SUM(J833:J834)</f>
        <v>0</v>
      </c>
      <c r="K888" s="1">
        <f>+SUM(K85:K87)+SUM(K209:K212)+SUM(K388:K392)+K536+K579+SUM(K632:K633)+K698+K737+K794+SUM(K833:K834)</f>
        <v>0</v>
      </c>
      <c r="L888" s="1">
        <f>+SUM(L85:L87)+SUM(L209:L212)+SUM(L388:L392)+L536+L579+SUM(L632:L633)+L698+L737+L794+SUM(L833:L834)</f>
        <v>0</v>
      </c>
      <c r="M888" s="59">
        <f t="shared" si="286"/>
        <v>0</v>
      </c>
      <c r="N888" s="1">
        <f>+SUM(N85:N87)+SUM(N209:N212)+SUM(N388:N392)+N536+N579+SUM(N632:N633)+N698+N737+N794+SUM(N833:N834)</f>
        <v>0</v>
      </c>
      <c r="O888" s="1">
        <f>+SUM(O85:O87)+SUM(O209:O212)+SUM(O388:O392)+O536+O579+SUM(O632:O633)+O698+O737+O794+SUM(O833:O834)</f>
        <v>0</v>
      </c>
      <c r="P888" s="1">
        <f>+SUM(P85:P87)+SUM(P209:P212)+SUM(P388:P392)+P536+P579+SUM(P632:P633)+P698+P737+P794+SUM(P833:P834)</f>
        <v>0</v>
      </c>
      <c r="Q888" s="59">
        <f t="shared" si="287"/>
        <v>0</v>
      </c>
      <c r="R888" s="59">
        <f>+E888+I888+M888+Q888</f>
        <v>0</v>
      </c>
    </row>
    <row r="889" spans="1:20" ht="15.75" customHeight="1" x14ac:dyDescent="0.3">
      <c r="A889" s="17" t="s">
        <v>621</v>
      </c>
      <c r="B889" s="1">
        <f>+B315+B508+B509</f>
        <v>0</v>
      </c>
      <c r="C889" s="1">
        <f>+C315+C508+C509</f>
        <v>0</v>
      </c>
      <c r="D889" s="1">
        <f>+D315+D508+D509</f>
        <v>0</v>
      </c>
      <c r="E889" s="59">
        <f t="shared" si="284"/>
        <v>0</v>
      </c>
      <c r="F889" s="1">
        <f>+F315+F508+F509</f>
        <v>0</v>
      </c>
      <c r="G889" s="1">
        <f>+G315+G508+G509</f>
        <v>0</v>
      </c>
      <c r="H889" s="1">
        <f>+H315+H508+H509</f>
        <v>0</v>
      </c>
      <c r="I889" s="59">
        <f t="shared" si="285"/>
        <v>0</v>
      </c>
      <c r="J889" s="1">
        <f>+J315+J508+J509</f>
        <v>0</v>
      </c>
      <c r="K889" s="1">
        <f>+K315+K508+K509</f>
        <v>0</v>
      </c>
      <c r="L889" s="1">
        <f>+L315+L508+L509</f>
        <v>0</v>
      </c>
      <c r="M889" s="59">
        <f t="shared" si="286"/>
        <v>0</v>
      </c>
      <c r="N889" s="1">
        <f>+N315+N508+N509</f>
        <v>0</v>
      </c>
      <c r="O889" s="1">
        <f>+O315+O508+O509</f>
        <v>0</v>
      </c>
      <c r="P889" s="1">
        <f>+P315+P508+P509</f>
        <v>0</v>
      </c>
      <c r="Q889" s="59">
        <f t="shared" si="287"/>
        <v>0</v>
      </c>
      <c r="R889" s="59">
        <f t="shared" si="288"/>
        <v>0</v>
      </c>
    </row>
    <row r="890" spans="1:20" ht="15.75" customHeight="1" x14ac:dyDescent="0.3">
      <c r="A890" s="164" t="s">
        <v>622</v>
      </c>
      <c r="B890" s="1">
        <f>+B316</f>
        <v>42</v>
      </c>
      <c r="C890" s="1">
        <f>+C316</f>
        <v>43</v>
      </c>
      <c r="D890" s="1">
        <f>+D316</f>
        <v>47</v>
      </c>
      <c r="E890" s="59">
        <f>SUM(B890:D890)</f>
        <v>132</v>
      </c>
      <c r="F890" s="1">
        <f>+F316</f>
        <v>52</v>
      </c>
      <c r="G890" s="1">
        <f>+G316</f>
        <v>52</v>
      </c>
      <c r="H890" s="1">
        <f>+H316</f>
        <v>57</v>
      </c>
      <c r="I890" s="59">
        <f>SUM(F890:H890)</f>
        <v>161</v>
      </c>
      <c r="J890" s="1">
        <f>+J316</f>
        <v>62</v>
      </c>
      <c r="K890" s="1">
        <f>+K316</f>
        <v>62</v>
      </c>
      <c r="L890" s="1">
        <f>+L316</f>
        <v>62</v>
      </c>
      <c r="M890" s="59">
        <f>SUM(J890:L890)</f>
        <v>186</v>
      </c>
      <c r="N890" s="1">
        <f>+N316</f>
        <v>57</v>
      </c>
      <c r="O890" s="1">
        <f>+O316</f>
        <v>42</v>
      </c>
      <c r="P890" s="1">
        <f>+P316</f>
        <v>47</v>
      </c>
      <c r="Q890" s="59">
        <f t="shared" si="287"/>
        <v>146</v>
      </c>
      <c r="R890" s="59">
        <f>+E890+I890+M890+Q890</f>
        <v>625</v>
      </c>
    </row>
    <row r="891" spans="1:20" ht="15.75" customHeight="1" thickBot="1" x14ac:dyDescent="0.35">
      <c r="A891" s="17" t="s">
        <v>51</v>
      </c>
      <c r="B891" s="1">
        <f>+B88+B537+B580+B634+B699+B738+B795+B835</f>
        <v>0</v>
      </c>
      <c r="C891" s="1">
        <f>+C88+C537+C580+C634+C699+C738+C795+C835</f>
        <v>0</v>
      </c>
      <c r="D891" s="1">
        <f>+D88+D537+D580+D634+D699+D738+D795+D835</f>
        <v>0</v>
      </c>
      <c r="E891" s="59">
        <f t="shared" si="284"/>
        <v>0</v>
      </c>
      <c r="F891" s="1">
        <f>+F88+F537+F580+F634+F699+F738+F795+F835</f>
        <v>0</v>
      </c>
      <c r="G891" s="1">
        <f>+G88+G537+G580+G634+G699+G738+G795+G835</f>
        <v>0</v>
      </c>
      <c r="H891" s="1">
        <f>+H88+H537+H580+H634+H699+H738+H795+H835</f>
        <v>0</v>
      </c>
      <c r="I891" s="59">
        <f t="shared" si="285"/>
        <v>0</v>
      </c>
      <c r="J891" s="1">
        <f>+J88+J537+J580+J634+J699+J738+J795+J835</f>
        <v>0</v>
      </c>
      <c r="K891" s="1">
        <f>+K88+K537+K580+K634+K699+K738+K795+K835</f>
        <v>0</v>
      </c>
      <c r="L891" s="1">
        <f>+L88+L537+L580+L634+L699+L738+L795+L835</f>
        <v>0</v>
      </c>
      <c r="M891" s="59">
        <f t="shared" si="286"/>
        <v>0</v>
      </c>
      <c r="N891" s="1">
        <f>+N88+N537+N580+N634+N699+N738+N795+N835</f>
        <v>0</v>
      </c>
      <c r="O891" s="1">
        <f>+O88+O537+O580+O634+O699+O738+O795+O835</f>
        <v>0</v>
      </c>
      <c r="P891" s="1">
        <f>+P88+P537+P580+P634+P699+P738+P795+P835</f>
        <v>0</v>
      </c>
      <c r="Q891" s="59">
        <f t="shared" si="287"/>
        <v>0</v>
      </c>
      <c r="R891" s="59">
        <f t="shared" si="288"/>
        <v>0</v>
      </c>
    </row>
    <row r="892" spans="1:20" ht="16.5" customHeight="1" thickBot="1" x14ac:dyDescent="0.35">
      <c r="A892" s="62" t="s">
        <v>52</v>
      </c>
      <c r="B892" s="100">
        <f>SUM(B885:B891)</f>
        <v>33570</v>
      </c>
      <c r="C892" s="101">
        <f>SUM(C885:C891)</f>
        <v>35756</v>
      </c>
      <c r="D892" s="101">
        <f>SUM(D885:D891)</f>
        <v>44491</v>
      </c>
      <c r="E892" s="64">
        <f t="shared" si="284"/>
        <v>113817</v>
      </c>
      <c r="F892" s="101">
        <f>SUM(F885:F891)</f>
        <v>53275</v>
      </c>
      <c r="G892" s="101">
        <f>SUM(G885:G891)</f>
        <v>55827</v>
      </c>
      <c r="H892" s="101">
        <f>SUM(H885:H891)</f>
        <v>72415</v>
      </c>
      <c r="I892" s="64">
        <f t="shared" si="285"/>
        <v>181517</v>
      </c>
      <c r="J892" s="101">
        <f>SUM(J885:J891)</f>
        <v>80637</v>
      </c>
      <c r="K892" s="101">
        <f>SUM(K885:K891)</f>
        <v>66962</v>
      </c>
      <c r="L892" s="101">
        <f>SUM(L885:L891)</f>
        <v>58667</v>
      </c>
      <c r="M892" s="64">
        <f t="shared" si="286"/>
        <v>206266</v>
      </c>
      <c r="N892" s="101">
        <f>SUM(N885:N891)</f>
        <v>42355</v>
      </c>
      <c r="O892" s="101">
        <f>SUM(O885:O891)</f>
        <v>31697</v>
      </c>
      <c r="P892" s="101">
        <f>SUM(P885:P891)</f>
        <v>32534</v>
      </c>
      <c r="Q892" s="64">
        <f t="shared" si="287"/>
        <v>106586</v>
      </c>
      <c r="R892" s="64">
        <f t="shared" si="288"/>
        <v>608186</v>
      </c>
      <c r="T892" s="4">
        <f>+R892-R889-R888</f>
        <v>608186</v>
      </c>
    </row>
    <row r="893" spans="1:20" ht="15.75" customHeight="1" x14ac:dyDescent="0.3">
      <c r="A893" s="17" t="s">
        <v>53</v>
      </c>
      <c r="B893" s="1"/>
      <c r="C893" s="1"/>
      <c r="D893" s="1"/>
      <c r="E893" s="59" t="s">
        <v>7</v>
      </c>
      <c r="F893" s="1"/>
      <c r="G893" s="1"/>
      <c r="H893" s="1"/>
      <c r="I893" s="59" t="s">
        <v>7</v>
      </c>
      <c r="J893" s="1"/>
      <c r="K893" s="1"/>
      <c r="L893" s="1"/>
      <c r="M893" s="59" t="s">
        <v>7</v>
      </c>
      <c r="N893" s="1"/>
      <c r="O893" s="1"/>
      <c r="P893" s="1"/>
      <c r="Q893" s="59" t="s">
        <v>7</v>
      </c>
      <c r="R893" s="59" t="s">
        <v>7</v>
      </c>
    </row>
    <row r="894" spans="1:20" ht="15.75" customHeight="1" x14ac:dyDescent="0.3">
      <c r="A894" s="17" t="s">
        <v>54</v>
      </c>
      <c r="B894" s="1">
        <f>SUM(B43:B43)+SUM(B216:B216)+SUM(B91:B91)+SUM(B396:B396)</f>
        <v>0</v>
      </c>
      <c r="C894" s="1">
        <f>SUM(C43:C43)+SUM(C216:C216)+SUM(C91:C91)+SUM(C396:C396)</f>
        <v>0</v>
      </c>
      <c r="D894" s="1">
        <f>SUM(D43:D43)+SUM(D216:D216)+SUM(D91:D91)+SUM(D396:D396)</f>
        <v>0</v>
      </c>
      <c r="E894" s="59">
        <f>SUM(B894:D894)</f>
        <v>0</v>
      </c>
      <c r="F894" s="1">
        <f>SUM(F43:F43)+SUM(F216:F216)+SUM(F91:F91)+SUM(F396:F396)</f>
        <v>0</v>
      </c>
      <c r="G894" s="1">
        <f>SUM(G43:G43)+SUM(G216:G216)+SUM(G91:G91)+SUM(G396:G396)</f>
        <v>0</v>
      </c>
      <c r="H894" s="1">
        <f>SUM(H43:H43)+SUM(H216:H216)+SUM(H91:H91)+SUM(H396:H396)</f>
        <v>0</v>
      </c>
      <c r="I894" s="59">
        <f>SUM(F894:H894)</f>
        <v>0</v>
      </c>
      <c r="J894" s="1">
        <f>SUM(J43:J43)+SUM(J216:J216)+SUM(J91:J91)+SUM(J396:J396)</f>
        <v>0</v>
      </c>
      <c r="K894" s="1">
        <f>SUM(K43:K43)+SUM(K216:K216)+SUM(K91:K91)+SUM(K396:K396)</f>
        <v>0</v>
      </c>
      <c r="L894" s="1">
        <f>SUM(L43:L43)+SUM(L216:L216)+SUM(L91:L91)+SUM(L396:L396)</f>
        <v>0</v>
      </c>
      <c r="M894" s="59">
        <f>SUM(J894:L894)</f>
        <v>0</v>
      </c>
      <c r="N894" s="1">
        <f>SUM(N43:N43)+SUM(N216:N216)+SUM(N91:N91)+SUM(N396:N396)</f>
        <v>0</v>
      </c>
      <c r="O894" s="1">
        <f>SUM(O43:O43)+SUM(O216:O216)+SUM(O91:O91)+SUM(O396:O396)</f>
        <v>0</v>
      </c>
      <c r="P894" s="1">
        <f>SUM(P43:P43)+SUM(P216:P216)+SUM(P91:P91)+SUM(P396:P396)</f>
        <v>0</v>
      </c>
      <c r="Q894" s="59">
        <f>SUM(N894:P894)</f>
        <v>0</v>
      </c>
      <c r="R894" s="59">
        <f>+E894+I894+M894+Q894</f>
        <v>0</v>
      </c>
    </row>
    <row r="895" spans="1:20" ht="15.75" customHeight="1" x14ac:dyDescent="0.3">
      <c r="A895" s="164" t="s">
        <v>55</v>
      </c>
      <c r="B895" s="1">
        <f>+SUM(B93:B94)+SUM(B217:B219)+SUM(B397:B406)+B541+SUM(B583:B585)+SUM(B637:B639)+SUM(B702:B702)+B741+B798+SUM(B838:B839)</f>
        <v>2450</v>
      </c>
      <c r="C895" s="1">
        <f>+SUM(C93:C94)+SUM(C217:C219)+SUM(C397:C406)+C541+SUM(C583:C585)+SUM(C637:C639)+SUM(C702:C702)+C741+C798+SUM(C838:C839)</f>
        <v>8052</v>
      </c>
      <c r="D895" s="1">
        <f>+SUM(D93:D94)+SUM(D217:D219)+SUM(D397:D406)+D541+SUM(D583:D585)+SUM(D637:D639)+SUM(D702:D702)+D741+D798+SUM(D838:D839)</f>
        <v>19050</v>
      </c>
      <c r="E895" s="59">
        <f>SUM(B895:D895)</f>
        <v>29552</v>
      </c>
      <c r="F895" s="1">
        <f>+SUM(F93:F94)+SUM(F217:F219)+SUM(F397:F406)+F541+SUM(F583:F585)+SUM(F637:F639)+SUM(F702:F702)+F741+F798+SUM(F838:F839)</f>
        <v>39941</v>
      </c>
      <c r="G895" s="1">
        <f>+SUM(G93:G94)+SUM(G217:G219)+SUM(G397:G406)+G541+SUM(G583:G585)+SUM(G637:G639)+SUM(G702:G702)+G741+G798+SUM(G838:G839)</f>
        <v>41550</v>
      </c>
      <c r="H895" s="1">
        <f>+SUM(H93:H94)+SUM(H217:H219)+SUM(H397:H406)+H541+SUM(H583:H585)+SUM(H637:H639)+SUM(H702:H702)+H741+H798+SUM(H838:H839)</f>
        <v>48780</v>
      </c>
      <c r="I895" s="59">
        <f>SUM(F895:H895)</f>
        <v>130271</v>
      </c>
      <c r="J895" s="1">
        <f>+SUM(J93:J94)+SUM(J217:J219)+SUM(J397:J406)+J541+SUM(J583:J585)+SUM(J637:J639)+SUM(J702:J702)+J741+J798+SUM(J838:J839)</f>
        <v>33555</v>
      </c>
      <c r="K895" s="1">
        <f>+SUM(K93:K94)+SUM(K217:K219)+SUM(K397:K406)+K541+SUM(K583:K585)+SUM(K637:K639)+SUM(K702:K702)+K741+K798+SUM(K838:K839)</f>
        <v>28424</v>
      </c>
      <c r="L895" s="1">
        <f>+SUM(L93:L94)+SUM(L217:L219)+SUM(L397:L406)+L541+SUM(L583:L585)+SUM(L637:L639)+SUM(L702:L702)+L741+L798+SUM(L838:L839)</f>
        <v>13588</v>
      </c>
      <c r="M895" s="59">
        <f>SUM(J895:L895)</f>
        <v>75567</v>
      </c>
      <c r="N895" s="1">
        <f>+SUM(N93:N94)+SUM(N217:N219)+SUM(N397:N406)+N541+SUM(N583:N585)+SUM(N637:N639)+SUM(N702:N702)+N741+N798+SUM(N838:N839)</f>
        <v>9357</v>
      </c>
      <c r="O895" s="1">
        <f>+SUM(O93:O94)+SUM(O217:O219)+SUM(O397:O406)+O541+SUM(O583:O585)+SUM(O637:O639)+SUM(O702:O702)+O741+O798+SUM(O838:O839)</f>
        <v>7348</v>
      </c>
      <c r="P895" s="1">
        <f>+SUM(P93:P94)+SUM(P217:P219)+SUM(P397:P406)+P541+SUM(P583:P585)+SUM(P637:P639)+SUM(P702:P702)+P741+P798+SUM(P838:P839)</f>
        <v>4015</v>
      </c>
      <c r="Q895" s="59">
        <f>SUM(N895:P895)</f>
        <v>20720</v>
      </c>
      <c r="R895" s="59">
        <f>+E895+I895+M895+Q895</f>
        <v>256110</v>
      </c>
    </row>
    <row r="896" spans="1:20" ht="15.75" customHeight="1" thickBot="1" x14ac:dyDescent="0.35">
      <c r="A896" s="17" t="s">
        <v>56</v>
      </c>
      <c r="B896" s="1">
        <f>+B95+B542+B586+B640+B703+B742+B799+B840+B407+B220+B45</f>
        <v>0</v>
      </c>
      <c r="C896" s="1">
        <f>+C95+C542+C586+C640+C703+C742+C799+C840+C407+C220+C45</f>
        <v>0</v>
      </c>
      <c r="D896" s="1">
        <f>+D95+D542+D586+D640+D703+D742+D799+D840+D407+D220+D45</f>
        <v>0</v>
      </c>
      <c r="E896" s="59">
        <f>SUM(B896:D896)</f>
        <v>0</v>
      </c>
      <c r="F896" s="1">
        <f>+F95+F542+F586+F640+F703+F742+F799+F840+F407+F220+F45</f>
        <v>0</v>
      </c>
      <c r="G896" s="1">
        <f>+G95+G542+G586+G640+G703+G742+G799+G840+G407+G220+G45</f>
        <v>0</v>
      </c>
      <c r="H896" s="1">
        <f>+H95+H542+H586+H640+H703+H742+H799+H840+H407+H220+H45</f>
        <v>0</v>
      </c>
      <c r="I896" s="59">
        <f>SUM(F896:H896)</f>
        <v>0</v>
      </c>
      <c r="J896" s="1">
        <f>+J95+J542+J586+J640+J703+J742+J799+J840+J407+J220+J45</f>
        <v>0</v>
      </c>
      <c r="K896" s="1">
        <f>+K95+K542+K586+K640+K703+K742+K799+K840+K407+K220+K45</f>
        <v>0</v>
      </c>
      <c r="L896" s="1">
        <f>+L95+L542+L586+L640+L703+L742+L799+L840+L407+L220+L45</f>
        <v>0</v>
      </c>
      <c r="M896" s="59">
        <f>SUM(J896:L896)</f>
        <v>0</v>
      </c>
      <c r="N896" s="1">
        <f>+N95+N542+N586+N640+N703+N742+N799+N840+N407+N220+N45</f>
        <v>0</v>
      </c>
      <c r="O896" s="1">
        <f>+O95+O542+O586+O640+O703+O742+O799+O840+O407+O220+O45</f>
        <v>0</v>
      </c>
      <c r="P896" s="1">
        <f>+P95+P542+P586+P640+P703+P742+P799+P840+P407+P220+P45</f>
        <v>0</v>
      </c>
      <c r="Q896" s="59">
        <f>SUM(N896:P896)</f>
        <v>0</v>
      </c>
      <c r="R896" s="59">
        <f>+E896+I896+M896+Q896</f>
        <v>0</v>
      </c>
    </row>
    <row r="897" spans="1:20" ht="16.5" customHeight="1" thickBot="1" x14ac:dyDescent="0.35">
      <c r="A897" s="62" t="s">
        <v>57</v>
      </c>
      <c r="B897" s="100">
        <f>SUM(B893:B896)</f>
        <v>2450</v>
      </c>
      <c r="C897" s="101">
        <f>SUM(C893:C896)</f>
        <v>8052</v>
      </c>
      <c r="D897" s="101">
        <f>SUM(D893:D896)</f>
        <v>19050</v>
      </c>
      <c r="E897" s="64">
        <f>SUM(B897:D897)</f>
        <v>29552</v>
      </c>
      <c r="F897" s="101">
        <f>SUM(F893:F896)</f>
        <v>39941</v>
      </c>
      <c r="G897" s="101">
        <f>SUM(G893:G896)</f>
        <v>41550</v>
      </c>
      <c r="H897" s="101">
        <f>SUM(H893:H896)</f>
        <v>48780</v>
      </c>
      <c r="I897" s="64">
        <f>SUM(F897:H897)</f>
        <v>130271</v>
      </c>
      <c r="J897" s="101">
        <f>SUM(J893:J896)</f>
        <v>33555</v>
      </c>
      <c r="K897" s="101">
        <f>SUM(K893:K896)</f>
        <v>28424</v>
      </c>
      <c r="L897" s="101">
        <f>SUM(L893:L896)</f>
        <v>13588</v>
      </c>
      <c r="M897" s="64">
        <f>SUM(J897:L897)</f>
        <v>75567</v>
      </c>
      <c r="N897" s="101">
        <f>SUM(N893:N896)</f>
        <v>9357</v>
      </c>
      <c r="O897" s="101">
        <f>SUM(O893:O896)</f>
        <v>7348</v>
      </c>
      <c r="P897" s="101">
        <f>SUM(P893:P896)</f>
        <v>4015</v>
      </c>
      <c r="Q897" s="64">
        <f>SUM(N897:P897)</f>
        <v>20720</v>
      </c>
      <c r="R897" s="64">
        <f>+E897+I897+M897+Q897</f>
        <v>256110</v>
      </c>
    </row>
    <row r="898" spans="1:20" ht="15.75" customHeight="1" x14ac:dyDescent="0.3">
      <c r="A898" s="17" t="s">
        <v>58</v>
      </c>
      <c r="B898" s="1"/>
      <c r="C898" s="1"/>
      <c r="D898" s="1"/>
      <c r="E898" s="59" t="s">
        <v>7</v>
      </c>
      <c r="F898" s="1"/>
      <c r="G898" s="1"/>
      <c r="H898" s="1"/>
      <c r="I898" s="59" t="s">
        <v>7</v>
      </c>
      <c r="J898" s="1"/>
      <c r="K898" s="1"/>
      <c r="L898" s="1"/>
      <c r="M898" s="59" t="s">
        <v>7</v>
      </c>
      <c r="N898" s="1"/>
      <c r="O898" s="1"/>
      <c r="P898" s="1"/>
      <c r="Q898" s="59" t="s">
        <v>7</v>
      </c>
      <c r="R898" s="59" t="s">
        <v>7</v>
      </c>
    </row>
    <row r="899" spans="1:20" ht="15.75" customHeight="1" x14ac:dyDescent="0.3">
      <c r="A899" s="164" t="s">
        <v>59</v>
      </c>
      <c r="B899" s="1">
        <f>+B48+B98+B223+SUM(B410:B414)+B545+B589+B643+B706+SUM(B745:B746)+B802+SUM(B843:B845)</f>
        <v>9809</v>
      </c>
      <c r="C899" s="1">
        <f>+C48+C98+C223+SUM(C410:C414)+C545+C589+C643+C706+SUM(C745:C746)+C802+SUM(C843:C845)</f>
        <v>9014</v>
      </c>
      <c r="D899" s="1">
        <f>+D48+D98+D223+SUM(D410:D414)+D545+D589+D643+D706+SUM(D745:D746)+D802+SUM(D843:D845)</f>
        <v>17640</v>
      </c>
      <c r="E899" s="59">
        <f>SUM(B899:D899)</f>
        <v>36463</v>
      </c>
      <c r="F899" s="1">
        <f>+F48+F98+F223+SUM(F410:F414)+F545+F589+F643+F706+SUM(F745:F746)+F802+SUM(F843:F845)</f>
        <v>18545</v>
      </c>
      <c r="G899" s="1">
        <f>+G48+G98+G223+SUM(G410:G414)+G545+G589+G643+G706+SUM(G745:G746)+G802+SUM(G843:G845)</f>
        <v>22758</v>
      </c>
      <c r="H899" s="1">
        <f>+H48+H98+H223+SUM(H410:H414)+H545+H589+H643+H706+SUM(H745:H746)+H802+SUM(H843:H845)</f>
        <v>26619</v>
      </c>
      <c r="I899" s="59">
        <f>SUM(F899:H899)</f>
        <v>67922</v>
      </c>
      <c r="J899" s="1">
        <f>+J48+J98+J223+SUM(J410:J414)+J545+J589+J643+J706+SUM(J745:J746)+J802+SUM(J843:J845)</f>
        <v>23479</v>
      </c>
      <c r="K899" s="1">
        <f>+K48+K98+K223+SUM(K410:K414)+K545+K589+K643+K706+SUM(K745:K746)+K802+SUM(K843:K845)</f>
        <v>18963</v>
      </c>
      <c r="L899" s="1">
        <f>+L48+L98+L223+SUM(L410:L414)+L545+L589+L643+L706+SUM(L745:L746)+L802+SUM(L843:L845)</f>
        <v>18018</v>
      </c>
      <c r="M899" s="59">
        <f>SUM(J899:L899)</f>
        <v>60460</v>
      </c>
      <c r="N899" s="1">
        <f>+N48+N98+N223+SUM(N410:N414)+N545+N589+N643+N706+SUM(N745:N746)+N802+SUM(N843:N845)</f>
        <v>14993</v>
      </c>
      <c r="O899" s="1">
        <f>+O48+O98+O223+SUM(O410:O414)+O545+O589+O643+O706+SUM(O745:O746)+O802+SUM(O843:O845)</f>
        <v>3333</v>
      </c>
      <c r="P899" s="1">
        <f>+P48+P98+P223+SUM(P410:P414)+P545+P589+P643+P706+SUM(P745:P746)+P802+SUM(P843:P845)</f>
        <v>5942</v>
      </c>
      <c r="Q899" s="59">
        <f>SUM(N899:P899)</f>
        <v>24268</v>
      </c>
      <c r="R899" s="59">
        <f>+E899+I899+M899+Q899</f>
        <v>189113</v>
      </c>
    </row>
    <row r="900" spans="1:20" ht="15.75" customHeight="1" thickBot="1" x14ac:dyDescent="0.35">
      <c r="A900" s="164" t="s">
        <v>60</v>
      </c>
      <c r="B900" s="1">
        <f>+B49+SUM(B99:B107)+SUM(B224:B291)+SUM(B415:B479)+SUM(B546:B549)+SUM(B590:B591)+SUM(B644:B651)+B707+SUM(B747:B756)+B803+SUM(B846:B852)</f>
        <v>22663</v>
      </c>
      <c r="C900" s="1">
        <f>+C49+SUM(C99:C107)+SUM(C224:C291)+SUM(C415:C479)+SUM(C546:C549)+SUM(C590:C591)+SUM(C644:C651)+C707+SUM(C747:C756)+C803+SUM(C846:C852)</f>
        <v>23783</v>
      </c>
      <c r="D900" s="1">
        <f>+D49+SUM(D99:D107)+SUM(D224:D291)+SUM(D415:D479)+SUM(D546:D549)+SUM(D590:D591)+SUM(D644:D651)+D707+SUM(D747:D756)+D803+SUM(D846:D852)</f>
        <v>32373</v>
      </c>
      <c r="E900" s="59">
        <f>SUM(B900:D900)</f>
        <v>78819</v>
      </c>
      <c r="F900" s="1">
        <f>+F49+SUM(F99:F107)+SUM(F224:F291)+SUM(F415:F479)+SUM(F546:F549)+SUM(F590:F591)+SUM(F644:F651)+F707+SUM(F747:F756)+F803+SUM(F846:F852)</f>
        <v>40697</v>
      </c>
      <c r="G900" s="1">
        <f>+G49+SUM(G99:G107)+SUM(G224:G291)+SUM(G415:G479)+SUM(G546:G549)+SUM(G590:G591)+SUM(G644:G651)+G707+SUM(G747:G756)+G803+SUM(G846:G852)</f>
        <v>46393</v>
      </c>
      <c r="H900" s="1">
        <f>+H49+SUM(H99:H107)+SUM(H224:H291)+SUM(H415:H479)+SUM(H546:H549)+SUM(H590:H591)+SUM(H644:H651)+H707+SUM(H747:H756)+H803+SUM(H846:H852)</f>
        <v>39347</v>
      </c>
      <c r="I900" s="59">
        <f>SUM(F900:H900)</f>
        <v>126437</v>
      </c>
      <c r="J900" s="1">
        <f>+J49+SUM(J99:J107)+SUM(J224:J291)+SUM(J415:J479)+SUM(J546:J549)+SUM(J590:J591)+SUM(J644:J651)+J707+SUM(J747:J756)+J803+SUM(J846:J852)</f>
        <v>49941</v>
      </c>
      <c r="K900" s="1">
        <f>+K49+SUM(K99:K107)+SUM(K224:K291)+SUM(K415:K479)+SUM(K546:K549)+SUM(K590:K591)+SUM(K644:K651)+K707+SUM(K747:K756)+K803+SUM(K846:K852)</f>
        <v>31251</v>
      </c>
      <c r="L900" s="1">
        <f>+L49+SUM(L99:L107)+SUM(L224:L291)+SUM(L415:L479)+SUM(L546:L549)+SUM(L590:L591)+SUM(L644:L651)+L707+SUM(L747:L756)+L803+SUM(L846:L852)</f>
        <v>18583</v>
      </c>
      <c r="M900" s="59">
        <f>SUM(J900:L900)</f>
        <v>99775</v>
      </c>
      <c r="N900" s="1">
        <f>+N49+SUM(N99:N107)+SUM(N224:N291)+SUM(N415:N479)+SUM(N546:N549)+SUM(N590:N591)+SUM(N644:N651)+N707+SUM(N747:N756)+N803+SUM(N846:N852)</f>
        <v>12610</v>
      </c>
      <c r="O900" s="1">
        <f>+O49+SUM(O99:O107)+SUM(O224:O291)+SUM(O415:O479)+SUM(O546:O549)+SUM(O590:O591)+SUM(O644:O651)+O707+SUM(O747:O756)+O803+SUM(O846:O852)</f>
        <v>9194</v>
      </c>
      <c r="P900" s="1">
        <f>+P49+SUM(P99:P107)+SUM(P224:P291)+SUM(P415:P479)+SUM(P546:P549)+SUM(P590:P591)+SUM(P644:P651)+P707+SUM(P747:P756)+P803+SUM(P846:P852)</f>
        <v>13125</v>
      </c>
      <c r="Q900" s="59">
        <f>SUM(N900:P900)</f>
        <v>34929</v>
      </c>
      <c r="R900" s="59">
        <f>+E900+I900+M900+Q900</f>
        <v>339960</v>
      </c>
    </row>
    <row r="901" spans="1:20" ht="16.5" customHeight="1" thickBot="1" x14ac:dyDescent="0.35">
      <c r="A901" s="62" t="s">
        <v>61</v>
      </c>
      <c r="B901" s="100">
        <f>SUM(B898:B900)</f>
        <v>32472</v>
      </c>
      <c r="C901" s="101">
        <f>SUM(C898:C900)</f>
        <v>32797</v>
      </c>
      <c r="D901" s="138">
        <f>SUM(D898:D900)</f>
        <v>50013</v>
      </c>
      <c r="E901" s="64">
        <f>SUM(B901:D901)</f>
        <v>115282</v>
      </c>
      <c r="F901" s="101">
        <f>SUM(F898:F900)</f>
        <v>59242</v>
      </c>
      <c r="G901" s="101">
        <f>SUM(G898:G900)</f>
        <v>69151</v>
      </c>
      <c r="H901" s="101">
        <f>SUM(H898:H900)</f>
        <v>65966</v>
      </c>
      <c r="I901" s="64">
        <f>SUM(F901:H901)</f>
        <v>194359</v>
      </c>
      <c r="J901" s="101">
        <f>SUM(J898:J900)</f>
        <v>73420</v>
      </c>
      <c r="K901" s="101">
        <f>SUM(K898:K900)</f>
        <v>50214</v>
      </c>
      <c r="L901" s="101">
        <f>SUM(L898:L900)</f>
        <v>36601</v>
      </c>
      <c r="M901" s="64">
        <f>SUM(J901:L901)</f>
        <v>160235</v>
      </c>
      <c r="N901" s="101">
        <f>SUM(N898:N900)</f>
        <v>27603</v>
      </c>
      <c r="O901" s="101">
        <f>SUM(O898:O900)</f>
        <v>12527</v>
      </c>
      <c r="P901" s="101">
        <f>SUM(P898:P900)</f>
        <v>19067</v>
      </c>
      <c r="Q901" s="64">
        <f>SUM(N901:P901)</f>
        <v>59197</v>
      </c>
      <c r="R901" s="64">
        <f>+E901+I901+M901+Q901</f>
        <v>529073</v>
      </c>
      <c r="T901" s="4">
        <v>1600000</v>
      </c>
    </row>
    <row r="902" spans="1:20" ht="20.25" customHeight="1" x14ac:dyDescent="0.3">
      <c r="A902" s="17" t="s">
        <v>623</v>
      </c>
      <c r="B902" s="1"/>
      <c r="C902" s="1"/>
      <c r="D902" s="1"/>
      <c r="E902" s="59" t="s">
        <v>7</v>
      </c>
      <c r="F902" s="1"/>
      <c r="G902" s="1"/>
      <c r="H902" s="1"/>
      <c r="I902" s="59" t="s">
        <v>7</v>
      </c>
      <c r="J902" s="1"/>
      <c r="K902" s="1"/>
      <c r="L902" s="1"/>
      <c r="M902" s="59" t="s">
        <v>7</v>
      </c>
      <c r="N902" s="1"/>
      <c r="O902" s="1"/>
      <c r="P902" s="1"/>
      <c r="Q902" s="59" t="s">
        <v>7</v>
      </c>
      <c r="R902" s="59" t="s">
        <v>7</v>
      </c>
      <c r="T902" s="4">
        <f>+T901-28000-R886-R887-400000-R899-R900+12000</f>
        <v>47366</v>
      </c>
    </row>
    <row r="903" spans="1:20" ht="15.75" customHeight="1" x14ac:dyDescent="0.3">
      <c r="A903" s="17" t="s">
        <v>624</v>
      </c>
      <c r="B903" s="1">
        <f>SUM(B52:B52)+SUM(B110:B118)+SUM(B294:B296)+SUM(B482:B483)+SUM(B552:B552)+B594+SUM(B654:B656)+B710+B759+B806+SUM(B855:B857)</f>
        <v>0</v>
      </c>
      <c r="C903" s="1">
        <f>SUM(C52:C52)+SUM(C110:C118)+SUM(C294:C296)+SUM(C482:C483)+SUM(C552:C552)+C594+SUM(C654:C656)+C710+C759+C806+SUM(C855:C857)</f>
        <v>0</v>
      </c>
      <c r="D903" s="1">
        <f>SUM(D52:D52)+SUM(D110:D118)+SUM(D294:D296)+SUM(D482:D483)+SUM(D552:D552)+D594+SUM(D654:D656)+D710+D759+D806+SUM(D855:D857)</f>
        <v>0</v>
      </c>
      <c r="E903" s="59">
        <f t="shared" ref="E903:E911" si="289">SUM(B903:D903)</f>
        <v>0</v>
      </c>
      <c r="F903" s="1">
        <f>SUM(F52:F52)+SUM(F110:F118)+SUM(F294:F296)+SUM(F482:F483)+SUM(F552:F552)+F594+SUM(F654:F656)+F710+F759+F806+SUM(F855:F857)</f>
        <v>0</v>
      </c>
      <c r="G903" s="1">
        <f>SUM(G52:G52)+SUM(G110:G118)+SUM(G294:G296)+SUM(G482:G483)+SUM(G552:G552)+G594+SUM(G654:G656)+G710+G759+G806+SUM(G855:G857)</f>
        <v>0</v>
      </c>
      <c r="H903" s="1">
        <f>SUM(H52:H52)+SUM(H110:H118)+SUM(H294:H296)+SUM(H482:H483)+SUM(H552:H552)+H594+SUM(H654:H656)+H710+H759+H806+SUM(H855:H857)</f>
        <v>0</v>
      </c>
      <c r="I903" s="59">
        <f t="shared" ref="I903:I911" si="290">SUM(F903:H903)</f>
        <v>0</v>
      </c>
      <c r="J903" s="1">
        <f>SUM(J52:J52)+SUM(J110:J118)+SUM(J294:J296)+SUM(J482:J483)+SUM(J552:J552)+J594+SUM(J654:J656)+J710+J759+J806+SUM(J855:J857)</f>
        <v>0</v>
      </c>
      <c r="K903" s="1">
        <f>SUM(K52:K52)+SUM(K110:K118)+SUM(K294:K296)+SUM(K482:K483)+SUM(K552:K552)+K594+SUM(K654:K656)+K710+K759+K806+SUM(K855:K857)</f>
        <v>0</v>
      </c>
      <c r="L903" s="1">
        <f>SUM(L52:L52)+SUM(L110:L118)+SUM(L294:L296)+SUM(L482:L483)+SUM(L552:L552)+L594+SUM(L654:L656)+L710+L759+L806+SUM(L855:L857)</f>
        <v>0</v>
      </c>
      <c r="M903" s="59">
        <f t="shared" ref="M903:M911" si="291">SUM(J903:L903)</f>
        <v>0</v>
      </c>
      <c r="N903" s="1">
        <f>SUM(N52:N52)+SUM(N110:N118)+SUM(N294:N296)+SUM(N482:N483)+SUM(N552:N552)+N594+SUM(N654:N656)+N710+N759+N806+SUM(N855:N857)</f>
        <v>0</v>
      </c>
      <c r="O903" s="1">
        <f>SUM(O52:O52)+SUM(O110:O118)+SUM(O294:O296)+SUM(O482:O483)+SUM(O552:O552)+O594+SUM(O654:O656)+O710+O759+O806+SUM(O855:O857)</f>
        <v>0</v>
      </c>
      <c r="P903" s="1">
        <f>SUM(P52:P52)+SUM(P110:P118)+SUM(P294:P296)+SUM(P482:P483)+SUM(P552:P552)+P594+SUM(P654:P656)+P710+P759+P806+SUM(P855:P857)</f>
        <v>0</v>
      </c>
      <c r="Q903" s="59">
        <f t="shared" ref="Q903:Q911" si="292">SUM(N903:P903)</f>
        <v>0</v>
      </c>
      <c r="R903" s="59">
        <f>+E903+I903+M903+Q903</f>
        <v>0</v>
      </c>
    </row>
    <row r="904" spans="1:20" ht="15.75" customHeight="1" x14ac:dyDescent="0.3">
      <c r="A904" s="17" t="s">
        <v>64</v>
      </c>
      <c r="B904" s="1">
        <f>SUM(B53:B54)+SUM(B119:B120)+SUM(B297:B298)+B300+B302+B304+B305+SUM(B484:B486)+B553+B595+SUM(B657:B658)+B660+SUM(B711:B712)+B761+B763+B807+SUM(B858:B859)</f>
        <v>0</v>
      </c>
      <c r="C904" s="1">
        <f>SUM(C53:C54)+SUM(C119:C120)+SUM(C297:C298)+C300+C302+C304+C305+SUM(C484:C486)+C553+C595+SUM(C657:C658)+C660+SUM(C711:C712)+C761+C763+C807+SUM(C858:C859)</f>
        <v>0</v>
      </c>
      <c r="D904" s="1">
        <f>SUM(D53:D54)+SUM(D119:D120)+SUM(D297:D298)+D300+D302+D304+D305+SUM(D484:D486)+D553+D595+SUM(D657:D658)+D660+SUM(D711:D712)+D761+D763+D807+SUM(D858:D859)</f>
        <v>0</v>
      </c>
      <c r="E904" s="59">
        <f t="shared" si="289"/>
        <v>0</v>
      </c>
      <c r="F904" s="1">
        <f>SUM(F53:F54)+SUM(F119:F120)+SUM(F297:F298)+F300+F302+F304+F305+SUM(F484:F486)+F553+F595+SUM(F657:F658)+F660+SUM(F711:F712)+F761+F763+F807+SUM(F858:F859)</f>
        <v>0</v>
      </c>
      <c r="G904" s="1">
        <f>SUM(G53:G54)+SUM(G119:G120)+SUM(G297:G298)+G300+G302+G304+G305+SUM(G484:G486)+G553+G595+SUM(G657:G658)+G660+SUM(G711:G712)+G761+G763+G807+SUM(G858:G859)</f>
        <v>0</v>
      </c>
      <c r="H904" s="1">
        <f>SUM(H53:H54)+SUM(H119:H120)+SUM(H297:H298)+H300+H302+H304+H305+SUM(H484:H486)+H553+H595+SUM(H657:H658)+H660+SUM(H711:H712)+H761+H763+H807+SUM(H858:H859)</f>
        <v>0</v>
      </c>
      <c r="I904" s="59">
        <f t="shared" si="290"/>
        <v>0</v>
      </c>
      <c r="J904" s="1">
        <f>SUM(J53:J54)+SUM(J119:J120)+SUM(J297:J298)+J300+J302+J304+J305+SUM(J484:J486)+J553+J595+SUM(J657:J658)+J660+SUM(J711:J712)+J761+J763+J807+SUM(J858:J859)</f>
        <v>0</v>
      </c>
      <c r="K904" s="1">
        <f>SUM(K53:K54)+SUM(K119:K120)+SUM(K297:K298)+K300+K302+K304+K305+SUM(K484:K486)+K553+K595+SUM(K657:K658)+K660+SUM(K711:K712)+K761+K763+K807+SUM(K858:K859)</f>
        <v>0</v>
      </c>
      <c r="L904" s="1">
        <f>SUM(L53:L54)+SUM(L119:L120)+SUM(L297:L298)+L300+L302+L304+L305+SUM(L484:L486)+L553+L595+SUM(L657:L658)+L660+SUM(L711:L712)+L761+L763+L807+SUM(L858:L859)</f>
        <v>0</v>
      </c>
      <c r="M904" s="59">
        <f t="shared" si="291"/>
        <v>0</v>
      </c>
      <c r="N904" s="1">
        <f>SUM(N53:N54)+SUM(N119:N120)+SUM(N297:N298)+N300+N302+N304+N305+SUM(N484:N486)+N553+N595+SUM(N657:N658)+N660+SUM(N711:N712)+N761+N763+N807+SUM(N858:N859)</f>
        <v>0</v>
      </c>
      <c r="O904" s="1">
        <f>SUM(O53:O54)+SUM(O119:O120)+SUM(O297:O298)+O300+O302+O304+O305+SUM(O484:O486)+O553+O595+SUM(O657:O658)+O660+SUM(O711:O712)+O761+O763+O807+SUM(O858:O859)</f>
        <v>0</v>
      </c>
      <c r="P904" s="1">
        <f>SUM(P53:P54)+SUM(P119:P120)+SUM(P297:P298)+P300+P302+P304+P305+SUM(P484:P486)+P553+P595+SUM(P657:P658)+P660+SUM(P711:P712)+P761+P763+P807+SUM(P858:P859)</f>
        <v>0</v>
      </c>
      <c r="Q904" s="59">
        <f t="shared" si="292"/>
        <v>0</v>
      </c>
      <c r="R904" s="59">
        <f t="shared" ref="R904:R911" si="293">+E904+I904+M904+Q904</f>
        <v>0</v>
      </c>
    </row>
    <row r="905" spans="1:20" ht="17.399999999999999" x14ac:dyDescent="0.3">
      <c r="A905" s="74" t="s">
        <v>625</v>
      </c>
      <c r="B905" s="1">
        <f>B121+B299+B301+B303+B659+B661+B762+B764+B860</f>
        <v>0</v>
      </c>
      <c r="C905" s="1">
        <f>C121+C299+C301+C303+C659+C661+C762+C764+C860</f>
        <v>0</v>
      </c>
      <c r="D905" s="1">
        <f>D121+D299+D301+D303+D659+D661+D762+D764+D860</f>
        <v>0</v>
      </c>
      <c r="E905" s="59">
        <f t="shared" si="289"/>
        <v>0</v>
      </c>
      <c r="F905" s="1">
        <f>F121+F299+F301+F303+F659+F661+F762+F764+F860</f>
        <v>0</v>
      </c>
      <c r="G905" s="1">
        <f>G121+G299+G301+G303+G659+G661+G762+G764+G860</f>
        <v>0</v>
      </c>
      <c r="H905" s="1">
        <f>H121+H299+H301+H303+H659+H661+H762+H764+H860</f>
        <v>0</v>
      </c>
      <c r="I905" s="59">
        <f t="shared" si="290"/>
        <v>0</v>
      </c>
      <c r="J905" s="1">
        <f>J121+J299+J301+J303+J659+J661+J762+J764+J860</f>
        <v>0</v>
      </c>
      <c r="K905" s="1">
        <f>K121+K299+K301+K303+K659+K661+K762+K764+K860</f>
        <v>0</v>
      </c>
      <c r="L905" s="1">
        <f>L121+L299+L301+L303+L659+L661+L762+L764+L860</f>
        <v>0</v>
      </c>
      <c r="M905" s="59">
        <f t="shared" si="291"/>
        <v>0</v>
      </c>
      <c r="N905" s="1">
        <f>N121+N299+N301+N303+N659+N661+N762+N764+N860</f>
        <v>0</v>
      </c>
      <c r="O905" s="1">
        <f>O121+O299+O301+O303+O659+O661+O762+O764+O860</f>
        <v>0</v>
      </c>
      <c r="P905" s="1">
        <f>P121+P299+P301+P303+P659+P661+P762+P764+P860</f>
        <v>0</v>
      </c>
      <c r="Q905" s="59">
        <f t="shared" si="292"/>
        <v>0</v>
      </c>
      <c r="R905" s="59">
        <f t="shared" si="293"/>
        <v>0</v>
      </c>
    </row>
    <row r="906" spans="1:20" ht="15.75" customHeight="1" x14ac:dyDescent="0.3">
      <c r="A906" s="17" t="s">
        <v>626</v>
      </c>
      <c r="B906" s="1">
        <f>+B55+SUM(B122:B123)+SUM(B306:B307)+SUM(B487:B493)+SUM(B554:B554)+SUM(B596:B597)+SUM(B662:B664)+B713+B765+B861+B861+B808</f>
        <v>0</v>
      </c>
      <c r="C906" s="1">
        <f>+C55+SUM(C122:C123)+SUM(C306:C307)+SUM(C487:C493)+SUM(C554:C554)+SUM(C596:C597)+SUM(C662:C664)+C713+C765+C861+C861+C808</f>
        <v>0</v>
      </c>
      <c r="D906" s="1">
        <f>+D55+SUM(D122:D123)+SUM(D306:D307)+SUM(D487:D493)+SUM(D554:D554)+SUM(D596:D597)+SUM(D662:D664)+D713+D765+D861+D861+D808</f>
        <v>0</v>
      </c>
      <c r="E906" s="59">
        <f t="shared" si="289"/>
        <v>0</v>
      </c>
      <c r="F906" s="1">
        <f>+F55+SUM(F122:F123)+SUM(F306:F307)+SUM(F487:F493)+SUM(F554:F554)+SUM(F596:F597)+SUM(F662:F664)+F713+F765+F861+F861+F808</f>
        <v>0</v>
      </c>
      <c r="G906" s="1">
        <f>+G55+SUM(G122:G123)+SUM(G306:G307)+SUM(G487:G493)+SUM(G554:G554)+SUM(G596:G597)+SUM(G662:G664)+G713+G765+G861+G861+G808</f>
        <v>0</v>
      </c>
      <c r="H906" s="1">
        <f>+H55+SUM(H122:H123)+SUM(H306:H307)+SUM(H487:H493)+SUM(H554:H554)+SUM(H596:H597)+SUM(H662:H664)+H713+H765+H861+H861+H808</f>
        <v>0</v>
      </c>
      <c r="I906" s="59">
        <f t="shared" si="290"/>
        <v>0</v>
      </c>
      <c r="J906" s="1">
        <f>+J55+SUM(J122:J123)+SUM(J306:J307)+SUM(J487:J493)+SUM(J554:J554)+SUM(J596:J597)+SUM(J662:J664)+J713+J765+J861+J861+J808</f>
        <v>0</v>
      </c>
      <c r="K906" s="1">
        <f>+K55+SUM(K122:K123)+SUM(K306:K307)+SUM(K487:K493)+SUM(K554:K554)+SUM(K596:K597)+SUM(K662:K664)+K713+K765+K861+K861+K808</f>
        <v>0</v>
      </c>
      <c r="L906" s="1">
        <f>+L55+SUM(L122:L123)+SUM(L306:L307)+SUM(L487:L493)+SUM(L554:L554)+SUM(L596:L597)+SUM(L662:L664)+L713+L765+L861+L861+L808</f>
        <v>0</v>
      </c>
      <c r="M906" s="59">
        <f t="shared" si="291"/>
        <v>0</v>
      </c>
      <c r="N906" s="1">
        <f>+N55+SUM(N122:N123)+SUM(N306:N307)+SUM(N487:N493)+SUM(N554:N554)+SUM(N596:N597)+SUM(N662:N664)+N713+N765+N861+N861+N808</f>
        <v>0</v>
      </c>
      <c r="O906" s="1">
        <f>+O55+SUM(O122:O123)+SUM(O306:O307)+SUM(O487:O493)+SUM(O554:O554)+SUM(O596:O597)+SUM(O662:O664)+O713+O765+O861+O861+O808</f>
        <v>0</v>
      </c>
      <c r="P906" s="1">
        <f>+P55+SUM(P122:P123)+SUM(P306:P307)+SUM(P487:P493)+SUM(P554:P554)+SUM(P596:P597)+SUM(P662:P664)+P713+P765+P861+P861+P808</f>
        <v>0</v>
      </c>
      <c r="Q906" s="59">
        <f t="shared" si="292"/>
        <v>0</v>
      </c>
      <c r="R906" s="59">
        <f>+E906+I906+M906+Q906</f>
        <v>0</v>
      </c>
    </row>
    <row r="907" spans="1:20" ht="22.5" customHeight="1" x14ac:dyDescent="0.3">
      <c r="A907" s="17" t="s">
        <v>67</v>
      </c>
      <c r="B907" s="1">
        <f>SUM(B126:B126)+SUM(B308:B309)+B495+B498+B499+B501+B504+SUM(B555:B556)+B599+B602+B665+B666+B668+B714+B766+B809+B862</f>
        <v>0</v>
      </c>
      <c r="C907" s="1">
        <f>SUM(C126:C126)+SUM(C308:C309)+C495+C498+C499+C501+C504+SUM(C555:C556)+C599+C602+C665+C666+C668+C714+C766+C809+C862</f>
        <v>0</v>
      </c>
      <c r="D907" s="1">
        <f>SUM(D126:D126)+SUM(D308:D309)+D495+D498+D499+D501+D504+SUM(D555:D556)+D599+D602+D665+D666+D668+D714+D766+D809+D862</f>
        <v>0</v>
      </c>
      <c r="E907" s="59">
        <f t="shared" si="289"/>
        <v>0</v>
      </c>
      <c r="F907" s="1">
        <f>SUM(F126:F126)+SUM(F308:F309)+F495+F498+F499+F501+F504+SUM(F555:F556)+F599+F602+F665+F666+F668+F714+F766+F809+F862</f>
        <v>0</v>
      </c>
      <c r="G907" s="1">
        <f>SUM(G126:G126)+SUM(G308:G309)+G495+G498+G499+G501+G504+SUM(G555:G556)+G599+G602+G665+G666+G668+G714+G766+G809+G862</f>
        <v>0</v>
      </c>
      <c r="H907" s="1">
        <f>SUM(H126:H126)+SUM(H308:H309)+H495+H498+H499+H501+H504+SUM(H555:H556)+H599+H602+H665+H666+H668+H714+H766+H809+H862</f>
        <v>0</v>
      </c>
      <c r="I907" s="59">
        <f t="shared" si="290"/>
        <v>0</v>
      </c>
      <c r="J907" s="1">
        <f>SUM(J126:J126)+SUM(J308:J309)+J495+J498+J499+J501+J504+SUM(J555:J556)+J599+J602+J665+J666+J668+J714+J766+J809+J862</f>
        <v>0</v>
      </c>
      <c r="K907" s="1">
        <f>SUM(K126:K126)+SUM(K308:K309)+K495+K498+K499+K501+K504+SUM(K555:K556)+K599+K602+K665+K666+K668+K714+K766+K809+K862</f>
        <v>0</v>
      </c>
      <c r="L907" s="1">
        <f>SUM(L126:L126)+SUM(L308:L309)+L495+L498+L499+L501+L504+SUM(L555:L556)+L599+L602+L665+L666+L668+L714+L766+L809+L862</f>
        <v>0</v>
      </c>
      <c r="M907" s="59">
        <f t="shared" si="291"/>
        <v>0</v>
      </c>
      <c r="N907" s="1">
        <f>SUM(N126:N126)+SUM(N308:N309)+N495+N498+N499+N501+N504+SUM(N555:N556)+N599+N602+N665+N666+N668+N714+N766+N809+N862</f>
        <v>0</v>
      </c>
      <c r="O907" s="1">
        <f>SUM(O126:O126)+SUM(O308:O309)+O495+O498+O499+O501+O504+SUM(O555:O556)+O599+O602+O665+O666+O668+O714+O766+O809+O862</f>
        <v>0</v>
      </c>
      <c r="P907" s="1">
        <f>SUM(P126:P126)+SUM(P308:P309)+P495+P498+P499+P501+P504+SUM(P555:P556)+P599+P602+P665+P666+P668+P714+P766+P809+P862</f>
        <v>0</v>
      </c>
      <c r="Q907" s="59">
        <f t="shared" si="292"/>
        <v>0</v>
      </c>
      <c r="R907" s="59">
        <f>+E907+I907+M907+Q907</f>
        <v>0</v>
      </c>
    </row>
    <row r="908" spans="1:20" ht="18" thickBot="1" x14ac:dyDescent="0.35">
      <c r="A908" s="74" t="s">
        <v>627</v>
      </c>
      <c r="B908" s="1">
        <f>+B496+B500+B502+B557+B125+B497+B503+B600+B601+B667</f>
        <v>0</v>
      </c>
      <c r="C908" s="1">
        <f>+C496+C500+C502+C557+C125+C497+C503+C600+C601+C667</f>
        <v>0</v>
      </c>
      <c r="D908" s="1">
        <f>+D496+D500+D502+D557+D125+D497+D503+D600+D601+D667</f>
        <v>0</v>
      </c>
      <c r="E908" s="59">
        <f>SUM(B908:D908)</f>
        <v>0</v>
      </c>
      <c r="F908" s="1">
        <f>+F496+F500+F502+F557+F125+F497+F503+F600+F601+F667</f>
        <v>0</v>
      </c>
      <c r="G908" s="1">
        <f>+G496+G500+G502+G557+G125+G497+G503+G600+G601+G667</f>
        <v>0</v>
      </c>
      <c r="H908" s="1">
        <f>+H496+H500+H502+H557+H125+H497+H503+H600+H601+H667</f>
        <v>0</v>
      </c>
      <c r="I908" s="59">
        <f>SUM(F908:H908)</f>
        <v>0</v>
      </c>
      <c r="J908" s="1">
        <f>+J496+J500+J502+J557+J125+J497+J503+J600+J601+J667</f>
        <v>0</v>
      </c>
      <c r="K908" s="1">
        <f>+K496+K500+K502+K557+K125+K497+K503+K600+K601+K667</f>
        <v>0</v>
      </c>
      <c r="L908" s="1">
        <f>+L496+L500+L502+L557+L125+L497+L503+L600+L601+L667</f>
        <v>0</v>
      </c>
      <c r="M908" s="59">
        <f>SUM(J908:L908)</f>
        <v>0</v>
      </c>
      <c r="N908" s="1">
        <f>+N496+N500+N502+N557+N125+N497+N503+N600+N601+N667</f>
        <v>0</v>
      </c>
      <c r="O908" s="1">
        <f>+O496+O500+O502+O557+O125+O497+O503+O600+O601+O667</f>
        <v>0</v>
      </c>
      <c r="P908" s="1">
        <f>+P496+P500+P502+P557+P125+P497+P503+P600+P601+P667</f>
        <v>0</v>
      </c>
      <c r="Q908" s="59">
        <f>SUM(N908:P908)</f>
        <v>0</v>
      </c>
      <c r="R908" s="59">
        <f>+E908+I908+M908+Q908</f>
        <v>0</v>
      </c>
    </row>
    <row r="909" spans="1:20" ht="16.5" customHeight="1" thickBot="1" x14ac:dyDescent="0.35">
      <c r="A909" s="62" t="s">
        <v>68</v>
      </c>
      <c r="B909" s="148">
        <f>SUM(B906:B908)</f>
        <v>0</v>
      </c>
      <c r="C909" s="148">
        <f>SUM(C906:C908)</f>
        <v>0</v>
      </c>
      <c r="D909" s="148">
        <f>SUM(D906:D908)</f>
        <v>0</v>
      </c>
      <c r="E909" s="65">
        <f t="shared" si="289"/>
        <v>0</v>
      </c>
      <c r="F909" s="148">
        <f>SUM(F906:F908)</f>
        <v>0</v>
      </c>
      <c r="G909" s="148">
        <f>SUM(G906:G908)</f>
        <v>0</v>
      </c>
      <c r="H909" s="148">
        <f>SUM(H906:H908)</f>
        <v>0</v>
      </c>
      <c r="I909" s="65">
        <f t="shared" si="290"/>
        <v>0</v>
      </c>
      <c r="J909" s="148">
        <f>SUM(J906:J908)</f>
        <v>0</v>
      </c>
      <c r="K909" s="148">
        <f>SUM(K906:K908)</f>
        <v>0</v>
      </c>
      <c r="L909" s="148">
        <f>SUM(L906:L908)</f>
        <v>0</v>
      </c>
      <c r="M909" s="65">
        <f t="shared" si="291"/>
        <v>0</v>
      </c>
      <c r="N909" s="148">
        <f>SUM(N906:N908)</f>
        <v>0</v>
      </c>
      <c r="O909" s="148">
        <f>SUM(O906:O908)</f>
        <v>0</v>
      </c>
      <c r="P909" s="148">
        <f>SUM(P906:P908)</f>
        <v>0</v>
      </c>
      <c r="Q909" s="65">
        <f t="shared" si="292"/>
        <v>0</v>
      </c>
      <c r="R909" s="64">
        <f t="shared" si="293"/>
        <v>0</v>
      </c>
    </row>
    <row r="910" spans="1:20" ht="16.5" customHeight="1" thickBot="1" x14ac:dyDescent="0.35">
      <c r="A910" s="137" t="s">
        <v>69</v>
      </c>
      <c r="B910" s="100">
        <f>SUM(B902:B908)</f>
        <v>0</v>
      </c>
      <c r="C910" s="101">
        <f>SUM(C902:C908)</f>
        <v>0</v>
      </c>
      <c r="D910" s="138">
        <f>SUM(D902:D908)</f>
        <v>0</v>
      </c>
      <c r="E910" s="165">
        <f t="shared" si="289"/>
        <v>0</v>
      </c>
      <c r="F910" s="100">
        <f>SUM(F902:F908)</f>
        <v>0</v>
      </c>
      <c r="G910" s="101">
        <f>SUM(G902:G908)</f>
        <v>0</v>
      </c>
      <c r="H910" s="138">
        <f>SUM(H902:H908)</f>
        <v>0</v>
      </c>
      <c r="I910" s="65">
        <f t="shared" si="290"/>
        <v>0</v>
      </c>
      <c r="J910" s="100">
        <f>SUM(J902:J908)</f>
        <v>0</v>
      </c>
      <c r="K910" s="101">
        <f>SUM(K902:K908)</f>
        <v>0</v>
      </c>
      <c r="L910" s="138">
        <f>SUM(L902:L908)</f>
        <v>0</v>
      </c>
      <c r="M910" s="65">
        <f t="shared" si="291"/>
        <v>0</v>
      </c>
      <c r="N910" s="100">
        <f>SUM(N902:N908)</f>
        <v>0</v>
      </c>
      <c r="O910" s="101">
        <f>SUM(O902:O908)</f>
        <v>0</v>
      </c>
      <c r="P910" s="138">
        <f>SUM(P902:P908)</f>
        <v>0</v>
      </c>
      <c r="Q910" s="65">
        <f t="shared" si="292"/>
        <v>0</v>
      </c>
      <c r="R910" s="64">
        <f t="shared" si="293"/>
        <v>0</v>
      </c>
    </row>
    <row r="911" spans="1:20" ht="16.5" customHeight="1" thickBot="1" x14ac:dyDescent="0.35">
      <c r="A911" s="62" t="s">
        <v>70</v>
      </c>
      <c r="B911" s="149">
        <f>+B892+B897+B901+B910</f>
        <v>68492</v>
      </c>
      <c r="C911" s="150">
        <f>+C892+C897+C901+C910</f>
        <v>76605</v>
      </c>
      <c r="D911" s="150">
        <f>+D892+D897+D901+D910</f>
        <v>113554</v>
      </c>
      <c r="E911" s="64">
        <f t="shared" si="289"/>
        <v>258651</v>
      </c>
      <c r="F911" s="63">
        <f>+F892+F897+F901+F910</f>
        <v>152458</v>
      </c>
      <c r="G911" s="63">
        <f>+G892+G897+G901+G910</f>
        <v>166528</v>
      </c>
      <c r="H911" s="63">
        <f>+H892+H897+H901+H910</f>
        <v>187161</v>
      </c>
      <c r="I911" s="64">
        <f t="shared" si="290"/>
        <v>506147</v>
      </c>
      <c r="J911" s="63">
        <f>+J892+J897+J901+J910</f>
        <v>187612</v>
      </c>
      <c r="K911" s="63">
        <f>+K892+K897+K901+K910</f>
        <v>145600</v>
      </c>
      <c r="L911" s="63">
        <f>+L892+L897+L901+L910</f>
        <v>108856</v>
      </c>
      <c r="M911" s="64">
        <f t="shared" si="291"/>
        <v>442068</v>
      </c>
      <c r="N911" s="63">
        <f>+N892+N897+N901+N910</f>
        <v>79315</v>
      </c>
      <c r="O911" s="63">
        <f>+O892+O897+O901+O910</f>
        <v>51572</v>
      </c>
      <c r="P911" s="63">
        <f>+P892+P897+P901+P910</f>
        <v>55616</v>
      </c>
      <c r="Q911" s="64">
        <f t="shared" si="292"/>
        <v>186503</v>
      </c>
      <c r="R911" s="88">
        <f t="shared" si="293"/>
        <v>1393369</v>
      </c>
    </row>
    <row r="912" spans="1:20" ht="15.75" customHeight="1" x14ac:dyDescent="0.3">
      <c r="A912" s="1" t="s">
        <v>628</v>
      </c>
      <c r="B912" s="1"/>
      <c r="C912" s="1"/>
      <c r="D912" s="1"/>
      <c r="E912" s="1"/>
      <c r="F912" s="1"/>
      <c r="G912" s="1"/>
      <c r="H912" s="1"/>
      <c r="I912" s="1"/>
      <c r="J912" s="1"/>
      <c r="K912" s="1"/>
      <c r="L912" s="1"/>
      <c r="M912" s="1"/>
      <c r="N912" s="1"/>
      <c r="O912" s="166"/>
      <c r="P912" s="1"/>
      <c r="Q912" s="1"/>
      <c r="R912" s="28"/>
    </row>
    <row r="913" spans="1:18" ht="15.75" customHeight="1" x14ac:dyDescent="0.3">
      <c r="A913" s="1" t="s">
        <v>629</v>
      </c>
      <c r="B913" s="1"/>
      <c r="C913" s="1"/>
      <c r="D913" s="1"/>
      <c r="E913" s="1"/>
      <c r="F913" s="1"/>
      <c r="G913" s="1"/>
      <c r="H913" s="1"/>
      <c r="I913" s="1"/>
      <c r="J913" s="1"/>
      <c r="K913" s="1"/>
      <c r="L913" s="1"/>
      <c r="M913" s="1"/>
      <c r="N913" s="1"/>
      <c r="O913" s="166"/>
      <c r="P913" s="1"/>
      <c r="Q913" s="1"/>
      <c r="R913" s="28"/>
    </row>
    <row r="914" spans="1:18" ht="15.75" customHeight="1" x14ac:dyDescent="0.3">
      <c r="A914" s="1"/>
      <c r="B914" s="1"/>
      <c r="C914" s="1"/>
      <c r="D914" s="1"/>
      <c r="E914" s="1"/>
      <c r="F914" s="1"/>
      <c r="G914" s="1"/>
      <c r="H914" s="1"/>
      <c r="I914" s="1"/>
      <c r="J914" s="1"/>
      <c r="K914" s="1"/>
      <c r="L914" s="1"/>
      <c r="M914" s="1"/>
      <c r="N914" s="1"/>
      <c r="O914" s="166"/>
      <c r="P914" s="1"/>
      <c r="Q914" s="2" t="str">
        <f>+Q1</f>
        <v xml:space="preserve">PRINTED:  </v>
      </c>
      <c r="R914" s="163">
        <f ca="1">+R1</f>
        <v>44894.65816875</v>
      </c>
    </row>
    <row r="915" spans="1:18" ht="15.75" customHeight="1" x14ac:dyDescent="0.3">
      <c r="A915" s="383" t="s">
        <v>1</v>
      </c>
      <c r="B915" s="383"/>
      <c r="C915" s="383"/>
      <c r="D915" s="383"/>
      <c r="E915" s="383"/>
      <c r="F915" s="383"/>
      <c r="G915" s="383"/>
      <c r="H915" s="383"/>
      <c r="I915" s="383"/>
      <c r="J915" s="383"/>
      <c r="K915" s="383"/>
      <c r="L915" s="383"/>
      <c r="M915" s="383"/>
      <c r="N915" s="383"/>
      <c r="O915" s="383"/>
      <c r="P915" s="383"/>
      <c r="Q915" s="383"/>
      <c r="R915" s="383"/>
    </row>
    <row r="916" spans="1:18" ht="15.75" customHeight="1" x14ac:dyDescent="0.3">
      <c r="A916" s="383" t="s">
        <v>2</v>
      </c>
      <c r="B916" s="383"/>
      <c r="C916" s="383"/>
      <c r="D916" s="383"/>
      <c r="E916" s="383"/>
      <c r="F916" s="383"/>
      <c r="G916" s="383"/>
      <c r="H916" s="383"/>
      <c r="I916" s="383"/>
      <c r="J916" s="383"/>
      <c r="K916" s="383"/>
      <c r="L916" s="383"/>
      <c r="M916" s="383"/>
      <c r="N916" s="383"/>
      <c r="O916" s="383"/>
      <c r="P916" s="383"/>
      <c r="Q916" s="383"/>
      <c r="R916" s="383"/>
    </row>
    <row r="917" spans="1:18" ht="15.75" customHeight="1" x14ac:dyDescent="0.3">
      <c r="A917" s="383" t="s">
        <v>3</v>
      </c>
      <c r="B917" s="383"/>
      <c r="C917" s="383"/>
      <c r="D917" s="383"/>
      <c r="E917" s="383"/>
      <c r="F917" s="383"/>
      <c r="G917" s="383"/>
      <c r="H917" s="383"/>
      <c r="I917" s="383"/>
      <c r="J917" s="383"/>
      <c r="K917" s="383"/>
      <c r="L917" s="383"/>
      <c r="M917" s="383"/>
      <c r="N917" s="383"/>
      <c r="O917" s="383"/>
      <c r="P917" s="383"/>
      <c r="Q917" s="383"/>
      <c r="R917" s="383"/>
    </row>
    <row r="918" spans="1:18" ht="15.75" customHeight="1" x14ac:dyDescent="0.3">
      <c r="A918" s="392">
        <f>+A5</f>
        <v>2021</v>
      </c>
      <c r="B918" s="392"/>
      <c r="C918" s="392"/>
      <c r="D918" s="392"/>
      <c r="E918" s="392"/>
      <c r="F918" s="392"/>
      <c r="G918" s="392"/>
      <c r="H918" s="392"/>
      <c r="I918" s="392"/>
      <c r="J918" s="392"/>
      <c r="K918" s="392"/>
      <c r="L918" s="392"/>
      <c r="M918" s="392"/>
      <c r="N918" s="392"/>
      <c r="O918" s="392"/>
      <c r="P918" s="392"/>
      <c r="Q918" s="392"/>
      <c r="R918" s="392"/>
    </row>
    <row r="919" spans="1:18" ht="15.75" customHeight="1" x14ac:dyDescent="0.3">
      <c r="A919" s="1"/>
      <c r="B919" s="1"/>
      <c r="C919" s="1"/>
      <c r="D919" s="7"/>
      <c r="E919" s="7"/>
      <c r="F919" s="7"/>
      <c r="G919" s="8"/>
      <c r="H919" s="7"/>
      <c r="I919" s="7"/>
      <c r="J919" s="8"/>
      <c r="K919" s="8"/>
      <c r="L919" s="8"/>
      <c r="M919" s="8"/>
      <c r="N919" s="1"/>
      <c r="O919" s="8"/>
      <c r="P919" s="8"/>
      <c r="Q919" s="8"/>
      <c r="R919" s="8"/>
    </row>
    <row r="920" spans="1:18" ht="15.75" customHeight="1" x14ac:dyDescent="0.3">
      <c r="A920" s="383" t="str">
        <f>+A8</f>
        <v>Revised:  2/5/2020</v>
      </c>
      <c r="B920" s="383"/>
      <c r="C920" s="383"/>
      <c r="D920" s="383"/>
      <c r="E920" s="383"/>
      <c r="F920" s="383"/>
      <c r="G920" s="383"/>
      <c r="H920" s="383"/>
      <c r="I920" s="383"/>
      <c r="J920" s="383"/>
      <c r="K920" s="383"/>
      <c r="L920" s="383"/>
      <c r="M920" s="383"/>
      <c r="N920" s="383"/>
      <c r="O920" s="383"/>
      <c r="P920" s="383"/>
      <c r="Q920" s="383"/>
      <c r="R920" s="383"/>
    </row>
    <row r="921" spans="1:18" ht="15.75" customHeight="1" x14ac:dyDescent="0.3">
      <c r="A921" s="6"/>
      <c r="B921" s="6"/>
      <c r="C921" s="6"/>
      <c r="D921" s="6"/>
      <c r="E921" s="6"/>
      <c r="F921" s="6"/>
      <c r="G921" s="6"/>
      <c r="H921" s="6"/>
      <c r="I921" s="6"/>
      <c r="J921" s="6"/>
      <c r="K921" s="6"/>
      <c r="L921" s="6"/>
      <c r="M921" s="6"/>
      <c r="N921" s="6"/>
      <c r="O921" s="6"/>
      <c r="P921" s="6"/>
      <c r="Q921" s="6"/>
      <c r="R921" s="6"/>
    </row>
    <row r="922" spans="1:18" ht="15.75" customHeight="1" x14ac:dyDescent="0.3">
      <c r="A922" s="30"/>
      <c r="B922" s="1"/>
      <c r="C922" s="1"/>
      <c r="D922" s="1"/>
      <c r="E922" s="1"/>
      <c r="F922" s="1"/>
      <c r="G922" s="1"/>
      <c r="H922" s="1"/>
      <c r="I922" s="1"/>
      <c r="J922" s="1"/>
      <c r="K922" s="1"/>
      <c r="L922" s="1"/>
      <c r="M922" s="1"/>
      <c r="N922" s="1"/>
      <c r="O922" s="1"/>
      <c r="P922" s="1"/>
      <c r="Q922" s="1"/>
      <c r="R922" s="28"/>
    </row>
    <row r="923" spans="1:18" ht="15.75" customHeight="1" thickBot="1" x14ac:dyDescent="0.35">
      <c r="A923" s="1"/>
      <c r="B923" s="1"/>
      <c r="C923" s="1"/>
      <c r="D923" s="1"/>
      <c r="E923" s="1"/>
      <c r="F923" s="1"/>
      <c r="G923" s="1"/>
      <c r="H923" s="1"/>
      <c r="I923" s="1"/>
      <c r="J923" s="1"/>
      <c r="K923" s="1"/>
      <c r="L923" s="1"/>
      <c r="M923" s="1"/>
      <c r="N923" s="1"/>
      <c r="O923" s="166"/>
      <c r="P923" s="1"/>
      <c r="Q923" s="1"/>
      <c r="R923" s="28"/>
    </row>
    <row r="924" spans="1:18" ht="15.75" customHeight="1" thickBot="1" x14ac:dyDescent="0.35">
      <c r="A924" s="124" t="s">
        <v>630</v>
      </c>
      <c r="B924" s="54" t="s">
        <v>36</v>
      </c>
      <c r="C924" s="11" t="s">
        <v>9</v>
      </c>
      <c r="D924" s="11" t="s">
        <v>10</v>
      </c>
      <c r="E924" s="12" t="s">
        <v>11</v>
      </c>
      <c r="F924" s="11" t="s">
        <v>12</v>
      </c>
      <c r="G924" s="11" t="s">
        <v>13</v>
      </c>
      <c r="H924" s="11" t="s">
        <v>14</v>
      </c>
      <c r="I924" s="12" t="s">
        <v>15</v>
      </c>
      <c r="J924" s="11" t="s">
        <v>16</v>
      </c>
      <c r="K924" s="11" t="s">
        <v>17</v>
      </c>
      <c r="L924" s="11" t="s">
        <v>18</v>
      </c>
      <c r="M924" s="12" t="s">
        <v>19</v>
      </c>
      <c r="N924" s="11" t="s">
        <v>20</v>
      </c>
      <c r="O924" s="11" t="s">
        <v>21</v>
      </c>
      <c r="P924" s="11" t="s">
        <v>22</v>
      </c>
      <c r="Q924" s="12" t="s">
        <v>23</v>
      </c>
      <c r="R924" s="167" t="s">
        <v>24</v>
      </c>
    </row>
    <row r="925" spans="1:18" ht="16.5" customHeight="1" thickBot="1" x14ac:dyDescent="0.35">
      <c r="A925" s="168"/>
      <c r="B925" s="169"/>
      <c r="C925" s="169"/>
      <c r="D925" s="169"/>
      <c r="E925" s="16"/>
      <c r="F925" s="169"/>
      <c r="G925" s="169"/>
      <c r="H925" s="169"/>
      <c r="I925" s="38"/>
      <c r="J925" s="169"/>
      <c r="K925" s="169"/>
      <c r="L925" s="169"/>
      <c r="M925" s="38"/>
      <c r="N925" s="169"/>
      <c r="O925" s="169"/>
      <c r="P925" s="169"/>
      <c r="Q925" s="151"/>
      <c r="R925" s="170"/>
    </row>
    <row r="926" spans="1:18" ht="16.5" customHeight="1" thickBot="1" x14ac:dyDescent="0.35">
      <c r="A926" s="171" t="s">
        <v>26</v>
      </c>
      <c r="B926" s="172">
        <f>+B892</f>
        <v>33570</v>
      </c>
      <c r="C926" s="172">
        <f>+C892</f>
        <v>35756</v>
      </c>
      <c r="D926" s="172">
        <f>+D892</f>
        <v>44491</v>
      </c>
      <c r="E926" s="100">
        <f>+SUM(B926:D926)</f>
        <v>113817</v>
      </c>
      <c r="F926" s="172">
        <f>+F892</f>
        <v>53275</v>
      </c>
      <c r="G926" s="172">
        <f>+G892</f>
        <v>55827</v>
      </c>
      <c r="H926" s="172">
        <f>+H892</f>
        <v>72415</v>
      </c>
      <c r="I926" s="100">
        <f>+SUM(F926:H926)</f>
        <v>181517</v>
      </c>
      <c r="J926" s="172">
        <f>+J892</f>
        <v>80637</v>
      </c>
      <c r="K926" s="172">
        <f>+K892</f>
        <v>66962</v>
      </c>
      <c r="L926" s="172">
        <f>+L892</f>
        <v>58667</v>
      </c>
      <c r="M926" s="100">
        <f>+SUM(J926:L926)</f>
        <v>206266</v>
      </c>
      <c r="N926" s="172">
        <f>+N892</f>
        <v>42355</v>
      </c>
      <c r="O926" s="172">
        <f>+O892</f>
        <v>31697</v>
      </c>
      <c r="P926" s="172">
        <f>+P892</f>
        <v>32534</v>
      </c>
      <c r="Q926" s="100">
        <f>+SUM(N926:P926)</f>
        <v>106586</v>
      </c>
      <c r="R926" s="64">
        <f>+E926+I926+M926+Q926</f>
        <v>608186</v>
      </c>
    </row>
    <row r="927" spans="1:18" ht="16.5" customHeight="1" thickBot="1" x14ac:dyDescent="0.35">
      <c r="A927" s="34"/>
      <c r="B927" s="100"/>
      <c r="C927" s="100"/>
      <c r="D927" s="100"/>
      <c r="E927" s="100"/>
      <c r="F927" s="100"/>
      <c r="G927" s="100"/>
      <c r="H927" s="100"/>
      <c r="I927" s="100"/>
      <c r="J927" s="100"/>
      <c r="K927" s="100"/>
      <c r="L927" s="100"/>
      <c r="M927" s="100"/>
      <c r="N927" s="100"/>
      <c r="O927" s="100"/>
      <c r="P927" s="100"/>
      <c r="Q927" s="100"/>
      <c r="R927" s="64"/>
    </row>
    <row r="928" spans="1:18" ht="16.5" customHeight="1" thickBot="1" x14ac:dyDescent="0.35">
      <c r="A928" s="171" t="s">
        <v>631</v>
      </c>
      <c r="B928" s="172">
        <f>+B897</f>
        <v>2450</v>
      </c>
      <c r="C928" s="172">
        <f>+C897</f>
        <v>8052</v>
      </c>
      <c r="D928" s="172">
        <f>+D897</f>
        <v>19050</v>
      </c>
      <c r="E928" s="100">
        <f>+SUM(B928:D928)</f>
        <v>29552</v>
      </c>
      <c r="F928" s="172">
        <f>+F897</f>
        <v>39941</v>
      </c>
      <c r="G928" s="172">
        <f>+G897</f>
        <v>41550</v>
      </c>
      <c r="H928" s="172">
        <f>+H897</f>
        <v>48780</v>
      </c>
      <c r="I928" s="100">
        <f>+SUM(F928:H928)</f>
        <v>130271</v>
      </c>
      <c r="J928" s="172">
        <f>+J897</f>
        <v>33555</v>
      </c>
      <c r="K928" s="172">
        <f>+K897</f>
        <v>28424</v>
      </c>
      <c r="L928" s="172">
        <f>+L897</f>
        <v>13588</v>
      </c>
      <c r="M928" s="100">
        <f>+SUM(J928:L928)</f>
        <v>75567</v>
      </c>
      <c r="N928" s="172">
        <f>+N897</f>
        <v>9357</v>
      </c>
      <c r="O928" s="172">
        <f>+O897</f>
        <v>7348</v>
      </c>
      <c r="P928" s="172">
        <f>+P897</f>
        <v>4015</v>
      </c>
      <c r="Q928" s="100">
        <f>+SUM(N928:P928)</f>
        <v>20720</v>
      </c>
      <c r="R928" s="64">
        <f>+E928+I928+M928+Q928</f>
        <v>256110</v>
      </c>
    </row>
    <row r="929" spans="1:46" ht="16.5" customHeight="1" thickBot="1" x14ac:dyDescent="0.35">
      <c r="A929" s="34"/>
      <c r="B929" s="100"/>
      <c r="C929" s="100"/>
      <c r="D929" s="100"/>
      <c r="E929" s="100"/>
      <c r="F929" s="100"/>
      <c r="G929" s="100"/>
      <c r="H929" s="100"/>
      <c r="I929" s="100"/>
      <c r="J929" s="100"/>
      <c r="K929" s="100"/>
      <c r="L929" s="100"/>
      <c r="M929" s="100"/>
      <c r="N929" s="100"/>
      <c r="O929" s="100"/>
      <c r="P929" s="100"/>
      <c r="Q929" s="100"/>
      <c r="R929" s="64"/>
      <c r="AC929" s="173"/>
      <c r="AD929" s="174"/>
      <c r="AE929" s="175" t="s">
        <v>632</v>
      </c>
      <c r="AF929" s="174"/>
      <c r="AG929" s="174"/>
      <c r="AH929" s="174"/>
      <c r="AI929" s="174"/>
      <c r="AJ929" s="174"/>
      <c r="AK929" s="174" t="s">
        <v>633</v>
      </c>
      <c r="AL929" s="174"/>
      <c r="AM929" s="174" t="s">
        <v>7</v>
      </c>
      <c r="AN929" s="176" t="str">
        <f>+A8</f>
        <v>Revised:  2/5/2020</v>
      </c>
      <c r="AO929" s="174"/>
      <c r="AP929" s="174"/>
      <c r="AQ929" s="174"/>
      <c r="AR929" s="174"/>
      <c r="AS929" s="177" t="str">
        <f>+Q1</f>
        <v xml:space="preserve">PRINTED:  </v>
      </c>
      <c r="AT929" s="178">
        <f ca="1">+R1</f>
        <v>44894.65816875</v>
      </c>
    </row>
    <row r="930" spans="1:46" ht="16.5" customHeight="1" thickBot="1" x14ac:dyDescent="0.35">
      <c r="A930" s="171" t="s">
        <v>28</v>
      </c>
      <c r="B930" s="172">
        <f>+B901</f>
        <v>32472</v>
      </c>
      <c r="C930" s="172">
        <f>+C901</f>
        <v>32797</v>
      </c>
      <c r="D930" s="172">
        <f>+D901</f>
        <v>50013</v>
      </c>
      <c r="E930" s="100">
        <f>+SUM(B930:D930)</f>
        <v>115282</v>
      </c>
      <c r="F930" s="172">
        <f>+F901</f>
        <v>59242</v>
      </c>
      <c r="G930" s="172">
        <f>+G901</f>
        <v>69151</v>
      </c>
      <c r="H930" s="172">
        <f>+H901</f>
        <v>65966</v>
      </c>
      <c r="I930" s="100">
        <f>+SUM(F930:H930)</f>
        <v>194359</v>
      </c>
      <c r="J930" s="172">
        <f>+J901</f>
        <v>73420</v>
      </c>
      <c r="K930" s="172">
        <f>+K901</f>
        <v>50214</v>
      </c>
      <c r="L930" s="172">
        <f>+L901</f>
        <v>36601</v>
      </c>
      <c r="M930" s="100">
        <f>+SUM(J930:L930)</f>
        <v>160235</v>
      </c>
      <c r="N930" s="172">
        <f>+N901</f>
        <v>27603</v>
      </c>
      <c r="O930" s="172">
        <f>+O901</f>
        <v>12527</v>
      </c>
      <c r="P930" s="172">
        <f>+P901</f>
        <v>19067</v>
      </c>
      <c r="Q930" s="100">
        <f>+SUM(N930:P930)</f>
        <v>59197</v>
      </c>
      <c r="R930" s="64">
        <f>+E930+I930+M930+Q930</f>
        <v>529073</v>
      </c>
      <c r="AC930" s="179"/>
      <c r="AD930" s="180"/>
      <c r="AE930" s="180"/>
      <c r="AF930" s="180">
        <f>++A5</f>
        <v>2021</v>
      </c>
      <c r="AG930" s="180"/>
      <c r="AH930" s="180"/>
      <c r="AI930" s="180"/>
      <c r="AJ930" s="180"/>
      <c r="AK930" s="180"/>
      <c r="AL930" s="180"/>
      <c r="AM930" s="180"/>
      <c r="AN930" s="180"/>
      <c r="AO930" s="180"/>
      <c r="AP930" s="180"/>
      <c r="AQ930" s="180"/>
      <c r="AR930" s="180"/>
      <c r="AS930" s="180"/>
      <c r="AT930" s="181"/>
    </row>
    <row r="931" spans="1:46" ht="16.5" customHeight="1" thickBot="1" x14ac:dyDescent="0.35">
      <c r="A931" s="34"/>
      <c r="B931" s="100"/>
      <c r="C931" s="100"/>
      <c r="D931" s="100"/>
      <c r="E931" s="100"/>
      <c r="F931" s="100"/>
      <c r="G931" s="100"/>
      <c r="H931" s="100"/>
      <c r="I931" s="100"/>
      <c r="J931" s="100"/>
      <c r="K931" s="100"/>
      <c r="L931" s="100"/>
      <c r="M931" s="100"/>
      <c r="N931" s="100"/>
      <c r="O931" s="100"/>
      <c r="P931" s="100"/>
      <c r="Q931" s="100"/>
      <c r="R931" s="64"/>
      <c r="AC931" s="179"/>
      <c r="AD931" s="180"/>
      <c r="AE931" s="180"/>
      <c r="AF931" s="180"/>
      <c r="AG931" s="180"/>
      <c r="AH931" s="180"/>
      <c r="AI931" s="180"/>
      <c r="AJ931" s="180"/>
      <c r="AK931" s="180"/>
      <c r="AL931" s="180"/>
      <c r="AM931" s="180"/>
      <c r="AN931" s="180"/>
      <c r="AO931" s="180"/>
      <c r="AP931" s="180"/>
      <c r="AQ931" s="180"/>
      <c r="AR931" s="180"/>
      <c r="AS931" s="180"/>
      <c r="AT931" s="181"/>
    </row>
    <row r="932" spans="1:46" ht="16.5" customHeight="1" thickBot="1" x14ac:dyDescent="0.35">
      <c r="A932" s="171" t="s">
        <v>634</v>
      </c>
      <c r="B932" s="172">
        <f>+B910</f>
        <v>0</v>
      </c>
      <c r="C932" s="172">
        <f>+C910</f>
        <v>0</v>
      </c>
      <c r="D932" s="172">
        <f>+D910</f>
        <v>0</v>
      </c>
      <c r="E932" s="100">
        <f>+SUM(B932:D932)</f>
        <v>0</v>
      </c>
      <c r="F932" s="172">
        <f>+F910</f>
        <v>0</v>
      </c>
      <c r="G932" s="172">
        <f>+G910</f>
        <v>0</v>
      </c>
      <c r="H932" s="172">
        <f>+H910</f>
        <v>0</v>
      </c>
      <c r="I932" s="100">
        <f>+SUM(F932:H932)</f>
        <v>0</v>
      </c>
      <c r="J932" s="172">
        <f>+J910</f>
        <v>0</v>
      </c>
      <c r="K932" s="172">
        <f>+K910</f>
        <v>0</v>
      </c>
      <c r="L932" s="172">
        <f>+L910</f>
        <v>0</v>
      </c>
      <c r="M932" s="100">
        <f>+SUM(J932:L932)</f>
        <v>0</v>
      </c>
      <c r="N932" s="172">
        <f>+N910</f>
        <v>0</v>
      </c>
      <c r="O932" s="172">
        <f>+O910</f>
        <v>0</v>
      </c>
      <c r="P932" s="172">
        <f>+P910</f>
        <v>0</v>
      </c>
      <c r="Q932" s="100">
        <f>+SUM(N932:P932)</f>
        <v>0</v>
      </c>
      <c r="R932" s="64">
        <f>+E932+I932+M932+Q932</f>
        <v>0</v>
      </c>
      <c r="AC932" s="179"/>
      <c r="AD932" s="180"/>
      <c r="AE932" s="180"/>
      <c r="AF932" s="180"/>
      <c r="AG932" s="180"/>
      <c r="AH932" s="180"/>
      <c r="AI932" s="182" t="s">
        <v>635</v>
      </c>
      <c r="AJ932" s="180"/>
      <c r="AK932" s="180"/>
      <c r="AL932" s="180"/>
      <c r="AM932" s="180"/>
      <c r="AN932" s="180"/>
      <c r="AO932" s="180"/>
      <c r="AP932" s="180"/>
      <c r="AQ932" s="180"/>
      <c r="AR932" s="180"/>
      <c r="AS932" s="180"/>
      <c r="AT932" s="181"/>
    </row>
    <row r="933" spans="1:46" ht="16.5" customHeight="1" thickBot="1" x14ac:dyDescent="0.35">
      <c r="A933" s="34"/>
      <c r="B933" s="100"/>
      <c r="C933" s="100"/>
      <c r="D933" s="100"/>
      <c r="E933" s="100"/>
      <c r="F933" s="100"/>
      <c r="G933" s="100"/>
      <c r="H933" s="100"/>
      <c r="I933" s="100"/>
      <c r="J933" s="100"/>
      <c r="K933" s="100"/>
      <c r="L933" s="100"/>
      <c r="M933" s="100"/>
      <c r="N933" s="100"/>
      <c r="O933" s="100"/>
      <c r="P933" s="100"/>
      <c r="Q933" s="100"/>
      <c r="R933" s="64"/>
      <c r="AC933" s="179"/>
      <c r="AD933" s="180" t="s">
        <v>633</v>
      </c>
      <c r="AE933" s="180"/>
      <c r="AF933" s="182" t="s">
        <v>636</v>
      </c>
      <c r="AG933" s="182" t="s">
        <v>636</v>
      </c>
      <c r="AH933" s="182" t="s">
        <v>637</v>
      </c>
      <c r="AI933" s="182" t="s">
        <v>638</v>
      </c>
      <c r="AJ933" s="182" t="s">
        <v>639</v>
      </c>
      <c r="AK933" s="182" t="s">
        <v>640</v>
      </c>
      <c r="AL933" s="182" t="s">
        <v>641</v>
      </c>
      <c r="AM933" s="180" t="s">
        <v>633</v>
      </c>
      <c r="AN933" s="182" t="s">
        <v>642</v>
      </c>
      <c r="AO933" s="182" t="s">
        <v>642</v>
      </c>
      <c r="AP933" s="182" t="s">
        <v>642</v>
      </c>
      <c r="AQ933" s="180"/>
      <c r="AR933" s="180"/>
      <c r="AS933" s="180"/>
      <c r="AT933" s="181"/>
    </row>
    <row r="934" spans="1:46" ht="16.5" customHeight="1" thickBot="1" x14ac:dyDescent="0.4">
      <c r="A934" s="34" t="s">
        <v>643</v>
      </c>
      <c r="B934" s="107">
        <f t="shared" ref="B934:Q934" si="294">+SUM(B926:B932)</f>
        <v>68492</v>
      </c>
      <c r="C934" s="107">
        <f t="shared" si="294"/>
        <v>76605</v>
      </c>
      <c r="D934" s="107">
        <f t="shared" si="294"/>
        <v>113554</v>
      </c>
      <c r="E934" s="107">
        <f t="shared" si="294"/>
        <v>258651</v>
      </c>
      <c r="F934" s="107">
        <f t="shared" si="294"/>
        <v>152458</v>
      </c>
      <c r="G934" s="107">
        <f t="shared" si="294"/>
        <v>166528</v>
      </c>
      <c r="H934" s="107">
        <f t="shared" si="294"/>
        <v>187161</v>
      </c>
      <c r="I934" s="107">
        <f t="shared" si="294"/>
        <v>506147</v>
      </c>
      <c r="J934" s="107">
        <f t="shared" si="294"/>
        <v>187612</v>
      </c>
      <c r="K934" s="107">
        <f t="shared" si="294"/>
        <v>145600</v>
      </c>
      <c r="L934" s="107">
        <f t="shared" si="294"/>
        <v>108856</v>
      </c>
      <c r="M934" s="107">
        <f t="shared" si="294"/>
        <v>442068</v>
      </c>
      <c r="N934" s="107">
        <f t="shared" si="294"/>
        <v>79315</v>
      </c>
      <c r="O934" s="107">
        <f t="shared" si="294"/>
        <v>51572</v>
      </c>
      <c r="P934" s="107">
        <f t="shared" si="294"/>
        <v>55616</v>
      </c>
      <c r="Q934" s="107">
        <f t="shared" si="294"/>
        <v>186503</v>
      </c>
      <c r="R934" s="183">
        <f>+SUM(R926:R932)</f>
        <v>1393369</v>
      </c>
      <c r="AC934" s="179"/>
      <c r="AD934" s="182" t="s">
        <v>644</v>
      </c>
      <c r="AE934" s="182" t="s">
        <v>645</v>
      </c>
      <c r="AF934" s="182" t="s">
        <v>646</v>
      </c>
      <c r="AG934" s="182" t="s">
        <v>646</v>
      </c>
      <c r="AH934" s="182" t="s">
        <v>647</v>
      </c>
      <c r="AI934" s="184" t="s">
        <v>648</v>
      </c>
      <c r="AJ934" s="182" t="s">
        <v>649</v>
      </c>
      <c r="AK934" s="182" t="s">
        <v>650</v>
      </c>
      <c r="AL934" s="182" t="s">
        <v>651</v>
      </c>
      <c r="AM934" s="180" t="s">
        <v>633</v>
      </c>
      <c r="AN934" s="182" t="s">
        <v>652</v>
      </c>
      <c r="AO934" s="182" t="s">
        <v>648</v>
      </c>
      <c r="AP934" s="182" t="s">
        <v>653</v>
      </c>
      <c r="AQ934" s="180"/>
      <c r="AR934" s="180"/>
      <c r="AS934" s="180"/>
      <c r="AT934" s="181"/>
    </row>
    <row r="935" spans="1:46" ht="15.75" customHeight="1" x14ac:dyDescent="0.35">
      <c r="A935" s="185"/>
      <c r="B935" s="186"/>
      <c r="C935" s="186"/>
      <c r="D935" s="186"/>
      <c r="E935" s="186"/>
      <c r="F935" s="186"/>
      <c r="G935" s="186"/>
      <c r="H935" s="187" t="s">
        <v>654</v>
      </c>
      <c r="I935" s="186"/>
      <c r="J935" s="186"/>
      <c r="K935" s="186"/>
      <c r="L935" s="186"/>
      <c r="M935" s="186"/>
      <c r="N935" s="186"/>
      <c r="O935" s="186"/>
      <c r="P935" s="186"/>
      <c r="Q935" s="186"/>
      <c r="R935" s="186"/>
      <c r="AC935" s="179"/>
      <c r="AD935" s="182" t="s">
        <v>127</v>
      </c>
      <c r="AE935" s="182" t="s">
        <v>655</v>
      </c>
      <c r="AF935" s="182" t="s">
        <v>656</v>
      </c>
      <c r="AG935" s="182" t="s">
        <v>657</v>
      </c>
      <c r="AH935" s="182" t="s">
        <v>658</v>
      </c>
      <c r="AI935" s="182" t="s">
        <v>658</v>
      </c>
      <c r="AJ935" s="182" t="s">
        <v>658</v>
      </c>
      <c r="AK935" s="182" t="s">
        <v>658</v>
      </c>
      <c r="AL935" s="182" t="s">
        <v>659</v>
      </c>
      <c r="AM935" s="180" t="s">
        <v>633</v>
      </c>
      <c r="AN935" s="182" t="s">
        <v>660</v>
      </c>
      <c r="AO935" s="182" t="s">
        <v>661</v>
      </c>
      <c r="AP935" s="182" t="s">
        <v>661</v>
      </c>
      <c r="AQ935" s="180"/>
      <c r="AR935" s="180"/>
      <c r="AS935" s="180"/>
      <c r="AT935" s="181"/>
    </row>
    <row r="936" spans="1:46" ht="15.75" customHeight="1" x14ac:dyDescent="0.35">
      <c r="A936" s="185"/>
      <c r="B936" s="186"/>
      <c r="C936" s="186"/>
      <c r="D936" s="186"/>
      <c r="E936" s="186"/>
      <c r="F936" s="186"/>
      <c r="G936" s="186"/>
      <c r="H936" s="186"/>
      <c r="I936" s="186"/>
      <c r="J936" s="186"/>
      <c r="K936" s="186"/>
      <c r="L936" s="186"/>
      <c r="M936" s="186"/>
      <c r="N936" s="186"/>
      <c r="O936" s="186"/>
      <c r="P936" s="186"/>
      <c r="Q936" s="186"/>
      <c r="R936" s="186"/>
      <c r="AC936" s="179"/>
      <c r="AD936" s="182" t="s">
        <v>662</v>
      </c>
      <c r="AE936" s="182" t="s">
        <v>663</v>
      </c>
      <c r="AF936" s="182" t="s">
        <v>664</v>
      </c>
      <c r="AG936" s="182" t="s">
        <v>664</v>
      </c>
      <c r="AH936" s="182" t="s">
        <v>664</v>
      </c>
      <c r="AI936" s="182" t="s">
        <v>664</v>
      </c>
      <c r="AJ936" s="182" t="s">
        <v>664</v>
      </c>
      <c r="AK936" s="182" t="s">
        <v>664</v>
      </c>
      <c r="AL936" s="182" t="s">
        <v>664</v>
      </c>
      <c r="AM936" s="180" t="s">
        <v>633</v>
      </c>
      <c r="AN936" s="182" t="s">
        <v>665</v>
      </c>
      <c r="AO936" s="182" t="s">
        <v>665</v>
      </c>
      <c r="AP936" s="182" t="s">
        <v>665</v>
      </c>
      <c r="AQ936" s="180"/>
      <c r="AR936" s="180"/>
      <c r="AS936" s="180"/>
      <c r="AT936" s="181"/>
    </row>
    <row r="937" spans="1:46" ht="15.75" customHeight="1" thickBot="1" x14ac:dyDescent="0.4">
      <c r="A937" s="185"/>
      <c r="B937" s="186"/>
      <c r="C937" s="186"/>
      <c r="D937" s="186"/>
      <c r="E937" s="186"/>
      <c r="F937" s="186"/>
      <c r="G937" s="186"/>
      <c r="H937" s="187"/>
      <c r="I937" s="186"/>
      <c r="J937" s="186"/>
      <c r="K937" s="186"/>
      <c r="L937" s="186"/>
      <c r="M937" s="186"/>
      <c r="N937" s="186"/>
      <c r="O937" s="186"/>
      <c r="P937" s="186"/>
      <c r="Q937" s="186"/>
      <c r="R937" s="186"/>
      <c r="AC937" s="179"/>
      <c r="AD937" s="180" t="s">
        <v>666</v>
      </c>
      <c r="AE937" s="180" t="s">
        <v>666</v>
      </c>
      <c r="AF937" s="180" t="s">
        <v>666</v>
      </c>
      <c r="AG937" s="180" t="s">
        <v>666</v>
      </c>
      <c r="AH937" s="180" t="s">
        <v>666</v>
      </c>
      <c r="AI937" s="180" t="s">
        <v>666</v>
      </c>
      <c r="AJ937" s="180" t="s">
        <v>666</v>
      </c>
      <c r="AK937" s="180" t="s">
        <v>666</v>
      </c>
      <c r="AL937" s="180" t="s">
        <v>666</v>
      </c>
      <c r="AM937" s="180" t="s">
        <v>633</v>
      </c>
      <c r="AN937" s="180" t="s">
        <v>666</v>
      </c>
      <c r="AO937" s="180" t="s">
        <v>666</v>
      </c>
      <c r="AP937" s="180" t="s">
        <v>666</v>
      </c>
      <c r="AQ937" s="180"/>
      <c r="AR937" s="180"/>
      <c r="AS937" s="180"/>
      <c r="AT937" s="181"/>
    </row>
    <row r="938" spans="1:46" ht="15.75" customHeight="1" x14ac:dyDescent="0.3">
      <c r="A938" s="188"/>
      <c r="B938" s="387" t="s">
        <v>667</v>
      </c>
      <c r="C938" s="387"/>
      <c r="D938" s="387"/>
      <c r="E938" s="387"/>
      <c r="F938" s="387"/>
      <c r="G938" s="387"/>
      <c r="H938" s="387"/>
      <c r="I938" s="387"/>
      <c r="J938" s="387"/>
      <c r="K938" s="387"/>
      <c r="L938" s="387"/>
      <c r="M938" s="387"/>
      <c r="N938" s="387"/>
      <c r="O938" s="387"/>
      <c r="P938" s="387"/>
      <c r="Q938" s="177" t="str">
        <f>+Q1</f>
        <v xml:space="preserve">PRINTED:  </v>
      </c>
      <c r="R938" s="178">
        <f ca="1">+R1</f>
        <v>44894.65816875</v>
      </c>
      <c r="AC938" s="189" t="s">
        <v>668</v>
      </c>
      <c r="AD938" s="180">
        <f t="shared" ref="AD938:AD949" si="295">(F947)</f>
        <v>54000</v>
      </c>
      <c r="AE938" s="180">
        <f t="shared" ref="AE938:AE949" si="296">SUM($B$1002:$E$1002)+(T947-1526.8)/0.7702</f>
        <v>1633.417956964503</v>
      </c>
      <c r="AF938" s="180">
        <f>(AD938*AE938/1000)</f>
        <v>88204.569676083163</v>
      </c>
      <c r="AG938" s="180">
        <f t="shared" ref="AG938:AG949" si="297">(((B947-F947)*B$1002)+((C947-F947)*C$1002)+((D947-F947)*D$1002)+((E947-F947)*E$1002))/1000</f>
        <v>98431.513999999996</v>
      </c>
      <c r="AH938" s="180">
        <f>(AF938+AG938)</f>
        <v>186636.08367608316</v>
      </c>
      <c r="AI938" s="180">
        <f t="shared" ref="AI938:AI949" si="298">SUM(H1004:Q1004)</f>
        <v>23416</v>
      </c>
      <c r="AJ938" s="180">
        <f>+AH938+AI938</f>
        <v>210052.08367608316</v>
      </c>
      <c r="AK938" s="180">
        <f t="shared" ref="AK938:AK945" si="299">(G1032)</f>
        <v>0</v>
      </c>
      <c r="AL938" s="180">
        <f t="shared" ref="AL938:AL949" si="300">(AJ938-AK938)</f>
        <v>210052.08367608316</v>
      </c>
      <c r="AM938" s="180" t="s">
        <v>633</v>
      </c>
      <c r="AN938" s="180">
        <f>+B947/31/1.98</f>
        <v>2007.6735092864124</v>
      </c>
      <c r="AO938" s="180">
        <f>(AD938*43560/31/24/3600)</f>
        <v>878.22580645161281</v>
      </c>
      <c r="AP938" s="180">
        <f>+B332</f>
        <v>0</v>
      </c>
      <c r="AQ938" s="180"/>
      <c r="AR938" s="180"/>
      <c r="AS938" s="180"/>
      <c r="AT938" s="181"/>
    </row>
    <row r="939" spans="1:46" ht="15.75" customHeight="1" x14ac:dyDescent="0.3">
      <c r="A939" s="189"/>
      <c r="B939" s="394" t="str">
        <f>+A8</f>
        <v>Revised:  2/5/2020</v>
      </c>
      <c r="C939" s="394"/>
      <c r="D939" s="394"/>
      <c r="E939" s="394"/>
      <c r="F939" s="394"/>
      <c r="G939" s="394"/>
      <c r="H939" s="394"/>
      <c r="I939" s="394"/>
      <c r="J939" s="394"/>
      <c r="K939" s="394"/>
      <c r="L939" s="394"/>
      <c r="M939" s="394"/>
      <c r="N939" s="394"/>
      <c r="O939" s="394"/>
      <c r="P939" s="394"/>
      <c r="Q939" s="180"/>
      <c r="R939" s="181"/>
      <c r="AC939" s="189" t="s">
        <v>669</v>
      </c>
      <c r="AD939" s="180">
        <f t="shared" si="295"/>
        <v>57000</v>
      </c>
      <c r="AE939" s="180">
        <f t="shared" si="296"/>
        <v>1641.9669945609774</v>
      </c>
      <c r="AF939" s="180">
        <f>(AD939*AE939/1000)</f>
        <v>93592.118689975716</v>
      </c>
      <c r="AG939" s="180">
        <f t="shared" si="297"/>
        <v>111554.909</v>
      </c>
      <c r="AH939" s="180">
        <f t="shared" ref="AH939:AH949" si="301">(AF939+AG939)</f>
        <v>205147.02768997572</v>
      </c>
      <c r="AI939" s="180">
        <f t="shared" si="298"/>
        <v>32781</v>
      </c>
      <c r="AJ939" s="180">
        <f t="shared" ref="AJ939:AJ949" si="302">+AH939+AI939</f>
        <v>237928.02768997572</v>
      </c>
      <c r="AK939" s="180">
        <f t="shared" si="299"/>
        <v>0</v>
      </c>
      <c r="AL939" s="180">
        <f t="shared" si="300"/>
        <v>237928.02768997572</v>
      </c>
      <c r="AM939" s="180" t="s">
        <v>633</v>
      </c>
      <c r="AN939" s="180">
        <f>+B948/28/1.98</f>
        <v>2443.6507936507937</v>
      </c>
      <c r="AO939" s="180">
        <f>(AD939*43560/29/24/3600)</f>
        <v>990.94827586206907</v>
      </c>
      <c r="AP939" s="180">
        <f>+C332</f>
        <v>0</v>
      </c>
      <c r="AQ939" s="180"/>
      <c r="AR939" s="180"/>
      <c r="AS939" s="180"/>
      <c r="AT939" s="181"/>
    </row>
    <row r="940" spans="1:46" ht="15.75" customHeight="1" x14ac:dyDescent="0.3">
      <c r="A940" s="189"/>
      <c r="B940" s="394" t="s">
        <v>670</v>
      </c>
      <c r="C940" s="394"/>
      <c r="D940" s="394"/>
      <c r="E940" s="394"/>
      <c r="F940" s="394"/>
      <c r="G940" s="394"/>
      <c r="H940" s="394"/>
      <c r="I940" s="394"/>
      <c r="J940" s="394"/>
      <c r="K940" s="394"/>
      <c r="L940" s="394"/>
      <c r="M940" s="394"/>
      <c r="N940" s="394"/>
      <c r="O940" s="394"/>
      <c r="P940" s="394"/>
      <c r="Q940" s="180"/>
      <c r="R940" s="181"/>
      <c r="AC940" s="189" t="s">
        <v>671</v>
      </c>
      <c r="AD940" s="180">
        <f t="shared" si="295"/>
        <v>29000</v>
      </c>
      <c r="AE940" s="180">
        <f t="shared" si="296"/>
        <v>1645.8565577144309</v>
      </c>
      <c r="AF940" s="180">
        <f t="shared" ref="AF940:AF949" si="303">(AD940*AE940/1000)</f>
        <v>47729.840173718498</v>
      </c>
      <c r="AG940" s="180">
        <f t="shared" si="297"/>
        <v>164344.95199999999</v>
      </c>
      <c r="AH940" s="180">
        <f t="shared" si="301"/>
        <v>212074.79217371848</v>
      </c>
      <c r="AI940" s="180">
        <f t="shared" si="298"/>
        <v>43948</v>
      </c>
      <c r="AJ940" s="180">
        <f t="shared" si="302"/>
        <v>256022.79217371848</v>
      </c>
      <c r="AK940" s="180">
        <f t="shared" si="299"/>
        <v>0</v>
      </c>
      <c r="AL940" s="180">
        <f t="shared" si="300"/>
        <v>256022.79217371848</v>
      </c>
      <c r="AM940" s="180" t="s">
        <v>633</v>
      </c>
      <c r="AN940" s="180">
        <f>+B949/31/1.98</f>
        <v>2361.9094167481267</v>
      </c>
      <c r="AO940" s="180">
        <f>(AD940*43560/31/24/3600)</f>
        <v>471.63978494623655</v>
      </c>
      <c r="AP940" s="180">
        <f>+D332</f>
        <v>0</v>
      </c>
      <c r="AQ940" s="180"/>
      <c r="AR940" s="180"/>
      <c r="AS940" s="180"/>
      <c r="AT940" s="181"/>
    </row>
    <row r="941" spans="1:46" ht="15.75" customHeight="1" x14ac:dyDescent="0.3">
      <c r="A941" s="189"/>
      <c r="B941" s="394"/>
      <c r="C941" s="394"/>
      <c r="D941" s="394"/>
      <c r="E941" s="394"/>
      <c r="F941" s="394"/>
      <c r="G941" s="394"/>
      <c r="H941" s="394"/>
      <c r="I941" s="394"/>
      <c r="J941" s="394"/>
      <c r="K941" s="394"/>
      <c r="L941" s="394"/>
      <c r="M941" s="394"/>
      <c r="N941" s="394"/>
      <c r="O941" s="394"/>
      <c r="P941" s="394"/>
      <c r="Q941" s="180"/>
      <c r="R941" s="181"/>
      <c r="AC941" s="189" t="s">
        <v>672</v>
      </c>
      <c r="AD941" s="180">
        <f t="shared" si="295"/>
        <v>0</v>
      </c>
      <c r="AE941" s="180">
        <f t="shared" si="296"/>
        <v>1643.955448493638</v>
      </c>
      <c r="AF941" s="180">
        <f t="shared" si="303"/>
        <v>0</v>
      </c>
      <c r="AG941" s="180">
        <f t="shared" si="297"/>
        <v>208196.041</v>
      </c>
      <c r="AH941" s="180">
        <f t="shared" si="301"/>
        <v>208196.041</v>
      </c>
      <c r="AI941" s="180">
        <f t="shared" si="298"/>
        <v>51746</v>
      </c>
      <c r="AJ941" s="180">
        <f t="shared" si="302"/>
        <v>259942.041</v>
      </c>
      <c r="AK941" s="180">
        <f t="shared" si="299"/>
        <v>1556.4323501100207</v>
      </c>
      <c r="AL941" s="180">
        <f t="shared" si="300"/>
        <v>258385.60864988997</v>
      </c>
      <c r="AM941" s="180" t="s">
        <v>633</v>
      </c>
      <c r="AN941" s="180">
        <f>+B950/30/1.98</f>
        <v>2475.909090909091</v>
      </c>
      <c r="AO941" s="180">
        <f>(AD941*43560/30/24/3600)</f>
        <v>0</v>
      </c>
      <c r="AP941" s="180">
        <f>+F332</f>
        <v>-168.09547823163555</v>
      </c>
      <c r="AQ941" s="180"/>
      <c r="AR941" s="180"/>
      <c r="AS941" s="180"/>
      <c r="AT941" s="181"/>
    </row>
    <row r="942" spans="1:46" ht="15.75" customHeight="1" x14ac:dyDescent="0.3">
      <c r="A942" s="189"/>
      <c r="B942" s="395">
        <f>+A5</f>
        <v>2021</v>
      </c>
      <c r="C942" s="395"/>
      <c r="D942" s="395"/>
      <c r="E942" s="395"/>
      <c r="F942" s="395"/>
      <c r="G942" s="395"/>
      <c r="H942" s="395"/>
      <c r="I942" s="395"/>
      <c r="J942" s="395"/>
      <c r="K942" s="395"/>
      <c r="L942" s="395"/>
      <c r="M942" s="395"/>
      <c r="N942" s="395"/>
      <c r="O942" s="395"/>
      <c r="P942" s="395"/>
      <c r="Q942" s="180"/>
      <c r="R942" s="181"/>
      <c r="AC942" s="189" t="s">
        <v>673</v>
      </c>
      <c r="AD942" s="180">
        <f t="shared" si="295"/>
        <v>0</v>
      </c>
      <c r="AE942" s="180">
        <f t="shared" si="296"/>
        <v>1642.8698430885411</v>
      </c>
      <c r="AF942" s="180">
        <f t="shared" si="303"/>
        <v>0</v>
      </c>
      <c r="AG942" s="180">
        <f t="shared" si="297"/>
        <v>244723.85800000001</v>
      </c>
      <c r="AH942" s="180">
        <f t="shared" si="301"/>
        <v>244723.85800000001</v>
      </c>
      <c r="AI942" s="180">
        <f t="shared" si="298"/>
        <v>51903</v>
      </c>
      <c r="AJ942" s="180">
        <f t="shared" si="302"/>
        <v>296626.85800000001</v>
      </c>
      <c r="AK942" s="180">
        <f t="shared" si="299"/>
        <v>0</v>
      </c>
      <c r="AL942" s="180">
        <f t="shared" si="300"/>
        <v>296626.85800000001</v>
      </c>
      <c r="AM942" s="180" t="s">
        <v>633</v>
      </c>
      <c r="AN942" s="180">
        <f>+B951/31/1.98</f>
        <v>2818.181818181818</v>
      </c>
      <c r="AO942" s="180">
        <f>(AD942*43560/31/24/3600)</f>
        <v>0</v>
      </c>
      <c r="AP942" s="180">
        <f>+G332</f>
        <v>0</v>
      </c>
      <c r="AQ942" s="180"/>
      <c r="AR942" s="180"/>
      <c r="AS942" s="180"/>
      <c r="AT942" s="181"/>
    </row>
    <row r="943" spans="1:46" ht="15.75" customHeight="1" x14ac:dyDescent="0.3">
      <c r="A943" s="189"/>
      <c r="B943" s="394" t="s">
        <v>674</v>
      </c>
      <c r="C943" s="394"/>
      <c r="D943" s="394"/>
      <c r="E943" s="394"/>
      <c r="F943" s="394"/>
      <c r="G943" s="394"/>
      <c r="H943" s="394"/>
      <c r="I943" s="394"/>
      <c r="J943" s="394"/>
      <c r="K943" s="394"/>
      <c r="L943" s="394"/>
      <c r="M943" s="394"/>
      <c r="N943" s="394"/>
      <c r="O943" s="394"/>
      <c r="P943" s="394"/>
      <c r="Q943" s="180"/>
      <c r="R943" s="181"/>
      <c r="AC943" s="189" t="s">
        <v>675</v>
      </c>
      <c r="AD943" s="180">
        <f t="shared" si="295"/>
        <v>0</v>
      </c>
      <c r="AE943" s="180">
        <f t="shared" si="296"/>
        <v>1624.3723379900016</v>
      </c>
      <c r="AF943" s="180">
        <f t="shared" si="303"/>
        <v>0</v>
      </c>
      <c r="AG943" s="180">
        <f t="shared" si="297"/>
        <v>104476.027</v>
      </c>
      <c r="AH943" s="180">
        <f t="shared" si="301"/>
        <v>104476.027</v>
      </c>
      <c r="AI943" s="180">
        <f t="shared" si="298"/>
        <v>53124</v>
      </c>
      <c r="AJ943" s="180">
        <f t="shared" si="302"/>
        <v>157600.027</v>
      </c>
      <c r="AK943" s="180">
        <f t="shared" si="299"/>
        <v>15816.395767397118</v>
      </c>
      <c r="AL943" s="180">
        <f t="shared" si="300"/>
        <v>141783.63123260287</v>
      </c>
      <c r="AM943" s="180" t="s">
        <v>633</v>
      </c>
      <c r="AN943" s="180">
        <f>+B952/30/1.98</f>
        <v>1256.4309764309764</v>
      </c>
      <c r="AO943" s="180">
        <f t="shared" ref="AO943:AO948" si="304">(AD943*43560/30/24/3600)</f>
        <v>0</v>
      </c>
      <c r="AP943" s="180">
        <f>+H332</f>
        <v>-2000.336190956463</v>
      </c>
      <c r="AQ943" s="180"/>
      <c r="AR943" s="180"/>
      <c r="AS943" s="180"/>
      <c r="AT943" s="181"/>
    </row>
    <row r="944" spans="1:46" ht="15.75" customHeight="1" x14ac:dyDescent="0.3">
      <c r="A944" s="189"/>
      <c r="B944" s="180"/>
      <c r="C944" s="180"/>
      <c r="D944" s="180"/>
      <c r="E944" s="180"/>
      <c r="F944" s="180"/>
      <c r="G944" s="180"/>
      <c r="H944" s="180"/>
      <c r="I944" s="180"/>
      <c r="J944" s="180"/>
      <c r="K944" s="180"/>
      <c r="L944" s="180"/>
      <c r="M944" s="180"/>
      <c r="N944" s="180"/>
      <c r="O944" s="180"/>
      <c r="P944" s="180"/>
      <c r="Q944" s="180"/>
      <c r="R944" s="181"/>
      <c r="AC944" s="189" t="s">
        <v>676</v>
      </c>
      <c r="AD944" s="180">
        <f t="shared" si="295"/>
        <v>0</v>
      </c>
      <c r="AE944" s="180">
        <f t="shared" si="296"/>
        <v>1600.1168045192444</v>
      </c>
      <c r="AF944" s="180">
        <f t="shared" si="303"/>
        <v>0</v>
      </c>
      <c r="AG944" s="180">
        <f t="shared" si="297"/>
        <v>72164.267999999996</v>
      </c>
      <c r="AH944" s="180">
        <f t="shared" si="301"/>
        <v>72164.267999999996</v>
      </c>
      <c r="AI944" s="180">
        <f t="shared" si="298"/>
        <v>52782</v>
      </c>
      <c r="AJ944" s="180">
        <f t="shared" si="302"/>
        <v>124946.268</v>
      </c>
      <c r="AK944" s="180">
        <f t="shared" si="299"/>
        <v>14770.416820711065</v>
      </c>
      <c r="AL944" s="180">
        <f t="shared" si="300"/>
        <v>110175.85117928893</v>
      </c>
      <c r="AM944" s="180" t="s">
        <v>633</v>
      </c>
      <c r="AN944" s="180">
        <f>+B953/31/1.98</f>
        <v>845.42196155099384</v>
      </c>
      <c r="AO944" s="180">
        <f t="shared" si="304"/>
        <v>0</v>
      </c>
      <c r="AP944" s="180">
        <f>+J332</f>
        <v>-2293.6899126445755</v>
      </c>
      <c r="AQ944" s="180"/>
      <c r="AR944" s="180"/>
      <c r="AS944" s="180"/>
      <c r="AT944" s="181"/>
    </row>
    <row r="945" spans="1:46" ht="15.75" customHeight="1" thickBot="1" x14ac:dyDescent="0.35">
      <c r="A945" s="189" t="s">
        <v>647</v>
      </c>
      <c r="B945" s="191" t="s">
        <v>677</v>
      </c>
      <c r="C945" s="191" t="s">
        <v>678</v>
      </c>
      <c r="D945" s="191" t="s">
        <v>679</v>
      </c>
      <c r="E945" s="191" t="s">
        <v>680</v>
      </c>
      <c r="F945" s="191" t="s">
        <v>644</v>
      </c>
      <c r="G945" s="191" t="s">
        <v>644</v>
      </c>
      <c r="H945" s="191" t="s">
        <v>681</v>
      </c>
      <c r="I945" s="191" t="s">
        <v>682</v>
      </c>
      <c r="J945" s="191" t="s">
        <v>683</v>
      </c>
      <c r="K945" s="191" t="s">
        <v>684</v>
      </c>
      <c r="L945" s="191" t="s">
        <v>685</v>
      </c>
      <c r="M945" s="191" t="s">
        <v>686</v>
      </c>
      <c r="N945" s="191" t="s">
        <v>687</v>
      </c>
      <c r="O945" s="191" t="s">
        <v>688</v>
      </c>
      <c r="P945" s="191" t="s">
        <v>689</v>
      </c>
      <c r="Q945" s="191" t="s">
        <v>638</v>
      </c>
      <c r="R945" s="181"/>
      <c r="T945" s="52" t="s">
        <v>690</v>
      </c>
      <c r="AC945" s="189" t="s">
        <v>691</v>
      </c>
      <c r="AD945" s="180">
        <f t="shared" si="295"/>
        <v>0</v>
      </c>
      <c r="AE945" s="180">
        <f t="shared" si="296"/>
        <v>1581.0255421077782</v>
      </c>
      <c r="AF945" s="180">
        <f t="shared" si="303"/>
        <v>0</v>
      </c>
      <c r="AG945" s="180">
        <f t="shared" si="297"/>
        <v>72973.600000000006</v>
      </c>
      <c r="AH945" s="180">
        <f t="shared" si="301"/>
        <v>72973.600000000006</v>
      </c>
      <c r="AI945" s="180">
        <f t="shared" si="298"/>
        <v>47023</v>
      </c>
      <c r="AJ945" s="180">
        <f t="shared" si="302"/>
        <v>119996.6</v>
      </c>
      <c r="AK945" s="180">
        <f t="shared" si="299"/>
        <v>8094.1460558827948</v>
      </c>
      <c r="AL945" s="180">
        <f t="shared" si="300"/>
        <v>111902.45394411721</v>
      </c>
      <c r="AM945" s="180" t="s">
        <v>633</v>
      </c>
      <c r="AN945" s="180">
        <f>+B954/31/1.98</f>
        <v>851.20560443141096</v>
      </c>
      <c r="AO945" s="180">
        <f t="shared" si="304"/>
        <v>0</v>
      </c>
      <c r="AP945" s="180">
        <f>+K332</f>
        <v>-1594.1958258097052</v>
      </c>
      <c r="AQ945" s="180"/>
      <c r="AR945" s="180"/>
      <c r="AS945" s="180"/>
      <c r="AT945" s="181"/>
    </row>
    <row r="946" spans="1:46" ht="15.75" customHeight="1" x14ac:dyDescent="0.3">
      <c r="A946" s="189"/>
      <c r="B946" s="180"/>
      <c r="C946" s="180"/>
      <c r="D946" s="180"/>
      <c r="E946" s="180"/>
      <c r="F946" s="182" t="s">
        <v>127</v>
      </c>
      <c r="G946" s="182" t="s">
        <v>653</v>
      </c>
      <c r="H946" s="180"/>
      <c r="I946" s="180"/>
      <c r="J946" s="180"/>
      <c r="K946" s="180"/>
      <c r="L946" s="180"/>
      <c r="M946" s="180"/>
      <c r="N946" s="180"/>
      <c r="O946" s="180"/>
      <c r="P946" s="180"/>
      <c r="Q946" s="180"/>
      <c r="R946" s="181"/>
      <c r="AC946" s="189" t="s">
        <v>692</v>
      </c>
      <c r="AD946" s="180">
        <f t="shared" si="295"/>
        <v>17000</v>
      </c>
      <c r="AE946" s="180">
        <f t="shared" si="296"/>
        <v>1584.4101397954946</v>
      </c>
      <c r="AF946" s="180">
        <f t="shared" si="303"/>
        <v>26934.972376523408</v>
      </c>
      <c r="AG946" s="180">
        <f t="shared" si="297"/>
        <v>160646.524</v>
      </c>
      <c r="AH946" s="180">
        <f t="shared" si="301"/>
        <v>187581.4963765234</v>
      </c>
      <c r="AI946" s="180">
        <f t="shared" si="298"/>
        <v>37207</v>
      </c>
      <c r="AJ946" s="180">
        <f t="shared" si="302"/>
        <v>224788.4963765234</v>
      </c>
      <c r="AK946" s="180">
        <v>0</v>
      </c>
      <c r="AL946" s="180">
        <f t="shared" si="300"/>
        <v>224788.4963765234</v>
      </c>
      <c r="AM946" s="180" t="s">
        <v>633</v>
      </c>
      <c r="AN946" s="180">
        <f>+B955/30/1.98</f>
        <v>2195.151515151515</v>
      </c>
      <c r="AO946" s="180">
        <f t="shared" si="304"/>
        <v>285.69444444444446</v>
      </c>
      <c r="AP946" s="180">
        <f>+L332</f>
        <v>0</v>
      </c>
      <c r="AQ946" s="180"/>
      <c r="AR946" s="180"/>
      <c r="AS946" s="180"/>
      <c r="AT946" s="181"/>
    </row>
    <row r="947" spans="1:46" ht="15.75" customHeight="1" x14ac:dyDescent="0.3">
      <c r="A947" s="192" t="s">
        <v>8</v>
      </c>
      <c r="B947" s="180">
        <f>+B29</f>
        <v>123231</v>
      </c>
      <c r="C947" s="180">
        <f>+B64</f>
        <v>123134</v>
      </c>
      <c r="D947" s="180">
        <f>+B134</f>
        <v>123038</v>
      </c>
      <c r="E947" s="180">
        <f>+B322</f>
        <v>122065</v>
      </c>
      <c r="F947" s="180">
        <f>+B317</f>
        <v>54000</v>
      </c>
      <c r="G947" s="180">
        <f>+B329</f>
        <v>0</v>
      </c>
      <c r="H947" s="180">
        <f>+B514</f>
        <v>37718</v>
      </c>
      <c r="I947" s="180">
        <f>+B565</f>
        <v>16012</v>
      </c>
      <c r="J947" s="180">
        <f>+B610</f>
        <v>15838</v>
      </c>
      <c r="K947" s="180">
        <f>+B676</f>
        <v>15692</v>
      </c>
      <c r="L947" s="180">
        <f>+B686</f>
        <v>11220</v>
      </c>
      <c r="M947" s="180">
        <f>+B722</f>
        <v>11200</v>
      </c>
      <c r="N947" s="180">
        <f>+B774</f>
        <v>10582</v>
      </c>
      <c r="O947" s="180">
        <f>+B784</f>
        <v>4331</v>
      </c>
      <c r="P947" s="180">
        <f>+B818</f>
        <v>3805</v>
      </c>
      <c r="Q947" s="180">
        <f>+B870</f>
        <v>4329</v>
      </c>
      <c r="R947" s="181"/>
      <c r="T947" s="193">
        <f>'[7]Lake Pleasant Forecast'!B83</f>
        <v>1686.5533104540602</v>
      </c>
      <c r="AC947" s="189" t="s">
        <v>693</v>
      </c>
      <c r="AD947" s="180">
        <f t="shared" si="295"/>
        <v>60000</v>
      </c>
      <c r="AE947" s="180">
        <f t="shared" si="296"/>
        <v>1595.979563906973</v>
      </c>
      <c r="AF947" s="180">
        <f t="shared" si="303"/>
        <v>95758.773834418389</v>
      </c>
      <c r="AG947" s="180">
        <f t="shared" si="297"/>
        <v>119771.152</v>
      </c>
      <c r="AH947" s="180">
        <f t="shared" si="301"/>
        <v>215529.92583441839</v>
      </c>
      <c r="AI947" s="180">
        <f t="shared" si="298"/>
        <v>18796</v>
      </c>
      <c r="AJ947" s="180">
        <f t="shared" si="302"/>
        <v>234325.92583441839</v>
      </c>
      <c r="AK947" s="180">
        <v>0</v>
      </c>
      <c r="AL947" s="180">
        <f t="shared" si="300"/>
        <v>234325.92583441839</v>
      </c>
      <c r="AM947" s="180" t="s">
        <v>633</v>
      </c>
      <c r="AN947" s="180">
        <f>+B956/31/1.98</f>
        <v>2354.8224177256438</v>
      </c>
      <c r="AO947" s="180">
        <f t="shared" si="304"/>
        <v>1008.3333333333334</v>
      </c>
      <c r="AP947" s="180">
        <f>+N332</f>
        <v>0</v>
      </c>
      <c r="AQ947" s="180"/>
      <c r="AR947" s="180"/>
      <c r="AS947" s="180"/>
      <c r="AT947" s="181"/>
    </row>
    <row r="948" spans="1:46" ht="15.75" customHeight="1" x14ac:dyDescent="0.3">
      <c r="A948" s="192" t="s">
        <v>9</v>
      </c>
      <c r="B948" s="180">
        <f>+C29</f>
        <v>135476</v>
      </c>
      <c r="C948" s="180">
        <f>+C64</f>
        <v>135328</v>
      </c>
      <c r="D948" s="180">
        <f>+C134</f>
        <v>135183</v>
      </c>
      <c r="E948" s="180">
        <f>+C322</f>
        <v>134123</v>
      </c>
      <c r="F948" s="180">
        <f>+C317</f>
        <v>57000</v>
      </c>
      <c r="G948" s="180">
        <f>+C329</f>
        <v>0</v>
      </c>
      <c r="H948" s="180">
        <f>+C514</f>
        <v>53333</v>
      </c>
      <c r="I948" s="180">
        <f>+C565</f>
        <v>23120</v>
      </c>
      <c r="J948" s="180">
        <f>+C610</f>
        <v>22891</v>
      </c>
      <c r="K948" s="180">
        <f>+C676</f>
        <v>22273</v>
      </c>
      <c r="L948" s="180">
        <f>+C686</f>
        <v>18661</v>
      </c>
      <c r="M948" s="180">
        <f>+C722</f>
        <v>18639</v>
      </c>
      <c r="N948" s="180">
        <f>+C774</f>
        <v>16978</v>
      </c>
      <c r="O948" s="180">
        <f>+C784</f>
        <v>4363</v>
      </c>
      <c r="P948" s="180">
        <f>+C818</f>
        <v>3805</v>
      </c>
      <c r="Q948" s="180">
        <f>+C870</f>
        <v>4360</v>
      </c>
      <c r="R948" s="181"/>
      <c r="T948" s="193">
        <f>'[7]Lake Pleasant Forecast'!B85</f>
        <v>1693.1377792108647</v>
      </c>
      <c r="AC948" s="189" t="s">
        <v>694</v>
      </c>
      <c r="AD948" s="180">
        <f t="shared" si="295"/>
        <v>82000</v>
      </c>
      <c r="AE948" s="180">
        <f t="shared" si="296"/>
        <v>1610.5024657252754</v>
      </c>
      <c r="AF948" s="180">
        <f t="shared" si="303"/>
        <v>132061.20218947259</v>
      </c>
      <c r="AG948" s="180">
        <f t="shared" si="297"/>
        <v>80518.142000000007</v>
      </c>
      <c r="AH948" s="180">
        <f t="shared" si="301"/>
        <v>212579.34418947261</v>
      </c>
      <c r="AI948" s="180">
        <f t="shared" si="298"/>
        <v>7806</v>
      </c>
      <c r="AJ948" s="180">
        <f t="shared" si="302"/>
        <v>220385.34418947261</v>
      </c>
      <c r="AK948" s="180">
        <f>(G1042)</f>
        <v>0</v>
      </c>
      <c r="AL948" s="180">
        <f t="shared" si="300"/>
        <v>220385.34418947261</v>
      </c>
      <c r="AM948" s="180" t="s">
        <v>633</v>
      </c>
      <c r="AN948" s="180">
        <f>+B957/30/1.98</f>
        <v>2336.2626262626263</v>
      </c>
      <c r="AO948" s="180">
        <f t="shared" si="304"/>
        <v>1378.0555555555557</v>
      </c>
      <c r="AP948" s="180">
        <f>+O332</f>
        <v>0</v>
      </c>
      <c r="AQ948" s="180"/>
      <c r="AR948" s="180"/>
      <c r="AS948" s="180"/>
      <c r="AT948" s="181"/>
    </row>
    <row r="949" spans="1:46" ht="15.75" customHeight="1" x14ac:dyDescent="0.3">
      <c r="A949" s="192" t="s">
        <v>10</v>
      </c>
      <c r="B949" s="180">
        <f>+D29</f>
        <v>144974</v>
      </c>
      <c r="C949" s="180">
        <f>+D64</f>
        <v>144700</v>
      </c>
      <c r="D949" s="180">
        <f>+D134</f>
        <v>144439</v>
      </c>
      <c r="E949" s="180">
        <f>+D322</f>
        <v>140718</v>
      </c>
      <c r="F949" s="180">
        <f>+D317</f>
        <v>29000</v>
      </c>
      <c r="G949" s="180">
        <f>+D329</f>
        <v>0</v>
      </c>
      <c r="H949" s="180">
        <f>+D514</f>
        <v>81979</v>
      </c>
      <c r="I949" s="180">
        <f>+D565</f>
        <v>34880</v>
      </c>
      <c r="J949" s="180">
        <f>+D610</f>
        <v>31315</v>
      </c>
      <c r="K949" s="180">
        <f>+D676</f>
        <v>28699</v>
      </c>
      <c r="L949" s="180">
        <f>+D686</f>
        <v>22778</v>
      </c>
      <c r="M949" s="180">
        <f>+D722</f>
        <v>22750</v>
      </c>
      <c r="N949" s="180">
        <f>+D774</f>
        <v>21336</v>
      </c>
      <c r="O949" s="180">
        <f>+D784</f>
        <v>5019</v>
      </c>
      <c r="P949" s="180">
        <f>+D818</f>
        <v>4757</v>
      </c>
      <c r="Q949" s="180">
        <f>+D870</f>
        <v>5014</v>
      </c>
      <c r="R949" s="181"/>
      <c r="T949" s="193">
        <f>'[7]Lake Pleasant Forecast'!B87</f>
        <v>1696.1335207516547</v>
      </c>
      <c r="AC949" s="189" t="s">
        <v>695</v>
      </c>
      <c r="AD949" s="180">
        <f t="shared" si="295"/>
        <v>50000</v>
      </c>
      <c r="AE949" s="180">
        <f t="shared" si="296"/>
        <v>1618.9547533206844</v>
      </c>
      <c r="AF949" s="180">
        <f t="shared" si="303"/>
        <v>80947.737666034227</v>
      </c>
      <c r="AG949" s="180">
        <f t="shared" si="297"/>
        <v>82284.195999999996</v>
      </c>
      <c r="AH949" s="180">
        <f t="shared" si="301"/>
        <v>163231.93366603422</v>
      </c>
      <c r="AI949" s="180">
        <f t="shared" si="298"/>
        <v>17581</v>
      </c>
      <c r="AJ949" s="180">
        <f t="shared" si="302"/>
        <v>180812.93366603422</v>
      </c>
      <c r="AK949" s="180">
        <f>(G1043)</f>
        <v>0</v>
      </c>
      <c r="AL949" s="180">
        <f t="shared" si="300"/>
        <v>180812.93366603422</v>
      </c>
      <c r="AM949" s="180" t="s">
        <v>633</v>
      </c>
      <c r="AN949" s="180">
        <f>+B958/31/1.98</f>
        <v>1759.2049527533397</v>
      </c>
      <c r="AO949" s="180">
        <f>(AD949*43560/31/24/3600)</f>
        <v>813.17204301075276</v>
      </c>
      <c r="AP949" s="180">
        <f>+P332</f>
        <v>0</v>
      </c>
      <c r="AQ949" s="180"/>
      <c r="AR949" s="180"/>
      <c r="AS949" s="180"/>
      <c r="AT949" s="181"/>
    </row>
    <row r="950" spans="1:46" ht="15.75" customHeight="1" x14ac:dyDescent="0.3">
      <c r="A950" s="192" t="s">
        <v>12</v>
      </c>
      <c r="B950" s="180">
        <f>+F29</f>
        <v>147069</v>
      </c>
      <c r="C950" s="180">
        <f>+F64</f>
        <v>146702</v>
      </c>
      <c r="D950" s="180">
        <f>+F134</f>
        <v>146352</v>
      </c>
      <c r="E950" s="180">
        <f>+F322</f>
        <v>140732</v>
      </c>
      <c r="F950" s="180">
        <f>+F317</f>
        <v>0</v>
      </c>
      <c r="G950" s="180">
        <f>+F329</f>
        <v>-10000</v>
      </c>
      <c r="H950" s="180">
        <f>+F514</f>
        <v>113132</v>
      </c>
      <c r="I950" s="180">
        <f>+F565</f>
        <v>44542</v>
      </c>
      <c r="J950" s="180">
        <f>+F610</f>
        <v>34700</v>
      </c>
      <c r="K950" s="180">
        <f>+F676</f>
        <v>31559</v>
      </c>
      <c r="L950" s="180">
        <f>+F686</f>
        <v>25564</v>
      </c>
      <c r="M950" s="180">
        <f>+F722</f>
        <v>25527</v>
      </c>
      <c r="N950" s="180">
        <f>+F774</f>
        <v>22654</v>
      </c>
      <c r="O950" s="180">
        <f>+F784</f>
        <v>5617</v>
      </c>
      <c r="P950" s="180">
        <f>+F818</f>
        <v>5708</v>
      </c>
      <c r="Q950" s="180">
        <f>+F870</f>
        <v>5610</v>
      </c>
      <c r="R950" s="181"/>
      <c r="T950" s="193">
        <f>'[7]Lake Pleasant Forecast'!B89</f>
        <v>1694.6692864298</v>
      </c>
      <c r="AC950" s="179"/>
      <c r="AD950" s="180"/>
      <c r="AE950" s="180"/>
      <c r="AF950" s="180"/>
      <c r="AG950" s="180"/>
      <c r="AH950" s="180"/>
      <c r="AI950" s="180"/>
      <c r="AJ950" s="180"/>
      <c r="AK950" s="180"/>
      <c r="AL950" s="180"/>
      <c r="AM950" s="180" t="s">
        <v>633</v>
      </c>
      <c r="AN950" s="180"/>
      <c r="AO950" s="180"/>
      <c r="AP950" s="180"/>
      <c r="AQ950" s="180"/>
      <c r="AR950" s="180"/>
      <c r="AS950" s="180"/>
      <c r="AT950" s="181"/>
    </row>
    <row r="951" spans="1:46" ht="15.75" customHeight="1" x14ac:dyDescent="0.3">
      <c r="A951" s="192" t="s">
        <v>13</v>
      </c>
      <c r="B951" s="180">
        <f>+G29</f>
        <v>172980</v>
      </c>
      <c r="C951" s="180">
        <f>+G64</f>
        <v>172555</v>
      </c>
      <c r="D951" s="180">
        <f>+G134</f>
        <v>172153</v>
      </c>
      <c r="E951" s="180">
        <f>+G322</f>
        <v>164816</v>
      </c>
      <c r="F951" s="180">
        <f>+G317</f>
        <v>0</v>
      </c>
      <c r="G951" s="180">
        <f>+G329</f>
        <v>0</v>
      </c>
      <c r="H951" s="180">
        <f>+G514</f>
        <v>120359</v>
      </c>
      <c r="I951" s="180">
        <f>+G565</f>
        <v>40302</v>
      </c>
      <c r="J951" s="180">
        <f>+G610</f>
        <v>33863</v>
      </c>
      <c r="K951" s="180">
        <f>+G676</f>
        <v>30975</v>
      </c>
      <c r="L951" s="180">
        <f>+G686</f>
        <v>25822</v>
      </c>
      <c r="M951" s="180">
        <f>+G722</f>
        <v>25780</v>
      </c>
      <c r="N951" s="180">
        <f>+G774</f>
        <v>23343</v>
      </c>
      <c r="O951" s="180">
        <f>+G784</f>
        <v>5531</v>
      </c>
      <c r="P951" s="180">
        <f>+G818</f>
        <v>6659</v>
      </c>
      <c r="Q951" s="180">
        <f>+G870</f>
        <v>5523</v>
      </c>
      <c r="R951" s="181"/>
      <c r="T951" s="193">
        <f>'[7]Lake Pleasant Forecast'!B91</f>
        <v>1693.8331531467943</v>
      </c>
      <c r="AC951" s="179" t="s">
        <v>641</v>
      </c>
      <c r="AD951" s="180">
        <f>SUM(AD938:AD949)</f>
        <v>349000</v>
      </c>
      <c r="AE951" s="180"/>
      <c r="AF951" s="180">
        <f t="shared" ref="AF951:AL951" si="305">SUM(AF938:AF949)</f>
        <v>565229.21460622596</v>
      </c>
      <c r="AG951" s="180">
        <f t="shared" si="305"/>
        <v>1520085.183</v>
      </c>
      <c r="AH951" s="180">
        <f t="shared" si="305"/>
        <v>2085314.3976062257</v>
      </c>
      <c r="AI951" s="180">
        <f t="shared" si="305"/>
        <v>438113</v>
      </c>
      <c r="AJ951" s="180">
        <f t="shared" si="305"/>
        <v>2523427.3976062257</v>
      </c>
      <c r="AK951" s="180">
        <f t="shared" si="305"/>
        <v>40237.390994100999</v>
      </c>
      <c r="AL951" s="180">
        <f t="shared" si="305"/>
        <v>2483190.0066121249</v>
      </c>
      <c r="AM951" s="180"/>
      <c r="AN951" s="180"/>
      <c r="AO951" s="180"/>
      <c r="AP951" s="180"/>
      <c r="AQ951" s="180"/>
      <c r="AR951" s="180"/>
      <c r="AS951" s="180"/>
      <c r="AT951" s="181"/>
    </row>
    <row r="952" spans="1:46" ht="15.75" customHeight="1" x14ac:dyDescent="0.3">
      <c r="A952" s="192" t="s">
        <v>14</v>
      </c>
      <c r="B952" s="180">
        <f>+H29</f>
        <v>74632</v>
      </c>
      <c r="C952" s="180">
        <f>+H64</f>
        <v>74215</v>
      </c>
      <c r="D952" s="180">
        <f>+H134</f>
        <v>73819</v>
      </c>
      <c r="E952" s="180">
        <f>+H322</f>
        <v>66439</v>
      </c>
      <c r="F952" s="180">
        <f>+H317</f>
        <v>0</v>
      </c>
      <c r="G952" s="180">
        <f>+H329</f>
        <v>-119000</v>
      </c>
      <c r="H952" s="180">
        <f>+H514</f>
        <v>141195</v>
      </c>
      <c r="I952" s="180">
        <f>+H565</f>
        <v>50915</v>
      </c>
      <c r="J952" s="180">
        <f>+H610</f>
        <v>32817</v>
      </c>
      <c r="K952" s="180">
        <f>+H676</f>
        <v>26933</v>
      </c>
      <c r="L952" s="180">
        <f>+H686</f>
        <v>22965</v>
      </c>
      <c r="M952" s="180">
        <f>+H722</f>
        <v>22921</v>
      </c>
      <c r="N952" s="180">
        <f>+H774</f>
        <v>21020</v>
      </c>
      <c r="O952" s="180">
        <f>+H784</f>
        <v>5457</v>
      </c>
      <c r="P952" s="180">
        <f>+H818</f>
        <v>6850</v>
      </c>
      <c r="Q952" s="180">
        <f>+H870</f>
        <v>5448</v>
      </c>
      <c r="R952" s="181"/>
      <c r="T952" s="193">
        <f>'[7]Lake Pleasant Forecast'!B93</f>
        <v>1679.5863747198991</v>
      </c>
      <c r="AC952" s="179"/>
      <c r="AD952" s="180"/>
      <c r="AE952" s="180"/>
      <c r="AF952" s="180"/>
      <c r="AG952" s="180"/>
      <c r="AH952" s="180"/>
      <c r="AI952" s="180"/>
      <c r="AJ952" s="180"/>
      <c r="AK952" s="180"/>
      <c r="AL952" s="180"/>
      <c r="AM952" s="180"/>
      <c r="AN952" s="180"/>
      <c r="AO952" s="180"/>
      <c r="AP952" s="180"/>
      <c r="AQ952" s="180"/>
      <c r="AR952" s="180"/>
      <c r="AS952" s="180"/>
      <c r="AT952" s="181"/>
    </row>
    <row r="953" spans="1:46" ht="15.75" customHeight="1" x14ac:dyDescent="0.3">
      <c r="A953" s="192" t="s">
        <v>16</v>
      </c>
      <c r="B953" s="180">
        <f>+J29</f>
        <v>51892</v>
      </c>
      <c r="C953" s="180">
        <f>+J64</f>
        <v>51476</v>
      </c>
      <c r="D953" s="180">
        <f>+J134</f>
        <v>51082</v>
      </c>
      <c r="E953" s="180">
        <f>+J322</f>
        <v>44224</v>
      </c>
      <c r="F953" s="180">
        <f>+J317</f>
        <v>0</v>
      </c>
      <c r="G953" s="180">
        <f>+J329</f>
        <v>-141000</v>
      </c>
      <c r="H953" s="180">
        <f>+J514</f>
        <v>134221</v>
      </c>
      <c r="I953" s="180">
        <f>+J565</f>
        <v>54776</v>
      </c>
      <c r="J953" s="180">
        <f>+J610</f>
        <v>33632</v>
      </c>
      <c r="K953" s="180">
        <f>+J676</f>
        <v>27201</v>
      </c>
      <c r="L953" s="180">
        <f>+J686</f>
        <v>21595</v>
      </c>
      <c r="M953" s="180">
        <f>+J722</f>
        <v>21556</v>
      </c>
      <c r="N953" s="180">
        <f>+J774</f>
        <v>20537</v>
      </c>
      <c r="O953" s="180">
        <f>+J784</f>
        <v>5595</v>
      </c>
      <c r="P953" s="180">
        <f>+J818</f>
        <v>6184</v>
      </c>
      <c r="Q953" s="180">
        <f>+J870</f>
        <v>5588</v>
      </c>
      <c r="R953" s="181"/>
      <c r="T953" s="193">
        <f>'[7]Lake Pleasant Forecast'!B95</f>
        <v>1660.904762840722</v>
      </c>
      <c r="AC953" s="179" t="s">
        <v>696</v>
      </c>
      <c r="AD953" s="180"/>
      <c r="AE953" s="180"/>
      <c r="AF953" s="180"/>
      <c r="AG953" s="180"/>
      <c r="AH953" s="180"/>
      <c r="AI953" s="180"/>
      <c r="AJ953" s="180"/>
      <c r="AK953" s="180"/>
      <c r="AL953" s="180"/>
      <c r="AM953" s="180"/>
      <c r="AN953" s="180"/>
      <c r="AO953" s="180"/>
      <c r="AP953" s="180"/>
      <c r="AQ953" s="180"/>
      <c r="AR953" s="180"/>
      <c r="AS953" s="180"/>
      <c r="AT953" s="181"/>
    </row>
    <row r="954" spans="1:46" ht="15.75" customHeight="1" x14ac:dyDescent="0.3">
      <c r="A954" s="192" t="s">
        <v>17</v>
      </c>
      <c r="B954" s="180">
        <f>+K29</f>
        <v>52247</v>
      </c>
      <c r="C954" s="180">
        <f>+K64</f>
        <v>51913</v>
      </c>
      <c r="D954" s="180">
        <f>+K134</f>
        <v>51595</v>
      </c>
      <c r="E954" s="180">
        <f>+K322</f>
        <v>45825</v>
      </c>
      <c r="F954" s="180">
        <f>+K317</f>
        <v>0</v>
      </c>
      <c r="G954" s="180">
        <f>+K329</f>
        <v>-98000</v>
      </c>
      <c r="H954" s="180">
        <f>+K514</f>
        <v>101608</v>
      </c>
      <c r="I954" s="180">
        <f>+K565</f>
        <v>43489</v>
      </c>
      <c r="J954" s="180">
        <f>+K610</f>
        <v>31601</v>
      </c>
      <c r="K954" s="180">
        <f>+K676</f>
        <v>26958</v>
      </c>
      <c r="L954" s="180">
        <f>+K686</f>
        <v>21496</v>
      </c>
      <c r="M954" s="180">
        <f>+K722</f>
        <v>21460</v>
      </c>
      <c r="N954" s="180">
        <f>+K774</f>
        <v>20243</v>
      </c>
      <c r="O954" s="180">
        <f>+K784</f>
        <v>5654</v>
      </c>
      <c r="P954" s="180">
        <f>+K818</f>
        <v>5708</v>
      </c>
      <c r="Q954" s="180">
        <f>+K870</f>
        <v>5648</v>
      </c>
      <c r="R954" s="181"/>
      <c r="T954" s="193">
        <f>'[7]Lake Pleasant Forecast'!B97</f>
        <v>1646.2006725314106</v>
      </c>
      <c r="AC954" s="179" t="s">
        <v>697</v>
      </c>
      <c r="AD954" s="180"/>
      <c r="AE954" s="180"/>
      <c r="AF954" s="180"/>
      <c r="AG954" s="180"/>
      <c r="AH954" s="180"/>
      <c r="AI954" s="180"/>
      <c r="AJ954" s="180"/>
      <c r="AK954" s="180"/>
      <c r="AL954" s="180"/>
      <c r="AM954" s="180"/>
      <c r="AN954" s="180"/>
      <c r="AO954" s="180"/>
      <c r="AP954" s="180"/>
      <c r="AQ954" s="180"/>
      <c r="AR954" s="180"/>
      <c r="AS954" s="180"/>
      <c r="AT954" s="181"/>
    </row>
    <row r="955" spans="1:46" ht="15.75" customHeight="1" x14ac:dyDescent="0.3">
      <c r="A955" s="192" t="s">
        <v>18</v>
      </c>
      <c r="B955" s="180">
        <f>+L29</f>
        <v>130392</v>
      </c>
      <c r="C955" s="180">
        <f>+L64</f>
        <v>130076</v>
      </c>
      <c r="D955" s="180">
        <f>+L134</f>
        <v>129775</v>
      </c>
      <c r="E955" s="180">
        <f>+L322</f>
        <v>126132</v>
      </c>
      <c r="F955" s="180">
        <f>+L317</f>
        <v>17000</v>
      </c>
      <c r="G955" s="180">
        <f>+L329</f>
        <v>0</v>
      </c>
      <c r="H955" s="180">
        <f>+L514</f>
        <v>70344</v>
      </c>
      <c r="I955" s="180">
        <f>+L565</f>
        <v>26463</v>
      </c>
      <c r="J955" s="180">
        <f>+L610</f>
        <v>25150</v>
      </c>
      <c r="K955" s="180">
        <f>+L676</f>
        <v>23470</v>
      </c>
      <c r="L955" s="180">
        <f>+L686</f>
        <v>20032</v>
      </c>
      <c r="M955" s="180">
        <f>+L722</f>
        <v>19998</v>
      </c>
      <c r="N955" s="180">
        <f>+L774</f>
        <v>18881</v>
      </c>
      <c r="O955" s="180">
        <f>+L784</f>
        <v>4533</v>
      </c>
      <c r="P955" s="180">
        <f>+L818</f>
        <v>5232</v>
      </c>
      <c r="Q955" s="180">
        <f>+L870</f>
        <v>4527</v>
      </c>
      <c r="R955" s="181"/>
      <c r="T955" s="193">
        <f>'[7]Lake Pleasant Forecast'!B99</f>
        <v>1648.80748967049</v>
      </c>
      <c r="AC955" s="179"/>
      <c r="AD955" s="180"/>
      <c r="AE955" s="180"/>
      <c r="AF955" s="180"/>
      <c r="AG955" s="180"/>
      <c r="AH955" s="180"/>
      <c r="AI955" s="180"/>
      <c r="AJ955" s="180"/>
      <c r="AK955" s="180"/>
      <c r="AL955" s="180"/>
      <c r="AM955" s="180"/>
      <c r="AN955" s="180"/>
      <c r="AO955" s="180"/>
      <c r="AP955" s="180"/>
      <c r="AQ955" s="180"/>
      <c r="AR955" s="180"/>
      <c r="AS955" s="180"/>
      <c r="AT955" s="181"/>
    </row>
    <row r="956" spans="1:46" ht="15.75" customHeight="1" x14ac:dyDescent="0.3">
      <c r="A956" s="192" t="s">
        <v>20</v>
      </c>
      <c r="B956" s="180">
        <f>+N29</f>
        <v>144539</v>
      </c>
      <c r="C956" s="180">
        <f>+N64</f>
        <v>144254</v>
      </c>
      <c r="D956" s="180">
        <f>+N134</f>
        <v>143982</v>
      </c>
      <c r="E956" s="180">
        <f>+N322</f>
        <v>141455</v>
      </c>
      <c r="F956" s="180">
        <f>+N317</f>
        <v>60000</v>
      </c>
      <c r="G956" s="180">
        <f>+N329</f>
        <v>0</v>
      </c>
      <c r="H956" s="180">
        <f>+N514</f>
        <v>48390</v>
      </c>
      <c r="I956" s="180">
        <f>+N565</f>
        <v>11747</v>
      </c>
      <c r="J956" s="180">
        <f>+N610</f>
        <v>11097</v>
      </c>
      <c r="K956" s="180">
        <f>+N676</f>
        <v>10173</v>
      </c>
      <c r="L956" s="180">
        <f>+N686</f>
        <v>8422</v>
      </c>
      <c r="M956" s="180">
        <f>+N722</f>
        <v>8393</v>
      </c>
      <c r="N956" s="180">
        <f>+N774</f>
        <v>7479</v>
      </c>
      <c r="O956" s="180">
        <f>+N784</f>
        <v>2322</v>
      </c>
      <c r="P956" s="180">
        <f>+N818</f>
        <v>4757</v>
      </c>
      <c r="Q956" s="180">
        <f>+N870</f>
        <v>2317</v>
      </c>
      <c r="R956" s="181"/>
      <c r="T956" s="193">
        <f>'[7]Lake Pleasant Forecast'!B101</f>
        <v>1657.7182601211505</v>
      </c>
      <c r="AC956" s="179" t="s">
        <v>698</v>
      </c>
      <c r="AD956" s="180"/>
      <c r="AE956" s="180"/>
      <c r="AF956" s="180"/>
      <c r="AG956" s="180"/>
      <c r="AH956" s="180"/>
      <c r="AI956" s="180"/>
      <c r="AJ956" s="180"/>
      <c r="AK956" s="180"/>
      <c r="AL956" s="180"/>
      <c r="AM956" s="180"/>
      <c r="AN956" s="180"/>
      <c r="AO956" s="180"/>
      <c r="AP956" s="180"/>
      <c r="AQ956" s="180"/>
      <c r="AR956" s="180"/>
      <c r="AS956" s="180"/>
      <c r="AT956" s="181"/>
    </row>
    <row r="957" spans="1:46" ht="15.75" customHeight="1" x14ac:dyDescent="0.3">
      <c r="A957" s="192" t="s">
        <v>21</v>
      </c>
      <c r="B957" s="180">
        <f>+O29</f>
        <v>138774</v>
      </c>
      <c r="C957" s="180">
        <f>+O64</f>
        <v>138539</v>
      </c>
      <c r="D957" s="180">
        <f>+O134</f>
        <v>138313</v>
      </c>
      <c r="E957" s="180">
        <f>+O322</f>
        <v>137158</v>
      </c>
      <c r="F957" s="180">
        <f>+O317</f>
        <v>82000</v>
      </c>
      <c r="G957" s="180">
        <f>+O329</f>
        <v>0</v>
      </c>
      <c r="H957" s="180">
        <f>+O514</f>
        <v>24313</v>
      </c>
      <c r="I957" s="180">
        <f>+O565</f>
        <v>3870</v>
      </c>
      <c r="J957" s="180">
        <f>+O610</f>
        <v>2998</v>
      </c>
      <c r="K957" s="180">
        <f>+O676</f>
        <v>2860</v>
      </c>
      <c r="L957" s="180">
        <f>+O686</f>
        <v>1988</v>
      </c>
      <c r="M957" s="180">
        <f>+O722</f>
        <v>1965</v>
      </c>
      <c r="N957" s="180">
        <f>+O774</f>
        <v>1754</v>
      </c>
      <c r="O957" s="180">
        <f>+O784</f>
        <v>1579</v>
      </c>
      <c r="P957" s="180">
        <f>+O818</f>
        <v>4281</v>
      </c>
      <c r="Q957" s="180">
        <f>+O870</f>
        <v>1576</v>
      </c>
      <c r="R957" s="181"/>
      <c r="T957" s="193">
        <f>'[7]Lake Pleasant Forecast'!B103</f>
        <v>1668.9037991016071</v>
      </c>
      <c r="AC957" s="179"/>
      <c r="AD957" s="180"/>
      <c r="AE957" s="180"/>
      <c r="AF957" s="180"/>
      <c r="AG957" s="180"/>
      <c r="AH957" s="180"/>
      <c r="AI957" s="180"/>
      <c r="AJ957" s="180"/>
      <c r="AK957" s="180"/>
      <c r="AL957" s="180"/>
      <c r="AM957" s="180"/>
      <c r="AN957" s="180"/>
      <c r="AO957" s="180"/>
      <c r="AP957" s="180"/>
      <c r="AQ957" s="180"/>
      <c r="AR957" s="180"/>
      <c r="AS957" s="180"/>
      <c r="AT957" s="181"/>
    </row>
    <row r="958" spans="1:46" ht="15.75" customHeight="1" thickBot="1" x14ac:dyDescent="0.35">
      <c r="A958" s="192" t="s">
        <v>22</v>
      </c>
      <c r="B958" s="180">
        <f>+P29</f>
        <v>107980</v>
      </c>
      <c r="C958" s="180">
        <f>+P64</f>
        <v>107794</v>
      </c>
      <c r="D958" s="180">
        <f>+P134</f>
        <v>107615</v>
      </c>
      <c r="E958" s="180">
        <f>+P322</f>
        <v>106492</v>
      </c>
      <c r="F958" s="180">
        <f>+P317</f>
        <v>50000</v>
      </c>
      <c r="G958" s="180">
        <f>+P329</f>
        <v>0</v>
      </c>
      <c r="H958" s="180">
        <f>+P514</f>
        <v>31426</v>
      </c>
      <c r="I958" s="180">
        <f>+P565</f>
        <v>11079</v>
      </c>
      <c r="J958" s="180">
        <f>+P610</f>
        <v>10466</v>
      </c>
      <c r="K958" s="180">
        <f>+P676</f>
        <v>9868</v>
      </c>
      <c r="L958" s="180">
        <f>+P686</f>
        <v>9430</v>
      </c>
      <c r="M958" s="180">
        <f>+P722</f>
        <v>9411</v>
      </c>
      <c r="N958" s="180">
        <f>+P774</f>
        <v>9002</v>
      </c>
      <c r="O958" s="180">
        <f>+P784</f>
        <v>3093</v>
      </c>
      <c r="P958" s="180">
        <f>+P818</f>
        <v>3805</v>
      </c>
      <c r="Q958" s="180">
        <f>+P870</f>
        <v>3091</v>
      </c>
      <c r="R958" s="181"/>
      <c r="T958" s="193">
        <f>'[7]Lake Pleasant Forecast'!B105</f>
        <v>1675.4137510075911</v>
      </c>
      <c r="AC958" s="194" t="s">
        <v>699</v>
      </c>
      <c r="AD958" s="195"/>
      <c r="AE958" s="195"/>
      <c r="AF958" s="195"/>
      <c r="AG958" s="195"/>
      <c r="AH958" s="195"/>
      <c r="AI958" s="195"/>
      <c r="AJ958" s="195"/>
      <c r="AK958" s="195"/>
      <c r="AL958" s="195"/>
      <c r="AM958" s="195"/>
      <c r="AN958" s="195"/>
      <c r="AO958" s="195"/>
      <c r="AP958" s="195"/>
      <c r="AQ958" s="195"/>
      <c r="AR958" s="195"/>
      <c r="AS958" s="195"/>
      <c r="AT958" s="196"/>
    </row>
    <row r="959" spans="1:46" ht="15.75" customHeight="1" x14ac:dyDescent="0.3">
      <c r="A959" s="189"/>
      <c r="B959" s="180"/>
      <c r="C959" s="180"/>
      <c r="D959" s="180"/>
      <c r="E959" s="180"/>
      <c r="F959" s="180"/>
      <c r="G959" s="180"/>
      <c r="H959" s="180"/>
      <c r="I959" s="180"/>
      <c r="J959" s="180"/>
      <c r="K959" s="180"/>
      <c r="L959" s="180"/>
      <c r="M959" s="180"/>
      <c r="N959" s="180"/>
      <c r="O959" s="180"/>
      <c r="P959" s="180"/>
      <c r="Q959" s="180"/>
      <c r="R959" s="181"/>
    </row>
    <row r="960" spans="1:46" ht="15.75" customHeight="1" thickBot="1" x14ac:dyDescent="0.35">
      <c r="A960" s="189" t="s">
        <v>641</v>
      </c>
      <c r="B960" s="180">
        <f t="shared" ref="B960:Q960" si="306">SUM(B947:B958)</f>
        <v>1424186</v>
      </c>
      <c r="C960" s="180">
        <f t="shared" si="306"/>
        <v>1420686</v>
      </c>
      <c r="D960" s="180">
        <f t="shared" si="306"/>
        <v>1417346</v>
      </c>
      <c r="E960" s="180">
        <f t="shared" si="306"/>
        <v>1370179</v>
      </c>
      <c r="F960" s="180">
        <f t="shared" si="306"/>
        <v>349000</v>
      </c>
      <c r="G960" s="180">
        <f t="shared" si="306"/>
        <v>-368000</v>
      </c>
      <c r="H960" s="180">
        <f t="shared" si="306"/>
        <v>958018</v>
      </c>
      <c r="I960" s="180">
        <f t="shared" si="306"/>
        <v>361195</v>
      </c>
      <c r="J960" s="180">
        <f t="shared" si="306"/>
        <v>286368</v>
      </c>
      <c r="K960" s="180">
        <f t="shared" si="306"/>
        <v>256661</v>
      </c>
      <c r="L960" s="180">
        <f t="shared" si="306"/>
        <v>209973</v>
      </c>
      <c r="M960" s="180">
        <f t="shared" si="306"/>
        <v>209600</v>
      </c>
      <c r="N960" s="180">
        <f t="shared" si="306"/>
        <v>193809</v>
      </c>
      <c r="O960" s="180">
        <f t="shared" si="306"/>
        <v>53094</v>
      </c>
      <c r="P960" s="180">
        <f t="shared" si="306"/>
        <v>61551</v>
      </c>
      <c r="Q960" s="180">
        <f t="shared" si="306"/>
        <v>53031</v>
      </c>
      <c r="R960" s="181"/>
    </row>
    <row r="961" spans="1:50" ht="15.75" customHeight="1" thickBot="1" x14ac:dyDescent="0.35">
      <c r="A961" s="135"/>
      <c r="B961" s="135"/>
      <c r="C961" s="135"/>
      <c r="D961" s="135"/>
      <c r="E961" s="135"/>
      <c r="F961" s="135"/>
      <c r="G961" s="135"/>
      <c r="H961" s="135"/>
      <c r="I961" s="135"/>
      <c r="J961" s="135"/>
      <c r="K961" s="135"/>
      <c r="L961" s="135"/>
      <c r="M961" s="135"/>
      <c r="N961" s="135"/>
      <c r="O961" s="135"/>
      <c r="P961" s="135"/>
      <c r="Q961" s="135"/>
      <c r="R961" s="196"/>
      <c r="AC961" s="173"/>
      <c r="AD961" s="174"/>
      <c r="AE961" s="174"/>
      <c r="AF961" s="174"/>
      <c r="AG961" s="174"/>
      <c r="AH961" s="174"/>
      <c r="AI961" s="174"/>
      <c r="AJ961" s="174"/>
      <c r="AK961" s="174"/>
      <c r="AL961" s="174"/>
      <c r="AM961" s="174"/>
      <c r="AN961" s="174"/>
      <c r="AO961" s="174"/>
      <c r="AP961" s="174"/>
      <c r="AQ961" s="174"/>
      <c r="AR961" s="174"/>
      <c r="AS961" s="177" t="str">
        <f>+Q1</f>
        <v xml:space="preserve">PRINTED:  </v>
      </c>
      <c r="AT961" s="197">
        <f ca="1">+R1</f>
        <v>44894.65816875</v>
      </c>
      <c r="AU961" s="198"/>
      <c r="AW961" s="199" t="s">
        <v>700</v>
      </c>
      <c r="AX961" s="180"/>
    </row>
    <row r="962" spans="1:50" ht="15.75" customHeight="1" x14ac:dyDescent="0.35">
      <c r="A962" s="200"/>
      <c r="B962" s="200"/>
      <c r="C962" s="200"/>
      <c r="D962" s="200"/>
      <c r="E962" s="200"/>
      <c r="F962" s="200"/>
      <c r="G962" s="200"/>
      <c r="H962" s="200"/>
      <c r="I962" s="200"/>
      <c r="J962" s="200"/>
      <c r="K962" s="200"/>
      <c r="L962" s="200"/>
      <c r="M962" s="200"/>
      <c r="N962" s="200"/>
      <c r="O962" s="200"/>
      <c r="P962" s="200"/>
      <c r="Q962" s="200"/>
      <c r="R962" s="174"/>
      <c r="AC962" s="179"/>
      <c r="AD962" s="180"/>
      <c r="AE962" s="199" t="s">
        <v>701</v>
      </c>
      <c r="AF962" s="180"/>
      <c r="AG962" s="180"/>
      <c r="AH962" s="180"/>
      <c r="AI962" s="180"/>
      <c r="AJ962" s="180"/>
      <c r="AK962" s="180"/>
      <c r="AL962" s="180"/>
      <c r="AM962" s="180"/>
      <c r="AN962" s="201"/>
      <c r="AO962" s="199" t="s">
        <v>702</v>
      </c>
      <c r="AP962" s="180"/>
      <c r="AQ962" s="180"/>
      <c r="AR962" s="180"/>
      <c r="AS962" s="180"/>
      <c r="AT962" s="180"/>
      <c r="AU962" s="133"/>
      <c r="AW962" s="180" t="s">
        <v>703</v>
      </c>
      <c r="AX962" s="180"/>
    </row>
    <row r="963" spans="1:50" ht="16.5" customHeight="1" x14ac:dyDescent="0.3">
      <c r="A963" s="189" t="s">
        <v>7</v>
      </c>
      <c r="B963" s="180"/>
      <c r="C963" s="180"/>
      <c r="D963" s="180"/>
      <c r="E963" s="180"/>
      <c r="F963" s="180"/>
      <c r="G963" s="180"/>
      <c r="H963" s="180"/>
      <c r="I963" s="180"/>
      <c r="J963" s="180"/>
      <c r="K963" s="180"/>
      <c r="L963" s="180"/>
      <c r="M963" s="180"/>
      <c r="N963" s="180"/>
      <c r="O963" s="180"/>
      <c r="P963" s="180"/>
      <c r="Q963" s="180"/>
      <c r="R963" s="180"/>
      <c r="AC963" s="179"/>
      <c r="AD963" s="180"/>
      <c r="AE963" s="180"/>
      <c r="AF963" s="180"/>
      <c r="AG963" s="180" t="s">
        <v>7</v>
      </c>
      <c r="AH963" s="202" t="str">
        <f>+A8</f>
        <v>Revised:  2/5/2020</v>
      </c>
      <c r="AI963" s="180"/>
      <c r="AJ963" s="180"/>
      <c r="AK963" s="180"/>
      <c r="AL963" s="180"/>
      <c r="AM963" s="180"/>
      <c r="AN963" s="180"/>
      <c r="AO963" s="180"/>
      <c r="AP963" s="180"/>
      <c r="AQ963" s="180"/>
      <c r="AR963" s="180" t="s">
        <v>7</v>
      </c>
      <c r="AS963" s="202" t="str">
        <f>+A8</f>
        <v>Revised:  2/5/2020</v>
      </c>
      <c r="AT963" s="180"/>
      <c r="AU963" s="133"/>
      <c r="AW963" s="180"/>
      <c r="AX963" s="180"/>
    </row>
    <row r="964" spans="1:50" ht="15.75" customHeight="1" x14ac:dyDescent="0.3">
      <c r="A964" s="182"/>
      <c r="B964" s="180"/>
      <c r="C964" s="180"/>
      <c r="D964" s="180"/>
      <c r="E964" s="180"/>
      <c r="F964" s="180"/>
      <c r="G964" s="180"/>
      <c r="H964" s="180"/>
      <c r="I964" s="180"/>
      <c r="J964" s="180"/>
      <c r="K964" s="180"/>
      <c r="L964" s="180"/>
      <c r="M964" s="180"/>
      <c r="N964" s="180"/>
      <c r="O964" s="180"/>
      <c r="P964" s="180"/>
      <c r="Q964" s="180"/>
      <c r="R964" s="180"/>
      <c r="AC964" s="179"/>
      <c r="AD964" s="180"/>
      <c r="AE964" s="180"/>
      <c r="AF964" s="180" t="s">
        <v>704</v>
      </c>
      <c r="AG964" s="180"/>
      <c r="AH964" s="180"/>
      <c r="AI964" s="180"/>
      <c r="AJ964" s="180"/>
      <c r="AK964" s="180"/>
      <c r="AL964" s="180"/>
      <c r="AM964" s="180"/>
      <c r="AN964" s="180"/>
      <c r="AO964" s="180"/>
      <c r="AP964" s="180" t="s">
        <v>704</v>
      </c>
      <c r="AQ964" s="180"/>
      <c r="AR964" s="180"/>
      <c r="AS964" s="180"/>
      <c r="AT964" s="180"/>
      <c r="AU964" s="133"/>
      <c r="AW964" s="180" t="s">
        <v>633</v>
      </c>
      <c r="AX964" s="182" t="s">
        <v>658</v>
      </c>
    </row>
    <row r="965" spans="1:50" ht="15.75" customHeight="1" x14ac:dyDescent="0.3">
      <c r="A965" s="192"/>
      <c r="AC965" s="179"/>
      <c r="AD965" s="180"/>
      <c r="AE965" s="180"/>
      <c r="AF965" s="180"/>
      <c r="AG965" s="180"/>
      <c r="AH965" s="180"/>
      <c r="AI965" s="180"/>
      <c r="AJ965" s="180"/>
      <c r="AK965" s="180"/>
      <c r="AL965" s="180"/>
      <c r="AM965" s="180"/>
      <c r="AN965" s="180"/>
      <c r="AO965" s="180"/>
      <c r="AP965" s="180"/>
      <c r="AQ965" s="180"/>
      <c r="AR965" s="180"/>
      <c r="AS965" s="180"/>
      <c r="AT965" s="180"/>
      <c r="AU965" s="133"/>
      <c r="AW965" s="182" t="s">
        <v>658</v>
      </c>
      <c r="AX965" s="182" t="s">
        <v>655</v>
      </c>
    </row>
    <row r="966" spans="1:50" ht="15.75" customHeight="1" thickBot="1" x14ac:dyDescent="0.35">
      <c r="A966" s="192"/>
      <c r="AC966" s="179"/>
      <c r="AD966" s="180"/>
      <c r="AE966" s="180"/>
      <c r="AF966" s="180"/>
      <c r="AG966" s="180">
        <f>+A5</f>
        <v>2021</v>
      </c>
      <c r="AH966" s="180"/>
      <c r="AI966" s="180"/>
      <c r="AJ966" s="180"/>
      <c r="AK966" s="180"/>
      <c r="AL966" s="180"/>
      <c r="AM966" s="180"/>
      <c r="AN966" s="180"/>
      <c r="AO966" s="180"/>
      <c r="AP966" s="180"/>
      <c r="AQ966" s="180"/>
      <c r="AR966" s="180">
        <f>+A5</f>
        <v>2021</v>
      </c>
      <c r="AS966" s="180"/>
      <c r="AT966" s="180"/>
      <c r="AU966" s="133"/>
      <c r="AW966" s="182" t="s">
        <v>705</v>
      </c>
      <c r="AX966" s="182" t="s">
        <v>706</v>
      </c>
    </row>
    <row r="967" spans="1:50" ht="15.75" customHeight="1" x14ac:dyDescent="0.3">
      <c r="A967" s="188"/>
      <c r="B967" s="387" t="s">
        <v>707</v>
      </c>
      <c r="C967" s="387"/>
      <c r="D967" s="387"/>
      <c r="E967" s="387"/>
      <c r="F967" s="387"/>
      <c r="G967" s="387"/>
      <c r="H967" s="387"/>
      <c r="I967" s="387"/>
      <c r="J967" s="387"/>
      <c r="K967" s="387"/>
      <c r="L967" s="387"/>
      <c r="M967" s="387"/>
      <c r="N967" s="387"/>
      <c r="O967" s="387"/>
      <c r="P967" s="387"/>
      <c r="Q967" s="177" t="str">
        <f>+Q1</f>
        <v xml:space="preserve">PRINTED:  </v>
      </c>
      <c r="R967" s="178">
        <f ca="1">+R1</f>
        <v>44894.65816875</v>
      </c>
      <c r="AC967" s="179"/>
      <c r="AD967" s="180"/>
      <c r="AE967" s="180"/>
      <c r="AF967" s="180"/>
      <c r="AG967" s="180" t="s">
        <v>708</v>
      </c>
      <c r="AH967" s="180"/>
      <c r="AI967" s="180"/>
      <c r="AJ967" s="180"/>
      <c r="AK967" s="180"/>
      <c r="AL967" s="180"/>
      <c r="AM967" s="180"/>
      <c r="AN967" s="180"/>
      <c r="AO967" s="180"/>
      <c r="AP967" s="180"/>
      <c r="AQ967" s="180"/>
      <c r="AR967" s="180" t="s">
        <v>708</v>
      </c>
      <c r="AS967" s="180"/>
      <c r="AT967" s="180"/>
      <c r="AU967" s="133"/>
      <c r="AW967" s="182" t="s">
        <v>666</v>
      </c>
      <c r="AX967" s="182" t="s">
        <v>666</v>
      </c>
    </row>
    <row r="968" spans="1:50" ht="15.75" customHeight="1" x14ac:dyDescent="0.3">
      <c r="A968" s="189"/>
      <c r="B968" s="394" t="str">
        <f>+A8</f>
        <v>Revised:  2/5/2020</v>
      </c>
      <c r="C968" s="394"/>
      <c r="D968" s="394"/>
      <c r="E968" s="394"/>
      <c r="F968" s="394"/>
      <c r="G968" s="394"/>
      <c r="H968" s="394"/>
      <c r="I968" s="394"/>
      <c r="J968" s="394"/>
      <c r="K968" s="394"/>
      <c r="L968" s="394"/>
      <c r="M968" s="394"/>
      <c r="N968" s="394"/>
      <c r="O968" s="394"/>
      <c r="P968" s="394"/>
      <c r="Q968" s="180"/>
      <c r="R968" s="181"/>
      <c r="AC968" s="179"/>
      <c r="AD968" s="180"/>
      <c r="AE968" s="180"/>
      <c r="AF968" s="180"/>
      <c r="AG968" s="180"/>
      <c r="AH968" s="180"/>
      <c r="AI968" s="180"/>
      <c r="AJ968" s="180"/>
      <c r="AK968" s="180"/>
      <c r="AL968" s="180"/>
      <c r="AM968" s="180"/>
      <c r="AN968" s="180"/>
      <c r="AO968" s="180"/>
      <c r="AP968" s="180"/>
      <c r="AQ968" s="180"/>
      <c r="AR968" s="180"/>
      <c r="AS968" s="180"/>
      <c r="AT968" s="180"/>
      <c r="AU968" s="133"/>
      <c r="AW968" s="180">
        <f t="shared" ref="AW968:AW979" si="307">SUM(L1004:Q1004)</f>
        <v>9155</v>
      </c>
      <c r="AX968" s="203">
        <v>2.4700000000000002</v>
      </c>
    </row>
    <row r="969" spans="1:50" ht="15.75" customHeight="1" x14ac:dyDescent="0.3">
      <c r="A969" s="189"/>
      <c r="B969" s="394" t="s">
        <v>670</v>
      </c>
      <c r="C969" s="394"/>
      <c r="D969" s="394"/>
      <c r="E969" s="394"/>
      <c r="F969" s="394"/>
      <c r="G969" s="394"/>
      <c r="H969" s="394"/>
      <c r="I969" s="394"/>
      <c r="J969" s="394"/>
      <c r="K969" s="394"/>
      <c r="L969" s="394"/>
      <c r="M969" s="394"/>
      <c r="N969" s="394"/>
      <c r="O969" s="394"/>
      <c r="P969" s="394"/>
      <c r="Q969" s="180"/>
      <c r="R969" s="181"/>
      <c r="AC969" s="179" t="s">
        <v>709</v>
      </c>
      <c r="AD969" s="182" t="s">
        <v>677</v>
      </c>
      <c r="AE969" s="182" t="s">
        <v>678</v>
      </c>
      <c r="AF969" s="182" t="s">
        <v>679</v>
      </c>
      <c r="AG969" s="182" t="s">
        <v>680</v>
      </c>
      <c r="AH969" s="182" t="s">
        <v>644</v>
      </c>
      <c r="AI969" s="180"/>
      <c r="AJ969" s="182" t="s">
        <v>641</v>
      </c>
      <c r="AK969" s="180"/>
      <c r="AL969" s="180"/>
      <c r="AM969" s="180"/>
      <c r="AN969" s="180" t="s">
        <v>709</v>
      </c>
      <c r="AO969" s="182" t="s">
        <v>677</v>
      </c>
      <c r="AP969" s="182" t="s">
        <v>678</v>
      </c>
      <c r="AQ969" s="182" t="s">
        <v>679</v>
      </c>
      <c r="AR969" s="182" t="s">
        <v>680</v>
      </c>
      <c r="AS969" s="182" t="s">
        <v>644</v>
      </c>
      <c r="AT969" s="182" t="s">
        <v>641</v>
      </c>
      <c r="AU969" s="133"/>
      <c r="AW969" s="180">
        <f t="shared" si="307"/>
        <v>12395</v>
      </c>
      <c r="AX969" s="203">
        <v>2.4700000000000002</v>
      </c>
    </row>
    <row r="970" spans="1:50" ht="15.75" customHeight="1" x14ac:dyDescent="0.3">
      <c r="A970" s="189"/>
      <c r="B970" s="394"/>
      <c r="C970" s="394"/>
      <c r="D970" s="394"/>
      <c r="E970" s="394"/>
      <c r="F970" s="394"/>
      <c r="G970" s="394"/>
      <c r="H970" s="394"/>
      <c r="I970" s="394"/>
      <c r="J970" s="394"/>
      <c r="K970" s="394"/>
      <c r="L970" s="394"/>
      <c r="M970" s="394"/>
      <c r="N970" s="394"/>
      <c r="O970" s="394"/>
      <c r="P970" s="394"/>
      <c r="Q970" s="180"/>
      <c r="R970" s="181"/>
      <c r="AC970" s="179" t="s">
        <v>710</v>
      </c>
      <c r="AD970" s="180"/>
      <c r="AE970" s="180"/>
      <c r="AF970" s="180"/>
      <c r="AG970" s="180"/>
      <c r="AH970" s="182" t="s">
        <v>127</v>
      </c>
      <c r="AI970" s="180"/>
      <c r="AJ970" s="182" t="s">
        <v>711</v>
      </c>
      <c r="AK970" s="180"/>
      <c r="AL970" s="180"/>
      <c r="AM970" s="180"/>
      <c r="AN970" s="180" t="s">
        <v>710</v>
      </c>
      <c r="AO970" s="180"/>
      <c r="AP970" s="180"/>
      <c r="AQ970" s="180"/>
      <c r="AR970" s="180"/>
      <c r="AS970" s="182" t="s">
        <v>127</v>
      </c>
      <c r="AT970" s="182" t="s">
        <v>711</v>
      </c>
      <c r="AU970" s="133"/>
      <c r="AW970" s="180">
        <f t="shared" si="307"/>
        <v>15124</v>
      </c>
      <c r="AX970" s="203">
        <v>2.4700000000000002</v>
      </c>
    </row>
    <row r="971" spans="1:50" ht="15.75" customHeight="1" x14ac:dyDescent="0.3">
      <c r="A971" s="189"/>
      <c r="B971" s="395">
        <f>+A5</f>
        <v>2021</v>
      </c>
      <c r="C971" s="395"/>
      <c r="D971" s="395"/>
      <c r="E971" s="395"/>
      <c r="F971" s="395"/>
      <c r="G971" s="395"/>
      <c r="H971" s="395"/>
      <c r="I971" s="395"/>
      <c r="J971" s="395"/>
      <c r="K971" s="395"/>
      <c r="L971" s="395"/>
      <c r="M971" s="395"/>
      <c r="N971" s="395"/>
      <c r="O971" s="395"/>
      <c r="P971" s="395"/>
      <c r="Q971" s="180"/>
      <c r="R971" s="181"/>
      <c r="AC971" s="179" t="s">
        <v>712</v>
      </c>
      <c r="AD971" s="180">
        <f>+$B$1002</f>
        <v>957</v>
      </c>
      <c r="AE971" s="180">
        <f>+C$1002</f>
        <v>122</v>
      </c>
      <c r="AF971" s="180">
        <f>+D$1002</f>
        <v>128</v>
      </c>
      <c r="AG971" s="180">
        <f>+E$1002</f>
        <v>219</v>
      </c>
      <c r="AH971" s="180"/>
      <c r="AI971" s="180"/>
      <c r="AJ971" s="182" t="s">
        <v>658</v>
      </c>
      <c r="AK971" s="180"/>
      <c r="AL971" s="180"/>
      <c r="AM971" s="180"/>
      <c r="AN971" s="180" t="s">
        <v>712</v>
      </c>
      <c r="AO971" s="180">
        <f>+$B$1002</f>
        <v>957</v>
      </c>
      <c r="AP971" s="180">
        <f>+C$1002</f>
        <v>122</v>
      </c>
      <c r="AQ971" s="180">
        <f>+D$1002</f>
        <v>128</v>
      </c>
      <c r="AR971" s="180">
        <f>+E$1002</f>
        <v>219</v>
      </c>
      <c r="AS971" s="180"/>
      <c r="AT971" s="182" t="s">
        <v>658</v>
      </c>
      <c r="AU971" s="133"/>
      <c r="AW971" s="180">
        <f t="shared" si="307"/>
        <v>16765</v>
      </c>
      <c r="AX971" s="203">
        <v>2.4700000000000002</v>
      </c>
    </row>
    <row r="972" spans="1:50" ht="15.75" customHeight="1" x14ac:dyDescent="0.3">
      <c r="A972" s="189"/>
      <c r="B972" s="394" t="s">
        <v>713</v>
      </c>
      <c r="C972" s="394"/>
      <c r="D972" s="394"/>
      <c r="E972" s="394"/>
      <c r="F972" s="394"/>
      <c r="G972" s="394"/>
      <c r="H972" s="394"/>
      <c r="I972" s="394"/>
      <c r="J972" s="394"/>
      <c r="K972" s="394"/>
      <c r="L972" s="394"/>
      <c r="M972" s="394"/>
      <c r="N972" s="394"/>
      <c r="O972" s="394"/>
      <c r="P972" s="394"/>
      <c r="Q972" s="180"/>
      <c r="R972" s="181"/>
      <c r="AC972" s="179"/>
      <c r="AD972" s="180" t="s">
        <v>666</v>
      </c>
      <c r="AE972" s="180" t="s">
        <v>666</v>
      </c>
      <c r="AF972" s="180" t="s">
        <v>666</v>
      </c>
      <c r="AG972" s="180" t="s">
        <v>666</v>
      </c>
      <c r="AH972" s="180" t="s">
        <v>666</v>
      </c>
      <c r="AI972" s="180"/>
      <c r="AJ972" s="180" t="s">
        <v>714</v>
      </c>
      <c r="AK972" s="180"/>
      <c r="AL972" s="180"/>
      <c r="AM972" s="180"/>
      <c r="AN972" s="180"/>
      <c r="AO972" s="180" t="s">
        <v>666</v>
      </c>
      <c r="AP972" s="180" t="s">
        <v>666</v>
      </c>
      <c r="AQ972" s="180" t="s">
        <v>666</v>
      </c>
      <c r="AR972" s="180" t="s">
        <v>666</v>
      </c>
      <c r="AS972" s="180" t="s">
        <v>666</v>
      </c>
      <c r="AT972" s="180" t="s">
        <v>714</v>
      </c>
      <c r="AU972" s="133"/>
      <c r="AW972" s="180">
        <f t="shared" si="307"/>
        <v>17260</v>
      </c>
      <c r="AX972" s="203">
        <v>2.4700000000000002</v>
      </c>
    </row>
    <row r="973" spans="1:50" ht="15.75" customHeight="1" x14ac:dyDescent="0.3">
      <c r="A973" s="189"/>
      <c r="B973" s="180"/>
      <c r="C973" s="180"/>
      <c r="D973" s="180"/>
      <c r="E973" s="180"/>
      <c r="F973" s="180"/>
      <c r="G973" s="180"/>
      <c r="H973" s="180"/>
      <c r="I973" s="180"/>
      <c r="J973" s="180"/>
      <c r="K973" s="180"/>
      <c r="L973" s="180"/>
      <c r="M973" s="180"/>
      <c r="N973" s="180"/>
      <c r="O973" s="180"/>
      <c r="P973" s="180"/>
      <c r="Q973" s="180"/>
      <c r="R973" s="181"/>
      <c r="AC973" s="189" t="s">
        <v>668</v>
      </c>
      <c r="AD973" s="180">
        <f t="shared" ref="AD973:AD984" si="308">ROUND($F947*$AD$971/1000,0)</f>
        <v>51678</v>
      </c>
      <c r="AE973" s="180">
        <f t="shared" ref="AE973:AE984" si="309">ROUND($F947*$AE$971/1000,0)</f>
        <v>6588</v>
      </c>
      <c r="AF973" s="180">
        <f t="shared" ref="AF973:AF984" si="310">ROUND($F947*$AF$971/1000,0)</f>
        <v>6912</v>
      </c>
      <c r="AG973" s="180">
        <f t="shared" ref="AG973:AG984" si="311">ROUND($F947*$AG$971/1000,0)</f>
        <v>11826</v>
      </c>
      <c r="AH973" s="180">
        <f t="shared" ref="AH973:AH984" si="312">(F947*((T947-1526.8)/0.7702))/1000</f>
        <v>11200.569676083169</v>
      </c>
      <c r="AI973" s="180"/>
      <c r="AJ973" s="180">
        <f t="shared" ref="AJ973:AJ984" si="313">SUM(AD973:AH973)</f>
        <v>88204.569676083163</v>
      </c>
      <c r="AK973" s="180"/>
      <c r="AL973" s="180"/>
      <c r="AM973" s="180"/>
      <c r="AN973" s="182" t="s">
        <v>668</v>
      </c>
      <c r="AO973" s="180">
        <f t="shared" ref="AO973:AO984" si="314">ROUND((B947-$F947)*$AO$971/1000,0)</f>
        <v>66254</v>
      </c>
      <c r="AP973" s="180">
        <f t="shared" ref="AP973:AP984" si="315">ROUND((C947-$F947)*$AP$971/1000,0)</f>
        <v>8434</v>
      </c>
      <c r="AQ973" s="180">
        <f t="shared" ref="AQ973:AQ984" si="316">ROUND((D947-$F947)*$AQ$971/1000,0)</f>
        <v>8837</v>
      </c>
      <c r="AR973" s="180">
        <f t="shared" ref="AR973:AR984" si="317">ROUND((E947-$F947)*$AR$971/1000,0)</f>
        <v>14906</v>
      </c>
      <c r="AS973" s="180">
        <f>((F947-$F947)*((T947-1526.8)/0.7702))/1000</f>
        <v>0</v>
      </c>
      <c r="AT973" s="180">
        <f t="shared" ref="AT973:AT984" si="318">SUM(AN973:AR973)</f>
        <v>98431</v>
      </c>
      <c r="AU973" s="133"/>
      <c r="AW973" s="180">
        <f t="shared" si="307"/>
        <v>16075</v>
      </c>
      <c r="AX973" s="203">
        <v>2.4700000000000002</v>
      </c>
    </row>
    <row r="974" spans="1:50" ht="15.75" customHeight="1" thickBot="1" x14ac:dyDescent="0.35">
      <c r="A974" s="189" t="s">
        <v>647</v>
      </c>
      <c r="B974" s="191" t="s">
        <v>677</v>
      </c>
      <c r="C974" s="191" t="s">
        <v>678</v>
      </c>
      <c r="D974" s="191" t="s">
        <v>679</v>
      </c>
      <c r="E974" s="191" t="s">
        <v>680</v>
      </c>
      <c r="F974" s="191" t="s">
        <v>644</v>
      </c>
      <c r="G974" s="191" t="s">
        <v>644</v>
      </c>
      <c r="H974" s="191" t="s">
        <v>681</v>
      </c>
      <c r="I974" s="191" t="s">
        <v>682</v>
      </c>
      <c r="J974" s="191" t="s">
        <v>683</v>
      </c>
      <c r="K974" s="191" t="s">
        <v>684</v>
      </c>
      <c r="L974" s="191" t="s">
        <v>685</v>
      </c>
      <c r="M974" s="191" t="s">
        <v>686</v>
      </c>
      <c r="N974" s="191" t="s">
        <v>687</v>
      </c>
      <c r="O974" s="191" t="s">
        <v>688</v>
      </c>
      <c r="P974" s="191" t="s">
        <v>689</v>
      </c>
      <c r="Q974" s="191" t="s">
        <v>638</v>
      </c>
      <c r="R974" s="181"/>
      <c r="AC974" s="189" t="s">
        <v>669</v>
      </c>
      <c r="AD974" s="180">
        <f t="shared" si="308"/>
        <v>54549</v>
      </c>
      <c r="AE974" s="180">
        <f t="shared" si="309"/>
        <v>6954</v>
      </c>
      <c r="AF974" s="180">
        <f t="shared" si="310"/>
        <v>7296</v>
      </c>
      <c r="AG974" s="180">
        <f t="shared" si="311"/>
        <v>12483</v>
      </c>
      <c r="AH974" s="180">
        <f t="shared" si="312"/>
        <v>12310.118689975707</v>
      </c>
      <c r="AI974" s="180"/>
      <c r="AJ974" s="180">
        <f t="shared" si="313"/>
        <v>93592.118689975701</v>
      </c>
      <c r="AK974" s="180"/>
      <c r="AL974" s="180"/>
      <c r="AM974" s="180"/>
      <c r="AN974" s="182" t="s">
        <v>669</v>
      </c>
      <c r="AO974" s="180">
        <f t="shared" si="314"/>
        <v>75102</v>
      </c>
      <c r="AP974" s="180">
        <f t="shared" si="315"/>
        <v>9556</v>
      </c>
      <c r="AQ974" s="180">
        <f t="shared" si="316"/>
        <v>10007</v>
      </c>
      <c r="AR974" s="180">
        <f t="shared" si="317"/>
        <v>16890</v>
      </c>
      <c r="AS974" s="180">
        <f t="shared" ref="AS974:AS984" si="319">((F948-$F948)*((T948-1526.8)/0.7702))/1000</f>
        <v>0</v>
      </c>
      <c r="AT974" s="180">
        <f t="shared" si="318"/>
        <v>111555</v>
      </c>
      <c r="AU974" s="133"/>
      <c r="AW974" s="180">
        <f t="shared" si="307"/>
        <v>15519</v>
      </c>
      <c r="AX974" s="203">
        <v>2.4700000000000002</v>
      </c>
    </row>
    <row r="975" spans="1:50" ht="15.75" customHeight="1" x14ac:dyDescent="0.3">
      <c r="A975" s="189"/>
      <c r="B975" s="180"/>
      <c r="C975" s="180"/>
      <c r="D975" s="180"/>
      <c r="E975" s="180"/>
      <c r="F975" s="182" t="s">
        <v>127</v>
      </c>
      <c r="G975" s="182" t="s">
        <v>653</v>
      </c>
      <c r="H975" s="180"/>
      <c r="I975" s="180"/>
      <c r="J975" s="180"/>
      <c r="K975" s="180"/>
      <c r="L975" s="180"/>
      <c r="M975" s="180"/>
      <c r="N975" s="180"/>
      <c r="O975" s="180"/>
      <c r="P975" s="180"/>
      <c r="Q975" s="180"/>
      <c r="R975" s="181"/>
      <c r="AC975" s="189" t="s">
        <v>671</v>
      </c>
      <c r="AD975" s="180">
        <f t="shared" si="308"/>
        <v>27753</v>
      </c>
      <c r="AE975" s="180">
        <f t="shared" si="309"/>
        <v>3538</v>
      </c>
      <c r="AF975" s="180">
        <f t="shared" si="310"/>
        <v>3712</v>
      </c>
      <c r="AG975" s="180">
        <f t="shared" si="311"/>
        <v>6351</v>
      </c>
      <c r="AH975" s="180">
        <f t="shared" si="312"/>
        <v>6375.8401737184986</v>
      </c>
      <c r="AI975" s="180"/>
      <c r="AJ975" s="180">
        <f t="shared" si="313"/>
        <v>47729.840173718498</v>
      </c>
      <c r="AK975" s="180"/>
      <c r="AL975" s="180"/>
      <c r="AM975" s="180"/>
      <c r="AN975" s="182" t="s">
        <v>671</v>
      </c>
      <c r="AO975" s="180">
        <f t="shared" si="314"/>
        <v>110987</v>
      </c>
      <c r="AP975" s="180">
        <f t="shared" si="315"/>
        <v>14115</v>
      </c>
      <c r="AQ975" s="180">
        <f t="shared" si="316"/>
        <v>14776</v>
      </c>
      <c r="AR975" s="180">
        <f t="shared" si="317"/>
        <v>24466</v>
      </c>
      <c r="AS975" s="180">
        <f t="shared" si="319"/>
        <v>0</v>
      </c>
      <c r="AT975" s="180">
        <f t="shared" si="318"/>
        <v>164344</v>
      </c>
      <c r="AU975" s="133"/>
      <c r="AW975" s="180">
        <f t="shared" si="307"/>
        <v>15300</v>
      </c>
      <c r="AX975" s="203">
        <v>2.4700000000000002</v>
      </c>
    </row>
    <row r="976" spans="1:50" ht="15.75" customHeight="1" x14ac:dyDescent="0.3">
      <c r="A976" s="192" t="s">
        <v>8</v>
      </c>
      <c r="B976" s="180">
        <f t="shared" ref="B976:Q976" si="320">(B947/$B$10/1.983)</f>
        <v>2004.636181738324</v>
      </c>
      <c r="C976" s="180">
        <f t="shared" si="320"/>
        <v>2003.0582532168594</v>
      </c>
      <c r="D976" s="180">
        <f t="shared" si="320"/>
        <v>2001.4965919997396</v>
      </c>
      <c r="E976" s="180">
        <f t="shared" si="320"/>
        <v>1985.6685048720576</v>
      </c>
      <c r="F976" s="180">
        <f t="shared" si="320"/>
        <v>878.43443462983748</v>
      </c>
      <c r="G976" s="180">
        <f t="shared" si="320"/>
        <v>0</v>
      </c>
      <c r="H976" s="180">
        <f t="shared" si="320"/>
        <v>613.5701852845965</v>
      </c>
      <c r="I976" s="180">
        <f t="shared" si="320"/>
        <v>260.47207717209182</v>
      </c>
      <c r="J976" s="180">
        <f t="shared" si="320"/>
        <v>257.6415662160623</v>
      </c>
      <c r="K976" s="180">
        <f t="shared" si="320"/>
        <v>255.26653978169276</v>
      </c>
      <c r="L976" s="180">
        <f t="shared" si="320"/>
        <v>182.51915475086622</v>
      </c>
      <c r="M976" s="180">
        <f t="shared" si="320"/>
        <v>182.19380866396631</v>
      </c>
      <c r="N976" s="180">
        <f t="shared" si="320"/>
        <v>172.14061457875815</v>
      </c>
      <c r="O976" s="180">
        <f t="shared" si="320"/>
        <v>70.453695118181969</v>
      </c>
      <c r="P976" s="180">
        <f t="shared" si="320"/>
        <v>61.897093032713542</v>
      </c>
      <c r="Q976" s="180">
        <f t="shared" si="320"/>
        <v>70.421160509491969</v>
      </c>
      <c r="R976" s="181"/>
      <c r="AC976" s="189" t="s">
        <v>672</v>
      </c>
      <c r="AD976" s="180">
        <f t="shared" si="308"/>
        <v>0</v>
      </c>
      <c r="AE976" s="180">
        <f t="shared" si="309"/>
        <v>0</v>
      </c>
      <c r="AF976" s="180">
        <f t="shared" si="310"/>
        <v>0</v>
      </c>
      <c r="AG976" s="180">
        <f t="shared" si="311"/>
        <v>0</v>
      </c>
      <c r="AH976" s="180">
        <f t="shared" si="312"/>
        <v>0</v>
      </c>
      <c r="AI976" s="180"/>
      <c r="AJ976" s="180">
        <f t="shared" si="313"/>
        <v>0</v>
      </c>
      <c r="AK976" s="180"/>
      <c r="AL976" s="180"/>
      <c r="AM976" s="180"/>
      <c r="AN976" s="182" t="s">
        <v>672</v>
      </c>
      <c r="AO976" s="180">
        <f t="shared" si="314"/>
        <v>140745</v>
      </c>
      <c r="AP976" s="180">
        <f t="shared" si="315"/>
        <v>17898</v>
      </c>
      <c r="AQ976" s="180">
        <f t="shared" si="316"/>
        <v>18733</v>
      </c>
      <c r="AR976" s="180">
        <f t="shared" si="317"/>
        <v>30820</v>
      </c>
      <c r="AS976" s="180">
        <f t="shared" si="319"/>
        <v>0</v>
      </c>
      <c r="AT976" s="180">
        <f t="shared" si="318"/>
        <v>208196</v>
      </c>
      <c r="AU976" s="133"/>
      <c r="AW976" s="180">
        <f t="shared" si="307"/>
        <v>13760</v>
      </c>
      <c r="AX976" s="203">
        <v>2.4700000000000002</v>
      </c>
    </row>
    <row r="977" spans="1:50" ht="15.75" customHeight="1" x14ac:dyDescent="0.3">
      <c r="A977" s="192" t="s">
        <v>9</v>
      </c>
      <c r="B977" s="180">
        <f t="shared" ref="B977:Q977" si="321">(B948/$C$10/1.983)</f>
        <v>2439.9538938116848</v>
      </c>
      <c r="C977" s="180">
        <f t="shared" si="321"/>
        <v>2437.288379799726</v>
      </c>
      <c r="D977" s="180">
        <f t="shared" si="321"/>
        <v>2434.6768964771986</v>
      </c>
      <c r="E977" s="180">
        <f t="shared" si="321"/>
        <v>2415.5860528780349</v>
      </c>
      <c r="F977" s="180">
        <f t="shared" si="321"/>
        <v>1026.5830992003457</v>
      </c>
      <c r="G977" s="180">
        <f t="shared" si="321"/>
        <v>0</v>
      </c>
      <c r="H977" s="180">
        <f t="shared" si="321"/>
        <v>960.53958648512355</v>
      </c>
      <c r="I977" s="180">
        <f t="shared" si="321"/>
        <v>416.39651321950862</v>
      </c>
      <c r="J977" s="180">
        <f t="shared" si="321"/>
        <v>412.27217059289677</v>
      </c>
      <c r="K977" s="180">
        <f t="shared" si="321"/>
        <v>401.1418485699877</v>
      </c>
      <c r="L977" s="180">
        <f t="shared" si="321"/>
        <v>336.08889849434473</v>
      </c>
      <c r="M977" s="180">
        <f t="shared" si="321"/>
        <v>335.69267343851305</v>
      </c>
      <c r="N977" s="180">
        <f t="shared" si="321"/>
        <v>305.77768172321879</v>
      </c>
      <c r="O977" s="180">
        <f t="shared" si="321"/>
        <v>78.578632663352792</v>
      </c>
      <c r="P977" s="180">
        <f t="shared" si="321"/>
        <v>68.528924429075715</v>
      </c>
      <c r="Q977" s="180">
        <f t="shared" si="321"/>
        <v>78.524601973921193</v>
      </c>
      <c r="R977" s="181"/>
      <c r="AC977" s="189" t="s">
        <v>673</v>
      </c>
      <c r="AD977" s="180">
        <f t="shared" si="308"/>
        <v>0</v>
      </c>
      <c r="AE977" s="180">
        <f t="shared" si="309"/>
        <v>0</v>
      </c>
      <c r="AF977" s="180">
        <f t="shared" si="310"/>
        <v>0</v>
      </c>
      <c r="AG977" s="180">
        <f t="shared" si="311"/>
        <v>0</v>
      </c>
      <c r="AH977" s="180">
        <f t="shared" si="312"/>
        <v>0</v>
      </c>
      <c r="AI977" s="180"/>
      <c r="AJ977" s="180">
        <f t="shared" si="313"/>
        <v>0</v>
      </c>
      <c r="AK977" s="180"/>
      <c r="AL977" s="180"/>
      <c r="AM977" s="180"/>
      <c r="AN977" s="182" t="s">
        <v>673</v>
      </c>
      <c r="AO977" s="180">
        <f t="shared" si="314"/>
        <v>165542</v>
      </c>
      <c r="AP977" s="180">
        <f t="shared" si="315"/>
        <v>21052</v>
      </c>
      <c r="AQ977" s="180">
        <f t="shared" si="316"/>
        <v>22036</v>
      </c>
      <c r="AR977" s="180">
        <f t="shared" si="317"/>
        <v>36095</v>
      </c>
      <c r="AS977" s="180">
        <f t="shared" si="319"/>
        <v>0</v>
      </c>
      <c r="AT977" s="180">
        <f t="shared" si="318"/>
        <v>244725</v>
      </c>
      <c r="AU977" s="133"/>
      <c r="AW977" s="180">
        <f t="shared" si="307"/>
        <v>6803</v>
      </c>
      <c r="AX977" s="203">
        <v>2.4700000000000002</v>
      </c>
    </row>
    <row r="978" spans="1:50" ht="15.75" customHeight="1" x14ac:dyDescent="0.3">
      <c r="A978" s="192" t="s">
        <v>10</v>
      </c>
      <c r="B978" s="180">
        <f t="shared" ref="B978:Q978" si="322">(B949/$D$10/1.983)</f>
        <v>2358.3361801115939</v>
      </c>
      <c r="C978" s="180">
        <f t="shared" si="322"/>
        <v>2353.8789387210645</v>
      </c>
      <c r="D978" s="180">
        <f t="shared" si="322"/>
        <v>2349.63317228702</v>
      </c>
      <c r="E978" s="180">
        <f t="shared" si="322"/>
        <v>2289.1025328192864</v>
      </c>
      <c r="F978" s="180">
        <f t="shared" si="322"/>
        <v>471.75182600491269</v>
      </c>
      <c r="G978" s="180">
        <f t="shared" si="322"/>
        <v>0</v>
      </c>
      <c r="H978" s="180">
        <f t="shared" si="322"/>
        <v>1333.5773428985083</v>
      </c>
      <c r="I978" s="180">
        <f t="shared" si="322"/>
        <v>567.40357555349499</v>
      </c>
      <c r="J978" s="180">
        <f t="shared" si="322"/>
        <v>509.41063556358074</v>
      </c>
      <c r="K978" s="180">
        <f t="shared" si="322"/>
        <v>466.85536739706862</v>
      </c>
      <c r="L978" s="180">
        <f t="shared" si="322"/>
        <v>370.5366583703414</v>
      </c>
      <c r="M978" s="180">
        <f t="shared" si="322"/>
        <v>370.08117384868154</v>
      </c>
      <c r="N978" s="180">
        <f t="shared" si="322"/>
        <v>347.07920550485579</v>
      </c>
      <c r="O978" s="180">
        <f t="shared" si="322"/>
        <v>81.645600507539896</v>
      </c>
      <c r="P978" s="180">
        <f t="shared" si="322"/>
        <v>77.383566769150676</v>
      </c>
      <c r="Q978" s="180">
        <f t="shared" si="322"/>
        <v>81.564263985814904</v>
      </c>
      <c r="R978" s="181"/>
      <c r="AC978" s="189" t="s">
        <v>675</v>
      </c>
      <c r="AD978" s="180">
        <f t="shared" si="308"/>
        <v>0</v>
      </c>
      <c r="AE978" s="180">
        <f t="shared" si="309"/>
        <v>0</v>
      </c>
      <c r="AF978" s="180">
        <f t="shared" si="310"/>
        <v>0</v>
      </c>
      <c r="AG978" s="180">
        <f t="shared" si="311"/>
        <v>0</v>
      </c>
      <c r="AH978" s="180">
        <f t="shared" si="312"/>
        <v>0</v>
      </c>
      <c r="AI978" s="180"/>
      <c r="AJ978" s="180">
        <f t="shared" si="313"/>
        <v>0</v>
      </c>
      <c r="AK978" s="180"/>
      <c r="AL978" s="180"/>
      <c r="AM978" s="180"/>
      <c r="AN978" s="182" t="s">
        <v>675</v>
      </c>
      <c r="AO978" s="180">
        <f t="shared" si="314"/>
        <v>71423</v>
      </c>
      <c r="AP978" s="180">
        <f t="shared" si="315"/>
        <v>9054</v>
      </c>
      <c r="AQ978" s="180">
        <f t="shared" si="316"/>
        <v>9449</v>
      </c>
      <c r="AR978" s="180">
        <f t="shared" si="317"/>
        <v>14550</v>
      </c>
      <c r="AS978" s="180">
        <f t="shared" si="319"/>
        <v>0</v>
      </c>
      <c r="AT978" s="180">
        <f t="shared" si="318"/>
        <v>104476</v>
      </c>
      <c r="AU978" s="133"/>
      <c r="AW978" s="180">
        <f t="shared" si="307"/>
        <v>3335</v>
      </c>
      <c r="AX978" s="203">
        <v>2.4700000000000002</v>
      </c>
    </row>
    <row r="979" spans="1:50" ht="15.75" customHeight="1" x14ac:dyDescent="0.3">
      <c r="A979" s="192" t="s">
        <v>12</v>
      </c>
      <c r="B979" s="180">
        <f t="shared" ref="B979:Q979" si="323">(B950/$F$10/1.983)</f>
        <v>2472.1633888048409</v>
      </c>
      <c r="C979" s="180">
        <f t="shared" si="323"/>
        <v>2465.99428475374</v>
      </c>
      <c r="D979" s="180">
        <f t="shared" si="323"/>
        <v>2460.1109430156325</v>
      </c>
      <c r="E979" s="180">
        <f t="shared" si="323"/>
        <v>2365.6412842494537</v>
      </c>
      <c r="F979" s="180">
        <f t="shared" si="323"/>
        <v>0</v>
      </c>
      <c r="G979" s="180">
        <f t="shared" si="323"/>
        <v>-168.09547823163555</v>
      </c>
      <c r="H979" s="180">
        <f t="shared" si="323"/>
        <v>1901.6977643301393</v>
      </c>
      <c r="I979" s="180">
        <f t="shared" si="323"/>
        <v>748.73087913935115</v>
      </c>
      <c r="J979" s="180">
        <f t="shared" si="323"/>
        <v>583.29130946377541</v>
      </c>
      <c r="K979" s="180">
        <f t="shared" si="323"/>
        <v>530.49251975121865</v>
      </c>
      <c r="L979" s="180">
        <f t="shared" si="323"/>
        <v>429.71928055135317</v>
      </c>
      <c r="M979" s="180">
        <f t="shared" si="323"/>
        <v>429.09732728189607</v>
      </c>
      <c r="N979" s="180">
        <f t="shared" si="323"/>
        <v>380.8034963859472</v>
      </c>
      <c r="O979" s="180">
        <f t="shared" si="323"/>
        <v>94.419230122709692</v>
      </c>
      <c r="P979" s="180">
        <f t="shared" si="323"/>
        <v>95.948898974617592</v>
      </c>
      <c r="Q979" s="180">
        <f t="shared" si="323"/>
        <v>94.301563287947545</v>
      </c>
      <c r="R979" s="181"/>
      <c r="AC979" s="189" t="s">
        <v>676</v>
      </c>
      <c r="AD979" s="180">
        <f t="shared" si="308"/>
        <v>0</v>
      </c>
      <c r="AE979" s="180">
        <f t="shared" si="309"/>
        <v>0</v>
      </c>
      <c r="AF979" s="180">
        <f t="shared" si="310"/>
        <v>0</v>
      </c>
      <c r="AG979" s="180">
        <f t="shared" si="311"/>
        <v>0</v>
      </c>
      <c r="AH979" s="180">
        <f t="shared" si="312"/>
        <v>0</v>
      </c>
      <c r="AI979" s="180"/>
      <c r="AJ979" s="180">
        <f t="shared" si="313"/>
        <v>0</v>
      </c>
      <c r="AK979" s="180"/>
      <c r="AL979" s="180"/>
      <c r="AM979" s="180"/>
      <c r="AN979" s="182" t="s">
        <v>676</v>
      </c>
      <c r="AO979" s="180">
        <f t="shared" si="314"/>
        <v>49661</v>
      </c>
      <c r="AP979" s="180">
        <f t="shared" si="315"/>
        <v>6280</v>
      </c>
      <c r="AQ979" s="180">
        <f t="shared" si="316"/>
        <v>6538</v>
      </c>
      <c r="AR979" s="180">
        <f t="shared" si="317"/>
        <v>9685</v>
      </c>
      <c r="AS979" s="180">
        <f t="shared" si="319"/>
        <v>0</v>
      </c>
      <c r="AT979" s="180">
        <f t="shared" si="318"/>
        <v>72164</v>
      </c>
      <c r="AU979" s="133"/>
      <c r="AW979" s="180">
        <f t="shared" si="307"/>
        <v>7577</v>
      </c>
      <c r="AX979" s="203">
        <v>2.4700000000000002</v>
      </c>
    </row>
    <row r="980" spans="1:50" ht="15.75" customHeight="1" x14ac:dyDescent="0.3">
      <c r="A980" s="192" t="s">
        <v>13</v>
      </c>
      <c r="B980" s="180">
        <f t="shared" ref="B980:Q980" si="324">(B951/$G$10/1.983)</f>
        <v>2813.9183055975791</v>
      </c>
      <c r="C980" s="180">
        <f t="shared" si="324"/>
        <v>2807.0047012509553</v>
      </c>
      <c r="D980" s="180">
        <f t="shared" si="324"/>
        <v>2800.4652449042665</v>
      </c>
      <c r="E980" s="180">
        <f t="shared" si="324"/>
        <v>2681.1120329250239</v>
      </c>
      <c r="F980" s="180">
        <f t="shared" si="324"/>
        <v>0</v>
      </c>
      <c r="G980" s="180">
        <f>(G951/$G$10/1.983)</f>
        <v>0</v>
      </c>
      <c r="H980" s="180">
        <f t="shared" si="324"/>
        <v>1957.9164836594928</v>
      </c>
      <c r="I980" s="180">
        <f t="shared" si="324"/>
        <v>655.60489971206869</v>
      </c>
      <c r="J980" s="180">
        <f t="shared" si="324"/>
        <v>550.85972703463301</v>
      </c>
      <c r="K980" s="180">
        <f t="shared" si="324"/>
        <v>503.87975208628177</v>
      </c>
      <c r="L980" s="180">
        <f t="shared" si="324"/>
        <v>420.05433279651231</v>
      </c>
      <c r="M980" s="180">
        <f t="shared" si="324"/>
        <v>419.37110601402242</v>
      </c>
      <c r="N980" s="180">
        <f t="shared" si="324"/>
        <v>379.72768532526476</v>
      </c>
      <c r="O980" s="180">
        <f t="shared" si="324"/>
        <v>89.974460332178339</v>
      </c>
      <c r="P980" s="180">
        <f t="shared" si="324"/>
        <v>108.32397963333496</v>
      </c>
      <c r="Q980" s="180">
        <f t="shared" si="324"/>
        <v>89.844321897418368</v>
      </c>
      <c r="R980" s="181"/>
      <c r="AC980" s="189" t="s">
        <v>691</v>
      </c>
      <c r="AD980" s="180">
        <f t="shared" si="308"/>
        <v>0</v>
      </c>
      <c r="AE980" s="180">
        <f t="shared" si="309"/>
        <v>0</v>
      </c>
      <c r="AF980" s="180">
        <f t="shared" si="310"/>
        <v>0</v>
      </c>
      <c r="AG980" s="180">
        <f t="shared" si="311"/>
        <v>0</v>
      </c>
      <c r="AH980" s="180">
        <f t="shared" si="312"/>
        <v>0</v>
      </c>
      <c r="AI980" s="180"/>
      <c r="AJ980" s="180">
        <f t="shared" si="313"/>
        <v>0</v>
      </c>
      <c r="AK980" s="180"/>
      <c r="AL980" s="180"/>
      <c r="AM980" s="180"/>
      <c r="AN980" s="182" t="s">
        <v>691</v>
      </c>
      <c r="AO980" s="180">
        <f t="shared" si="314"/>
        <v>50000</v>
      </c>
      <c r="AP980" s="180">
        <f t="shared" si="315"/>
        <v>6333</v>
      </c>
      <c r="AQ980" s="180">
        <f t="shared" si="316"/>
        <v>6604</v>
      </c>
      <c r="AR980" s="180">
        <f t="shared" si="317"/>
        <v>10036</v>
      </c>
      <c r="AS980" s="180">
        <f t="shared" si="319"/>
        <v>0</v>
      </c>
      <c r="AT980" s="180">
        <f t="shared" si="318"/>
        <v>72973</v>
      </c>
      <c r="AU980" s="133"/>
      <c r="AW980" s="180"/>
      <c r="AX980" s="203"/>
    </row>
    <row r="981" spans="1:50" ht="15.75" customHeight="1" x14ac:dyDescent="0.3">
      <c r="A981" s="192" t="s">
        <v>14</v>
      </c>
      <c r="B981" s="180">
        <f t="shared" ref="B981:Q981" si="325">(B952/$H$10/1.983)</f>
        <v>1254.5301731383424</v>
      </c>
      <c r="C981" s="180">
        <f t="shared" si="325"/>
        <v>1247.5205916960833</v>
      </c>
      <c r="D981" s="180">
        <f t="shared" si="325"/>
        <v>1240.8640107581105</v>
      </c>
      <c r="E981" s="180">
        <f t="shared" si="325"/>
        <v>1116.8095478231635</v>
      </c>
      <c r="F981" s="180">
        <f t="shared" si="325"/>
        <v>0</v>
      </c>
      <c r="G981" s="180">
        <f t="shared" si="325"/>
        <v>-2000.336190956463</v>
      </c>
      <c r="H981" s="180">
        <f t="shared" si="325"/>
        <v>2373.4241048915783</v>
      </c>
      <c r="I981" s="180">
        <f t="shared" si="325"/>
        <v>855.85812741637244</v>
      </c>
      <c r="J981" s="180">
        <f t="shared" si="325"/>
        <v>551.6389309127585</v>
      </c>
      <c r="K981" s="180">
        <f t="shared" si="325"/>
        <v>452.73155152126407</v>
      </c>
      <c r="L981" s="180">
        <f t="shared" si="325"/>
        <v>386.03126575895106</v>
      </c>
      <c r="M981" s="180">
        <f t="shared" si="325"/>
        <v>385.29164565473184</v>
      </c>
      <c r="N981" s="180">
        <f t="shared" si="325"/>
        <v>353.33669524289792</v>
      </c>
      <c r="O981" s="180">
        <f t="shared" si="325"/>
        <v>91.729702471003534</v>
      </c>
      <c r="P981" s="180">
        <f t="shared" si="325"/>
        <v>115.14540258867036</v>
      </c>
      <c r="Q981" s="180">
        <f t="shared" si="325"/>
        <v>91.578416540595057</v>
      </c>
      <c r="R981" s="181"/>
      <c r="AC981" s="189" t="s">
        <v>692</v>
      </c>
      <c r="AD981" s="180">
        <f t="shared" si="308"/>
        <v>16269</v>
      </c>
      <c r="AE981" s="180">
        <f t="shared" si="309"/>
        <v>2074</v>
      </c>
      <c r="AF981" s="180">
        <f t="shared" si="310"/>
        <v>2176</v>
      </c>
      <c r="AG981" s="180">
        <f t="shared" si="311"/>
        <v>3723</v>
      </c>
      <c r="AH981" s="180">
        <f t="shared" si="312"/>
        <v>2692.9723765234103</v>
      </c>
      <c r="AI981" s="180"/>
      <c r="AJ981" s="180">
        <f t="shared" si="313"/>
        <v>26934.972376523408</v>
      </c>
      <c r="AK981" s="180"/>
      <c r="AL981" s="180"/>
      <c r="AM981" s="180"/>
      <c r="AN981" s="182" t="s">
        <v>692</v>
      </c>
      <c r="AO981" s="180">
        <f t="shared" si="314"/>
        <v>108516</v>
      </c>
      <c r="AP981" s="180">
        <f t="shared" si="315"/>
        <v>13795</v>
      </c>
      <c r="AQ981" s="180">
        <f t="shared" si="316"/>
        <v>14435</v>
      </c>
      <c r="AR981" s="180">
        <f t="shared" si="317"/>
        <v>23900</v>
      </c>
      <c r="AS981" s="180">
        <f t="shared" si="319"/>
        <v>0</v>
      </c>
      <c r="AT981" s="180">
        <f t="shared" si="318"/>
        <v>160646</v>
      </c>
      <c r="AU981" s="133"/>
      <c r="AW981" s="180">
        <f>(SUM(AW968:AW979))</f>
        <v>149068</v>
      </c>
      <c r="AX981" s="203"/>
    </row>
    <row r="982" spans="1:50" ht="15.75" customHeight="1" x14ac:dyDescent="0.3">
      <c r="A982" s="192" t="s">
        <v>16</v>
      </c>
      <c r="B982" s="180">
        <f t="shared" ref="B982:Q982" si="326">(B953/$J$10/1.983)</f>
        <v>844.14295707058386</v>
      </c>
      <c r="C982" s="180">
        <f t="shared" si="326"/>
        <v>837.37575846306504</v>
      </c>
      <c r="D982" s="180">
        <f t="shared" si="326"/>
        <v>830.9664405511362</v>
      </c>
      <c r="E982" s="180">
        <f t="shared" si="326"/>
        <v>719.40526735314688</v>
      </c>
      <c r="F982" s="180">
        <f t="shared" si="326"/>
        <v>0</v>
      </c>
      <c r="G982" s="180">
        <f t="shared" si="326"/>
        <v>-2293.6899126445755</v>
      </c>
      <c r="H982" s="180">
        <f t="shared" si="326"/>
        <v>2183.4138564898412</v>
      </c>
      <c r="I982" s="180">
        <f t="shared" si="326"/>
        <v>891.05786280155507</v>
      </c>
      <c r="J982" s="180">
        <f t="shared" si="326"/>
        <v>547.10197973093875</v>
      </c>
      <c r="K982" s="180">
        <f t="shared" si="326"/>
        <v>442.48694548826313</v>
      </c>
      <c r="L982" s="180">
        <f t="shared" si="326"/>
        <v>351.29243733021002</v>
      </c>
      <c r="M982" s="180">
        <f t="shared" si="326"/>
        <v>350.65801246075512</v>
      </c>
      <c r="N982" s="180">
        <f t="shared" si="326"/>
        <v>334.08162933320318</v>
      </c>
      <c r="O982" s="180">
        <f t="shared" si="326"/>
        <v>91.015567810258148</v>
      </c>
      <c r="P982" s="180">
        <f t="shared" si="326"/>
        <v>100.59701006946138</v>
      </c>
      <c r="Q982" s="180">
        <f t="shared" si="326"/>
        <v>90.90169667984317</v>
      </c>
      <c r="R982" s="181"/>
      <c r="AC982" s="189" t="s">
        <v>693</v>
      </c>
      <c r="AD982" s="180">
        <f t="shared" si="308"/>
        <v>57420</v>
      </c>
      <c r="AE982" s="180">
        <f t="shared" si="309"/>
        <v>7320</v>
      </c>
      <c r="AF982" s="180">
        <f t="shared" si="310"/>
        <v>7680</v>
      </c>
      <c r="AG982" s="180">
        <f t="shared" si="311"/>
        <v>13140</v>
      </c>
      <c r="AH982" s="180">
        <f t="shared" si="312"/>
        <v>10198.773834418373</v>
      </c>
      <c r="AI982" s="180"/>
      <c r="AJ982" s="180">
        <f t="shared" si="313"/>
        <v>95758.773834418374</v>
      </c>
      <c r="AK982" s="180"/>
      <c r="AL982" s="180"/>
      <c r="AM982" s="180"/>
      <c r="AN982" s="182" t="s">
        <v>693</v>
      </c>
      <c r="AO982" s="180">
        <f t="shared" si="314"/>
        <v>80904</v>
      </c>
      <c r="AP982" s="180">
        <f t="shared" si="315"/>
        <v>10279</v>
      </c>
      <c r="AQ982" s="180">
        <f t="shared" si="316"/>
        <v>10750</v>
      </c>
      <c r="AR982" s="180">
        <f t="shared" si="317"/>
        <v>17839</v>
      </c>
      <c r="AS982" s="180">
        <f t="shared" si="319"/>
        <v>0</v>
      </c>
      <c r="AT982" s="180">
        <f t="shared" si="318"/>
        <v>119772</v>
      </c>
      <c r="AU982" s="133"/>
    </row>
    <row r="983" spans="1:50" ht="15.75" customHeight="1" x14ac:dyDescent="0.3">
      <c r="A983" s="192" t="s">
        <v>17</v>
      </c>
      <c r="B983" s="180">
        <f t="shared" ref="B983:Q983" si="327">(B954/$K$10/1.983)</f>
        <v>849.91785011305774</v>
      </c>
      <c r="C983" s="180">
        <f t="shared" si="327"/>
        <v>844.48457046182864</v>
      </c>
      <c r="D983" s="180">
        <f t="shared" si="327"/>
        <v>839.31156768011965</v>
      </c>
      <c r="E983" s="180">
        <f t="shared" si="327"/>
        <v>745.44922160948704</v>
      </c>
      <c r="F983" s="180">
        <f t="shared" si="327"/>
        <v>0</v>
      </c>
      <c r="G983" s="180">
        <f t="shared" si="327"/>
        <v>-1594.1958258097052</v>
      </c>
      <c r="H983" s="180">
        <f t="shared" si="327"/>
        <v>1652.8882598864541</v>
      </c>
      <c r="I983" s="180">
        <f t="shared" si="327"/>
        <v>707.44879865957398</v>
      </c>
      <c r="J983" s="180">
        <f t="shared" si="327"/>
        <v>514.06308460624984</v>
      </c>
      <c r="K983" s="180">
        <f t="shared" si="327"/>
        <v>438.53399053242885</v>
      </c>
      <c r="L983" s="180">
        <f t="shared" si="327"/>
        <v>349.68197420005527</v>
      </c>
      <c r="M983" s="180">
        <f t="shared" si="327"/>
        <v>349.09635124363541</v>
      </c>
      <c r="N983" s="180">
        <f t="shared" si="327"/>
        <v>329.29904185577408</v>
      </c>
      <c r="O983" s="180">
        <f t="shared" si="327"/>
        <v>91.975338766612978</v>
      </c>
      <c r="P983" s="180">
        <f t="shared" si="327"/>
        <v>92.853773201242817</v>
      </c>
      <c r="Q983" s="180">
        <f t="shared" si="327"/>
        <v>91.877734940542993</v>
      </c>
      <c r="R983" s="181"/>
      <c r="AC983" s="189" t="s">
        <v>694</v>
      </c>
      <c r="AD983" s="180">
        <f t="shared" si="308"/>
        <v>78474</v>
      </c>
      <c r="AE983" s="180">
        <f t="shared" si="309"/>
        <v>10004</v>
      </c>
      <c r="AF983" s="180">
        <f t="shared" si="310"/>
        <v>10496</v>
      </c>
      <c r="AG983" s="180">
        <f t="shared" si="311"/>
        <v>17958</v>
      </c>
      <c r="AH983" s="180">
        <f t="shared" si="312"/>
        <v>15129.202189472586</v>
      </c>
      <c r="AI983" s="180"/>
      <c r="AJ983" s="180">
        <f t="shared" si="313"/>
        <v>132061.20218947259</v>
      </c>
      <c r="AK983" s="180"/>
      <c r="AL983" s="180"/>
      <c r="AM983" s="180"/>
      <c r="AN983" s="182" t="s">
        <v>694</v>
      </c>
      <c r="AO983" s="180">
        <f t="shared" si="314"/>
        <v>54333</v>
      </c>
      <c r="AP983" s="180">
        <f t="shared" si="315"/>
        <v>6898</v>
      </c>
      <c r="AQ983" s="180">
        <f t="shared" si="316"/>
        <v>7208</v>
      </c>
      <c r="AR983" s="180">
        <f t="shared" si="317"/>
        <v>12080</v>
      </c>
      <c r="AS983" s="180">
        <f t="shared" si="319"/>
        <v>0</v>
      </c>
      <c r="AT983" s="180">
        <f t="shared" si="318"/>
        <v>80519</v>
      </c>
      <c r="AU983" s="133"/>
    </row>
    <row r="984" spans="1:50" ht="15.75" customHeight="1" x14ac:dyDescent="0.3">
      <c r="A984" s="192" t="s">
        <v>18</v>
      </c>
      <c r="B984" s="180">
        <f t="shared" ref="B984:Q984" si="328">(B955/$L$10/1.983)</f>
        <v>2191.8305597579424</v>
      </c>
      <c r="C984" s="180">
        <f t="shared" si="328"/>
        <v>2186.5187426458228</v>
      </c>
      <c r="D984" s="180">
        <f t="shared" si="328"/>
        <v>2181.4590687510504</v>
      </c>
      <c r="E984" s="180">
        <f t="shared" si="328"/>
        <v>2120.2218860312655</v>
      </c>
      <c r="F984" s="180">
        <f t="shared" si="328"/>
        <v>285.76231299378043</v>
      </c>
      <c r="G984" s="180">
        <f t="shared" si="328"/>
        <v>0</v>
      </c>
      <c r="H984" s="180">
        <f t="shared" si="328"/>
        <v>1182.4508320726172</v>
      </c>
      <c r="I984" s="180">
        <f t="shared" si="328"/>
        <v>444.83106404437717</v>
      </c>
      <c r="J984" s="180">
        <f t="shared" si="328"/>
        <v>422.76012775256345</v>
      </c>
      <c r="K984" s="180">
        <f t="shared" si="328"/>
        <v>394.52008740964868</v>
      </c>
      <c r="L984" s="180">
        <f t="shared" si="328"/>
        <v>336.72886199361238</v>
      </c>
      <c r="M984" s="180">
        <f t="shared" si="328"/>
        <v>336.15733736762479</v>
      </c>
      <c r="N984" s="180">
        <f t="shared" si="328"/>
        <v>317.38107244915113</v>
      </c>
      <c r="O984" s="180">
        <f t="shared" si="328"/>
        <v>76.197680282400398</v>
      </c>
      <c r="P984" s="180">
        <f t="shared" si="328"/>
        <v>87.947554210791722</v>
      </c>
      <c r="Q984" s="180">
        <f t="shared" si="328"/>
        <v>76.096822995461423</v>
      </c>
      <c r="R984" s="181"/>
      <c r="AC984" s="189" t="s">
        <v>695</v>
      </c>
      <c r="AD984" s="180">
        <f t="shared" si="308"/>
        <v>47850</v>
      </c>
      <c r="AE984" s="180">
        <f t="shared" si="309"/>
        <v>6100</v>
      </c>
      <c r="AF984" s="180">
        <f t="shared" si="310"/>
        <v>6400</v>
      </c>
      <c r="AG984" s="180">
        <f t="shared" si="311"/>
        <v>10950</v>
      </c>
      <c r="AH984" s="180">
        <f t="shared" si="312"/>
        <v>9647.7376660342252</v>
      </c>
      <c r="AI984" s="180"/>
      <c r="AJ984" s="180">
        <f t="shared" si="313"/>
        <v>80947.737666034227</v>
      </c>
      <c r="AK984" s="180"/>
      <c r="AL984" s="180"/>
      <c r="AM984" s="180"/>
      <c r="AN984" s="182" t="s">
        <v>695</v>
      </c>
      <c r="AO984" s="180">
        <f t="shared" si="314"/>
        <v>55487</v>
      </c>
      <c r="AP984" s="180">
        <f t="shared" si="315"/>
        <v>7051</v>
      </c>
      <c r="AQ984" s="180">
        <f t="shared" si="316"/>
        <v>7375</v>
      </c>
      <c r="AR984" s="180">
        <f t="shared" si="317"/>
        <v>12372</v>
      </c>
      <c r="AS984" s="180">
        <f t="shared" si="319"/>
        <v>0</v>
      </c>
      <c r="AT984" s="180">
        <f t="shared" si="318"/>
        <v>82285</v>
      </c>
      <c r="AU984" s="133"/>
    </row>
    <row r="985" spans="1:50" ht="15.75" customHeight="1" x14ac:dyDescent="0.3">
      <c r="A985" s="192" t="s">
        <v>20</v>
      </c>
      <c r="B985" s="180">
        <f t="shared" ref="B985:Q985" si="329">(B956/$N$10/1.983)</f>
        <v>2351.2599027215201</v>
      </c>
      <c r="C985" s="180">
        <f t="shared" si="329"/>
        <v>2346.6237209831957</v>
      </c>
      <c r="D985" s="180">
        <f t="shared" si="329"/>
        <v>2342.1990142013569</v>
      </c>
      <c r="E985" s="180">
        <f t="shared" si="329"/>
        <v>2301.0915361215493</v>
      </c>
      <c r="F985" s="180">
        <f t="shared" si="329"/>
        <v>976.03826069981938</v>
      </c>
      <c r="G985" s="180">
        <f t="shared" si="329"/>
        <v>0</v>
      </c>
      <c r="H985" s="180">
        <f t="shared" si="329"/>
        <v>787.1748572544044</v>
      </c>
      <c r="I985" s="180">
        <f t="shared" si="329"/>
        <v>191.09202414067963</v>
      </c>
      <c r="J985" s="180">
        <f t="shared" si="329"/>
        <v>180.51827631643158</v>
      </c>
      <c r="K985" s="180">
        <f t="shared" si="329"/>
        <v>165.4872871016544</v>
      </c>
      <c r="L985" s="180">
        <f t="shared" si="329"/>
        <v>137.00323719356464</v>
      </c>
      <c r="M985" s="180">
        <f t="shared" si="329"/>
        <v>136.53148536755972</v>
      </c>
      <c r="N985" s="180">
        <f t="shared" si="329"/>
        <v>121.66316919623249</v>
      </c>
      <c r="O985" s="180">
        <f t="shared" si="329"/>
        <v>37.77268068908301</v>
      </c>
      <c r="P985" s="180">
        <f t="shared" si="329"/>
        <v>77.383566769150676</v>
      </c>
      <c r="Q985" s="180">
        <f t="shared" si="329"/>
        <v>37.691344167358025</v>
      </c>
      <c r="R985" s="181"/>
      <c r="AC985" s="179"/>
      <c r="AD985" s="180"/>
      <c r="AE985" s="180"/>
      <c r="AF985" s="180"/>
      <c r="AG985" s="180"/>
      <c r="AH985" s="180"/>
      <c r="AI985" s="180"/>
      <c r="AJ985" s="180"/>
      <c r="AK985" s="180"/>
      <c r="AL985" s="180"/>
      <c r="AM985" s="180"/>
      <c r="AN985" s="180"/>
      <c r="AO985" s="180"/>
      <c r="AP985" s="180"/>
      <c r="AQ985" s="180"/>
      <c r="AR985" s="180"/>
      <c r="AS985" s="180"/>
      <c r="AT985" s="180"/>
      <c r="AU985" s="133"/>
    </row>
    <row r="986" spans="1:50" ht="15.75" customHeight="1" thickBot="1" x14ac:dyDescent="0.35">
      <c r="A986" s="192" t="s">
        <v>21</v>
      </c>
      <c r="B986" s="180">
        <f t="shared" ref="B986:Q986" si="330">(B957/$O$10/1.983)</f>
        <v>2332.7281896116992</v>
      </c>
      <c r="C986" s="180">
        <f t="shared" si="330"/>
        <v>2328.7779458732557</v>
      </c>
      <c r="D986" s="180">
        <f t="shared" si="330"/>
        <v>2324.9789880652211</v>
      </c>
      <c r="E986" s="180">
        <f t="shared" si="330"/>
        <v>2305.5639603294671</v>
      </c>
      <c r="F986" s="180">
        <f t="shared" si="330"/>
        <v>1378.3829214994116</v>
      </c>
      <c r="G986" s="180">
        <f t="shared" si="330"/>
        <v>0</v>
      </c>
      <c r="H986" s="180">
        <f t="shared" si="330"/>
        <v>408.69053622457551</v>
      </c>
      <c r="I986" s="180">
        <f t="shared" si="330"/>
        <v>65.052950075642968</v>
      </c>
      <c r="J986" s="180">
        <f t="shared" si="330"/>
        <v>50.395024373844343</v>
      </c>
      <c r="K986" s="180">
        <f t="shared" si="330"/>
        <v>48.075306774247771</v>
      </c>
      <c r="L986" s="180">
        <f t="shared" si="330"/>
        <v>33.417381072449146</v>
      </c>
      <c r="M986" s="180">
        <f t="shared" si="330"/>
        <v>33.030761472516389</v>
      </c>
      <c r="N986" s="180">
        <f t="shared" si="330"/>
        <v>29.483946881828878</v>
      </c>
      <c r="O986" s="180">
        <f t="shared" si="330"/>
        <v>26.542276012775254</v>
      </c>
      <c r="P986" s="180">
        <f t="shared" si="330"/>
        <v>71.961674230963183</v>
      </c>
      <c r="Q986" s="180">
        <f t="shared" si="330"/>
        <v>26.491847369305763</v>
      </c>
      <c r="R986" s="181"/>
      <c r="AC986" s="204" t="s">
        <v>641</v>
      </c>
      <c r="AD986" s="195">
        <f>SUM(AD973:AD984)</f>
        <v>333993</v>
      </c>
      <c r="AE986" s="195">
        <f>SUM(AE973:AE984)</f>
        <v>42578</v>
      </c>
      <c r="AF986" s="195">
        <f>SUM(AF973:AF984)</f>
        <v>44672</v>
      </c>
      <c r="AG986" s="195">
        <f>SUM(AG973:AG984)</f>
        <v>76431</v>
      </c>
      <c r="AH986" s="195">
        <f>SUM(AH973:AH984)</f>
        <v>67555.214606225971</v>
      </c>
      <c r="AI986" s="195"/>
      <c r="AJ986" s="195">
        <f>SUM(AJ973:AJ984)</f>
        <v>565229.21460622596</v>
      </c>
      <c r="AK986" s="195"/>
      <c r="AL986" s="195"/>
      <c r="AM986" s="195"/>
      <c r="AN986" s="205" t="s">
        <v>641</v>
      </c>
      <c r="AO986" s="195">
        <f t="shared" ref="AO986:AT986" si="331">SUM(AO973:AO984)</f>
        <v>1028954</v>
      </c>
      <c r="AP986" s="195">
        <f t="shared" si="331"/>
        <v>130745</v>
      </c>
      <c r="AQ986" s="195">
        <f t="shared" si="331"/>
        <v>136748</v>
      </c>
      <c r="AR986" s="195">
        <f t="shared" si="331"/>
        <v>223639</v>
      </c>
      <c r="AS986" s="195">
        <f t="shared" si="331"/>
        <v>0</v>
      </c>
      <c r="AT986" s="195">
        <f t="shared" si="331"/>
        <v>1520086</v>
      </c>
      <c r="AU986" s="136"/>
    </row>
    <row r="987" spans="1:50" ht="15.75" customHeight="1" thickBot="1" x14ac:dyDescent="0.35">
      <c r="A987" s="206" t="s">
        <v>22</v>
      </c>
      <c r="B987" s="195">
        <f t="shared" ref="B987:Q987" si="332">(B958/$P$10/1.983)</f>
        <v>1756.5435231727749</v>
      </c>
      <c r="C987" s="195">
        <f t="shared" si="332"/>
        <v>1753.5178045646055</v>
      </c>
      <c r="D987" s="195">
        <f t="shared" si="332"/>
        <v>1750.605957086851</v>
      </c>
      <c r="E987" s="195">
        <f t="shared" si="332"/>
        <v>1732.3377743074193</v>
      </c>
      <c r="F987" s="195">
        <f t="shared" si="332"/>
        <v>813.36521724984948</v>
      </c>
      <c r="G987" s="195">
        <f t="shared" si="332"/>
        <v>0</v>
      </c>
      <c r="H987" s="195">
        <f t="shared" si="332"/>
        <v>511.21630634587541</v>
      </c>
      <c r="I987" s="195">
        <f t="shared" si="332"/>
        <v>180.22546483822165</v>
      </c>
      <c r="J987" s="195">
        <f t="shared" si="332"/>
        <v>170.2536072747385</v>
      </c>
      <c r="K987" s="195">
        <f t="shared" si="332"/>
        <v>160.52575927643028</v>
      </c>
      <c r="L987" s="195">
        <f t="shared" si="332"/>
        <v>153.40067997332162</v>
      </c>
      <c r="M987" s="195">
        <f t="shared" si="332"/>
        <v>153.09160119076665</v>
      </c>
      <c r="N987" s="195">
        <f t="shared" si="332"/>
        <v>146.43827371366291</v>
      </c>
      <c r="O987" s="195">
        <f t="shared" si="332"/>
        <v>50.314772339075695</v>
      </c>
      <c r="P987" s="195">
        <f t="shared" si="332"/>
        <v>61.897093032713542</v>
      </c>
      <c r="Q987" s="195">
        <f t="shared" si="332"/>
        <v>50.282237730385695</v>
      </c>
      <c r="R987" s="196"/>
    </row>
    <row r="988" spans="1:50" ht="15.75" customHeight="1" x14ac:dyDescent="0.3">
      <c r="R988" s="174"/>
      <c r="AC988" s="207"/>
      <c r="AD988" s="387" t="s">
        <v>715</v>
      </c>
      <c r="AE988" s="393"/>
      <c r="AF988" s="393"/>
      <c r="AG988" s="393"/>
      <c r="AH988" s="393"/>
      <c r="AI988" s="393"/>
      <c r="AJ988" s="393"/>
      <c r="AK988" s="393"/>
      <c r="AL988" s="393"/>
      <c r="AM988" s="393"/>
      <c r="AN988" s="393"/>
      <c r="AO988" s="393"/>
      <c r="AP988" s="393"/>
      <c r="AQ988" s="393"/>
      <c r="AR988" s="177" t="str">
        <f>$Q$1</f>
        <v xml:space="preserve">PRINTED:  </v>
      </c>
      <c r="AS988" s="208">
        <f ca="1">$R$1</f>
        <v>44894.65816875</v>
      </c>
    </row>
    <row r="989" spans="1:50" ht="15.75" customHeight="1" x14ac:dyDescent="0.3">
      <c r="R989" s="180"/>
      <c r="AC989" s="95"/>
      <c r="AD989" s="394" t="str">
        <f>+$A$8</f>
        <v>Revised:  2/5/2020</v>
      </c>
      <c r="AE989" s="396"/>
      <c r="AF989" s="396"/>
      <c r="AG989" s="396"/>
      <c r="AH989" s="396"/>
      <c r="AI989" s="396"/>
      <c r="AJ989" s="396"/>
      <c r="AK989" s="396"/>
      <c r="AL989" s="396"/>
      <c r="AM989" s="396"/>
      <c r="AN989" s="396"/>
      <c r="AO989" s="396"/>
      <c r="AP989" s="396"/>
      <c r="AQ989" s="396"/>
      <c r="AR989" s="192"/>
      <c r="AS989" s="133"/>
    </row>
    <row r="990" spans="1:50" ht="15.75" customHeight="1" x14ac:dyDescent="0.3">
      <c r="A990" s="192"/>
      <c r="AC990" s="95"/>
      <c r="AD990" s="394" t="s">
        <v>670</v>
      </c>
      <c r="AE990" s="397"/>
      <c r="AF990" s="397"/>
      <c r="AG990" s="397"/>
      <c r="AH990" s="397"/>
      <c r="AI990" s="397"/>
      <c r="AJ990" s="397"/>
      <c r="AK990" s="397"/>
      <c r="AL990" s="397"/>
      <c r="AM990" s="397"/>
      <c r="AN990" s="397"/>
      <c r="AO990" s="397"/>
      <c r="AP990" s="397"/>
      <c r="AQ990" s="397"/>
      <c r="AS990" s="133"/>
    </row>
    <row r="991" spans="1:50" ht="15.75" customHeight="1" x14ac:dyDescent="0.3">
      <c r="A991" s="192"/>
      <c r="AC991" s="95"/>
      <c r="AS991" s="133"/>
    </row>
    <row r="992" spans="1:50" ht="15.75" customHeight="1" thickBot="1" x14ac:dyDescent="0.35">
      <c r="A992" s="192"/>
      <c r="AC992" s="95"/>
      <c r="AD992" s="395">
        <f>$A$5</f>
        <v>2021</v>
      </c>
      <c r="AE992" s="397"/>
      <c r="AF992" s="397"/>
      <c r="AG992" s="397"/>
      <c r="AH992" s="397"/>
      <c r="AI992" s="397"/>
      <c r="AJ992" s="397"/>
      <c r="AK992" s="397"/>
      <c r="AL992" s="397"/>
      <c r="AM992" s="397"/>
      <c r="AN992" s="397"/>
      <c r="AO992" s="397"/>
      <c r="AP992" s="397"/>
      <c r="AQ992" s="397"/>
      <c r="AS992" s="133"/>
    </row>
    <row r="993" spans="1:48" ht="15.75" customHeight="1" x14ac:dyDescent="0.3">
      <c r="A993" s="188"/>
      <c r="B993" s="387" t="s">
        <v>716</v>
      </c>
      <c r="C993" s="387"/>
      <c r="D993" s="387"/>
      <c r="E993" s="387"/>
      <c r="F993" s="387"/>
      <c r="G993" s="387"/>
      <c r="H993" s="387"/>
      <c r="I993" s="387"/>
      <c r="J993" s="387"/>
      <c r="K993" s="387"/>
      <c r="L993" s="387"/>
      <c r="M993" s="387"/>
      <c r="N993" s="387"/>
      <c r="O993" s="387"/>
      <c r="P993" s="387"/>
      <c r="Q993" s="177" t="str">
        <f>+Q1</f>
        <v xml:space="preserve">PRINTED:  </v>
      </c>
      <c r="R993" s="178">
        <f ca="1">+R1</f>
        <v>44894.65816875</v>
      </c>
      <c r="AC993" s="95"/>
      <c r="AD993" s="394" t="s">
        <v>717</v>
      </c>
      <c r="AE993" s="396"/>
      <c r="AF993" s="396"/>
      <c r="AG993" s="396"/>
      <c r="AH993" s="396"/>
      <c r="AI993" s="396"/>
      <c r="AJ993" s="396"/>
      <c r="AK993" s="396"/>
      <c r="AL993" s="396"/>
      <c r="AM993" s="396"/>
      <c r="AN993" s="396"/>
      <c r="AO993" s="396"/>
      <c r="AP993" s="396"/>
      <c r="AQ993" s="396"/>
      <c r="AR993" s="182"/>
      <c r="AS993" s="133"/>
    </row>
    <row r="994" spans="1:48" ht="16.5" customHeight="1" x14ac:dyDescent="0.3">
      <c r="A994" s="189"/>
      <c r="B994" s="394" t="str">
        <f>+A8</f>
        <v>Revised:  2/5/2020</v>
      </c>
      <c r="C994" s="394"/>
      <c r="D994" s="394"/>
      <c r="E994" s="394"/>
      <c r="F994" s="394"/>
      <c r="G994" s="394"/>
      <c r="H994" s="394"/>
      <c r="I994" s="394"/>
      <c r="J994" s="394"/>
      <c r="K994" s="394"/>
      <c r="L994" s="394"/>
      <c r="M994" s="394"/>
      <c r="N994" s="394"/>
      <c r="O994" s="394"/>
      <c r="P994" s="394"/>
      <c r="Q994" s="180"/>
      <c r="R994" s="181"/>
      <c r="AC994" s="95"/>
      <c r="AK994" s="190"/>
      <c r="AS994" s="133"/>
    </row>
    <row r="995" spans="1:48" ht="15.75" customHeight="1" thickBot="1" x14ac:dyDescent="0.35">
      <c r="A995" s="189"/>
      <c r="B995" s="394" t="s">
        <v>670</v>
      </c>
      <c r="C995" s="394"/>
      <c r="D995" s="394"/>
      <c r="E995" s="394"/>
      <c r="F995" s="394"/>
      <c r="G995" s="394"/>
      <c r="H995" s="394"/>
      <c r="I995" s="394"/>
      <c r="J995" s="394"/>
      <c r="K995" s="394"/>
      <c r="L995" s="394"/>
      <c r="M995" s="394"/>
      <c r="N995" s="394"/>
      <c r="O995" s="394"/>
      <c r="P995" s="394"/>
      <c r="Q995" s="180"/>
      <c r="R995" s="181"/>
      <c r="AC995" s="95"/>
      <c r="AD995" s="191" t="s">
        <v>677</v>
      </c>
      <c r="AE995" s="191" t="s">
        <v>678</v>
      </c>
      <c r="AF995" s="191" t="s">
        <v>679</v>
      </c>
      <c r="AG995" s="191" t="s">
        <v>680</v>
      </c>
      <c r="AH995" s="191" t="s">
        <v>644</v>
      </c>
      <c r="AI995" s="191" t="s">
        <v>681</v>
      </c>
      <c r="AJ995" s="191" t="s">
        <v>682</v>
      </c>
      <c r="AK995" s="191" t="s">
        <v>683</v>
      </c>
      <c r="AL995" s="191" t="s">
        <v>684</v>
      </c>
      <c r="AM995" s="191" t="s">
        <v>685</v>
      </c>
      <c r="AN995" s="191" t="s">
        <v>686</v>
      </c>
      <c r="AO995" s="191" t="s">
        <v>687</v>
      </c>
      <c r="AP995" s="191" t="s">
        <v>688</v>
      </c>
      <c r="AQ995" s="191" t="s">
        <v>689</v>
      </c>
      <c r="AR995" s="191" t="s">
        <v>638</v>
      </c>
      <c r="AS995" s="209" t="s">
        <v>641</v>
      </c>
    </row>
    <row r="996" spans="1:48" ht="15.75" customHeight="1" x14ac:dyDescent="0.3">
      <c r="A996" s="189"/>
      <c r="B996" s="180"/>
      <c r="C996" s="180"/>
      <c r="D996" s="180"/>
      <c r="E996" s="180"/>
      <c r="F996" s="180"/>
      <c r="G996" s="180"/>
      <c r="H996" s="180"/>
      <c r="I996" s="180"/>
      <c r="J996" s="180"/>
      <c r="K996" s="180"/>
      <c r="L996" s="180"/>
      <c r="M996" s="180"/>
      <c r="N996" s="180"/>
      <c r="O996" s="180"/>
      <c r="P996" s="180"/>
      <c r="Q996" s="180"/>
      <c r="R996" s="181"/>
      <c r="AC996" s="95"/>
      <c r="AD996" s="180"/>
      <c r="AE996" s="180"/>
      <c r="AF996" s="180"/>
      <c r="AG996" s="180"/>
      <c r="AH996" s="182" t="s">
        <v>718</v>
      </c>
      <c r="AI996" s="180"/>
      <c r="AJ996" s="180"/>
      <c r="AK996" s="180"/>
      <c r="AL996" s="180"/>
      <c r="AM996" s="180"/>
      <c r="AN996" s="180"/>
      <c r="AO996" s="180"/>
      <c r="AP996" s="180"/>
      <c r="AQ996" s="180"/>
      <c r="AR996" s="180"/>
      <c r="AS996" s="210"/>
    </row>
    <row r="997" spans="1:48" ht="15.75" customHeight="1" x14ac:dyDescent="0.3">
      <c r="A997" s="189"/>
      <c r="B997" s="395">
        <f>A5</f>
        <v>2021</v>
      </c>
      <c r="C997" s="395"/>
      <c r="D997" s="395"/>
      <c r="E997" s="395"/>
      <c r="F997" s="395"/>
      <c r="G997" s="395"/>
      <c r="H997" s="395"/>
      <c r="I997" s="395"/>
      <c r="J997" s="395"/>
      <c r="K997" s="395"/>
      <c r="L997" s="395"/>
      <c r="M997" s="395"/>
      <c r="N997" s="395"/>
      <c r="O997" s="395"/>
      <c r="P997" s="395"/>
      <c r="Q997" s="180"/>
      <c r="R997" s="181"/>
      <c r="S997" s="180"/>
      <c r="AC997" s="211" t="s">
        <v>719</v>
      </c>
      <c r="AD997" s="212">
        <v>1.7000000000000001E-2</v>
      </c>
      <c r="AE997" s="212">
        <v>1.7000000000000001E-2</v>
      </c>
      <c r="AF997" s="212">
        <v>1.7000000000000001E-2</v>
      </c>
      <c r="AG997" s="212">
        <v>1.7000000000000001E-2</v>
      </c>
      <c r="AH997" s="212"/>
      <c r="AI997" s="212"/>
      <c r="AJ997" s="212"/>
      <c r="AK997" s="212"/>
      <c r="AL997" s="212"/>
      <c r="AM997" s="212"/>
      <c r="AN997" s="212"/>
      <c r="AO997" s="212"/>
      <c r="AP997" s="212"/>
      <c r="AQ997" s="212"/>
      <c r="AR997" s="212"/>
      <c r="AS997" s="213"/>
    </row>
    <row r="998" spans="1:48" ht="15.75" customHeight="1" x14ac:dyDescent="0.3">
      <c r="A998" s="189"/>
      <c r="B998" s="394" t="s">
        <v>717</v>
      </c>
      <c r="C998" s="394"/>
      <c r="D998" s="394"/>
      <c r="E998" s="394"/>
      <c r="F998" s="394"/>
      <c r="G998" s="394"/>
      <c r="H998" s="394"/>
      <c r="I998" s="394"/>
      <c r="J998" s="394"/>
      <c r="K998" s="394"/>
      <c r="L998" s="394"/>
      <c r="M998" s="394"/>
      <c r="N998" s="394"/>
      <c r="O998" s="394"/>
      <c r="P998" s="394"/>
      <c r="Q998" s="180"/>
      <c r="R998" s="181"/>
      <c r="S998" s="180"/>
      <c r="AC998" s="211" t="s">
        <v>720</v>
      </c>
      <c r="AD998" s="212"/>
      <c r="AE998" s="212">
        <v>0.03</v>
      </c>
      <c r="AF998" s="212"/>
      <c r="AG998" s="212"/>
      <c r="AH998" s="212"/>
      <c r="AI998" s="212"/>
      <c r="AJ998" s="212"/>
      <c r="AK998" s="212"/>
      <c r="AL998" s="212"/>
      <c r="AM998" s="212">
        <v>0.03</v>
      </c>
      <c r="AN998" s="212">
        <v>0.03</v>
      </c>
      <c r="AO998" s="212">
        <v>0.03</v>
      </c>
      <c r="AP998" s="212">
        <v>0.03</v>
      </c>
      <c r="AQ998" s="212">
        <v>0.03</v>
      </c>
      <c r="AR998" s="212">
        <v>0.03</v>
      </c>
      <c r="AS998" s="213"/>
    </row>
    <row r="999" spans="1:48" ht="15.75" customHeight="1" x14ac:dyDescent="0.3">
      <c r="A999" s="189"/>
      <c r="B999" s="180"/>
      <c r="C999" s="180"/>
      <c r="D999" s="180"/>
      <c r="E999" s="180"/>
      <c r="F999" s="180"/>
      <c r="G999" s="180"/>
      <c r="H999" s="180"/>
      <c r="I999" s="180"/>
      <c r="J999" s="180"/>
      <c r="K999" s="180"/>
      <c r="L999" s="180"/>
      <c r="M999" s="180"/>
      <c r="N999" s="180"/>
      <c r="O999" s="180"/>
      <c r="P999" s="180"/>
      <c r="Q999" s="180"/>
      <c r="R999" s="181"/>
      <c r="S999" s="180"/>
      <c r="AC999" s="211" t="s">
        <v>721</v>
      </c>
      <c r="AD999" s="212"/>
      <c r="AE999" s="212"/>
      <c r="AF999" s="212">
        <v>0.03</v>
      </c>
      <c r="AG999" s="212">
        <v>0.03</v>
      </c>
      <c r="AH999" s="212"/>
      <c r="AI999" s="212"/>
      <c r="AJ999" s="212"/>
      <c r="AK999" s="212"/>
      <c r="AL999" s="212"/>
      <c r="AM999" s="212"/>
      <c r="AN999" s="212"/>
      <c r="AO999" s="212"/>
      <c r="AP999" s="212"/>
      <c r="AQ999" s="212"/>
      <c r="AR999" s="212"/>
      <c r="AS999" s="213"/>
    </row>
    <row r="1000" spans="1:48" ht="15.75" customHeight="1" thickBot="1" x14ac:dyDescent="0.35">
      <c r="A1000" s="189" t="s">
        <v>647</v>
      </c>
      <c r="B1000" s="191" t="s">
        <v>677</v>
      </c>
      <c r="C1000" s="191" t="s">
        <v>678</v>
      </c>
      <c r="D1000" s="191" t="s">
        <v>679</v>
      </c>
      <c r="E1000" s="191" t="s">
        <v>680</v>
      </c>
      <c r="F1000" s="191" t="s">
        <v>644</v>
      </c>
      <c r="G1000" s="191" t="s">
        <v>644</v>
      </c>
      <c r="H1000" s="191" t="s">
        <v>681</v>
      </c>
      <c r="I1000" s="191" t="s">
        <v>682</v>
      </c>
      <c r="J1000" s="191" t="s">
        <v>683</v>
      </c>
      <c r="K1000" s="191" t="s">
        <v>684</v>
      </c>
      <c r="L1000" s="191" t="s">
        <v>685</v>
      </c>
      <c r="M1000" s="191" t="s">
        <v>686</v>
      </c>
      <c r="N1000" s="191" t="s">
        <v>687</v>
      </c>
      <c r="O1000" s="191" t="s">
        <v>688</v>
      </c>
      <c r="P1000" s="191" t="s">
        <v>689</v>
      </c>
      <c r="Q1000" s="191" t="s">
        <v>638</v>
      </c>
      <c r="R1000" s="209" t="s">
        <v>641</v>
      </c>
      <c r="S1000" s="182"/>
      <c r="AC1000" s="211" t="s">
        <v>137</v>
      </c>
      <c r="AD1000" s="212"/>
      <c r="AE1000" s="212"/>
      <c r="AF1000" s="212"/>
      <c r="AG1000" s="212"/>
      <c r="AH1000" s="212"/>
      <c r="AI1000" s="212">
        <v>0.03</v>
      </c>
      <c r="AJ1000" s="212"/>
      <c r="AK1000" s="212"/>
      <c r="AL1000" s="212"/>
      <c r="AM1000" s="212"/>
      <c r="AN1000" s="212"/>
      <c r="AO1000" s="212"/>
      <c r="AP1000" s="212"/>
      <c r="AQ1000" s="212"/>
      <c r="AR1000" s="212"/>
      <c r="AS1000" s="213"/>
    </row>
    <row r="1001" spans="1:48" ht="15.75" customHeight="1" x14ac:dyDescent="0.3">
      <c r="A1001" s="189"/>
      <c r="B1001" s="180"/>
      <c r="C1001" s="180"/>
      <c r="D1001" s="180"/>
      <c r="E1001" s="180"/>
      <c r="F1001" s="182" t="s">
        <v>127</v>
      </c>
      <c r="G1001" s="182" t="s">
        <v>653</v>
      </c>
      <c r="H1001" s="180"/>
      <c r="I1001" s="180"/>
      <c r="J1001" s="180"/>
      <c r="K1001" s="180"/>
      <c r="L1001" s="180"/>
      <c r="M1001" s="180"/>
      <c r="N1001" s="180"/>
      <c r="O1001" s="180"/>
      <c r="P1001" s="180"/>
      <c r="Q1001" s="180"/>
      <c r="R1001" s="213" t="s">
        <v>722</v>
      </c>
      <c r="S1001" s="182"/>
      <c r="AC1001" s="211" t="s">
        <v>723</v>
      </c>
      <c r="AD1001" s="212">
        <v>0.03</v>
      </c>
      <c r="AE1001" s="212"/>
      <c r="AF1001" s="212"/>
      <c r="AG1001" s="212"/>
      <c r="AH1001" s="212"/>
      <c r="AI1001" s="212"/>
      <c r="AJ1001" s="212">
        <v>0.03</v>
      </c>
      <c r="AK1001" s="212">
        <v>0.03</v>
      </c>
      <c r="AL1001" s="212">
        <v>0.03</v>
      </c>
      <c r="AM1001" s="212"/>
      <c r="AN1001" s="212"/>
      <c r="AO1001" s="212"/>
      <c r="AP1001" s="212"/>
      <c r="AQ1001" s="212"/>
      <c r="AR1001" s="212"/>
      <c r="AS1001" s="213"/>
    </row>
    <row r="1002" spans="1:48" ht="15.75" customHeight="1" x14ac:dyDescent="0.3">
      <c r="A1002" s="189" t="s">
        <v>724</v>
      </c>
      <c r="B1002" s="214">
        <v>957</v>
      </c>
      <c r="C1002" s="214">
        <v>122</v>
      </c>
      <c r="D1002" s="214">
        <v>128</v>
      </c>
      <c r="E1002" s="214">
        <v>219</v>
      </c>
      <c r="F1002" s="214"/>
      <c r="G1002" s="214"/>
      <c r="H1002" s="214">
        <v>97</v>
      </c>
      <c r="I1002" s="214">
        <v>160</v>
      </c>
      <c r="J1002" s="214">
        <v>250</v>
      </c>
      <c r="K1002" s="214">
        <v>260</v>
      </c>
      <c r="L1002" s="214">
        <v>100</v>
      </c>
      <c r="M1002" s="214">
        <v>118</v>
      </c>
      <c r="N1002" s="214">
        <v>250</v>
      </c>
      <c r="O1002" s="214">
        <v>190</v>
      </c>
      <c r="P1002" s="214">
        <v>340</v>
      </c>
      <c r="Q1002" s="214">
        <v>450</v>
      </c>
      <c r="R1002" s="213" t="s">
        <v>658</v>
      </c>
      <c r="S1002" s="182"/>
      <c r="AC1002" s="211" t="s">
        <v>641</v>
      </c>
      <c r="AD1002" s="215">
        <f>SUM(AD997:AD1001)</f>
        <v>4.7E-2</v>
      </c>
      <c r="AE1002" s="215">
        <f t="shared" ref="AE1002:AR1002" si="333">SUM(AE997:AE1001)</f>
        <v>4.7E-2</v>
      </c>
      <c r="AF1002" s="215">
        <f t="shared" si="333"/>
        <v>4.7E-2</v>
      </c>
      <c r="AG1002" s="215">
        <f t="shared" si="333"/>
        <v>4.7E-2</v>
      </c>
      <c r="AH1002" s="215">
        <f t="shared" si="333"/>
        <v>0</v>
      </c>
      <c r="AI1002" s="215">
        <f t="shared" si="333"/>
        <v>0.03</v>
      </c>
      <c r="AJ1002" s="215">
        <f t="shared" si="333"/>
        <v>0.03</v>
      </c>
      <c r="AK1002" s="215">
        <f t="shared" si="333"/>
        <v>0.03</v>
      </c>
      <c r="AL1002" s="215">
        <f t="shared" si="333"/>
        <v>0.03</v>
      </c>
      <c r="AM1002" s="215">
        <f t="shared" si="333"/>
        <v>0.03</v>
      </c>
      <c r="AN1002" s="215">
        <f t="shared" si="333"/>
        <v>0.03</v>
      </c>
      <c r="AO1002" s="215">
        <f t="shared" si="333"/>
        <v>0.03</v>
      </c>
      <c r="AP1002" s="215">
        <f t="shared" si="333"/>
        <v>0.03</v>
      </c>
      <c r="AQ1002" s="215">
        <f t="shared" si="333"/>
        <v>0.03</v>
      </c>
      <c r="AR1002" s="215">
        <f t="shared" si="333"/>
        <v>0.03</v>
      </c>
      <c r="AS1002" s="213"/>
      <c r="AU1002" s="192" t="s">
        <v>725</v>
      </c>
      <c r="AV1002" s="4" t="s">
        <v>726</v>
      </c>
    </row>
    <row r="1003" spans="1:48" ht="15.75" customHeight="1" x14ac:dyDescent="0.3">
      <c r="A1003" s="189"/>
      <c r="B1003" s="182" t="s">
        <v>666</v>
      </c>
      <c r="C1003" s="182" t="s">
        <v>666</v>
      </c>
      <c r="D1003" s="182" t="s">
        <v>666</v>
      </c>
      <c r="E1003" s="182" t="s">
        <v>666</v>
      </c>
      <c r="F1003" s="182" t="s">
        <v>666</v>
      </c>
      <c r="G1003" s="182" t="s">
        <v>666</v>
      </c>
      <c r="H1003" s="182" t="s">
        <v>666</v>
      </c>
      <c r="I1003" s="182" t="s">
        <v>666</v>
      </c>
      <c r="J1003" s="182" t="s">
        <v>666</v>
      </c>
      <c r="K1003" s="182" t="s">
        <v>666</v>
      </c>
      <c r="L1003" s="182" t="s">
        <v>666</v>
      </c>
      <c r="M1003" s="182" t="s">
        <v>666</v>
      </c>
      <c r="N1003" s="182" t="s">
        <v>666</v>
      </c>
      <c r="O1003" s="182" t="s">
        <v>666</v>
      </c>
      <c r="P1003" s="182" t="s">
        <v>666</v>
      </c>
      <c r="Q1003" s="182" t="s">
        <v>666</v>
      </c>
      <c r="R1003" s="213" t="s">
        <v>714</v>
      </c>
      <c r="S1003" s="182"/>
      <c r="T1003" s="182"/>
      <c r="AC1003" s="189" t="s">
        <v>666</v>
      </c>
      <c r="AD1003" s="182" t="s">
        <v>666</v>
      </c>
      <c r="AE1003" s="182" t="s">
        <v>666</v>
      </c>
      <c r="AF1003" s="182" t="s">
        <v>666</v>
      </c>
      <c r="AG1003" s="182" t="s">
        <v>666</v>
      </c>
      <c r="AH1003" s="182" t="s">
        <v>666</v>
      </c>
      <c r="AI1003" s="182" t="s">
        <v>666</v>
      </c>
      <c r="AJ1003" s="182" t="s">
        <v>666</v>
      </c>
      <c r="AK1003" s="182" t="s">
        <v>666</v>
      </c>
      <c r="AL1003" s="182" t="s">
        <v>666</v>
      </c>
      <c r="AM1003" s="182" t="s">
        <v>666</v>
      </c>
      <c r="AN1003" s="182" t="s">
        <v>666</v>
      </c>
      <c r="AO1003" s="182" t="s">
        <v>666</v>
      </c>
      <c r="AP1003" s="182" t="s">
        <v>666</v>
      </c>
      <c r="AQ1003" s="182" t="s">
        <v>666</v>
      </c>
      <c r="AR1003" s="182" t="s">
        <v>666</v>
      </c>
      <c r="AS1003" s="213" t="s">
        <v>666</v>
      </c>
    </row>
    <row r="1004" spans="1:48" ht="15.75" customHeight="1" x14ac:dyDescent="0.3">
      <c r="A1004" s="192" t="s">
        <v>8</v>
      </c>
      <c r="B1004" s="180">
        <f>ROUND((B947*$B$1002)/1000,0)</f>
        <v>117932</v>
      </c>
      <c r="C1004" s="180">
        <f t="shared" ref="C1004:C1015" si="334">ROUND((C947*$C$1002)/1000,0)</f>
        <v>15022</v>
      </c>
      <c r="D1004" s="180">
        <f t="shared" ref="D1004:D1015" si="335">ROUND((D947*$D$1002)/1000,0)</f>
        <v>15749</v>
      </c>
      <c r="E1004" s="180">
        <f t="shared" ref="E1004:E1015" si="336">ROUND((E947*$E$1002)/1000,0)</f>
        <v>26732</v>
      </c>
      <c r="F1004" s="180">
        <f>(F947*((T947-1526.8)/0.7702))/1000</f>
        <v>11200.569676083169</v>
      </c>
      <c r="G1004" s="180">
        <f t="shared" ref="G1004:G1015" si="337">(G947*((T947-1591.4)/0.6635))/1000</f>
        <v>0</v>
      </c>
      <c r="H1004" s="180">
        <f t="shared" ref="H1004:H1015" si="338">ROUND((H947*$H$1002)/1000,0)</f>
        <v>3659</v>
      </c>
      <c r="I1004" s="180">
        <f t="shared" ref="I1004:I1015" si="339">ROUND((I947*$I$1002)/1000,0)</f>
        <v>2562</v>
      </c>
      <c r="J1004" s="180">
        <f t="shared" ref="J1004:J1015" si="340">ROUND((J947*$J$1002)/1000,0)</f>
        <v>3960</v>
      </c>
      <c r="K1004" s="180">
        <f t="shared" ref="K1004:K1015" si="341">ROUND((K947*$K$1002)/1000,0)</f>
        <v>4080</v>
      </c>
      <c r="L1004" s="180">
        <f t="shared" ref="L1004:L1015" si="342">ROUND((L947*$L$1002)/1000,0)</f>
        <v>1122</v>
      </c>
      <c r="M1004" s="180">
        <f t="shared" ref="M1004:M1015" si="343">ROUND((M947*$M$1002)/1000,0)</f>
        <v>1322</v>
      </c>
      <c r="N1004" s="180">
        <f t="shared" ref="N1004:N1015" si="344">ROUND((N947*$N$1002)/1000,0)</f>
        <v>2646</v>
      </c>
      <c r="O1004" s="180">
        <f t="shared" ref="O1004:O1015" si="345">ROUND((O947*$O$1002)/1000,0)</f>
        <v>823</v>
      </c>
      <c r="P1004" s="180">
        <f t="shared" ref="P1004:P1015" si="346">ROUND((P947*$P$1002)/1000,0)</f>
        <v>1294</v>
      </c>
      <c r="Q1004" s="180">
        <f t="shared" ref="Q1004:Q1015" si="347">ROUND((Q947*$Q$1002)/1000,0)</f>
        <v>1948</v>
      </c>
      <c r="R1004" s="216">
        <f>(SUM(B1004:Q1004))</f>
        <v>210051.56967608316</v>
      </c>
      <c r="S1004" s="217"/>
      <c r="AC1004" s="211" t="s">
        <v>8</v>
      </c>
      <c r="AD1004" s="180">
        <f>ROUND(B1004*$AD$1002, 0)</f>
        <v>5543</v>
      </c>
      <c r="AE1004" s="180">
        <f>ROUND(C1004*$AE$1002,0)</f>
        <v>706</v>
      </c>
      <c r="AF1004" s="180">
        <f>ROUND(D1004*$AF$1002,0)</f>
        <v>740</v>
      </c>
      <c r="AG1004" s="180">
        <f>ROUND(E1004*$AG$1002,0)</f>
        <v>1256</v>
      </c>
      <c r="AH1004" s="180">
        <f>ROUND(F1004*$AH$1002,0)</f>
        <v>0</v>
      </c>
      <c r="AI1004" s="180">
        <f>ROUND(H1004*$AI$1002,0)</f>
        <v>110</v>
      </c>
      <c r="AJ1004" s="180">
        <f>ROUND(I1004*$AJ$1002,0)</f>
        <v>77</v>
      </c>
      <c r="AK1004" s="180">
        <f>ROUND(J1004*$AK$1002,0)</f>
        <v>119</v>
      </c>
      <c r="AL1004" s="180">
        <f>ROUND(K1004*$AL$1002,0)</f>
        <v>122</v>
      </c>
      <c r="AM1004" s="180">
        <f>ROUND(L1004*$AM$1002,0)</f>
        <v>34</v>
      </c>
      <c r="AN1004" s="180">
        <f>ROUND(M1004*$AN$1002,0)</f>
        <v>40</v>
      </c>
      <c r="AO1004" s="180">
        <f>ROUND(N1004*$AO$1002,0)</f>
        <v>79</v>
      </c>
      <c r="AP1004" s="180">
        <f>ROUND(O1004*$AP$1002,0)</f>
        <v>25</v>
      </c>
      <c r="AQ1004" s="180">
        <f>ROUND(P1004*$AQ$1002,0)</f>
        <v>39</v>
      </c>
      <c r="AR1004" s="180">
        <f>ROUND(Q1004*$AR$1002,0)</f>
        <v>58</v>
      </c>
      <c r="AS1004" s="210">
        <f>SUM(AD1004:AR1004)</f>
        <v>8948</v>
      </c>
      <c r="AU1004" s="218">
        <f>AS1004/R1004</f>
        <v>4.2599062762532808E-2</v>
      </c>
    </row>
    <row r="1005" spans="1:48" ht="15.75" customHeight="1" x14ac:dyDescent="0.3">
      <c r="A1005" s="192" t="s">
        <v>9</v>
      </c>
      <c r="B1005" s="180">
        <f t="shared" ref="B1005:B1015" si="348">ROUND((B948*$B$1002)/1000,0)</f>
        <v>129651</v>
      </c>
      <c r="C1005" s="180">
        <f t="shared" si="334"/>
        <v>16510</v>
      </c>
      <c r="D1005" s="180">
        <f t="shared" si="335"/>
        <v>17303</v>
      </c>
      <c r="E1005" s="180">
        <f t="shared" si="336"/>
        <v>29373</v>
      </c>
      <c r="F1005" s="180">
        <f t="shared" ref="F1005:F1015" si="349">(F948*((T948-1526.8)/0.7702))/1000</f>
        <v>12310.118689975707</v>
      </c>
      <c r="G1005" s="180">
        <f>(G948*((T948-1591.4)/0.6635))/1000</f>
        <v>0</v>
      </c>
      <c r="H1005" s="180">
        <f t="shared" si="338"/>
        <v>5173</v>
      </c>
      <c r="I1005" s="180">
        <f t="shared" si="339"/>
        <v>3699</v>
      </c>
      <c r="J1005" s="180">
        <f t="shared" si="340"/>
        <v>5723</v>
      </c>
      <c r="K1005" s="180">
        <f t="shared" si="341"/>
        <v>5791</v>
      </c>
      <c r="L1005" s="180">
        <f t="shared" si="342"/>
        <v>1866</v>
      </c>
      <c r="M1005" s="180">
        <f t="shared" si="343"/>
        <v>2199</v>
      </c>
      <c r="N1005" s="180">
        <f t="shared" si="344"/>
        <v>4245</v>
      </c>
      <c r="O1005" s="180">
        <f t="shared" si="345"/>
        <v>829</v>
      </c>
      <c r="P1005" s="180">
        <f t="shared" si="346"/>
        <v>1294</v>
      </c>
      <c r="Q1005" s="180">
        <f t="shared" si="347"/>
        <v>1962</v>
      </c>
      <c r="R1005" s="216">
        <f>(SUM(B1005:Q1005))</f>
        <v>237928.1186899757</v>
      </c>
      <c r="S1005" s="217"/>
      <c r="AC1005" s="211" t="s">
        <v>9</v>
      </c>
      <c r="AD1005" s="180">
        <f t="shared" ref="AD1005:AD1015" si="350">ROUND(B1005*$AD$1002, 0)</f>
        <v>6094</v>
      </c>
      <c r="AE1005" s="180">
        <f t="shared" ref="AE1005:AE1015" si="351">ROUND(C1005*$AE$1002,0)</f>
        <v>776</v>
      </c>
      <c r="AF1005" s="180">
        <f t="shared" ref="AF1005:AF1015" si="352">ROUND(D1005*$AF$1002,0)</f>
        <v>813</v>
      </c>
      <c r="AG1005" s="180">
        <f t="shared" ref="AG1005:AG1015" si="353">ROUND(E1005*$AG$1002,0)</f>
        <v>1381</v>
      </c>
      <c r="AH1005" s="180">
        <f t="shared" ref="AH1005:AH1015" si="354">ROUND(F1005*$AH$1002,0)</f>
        <v>0</v>
      </c>
      <c r="AI1005" s="180">
        <f t="shared" ref="AI1005:AI1015" si="355">ROUND(H1005*$AI$1002,0)</f>
        <v>155</v>
      </c>
      <c r="AJ1005" s="180">
        <f t="shared" ref="AJ1005:AJ1015" si="356">ROUND(I1005*$AJ$1002,0)</f>
        <v>111</v>
      </c>
      <c r="AK1005" s="180">
        <f t="shared" ref="AK1005:AK1015" si="357">ROUND(J1005*$AK$1002,0)</f>
        <v>172</v>
      </c>
      <c r="AL1005" s="180">
        <f t="shared" ref="AL1005:AL1015" si="358">ROUND(K1005*$AL$1002,0)</f>
        <v>174</v>
      </c>
      <c r="AM1005" s="180">
        <f t="shared" ref="AM1005:AM1015" si="359">ROUND(L1005*$AM$1002,0)</f>
        <v>56</v>
      </c>
      <c r="AN1005" s="180">
        <f t="shared" ref="AN1005:AN1015" si="360">ROUND(M1005*$AN$1002,0)</f>
        <v>66</v>
      </c>
      <c r="AO1005" s="180">
        <f t="shared" ref="AO1005:AO1015" si="361">ROUND(N1005*$AO$1002,0)</f>
        <v>127</v>
      </c>
      <c r="AP1005" s="180">
        <f t="shared" ref="AP1005:AP1015" si="362">ROUND(O1005*$AP$1002,0)</f>
        <v>25</v>
      </c>
      <c r="AQ1005" s="180">
        <f t="shared" ref="AQ1005:AQ1015" si="363">ROUND(P1005*$AQ$1002,0)</f>
        <v>39</v>
      </c>
      <c r="AR1005" s="180">
        <f t="shared" ref="AR1005:AR1015" si="364">ROUND(Q1005*$AR$1002,0)</f>
        <v>59</v>
      </c>
      <c r="AS1005" s="210">
        <f t="shared" ref="AS1005:AS1015" si="365">SUM(AD1005:AR1005)</f>
        <v>10048</v>
      </c>
      <c r="AU1005" s="218">
        <f t="shared" ref="AU1005:AU1017" si="366">AS1005/R1005</f>
        <v>4.2231242172316386E-2</v>
      </c>
    </row>
    <row r="1006" spans="1:48" ht="15.75" customHeight="1" x14ac:dyDescent="0.3">
      <c r="A1006" s="192" t="s">
        <v>10</v>
      </c>
      <c r="B1006" s="180">
        <f t="shared" si="348"/>
        <v>138740</v>
      </c>
      <c r="C1006" s="180">
        <f t="shared" si="334"/>
        <v>17653</v>
      </c>
      <c r="D1006" s="180">
        <f t="shared" si="335"/>
        <v>18488</v>
      </c>
      <c r="E1006" s="180">
        <f t="shared" si="336"/>
        <v>30817</v>
      </c>
      <c r="F1006" s="180">
        <f t="shared" si="349"/>
        <v>6375.8401737184986</v>
      </c>
      <c r="G1006" s="180">
        <f t="shared" si="337"/>
        <v>0</v>
      </c>
      <c r="H1006" s="180">
        <f t="shared" si="338"/>
        <v>7952</v>
      </c>
      <c r="I1006" s="180">
        <f t="shared" si="339"/>
        <v>5581</v>
      </c>
      <c r="J1006" s="180">
        <f t="shared" si="340"/>
        <v>7829</v>
      </c>
      <c r="K1006" s="180">
        <f t="shared" si="341"/>
        <v>7462</v>
      </c>
      <c r="L1006" s="180">
        <f t="shared" si="342"/>
        <v>2278</v>
      </c>
      <c r="M1006" s="180">
        <f t="shared" si="343"/>
        <v>2685</v>
      </c>
      <c r="N1006" s="180">
        <f t="shared" si="344"/>
        <v>5334</v>
      </c>
      <c r="O1006" s="180">
        <f t="shared" si="345"/>
        <v>954</v>
      </c>
      <c r="P1006" s="180">
        <f t="shared" si="346"/>
        <v>1617</v>
      </c>
      <c r="Q1006" s="180">
        <f t="shared" si="347"/>
        <v>2256</v>
      </c>
      <c r="R1006" s="216">
        <f t="shared" ref="R1006:R1015" si="367">(SUM(B1006:Q1006))</f>
        <v>256021.84017371849</v>
      </c>
      <c r="S1006" s="217"/>
      <c r="AC1006" s="211" t="s">
        <v>10</v>
      </c>
      <c r="AD1006" s="180">
        <f t="shared" si="350"/>
        <v>6521</v>
      </c>
      <c r="AE1006" s="180">
        <f t="shared" si="351"/>
        <v>830</v>
      </c>
      <c r="AF1006" s="180">
        <f t="shared" si="352"/>
        <v>869</v>
      </c>
      <c r="AG1006" s="180">
        <f t="shared" si="353"/>
        <v>1448</v>
      </c>
      <c r="AH1006" s="180">
        <f t="shared" si="354"/>
        <v>0</v>
      </c>
      <c r="AI1006" s="180">
        <f t="shared" si="355"/>
        <v>239</v>
      </c>
      <c r="AJ1006" s="180">
        <f t="shared" si="356"/>
        <v>167</v>
      </c>
      <c r="AK1006" s="180">
        <f t="shared" si="357"/>
        <v>235</v>
      </c>
      <c r="AL1006" s="180">
        <f t="shared" si="358"/>
        <v>224</v>
      </c>
      <c r="AM1006" s="180">
        <f t="shared" si="359"/>
        <v>68</v>
      </c>
      <c r="AN1006" s="180">
        <f t="shared" si="360"/>
        <v>81</v>
      </c>
      <c r="AO1006" s="180">
        <f t="shared" si="361"/>
        <v>160</v>
      </c>
      <c r="AP1006" s="180">
        <f t="shared" si="362"/>
        <v>29</v>
      </c>
      <c r="AQ1006" s="180">
        <f t="shared" si="363"/>
        <v>49</v>
      </c>
      <c r="AR1006" s="180">
        <f t="shared" si="364"/>
        <v>68</v>
      </c>
      <c r="AS1006" s="210">
        <f t="shared" si="365"/>
        <v>10988</v>
      </c>
      <c r="AU1006" s="218">
        <f t="shared" si="366"/>
        <v>4.2918213510786084E-2</v>
      </c>
    </row>
    <row r="1007" spans="1:48" ht="15.75" customHeight="1" x14ac:dyDescent="0.3">
      <c r="A1007" s="192" t="s">
        <v>12</v>
      </c>
      <c r="B1007" s="180">
        <f t="shared" si="348"/>
        <v>140745</v>
      </c>
      <c r="C1007" s="180">
        <f t="shared" si="334"/>
        <v>17898</v>
      </c>
      <c r="D1007" s="180">
        <f t="shared" si="335"/>
        <v>18733</v>
      </c>
      <c r="E1007" s="180">
        <f t="shared" si="336"/>
        <v>30820</v>
      </c>
      <c r="F1007" s="180">
        <f t="shared" si="349"/>
        <v>0</v>
      </c>
      <c r="G1007" s="180">
        <f t="shared" si="337"/>
        <v>-1556.4323501100207</v>
      </c>
      <c r="H1007" s="180">
        <f t="shared" si="338"/>
        <v>10974</v>
      </c>
      <c r="I1007" s="180">
        <f t="shared" si="339"/>
        <v>7127</v>
      </c>
      <c r="J1007" s="180">
        <f t="shared" si="340"/>
        <v>8675</v>
      </c>
      <c r="K1007" s="180">
        <f t="shared" si="341"/>
        <v>8205</v>
      </c>
      <c r="L1007" s="180">
        <f t="shared" si="342"/>
        <v>2556</v>
      </c>
      <c r="M1007" s="180">
        <f t="shared" si="343"/>
        <v>3012</v>
      </c>
      <c r="N1007" s="180">
        <f t="shared" si="344"/>
        <v>5664</v>
      </c>
      <c r="O1007" s="180">
        <f t="shared" si="345"/>
        <v>1067</v>
      </c>
      <c r="P1007" s="180">
        <f t="shared" si="346"/>
        <v>1941</v>
      </c>
      <c r="Q1007" s="180">
        <f t="shared" si="347"/>
        <v>2525</v>
      </c>
      <c r="R1007" s="216">
        <f t="shared" si="367"/>
        <v>258385.56764988997</v>
      </c>
      <c r="S1007" s="217"/>
      <c r="AC1007" s="211" t="s">
        <v>12</v>
      </c>
      <c r="AD1007" s="180">
        <f t="shared" si="350"/>
        <v>6615</v>
      </c>
      <c r="AE1007" s="180">
        <f t="shared" si="351"/>
        <v>841</v>
      </c>
      <c r="AF1007" s="180">
        <f t="shared" si="352"/>
        <v>880</v>
      </c>
      <c r="AG1007" s="180">
        <f t="shared" si="353"/>
        <v>1449</v>
      </c>
      <c r="AH1007" s="180">
        <f t="shared" si="354"/>
        <v>0</v>
      </c>
      <c r="AI1007" s="180">
        <f t="shared" si="355"/>
        <v>329</v>
      </c>
      <c r="AJ1007" s="180">
        <f t="shared" si="356"/>
        <v>214</v>
      </c>
      <c r="AK1007" s="180">
        <f t="shared" si="357"/>
        <v>260</v>
      </c>
      <c r="AL1007" s="180">
        <f t="shared" si="358"/>
        <v>246</v>
      </c>
      <c r="AM1007" s="180">
        <f t="shared" si="359"/>
        <v>77</v>
      </c>
      <c r="AN1007" s="180">
        <f t="shared" si="360"/>
        <v>90</v>
      </c>
      <c r="AO1007" s="180">
        <f t="shared" si="361"/>
        <v>170</v>
      </c>
      <c r="AP1007" s="180">
        <f t="shared" si="362"/>
        <v>32</v>
      </c>
      <c r="AQ1007" s="180">
        <f t="shared" si="363"/>
        <v>58</v>
      </c>
      <c r="AR1007" s="180">
        <f t="shared" si="364"/>
        <v>76</v>
      </c>
      <c r="AS1007" s="210">
        <f t="shared" si="365"/>
        <v>11337</v>
      </c>
      <c r="AU1007" s="218">
        <f t="shared" si="366"/>
        <v>4.3876289620639837E-2</v>
      </c>
    </row>
    <row r="1008" spans="1:48" ht="15.75" customHeight="1" x14ac:dyDescent="0.3">
      <c r="A1008" s="192" t="s">
        <v>13</v>
      </c>
      <c r="B1008" s="180">
        <f t="shared" si="348"/>
        <v>165542</v>
      </c>
      <c r="C1008" s="180">
        <f t="shared" si="334"/>
        <v>21052</v>
      </c>
      <c r="D1008" s="180">
        <f t="shared" si="335"/>
        <v>22036</v>
      </c>
      <c r="E1008" s="180">
        <f t="shared" si="336"/>
        <v>36095</v>
      </c>
      <c r="F1008" s="180">
        <f t="shared" si="349"/>
        <v>0</v>
      </c>
      <c r="G1008" s="180">
        <f t="shared" si="337"/>
        <v>0</v>
      </c>
      <c r="H1008" s="180">
        <f t="shared" si="338"/>
        <v>11675</v>
      </c>
      <c r="I1008" s="180">
        <f t="shared" si="339"/>
        <v>6448</v>
      </c>
      <c r="J1008" s="180">
        <f t="shared" si="340"/>
        <v>8466</v>
      </c>
      <c r="K1008" s="180">
        <f t="shared" si="341"/>
        <v>8054</v>
      </c>
      <c r="L1008" s="180">
        <f t="shared" si="342"/>
        <v>2582</v>
      </c>
      <c r="M1008" s="180">
        <f t="shared" si="343"/>
        <v>3042</v>
      </c>
      <c r="N1008" s="180">
        <f t="shared" si="344"/>
        <v>5836</v>
      </c>
      <c r="O1008" s="180">
        <f t="shared" si="345"/>
        <v>1051</v>
      </c>
      <c r="P1008" s="180">
        <f t="shared" si="346"/>
        <v>2264</v>
      </c>
      <c r="Q1008" s="180">
        <f t="shared" si="347"/>
        <v>2485</v>
      </c>
      <c r="R1008" s="216">
        <f t="shared" si="367"/>
        <v>296628</v>
      </c>
      <c r="S1008" s="217"/>
      <c r="AC1008" s="211" t="s">
        <v>13</v>
      </c>
      <c r="AD1008" s="180">
        <f t="shared" si="350"/>
        <v>7780</v>
      </c>
      <c r="AE1008" s="180">
        <f t="shared" si="351"/>
        <v>989</v>
      </c>
      <c r="AF1008" s="180">
        <f t="shared" si="352"/>
        <v>1036</v>
      </c>
      <c r="AG1008" s="180">
        <f t="shared" si="353"/>
        <v>1696</v>
      </c>
      <c r="AH1008" s="180">
        <f t="shared" si="354"/>
        <v>0</v>
      </c>
      <c r="AI1008" s="180">
        <f t="shared" si="355"/>
        <v>350</v>
      </c>
      <c r="AJ1008" s="180">
        <f t="shared" si="356"/>
        <v>193</v>
      </c>
      <c r="AK1008" s="180">
        <f t="shared" si="357"/>
        <v>254</v>
      </c>
      <c r="AL1008" s="180">
        <f t="shared" si="358"/>
        <v>242</v>
      </c>
      <c r="AM1008" s="180">
        <f t="shared" si="359"/>
        <v>77</v>
      </c>
      <c r="AN1008" s="180">
        <f t="shared" si="360"/>
        <v>91</v>
      </c>
      <c r="AO1008" s="180">
        <f t="shared" si="361"/>
        <v>175</v>
      </c>
      <c r="AP1008" s="180">
        <f t="shared" si="362"/>
        <v>32</v>
      </c>
      <c r="AQ1008" s="180">
        <f t="shared" si="363"/>
        <v>68</v>
      </c>
      <c r="AR1008" s="180">
        <f t="shared" si="364"/>
        <v>75</v>
      </c>
      <c r="AS1008" s="210">
        <f t="shared" si="365"/>
        <v>13058</v>
      </c>
      <c r="AU1008" s="218">
        <f t="shared" si="366"/>
        <v>4.4021467966611376E-2</v>
      </c>
    </row>
    <row r="1009" spans="1:47" ht="15.75" customHeight="1" x14ac:dyDescent="0.3">
      <c r="A1009" s="192" t="s">
        <v>14</v>
      </c>
      <c r="B1009" s="180">
        <f t="shared" si="348"/>
        <v>71423</v>
      </c>
      <c r="C1009" s="180">
        <f t="shared" si="334"/>
        <v>9054</v>
      </c>
      <c r="D1009" s="180">
        <f t="shared" si="335"/>
        <v>9449</v>
      </c>
      <c r="E1009" s="180">
        <f t="shared" si="336"/>
        <v>14550</v>
      </c>
      <c r="F1009" s="180">
        <f t="shared" si="349"/>
        <v>0</v>
      </c>
      <c r="G1009" s="180">
        <f t="shared" si="337"/>
        <v>-15816.395767397118</v>
      </c>
      <c r="H1009" s="180">
        <f t="shared" si="338"/>
        <v>13696</v>
      </c>
      <c r="I1009" s="180">
        <f t="shared" si="339"/>
        <v>8146</v>
      </c>
      <c r="J1009" s="180">
        <f t="shared" si="340"/>
        <v>8204</v>
      </c>
      <c r="K1009" s="180">
        <f t="shared" si="341"/>
        <v>7003</v>
      </c>
      <c r="L1009" s="180">
        <f t="shared" si="342"/>
        <v>2297</v>
      </c>
      <c r="M1009" s="180">
        <f t="shared" si="343"/>
        <v>2705</v>
      </c>
      <c r="N1009" s="180">
        <f t="shared" si="344"/>
        <v>5255</v>
      </c>
      <c r="O1009" s="180">
        <f t="shared" si="345"/>
        <v>1037</v>
      </c>
      <c r="P1009" s="180">
        <f t="shared" si="346"/>
        <v>2329</v>
      </c>
      <c r="Q1009" s="180">
        <f t="shared" si="347"/>
        <v>2452</v>
      </c>
      <c r="R1009" s="216">
        <f>(SUM(B1009:Q1009))</f>
        <v>141783.60423260287</v>
      </c>
      <c r="S1009" s="217"/>
      <c r="AC1009" s="211" t="s">
        <v>14</v>
      </c>
      <c r="AD1009" s="180">
        <f t="shared" si="350"/>
        <v>3357</v>
      </c>
      <c r="AE1009" s="180">
        <f t="shared" si="351"/>
        <v>426</v>
      </c>
      <c r="AF1009" s="180">
        <f t="shared" si="352"/>
        <v>444</v>
      </c>
      <c r="AG1009" s="180">
        <f t="shared" si="353"/>
        <v>684</v>
      </c>
      <c r="AH1009" s="180">
        <f t="shared" si="354"/>
        <v>0</v>
      </c>
      <c r="AI1009" s="180">
        <f t="shared" si="355"/>
        <v>411</v>
      </c>
      <c r="AJ1009" s="180">
        <f t="shared" si="356"/>
        <v>244</v>
      </c>
      <c r="AK1009" s="180">
        <f t="shared" si="357"/>
        <v>246</v>
      </c>
      <c r="AL1009" s="180">
        <f t="shared" si="358"/>
        <v>210</v>
      </c>
      <c r="AM1009" s="180">
        <f t="shared" si="359"/>
        <v>69</v>
      </c>
      <c r="AN1009" s="180">
        <f t="shared" si="360"/>
        <v>81</v>
      </c>
      <c r="AO1009" s="180">
        <f t="shared" si="361"/>
        <v>158</v>
      </c>
      <c r="AP1009" s="180">
        <f t="shared" si="362"/>
        <v>31</v>
      </c>
      <c r="AQ1009" s="180">
        <f t="shared" si="363"/>
        <v>70</v>
      </c>
      <c r="AR1009" s="180">
        <f t="shared" si="364"/>
        <v>74</v>
      </c>
      <c r="AS1009" s="210">
        <f t="shared" si="365"/>
        <v>6505</v>
      </c>
      <c r="AU1009" s="218">
        <f t="shared" si="366"/>
        <v>4.5879775981207481E-2</v>
      </c>
    </row>
    <row r="1010" spans="1:47" ht="15.75" customHeight="1" x14ac:dyDescent="0.3">
      <c r="A1010" s="192" t="s">
        <v>16</v>
      </c>
      <c r="B1010" s="180">
        <f t="shared" si="348"/>
        <v>49661</v>
      </c>
      <c r="C1010" s="180">
        <f t="shared" si="334"/>
        <v>6280</v>
      </c>
      <c r="D1010" s="180">
        <f t="shared" si="335"/>
        <v>6538</v>
      </c>
      <c r="E1010" s="180">
        <f t="shared" si="336"/>
        <v>9685</v>
      </c>
      <c r="F1010" s="180">
        <f t="shared" si="349"/>
        <v>0</v>
      </c>
      <c r="G1010" s="180">
        <f t="shared" si="337"/>
        <v>-14770.416820711065</v>
      </c>
      <c r="H1010" s="180">
        <f t="shared" si="338"/>
        <v>13019</v>
      </c>
      <c r="I1010" s="180">
        <f t="shared" si="339"/>
        <v>8764</v>
      </c>
      <c r="J1010" s="180">
        <f t="shared" si="340"/>
        <v>8408</v>
      </c>
      <c r="K1010" s="180">
        <f t="shared" si="341"/>
        <v>7072</v>
      </c>
      <c r="L1010" s="180">
        <f t="shared" si="342"/>
        <v>2160</v>
      </c>
      <c r="M1010" s="180">
        <f t="shared" si="343"/>
        <v>2544</v>
      </c>
      <c r="N1010" s="180">
        <f t="shared" si="344"/>
        <v>5134</v>
      </c>
      <c r="O1010" s="180">
        <f t="shared" si="345"/>
        <v>1063</v>
      </c>
      <c r="P1010" s="180">
        <f t="shared" si="346"/>
        <v>2103</v>
      </c>
      <c r="Q1010" s="180">
        <f t="shared" si="347"/>
        <v>2515</v>
      </c>
      <c r="R1010" s="216">
        <f t="shared" si="367"/>
        <v>110175.58317928894</v>
      </c>
      <c r="S1010" s="217"/>
      <c r="AC1010" s="211" t="s">
        <v>16</v>
      </c>
      <c r="AD1010" s="180">
        <f t="shared" si="350"/>
        <v>2334</v>
      </c>
      <c r="AE1010" s="180">
        <f t="shared" si="351"/>
        <v>295</v>
      </c>
      <c r="AF1010" s="180">
        <f t="shared" si="352"/>
        <v>307</v>
      </c>
      <c r="AG1010" s="180">
        <f t="shared" si="353"/>
        <v>455</v>
      </c>
      <c r="AH1010" s="180">
        <f t="shared" si="354"/>
        <v>0</v>
      </c>
      <c r="AI1010" s="180">
        <f t="shared" si="355"/>
        <v>391</v>
      </c>
      <c r="AJ1010" s="180">
        <f t="shared" si="356"/>
        <v>263</v>
      </c>
      <c r="AK1010" s="180">
        <f t="shared" si="357"/>
        <v>252</v>
      </c>
      <c r="AL1010" s="180">
        <f t="shared" si="358"/>
        <v>212</v>
      </c>
      <c r="AM1010" s="180">
        <f t="shared" si="359"/>
        <v>65</v>
      </c>
      <c r="AN1010" s="180">
        <f t="shared" si="360"/>
        <v>76</v>
      </c>
      <c r="AO1010" s="180">
        <f t="shared" si="361"/>
        <v>154</v>
      </c>
      <c r="AP1010" s="180">
        <f t="shared" si="362"/>
        <v>32</v>
      </c>
      <c r="AQ1010" s="180">
        <f t="shared" si="363"/>
        <v>63</v>
      </c>
      <c r="AR1010" s="180">
        <f t="shared" si="364"/>
        <v>75</v>
      </c>
      <c r="AS1010" s="210">
        <f t="shared" si="365"/>
        <v>4974</v>
      </c>
      <c r="AU1010" s="218">
        <f t="shared" si="366"/>
        <v>4.5146119098873297E-2</v>
      </c>
    </row>
    <row r="1011" spans="1:47" ht="15.75" customHeight="1" x14ac:dyDescent="0.3">
      <c r="A1011" s="192" t="s">
        <v>17</v>
      </c>
      <c r="B1011" s="180">
        <f t="shared" si="348"/>
        <v>50000</v>
      </c>
      <c r="C1011" s="180">
        <f t="shared" si="334"/>
        <v>6333</v>
      </c>
      <c r="D1011" s="180">
        <f t="shared" si="335"/>
        <v>6604</v>
      </c>
      <c r="E1011" s="180">
        <f t="shared" si="336"/>
        <v>10036</v>
      </c>
      <c r="F1011" s="180">
        <f t="shared" si="349"/>
        <v>0</v>
      </c>
      <c r="G1011" s="180">
        <f t="shared" si="337"/>
        <v>-8094.1460558827948</v>
      </c>
      <c r="H1011" s="180">
        <f t="shared" si="338"/>
        <v>9856</v>
      </c>
      <c r="I1011" s="180">
        <f t="shared" si="339"/>
        <v>6958</v>
      </c>
      <c r="J1011" s="180">
        <f t="shared" si="340"/>
        <v>7900</v>
      </c>
      <c r="K1011" s="180">
        <f t="shared" si="341"/>
        <v>7009</v>
      </c>
      <c r="L1011" s="180">
        <f t="shared" si="342"/>
        <v>2150</v>
      </c>
      <c r="M1011" s="180">
        <f t="shared" si="343"/>
        <v>2532</v>
      </c>
      <c r="N1011" s="180">
        <f t="shared" si="344"/>
        <v>5061</v>
      </c>
      <c r="O1011" s="180">
        <f t="shared" si="345"/>
        <v>1074</v>
      </c>
      <c r="P1011" s="180">
        <f t="shared" si="346"/>
        <v>1941</v>
      </c>
      <c r="Q1011" s="180">
        <f t="shared" si="347"/>
        <v>2542</v>
      </c>
      <c r="R1011" s="216">
        <f t="shared" si="367"/>
        <v>111901.8539441172</v>
      </c>
      <c r="S1011" s="217"/>
      <c r="AC1011" s="211" t="s">
        <v>17</v>
      </c>
      <c r="AD1011" s="180">
        <f t="shared" si="350"/>
        <v>2350</v>
      </c>
      <c r="AE1011" s="180">
        <f t="shared" si="351"/>
        <v>298</v>
      </c>
      <c r="AF1011" s="180">
        <f t="shared" si="352"/>
        <v>310</v>
      </c>
      <c r="AG1011" s="180">
        <f t="shared" si="353"/>
        <v>472</v>
      </c>
      <c r="AH1011" s="180">
        <f t="shared" si="354"/>
        <v>0</v>
      </c>
      <c r="AI1011" s="180">
        <f t="shared" si="355"/>
        <v>296</v>
      </c>
      <c r="AJ1011" s="180">
        <f t="shared" si="356"/>
        <v>209</v>
      </c>
      <c r="AK1011" s="180">
        <f t="shared" si="357"/>
        <v>237</v>
      </c>
      <c r="AL1011" s="180">
        <f t="shared" si="358"/>
        <v>210</v>
      </c>
      <c r="AM1011" s="180">
        <f t="shared" si="359"/>
        <v>65</v>
      </c>
      <c r="AN1011" s="180">
        <f t="shared" si="360"/>
        <v>76</v>
      </c>
      <c r="AO1011" s="180">
        <f t="shared" si="361"/>
        <v>152</v>
      </c>
      <c r="AP1011" s="180">
        <f t="shared" si="362"/>
        <v>32</v>
      </c>
      <c r="AQ1011" s="180">
        <f t="shared" si="363"/>
        <v>58</v>
      </c>
      <c r="AR1011" s="180">
        <f t="shared" si="364"/>
        <v>76</v>
      </c>
      <c r="AS1011" s="210">
        <f t="shared" si="365"/>
        <v>4841</v>
      </c>
      <c r="AU1011" s="218">
        <f t="shared" si="366"/>
        <v>4.3261124184926843E-2</v>
      </c>
    </row>
    <row r="1012" spans="1:47" ht="15.75" customHeight="1" x14ac:dyDescent="0.3">
      <c r="A1012" s="192" t="s">
        <v>18</v>
      </c>
      <c r="B1012" s="180">
        <f t="shared" si="348"/>
        <v>124785</v>
      </c>
      <c r="C1012" s="180">
        <f t="shared" si="334"/>
        <v>15869</v>
      </c>
      <c r="D1012" s="180">
        <f t="shared" si="335"/>
        <v>16611</v>
      </c>
      <c r="E1012" s="180">
        <f t="shared" si="336"/>
        <v>27623</v>
      </c>
      <c r="F1012" s="180">
        <f t="shared" si="349"/>
        <v>2692.9723765234103</v>
      </c>
      <c r="G1012" s="180">
        <f t="shared" si="337"/>
        <v>0</v>
      </c>
      <c r="H1012" s="180">
        <f t="shared" si="338"/>
        <v>6823</v>
      </c>
      <c r="I1012" s="180">
        <f t="shared" si="339"/>
        <v>4234</v>
      </c>
      <c r="J1012" s="180">
        <f t="shared" si="340"/>
        <v>6288</v>
      </c>
      <c r="K1012" s="180">
        <f t="shared" si="341"/>
        <v>6102</v>
      </c>
      <c r="L1012" s="180">
        <f t="shared" si="342"/>
        <v>2003</v>
      </c>
      <c r="M1012" s="180">
        <f t="shared" si="343"/>
        <v>2360</v>
      </c>
      <c r="N1012" s="180">
        <f t="shared" si="344"/>
        <v>4720</v>
      </c>
      <c r="O1012" s="180">
        <f t="shared" si="345"/>
        <v>861</v>
      </c>
      <c r="P1012" s="180">
        <f t="shared" si="346"/>
        <v>1779</v>
      </c>
      <c r="Q1012" s="180">
        <f t="shared" si="347"/>
        <v>2037</v>
      </c>
      <c r="R1012" s="216">
        <f t="shared" si="367"/>
        <v>224787.97237652342</v>
      </c>
      <c r="S1012" s="217"/>
      <c r="AC1012" s="211" t="s">
        <v>18</v>
      </c>
      <c r="AD1012" s="180">
        <f t="shared" si="350"/>
        <v>5865</v>
      </c>
      <c r="AE1012" s="180">
        <f t="shared" si="351"/>
        <v>746</v>
      </c>
      <c r="AF1012" s="180">
        <f t="shared" si="352"/>
        <v>781</v>
      </c>
      <c r="AG1012" s="180">
        <f t="shared" si="353"/>
        <v>1298</v>
      </c>
      <c r="AH1012" s="180">
        <f t="shared" si="354"/>
        <v>0</v>
      </c>
      <c r="AI1012" s="180">
        <f t="shared" si="355"/>
        <v>205</v>
      </c>
      <c r="AJ1012" s="180">
        <f t="shared" si="356"/>
        <v>127</v>
      </c>
      <c r="AK1012" s="180">
        <f t="shared" si="357"/>
        <v>189</v>
      </c>
      <c r="AL1012" s="180">
        <f t="shared" si="358"/>
        <v>183</v>
      </c>
      <c r="AM1012" s="180">
        <f t="shared" si="359"/>
        <v>60</v>
      </c>
      <c r="AN1012" s="180">
        <f t="shared" si="360"/>
        <v>71</v>
      </c>
      <c r="AO1012" s="180">
        <f t="shared" si="361"/>
        <v>142</v>
      </c>
      <c r="AP1012" s="180">
        <f t="shared" si="362"/>
        <v>26</v>
      </c>
      <c r="AQ1012" s="180">
        <f t="shared" si="363"/>
        <v>53</v>
      </c>
      <c r="AR1012" s="180">
        <f t="shared" si="364"/>
        <v>61</v>
      </c>
      <c r="AS1012" s="210">
        <f t="shared" si="365"/>
        <v>9807</v>
      </c>
      <c r="AU1012" s="218">
        <f t="shared" si="366"/>
        <v>4.3627779085853934E-2</v>
      </c>
    </row>
    <row r="1013" spans="1:47" ht="15.75" customHeight="1" x14ac:dyDescent="0.3">
      <c r="A1013" s="192" t="s">
        <v>20</v>
      </c>
      <c r="B1013" s="180">
        <f t="shared" si="348"/>
        <v>138324</v>
      </c>
      <c r="C1013" s="180">
        <f t="shared" si="334"/>
        <v>17599</v>
      </c>
      <c r="D1013" s="180">
        <f t="shared" si="335"/>
        <v>18430</v>
      </c>
      <c r="E1013" s="180">
        <f t="shared" si="336"/>
        <v>30979</v>
      </c>
      <c r="F1013" s="180">
        <f t="shared" si="349"/>
        <v>10198.773834418373</v>
      </c>
      <c r="G1013" s="180">
        <f t="shared" si="337"/>
        <v>0</v>
      </c>
      <c r="H1013" s="180">
        <f t="shared" si="338"/>
        <v>4694</v>
      </c>
      <c r="I1013" s="180">
        <f t="shared" si="339"/>
        <v>1880</v>
      </c>
      <c r="J1013" s="180">
        <f t="shared" si="340"/>
        <v>2774</v>
      </c>
      <c r="K1013" s="180">
        <f t="shared" si="341"/>
        <v>2645</v>
      </c>
      <c r="L1013" s="180">
        <f t="shared" si="342"/>
        <v>842</v>
      </c>
      <c r="M1013" s="180">
        <f t="shared" si="343"/>
        <v>990</v>
      </c>
      <c r="N1013" s="180">
        <f t="shared" si="344"/>
        <v>1870</v>
      </c>
      <c r="O1013" s="180">
        <f t="shared" si="345"/>
        <v>441</v>
      </c>
      <c r="P1013" s="180">
        <f t="shared" si="346"/>
        <v>1617</v>
      </c>
      <c r="Q1013" s="180">
        <f t="shared" si="347"/>
        <v>1043</v>
      </c>
      <c r="R1013" s="216">
        <f t="shared" si="367"/>
        <v>234326.77383441836</v>
      </c>
      <c r="S1013" s="217"/>
      <c r="AC1013" s="211" t="s">
        <v>20</v>
      </c>
      <c r="AD1013" s="180">
        <f t="shared" si="350"/>
        <v>6501</v>
      </c>
      <c r="AE1013" s="180">
        <f t="shared" si="351"/>
        <v>827</v>
      </c>
      <c r="AF1013" s="180">
        <f t="shared" si="352"/>
        <v>866</v>
      </c>
      <c r="AG1013" s="180">
        <f t="shared" si="353"/>
        <v>1456</v>
      </c>
      <c r="AH1013" s="180">
        <f t="shared" si="354"/>
        <v>0</v>
      </c>
      <c r="AI1013" s="180">
        <f t="shared" si="355"/>
        <v>141</v>
      </c>
      <c r="AJ1013" s="180">
        <f t="shared" si="356"/>
        <v>56</v>
      </c>
      <c r="AK1013" s="180">
        <f t="shared" si="357"/>
        <v>83</v>
      </c>
      <c r="AL1013" s="180">
        <f t="shared" si="358"/>
        <v>79</v>
      </c>
      <c r="AM1013" s="180">
        <f t="shared" si="359"/>
        <v>25</v>
      </c>
      <c r="AN1013" s="180">
        <f t="shared" si="360"/>
        <v>30</v>
      </c>
      <c r="AO1013" s="180">
        <f t="shared" si="361"/>
        <v>56</v>
      </c>
      <c r="AP1013" s="180">
        <f t="shared" si="362"/>
        <v>13</v>
      </c>
      <c r="AQ1013" s="180">
        <f t="shared" si="363"/>
        <v>49</v>
      </c>
      <c r="AR1013" s="180">
        <f t="shared" si="364"/>
        <v>31</v>
      </c>
      <c r="AS1013" s="210">
        <f t="shared" si="365"/>
        <v>10213</v>
      </c>
      <c r="AU1013" s="218">
        <f t="shared" si="366"/>
        <v>4.3584434816726414E-2</v>
      </c>
    </row>
    <row r="1014" spans="1:47" ht="15.75" customHeight="1" x14ac:dyDescent="0.3">
      <c r="A1014" s="192" t="s">
        <v>21</v>
      </c>
      <c r="B1014" s="180">
        <f t="shared" si="348"/>
        <v>132807</v>
      </c>
      <c r="C1014" s="180">
        <f t="shared" si="334"/>
        <v>16902</v>
      </c>
      <c r="D1014" s="180">
        <f t="shared" si="335"/>
        <v>17704</v>
      </c>
      <c r="E1014" s="180">
        <f t="shared" si="336"/>
        <v>30038</v>
      </c>
      <c r="F1014" s="180">
        <f t="shared" si="349"/>
        <v>15129.202189472586</v>
      </c>
      <c r="G1014" s="180">
        <f t="shared" si="337"/>
        <v>0</v>
      </c>
      <c r="H1014" s="180">
        <f t="shared" si="338"/>
        <v>2358</v>
      </c>
      <c r="I1014" s="180">
        <f t="shared" si="339"/>
        <v>619</v>
      </c>
      <c r="J1014" s="180">
        <f t="shared" si="340"/>
        <v>750</v>
      </c>
      <c r="K1014" s="180">
        <f t="shared" si="341"/>
        <v>744</v>
      </c>
      <c r="L1014" s="180">
        <f t="shared" si="342"/>
        <v>199</v>
      </c>
      <c r="M1014" s="180">
        <f t="shared" si="343"/>
        <v>232</v>
      </c>
      <c r="N1014" s="180">
        <f t="shared" si="344"/>
        <v>439</v>
      </c>
      <c r="O1014" s="180">
        <f t="shared" si="345"/>
        <v>300</v>
      </c>
      <c r="P1014" s="180">
        <f t="shared" si="346"/>
        <v>1456</v>
      </c>
      <c r="Q1014" s="180">
        <f t="shared" si="347"/>
        <v>709</v>
      </c>
      <c r="R1014" s="216">
        <f t="shared" si="367"/>
        <v>220386.20218947259</v>
      </c>
      <c r="S1014" s="217"/>
      <c r="AC1014" s="211" t="s">
        <v>21</v>
      </c>
      <c r="AD1014" s="180">
        <f t="shared" si="350"/>
        <v>6242</v>
      </c>
      <c r="AE1014" s="180">
        <f t="shared" si="351"/>
        <v>794</v>
      </c>
      <c r="AF1014" s="180">
        <f t="shared" si="352"/>
        <v>832</v>
      </c>
      <c r="AG1014" s="180">
        <f t="shared" si="353"/>
        <v>1412</v>
      </c>
      <c r="AH1014" s="180">
        <f t="shared" si="354"/>
        <v>0</v>
      </c>
      <c r="AI1014" s="180">
        <f t="shared" si="355"/>
        <v>71</v>
      </c>
      <c r="AJ1014" s="180">
        <f t="shared" si="356"/>
        <v>19</v>
      </c>
      <c r="AK1014" s="180">
        <f t="shared" si="357"/>
        <v>23</v>
      </c>
      <c r="AL1014" s="180">
        <f t="shared" si="358"/>
        <v>22</v>
      </c>
      <c r="AM1014" s="180">
        <f t="shared" si="359"/>
        <v>6</v>
      </c>
      <c r="AN1014" s="180">
        <f t="shared" si="360"/>
        <v>7</v>
      </c>
      <c r="AO1014" s="180">
        <f t="shared" si="361"/>
        <v>13</v>
      </c>
      <c r="AP1014" s="180">
        <f t="shared" si="362"/>
        <v>9</v>
      </c>
      <c r="AQ1014" s="180">
        <f t="shared" si="363"/>
        <v>44</v>
      </c>
      <c r="AR1014" s="180">
        <f t="shared" si="364"/>
        <v>21</v>
      </c>
      <c r="AS1014" s="210">
        <f t="shared" si="365"/>
        <v>9515</v>
      </c>
      <c r="AU1014" s="218">
        <f t="shared" si="366"/>
        <v>4.3174209208522371E-2</v>
      </c>
    </row>
    <row r="1015" spans="1:47" ht="15.75" customHeight="1" x14ac:dyDescent="0.3">
      <c r="A1015" s="192" t="s">
        <v>22</v>
      </c>
      <c r="B1015" s="180">
        <f t="shared" si="348"/>
        <v>103337</v>
      </c>
      <c r="C1015" s="180">
        <f t="shared" si="334"/>
        <v>13151</v>
      </c>
      <c r="D1015" s="180">
        <f t="shared" si="335"/>
        <v>13775</v>
      </c>
      <c r="E1015" s="180">
        <f t="shared" si="336"/>
        <v>23322</v>
      </c>
      <c r="F1015" s="180">
        <f t="shared" si="349"/>
        <v>9647.7376660342252</v>
      </c>
      <c r="G1015" s="180">
        <f t="shared" si="337"/>
        <v>0</v>
      </c>
      <c r="H1015" s="180">
        <f t="shared" si="338"/>
        <v>3048</v>
      </c>
      <c r="I1015" s="180">
        <f t="shared" si="339"/>
        <v>1773</v>
      </c>
      <c r="J1015" s="180">
        <f t="shared" si="340"/>
        <v>2617</v>
      </c>
      <c r="K1015" s="180">
        <f t="shared" si="341"/>
        <v>2566</v>
      </c>
      <c r="L1015" s="180">
        <f t="shared" si="342"/>
        <v>943</v>
      </c>
      <c r="M1015" s="180">
        <f t="shared" si="343"/>
        <v>1110</v>
      </c>
      <c r="N1015" s="180">
        <f t="shared" si="344"/>
        <v>2251</v>
      </c>
      <c r="O1015" s="180">
        <f t="shared" si="345"/>
        <v>588</v>
      </c>
      <c r="P1015" s="180">
        <f t="shared" si="346"/>
        <v>1294</v>
      </c>
      <c r="Q1015" s="180">
        <f t="shared" si="347"/>
        <v>1391</v>
      </c>
      <c r="R1015" s="216">
        <f t="shared" si="367"/>
        <v>180813.73766603423</v>
      </c>
      <c r="S1015" s="217"/>
      <c r="AC1015" s="211" t="s">
        <v>22</v>
      </c>
      <c r="AD1015" s="180">
        <f t="shared" si="350"/>
        <v>4857</v>
      </c>
      <c r="AE1015" s="180">
        <f t="shared" si="351"/>
        <v>618</v>
      </c>
      <c r="AF1015" s="180">
        <f t="shared" si="352"/>
        <v>647</v>
      </c>
      <c r="AG1015" s="180">
        <f t="shared" si="353"/>
        <v>1096</v>
      </c>
      <c r="AH1015" s="180">
        <f t="shared" si="354"/>
        <v>0</v>
      </c>
      <c r="AI1015" s="180">
        <f t="shared" si="355"/>
        <v>91</v>
      </c>
      <c r="AJ1015" s="180">
        <f t="shared" si="356"/>
        <v>53</v>
      </c>
      <c r="AK1015" s="180">
        <f t="shared" si="357"/>
        <v>79</v>
      </c>
      <c r="AL1015" s="180">
        <f t="shared" si="358"/>
        <v>77</v>
      </c>
      <c r="AM1015" s="180">
        <f t="shared" si="359"/>
        <v>28</v>
      </c>
      <c r="AN1015" s="180">
        <f t="shared" si="360"/>
        <v>33</v>
      </c>
      <c r="AO1015" s="180">
        <f t="shared" si="361"/>
        <v>68</v>
      </c>
      <c r="AP1015" s="180">
        <f t="shared" si="362"/>
        <v>18</v>
      </c>
      <c r="AQ1015" s="180">
        <f t="shared" si="363"/>
        <v>39</v>
      </c>
      <c r="AR1015" s="180">
        <f t="shared" si="364"/>
        <v>42</v>
      </c>
      <c r="AS1015" s="210">
        <f t="shared" si="365"/>
        <v>7746</v>
      </c>
      <c r="AU1015" s="218">
        <f t="shared" si="366"/>
        <v>4.2839665281998549E-2</v>
      </c>
    </row>
    <row r="1016" spans="1:47" ht="15.75" customHeight="1" x14ac:dyDescent="0.3">
      <c r="A1016" s="189"/>
      <c r="B1016" s="180"/>
      <c r="C1016" s="180"/>
      <c r="D1016" s="180"/>
      <c r="E1016" s="180"/>
      <c r="F1016" s="180"/>
      <c r="G1016" s="180"/>
      <c r="H1016" s="180"/>
      <c r="I1016" s="180"/>
      <c r="J1016" s="180"/>
      <c r="K1016" s="180"/>
      <c r="L1016" s="180"/>
      <c r="M1016" s="180"/>
      <c r="N1016" s="180"/>
      <c r="O1016" s="180"/>
      <c r="P1016" s="180"/>
      <c r="Q1016" s="180"/>
      <c r="R1016" s="210"/>
      <c r="S1016" s="217"/>
      <c r="AC1016" s="95"/>
      <c r="AD1016" s="180"/>
      <c r="AE1016" s="180"/>
      <c r="AF1016" s="180"/>
      <c r="AG1016" s="180"/>
      <c r="AH1016" s="180"/>
      <c r="AI1016" s="180"/>
      <c r="AJ1016" s="180"/>
      <c r="AK1016" s="180"/>
      <c r="AL1016" s="180"/>
      <c r="AM1016" s="180"/>
      <c r="AN1016" s="180"/>
      <c r="AO1016" s="180"/>
      <c r="AP1016" s="180"/>
      <c r="AQ1016" s="180"/>
      <c r="AR1016" s="180"/>
      <c r="AS1016" s="210"/>
    </row>
    <row r="1017" spans="1:47" ht="15.75" customHeight="1" thickBot="1" x14ac:dyDescent="0.35">
      <c r="A1017" s="189" t="s">
        <v>641</v>
      </c>
      <c r="B1017" s="180">
        <f>SUM(B1004:B1015)</f>
        <v>1362947</v>
      </c>
      <c r="C1017" s="180">
        <f t="shared" ref="C1017:Q1017" si="368">SUM(C1004:C1015)</f>
        <v>173323</v>
      </c>
      <c r="D1017" s="180">
        <f t="shared" si="368"/>
        <v>181420</v>
      </c>
      <c r="E1017" s="180">
        <f t="shared" si="368"/>
        <v>300070</v>
      </c>
      <c r="F1017" s="180">
        <f t="shared" si="368"/>
        <v>67555.214606225971</v>
      </c>
      <c r="G1017" s="180">
        <f t="shared" si="368"/>
        <v>-40237.390994100999</v>
      </c>
      <c r="H1017" s="180">
        <f t="shared" si="368"/>
        <v>92927</v>
      </c>
      <c r="I1017" s="180">
        <f t="shared" si="368"/>
        <v>57791</v>
      </c>
      <c r="J1017" s="180">
        <f t="shared" si="368"/>
        <v>71594</v>
      </c>
      <c r="K1017" s="180">
        <f t="shared" si="368"/>
        <v>66733</v>
      </c>
      <c r="L1017" s="180">
        <f t="shared" si="368"/>
        <v>20998</v>
      </c>
      <c r="M1017" s="180">
        <f t="shared" si="368"/>
        <v>24733</v>
      </c>
      <c r="N1017" s="180">
        <f t="shared" si="368"/>
        <v>48455</v>
      </c>
      <c r="O1017" s="180">
        <f t="shared" si="368"/>
        <v>10088</v>
      </c>
      <c r="P1017" s="180">
        <f t="shared" si="368"/>
        <v>20929</v>
      </c>
      <c r="Q1017" s="180">
        <f t="shared" si="368"/>
        <v>23865</v>
      </c>
      <c r="R1017" s="219">
        <f>SUM(R1004:R1015)</f>
        <v>2483190.8236121251</v>
      </c>
      <c r="S1017" s="217"/>
      <c r="AC1017" s="220" t="s">
        <v>641</v>
      </c>
      <c r="AD1017" s="195">
        <f>SUM(AD1004:AD1015)</f>
        <v>64059</v>
      </c>
      <c r="AE1017" s="195">
        <f t="shared" ref="AE1017:AS1017" si="369">SUM(AE1004:AE1015)</f>
        <v>8146</v>
      </c>
      <c r="AF1017" s="195">
        <f t="shared" si="369"/>
        <v>8525</v>
      </c>
      <c r="AG1017" s="195">
        <f t="shared" si="369"/>
        <v>14103</v>
      </c>
      <c r="AH1017" s="195">
        <f t="shared" si="369"/>
        <v>0</v>
      </c>
      <c r="AI1017" s="195">
        <f t="shared" si="369"/>
        <v>2789</v>
      </c>
      <c r="AJ1017" s="195">
        <f t="shared" si="369"/>
        <v>1733</v>
      </c>
      <c r="AK1017" s="195">
        <f t="shared" si="369"/>
        <v>2149</v>
      </c>
      <c r="AL1017" s="195">
        <f t="shared" si="369"/>
        <v>2001</v>
      </c>
      <c r="AM1017" s="195">
        <f t="shared" si="369"/>
        <v>630</v>
      </c>
      <c r="AN1017" s="195">
        <f t="shared" si="369"/>
        <v>742</v>
      </c>
      <c r="AO1017" s="195">
        <f t="shared" si="369"/>
        <v>1454</v>
      </c>
      <c r="AP1017" s="195">
        <f t="shared" si="369"/>
        <v>304</v>
      </c>
      <c r="AQ1017" s="195">
        <f t="shared" si="369"/>
        <v>629</v>
      </c>
      <c r="AR1017" s="195">
        <f t="shared" si="369"/>
        <v>716</v>
      </c>
      <c r="AS1017" s="221">
        <f t="shared" si="369"/>
        <v>107980</v>
      </c>
      <c r="AU1017" s="218">
        <f t="shared" si="366"/>
        <v>4.3484374609168777E-2</v>
      </c>
    </row>
    <row r="1018" spans="1:47" ht="16.5" customHeight="1" thickBot="1" x14ac:dyDescent="0.35">
      <c r="A1018" s="204" t="s">
        <v>7</v>
      </c>
      <c r="B1018" s="195"/>
      <c r="C1018" s="195"/>
      <c r="D1018" s="195"/>
      <c r="E1018" s="195"/>
      <c r="F1018" s="195"/>
      <c r="G1018" s="195"/>
      <c r="H1018" s="195"/>
      <c r="I1018" s="195"/>
      <c r="J1018" s="195"/>
      <c r="K1018" s="195"/>
      <c r="L1018" s="195"/>
      <c r="M1018" s="195"/>
      <c r="N1018" s="195"/>
      <c r="O1018" s="195"/>
      <c r="P1018" s="195"/>
      <c r="Q1018" s="195"/>
      <c r="R1018" s="221"/>
      <c r="S1018" s="180"/>
    </row>
    <row r="1019" spans="1:47" ht="15.75" customHeight="1" x14ac:dyDescent="0.3">
      <c r="A1019" s="180"/>
      <c r="B1019" s="180"/>
      <c r="C1019" s="180"/>
      <c r="D1019" s="180"/>
      <c r="E1019" s="180"/>
      <c r="F1019" s="180"/>
      <c r="G1019" s="180"/>
      <c r="H1019" s="180"/>
      <c r="I1019" s="180"/>
      <c r="J1019" s="180"/>
      <c r="K1019" s="180"/>
      <c r="L1019" s="180"/>
      <c r="M1019" s="180"/>
      <c r="N1019" s="180"/>
      <c r="O1019" s="180"/>
      <c r="P1019" s="180"/>
      <c r="Q1019" s="180"/>
      <c r="R1019" s="180"/>
    </row>
    <row r="1020" spans="1:47" ht="15.75" customHeight="1" x14ac:dyDescent="0.3"/>
    <row r="1021" spans="1:47" ht="15.75" customHeight="1" thickBot="1" x14ac:dyDescent="0.35"/>
    <row r="1022" spans="1:47" ht="15.75" customHeight="1" thickBot="1" x14ac:dyDescent="0.35">
      <c r="B1022" s="398" t="s">
        <v>727</v>
      </c>
      <c r="C1022" s="387"/>
      <c r="D1022" s="387"/>
      <c r="E1022" s="387"/>
      <c r="F1022" s="387"/>
      <c r="G1022" s="387"/>
      <c r="H1022" s="387"/>
      <c r="I1022" s="387"/>
      <c r="J1022" s="387"/>
      <c r="K1022" s="387"/>
      <c r="L1022" s="387"/>
      <c r="M1022" s="387"/>
      <c r="N1022" s="387"/>
      <c r="O1022" s="387"/>
      <c r="P1022" s="387"/>
      <c r="Q1022" s="177" t="str">
        <f>+Q1</f>
        <v xml:space="preserve">PRINTED:  </v>
      </c>
      <c r="R1022" s="197">
        <f ca="1">+R1</f>
        <v>44894.65816875</v>
      </c>
      <c r="S1022" s="174"/>
      <c r="T1022" s="200"/>
      <c r="U1022" s="200"/>
      <c r="V1022" s="198"/>
    </row>
    <row r="1023" spans="1:47" ht="15.75" customHeight="1" x14ac:dyDescent="0.3">
      <c r="B1023" s="399">
        <f>+A5</f>
        <v>2021</v>
      </c>
      <c r="C1023" s="395"/>
      <c r="D1023" s="395"/>
      <c r="E1023" s="395"/>
      <c r="F1023" s="395"/>
      <c r="G1023" s="395"/>
      <c r="H1023" s="395"/>
      <c r="I1023" s="395"/>
      <c r="J1023" s="395"/>
      <c r="K1023" s="395"/>
      <c r="L1023" s="395"/>
      <c r="M1023" s="395"/>
      <c r="N1023" s="395"/>
      <c r="O1023" s="395"/>
      <c r="P1023" s="395"/>
      <c r="Q1023" s="180"/>
      <c r="R1023" s="180"/>
      <c r="S1023" s="180"/>
      <c r="V1023" s="133"/>
      <c r="AC1023" s="207"/>
      <c r="AD1023" s="387" t="s">
        <v>728</v>
      </c>
      <c r="AE1023" s="393"/>
      <c r="AF1023" s="393"/>
      <c r="AG1023" s="393"/>
      <c r="AH1023" s="393"/>
      <c r="AI1023" s="393"/>
      <c r="AJ1023" s="393"/>
      <c r="AK1023" s="393"/>
      <c r="AL1023" s="393"/>
      <c r="AM1023" s="393"/>
      <c r="AN1023" s="393"/>
      <c r="AO1023" s="393"/>
      <c r="AP1023" s="393"/>
      <c r="AQ1023" s="393"/>
      <c r="AR1023" s="177" t="str">
        <f>$Q$1</f>
        <v xml:space="preserve">PRINTED:  </v>
      </c>
      <c r="AS1023" s="208">
        <f ca="1">$R$1</f>
        <v>44894.65816875</v>
      </c>
    </row>
    <row r="1024" spans="1:47" ht="15.75" customHeight="1" x14ac:dyDescent="0.3">
      <c r="B1024" s="400" t="str">
        <f>+A8</f>
        <v>Revised:  2/5/2020</v>
      </c>
      <c r="C1024" s="394"/>
      <c r="D1024" s="394"/>
      <c r="E1024" s="394"/>
      <c r="F1024" s="394"/>
      <c r="G1024" s="394"/>
      <c r="H1024" s="394"/>
      <c r="I1024" s="394"/>
      <c r="J1024" s="394"/>
      <c r="K1024" s="394"/>
      <c r="L1024" s="394"/>
      <c r="M1024" s="394"/>
      <c r="N1024" s="394"/>
      <c r="O1024" s="394"/>
      <c r="P1024" s="394"/>
      <c r="Q1024" s="180"/>
      <c r="R1024" s="180"/>
      <c r="S1024" s="180"/>
      <c r="V1024" s="133"/>
      <c r="AC1024" s="95"/>
      <c r="AD1024" s="394" t="str">
        <f>+$A$8</f>
        <v>Revised:  2/5/2020</v>
      </c>
      <c r="AE1024" s="396"/>
      <c r="AF1024" s="396"/>
      <c r="AG1024" s="396"/>
      <c r="AH1024" s="396"/>
      <c r="AI1024" s="396"/>
      <c r="AJ1024" s="396"/>
      <c r="AK1024" s="396"/>
      <c r="AL1024" s="396"/>
      <c r="AM1024" s="396"/>
      <c r="AN1024" s="396"/>
      <c r="AO1024" s="396"/>
      <c r="AP1024" s="396"/>
      <c r="AQ1024" s="396"/>
      <c r="AR1024" s="192"/>
      <c r="AS1024" s="133"/>
    </row>
    <row r="1025" spans="1:45" ht="15.75" customHeight="1" thickBot="1" x14ac:dyDescent="0.35">
      <c r="B1025" s="401" t="s">
        <v>729</v>
      </c>
      <c r="C1025" s="402"/>
      <c r="D1025" s="402"/>
      <c r="E1025" s="402"/>
      <c r="F1025" s="402"/>
      <c r="G1025" s="402"/>
      <c r="H1025" s="402"/>
      <c r="I1025" s="402"/>
      <c r="J1025" s="402"/>
      <c r="K1025" s="402"/>
      <c r="L1025" s="402"/>
      <c r="M1025" s="402"/>
      <c r="N1025" s="402"/>
      <c r="O1025" s="402"/>
      <c r="P1025" s="402"/>
      <c r="Q1025" s="180"/>
      <c r="R1025" s="180"/>
      <c r="S1025" s="195"/>
      <c r="V1025" s="133"/>
      <c r="AC1025" s="95"/>
      <c r="AD1025" s="394" t="s">
        <v>670</v>
      </c>
      <c r="AE1025" s="397"/>
      <c r="AF1025" s="397"/>
      <c r="AG1025" s="397"/>
      <c r="AH1025" s="397"/>
      <c r="AI1025" s="397"/>
      <c r="AJ1025" s="397"/>
      <c r="AK1025" s="397"/>
      <c r="AL1025" s="397"/>
      <c r="AM1025" s="397"/>
      <c r="AN1025" s="397"/>
      <c r="AO1025" s="397"/>
      <c r="AP1025" s="397"/>
      <c r="AQ1025" s="397"/>
      <c r="AS1025" s="133"/>
    </row>
    <row r="1026" spans="1:45" ht="15.75" customHeight="1" thickBot="1" x14ac:dyDescent="0.35">
      <c r="A1026" s="222"/>
      <c r="B1026" s="403" t="s">
        <v>730</v>
      </c>
      <c r="C1026" s="404"/>
      <c r="D1026" s="404"/>
      <c r="E1026" s="404"/>
      <c r="F1026" s="405"/>
      <c r="G1026" s="403" t="s">
        <v>731</v>
      </c>
      <c r="H1026" s="404"/>
      <c r="I1026" s="404"/>
      <c r="J1026" s="404"/>
      <c r="K1026" s="404"/>
      <c r="L1026" s="404"/>
      <c r="M1026" s="406" t="s">
        <v>732</v>
      </c>
      <c r="N1026" s="429"/>
      <c r="O1026" s="429"/>
      <c r="P1026" s="429"/>
      <c r="Q1026" s="429"/>
      <c r="R1026" s="430"/>
      <c r="S1026" s="403" t="s">
        <v>733</v>
      </c>
      <c r="T1026" s="431"/>
      <c r="U1026" s="432"/>
      <c r="V1026" s="133"/>
      <c r="AC1026" s="95"/>
      <c r="AS1026" s="133"/>
    </row>
    <row r="1027" spans="1:45" ht="15.75" customHeight="1" x14ac:dyDescent="0.3">
      <c r="A1027" s="222"/>
      <c r="B1027" s="189" t="s">
        <v>639</v>
      </c>
      <c r="C1027" s="182"/>
      <c r="D1027" s="182" t="s">
        <v>734</v>
      </c>
      <c r="E1027" s="182" t="s">
        <v>735</v>
      </c>
      <c r="F1027" s="224" t="s">
        <v>736</v>
      </c>
      <c r="G1027" s="189" t="s">
        <v>737</v>
      </c>
      <c r="H1027" s="182"/>
      <c r="I1027" s="182"/>
      <c r="J1027" s="182" t="s">
        <v>738</v>
      </c>
      <c r="K1027" s="182" t="s">
        <v>739</v>
      </c>
      <c r="L1027" s="182" t="s">
        <v>740</v>
      </c>
      <c r="M1027" s="446" t="s">
        <v>741</v>
      </c>
      <c r="N1027" s="447"/>
      <c r="O1027" s="448"/>
      <c r="P1027" s="226"/>
      <c r="Q1027" s="227"/>
      <c r="R1027" s="225"/>
      <c r="S1027" s="182" t="s">
        <v>742</v>
      </c>
      <c r="T1027" s="228" t="s">
        <v>743</v>
      </c>
      <c r="U1027" s="229" t="s">
        <v>744</v>
      </c>
      <c r="V1027" s="133"/>
      <c r="AC1027" s="95"/>
      <c r="AD1027" s="395">
        <f>$A$5</f>
        <v>2021</v>
      </c>
      <c r="AE1027" s="397"/>
      <c r="AF1027" s="397"/>
      <c r="AG1027" s="397"/>
      <c r="AH1027" s="397"/>
      <c r="AI1027" s="397"/>
      <c r="AJ1027" s="397"/>
      <c r="AK1027" s="397"/>
      <c r="AL1027" s="397"/>
      <c r="AM1027" s="397"/>
      <c r="AN1027" s="397"/>
      <c r="AO1027" s="397"/>
      <c r="AP1027" s="397"/>
      <c r="AQ1027" s="397"/>
      <c r="AS1027" s="133"/>
    </row>
    <row r="1028" spans="1:45" ht="15.75" customHeight="1" x14ac:dyDescent="0.3">
      <c r="A1028" s="222"/>
      <c r="B1028" s="230" t="s">
        <v>745</v>
      </c>
      <c r="C1028" s="231" t="s">
        <v>746</v>
      </c>
      <c r="D1028" s="231" t="s">
        <v>747</v>
      </c>
      <c r="E1028" s="182" t="s">
        <v>658</v>
      </c>
      <c r="F1028" s="232" t="s">
        <v>748</v>
      </c>
      <c r="G1028" s="189" t="s">
        <v>640</v>
      </c>
      <c r="H1028" s="182" t="s">
        <v>749</v>
      </c>
      <c r="I1028" s="182" t="s">
        <v>750</v>
      </c>
      <c r="J1028" s="231" t="s">
        <v>751</v>
      </c>
      <c r="K1028" s="182" t="s">
        <v>723</v>
      </c>
      <c r="L1028" s="231" t="s">
        <v>752</v>
      </c>
      <c r="M1028" s="233" t="s">
        <v>753</v>
      </c>
      <c r="N1028" s="226" t="s">
        <v>754</v>
      </c>
      <c r="O1028" s="234" t="s">
        <v>641</v>
      </c>
      <c r="P1028" s="226" t="s">
        <v>755</v>
      </c>
      <c r="Q1028" s="226" t="s">
        <v>755</v>
      </c>
      <c r="R1028" s="234" t="s">
        <v>756</v>
      </c>
      <c r="S1028" s="182" t="s">
        <v>757</v>
      </c>
      <c r="T1028" s="182" t="s">
        <v>758</v>
      </c>
      <c r="U1028" s="224" t="s">
        <v>759</v>
      </c>
      <c r="V1028" s="133"/>
      <c r="AC1028" s="95"/>
      <c r="AD1028" s="394" t="s">
        <v>717</v>
      </c>
      <c r="AE1028" s="396"/>
      <c r="AF1028" s="396"/>
      <c r="AG1028" s="396"/>
      <c r="AH1028" s="396"/>
      <c r="AI1028" s="396"/>
      <c r="AJ1028" s="396"/>
      <c r="AK1028" s="396"/>
      <c r="AL1028" s="396"/>
      <c r="AM1028" s="396"/>
      <c r="AN1028" s="396"/>
      <c r="AO1028" s="396"/>
      <c r="AP1028" s="396"/>
      <c r="AQ1028" s="396"/>
      <c r="AR1028" s="182"/>
      <c r="AS1028" s="133"/>
    </row>
    <row r="1029" spans="1:45" ht="15.75" customHeight="1" x14ac:dyDescent="0.3">
      <c r="A1029" s="222"/>
      <c r="B1029" s="235" t="s">
        <v>760</v>
      </c>
      <c r="C1029" s="215">
        <v>0</v>
      </c>
      <c r="D1029" s="215"/>
      <c r="E1029" s="182" t="s">
        <v>761</v>
      </c>
      <c r="F1029" s="236" t="s">
        <v>762</v>
      </c>
      <c r="G1029" s="189" t="s">
        <v>763</v>
      </c>
      <c r="H1029" s="182" t="s">
        <v>658</v>
      </c>
      <c r="I1029" s="182" t="s">
        <v>658</v>
      </c>
      <c r="J1029" s="182" t="s">
        <v>658</v>
      </c>
      <c r="K1029" s="182" t="s">
        <v>743</v>
      </c>
      <c r="L1029" s="182" t="s">
        <v>764</v>
      </c>
      <c r="M1029" s="237" t="s">
        <v>648</v>
      </c>
      <c r="N1029" s="227" t="s">
        <v>765</v>
      </c>
      <c r="O1029" s="234" t="s">
        <v>766</v>
      </c>
      <c r="P1029" s="227" t="s">
        <v>767</v>
      </c>
      <c r="Q1029" s="226" t="s">
        <v>767</v>
      </c>
      <c r="R1029" s="234" t="s">
        <v>766</v>
      </c>
      <c r="S1029" s="182" t="s">
        <v>658</v>
      </c>
      <c r="T1029" s="182" t="s">
        <v>658</v>
      </c>
      <c r="U1029" s="224" t="s">
        <v>658</v>
      </c>
      <c r="V1029" s="133"/>
      <c r="AC1029" s="95"/>
      <c r="AK1029" s="190"/>
      <c r="AS1029" s="133"/>
    </row>
    <row r="1030" spans="1:45" ht="15.75" customHeight="1" thickBot="1" x14ac:dyDescent="0.35">
      <c r="A1030" s="213" t="s">
        <v>768</v>
      </c>
      <c r="B1030" s="189" t="s">
        <v>705</v>
      </c>
      <c r="C1030" s="182" t="s">
        <v>705</v>
      </c>
      <c r="D1030" s="182" t="s">
        <v>705</v>
      </c>
      <c r="E1030" s="182" t="s">
        <v>705</v>
      </c>
      <c r="F1030" s="224" t="s">
        <v>705</v>
      </c>
      <c r="G1030" s="189" t="s">
        <v>705</v>
      </c>
      <c r="H1030" s="182" t="s">
        <v>705</v>
      </c>
      <c r="I1030" s="182" t="s">
        <v>705</v>
      </c>
      <c r="J1030" s="182" t="s">
        <v>705</v>
      </c>
      <c r="K1030" s="182" t="s">
        <v>705</v>
      </c>
      <c r="L1030" s="182" t="s">
        <v>705</v>
      </c>
      <c r="M1030" s="237" t="s">
        <v>705</v>
      </c>
      <c r="N1030" s="227" t="s">
        <v>705</v>
      </c>
      <c r="O1030" s="234" t="s">
        <v>705</v>
      </c>
      <c r="P1030" s="227" t="s">
        <v>365</v>
      </c>
      <c r="Q1030" s="226" t="s">
        <v>705</v>
      </c>
      <c r="R1030" s="234" t="s">
        <v>705</v>
      </c>
      <c r="S1030" s="182" t="s">
        <v>705</v>
      </c>
      <c r="T1030" s="182" t="s">
        <v>705</v>
      </c>
      <c r="U1030" s="224" t="s">
        <v>705</v>
      </c>
      <c r="V1030" s="133"/>
      <c r="AC1030" s="95"/>
      <c r="AD1030" s="191" t="s">
        <v>677</v>
      </c>
      <c r="AE1030" s="191" t="s">
        <v>678</v>
      </c>
      <c r="AF1030" s="191" t="s">
        <v>679</v>
      </c>
      <c r="AG1030" s="191" t="s">
        <v>680</v>
      </c>
      <c r="AH1030" s="191" t="s">
        <v>644</v>
      </c>
      <c r="AI1030" s="191" t="s">
        <v>681</v>
      </c>
      <c r="AJ1030" s="191" t="s">
        <v>682</v>
      </c>
      <c r="AK1030" s="191" t="s">
        <v>683</v>
      </c>
      <c r="AL1030" s="191" t="s">
        <v>684</v>
      </c>
      <c r="AM1030" s="191" t="s">
        <v>685</v>
      </c>
      <c r="AN1030" s="191" t="s">
        <v>686</v>
      </c>
      <c r="AO1030" s="191" t="s">
        <v>687</v>
      </c>
      <c r="AP1030" s="191" t="s">
        <v>688</v>
      </c>
      <c r="AQ1030" s="191" t="s">
        <v>689</v>
      </c>
      <c r="AR1030" s="191" t="s">
        <v>638</v>
      </c>
      <c r="AS1030" s="209" t="s">
        <v>641</v>
      </c>
    </row>
    <row r="1031" spans="1:45" ht="15.75" customHeight="1" x14ac:dyDescent="0.3">
      <c r="A1031" s="213" t="s">
        <v>666</v>
      </c>
      <c r="B1031" s="189" t="s">
        <v>666</v>
      </c>
      <c r="C1031" s="182" t="s">
        <v>666</v>
      </c>
      <c r="D1031" s="182" t="s">
        <v>666</v>
      </c>
      <c r="E1031" s="182" t="s">
        <v>769</v>
      </c>
      <c r="F1031" s="224" t="s">
        <v>666</v>
      </c>
      <c r="G1031" s="189" t="s">
        <v>666</v>
      </c>
      <c r="H1031" s="182" t="s">
        <v>770</v>
      </c>
      <c r="I1031" s="182" t="s">
        <v>770</v>
      </c>
      <c r="J1031" s="182" t="s">
        <v>666</v>
      </c>
      <c r="K1031" s="182" t="s">
        <v>666</v>
      </c>
      <c r="L1031" s="182" t="s">
        <v>666</v>
      </c>
      <c r="M1031" s="237" t="s">
        <v>666</v>
      </c>
      <c r="N1031" s="227" t="s">
        <v>666</v>
      </c>
      <c r="O1031" s="234" t="s">
        <v>666</v>
      </c>
      <c r="P1031" s="237" t="s">
        <v>666</v>
      </c>
      <c r="Q1031" s="227" t="s">
        <v>666</v>
      </c>
      <c r="R1031" s="234" t="s">
        <v>666</v>
      </c>
      <c r="S1031" s="182" t="s">
        <v>666</v>
      </c>
      <c r="T1031" s="182" t="s">
        <v>666</v>
      </c>
      <c r="U1031" s="224" t="s">
        <v>666</v>
      </c>
      <c r="V1031" s="133"/>
      <c r="AC1031" s="95"/>
      <c r="AD1031" s="180"/>
      <c r="AE1031" s="180"/>
      <c r="AF1031" s="180"/>
      <c r="AG1031" s="180"/>
      <c r="AH1031" s="182" t="s">
        <v>718</v>
      </c>
      <c r="AI1031" s="180"/>
      <c r="AJ1031" s="180"/>
      <c r="AK1031" s="180"/>
      <c r="AL1031" s="180"/>
      <c r="AM1031" s="180"/>
      <c r="AN1031" s="180"/>
      <c r="AO1031" s="180"/>
      <c r="AP1031" s="180"/>
      <c r="AQ1031" s="180"/>
      <c r="AR1031" s="180"/>
      <c r="AS1031" s="210"/>
    </row>
    <row r="1032" spans="1:45" ht="15.75" customHeight="1" x14ac:dyDescent="0.3">
      <c r="A1032" s="192" t="s">
        <v>8</v>
      </c>
      <c r="B1032" s="189">
        <f>ROUND(R1004-G1004,0)</f>
        <v>210052</v>
      </c>
      <c r="C1032" s="182">
        <f>+ROUND(B1032*$C$1029,0)</f>
        <v>0</v>
      </c>
      <c r="D1032" s="182">
        <f>AS1004</f>
        <v>8948</v>
      </c>
      <c r="E1032" s="182">
        <f>+B1032+C1032</f>
        <v>210052</v>
      </c>
      <c r="F1032" s="224">
        <f>(D1032+E1032)</f>
        <v>219000</v>
      </c>
      <c r="G1032" s="189">
        <f>ABS(G1004)</f>
        <v>0</v>
      </c>
      <c r="H1032" s="238">
        <v>9026</v>
      </c>
      <c r="I1032" s="238">
        <v>0</v>
      </c>
      <c r="J1032" s="182">
        <f>(H1032+I1032)</f>
        <v>9026</v>
      </c>
      <c r="K1032" s="238">
        <v>0</v>
      </c>
      <c r="L1032" s="238">
        <v>0</v>
      </c>
      <c r="M1032" s="239">
        <f>D1032+E1032-G1032-J1032-K1032-L1032</f>
        <v>209974</v>
      </c>
      <c r="N1032" s="240">
        <v>0</v>
      </c>
      <c r="O1032" s="234">
        <f>M1032+N1032</f>
        <v>209974</v>
      </c>
      <c r="P1032" s="241">
        <v>0.2</v>
      </c>
      <c r="Q1032" s="227">
        <f>-O1032*P1032</f>
        <v>-41994.8</v>
      </c>
      <c r="R1032" s="234">
        <f>O1032+Q1032</f>
        <v>167979.2</v>
      </c>
      <c r="S1032" s="242">
        <f t="shared" ref="S1032:S1043" si="370">(F1032-G1032-J1032-K1032-L1032-R1032)</f>
        <v>41994.799999999988</v>
      </c>
      <c r="T1032" s="182">
        <f>+IF(S1032&gt;=0,ABS(S1032),"")</f>
        <v>41994.799999999988</v>
      </c>
      <c r="U1032" s="224" t="str">
        <f>+IF(S1032&lt;=0,ABS(S1032),"")</f>
        <v/>
      </c>
      <c r="V1032" s="133"/>
      <c r="AC1032" s="211" t="s">
        <v>771</v>
      </c>
      <c r="AD1032" s="212"/>
      <c r="AE1032" s="212"/>
      <c r="AF1032" s="212"/>
      <c r="AG1032" s="212"/>
      <c r="AH1032" s="212">
        <v>1.6E-2</v>
      </c>
      <c r="AI1032" s="212">
        <v>1.6E-2</v>
      </c>
      <c r="AJ1032" s="212">
        <v>1.6E-2</v>
      </c>
      <c r="AK1032" s="212">
        <v>1.6E-2</v>
      </c>
      <c r="AL1032" s="212">
        <v>1.6E-2</v>
      </c>
      <c r="AM1032" s="212">
        <v>1.6E-2</v>
      </c>
      <c r="AN1032" s="212">
        <v>1.6E-2</v>
      </c>
      <c r="AO1032" s="212">
        <v>1.6E-2</v>
      </c>
      <c r="AP1032" s="212">
        <v>1.6E-2</v>
      </c>
      <c r="AQ1032" s="212">
        <v>1.6E-2</v>
      </c>
      <c r="AR1032" s="212">
        <v>1.6E-2</v>
      </c>
      <c r="AS1032" s="213"/>
    </row>
    <row r="1033" spans="1:45" ht="15.75" customHeight="1" x14ac:dyDescent="0.3">
      <c r="A1033" s="192" t="s">
        <v>9</v>
      </c>
      <c r="B1033" s="189">
        <f>ROUND(R1005-G1005,0)</f>
        <v>237928</v>
      </c>
      <c r="C1033" s="182">
        <f t="shared" ref="C1033:C1043" si="371">+ROUND(B1033*$C$1029,0)</f>
        <v>0</v>
      </c>
      <c r="D1033" s="182">
        <f t="shared" ref="D1033:D1043" si="372">AS1005</f>
        <v>10048</v>
      </c>
      <c r="E1033" s="182">
        <f t="shared" ref="E1033:E1045" si="373">+B1033+C1033</f>
        <v>237928</v>
      </c>
      <c r="F1033" s="224">
        <f t="shared" ref="F1033:F1043" si="374">(D1033+E1033)</f>
        <v>247976</v>
      </c>
      <c r="G1033" s="189">
        <f t="shared" ref="G1033:G1043" si="375">ABS(G1005)</f>
        <v>0</v>
      </c>
      <c r="H1033" s="238">
        <v>10267</v>
      </c>
      <c r="I1033" s="238">
        <v>0</v>
      </c>
      <c r="J1033" s="182">
        <f t="shared" ref="J1033:J1042" si="376">(H1033+I1033)</f>
        <v>10267</v>
      </c>
      <c r="K1033" s="238">
        <v>0</v>
      </c>
      <c r="L1033" s="238">
        <v>0</v>
      </c>
      <c r="M1033" s="239">
        <f t="shared" ref="M1033:M1043" si="377">D1033+E1033-G1033-J1033-K1033-L1033</f>
        <v>237709</v>
      </c>
      <c r="N1033" s="240">
        <v>0</v>
      </c>
      <c r="O1033" s="234">
        <f t="shared" ref="O1033:O1043" si="378">M1033+N1033</f>
        <v>237709</v>
      </c>
      <c r="P1033" s="241">
        <v>0.25</v>
      </c>
      <c r="Q1033" s="227">
        <f t="shared" ref="Q1033:Q1043" si="379">-O1033*P1033</f>
        <v>-59427.25</v>
      </c>
      <c r="R1033" s="234">
        <f t="shared" ref="R1033:R1043" si="380">O1033+Q1033</f>
        <v>178281.75</v>
      </c>
      <c r="S1033" s="242">
        <f t="shared" si="370"/>
        <v>59427.25</v>
      </c>
      <c r="T1033" s="182">
        <f t="shared" ref="T1033:T1043" si="381">+IF(S1033&gt;=0,ABS(S1033),"")</f>
        <v>59427.25</v>
      </c>
      <c r="U1033" s="224" t="str">
        <f t="shared" ref="U1033:U1043" si="382">+IF(S1033&lt;=0,ABS(S1033),"")</f>
        <v/>
      </c>
      <c r="V1033" s="133"/>
      <c r="AC1033" s="211" t="s">
        <v>720</v>
      </c>
      <c r="AD1033" s="212"/>
      <c r="AE1033" s="212"/>
      <c r="AF1033" s="212"/>
      <c r="AG1033" s="212"/>
      <c r="AH1033" s="212"/>
      <c r="AI1033" s="212"/>
      <c r="AJ1033" s="212"/>
      <c r="AK1033" s="212"/>
      <c r="AL1033" s="212"/>
      <c r="AM1033" s="212"/>
      <c r="AN1033" s="212"/>
      <c r="AO1033" s="212"/>
      <c r="AP1033" s="212"/>
      <c r="AQ1033" s="212"/>
      <c r="AR1033" s="212"/>
      <c r="AS1033" s="213"/>
    </row>
    <row r="1034" spans="1:45" ht="15.75" customHeight="1" x14ac:dyDescent="0.3">
      <c r="A1034" s="192" t="s">
        <v>10</v>
      </c>
      <c r="B1034" s="189">
        <f t="shared" ref="B1034:B1043" si="383">ROUND(R1006-G1006,0)</f>
        <v>256022</v>
      </c>
      <c r="C1034" s="182">
        <f t="shared" si="371"/>
        <v>0</v>
      </c>
      <c r="D1034" s="182">
        <f t="shared" si="372"/>
        <v>10988</v>
      </c>
      <c r="E1034" s="182">
        <f t="shared" si="373"/>
        <v>256022</v>
      </c>
      <c r="F1034" s="224">
        <f t="shared" si="374"/>
        <v>267010</v>
      </c>
      <c r="G1034" s="189">
        <f t="shared" si="375"/>
        <v>0</v>
      </c>
      <c r="H1034" s="238">
        <v>15833</v>
      </c>
      <c r="I1034" s="238">
        <v>0</v>
      </c>
      <c r="J1034" s="182">
        <f t="shared" si="376"/>
        <v>15833</v>
      </c>
      <c r="K1034" s="238">
        <v>0</v>
      </c>
      <c r="L1034" s="238">
        <v>0</v>
      </c>
      <c r="M1034" s="239">
        <f t="shared" si="377"/>
        <v>251177</v>
      </c>
      <c r="N1034" s="240">
        <v>0</v>
      </c>
      <c r="O1034" s="234">
        <f t="shared" si="378"/>
        <v>251177</v>
      </c>
      <c r="P1034" s="241">
        <v>0.3</v>
      </c>
      <c r="Q1034" s="227">
        <f t="shared" si="379"/>
        <v>-75353.099999999991</v>
      </c>
      <c r="R1034" s="234">
        <f t="shared" si="380"/>
        <v>175823.90000000002</v>
      </c>
      <c r="S1034" s="242">
        <f t="shared" si="370"/>
        <v>75353.099999999977</v>
      </c>
      <c r="T1034" s="182">
        <f t="shared" si="381"/>
        <v>75353.099999999977</v>
      </c>
      <c r="U1034" s="224" t="str">
        <f t="shared" si="382"/>
        <v/>
      </c>
      <c r="V1034" s="133"/>
      <c r="AC1034" s="211" t="s">
        <v>721</v>
      </c>
      <c r="AD1034" s="212"/>
      <c r="AE1034" s="212"/>
      <c r="AF1034" s="212"/>
      <c r="AG1034" s="212"/>
      <c r="AH1034" s="212"/>
      <c r="AI1034" s="212"/>
      <c r="AJ1034" s="212"/>
      <c r="AK1034" s="212"/>
      <c r="AL1034" s="212"/>
      <c r="AM1034" s="212"/>
      <c r="AN1034" s="212"/>
      <c r="AO1034" s="212"/>
      <c r="AP1034" s="212"/>
      <c r="AQ1034" s="212"/>
      <c r="AR1034" s="212"/>
      <c r="AS1034" s="213"/>
    </row>
    <row r="1035" spans="1:45" ht="15.75" customHeight="1" x14ac:dyDescent="0.3">
      <c r="A1035" s="192" t="s">
        <v>12</v>
      </c>
      <c r="B1035" s="189">
        <f t="shared" si="383"/>
        <v>259942</v>
      </c>
      <c r="C1035" s="182">
        <f t="shared" si="371"/>
        <v>0</v>
      </c>
      <c r="D1035" s="182">
        <f t="shared" si="372"/>
        <v>11337</v>
      </c>
      <c r="E1035" s="182">
        <f t="shared" si="373"/>
        <v>259942</v>
      </c>
      <c r="F1035" s="224">
        <f t="shared" si="374"/>
        <v>271279</v>
      </c>
      <c r="G1035" s="189">
        <f t="shared" si="375"/>
        <v>1556.4323501100207</v>
      </c>
      <c r="H1035" s="238">
        <v>15927</v>
      </c>
      <c r="I1035" s="238">
        <v>0</v>
      </c>
      <c r="J1035" s="182">
        <f t="shared" si="376"/>
        <v>15927</v>
      </c>
      <c r="K1035" s="238">
        <v>0</v>
      </c>
      <c r="L1035" s="238">
        <v>0</v>
      </c>
      <c r="M1035" s="239">
        <f t="shared" si="377"/>
        <v>253795.56764988997</v>
      </c>
      <c r="N1035" s="240">
        <v>-22320</v>
      </c>
      <c r="O1035" s="234">
        <f t="shared" si="378"/>
        <v>231475.56764988997</v>
      </c>
      <c r="P1035" s="241">
        <v>0.35</v>
      </c>
      <c r="Q1035" s="227">
        <f t="shared" si="379"/>
        <v>-81016.448677461478</v>
      </c>
      <c r="R1035" s="234">
        <f t="shared" si="380"/>
        <v>150459.11897242849</v>
      </c>
      <c r="S1035" s="242">
        <f t="shared" si="370"/>
        <v>103336.44867746148</v>
      </c>
      <c r="T1035" s="182">
        <f t="shared" si="381"/>
        <v>103336.44867746148</v>
      </c>
      <c r="U1035" s="224" t="str">
        <f t="shared" si="382"/>
        <v/>
      </c>
      <c r="V1035" s="133"/>
      <c r="AC1035" s="211" t="s">
        <v>137</v>
      </c>
      <c r="AD1035" s="212"/>
      <c r="AE1035" s="212"/>
      <c r="AF1035" s="212"/>
      <c r="AG1035" s="212"/>
      <c r="AH1035" s="212"/>
      <c r="AI1035" s="212"/>
      <c r="AJ1035" s="212"/>
      <c r="AK1035" s="212"/>
      <c r="AL1035" s="212"/>
      <c r="AM1035" s="212"/>
      <c r="AN1035" s="212"/>
      <c r="AO1035" s="212"/>
      <c r="AP1035" s="212"/>
      <c r="AQ1035" s="212"/>
      <c r="AR1035" s="212"/>
      <c r="AS1035" s="213"/>
    </row>
    <row r="1036" spans="1:45" ht="15.75" customHeight="1" x14ac:dyDescent="0.3">
      <c r="A1036" s="192" t="s">
        <v>13</v>
      </c>
      <c r="B1036" s="189">
        <f t="shared" si="383"/>
        <v>296628</v>
      </c>
      <c r="C1036" s="182">
        <f t="shared" si="371"/>
        <v>0</v>
      </c>
      <c r="D1036" s="182">
        <f t="shared" si="372"/>
        <v>13058</v>
      </c>
      <c r="E1036" s="182">
        <f t="shared" si="373"/>
        <v>296628</v>
      </c>
      <c r="F1036" s="224">
        <f t="shared" si="374"/>
        <v>309686</v>
      </c>
      <c r="G1036" s="189">
        <f t="shared" si="375"/>
        <v>0</v>
      </c>
      <c r="H1036" s="238">
        <v>14250</v>
      </c>
      <c r="I1036" s="238">
        <v>0</v>
      </c>
      <c r="J1036" s="182">
        <f t="shared" si="376"/>
        <v>14250</v>
      </c>
      <c r="K1036" s="238">
        <v>0</v>
      </c>
      <c r="L1036" s="238">
        <v>0</v>
      </c>
      <c r="M1036" s="239">
        <f t="shared" si="377"/>
        <v>295436</v>
      </c>
      <c r="N1036" s="240">
        <v>0</v>
      </c>
      <c r="O1036" s="234">
        <f t="shared" si="378"/>
        <v>295436</v>
      </c>
      <c r="P1036" s="241">
        <v>0.35</v>
      </c>
      <c r="Q1036" s="227">
        <f t="shared" si="379"/>
        <v>-103402.59999999999</v>
      </c>
      <c r="R1036" s="234">
        <f t="shared" si="380"/>
        <v>192033.40000000002</v>
      </c>
      <c r="S1036" s="242">
        <f t="shared" si="370"/>
        <v>103402.59999999998</v>
      </c>
      <c r="T1036" s="182">
        <f t="shared" si="381"/>
        <v>103402.59999999998</v>
      </c>
      <c r="U1036" s="224" t="str">
        <f t="shared" si="382"/>
        <v/>
      </c>
      <c r="V1036" s="133"/>
      <c r="AC1036" s="211" t="s">
        <v>772</v>
      </c>
      <c r="AD1036" s="212"/>
      <c r="AE1036" s="212"/>
      <c r="AF1036" s="212"/>
      <c r="AG1036" s="212"/>
      <c r="AH1036" s="212"/>
      <c r="AI1036" s="212"/>
      <c r="AJ1036" s="212">
        <v>2.5000000000000001E-2</v>
      </c>
      <c r="AK1036" s="212">
        <v>2.5000000000000001E-2</v>
      </c>
      <c r="AL1036" s="212">
        <v>2.5000000000000001E-2</v>
      </c>
      <c r="AM1036" s="212">
        <v>2.5000000000000001E-2</v>
      </c>
      <c r="AN1036" s="212">
        <v>2.5000000000000001E-2</v>
      </c>
      <c r="AO1036" s="212">
        <v>2.5000000000000001E-2</v>
      </c>
      <c r="AP1036" s="212">
        <v>2.5000000000000001E-2</v>
      </c>
      <c r="AQ1036" s="212">
        <v>2.5000000000000001E-2</v>
      </c>
      <c r="AR1036" s="212">
        <v>2.5000000000000001E-2</v>
      </c>
      <c r="AS1036" s="213"/>
    </row>
    <row r="1037" spans="1:45" ht="15.75" customHeight="1" x14ac:dyDescent="0.3">
      <c r="A1037" s="192" t="s">
        <v>14</v>
      </c>
      <c r="B1037" s="189">
        <f>ROUND(R1009-G1009,0)</f>
        <v>157600</v>
      </c>
      <c r="C1037" s="182">
        <f t="shared" si="371"/>
        <v>0</v>
      </c>
      <c r="D1037" s="182">
        <f t="shared" si="372"/>
        <v>6505</v>
      </c>
      <c r="E1037" s="182">
        <f t="shared" si="373"/>
        <v>157600</v>
      </c>
      <c r="F1037" s="224">
        <f t="shared" si="374"/>
        <v>164105</v>
      </c>
      <c r="G1037" s="189">
        <f t="shared" si="375"/>
        <v>15816.395767397118</v>
      </c>
      <c r="H1037" s="238">
        <v>12696</v>
      </c>
      <c r="I1037" s="238">
        <v>0</v>
      </c>
      <c r="J1037" s="182">
        <f t="shared" si="376"/>
        <v>12696</v>
      </c>
      <c r="K1037" s="238">
        <v>0</v>
      </c>
      <c r="L1037" s="238">
        <v>0</v>
      </c>
      <c r="M1037" s="239">
        <f t="shared" si="377"/>
        <v>135592.60423260287</v>
      </c>
      <c r="N1037" s="240">
        <v>47280</v>
      </c>
      <c r="O1037" s="234">
        <f t="shared" si="378"/>
        <v>182872.60423260287</v>
      </c>
      <c r="P1037" s="241">
        <v>7.4999999999999997E-2</v>
      </c>
      <c r="Q1037" s="227">
        <f t="shared" si="379"/>
        <v>-13715.445317445216</v>
      </c>
      <c r="R1037" s="234">
        <f t="shared" si="380"/>
        <v>169157.15891515766</v>
      </c>
      <c r="S1037" s="242">
        <f t="shared" si="370"/>
        <v>-33564.554682554794</v>
      </c>
      <c r="T1037" s="182" t="str">
        <f t="shared" si="381"/>
        <v/>
      </c>
      <c r="U1037" s="224">
        <f t="shared" si="382"/>
        <v>33564.554682554794</v>
      </c>
      <c r="V1037" s="133"/>
      <c r="AC1037" s="211" t="s">
        <v>641</v>
      </c>
      <c r="AD1037" s="215">
        <f>SUM(AD1032:AD1036)</f>
        <v>0</v>
      </c>
      <c r="AE1037" s="215">
        <f t="shared" ref="AE1037:AR1037" si="384">SUM(AE1032:AE1036)</f>
        <v>0</v>
      </c>
      <c r="AF1037" s="215">
        <f t="shared" si="384"/>
        <v>0</v>
      </c>
      <c r="AG1037" s="215">
        <f t="shared" si="384"/>
        <v>0</v>
      </c>
      <c r="AH1037" s="215">
        <f t="shared" si="384"/>
        <v>1.6E-2</v>
      </c>
      <c r="AI1037" s="215">
        <f t="shared" si="384"/>
        <v>1.6E-2</v>
      </c>
      <c r="AJ1037" s="215">
        <f t="shared" si="384"/>
        <v>4.1000000000000002E-2</v>
      </c>
      <c r="AK1037" s="215">
        <f t="shared" si="384"/>
        <v>4.1000000000000002E-2</v>
      </c>
      <c r="AL1037" s="215">
        <f t="shared" si="384"/>
        <v>4.1000000000000002E-2</v>
      </c>
      <c r="AM1037" s="215">
        <f t="shared" si="384"/>
        <v>4.1000000000000002E-2</v>
      </c>
      <c r="AN1037" s="215">
        <f t="shared" si="384"/>
        <v>4.1000000000000002E-2</v>
      </c>
      <c r="AO1037" s="215">
        <f t="shared" si="384"/>
        <v>4.1000000000000002E-2</v>
      </c>
      <c r="AP1037" s="215">
        <f t="shared" si="384"/>
        <v>4.1000000000000002E-2</v>
      </c>
      <c r="AQ1037" s="215">
        <f t="shared" si="384"/>
        <v>4.1000000000000002E-2</v>
      </c>
      <c r="AR1037" s="215">
        <f t="shared" si="384"/>
        <v>4.1000000000000002E-2</v>
      </c>
      <c r="AS1037" s="213"/>
    </row>
    <row r="1038" spans="1:45" ht="15.75" customHeight="1" x14ac:dyDescent="0.3">
      <c r="A1038" s="192" t="s">
        <v>16</v>
      </c>
      <c r="B1038" s="189">
        <f t="shared" si="383"/>
        <v>124946</v>
      </c>
      <c r="C1038" s="182">
        <f t="shared" si="371"/>
        <v>0</v>
      </c>
      <c r="D1038" s="182">
        <f t="shared" si="372"/>
        <v>4974</v>
      </c>
      <c r="E1038" s="182">
        <f t="shared" si="373"/>
        <v>124946</v>
      </c>
      <c r="F1038" s="224">
        <f t="shared" si="374"/>
        <v>129920</v>
      </c>
      <c r="G1038" s="189">
        <f t="shared" si="375"/>
        <v>14770.416820711065</v>
      </c>
      <c r="H1038" s="238">
        <v>11620</v>
      </c>
      <c r="I1038" s="238">
        <v>0</v>
      </c>
      <c r="J1038" s="182">
        <f t="shared" si="376"/>
        <v>11620</v>
      </c>
      <c r="K1038" s="238">
        <v>0</v>
      </c>
      <c r="L1038" s="238">
        <v>0</v>
      </c>
      <c r="M1038" s="239">
        <f t="shared" si="377"/>
        <v>103529.58317928894</v>
      </c>
      <c r="N1038" s="240">
        <v>47120</v>
      </c>
      <c r="O1038" s="234">
        <f t="shared" si="378"/>
        <v>150649.58317928895</v>
      </c>
      <c r="P1038" s="241">
        <v>0.05</v>
      </c>
      <c r="Q1038" s="227">
        <f t="shared" si="379"/>
        <v>-7532.4791589644483</v>
      </c>
      <c r="R1038" s="234">
        <f t="shared" si="380"/>
        <v>143117.10402032451</v>
      </c>
      <c r="S1038" s="242">
        <f t="shared" si="370"/>
        <v>-39587.52084103557</v>
      </c>
      <c r="T1038" s="182" t="str">
        <f t="shared" si="381"/>
        <v/>
      </c>
      <c r="U1038" s="224">
        <f t="shared" si="382"/>
        <v>39587.52084103557</v>
      </c>
      <c r="V1038" s="133"/>
      <c r="AC1038" s="189" t="s">
        <v>666</v>
      </c>
      <c r="AD1038" s="182" t="s">
        <v>666</v>
      </c>
      <c r="AE1038" s="182" t="s">
        <v>666</v>
      </c>
      <c r="AF1038" s="182" t="s">
        <v>666</v>
      </c>
      <c r="AG1038" s="182" t="s">
        <v>666</v>
      </c>
      <c r="AH1038" s="182" t="s">
        <v>666</v>
      </c>
      <c r="AI1038" s="182" t="s">
        <v>666</v>
      </c>
      <c r="AJ1038" s="182" t="s">
        <v>666</v>
      </c>
      <c r="AK1038" s="182" t="s">
        <v>666</v>
      </c>
      <c r="AL1038" s="182" t="s">
        <v>666</v>
      </c>
      <c r="AM1038" s="182" t="s">
        <v>666</v>
      </c>
      <c r="AN1038" s="182" t="s">
        <v>666</v>
      </c>
      <c r="AO1038" s="182" t="s">
        <v>666</v>
      </c>
      <c r="AP1038" s="182" t="s">
        <v>666</v>
      </c>
      <c r="AQ1038" s="182" t="s">
        <v>666</v>
      </c>
      <c r="AR1038" s="182" t="s">
        <v>666</v>
      </c>
      <c r="AS1038" s="213" t="s">
        <v>666</v>
      </c>
    </row>
    <row r="1039" spans="1:45" ht="15.75" customHeight="1" x14ac:dyDescent="0.3">
      <c r="A1039" s="192" t="s">
        <v>17</v>
      </c>
      <c r="B1039" s="189">
        <f t="shared" si="383"/>
        <v>119996</v>
      </c>
      <c r="C1039" s="182">
        <f t="shared" si="371"/>
        <v>0</v>
      </c>
      <c r="D1039" s="182">
        <f t="shared" si="372"/>
        <v>4841</v>
      </c>
      <c r="E1039" s="182">
        <f t="shared" si="373"/>
        <v>119996</v>
      </c>
      <c r="F1039" s="224">
        <f t="shared" si="374"/>
        <v>124837</v>
      </c>
      <c r="G1039" s="189">
        <f t="shared" si="375"/>
        <v>8094.1460558827948</v>
      </c>
      <c r="H1039" s="238">
        <v>10241</v>
      </c>
      <c r="I1039" s="238">
        <v>0</v>
      </c>
      <c r="J1039" s="182">
        <f t="shared" si="376"/>
        <v>10241</v>
      </c>
      <c r="K1039" s="238">
        <v>0</v>
      </c>
      <c r="L1039" s="238">
        <v>0</v>
      </c>
      <c r="M1039" s="239">
        <f t="shared" si="377"/>
        <v>106501.8539441172</v>
      </c>
      <c r="N1039" s="240">
        <v>58776</v>
      </c>
      <c r="O1039" s="234">
        <f t="shared" si="378"/>
        <v>165277.8539441172</v>
      </c>
      <c r="P1039" s="241">
        <v>0</v>
      </c>
      <c r="Q1039" s="227">
        <f t="shared" si="379"/>
        <v>0</v>
      </c>
      <c r="R1039" s="234">
        <f t="shared" si="380"/>
        <v>165277.8539441172</v>
      </c>
      <c r="S1039" s="242">
        <f t="shared" si="370"/>
        <v>-58776</v>
      </c>
      <c r="T1039" s="182" t="str">
        <f t="shared" si="381"/>
        <v/>
      </c>
      <c r="U1039" s="224">
        <f t="shared" si="382"/>
        <v>58776</v>
      </c>
      <c r="V1039" s="133"/>
      <c r="AC1039" s="211" t="s">
        <v>8</v>
      </c>
      <c r="AD1039" s="180">
        <f>ROUND(B1004*$AD$1037, 0)</f>
        <v>0</v>
      </c>
      <c r="AE1039" s="180">
        <f>ROUND(C1004*$AE$1037,0)</f>
        <v>0</v>
      </c>
      <c r="AF1039" s="180">
        <f>ROUND(D1004*$AF$1037,0)</f>
        <v>0</v>
      </c>
      <c r="AG1039" s="180">
        <f>ROUND(E1004*$AG$1037,0)</f>
        <v>0</v>
      </c>
      <c r="AH1039" s="180">
        <f>ROUND(F1004*$AH$1037,0)</f>
        <v>179</v>
      </c>
      <c r="AI1039" s="180">
        <f>ROUND(H1004*$AI$1037,0)</f>
        <v>59</v>
      </c>
      <c r="AJ1039" s="180">
        <f>ROUND(I1004*$AJ$1037,0)</f>
        <v>105</v>
      </c>
      <c r="AK1039" s="180">
        <f>ROUND(J1004*$AK$1037,0)</f>
        <v>162</v>
      </c>
      <c r="AL1039" s="180">
        <f>ROUND(K1004*$AL$1037,0)</f>
        <v>167</v>
      </c>
      <c r="AM1039" s="180">
        <f>ROUND(L1004*$AM$1037,0)</f>
        <v>46</v>
      </c>
      <c r="AN1039" s="180">
        <f>ROUND(M1004*$AN$1037,0)</f>
        <v>54</v>
      </c>
      <c r="AO1039" s="180">
        <f>ROUND(N1004*$AO$1037,0)</f>
        <v>108</v>
      </c>
      <c r="AP1039" s="180">
        <f>ROUND(O1004*$AP$1037,0)</f>
        <v>34</v>
      </c>
      <c r="AQ1039" s="180">
        <f>ROUND(P1004*$AQ$1037,0)</f>
        <v>53</v>
      </c>
      <c r="AR1039" s="180">
        <f>ROUND(Q1004*$AR$1037,0)</f>
        <v>80</v>
      </c>
      <c r="AS1039" s="210">
        <f>SUM(AD1039:AR1039)</f>
        <v>1047</v>
      </c>
    </row>
    <row r="1040" spans="1:45" ht="15.75" customHeight="1" x14ac:dyDescent="0.3">
      <c r="A1040" s="192" t="s">
        <v>18</v>
      </c>
      <c r="B1040" s="189">
        <f t="shared" si="383"/>
        <v>224788</v>
      </c>
      <c r="C1040" s="182">
        <f t="shared" si="371"/>
        <v>0</v>
      </c>
      <c r="D1040" s="182">
        <f t="shared" si="372"/>
        <v>9807</v>
      </c>
      <c r="E1040" s="182">
        <f t="shared" si="373"/>
        <v>224788</v>
      </c>
      <c r="F1040" s="224">
        <f t="shared" si="374"/>
        <v>234595</v>
      </c>
      <c r="G1040" s="189">
        <f t="shared" si="375"/>
        <v>0</v>
      </c>
      <c r="H1040" s="238">
        <v>10229</v>
      </c>
      <c r="I1040" s="238">
        <v>0</v>
      </c>
      <c r="J1040" s="182">
        <f t="shared" si="376"/>
        <v>10229</v>
      </c>
      <c r="K1040" s="238">
        <v>0</v>
      </c>
      <c r="L1040" s="238">
        <v>0</v>
      </c>
      <c r="M1040" s="239">
        <f t="shared" si="377"/>
        <v>224366</v>
      </c>
      <c r="N1040" s="240">
        <v>0</v>
      </c>
      <c r="O1040" s="234">
        <f t="shared" si="378"/>
        <v>224366</v>
      </c>
      <c r="P1040" s="241">
        <v>0.05</v>
      </c>
      <c r="Q1040" s="227">
        <f t="shared" si="379"/>
        <v>-11218.300000000001</v>
      </c>
      <c r="R1040" s="234">
        <f t="shared" si="380"/>
        <v>213147.7</v>
      </c>
      <c r="S1040" s="242">
        <f t="shared" si="370"/>
        <v>11218.299999999988</v>
      </c>
      <c r="T1040" s="182">
        <f t="shared" si="381"/>
        <v>11218.299999999988</v>
      </c>
      <c r="U1040" s="224" t="str">
        <f t="shared" si="382"/>
        <v/>
      </c>
      <c r="V1040" s="133"/>
      <c r="AC1040" s="211" t="s">
        <v>9</v>
      </c>
      <c r="AD1040" s="180">
        <f t="shared" ref="AD1040:AD1050" si="385">ROUND(B1005*$AD$1037, 0)</f>
        <v>0</v>
      </c>
      <c r="AE1040" s="180">
        <f t="shared" ref="AE1040:AE1050" si="386">ROUND(C1005*$AE$1037,0)</f>
        <v>0</v>
      </c>
      <c r="AF1040" s="180">
        <f t="shared" ref="AF1040:AF1050" si="387">ROUND(D1005*$AF$1037,0)</f>
        <v>0</v>
      </c>
      <c r="AG1040" s="180">
        <f t="shared" ref="AG1040:AG1050" si="388">ROUND(E1005*$AG$1037,0)</f>
        <v>0</v>
      </c>
      <c r="AH1040" s="180">
        <f t="shared" ref="AH1040:AH1050" si="389">ROUND(F1005*$AH$1037,0)</f>
        <v>197</v>
      </c>
      <c r="AI1040" s="180">
        <f t="shared" ref="AI1040:AI1050" si="390">ROUND(H1005*$AI$1037,0)</f>
        <v>83</v>
      </c>
      <c r="AJ1040" s="180">
        <f t="shared" ref="AJ1040:AJ1050" si="391">ROUND(I1005*$AJ$1037,0)</f>
        <v>152</v>
      </c>
      <c r="AK1040" s="180">
        <f t="shared" ref="AK1040:AK1050" si="392">ROUND(J1005*$AK$1037,0)</f>
        <v>235</v>
      </c>
      <c r="AL1040" s="180">
        <f t="shared" ref="AL1040:AL1050" si="393">ROUND(K1005*$AL$1037,0)</f>
        <v>237</v>
      </c>
      <c r="AM1040" s="180">
        <f t="shared" ref="AM1040:AM1050" si="394">ROUND(L1005*$AM$1037,0)</f>
        <v>77</v>
      </c>
      <c r="AN1040" s="180">
        <f t="shared" ref="AN1040:AN1050" si="395">ROUND(M1005*$AN$1037,0)</f>
        <v>90</v>
      </c>
      <c r="AO1040" s="180">
        <f t="shared" ref="AO1040:AO1050" si="396">ROUND(N1005*$AO$1037,0)</f>
        <v>174</v>
      </c>
      <c r="AP1040" s="180">
        <f t="shared" ref="AP1040:AP1050" si="397">ROUND(O1005*$AP$1037,0)</f>
        <v>34</v>
      </c>
      <c r="AQ1040" s="180">
        <f t="shared" ref="AQ1040:AQ1050" si="398">ROUND(P1005*$AQ$1037,0)</f>
        <v>53</v>
      </c>
      <c r="AR1040" s="180">
        <f t="shared" ref="AR1040:AR1050" si="399">ROUND(Q1005*$AR$1037,0)</f>
        <v>80</v>
      </c>
      <c r="AS1040" s="210">
        <f t="shared" ref="AS1040:AS1050" si="400">SUM(AD1040:AR1040)</f>
        <v>1412</v>
      </c>
    </row>
    <row r="1041" spans="1:45" ht="15.75" customHeight="1" x14ac:dyDescent="0.3">
      <c r="A1041" s="192" t="s">
        <v>20</v>
      </c>
      <c r="B1041" s="189">
        <f t="shared" si="383"/>
        <v>234327</v>
      </c>
      <c r="C1041" s="182">
        <f t="shared" si="371"/>
        <v>0</v>
      </c>
      <c r="D1041" s="182">
        <f t="shared" si="372"/>
        <v>10213</v>
      </c>
      <c r="E1041" s="182">
        <f t="shared" si="373"/>
        <v>234327</v>
      </c>
      <c r="F1041" s="224">
        <f t="shared" si="374"/>
        <v>244540</v>
      </c>
      <c r="G1041" s="189">
        <f t="shared" si="375"/>
        <v>0</v>
      </c>
      <c r="H1041" s="238">
        <v>10104</v>
      </c>
      <c r="I1041" s="238">
        <v>0</v>
      </c>
      <c r="J1041" s="182">
        <f t="shared" si="376"/>
        <v>10104</v>
      </c>
      <c r="K1041" s="238">
        <v>0</v>
      </c>
      <c r="L1041" s="238">
        <v>0</v>
      </c>
      <c r="M1041" s="239">
        <f t="shared" si="377"/>
        <v>234436</v>
      </c>
      <c r="N1041" s="240">
        <v>0</v>
      </c>
      <c r="O1041" s="234">
        <f t="shared" si="378"/>
        <v>234436</v>
      </c>
      <c r="P1041" s="241">
        <v>0.2</v>
      </c>
      <c r="Q1041" s="227">
        <f t="shared" si="379"/>
        <v>-46887.200000000004</v>
      </c>
      <c r="R1041" s="234">
        <f t="shared" si="380"/>
        <v>187548.79999999999</v>
      </c>
      <c r="S1041" s="242">
        <f t="shared" si="370"/>
        <v>46887.200000000012</v>
      </c>
      <c r="T1041" s="182">
        <f t="shared" si="381"/>
        <v>46887.200000000012</v>
      </c>
      <c r="U1041" s="224" t="str">
        <f t="shared" si="382"/>
        <v/>
      </c>
      <c r="V1041" s="133"/>
      <c r="AC1041" s="211" t="s">
        <v>10</v>
      </c>
      <c r="AD1041" s="180">
        <f t="shared" si="385"/>
        <v>0</v>
      </c>
      <c r="AE1041" s="180">
        <f t="shared" si="386"/>
        <v>0</v>
      </c>
      <c r="AF1041" s="180">
        <f t="shared" si="387"/>
        <v>0</v>
      </c>
      <c r="AG1041" s="180">
        <f t="shared" si="388"/>
        <v>0</v>
      </c>
      <c r="AH1041" s="180">
        <f t="shared" si="389"/>
        <v>102</v>
      </c>
      <c r="AI1041" s="180">
        <f t="shared" si="390"/>
        <v>127</v>
      </c>
      <c r="AJ1041" s="180">
        <f t="shared" si="391"/>
        <v>229</v>
      </c>
      <c r="AK1041" s="180">
        <f t="shared" si="392"/>
        <v>321</v>
      </c>
      <c r="AL1041" s="180">
        <f t="shared" si="393"/>
        <v>306</v>
      </c>
      <c r="AM1041" s="180">
        <f t="shared" si="394"/>
        <v>93</v>
      </c>
      <c r="AN1041" s="180">
        <f t="shared" si="395"/>
        <v>110</v>
      </c>
      <c r="AO1041" s="180">
        <f t="shared" si="396"/>
        <v>219</v>
      </c>
      <c r="AP1041" s="180">
        <f t="shared" si="397"/>
        <v>39</v>
      </c>
      <c r="AQ1041" s="180">
        <f t="shared" si="398"/>
        <v>66</v>
      </c>
      <c r="AR1041" s="180">
        <f t="shared" si="399"/>
        <v>92</v>
      </c>
      <c r="AS1041" s="210">
        <f t="shared" si="400"/>
        <v>1704</v>
      </c>
    </row>
    <row r="1042" spans="1:45" ht="15.75" customHeight="1" x14ac:dyDescent="0.3">
      <c r="A1042" s="192" t="s">
        <v>21</v>
      </c>
      <c r="B1042" s="189">
        <f t="shared" si="383"/>
        <v>220386</v>
      </c>
      <c r="C1042" s="182">
        <f t="shared" si="371"/>
        <v>0</v>
      </c>
      <c r="D1042" s="182">
        <f t="shared" si="372"/>
        <v>9515</v>
      </c>
      <c r="E1042" s="182">
        <f t="shared" si="373"/>
        <v>220386</v>
      </c>
      <c r="F1042" s="224">
        <f t="shared" si="374"/>
        <v>229901</v>
      </c>
      <c r="G1042" s="189">
        <f t="shared" si="375"/>
        <v>0</v>
      </c>
      <c r="H1042" s="238">
        <v>10826</v>
      </c>
      <c r="I1042" s="238">
        <v>0</v>
      </c>
      <c r="J1042" s="182">
        <f t="shared" si="376"/>
        <v>10826</v>
      </c>
      <c r="K1042" s="238">
        <v>0</v>
      </c>
      <c r="L1042" s="238">
        <v>0</v>
      </c>
      <c r="M1042" s="239">
        <f t="shared" si="377"/>
        <v>219075</v>
      </c>
      <c r="N1042" s="240">
        <v>0</v>
      </c>
      <c r="O1042" s="234">
        <f t="shared" si="378"/>
        <v>219075</v>
      </c>
      <c r="P1042" s="241">
        <v>0.2</v>
      </c>
      <c r="Q1042" s="227">
        <f t="shared" si="379"/>
        <v>-43815</v>
      </c>
      <c r="R1042" s="234">
        <f t="shared" si="380"/>
        <v>175260</v>
      </c>
      <c r="S1042" s="242">
        <f t="shared" si="370"/>
        <v>43815</v>
      </c>
      <c r="T1042" s="182">
        <f t="shared" si="381"/>
        <v>43815</v>
      </c>
      <c r="U1042" s="224" t="str">
        <f t="shared" si="382"/>
        <v/>
      </c>
      <c r="V1042" s="133"/>
      <c r="AC1042" s="211" t="s">
        <v>12</v>
      </c>
      <c r="AD1042" s="180">
        <f t="shared" si="385"/>
        <v>0</v>
      </c>
      <c r="AE1042" s="180">
        <f t="shared" si="386"/>
        <v>0</v>
      </c>
      <c r="AF1042" s="180">
        <f t="shared" si="387"/>
        <v>0</v>
      </c>
      <c r="AG1042" s="180">
        <f t="shared" si="388"/>
        <v>0</v>
      </c>
      <c r="AH1042" s="180">
        <f t="shared" si="389"/>
        <v>0</v>
      </c>
      <c r="AI1042" s="180">
        <f t="shared" si="390"/>
        <v>176</v>
      </c>
      <c r="AJ1042" s="180">
        <f t="shared" si="391"/>
        <v>292</v>
      </c>
      <c r="AK1042" s="180">
        <f t="shared" si="392"/>
        <v>356</v>
      </c>
      <c r="AL1042" s="180">
        <f t="shared" si="393"/>
        <v>336</v>
      </c>
      <c r="AM1042" s="180">
        <f t="shared" si="394"/>
        <v>105</v>
      </c>
      <c r="AN1042" s="180">
        <f t="shared" si="395"/>
        <v>123</v>
      </c>
      <c r="AO1042" s="180">
        <f t="shared" si="396"/>
        <v>232</v>
      </c>
      <c r="AP1042" s="180">
        <f t="shared" si="397"/>
        <v>44</v>
      </c>
      <c r="AQ1042" s="180">
        <f t="shared" si="398"/>
        <v>80</v>
      </c>
      <c r="AR1042" s="180">
        <f t="shared" si="399"/>
        <v>104</v>
      </c>
      <c r="AS1042" s="210">
        <f t="shared" si="400"/>
        <v>1848</v>
      </c>
    </row>
    <row r="1043" spans="1:45" ht="15.75" customHeight="1" x14ac:dyDescent="0.3">
      <c r="A1043" s="192" t="s">
        <v>22</v>
      </c>
      <c r="B1043" s="189">
        <f t="shared" si="383"/>
        <v>180814</v>
      </c>
      <c r="C1043" s="182">
        <f t="shared" si="371"/>
        <v>0</v>
      </c>
      <c r="D1043" s="182">
        <f t="shared" si="372"/>
        <v>7746</v>
      </c>
      <c r="E1043" s="182">
        <f t="shared" si="373"/>
        <v>180814</v>
      </c>
      <c r="F1043" s="224">
        <f t="shared" si="374"/>
        <v>188560</v>
      </c>
      <c r="G1043" s="189">
        <f t="shared" si="375"/>
        <v>0</v>
      </c>
      <c r="H1043" s="238">
        <v>6676</v>
      </c>
      <c r="I1043" s="238">
        <v>0</v>
      </c>
      <c r="J1043" s="182">
        <f>(H1043+I1043)</f>
        <v>6676</v>
      </c>
      <c r="K1043" s="238">
        <v>0</v>
      </c>
      <c r="L1043" s="238">
        <v>0</v>
      </c>
      <c r="M1043" s="239">
        <f t="shared" si="377"/>
        <v>181884</v>
      </c>
      <c r="N1043" s="240">
        <v>0</v>
      </c>
      <c r="O1043" s="234">
        <f t="shared" si="378"/>
        <v>181884</v>
      </c>
      <c r="P1043" s="241">
        <v>0.2</v>
      </c>
      <c r="Q1043" s="227">
        <f t="shared" si="379"/>
        <v>-36376.800000000003</v>
      </c>
      <c r="R1043" s="234">
        <f t="shared" si="380"/>
        <v>145507.20000000001</v>
      </c>
      <c r="S1043" s="242">
        <f t="shared" si="370"/>
        <v>36376.799999999988</v>
      </c>
      <c r="T1043" s="182">
        <f t="shared" si="381"/>
        <v>36376.799999999988</v>
      </c>
      <c r="U1043" s="224" t="str">
        <f t="shared" si="382"/>
        <v/>
      </c>
      <c r="V1043" s="133"/>
      <c r="AC1043" s="211" t="s">
        <v>13</v>
      </c>
      <c r="AD1043" s="180">
        <f t="shared" si="385"/>
        <v>0</v>
      </c>
      <c r="AE1043" s="180">
        <f t="shared" si="386"/>
        <v>0</v>
      </c>
      <c r="AF1043" s="180">
        <f t="shared" si="387"/>
        <v>0</v>
      </c>
      <c r="AG1043" s="180">
        <f t="shared" si="388"/>
        <v>0</v>
      </c>
      <c r="AH1043" s="180">
        <f t="shared" si="389"/>
        <v>0</v>
      </c>
      <c r="AI1043" s="180">
        <f t="shared" si="390"/>
        <v>187</v>
      </c>
      <c r="AJ1043" s="180">
        <f t="shared" si="391"/>
        <v>264</v>
      </c>
      <c r="AK1043" s="180">
        <f t="shared" si="392"/>
        <v>347</v>
      </c>
      <c r="AL1043" s="180">
        <f t="shared" si="393"/>
        <v>330</v>
      </c>
      <c r="AM1043" s="180">
        <f t="shared" si="394"/>
        <v>106</v>
      </c>
      <c r="AN1043" s="180">
        <f t="shared" si="395"/>
        <v>125</v>
      </c>
      <c r="AO1043" s="180">
        <f t="shared" si="396"/>
        <v>239</v>
      </c>
      <c r="AP1043" s="180">
        <f t="shared" si="397"/>
        <v>43</v>
      </c>
      <c r="AQ1043" s="180">
        <f t="shared" si="398"/>
        <v>93</v>
      </c>
      <c r="AR1043" s="180">
        <f t="shared" si="399"/>
        <v>102</v>
      </c>
      <c r="AS1043" s="210">
        <f t="shared" si="400"/>
        <v>1836</v>
      </c>
    </row>
    <row r="1044" spans="1:45" ht="15.75" customHeight="1" x14ac:dyDescent="0.3">
      <c r="A1044" s="213" t="s">
        <v>633</v>
      </c>
      <c r="B1044" s="189" t="s">
        <v>633</v>
      </c>
      <c r="C1044" s="182"/>
      <c r="D1044" s="182"/>
      <c r="E1044" s="182" t="s">
        <v>7</v>
      </c>
      <c r="F1044" s="224"/>
      <c r="G1044" s="189"/>
      <c r="H1044" s="182"/>
      <c r="I1044" s="182" t="s">
        <v>7</v>
      </c>
      <c r="J1044" s="182" t="s">
        <v>7</v>
      </c>
      <c r="K1044" s="243"/>
      <c r="L1044" s="182"/>
      <c r="M1044" s="239"/>
      <c r="N1044" s="240"/>
      <c r="O1044" s="234"/>
      <c r="P1044" s="241"/>
      <c r="Q1044" s="240"/>
      <c r="R1044" s="234"/>
      <c r="S1044" s="242"/>
      <c r="T1044" s="182"/>
      <c r="U1044" s="224"/>
      <c r="V1044" s="133"/>
      <c r="AC1044" s="211" t="s">
        <v>14</v>
      </c>
      <c r="AD1044" s="180">
        <f t="shared" si="385"/>
        <v>0</v>
      </c>
      <c r="AE1044" s="180">
        <f t="shared" si="386"/>
        <v>0</v>
      </c>
      <c r="AF1044" s="180">
        <f t="shared" si="387"/>
        <v>0</v>
      </c>
      <c r="AG1044" s="180">
        <f t="shared" si="388"/>
        <v>0</v>
      </c>
      <c r="AH1044" s="180">
        <f t="shared" si="389"/>
        <v>0</v>
      </c>
      <c r="AI1044" s="180">
        <f t="shared" si="390"/>
        <v>219</v>
      </c>
      <c r="AJ1044" s="180">
        <f t="shared" si="391"/>
        <v>334</v>
      </c>
      <c r="AK1044" s="180">
        <f t="shared" si="392"/>
        <v>336</v>
      </c>
      <c r="AL1044" s="180">
        <f t="shared" si="393"/>
        <v>287</v>
      </c>
      <c r="AM1044" s="180">
        <f t="shared" si="394"/>
        <v>94</v>
      </c>
      <c r="AN1044" s="180">
        <f t="shared" si="395"/>
        <v>111</v>
      </c>
      <c r="AO1044" s="180">
        <f t="shared" si="396"/>
        <v>215</v>
      </c>
      <c r="AP1044" s="180">
        <f t="shared" si="397"/>
        <v>43</v>
      </c>
      <c r="AQ1044" s="180">
        <f t="shared" si="398"/>
        <v>95</v>
      </c>
      <c r="AR1044" s="180">
        <f t="shared" si="399"/>
        <v>101</v>
      </c>
      <c r="AS1044" s="210">
        <f t="shared" si="400"/>
        <v>1835</v>
      </c>
    </row>
    <row r="1045" spans="1:45" ht="16.5" customHeight="1" thickBot="1" x14ac:dyDescent="0.35">
      <c r="A1045" s="244" t="s">
        <v>641</v>
      </c>
      <c r="B1045" s="204">
        <f>SUM(B1032:B1043)</f>
        <v>2523429</v>
      </c>
      <c r="C1045" s="205">
        <f>+SUM(C1032:C1043)</f>
        <v>0</v>
      </c>
      <c r="D1045" s="205">
        <f>SUM(D1032:D1043)</f>
        <v>107980</v>
      </c>
      <c r="E1045" s="205">
        <f t="shared" si="373"/>
        <v>2523429</v>
      </c>
      <c r="F1045" s="245">
        <f>SUM(F1032:F1043)</f>
        <v>2631409</v>
      </c>
      <c r="G1045" s="204">
        <f>SUM(G1032:G1043)</f>
        <v>40237.390994100999</v>
      </c>
      <c r="H1045" s="205">
        <f>SUM(H1032:H1043)</f>
        <v>137695</v>
      </c>
      <c r="I1045" s="205">
        <f>SUM(I1032:I1043)</f>
        <v>0</v>
      </c>
      <c r="J1045" s="205">
        <f>(H1045+I1045)</f>
        <v>137695</v>
      </c>
      <c r="K1045" s="205">
        <f>SUM(K1032:K1043)</f>
        <v>0</v>
      </c>
      <c r="L1045" s="205">
        <f>SUM(L1032:L1043)</f>
        <v>0</v>
      </c>
      <c r="M1045" s="246">
        <f>SUM(M1032:M1043)</f>
        <v>2453476.6090058992</v>
      </c>
      <c r="N1045" s="247">
        <f>SUM(N1032:N1043)</f>
        <v>130856</v>
      </c>
      <c r="O1045" s="248">
        <f>+M1045+N1045</f>
        <v>2584332.6090058992</v>
      </c>
      <c r="P1045" s="249">
        <f>Q1045/O1045</f>
        <v>-0.20149860793428639</v>
      </c>
      <c r="Q1045" s="250">
        <f>SUM(Q1032:Q1043)</f>
        <v>-520739.42315387115</v>
      </c>
      <c r="R1045" s="248">
        <f>SUM(R1032:R1043)</f>
        <v>2063593.1858520277</v>
      </c>
      <c r="S1045" s="251">
        <f>(F1045-G1045-J1045-K1045-L1045-R1045)</f>
        <v>389883.42315387144</v>
      </c>
      <c r="T1045" s="205">
        <f>+SUM(T1032:T1043)</f>
        <v>521811.49867746141</v>
      </c>
      <c r="U1045" s="245">
        <f>+SUM(U1032:U1043)</f>
        <v>131928.07552359038</v>
      </c>
      <c r="V1045" s="133"/>
      <c r="AC1045" s="211" t="s">
        <v>16</v>
      </c>
      <c r="AD1045" s="180">
        <f t="shared" si="385"/>
        <v>0</v>
      </c>
      <c r="AE1045" s="180">
        <f t="shared" si="386"/>
        <v>0</v>
      </c>
      <c r="AF1045" s="180">
        <f t="shared" si="387"/>
        <v>0</v>
      </c>
      <c r="AG1045" s="180">
        <f t="shared" si="388"/>
        <v>0</v>
      </c>
      <c r="AH1045" s="180">
        <f t="shared" si="389"/>
        <v>0</v>
      </c>
      <c r="AI1045" s="180">
        <f t="shared" si="390"/>
        <v>208</v>
      </c>
      <c r="AJ1045" s="180">
        <f t="shared" si="391"/>
        <v>359</v>
      </c>
      <c r="AK1045" s="180">
        <f t="shared" si="392"/>
        <v>345</v>
      </c>
      <c r="AL1045" s="180">
        <f t="shared" si="393"/>
        <v>290</v>
      </c>
      <c r="AM1045" s="180">
        <f t="shared" si="394"/>
        <v>89</v>
      </c>
      <c r="AN1045" s="180">
        <f t="shared" si="395"/>
        <v>104</v>
      </c>
      <c r="AO1045" s="180">
        <f t="shared" si="396"/>
        <v>210</v>
      </c>
      <c r="AP1045" s="180">
        <f t="shared" si="397"/>
        <v>44</v>
      </c>
      <c r="AQ1045" s="180">
        <f t="shared" si="398"/>
        <v>86</v>
      </c>
      <c r="AR1045" s="180">
        <f t="shared" si="399"/>
        <v>103</v>
      </c>
      <c r="AS1045" s="210">
        <f t="shared" si="400"/>
        <v>1838</v>
      </c>
    </row>
    <row r="1046" spans="1:45" ht="15.75" customHeight="1" x14ac:dyDescent="0.3">
      <c r="A1046" s="95"/>
      <c r="B1046" s="180"/>
      <c r="C1046" s="180"/>
      <c r="D1046" s="180"/>
      <c r="E1046" s="180"/>
      <c r="F1046" s="180" t="s">
        <v>633</v>
      </c>
      <c r="G1046" s="180"/>
      <c r="H1046" s="180"/>
      <c r="I1046" s="180"/>
      <c r="K1046" s="180"/>
      <c r="L1046" s="180"/>
      <c r="M1046" s="252"/>
      <c r="O1046" s="200"/>
      <c r="P1046" s="174"/>
      <c r="V1046" s="133"/>
      <c r="AC1046" s="211" t="s">
        <v>17</v>
      </c>
      <c r="AD1046" s="180">
        <f t="shared" si="385"/>
        <v>0</v>
      </c>
      <c r="AE1046" s="180">
        <f t="shared" si="386"/>
        <v>0</v>
      </c>
      <c r="AF1046" s="180">
        <f t="shared" si="387"/>
        <v>0</v>
      </c>
      <c r="AG1046" s="180">
        <f t="shared" si="388"/>
        <v>0</v>
      </c>
      <c r="AH1046" s="180">
        <f t="shared" si="389"/>
        <v>0</v>
      </c>
      <c r="AI1046" s="180">
        <f t="shared" si="390"/>
        <v>158</v>
      </c>
      <c r="AJ1046" s="180">
        <f t="shared" si="391"/>
        <v>285</v>
      </c>
      <c r="AK1046" s="180">
        <f t="shared" si="392"/>
        <v>324</v>
      </c>
      <c r="AL1046" s="180">
        <f t="shared" si="393"/>
        <v>287</v>
      </c>
      <c r="AM1046" s="180">
        <f t="shared" si="394"/>
        <v>88</v>
      </c>
      <c r="AN1046" s="180">
        <f t="shared" si="395"/>
        <v>104</v>
      </c>
      <c r="AO1046" s="180">
        <f t="shared" si="396"/>
        <v>208</v>
      </c>
      <c r="AP1046" s="180">
        <f t="shared" si="397"/>
        <v>44</v>
      </c>
      <c r="AQ1046" s="180">
        <f t="shared" si="398"/>
        <v>80</v>
      </c>
      <c r="AR1046" s="180">
        <f t="shared" si="399"/>
        <v>104</v>
      </c>
      <c r="AS1046" s="210">
        <f t="shared" si="400"/>
        <v>1682</v>
      </c>
    </row>
    <row r="1047" spans="1:45" ht="15.75" customHeight="1" x14ac:dyDescent="0.3">
      <c r="A1047" s="179" t="s">
        <v>773</v>
      </c>
      <c r="P1047" s="180"/>
      <c r="Q1047" s="180"/>
      <c r="R1047" s="180"/>
      <c r="V1047" s="133"/>
      <c r="AC1047" s="211" t="s">
        <v>18</v>
      </c>
      <c r="AD1047" s="180">
        <f t="shared" si="385"/>
        <v>0</v>
      </c>
      <c r="AE1047" s="180">
        <f t="shared" si="386"/>
        <v>0</v>
      </c>
      <c r="AF1047" s="180">
        <f t="shared" si="387"/>
        <v>0</v>
      </c>
      <c r="AG1047" s="180">
        <f t="shared" si="388"/>
        <v>0</v>
      </c>
      <c r="AH1047" s="180">
        <f t="shared" si="389"/>
        <v>43</v>
      </c>
      <c r="AI1047" s="180">
        <f t="shared" si="390"/>
        <v>109</v>
      </c>
      <c r="AJ1047" s="180">
        <f t="shared" si="391"/>
        <v>174</v>
      </c>
      <c r="AK1047" s="180">
        <f t="shared" si="392"/>
        <v>258</v>
      </c>
      <c r="AL1047" s="180">
        <f t="shared" si="393"/>
        <v>250</v>
      </c>
      <c r="AM1047" s="180">
        <f t="shared" si="394"/>
        <v>82</v>
      </c>
      <c r="AN1047" s="180">
        <f t="shared" si="395"/>
        <v>97</v>
      </c>
      <c r="AO1047" s="180">
        <f t="shared" si="396"/>
        <v>194</v>
      </c>
      <c r="AP1047" s="180">
        <f t="shared" si="397"/>
        <v>35</v>
      </c>
      <c r="AQ1047" s="180">
        <f t="shared" si="398"/>
        <v>73</v>
      </c>
      <c r="AR1047" s="180">
        <f t="shared" si="399"/>
        <v>84</v>
      </c>
      <c r="AS1047" s="210">
        <f t="shared" si="400"/>
        <v>1399</v>
      </c>
    </row>
    <row r="1048" spans="1:45" ht="15.75" customHeight="1" x14ac:dyDescent="0.3">
      <c r="A1048" s="179" t="s">
        <v>774</v>
      </c>
      <c r="D1048" s="180"/>
      <c r="E1048" s="180"/>
      <c r="F1048" s="180"/>
      <c r="G1048" s="180"/>
      <c r="H1048" s="180"/>
      <c r="I1048" s="180"/>
      <c r="J1048" s="180"/>
      <c r="K1048" s="180"/>
      <c r="L1048" s="180"/>
      <c r="M1048" s="180"/>
      <c r="N1048" s="180"/>
      <c r="O1048" s="180"/>
      <c r="P1048" s="180"/>
      <c r="Q1048" s="180"/>
      <c r="R1048" s="180"/>
      <c r="V1048" s="133"/>
      <c r="AC1048" s="211" t="s">
        <v>20</v>
      </c>
      <c r="AD1048" s="180">
        <f t="shared" si="385"/>
        <v>0</v>
      </c>
      <c r="AE1048" s="180">
        <f t="shared" si="386"/>
        <v>0</v>
      </c>
      <c r="AF1048" s="180">
        <f t="shared" si="387"/>
        <v>0</v>
      </c>
      <c r="AG1048" s="180">
        <f t="shared" si="388"/>
        <v>0</v>
      </c>
      <c r="AH1048" s="180">
        <f t="shared" si="389"/>
        <v>163</v>
      </c>
      <c r="AI1048" s="180">
        <f t="shared" si="390"/>
        <v>75</v>
      </c>
      <c r="AJ1048" s="180">
        <f t="shared" si="391"/>
        <v>77</v>
      </c>
      <c r="AK1048" s="180">
        <f t="shared" si="392"/>
        <v>114</v>
      </c>
      <c r="AL1048" s="180">
        <f t="shared" si="393"/>
        <v>108</v>
      </c>
      <c r="AM1048" s="180">
        <f t="shared" si="394"/>
        <v>35</v>
      </c>
      <c r="AN1048" s="180">
        <f t="shared" si="395"/>
        <v>41</v>
      </c>
      <c r="AO1048" s="180">
        <f t="shared" si="396"/>
        <v>77</v>
      </c>
      <c r="AP1048" s="180">
        <f t="shared" si="397"/>
        <v>18</v>
      </c>
      <c r="AQ1048" s="180">
        <f t="shared" si="398"/>
        <v>66</v>
      </c>
      <c r="AR1048" s="180">
        <f t="shared" si="399"/>
        <v>43</v>
      </c>
      <c r="AS1048" s="210">
        <f t="shared" si="400"/>
        <v>817</v>
      </c>
    </row>
    <row r="1049" spans="1:45" ht="15.75" customHeight="1" x14ac:dyDescent="0.3">
      <c r="A1049" s="179" t="s">
        <v>775</v>
      </c>
      <c r="D1049" s="180"/>
      <c r="E1049" s="180"/>
      <c r="F1049" s="180"/>
      <c r="G1049" s="180"/>
      <c r="H1049" s="180"/>
      <c r="I1049" s="180"/>
      <c r="J1049" s="180"/>
      <c r="K1049" s="180"/>
      <c r="L1049" s="180"/>
      <c r="M1049" s="180"/>
      <c r="N1049" s="180"/>
      <c r="O1049" s="180"/>
      <c r="P1049" s="180"/>
      <c r="Q1049" s="180"/>
      <c r="R1049" s="180"/>
      <c r="V1049" s="133"/>
      <c r="AC1049" s="211" t="s">
        <v>21</v>
      </c>
      <c r="AD1049" s="180">
        <f t="shared" si="385"/>
        <v>0</v>
      </c>
      <c r="AE1049" s="180">
        <f t="shared" si="386"/>
        <v>0</v>
      </c>
      <c r="AF1049" s="180">
        <f t="shared" si="387"/>
        <v>0</v>
      </c>
      <c r="AG1049" s="180">
        <f t="shared" si="388"/>
        <v>0</v>
      </c>
      <c r="AH1049" s="180">
        <f t="shared" si="389"/>
        <v>242</v>
      </c>
      <c r="AI1049" s="180">
        <f t="shared" si="390"/>
        <v>38</v>
      </c>
      <c r="AJ1049" s="180">
        <f t="shared" si="391"/>
        <v>25</v>
      </c>
      <c r="AK1049" s="180">
        <f t="shared" si="392"/>
        <v>31</v>
      </c>
      <c r="AL1049" s="180">
        <f t="shared" si="393"/>
        <v>31</v>
      </c>
      <c r="AM1049" s="180">
        <f t="shared" si="394"/>
        <v>8</v>
      </c>
      <c r="AN1049" s="180">
        <f t="shared" si="395"/>
        <v>10</v>
      </c>
      <c r="AO1049" s="180">
        <f t="shared" si="396"/>
        <v>18</v>
      </c>
      <c r="AP1049" s="180">
        <f t="shared" si="397"/>
        <v>12</v>
      </c>
      <c r="AQ1049" s="180">
        <f t="shared" si="398"/>
        <v>60</v>
      </c>
      <c r="AR1049" s="180">
        <f t="shared" si="399"/>
        <v>29</v>
      </c>
      <c r="AS1049" s="210">
        <f t="shared" si="400"/>
        <v>504</v>
      </c>
    </row>
    <row r="1050" spans="1:45" ht="15.75" customHeight="1" thickBot="1" x14ac:dyDescent="0.35">
      <c r="A1050" s="194" t="s">
        <v>776</v>
      </c>
      <c r="B1050" s="135"/>
      <c r="C1050" s="135"/>
      <c r="D1050" s="195"/>
      <c r="E1050" s="195"/>
      <c r="F1050" s="195"/>
      <c r="G1050" s="195"/>
      <c r="H1050" s="195"/>
      <c r="I1050" s="195"/>
      <c r="J1050" s="195"/>
      <c r="K1050" s="195"/>
      <c r="L1050" s="195"/>
      <c r="M1050" s="195"/>
      <c r="N1050" s="195"/>
      <c r="O1050" s="195"/>
      <c r="P1050" s="195"/>
      <c r="Q1050" s="195"/>
      <c r="R1050" s="195"/>
      <c r="S1050" s="135"/>
      <c r="T1050" s="135"/>
      <c r="U1050" s="135"/>
      <c r="V1050" s="136"/>
      <c r="AC1050" s="211" t="s">
        <v>22</v>
      </c>
      <c r="AD1050" s="180">
        <f t="shared" si="385"/>
        <v>0</v>
      </c>
      <c r="AE1050" s="180">
        <f t="shared" si="386"/>
        <v>0</v>
      </c>
      <c r="AF1050" s="180">
        <f t="shared" si="387"/>
        <v>0</v>
      </c>
      <c r="AG1050" s="180">
        <f t="shared" si="388"/>
        <v>0</v>
      </c>
      <c r="AH1050" s="180">
        <f t="shared" si="389"/>
        <v>154</v>
      </c>
      <c r="AI1050" s="180">
        <f t="shared" si="390"/>
        <v>49</v>
      </c>
      <c r="AJ1050" s="180">
        <f t="shared" si="391"/>
        <v>73</v>
      </c>
      <c r="AK1050" s="180">
        <f t="shared" si="392"/>
        <v>107</v>
      </c>
      <c r="AL1050" s="180">
        <f t="shared" si="393"/>
        <v>105</v>
      </c>
      <c r="AM1050" s="180">
        <f t="shared" si="394"/>
        <v>39</v>
      </c>
      <c r="AN1050" s="180">
        <f t="shared" si="395"/>
        <v>46</v>
      </c>
      <c r="AO1050" s="180">
        <f t="shared" si="396"/>
        <v>92</v>
      </c>
      <c r="AP1050" s="180">
        <f t="shared" si="397"/>
        <v>24</v>
      </c>
      <c r="AQ1050" s="180">
        <f t="shared" si="398"/>
        <v>53</v>
      </c>
      <c r="AR1050" s="180">
        <f t="shared" si="399"/>
        <v>57</v>
      </c>
      <c r="AS1050" s="210">
        <f t="shared" si="400"/>
        <v>799</v>
      </c>
    </row>
    <row r="1051" spans="1:45" ht="15.75" customHeight="1" thickBot="1" x14ac:dyDescent="0.35">
      <c r="A1051" s="179"/>
      <c r="D1051" s="180"/>
      <c r="E1051" s="180"/>
      <c r="F1051" s="180"/>
      <c r="G1051" s="180"/>
      <c r="H1051" s="180"/>
      <c r="I1051" s="180"/>
      <c r="J1051" s="180"/>
      <c r="K1051" s="180"/>
      <c r="L1051" s="180"/>
      <c r="M1051" s="180"/>
      <c r="N1051" s="180"/>
      <c r="O1051" s="180"/>
      <c r="P1051" s="180"/>
      <c r="Q1051" s="180"/>
      <c r="R1051" s="180"/>
      <c r="S1051" s="200"/>
      <c r="V1051" s="223"/>
      <c r="AC1051" s="95"/>
      <c r="AD1051" s="180"/>
      <c r="AE1051" s="180"/>
      <c r="AF1051" s="180"/>
      <c r="AG1051" s="180"/>
      <c r="AH1051" s="180"/>
      <c r="AI1051" s="180"/>
      <c r="AJ1051" s="180"/>
      <c r="AK1051" s="180"/>
      <c r="AL1051" s="180"/>
      <c r="AM1051" s="180"/>
      <c r="AN1051" s="180"/>
      <c r="AO1051" s="180"/>
      <c r="AP1051" s="180"/>
      <c r="AQ1051" s="180"/>
      <c r="AR1051" s="180"/>
      <c r="AS1051" s="210"/>
    </row>
    <row r="1052" spans="1:45" ht="15.75" customHeight="1" thickBot="1" x14ac:dyDescent="0.35">
      <c r="A1052" s="192"/>
      <c r="B1052" s="412" t="s">
        <v>777</v>
      </c>
      <c r="C1052" s="413"/>
      <c r="D1052" s="413"/>
      <c r="E1052" s="413"/>
      <c r="F1052" s="413"/>
      <c r="G1052" s="413"/>
      <c r="H1052" s="413"/>
      <c r="I1052" s="413"/>
      <c r="J1052" s="413"/>
      <c r="K1052" s="413"/>
      <c r="L1052" s="413"/>
      <c r="M1052" s="413"/>
      <c r="N1052" s="413"/>
      <c r="O1052" s="413"/>
      <c r="P1052" s="413"/>
      <c r="Q1052" s="174"/>
      <c r="R1052" s="174"/>
      <c r="S1052" s="223"/>
      <c r="T1052" s="200"/>
      <c r="U1052" s="200"/>
      <c r="V1052" s="198"/>
      <c r="AC1052" s="220" t="s">
        <v>641</v>
      </c>
      <c r="AD1052" s="195">
        <f>SUM(AD1039:AD1050)</f>
        <v>0</v>
      </c>
      <c r="AE1052" s="195">
        <f t="shared" ref="AE1052:AS1052" si="401">SUM(AE1039:AE1050)</f>
        <v>0</v>
      </c>
      <c r="AF1052" s="195">
        <f t="shared" si="401"/>
        <v>0</v>
      </c>
      <c r="AG1052" s="195">
        <f t="shared" si="401"/>
        <v>0</v>
      </c>
      <c r="AH1052" s="195">
        <f t="shared" si="401"/>
        <v>1080</v>
      </c>
      <c r="AI1052" s="195">
        <f t="shared" si="401"/>
        <v>1488</v>
      </c>
      <c r="AJ1052" s="195">
        <f t="shared" si="401"/>
        <v>2369</v>
      </c>
      <c r="AK1052" s="195">
        <f t="shared" si="401"/>
        <v>2936</v>
      </c>
      <c r="AL1052" s="195">
        <f t="shared" si="401"/>
        <v>2734</v>
      </c>
      <c r="AM1052" s="195">
        <f t="shared" si="401"/>
        <v>862</v>
      </c>
      <c r="AN1052" s="195">
        <f t="shared" si="401"/>
        <v>1015</v>
      </c>
      <c r="AO1052" s="195">
        <f t="shared" si="401"/>
        <v>1986</v>
      </c>
      <c r="AP1052" s="195">
        <f t="shared" si="401"/>
        <v>414</v>
      </c>
      <c r="AQ1052" s="195">
        <f t="shared" si="401"/>
        <v>858</v>
      </c>
      <c r="AR1052" s="195">
        <f t="shared" si="401"/>
        <v>979</v>
      </c>
      <c r="AS1052" s="221">
        <f t="shared" si="401"/>
        <v>16721</v>
      </c>
    </row>
    <row r="1053" spans="1:45" ht="15.75" customHeight="1" thickBot="1" x14ac:dyDescent="0.35">
      <c r="A1053" s="192"/>
      <c r="B1053" s="403" t="s">
        <v>730</v>
      </c>
      <c r="C1053" s="404"/>
      <c r="D1053" s="404"/>
      <c r="E1053" s="404"/>
      <c r="F1053" s="405"/>
      <c r="G1053" s="403" t="s">
        <v>731</v>
      </c>
      <c r="H1053" s="404"/>
      <c r="I1053" s="404"/>
      <c r="J1053" s="404"/>
      <c r="K1053" s="404"/>
      <c r="L1053" s="404"/>
      <c r="M1053" s="406" t="s">
        <v>732</v>
      </c>
      <c r="N1053" s="407"/>
      <c r="O1053" s="407"/>
      <c r="P1053" s="429"/>
      <c r="Q1053" s="429"/>
      <c r="R1053" s="430"/>
      <c r="S1053" s="403" t="s">
        <v>733</v>
      </c>
      <c r="T1053" s="431"/>
      <c r="U1053" s="432"/>
      <c r="V1053" s="133"/>
    </row>
    <row r="1054" spans="1:45" ht="15.75" customHeight="1" x14ac:dyDescent="0.3">
      <c r="A1054" s="213"/>
      <c r="B1054" s="189" t="s">
        <v>639</v>
      </c>
      <c r="C1054" s="182"/>
      <c r="D1054" s="182" t="s">
        <v>734</v>
      </c>
      <c r="E1054" s="182" t="s">
        <v>735</v>
      </c>
      <c r="F1054" s="224" t="s">
        <v>736</v>
      </c>
      <c r="G1054" s="189" t="s">
        <v>737</v>
      </c>
      <c r="H1054" s="182"/>
      <c r="I1054" s="182"/>
      <c r="J1054" s="182" t="s">
        <v>738</v>
      </c>
      <c r="K1054" s="182" t="s">
        <v>739</v>
      </c>
      <c r="L1054" s="182" t="s">
        <v>740</v>
      </c>
      <c r="M1054" s="409" t="str">
        <f>+M1027</f>
        <v>(NE)* per WAPA</v>
      </c>
      <c r="N1054" s="410"/>
      <c r="O1054" s="410"/>
      <c r="P1054" s="253"/>
      <c r="Q1054" s="227"/>
      <c r="R1054" s="234"/>
      <c r="S1054" s="189" t="s">
        <v>742</v>
      </c>
      <c r="T1054" s="228" t="s">
        <v>743</v>
      </c>
      <c r="U1054" s="229" t="s">
        <v>744</v>
      </c>
      <c r="V1054" s="133"/>
    </row>
    <row r="1055" spans="1:45" ht="15.75" customHeight="1" x14ac:dyDescent="0.3">
      <c r="A1055" s="213"/>
      <c r="B1055" s="230" t="s">
        <v>745</v>
      </c>
      <c r="C1055" s="231" t="s">
        <v>746</v>
      </c>
      <c r="D1055" s="231" t="s">
        <v>747</v>
      </c>
      <c r="E1055" s="182" t="s">
        <v>658</v>
      </c>
      <c r="F1055" s="232" t="s">
        <v>748</v>
      </c>
      <c r="G1055" s="189" t="s">
        <v>640</v>
      </c>
      <c r="H1055" s="182" t="s">
        <v>749</v>
      </c>
      <c r="I1055" s="182" t="s">
        <v>750</v>
      </c>
      <c r="J1055" s="231" t="s">
        <v>751</v>
      </c>
      <c r="K1055" s="182" t="s">
        <v>723</v>
      </c>
      <c r="L1055" s="231" t="s">
        <v>752</v>
      </c>
      <c r="M1055" s="233" t="s">
        <v>753</v>
      </c>
      <c r="N1055" s="226" t="s">
        <v>754</v>
      </c>
      <c r="O1055" s="227" t="s">
        <v>641</v>
      </c>
      <c r="P1055" s="233" t="s">
        <v>755</v>
      </c>
      <c r="Q1055" s="226" t="s">
        <v>755</v>
      </c>
      <c r="R1055" s="234" t="s">
        <v>756</v>
      </c>
      <c r="S1055" s="189" t="s">
        <v>757</v>
      </c>
      <c r="T1055" s="182" t="s">
        <v>758</v>
      </c>
      <c r="U1055" s="224" t="s">
        <v>759</v>
      </c>
      <c r="V1055" s="133"/>
    </row>
    <row r="1056" spans="1:45" ht="15.75" customHeight="1" x14ac:dyDescent="0.3">
      <c r="A1056" s="213"/>
      <c r="B1056" s="235" t="s">
        <v>760</v>
      </c>
      <c r="C1056" s="215">
        <v>5.0000000000000001E-3</v>
      </c>
      <c r="D1056" s="215">
        <v>4.2999999999999997E-2</v>
      </c>
      <c r="E1056" s="182" t="s">
        <v>761</v>
      </c>
      <c r="F1056" s="236" t="s">
        <v>762</v>
      </c>
      <c r="G1056" s="189" t="s">
        <v>763</v>
      </c>
      <c r="H1056" s="182" t="s">
        <v>658</v>
      </c>
      <c r="I1056" s="182" t="s">
        <v>658</v>
      </c>
      <c r="J1056" s="182" t="s">
        <v>658</v>
      </c>
      <c r="K1056" s="182" t="s">
        <v>743</v>
      </c>
      <c r="L1056" s="182" t="s">
        <v>764</v>
      </c>
      <c r="M1056" s="237" t="s">
        <v>648</v>
      </c>
      <c r="N1056" s="227" t="s">
        <v>765</v>
      </c>
      <c r="O1056" s="227" t="s">
        <v>766</v>
      </c>
      <c r="P1056" s="237" t="s">
        <v>767</v>
      </c>
      <c r="Q1056" s="226" t="s">
        <v>767</v>
      </c>
      <c r="R1056" s="234" t="s">
        <v>766</v>
      </c>
      <c r="S1056" s="189" t="s">
        <v>658</v>
      </c>
      <c r="T1056" s="182" t="s">
        <v>658</v>
      </c>
      <c r="U1056" s="224" t="s">
        <v>658</v>
      </c>
      <c r="V1056" s="133"/>
    </row>
    <row r="1057" spans="1:22" ht="15.75" customHeight="1" x14ac:dyDescent="0.3">
      <c r="A1057" s="213" t="s">
        <v>768</v>
      </c>
      <c r="B1057" s="189" t="s">
        <v>778</v>
      </c>
      <c r="C1057" s="182" t="s">
        <v>778</v>
      </c>
      <c r="D1057" s="182" t="s">
        <v>778</v>
      </c>
      <c r="E1057" s="182" t="s">
        <v>778</v>
      </c>
      <c r="F1057" s="182" t="s">
        <v>778</v>
      </c>
      <c r="G1057" s="189" t="s">
        <v>778</v>
      </c>
      <c r="H1057" s="182" t="s">
        <v>778</v>
      </c>
      <c r="I1057" s="182" t="s">
        <v>778</v>
      </c>
      <c r="J1057" s="182" t="s">
        <v>778</v>
      </c>
      <c r="K1057" s="182" t="s">
        <v>778</v>
      </c>
      <c r="L1057" s="182" t="s">
        <v>778</v>
      </c>
      <c r="M1057" s="237" t="s">
        <v>778</v>
      </c>
      <c r="N1057" s="227" t="s">
        <v>779</v>
      </c>
      <c r="O1057" s="227" t="s">
        <v>778</v>
      </c>
      <c r="P1057" s="237" t="s">
        <v>365</v>
      </c>
      <c r="Q1057" s="226" t="s">
        <v>705</v>
      </c>
      <c r="R1057" s="234" t="s">
        <v>705</v>
      </c>
      <c r="S1057" s="189" t="s">
        <v>778</v>
      </c>
      <c r="T1057" s="182" t="s">
        <v>778</v>
      </c>
      <c r="U1057" s="224" t="s">
        <v>778</v>
      </c>
      <c r="V1057" s="133"/>
    </row>
    <row r="1058" spans="1:22" ht="15.75" customHeight="1" x14ac:dyDescent="0.3">
      <c r="A1058" s="213" t="s">
        <v>666</v>
      </c>
      <c r="B1058" s="189" t="s">
        <v>666</v>
      </c>
      <c r="C1058" s="182" t="s">
        <v>666</v>
      </c>
      <c r="D1058" s="182" t="s">
        <v>666</v>
      </c>
      <c r="E1058" s="182" t="s">
        <v>769</v>
      </c>
      <c r="F1058" s="224" t="s">
        <v>666</v>
      </c>
      <c r="G1058" s="189" t="s">
        <v>666</v>
      </c>
      <c r="H1058" s="182" t="s">
        <v>770</v>
      </c>
      <c r="I1058" s="182" t="s">
        <v>770</v>
      </c>
      <c r="J1058" s="182" t="s">
        <v>666</v>
      </c>
      <c r="K1058" s="182" t="s">
        <v>666</v>
      </c>
      <c r="L1058" s="182" t="s">
        <v>666</v>
      </c>
      <c r="M1058" s="237" t="s">
        <v>666</v>
      </c>
      <c r="N1058" s="227" t="s">
        <v>666</v>
      </c>
      <c r="O1058" s="227" t="s">
        <v>666</v>
      </c>
      <c r="P1058" s="237" t="s">
        <v>666</v>
      </c>
      <c r="Q1058" s="227" t="s">
        <v>666</v>
      </c>
      <c r="R1058" s="234" t="s">
        <v>666</v>
      </c>
      <c r="S1058" s="189" t="s">
        <v>666</v>
      </c>
      <c r="T1058" s="182" t="s">
        <v>666</v>
      </c>
      <c r="U1058" s="224" t="s">
        <v>666</v>
      </c>
      <c r="V1058" s="133"/>
    </row>
    <row r="1059" spans="1:22" ht="15.75" customHeight="1" x14ac:dyDescent="0.3">
      <c r="A1059" s="192" t="s">
        <v>8</v>
      </c>
      <c r="B1059" s="189">
        <f>+B1032/($B$10*24)</f>
        <v>282.3279569892473</v>
      </c>
      <c r="C1059" s="182">
        <f t="shared" ref="C1059:L1059" si="402">+C1032/($B$10*24)</f>
        <v>0</v>
      </c>
      <c r="D1059" s="182">
        <f t="shared" si="402"/>
        <v>12.026881720430108</v>
      </c>
      <c r="E1059" s="182">
        <f t="shared" si="402"/>
        <v>282.3279569892473</v>
      </c>
      <c r="F1059" s="224">
        <f t="shared" si="402"/>
        <v>294.35483870967744</v>
      </c>
      <c r="G1059" s="182">
        <f t="shared" si="402"/>
        <v>0</v>
      </c>
      <c r="H1059" s="182">
        <f t="shared" si="402"/>
        <v>12.131720430107526</v>
      </c>
      <c r="I1059" s="182">
        <f t="shared" si="402"/>
        <v>0</v>
      </c>
      <c r="J1059" s="182">
        <f t="shared" si="402"/>
        <v>12.131720430107526</v>
      </c>
      <c r="K1059" s="182">
        <f t="shared" si="402"/>
        <v>0</v>
      </c>
      <c r="L1059" s="182">
        <f t="shared" si="402"/>
        <v>0</v>
      </c>
      <c r="M1059" s="237">
        <f>+M1032/($B$10*24)</f>
        <v>282.22311827956992</v>
      </c>
      <c r="N1059" s="227">
        <f t="shared" ref="N1059" si="403">+N1032/($B$10*24)</f>
        <v>0</v>
      </c>
      <c r="O1059" s="227">
        <f>+O1032/($B$10*24)</f>
        <v>282.22311827956992</v>
      </c>
      <c r="P1059" s="254">
        <f>P1032</f>
        <v>0.2</v>
      </c>
      <c r="Q1059" s="227">
        <f>-O1059*P1059</f>
        <v>-56.444623655913986</v>
      </c>
      <c r="R1059" s="234">
        <f>O1059+Q1059</f>
        <v>225.77849462365594</v>
      </c>
      <c r="S1059" s="255">
        <f>+S1032/($B$10*24)</f>
        <v>56.444623655913965</v>
      </c>
      <c r="T1059" s="182">
        <f>+IF(S1059&gt;=0,ABS(S1059),"")</f>
        <v>56.444623655913965</v>
      </c>
      <c r="U1059" s="224" t="str">
        <f>+IF(S1059&lt;=0,ABS(S1059),"")</f>
        <v/>
      </c>
      <c r="V1059" s="133"/>
    </row>
    <row r="1060" spans="1:22" ht="15.75" customHeight="1" x14ac:dyDescent="0.3">
      <c r="A1060" s="192" t="s">
        <v>9</v>
      </c>
      <c r="B1060" s="189">
        <f>+B1033/($C$10*24)</f>
        <v>354.0595238095238</v>
      </c>
      <c r="C1060" s="182">
        <f t="shared" ref="C1060:N1060" si="404">+C1033/($C$10*24)</f>
        <v>0</v>
      </c>
      <c r="D1060" s="182">
        <f t="shared" si="404"/>
        <v>14.952380952380953</v>
      </c>
      <c r="E1060" s="182">
        <f t="shared" si="404"/>
        <v>354.0595238095238</v>
      </c>
      <c r="F1060" s="224">
        <f t="shared" si="404"/>
        <v>369.01190476190476</v>
      </c>
      <c r="G1060" s="182">
        <f t="shared" si="404"/>
        <v>0</v>
      </c>
      <c r="H1060" s="182">
        <f t="shared" si="404"/>
        <v>15.27827380952381</v>
      </c>
      <c r="I1060" s="182">
        <f t="shared" si="404"/>
        <v>0</v>
      </c>
      <c r="J1060" s="182">
        <f t="shared" si="404"/>
        <v>15.27827380952381</v>
      </c>
      <c r="K1060" s="182">
        <f t="shared" si="404"/>
        <v>0</v>
      </c>
      <c r="L1060" s="182">
        <f t="shared" si="404"/>
        <v>0</v>
      </c>
      <c r="M1060" s="237">
        <f t="shared" si="404"/>
        <v>353.73363095238096</v>
      </c>
      <c r="N1060" s="227">
        <f t="shared" si="404"/>
        <v>0</v>
      </c>
      <c r="O1060" s="227">
        <f t="shared" ref="O1060:O1070" si="405">+O1033/($B$10*24)</f>
        <v>319.5013440860215</v>
      </c>
      <c r="P1060" s="254">
        <f t="shared" ref="P1060:P1070" si="406">P1033</f>
        <v>0.25</v>
      </c>
      <c r="Q1060" s="227">
        <f t="shared" ref="Q1060:Q1070" si="407">-O1060*P1060</f>
        <v>-79.875336021505376</v>
      </c>
      <c r="R1060" s="234">
        <f t="shared" ref="R1060:R1070" si="408">O1060+Q1060</f>
        <v>239.62600806451613</v>
      </c>
      <c r="S1060" s="255">
        <f>+S1033/($C$10*24)</f>
        <v>88.433407738095241</v>
      </c>
      <c r="T1060" s="182">
        <f t="shared" ref="T1060:T1070" si="409">+IF(S1060&gt;=0,ABS(S1060),"")</f>
        <v>88.433407738095241</v>
      </c>
      <c r="U1060" s="224" t="str">
        <f t="shared" ref="U1060:U1070" si="410">+IF(S1060&lt;=0,ABS(S1060),"")</f>
        <v/>
      </c>
      <c r="V1060" s="133"/>
    </row>
    <row r="1061" spans="1:22" ht="15.75" customHeight="1" x14ac:dyDescent="0.3">
      <c r="A1061" s="192" t="s">
        <v>10</v>
      </c>
      <c r="B1061" s="189">
        <f>+B1034/($D$10*24)</f>
        <v>344.11559139784947</v>
      </c>
      <c r="C1061" s="182">
        <f t="shared" ref="C1061:N1061" si="411">+C1034/($D$10*24)</f>
        <v>0</v>
      </c>
      <c r="D1061" s="182">
        <f t="shared" si="411"/>
        <v>14.768817204301076</v>
      </c>
      <c r="E1061" s="182">
        <f t="shared" si="411"/>
        <v>344.11559139784947</v>
      </c>
      <c r="F1061" s="224">
        <f t="shared" si="411"/>
        <v>358.88440860215053</v>
      </c>
      <c r="G1061" s="182">
        <f t="shared" si="411"/>
        <v>0</v>
      </c>
      <c r="H1061" s="182">
        <f>+H1034/($D$10*24)</f>
        <v>21.280913978494624</v>
      </c>
      <c r="I1061" s="182">
        <f t="shared" si="411"/>
        <v>0</v>
      </c>
      <c r="J1061" s="182">
        <f t="shared" si="411"/>
        <v>21.280913978494624</v>
      </c>
      <c r="K1061" s="182">
        <f t="shared" si="411"/>
        <v>0</v>
      </c>
      <c r="L1061" s="182">
        <f t="shared" si="411"/>
        <v>0</v>
      </c>
      <c r="M1061" s="237">
        <f t="shared" si="411"/>
        <v>337.60349462365593</v>
      </c>
      <c r="N1061" s="227">
        <f t="shared" si="411"/>
        <v>0</v>
      </c>
      <c r="O1061" s="227">
        <f t="shared" si="405"/>
        <v>337.60349462365593</v>
      </c>
      <c r="P1061" s="254">
        <f t="shared" si="406"/>
        <v>0.3</v>
      </c>
      <c r="Q1061" s="227">
        <f t="shared" si="407"/>
        <v>-101.28104838709677</v>
      </c>
      <c r="R1061" s="234">
        <f t="shared" si="408"/>
        <v>236.32244623655916</v>
      </c>
      <c r="S1061" s="255">
        <f>+S1034/($D$10*24)</f>
        <v>101.28104838709675</v>
      </c>
      <c r="T1061" s="182">
        <f t="shared" si="409"/>
        <v>101.28104838709675</v>
      </c>
      <c r="U1061" s="224" t="str">
        <f t="shared" si="410"/>
        <v/>
      </c>
      <c r="V1061" s="133"/>
    </row>
    <row r="1062" spans="1:22" ht="15.75" customHeight="1" x14ac:dyDescent="0.3">
      <c r="A1062" s="192" t="s">
        <v>12</v>
      </c>
      <c r="B1062" s="189">
        <f>+B1035/($F$10*24)</f>
        <v>361.03055555555557</v>
      </c>
      <c r="C1062" s="182">
        <f t="shared" ref="C1062:N1062" si="412">+C1035/($F$10*24)</f>
        <v>0</v>
      </c>
      <c r="D1062" s="182">
        <f t="shared" si="412"/>
        <v>15.745833333333334</v>
      </c>
      <c r="E1062" s="182">
        <f t="shared" si="412"/>
        <v>361.03055555555557</v>
      </c>
      <c r="F1062" s="224">
        <f t="shared" si="412"/>
        <v>376.7763888888889</v>
      </c>
      <c r="G1062" s="182">
        <f t="shared" si="412"/>
        <v>2.1617115973750289</v>
      </c>
      <c r="H1062" s="182">
        <f t="shared" si="412"/>
        <v>22.120833333333334</v>
      </c>
      <c r="I1062" s="182">
        <f t="shared" si="412"/>
        <v>0</v>
      </c>
      <c r="J1062" s="182">
        <f t="shared" si="412"/>
        <v>22.120833333333334</v>
      </c>
      <c r="K1062" s="182">
        <f t="shared" si="412"/>
        <v>0</v>
      </c>
      <c r="L1062" s="182">
        <f t="shared" si="412"/>
        <v>0</v>
      </c>
      <c r="M1062" s="237">
        <f t="shared" si="412"/>
        <v>352.49384395818049</v>
      </c>
      <c r="N1062" s="227">
        <f t="shared" si="412"/>
        <v>-31</v>
      </c>
      <c r="O1062" s="227">
        <f t="shared" si="405"/>
        <v>311.1230747982392</v>
      </c>
      <c r="P1062" s="254">
        <f t="shared" si="406"/>
        <v>0.35</v>
      </c>
      <c r="Q1062" s="227">
        <f t="shared" si="407"/>
        <v>-108.89307617938371</v>
      </c>
      <c r="R1062" s="234">
        <f t="shared" si="408"/>
        <v>202.22999861885549</v>
      </c>
      <c r="S1062" s="255">
        <f>+S1035/($F$10*24)</f>
        <v>143.52284538536315</v>
      </c>
      <c r="T1062" s="182">
        <f t="shared" si="409"/>
        <v>143.52284538536315</v>
      </c>
      <c r="U1062" s="224" t="str">
        <f t="shared" si="410"/>
        <v/>
      </c>
      <c r="V1062" s="133"/>
    </row>
    <row r="1063" spans="1:22" ht="15.75" customHeight="1" x14ac:dyDescent="0.3">
      <c r="A1063" s="192" t="s">
        <v>13</v>
      </c>
      <c r="B1063" s="189">
        <f>+B1036/($G$10*24)</f>
        <v>398.69354838709677</v>
      </c>
      <c r="C1063" s="182">
        <f t="shared" ref="C1063:N1063" si="413">+C1036/($G$10*24)</f>
        <v>0</v>
      </c>
      <c r="D1063" s="182">
        <f t="shared" si="413"/>
        <v>17.551075268817204</v>
      </c>
      <c r="E1063" s="182">
        <f t="shared" si="413"/>
        <v>398.69354838709677</v>
      </c>
      <c r="F1063" s="224">
        <f t="shared" si="413"/>
        <v>416.24462365591398</v>
      </c>
      <c r="G1063" s="182">
        <f t="shared" si="413"/>
        <v>0</v>
      </c>
      <c r="H1063" s="182">
        <f t="shared" si="413"/>
        <v>19.153225806451612</v>
      </c>
      <c r="I1063" s="182">
        <f t="shared" si="413"/>
        <v>0</v>
      </c>
      <c r="J1063" s="182">
        <f t="shared" si="413"/>
        <v>19.153225806451612</v>
      </c>
      <c r="K1063" s="182">
        <f t="shared" si="413"/>
        <v>0</v>
      </c>
      <c r="L1063" s="182">
        <f t="shared" si="413"/>
        <v>0</v>
      </c>
      <c r="M1063" s="237">
        <f t="shared" si="413"/>
        <v>397.09139784946234</v>
      </c>
      <c r="N1063" s="227">
        <f t="shared" si="413"/>
        <v>0</v>
      </c>
      <c r="O1063" s="227">
        <f t="shared" si="405"/>
        <v>397.09139784946234</v>
      </c>
      <c r="P1063" s="254">
        <f t="shared" si="406"/>
        <v>0.35</v>
      </c>
      <c r="Q1063" s="227">
        <f t="shared" si="407"/>
        <v>-138.98198924731182</v>
      </c>
      <c r="R1063" s="234">
        <f t="shared" si="408"/>
        <v>258.10940860215055</v>
      </c>
      <c r="S1063" s="255">
        <f>+S1036/($G$10*24)</f>
        <v>138.98198924731179</v>
      </c>
      <c r="T1063" s="182">
        <f t="shared" si="409"/>
        <v>138.98198924731179</v>
      </c>
      <c r="U1063" s="224" t="str">
        <f t="shared" si="410"/>
        <v/>
      </c>
      <c r="V1063" s="133"/>
    </row>
    <row r="1064" spans="1:22" ht="15.75" customHeight="1" x14ac:dyDescent="0.3">
      <c r="A1064" s="192" t="s">
        <v>14</v>
      </c>
      <c r="B1064" s="189">
        <f>+B1037/($H$10*24)</f>
        <v>218.88888888888889</v>
      </c>
      <c r="C1064" s="182">
        <f t="shared" ref="C1064:N1064" si="414">+C1037/($H$10*24)</f>
        <v>0</v>
      </c>
      <c r="D1064" s="182">
        <f t="shared" si="414"/>
        <v>9.0347222222222214</v>
      </c>
      <c r="E1064" s="182">
        <f t="shared" si="414"/>
        <v>218.88888888888889</v>
      </c>
      <c r="F1064" s="224">
        <f t="shared" si="414"/>
        <v>227.92361111111111</v>
      </c>
      <c r="G1064" s="182">
        <f t="shared" si="414"/>
        <v>21.96721634360711</v>
      </c>
      <c r="H1064" s="182">
        <f t="shared" si="414"/>
        <v>17.633333333333333</v>
      </c>
      <c r="I1064" s="182">
        <f t="shared" si="414"/>
        <v>0</v>
      </c>
      <c r="J1064" s="182">
        <f t="shared" si="414"/>
        <v>17.633333333333333</v>
      </c>
      <c r="K1064" s="182">
        <f t="shared" si="414"/>
        <v>0</v>
      </c>
      <c r="L1064" s="182">
        <f t="shared" si="414"/>
        <v>0</v>
      </c>
      <c r="M1064" s="237">
        <f t="shared" si="414"/>
        <v>188.32306143417065</v>
      </c>
      <c r="N1064" s="227">
        <f t="shared" si="414"/>
        <v>65.666666666666671</v>
      </c>
      <c r="O1064" s="227">
        <f t="shared" si="405"/>
        <v>245.79651106532643</v>
      </c>
      <c r="P1064" s="254">
        <f t="shared" si="406"/>
        <v>7.4999999999999997E-2</v>
      </c>
      <c r="Q1064" s="227">
        <f t="shared" si="407"/>
        <v>-18.434738329899481</v>
      </c>
      <c r="R1064" s="234">
        <f t="shared" si="408"/>
        <v>227.36177273542694</v>
      </c>
      <c r="S1064" s="255">
        <f>+S1037/($H$10*24)</f>
        <v>-46.617437059103878</v>
      </c>
      <c r="T1064" s="182" t="str">
        <f t="shared" si="409"/>
        <v/>
      </c>
      <c r="U1064" s="224">
        <f t="shared" si="410"/>
        <v>46.617437059103878</v>
      </c>
      <c r="V1064" s="133"/>
    </row>
    <row r="1065" spans="1:22" ht="15.75" customHeight="1" x14ac:dyDescent="0.3">
      <c r="A1065" s="192" t="s">
        <v>16</v>
      </c>
      <c r="B1065" s="189">
        <f>+B1038/($J$10*24)</f>
        <v>167.93817204301075</v>
      </c>
      <c r="C1065" s="182">
        <f t="shared" ref="C1065:N1065" si="415">+C1038/($J$10*24)</f>
        <v>0</v>
      </c>
      <c r="D1065" s="182">
        <f t="shared" si="415"/>
        <v>6.685483870967742</v>
      </c>
      <c r="E1065" s="182">
        <f t="shared" si="415"/>
        <v>167.93817204301075</v>
      </c>
      <c r="F1065" s="224">
        <f t="shared" si="415"/>
        <v>174.6236559139785</v>
      </c>
      <c r="G1065" s="182">
        <f t="shared" si="415"/>
        <v>19.852710780525626</v>
      </c>
      <c r="H1065" s="182">
        <f t="shared" si="415"/>
        <v>15.618279569892474</v>
      </c>
      <c r="I1065" s="182">
        <f t="shared" si="415"/>
        <v>0</v>
      </c>
      <c r="J1065" s="182">
        <f t="shared" si="415"/>
        <v>15.618279569892474</v>
      </c>
      <c r="K1065" s="182">
        <f t="shared" si="415"/>
        <v>0</v>
      </c>
      <c r="L1065" s="182">
        <f t="shared" si="415"/>
        <v>0</v>
      </c>
      <c r="M1065" s="237">
        <f t="shared" si="415"/>
        <v>139.15266556356039</v>
      </c>
      <c r="N1065" s="227">
        <f t="shared" si="415"/>
        <v>63.333333333333336</v>
      </c>
      <c r="O1065" s="227">
        <f t="shared" si="405"/>
        <v>202.48599889689376</v>
      </c>
      <c r="P1065" s="254">
        <f t="shared" si="406"/>
        <v>0.05</v>
      </c>
      <c r="Q1065" s="227">
        <f t="shared" si="407"/>
        <v>-10.124299944844688</v>
      </c>
      <c r="R1065" s="234">
        <f t="shared" si="408"/>
        <v>192.36169895204907</v>
      </c>
      <c r="S1065" s="255">
        <f>+S1038/($J$10*24)</f>
        <v>-53.20903338848867</v>
      </c>
      <c r="T1065" s="182" t="str">
        <f t="shared" si="409"/>
        <v/>
      </c>
      <c r="U1065" s="224">
        <f t="shared" si="410"/>
        <v>53.20903338848867</v>
      </c>
      <c r="V1065" s="133"/>
    </row>
    <row r="1066" spans="1:22" ht="15.75" customHeight="1" x14ac:dyDescent="0.3">
      <c r="A1066" s="192" t="s">
        <v>17</v>
      </c>
      <c r="B1066" s="189">
        <f>+B1039/($K$10*24)</f>
        <v>161.28494623655914</v>
      </c>
      <c r="C1066" s="182">
        <f t="shared" ref="C1066:N1066" si="416">+C1039/($K$10*24)</f>
        <v>0</v>
      </c>
      <c r="D1066" s="182">
        <f t="shared" si="416"/>
        <v>6.506720430107527</v>
      </c>
      <c r="E1066" s="182">
        <f t="shared" si="416"/>
        <v>161.28494623655914</v>
      </c>
      <c r="F1066" s="224">
        <f t="shared" si="416"/>
        <v>167.79166666666666</v>
      </c>
      <c r="G1066" s="182">
        <f t="shared" si="416"/>
        <v>10.87922856973494</v>
      </c>
      <c r="H1066" s="182">
        <f t="shared" si="416"/>
        <v>13.76478494623656</v>
      </c>
      <c r="I1066" s="182">
        <f t="shared" si="416"/>
        <v>0</v>
      </c>
      <c r="J1066" s="182">
        <f t="shared" si="416"/>
        <v>13.76478494623656</v>
      </c>
      <c r="K1066" s="182">
        <f t="shared" si="416"/>
        <v>0</v>
      </c>
      <c r="L1066" s="182">
        <f t="shared" si="416"/>
        <v>0</v>
      </c>
      <c r="M1066" s="237">
        <f t="shared" si="416"/>
        <v>143.14765315069516</v>
      </c>
      <c r="N1066" s="227">
        <f t="shared" si="416"/>
        <v>79</v>
      </c>
      <c r="O1066" s="227">
        <f t="shared" si="405"/>
        <v>222.14765315069516</v>
      </c>
      <c r="P1066" s="254">
        <f t="shared" si="406"/>
        <v>0</v>
      </c>
      <c r="Q1066" s="227">
        <f t="shared" si="407"/>
        <v>0</v>
      </c>
      <c r="R1066" s="234">
        <f t="shared" si="408"/>
        <v>222.14765315069516</v>
      </c>
      <c r="S1066" s="255">
        <f>+S1039/($K$10*24)</f>
        <v>-79</v>
      </c>
      <c r="T1066" s="182" t="str">
        <f t="shared" si="409"/>
        <v/>
      </c>
      <c r="U1066" s="224">
        <f t="shared" si="410"/>
        <v>79</v>
      </c>
      <c r="V1066" s="133"/>
    </row>
    <row r="1067" spans="1:22" ht="15.75" customHeight="1" x14ac:dyDescent="0.3">
      <c r="A1067" s="192" t="s">
        <v>18</v>
      </c>
      <c r="B1067" s="189">
        <f>+B1040/($L$10*24)</f>
        <v>312.20555555555558</v>
      </c>
      <c r="C1067" s="182">
        <f t="shared" ref="C1067:N1067" si="417">+C1040/($L$10*24)</f>
        <v>0</v>
      </c>
      <c r="D1067" s="182">
        <f t="shared" si="417"/>
        <v>13.620833333333334</v>
      </c>
      <c r="E1067" s="182">
        <f t="shared" si="417"/>
        <v>312.20555555555558</v>
      </c>
      <c r="F1067" s="224">
        <f t="shared" si="417"/>
        <v>325.82638888888891</v>
      </c>
      <c r="G1067" s="182">
        <f t="shared" si="417"/>
        <v>0</v>
      </c>
      <c r="H1067" s="182">
        <f t="shared" si="417"/>
        <v>14.206944444444444</v>
      </c>
      <c r="I1067" s="182">
        <f t="shared" si="417"/>
        <v>0</v>
      </c>
      <c r="J1067" s="182">
        <f t="shared" si="417"/>
        <v>14.206944444444444</v>
      </c>
      <c r="K1067" s="182">
        <f t="shared" si="417"/>
        <v>0</v>
      </c>
      <c r="L1067" s="182">
        <f t="shared" si="417"/>
        <v>0</v>
      </c>
      <c r="M1067" s="237">
        <f t="shared" si="417"/>
        <v>311.61944444444447</v>
      </c>
      <c r="N1067" s="227">
        <f t="shared" si="417"/>
        <v>0</v>
      </c>
      <c r="O1067" s="227">
        <f t="shared" si="405"/>
        <v>301.56720430107526</v>
      </c>
      <c r="P1067" s="254">
        <f t="shared" si="406"/>
        <v>0.05</v>
      </c>
      <c r="Q1067" s="227">
        <f t="shared" si="407"/>
        <v>-15.078360215053763</v>
      </c>
      <c r="R1067" s="234">
        <f t="shared" si="408"/>
        <v>286.48884408602152</v>
      </c>
      <c r="S1067" s="255">
        <f>+S1040/($L$10*24)</f>
        <v>15.580972222222206</v>
      </c>
      <c r="T1067" s="182">
        <f t="shared" si="409"/>
        <v>15.580972222222206</v>
      </c>
      <c r="U1067" s="224" t="str">
        <f t="shared" si="410"/>
        <v/>
      </c>
      <c r="V1067" s="133"/>
    </row>
    <row r="1068" spans="1:22" ht="15.75" customHeight="1" x14ac:dyDescent="0.3">
      <c r="A1068" s="192" t="s">
        <v>20</v>
      </c>
      <c r="B1068" s="189">
        <f>+B1041/($N$10*24)</f>
        <v>314.95564516129031</v>
      </c>
      <c r="C1068" s="182">
        <f t="shared" ref="C1068:N1068" si="418">+C1041/($N$10*24)</f>
        <v>0</v>
      </c>
      <c r="D1068" s="182">
        <f t="shared" si="418"/>
        <v>13.727150537634408</v>
      </c>
      <c r="E1068" s="182">
        <f t="shared" si="418"/>
        <v>314.95564516129031</v>
      </c>
      <c r="F1068" s="224">
        <f t="shared" si="418"/>
        <v>328.68279569892474</v>
      </c>
      <c r="G1068" s="182">
        <f t="shared" si="418"/>
        <v>0</v>
      </c>
      <c r="H1068" s="182">
        <f t="shared" si="418"/>
        <v>13.580645161290322</v>
      </c>
      <c r="I1068" s="182">
        <f t="shared" si="418"/>
        <v>0</v>
      </c>
      <c r="J1068" s="182">
        <f t="shared" si="418"/>
        <v>13.580645161290322</v>
      </c>
      <c r="K1068" s="182">
        <f t="shared" si="418"/>
        <v>0</v>
      </c>
      <c r="L1068" s="182">
        <f t="shared" si="418"/>
        <v>0</v>
      </c>
      <c r="M1068" s="237">
        <f t="shared" si="418"/>
        <v>315.10215053763443</v>
      </c>
      <c r="N1068" s="227">
        <f t="shared" si="418"/>
        <v>0</v>
      </c>
      <c r="O1068" s="227">
        <f t="shared" si="405"/>
        <v>315.10215053763443</v>
      </c>
      <c r="P1068" s="254">
        <f t="shared" si="406"/>
        <v>0.2</v>
      </c>
      <c r="Q1068" s="227">
        <f t="shared" si="407"/>
        <v>-63.020430107526892</v>
      </c>
      <c r="R1068" s="234">
        <f t="shared" si="408"/>
        <v>252.08172043010754</v>
      </c>
      <c r="S1068" s="255">
        <f>+S1041/($N$10*24)</f>
        <v>63.020430107526899</v>
      </c>
      <c r="T1068" s="182">
        <f t="shared" si="409"/>
        <v>63.020430107526899</v>
      </c>
      <c r="U1068" s="224" t="str">
        <f t="shared" si="410"/>
        <v/>
      </c>
      <c r="V1068" s="133"/>
    </row>
    <row r="1069" spans="1:22" ht="15.75" customHeight="1" x14ac:dyDescent="0.3">
      <c r="A1069" s="192" t="s">
        <v>21</v>
      </c>
      <c r="B1069" s="189">
        <f>+B1042/($O$10*24)</f>
        <v>306.09166666666664</v>
      </c>
      <c r="C1069" s="182">
        <f t="shared" ref="C1069:N1069" si="419">+C1042/($O$10*24)</f>
        <v>0</v>
      </c>
      <c r="D1069" s="182">
        <f t="shared" si="419"/>
        <v>13.215277777777779</v>
      </c>
      <c r="E1069" s="182">
        <f t="shared" si="419"/>
        <v>306.09166666666664</v>
      </c>
      <c r="F1069" s="224">
        <f t="shared" si="419"/>
        <v>319.30694444444447</v>
      </c>
      <c r="G1069" s="182">
        <f t="shared" si="419"/>
        <v>0</v>
      </c>
      <c r="H1069" s="182">
        <f t="shared" si="419"/>
        <v>15.036111111111111</v>
      </c>
      <c r="I1069" s="182">
        <f t="shared" si="419"/>
        <v>0</v>
      </c>
      <c r="J1069" s="182">
        <f t="shared" si="419"/>
        <v>15.036111111111111</v>
      </c>
      <c r="K1069" s="182">
        <f t="shared" si="419"/>
        <v>0</v>
      </c>
      <c r="L1069" s="182">
        <f t="shared" si="419"/>
        <v>0</v>
      </c>
      <c r="M1069" s="237">
        <f t="shared" si="419"/>
        <v>304.27083333333331</v>
      </c>
      <c r="N1069" s="227">
        <f t="shared" si="419"/>
        <v>0</v>
      </c>
      <c r="O1069" s="227">
        <f t="shared" si="405"/>
        <v>294.45564516129031</v>
      </c>
      <c r="P1069" s="254">
        <f t="shared" si="406"/>
        <v>0.2</v>
      </c>
      <c r="Q1069" s="227">
        <f t="shared" si="407"/>
        <v>-58.891129032258064</v>
      </c>
      <c r="R1069" s="234">
        <f t="shared" si="408"/>
        <v>235.56451612903226</v>
      </c>
      <c r="S1069" s="255">
        <f>+S1042/($O$10*24)</f>
        <v>60.854166666666664</v>
      </c>
      <c r="T1069" s="182">
        <f t="shared" si="409"/>
        <v>60.854166666666664</v>
      </c>
      <c r="U1069" s="224" t="str">
        <f t="shared" si="410"/>
        <v/>
      </c>
      <c r="V1069" s="133"/>
    </row>
    <row r="1070" spans="1:22" ht="15.75" customHeight="1" thickBot="1" x14ac:dyDescent="0.35">
      <c r="A1070" s="192" t="s">
        <v>22</v>
      </c>
      <c r="B1070" s="204">
        <f>+B1043/($P$10*24)</f>
        <v>243.02956989247312</v>
      </c>
      <c r="C1070" s="205">
        <f t="shared" ref="C1070:N1070" si="420">+C1043/($P$10*24)</f>
        <v>0</v>
      </c>
      <c r="D1070" s="205">
        <f t="shared" si="420"/>
        <v>10.411290322580646</v>
      </c>
      <c r="E1070" s="205">
        <f t="shared" si="420"/>
        <v>243.02956989247312</v>
      </c>
      <c r="F1070" s="245">
        <f t="shared" si="420"/>
        <v>253.44086021505376</v>
      </c>
      <c r="G1070" s="205">
        <f t="shared" si="420"/>
        <v>0</v>
      </c>
      <c r="H1070" s="205">
        <f t="shared" si="420"/>
        <v>8.9731182795698921</v>
      </c>
      <c r="I1070" s="205">
        <f t="shared" si="420"/>
        <v>0</v>
      </c>
      <c r="J1070" s="205">
        <f t="shared" si="420"/>
        <v>8.9731182795698921</v>
      </c>
      <c r="K1070" s="205">
        <f t="shared" si="420"/>
        <v>0</v>
      </c>
      <c r="L1070" s="205">
        <f t="shared" si="420"/>
        <v>0</v>
      </c>
      <c r="M1070" s="246">
        <f t="shared" si="420"/>
        <v>244.46774193548387</v>
      </c>
      <c r="N1070" s="247">
        <f t="shared" si="420"/>
        <v>0</v>
      </c>
      <c r="O1070" s="248">
        <f t="shared" si="405"/>
        <v>244.46774193548387</v>
      </c>
      <c r="P1070" s="249">
        <f t="shared" si="406"/>
        <v>0.2</v>
      </c>
      <c r="Q1070" s="247">
        <f t="shared" si="407"/>
        <v>-48.893548387096779</v>
      </c>
      <c r="R1070" s="248">
        <f t="shared" si="408"/>
        <v>195.57419354838709</v>
      </c>
      <c r="S1070" s="256">
        <f>+S1043/($P$10*24)</f>
        <v>48.893548387096757</v>
      </c>
      <c r="T1070" s="205">
        <f t="shared" si="409"/>
        <v>48.893548387096757</v>
      </c>
      <c r="U1070" s="245" t="str">
        <f t="shared" si="410"/>
        <v/>
      </c>
      <c r="V1070" s="133"/>
    </row>
    <row r="1071" spans="1:22" ht="15.75" customHeight="1" x14ac:dyDescent="0.3">
      <c r="A1071" s="257"/>
      <c r="V1071" s="133"/>
    </row>
    <row r="1072" spans="1:22" ht="16.5" customHeight="1" thickBot="1" x14ac:dyDescent="0.35">
      <c r="A1072" s="258"/>
      <c r="B1072" s="135"/>
      <c r="C1072" s="135"/>
      <c r="D1072" s="135"/>
      <c r="E1072" s="135"/>
      <c r="F1072" s="135"/>
      <c r="G1072" s="135"/>
      <c r="H1072" s="135"/>
      <c r="I1072" s="135"/>
      <c r="J1072" s="135"/>
      <c r="K1072" s="135"/>
      <c r="L1072" s="135"/>
      <c r="M1072" s="135"/>
      <c r="N1072" s="135"/>
      <c r="O1072" s="135"/>
      <c r="P1072" s="135"/>
      <c r="Q1072" s="135"/>
      <c r="R1072" s="135"/>
      <c r="S1072" s="135"/>
      <c r="T1072" s="135"/>
      <c r="U1072" s="135"/>
      <c r="V1072" s="136"/>
    </row>
    <row r="1073" spans="1:50" ht="15.75" customHeight="1" x14ac:dyDescent="0.3">
      <c r="A1073" s="259"/>
      <c r="B1073" s="180"/>
      <c r="C1073" s="180"/>
      <c r="D1073" s="180"/>
      <c r="E1073" s="180"/>
      <c r="F1073" s="180"/>
      <c r="G1073" s="180"/>
      <c r="H1073" s="180"/>
      <c r="I1073" s="180"/>
      <c r="J1073" s="180"/>
      <c r="K1073" s="180"/>
      <c r="L1073" s="180"/>
      <c r="M1073" s="180"/>
      <c r="N1073" s="180"/>
      <c r="O1073" s="180"/>
      <c r="P1073" s="180"/>
      <c r="Q1073" s="180"/>
      <c r="R1073" s="180"/>
    </row>
    <row r="1074" spans="1:50" ht="15.75" customHeight="1" x14ac:dyDescent="0.3">
      <c r="A1074" s="260"/>
    </row>
    <row r="1075" spans="1:50" ht="15.75" customHeight="1" thickBot="1" x14ac:dyDescent="0.35">
      <c r="A1075" s="260"/>
    </row>
    <row r="1076" spans="1:50" ht="15.75" customHeight="1" x14ac:dyDescent="0.3">
      <c r="A1076" s="261"/>
      <c r="B1076" s="387" t="s">
        <v>780</v>
      </c>
      <c r="C1076" s="387"/>
      <c r="D1076" s="387"/>
      <c r="E1076" s="387"/>
      <c r="F1076" s="387"/>
      <c r="G1076" s="387"/>
      <c r="H1076" s="387"/>
      <c r="I1076" s="387"/>
      <c r="J1076" s="387"/>
      <c r="K1076" s="387"/>
      <c r="L1076" s="387"/>
      <c r="M1076" s="387"/>
      <c r="N1076" s="387"/>
      <c r="O1076" s="387"/>
      <c r="P1076" s="387"/>
      <c r="Q1076" s="177" t="str">
        <f>+Q1</f>
        <v xml:space="preserve">PRINTED:  </v>
      </c>
      <c r="R1076" s="197">
        <f ca="1">+R1</f>
        <v>44894.65816875</v>
      </c>
      <c r="S1076" s="198"/>
    </row>
    <row r="1077" spans="1:50" ht="15.75" customHeight="1" x14ac:dyDescent="0.3">
      <c r="A1077" s="262"/>
      <c r="B1077" s="394" t="str">
        <f>+A8</f>
        <v>Revised:  2/5/2020</v>
      </c>
      <c r="C1077" s="394"/>
      <c r="D1077" s="394"/>
      <c r="E1077" s="394"/>
      <c r="F1077" s="394"/>
      <c r="G1077" s="394"/>
      <c r="H1077" s="394"/>
      <c r="I1077" s="394"/>
      <c r="J1077" s="394"/>
      <c r="K1077" s="394"/>
      <c r="L1077" s="394"/>
      <c r="M1077" s="394"/>
      <c r="N1077" s="394"/>
      <c r="O1077" s="394"/>
      <c r="P1077" s="394"/>
      <c r="Q1077" s="180"/>
      <c r="R1077" s="180"/>
      <c r="S1077" s="133"/>
    </row>
    <row r="1078" spans="1:50" ht="16.5" customHeight="1" x14ac:dyDescent="0.3">
      <c r="A1078" s="262"/>
      <c r="B1078" s="394" t="s">
        <v>670</v>
      </c>
      <c r="C1078" s="394"/>
      <c r="D1078" s="394"/>
      <c r="E1078" s="394"/>
      <c r="F1078" s="394"/>
      <c r="G1078" s="394"/>
      <c r="H1078" s="394"/>
      <c r="I1078" s="394"/>
      <c r="J1078" s="394"/>
      <c r="K1078" s="394"/>
      <c r="L1078" s="394"/>
      <c r="M1078" s="394"/>
      <c r="N1078" s="394"/>
      <c r="O1078" s="394"/>
      <c r="P1078" s="394"/>
      <c r="Q1078" s="180"/>
      <c r="R1078" s="180"/>
      <c r="S1078" s="133"/>
    </row>
    <row r="1079" spans="1:50" ht="15.75" customHeight="1" x14ac:dyDescent="0.3">
      <c r="A1079" s="262"/>
      <c r="B1079" s="180"/>
      <c r="C1079" s="180"/>
      <c r="D1079" s="180"/>
      <c r="E1079" s="180"/>
      <c r="F1079" s="180"/>
      <c r="G1079" s="180"/>
      <c r="H1079" s="180"/>
      <c r="I1079" s="180"/>
      <c r="J1079" s="180"/>
      <c r="K1079" s="180"/>
      <c r="L1079" s="180"/>
      <c r="M1079" s="180"/>
      <c r="N1079" s="180"/>
      <c r="O1079" s="180"/>
      <c r="P1079" s="180"/>
      <c r="Q1079" s="180"/>
      <c r="R1079" s="180"/>
      <c r="S1079" s="133"/>
      <c r="AG1079" s="192"/>
    </row>
    <row r="1080" spans="1:50" ht="15.75" customHeight="1" x14ac:dyDescent="0.3">
      <c r="A1080" s="262"/>
      <c r="B1080" s="415">
        <f>+A5</f>
        <v>2021</v>
      </c>
      <c r="C1080" s="395"/>
      <c r="D1080" s="395"/>
      <c r="E1080" s="395"/>
      <c r="F1080" s="395"/>
      <c r="G1080" s="395"/>
      <c r="H1080" s="395"/>
      <c r="I1080" s="395"/>
      <c r="J1080" s="395"/>
      <c r="K1080" s="395"/>
      <c r="L1080" s="395"/>
      <c r="M1080" s="395"/>
      <c r="N1080" s="395"/>
      <c r="O1080" s="395"/>
      <c r="P1080" s="395"/>
      <c r="Q1080" s="180"/>
      <c r="R1080" s="180"/>
      <c r="S1080" s="133"/>
      <c r="AE1080" s="4" t="s">
        <v>781</v>
      </c>
      <c r="AF1080" s="4" t="s">
        <v>782</v>
      </c>
    </row>
    <row r="1081" spans="1:50" ht="15.75" customHeight="1" thickBot="1" x14ac:dyDescent="0.35">
      <c r="A1081" s="262"/>
      <c r="B1081" s="394" t="s">
        <v>708</v>
      </c>
      <c r="C1081" s="394"/>
      <c r="D1081" s="394"/>
      <c r="E1081" s="394"/>
      <c r="F1081" s="394"/>
      <c r="G1081" s="394"/>
      <c r="H1081" s="394"/>
      <c r="I1081" s="394"/>
      <c r="J1081" s="394"/>
      <c r="K1081" s="394"/>
      <c r="L1081" s="394"/>
      <c r="M1081" s="394"/>
      <c r="N1081" s="394"/>
      <c r="O1081" s="394"/>
      <c r="P1081" s="394"/>
      <c r="Q1081" s="180"/>
      <c r="R1081" s="180"/>
      <c r="S1081" s="133"/>
      <c r="V1081" s="4" t="s">
        <v>783</v>
      </c>
      <c r="AC1081" s="4" t="s">
        <v>784</v>
      </c>
      <c r="AD1081" s="263" t="s">
        <v>785</v>
      </c>
      <c r="AE1081" s="4">
        <f>DAY(DATE($A$5,MONTH(CONCATENATE(1,"-",AD1081,"-",$A$5))+1,1)-1)</f>
        <v>28</v>
      </c>
      <c r="AI1081" s="264"/>
      <c r="AJ1081" s="264"/>
    </row>
    <row r="1082" spans="1:50" ht="15.75" customHeight="1" x14ac:dyDescent="0.3">
      <c r="A1082" s="262"/>
      <c r="B1082" s="420" t="s">
        <v>786</v>
      </c>
      <c r="C1082" s="421"/>
      <c r="D1082" s="422"/>
      <c r="E1082" s="182"/>
      <c r="F1082" s="182"/>
      <c r="G1082" s="182"/>
      <c r="H1082" s="182"/>
      <c r="I1082" s="182"/>
      <c r="J1082" s="182"/>
      <c r="K1082" s="182"/>
      <c r="L1082" s="182"/>
      <c r="M1082" s="182"/>
      <c r="N1082" s="182"/>
      <c r="O1082" s="182"/>
      <c r="P1082" s="182"/>
      <c r="Q1082" s="180"/>
      <c r="R1082" s="180"/>
      <c r="S1082" s="265"/>
      <c r="T1082" s="444" t="s">
        <v>787</v>
      </c>
      <c r="U1082" s="445"/>
      <c r="V1082" s="445" t="s">
        <v>788</v>
      </c>
      <c r="W1082" s="445"/>
      <c r="X1082" s="266" t="s">
        <v>640</v>
      </c>
      <c r="Y1082" s="266" t="s">
        <v>789</v>
      </c>
      <c r="Z1082" s="266" t="s">
        <v>790</v>
      </c>
    </row>
    <row r="1083" spans="1:50" ht="15.75" customHeight="1" thickBot="1" x14ac:dyDescent="0.35">
      <c r="A1083" s="191" t="s">
        <v>768</v>
      </c>
      <c r="B1083" s="267" t="s">
        <v>791</v>
      </c>
      <c r="C1083" s="268" t="s">
        <v>792</v>
      </c>
      <c r="D1083" s="269" t="s">
        <v>793</v>
      </c>
      <c r="E1083" s="268" t="s">
        <v>678</v>
      </c>
      <c r="F1083" s="268" t="s">
        <v>679</v>
      </c>
      <c r="G1083" s="268" t="s">
        <v>680</v>
      </c>
      <c r="H1083" s="268" t="s">
        <v>794</v>
      </c>
      <c r="I1083" s="268" t="s">
        <v>795</v>
      </c>
      <c r="J1083" s="268" t="s">
        <v>681</v>
      </c>
      <c r="K1083" s="268" t="s">
        <v>682</v>
      </c>
      <c r="L1083" s="268" t="s">
        <v>683</v>
      </c>
      <c r="M1083" s="268" t="s">
        <v>684</v>
      </c>
      <c r="N1083" s="268" t="s">
        <v>685</v>
      </c>
      <c r="O1083" s="268" t="s">
        <v>686</v>
      </c>
      <c r="P1083" s="268" t="s">
        <v>687</v>
      </c>
      <c r="Q1083" s="268" t="s">
        <v>688</v>
      </c>
      <c r="R1083" s="268" t="s">
        <v>689</v>
      </c>
      <c r="S1083" s="269" t="s">
        <v>638</v>
      </c>
      <c r="T1083" s="268" t="s">
        <v>796</v>
      </c>
      <c r="U1083" s="268" t="s">
        <v>792</v>
      </c>
      <c r="V1083" s="268" t="s">
        <v>797</v>
      </c>
      <c r="W1083" s="268" t="s">
        <v>792</v>
      </c>
      <c r="X1083" s="268" t="s">
        <v>127</v>
      </c>
      <c r="Y1083" s="268" t="s">
        <v>798</v>
      </c>
      <c r="Z1083" s="268" t="s">
        <v>799</v>
      </c>
      <c r="AD1083" s="191" t="s">
        <v>677</v>
      </c>
      <c r="AE1083" s="191" t="s">
        <v>678</v>
      </c>
      <c r="AF1083" s="191" t="s">
        <v>679</v>
      </c>
      <c r="AG1083" s="191" t="s">
        <v>680</v>
      </c>
      <c r="AH1083" s="191" t="s">
        <v>644</v>
      </c>
      <c r="AI1083" s="191" t="s">
        <v>681</v>
      </c>
      <c r="AJ1083" s="191" t="s">
        <v>682</v>
      </c>
      <c r="AK1083" s="191" t="s">
        <v>683</v>
      </c>
      <c r="AL1083" s="191" t="s">
        <v>684</v>
      </c>
      <c r="AM1083" s="191" t="s">
        <v>685</v>
      </c>
      <c r="AN1083" s="191" t="s">
        <v>686</v>
      </c>
      <c r="AO1083" s="191" t="s">
        <v>687</v>
      </c>
      <c r="AP1083" s="191" t="s">
        <v>688</v>
      </c>
      <c r="AQ1083" s="191" t="s">
        <v>689</v>
      </c>
      <c r="AR1083" s="191" t="s">
        <v>638</v>
      </c>
      <c r="AS1083" s="191" t="s">
        <v>641</v>
      </c>
      <c r="AT1083" s="191" t="s">
        <v>800</v>
      </c>
      <c r="AU1083" s="191" t="s">
        <v>641</v>
      </c>
      <c r="AW1083" s="270" t="s">
        <v>801</v>
      </c>
      <c r="AX1083" s="270" t="s">
        <v>802</v>
      </c>
    </row>
    <row r="1084" spans="1:50" ht="15.75" customHeight="1" x14ac:dyDescent="0.3">
      <c r="A1084" s="211" t="s">
        <v>8</v>
      </c>
      <c r="B1084" s="211">
        <f>+F1111</f>
        <v>196</v>
      </c>
      <c r="C1084" s="192">
        <f t="shared" ref="B1084:C1095" si="421">+G1111</f>
        <v>0</v>
      </c>
      <c r="D1084" s="271" t="s">
        <v>803</v>
      </c>
      <c r="E1084" s="192">
        <f>+C1004/$B$10/24</f>
        <v>20.190860215053764</v>
      </c>
      <c r="F1084" s="192">
        <f t="shared" ref="F1084:S1084" si="422">+D1004/$B$10/24</f>
        <v>21.168010752688172</v>
      </c>
      <c r="G1084" s="192">
        <f t="shared" si="422"/>
        <v>35.93010752688172</v>
      </c>
      <c r="H1084" s="192">
        <f t="shared" si="422"/>
        <v>15.054529134520388</v>
      </c>
      <c r="I1084" s="192">
        <f t="shared" si="422"/>
        <v>0</v>
      </c>
      <c r="J1084" s="192">
        <f t="shared" si="422"/>
        <v>4.918010752688172</v>
      </c>
      <c r="K1084" s="192">
        <f t="shared" si="422"/>
        <v>3.443548387096774</v>
      </c>
      <c r="L1084" s="192">
        <f t="shared" si="422"/>
        <v>5.32258064516129</v>
      </c>
      <c r="M1084" s="192">
        <f t="shared" si="422"/>
        <v>5.4838709677419359</v>
      </c>
      <c r="N1084" s="192">
        <f t="shared" si="422"/>
        <v>1.5080645161290323</v>
      </c>
      <c r="O1084" s="192">
        <f t="shared" si="422"/>
        <v>1.7768817204301077</v>
      </c>
      <c r="P1084" s="192">
        <f t="shared" si="422"/>
        <v>3.556451612903226</v>
      </c>
      <c r="Q1084" s="192">
        <f t="shared" si="422"/>
        <v>1.1061827956989247</v>
      </c>
      <c r="R1084" s="192">
        <f t="shared" si="422"/>
        <v>1.739247311827957</v>
      </c>
      <c r="S1084" s="271">
        <f t="shared" si="422"/>
        <v>2.618279569892473</v>
      </c>
      <c r="T1084" s="192">
        <f>+B1084+SUM(E1084:S1084)</f>
        <v>319.81662590871395</v>
      </c>
      <c r="U1084" s="192">
        <f t="shared" ref="U1084:U1095" si="423">+C1084+SUM(E1084:S1084)</f>
        <v>123.81662590871396</v>
      </c>
      <c r="V1084" s="192">
        <f>+B1084+SUM(E1084:G1084)</f>
        <v>273.28897849462362</v>
      </c>
      <c r="W1084" s="192">
        <f>+C1084+SUM(E1084:G1084)</f>
        <v>77.288978494623649</v>
      </c>
      <c r="X1084" s="192">
        <f>+H1084</f>
        <v>15.054529134520388</v>
      </c>
      <c r="Y1084" s="192">
        <f>+I1084</f>
        <v>0</v>
      </c>
      <c r="Z1084" s="192">
        <f>+SUM(J1084:S1084)</f>
        <v>31.473118279569889</v>
      </c>
      <c r="AC1084" s="4">
        <v>1</v>
      </c>
      <c r="AD1084" s="192">
        <f>IF($AF$1081=1,VLOOKUP($AD$1081,$A$1111:$P$1122,12,FALSE),VLOOKUP($AD$1081,$A$1084:$S$1095,2,FALSE))</f>
        <v>98</v>
      </c>
      <c r="AE1084" s="192">
        <f>VLOOKUP($AD$1081,$A$1084:$S$1095,5,FALSE)</f>
        <v>24.56845238095238</v>
      </c>
      <c r="AF1084" s="192">
        <f>VLOOKUP($AD$1081,$A$1084:$S$1095,6,FALSE)</f>
        <v>25.748511904761902</v>
      </c>
      <c r="AG1084" s="192">
        <f>VLOOKUP($AD$1081,$A$1084:$S$1095,7,FALSE)</f>
        <v>43.709821428571423</v>
      </c>
      <c r="AH1084" s="192">
        <f>VLOOKUP($AD$1081,$A$1084:$S$1095,8,FALSE)</f>
        <v>18.318629002940039</v>
      </c>
      <c r="AI1084" s="192">
        <f>VLOOKUP($AD$1081,$A$1084:$S$1095,10,FALSE)</f>
        <v>7.697916666666667</v>
      </c>
      <c r="AJ1084" s="192">
        <f>VLOOKUP($AD$1081,$A$1084:$S$1095,11,FALSE)</f>
        <v>5.5044642857142856</v>
      </c>
      <c r="AK1084" s="192">
        <f>VLOOKUP($AD$1081,$A$1084:$S$1095,12,FALSE)</f>
        <v>8.5163690476190474</v>
      </c>
      <c r="AL1084" s="192">
        <f>VLOOKUP($AD$1081,$A$1084:$S$1095,13,FALSE)</f>
        <v>8.6175595238095237</v>
      </c>
      <c r="AM1084" s="192">
        <f>VLOOKUP($AD$1081,$A$1084:$S$1095,14,FALSE)</f>
        <v>2.776785714285714</v>
      </c>
      <c r="AN1084" s="192">
        <f>VLOOKUP($AD$1081,$A$1084:$S$1095,15,FALSE)</f>
        <v>3.2723214285714288</v>
      </c>
      <c r="AO1084" s="192">
        <f>VLOOKUP($AD$1081,$A$1084:$S$1095,16,FALSE)</f>
        <v>6.3169642857142856</v>
      </c>
      <c r="AP1084" s="192">
        <f>VLOOKUP($AD$1081,$A$1084:$S$1095,17,FALSE)</f>
        <v>1.2336309523809523</v>
      </c>
      <c r="AQ1084" s="192">
        <f>VLOOKUP($AD$1081,$A$1084:$S$1095,18,FALSE)</f>
        <v>1.9255952380952381</v>
      </c>
      <c r="AR1084" s="192">
        <f>VLOOKUP($AD$1081,$A$1084:$S$1095,19,FALSE)</f>
        <v>2.9196428571428572</v>
      </c>
      <c r="AS1084" s="192">
        <f>SUM(AD1084:AR1084)</f>
        <v>259.12666471722565</v>
      </c>
      <c r="AT1084" s="192">
        <f>VLOOKUP($AD$1081,$AC$1004:$AS$1015,17,FALSE)/$AE$1081*(AS1084/$AS$1108)</f>
        <v>19.99326074898104</v>
      </c>
      <c r="AU1084" s="192">
        <f>AS1084+AT1084</f>
        <v>279.11992546620667</v>
      </c>
      <c r="AW1084" s="192">
        <f>VLOOKUP($AD$1081,$A$1032:$O$1045,15,FALSE)/$AE$1081/24</f>
        <v>353.73363095238096</v>
      </c>
      <c r="AX1084" s="192">
        <f>AU1084-AW1084</f>
        <v>-74.613705486174297</v>
      </c>
    </row>
    <row r="1085" spans="1:50" ht="15.75" customHeight="1" x14ac:dyDescent="0.3">
      <c r="A1085" s="211" t="s">
        <v>9</v>
      </c>
      <c r="B1085" s="211">
        <f t="shared" si="421"/>
        <v>98</v>
      </c>
      <c r="C1085" s="192">
        <f t="shared" si="421"/>
        <v>0</v>
      </c>
      <c r="D1085" s="271" t="s">
        <v>803</v>
      </c>
      <c r="E1085" s="192">
        <f t="shared" ref="E1085:S1085" si="424">+C1005/$C$10/24</f>
        <v>24.56845238095238</v>
      </c>
      <c r="F1085" s="192">
        <f t="shared" si="424"/>
        <v>25.748511904761902</v>
      </c>
      <c r="G1085" s="192">
        <f t="shared" si="424"/>
        <v>43.709821428571423</v>
      </c>
      <c r="H1085" s="192">
        <f t="shared" si="424"/>
        <v>18.318629002940039</v>
      </c>
      <c r="I1085" s="192">
        <f t="shared" si="424"/>
        <v>0</v>
      </c>
      <c r="J1085" s="192">
        <f t="shared" si="424"/>
        <v>7.697916666666667</v>
      </c>
      <c r="K1085" s="192">
        <f t="shared" si="424"/>
        <v>5.5044642857142856</v>
      </c>
      <c r="L1085" s="192">
        <f t="shared" si="424"/>
        <v>8.5163690476190474</v>
      </c>
      <c r="M1085" s="192">
        <f t="shared" si="424"/>
        <v>8.6175595238095237</v>
      </c>
      <c r="N1085" s="192">
        <f t="shared" si="424"/>
        <v>2.776785714285714</v>
      </c>
      <c r="O1085" s="192">
        <f t="shared" si="424"/>
        <v>3.2723214285714288</v>
      </c>
      <c r="P1085" s="192">
        <f t="shared" si="424"/>
        <v>6.3169642857142856</v>
      </c>
      <c r="Q1085" s="192">
        <f t="shared" si="424"/>
        <v>1.2336309523809523</v>
      </c>
      <c r="R1085" s="192">
        <f t="shared" si="424"/>
        <v>1.9255952380952381</v>
      </c>
      <c r="S1085" s="271">
        <f t="shared" si="424"/>
        <v>2.9196428571428572</v>
      </c>
      <c r="T1085" s="192">
        <f t="shared" ref="T1085:T1095" si="425">+B1085+SUM(E1085:S1085)</f>
        <v>259.12666471722571</v>
      </c>
      <c r="U1085" s="192">
        <f t="shared" si="423"/>
        <v>161.12666471722574</v>
      </c>
      <c r="V1085" s="192">
        <f t="shared" ref="V1085:V1095" si="426">+B1085+SUM(E1085:G1085)</f>
        <v>192.02678571428569</v>
      </c>
      <c r="W1085" s="192">
        <f t="shared" ref="W1085:W1095" si="427">+C1085+SUM(E1085:G1085)</f>
        <v>94.026785714285694</v>
      </c>
      <c r="X1085" s="192">
        <f t="shared" ref="X1085:Y1095" si="428">+H1085</f>
        <v>18.318629002940039</v>
      </c>
      <c r="Y1085" s="192">
        <f t="shared" si="428"/>
        <v>0</v>
      </c>
      <c r="Z1085" s="192">
        <f t="shared" ref="Z1085:Z1095" si="429">+SUM(J1085:S1085)</f>
        <v>48.78125</v>
      </c>
      <c r="AC1085" s="4">
        <v>2</v>
      </c>
      <c r="AD1085" s="192">
        <f t="shared" ref="AD1085:AD1089" si="430">IF($AF$1081=1,VLOOKUP($AD$1081,$A$1111:$P$1122,12,FALSE),VLOOKUP($AD$1081,$A$1084:$S$1095,2,FALSE))</f>
        <v>98</v>
      </c>
      <c r="AE1085" s="192">
        <f t="shared" ref="AE1085:AE1107" si="431">VLOOKUP($AD$1081,$A$1084:$S$1095,5,FALSE)</f>
        <v>24.56845238095238</v>
      </c>
      <c r="AF1085" s="192">
        <f t="shared" ref="AF1085:AF1107" si="432">VLOOKUP($AD$1081,$A$1084:$S$1095,6,FALSE)</f>
        <v>25.748511904761902</v>
      </c>
      <c r="AG1085" s="192">
        <f t="shared" ref="AG1085:AG1107" si="433">VLOOKUP($AD$1081,$A$1084:$S$1095,7,FALSE)</f>
        <v>43.709821428571423</v>
      </c>
      <c r="AH1085" s="192">
        <f t="shared" ref="AH1085:AH1107" si="434">VLOOKUP($AD$1081,$A$1084:$S$1095,8,FALSE)</f>
        <v>18.318629002940039</v>
      </c>
      <c r="AI1085" s="192">
        <f t="shared" ref="AI1085:AI1107" si="435">VLOOKUP($AD$1081,$A$1084:$S$1095,10,FALSE)</f>
        <v>7.697916666666667</v>
      </c>
      <c r="AJ1085" s="192">
        <f t="shared" ref="AJ1085:AJ1107" si="436">VLOOKUP($AD$1081,$A$1084:$S$1095,11,FALSE)</f>
        <v>5.5044642857142856</v>
      </c>
      <c r="AK1085" s="192">
        <f t="shared" ref="AK1085:AK1107" si="437">VLOOKUP($AD$1081,$A$1084:$S$1095,12,FALSE)</f>
        <v>8.5163690476190474</v>
      </c>
      <c r="AL1085" s="192">
        <f t="shared" ref="AL1085:AL1107" si="438">VLOOKUP($AD$1081,$A$1084:$S$1095,13,FALSE)</f>
        <v>8.6175595238095237</v>
      </c>
      <c r="AM1085" s="192">
        <f t="shared" ref="AM1085:AM1107" si="439">VLOOKUP($AD$1081,$A$1084:$S$1095,14,FALSE)</f>
        <v>2.776785714285714</v>
      </c>
      <c r="AN1085" s="192">
        <f t="shared" ref="AN1085:AN1107" si="440">VLOOKUP($AD$1081,$A$1084:$S$1095,15,FALSE)</f>
        <v>3.2723214285714288</v>
      </c>
      <c r="AO1085" s="192">
        <f t="shared" ref="AO1085:AO1107" si="441">VLOOKUP($AD$1081,$A$1084:$S$1095,16,FALSE)</f>
        <v>6.3169642857142856</v>
      </c>
      <c r="AP1085" s="192">
        <f t="shared" ref="AP1085:AP1107" si="442">VLOOKUP($AD$1081,$A$1084:$S$1095,17,FALSE)</f>
        <v>1.2336309523809523</v>
      </c>
      <c r="AQ1085" s="192">
        <f t="shared" ref="AQ1085:AQ1107" si="443">VLOOKUP($AD$1081,$A$1084:$S$1095,18,FALSE)</f>
        <v>1.9255952380952381</v>
      </c>
      <c r="AR1085" s="192">
        <f t="shared" ref="AR1085:AR1107" si="444">VLOOKUP($AD$1081,$A$1084:$S$1095,19,FALSE)</f>
        <v>2.9196428571428572</v>
      </c>
      <c r="AS1085" s="192">
        <f t="shared" ref="AS1085:AS1107" si="445">SUM(AD1085:AR1085)</f>
        <v>259.12666471722565</v>
      </c>
      <c r="AT1085" s="192">
        <f t="shared" ref="AT1085:AT1107" si="446">VLOOKUP($AD$1081,$AC$1004:$AS$1015,17,FALSE)/$AE$1081*(AS1085/$AS$1108)</f>
        <v>19.99326074898104</v>
      </c>
      <c r="AU1085" s="192">
        <f t="shared" ref="AU1085:AU1107" si="447">AS1085+AT1085</f>
        <v>279.11992546620667</v>
      </c>
      <c r="AW1085" s="192">
        <f t="shared" ref="AW1085:AW1107" si="448">VLOOKUP($AD$1081,$A$1032:$O$1045,15,FALSE)/$AE$1081/24</f>
        <v>353.73363095238096</v>
      </c>
      <c r="AX1085" s="192">
        <f t="shared" ref="AX1085:AX1107" si="449">AU1085-AW1085</f>
        <v>-74.613705486174297</v>
      </c>
    </row>
    <row r="1086" spans="1:50" ht="15.75" customHeight="1" x14ac:dyDescent="0.3">
      <c r="A1086" s="211" t="s">
        <v>10</v>
      </c>
      <c r="B1086" s="211">
        <f t="shared" si="421"/>
        <v>294</v>
      </c>
      <c r="C1086" s="192">
        <f t="shared" si="421"/>
        <v>0</v>
      </c>
      <c r="D1086" s="271" t="s">
        <v>803</v>
      </c>
      <c r="E1086" s="192">
        <f t="shared" ref="E1086:S1086" si="450">+C1006/$D$10/24</f>
        <v>23.727150537634412</v>
      </c>
      <c r="F1086" s="192">
        <f t="shared" si="450"/>
        <v>24.849462365591396</v>
      </c>
      <c r="G1086" s="192">
        <f t="shared" si="450"/>
        <v>41.420698924731184</v>
      </c>
      <c r="H1086" s="192">
        <f t="shared" si="450"/>
        <v>8.5696776528474441</v>
      </c>
      <c r="I1086" s="192">
        <f t="shared" si="450"/>
        <v>0</v>
      </c>
      <c r="J1086" s="192">
        <f t="shared" si="450"/>
        <v>10.688172043010752</v>
      </c>
      <c r="K1086" s="192">
        <f t="shared" si="450"/>
        <v>7.501344086021505</v>
      </c>
      <c r="L1086" s="192">
        <f t="shared" si="450"/>
        <v>10.522849462365592</v>
      </c>
      <c r="M1086" s="192">
        <f t="shared" si="450"/>
        <v>10.029569892473118</v>
      </c>
      <c r="N1086" s="192">
        <f t="shared" si="450"/>
        <v>3.0618279569892475</v>
      </c>
      <c r="O1086" s="192">
        <f t="shared" si="450"/>
        <v>3.6088709677419355</v>
      </c>
      <c r="P1086" s="192">
        <f t="shared" si="450"/>
        <v>7.169354838709677</v>
      </c>
      <c r="Q1086" s="192">
        <f t="shared" si="450"/>
        <v>1.282258064516129</v>
      </c>
      <c r="R1086" s="192">
        <f t="shared" si="450"/>
        <v>2.1733870967741935</v>
      </c>
      <c r="S1086" s="271">
        <f t="shared" si="450"/>
        <v>3.0322580645161294</v>
      </c>
      <c r="T1086" s="192">
        <f t="shared" si="425"/>
        <v>451.63688195392274</v>
      </c>
      <c r="U1086" s="192">
        <f t="shared" si="423"/>
        <v>157.63688195392271</v>
      </c>
      <c r="V1086" s="192">
        <f t="shared" si="426"/>
        <v>383.99731182795699</v>
      </c>
      <c r="W1086" s="192">
        <f t="shared" si="427"/>
        <v>89.997311827956992</v>
      </c>
      <c r="X1086" s="192">
        <f t="shared" si="428"/>
        <v>8.5696776528474441</v>
      </c>
      <c r="Y1086" s="192">
        <f t="shared" si="428"/>
        <v>0</v>
      </c>
      <c r="Z1086" s="192">
        <f t="shared" si="429"/>
        <v>59.06989247311828</v>
      </c>
      <c r="AC1086" s="4">
        <v>3</v>
      </c>
      <c r="AD1086" s="192">
        <f t="shared" si="430"/>
        <v>98</v>
      </c>
      <c r="AE1086" s="192">
        <f t="shared" si="431"/>
        <v>24.56845238095238</v>
      </c>
      <c r="AF1086" s="192">
        <f t="shared" si="432"/>
        <v>25.748511904761902</v>
      </c>
      <c r="AG1086" s="192">
        <f t="shared" si="433"/>
        <v>43.709821428571423</v>
      </c>
      <c r="AH1086" s="192">
        <f t="shared" si="434"/>
        <v>18.318629002940039</v>
      </c>
      <c r="AI1086" s="192">
        <f t="shared" si="435"/>
        <v>7.697916666666667</v>
      </c>
      <c r="AJ1086" s="192">
        <f t="shared" si="436"/>
        <v>5.5044642857142856</v>
      </c>
      <c r="AK1086" s="192">
        <f t="shared" si="437"/>
        <v>8.5163690476190474</v>
      </c>
      <c r="AL1086" s="192">
        <f t="shared" si="438"/>
        <v>8.6175595238095237</v>
      </c>
      <c r="AM1086" s="192">
        <f t="shared" si="439"/>
        <v>2.776785714285714</v>
      </c>
      <c r="AN1086" s="192">
        <f t="shared" si="440"/>
        <v>3.2723214285714288</v>
      </c>
      <c r="AO1086" s="192">
        <f t="shared" si="441"/>
        <v>6.3169642857142856</v>
      </c>
      <c r="AP1086" s="192">
        <f t="shared" si="442"/>
        <v>1.2336309523809523</v>
      </c>
      <c r="AQ1086" s="192">
        <f t="shared" si="443"/>
        <v>1.9255952380952381</v>
      </c>
      <c r="AR1086" s="192">
        <f t="shared" si="444"/>
        <v>2.9196428571428572</v>
      </c>
      <c r="AS1086" s="192">
        <f t="shared" si="445"/>
        <v>259.12666471722565</v>
      </c>
      <c r="AT1086" s="192">
        <f t="shared" si="446"/>
        <v>19.99326074898104</v>
      </c>
      <c r="AU1086" s="192">
        <f t="shared" si="447"/>
        <v>279.11992546620667</v>
      </c>
      <c r="AW1086" s="192">
        <f t="shared" si="448"/>
        <v>353.73363095238096</v>
      </c>
      <c r="AX1086" s="192">
        <f t="shared" si="449"/>
        <v>-74.613705486174297</v>
      </c>
    </row>
    <row r="1087" spans="1:50" ht="15.75" customHeight="1" x14ac:dyDescent="0.3">
      <c r="A1087" s="211" t="s">
        <v>12</v>
      </c>
      <c r="B1087" s="211">
        <f t="shared" si="421"/>
        <v>294</v>
      </c>
      <c r="C1087" s="192">
        <f t="shared" si="421"/>
        <v>0</v>
      </c>
      <c r="D1087" s="271" t="s">
        <v>803</v>
      </c>
      <c r="E1087" s="192">
        <f t="shared" ref="E1087:S1087" si="451">+C1007/$F$10/24</f>
        <v>24.858333333333334</v>
      </c>
      <c r="F1087" s="192">
        <f t="shared" si="451"/>
        <v>26.018055555555552</v>
      </c>
      <c r="G1087" s="192">
        <f t="shared" si="451"/>
        <v>42.80555555555555</v>
      </c>
      <c r="H1087" s="192">
        <f t="shared" si="451"/>
        <v>0</v>
      </c>
      <c r="I1087" s="192">
        <f t="shared" si="451"/>
        <v>-2.1617115973750285</v>
      </c>
      <c r="J1087" s="192">
        <f t="shared" si="451"/>
        <v>15.241666666666667</v>
      </c>
      <c r="K1087" s="192">
        <f t="shared" si="451"/>
        <v>9.8986111111111104</v>
      </c>
      <c r="L1087" s="192">
        <f t="shared" si="451"/>
        <v>12.048611111111112</v>
      </c>
      <c r="M1087" s="192">
        <f t="shared" si="451"/>
        <v>11.395833333333334</v>
      </c>
      <c r="N1087" s="192">
        <f t="shared" si="451"/>
        <v>3.5500000000000003</v>
      </c>
      <c r="O1087" s="192">
        <f t="shared" si="451"/>
        <v>4.1833333333333336</v>
      </c>
      <c r="P1087" s="192">
        <f t="shared" si="451"/>
        <v>7.8666666666666671</v>
      </c>
      <c r="Q1087" s="192">
        <f t="shared" si="451"/>
        <v>1.4819444444444445</v>
      </c>
      <c r="R1087" s="192">
        <f t="shared" si="451"/>
        <v>2.6958333333333333</v>
      </c>
      <c r="S1087" s="271">
        <f t="shared" si="451"/>
        <v>3.5069444444444446</v>
      </c>
      <c r="T1087" s="192">
        <f t="shared" si="425"/>
        <v>457.38967729151386</v>
      </c>
      <c r="U1087" s="192">
        <f t="shared" si="423"/>
        <v>163.38967729151389</v>
      </c>
      <c r="V1087" s="192">
        <f t="shared" si="426"/>
        <v>387.68194444444441</v>
      </c>
      <c r="W1087" s="192">
        <f t="shared" si="427"/>
        <v>93.68194444444444</v>
      </c>
      <c r="X1087" s="192">
        <f t="shared" si="428"/>
        <v>0</v>
      </c>
      <c r="Y1087" s="192">
        <f t="shared" si="428"/>
        <v>-2.1617115973750285</v>
      </c>
      <c r="Z1087" s="192">
        <f t="shared" si="429"/>
        <v>71.869444444444468</v>
      </c>
      <c r="AC1087" s="4">
        <v>4</v>
      </c>
      <c r="AD1087" s="192">
        <f t="shared" si="430"/>
        <v>98</v>
      </c>
      <c r="AE1087" s="192">
        <f t="shared" si="431"/>
        <v>24.56845238095238</v>
      </c>
      <c r="AF1087" s="192">
        <f t="shared" si="432"/>
        <v>25.748511904761902</v>
      </c>
      <c r="AG1087" s="192">
        <f t="shared" si="433"/>
        <v>43.709821428571423</v>
      </c>
      <c r="AH1087" s="192">
        <f t="shared" si="434"/>
        <v>18.318629002940039</v>
      </c>
      <c r="AI1087" s="192">
        <f t="shared" si="435"/>
        <v>7.697916666666667</v>
      </c>
      <c r="AJ1087" s="192">
        <f t="shared" si="436"/>
        <v>5.5044642857142856</v>
      </c>
      <c r="AK1087" s="192">
        <f t="shared" si="437"/>
        <v>8.5163690476190474</v>
      </c>
      <c r="AL1087" s="192">
        <f t="shared" si="438"/>
        <v>8.6175595238095237</v>
      </c>
      <c r="AM1087" s="192">
        <f t="shared" si="439"/>
        <v>2.776785714285714</v>
      </c>
      <c r="AN1087" s="192">
        <f t="shared" si="440"/>
        <v>3.2723214285714288</v>
      </c>
      <c r="AO1087" s="192">
        <f t="shared" si="441"/>
        <v>6.3169642857142856</v>
      </c>
      <c r="AP1087" s="192">
        <f t="shared" si="442"/>
        <v>1.2336309523809523</v>
      </c>
      <c r="AQ1087" s="192">
        <f t="shared" si="443"/>
        <v>1.9255952380952381</v>
      </c>
      <c r="AR1087" s="192">
        <f t="shared" si="444"/>
        <v>2.9196428571428572</v>
      </c>
      <c r="AS1087" s="192">
        <f t="shared" si="445"/>
        <v>259.12666471722565</v>
      </c>
      <c r="AT1087" s="192">
        <f t="shared" si="446"/>
        <v>19.99326074898104</v>
      </c>
      <c r="AU1087" s="192">
        <f t="shared" si="447"/>
        <v>279.11992546620667</v>
      </c>
      <c r="AW1087" s="192">
        <f t="shared" si="448"/>
        <v>353.73363095238096</v>
      </c>
      <c r="AX1087" s="192">
        <f t="shared" si="449"/>
        <v>-74.613705486174297</v>
      </c>
    </row>
    <row r="1088" spans="1:50" ht="15.75" customHeight="1" x14ac:dyDescent="0.3">
      <c r="A1088" s="211" t="s">
        <v>13</v>
      </c>
      <c r="B1088" s="211">
        <f t="shared" si="421"/>
        <v>294</v>
      </c>
      <c r="C1088" s="192">
        <f t="shared" si="421"/>
        <v>0</v>
      </c>
      <c r="D1088" s="271" t="s">
        <v>803</v>
      </c>
      <c r="E1088" s="192">
        <f t="shared" ref="E1088:S1088" si="452">+C1008/$G$10/24</f>
        <v>28.295698924731184</v>
      </c>
      <c r="F1088" s="192">
        <f t="shared" si="452"/>
        <v>29.618279569892476</v>
      </c>
      <c r="G1088" s="192">
        <f t="shared" si="452"/>
        <v>48.514784946236553</v>
      </c>
      <c r="H1088" s="192">
        <f t="shared" si="452"/>
        <v>0</v>
      </c>
      <c r="I1088" s="192">
        <f t="shared" si="452"/>
        <v>0</v>
      </c>
      <c r="J1088" s="192">
        <f t="shared" si="452"/>
        <v>15.69220430107527</v>
      </c>
      <c r="K1088" s="192">
        <f t="shared" si="452"/>
        <v>8.6666666666666661</v>
      </c>
      <c r="L1088" s="192">
        <f t="shared" si="452"/>
        <v>11.379032258064518</v>
      </c>
      <c r="M1088" s="192">
        <f t="shared" si="452"/>
        <v>10.825268817204302</v>
      </c>
      <c r="N1088" s="192">
        <f t="shared" si="452"/>
        <v>3.470430107526882</v>
      </c>
      <c r="O1088" s="192">
        <f t="shared" si="452"/>
        <v>4.088709677419355</v>
      </c>
      <c r="P1088" s="192">
        <f t="shared" si="452"/>
        <v>7.844086021505376</v>
      </c>
      <c r="Q1088" s="192">
        <f t="shared" si="452"/>
        <v>1.4126344086021507</v>
      </c>
      <c r="R1088" s="192">
        <f t="shared" si="452"/>
        <v>3.043010752688172</v>
      </c>
      <c r="S1088" s="271">
        <f t="shared" si="452"/>
        <v>3.34005376344086</v>
      </c>
      <c r="T1088" s="192">
        <f t="shared" si="425"/>
        <v>470.1908602150537</v>
      </c>
      <c r="U1088" s="192">
        <f t="shared" si="423"/>
        <v>176.19086021505373</v>
      </c>
      <c r="V1088" s="192">
        <f t="shared" si="426"/>
        <v>400.42876344086022</v>
      </c>
      <c r="W1088" s="192">
        <f t="shared" si="427"/>
        <v>106.42876344086022</v>
      </c>
      <c r="X1088" s="192">
        <f t="shared" si="428"/>
        <v>0</v>
      </c>
      <c r="Y1088" s="192">
        <f t="shared" si="428"/>
        <v>0</v>
      </c>
      <c r="Z1088" s="192">
        <f t="shared" si="429"/>
        <v>69.762096774193552</v>
      </c>
      <c r="AC1088" s="4">
        <v>5</v>
      </c>
      <c r="AD1088" s="192">
        <f t="shared" si="430"/>
        <v>98</v>
      </c>
      <c r="AE1088" s="192">
        <f t="shared" si="431"/>
        <v>24.56845238095238</v>
      </c>
      <c r="AF1088" s="192">
        <f t="shared" si="432"/>
        <v>25.748511904761902</v>
      </c>
      <c r="AG1088" s="192">
        <f t="shared" si="433"/>
        <v>43.709821428571423</v>
      </c>
      <c r="AH1088" s="192">
        <f t="shared" si="434"/>
        <v>18.318629002940039</v>
      </c>
      <c r="AI1088" s="192">
        <f t="shared" si="435"/>
        <v>7.697916666666667</v>
      </c>
      <c r="AJ1088" s="192">
        <f t="shared" si="436"/>
        <v>5.5044642857142856</v>
      </c>
      <c r="AK1088" s="192">
        <f t="shared" si="437"/>
        <v>8.5163690476190474</v>
      </c>
      <c r="AL1088" s="192">
        <f t="shared" si="438"/>
        <v>8.6175595238095237</v>
      </c>
      <c r="AM1088" s="192">
        <f t="shared" si="439"/>
        <v>2.776785714285714</v>
      </c>
      <c r="AN1088" s="192">
        <f t="shared" si="440"/>
        <v>3.2723214285714288</v>
      </c>
      <c r="AO1088" s="192">
        <f t="shared" si="441"/>
        <v>6.3169642857142856</v>
      </c>
      <c r="AP1088" s="192">
        <f t="shared" si="442"/>
        <v>1.2336309523809523</v>
      </c>
      <c r="AQ1088" s="192">
        <f t="shared" si="443"/>
        <v>1.9255952380952381</v>
      </c>
      <c r="AR1088" s="192">
        <f t="shared" si="444"/>
        <v>2.9196428571428572</v>
      </c>
      <c r="AS1088" s="192">
        <f t="shared" si="445"/>
        <v>259.12666471722565</v>
      </c>
      <c r="AT1088" s="192">
        <f t="shared" si="446"/>
        <v>19.99326074898104</v>
      </c>
      <c r="AU1088" s="192">
        <f t="shared" si="447"/>
        <v>279.11992546620667</v>
      </c>
      <c r="AW1088" s="192">
        <f t="shared" si="448"/>
        <v>353.73363095238096</v>
      </c>
      <c r="AX1088" s="192">
        <f t="shared" si="449"/>
        <v>-74.613705486174297</v>
      </c>
    </row>
    <row r="1089" spans="1:50" ht="15.75" customHeight="1" x14ac:dyDescent="0.3">
      <c r="A1089" s="211" t="s">
        <v>14</v>
      </c>
      <c r="B1089" s="211">
        <f t="shared" si="421"/>
        <v>147</v>
      </c>
      <c r="C1089" s="192">
        <f t="shared" si="421"/>
        <v>0</v>
      </c>
      <c r="D1089" s="271" t="str">
        <f>H1116</f>
        <v>n/a</v>
      </c>
      <c r="E1089" s="192">
        <f t="shared" ref="E1089:S1089" si="453">+C1009/$H$10/24</f>
        <v>12.575000000000001</v>
      </c>
      <c r="F1089" s="192">
        <f t="shared" si="453"/>
        <v>13.12361111111111</v>
      </c>
      <c r="G1089" s="192">
        <f t="shared" si="453"/>
        <v>20.208333333333332</v>
      </c>
      <c r="H1089" s="192">
        <f t="shared" si="453"/>
        <v>0</v>
      </c>
      <c r="I1089" s="192">
        <f t="shared" si="453"/>
        <v>-21.96721634360711</v>
      </c>
      <c r="J1089" s="192">
        <f t="shared" si="453"/>
        <v>19.022222222222222</v>
      </c>
      <c r="K1089" s="192">
        <f t="shared" si="453"/>
        <v>11.31388888888889</v>
      </c>
      <c r="L1089" s="192">
        <f t="shared" si="453"/>
        <v>11.394444444444444</v>
      </c>
      <c r="M1089" s="192">
        <f t="shared" si="453"/>
        <v>9.7263888888888896</v>
      </c>
      <c r="N1089" s="192">
        <f t="shared" si="453"/>
        <v>3.1902777777777778</v>
      </c>
      <c r="O1089" s="192">
        <f t="shared" si="453"/>
        <v>3.7569444444444446</v>
      </c>
      <c r="P1089" s="192">
        <f t="shared" si="453"/>
        <v>7.2986111111111107</v>
      </c>
      <c r="Q1089" s="192">
        <f t="shared" si="453"/>
        <v>1.440277777777778</v>
      </c>
      <c r="R1089" s="192">
        <f t="shared" si="453"/>
        <v>3.2347222222222225</v>
      </c>
      <c r="S1089" s="271">
        <f t="shared" si="453"/>
        <v>3.4055555555555554</v>
      </c>
      <c r="T1089" s="192">
        <f t="shared" si="425"/>
        <v>244.72306143417069</v>
      </c>
      <c r="U1089" s="192">
        <f t="shared" si="423"/>
        <v>97.723061434170674</v>
      </c>
      <c r="V1089" s="192">
        <f t="shared" si="426"/>
        <v>192.90694444444443</v>
      </c>
      <c r="W1089" s="192">
        <f t="shared" si="427"/>
        <v>45.906944444444449</v>
      </c>
      <c r="X1089" s="192">
        <f t="shared" si="428"/>
        <v>0</v>
      </c>
      <c r="Y1089" s="192">
        <f t="shared" si="428"/>
        <v>-21.96721634360711</v>
      </c>
      <c r="Z1089" s="192">
        <f t="shared" si="429"/>
        <v>73.783333333333331</v>
      </c>
      <c r="AC1089" s="4">
        <v>6</v>
      </c>
      <c r="AD1089" s="192">
        <f t="shared" si="430"/>
        <v>98</v>
      </c>
      <c r="AE1089" s="192">
        <f t="shared" si="431"/>
        <v>24.56845238095238</v>
      </c>
      <c r="AF1089" s="192">
        <f t="shared" si="432"/>
        <v>25.748511904761902</v>
      </c>
      <c r="AG1089" s="192">
        <f t="shared" si="433"/>
        <v>43.709821428571423</v>
      </c>
      <c r="AH1089" s="192">
        <f t="shared" si="434"/>
        <v>18.318629002940039</v>
      </c>
      <c r="AI1089" s="192">
        <f t="shared" si="435"/>
        <v>7.697916666666667</v>
      </c>
      <c r="AJ1089" s="192">
        <f t="shared" si="436"/>
        <v>5.5044642857142856</v>
      </c>
      <c r="AK1089" s="192">
        <f t="shared" si="437"/>
        <v>8.5163690476190474</v>
      </c>
      <c r="AL1089" s="192">
        <f t="shared" si="438"/>
        <v>8.6175595238095237</v>
      </c>
      <c r="AM1089" s="192">
        <f t="shared" si="439"/>
        <v>2.776785714285714</v>
      </c>
      <c r="AN1089" s="192">
        <f t="shared" si="440"/>
        <v>3.2723214285714288</v>
      </c>
      <c r="AO1089" s="192">
        <f t="shared" si="441"/>
        <v>6.3169642857142856</v>
      </c>
      <c r="AP1089" s="192">
        <f t="shared" si="442"/>
        <v>1.2336309523809523</v>
      </c>
      <c r="AQ1089" s="192">
        <f t="shared" si="443"/>
        <v>1.9255952380952381</v>
      </c>
      <c r="AR1089" s="192">
        <f t="shared" si="444"/>
        <v>2.9196428571428572</v>
      </c>
      <c r="AS1089" s="192">
        <f t="shared" si="445"/>
        <v>259.12666471722565</v>
      </c>
      <c r="AT1089" s="192">
        <f t="shared" si="446"/>
        <v>19.99326074898104</v>
      </c>
      <c r="AU1089" s="192">
        <f t="shared" si="447"/>
        <v>279.11992546620667</v>
      </c>
      <c r="AW1089" s="192">
        <f t="shared" si="448"/>
        <v>353.73363095238096</v>
      </c>
      <c r="AX1089" s="192">
        <f t="shared" si="449"/>
        <v>-74.613705486174297</v>
      </c>
    </row>
    <row r="1090" spans="1:50" ht="15.75" customHeight="1" x14ac:dyDescent="0.3">
      <c r="A1090" s="211" t="s">
        <v>16</v>
      </c>
      <c r="B1090" s="211">
        <f t="shared" si="421"/>
        <v>147</v>
      </c>
      <c r="C1090" s="192">
        <f t="shared" si="421"/>
        <v>0</v>
      </c>
      <c r="D1090" s="271" t="str">
        <f>H1117</f>
        <v>n/a</v>
      </c>
      <c r="E1090" s="192">
        <f t="shared" ref="E1090:S1090" si="454">+C1010/$J$10/24</f>
        <v>8.4408602150537639</v>
      </c>
      <c r="F1090" s="192">
        <f t="shared" si="454"/>
        <v>8.7876344086021501</v>
      </c>
      <c r="G1090" s="192">
        <f t="shared" si="454"/>
        <v>13.01747311827957</v>
      </c>
      <c r="H1090" s="192">
        <f t="shared" si="454"/>
        <v>0</v>
      </c>
      <c r="I1090" s="192">
        <f t="shared" si="454"/>
        <v>-19.852710780525623</v>
      </c>
      <c r="J1090" s="192">
        <f t="shared" si="454"/>
        <v>17.498655913978492</v>
      </c>
      <c r="K1090" s="192">
        <f t="shared" si="454"/>
        <v>11.779569892473118</v>
      </c>
      <c r="L1090" s="192">
        <f t="shared" si="454"/>
        <v>11.301075268817206</v>
      </c>
      <c r="M1090" s="192">
        <f t="shared" si="454"/>
        <v>9.5053763440860219</v>
      </c>
      <c r="N1090" s="192">
        <f t="shared" si="454"/>
        <v>2.9032258064516125</v>
      </c>
      <c r="O1090" s="192">
        <f t="shared" si="454"/>
        <v>3.4193548387096775</v>
      </c>
      <c r="P1090" s="192">
        <f t="shared" si="454"/>
        <v>6.9005376344086029</v>
      </c>
      <c r="Q1090" s="192">
        <f t="shared" si="454"/>
        <v>1.428763440860215</v>
      </c>
      <c r="R1090" s="192">
        <f t="shared" si="454"/>
        <v>2.8266129032258065</v>
      </c>
      <c r="S1090" s="271">
        <f t="shared" si="454"/>
        <v>3.3803763440860215</v>
      </c>
      <c r="T1090" s="192">
        <f t="shared" si="425"/>
        <v>228.33680534850663</v>
      </c>
      <c r="U1090" s="192">
        <f t="shared" si="423"/>
        <v>81.33680534850663</v>
      </c>
      <c r="V1090" s="192">
        <f t="shared" si="426"/>
        <v>177.24596774193549</v>
      </c>
      <c r="W1090" s="192">
        <f t="shared" si="427"/>
        <v>30.24596774193548</v>
      </c>
      <c r="X1090" s="192">
        <f t="shared" si="428"/>
        <v>0</v>
      </c>
      <c r="Y1090" s="192">
        <f t="shared" si="428"/>
        <v>-19.852710780525623</v>
      </c>
      <c r="Z1090" s="192">
        <f t="shared" si="429"/>
        <v>70.943548387096769</v>
      </c>
      <c r="AC1090" s="4">
        <v>7</v>
      </c>
      <c r="AD1090" s="192">
        <f>IF($AF$1081=1,VLOOKUP($AD$1081,$A$1111:$P$1122,12,FALSE),IF(OR($AD$1081="JAN",$AD$1081="FEB",$AD$1081="NOV",$AD$1081="DEC"),VLOOKUP($AD$1081,$A$1084:$S$1095,2,FALSE),VLOOKUP($AD$1081,$A$1084:$S$1095,3,FALSE)))</f>
        <v>98</v>
      </c>
      <c r="AE1090" s="192">
        <f t="shared" si="431"/>
        <v>24.56845238095238</v>
      </c>
      <c r="AF1090" s="192">
        <f t="shared" si="432"/>
        <v>25.748511904761902</v>
      </c>
      <c r="AG1090" s="192">
        <f t="shared" si="433"/>
        <v>43.709821428571423</v>
      </c>
      <c r="AH1090" s="192">
        <f t="shared" si="434"/>
        <v>18.318629002940039</v>
      </c>
      <c r="AI1090" s="192">
        <f t="shared" si="435"/>
        <v>7.697916666666667</v>
      </c>
      <c r="AJ1090" s="192">
        <f t="shared" si="436"/>
        <v>5.5044642857142856</v>
      </c>
      <c r="AK1090" s="192">
        <f t="shared" si="437"/>
        <v>8.5163690476190474</v>
      </c>
      <c r="AL1090" s="192">
        <f t="shared" si="438"/>
        <v>8.6175595238095237</v>
      </c>
      <c r="AM1090" s="192">
        <f t="shared" si="439"/>
        <v>2.776785714285714</v>
      </c>
      <c r="AN1090" s="192">
        <f t="shared" si="440"/>
        <v>3.2723214285714288</v>
      </c>
      <c r="AO1090" s="192">
        <f t="shared" si="441"/>
        <v>6.3169642857142856</v>
      </c>
      <c r="AP1090" s="192">
        <f t="shared" si="442"/>
        <v>1.2336309523809523</v>
      </c>
      <c r="AQ1090" s="192">
        <f t="shared" si="443"/>
        <v>1.9255952380952381</v>
      </c>
      <c r="AR1090" s="192">
        <f t="shared" si="444"/>
        <v>2.9196428571428572</v>
      </c>
      <c r="AS1090" s="192">
        <f t="shared" si="445"/>
        <v>259.12666471722565</v>
      </c>
      <c r="AT1090" s="192">
        <f t="shared" si="446"/>
        <v>19.99326074898104</v>
      </c>
      <c r="AU1090" s="192">
        <f t="shared" si="447"/>
        <v>279.11992546620667</v>
      </c>
      <c r="AW1090" s="192">
        <f t="shared" si="448"/>
        <v>353.73363095238096</v>
      </c>
      <c r="AX1090" s="192">
        <f t="shared" si="449"/>
        <v>-74.613705486174297</v>
      </c>
    </row>
    <row r="1091" spans="1:50" ht="15.75" customHeight="1" x14ac:dyDescent="0.3">
      <c r="A1091" s="211" t="s">
        <v>17</v>
      </c>
      <c r="B1091" s="211">
        <f t="shared" si="421"/>
        <v>147</v>
      </c>
      <c r="C1091" s="192">
        <f t="shared" si="421"/>
        <v>0</v>
      </c>
      <c r="D1091" s="271" t="str">
        <f>H1118</f>
        <v>n/a</v>
      </c>
      <c r="E1091" s="192">
        <f t="shared" ref="E1091:S1091" si="455">+C1011/$K$10/24</f>
        <v>8.512096774193548</v>
      </c>
      <c r="F1091" s="192">
        <f t="shared" si="455"/>
        <v>8.8763440860215059</v>
      </c>
      <c r="G1091" s="192">
        <f t="shared" si="455"/>
        <v>13.489247311827958</v>
      </c>
      <c r="H1091" s="192">
        <f t="shared" si="455"/>
        <v>0</v>
      </c>
      <c r="I1091" s="192">
        <f t="shared" si="455"/>
        <v>-10.87922856973494</v>
      </c>
      <c r="J1091" s="192">
        <f t="shared" si="455"/>
        <v>13.24731182795699</v>
      </c>
      <c r="K1091" s="192">
        <f t="shared" si="455"/>
        <v>9.3521505376344081</v>
      </c>
      <c r="L1091" s="192">
        <f t="shared" si="455"/>
        <v>10.618279569892474</v>
      </c>
      <c r="M1091" s="192">
        <f t="shared" si="455"/>
        <v>9.4206989247311821</v>
      </c>
      <c r="N1091" s="192">
        <f t="shared" si="455"/>
        <v>2.8897849462365595</v>
      </c>
      <c r="O1091" s="192">
        <f t="shared" si="455"/>
        <v>3.4032258064516125</v>
      </c>
      <c r="P1091" s="192">
        <f t="shared" si="455"/>
        <v>6.8024193548387091</v>
      </c>
      <c r="Q1091" s="192">
        <f t="shared" si="455"/>
        <v>1.4435483870967742</v>
      </c>
      <c r="R1091" s="192">
        <f t="shared" si="455"/>
        <v>2.6088709677419355</v>
      </c>
      <c r="S1091" s="271">
        <f t="shared" si="455"/>
        <v>3.4166666666666665</v>
      </c>
      <c r="T1091" s="192">
        <f t="shared" si="425"/>
        <v>230.20141659155539</v>
      </c>
      <c r="U1091" s="192">
        <f t="shared" si="423"/>
        <v>83.201416591555386</v>
      </c>
      <c r="V1091" s="192">
        <f t="shared" si="426"/>
        <v>177.87768817204301</v>
      </c>
      <c r="W1091" s="192">
        <f t="shared" si="427"/>
        <v>30.877688172043015</v>
      </c>
      <c r="X1091" s="192">
        <f t="shared" si="428"/>
        <v>0</v>
      </c>
      <c r="Y1091" s="192">
        <f t="shared" si="428"/>
        <v>-10.87922856973494</v>
      </c>
      <c r="Z1091" s="192">
        <f t="shared" si="429"/>
        <v>63.202956989247319</v>
      </c>
      <c r="AC1091" s="4">
        <v>8</v>
      </c>
      <c r="AD1091" s="192">
        <f>IF($AF$1081=1,VLOOKUP($AD$1081,$A$1111:$P$1122,12,FALSE),VLOOKUP($AD$1081,$A$1084:$S$1095,3,FALSE))</f>
        <v>0</v>
      </c>
      <c r="AE1091" s="192">
        <f t="shared" si="431"/>
        <v>24.56845238095238</v>
      </c>
      <c r="AF1091" s="192">
        <f t="shared" si="432"/>
        <v>25.748511904761902</v>
      </c>
      <c r="AG1091" s="192">
        <f t="shared" si="433"/>
        <v>43.709821428571423</v>
      </c>
      <c r="AH1091" s="192">
        <f t="shared" si="434"/>
        <v>18.318629002940039</v>
      </c>
      <c r="AI1091" s="192">
        <f t="shared" si="435"/>
        <v>7.697916666666667</v>
      </c>
      <c r="AJ1091" s="192">
        <f t="shared" si="436"/>
        <v>5.5044642857142856</v>
      </c>
      <c r="AK1091" s="192">
        <f t="shared" si="437"/>
        <v>8.5163690476190474</v>
      </c>
      <c r="AL1091" s="192">
        <f t="shared" si="438"/>
        <v>8.6175595238095237</v>
      </c>
      <c r="AM1091" s="192">
        <f t="shared" si="439"/>
        <v>2.776785714285714</v>
      </c>
      <c r="AN1091" s="192">
        <f t="shared" si="440"/>
        <v>3.2723214285714288</v>
      </c>
      <c r="AO1091" s="192">
        <f t="shared" si="441"/>
        <v>6.3169642857142856</v>
      </c>
      <c r="AP1091" s="192">
        <f t="shared" si="442"/>
        <v>1.2336309523809523</v>
      </c>
      <c r="AQ1091" s="192">
        <f t="shared" si="443"/>
        <v>1.9255952380952381</v>
      </c>
      <c r="AR1091" s="192">
        <f t="shared" si="444"/>
        <v>2.9196428571428572</v>
      </c>
      <c r="AS1091" s="192">
        <f t="shared" si="445"/>
        <v>161.12666471722574</v>
      </c>
      <c r="AT1091" s="192">
        <f t="shared" si="446"/>
        <v>12.431941054080911</v>
      </c>
      <c r="AU1091" s="192">
        <f t="shared" si="447"/>
        <v>173.55860577130665</v>
      </c>
      <c r="AW1091" s="192">
        <f t="shared" si="448"/>
        <v>353.73363095238096</v>
      </c>
      <c r="AX1091" s="192">
        <f t="shared" si="449"/>
        <v>-180.17502518107432</v>
      </c>
    </row>
    <row r="1092" spans="1:50" ht="15.75" customHeight="1" x14ac:dyDescent="0.3">
      <c r="A1092" s="211" t="s">
        <v>18</v>
      </c>
      <c r="B1092" s="211">
        <f t="shared" si="421"/>
        <v>245</v>
      </c>
      <c r="C1092" s="192">
        <f t="shared" si="421"/>
        <v>0</v>
      </c>
      <c r="D1092" s="271" t="s">
        <v>803</v>
      </c>
      <c r="E1092" s="192">
        <f t="shared" ref="E1092:S1092" si="456">+C1012/$L$10/24</f>
        <v>22.040277777777778</v>
      </c>
      <c r="F1092" s="192">
        <f t="shared" si="456"/>
        <v>23.070833333333336</v>
      </c>
      <c r="G1092" s="192">
        <f t="shared" si="456"/>
        <v>38.365277777777777</v>
      </c>
      <c r="H1092" s="192">
        <f t="shared" si="456"/>
        <v>3.7402394118380697</v>
      </c>
      <c r="I1092" s="192">
        <f t="shared" si="456"/>
        <v>0</v>
      </c>
      <c r="J1092" s="192">
        <f t="shared" si="456"/>
        <v>9.4763888888888896</v>
      </c>
      <c r="K1092" s="192">
        <f t="shared" si="456"/>
        <v>5.8805555555555555</v>
      </c>
      <c r="L1092" s="192">
        <f t="shared" si="456"/>
        <v>8.7333333333333325</v>
      </c>
      <c r="M1092" s="192">
        <f t="shared" si="456"/>
        <v>8.4749999999999996</v>
      </c>
      <c r="N1092" s="192">
        <f t="shared" si="456"/>
        <v>2.7819444444444446</v>
      </c>
      <c r="O1092" s="192">
        <f t="shared" si="456"/>
        <v>3.2777777777777781</v>
      </c>
      <c r="P1092" s="192">
        <f t="shared" si="456"/>
        <v>6.5555555555555562</v>
      </c>
      <c r="Q1092" s="192">
        <f t="shared" si="456"/>
        <v>1.1958333333333333</v>
      </c>
      <c r="R1092" s="192">
        <f t="shared" si="456"/>
        <v>2.4708333333333332</v>
      </c>
      <c r="S1092" s="271">
        <f t="shared" si="456"/>
        <v>2.8291666666666671</v>
      </c>
      <c r="T1092" s="192">
        <f t="shared" si="425"/>
        <v>383.89301718961588</v>
      </c>
      <c r="U1092" s="192">
        <f t="shared" si="423"/>
        <v>138.89301718961585</v>
      </c>
      <c r="V1092" s="192">
        <f t="shared" si="426"/>
        <v>328.47638888888889</v>
      </c>
      <c r="W1092" s="192">
        <f t="shared" si="427"/>
        <v>83.476388888888891</v>
      </c>
      <c r="X1092" s="192">
        <f t="shared" si="428"/>
        <v>3.7402394118380697</v>
      </c>
      <c r="Y1092" s="192">
        <f t="shared" si="428"/>
        <v>0</v>
      </c>
      <c r="Z1092" s="192">
        <f t="shared" si="429"/>
        <v>51.676388888888887</v>
      </c>
      <c r="AC1092" s="4">
        <v>9</v>
      </c>
      <c r="AD1092" s="192">
        <f>IF($AF$1081=1,VLOOKUP($AD$1081,$A$1111:$P$1122,12,FALSE),VLOOKUP($AD$1081,$A$1084:$S$1095,3,FALSE))</f>
        <v>0</v>
      </c>
      <c r="AE1092" s="192">
        <f t="shared" si="431"/>
        <v>24.56845238095238</v>
      </c>
      <c r="AF1092" s="192">
        <f t="shared" si="432"/>
        <v>25.748511904761902</v>
      </c>
      <c r="AG1092" s="192">
        <f t="shared" si="433"/>
        <v>43.709821428571423</v>
      </c>
      <c r="AH1092" s="192">
        <f t="shared" si="434"/>
        <v>18.318629002940039</v>
      </c>
      <c r="AI1092" s="192">
        <f t="shared" si="435"/>
        <v>7.697916666666667</v>
      </c>
      <c r="AJ1092" s="192">
        <f t="shared" si="436"/>
        <v>5.5044642857142856</v>
      </c>
      <c r="AK1092" s="192">
        <f t="shared" si="437"/>
        <v>8.5163690476190474</v>
      </c>
      <c r="AL1092" s="192">
        <f t="shared" si="438"/>
        <v>8.6175595238095237</v>
      </c>
      <c r="AM1092" s="192">
        <f t="shared" si="439"/>
        <v>2.776785714285714</v>
      </c>
      <c r="AN1092" s="192">
        <f t="shared" si="440"/>
        <v>3.2723214285714288</v>
      </c>
      <c r="AO1092" s="192">
        <f t="shared" si="441"/>
        <v>6.3169642857142856</v>
      </c>
      <c r="AP1092" s="192">
        <f t="shared" si="442"/>
        <v>1.2336309523809523</v>
      </c>
      <c r="AQ1092" s="192">
        <f t="shared" si="443"/>
        <v>1.9255952380952381</v>
      </c>
      <c r="AR1092" s="192">
        <f t="shared" si="444"/>
        <v>2.9196428571428572</v>
      </c>
      <c r="AS1092" s="192">
        <f t="shared" si="445"/>
        <v>161.12666471722574</v>
      </c>
      <c r="AT1092" s="192">
        <f t="shared" si="446"/>
        <v>12.431941054080911</v>
      </c>
      <c r="AU1092" s="192">
        <f t="shared" si="447"/>
        <v>173.55860577130665</v>
      </c>
      <c r="AW1092" s="192">
        <f t="shared" si="448"/>
        <v>353.73363095238096</v>
      </c>
      <c r="AX1092" s="192">
        <f t="shared" si="449"/>
        <v>-180.17502518107432</v>
      </c>
    </row>
    <row r="1093" spans="1:50" ht="15.75" customHeight="1" x14ac:dyDescent="0.3">
      <c r="A1093" s="211" t="s">
        <v>20</v>
      </c>
      <c r="B1093" s="211">
        <f t="shared" si="421"/>
        <v>245</v>
      </c>
      <c r="C1093" s="192">
        <f t="shared" si="421"/>
        <v>0</v>
      </c>
      <c r="D1093" s="271" t="s">
        <v>803</v>
      </c>
      <c r="E1093" s="192">
        <f t="shared" ref="E1093:S1093" si="457">+C1013/$N$10/24</f>
        <v>23.65456989247312</v>
      </c>
      <c r="F1093" s="192">
        <f t="shared" si="457"/>
        <v>24.771505376344084</v>
      </c>
      <c r="G1093" s="192">
        <f t="shared" si="457"/>
        <v>41.638440860215056</v>
      </c>
      <c r="H1093" s="192">
        <f t="shared" si="457"/>
        <v>13.708029347336522</v>
      </c>
      <c r="I1093" s="192">
        <f t="shared" si="457"/>
        <v>0</v>
      </c>
      <c r="J1093" s="192">
        <f t="shared" si="457"/>
        <v>6.3091397849462361</v>
      </c>
      <c r="K1093" s="192">
        <f t="shared" si="457"/>
        <v>2.5268817204301075</v>
      </c>
      <c r="L1093" s="192">
        <f t="shared" si="457"/>
        <v>3.728494623655914</v>
      </c>
      <c r="M1093" s="192">
        <f t="shared" si="457"/>
        <v>3.5551075268817205</v>
      </c>
      <c r="N1093" s="192">
        <f t="shared" si="457"/>
        <v>1.1317204301075268</v>
      </c>
      <c r="O1093" s="192">
        <f t="shared" si="457"/>
        <v>1.3306451612903225</v>
      </c>
      <c r="P1093" s="192">
        <f t="shared" si="457"/>
        <v>2.5134408602150535</v>
      </c>
      <c r="Q1093" s="192">
        <f t="shared" si="457"/>
        <v>0.592741935483871</v>
      </c>
      <c r="R1093" s="192">
        <f t="shared" si="457"/>
        <v>2.1733870967741935</v>
      </c>
      <c r="S1093" s="271">
        <f t="shared" si="457"/>
        <v>1.4018817204301077</v>
      </c>
      <c r="T1093" s="192">
        <f t="shared" si="425"/>
        <v>374.03598633658385</v>
      </c>
      <c r="U1093" s="192">
        <f t="shared" si="423"/>
        <v>129.03598633658385</v>
      </c>
      <c r="V1093" s="192">
        <f t="shared" si="426"/>
        <v>335.06451612903226</v>
      </c>
      <c r="W1093" s="192">
        <f t="shared" si="427"/>
        <v>90.064516129032256</v>
      </c>
      <c r="X1093" s="192">
        <f t="shared" si="428"/>
        <v>13.708029347336522</v>
      </c>
      <c r="Y1093" s="192">
        <f t="shared" si="428"/>
        <v>0</v>
      </c>
      <c r="Z1093" s="192">
        <f t="shared" si="429"/>
        <v>25.263440860215056</v>
      </c>
      <c r="AC1093" s="4">
        <v>10</v>
      </c>
      <c r="AD1093" s="192">
        <f>IF($AF$1081=1,VLOOKUP($AD$1081,$A$1111:$P$1122,12,FALSE),VLOOKUP($AD$1081,$A$1084:$S$1095,3,FALSE))</f>
        <v>0</v>
      </c>
      <c r="AE1093" s="192">
        <f t="shared" si="431"/>
        <v>24.56845238095238</v>
      </c>
      <c r="AF1093" s="192">
        <f t="shared" si="432"/>
        <v>25.748511904761902</v>
      </c>
      <c r="AG1093" s="192">
        <f t="shared" si="433"/>
        <v>43.709821428571423</v>
      </c>
      <c r="AH1093" s="192">
        <f t="shared" si="434"/>
        <v>18.318629002940039</v>
      </c>
      <c r="AI1093" s="192">
        <f t="shared" si="435"/>
        <v>7.697916666666667</v>
      </c>
      <c r="AJ1093" s="192">
        <f t="shared" si="436"/>
        <v>5.5044642857142856</v>
      </c>
      <c r="AK1093" s="192">
        <f t="shared" si="437"/>
        <v>8.5163690476190474</v>
      </c>
      <c r="AL1093" s="192">
        <f t="shared" si="438"/>
        <v>8.6175595238095237</v>
      </c>
      <c r="AM1093" s="192">
        <f t="shared" si="439"/>
        <v>2.776785714285714</v>
      </c>
      <c r="AN1093" s="192">
        <f t="shared" si="440"/>
        <v>3.2723214285714288</v>
      </c>
      <c r="AO1093" s="192">
        <f t="shared" si="441"/>
        <v>6.3169642857142856</v>
      </c>
      <c r="AP1093" s="192">
        <f t="shared" si="442"/>
        <v>1.2336309523809523</v>
      </c>
      <c r="AQ1093" s="192">
        <f t="shared" si="443"/>
        <v>1.9255952380952381</v>
      </c>
      <c r="AR1093" s="192">
        <f t="shared" si="444"/>
        <v>2.9196428571428572</v>
      </c>
      <c r="AS1093" s="192">
        <f t="shared" si="445"/>
        <v>161.12666471722574</v>
      </c>
      <c r="AT1093" s="192">
        <f t="shared" si="446"/>
        <v>12.431941054080911</v>
      </c>
      <c r="AU1093" s="192">
        <f t="shared" si="447"/>
        <v>173.55860577130665</v>
      </c>
      <c r="AW1093" s="192">
        <f t="shared" si="448"/>
        <v>353.73363095238096</v>
      </c>
      <c r="AX1093" s="192">
        <f t="shared" si="449"/>
        <v>-180.17502518107432</v>
      </c>
    </row>
    <row r="1094" spans="1:50" ht="15.75" customHeight="1" x14ac:dyDescent="0.3">
      <c r="A1094" s="211" t="s">
        <v>21</v>
      </c>
      <c r="B1094" s="211">
        <f t="shared" si="421"/>
        <v>245</v>
      </c>
      <c r="C1094" s="192">
        <f t="shared" si="421"/>
        <v>0</v>
      </c>
      <c r="D1094" s="271" t="s">
        <v>803</v>
      </c>
      <c r="E1094" s="192">
        <f t="shared" ref="E1094:S1094" si="458">+C1014/$O$10/24</f>
        <v>23.474999999999998</v>
      </c>
      <c r="F1094" s="192">
        <f t="shared" si="458"/>
        <v>24.588888888888889</v>
      </c>
      <c r="G1094" s="192">
        <f t="shared" si="458"/>
        <v>41.719444444444441</v>
      </c>
      <c r="H1094" s="192">
        <f t="shared" si="458"/>
        <v>21.012780818711924</v>
      </c>
      <c r="I1094" s="192">
        <f t="shared" si="458"/>
        <v>0</v>
      </c>
      <c r="J1094" s="192">
        <f t="shared" si="458"/>
        <v>3.2749999999999999</v>
      </c>
      <c r="K1094" s="192">
        <f t="shared" si="458"/>
        <v>0.85972222222222217</v>
      </c>
      <c r="L1094" s="192">
        <f t="shared" si="458"/>
        <v>1.0416666666666667</v>
      </c>
      <c r="M1094" s="192">
        <f t="shared" si="458"/>
        <v>1.0333333333333334</v>
      </c>
      <c r="N1094" s="192">
        <f t="shared" si="458"/>
        <v>0.27638888888888891</v>
      </c>
      <c r="O1094" s="192">
        <f t="shared" si="458"/>
        <v>0.32222222222222224</v>
      </c>
      <c r="P1094" s="192">
        <f t="shared" si="458"/>
        <v>0.60972222222222217</v>
      </c>
      <c r="Q1094" s="192">
        <f t="shared" si="458"/>
        <v>0.41666666666666669</v>
      </c>
      <c r="R1094" s="192">
        <f t="shared" si="458"/>
        <v>2.0222222222222221</v>
      </c>
      <c r="S1094" s="271">
        <f t="shared" si="458"/>
        <v>0.98472222222222217</v>
      </c>
      <c r="T1094" s="192">
        <f t="shared" si="425"/>
        <v>366.63778081871192</v>
      </c>
      <c r="U1094" s="192">
        <f t="shared" si="423"/>
        <v>121.63778081871192</v>
      </c>
      <c r="V1094" s="192">
        <f t="shared" si="426"/>
        <v>334.7833333333333</v>
      </c>
      <c r="W1094" s="192">
        <f t="shared" si="427"/>
        <v>89.783333333333331</v>
      </c>
      <c r="X1094" s="192">
        <f t="shared" si="428"/>
        <v>21.012780818711924</v>
      </c>
      <c r="Y1094" s="192">
        <f t="shared" si="428"/>
        <v>0</v>
      </c>
      <c r="Z1094" s="192">
        <f t="shared" si="429"/>
        <v>10.841666666666667</v>
      </c>
      <c r="AC1094" s="4">
        <v>11</v>
      </c>
      <c r="AD1094" s="192">
        <f>IF($AF$1081=1,VLOOKUP($AD$1081,$A$1111:$P$1122,12,FALSE),VLOOKUP($AD$1081,$A$1084:$S$1095,3,FALSE))</f>
        <v>0</v>
      </c>
      <c r="AE1094" s="192">
        <f t="shared" si="431"/>
        <v>24.56845238095238</v>
      </c>
      <c r="AF1094" s="192">
        <f t="shared" si="432"/>
        <v>25.748511904761902</v>
      </c>
      <c r="AG1094" s="192">
        <f t="shared" si="433"/>
        <v>43.709821428571423</v>
      </c>
      <c r="AH1094" s="192">
        <f t="shared" si="434"/>
        <v>18.318629002940039</v>
      </c>
      <c r="AI1094" s="192">
        <f t="shared" si="435"/>
        <v>7.697916666666667</v>
      </c>
      <c r="AJ1094" s="192">
        <f t="shared" si="436"/>
        <v>5.5044642857142856</v>
      </c>
      <c r="AK1094" s="192">
        <f t="shared" si="437"/>
        <v>8.5163690476190474</v>
      </c>
      <c r="AL1094" s="192">
        <f t="shared" si="438"/>
        <v>8.6175595238095237</v>
      </c>
      <c r="AM1094" s="192">
        <f t="shared" si="439"/>
        <v>2.776785714285714</v>
      </c>
      <c r="AN1094" s="192">
        <f t="shared" si="440"/>
        <v>3.2723214285714288</v>
      </c>
      <c r="AO1094" s="192">
        <f t="shared" si="441"/>
        <v>6.3169642857142856</v>
      </c>
      <c r="AP1094" s="192">
        <f t="shared" si="442"/>
        <v>1.2336309523809523</v>
      </c>
      <c r="AQ1094" s="192">
        <f t="shared" si="443"/>
        <v>1.9255952380952381</v>
      </c>
      <c r="AR1094" s="192">
        <f t="shared" si="444"/>
        <v>2.9196428571428572</v>
      </c>
      <c r="AS1094" s="192">
        <f t="shared" si="445"/>
        <v>161.12666471722574</v>
      </c>
      <c r="AT1094" s="192">
        <f t="shared" si="446"/>
        <v>12.431941054080911</v>
      </c>
      <c r="AU1094" s="192">
        <f t="shared" si="447"/>
        <v>173.55860577130665</v>
      </c>
      <c r="AW1094" s="192">
        <f t="shared" si="448"/>
        <v>353.73363095238096</v>
      </c>
      <c r="AX1094" s="192">
        <f t="shared" si="449"/>
        <v>-180.17502518107432</v>
      </c>
    </row>
    <row r="1095" spans="1:50" ht="15.75" customHeight="1" thickBot="1" x14ac:dyDescent="0.35">
      <c r="A1095" s="220" t="s">
        <v>22</v>
      </c>
      <c r="B1095" s="220">
        <f t="shared" si="421"/>
        <v>245</v>
      </c>
      <c r="C1095" s="206">
        <f t="shared" si="421"/>
        <v>0</v>
      </c>
      <c r="D1095" s="272" t="s">
        <v>803</v>
      </c>
      <c r="E1095" s="206">
        <f t="shared" ref="E1095:S1095" si="459">+C1015/$P$10/24</f>
        <v>17.676075268817204</v>
      </c>
      <c r="F1095" s="206">
        <f t="shared" si="459"/>
        <v>18.51478494623656</v>
      </c>
      <c r="G1095" s="206">
        <f t="shared" si="459"/>
        <v>31.346774193548388</v>
      </c>
      <c r="H1095" s="206">
        <f t="shared" si="459"/>
        <v>12.967389336067507</v>
      </c>
      <c r="I1095" s="206">
        <f t="shared" si="459"/>
        <v>0</v>
      </c>
      <c r="J1095" s="206">
        <f t="shared" si="459"/>
        <v>4.096774193548387</v>
      </c>
      <c r="K1095" s="206">
        <f t="shared" si="459"/>
        <v>2.3830645161290325</v>
      </c>
      <c r="L1095" s="206">
        <f t="shared" si="459"/>
        <v>3.51747311827957</v>
      </c>
      <c r="M1095" s="206">
        <f t="shared" si="459"/>
        <v>3.448924731182796</v>
      </c>
      <c r="N1095" s="206">
        <f t="shared" si="459"/>
        <v>1.2674731182795698</v>
      </c>
      <c r="O1095" s="206">
        <f t="shared" si="459"/>
        <v>1.4919354838709677</v>
      </c>
      <c r="P1095" s="206">
        <f t="shared" si="459"/>
        <v>3.025537634408602</v>
      </c>
      <c r="Q1095" s="206">
        <f t="shared" si="459"/>
        <v>0.79032258064516137</v>
      </c>
      <c r="R1095" s="206">
        <f t="shared" si="459"/>
        <v>1.739247311827957</v>
      </c>
      <c r="S1095" s="272">
        <f t="shared" si="459"/>
        <v>1.8696236559139783</v>
      </c>
      <c r="T1095" s="192">
        <f t="shared" si="425"/>
        <v>349.13540008875566</v>
      </c>
      <c r="U1095" s="192">
        <f t="shared" si="423"/>
        <v>104.13540008875569</v>
      </c>
      <c r="V1095" s="192">
        <f t="shared" si="426"/>
        <v>312.53763440860212</v>
      </c>
      <c r="W1095" s="192">
        <f t="shared" si="427"/>
        <v>67.537634408602145</v>
      </c>
      <c r="X1095" s="192">
        <f t="shared" si="428"/>
        <v>12.967389336067507</v>
      </c>
      <c r="Y1095" s="192">
        <f t="shared" si="428"/>
        <v>0</v>
      </c>
      <c r="Z1095" s="192">
        <f t="shared" si="429"/>
        <v>23.630376344086024</v>
      </c>
      <c r="AC1095" s="4">
        <v>12</v>
      </c>
      <c r="AD1095" s="192">
        <f>IF($AF$1081=1,VLOOKUP($AD$1081,$A$1111:$P$1122,12,FALSE),VLOOKUP($AD$1081,$A$1084:$S$1095,3,FALSE))</f>
        <v>0</v>
      </c>
      <c r="AE1095" s="192">
        <f t="shared" si="431"/>
        <v>24.56845238095238</v>
      </c>
      <c r="AF1095" s="192">
        <f t="shared" si="432"/>
        <v>25.748511904761902</v>
      </c>
      <c r="AG1095" s="192">
        <f t="shared" si="433"/>
        <v>43.709821428571423</v>
      </c>
      <c r="AH1095" s="192">
        <f t="shared" si="434"/>
        <v>18.318629002940039</v>
      </c>
      <c r="AI1095" s="192">
        <f t="shared" si="435"/>
        <v>7.697916666666667</v>
      </c>
      <c r="AJ1095" s="192">
        <f t="shared" si="436"/>
        <v>5.5044642857142856</v>
      </c>
      <c r="AK1095" s="192">
        <f t="shared" si="437"/>
        <v>8.5163690476190474</v>
      </c>
      <c r="AL1095" s="192">
        <f t="shared" si="438"/>
        <v>8.6175595238095237</v>
      </c>
      <c r="AM1095" s="192">
        <f t="shared" si="439"/>
        <v>2.776785714285714</v>
      </c>
      <c r="AN1095" s="192">
        <f t="shared" si="440"/>
        <v>3.2723214285714288</v>
      </c>
      <c r="AO1095" s="192">
        <f t="shared" si="441"/>
        <v>6.3169642857142856</v>
      </c>
      <c r="AP1095" s="192">
        <f t="shared" si="442"/>
        <v>1.2336309523809523</v>
      </c>
      <c r="AQ1095" s="192">
        <f t="shared" si="443"/>
        <v>1.9255952380952381</v>
      </c>
      <c r="AR1095" s="192">
        <f t="shared" si="444"/>
        <v>2.9196428571428572</v>
      </c>
      <c r="AS1095" s="192">
        <f t="shared" si="445"/>
        <v>161.12666471722574</v>
      </c>
      <c r="AT1095" s="192">
        <f t="shared" si="446"/>
        <v>12.431941054080911</v>
      </c>
      <c r="AU1095" s="192">
        <f t="shared" si="447"/>
        <v>173.55860577130665</v>
      </c>
      <c r="AW1095" s="192">
        <f t="shared" si="448"/>
        <v>353.73363095238096</v>
      </c>
      <c r="AX1095" s="192">
        <f t="shared" si="449"/>
        <v>-180.17502518107432</v>
      </c>
    </row>
    <row r="1096" spans="1:50" ht="15.75" customHeight="1" x14ac:dyDescent="0.3">
      <c r="A1096" s="260"/>
      <c r="AC1096" s="4">
        <v>13</v>
      </c>
      <c r="AD1096" s="192">
        <f>IF($AF$1081=1,VLOOKUP($AD$1081,$A$1111:$P$1122,12,FALSE),IF(OR($AD$1081="JUN",$AD$1081="JUL",$AD$1081="AUG"),VLOOKUP($AD$1081,$A$1084:$S$1095,4,FALSE),VLOOKUP($AD$1081,$A$1084:$S$1095,3,FALSE)))</f>
        <v>0</v>
      </c>
      <c r="AE1096" s="192">
        <f t="shared" si="431"/>
        <v>24.56845238095238</v>
      </c>
      <c r="AF1096" s="192">
        <f t="shared" si="432"/>
        <v>25.748511904761902</v>
      </c>
      <c r="AG1096" s="192">
        <f t="shared" si="433"/>
        <v>43.709821428571423</v>
      </c>
      <c r="AH1096" s="192">
        <f t="shared" si="434"/>
        <v>18.318629002940039</v>
      </c>
      <c r="AI1096" s="192">
        <f t="shared" si="435"/>
        <v>7.697916666666667</v>
      </c>
      <c r="AJ1096" s="192">
        <f t="shared" si="436"/>
        <v>5.5044642857142856</v>
      </c>
      <c r="AK1096" s="192">
        <f t="shared" si="437"/>
        <v>8.5163690476190474</v>
      </c>
      <c r="AL1096" s="192">
        <f t="shared" si="438"/>
        <v>8.6175595238095237</v>
      </c>
      <c r="AM1096" s="192">
        <f t="shared" si="439"/>
        <v>2.776785714285714</v>
      </c>
      <c r="AN1096" s="192">
        <f t="shared" si="440"/>
        <v>3.2723214285714288</v>
      </c>
      <c r="AO1096" s="192">
        <f t="shared" si="441"/>
        <v>6.3169642857142856</v>
      </c>
      <c r="AP1096" s="192">
        <f t="shared" si="442"/>
        <v>1.2336309523809523</v>
      </c>
      <c r="AQ1096" s="192">
        <f t="shared" si="443"/>
        <v>1.9255952380952381</v>
      </c>
      <c r="AR1096" s="192">
        <f t="shared" si="444"/>
        <v>2.9196428571428572</v>
      </c>
      <c r="AS1096" s="192">
        <f t="shared" si="445"/>
        <v>161.12666471722574</v>
      </c>
      <c r="AT1096" s="192">
        <f t="shared" si="446"/>
        <v>12.431941054080911</v>
      </c>
      <c r="AU1096" s="192">
        <f t="shared" si="447"/>
        <v>173.55860577130665</v>
      </c>
      <c r="AW1096" s="192">
        <f t="shared" si="448"/>
        <v>353.73363095238096</v>
      </c>
      <c r="AX1096" s="192">
        <f t="shared" si="449"/>
        <v>-180.17502518107432</v>
      </c>
    </row>
    <row r="1097" spans="1:50" ht="27.75" customHeight="1" x14ac:dyDescent="0.3">
      <c r="A1097" s="260" t="s">
        <v>804</v>
      </c>
      <c r="AC1097" s="4">
        <v>14</v>
      </c>
      <c r="AD1097" s="192">
        <f t="shared" ref="AD1097:AD1103" si="460">IF($AF$1081=1,VLOOKUP($AD$1081,$A$1111:$P$1122,12,FALSE),IF(OR($AD$1081="JUN",$AD$1081="JUL",$AD$1081="AUG"),VLOOKUP($AD$1081,$A$1084:$S$1095,4,FALSE),VLOOKUP($AD$1081,$A$1084:$S$1095,3,FALSE)))</f>
        <v>0</v>
      </c>
      <c r="AE1097" s="192">
        <f t="shared" si="431"/>
        <v>24.56845238095238</v>
      </c>
      <c r="AF1097" s="192">
        <f t="shared" si="432"/>
        <v>25.748511904761902</v>
      </c>
      <c r="AG1097" s="192">
        <f t="shared" si="433"/>
        <v>43.709821428571423</v>
      </c>
      <c r="AH1097" s="192">
        <f t="shared" si="434"/>
        <v>18.318629002940039</v>
      </c>
      <c r="AI1097" s="192">
        <f t="shared" si="435"/>
        <v>7.697916666666667</v>
      </c>
      <c r="AJ1097" s="192">
        <f t="shared" si="436"/>
        <v>5.5044642857142856</v>
      </c>
      <c r="AK1097" s="192">
        <f t="shared" si="437"/>
        <v>8.5163690476190474</v>
      </c>
      <c r="AL1097" s="192">
        <f t="shared" si="438"/>
        <v>8.6175595238095237</v>
      </c>
      <c r="AM1097" s="192">
        <f t="shared" si="439"/>
        <v>2.776785714285714</v>
      </c>
      <c r="AN1097" s="192">
        <f t="shared" si="440"/>
        <v>3.2723214285714288</v>
      </c>
      <c r="AO1097" s="192">
        <f t="shared" si="441"/>
        <v>6.3169642857142856</v>
      </c>
      <c r="AP1097" s="192">
        <f t="shared" si="442"/>
        <v>1.2336309523809523</v>
      </c>
      <c r="AQ1097" s="192">
        <f t="shared" si="443"/>
        <v>1.9255952380952381</v>
      </c>
      <c r="AR1097" s="192">
        <f t="shared" si="444"/>
        <v>2.9196428571428572</v>
      </c>
      <c r="AS1097" s="192">
        <f t="shared" si="445"/>
        <v>161.12666471722574</v>
      </c>
      <c r="AT1097" s="192">
        <f t="shared" si="446"/>
        <v>12.431941054080911</v>
      </c>
      <c r="AU1097" s="192">
        <f t="shared" si="447"/>
        <v>173.55860577130665</v>
      </c>
      <c r="AW1097" s="192">
        <f t="shared" si="448"/>
        <v>353.73363095238096</v>
      </c>
      <c r="AX1097" s="192">
        <f t="shared" si="449"/>
        <v>-180.17502518107432</v>
      </c>
    </row>
    <row r="1098" spans="1:50" ht="15.75" customHeight="1" x14ac:dyDescent="0.3">
      <c r="A1098" s="260"/>
      <c r="AC1098" s="4">
        <v>15</v>
      </c>
      <c r="AD1098" s="192">
        <f t="shared" si="460"/>
        <v>0</v>
      </c>
      <c r="AE1098" s="192">
        <f t="shared" si="431"/>
        <v>24.56845238095238</v>
      </c>
      <c r="AF1098" s="192">
        <f t="shared" si="432"/>
        <v>25.748511904761902</v>
      </c>
      <c r="AG1098" s="192">
        <f t="shared" si="433"/>
        <v>43.709821428571423</v>
      </c>
      <c r="AH1098" s="192">
        <f t="shared" si="434"/>
        <v>18.318629002940039</v>
      </c>
      <c r="AI1098" s="192">
        <f t="shared" si="435"/>
        <v>7.697916666666667</v>
      </c>
      <c r="AJ1098" s="192">
        <f t="shared" si="436"/>
        <v>5.5044642857142856</v>
      </c>
      <c r="AK1098" s="192">
        <f t="shared" si="437"/>
        <v>8.5163690476190474</v>
      </c>
      <c r="AL1098" s="192">
        <f t="shared" si="438"/>
        <v>8.6175595238095237</v>
      </c>
      <c r="AM1098" s="192">
        <f t="shared" si="439"/>
        <v>2.776785714285714</v>
      </c>
      <c r="AN1098" s="192">
        <f t="shared" si="440"/>
        <v>3.2723214285714288</v>
      </c>
      <c r="AO1098" s="192">
        <f t="shared" si="441"/>
        <v>6.3169642857142856</v>
      </c>
      <c r="AP1098" s="192">
        <f t="shared" si="442"/>
        <v>1.2336309523809523</v>
      </c>
      <c r="AQ1098" s="192">
        <f t="shared" si="443"/>
        <v>1.9255952380952381</v>
      </c>
      <c r="AR1098" s="192">
        <f t="shared" si="444"/>
        <v>2.9196428571428572</v>
      </c>
      <c r="AS1098" s="192">
        <f t="shared" si="445"/>
        <v>161.12666471722574</v>
      </c>
      <c r="AT1098" s="192">
        <f t="shared" si="446"/>
        <v>12.431941054080911</v>
      </c>
      <c r="AU1098" s="192">
        <f t="shared" si="447"/>
        <v>173.55860577130665</v>
      </c>
      <c r="AW1098" s="192">
        <f t="shared" si="448"/>
        <v>353.73363095238096</v>
      </c>
      <c r="AX1098" s="192">
        <f t="shared" si="449"/>
        <v>-180.17502518107432</v>
      </c>
    </row>
    <row r="1099" spans="1:50" ht="15.75" customHeight="1" x14ac:dyDescent="0.3">
      <c r="A1099" s="260"/>
      <c r="AC1099" s="4">
        <v>16</v>
      </c>
      <c r="AD1099" s="192">
        <f t="shared" si="460"/>
        <v>0</v>
      </c>
      <c r="AE1099" s="192">
        <f t="shared" si="431"/>
        <v>24.56845238095238</v>
      </c>
      <c r="AF1099" s="192">
        <f t="shared" si="432"/>
        <v>25.748511904761902</v>
      </c>
      <c r="AG1099" s="192">
        <f t="shared" si="433"/>
        <v>43.709821428571423</v>
      </c>
      <c r="AH1099" s="192">
        <f t="shared" si="434"/>
        <v>18.318629002940039</v>
      </c>
      <c r="AI1099" s="192">
        <f t="shared" si="435"/>
        <v>7.697916666666667</v>
      </c>
      <c r="AJ1099" s="192">
        <f t="shared" si="436"/>
        <v>5.5044642857142856</v>
      </c>
      <c r="AK1099" s="192">
        <f t="shared" si="437"/>
        <v>8.5163690476190474</v>
      </c>
      <c r="AL1099" s="192">
        <f t="shared" si="438"/>
        <v>8.6175595238095237</v>
      </c>
      <c r="AM1099" s="192">
        <f t="shared" si="439"/>
        <v>2.776785714285714</v>
      </c>
      <c r="AN1099" s="192">
        <f t="shared" si="440"/>
        <v>3.2723214285714288</v>
      </c>
      <c r="AO1099" s="192">
        <f t="shared" si="441"/>
        <v>6.3169642857142856</v>
      </c>
      <c r="AP1099" s="192">
        <f t="shared" si="442"/>
        <v>1.2336309523809523</v>
      </c>
      <c r="AQ1099" s="192">
        <f t="shared" si="443"/>
        <v>1.9255952380952381</v>
      </c>
      <c r="AR1099" s="192">
        <f t="shared" si="444"/>
        <v>2.9196428571428572</v>
      </c>
      <c r="AS1099" s="192">
        <f t="shared" si="445"/>
        <v>161.12666471722574</v>
      </c>
      <c r="AT1099" s="192">
        <f t="shared" si="446"/>
        <v>12.431941054080911</v>
      </c>
      <c r="AU1099" s="192">
        <f t="shared" si="447"/>
        <v>173.55860577130665</v>
      </c>
      <c r="AW1099" s="192">
        <f t="shared" si="448"/>
        <v>353.73363095238096</v>
      </c>
      <c r="AX1099" s="192">
        <f t="shared" si="449"/>
        <v>-180.17502518107432</v>
      </c>
    </row>
    <row r="1100" spans="1:50" ht="15.75" customHeight="1" thickBot="1" x14ac:dyDescent="0.35">
      <c r="A1100" s="260"/>
      <c r="AC1100" s="4">
        <v>17</v>
      </c>
      <c r="AD1100" s="192">
        <f t="shared" si="460"/>
        <v>0</v>
      </c>
      <c r="AE1100" s="192">
        <f t="shared" si="431"/>
        <v>24.56845238095238</v>
      </c>
      <c r="AF1100" s="192">
        <f t="shared" si="432"/>
        <v>25.748511904761902</v>
      </c>
      <c r="AG1100" s="192">
        <f t="shared" si="433"/>
        <v>43.709821428571423</v>
      </c>
      <c r="AH1100" s="192">
        <f t="shared" si="434"/>
        <v>18.318629002940039</v>
      </c>
      <c r="AI1100" s="192">
        <f t="shared" si="435"/>
        <v>7.697916666666667</v>
      </c>
      <c r="AJ1100" s="192">
        <f t="shared" si="436"/>
        <v>5.5044642857142856</v>
      </c>
      <c r="AK1100" s="192">
        <f t="shared" si="437"/>
        <v>8.5163690476190474</v>
      </c>
      <c r="AL1100" s="192">
        <f t="shared" si="438"/>
        <v>8.6175595238095237</v>
      </c>
      <c r="AM1100" s="192">
        <f t="shared" si="439"/>
        <v>2.776785714285714</v>
      </c>
      <c r="AN1100" s="192">
        <f t="shared" si="440"/>
        <v>3.2723214285714288</v>
      </c>
      <c r="AO1100" s="192">
        <f t="shared" si="441"/>
        <v>6.3169642857142856</v>
      </c>
      <c r="AP1100" s="192">
        <f t="shared" si="442"/>
        <v>1.2336309523809523</v>
      </c>
      <c r="AQ1100" s="192">
        <f t="shared" si="443"/>
        <v>1.9255952380952381</v>
      </c>
      <c r="AR1100" s="192">
        <f t="shared" si="444"/>
        <v>2.9196428571428572</v>
      </c>
      <c r="AS1100" s="192">
        <f t="shared" si="445"/>
        <v>161.12666471722574</v>
      </c>
      <c r="AT1100" s="192">
        <f t="shared" si="446"/>
        <v>12.431941054080911</v>
      </c>
      <c r="AU1100" s="192">
        <f t="shared" si="447"/>
        <v>173.55860577130665</v>
      </c>
      <c r="AW1100" s="192">
        <f t="shared" si="448"/>
        <v>353.73363095238096</v>
      </c>
      <c r="AX1100" s="192">
        <f t="shared" si="449"/>
        <v>-180.17502518107432</v>
      </c>
    </row>
    <row r="1101" spans="1:50" ht="15.75" customHeight="1" x14ac:dyDescent="0.3">
      <c r="A1101" s="273"/>
      <c r="B1101" s="387" t="s">
        <v>805</v>
      </c>
      <c r="C1101" s="387"/>
      <c r="D1101" s="387"/>
      <c r="E1101" s="387"/>
      <c r="F1101" s="387"/>
      <c r="G1101" s="387"/>
      <c r="H1101" s="387"/>
      <c r="I1101" s="387"/>
      <c r="J1101" s="387"/>
      <c r="K1101" s="387"/>
      <c r="L1101" s="387"/>
      <c r="M1101" s="387"/>
      <c r="N1101" s="387"/>
      <c r="O1101" s="387"/>
      <c r="P1101" s="387"/>
      <c r="Q1101" s="177" t="str">
        <f>+Q1</f>
        <v xml:space="preserve">PRINTED:  </v>
      </c>
      <c r="R1101" s="178">
        <f ca="1">+R1</f>
        <v>44894.65816875</v>
      </c>
      <c r="AC1101" s="4">
        <v>18</v>
      </c>
      <c r="AD1101" s="192">
        <f t="shared" si="460"/>
        <v>0</v>
      </c>
      <c r="AE1101" s="192">
        <f t="shared" si="431"/>
        <v>24.56845238095238</v>
      </c>
      <c r="AF1101" s="192">
        <f t="shared" si="432"/>
        <v>25.748511904761902</v>
      </c>
      <c r="AG1101" s="192">
        <f t="shared" si="433"/>
        <v>43.709821428571423</v>
      </c>
      <c r="AH1101" s="192">
        <f t="shared" si="434"/>
        <v>18.318629002940039</v>
      </c>
      <c r="AI1101" s="192">
        <f t="shared" si="435"/>
        <v>7.697916666666667</v>
      </c>
      <c r="AJ1101" s="192">
        <f t="shared" si="436"/>
        <v>5.5044642857142856</v>
      </c>
      <c r="AK1101" s="192">
        <f t="shared" si="437"/>
        <v>8.5163690476190474</v>
      </c>
      <c r="AL1101" s="192">
        <f t="shared" si="438"/>
        <v>8.6175595238095237</v>
      </c>
      <c r="AM1101" s="192">
        <f t="shared" si="439"/>
        <v>2.776785714285714</v>
      </c>
      <c r="AN1101" s="192">
        <f t="shared" si="440"/>
        <v>3.2723214285714288</v>
      </c>
      <c r="AO1101" s="192">
        <f t="shared" si="441"/>
        <v>6.3169642857142856</v>
      </c>
      <c r="AP1101" s="192">
        <f t="shared" si="442"/>
        <v>1.2336309523809523</v>
      </c>
      <c r="AQ1101" s="192">
        <f t="shared" si="443"/>
        <v>1.9255952380952381</v>
      </c>
      <c r="AR1101" s="192">
        <f t="shared" si="444"/>
        <v>2.9196428571428572</v>
      </c>
      <c r="AS1101" s="192">
        <f t="shared" si="445"/>
        <v>161.12666471722574</v>
      </c>
      <c r="AT1101" s="192">
        <f t="shared" si="446"/>
        <v>12.431941054080911</v>
      </c>
      <c r="AU1101" s="192">
        <f t="shared" si="447"/>
        <v>173.55860577130665</v>
      </c>
      <c r="AW1101" s="192">
        <f t="shared" si="448"/>
        <v>353.73363095238096</v>
      </c>
      <c r="AX1101" s="192">
        <f t="shared" si="449"/>
        <v>-180.17502518107432</v>
      </c>
    </row>
    <row r="1102" spans="1:50" ht="16.5" customHeight="1" x14ac:dyDescent="0.3">
      <c r="A1102" s="257"/>
      <c r="B1102" s="394" t="str">
        <f>+A8</f>
        <v>Revised:  2/5/2020</v>
      </c>
      <c r="C1102" s="394"/>
      <c r="D1102" s="394"/>
      <c r="E1102" s="394"/>
      <c r="F1102" s="394"/>
      <c r="G1102" s="394"/>
      <c r="H1102" s="394"/>
      <c r="I1102" s="394"/>
      <c r="J1102" s="394"/>
      <c r="K1102" s="394"/>
      <c r="L1102" s="394"/>
      <c r="M1102" s="394"/>
      <c r="N1102" s="394"/>
      <c r="O1102" s="394"/>
      <c r="P1102" s="394"/>
      <c r="R1102" s="133"/>
      <c r="AC1102" s="4">
        <v>19</v>
      </c>
      <c r="AD1102" s="192">
        <f t="shared" si="460"/>
        <v>0</v>
      </c>
      <c r="AE1102" s="192">
        <f t="shared" si="431"/>
        <v>24.56845238095238</v>
      </c>
      <c r="AF1102" s="192">
        <f t="shared" si="432"/>
        <v>25.748511904761902</v>
      </c>
      <c r="AG1102" s="192">
        <f t="shared" si="433"/>
        <v>43.709821428571423</v>
      </c>
      <c r="AH1102" s="192">
        <f t="shared" si="434"/>
        <v>18.318629002940039</v>
      </c>
      <c r="AI1102" s="192">
        <f t="shared" si="435"/>
        <v>7.697916666666667</v>
      </c>
      <c r="AJ1102" s="192">
        <f t="shared" si="436"/>
        <v>5.5044642857142856</v>
      </c>
      <c r="AK1102" s="192">
        <f t="shared" si="437"/>
        <v>8.5163690476190474</v>
      </c>
      <c r="AL1102" s="192">
        <f t="shared" si="438"/>
        <v>8.6175595238095237</v>
      </c>
      <c r="AM1102" s="192">
        <f t="shared" si="439"/>
        <v>2.776785714285714</v>
      </c>
      <c r="AN1102" s="192">
        <f t="shared" si="440"/>
        <v>3.2723214285714288</v>
      </c>
      <c r="AO1102" s="192">
        <f t="shared" si="441"/>
        <v>6.3169642857142856</v>
      </c>
      <c r="AP1102" s="192">
        <f t="shared" si="442"/>
        <v>1.2336309523809523</v>
      </c>
      <c r="AQ1102" s="192">
        <f t="shared" si="443"/>
        <v>1.9255952380952381</v>
      </c>
      <c r="AR1102" s="192">
        <f t="shared" si="444"/>
        <v>2.9196428571428572</v>
      </c>
      <c r="AS1102" s="192">
        <f t="shared" si="445"/>
        <v>161.12666471722574</v>
      </c>
      <c r="AT1102" s="192">
        <f t="shared" si="446"/>
        <v>12.431941054080911</v>
      </c>
      <c r="AU1102" s="192">
        <f t="shared" si="447"/>
        <v>173.55860577130665</v>
      </c>
      <c r="AW1102" s="192">
        <f t="shared" si="448"/>
        <v>353.73363095238096</v>
      </c>
      <c r="AX1102" s="192">
        <f t="shared" si="449"/>
        <v>-180.17502518107432</v>
      </c>
    </row>
    <row r="1103" spans="1:50" ht="16.5" customHeight="1" x14ac:dyDescent="0.3">
      <c r="A1103" s="257"/>
      <c r="B1103" s="394" t="s">
        <v>670</v>
      </c>
      <c r="C1103" s="394"/>
      <c r="D1103" s="394"/>
      <c r="E1103" s="394"/>
      <c r="F1103" s="394"/>
      <c r="G1103" s="394"/>
      <c r="H1103" s="394"/>
      <c r="I1103" s="394"/>
      <c r="J1103" s="394"/>
      <c r="K1103" s="394"/>
      <c r="L1103" s="394"/>
      <c r="M1103" s="394"/>
      <c r="N1103" s="394"/>
      <c r="O1103" s="394"/>
      <c r="P1103" s="394"/>
      <c r="R1103" s="133"/>
      <c r="AC1103" s="4">
        <v>20</v>
      </c>
      <c r="AD1103" s="192">
        <f t="shared" si="460"/>
        <v>0</v>
      </c>
      <c r="AE1103" s="192">
        <f t="shared" si="431"/>
        <v>24.56845238095238</v>
      </c>
      <c r="AF1103" s="192">
        <f t="shared" si="432"/>
        <v>25.748511904761902</v>
      </c>
      <c r="AG1103" s="192">
        <f t="shared" si="433"/>
        <v>43.709821428571423</v>
      </c>
      <c r="AH1103" s="192">
        <f t="shared" si="434"/>
        <v>18.318629002940039</v>
      </c>
      <c r="AI1103" s="192">
        <f t="shared" si="435"/>
        <v>7.697916666666667</v>
      </c>
      <c r="AJ1103" s="192">
        <f t="shared" si="436"/>
        <v>5.5044642857142856</v>
      </c>
      <c r="AK1103" s="192">
        <f t="shared" si="437"/>
        <v>8.5163690476190474</v>
      </c>
      <c r="AL1103" s="192">
        <f t="shared" si="438"/>
        <v>8.6175595238095237</v>
      </c>
      <c r="AM1103" s="192">
        <f t="shared" si="439"/>
        <v>2.776785714285714</v>
      </c>
      <c r="AN1103" s="192">
        <f t="shared" si="440"/>
        <v>3.2723214285714288</v>
      </c>
      <c r="AO1103" s="192">
        <f t="shared" si="441"/>
        <v>6.3169642857142856</v>
      </c>
      <c r="AP1103" s="192">
        <f t="shared" si="442"/>
        <v>1.2336309523809523</v>
      </c>
      <c r="AQ1103" s="192">
        <f t="shared" si="443"/>
        <v>1.9255952380952381</v>
      </c>
      <c r="AR1103" s="192">
        <f t="shared" si="444"/>
        <v>2.9196428571428572</v>
      </c>
      <c r="AS1103" s="192">
        <f t="shared" si="445"/>
        <v>161.12666471722574</v>
      </c>
      <c r="AT1103" s="192">
        <f t="shared" si="446"/>
        <v>12.431941054080911</v>
      </c>
      <c r="AU1103" s="192">
        <f t="shared" si="447"/>
        <v>173.55860577130665</v>
      </c>
      <c r="AW1103" s="192">
        <f t="shared" si="448"/>
        <v>353.73363095238096</v>
      </c>
      <c r="AX1103" s="192">
        <f t="shared" si="449"/>
        <v>-180.17502518107432</v>
      </c>
    </row>
    <row r="1104" spans="1:50" ht="16.5" customHeight="1" x14ac:dyDescent="0.3">
      <c r="A1104" s="257"/>
      <c r="B1104" s="180"/>
      <c r="C1104" s="180"/>
      <c r="D1104" s="180"/>
      <c r="E1104" s="180"/>
      <c r="F1104" s="180"/>
      <c r="G1104" s="180"/>
      <c r="H1104" s="180"/>
      <c r="I1104" s="180"/>
      <c r="J1104" s="180"/>
      <c r="K1104" s="180"/>
      <c r="L1104" s="180"/>
      <c r="M1104" s="180"/>
      <c r="N1104" s="180"/>
      <c r="O1104" s="180"/>
      <c r="P1104" s="180"/>
      <c r="R1104" s="133"/>
      <c r="AC1104" s="4">
        <v>21</v>
      </c>
      <c r="AD1104" s="192">
        <f>IF($AF$1081=1,VLOOKUP($AD$1081,$A$1111:$P$1122,12,FALSE),VLOOKUP($AD$1081,$A$1084:$S$1095,3,FALSE))</f>
        <v>0</v>
      </c>
      <c r="AE1104" s="192">
        <f t="shared" si="431"/>
        <v>24.56845238095238</v>
      </c>
      <c r="AF1104" s="192">
        <f t="shared" si="432"/>
        <v>25.748511904761902</v>
      </c>
      <c r="AG1104" s="192">
        <f t="shared" si="433"/>
        <v>43.709821428571423</v>
      </c>
      <c r="AH1104" s="192">
        <f t="shared" si="434"/>
        <v>18.318629002940039</v>
      </c>
      <c r="AI1104" s="192">
        <f t="shared" si="435"/>
        <v>7.697916666666667</v>
      </c>
      <c r="AJ1104" s="192">
        <f t="shared" si="436"/>
        <v>5.5044642857142856</v>
      </c>
      <c r="AK1104" s="192">
        <f t="shared" si="437"/>
        <v>8.5163690476190474</v>
      </c>
      <c r="AL1104" s="192">
        <f t="shared" si="438"/>
        <v>8.6175595238095237</v>
      </c>
      <c r="AM1104" s="192">
        <f t="shared" si="439"/>
        <v>2.776785714285714</v>
      </c>
      <c r="AN1104" s="192">
        <f t="shared" si="440"/>
        <v>3.2723214285714288</v>
      </c>
      <c r="AO1104" s="192">
        <f t="shared" si="441"/>
        <v>6.3169642857142856</v>
      </c>
      <c r="AP1104" s="192">
        <f t="shared" si="442"/>
        <v>1.2336309523809523</v>
      </c>
      <c r="AQ1104" s="192">
        <f t="shared" si="443"/>
        <v>1.9255952380952381</v>
      </c>
      <c r="AR1104" s="192">
        <f t="shared" si="444"/>
        <v>2.9196428571428572</v>
      </c>
      <c r="AS1104" s="192">
        <f t="shared" si="445"/>
        <v>161.12666471722574</v>
      </c>
      <c r="AT1104" s="192">
        <f t="shared" si="446"/>
        <v>12.431941054080911</v>
      </c>
      <c r="AU1104" s="192">
        <f t="shared" si="447"/>
        <v>173.55860577130665</v>
      </c>
      <c r="AW1104" s="192">
        <f t="shared" si="448"/>
        <v>353.73363095238096</v>
      </c>
      <c r="AX1104" s="192">
        <f t="shared" si="449"/>
        <v>-180.17502518107432</v>
      </c>
    </row>
    <row r="1105" spans="1:50" ht="16.5" customHeight="1" x14ac:dyDescent="0.3">
      <c r="A1105" s="257"/>
      <c r="B1105" s="415">
        <f>+A5</f>
        <v>2021</v>
      </c>
      <c r="C1105" s="395"/>
      <c r="D1105" s="395"/>
      <c r="E1105" s="395"/>
      <c r="F1105" s="395"/>
      <c r="G1105" s="395"/>
      <c r="H1105" s="395"/>
      <c r="I1105" s="395"/>
      <c r="J1105" s="395"/>
      <c r="K1105" s="395"/>
      <c r="L1105" s="395"/>
      <c r="M1105" s="395"/>
      <c r="N1105" s="395"/>
      <c r="O1105" s="395"/>
      <c r="P1105" s="395"/>
      <c r="R1105" s="133"/>
      <c r="AC1105" s="4">
        <v>22</v>
      </c>
      <c r="AD1105" s="192">
        <f>IF($AF$1081=1,VLOOKUP($AD$1081,$A$1111:$P$1122,12,FALSE),VLOOKUP($AD$1081,$A$1084:$S$1095,3,FALSE))</f>
        <v>0</v>
      </c>
      <c r="AE1105" s="192">
        <f t="shared" si="431"/>
        <v>24.56845238095238</v>
      </c>
      <c r="AF1105" s="192">
        <f t="shared" si="432"/>
        <v>25.748511904761902</v>
      </c>
      <c r="AG1105" s="192">
        <f t="shared" si="433"/>
        <v>43.709821428571423</v>
      </c>
      <c r="AH1105" s="192">
        <f t="shared" si="434"/>
        <v>18.318629002940039</v>
      </c>
      <c r="AI1105" s="192">
        <f t="shared" si="435"/>
        <v>7.697916666666667</v>
      </c>
      <c r="AJ1105" s="192">
        <f t="shared" si="436"/>
        <v>5.5044642857142856</v>
      </c>
      <c r="AK1105" s="192">
        <f t="shared" si="437"/>
        <v>8.5163690476190474</v>
      </c>
      <c r="AL1105" s="192">
        <f t="shared" si="438"/>
        <v>8.6175595238095237</v>
      </c>
      <c r="AM1105" s="192">
        <f t="shared" si="439"/>
        <v>2.776785714285714</v>
      </c>
      <c r="AN1105" s="192">
        <f t="shared" si="440"/>
        <v>3.2723214285714288</v>
      </c>
      <c r="AO1105" s="192">
        <f t="shared" si="441"/>
        <v>6.3169642857142856</v>
      </c>
      <c r="AP1105" s="192">
        <f t="shared" si="442"/>
        <v>1.2336309523809523</v>
      </c>
      <c r="AQ1105" s="192">
        <f t="shared" si="443"/>
        <v>1.9255952380952381</v>
      </c>
      <c r="AR1105" s="192">
        <f t="shared" si="444"/>
        <v>2.9196428571428572</v>
      </c>
      <c r="AS1105" s="192">
        <f t="shared" si="445"/>
        <v>161.12666471722574</v>
      </c>
      <c r="AT1105" s="192">
        <f t="shared" si="446"/>
        <v>12.431941054080911</v>
      </c>
      <c r="AU1105" s="192">
        <f t="shared" si="447"/>
        <v>173.55860577130665</v>
      </c>
      <c r="AW1105" s="192">
        <f t="shared" si="448"/>
        <v>353.73363095238096</v>
      </c>
      <c r="AX1105" s="192">
        <f t="shared" si="449"/>
        <v>-180.17502518107432</v>
      </c>
    </row>
    <row r="1106" spans="1:50" ht="15.75" customHeight="1" x14ac:dyDescent="0.3">
      <c r="A1106" s="257"/>
      <c r="B1106" s="394" t="s">
        <v>708</v>
      </c>
      <c r="C1106" s="394"/>
      <c r="D1106" s="394"/>
      <c r="E1106" s="394"/>
      <c r="F1106" s="394"/>
      <c r="G1106" s="394"/>
      <c r="H1106" s="394"/>
      <c r="I1106" s="394"/>
      <c r="J1106" s="394"/>
      <c r="K1106" s="394"/>
      <c r="L1106" s="394"/>
      <c r="M1106" s="394"/>
      <c r="N1106" s="394"/>
      <c r="O1106" s="394"/>
      <c r="P1106" s="394"/>
      <c r="R1106" s="133"/>
      <c r="AC1106" s="4">
        <v>23</v>
      </c>
      <c r="AD1106" s="192">
        <f>IF($AF$1081=1,VLOOKUP($AD$1081,$A$1111:$P$1122,12,FALSE),IF(OR($AD$1081="JAN",$AD$1081="FEB",$AD$1081="NOV",$AD$1081="DEC"),VLOOKUP($AD$1081,$A$1084:$S$1095,3,FALSE),VLOOKUP($AD$1081,$A$1084:$S$1095,2,FALSE)))</f>
        <v>0</v>
      </c>
      <c r="AE1106" s="192">
        <f t="shared" si="431"/>
        <v>24.56845238095238</v>
      </c>
      <c r="AF1106" s="192">
        <f t="shared" si="432"/>
        <v>25.748511904761902</v>
      </c>
      <c r="AG1106" s="192">
        <f t="shared" si="433"/>
        <v>43.709821428571423</v>
      </c>
      <c r="AH1106" s="192">
        <f t="shared" si="434"/>
        <v>18.318629002940039</v>
      </c>
      <c r="AI1106" s="192">
        <f t="shared" si="435"/>
        <v>7.697916666666667</v>
      </c>
      <c r="AJ1106" s="192">
        <f t="shared" si="436"/>
        <v>5.5044642857142856</v>
      </c>
      <c r="AK1106" s="192">
        <f t="shared" si="437"/>
        <v>8.5163690476190474</v>
      </c>
      <c r="AL1106" s="192">
        <f t="shared" si="438"/>
        <v>8.6175595238095237</v>
      </c>
      <c r="AM1106" s="192">
        <f t="shared" si="439"/>
        <v>2.776785714285714</v>
      </c>
      <c r="AN1106" s="192">
        <f t="shared" si="440"/>
        <v>3.2723214285714288</v>
      </c>
      <c r="AO1106" s="192">
        <f t="shared" si="441"/>
        <v>6.3169642857142856</v>
      </c>
      <c r="AP1106" s="192">
        <f t="shared" si="442"/>
        <v>1.2336309523809523</v>
      </c>
      <c r="AQ1106" s="192">
        <f t="shared" si="443"/>
        <v>1.9255952380952381</v>
      </c>
      <c r="AR1106" s="192">
        <f t="shared" si="444"/>
        <v>2.9196428571428572</v>
      </c>
      <c r="AS1106" s="192">
        <f t="shared" si="445"/>
        <v>161.12666471722574</v>
      </c>
      <c r="AT1106" s="192">
        <f t="shared" si="446"/>
        <v>12.431941054080911</v>
      </c>
      <c r="AU1106" s="192">
        <f t="shared" si="447"/>
        <v>173.55860577130665</v>
      </c>
      <c r="AW1106" s="192">
        <f t="shared" si="448"/>
        <v>353.73363095238096</v>
      </c>
      <c r="AX1106" s="192">
        <f t="shared" si="449"/>
        <v>-180.17502518107432</v>
      </c>
    </row>
    <row r="1107" spans="1:50" ht="15.75" customHeight="1" thickBot="1" x14ac:dyDescent="0.35">
      <c r="A1107" s="257"/>
      <c r="R1107" s="133"/>
      <c r="AC1107" s="4">
        <v>24</v>
      </c>
      <c r="AD1107" s="192">
        <f>IF($AF$1081=1,VLOOKUP($AD$1081,$A$1111:$P$1122,12,FALSE),VLOOKUP($AD$1081,$A$1084:$S$1095,2,FALSE))</f>
        <v>98</v>
      </c>
      <c r="AE1107" s="192">
        <f t="shared" si="431"/>
        <v>24.56845238095238</v>
      </c>
      <c r="AF1107" s="192">
        <f t="shared" si="432"/>
        <v>25.748511904761902</v>
      </c>
      <c r="AG1107" s="192">
        <f t="shared" si="433"/>
        <v>43.709821428571423</v>
      </c>
      <c r="AH1107" s="192">
        <f t="shared" si="434"/>
        <v>18.318629002940039</v>
      </c>
      <c r="AI1107" s="192">
        <f t="shared" si="435"/>
        <v>7.697916666666667</v>
      </c>
      <c r="AJ1107" s="192">
        <f t="shared" si="436"/>
        <v>5.5044642857142856</v>
      </c>
      <c r="AK1107" s="192">
        <f t="shared" si="437"/>
        <v>8.5163690476190474</v>
      </c>
      <c r="AL1107" s="192">
        <f t="shared" si="438"/>
        <v>8.6175595238095237</v>
      </c>
      <c r="AM1107" s="192">
        <f t="shared" si="439"/>
        <v>2.776785714285714</v>
      </c>
      <c r="AN1107" s="192">
        <f t="shared" si="440"/>
        <v>3.2723214285714288</v>
      </c>
      <c r="AO1107" s="192">
        <f t="shared" si="441"/>
        <v>6.3169642857142856</v>
      </c>
      <c r="AP1107" s="192">
        <f t="shared" si="442"/>
        <v>1.2336309523809523</v>
      </c>
      <c r="AQ1107" s="192">
        <f t="shared" si="443"/>
        <v>1.9255952380952381</v>
      </c>
      <c r="AR1107" s="192">
        <f t="shared" si="444"/>
        <v>2.9196428571428572</v>
      </c>
      <c r="AS1107" s="192">
        <f t="shared" si="445"/>
        <v>259.12666471722565</v>
      </c>
      <c r="AT1107" s="192">
        <f t="shared" si="446"/>
        <v>19.99326074898104</v>
      </c>
      <c r="AU1107" s="192">
        <f t="shared" si="447"/>
        <v>279.11992546620667</v>
      </c>
      <c r="AW1107" s="192">
        <f t="shared" si="448"/>
        <v>353.73363095238096</v>
      </c>
      <c r="AX1107" s="192">
        <f t="shared" si="449"/>
        <v>-74.613705486174297</v>
      </c>
    </row>
    <row r="1108" spans="1:50" ht="15.75" customHeight="1" x14ac:dyDescent="0.3">
      <c r="A1108" s="257"/>
      <c r="B1108" s="416" t="s">
        <v>806</v>
      </c>
      <c r="C1108" s="417"/>
      <c r="D1108" s="417"/>
      <c r="E1108" s="417"/>
      <c r="F1108" s="417"/>
      <c r="G1108" s="417"/>
      <c r="H1108" s="417"/>
      <c r="I1108" s="417"/>
      <c r="J1108" s="417"/>
      <c r="K1108" s="417"/>
      <c r="L1108" s="418"/>
      <c r="M1108" s="419" t="s">
        <v>807</v>
      </c>
      <c r="N1108" s="417"/>
      <c r="O1108" s="417"/>
      <c r="P1108" s="417"/>
      <c r="Q1108" s="192" t="s">
        <v>808</v>
      </c>
      <c r="R1108" s="271" t="s">
        <v>809</v>
      </c>
      <c r="S1108" s="192" t="s">
        <v>810</v>
      </c>
      <c r="T1108" s="192" t="s">
        <v>782</v>
      </c>
      <c r="AC1108" s="4" t="s">
        <v>641</v>
      </c>
      <c r="AD1108" s="192">
        <f>SUM(AD1084:AD1107)</f>
        <v>784</v>
      </c>
      <c r="AE1108" s="192">
        <f>SUM(AE1084:AE1107)</f>
        <v>589.64285714285745</v>
      </c>
      <c r="AF1108" s="192">
        <f t="shared" ref="AF1108:AW1108" si="461">SUM(AF1084:AF1107)</f>
        <v>617.96428571428601</v>
      </c>
      <c r="AG1108" s="192">
        <f t="shared" si="461"/>
        <v>1049.0357142857144</v>
      </c>
      <c r="AH1108" s="192">
        <f t="shared" si="461"/>
        <v>439.64709607056096</v>
      </c>
      <c r="AI1108" s="192">
        <f t="shared" si="461"/>
        <v>184.74999999999997</v>
      </c>
      <c r="AJ1108" s="192">
        <f t="shared" si="461"/>
        <v>132.10714285714292</v>
      </c>
      <c r="AK1108" s="192">
        <f t="shared" si="461"/>
        <v>204.39285714285708</v>
      </c>
      <c r="AL1108" s="192">
        <f t="shared" si="461"/>
        <v>206.8214285714285</v>
      </c>
      <c r="AM1108" s="192">
        <f t="shared" si="461"/>
        <v>66.642857142857153</v>
      </c>
      <c r="AN1108" s="192">
        <f t="shared" si="461"/>
        <v>78.53571428571432</v>
      </c>
      <c r="AO1108" s="192">
        <f t="shared" si="461"/>
        <v>151.60714285714289</v>
      </c>
      <c r="AP1108" s="192">
        <f t="shared" si="461"/>
        <v>29.607142857142858</v>
      </c>
      <c r="AQ1108" s="192">
        <f t="shared" si="461"/>
        <v>46.214285714285722</v>
      </c>
      <c r="AR1108" s="192">
        <f t="shared" si="461"/>
        <v>70.071428571428555</v>
      </c>
      <c r="AS1108" s="192">
        <f t="shared" si="461"/>
        <v>4651.0399532134161</v>
      </c>
      <c r="AT1108" s="192">
        <f t="shared" si="461"/>
        <v>358.857142857143</v>
      </c>
      <c r="AU1108" s="192">
        <f t="shared" si="461"/>
        <v>5009.8970960705592</v>
      </c>
      <c r="AW1108" s="192">
        <f t="shared" si="461"/>
        <v>8489.6071428571395</v>
      </c>
      <c r="AX1108" s="192">
        <f>SUMIF(AX1084:AX1107,"&gt;0")</f>
        <v>0</v>
      </c>
    </row>
    <row r="1109" spans="1:50" ht="15.75" customHeight="1" thickBot="1" x14ac:dyDescent="0.35">
      <c r="A1109" s="257" t="s">
        <v>768</v>
      </c>
      <c r="B1109" s="274" t="s">
        <v>811</v>
      </c>
      <c r="C1109" s="275" t="s">
        <v>791</v>
      </c>
      <c r="D1109" s="275" t="s">
        <v>792</v>
      </c>
      <c r="E1109" s="275" t="s">
        <v>812</v>
      </c>
      <c r="F1109" s="275" t="s">
        <v>791</v>
      </c>
      <c r="G1109" s="275" t="s">
        <v>792</v>
      </c>
      <c r="H1109" s="275" t="s">
        <v>793</v>
      </c>
      <c r="I1109" s="275" t="s">
        <v>791</v>
      </c>
      <c r="J1109" s="275" t="s">
        <v>792</v>
      </c>
      <c r="K1109" s="275" t="s">
        <v>793</v>
      </c>
      <c r="L1109" s="276" t="s">
        <v>813</v>
      </c>
      <c r="M1109" s="274" t="s">
        <v>814</v>
      </c>
      <c r="N1109" s="275" t="s">
        <v>791</v>
      </c>
      <c r="O1109" s="275" t="s">
        <v>791</v>
      </c>
      <c r="P1109" s="276" t="s">
        <v>813</v>
      </c>
      <c r="Q1109" s="277" t="s">
        <v>641</v>
      </c>
      <c r="R1109" s="278" t="s">
        <v>815</v>
      </c>
      <c r="S1109" s="275" t="s">
        <v>816</v>
      </c>
      <c r="T1109" s="275" t="s">
        <v>816</v>
      </c>
      <c r="AU1109" s="192"/>
      <c r="AW1109" s="192"/>
      <c r="AX1109" s="192"/>
    </row>
    <row r="1110" spans="1:50" ht="15.75" customHeight="1" thickTop="1" thickBot="1" x14ac:dyDescent="0.35">
      <c r="A1110" s="257"/>
      <c r="B1110" s="279"/>
      <c r="C1110" s="280" t="s">
        <v>817</v>
      </c>
      <c r="D1110" s="280" t="s">
        <v>817</v>
      </c>
      <c r="E1110" s="280" t="s">
        <v>817</v>
      </c>
      <c r="F1110" s="281" t="s">
        <v>779</v>
      </c>
      <c r="G1110" s="281" t="s">
        <v>779</v>
      </c>
      <c r="H1110" s="281" t="s">
        <v>779</v>
      </c>
      <c r="I1110" s="281" t="s">
        <v>818</v>
      </c>
      <c r="J1110" s="281" t="s">
        <v>818</v>
      </c>
      <c r="K1110" s="281" t="s">
        <v>818</v>
      </c>
      <c r="L1110" s="282" t="s">
        <v>819</v>
      </c>
      <c r="M1110" s="283"/>
      <c r="N1110" s="280" t="s">
        <v>817</v>
      </c>
      <c r="O1110" s="281" t="s">
        <v>779</v>
      </c>
      <c r="P1110" s="282" t="s">
        <v>818</v>
      </c>
      <c r="Q1110" s="277" t="s">
        <v>818</v>
      </c>
      <c r="R1110" s="278" t="s">
        <v>818</v>
      </c>
      <c r="S1110" s="281" t="s">
        <v>820</v>
      </c>
      <c r="T1110" s="281" t="s">
        <v>820</v>
      </c>
    </row>
    <row r="1111" spans="1:50" ht="15.75" customHeight="1" x14ac:dyDescent="0.3">
      <c r="A1111" s="257" t="s">
        <v>8</v>
      </c>
      <c r="B1111" s="211" t="e">
        <f ca="1">+$B$10-M1111</f>
        <v>#NAME?</v>
      </c>
      <c r="C1111" s="284">
        <v>4</v>
      </c>
      <c r="D1111" s="284">
        <v>0</v>
      </c>
      <c r="E1111" s="284" t="s">
        <v>803</v>
      </c>
      <c r="F1111" s="192">
        <f>+I1111/(24-S1111)</f>
        <v>196</v>
      </c>
      <c r="G1111" s="192">
        <f>+J1111/S1111</f>
        <v>0</v>
      </c>
      <c r="H1111" s="192" t="s">
        <v>803</v>
      </c>
      <c r="I1111" s="192">
        <f>+C1111*49*(24-S1111)</f>
        <v>3724</v>
      </c>
      <c r="J1111" s="192">
        <f>+D1111*49*S1111</f>
        <v>0</v>
      </c>
      <c r="K1111" s="192" t="s">
        <v>803</v>
      </c>
      <c r="L1111" s="271">
        <f>+J1111+I1111</f>
        <v>3724</v>
      </c>
      <c r="M1111" s="211" t="e">
        <f ca="1">SUMPRODUCT(--(WEEKDAY(ROW(INDIRECT(DATE($B$1105,MonthFromText(A1111),1)&amp;":"&amp;DATE($B$1105,MonthFromText(A1111),$B$10))),1)=1))</f>
        <v>#NAME?</v>
      </c>
      <c r="N1111" s="284">
        <v>4</v>
      </c>
      <c r="O1111" s="4">
        <f>+P1111/(24-T1111)</f>
        <v>196</v>
      </c>
      <c r="P1111" s="271">
        <f>+N1111*49*(24-T1111)</f>
        <v>3724</v>
      </c>
      <c r="Q1111" s="192" t="e">
        <f ca="1">+(L1111*B1111)+(M1111*P1111)</f>
        <v>#NAME?</v>
      </c>
      <c r="R1111" s="271" t="e">
        <f ca="1">+Q1111-B1004</f>
        <v>#NAME?</v>
      </c>
      <c r="S1111" s="285">
        <v>5</v>
      </c>
      <c r="T1111" s="285">
        <v>5</v>
      </c>
      <c r="AD1111" s="207"/>
      <c r="AE1111" s="200"/>
      <c r="AF1111" s="286" t="s">
        <v>821</v>
      </c>
      <c r="AG1111" s="287" t="s">
        <v>822</v>
      </c>
      <c r="AH1111" s="287" t="s">
        <v>823</v>
      </c>
      <c r="AI1111" s="287" t="s">
        <v>824</v>
      </c>
      <c r="AJ1111" s="198"/>
    </row>
    <row r="1112" spans="1:50" ht="15.75" customHeight="1" x14ac:dyDescent="0.3">
      <c r="A1112" s="257" t="s">
        <v>9</v>
      </c>
      <c r="B1112" s="211" t="e">
        <f ca="1">+$C$10-M1112</f>
        <v>#NAME?</v>
      </c>
      <c r="C1112" s="284">
        <v>2</v>
      </c>
      <c r="D1112" s="284">
        <v>0</v>
      </c>
      <c r="E1112" s="284" t="s">
        <v>803</v>
      </c>
      <c r="F1112" s="192">
        <f t="shared" ref="F1112:F1122" si="462">+I1112/(24-S1112)</f>
        <v>98</v>
      </c>
      <c r="G1112" s="192">
        <f t="shared" ref="G1112:G1122" si="463">+J1112/S1112</f>
        <v>0</v>
      </c>
      <c r="H1112" s="192" t="s">
        <v>803</v>
      </c>
      <c r="I1112" s="192">
        <f t="shared" ref="I1112:I1122" si="464">+C1112*49*(24-S1112)</f>
        <v>1862</v>
      </c>
      <c r="J1112" s="192">
        <f t="shared" ref="J1112:J1122" si="465">+D1112*49*S1112</f>
        <v>0</v>
      </c>
      <c r="K1112" s="192" t="s">
        <v>803</v>
      </c>
      <c r="L1112" s="271">
        <f t="shared" ref="L1112:L1122" si="466">+J1112+I1112</f>
        <v>1862</v>
      </c>
      <c r="M1112" s="211" t="e">
        <f ca="1">SUMPRODUCT(--(WEEKDAY(ROW(INDIRECT(DATE($B$1105,MonthFromText(A1112),1)&amp;":"&amp;DATE($B$1105,MonthFromText(A1112),$C$10))),1)=1))</f>
        <v>#NAME?</v>
      </c>
      <c r="N1112" s="284">
        <f t="shared" ref="N1112:N1120" si="467">+C1112</f>
        <v>2</v>
      </c>
      <c r="O1112" s="4">
        <f t="shared" ref="O1112:O1122" si="468">+P1112/24</f>
        <v>98</v>
      </c>
      <c r="P1112" s="271">
        <f t="shared" ref="P1112:P1122" si="469">+N1112*49*24</f>
        <v>2352</v>
      </c>
      <c r="Q1112" s="192" t="e">
        <f ca="1">+(L1112*B1112)+(M1112*P1112)</f>
        <v>#NAME?</v>
      </c>
      <c r="R1112" s="271" t="e">
        <f t="shared" ref="R1112:R1122" ca="1" si="470">+Q1112-B1005</f>
        <v>#NAME?</v>
      </c>
      <c r="S1112" s="285">
        <v>5</v>
      </c>
      <c r="T1112" s="285">
        <v>5</v>
      </c>
      <c r="AD1112" s="288" t="s">
        <v>668</v>
      </c>
      <c r="AE1112" s="289" t="s">
        <v>825</v>
      </c>
      <c r="AF1112" s="4">
        <f>V1084</f>
        <v>273.28897849462362</v>
      </c>
      <c r="AG1112" s="4">
        <f>X1084</f>
        <v>15.054529134520388</v>
      </c>
      <c r="AH1112" s="4">
        <f>Y1084</f>
        <v>0</v>
      </c>
      <c r="AI1112" s="4">
        <f>Z1084</f>
        <v>31.473118279569889</v>
      </c>
      <c r="AJ1112" s="133"/>
    </row>
    <row r="1113" spans="1:50" ht="16.5" customHeight="1" x14ac:dyDescent="0.3">
      <c r="A1113" s="257" t="s">
        <v>10</v>
      </c>
      <c r="B1113" s="211" t="e">
        <f ca="1">+$D$10-M1113</f>
        <v>#NAME?</v>
      </c>
      <c r="C1113" s="284">
        <v>6</v>
      </c>
      <c r="D1113" s="284">
        <v>0</v>
      </c>
      <c r="E1113" s="284" t="s">
        <v>803</v>
      </c>
      <c r="F1113" s="192">
        <f t="shared" si="462"/>
        <v>294</v>
      </c>
      <c r="G1113" s="192">
        <f t="shared" si="463"/>
        <v>0</v>
      </c>
      <c r="H1113" s="192" t="s">
        <v>803</v>
      </c>
      <c r="I1113" s="192">
        <f t="shared" si="464"/>
        <v>5586</v>
      </c>
      <c r="J1113" s="192">
        <f t="shared" si="465"/>
        <v>0</v>
      </c>
      <c r="K1113" s="192" t="s">
        <v>803</v>
      </c>
      <c r="L1113" s="271">
        <f t="shared" si="466"/>
        <v>5586</v>
      </c>
      <c r="M1113" s="211" t="e">
        <f ca="1">SUMPRODUCT(--(WEEKDAY(ROW(INDIRECT(DATE($B$1105,MonthFromText(A1113),1)&amp;":"&amp;DATE($B$1105,MonthFromText(A1113),$D$10))),1)=1))</f>
        <v>#NAME?</v>
      </c>
      <c r="N1113" s="284">
        <v>3</v>
      </c>
      <c r="O1113" s="4">
        <f t="shared" si="468"/>
        <v>147</v>
      </c>
      <c r="P1113" s="271">
        <f t="shared" si="469"/>
        <v>3528</v>
      </c>
      <c r="Q1113" s="192" t="e">
        <f t="shared" ref="Q1113:Q1122" ca="1" si="471">+(L1113*B1113)+(M1113*P1113)</f>
        <v>#NAME?</v>
      </c>
      <c r="R1113" s="271" t="e">
        <f t="shared" ca="1" si="470"/>
        <v>#NAME?</v>
      </c>
      <c r="S1113" s="285">
        <v>5</v>
      </c>
      <c r="T1113" s="285">
        <v>5</v>
      </c>
      <c r="AD1113" s="288"/>
      <c r="AE1113" s="289" t="s">
        <v>816</v>
      </c>
      <c r="AF1113" s="4">
        <f>W1084</f>
        <v>77.288978494623649</v>
      </c>
      <c r="AG1113" s="4">
        <f>X1084</f>
        <v>15.054529134520388</v>
      </c>
      <c r="AH1113" s="4">
        <f>Y1084</f>
        <v>0</v>
      </c>
      <c r="AI1113" s="4">
        <f>Z1084</f>
        <v>31.473118279569889</v>
      </c>
      <c r="AJ1113" s="133"/>
    </row>
    <row r="1114" spans="1:50" ht="16.5" customHeight="1" x14ac:dyDescent="0.3">
      <c r="A1114" s="257" t="s">
        <v>12</v>
      </c>
      <c r="B1114" s="211" t="e">
        <f ca="1">+$F$10-M1114</f>
        <v>#NAME?</v>
      </c>
      <c r="C1114" s="284">
        <v>6</v>
      </c>
      <c r="D1114" s="284">
        <v>0</v>
      </c>
      <c r="E1114" s="284" t="s">
        <v>803</v>
      </c>
      <c r="F1114" s="192">
        <f t="shared" si="462"/>
        <v>294</v>
      </c>
      <c r="G1114" s="192">
        <f t="shared" si="463"/>
        <v>0</v>
      </c>
      <c r="H1114" s="192" t="s">
        <v>803</v>
      </c>
      <c r="I1114" s="192">
        <f t="shared" si="464"/>
        <v>5586</v>
      </c>
      <c r="J1114" s="192">
        <f t="shared" si="465"/>
        <v>0</v>
      </c>
      <c r="K1114" s="192" t="s">
        <v>803</v>
      </c>
      <c r="L1114" s="271">
        <f t="shared" si="466"/>
        <v>5586</v>
      </c>
      <c r="M1114" s="211" t="e">
        <f ca="1">SUMPRODUCT(--(WEEKDAY(ROW(INDIRECT(DATE($B$1105,MonthFromText(A1114),1)&amp;":"&amp;DATE($B$1105,MonthFromText(A1114),$F$10))),1)=1))</f>
        <v>#NAME?</v>
      </c>
      <c r="N1114" s="284">
        <v>5</v>
      </c>
      <c r="O1114" s="4">
        <f t="shared" si="468"/>
        <v>245</v>
      </c>
      <c r="P1114" s="271">
        <f t="shared" si="469"/>
        <v>5880</v>
      </c>
      <c r="Q1114" s="192" t="e">
        <f t="shared" ca="1" si="471"/>
        <v>#NAME?</v>
      </c>
      <c r="R1114" s="271" t="e">
        <f t="shared" ca="1" si="470"/>
        <v>#NAME?</v>
      </c>
      <c r="S1114" s="285">
        <v>5</v>
      </c>
      <c r="T1114" s="285">
        <v>5</v>
      </c>
      <c r="AD1114" s="288" t="s">
        <v>826</v>
      </c>
      <c r="AE1114" s="289" t="s">
        <v>7</v>
      </c>
      <c r="AJ1114" s="133"/>
    </row>
    <row r="1115" spans="1:50" ht="15.75" customHeight="1" x14ac:dyDescent="0.3">
      <c r="A1115" s="257" t="s">
        <v>13</v>
      </c>
      <c r="B1115" s="211" t="e">
        <f ca="1">+$G$10-M1115</f>
        <v>#NAME?</v>
      </c>
      <c r="C1115" s="284">
        <v>6</v>
      </c>
      <c r="D1115" s="284">
        <v>0</v>
      </c>
      <c r="E1115" s="284" t="s">
        <v>803</v>
      </c>
      <c r="F1115" s="192">
        <f t="shared" si="462"/>
        <v>294</v>
      </c>
      <c r="G1115" s="192">
        <f t="shared" si="463"/>
        <v>0</v>
      </c>
      <c r="H1115" s="192" t="s">
        <v>803</v>
      </c>
      <c r="I1115" s="192">
        <f t="shared" si="464"/>
        <v>5586</v>
      </c>
      <c r="J1115" s="192">
        <f t="shared" si="465"/>
        <v>0</v>
      </c>
      <c r="K1115" s="192" t="s">
        <v>803</v>
      </c>
      <c r="L1115" s="271">
        <f t="shared" si="466"/>
        <v>5586</v>
      </c>
      <c r="M1115" s="211" t="e">
        <f ca="1">SUMPRODUCT(--(WEEKDAY(ROW(INDIRECT(DATE($B$1105,MonthFromText(A1115),1)&amp;":"&amp;DATE($B$1105,MonthFromText(A1115),$G$10))),1)=1))</f>
        <v>#NAME?</v>
      </c>
      <c r="N1115" s="284">
        <f t="shared" si="467"/>
        <v>6</v>
      </c>
      <c r="O1115" s="4">
        <f t="shared" si="468"/>
        <v>294</v>
      </c>
      <c r="P1115" s="271">
        <f t="shared" si="469"/>
        <v>7056</v>
      </c>
      <c r="Q1115" s="192" t="e">
        <f t="shared" ca="1" si="471"/>
        <v>#NAME?</v>
      </c>
      <c r="R1115" s="271" t="e">
        <f t="shared" ca="1" si="470"/>
        <v>#NAME?</v>
      </c>
      <c r="S1115" s="285">
        <v>5</v>
      </c>
      <c r="T1115" s="285">
        <v>5</v>
      </c>
      <c r="AD1115" s="288" t="s">
        <v>669</v>
      </c>
      <c r="AE1115" s="289" t="s">
        <v>825</v>
      </c>
      <c r="AF1115" s="4">
        <f>V1085</f>
        <v>192.02678571428569</v>
      </c>
      <c r="AG1115" s="4">
        <f>X1085</f>
        <v>18.318629002940039</v>
      </c>
      <c r="AH1115" s="4">
        <f>Y1085</f>
        <v>0</v>
      </c>
      <c r="AI1115" s="4">
        <f>Z1085</f>
        <v>48.78125</v>
      </c>
      <c r="AJ1115" s="133"/>
    </row>
    <row r="1116" spans="1:50" ht="15.75" customHeight="1" x14ac:dyDescent="0.3">
      <c r="A1116" s="257" t="s">
        <v>14</v>
      </c>
      <c r="B1116" s="211" t="e">
        <f ca="1">+$H$10-M1116</f>
        <v>#NAME?</v>
      </c>
      <c r="C1116" s="284">
        <v>3</v>
      </c>
      <c r="D1116" s="284">
        <v>0</v>
      </c>
      <c r="E1116" s="284">
        <v>0</v>
      </c>
      <c r="F1116" s="192">
        <f t="shared" si="462"/>
        <v>147</v>
      </c>
      <c r="G1116" s="192">
        <f t="shared" si="463"/>
        <v>0</v>
      </c>
      <c r="H1116" s="192" t="s">
        <v>803</v>
      </c>
      <c r="I1116" s="192">
        <f t="shared" si="464"/>
        <v>2205</v>
      </c>
      <c r="J1116" s="192">
        <f t="shared" si="465"/>
        <v>0</v>
      </c>
      <c r="K1116" s="192" t="s">
        <v>803</v>
      </c>
      <c r="L1116" s="271">
        <f t="shared" si="466"/>
        <v>2205</v>
      </c>
      <c r="M1116" s="211" t="e">
        <f ca="1">SUMPRODUCT(--(WEEKDAY(ROW(INDIRECT(DATE($B$1105,MonthFromText(A1116),1)&amp;":"&amp;DATE($B$1105,MonthFromText(A1116),$H$10))),1)=1))</f>
        <v>#NAME?</v>
      </c>
      <c r="N1116" s="284">
        <f t="shared" si="467"/>
        <v>3</v>
      </c>
      <c r="O1116" s="4">
        <f t="shared" si="468"/>
        <v>147</v>
      </c>
      <c r="P1116" s="271">
        <f t="shared" si="469"/>
        <v>3528</v>
      </c>
      <c r="Q1116" s="192" t="e">
        <f ca="1">+(L1116*B1116)+(M1116*P1116)</f>
        <v>#NAME?</v>
      </c>
      <c r="R1116" s="271" t="e">
        <f t="shared" ca="1" si="470"/>
        <v>#NAME?</v>
      </c>
      <c r="S1116" s="285">
        <v>9</v>
      </c>
      <c r="T1116" s="285">
        <v>9</v>
      </c>
      <c r="AD1116" s="288"/>
      <c r="AE1116" s="289" t="s">
        <v>816</v>
      </c>
      <c r="AF1116" s="4">
        <f>W1085</f>
        <v>94.026785714285694</v>
      </c>
      <c r="AG1116" s="4">
        <f>X1085</f>
        <v>18.318629002940039</v>
      </c>
      <c r="AH1116" s="4">
        <f>Y1085</f>
        <v>0</v>
      </c>
      <c r="AI1116" s="4">
        <f>Z1085</f>
        <v>48.78125</v>
      </c>
      <c r="AJ1116" s="133"/>
    </row>
    <row r="1117" spans="1:50" ht="15.75" customHeight="1" x14ac:dyDescent="0.3">
      <c r="A1117" s="257" t="s">
        <v>16</v>
      </c>
      <c r="B1117" s="211" t="e">
        <f ca="1">+$J$10-M1117</f>
        <v>#NAME?</v>
      </c>
      <c r="C1117" s="284">
        <v>3</v>
      </c>
      <c r="D1117" s="284">
        <v>0</v>
      </c>
      <c r="E1117" s="284">
        <v>0</v>
      </c>
      <c r="F1117" s="192">
        <f t="shared" si="462"/>
        <v>147</v>
      </c>
      <c r="G1117" s="192">
        <f t="shared" si="463"/>
        <v>0</v>
      </c>
      <c r="H1117" s="192" t="s">
        <v>803</v>
      </c>
      <c r="I1117" s="192">
        <f t="shared" si="464"/>
        <v>2205</v>
      </c>
      <c r="J1117" s="192">
        <f t="shared" si="465"/>
        <v>0</v>
      </c>
      <c r="K1117" s="192" t="s">
        <v>803</v>
      </c>
      <c r="L1117" s="271">
        <f t="shared" si="466"/>
        <v>2205</v>
      </c>
      <c r="M1117" s="211" t="e">
        <f ca="1">SUMPRODUCT(--(WEEKDAY(ROW(INDIRECT(DATE($B$1105,MonthFromText(A1117),1)&amp;":"&amp;DATE($B$1105,MonthFromText(A1117),$J$10))),1)=1))</f>
        <v>#NAME?</v>
      </c>
      <c r="N1117" s="284">
        <f t="shared" si="467"/>
        <v>3</v>
      </c>
      <c r="O1117" s="4">
        <f t="shared" si="468"/>
        <v>147</v>
      </c>
      <c r="P1117" s="271">
        <f t="shared" si="469"/>
        <v>3528</v>
      </c>
      <c r="Q1117" s="192" t="e">
        <f t="shared" ca="1" si="471"/>
        <v>#NAME?</v>
      </c>
      <c r="R1117" s="271" t="e">
        <f t="shared" ca="1" si="470"/>
        <v>#NAME?</v>
      </c>
      <c r="S1117" s="285">
        <v>9</v>
      </c>
      <c r="T1117" s="285">
        <v>9</v>
      </c>
      <c r="AD1117" s="288" t="s">
        <v>826</v>
      </c>
      <c r="AE1117" s="289" t="s">
        <v>7</v>
      </c>
      <c r="AJ1117" s="133"/>
    </row>
    <row r="1118" spans="1:50" ht="15.75" customHeight="1" x14ac:dyDescent="0.3">
      <c r="A1118" s="257" t="s">
        <v>17</v>
      </c>
      <c r="B1118" s="211" t="e">
        <f ca="1">+$K$10-M1118</f>
        <v>#NAME?</v>
      </c>
      <c r="C1118" s="284">
        <v>3</v>
      </c>
      <c r="D1118" s="284">
        <v>0</v>
      </c>
      <c r="E1118" s="284">
        <v>0</v>
      </c>
      <c r="F1118" s="192">
        <f t="shared" si="462"/>
        <v>147</v>
      </c>
      <c r="G1118" s="192">
        <f t="shared" si="463"/>
        <v>0</v>
      </c>
      <c r="H1118" s="192" t="s">
        <v>803</v>
      </c>
      <c r="I1118" s="192">
        <f t="shared" si="464"/>
        <v>2205</v>
      </c>
      <c r="J1118" s="192">
        <f t="shared" si="465"/>
        <v>0</v>
      </c>
      <c r="K1118" s="192" t="s">
        <v>803</v>
      </c>
      <c r="L1118" s="271">
        <f t="shared" si="466"/>
        <v>2205</v>
      </c>
      <c r="M1118" s="211" t="e">
        <f ca="1">SUMPRODUCT(--(WEEKDAY(ROW(INDIRECT(DATE($B$1105,MonthFromText(A1118),1)&amp;":"&amp;DATE($B$1105,MonthFromText(A1118),$K$10))),1)=1))</f>
        <v>#NAME?</v>
      </c>
      <c r="N1118" s="284">
        <f t="shared" si="467"/>
        <v>3</v>
      </c>
      <c r="O1118" s="4">
        <f t="shared" si="468"/>
        <v>147</v>
      </c>
      <c r="P1118" s="271">
        <f t="shared" si="469"/>
        <v>3528</v>
      </c>
      <c r="Q1118" s="192" t="e">
        <f t="shared" ca="1" si="471"/>
        <v>#NAME?</v>
      </c>
      <c r="R1118" s="271" t="e">
        <f t="shared" ca="1" si="470"/>
        <v>#NAME?</v>
      </c>
      <c r="S1118" s="285">
        <v>9</v>
      </c>
      <c r="T1118" s="285">
        <v>9</v>
      </c>
      <c r="AD1118" s="288" t="s">
        <v>671</v>
      </c>
      <c r="AE1118" s="289" t="s">
        <v>825</v>
      </c>
      <c r="AF1118" s="4">
        <f>V1086</f>
        <v>383.99731182795699</v>
      </c>
      <c r="AG1118" s="4">
        <f>X1086</f>
        <v>8.5696776528474441</v>
      </c>
      <c r="AH1118" s="4">
        <f>Y1086</f>
        <v>0</v>
      </c>
      <c r="AI1118" s="4">
        <f>Z1086</f>
        <v>59.06989247311828</v>
      </c>
      <c r="AJ1118" s="133"/>
    </row>
    <row r="1119" spans="1:50" ht="15.75" customHeight="1" x14ac:dyDescent="0.3">
      <c r="A1119" s="257" t="s">
        <v>18</v>
      </c>
      <c r="B1119" s="211" t="e">
        <f ca="1">+$L$10-M1119</f>
        <v>#NAME?</v>
      </c>
      <c r="C1119" s="284">
        <v>5</v>
      </c>
      <c r="D1119" s="284">
        <v>0</v>
      </c>
      <c r="E1119" s="284" t="s">
        <v>803</v>
      </c>
      <c r="F1119" s="192">
        <f t="shared" si="462"/>
        <v>245</v>
      </c>
      <c r="G1119" s="192">
        <f t="shared" si="463"/>
        <v>0</v>
      </c>
      <c r="H1119" s="192" t="s">
        <v>803</v>
      </c>
      <c r="I1119" s="192">
        <f t="shared" si="464"/>
        <v>4410</v>
      </c>
      <c r="J1119" s="192">
        <f t="shared" si="465"/>
        <v>0</v>
      </c>
      <c r="K1119" s="192" t="s">
        <v>803</v>
      </c>
      <c r="L1119" s="271">
        <f t="shared" si="466"/>
        <v>4410</v>
      </c>
      <c r="M1119" s="211" t="e">
        <f ca="1">SUMPRODUCT(--(WEEKDAY(ROW(INDIRECT(DATE($B$1105,MonthFromText(A1119),1)&amp;":"&amp;DATE($B$1105,MonthFromText(A1119),$L$10))),1)=1))</f>
        <v>#NAME?</v>
      </c>
      <c r="N1119" s="284">
        <f t="shared" si="467"/>
        <v>5</v>
      </c>
      <c r="O1119" s="4">
        <f t="shared" si="468"/>
        <v>245</v>
      </c>
      <c r="P1119" s="271">
        <f t="shared" si="469"/>
        <v>5880</v>
      </c>
      <c r="Q1119" s="192" t="e">
        <f t="shared" ca="1" si="471"/>
        <v>#NAME?</v>
      </c>
      <c r="R1119" s="271" t="e">
        <f t="shared" ca="1" si="470"/>
        <v>#NAME?</v>
      </c>
      <c r="S1119" s="285">
        <v>6</v>
      </c>
      <c r="T1119" s="285">
        <v>4</v>
      </c>
      <c r="AD1119" s="288"/>
      <c r="AE1119" s="289" t="s">
        <v>816</v>
      </c>
      <c r="AF1119" s="4">
        <f>W1086</f>
        <v>89.997311827956992</v>
      </c>
      <c r="AG1119" s="4">
        <f>X1086</f>
        <v>8.5696776528474441</v>
      </c>
      <c r="AH1119" s="4">
        <f>Y1086</f>
        <v>0</v>
      </c>
      <c r="AI1119" s="4">
        <f>Z1086</f>
        <v>59.06989247311828</v>
      </c>
      <c r="AJ1119" s="133"/>
    </row>
    <row r="1120" spans="1:50" ht="15.75" customHeight="1" x14ac:dyDescent="0.3">
      <c r="A1120" s="257" t="s">
        <v>20</v>
      </c>
      <c r="B1120" s="211" t="e">
        <f ca="1">+$N$10-M1120</f>
        <v>#NAME?</v>
      </c>
      <c r="C1120" s="284">
        <v>5</v>
      </c>
      <c r="D1120" s="284">
        <v>0</v>
      </c>
      <c r="E1120" s="284" t="s">
        <v>803</v>
      </c>
      <c r="F1120" s="192">
        <f t="shared" si="462"/>
        <v>245</v>
      </c>
      <c r="G1120" s="192">
        <f t="shared" si="463"/>
        <v>0</v>
      </c>
      <c r="H1120" s="192" t="s">
        <v>803</v>
      </c>
      <c r="I1120" s="192">
        <f t="shared" si="464"/>
        <v>4410</v>
      </c>
      <c r="J1120" s="192">
        <f t="shared" si="465"/>
        <v>0</v>
      </c>
      <c r="K1120" s="192" t="s">
        <v>803</v>
      </c>
      <c r="L1120" s="271">
        <f t="shared" si="466"/>
        <v>4410</v>
      </c>
      <c r="M1120" s="211" t="e">
        <f ca="1">SUMPRODUCT(--(WEEKDAY(ROW(INDIRECT(DATE($B$1105,MonthFromText(A1120),1)&amp;":"&amp;DATE($B$1105,MonthFromText(A1120),$N$10))),1)=1))</f>
        <v>#NAME?</v>
      </c>
      <c r="N1120" s="284">
        <f t="shared" si="467"/>
        <v>5</v>
      </c>
      <c r="O1120" s="4">
        <f t="shared" si="468"/>
        <v>245</v>
      </c>
      <c r="P1120" s="271">
        <f t="shared" si="469"/>
        <v>5880</v>
      </c>
      <c r="Q1120" s="192" t="e">
        <f t="shared" ca="1" si="471"/>
        <v>#NAME?</v>
      </c>
      <c r="R1120" s="271" t="e">
        <f t="shared" ca="1" si="470"/>
        <v>#NAME?</v>
      </c>
      <c r="S1120" s="285">
        <v>6</v>
      </c>
      <c r="T1120" s="285">
        <v>4</v>
      </c>
      <c r="AD1120" s="288" t="s">
        <v>826</v>
      </c>
      <c r="AE1120" s="289" t="s">
        <v>7</v>
      </c>
      <c r="AJ1120" s="133"/>
    </row>
    <row r="1121" spans="1:36" ht="15.75" customHeight="1" x14ac:dyDescent="0.3">
      <c r="A1121" s="257" t="s">
        <v>21</v>
      </c>
      <c r="B1121" s="211" t="e">
        <f ca="1">+$O$10-M1121</f>
        <v>#NAME?</v>
      </c>
      <c r="C1121" s="284">
        <v>5</v>
      </c>
      <c r="D1121" s="284">
        <v>0</v>
      </c>
      <c r="E1121" s="284" t="s">
        <v>803</v>
      </c>
      <c r="F1121" s="192">
        <f t="shared" si="462"/>
        <v>245</v>
      </c>
      <c r="G1121" s="192">
        <f t="shared" si="463"/>
        <v>0</v>
      </c>
      <c r="H1121" s="192" t="s">
        <v>803</v>
      </c>
      <c r="I1121" s="192">
        <f t="shared" si="464"/>
        <v>4410</v>
      </c>
      <c r="J1121" s="192">
        <f t="shared" si="465"/>
        <v>0</v>
      </c>
      <c r="K1121" s="192" t="s">
        <v>803</v>
      </c>
      <c r="L1121" s="271">
        <f t="shared" si="466"/>
        <v>4410</v>
      </c>
      <c r="M1121" s="211" t="e">
        <f ca="1">SUMPRODUCT(--(WEEKDAY(ROW(INDIRECT(DATE($B$1105,MonthFromText(A1121),1)&amp;":"&amp;DATE($B$1105,MonthFromText(A1121),$O$10))),1)=1))</f>
        <v>#NAME?</v>
      </c>
      <c r="N1121" s="284">
        <v>3</v>
      </c>
      <c r="O1121" s="4">
        <f t="shared" si="468"/>
        <v>147</v>
      </c>
      <c r="P1121" s="271">
        <f t="shared" si="469"/>
        <v>3528</v>
      </c>
      <c r="Q1121" s="192" t="e">
        <f t="shared" ca="1" si="471"/>
        <v>#NAME?</v>
      </c>
      <c r="R1121" s="271" t="e">
        <f t="shared" ca="1" si="470"/>
        <v>#NAME?</v>
      </c>
      <c r="S1121" s="285">
        <v>6</v>
      </c>
      <c r="T1121" s="285">
        <v>4</v>
      </c>
      <c r="AD1121" s="288" t="s">
        <v>672</v>
      </c>
      <c r="AE1121" s="289" t="s">
        <v>825</v>
      </c>
      <c r="AF1121" s="4">
        <f>V1087</f>
        <v>387.68194444444441</v>
      </c>
      <c r="AG1121" s="4">
        <f>X1087</f>
        <v>0</v>
      </c>
      <c r="AH1121" s="4">
        <f>Y1087</f>
        <v>-2.1617115973750285</v>
      </c>
      <c r="AI1121" s="4">
        <f>Z1087</f>
        <v>71.869444444444468</v>
      </c>
      <c r="AJ1121" s="133"/>
    </row>
    <row r="1122" spans="1:36" ht="15.75" customHeight="1" thickBot="1" x14ac:dyDescent="0.35">
      <c r="A1122" s="257" t="s">
        <v>22</v>
      </c>
      <c r="B1122" s="220" t="e">
        <f ca="1">+$P$10-M1122</f>
        <v>#NAME?</v>
      </c>
      <c r="C1122" s="290">
        <v>5</v>
      </c>
      <c r="D1122" s="290">
        <v>0</v>
      </c>
      <c r="E1122" s="284" t="s">
        <v>803</v>
      </c>
      <c r="F1122" s="192">
        <f t="shared" si="462"/>
        <v>245</v>
      </c>
      <c r="G1122" s="192">
        <f t="shared" si="463"/>
        <v>0</v>
      </c>
      <c r="H1122" s="192" t="s">
        <v>803</v>
      </c>
      <c r="I1122" s="192">
        <f t="shared" si="464"/>
        <v>4410</v>
      </c>
      <c r="J1122" s="192">
        <f t="shared" si="465"/>
        <v>0</v>
      </c>
      <c r="K1122" s="192" t="s">
        <v>803</v>
      </c>
      <c r="L1122" s="271">
        <f t="shared" si="466"/>
        <v>4410</v>
      </c>
      <c r="M1122" s="220" t="e">
        <f ca="1">SUMPRODUCT(--(WEEKDAY(ROW(INDIRECT(DATE($B$1105,MonthFromText(A1122),1)&amp;":"&amp;DATE($B$1105,MonthFromText(A1122),$P$10))),1)=1))</f>
        <v>#NAME?</v>
      </c>
      <c r="N1122" s="284">
        <v>3</v>
      </c>
      <c r="O1122" s="135">
        <f t="shared" si="468"/>
        <v>147</v>
      </c>
      <c r="P1122" s="272">
        <f t="shared" si="469"/>
        <v>3528</v>
      </c>
      <c r="Q1122" s="291" t="e">
        <f t="shared" ca="1" si="471"/>
        <v>#NAME?</v>
      </c>
      <c r="R1122" s="292" t="e">
        <f t="shared" ca="1" si="470"/>
        <v>#NAME?</v>
      </c>
      <c r="S1122" s="285">
        <v>6</v>
      </c>
      <c r="T1122" s="285">
        <v>4</v>
      </c>
      <c r="AD1122" s="288"/>
      <c r="AE1122" s="289" t="s">
        <v>816</v>
      </c>
      <c r="AF1122" s="4">
        <f>W1087</f>
        <v>93.68194444444444</v>
      </c>
      <c r="AG1122" s="4">
        <f>X1087</f>
        <v>0</v>
      </c>
      <c r="AH1122" s="4">
        <f>Y1087</f>
        <v>-2.1617115973750285</v>
      </c>
      <c r="AI1122" s="4">
        <f>Z1087</f>
        <v>71.869444444444468</v>
      </c>
      <c r="AJ1122" s="133"/>
    </row>
    <row r="1123" spans="1:36" ht="15.75" customHeight="1" thickBot="1" x14ac:dyDescent="0.35">
      <c r="A1123" s="134"/>
      <c r="B1123" s="135"/>
      <c r="C1123" s="135"/>
      <c r="D1123" s="135"/>
      <c r="E1123" s="223"/>
      <c r="F1123" s="223"/>
      <c r="G1123" s="223"/>
      <c r="H1123" s="223"/>
      <c r="I1123" s="223"/>
      <c r="J1123" s="223"/>
      <c r="K1123" s="223"/>
      <c r="L1123" s="223"/>
      <c r="M1123" s="135"/>
      <c r="N1123" s="135"/>
      <c r="O1123" s="135"/>
      <c r="P1123" s="135"/>
      <c r="Q1123" s="206" t="e">
        <f ca="1">+SUM(Q1111:Q1122)</f>
        <v>#NAME?</v>
      </c>
      <c r="R1123" s="272" t="e">
        <f ca="1">+Q1123-B1017</f>
        <v>#NAME?</v>
      </c>
      <c r="AD1123" s="288" t="s">
        <v>826</v>
      </c>
      <c r="AE1123" s="289" t="s">
        <v>7</v>
      </c>
      <c r="AJ1123" s="133"/>
    </row>
    <row r="1124" spans="1:36" ht="15.75" customHeight="1" x14ac:dyDescent="0.3">
      <c r="A1124" s="260" t="s">
        <v>827</v>
      </c>
      <c r="J1124" s="192"/>
      <c r="AD1124" s="288" t="s">
        <v>673</v>
      </c>
      <c r="AE1124" s="289" t="s">
        <v>825</v>
      </c>
      <c r="AF1124" s="4">
        <f>V1088</f>
        <v>400.42876344086022</v>
      </c>
      <c r="AG1124" s="4">
        <f>X1088</f>
        <v>0</v>
      </c>
      <c r="AH1124" s="4">
        <f>Y1088</f>
        <v>0</v>
      </c>
      <c r="AI1124" s="4">
        <f>Z1088</f>
        <v>69.762096774193552</v>
      </c>
      <c r="AJ1124" s="133"/>
    </row>
    <row r="1125" spans="1:36" ht="15.75" customHeight="1" x14ac:dyDescent="0.3">
      <c r="A1125" s="260" t="s">
        <v>828</v>
      </c>
      <c r="AD1125" s="288"/>
      <c r="AE1125" s="289" t="s">
        <v>816</v>
      </c>
      <c r="AF1125" s="4">
        <f>W1088</f>
        <v>106.42876344086022</v>
      </c>
      <c r="AG1125" s="4">
        <f>X1088</f>
        <v>0</v>
      </c>
      <c r="AH1125" s="4">
        <f>Y1088</f>
        <v>0</v>
      </c>
      <c r="AI1125" s="4">
        <f>Z1088</f>
        <v>69.762096774193552</v>
      </c>
      <c r="AJ1125" s="133"/>
    </row>
    <row r="1126" spans="1:36" ht="15.75" customHeight="1" x14ac:dyDescent="0.3">
      <c r="A1126" s="260" t="s">
        <v>829</v>
      </c>
      <c r="AD1126" s="288" t="s">
        <v>826</v>
      </c>
      <c r="AE1126" s="289" t="s">
        <v>7</v>
      </c>
      <c r="AJ1126" s="133"/>
    </row>
    <row r="1127" spans="1:36" ht="15.75" customHeight="1" x14ac:dyDescent="0.3">
      <c r="AD1127" s="288" t="s">
        <v>675</v>
      </c>
      <c r="AE1127" s="289" t="s">
        <v>825</v>
      </c>
      <c r="AF1127" s="4">
        <f>V1089</f>
        <v>192.90694444444443</v>
      </c>
      <c r="AG1127" s="4">
        <f>X1089</f>
        <v>0</v>
      </c>
      <c r="AH1127" s="4">
        <f>Y1089</f>
        <v>-21.96721634360711</v>
      </c>
      <c r="AI1127" s="4">
        <f>Z1089</f>
        <v>73.783333333333331</v>
      </c>
      <c r="AJ1127" s="133"/>
    </row>
    <row r="1128" spans="1:36" ht="15.75" customHeight="1" x14ac:dyDescent="0.3">
      <c r="A1128" s="4" t="s">
        <v>830</v>
      </c>
      <c r="AD1128" s="288"/>
      <c r="AE1128" s="289" t="s">
        <v>816</v>
      </c>
      <c r="AF1128" s="4">
        <f>W1089</f>
        <v>45.906944444444449</v>
      </c>
      <c r="AG1128" s="4">
        <f>X1089</f>
        <v>0</v>
      </c>
      <c r="AH1128" s="4">
        <f>Y1089</f>
        <v>-21.96721634360711</v>
      </c>
      <c r="AI1128" s="4">
        <f>Z1089</f>
        <v>73.783333333333331</v>
      </c>
      <c r="AJ1128" s="133"/>
    </row>
    <row r="1129" spans="1:36" ht="15.75" customHeight="1" x14ac:dyDescent="0.3">
      <c r="AD1129" s="288" t="s">
        <v>826</v>
      </c>
      <c r="AE1129" s="289" t="s">
        <v>7</v>
      </c>
      <c r="AJ1129" s="133"/>
    </row>
    <row r="1130" spans="1:36" ht="15.75" customHeight="1" x14ac:dyDescent="0.3">
      <c r="AD1130" s="288" t="s">
        <v>676</v>
      </c>
      <c r="AE1130" s="289" t="s">
        <v>825</v>
      </c>
      <c r="AF1130" s="4">
        <f>V1090</f>
        <v>177.24596774193549</v>
      </c>
      <c r="AG1130" s="4">
        <f>X1090</f>
        <v>0</v>
      </c>
      <c r="AH1130" s="4">
        <f>Y1090</f>
        <v>-19.852710780525623</v>
      </c>
      <c r="AI1130" s="4">
        <f>Z1090</f>
        <v>70.943548387096769</v>
      </c>
      <c r="AJ1130" s="133"/>
    </row>
    <row r="1131" spans="1:36" ht="16.5" customHeight="1" x14ac:dyDescent="0.3">
      <c r="AD1131" s="288"/>
      <c r="AE1131" s="289" t="s">
        <v>816</v>
      </c>
      <c r="AF1131" s="4">
        <f>W1090</f>
        <v>30.24596774193548</v>
      </c>
      <c r="AG1131" s="4">
        <f>X1090</f>
        <v>0</v>
      </c>
      <c r="AH1131" s="4">
        <f>Y1090</f>
        <v>-19.852710780525623</v>
      </c>
      <c r="AI1131" s="4">
        <f>Z1090</f>
        <v>70.943548387096769</v>
      </c>
      <c r="AJ1131" s="133"/>
    </row>
    <row r="1132" spans="1:36" ht="15.75" customHeight="1" x14ac:dyDescent="0.3">
      <c r="AD1132" s="288" t="s">
        <v>826</v>
      </c>
      <c r="AE1132" s="289" t="s">
        <v>7</v>
      </c>
      <c r="AJ1132" s="133"/>
    </row>
    <row r="1133" spans="1:36" ht="16.5" customHeight="1" x14ac:dyDescent="0.3">
      <c r="AD1133" s="288" t="s">
        <v>691</v>
      </c>
      <c r="AE1133" s="289" t="s">
        <v>825</v>
      </c>
      <c r="AF1133" s="4">
        <f>V1091</f>
        <v>177.87768817204301</v>
      </c>
      <c r="AG1133" s="4">
        <f>X1091</f>
        <v>0</v>
      </c>
      <c r="AH1133" s="4">
        <f>Y1091</f>
        <v>-10.87922856973494</v>
      </c>
      <c r="AI1133" s="4">
        <f>Z1091</f>
        <v>63.202956989247319</v>
      </c>
      <c r="AJ1133" s="133"/>
    </row>
    <row r="1134" spans="1:36" ht="15.75" customHeight="1" x14ac:dyDescent="0.3">
      <c r="AD1134" s="288"/>
      <c r="AE1134" s="289" t="s">
        <v>816</v>
      </c>
      <c r="AF1134" s="4">
        <f>W1091</f>
        <v>30.877688172043015</v>
      </c>
      <c r="AG1134" s="4">
        <f>X1091</f>
        <v>0</v>
      </c>
      <c r="AH1134" s="4">
        <f>Y1091</f>
        <v>-10.87922856973494</v>
      </c>
      <c r="AI1134" s="4">
        <f>Z1091</f>
        <v>63.202956989247319</v>
      </c>
      <c r="AJ1134" s="133"/>
    </row>
    <row r="1135" spans="1:36" ht="15.75" customHeight="1" x14ac:dyDescent="0.3">
      <c r="AD1135" s="288" t="s">
        <v>826</v>
      </c>
      <c r="AE1135" s="289" t="s">
        <v>7</v>
      </c>
      <c r="AJ1135" s="133"/>
    </row>
    <row r="1136" spans="1:36" ht="15.75" customHeight="1" x14ac:dyDescent="0.3">
      <c r="AD1136" s="288" t="s">
        <v>831</v>
      </c>
      <c r="AE1136" s="289" t="s">
        <v>825</v>
      </c>
      <c r="AF1136" s="4">
        <f>V1092</f>
        <v>328.47638888888889</v>
      </c>
      <c r="AG1136" s="4">
        <f>X1092</f>
        <v>3.7402394118380697</v>
      </c>
      <c r="AH1136" s="4">
        <f>Y1092</f>
        <v>0</v>
      </c>
      <c r="AI1136" s="4">
        <f>Z1092</f>
        <v>51.676388888888887</v>
      </c>
      <c r="AJ1136" s="133"/>
    </row>
    <row r="1137" spans="1:36" ht="15.75" customHeight="1" x14ac:dyDescent="0.3">
      <c r="AD1137" s="288"/>
      <c r="AE1137" s="289" t="s">
        <v>816</v>
      </c>
      <c r="AF1137" s="4">
        <f>W1092</f>
        <v>83.476388888888891</v>
      </c>
      <c r="AG1137" s="4">
        <f>X1092</f>
        <v>3.7402394118380697</v>
      </c>
      <c r="AH1137" s="4">
        <f>Y1092</f>
        <v>0</v>
      </c>
      <c r="AI1137" s="4">
        <f>Z1092</f>
        <v>51.676388888888887</v>
      </c>
      <c r="AJ1137" s="133"/>
    </row>
    <row r="1138" spans="1:36" ht="15.75" customHeight="1" x14ac:dyDescent="0.3">
      <c r="I1138" s="192"/>
      <c r="J1138" s="192"/>
      <c r="AD1138" s="288" t="s">
        <v>826</v>
      </c>
      <c r="AE1138" s="289" t="s">
        <v>7</v>
      </c>
      <c r="AJ1138" s="133"/>
    </row>
    <row r="1139" spans="1:36" ht="15.75" customHeight="1" x14ac:dyDescent="0.3">
      <c r="AD1139" s="288" t="s">
        <v>693</v>
      </c>
      <c r="AE1139" s="289" t="s">
        <v>825</v>
      </c>
      <c r="AF1139" s="4">
        <f>V1093</f>
        <v>335.06451612903226</v>
      </c>
      <c r="AG1139" s="4">
        <f>X1093</f>
        <v>13.708029347336522</v>
      </c>
      <c r="AH1139" s="4">
        <f>Y1093</f>
        <v>0</v>
      </c>
      <c r="AI1139" s="4">
        <f>Z1093</f>
        <v>25.263440860215056</v>
      </c>
      <c r="AJ1139" s="133"/>
    </row>
    <row r="1140" spans="1:36" ht="15.75" customHeight="1" x14ac:dyDescent="0.3">
      <c r="AD1140" s="288"/>
      <c r="AE1140" s="289" t="s">
        <v>816</v>
      </c>
      <c r="AF1140" s="4">
        <f>W1093</f>
        <v>90.064516129032256</v>
      </c>
      <c r="AG1140" s="4">
        <f>X1093</f>
        <v>13.708029347336522</v>
      </c>
      <c r="AH1140" s="4">
        <f>Y1093</f>
        <v>0</v>
      </c>
      <c r="AI1140" s="4">
        <f>Z1093</f>
        <v>25.263440860215056</v>
      </c>
      <c r="AJ1140" s="133"/>
    </row>
    <row r="1141" spans="1:36" ht="15.75" customHeight="1" x14ac:dyDescent="0.3">
      <c r="AD1141" s="288" t="s">
        <v>826</v>
      </c>
      <c r="AE1141" s="289" t="s">
        <v>7</v>
      </c>
      <c r="AJ1141" s="133"/>
    </row>
    <row r="1142" spans="1:36" ht="15.75" customHeight="1" x14ac:dyDescent="0.3">
      <c r="AD1142" s="288" t="s">
        <v>694</v>
      </c>
      <c r="AE1142" s="289" t="s">
        <v>825</v>
      </c>
      <c r="AF1142" s="4">
        <f>V1094</f>
        <v>334.7833333333333</v>
      </c>
      <c r="AG1142" s="4">
        <f>X1094</f>
        <v>21.012780818711924</v>
      </c>
      <c r="AH1142" s="4">
        <f>Y1094</f>
        <v>0</v>
      </c>
      <c r="AI1142" s="4">
        <f>Z1094</f>
        <v>10.841666666666667</v>
      </c>
      <c r="AJ1142" s="133"/>
    </row>
    <row r="1143" spans="1:36" ht="15.75" customHeight="1" x14ac:dyDescent="0.3">
      <c r="AD1143" s="288"/>
      <c r="AE1143" s="289" t="s">
        <v>816</v>
      </c>
      <c r="AF1143" s="4">
        <f>W1094</f>
        <v>89.783333333333331</v>
      </c>
      <c r="AG1143" s="4">
        <f>X1094</f>
        <v>21.012780818711924</v>
      </c>
      <c r="AH1143" s="4">
        <f>Y1094</f>
        <v>0</v>
      </c>
      <c r="AI1143" s="4">
        <f>Z1094</f>
        <v>10.841666666666667</v>
      </c>
      <c r="AJ1143" s="133"/>
    </row>
    <row r="1144" spans="1:36" ht="15.75" customHeight="1" x14ac:dyDescent="0.3">
      <c r="AD1144" s="288" t="s">
        <v>826</v>
      </c>
      <c r="AE1144" s="289" t="s">
        <v>7</v>
      </c>
      <c r="AJ1144" s="133"/>
    </row>
    <row r="1145" spans="1:36" ht="15.75" customHeight="1" thickBot="1" x14ac:dyDescent="0.35">
      <c r="AD1145" s="288" t="s">
        <v>695</v>
      </c>
      <c r="AE1145" s="289" t="s">
        <v>825</v>
      </c>
      <c r="AF1145" s="4">
        <f>V1095</f>
        <v>312.53763440860212</v>
      </c>
      <c r="AG1145" s="4">
        <f>X1095</f>
        <v>12.967389336067507</v>
      </c>
      <c r="AH1145" s="4">
        <f>Y1095</f>
        <v>0</v>
      </c>
      <c r="AI1145" s="4">
        <f>Z1095</f>
        <v>23.630376344086024</v>
      </c>
      <c r="AJ1145" s="133"/>
    </row>
    <row r="1146" spans="1:36" ht="15.75" customHeight="1" x14ac:dyDescent="0.35">
      <c r="A1146" s="173"/>
      <c r="B1146" s="174"/>
      <c r="C1146" s="294"/>
      <c r="D1146" s="294"/>
      <c r="E1146" s="294"/>
      <c r="F1146" s="294"/>
      <c r="G1146" s="294"/>
      <c r="H1146" s="175" t="s">
        <v>832</v>
      </c>
      <c r="I1146" s="174"/>
      <c r="J1146" s="174"/>
      <c r="K1146" s="174"/>
      <c r="L1146" s="174"/>
      <c r="M1146" s="174"/>
      <c r="N1146" s="174"/>
      <c r="O1146" s="174"/>
      <c r="P1146" s="174"/>
      <c r="Q1146" s="177" t="str">
        <f>+Q1</f>
        <v xml:space="preserve">PRINTED:  </v>
      </c>
      <c r="R1146" s="197">
        <f ca="1">+R1</f>
        <v>44894.65816875</v>
      </c>
      <c r="S1146" s="198"/>
      <c r="AD1146" s="288"/>
      <c r="AE1146" s="289" t="s">
        <v>816</v>
      </c>
      <c r="AF1146" s="4">
        <f>W1095</f>
        <v>67.537634408602145</v>
      </c>
      <c r="AG1146" s="4">
        <f>X1095</f>
        <v>12.967389336067507</v>
      </c>
      <c r="AH1146" s="4">
        <f>Y1095</f>
        <v>0</v>
      </c>
      <c r="AI1146" s="4">
        <f>Z1095</f>
        <v>23.630376344086024</v>
      </c>
      <c r="AJ1146" s="133"/>
    </row>
    <row r="1147" spans="1:36" ht="15.75" customHeight="1" thickBot="1" x14ac:dyDescent="0.4">
      <c r="A1147" s="179"/>
      <c r="B1147" s="180"/>
      <c r="C1147" s="201"/>
      <c r="D1147" s="201"/>
      <c r="E1147" s="201"/>
      <c r="F1147" s="201"/>
      <c r="G1147" s="201"/>
      <c r="H1147" s="180" t="s">
        <v>633</v>
      </c>
      <c r="I1147" s="180" t="s">
        <v>7</v>
      </c>
      <c r="J1147" s="202" t="str">
        <f>+A8</f>
        <v>Revised:  2/5/2020</v>
      </c>
      <c r="K1147" s="180"/>
      <c r="L1147" s="180"/>
      <c r="M1147" s="180"/>
      <c r="N1147" s="180"/>
      <c r="O1147" s="180"/>
      <c r="P1147" s="180"/>
      <c r="Q1147" s="180"/>
      <c r="R1147" s="180"/>
      <c r="S1147" s="133"/>
      <c r="AD1147" s="295" t="s">
        <v>826</v>
      </c>
      <c r="AE1147" s="296" t="s">
        <v>7</v>
      </c>
      <c r="AF1147" s="135"/>
      <c r="AG1147" s="135"/>
      <c r="AH1147" s="135"/>
      <c r="AI1147" s="135"/>
      <c r="AJ1147" s="136"/>
    </row>
    <row r="1148" spans="1:36" ht="15.75" customHeight="1" x14ac:dyDescent="0.35">
      <c r="A1148" s="179"/>
      <c r="B1148" s="180"/>
      <c r="C1148" s="201"/>
      <c r="D1148" s="201"/>
      <c r="E1148" s="201"/>
      <c r="F1148" s="201"/>
      <c r="G1148" s="201"/>
      <c r="H1148" s="180" t="s">
        <v>833</v>
      </c>
      <c r="I1148" s="180"/>
      <c r="J1148" s="180"/>
      <c r="K1148" s="180"/>
      <c r="L1148" s="180"/>
      <c r="M1148" s="180"/>
      <c r="N1148" s="180"/>
      <c r="O1148" s="180"/>
      <c r="P1148" s="180"/>
      <c r="Q1148" s="180"/>
      <c r="R1148" s="180"/>
      <c r="S1148" s="133"/>
    </row>
    <row r="1149" spans="1:36" ht="15.75" customHeight="1" x14ac:dyDescent="0.35">
      <c r="A1149" s="179"/>
      <c r="B1149" s="180"/>
      <c r="C1149" s="201"/>
      <c r="D1149" s="201"/>
      <c r="E1149" s="201"/>
      <c r="F1149" s="201"/>
      <c r="G1149" s="201"/>
      <c r="H1149" s="180"/>
      <c r="I1149" s="180"/>
      <c r="J1149" s="180"/>
      <c r="K1149" s="180"/>
      <c r="L1149" s="180"/>
      <c r="M1149" s="180"/>
      <c r="N1149" s="180"/>
      <c r="O1149" s="180"/>
      <c r="P1149" s="180"/>
      <c r="Q1149" s="180"/>
      <c r="R1149" s="180"/>
      <c r="S1149" s="133"/>
    </row>
    <row r="1150" spans="1:36" ht="15.75" customHeight="1" x14ac:dyDescent="0.35">
      <c r="A1150" s="179"/>
      <c r="B1150" s="180"/>
      <c r="C1150" s="201"/>
      <c r="D1150" s="201"/>
      <c r="E1150" s="201"/>
      <c r="F1150" s="201"/>
      <c r="G1150" s="201"/>
      <c r="H1150" s="180" t="s">
        <v>633</v>
      </c>
      <c r="I1150" s="297">
        <f>+A5</f>
        <v>2021</v>
      </c>
      <c r="J1150" s="180"/>
      <c r="K1150" s="180"/>
      <c r="L1150" s="180"/>
      <c r="M1150" s="180"/>
      <c r="N1150" s="180"/>
      <c r="O1150" s="180"/>
      <c r="P1150" s="180"/>
      <c r="Q1150" s="180"/>
      <c r="R1150" s="180"/>
      <c r="S1150" s="133"/>
    </row>
    <row r="1151" spans="1:36" ht="15.75" customHeight="1" x14ac:dyDescent="0.3">
      <c r="A1151" s="179"/>
      <c r="B1151" s="180"/>
      <c r="C1151" s="180"/>
      <c r="D1151" s="180"/>
      <c r="E1151" s="180"/>
      <c r="F1151" s="180"/>
      <c r="G1151" s="180"/>
      <c r="H1151" s="180"/>
      <c r="I1151" s="180"/>
      <c r="J1151" s="180"/>
      <c r="K1151" s="180"/>
      <c r="L1151" s="180"/>
      <c r="M1151" s="180"/>
      <c r="N1151" s="180"/>
      <c r="O1151" s="180"/>
      <c r="P1151" s="180"/>
      <c r="Q1151" s="180"/>
      <c r="R1151" s="180"/>
      <c r="S1151" s="133"/>
    </row>
    <row r="1152" spans="1:36" ht="15.75" customHeight="1" x14ac:dyDescent="0.3">
      <c r="A1152" s="179"/>
      <c r="B1152" s="180"/>
      <c r="C1152" s="199" t="s">
        <v>834</v>
      </c>
      <c r="D1152" s="180"/>
      <c r="E1152" s="180"/>
      <c r="F1152" s="180"/>
      <c r="G1152" s="199" t="s">
        <v>835</v>
      </c>
      <c r="H1152" s="180"/>
      <c r="I1152" s="180"/>
      <c r="J1152" s="180"/>
      <c r="K1152" s="298" t="s">
        <v>836</v>
      </c>
      <c r="L1152" s="180"/>
      <c r="M1152" s="180"/>
      <c r="N1152" s="180"/>
      <c r="O1152" s="298" t="s">
        <v>837</v>
      </c>
      <c r="P1152" s="180"/>
      <c r="Q1152" s="180"/>
      <c r="R1152" s="180"/>
      <c r="S1152" s="133"/>
    </row>
    <row r="1153" spans="1:19" ht="15.75" customHeight="1" x14ac:dyDescent="0.3">
      <c r="A1153" s="179"/>
      <c r="B1153" s="180"/>
      <c r="C1153" s="180">
        <f>+A5</f>
        <v>2021</v>
      </c>
      <c r="D1153" s="180"/>
      <c r="E1153" s="180"/>
      <c r="F1153" s="180" t="s">
        <v>838</v>
      </c>
      <c r="G1153" s="180"/>
      <c r="H1153" s="180"/>
      <c r="I1153" s="180"/>
      <c r="J1153" s="180"/>
      <c r="K1153" s="180">
        <f>+A5</f>
        <v>2021</v>
      </c>
      <c r="L1153" s="180"/>
      <c r="M1153" s="180"/>
      <c r="N1153" s="180"/>
      <c r="O1153" s="180">
        <f>+A5</f>
        <v>2021</v>
      </c>
      <c r="P1153" s="180"/>
      <c r="Q1153" s="180"/>
      <c r="R1153" s="180"/>
      <c r="S1153" s="133"/>
    </row>
    <row r="1154" spans="1:19" ht="15.75" customHeight="1" x14ac:dyDescent="0.3">
      <c r="A1154" s="179"/>
      <c r="B1154" s="180"/>
      <c r="C1154" s="180"/>
      <c r="D1154" s="180"/>
      <c r="E1154" s="180"/>
      <c r="F1154" s="180"/>
      <c r="G1154" s="180">
        <f>+A5</f>
        <v>2021</v>
      </c>
      <c r="H1154" s="180"/>
      <c r="I1154" s="180"/>
      <c r="J1154" s="180"/>
      <c r="K1154" s="180"/>
      <c r="L1154" s="180"/>
      <c r="M1154" s="180"/>
      <c r="N1154" s="180"/>
      <c r="O1154" s="180"/>
      <c r="P1154" s="180"/>
      <c r="Q1154" s="180"/>
      <c r="R1154" s="180"/>
      <c r="S1154" s="133"/>
    </row>
    <row r="1155" spans="1:19" ht="15.75" customHeight="1" x14ac:dyDescent="0.3">
      <c r="A1155" s="179"/>
      <c r="B1155" s="180"/>
      <c r="C1155" s="182" t="s">
        <v>839</v>
      </c>
      <c r="D1155" s="182" t="s">
        <v>840</v>
      </c>
      <c r="E1155" s="182" t="s">
        <v>841</v>
      </c>
      <c r="F1155" s="180"/>
      <c r="G1155" s="182" t="s">
        <v>842</v>
      </c>
      <c r="H1155" s="182" t="s">
        <v>840</v>
      </c>
      <c r="I1155" s="182" t="s">
        <v>843</v>
      </c>
      <c r="J1155" s="180"/>
      <c r="K1155" s="182" t="s">
        <v>738</v>
      </c>
      <c r="L1155" s="182" t="s">
        <v>840</v>
      </c>
      <c r="M1155" s="182" t="s">
        <v>844</v>
      </c>
      <c r="N1155" s="180"/>
      <c r="O1155" s="182" t="s">
        <v>738</v>
      </c>
      <c r="P1155" s="182" t="s">
        <v>840</v>
      </c>
      <c r="Q1155" s="182" t="s">
        <v>844</v>
      </c>
      <c r="R1155" s="180"/>
      <c r="S1155" s="133"/>
    </row>
    <row r="1156" spans="1:19" ht="15.75" customHeight="1" x14ac:dyDescent="0.3">
      <c r="A1156" s="179"/>
      <c r="B1156" s="180"/>
      <c r="C1156" s="182" t="s">
        <v>845</v>
      </c>
      <c r="D1156" s="182" t="s">
        <v>658</v>
      </c>
      <c r="E1156" s="182" t="s">
        <v>846</v>
      </c>
      <c r="F1156" s="180"/>
      <c r="G1156" s="182" t="s">
        <v>847</v>
      </c>
      <c r="H1156" s="182" t="s">
        <v>658</v>
      </c>
      <c r="I1156" s="182" t="s">
        <v>846</v>
      </c>
      <c r="J1156" s="180"/>
      <c r="K1156" s="182" t="s">
        <v>848</v>
      </c>
      <c r="L1156" s="182" t="s">
        <v>658</v>
      </c>
      <c r="M1156" s="182" t="s">
        <v>846</v>
      </c>
      <c r="N1156" s="180"/>
      <c r="O1156" s="182" t="s">
        <v>848</v>
      </c>
      <c r="P1156" s="182" t="s">
        <v>658</v>
      </c>
      <c r="Q1156" s="182" t="s">
        <v>846</v>
      </c>
      <c r="R1156" s="180"/>
      <c r="S1156" s="133"/>
    </row>
    <row r="1157" spans="1:19" ht="15.75" customHeight="1" x14ac:dyDescent="0.3">
      <c r="A1157" s="179"/>
      <c r="B1157" s="180"/>
      <c r="C1157" s="182" t="s">
        <v>658</v>
      </c>
      <c r="D1157" s="182" t="s">
        <v>655</v>
      </c>
      <c r="E1157" s="182" t="s">
        <v>849</v>
      </c>
      <c r="F1157" s="180"/>
      <c r="G1157" s="182" t="s">
        <v>743</v>
      </c>
      <c r="H1157" s="182" t="s">
        <v>655</v>
      </c>
      <c r="I1157" s="182" t="s">
        <v>849</v>
      </c>
      <c r="J1157" s="180"/>
      <c r="K1157" s="182" t="s">
        <v>658</v>
      </c>
      <c r="L1157" s="182" t="s">
        <v>655</v>
      </c>
      <c r="M1157" s="182" t="s">
        <v>849</v>
      </c>
      <c r="N1157" s="180"/>
      <c r="O1157" s="182" t="s">
        <v>658</v>
      </c>
      <c r="P1157" s="182" t="s">
        <v>655</v>
      </c>
      <c r="Q1157" s="182" t="s">
        <v>849</v>
      </c>
      <c r="R1157" s="180"/>
      <c r="S1157" s="133"/>
    </row>
    <row r="1158" spans="1:19" ht="15.75" customHeight="1" x14ac:dyDescent="0.3">
      <c r="A1158" s="179"/>
      <c r="B1158" s="180"/>
      <c r="C1158" s="182" t="s">
        <v>664</v>
      </c>
      <c r="D1158" s="182" t="s">
        <v>850</v>
      </c>
      <c r="E1158" s="182" t="s">
        <v>851</v>
      </c>
      <c r="F1158" s="180"/>
      <c r="G1158" s="182" t="s">
        <v>664</v>
      </c>
      <c r="H1158" s="182" t="s">
        <v>850</v>
      </c>
      <c r="I1158" s="182" t="s">
        <v>851</v>
      </c>
      <c r="J1158" s="180"/>
      <c r="K1158" s="182" t="s">
        <v>664</v>
      </c>
      <c r="L1158" s="182" t="s">
        <v>850</v>
      </c>
      <c r="M1158" s="182" t="s">
        <v>851</v>
      </c>
      <c r="N1158" s="180"/>
      <c r="O1158" s="182" t="s">
        <v>664</v>
      </c>
      <c r="P1158" s="182" t="s">
        <v>850</v>
      </c>
      <c r="Q1158" s="182" t="s">
        <v>851</v>
      </c>
      <c r="R1158" s="180"/>
      <c r="S1158" s="133"/>
    </row>
    <row r="1159" spans="1:19" ht="15.75" customHeight="1" x14ac:dyDescent="0.3">
      <c r="A1159" s="179"/>
      <c r="B1159" s="180"/>
      <c r="C1159" s="180" t="s">
        <v>666</v>
      </c>
      <c r="D1159" s="180" t="s">
        <v>666</v>
      </c>
      <c r="E1159" s="180" t="s">
        <v>666</v>
      </c>
      <c r="F1159" s="180"/>
      <c r="G1159" s="182" t="s">
        <v>666</v>
      </c>
      <c r="H1159" s="182" t="s">
        <v>666</v>
      </c>
      <c r="I1159" s="182" t="s">
        <v>666</v>
      </c>
      <c r="J1159" s="180"/>
      <c r="K1159" s="180" t="s">
        <v>666</v>
      </c>
      <c r="L1159" s="180" t="s">
        <v>666</v>
      </c>
      <c r="M1159" s="180" t="s">
        <v>666</v>
      </c>
      <c r="N1159" s="180"/>
      <c r="O1159" s="180" t="s">
        <v>666</v>
      </c>
      <c r="P1159" s="180" t="s">
        <v>666</v>
      </c>
      <c r="Q1159" s="180" t="s">
        <v>666</v>
      </c>
      <c r="R1159" s="180"/>
      <c r="S1159" s="133"/>
    </row>
    <row r="1160" spans="1:19" ht="15.75" customHeight="1" x14ac:dyDescent="0.3">
      <c r="A1160" s="189" t="s">
        <v>668</v>
      </c>
      <c r="B1160" s="180"/>
      <c r="C1160" s="180">
        <f t="shared" ref="C1160:C1171" si="472">(P1032)</f>
        <v>0.2</v>
      </c>
      <c r="D1160" s="203">
        <v>0</v>
      </c>
      <c r="E1160" s="217">
        <f t="shared" ref="E1160:E1171" si="473">(P1032*D1160/1000)</f>
        <v>0</v>
      </c>
      <c r="F1160" s="180"/>
      <c r="G1160" s="180">
        <v>0</v>
      </c>
      <c r="H1160" s="203">
        <v>0</v>
      </c>
      <c r="I1160" s="217">
        <f t="shared" ref="I1160:I1171" si="474">(G1160*H1160/1000)</f>
        <v>0</v>
      </c>
      <c r="J1160" s="180"/>
      <c r="K1160" s="299">
        <v>11848</v>
      </c>
      <c r="L1160" s="300">
        <v>0</v>
      </c>
      <c r="M1160" s="217">
        <f t="shared" ref="M1160:M1171" si="475">(K1160*L1160/1000)</f>
        <v>0</v>
      </c>
      <c r="N1160" s="180"/>
      <c r="O1160" s="299">
        <v>0</v>
      </c>
      <c r="P1160" s="203">
        <v>0</v>
      </c>
      <c r="Q1160" s="217">
        <f t="shared" ref="Q1160:Q1171" si="476">(O1160*P1160/1000)</f>
        <v>0</v>
      </c>
      <c r="R1160" s="180"/>
      <c r="S1160" s="133"/>
    </row>
    <row r="1161" spans="1:19" ht="15.75" customHeight="1" x14ac:dyDescent="0.3">
      <c r="A1161" s="189" t="s">
        <v>669</v>
      </c>
      <c r="B1161" s="180"/>
      <c r="C1161" s="180">
        <f t="shared" si="472"/>
        <v>0.25</v>
      </c>
      <c r="D1161" s="203">
        <v>0</v>
      </c>
      <c r="E1161" s="217">
        <f t="shared" si="473"/>
        <v>0</v>
      </c>
      <c r="F1161" s="180"/>
      <c r="G1161" s="180" t="e">
        <f>#REF!</f>
        <v>#REF!</v>
      </c>
      <c r="H1161" s="203">
        <v>0</v>
      </c>
      <c r="I1161" s="217" t="e">
        <f t="shared" si="474"/>
        <v>#REF!</v>
      </c>
      <c r="J1161" s="180"/>
      <c r="K1161" s="299">
        <v>11489</v>
      </c>
      <c r="L1161" s="300">
        <v>0</v>
      </c>
      <c r="M1161" s="217">
        <f t="shared" si="475"/>
        <v>0</v>
      </c>
      <c r="N1161" s="180"/>
      <c r="O1161" s="299">
        <v>0</v>
      </c>
      <c r="P1161" s="203">
        <v>0</v>
      </c>
      <c r="Q1161" s="217">
        <f t="shared" si="476"/>
        <v>0</v>
      </c>
      <c r="R1161" s="180"/>
      <c r="S1161" s="133"/>
    </row>
    <row r="1162" spans="1:19" ht="15.75" customHeight="1" x14ac:dyDescent="0.3">
      <c r="A1162" s="189" t="s">
        <v>671</v>
      </c>
      <c r="B1162" s="180"/>
      <c r="C1162" s="180">
        <f t="shared" si="472"/>
        <v>0.3</v>
      </c>
      <c r="D1162" s="203">
        <v>0</v>
      </c>
      <c r="E1162" s="217">
        <f t="shared" si="473"/>
        <v>0</v>
      </c>
      <c r="F1162" s="180">
        <f>SUM(E1160:E1162)</f>
        <v>0</v>
      </c>
      <c r="G1162" s="180" t="e">
        <f>#REF!</f>
        <v>#REF!</v>
      </c>
      <c r="H1162" s="203">
        <v>0</v>
      </c>
      <c r="I1162" s="217" t="e">
        <f t="shared" si="474"/>
        <v>#REF!</v>
      </c>
      <c r="J1162" s="180" t="e">
        <f>SUM(I1160:I1162)</f>
        <v>#REF!</v>
      </c>
      <c r="K1162" s="299">
        <v>16247</v>
      </c>
      <c r="L1162" s="300">
        <v>0</v>
      </c>
      <c r="M1162" s="217">
        <f t="shared" si="475"/>
        <v>0</v>
      </c>
      <c r="N1162" s="180">
        <f>SUM(M1160:M1162)</f>
        <v>0</v>
      </c>
      <c r="O1162" s="299">
        <v>0</v>
      </c>
      <c r="P1162" s="203">
        <v>0</v>
      </c>
      <c r="Q1162" s="217">
        <f t="shared" si="476"/>
        <v>0</v>
      </c>
      <c r="R1162" s="180">
        <f>SUM(Q1160:Q1162)</f>
        <v>0</v>
      </c>
      <c r="S1162" s="133"/>
    </row>
    <row r="1163" spans="1:19" ht="15.75" customHeight="1" x14ac:dyDescent="0.3">
      <c r="A1163" s="189" t="s">
        <v>672</v>
      </c>
      <c r="B1163" s="180"/>
      <c r="C1163" s="180">
        <f t="shared" si="472"/>
        <v>0.35</v>
      </c>
      <c r="D1163" s="203">
        <v>0</v>
      </c>
      <c r="E1163" s="217">
        <f t="shared" si="473"/>
        <v>0</v>
      </c>
      <c r="F1163" s="180"/>
      <c r="G1163" s="180" t="e">
        <f>#REF!</f>
        <v>#REF!</v>
      </c>
      <c r="H1163" s="203">
        <v>0</v>
      </c>
      <c r="I1163" s="217" t="e">
        <f t="shared" si="474"/>
        <v>#REF!</v>
      </c>
      <c r="J1163" s="180"/>
      <c r="K1163" s="299">
        <v>17740</v>
      </c>
      <c r="L1163" s="300">
        <v>0</v>
      </c>
      <c r="M1163" s="217">
        <f t="shared" si="475"/>
        <v>0</v>
      </c>
      <c r="N1163" s="180"/>
      <c r="O1163" s="299">
        <v>0</v>
      </c>
      <c r="P1163" s="203">
        <v>0</v>
      </c>
      <c r="Q1163" s="217">
        <f t="shared" si="476"/>
        <v>0</v>
      </c>
      <c r="R1163" s="180"/>
      <c r="S1163" s="133"/>
    </row>
    <row r="1164" spans="1:19" ht="15.75" customHeight="1" x14ac:dyDescent="0.3">
      <c r="A1164" s="189" t="s">
        <v>673</v>
      </c>
      <c r="B1164" s="180"/>
      <c r="C1164" s="180">
        <f t="shared" si="472"/>
        <v>0.35</v>
      </c>
      <c r="D1164" s="203">
        <v>0</v>
      </c>
      <c r="E1164" s="217">
        <f t="shared" si="473"/>
        <v>0</v>
      </c>
      <c r="F1164" s="180"/>
      <c r="G1164" s="180" t="e">
        <f>#REF!</f>
        <v>#REF!</v>
      </c>
      <c r="H1164" s="203">
        <v>0</v>
      </c>
      <c r="I1164" s="217" t="e">
        <f t="shared" si="474"/>
        <v>#REF!</v>
      </c>
      <c r="J1164" s="180"/>
      <c r="K1164" s="299">
        <v>15434</v>
      </c>
      <c r="L1164" s="300">
        <v>0</v>
      </c>
      <c r="M1164" s="217">
        <f t="shared" si="475"/>
        <v>0</v>
      </c>
      <c r="N1164" s="180"/>
      <c r="O1164" s="299">
        <v>0</v>
      </c>
      <c r="P1164" s="203">
        <v>0</v>
      </c>
      <c r="Q1164" s="217">
        <f t="shared" si="476"/>
        <v>0</v>
      </c>
      <c r="R1164" s="180"/>
      <c r="S1164" s="133"/>
    </row>
    <row r="1165" spans="1:19" ht="15.75" customHeight="1" x14ac:dyDescent="0.3">
      <c r="A1165" s="189" t="s">
        <v>675</v>
      </c>
      <c r="B1165" s="180"/>
      <c r="C1165" s="180">
        <f t="shared" si="472"/>
        <v>7.4999999999999997E-2</v>
      </c>
      <c r="D1165" s="203">
        <v>0</v>
      </c>
      <c r="E1165" s="217">
        <f t="shared" si="473"/>
        <v>0</v>
      </c>
      <c r="F1165" s="180">
        <f>SUM(E1163:E1165)</f>
        <v>0</v>
      </c>
      <c r="G1165" s="180" t="e">
        <f>#REF!</f>
        <v>#REF!</v>
      </c>
      <c r="H1165" s="203">
        <v>0</v>
      </c>
      <c r="I1165" s="217" t="e">
        <f t="shared" si="474"/>
        <v>#REF!</v>
      </c>
      <c r="J1165" s="180" t="e">
        <f>SUM(I1163:I1165)</f>
        <v>#REF!</v>
      </c>
      <c r="K1165" s="299">
        <v>14355</v>
      </c>
      <c r="L1165" s="300">
        <v>0</v>
      </c>
      <c r="M1165" s="217">
        <f t="shared" si="475"/>
        <v>0</v>
      </c>
      <c r="N1165" s="180">
        <f>SUM(M1163:M1165)</f>
        <v>0</v>
      </c>
      <c r="O1165" s="299">
        <v>0</v>
      </c>
      <c r="P1165" s="203">
        <v>0</v>
      </c>
      <c r="Q1165" s="217">
        <f t="shared" si="476"/>
        <v>0</v>
      </c>
      <c r="R1165" s="180">
        <f>SUM(Q1163:Q1165)</f>
        <v>0</v>
      </c>
      <c r="S1165" s="133"/>
    </row>
    <row r="1166" spans="1:19" ht="15.75" customHeight="1" x14ac:dyDescent="0.3">
      <c r="A1166" s="189" t="s">
        <v>676</v>
      </c>
      <c r="B1166" s="180"/>
      <c r="C1166" s="180">
        <f t="shared" si="472"/>
        <v>0.05</v>
      </c>
      <c r="D1166" s="203">
        <v>0</v>
      </c>
      <c r="E1166" s="217">
        <f t="shared" si="473"/>
        <v>0</v>
      </c>
      <c r="F1166" s="180"/>
      <c r="G1166" s="180" t="e">
        <f>#REF!</f>
        <v>#REF!</v>
      </c>
      <c r="H1166" s="203">
        <v>0</v>
      </c>
      <c r="I1166" s="217" t="e">
        <f t="shared" si="474"/>
        <v>#REF!</v>
      </c>
      <c r="J1166" s="180"/>
      <c r="K1166" s="299">
        <v>13129</v>
      </c>
      <c r="L1166" s="300">
        <v>0</v>
      </c>
      <c r="M1166" s="217">
        <f t="shared" si="475"/>
        <v>0</v>
      </c>
      <c r="N1166" s="180"/>
      <c r="O1166" s="299">
        <v>0</v>
      </c>
      <c r="P1166" s="203">
        <v>0</v>
      </c>
      <c r="Q1166" s="217">
        <f t="shared" si="476"/>
        <v>0</v>
      </c>
      <c r="R1166" s="180"/>
      <c r="S1166" s="133"/>
    </row>
    <row r="1167" spans="1:19" ht="15.75" customHeight="1" x14ac:dyDescent="0.3">
      <c r="A1167" s="189" t="s">
        <v>691</v>
      </c>
      <c r="B1167" s="180"/>
      <c r="C1167" s="180">
        <f t="shared" si="472"/>
        <v>0</v>
      </c>
      <c r="D1167" s="203">
        <v>0</v>
      </c>
      <c r="E1167" s="217">
        <f t="shared" si="473"/>
        <v>0</v>
      </c>
      <c r="F1167" s="180"/>
      <c r="G1167" s="180" t="e">
        <f>#REF!</f>
        <v>#REF!</v>
      </c>
      <c r="H1167" s="203">
        <v>0</v>
      </c>
      <c r="I1167" s="217" t="e">
        <f t="shared" si="474"/>
        <v>#REF!</v>
      </c>
      <c r="J1167" s="180"/>
      <c r="K1167" s="299">
        <v>12545</v>
      </c>
      <c r="L1167" s="300">
        <v>0</v>
      </c>
      <c r="M1167" s="217">
        <f t="shared" si="475"/>
        <v>0</v>
      </c>
      <c r="N1167" s="180"/>
      <c r="O1167" s="299">
        <v>0</v>
      </c>
      <c r="P1167" s="203">
        <v>0</v>
      </c>
      <c r="Q1167" s="217">
        <f t="shared" si="476"/>
        <v>0</v>
      </c>
      <c r="R1167" s="180"/>
      <c r="S1167" s="133"/>
    </row>
    <row r="1168" spans="1:19" ht="15.75" customHeight="1" x14ac:dyDescent="0.3">
      <c r="A1168" s="189" t="s">
        <v>692</v>
      </c>
      <c r="B1168" s="180"/>
      <c r="C1168" s="180">
        <f t="shared" si="472"/>
        <v>0.05</v>
      </c>
      <c r="D1168" s="203">
        <v>0</v>
      </c>
      <c r="E1168" s="217">
        <f t="shared" si="473"/>
        <v>0</v>
      </c>
      <c r="F1168" s="180">
        <f>SUM(E1166:E1168)</f>
        <v>0</v>
      </c>
      <c r="G1168" s="180" t="e">
        <f>#REF!</f>
        <v>#REF!</v>
      </c>
      <c r="H1168" s="203">
        <v>0</v>
      </c>
      <c r="I1168" s="217" t="e">
        <f t="shared" si="474"/>
        <v>#REF!</v>
      </c>
      <c r="J1168" s="180" t="e">
        <f>SUM(I1166:I1168)</f>
        <v>#REF!</v>
      </c>
      <c r="K1168" s="299">
        <v>9350</v>
      </c>
      <c r="L1168" s="300">
        <v>0</v>
      </c>
      <c r="M1168" s="217">
        <f t="shared" si="475"/>
        <v>0</v>
      </c>
      <c r="N1168" s="180">
        <f>SUM(M1166:M1168)</f>
        <v>0</v>
      </c>
      <c r="O1168" s="299">
        <v>0</v>
      </c>
      <c r="P1168" s="203">
        <v>0</v>
      </c>
      <c r="Q1168" s="217">
        <f t="shared" si="476"/>
        <v>0</v>
      </c>
      <c r="R1168" s="180">
        <f>SUM(Q1166:Q1168)</f>
        <v>0</v>
      </c>
      <c r="S1168" s="133"/>
    </row>
    <row r="1169" spans="1:19" ht="15.75" customHeight="1" x14ac:dyDescent="0.3">
      <c r="A1169" s="189" t="s">
        <v>693</v>
      </c>
      <c r="B1169" s="180"/>
      <c r="C1169" s="180">
        <f t="shared" si="472"/>
        <v>0.2</v>
      </c>
      <c r="D1169" s="203">
        <v>0</v>
      </c>
      <c r="E1169" s="217">
        <f t="shared" si="473"/>
        <v>0</v>
      </c>
      <c r="F1169" s="180"/>
      <c r="G1169" s="180" t="e">
        <f>#REF!</f>
        <v>#REF!</v>
      </c>
      <c r="H1169" s="203">
        <v>0</v>
      </c>
      <c r="I1169" s="217" t="e">
        <f t="shared" si="474"/>
        <v>#REF!</v>
      </c>
      <c r="J1169" s="180"/>
      <c r="K1169" s="299">
        <v>11649</v>
      </c>
      <c r="L1169" s="300">
        <v>0</v>
      </c>
      <c r="M1169" s="217">
        <f t="shared" si="475"/>
        <v>0</v>
      </c>
      <c r="N1169" s="180"/>
      <c r="O1169" s="299">
        <v>0</v>
      </c>
      <c r="P1169" s="203">
        <v>0</v>
      </c>
      <c r="Q1169" s="217">
        <f t="shared" si="476"/>
        <v>0</v>
      </c>
      <c r="R1169" s="180"/>
      <c r="S1169" s="133"/>
    </row>
    <row r="1170" spans="1:19" ht="15.75" customHeight="1" x14ac:dyDescent="0.3">
      <c r="A1170" s="189" t="s">
        <v>694</v>
      </c>
      <c r="B1170" s="180"/>
      <c r="C1170" s="180">
        <f t="shared" si="472"/>
        <v>0.2</v>
      </c>
      <c r="D1170" s="203">
        <v>0</v>
      </c>
      <c r="E1170" s="217">
        <f t="shared" si="473"/>
        <v>0</v>
      </c>
      <c r="F1170" s="180"/>
      <c r="G1170" s="180" t="e">
        <f>#REF!</f>
        <v>#REF!</v>
      </c>
      <c r="H1170" s="203">
        <v>0</v>
      </c>
      <c r="I1170" s="217" t="e">
        <f t="shared" si="474"/>
        <v>#REF!</v>
      </c>
      <c r="J1170" s="180"/>
      <c r="K1170" s="299">
        <v>8035</v>
      </c>
      <c r="L1170" s="300">
        <v>0</v>
      </c>
      <c r="M1170" s="217">
        <f t="shared" si="475"/>
        <v>0</v>
      </c>
      <c r="N1170" s="180"/>
      <c r="O1170" s="299">
        <v>0</v>
      </c>
      <c r="P1170" s="203">
        <v>0</v>
      </c>
      <c r="Q1170" s="217">
        <f t="shared" si="476"/>
        <v>0</v>
      </c>
      <c r="R1170" s="180"/>
      <c r="S1170" s="133"/>
    </row>
    <row r="1171" spans="1:19" ht="15.75" customHeight="1" x14ac:dyDescent="0.3">
      <c r="A1171" s="189" t="s">
        <v>695</v>
      </c>
      <c r="B1171" s="180"/>
      <c r="C1171" s="180">
        <f t="shared" si="472"/>
        <v>0.2</v>
      </c>
      <c r="D1171" s="203">
        <v>0</v>
      </c>
      <c r="E1171" s="217">
        <f t="shared" si="473"/>
        <v>0</v>
      </c>
      <c r="F1171" s="180">
        <f>SUM(E1169:E1171)</f>
        <v>0</v>
      </c>
      <c r="G1171" s="180" t="e">
        <f>#REF!</f>
        <v>#REF!</v>
      </c>
      <c r="H1171" s="203">
        <v>0</v>
      </c>
      <c r="I1171" s="217" t="e">
        <f t="shared" si="474"/>
        <v>#REF!</v>
      </c>
      <c r="J1171" s="180" t="e">
        <f>SUM(I1169:I1171)</f>
        <v>#REF!</v>
      </c>
      <c r="K1171" s="299">
        <v>8092</v>
      </c>
      <c r="L1171" s="300">
        <v>0</v>
      </c>
      <c r="M1171" s="217">
        <f t="shared" si="475"/>
        <v>0</v>
      </c>
      <c r="N1171" s="180">
        <f>SUM(M1169:M1171)</f>
        <v>0</v>
      </c>
      <c r="O1171" s="299">
        <v>0</v>
      </c>
      <c r="P1171" s="203">
        <v>0</v>
      </c>
      <c r="Q1171" s="217">
        <f t="shared" si="476"/>
        <v>0</v>
      </c>
      <c r="R1171" s="180">
        <f>SUM(Q1169:Q1171)</f>
        <v>0</v>
      </c>
      <c r="S1171" s="133"/>
    </row>
    <row r="1172" spans="1:19" ht="15.75" customHeight="1" x14ac:dyDescent="0.3">
      <c r="A1172" s="179"/>
      <c r="B1172" s="180"/>
      <c r="C1172" s="180"/>
      <c r="D1172" s="180"/>
      <c r="E1172" s="180"/>
      <c r="F1172" s="180"/>
      <c r="G1172" s="180"/>
      <c r="H1172" s="180"/>
      <c r="I1172" s="180"/>
      <c r="J1172" s="180"/>
      <c r="K1172" s="180"/>
      <c r="L1172" s="180"/>
      <c r="M1172" s="180"/>
      <c r="N1172" s="180"/>
      <c r="O1172" s="180"/>
      <c r="P1172" s="180"/>
      <c r="Q1172" s="180"/>
      <c r="R1172" s="180"/>
      <c r="S1172" s="133"/>
    </row>
    <row r="1173" spans="1:19" ht="15.75" customHeight="1" x14ac:dyDescent="0.3">
      <c r="A1173" s="179"/>
      <c r="B1173" s="180"/>
      <c r="C1173" s="180"/>
      <c r="D1173" s="180"/>
      <c r="E1173" s="180"/>
      <c r="F1173" s="180"/>
      <c r="G1173" s="180"/>
      <c r="H1173" s="180"/>
      <c r="I1173" s="180"/>
      <c r="J1173" s="180"/>
      <c r="K1173" s="180"/>
      <c r="L1173" s="180"/>
      <c r="M1173" s="180"/>
      <c r="N1173" s="180"/>
      <c r="O1173" s="180"/>
      <c r="P1173" s="180"/>
      <c r="Q1173" s="180"/>
      <c r="R1173" s="180"/>
      <c r="S1173" s="133"/>
    </row>
    <row r="1174" spans="1:19" ht="16.5" customHeight="1" thickBot="1" x14ac:dyDescent="0.35">
      <c r="A1174" s="194" t="s">
        <v>641</v>
      </c>
      <c r="B1174" s="195"/>
      <c r="C1174" s="195">
        <f>SUM(C1160:C1171)</f>
        <v>2.2250000000000005</v>
      </c>
      <c r="D1174" s="195"/>
      <c r="E1174" s="301">
        <f>SUM(E1160:E1171)</f>
        <v>0</v>
      </c>
      <c r="F1174" s="195"/>
      <c r="G1174" s="195" t="e">
        <f>SUM(G1160:G1171)</f>
        <v>#REF!</v>
      </c>
      <c r="H1174" s="195" t="s">
        <v>633</v>
      </c>
      <c r="I1174" s="301" t="e">
        <f>SUM(I1160:I1171)</f>
        <v>#REF!</v>
      </c>
      <c r="J1174" s="195"/>
      <c r="K1174" s="195">
        <f>SUM(K1160:K1171)</f>
        <v>149913</v>
      </c>
      <c r="L1174" s="195" t="s">
        <v>633</v>
      </c>
      <c r="M1174" s="301">
        <f>SUM(M1160:M1171)</f>
        <v>0</v>
      </c>
      <c r="N1174" s="195"/>
      <c r="O1174" s="195">
        <f>(SUM(O1160:O1171))</f>
        <v>0</v>
      </c>
      <c r="P1174" s="195" t="s">
        <v>633</v>
      </c>
      <c r="Q1174" s="301">
        <f>SUM(Q1160:Q1171)</f>
        <v>0</v>
      </c>
      <c r="R1174" s="195"/>
      <c r="S1174" s="136"/>
    </row>
  </sheetData>
  <scenarios current="0">
    <scenario name="Jan" count="1" user="Windows User" comment="Created by Windows User on 4/11/2013">
      <inputCells r="B317" val="57771.3688407242" numFmtId="37"/>
    </scenario>
  </scenarios>
  <autoFilter ref="A31:R958" xr:uid="{00000000-0009-0000-0000-000004000000}"/>
  <mergeCells count="73">
    <mergeCell ref="B1105:P1105"/>
    <mergeCell ref="B1106:P1106"/>
    <mergeCell ref="B1108:L1108"/>
    <mergeCell ref="M1108:P1108"/>
    <mergeCell ref="B1082:D1082"/>
    <mergeCell ref="T1082:U1082"/>
    <mergeCell ref="V1082:W1082"/>
    <mergeCell ref="B1101:P1101"/>
    <mergeCell ref="B1102:P1102"/>
    <mergeCell ref="B1103:P1103"/>
    <mergeCell ref="B1081:P1081"/>
    <mergeCell ref="M1027:O1027"/>
    <mergeCell ref="AD1027:AQ1027"/>
    <mergeCell ref="AD1028:AQ1028"/>
    <mergeCell ref="B1052:P1052"/>
    <mergeCell ref="B1053:F1053"/>
    <mergeCell ref="G1053:L1053"/>
    <mergeCell ref="M1053:R1053"/>
    <mergeCell ref="S1053:U1053"/>
    <mergeCell ref="M1054:O1054"/>
    <mergeCell ref="B1076:P1076"/>
    <mergeCell ref="B1077:P1077"/>
    <mergeCell ref="B1078:P1078"/>
    <mergeCell ref="B1080:P1080"/>
    <mergeCell ref="B1025:P1025"/>
    <mergeCell ref="AD1025:AQ1025"/>
    <mergeCell ref="B1026:F1026"/>
    <mergeCell ref="G1026:L1026"/>
    <mergeCell ref="M1026:R1026"/>
    <mergeCell ref="S1026:U1026"/>
    <mergeCell ref="B1024:P1024"/>
    <mergeCell ref="AD1024:AQ1024"/>
    <mergeCell ref="AD990:AQ990"/>
    <mergeCell ref="AD992:AQ992"/>
    <mergeCell ref="B993:P993"/>
    <mergeCell ref="AD993:AQ993"/>
    <mergeCell ref="B994:P994"/>
    <mergeCell ref="B995:P995"/>
    <mergeCell ref="B997:P997"/>
    <mergeCell ref="B998:P998"/>
    <mergeCell ref="B1022:P1022"/>
    <mergeCell ref="B1023:P1023"/>
    <mergeCell ref="AD1023:AQ1023"/>
    <mergeCell ref="AD989:AQ989"/>
    <mergeCell ref="B940:P940"/>
    <mergeCell ref="B941:P941"/>
    <mergeCell ref="B942:P942"/>
    <mergeCell ref="B943:P943"/>
    <mergeCell ref="B967:P967"/>
    <mergeCell ref="B968:P968"/>
    <mergeCell ref="B969:P969"/>
    <mergeCell ref="B970:P970"/>
    <mergeCell ref="B971:P971"/>
    <mergeCell ref="B972:P972"/>
    <mergeCell ref="AD988:AQ988"/>
    <mergeCell ref="B939:P939"/>
    <mergeCell ref="A874:R874"/>
    <mergeCell ref="A875:R875"/>
    <mergeCell ref="A876:R876"/>
    <mergeCell ref="A877:R877"/>
    <mergeCell ref="A879:R879"/>
    <mergeCell ref="A915:R915"/>
    <mergeCell ref="A916:R916"/>
    <mergeCell ref="A917:R917"/>
    <mergeCell ref="A918:R918"/>
    <mergeCell ref="A920:R920"/>
    <mergeCell ref="B938:P938"/>
    <mergeCell ref="A8:R8"/>
    <mergeCell ref="A2:R2"/>
    <mergeCell ref="A3:R3"/>
    <mergeCell ref="A4:R4"/>
    <mergeCell ref="A5:R5"/>
    <mergeCell ref="A6:R6"/>
  </mergeCells>
  <conditionalFormatting sqref="S1032:S1043 S1045">
    <cfRule type="cellIs" dxfId="3" priority="3" operator="lessThan">
      <formula>0</formula>
    </cfRule>
    <cfRule type="cellIs" dxfId="2" priority="4" operator="greaterThan">
      <formula>0</formula>
    </cfRule>
  </conditionalFormatting>
  <conditionalFormatting sqref="S1059:S1070">
    <cfRule type="cellIs" dxfId="1" priority="1" operator="lessThan">
      <formula>0</formula>
    </cfRule>
    <cfRule type="cellIs" dxfId="0" priority="2" operator="greaterThan">
      <formula>0</formula>
    </cfRule>
  </conditionalFormatting>
  <printOptions horizontalCentered="1"/>
  <pageMargins left="0.25" right="0.25" top="0.25" bottom="0.25" header="0" footer="0"/>
  <pageSetup paperSize="17" scale="10" orientation="landscape" r:id="rId1"/>
  <headerFooter alignWithMargins="0"/>
  <rowBreaks count="5" manualBreakCount="5">
    <brk id="884" max="17" man="1"/>
    <brk id="924" max="17" man="1"/>
    <brk id="977" max="18" man="1"/>
    <brk id="1005" max="18" man="1"/>
    <brk id="973" min="28" max="46"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12</vt:i4>
      </vt:variant>
    </vt:vector>
  </HeadingPairs>
  <TitlesOfParts>
    <vt:vector size="24" baseType="lpstr">
      <vt:lpstr>2016 AOP</vt:lpstr>
      <vt:lpstr>2016 Actual</vt:lpstr>
      <vt:lpstr>2017 Actual</vt:lpstr>
      <vt:lpstr>2017 AOP</vt:lpstr>
      <vt:lpstr>2018 Actual</vt:lpstr>
      <vt:lpstr>2018 AOP</vt:lpstr>
      <vt:lpstr>2019 Actual</vt:lpstr>
      <vt:lpstr>2019 AOP</vt:lpstr>
      <vt:lpstr>2020 Actual</vt:lpstr>
      <vt:lpstr>2020 AOP</vt:lpstr>
      <vt:lpstr>2021 Actual</vt:lpstr>
      <vt:lpstr>2021 AOP</vt:lpstr>
      <vt:lpstr>'2016 Actual'!Print_Area</vt:lpstr>
      <vt:lpstr>'2016 AOP'!Print_Area</vt:lpstr>
      <vt:lpstr>'2017 Actual'!Print_Area</vt:lpstr>
      <vt:lpstr>'2017 AOP'!Print_Area</vt:lpstr>
      <vt:lpstr>'2018 Actual'!Print_Area</vt:lpstr>
      <vt:lpstr>'2018 AOP'!Print_Area</vt:lpstr>
      <vt:lpstr>'2019 Actual'!Print_Area</vt:lpstr>
      <vt:lpstr>'2019 AOP'!Print_Area</vt:lpstr>
      <vt:lpstr>'2020 Actual'!Print_Area</vt:lpstr>
      <vt:lpstr>'2020 AOP'!Print_Area</vt:lpstr>
      <vt:lpstr>'2021 Actual'!Print_Area</vt:lpstr>
      <vt:lpstr>'2021 AOP'!Print_Area</vt:lpstr>
    </vt:vector>
  </TitlesOfParts>
  <Company>Central Arizona Project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Jaxon P. White</dc:creator>
  <cp:lastModifiedBy>Gorelick, David</cp:lastModifiedBy>
  <dcterms:created xsi:type="dcterms:W3CDTF">2022-09-06T18:59:19Z</dcterms:created>
  <dcterms:modified xsi:type="dcterms:W3CDTF">2022-11-29T20:47:50Z</dcterms:modified>
</cp:coreProperties>
</file>